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ingh\Desktop\Excel\Automotive sales\"/>
    </mc:Choice>
  </mc:AlternateContent>
  <xr:revisionPtr revIDLastSave="0" documentId="13_ncr:9_{1D168654-ECB8-443F-9765-832EF0017BF4}" xr6:coauthVersionLast="47" xr6:coauthVersionMax="47" xr10:uidLastSave="{00000000-0000-0000-0000-000000000000}"/>
  <bookViews>
    <workbookView xWindow="-120" yWindow="-120" windowWidth="29040" windowHeight="15840" activeTab="3" xr2:uid="{13959EDD-E27D-4DAF-BAA0-FF3138C822CE}"/>
  </bookViews>
  <sheets>
    <sheet name="Raw_Data" sheetId="1" r:id="rId1"/>
    <sheet name="Reference" sheetId="2" state="hidden" r:id="rId2"/>
    <sheet name="Pivot_Calcs" sheetId="3" r:id="rId3"/>
    <sheet name="Dashboard" sheetId="4" r:id="rId4"/>
  </sheets>
  <definedNames>
    <definedName name="Slicer_Brand">#N/A</definedName>
    <definedName name="Slicer_City">#N/A</definedName>
    <definedName name="Slicer_Customer_Type">#N/A</definedName>
    <definedName name="Slicer_Lead_Source">#N/A</definedName>
    <definedName name="Slicer_Retailer">#N/A</definedName>
  </definedNames>
  <calcPr calcId="0"/>
  <pivotCaches>
    <pivotCache cacheId="36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490" i="1"/>
  <c r="AJ2491" i="1"/>
  <c r="AJ2492" i="1"/>
  <c r="AJ2493" i="1"/>
  <c r="AJ2494" i="1"/>
  <c r="AJ2495" i="1"/>
  <c r="AJ2496" i="1"/>
  <c r="AJ2497" i="1"/>
  <c r="AJ2498" i="1"/>
  <c r="AJ2499" i="1"/>
  <c r="AJ2500" i="1"/>
  <c r="AJ2501" i="1"/>
  <c r="AJ2502" i="1"/>
  <c r="AJ2503" i="1"/>
  <c r="AJ2504" i="1"/>
  <c r="AJ2505" i="1"/>
  <c r="AJ2506" i="1"/>
  <c r="AJ2507" i="1"/>
  <c r="AJ2508" i="1"/>
  <c r="AJ2509" i="1"/>
  <c r="AJ2510" i="1"/>
  <c r="AJ2511" i="1"/>
  <c r="AJ2512" i="1"/>
  <c r="AJ2513" i="1"/>
  <c r="AJ2514" i="1"/>
  <c r="AJ2515" i="1"/>
  <c r="AJ2516" i="1"/>
  <c r="AJ2517" i="1"/>
  <c r="AJ2518" i="1"/>
  <c r="AJ2519" i="1"/>
  <c r="AJ2520" i="1"/>
  <c r="AJ2521" i="1"/>
  <c r="AJ2522" i="1"/>
  <c r="AJ2523" i="1"/>
  <c r="AJ2524" i="1"/>
  <c r="AJ2525" i="1"/>
  <c r="AJ2526" i="1"/>
  <c r="AJ2527" i="1"/>
  <c r="AJ2528" i="1"/>
  <c r="AJ2529" i="1"/>
  <c r="AJ2530" i="1"/>
  <c r="AJ2531" i="1"/>
  <c r="AJ2532" i="1"/>
  <c r="AJ2533" i="1"/>
  <c r="AJ2534" i="1"/>
  <c r="AJ2535" i="1"/>
  <c r="AJ2536" i="1"/>
  <c r="AJ2537" i="1"/>
  <c r="AJ2538" i="1"/>
  <c r="AJ2539" i="1"/>
  <c r="AJ2540" i="1"/>
  <c r="AJ2541" i="1"/>
  <c r="AJ2542" i="1"/>
  <c r="AJ2543" i="1"/>
  <c r="AJ2544" i="1"/>
  <c r="AJ2545" i="1"/>
  <c r="AJ2546" i="1"/>
  <c r="AJ2547" i="1"/>
  <c r="AJ2548" i="1"/>
  <c r="AJ2549" i="1"/>
  <c r="AJ2550" i="1"/>
  <c r="AJ2551" i="1"/>
  <c r="AJ2552" i="1"/>
  <c r="AJ2553" i="1"/>
  <c r="AJ2554" i="1"/>
  <c r="AJ2555" i="1"/>
  <c r="AJ2556" i="1"/>
  <c r="AJ2557" i="1"/>
  <c r="AJ2558" i="1"/>
  <c r="AJ2559" i="1"/>
  <c r="AJ2560" i="1"/>
  <c r="AJ2561" i="1"/>
  <c r="AJ2562" i="1"/>
  <c r="AJ2563" i="1"/>
  <c r="AJ2564" i="1"/>
  <c r="AJ2565" i="1"/>
  <c r="AJ2566" i="1"/>
  <c r="AJ2567" i="1"/>
  <c r="AJ2568" i="1"/>
  <c r="AJ2569" i="1"/>
  <c r="AJ2570" i="1"/>
  <c r="AJ2571" i="1"/>
  <c r="AJ2572" i="1"/>
  <c r="AJ2573" i="1"/>
  <c r="AJ2574" i="1"/>
  <c r="AJ2575" i="1"/>
  <c r="AJ2576" i="1"/>
  <c r="AJ2577" i="1"/>
  <c r="AJ2578" i="1"/>
  <c r="AJ2579" i="1"/>
  <c r="AJ2580" i="1"/>
  <c r="AJ2581" i="1"/>
  <c r="AJ2582" i="1"/>
  <c r="AJ2583" i="1"/>
  <c r="AJ2584" i="1"/>
  <c r="AJ2585" i="1"/>
  <c r="AJ2586" i="1"/>
  <c r="AJ2587" i="1"/>
  <c r="AJ2588" i="1"/>
  <c r="AJ2589" i="1"/>
  <c r="AJ2590" i="1"/>
  <c r="AJ2591" i="1"/>
  <c r="AJ2592" i="1"/>
  <c r="AJ2593" i="1"/>
  <c r="AJ2594" i="1"/>
  <c r="AJ2595" i="1"/>
  <c r="AJ2596" i="1"/>
  <c r="AJ2597" i="1"/>
  <c r="AJ2598" i="1"/>
  <c r="AJ2599" i="1"/>
  <c r="AJ2600" i="1"/>
  <c r="AJ2601" i="1"/>
  <c r="AJ2602" i="1"/>
  <c r="AJ2603" i="1"/>
  <c r="AJ2604" i="1"/>
  <c r="AJ2605" i="1"/>
  <c r="AJ2606" i="1"/>
  <c r="AJ2607" i="1"/>
  <c r="AJ2608" i="1"/>
  <c r="AJ2609" i="1"/>
  <c r="AJ2610" i="1"/>
  <c r="AJ2611" i="1"/>
  <c r="AJ2612" i="1"/>
  <c r="AJ2613" i="1"/>
  <c r="AJ2614" i="1"/>
  <c r="AJ2615" i="1"/>
  <c r="AJ2616" i="1"/>
  <c r="AJ2617" i="1"/>
  <c r="AJ2618" i="1"/>
  <c r="AJ2619" i="1"/>
  <c r="AJ2620" i="1"/>
  <c r="AJ2621" i="1"/>
  <c r="AJ2622" i="1"/>
  <c r="AJ2623" i="1"/>
  <c r="AJ2624" i="1"/>
  <c r="AJ2625" i="1"/>
  <c r="AJ2626" i="1"/>
  <c r="AJ2627" i="1"/>
  <c r="AJ2628" i="1"/>
  <c r="AJ2629" i="1"/>
  <c r="AJ2630" i="1"/>
  <c r="AJ2631" i="1"/>
  <c r="AJ2632" i="1"/>
  <c r="AJ2633" i="1"/>
  <c r="AJ2634" i="1"/>
  <c r="AJ2635" i="1"/>
  <c r="AJ2636" i="1"/>
  <c r="AJ2637" i="1"/>
  <c r="AJ2638" i="1"/>
  <c r="AJ2639" i="1"/>
  <c r="AJ2640" i="1"/>
  <c r="AJ2641" i="1"/>
  <c r="AJ2642" i="1"/>
  <c r="AJ2643" i="1"/>
  <c r="AJ2644" i="1"/>
  <c r="AJ2645" i="1"/>
  <c r="AJ2646" i="1"/>
  <c r="AJ2647" i="1"/>
  <c r="AJ2648" i="1"/>
  <c r="AJ2649" i="1"/>
  <c r="AJ2650" i="1"/>
  <c r="AJ2651" i="1"/>
  <c r="AJ2652" i="1"/>
  <c r="AJ2653" i="1"/>
  <c r="AJ2654" i="1"/>
  <c r="AJ2655" i="1"/>
  <c r="AJ2656" i="1"/>
  <c r="AJ2657" i="1"/>
  <c r="AJ2658" i="1"/>
  <c r="AJ2659" i="1"/>
  <c r="AJ2660" i="1"/>
  <c r="AJ2661" i="1"/>
  <c r="AJ2662" i="1"/>
  <c r="AJ2663" i="1"/>
  <c r="AJ2664" i="1"/>
  <c r="AJ2665" i="1"/>
  <c r="AJ2666" i="1"/>
  <c r="AJ2667" i="1"/>
  <c r="AJ2668" i="1"/>
  <c r="AJ2669" i="1"/>
  <c r="AJ2670" i="1"/>
  <c r="AJ2671" i="1"/>
  <c r="AJ2672" i="1"/>
  <c r="AJ2673" i="1"/>
  <c r="AJ2674" i="1"/>
  <c r="AJ2675" i="1"/>
  <c r="AJ2676" i="1"/>
  <c r="AJ2677" i="1"/>
  <c r="AJ2678" i="1"/>
  <c r="AJ2679" i="1"/>
  <c r="AJ2680" i="1"/>
  <c r="AJ2681" i="1"/>
  <c r="AJ2682" i="1"/>
  <c r="AJ2683" i="1"/>
  <c r="AJ2684" i="1"/>
  <c r="AJ2685" i="1"/>
  <c r="AJ2686" i="1"/>
  <c r="AJ2687" i="1"/>
  <c r="AJ2688" i="1"/>
  <c r="AJ2689" i="1"/>
  <c r="AJ2690" i="1"/>
  <c r="AJ2691" i="1"/>
  <c r="AJ2692" i="1"/>
  <c r="AJ2693" i="1"/>
  <c r="AJ2694" i="1"/>
  <c r="AJ2695" i="1"/>
  <c r="AJ2696" i="1"/>
  <c r="AJ2697" i="1"/>
  <c r="AJ2698" i="1"/>
  <c r="AJ2699" i="1"/>
  <c r="AJ2700" i="1"/>
  <c r="AJ2701" i="1"/>
  <c r="AJ2702" i="1"/>
  <c r="AJ2703" i="1"/>
  <c r="AJ2704" i="1"/>
  <c r="AJ2705" i="1"/>
  <c r="AJ2706" i="1"/>
  <c r="AJ2707" i="1"/>
  <c r="AJ2708" i="1"/>
  <c r="AJ2709" i="1"/>
  <c r="AJ2710" i="1"/>
  <c r="AJ2711" i="1"/>
  <c r="AJ2712" i="1"/>
  <c r="AJ2713" i="1"/>
  <c r="AJ2714" i="1"/>
  <c r="AJ2715" i="1"/>
  <c r="AJ2716" i="1"/>
  <c r="AJ2717" i="1"/>
  <c r="AJ2718" i="1"/>
  <c r="AJ2719" i="1"/>
  <c r="AJ2720" i="1"/>
  <c r="AJ2721" i="1"/>
  <c r="AJ2722" i="1"/>
  <c r="AJ2723" i="1"/>
  <c r="AJ2724" i="1"/>
  <c r="AJ2725" i="1"/>
  <c r="AJ2726" i="1"/>
  <c r="AJ2727" i="1"/>
  <c r="AJ2728" i="1"/>
  <c r="AJ2729" i="1"/>
  <c r="AJ2730" i="1"/>
  <c r="AJ2731" i="1"/>
  <c r="AJ2732" i="1"/>
  <c r="AJ2733" i="1"/>
  <c r="AJ2734" i="1"/>
  <c r="AJ2735" i="1"/>
  <c r="AJ2736" i="1"/>
  <c r="AJ2737" i="1"/>
  <c r="AJ2738" i="1"/>
  <c r="AJ2739" i="1"/>
  <c r="AJ2740" i="1"/>
  <c r="AJ2741" i="1"/>
  <c r="AJ2742" i="1"/>
  <c r="AJ2743" i="1"/>
  <c r="AJ2744" i="1"/>
  <c r="AJ2745" i="1"/>
  <c r="AJ2746" i="1"/>
  <c r="AJ2747" i="1"/>
  <c r="AJ2748" i="1"/>
  <c r="AJ2749" i="1"/>
  <c r="AJ2750" i="1"/>
  <c r="AJ2751" i="1"/>
  <c r="AJ2752" i="1"/>
  <c r="AJ2753" i="1"/>
  <c r="AJ2754" i="1"/>
  <c r="AJ2755" i="1"/>
  <c r="AJ2756" i="1"/>
  <c r="AJ2757" i="1"/>
  <c r="AJ2758" i="1"/>
  <c r="AJ2759" i="1"/>
  <c r="AJ2760" i="1"/>
  <c r="AJ2761" i="1"/>
  <c r="AJ2762" i="1"/>
  <c r="AJ2763" i="1"/>
  <c r="AJ2764" i="1"/>
  <c r="AJ2765" i="1"/>
  <c r="AJ2766" i="1"/>
  <c r="AJ2767" i="1"/>
  <c r="AJ2768" i="1"/>
  <c r="AJ2769" i="1"/>
  <c r="AJ2770" i="1"/>
  <c r="AJ2771" i="1"/>
  <c r="AJ2772" i="1"/>
  <c r="AJ2773" i="1"/>
  <c r="AJ2774" i="1"/>
  <c r="AJ2775" i="1"/>
  <c r="AJ2776" i="1"/>
  <c r="AJ2777" i="1"/>
  <c r="AJ2778" i="1"/>
  <c r="AJ2779" i="1"/>
  <c r="AJ2780" i="1"/>
  <c r="AJ2781" i="1"/>
  <c r="AJ2782" i="1"/>
  <c r="AJ2783" i="1"/>
  <c r="AJ2784" i="1"/>
  <c r="AJ2785" i="1"/>
  <c r="AJ2786" i="1"/>
  <c r="AJ2787" i="1"/>
  <c r="AJ2788" i="1"/>
  <c r="AJ2789" i="1"/>
  <c r="AJ2790" i="1"/>
  <c r="AJ2791" i="1"/>
  <c r="AJ2792"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29" i="1"/>
  <c r="AJ2830" i="1"/>
  <c r="AJ2831" i="1"/>
  <c r="AJ2832" i="1"/>
  <c r="AJ2833" i="1"/>
  <c r="AJ2834" i="1"/>
  <c r="AJ2835" i="1"/>
  <c r="AJ2836" i="1"/>
  <c r="AJ2837" i="1"/>
  <c r="AJ2838" i="1"/>
  <c r="AJ2839" i="1"/>
  <c r="AJ2840" i="1"/>
  <c r="AJ2841" i="1"/>
  <c r="AJ2842" i="1"/>
  <c r="AJ2843" i="1"/>
  <c r="AJ2844" i="1"/>
  <c r="AJ2845" i="1"/>
  <c r="AJ2846" i="1"/>
  <c r="AJ2847" i="1"/>
  <c r="AJ2848" i="1"/>
  <c r="AJ2849" i="1"/>
  <c r="AJ2850" i="1"/>
  <c r="AJ2851" i="1"/>
  <c r="AJ2852" i="1"/>
  <c r="AJ2853" i="1"/>
  <c r="AJ2854" i="1"/>
  <c r="AJ2855" i="1"/>
  <c r="AJ2856" i="1"/>
  <c r="AJ2857" i="1"/>
  <c r="AJ2858" i="1"/>
  <c r="AJ2859" i="1"/>
  <c r="AJ2860"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3" i="1"/>
  <c r="AJ2894" i="1"/>
  <c r="AJ2895" i="1"/>
  <c r="AJ2896" i="1"/>
  <c r="AJ2897" i="1"/>
  <c r="AJ2898" i="1"/>
  <c r="AJ2899" i="1"/>
  <c r="AJ2900" i="1"/>
  <c r="AJ2901" i="1"/>
  <c r="AJ2902" i="1"/>
  <c r="AJ2903" i="1"/>
  <c r="AJ2904" i="1"/>
  <c r="AJ2905" i="1"/>
  <c r="AJ2906" i="1"/>
  <c r="AJ2907" i="1"/>
  <c r="AJ2908" i="1"/>
  <c r="AJ2909" i="1"/>
  <c r="AJ2910" i="1"/>
  <c r="AJ2911" i="1"/>
  <c r="AJ2912" i="1"/>
  <c r="AJ2913" i="1"/>
  <c r="AJ2914" i="1"/>
  <c r="AJ2915" i="1"/>
  <c r="AJ2916" i="1"/>
  <c r="AJ2917" i="1"/>
  <c r="AJ2918" i="1"/>
  <c r="AJ2919" i="1"/>
  <c r="AJ2920" i="1"/>
  <c r="AJ2921" i="1"/>
  <c r="AJ2922" i="1"/>
  <c r="AJ2923" i="1"/>
  <c r="AJ2924" i="1"/>
  <c r="AJ2925" i="1"/>
  <c r="AJ2926" i="1"/>
  <c r="AJ2927" i="1"/>
  <c r="AJ2928" i="1"/>
  <c r="AJ2929" i="1"/>
  <c r="AJ2930" i="1"/>
  <c r="AJ2931" i="1"/>
  <c r="AJ2932" i="1"/>
  <c r="AJ2933" i="1"/>
  <c r="AJ2934" i="1"/>
  <c r="AJ2935" i="1"/>
  <c r="AJ2936" i="1"/>
  <c r="AJ2937" i="1"/>
  <c r="AJ2938" i="1"/>
  <c r="AJ2939" i="1"/>
  <c r="AJ2940" i="1"/>
  <c r="AJ2941" i="1"/>
  <c r="AJ2942" i="1"/>
  <c r="AJ2943" i="1"/>
  <c r="AJ2944" i="1"/>
  <c r="AJ2945" i="1"/>
  <c r="AJ2946" i="1"/>
  <c r="AJ2947" i="1"/>
  <c r="AJ2948" i="1"/>
  <c r="AJ2949" i="1"/>
  <c r="AJ2950" i="1"/>
  <c r="AJ2951" i="1"/>
  <c r="AJ2952" i="1"/>
  <c r="AJ2953" i="1"/>
  <c r="AJ2954" i="1"/>
  <c r="AJ2955" i="1"/>
  <c r="AJ2956" i="1"/>
  <c r="AJ2957" i="1"/>
  <c r="AJ2958" i="1"/>
  <c r="AJ2959" i="1"/>
  <c r="AJ2960" i="1"/>
  <c r="AJ2961" i="1"/>
  <c r="AJ2962" i="1"/>
  <c r="AJ2963" i="1"/>
  <c r="AJ2964" i="1"/>
  <c r="AJ2965" i="1"/>
  <c r="AJ2966" i="1"/>
  <c r="AJ2967" i="1"/>
  <c r="AJ2968" i="1"/>
  <c r="AJ2969" i="1"/>
  <c r="AJ2970" i="1"/>
  <c r="AJ2971" i="1"/>
  <c r="AJ2972" i="1"/>
  <c r="AJ2973" i="1"/>
  <c r="AJ2974" i="1"/>
  <c r="AJ2975" i="1"/>
  <c r="AJ2976" i="1"/>
  <c r="AJ2977" i="1"/>
  <c r="AJ2978" i="1"/>
  <c r="AJ2979" i="1"/>
  <c r="AJ2980" i="1"/>
  <c r="AJ2981" i="1"/>
  <c r="AJ2982" i="1"/>
  <c r="AJ2983" i="1"/>
  <c r="AJ2984" i="1"/>
  <c r="AJ2985" i="1"/>
  <c r="AJ2986" i="1"/>
  <c r="AJ2987" i="1"/>
  <c r="AJ2988" i="1"/>
  <c r="AJ2989" i="1"/>
  <c r="AJ2990" i="1"/>
  <c r="AJ2991" i="1"/>
  <c r="AJ2992" i="1"/>
  <c r="AJ2993" i="1"/>
  <c r="AJ2994" i="1"/>
  <c r="AJ2995" i="1"/>
  <c r="AJ2996" i="1"/>
  <c r="AJ2997" i="1"/>
  <c r="AJ2998" i="1"/>
  <c r="AJ2999" i="1"/>
  <c r="AJ3000" i="1"/>
  <c r="AJ3001" i="1"/>
  <c r="AJ3002" i="1"/>
  <c r="AJ3003" i="1"/>
  <c r="AJ3004" i="1"/>
  <c r="AJ3005" i="1"/>
  <c r="AJ3006" i="1"/>
  <c r="AJ3007" i="1"/>
  <c r="AJ3008" i="1"/>
  <c r="AJ3009" i="1"/>
  <c r="AJ3010" i="1"/>
  <c r="AJ3011" i="1"/>
  <c r="AJ3012" i="1"/>
  <c r="AJ3013" i="1"/>
  <c r="AJ3014" i="1"/>
  <c r="AJ3015" i="1"/>
  <c r="AJ3016" i="1"/>
  <c r="AJ3017" i="1"/>
  <c r="AJ3018" i="1"/>
  <c r="AJ3019" i="1"/>
  <c r="AJ3020" i="1"/>
  <c r="AJ3021" i="1"/>
  <c r="AJ3022" i="1"/>
  <c r="AJ3023" i="1"/>
  <c r="AJ3024" i="1"/>
  <c r="AJ3025" i="1"/>
  <c r="AJ3026" i="1"/>
  <c r="AJ3027" i="1"/>
  <c r="AJ3028" i="1"/>
  <c r="AJ3029" i="1"/>
  <c r="AJ3030" i="1"/>
  <c r="AJ3031" i="1"/>
  <c r="AJ3032" i="1"/>
  <c r="AJ3033" i="1"/>
  <c r="AJ3034" i="1"/>
  <c r="AJ3035" i="1"/>
  <c r="AJ3036" i="1"/>
  <c r="AJ3037" i="1"/>
  <c r="AJ3038" i="1"/>
  <c r="AJ3039" i="1"/>
  <c r="AJ3040" i="1"/>
  <c r="AJ3041" i="1"/>
  <c r="AJ3042" i="1"/>
  <c r="AJ3043" i="1"/>
  <c r="AJ3044" i="1"/>
  <c r="AJ3045" i="1"/>
  <c r="AJ3046" i="1"/>
  <c r="AJ3047" i="1"/>
  <c r="AJ3048" i="1"/>
  <c r="AJ3049" i="1"/>
  <c r="AJ3050" i="1"/>
  <c r="AJ3051" i="1"/>
  <c r="AJ3052" i="1"/>
  <c r="AJ3053" i="1"/>
  <c r="AJ3054" i="1"/>
  <c r="AJ3055" i="1"/>
  <c r="AJ3056" i="1"/>
  <c r="AJ3057" i="1"/>
  <c r="AJ3058" i="1"/>
  <c r="AJ3059" i="1"/>
  <c r="AJ3060" i="1"/>
  <c r="AJ3061" i="1"/>
  <c r="AJ3062" i="1"/>
  <c r="AJ3063" i="1"/>
  <c r="AJ3064" i="1"/>
  <c r="AJ3065" i="1"/>
  <c r="AJ3066" i="1"/>
  <c r="AJ3067" i="1"/>
  <c r="AJ3068" i="1"/>
  <c r="AJ3069" i="1"/>
  <c r="AJ3070" i="1"/>
  <c r="AJ3071" i="1"/>
  <c r="AJ3072" i="1"/>
  <c r="AJ3073" i="1"/>
  <c r="AJ3074" i="1"/>
  <c r="AJ3075" i="1"/>
  <c r="AJ3076" i="1"/>
  <c r="AJ3077" i="1"/>
  <c r="AJ3078" i="1"/>
  <c r="AJ3079" i="1"/>
  <c r="AJ3080" i="1"/>
  <c r="AJ3081" i="1"/>
  <c r="AJ3082" i="1"/>
  <c r="AJ3083" i="1"/>
  <c r="AJ3084" i="1"/>
  <c r="AJ3085" i="1"/>
  <c r="AJ3086" i="1"/>
  <c r="AJ3087" i="1"/>
  <c r="AJ3088" i="1"/>
  <c r="AJ3089" i="1"/>
  <c r="AJ3090" i="1"/>
  <c r="AJ3091" i="1"/>
  <c r="AJ3092" i="1"/>
  <c r="AJ3093" i="1"/>
  <c r="AJ3094" i="1"/>
  <c r="AJ3095" i="1"/>
  <c r="AJ3096" i="1"/>
  <c r="AJ3097" i="1"/>
  <c r="AJ3098" i="1"/>
  <c r="AJ3099" i="1"/>
  <c r="AJ3100" i="1"/>
  <c r="AJ3101" i="1"/>
  <c r="AJ3102" i="1"/>
  <c r="AJ3103" i="1"/>
  <c r="AJ3104" i="1"/>
  <c r="AJ3105" i="1"/>
  <c r="AJ3106" i="1"/>
  <c r="AJ3107" i="1"/>
  <c r="AJ3108" i="1"/>
  <c r="AJ3109" i="1"/>
  <c r="AJ3110" i="1"/>
  <c r="AJ3111" i="1"/>
  <c r="AJ3112" i="1"/>
  <c r="AJ3113" i="1"/>
  <c r="AJ3114" i="1"/>
  <c r="AJ3115" i="1"/>
  <c r="AJ3116" i="1"/>
  <c r="AJ3117" i="1"/>
  <c r="AJ3118" i="1"/>
  <c r="AJ3119" i="1"/>
  <c r="AJ3120" i="1"/>
  <c r="AJ3121" i="1"/>
  <c r="AJ3122" i="1"/>
  <c r="AJ3123" i="1"/>
  <c r="AJ3124" i="1"/>
  <c r="AJ3125" i="1"/>
  <c r="AJ3126" i="1"/>
  <c r="AJ3127" i="1"/>
  <c r="AJ3128" i="1"/>
  <c r="AJ3129" i="1"/>
  <c r="AJ3130" i="1"/>
  <c r="AJ3131" i="1"/>
  <c r="AJ3132" i="1"/>
  <c r="AJ3133" i="1"/>
  <c r="AJ3134" i="1"/>
  <c r="AJ3135" i="1"/>
  <c r="AJ3136" i="1"/>
  <c r="AJ3137" i="1"/>
  <c r="AJ3138" i="1"/>
  <c r="AJ3139" i="1"/>
  <c r="AJ3140" i="1"/>
  <c r="AJ3141" i="1"/>
  <c r="AJ3142" i="1"/>
  <c r="AJ3143" i="1"/>
  <c r="AJ3144" i="1"/>
  <c r="AJ3145" i="1"/>
  <c r="AJ3146" i="1"/>
  <c r="AJ3147" i="1"/>
  <c r="AJ3148" i="1"/>
  <c r="AJ3149" i="1"/>
  <c r="AJ3150" i="1"/>
  <c r="AJ3151" i="1"/>
  <c r="AJ3152" i="1"/>
  <c r="AJ3153" i="1"/>
  <c r="AJ3154" i="1"/>
  <c r="AJ3155" i="1"/>
  <c r="AJ3156" i="1"/>
  <c r="AJ3157" i="1"/>
  <c r="AJ3158" i="1"/>
  <c r="AJ3159" i="1"/>
  <c r="AJ3160" i="1"/>
  <c r="AJ3161" i="1"/>
  <c r="AJ3162" i="1"/>
  <c r="AJ3163" i="1"/>
  <c r="AJ3164" i="1"/>
  <c r="AJ3165" i="1"/>
  <c r="AJ3166" i="1"/>
  <c r="AJ3167" i="1"/>
  <c r="AJ3168" i="1"/>
  <c r="AJ3169" i="1"/>
  <c r="AJ3170" i="1"/>
  <c r="AJ3171" i="1"/>
  <c r="AJ3172" i="1"/>
  <c r="AJ3173" i="1"/>
  <c r="AJ3174" i="1"/>
  <c r="AJ3175" i="1"/>
  <c r="AJ3176" i="1"/>
  <c r="AJ3177" i="1"/>
  <c r="AJ3178" i="1"/>
  <c r="AJ3179" i="1"/>
  <c r="AJ3180" i="1"/>
  <c r="AJ3181" i="1"/>
  <c r="AJ3182" i="1"/>
  <c r="AJ3183" i="1"/>
  <c r="AJ3184" i="1"/>
  <c r="AJ3185" i="1"/>
  <c r="AJ3186" i="1"/>
  <c r="AJ3187" i="1"/>
  <c r="AJ3188" i="1"/>
  <c r="AJ3189" i="1"/>
  <c r="AJ3190" i="1"/>
  <c r="AJ3191" i="1"/>
  <c r="AJ3192" i="1"/>
  <c r="AJ3193" i="1"/>
  <c r="AJ3194" i="1"/>
  <c r="AJ3195" i="1"/>
  <c r="AJ3196" i="1"/>
  <c r="AJ3197" i="1"/>
  <c r="AJ3198" i="1"/>
  <c r="AJ3199" i="1"/>
  <c r="AJ3200" i="1"/>
  <c r="AJ3201" i="1"/>
  <c r="AJ3202" i="1"/>
  <c r="AJ3203" i="1"/>
  <c r="AJ3204" i="1"/>
  <c r="AJ3205" i="1"/>
  <c r="AJ3206" i="1"/>
  <c r="AJ3207" i="1"/>
  <c r="AJ3208" i="1"/>
  <c r="AJ3209" i="1"/>
  <c r="AJ3210" i="1"/>
  <c r="AJ3211" i="1"/>
  <c r="AJ3212" i="1"/>
  <c r="AJ3213" i="1"/>
  <c r="AJ3214" i="1"/>
  <c r="AJ3215" i="1"/>
  <c r="AJ3216" i="1"/>
  <c r="AJ3217" i="1"/>
  <c r="AJ3218" i="1"/>
  <c r="AJ3219" i="1"/>
  <c r="AJ3220" i="1"/>
  <c r="AJ3221" i="1"/>
  <c r="AJ3222" i="1"/>
  <c r="AJ3223" i="1"/>
  <c r="AJ3224" i="1"/>
  <c r="AJ3225" i="1"/>
  <c r="AJ3226" i="1"/>
  <c r="AJ3227" i="1"/>
  <c r="AJ3228" i="1"/>
  <c r="AJ3229" i="1"/>
  <c r="AJ3230" i="1"/>
  <c r="AJ3231" i="1"/>
  <c r="AJ3232" i="1"/>
  <c r="AJ3233" i="1"/>
  <c r="AJ3234" i="1"/>
  <c r="AJ3235" i="1"/>
  <c r="AJ3236" i="1"/>
  <c r="AJ3237" i="1"/>
  <c r="AJ3238" i="1"/>
  <c r="AJ3239" i="1"/>
  <c r="AJ3240" i="1"/>
  <c r="AJ3241" i="1"/>
  <c r="AJ3242" i="1"/>
  <c r="AJ3243" i="1"/>
  <c r="AJ3244" i="1"/>
  <c r="AJ3245" i="1"/>
  <c r="AJ3246" i="1"/>
  <c r="AJ3247" i="1"/>
  <c r="AJ3248" i="1"/>
  <c r="AJ3249" i="1"/>
  <c r="AJ3250" i="1"/>
  <c r="AJ3251" i="1"/>
  <c r="AJ3252" i="1"/>
  <c r="AJ3253" i="1"/>
  <c r="AJ3254" i="1"/>
  <c r="AJ3255" i="1"/>
  <c r="AJ3256" i="1"/>
  <c r="AJ3257" i="1"/>
  <c r="AJ3258" i="1"/>
  <c r="AJ3259" i="1"/>
  <c r="AJ3260" i="1"/>
  <c r="AJ3261" i="1"/>
  <c r="AJ3262" i="1"/>
  <c r="AJ3263" i="1"/>
  <c r="AJ3264" i="1"/>
  <c r="AJ3265" i="1"/>
  <c r="AJ3266" i="1"/>
  <c r="AJ3267" i="1"/>
  <c r="AJ3268" i="1"/>
  <c r="AJ3269" i="1"/>
  <c r="AJ3270" i="1"/>
  <c r="AJ3271" i="1"/>
  <c r="AJ3272" i="1"/>
  <c r="AJ3273" i="1"/>
  <c r="AJ3274" i="1"/>
  <c r="AJ3275" i="1"/>
  <c r="AJ3276" i="1"/>
  <c r="AJ3277" i="1"/>
  <c r="AJ3278" i="1"/>
  <c r="AJ3279" i="1"/>
  <c r="AJ3280" i="1"/>
  <c r="AJ3281" i="1"/>
  <c r="AJ3282" i="1"/>
  <c r="AJ3283" i="1"/>
  <c r="AJ3284" i="1"/>
  <c r="AJ3285" i="1"/>
  <c r="AJ3286" i="1"/>
  <c r="AJ3287" i="1"/>
  <c r="AJ3288" i="1"/>
  <c r="AJ3289" i="1"/>
  <c r="AJ3290" i="1"/>
  <c r="AJ3291" i="1"/>
  <c r="AJ3292" i="1"/>
  <c r="AJ3293" i="1"/>
  <c r="AJ3294" i="1"/>
  <c r="AJ3295" i="1"/>
  <c r="AJ3296" i="1"/>
  <c r="AJ3297" i="1"/>
  <c r="AJ3298" i="1"/>
  <c r="AJ3299" i="1"/>
  <c r="AJ3300" i="1"/>
  <c r="AJ3301" i="1"/>
  <c r="AJ3302" i="1"/>
  <c r="AJ3303" i="1"/>
  <c r="AJ3304" i="1"/>
  <c r="AJ3305" i="1"/>
  <c r="AJ3306" i="1"/>
  <c r="AJ3307" i="1"/>
  <c r="AJ3308" i="1"/>
  <c r="AJ3309" i="1"/>
  <c r="AJ3310" i="1"/>
  <c r="AJ3311" i="1"/>
  <c r="AJ3312" i="1"/>
  <c r="AJ3313" i="1"/>
  <c r="AJ3314" i="1"/>
  <c r="AJ3315" i="1"/>
  <c r="AJ3316" i="1"/>
  <c r="AJ3317" i="1"/>
  <c r="AJ3318" i="1"/>
  <c r="AJ3319" i="1"/>
  <c r="AJ3320" i="1"/>
  <c r="AJ3321" i="1"/>
  <c r="AJ3322" i="1"/>
  <c r="AJ3323" i="1"/>
  <c r="AJ3324" i="1"/>
  <c r="AJ3325" i="1"/>
  <c r="AJ3326" i="1"/>
  <c r="AJ3327" i="1"/>
  <c r="AJ3328" i="1"/>
  <c r="AJ3329" i="1"/>
  <c r="AJ3330" i="1"/>
  <c r="AJ3331" i="1"/>
  <c r="AJ3332" i="1"/>
  <c r="AJ3333" i="1"/>
  <c r="AJ3334" i="1"/>
  <c r="AJ3335" i="1"/>
  <c r="AJ3336" i="1"/>
  <c r="AJ3337" i="1"/>
  <c r="AJ3338" i="1"/>
  <c r="AJ3339" i="1"/>
  <c r="AJ3340" i="1"/>
  <c r="AJ3341" i="1"/>
  <c r="AJ3342" i="1"/>
  <c r="AJ3343" i="1"/>
  <c r="AJ3344" i="1"/>
  <c r="AJ3345" i="1"/>
  <c r="AJ3346" i="1"/>
  <c r="AJ3347" i="1"/>
  <c r="AJ3348" i="1"/>
  <c r="AJ3349" i="1"/>
  <c r="AJ3350" i="1"/>
  <c r="AJ3351" i="1"/>
  <c r="AJ3352" i="1"/>
  <c r="AJ3353" i="1"/>
  <c r="AJ3354" i="1"/>
  <c r="AJ3355" i="1"/>
  <c r="AJ3356" i="1"/>
  <c r="AJ3357" i="1"/>
  <c r="AJ3358" i="1"/>
  <c r="AJ3359" i="1"/>
  <c r="AJ3360" i="1"/>
  <c r="AJ3361" i="1"/>
  <c r="AJ3362" i="1"/>
  <c r="AJ3363" i="1"/>
  <c r="AJ3364" i="1"/>
  <c r="AJ3365" i="1"/>
  <c r="AJ3366" i="1"/>
  <c r="AJ3367" i="1"/>
  <c r="AJ3368" i="1"/>
  <c r="AJ3369" i="1"/>
  <c r="AJ3370" i="1"/>
  <c r="AJ3371" i="1"/>
  <c r="AJ3372" i="1"/>
  <c r="AJ3373" i="1"/>
  <c r="AJ3374" i="1"/>
  <c r="AJ3375" i="1"/>
  <c r="AJ3376" i="1"/>
  <c r="AJ3377" i="1"/>
  <c r="AJ3378" i="1"/>
  <c r="AJ3379" i="1"/>
  <c r="AJ3380" i="1"/>
  <c r="AJ3381" i="1"/>
  <c r="AJ3382" i="1"/>
  <c r="AJ3383" i="1"/>
  <c r="AJ3384" i="1"/>
  <c r="AJ3385" i="1"/>
  <c r="AJ3386" i="1"/>
  <c r="AJ3387" i="1"/>
  <c r="AJ3388" i="1"/>
  <c r="AJ3389" i="1"/>
  <c r="AJ3390" i="1"/>
  <c r="AJ3391" i="1"/>
  <c r="AJ3392" i="1"/>
  <c r="AJ3393" i="1"/>
  <c r="AJ3394" i="1"/>
  <c r="AJ3395" i="1"/>
  <c r="AJ3396" i="1"/>
  <c r="AJ3397" i="1"/>
  <c r="AJ3398" i="1"/>
  <c r="AJ3399" i="1"/>
  <c r="AJ3400" i="1"/>
  <c r="AJ3401" i="1"/>
  <c r="AJ3402" i="1"/>
  <c r="AJ3403" i="1"/>
  <c r="AJ3404" i="1"/>
  <c r="AJ3405" i="1"/>
  <c r="AJ3406" i="1"/>
  <c r="AJ3407" i="1"/>
  <c r="AJ3408" i="1"/>
  <c r="AJ3409" i="1"/>
  <c r="AJ3410" i="1"/>
  <c r="AJ3411" i="1"/>
  <c r="AJ3412" i="1"/>
  <c r="AJ3413" i="1"/>
  <c r="AJ3414" i="1"/>
  <c r="AJ3415" i="1"/>
  <c r="AJ3416" i="1"/>
  <c r="AJ3417" i="1"/>
  <c r="AJ3418" i="1"/>
  <c r="AJ3419" i="1"/>
  <c r="AJ3420" i="1"/>
  <c r="AJ3421" i="1"/>
  <c r="AJ3422" i="1"/>
  <c r="AJ3423" i="1"/>
  <c r="AJ3424" i="1"/>
  <c r="AJ3425" i="1"/>
  <c r="AJ3426" i="1"/>
  <c r="AJ3427" i="1"/>
  <c r="AJ3428" i="1"/>
  <c r="AJ3429" i="1"/>
  <c r="AJ3430" i="1"/>
  <c r="AJ3431" i="1"/>
  <c r="AJ3432" i="1"/>
  <c r="AJ3433" i="1"/>
  <c r="AJ3434" i="1"/>
  <c r="AJ3435" i="1"/>
  <c r="AJ3436" i="1"/>
  <c r="AJ3437" i="1"/>
  <c r="AJ3438" i="1"/>
  <c r="AJ3439" i="1"/>
  <c r="AJ3440" i="1"/>
  <c r="AJ3441" i="1"/>
  <c r="AJ3442" i="1"/>
  <c r="AJ3443" i="1"/>
  <c r="AJ3444" i="1"/>
  <c r="AJ3445" i="1"/>
  <c r="AJ3446" i="1"/>
  <c r="AJ3447" i="1"/>
  <c r="AJ3448" i="1"/>
  <c r="AJ3449" i="1"/>
  <c r="AJ3450" i="1"/>
  <c r="AJ3451" i="1"/>
  <c r="AJ3452" i="1"/>
  <c r="AJ3453" i="1"/>
  <c r="AJ3454" i="1"/>
  <c r="AJ3455" i="1"/>
  <c r="AJ3456" i="1"/>
  <c r="AJ3457" i="1"/>
  <c r="AJ3458" i="1"/>
  <c r="AJ3459" i="1"/>
  <c r="AJ3460" i="1"/>
  <c r="AJ3461" i="1"/>
  <c r="AJ3462" i="1"/>
  <c r="AJ3463" i="1"/>
  <c r="AJ3464" i="1"/>
  <c r="AJ3465" i="1"/>
  <c r="AJ3466" i="1"/>
  <c r="AJ3467" i="1"/>
  <c r="AJ3468" i="1"/>
  <c r="AJ3469" i="1"/>
  <c r="AJ3470" i="1"/>
  <c r="AJ3471" i="1"/>
  <c r="AJ3472" i="1"/>
  <c r="AJ3473" i="1"/>
  <c r="AJ3474" i="1"/>
  <c r="AJ3475" i="1"/>
  <c r="AJ3476" i="1"/>
  <c r="AJ3477" i="1"/>
  <c r="AJ3478" i="1"/>
  <c r="AJ3479" i="1"/>
  <c r="AJ3480" i="1"/>
  <c r="AJ3481" i="1"/>
  <c r="AJ3482" i="1"/>
  <c r="AJ3483" i="1"/>
  <c r="AJ3484" i="1"/>
  <c r="AJ3485" i="1"/>
  <c r="AJ3486" i="1"/>
  <c r="AJ3487" i="1"/>
  <c r="AJ3488" i="1"/>
  <c r="AJ3489" i="1"/>
  <c r="AJ3490" i="1"/>
  <c r="AJ3491" i="1"/>
  <c r="AJ3492" i="1"/>
  <c r="AJ3493" i="1"/>
  <c r="AJ3494" i="1"/>
  <c r="AJ3495" i="1"/>
  <c r="AJ3496" i="1"/>
  <c r="AJ3497" i="1"/>
  <c r="AJ3498" i="1"/>
  <c r="AJ3499" i="1"/>
  <c r="AJ3500" i="1"/>
  <c r="AJ3501" i="1"/>
  <c r="AJ3502" i="1"/>
  <c r="AJ3503" i="1"/>
  <c r="AJ3504" i="1"/>
  <c r="AJ3505" i="1"/>
  <c r="AJ3506" i="1"/>
  <c r="AJ3507" i="1"/>
  <c r="AJ3508" i="1"/>
  <c r="AJ3509" i="1"/>
  <c r="AJ3510" i="1"/>
  <c r="AJ3511" i="1"/>
  <c r="AJ3512" i="1"/>
  <c r="AJ3513" i="1"/>
  <c r="AJ3514" i="1"/>
  <c r="AJ3515" i="1"/>
  <c r="AJ3516" i="1"/>
  <c r="AJ3517" i="1"/>
  <c r="AJ3518" i="1"/>
  <c r="AJ3519" i="1"/>
  <c r="AJ3520" i="1"/>
  <c r="AJ3521" i="1"/>
  <c r="AJ3522" i="1"/>
  <c r="AJ3523" i="1"/>
  <c r="AJ3524" i="1"/>
  <c r="AJ3525" i="1"/>
  <c r="AJ3526" i="1"/>
  <c r="AJ3527" i="1"/>
  <c r="AJ3528" i="1"/>
  <c r="AJ3529" i="1"/>
  <c r="AJ3530" i="1"/>
  <c r="AJ3531" i="1"/>
  <c r="AJ3532" i="1"/>
  <c r="AJ3533" i="1"/>
  <c r="AJ3534" i="1"/>
  <c r="AJ3535" i="1"/>
  <c r="AJ3536" i="1"/>
  <c r="AJ3537" i="1"/>
  <c r="AJ3538" i="1"/>
  <c r="AJ3539" i="1"/>
  <c r="AJ3540" i="1"/>
  <c r="AJ3541" i="1"/>
  <c r="AJ3542" i="1"/>
  <c r="AJ3543" i="1"/>
  <c r="AJ3544" i="1"/>
  <c r="AJ3545" i="1"/>
  <c r="AJ3546" i="1"/>
  <c r="AJ3547" i="1"/>
  <c r="AJ3548" i="1"/>
  <c r="AJ3549" i="1"/>
  <c r="AJ3550" i="1"/>
  <c r="AJ3551" i="1"/>
  <c r="AJ3552" i="1"/>
  <c r="AJ3553" i="1"/>
  <c r="AJ3554" i="1"/>
  <c r="AJ3555" i="1"/>
  <c r="AJ3556" i="1"/>
  <c r="AJ3557" i="1"/>
  <c r="AJ3558" i="1"/>
  <c r="AJ3559" i="1"/>
  <c r="AJ3560" i="1"/>
  <c r="AJ3561" i="1"/>
  <c r="AJ3562" i="1"/>
  <c r="AJ3563" i="1"/>
  <c r="AJ3564" i="1"/>
  <c r="AJ3565" i="1"/>
  <c r="AJ3566" i="1"/>
  <c r="AJ3567" i="1"/>
  <c r="AJ3568" i="1"/>
  <c r="AJ3569" i="1"/>
  <c r="AJ3570" i="1"/>
  <c r="AJ3571" i="1"/>
  <c r="AJ3572" i="1"/>
  <c r="AJ3573" i="1"/>
  <c r="AJ3574" i="1"/>
  <c r="AJ3575" i="1"/>
  <c r="AJ3576" i="1"/>
  <c r="AJ3577" i="1"/>
  <c r="AJ3578" i="1"/>
  <c r="AJ3579" i="1"/>
  <c r="AJ3580" i="1"/>
  <c r="AJ3581" i="1"/>
  <c r="AJ3582" i="1"/>
  <c r="AJ3583" i="1"/>
  <c r="AJ3584" i="1"/>
  <c r="AJ3585" i="1"/>
  <c r="AJ3586" i="1"/>
  <c r="AJ3587" i="1"/>
  <c r="AJ3588" i="1"/>
  <c r="AJ3589" i="1"/>
  <c r="AJ3590" i="1"/>
  <c r="AJ3591" i="1"/>
  <c r="AJ3592" i="1"/>
  <c r="AJ3593" i="1"/>
  <c r="AJ3594" i="1"/>
  <c r="AJ3595" i="1"/>
  <c r="AJ3596" i="1"/>
  <c r="AJ3597" i="1"/>
  <c r="AJ3598" i="1"/>
  <c r="AJ3599" i="1"/>
  <c r="AJ3600" i="1"/>
  <c r="AJ3601" i="1"/>
  <c r="AJ3602" i="1"/>
  <c r="AJ3603" i="1"/>
  <c r="AJ3604" i="1"/>
  <c r="AJ3605" i="1"/>
  <c r="AJ3606" i="1"/>
  <c r="AJ3607" i="1"/>
  <c r="AJ3608" i="1"/>
  <c r="AJ3609" i="1"/>
  <c r="AJ3610" i="1"/>
  <c r="AJ3611" i="1"/>
  <c r="AJ3612" i="1"/>
  <c r="AJ3613" i="1"/>
  <c r="AJ3614" i="1"/>
  <c r="AJ3615" i="1"/>
  <c r="AJ3616" i="1"/>
  <c r="AJ3617" i="1"/>
  <c r="AJ3618" i="1"/>
  <c r="AJ3619" i="1"/>
  <c r="AJ3620" i="1"/>
  <c r="AJ3621" i="1"/>
  <c r="AJ3622" i="1"/>
  <c r="AJ3623" i="1"/>
  <c r="AJ3624" i="1"/>
  <c r="AJ3625" i="1"/>
  <c r="AJ3626" i="1"/>
  <c r="AJ3627" i="1"/>
  <c r="AJ3628" i="1"/>
  <c r="AJ3629" i="1"/>
  <c r="AJ3630" i="1"/>
  <c r="AJ3631" i="1"/>
  <c r="AJ3632" i="1"/>
  <c r="AJ3633" i="1"/>
  <c r="AJ3634" i="1"/>
  <c r="AJ3635" i="1"/>
  <c r="AJ3636" i="1"/>
  <c r="AJ3637" i="1"/>
  <c r="AJ3638" i="1"/>
  <c r="AJ3639" i="1"/>
  <c r="AJ3640" i="1"/>
  <c r="AJ3641" i="1"/>
  <c r="AJ3642" i="1"/>
  <c r="AJ3643" i="1"/>
  <c r="AJ3644" i="1"/>
  <c r="AJ3645" i="1"/>
  <c r="AJ3646" i="1"/>
  <c r="AJ3647" i="1"/>
  <c r="AJ3648" i="1"/>
  <c r="AJ3649" i="1"/>
  <c r="AJ3650" i="1"/>
  <c r="AJ3651" i="1"/>
  <c r="AJ3652" i="1"/>
  <c r="AJ3653" i="1"/>
  <c r="AJ3654" i="1"/>
  <c r="AJ3655" i="1"/>
  <c r="AJ3656" i="1"/>
  <c r="AJ3657" i="1"/>
  <c r="AJ3658" i="1"/>
  <c r="AJ3659" i="1"/>
  <c r="AJ3660" i="1"/>
  <c r="AJ3661" i="1"/>
  <c r="AJ3662" i="1"/>
  <c r="AJ3663" i="1"/>
  <c r="AJ3664" i="1"/>
  <c r="AJ3665" i="1"/>
  <c r="AJ3666" i="1"/>
  <c r="AJ3667" i="1"/>
  <c r="AJ3668" i="1"/>
  <c r="AJ3669" i="1"/>
  <c r="AJ3670" i="1"/>
  <c r="AJ3671" i="1"/>
  <c r="AJ3672" i="1"/>
  <c r="AJ3673" i="1"/>
  <c r="AJ3674" i="1"/>
  <c r="AJ3675" i="1"/>
  <c r="AJ3676" i="1"/>
  <c r="AJ3677" i="1"/>
  <c r="AJ3678" i="1"/>
  <c r="AJ3679" i="1"/>
  <c r="AJ3680" i="1"/>
  <c r="AJ3681" i="1"/>
  <c r="AJ3682" i="1"/>
  <c r="AJ3683" i="1"/>
  <c r="AJ3684" i="1"/>
  <c r="AJ3685" i="1"/>
  <c r="AJ3686" i="1"/>
  <c r="AJ3687" i="1"/>
  <c r="AJ3688" i="1"/>
  <c r="AJ3689" i="1"/>
  <c r="AJ3690" i="1"/>
  <c r="AJ3691" i="1"/>
  <c r="AJ3692" i="1"/>
  <c r="AJ3693" i="1"/>
  <c r="AJ3694" i="1"/>
  <c r="AJ3695" i="1"/>
  <c r="AJ3696" i="1"/>
  <c r="AJ3697" i="1"/>
  <c r="AJ3698" i="1"/>
  <c r="AJ3699" i="1"/>
  <c r="AJ3700" i="1"/>
  <c r="AJ3701" i="1"/>
  <c r="AJ3702" i="1"/>
  <c r="AJ3703" i="1"/>
  <c r="AJ3704" i="1"/>
  <c r="AJ3705" i="1"/>
  <c r="AJ3706" i="1"/>
  <c r="AJ3707" i="1"/>
  <c r="AJ3708" i="1"/>
  <c r="AJ3709" i="1"/>
  <c r="AJ3710" i="1"/>
  <c r="AJ3711" i="1"/>
  <c r="AJ3712" i="1"/>
  <c r="AJ3713" i="1"/>
  <c r="AJ3714" i="1"/>
  <c r="AJ3715" i="1"/>
  <c r="AJ3716" i="1"/>
  <c r="AJ3717" i="1"/>
  <c r="AJ3718" i="1"/>
  <c r="AJ3719" i="1"/>
  <c r="AJ3720" i="1"/>
  <c r="AJ3721" i="1"/>
  <c r="AJ3722" i="1"/>
  <c r="AJ3723" i="1"/>
  <c r="AJ3724" i="1"/>
  <c r="AJ3725" i="1"/>
  <c r="AJ3726" i="1"/>
  <c r="AJ3727" i="1"/>
  <c r="AJ3728" i="1"/>
  <c r="AJ3729" i="1"/>
  <c r="AJ3730" i="1"/>
  <c r="AJ3731" i="1"/>
  <c r="AJ3732" i="1"/>
  <c r="AJ3733" i="1"/>
  <c r="AJ3734" i="1"/>
  <c r="AJ3735" i="1"/>
  <c r="AJ3736" i="1"/>
  <c r="AJ3737" i="1"/>
  <c r="AJ3738" i="1"/>
  <c r="AJ3739" i="1"/>
  <c r="AJ3740" i="1"/>
  <c r="AJ3741" i="1"/>
  <c r="AJ3742" i="1"/>
  <c r="AJ3743" i="1"/>
  <c r="AJ3744" i="1"/>
  <c r="AJ3745" i="1"/>
  <c r="AJ3746" i="1"/>
  <c r="AJ3747" i="1"/>
  <c r="AJ3748" i="1"/>
  <c r="AJ3749" i="1"/>
  <c r="AJ3750" i="1"/>
  <c r="AJ3751" i="1"/>
  <c r="AJ3752" i="1"/>
  <c r="AJ3753" i="1"/>
  <c r="AJ3754" i="1"/>
  <c r="AJ3755" i="1"/>
  <c r="AJ3756" i="1"/>
  <c r="AJ3757" i="1"/>
  <c r="AJ3758" i="1"/>
  <c r="AJ3759" i="1"/>
  <c r="AJ3760" i="1"/>
  <c r="AJ3761" i="1"/>
  <c r="AJ3762" i="1"/>
  <c r="AJ3763" i="1"/>
  <c r="AJ3764" i="1"/>
  <c r="AJ3765" i="1"/>
  <c r="AJ3766" i="1"/>
  <c r="AJ3767" i="1"/>
  <c r="AJ3768" i="1"/>
  <c r="AJ3769" i="1"/>
  <c r="AJ3770" i="1"/>
  <c r="AJ3771" i="1"/>
  <c r="AJ3772" i="1"/>
  <c r="AJ3773" i="1"/>
  <c r="AJ3774" i="1"/>
  <c r="AJ3775" i="1"/>
  <c r="AJ3776" i="1"/>
  <c r="AJ3777" i="1"/>
  <c r="AJ3778" i="1"/>
  <c r="AJ3779" i="1"/>
  <c r="AJ3780" i="1"/>
  <c r="AJ3781" i="1"/>
  <c r="AJ3782" i="1"/>
  <c r="AJ3783" i="1"/>
  <c r="AJ3784" i="1"/>
  <c r="AJ3785" i="1"/>
  <c r="AJ3786" i="1"/>
  <c r="AJ3787" i="1"/>
  <c r="AJ3788" i="1"/>
  <c r="AJ3789" i="1"/>
  <c r="AJ3790" i="1"/>
  <c r="AJ3791" i="1"/>
  <c r="AJ3792" i="1"/>
  <c r="AJ3793" i="1"/>
  <c r="AJ3794" i="1"/>
  <c r="AJ3795" i="1"/>
  <c r="AJ3796" i="1"/>
  <c r="AJ3797" i="1"/>
  <c r="AJ3798" i="1"/>
  <c r="AJ3799" i="1"/>
  <c r="AJ3800" i="1"/>
  <c r="AJ3801" i="1"/>
  <c r="AJ3802" i="1"/>
  <c r="AJ3803" i="1"/>
  <c r="AJ3804" i="1"/>
  <c r="AJ3805" i="1"/>
  <c r="AJ3806" i="1"/>
  <c r="AJ3807" i="1"/>
  <c r="AJ3808" i="1"/>
  <c r="AJ3809" i="1"/>
  <c r="AJ3810" i="1"/>
  <c r="AJ3811" i="1"/>
  <c r="AJ3812" i="1"/>
  <c r="AJ3813" i="1"/>
  <c r="AJ3814" i="1"/>
  <c r="AJ3815" i="1"/>
  <c r="AJ3816" i="1"/>
  <c r="AJ3817" i="1"/>
  <c r="AJ3818" i="1"/>
  <c r="AJ3819" i="1"/>
  <c r="AJ3820" i="1"/>
  <c r="AJ3821" i="1"/>
  <c r="AJ3822" i="1"/>
  <c r="AJ3823" i="1"/>
  <c r="AJ3824" i="1"/>
  <c r="AJ3825" i="1"/>
  <c r="AJ3826" i="1"/>
  <c r="AJ3827" i="1"/>
  <c r="AJ3828" i="1"/>
  <c r="AJ3829" i="1"/>
  <c r="AJ3830" i="1"/>
  <c r="AJ3831" i="1"/>
  <c r="AJ3832" i="1"/>
  <c r="AJ3833" i="1"/>
  <c r="AJ3834" i="1"/>
  <c r="AJ3835" i="1"/>
  <c r="AJ3836" i="1"/>
  <c r="AJ3837" i="1"/>
  <c r="AJ3838" i="1"/>
  <c r="AJ3839" i="1"/>
  <c r="AJ3840" i="1"/>
  <c r="AJ3841" i="1"/>
  <c r="AJ3842" i="1"/>
  <c r="AJ3843" i="1"/>
  <c r="AJ3844" i="1"/>
  <c r="AJ3845" i="1"/>
  <c r="AJ3846" i="1"/>
  <c r="AJ3847" i="1"/>
  <c r="AJ3848" i="1"/>
  <c r="AJ3849" i="1"/>
  <c r="AJ3850" i="1"/>
  <c r="AJ3851" i="1"/>
  <c r="AJ3852" i="1"/>
  <c r="AJ3853" i="1"/>
  <c r="AJ3854" i="1"/>
  <c r="AJ3855" i="1"/>
  <c r="AJ3856" i="1"/>
  <c r="AJ3857" i="1"/>
  <c r="AJ3858" i="1"/>
  <c r="AJ3859" i="1"/>
  <c r="AJ3860" i="1"/>
  <c r="AJ3861" i="1"/>
  <c r="AJ3862" i="1"/>
  <c r="AJ3863" i="1"/>
  <c r="AJ3864" i="1"/>
  <c r="AJ3865" i="1"/>
  <c r="AJ3866" i="1"/>
  <c r="AJ3867" i="1"/>
  <c r="AJ3868" i="1"/>
  <c r="AJ3869" i="1"/>
  <c r="AJ3870" i="1"/>
  <c r="AJ3871" i="1"/>
  <c r="AJ3872" i="1"/>
  <c r="AJ3873" i="1"/>
  <c r="AJ3874" i="1"/>
  <c r="AJ3875" i="1"/>
  <c r="AJ3876" i="1"/>
  <c r="AJ3877" i="1"/>
  <c r="AJ3878" i="1"/>
  <c r="AJ3879" i="1"/>
  <c r="AJ3880" i="1"/>
  <c r="AJ3881" i="1"/>
  <c r="AJ3882" i="1"/>
  <c r="AJ3883" i="1"/>
  <c r="AJ3884" i="1"/>
  <c r="AJ3885" i="1"/>
  <c r="AJ3886" i="1"/>
  <c r="AJ3887" i="1"/>
  <c r="AJ3888" i="1"/>
  <c r="AJ3889" i="1"/>
  <c r="AJ3890" i="1"/>
  <c r="AJ3891" i="1"/>
  <c r="AJ3892" i="1"/>
  <c r="AJ3893" i="1"/>
  <c r="AJ3894" i="1"/>
  <c r="AJ3895" i="1"/>
  <c r="AJ3896" i="1"/>
  <c r="AJ3897" i="1"/>
  <c r="AJ3898" i="1"/>
  <c r="AJ3899" i="1"/>
  <c r="AJ3900" i="1"/>
  <c r="AJ3901" i="1"/>
  <c r="AJ3902" i="1"/>
  <c r="AJ3903" i="1"/>
  <c r="AJ3904" i="1"/>
  <c r="AJ3905" i="1"/>
  <c r="AJ3906" i="1"/>
  <c r="AJ3907" i="1"/>
  <c r="AJ3908" i="1"/>
  <c r="AJ3909" i="1"/>
  <c r="AJ3910" i="1"/>
  <c r="AJ3911" i="1"/>
  <c r="AJ3912" i="1"/>
  <c r="AJ3913" i="1"/>
  <c r="AJ3914" i="1"/>
  <c r="AJ3915" i="1"/>
  <c r="AJ3916" i="1"/>
  <c r="AJ3917" i="1"/>
  <c r="AJ3918" i="1"/>
  <c r="AJ3919" i="1"/>
  <c r="AJ3920" i="1"/>
  <c r="AJ3921" i="1"/>
  <c r="AJ3922" i="1"/>
  <c r="AJ3923" i="1"/>
  <c r="AJ3924" i="1"/>
  <c r="AJ3925" i="1"/>
  <c r="AJ3926" i="1"/>
  <c r="AJ3927" i="1"/>
  <c r="AJ3928" i="1"/>
  <c r="AJ3929" i="1"/>
  <c r="AJ3930" i="1"/>
  <c r="AJ3931" i="1"/>
  <c r="AJ3932" i="1"/>
  <c r="AJ3933" i="1"/>
  <c r="AJ3934" i="1"/>
  <c r="AJ3935" i="1"/>
  <c r="AJ3936" i="1"/>
  <c r="AJ3937" i="1"/>
  <c r="AJ3938" i="1"/>
  <c r="AJ3939" i="1"/>
  <c r="AJ3940" i="1"/>
  <c r="AJ3941" i="1"/>
  <c r="AJ3942" i="1"/>
  <c r="AJ3943" i="1"/>
  <c r="AJ3944" i="1"/>
  <c r="AJ3945" i="1"/>
  <c r="AJ3946" i="1"/>
  <c r="AJ3947" i="1"/>
  <c r="AJ3948" i="1"/>
  <c r="AJ3949" i="1"/>
  <c r="AJ3950" i="1"/>
  <c r="AJ3951" i="1"/>
  <c r="AJ3952" i="1"/>
  <c r="AJ3953" i="1"/>
  <c r="AJ3954" i="1"/>
  <c r="AJ3955" i="1"/>
  <c r="AJ3956" i="1"/>
  <c r="AJ3957" i="1"/>
  <c r="AJ3958" i="1"/>
  <c r="AJ3959" i="1"/>
  <c r="AJ3960" i="1"/>
  <c r="AJ3961" i="1"/>
  <c r="AJ3962" i="1"/>
  <c r="AJ3963" i="1"/>
  <c r="AJ3964" i="1"/>
  <c r="AJ3965" i="1"/>
  <c r="AJ3966" i="1"/>
  <c r="AJ3967" i="1"/>
  <c r="AJ3968" i="1"/>
  <c r="AJ3969" i="1"/>
  <c r="AJ3970" i="1"/>
  <c r="AJ3971" i="1"/>
  <c r="AJ3972" i="1"/>
  <c r="AJ3973" i="1"/>
  <c r="AJ3974" i="1"/>
  <c r="AJ3975" i="1"/>
  <c r="AJ3976" i="1"/>
  <c r="AJ3977" i="1"/>
  <c r="AJ3978" i="1"/>
  <c r="AJ3979" i="1"/>
  <c r="AJ3980" i="1"/>
  <c r="AJ3981" i="1"/>
  <c r="AJ3982" i="1"/>
  <c r="AJ3983" i="1"/>
  <c r="AJ3984" i="1"/>
  <c r="AJ3985" i="1"/>
  <c r="AJ3986" i="1"/>
  <c r="AJ3987" i="1"/>
  <c r="AJ3988" i="1"/>
  <c r="AJ3989" i="1"/>
  <c r="AJ3990" i="1"/>
  <c r="AJ3991" i="1"/>
  <c r="AJ3992" i="1"/>
  <c r="AJ3993" i="1"/>
  <c r="AJ3994" i="1"/>
  <c r="AJ3995" i="1"/>
  <c r="AJ3996" i="1"/>
  <c r="AJ3997" i="1"/>
  <c r="AJ3998" i="1"/>
  <c r="AJ3999" i="1"/>
  <c r="AJ4000" i="1"/>
  <c r="AJ4001" i="1"/>
  <c r="AJ4002" i="1"/>
  <c r="AJ4003" i="1"/>
  <c r="AJ4004" i="1"/>
  <c r="AJ4005" i="1"/>
  <c r="AJ4006" i="1"/>
  <c r="AJ4007" i="1"/>
  <c r="AJ4008" i="1"/>
  <c r="AJ4009" i="1"/>
  <c r="AJ4010" i="1"/>
  <c r="AJ4011" i="1"/>
  <c r="AJ4012" i="1"/>
  <c r="AJ4013" i="1"/>
  <c r="AJ4014" i="1"/>
  <c r="AJ4015" i="1"/>
  <c r="AJ4016" i="1"/>
  <c r="AJ4017" i="1"/>
  <c r="AJ4018" i="1"/>
  <c r="AJ4019" i="1"/>
  <c r="AJ4020" i="1"/>
  <c r="AJ4021" i="1"/>
  <c r="AJ4022" i="1"/>
  <c r="AJ4023" i="1"/>
  <c r="AJ4024" i="1"/>
  <c r="AJ4025" i="1"/>
  <c r="AJ4026" i="1"/>
  <c r="AJ4027" i="1"/>
  <c r="AJ4028" i="1"/>
  <c r="AJ4029" i="1"/>
  <c r="AJ4030" i="1"/>
  <c r="AJ4031" i="1"/>
  <c r="AJ4032" i="1"/>
  <c r="AJ4033" i="1"/>
  <c r="AJ4034" i="1"/>
  <c r="AJ4035" i="1"/>
  <c r="AJ4036" i="1"/>
  <c r="AJ4037" i="1"/>
  <c r="AJ4038" i="1"/>
  <c r="AJ4039" i="1"/>
  <c r="AJ4040" i="1"/>
  <c r="AJ4041" i="1"/>
  <c r="AJ4042" i="1"/>
  <c r="AJ4043" i="1"/>
  <c r="AJ4044" i="1"/>
  <c r="AJ4045" i="1"/>
  <c r="AJ4046" i="1"/>
  <c r="AJ4047" i="1"/>
  <c r="AJ4048" i="1"/>
  <c r="AJ4049" i="1"/>
  <c r="AJ4050" i="1"/>
  <c r="AJ4051" i="1"/>
  <c r="AJ4052" i="1"/>
  <c r="AJ4053" i="1"/>
  <c r="AJ4054" i="1"/>
  <c r="AJ4055" i="1"/>
  <c r="AJ4056" i="1"/>
  <c r="AJ4057" i="1"/>
  <c r="AJ4058" i="1"/>
  <c r="AJ4059" i="1"/>
  <c r="AJ4060" i="1"/>
  <c r="AJ4061" i="1"/>
  <c r="AJ4062" i="1"/>
  <c r="AJ4063" i="1"/>
  <c r="AJ4064" i="1"/>
  <c r="AJ4065" i="1"/>
  <c r="AJ4066" i="1"/>
  <c r="AJ4067" i="1"/>
  <c r="AJ4068" i="1"/>
  <c r="AJ4069" i="1"/>
  <c r="AJ4070" i="1"/>
  <c r="AJ4071" i="1"/>
  <c r="AJ4072" i="1"/>
  <c r="AJ4073" i="1"/>
  <c r="AJ4074" i="1"/>
  <c r="AJ4075" i="1"/>
  <c r="AJ4076" i="1"/>
  <c r="AJ4077" i="1"/>
  <c r="AJ4078" i="1"/>
  <c r="AJ4079" i="1"/>
  <c r="AJ4080" i="1"/>
  <c r="AJ4081" i="1"/>
  <c r="AJ4082" i="1"/>
  <c r="AJ4083" i="1"/>
  <c r="AJ4084" i="1"/>
  <c r="AJ4085" i="1"/>
  <c r="AJ4086" i="1"/>
  <c r="AJ4087" i="1"/>
  <c r="AJ4088" i="1"/>
  <c r="AJ4089" i="1"/>
  <c r="AJ4090" i="1"/>
  <c r="AJ4091" i="1"/>
  <c r="AJ4092" i="1"/>
  <c r="AJ4093" i="1"/>
  <c r="AJ4094" i="1"/>
  <c r="AJ4095" i="1"/>
  <c r="AJ4096" i="1"/>
  <c r="AJ4097" i="1"/>
  <c r="AJ4098" i="1"/>
  <c r="AJ4099" i="1"/>
  <c r="AJ4100" i="1"/>
  <c r="AJ4101" i="1"/>
  <c r="AJ4102" i="1"/>
  <c r="AJ4103" i="1"/>
  <c r="AJ4104" i="1"/>
  <c r="AJ4105" i="1"/>
  <c r="AJ4106" i="1"/>
  <c r="AJ4107" i="1"/>
  <c r="AJ4108" i="1"/>
  <c r="AJ4109" i="1"/>
  <c r="AJ4110" i="1"/>
  <c r="AJ4111" i="1"/>
  <c r="AJ4112" i="1"/>
  <c r="AJ4113" i="1"/>
  <c r="AJ4114" i="1"/>
  <c r="AJ4115" i="1"/>
  <c r="AJ4116" i="1"/>
  <c r="AJ4117" i="1"/>
  <c r="AJ4118" i="1"/>
  <c r="AJ4119" i="1"/>
  <c r="AJ4120" i="1"/>
  <c r="AJ4121" i="1"/>
  <c r="AJ4122" i="1"/>
  <c r="AJ4123" i="1"/>
  <c r="AJ4124" i="1"/>
  <c r="AJ4125" i="1"/>
  <c r="AJ4126" i="1"/>
  <c r="AJ4127" i="1"/>
  <c r="AJ4128" i="1"/>
  <c r="AJ4129" i="1"/>
  <c r="AJ4130" i="1"/>
  <c r="AJ4131" i="1"/>
  <c r="AJ4132" i="1"/>
  <c r="AJ4133" i="1"/>
  <c r="AJ4134" i="1"/>
  <c r="AJ4135" i="1"/>
  <c r="AJ4136" i="1"/>
  <c r="AJ4137" i="1"/>
  <c r="AJ4138" i="1"/>
  <c r="AJ4139" i="1"/>
  <c r="AJ4140" i="1"/>
  <c r="AJ4141" i="1"/>
  <c r="AJ4142" i="1"/>
  <c r="AJ4143" i="1"/>
  <c r="AJ4144" i="1"/>
  <c r="AJ4145" i="1"/>
  <c r="AJ4146" i="1"/>
  <c r="AJ4147" i="1"/>
  <c r="AJ4148" i="1"/>
  <c r="AJ4149" i="1"/>
  <c r="AJ4150" i="1"/>
  <c r="AJ4151" i="1"/>
  <c r="AJ4152" i="1"/>
  <c r="AJ4153" i="1"/>
  <c r="AJ4154" i="1"/>
  <c r="AJ4155" i="1"/>
  <c r="AJ4156" i="1"/>
  <c r="AJ4157" i="1"/>
  <c r="AJ4158" i="1"/>
  <c r="AJ4159" i="1"/>
  <c r="AJ4160" i="1"/>
  <c r="AJ4161" i="1"/>
  <c r="AJ4162" i="1"/>
  <c r="AJ4163" i="1"/>
  <c r="AJ4164" i="1"/>
  <c r="AJ4165" i="1"/>
  <c r="AJ4166" i="1"/>
  <c r="AJ4167" i="1"/>
  <c r="AJ4168" i="1"/>
  <c r="AJ4169" i="1"/>
  <c r="AJ4170" i="1"/>
  <c r="AJ4171" i="1"/>
  <c r="AJ4172" i="1"/>
  <c r="AJ4173" i="1"/>
  <c r="AJ4174" i="1"/>
  <c r="AJ4175" i="1"/>
  <c r="AJ4176" i="1"/>
  <c r="AJ4177" i="1"/>
  <c r="AJ4178" i="1"/>
  <c r="AJ4179" i="1"/>
  <c r="AJ4180" i="1"/>
  <c r="AJ4181" i="1"/>
  <c r="AJ4182" i="1"/>
  <c r="AJ4183" i="1"/>
  <c r="AJ4184" i="1"/>
  <c r="AJ4185" i="1"/>
  <c r="AJ4186" i="1"/>
  <c r="AJ4187" i="1"/>
  <c r="AJ4188" i="1"/>
  <c r="AJ4189" i="1"/>
  <c r="AJ4190" i="1"/>
  <c r="AJ4191" i="1"/>
  <c r="AJ4192" i="1"/>
  <c r="AJ4193" i="1"/>
  <c r="AJ4194" i="1"/>
  <c r="AJ4195" i="1"/>
  <c r="AJ4196" i="1"/>
  <c r="AJ4197" i="1"/>
  <c r="AJ4198" i="1"/>
  <c r="AJ4199" i="1"/>
  <c r="AJ4200" i="1"/>
  <c r="AJ4201" i="1"/>
  <c r="AJ4202" i="1"/>
  <c r="AJ4203" i="1"/>
  <c r="AJ4204" i="1"/>
  <c r="AJ4205" i="1"/>
  <c r="AJ4206" i="1"/>
  <c r="AJ4207" i="1"/>
  <c r="AJ4208" i="1"/>
  <c r="AJ4209" i="1"/>
  <c r="AJ4210" i="1"/>
  <c r="AJ4211" i="1"/>
  <c r="AJ4212" i="1"/>
  <c r="AJ4213" i="1"/>
  <c r="AJ4214" i="1"/>
  <c r="AJ4215" i="1"/>
  <c r="AJ4216" i="1"/>
  <c r="AJ4217" i="1"/>
  <c r="AJ4218" i="1"/>
  <c r="AJ4219" i="1"/>
  <c r="AJ4220" i="1"/>
  <c r="AJ4221" i="1"/>
  <c r="AJ4222" i="1"/>
  <c r="AJ4223" i="1"/>
  <c r="AJ4224" i="1"/>
  <c r="AJ4225" i="1"/>
  <c r="AJ4226" i="1"/>
  <c r="AJ4227" i="1"/>
  <c r="AJ4228" i="1"/>
  <c r="AJ4229" i="1"/>
  <c r="AJ4230" i="1"/>
  <c r="AJ4231" i="1"/>
  <c r="AJ4232" i="1"/>
  <c r="AJ4233" i="1"/>
  <c r="AJ4234" i="1"/>
  <c r="AJ4235" i="1"/>
  <c r="AJ4236" i="1"/>
  <c r="AJ4237" i="1"/>
  <c r="AJ4238" i="1"/>
  <c r="AJ4239" i="1"/>
  <c r="AJ4240" i="1"/>
  <c r="AJ4241" i="1"/>
  <c r="AJ4242" i="1"/>
  <c r="AJ4243" i="1"/>
  <c r="AJ4244" i="1"/>
  <c r="AJ4245" i="1"/>
  <c r="AJ4246" i="1"/>
  <c r="AJ4247" i="1"/>
  <c r="AJ4248" i="1"/>
  <c r="AJ4249" i="1"/>
  <c r="AJ4250" i="1"/>
  <c r="AJ4251" i="1"/>
  <c r="AJ4252" i="1"/>
  <c r="AJ4253" i="1"/>
  <c r="AJ4254" i="1"/>
  <c r="AJ4255" i="1"/>
  <c r="AJ4256" i="1"/>
  <c r="AJ4257" i="1"/>
  <c r="AJ4258" i="1"/>
  <c r="AJ4259" i="1"/>
  <c r="AJ4260" i="1"/>
  <c r="AJ4261" i="1"/>
  <c r="AJ4262" i="1"/>
  <c r="AJ4263" i="1"/>
  <c r="AJ4264" i="1"/>
  <c r="AJ4265" i="1"/>
  <c r="AJ4266" i="1"/>
  <c r="AJ4267" i="1"/>
  <c r="AJ4268" i="1"/>
  <c r="AJ4269" i="1"/>
  <c r="AJ4270" i="1"/>
  <c r="AJ4271" i="1"/>
  <c r="AJ4272" i="1"/>
  <c r="AJ4273" i="1"/>
  <c r="AJ4274" i="1"/>
  <c r="AJ4275" i="1"/>
  <c r="AJ4276" i="1"/>
  <c r="AJ4277" i="1"/>
  <c r="AJ4278" i="1"/>
  <c r="AJ4279" i="1"/>
  <c r="AJ4280" i="1"/>
  <c r="AJ4281" i="1"/>
  <c r="AJ4282" i="1"/>
  <c r="AJ4283" i="1"/>
  <c r="AJ4284" i="1"/>
  <c r="AJ4285" i="1"/>
  <c r="AJ4286" i="1"/>
  <c r="AJ4287" i="1"/>
  <c r="AJ4288" i="1"/>
  <c r="AJ4289" i="1"/>
  <c r="AJ4290" i="1"/>
  <c r="AJ4291" i="1"/>
  <c r="AJ4292" i="1"/>
  <c r="AJ4293" i="1"/>
  <c r="AJ4294" i="1"/>
  <c r="AJ4295" i="1"/>
  <c r="AJ4296" i="1"/>
  <c r="AJ4297" i="1"/>
  <c r="AJ4298" i="1"/>
  <c r="AJ4299" i="1"/>
  <c r="AJ4300" i="1"/>
  <c r="AJ4301" i="1"/>
  <c r="AJ4302" i="1"/>
  <c r="AJ4303" i="1"/>
  <c r="AJ4304" i="1"/>
  <c r="AJ4305" i="1"/>
  <c r="AJ4306" i="1"/>
  <c r="AJ4307" i="1"/>
  <c r="AJ4308" i="1"/>
  <c r="AJ4309" i="1"/>
  <c r="AJ4310" i="1"/>
  <c r="AJ4311" i="1"/>
  <c r="AJ4312" i="1"/>
  <c r="AJ4313" i="1"/>
  <c r="AJ4314" i="1"/>
  <c r="AJ4315" i="1"/>
  <c r="AJ4316" i="1"/>
  <c r="AJ4317" i="1"/>
  <c r="AJ4318" i="1"/>
  <c r="AJ4319" i="1"/>
  <c r="AJ4320" i="1"/>
  <c r="AJ4321" i="1"/>
  <c r="AJ4322" i="1"/>
  <c r="AJ4323" i="1"/>
  <c r="AJ4324" i="1"/>
  <c r="AJ4325" i="1"/>
  <c r="AJ4326" i="1"/>
  <c r="AJ4327" i="1"/>
  <c r="AJ4328" i="1"/>
  <c r="AJ4329" i="1"/>
  <c r="AJ4330" i="1"/>
  <c r="AJ4331" i="1"/>
  <c r="AJ4332" i="1"/>
  <c r="AJ4333" i="1"/>
  <c r="AJ4334" i="1"/>
  <c r="AJ4335" i="1"/>
  <c r="AJ4336" i="1"/>
  <c r="AJ4337" i="1"/>
  <c r="AJ4338" i="1"/>
  <c r="AJ4339" i="1"/>
  <c r="AJ4340" i="1"/>
  <c r="AJ4341" i="1"/>
  <c r="AJ4342" i="1"/>
  <c r="AJ4343" i="1"/>
  <c r="AJ4344" i="1"/>
  <c r="AJ4345" i="1"/>
  <c r="AJ4346" i="1"/>
  <c r="AJ4347" i="1"/>
  <c r="AJ4348" i="1"/>
  <c r="AJ4349" i="1"/>
  <c r="AJ4350" i="1"/>
  <c r="AJ4351" i="1"/>
  <c r="AJ4352" i="1"/>
  <c r="AJ4353" i="1"/>
  <c r="AJ4354" i="1"/>
  <c r="AJ4355" i="1"/>
  <c r="AJ4356" i="1"/>
  <c r="AJ4357" i="1"/>
  <c r="AJ4358" i="1"/>
  <c r="AJ4359" i="1"/>
  <c r="AJ4360" i="1"/>
  <c r="AJ4361" i="1"/>
  <c r="AJ4362" i="1"/>
  <c r="AJ4363" i="1"/>
  <c r="AJ4364" i="1"/>
  <c r="AJ4365" i="1"/>
  <c r="AJ4366" i="1"/>
  <c r="AJ4367" i="1"/>
  <c r="AJ4368" i="1"/>
  <c r="AJ4369" i="1"/>
  <c r="AJ4370" i="1"/>
  <c r="AJ4371" i="1"/>
  <c r="AJ4372" i="1"/>
  <c r="AJ4373" i="1"/>
  <c r="AJ4374" i="1"/>
  <c r="AJ4375" i="1"/>
  <c r="AJ4376" i="1"/>
  <c r="AJ4377" i="1"/>
  <c r="AJ4378" i="1"/>
  <c r="AJ4379" i="1"/>
  <c r="AJ4380" i="1"/>
  <c r="AJ4381" i="1"/>
  <c r="AJ4382" i="1"/>
  <c r="AJ4383" i="1"/>
  <c r="AJ4384" i="1"/>
  <c r="AJ4385" i="1"/>
  <c r="AJ4386" i="1"/>
  <c r="AJ4387" i="1"/>
  <c r="AJ4388" i="1"/>
  <c r="AJ4389" i="1"/>
  <c r="AJ4390" i="1"/>
  <c r="AJ4391" i="1"/>
  <c r="AJ4392" i="1"/>
  <c r="AJ4393" i="1"/>
  <c r="AJ4394" i="1"/>
  <c r="AJ4395" i="1"/>
  <c r="AJ4396" i="1"/>
  <c r="AJ4397" i="1"/>
  <c r="AJ4398" i="1"/>
  <c r="AJ4399" i="1"/>
  <c r="AJ4400" i="1"/>
  <c r="AJ4401" i="1"/>
  <c r="AJ4402" i="1"/>
  <c r="AJ4403" i="1"/>
  <c r="AJ4404" i="1"/>
  <c r="AJ4405" i="1"/>
  <c r="AJ4406" i="1"/>
  <c r="AJ4407" i="1"/>
  <c r="AJ4408" i="1"/>
  <c r="AJ4409" i="1"/>
  <c r="AJ4410" i="1"/>
  <c r="AJ4411" i="1"/>
  <c r="AJ4412" i="1"/>
  <c r="AJ4413" i="1"/>
  <c r="AJ4414" i="1"/>
  <c r="AJ4415" i="1"/>
  <c r="AJ4416" i="1"/>
  <c r="AJ4417" i="1"/>
  <c r="AJ4418" i="1"/>
  <c r="AJ4419" i="1"/>
  <c r="AJ4420" i="1"/>
  <c r="AJ4421" i="1"/>
  <c r="AJ4422" i="1"/>
  <c r="AJ4423" i="1"/>
  <c r="AJ4424" i="1"/>
  <c r="AJ4425" i="1"/>
  <c r="AJ4426" i="1"/>
  <c r="AJ4427" i="1"/>
  <c r="AJ4428" i="1"/>
  <c r="AJ4429" i="1"/>
  <c r="AJ4430" i="1"/>
  <c r="AJ4431" i="1"/>
  <c r="AJ4432" i="1"/>
  <c r="AJ4433" i="1"/>
  <c r="AJ4434" i="1"/>
  <c r="AJ4435" i="1"/>
  <c r="AJ4436" i="1"/>
  <c r="AJ4437" i="1"/>
  <c r="AJ4438" i="1"/>
  <c r="AJ4439" i="1"/>
  <c r="AJ4440" i="1"/>
  <c r="AJ4441" i="1"/>
  <c r="AJ4442" i="1"/>
  <c r="AJ4443" i="1"/>
  <c r="AJ4444" i="1"/>
  <c r="AJ4445" i="1"/>
  <c r="AJ4446" i="1"/>
  <c r="AJ4447" i="1"/>
  <c r="AJ4448" i="1"/>
  <c r="AJ4449" i="1"/>
  <c r="AJ4450" i="1"/>
  <c r="AJ4451" i="1"/>
  <c r="AJ4452" i="1"/>
  <c r="AJ4453" i="1"/>
  <c r="AJ4454" i="1"/>
  <c r="AJ4455" i="1"/>
  <c r="AJ4456" i="1"/>
  <c r="AJ4457" i="1"/>
  <c r="AJ4458" i="1"/>
  <c r="AJ4459" i="1"/>
  <c r="AJ4460" i="1"/>
  <c r="AJ4461" i="1"/>
  <c r="AJ4462" i="1"/>
  <c r="AJ4463" i="1"/>
  <c r="AJ4464" i="1"/>
  <c r="AJ4465" i="1"/>
  <c r="AJ4466" i="1"/>
  <c r="AJ4467" i="1"/>
  <c r="AJ4468" i="1"/>
  <c r="AJ4469" i="1"/>
  <c r="AJ4470" i="1"/>
  <c r="AJ4471" i="1"/>
  <c r="AJ4472" i="1"/>
  <c r="AJ4473" i="1"/>
  <c r="AJ4474" i="1"/>
  <c r="AJ4475" i="1"/>
  <c r="AJ4476" i="1"/>
  <c r="AJ4477" i="1"/>
  <c r="AJ4478" i="1"/>
  <c r="AJ4479" i="1"/>
  <c r="AJ4480" i="1"/>
  <c r="AJ4481" i="1"/>
  <c r="AJ4482" i="1"/>
  <c r="AJ4483" i="1"/>
  <c r="AJ4484" i="1"/>
  <c r="AJ4485" i="1"/>
  <c r="AJ4486" i="1"/>
  <c r="AJ4487" i="1"/>
  <c r="AJ4488" i="1"/>
  <c r="AJ4489" i="1"/>
  <c r="AJ4490" i="1"/>
  <c r="AJ4491" i="1"/>
  <c r="AJ4492" i="1"/>
  <c r="AJ4493" i="1"/>
  <c r="AJ4494" i="1"/>
  <c r="AJ4495" i="1"/>
  <c r="AJ4496" i="1"/>
  <c r="AJ4497" i="1"/>
  <c r="AJ4498" i="1"/>
  <c r="AJ4499" i="1"/>
  <c r="AJ4500" i="1"/>
  <c r="AJ4501" i="1"/>
  <c r="AJ4502" i="1"/>
  <c r="AJ4503" i="1"/>
  <c r="AJ4504" i="1"/>
  <c r="AJ4505" i="1"/>
  <c r="AJ4506" i="1"/>
  <c r="AJ4507" i="1"/>
  <c r="AJ4508" i="1"/>
  <c r="AJ4509" i="1"/>
  <c r="AJ4510" i="1"/>
  <c r="AJ4511" i="1"/>
  <c r="AJ4512" i="1"/>
  <c r="AJ4513" i="1"/>
  <c r="AJ4514" i="1"/>
  <c r="AJ4515" i="1"/>
  <c r="AJ4516" i="1"/>
  <c r="AJ4517" i="1"/>
  <c r="AJ4518" i="1"/>
  <c r="AJ4519" i="1"/>
  <c r="AJ4520" i="1"/>
  <c r="AJ4521" i="1"/>
  <c r="AJ4522" i="1"/>
  <c r="AJ4523" i="1"/>
  <c r="AJ4524" i="1"/>
  <c r="AJ4525" i="1"/>
  <c r="AJ4526" i="1"/>
  <c r="AJ4527" i="1"/>
  <c r="AJ4528" i="1"/>
  <c r="AJ4529" i="1"/>
  <c r="AJ4530" i="1"/>
  <c r="AJ4531" i="1"/>
  <c r="AJ4532" i="1"/>
  <c r="AJ4533" i="1"/>
  <c r="AJ4534" i="1"/>
  <c r="AJ4535" i="1"/>
  <c r="AJ4536" i="1"/>
  <c r="AJ4537" i="1"/>
  <c r="AJ4538" i="1"/>
  <c r="AJ4539" i="1"/>
  <c r="AJ4540" i="1"/>
  <c r="AJ4541" i="1"/>
  <c r="AJ4542" i="1"/>
  <c r="AJ4543" i="1"/>
  <c r="AJ4544" i="1"/>
  <c r="AJ4545" i="1"/>
  <c r="AJ4546" i="1"/>
  <c r="AJ4547" i="1"/>
  <c r="AJ4548" i="1"/>
  <c r="AJ4549" i="1"/>
  <c r="AJ4550" i="1"/>
  <c r="AJ4551" i="1"/>
  <c r="AJ4552" i="1"/>
  <c r="AJ4553" i="1"/>
  <c r="AJ4554" i="1"/>
  <c r="AJ4555" i="1"/>
  <c r="AJ4556" i="1"/>
  <c r="AJ4557" i="1"/>
  <c r="AJ4558" i="1"/>
  <c r="AJ4559" i="1"/>
  <c r="AJ4560" i="1"/>
  <c r="AJ4561" i="1"/>
  <c r="AJ4562" i="1"/>
  <c r="AJ4563" i="1"/>
  <c r="AJ4564" i="1"/>
  <c r="AJ4565" i="1"/>
  <c r="AJ4566" i="1"/>
  <c r="AJ4567" i="1"/>
  <c r="AJ4568" i="1"/>
  <c r="AJ4569" i="1"/>
  <c r="AJ4570" i="1"/>
  <c r="AJ4571" i="1"/>
  <c r="AJ4572" i="1"/>
  <c r="AJ4573" i="1"/>
  <c r="AJ4574" i="1"/>
  <c r="AJ4575" i="1"/>
  <c r="AJ4576" i="1"/>
  <c r="AJ4577" i="1"/>
  <c r="AJ4578" i="1"/>
  <c r="AJ4579" i="1"/>
  <c r="AJ4580" i="1"/>
  <c r="AJ4581" i="1"/>
  <c r="AJ4582" i="1"/>
  <c r="AJ4583" i="1"/>
  <c r="AJ4584" i="1"/>
  <c r="AJ4585" i="1"/>
  <c r="AJ4586" i="1"/>
  <c r="AJ4587" i="1"/>
  <c r="AJ4588" i="1"/>
  <c r="AJ4589" i="1"/>
  <c r="AJ4590" i="1"/>
  <c r="AJ4591" i="1"/>
  <c r="AJ4592" i="1"/>
  <c r="AJ4593" i="1"/>
  <c r="AJ4594" i="1"/>
  <c r="AJ4595" i="1"/>
  <c r="AJ4596" i="1"/>
  <c r="AJ4597" i="1"/>
  <c r="AJ4598" i="1"/>
  <c r="AJ4599" i="1"/>
  <c r="AJ4600" i="1"/>
  <c r="AJ4601" i="1"/>
  <c r="AJ4602" i="1"/>
  <c r="AJ4603" i="1"/>
  <c r="AJ4604" i="1"/>
  <c r="AJ4605" i="1"/>
  <c r="AJ4606" i="1"/>
  <c r="AJ4607" i="1"/>
  <c r="AJ4608" i="1"/>
  <c r="AJ4609" i="1"/>
  <c r="AJ4610" i="1"/>
  <c r="AJ4611" i="1"/>
  <c r="AJ4612" i="1"/>
  <c r="AJ4613" i="1"/>
  <c r="AJ4614" i="1"/>
  <c r="AJ4615" i="1"/>
  <c r="AJ4616" i="1"/>
  <c r="AJ4617" i="1"/>
  <c r="AJ4618" i="1"/>
  <c r="AJ4619" i="1"/>
  <c r="AJ4620" i="1"/>
  <c r="AJ4621" i="1"/>
  <c r="AJ4622" i="1"/>
  <c r="AJ4623" i="1"/>
  <c r="AJ4624" i="1"/>
  <c r="AJ4625" i="1"/>
  <c r="AJ4626" i="1"/>
  <c r="AJ4627" i="1"/>
  <c r="AJ4628" i="1"/>
  <c r="AJ4629" i="1"/>
  <c r="AJ4630" i="1"/>
  <c r="AJ4631" i="1"/>
  <c r="AJ4632" i="1"/>
  <c r="AJ4633" i="1"/>
  <c r="AJ4634" i="1"/>
  <c r="AJ4635" i="1"/>
  <c r="AJ4636" i="1"/>
  <c r="AJ4637" i="1"/>
  <c r="AJ4638" i="1"/>
  <c r="AJ4639" i="1"/>
  <c r="AJ4640" i="1"/>
  <c r="AJ4641" i="1"/>
  <c r="AJ4642" i="1"/>
  <c r="AJ4643" i="1"/>
  <c r="AJ4644" i="1"/>
  <c r="AJ4645" i="1"/>
  <c r="AJ4646" i="1"/>
  <c r="AJ4647" i="1"/>
  <c r="AJ4648" i="1"/>
  <c r="AJ4649" i="1"/>
  <c r="AJ4650" i="1"/>
  <c r="AJ4651" i="1"/>
  <c r="AJ4652" i="1"/>
  <c r="AJ4653" i="1"/>
  <c r="AJ4654" i="1"/>
  <c r="AJ4655" i="1"/>
  <c r="AJ4656" i="1"/>
  <c r="AJ4657" i="1"/>
  <c r="AJ4658" i="1"/>
  <c r="AJ4659" i="1"/>
  <c r="AJ4660" i="1"/>
  <c r="AJ4661" i="1"/>
  <c r="AJ4662" i="1"/>
  <c r="AJ4663" i="1"/>
  <c r="AJ4664" i="1"/>
  <c r="AJ4665" i="1"/>
  <c r="AJ4666" i="1"/>
  <c r="AJ4667" i="1"/>
  <c r="AJ4668" i="1"/>
  <c r="AJ4669" i="1"/>
  <c r="AJ4670" i="1"/>
  <c r="AJ4671" i="1"/>
  <c r="AJ4672" i="1"/>
  <c r="AJ4673" i="1"/>
  <c r="AJ4674" i="1"/>
  <c r="AJ4675" i="1"/>
  <c r="AJ4676" i="1"/>
  <c r="AJ4677" i="1"/>
  <c r="AJ4678" i="1"/>
  <c r="AJ4679" i="1"/>
  <c r="AJ4680" i="1"/>
  <c r="AJ4681" i="1"/>
  <c r="AJ4682" i="1"/>
  <c r="AJ4683" i="1"/>
  <c r="AJ4684" i="1"/>
  <c r="AJ4685" i="1"/>
  <c r="AJ4686" i="1"/>
  <c r="AJ4687" i="1"/>
  <c r="AJ4688" i="1"/>
  <c r="AJ4689" i="1"/>
  <c r="AJ4690" i="1"/>
  <c r="AJ4691" i="1"/>
  <c r="AJ4692" i="1"/>
  <c r="AJ4693" i="1"/>
  <c r="AJ4694" i="1"/>
  <c r="AJ4695" i="1"/>
  <c r="AJ4696" i="1"/>
  <c r="AJ4697" i="1"/>
  <c r="AJ4698" i="1"/>
  <c r="AJ4699" i="1"/>
  <c r="AJ4700" i="1"/>
  <c r="AJ4701" i="1"/>
  <c r="AJ4702" i="1"/>
  <c r="AJ4703" i="1"/>
  <c r="AJ4704" i="1"/>
  <c r="AJ4705" i="1"/>
  <c r="AJ4706" i="1"/>
  <c r="AJ4707" i="1"/>
  <c r="AJ4708" i="1"/>
  <c r="AJ4709" i="1"/>
  <c r="AJ4710" i="1"/>
  <c r="AJ4711" i="1"/>
  <c r="AJ4712" i="1"/>
  <c r="AJ4713" i="1"/>
  <c r="AJ4714" i="1"/>
  <c r="AJ4715" i="1"/>
  <c r="AJ4716" i="1"/>
  <c r="AJ4717" i="1"/>
  <c r="AJ4718" i="1"/>
  <c r="AJ4719" i="1"/>
  <c r="AJ4720" i="1"/>
  <c r="AJ4721" i="1"/>
  <c r="AJ4722" i="1"/>
  <c r="AJ4723" i="1"/>
  <c r="AJ4724" i="1"/>
  <c r="AJ4725" i="1"/>
  <c r="AJ4726" i="1"/>
  <c r="AJ4727" i="1"/>
  <c r="AJ4728" i="1"/>
  <c r="AJ4729" i="1"/>
  <c r="AJ4730" i="1"/>
  <c r="AJ4731" i="1"/>
  <c r="AJ4732" i="1"/>
  <c r="AJ4733" i="1"/>
  <c r="AJ4734" i="1"/>
  <c r="AJ4735" i="1"/>
  <c r="AJ4736" i="1"/>
  <c r="AJ4737" i="1"/>
  <c r="AJ4738" i="1"/>
  <c r="AJ4739" i="1"/>
  <c r="AJ4740" i="1"/>
  <c r="AJ4741" i="1"/>
  <c r="AJ4742" i="1"/>
  <c r="AJ4743" i="1"/>
  <c r="AJ4744" i="1"/>
  <c r="AJ4745" i="1"/>
  <c r="AJ4746" i="1"/>
  <c r="AJ4747" i="1"/>
  <c r="AJ4748" i="1"/>
  <c r="AJ4749" i="1"/>
  <c r="AJ4750" i="1"/>
  <c r="AJ4751" i="1"/>
  <c r="AJ4752" i="1"/>
  <c r="AJ4753" i="1"/>
  <c r="AJ4754" i="1"/>
  <c r="AJ4755" i="1"/>
  <c r="AJ4756" i="1"/>
  <c r="AJ4757" i="1"/>
  <c r="AJ4758" i="1"/>
  <c r="AJ4759" i="1"/>
  <c r="AJ4760" i="1"/>
  <c r="AJ4761" i="1"/>
  <c r="AJ4762" i="1"/>
  <c r="AJ4763" i="1"/>
  <c r="AJ4764" i="1"/>
  <c r="AJ4765" i="1"/>
  <c r="AJ4766" i="1"/>
  <c r="AJ4767" i="1"/>
  <c r="AJ4768" i="1"/>
  <c r="AJ4769" i="1"/>
  <c r="AJ4770" i="1"/>
  <c r="AJ4771" i="1"/>
  <c r="AJ4772" i="1"/>
  <c r="AJ4773" i="1"/>
  <c r="AJ4774" i="1"/>
  <c r="AJ4775" i="1"/>
  <c r="AJ4776" i="1"/>
  <c r="AJ4777" i="1"/>
  <c r="AJ4778" i="1"/>
  <c r="AJ4779" i="1"/>
  <c r="AJ4780" i="1"/>
  <c r="AJ4781" i="1"/>
  <c r="AJ4782" i="1"/>
  <c r="AJ4783" i="1"/>
  <c r="AJ4784" i="1"/>
  <c r="AJ4785" i="1"/>
  <c r="AJ4786" i="1"/>
  <c r="AJ4787" i="1"/>
  <c r="AJ4788" i="1"/>
  <c r="AJ4789" i="1"/>
  <c r="AJ4790" i="1"/>
  <c r="AJ4791" i="1"/>
  <c r="AJ4792" i="1"/>
  <c r="AJ4793" i="1"/>
  <c r="AJ4794" i="1"/>
  <c r="AJ4795" i="1"/>
  <c r="AJ4796" i="1"/>
  <c r="AJ4797" i="1"/>
  <c r="AJ4798" i="1"/>
  <c r="AJ4799" i="1"/>
  <c r="AJ4800" i="1"/>
  <c r="AJ4801" i="1"/>
  <c r="AJ4802" i="1"/>
  <c r="AJ4803" i="1"/>
  <c r="AJ4804" i="1"/>
  <c r="AJ4805" i="1"/>
  <c r="AJ4806" i="1"/>
  <c r="AJ4807" i="1"/>
  <c r="AJ4808" i="1"/>
  <c r="AJ4809" i="1"/>
  <c r="AJ4810" i="1"/>
  <c r="AJ4811" i="1"/>
  <c r="AJ4812" i="1"/>
  <c r="AJ4813" i="1"/>
  <c r="AJ4814" i="1"/>
  <c r="AJ4815" i="1"/>
  <c r="AJ4816" i="1"/>
  <c r="AJ4817" i="1"/>
  <c r="AJ4818" i="1"/>
  <c r="AJ4819" i="1"/>
  <c r="AJ4820" i="1"/>
  <c r="AJ4821" i="1"/>
  <c r="AJ4822" i="1"/>
  <c r="AJ4823" i="1"/>
  <c r="AJ4824" i="1"/>
  <c r="AJ4825" i="1"/>
  <c r="AJ4826" i="1"/>
  <c r="AJ4827" i="1"/>
  <c r="AJ4828" i="1"/>
  <c r="AJ4829" i="1"/>
  <c r="AJ4830" i="1"/>
  <c r="AJ4831" i="1"/>
  <c r="AJ4832" i="1"/>
  <c r="AJ4833" i="1"/>
  <c r="AJ4834" i="1"/>
  <c r="AJ4835" i="1"/>
  <c r="AJ4836" i="1"/>
  <c r="AJ4837" i="1"/>
  <c r="AJ4838" i="1"/>
  <c r="AJ4839" i="1"/>
  <c r="AJ4840" i="1"/>
  <c r="AJ4841" i="1"/>
  <c r="AJ4842" i="1"/>
  <c r="AJ4843" i="1"/>
  <c r="AJ4844" i="1"/>
  <c r="AJ4845" i="1"/>
  <c r="AJ4846" i="1"/>
  <c r="AJ4847" i="1"/>
  <c r="AJ4848" i="1"/>
  <c r="AJ4849" i="1"/>
  <c r="AJ4850" i="1"/>
  <c r="AJ4851" i="1"/>
  <c r="AJ4852" i="1"/>
  <c r="AJ4853" i="1"/>
  <c r="AJ4854" i="1"/>
  <c r="AJ4855" i="1"/>
  <c r="AJ4856" i="1"/>
  <c r="AJ4857" i="1"/>
  <c r="AJ4858" i="1"/>
  <c r="AJ4859" i="1"/>
  <c r="AJ4860" i="1"/>
  <c r="AJ4861" i="1"/>
  <c r="AJ4862" i="1"/>
  <c r="AJ4863" i="1"/>
  <c r="AJ4864" i="1"/>
  <c r="AJ4865" i="1"/>
  <c r="AJ4866" i="1"/>
  <c r="AJ4867" i="1"/>
  <c r="AJ4868" i="1"/>
  <c r="AJ4869" i="1"/>
  <c r="AJ4870" i="1"/>
  <c r="AJ4871" i="1"/>
  <c r="AJ4872" i="1"/>
  <c r="AJ4873" i="1"/>
  <c r="AJ4874" i="1"/>
  <c r="AJ4875" i="1"/>
  <c r="AJ4876" i="1"/>
  <c r="AJ4877" i="1"/>
  <c r="AJ4878" i="1"/>
  <c r="AJ4879" i="1"/>
  <c r="AJ4880" i="1"/>
  <c r="AJ4881" i="1"/>
  <c r="AJ4882" i="1"/>
  <c r="AJ4883" i="1"/>
  <c r="AJ4884" i="1"/>
  <c r="AJ4885" i="1"/>
  <c r="AJ4886" i="1"/>
  <c r="AJ4887" i="1"/>
  <c r="AJ4888" i="1"/>
  <c r="AJ4889" i="1"/>
  <c r="AJ4890" i="1"/>
  <c r="AJ4891" i="1"/>
  <c r="AJ4892" i="1"/>
  <c r="AJ4893" i="1"/>
  <c r="AJ4894" i="1"/>
  <c r="AJ4895" i="1"/>
  <c r="AJ4896" i="1"/>
  <c r="AJ4897" i="1"/>
  <c r="AJ4898" i="1"/>
  <c r="AJ4899" i="1"/>
  <c r="AJ4900" i="1"/>
  <c r="AJ4901" i="1"/>
  <c r="AJ4902" i="1"/>
  <c r="AJ4903" i="1"/>
  <c r="AJ4904" i="1"/>
  <c r="AJ4905" i="1"/>
  <c r="AJ4906" i="1"/>
  <c r="AJ4907" i="1"/>
  <c r="AJ4908" i="1"/>
  <c r="AJ4909" i="1"/>
  <c r="AJ4910" i="1"/>
  <c r="AJ4911" i="1"/>
  <c r="AJ4912" i="1"/>
  <c r="AJ4913" i="1"/>
  <c r="AJ4914" i="1"/>
  <c r="AJ4915" i="1"/>
  <c r="AJ4916" i="1"/>
  <c r="AJ4917" i="1"/>
  <c r="AJ4918" i="1"/>
  <c r="AJ4919" i="1"/>
  <c r="AJ4920" i="1"/>
  <c r="AJ4921" i="1"/>
  <c r="AJ4922" i="1"/>
  <c r="AJ4923" i="1"/>
  <c r="AJ4924" i="1"/>
  <c r="AJ4925" i="1"/>
  <c r="AJ4926" i="1"/>
  <c r="AJ4927" i="1"/>
  <c r="AJ4928" i="1"/>
  <c r="AJ4929" i="1"/>
  <c r="AJ4930" i="1"/>
  <c r="AJ4931" i="1"/>
  <c r="AJ4932" i="1"/>
  <c r="AJ4933" i="1"/>
  <c r="AJ4934" i="1"/>
  <c r="AJ4935" i="1"/>
  <c r="AJ4936" i="1"/>
  <c r="AJ4937" i="1"/>
  <c r="AJ4938" i="1"/>
  <c r="AJ4939" i="1"/>
  <c r="AJ4940" i="1"/>
  <c r="AJ4941" i="1"/>
  <c r="AJ4942" i="1"/>
  <c r="AJ4943" i="1"/>
  <c r="AJ4944" i="1"/>
  <c r="AJ4945" i="1"/>
  <c r="AJ4946" i="1"/>
  <c r="AJ4947" i="1"/>
  <c r="AJ4948" i="1"/>
  <c r="AJ4949" i="1"/>
  <c r="AJ4950" i="1"/>
  <c r="AJ4951" i="1"/>
  <c r="AJ4952" i="1"/>
  <c r="AJ4953" i="1"/>
  <c r="AJ4954" i="1"/>
  <c r="AJ4955" i="1"/>
  <c r="AJ4956" i="1"/>
  <c r="AJ4957" i="1"/>
  <c r="AJ4958" i="1"/>
  <c r="AJ4959" i="1"/>
  <c r="AJ4960" i="1"/>
  <c r="AJ4961" i="1"/>
  <c r="AJ4962" i="1"/>
  <c r="AJ4963" i="1"/>
  <c r="AJ4964" i="1"/>
  <c r="AJ4965" i="1"/>
  <c r="AJ4966" i="1"/>
  <c r="AJ4967" i="1"/>
  <c r="AJ4968" i="1"/>
  <c r="AJ4969" i="1"/>
  <c r="AJ4970" i="1"/>
  <c r="AJ4971" i="1"/>
  <c r="AJ4972" i="1"/>
  <c r="AJ4973" i="1"/>
  <c r="AJ4974" i="1"/>
  <c r="AJ4975" i="1"/>
  <c r="AJ4976" i="1"/>
  <c r="AJ4977" i="1"/>
  <c r="AJ4978" i="1"/>
  <c r="AJ4979" i="1"/>
  <c r="AJ4980" i="1"/>
  <c r="AJ4981" i="1"/>
  <c r="AJ4982" i="1"/>
  <c r="AJ4983" i="1"/>
  <c r="AJ4984" i="1"/>
  <c r="AJ4985" i="1"/>
  <c r="AJ4986" i="1"/>
  <c r="AJ4987" i="1"/>
  <c r="AJ4988" i="1"/>
  <c r="AJ4989" i="1"/>
  <c r="AJ4990" i="1"/>
  <c r="AJ4991" i="1"/>
  <c r="AJ4992" i="1"/>
  <c r="AJ4993" i="1"/>
  <c r="AJ4994" i="1"/>
  <c r="AJ4995" i="1"/>
  <c r="AJ4996" i="1"/>
  <c r="AJ4997" i="1"/>
  <c r="AJ4998" i="1"/>
  <c r="AJ4999" i="1"/>
  <c r="AJ5000" i="1"/>
  <c r="AJ500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 r="AI3409" i="1"/>
  <c r="AI3410" i="1"/>
  <c r="AI3411" i="1"/>
  <c r="AI3412" i="1"/>
  <c r="AI3413" i="1"/>
  <c r="AI3414" i="1"/>
  <c r="AI3415" i="1"/>
  <c r="AI3416" i="1"/>
  <c r="AI3417" i="1"/>
  <c r="AI3418" i="1"/>
  <c r="AI3419" i="1"/>
  <c r="AI3420" i="1"/>
  <c r="AI3421" i="1"/>
  <c r="AI3422" i="1"/>
  <c r="AI3423" i="1"/>
  <c r="AI3424" i="1"/>
  <c r="AI3425" i="1"/>
  <c r="AI3426" i="1"/>
  <c r="AI3427" i="1"/>
  <c r="AI3428" i="1"/>
  <c r="AI3429" i="1"/>
  <c r="AI3430" i="1"/>
  <c r="AI3431" i="1"/>
  <c r="AI3432" i="1"/>
  <c r="AI3433" i="1"/>
  <c r="AI3434" i="1"/>
  <c r="AI3435" i="1"/>
  <c r="AI3436" i="1"/>
  <c r="AI3437" i="1"/>
  <c r="AI3438" i="1"/>
  <c r="AI3439" i="1"/>
  <c r="AI3440" i="1"/>
  <c r="AI3441" i="1"/>
  <c r="AI3442" i="1"/>
  <c r="AI3443" i="1"/>
  <c r="AI3444" i="1"/>
  <c r="AI3445" i="1"/>
  <c r="AI3446" i="1"/>
  <c r="AI3447" i="1"/>
  <c r="AI3448" i="1"/>
  <c r="AI3449" i="1"/>
  <c r="AI3450" i="1"/>
  <c r="AI3451" i="1"/>
  <c r="AI3452"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7" i="1"/>
  <c r="AI3478" i="1"/>
  <c r="AI3479" i="1"/>
  <c r="AI3480" i="1"/>
  <c r="AI3481" i="1"/>
  <c r="AI3482" i="1"/>
  <c r="AI3483" i="1"/>
  <c r="AI3484" i="1"/>
  <c r="AI3485" i="1"/>
  <c r="AI3486" i="1"/>
  <c r="AI3487" i="1"/>
  <c r="AI3488" i="1"/>
  <c r="AI3489" i="1"/>
  <c r="AI3490" i="1"/>
  <c r="AI3491" i="1"/>
  <c r="AI3492" i="1"/>
  <c r="AI3493" i="1"/>
  <c r="AI3494" i="1"/>
  <c r="AI3495" i="1"/>
  <c r="AI3496" i="1"/>
  <c r="AI3497" i="1"/>
  <c r="AI3498" i="1"/>
  <c r="AI3499" i="1"/>
  <c r="AI3500" i="1"/>
  <c r="AI3501" i="1"/>
  <c r="AI3502" i="1"/>
  <c r="AI3503" i="1"/>
  <c r="AI3504" i="1"/>
  <c r="AI3505" i="1"/>
  <c r="AI3506" i="1"/>
  <c r="AI3507" i="1"/>
  <c r="AI3508" i="1"/>
  <c r="AI3509" i="1"/>
  <c r="AI3510" i="1"/>
  <c r="AI3511" i="1"/>
  <c r="AI3512" i="1"/>
  <c r="AI3513" i="1"/>
  <c r="AI3514" i="1"/>
  <c r="AI3515" i="1"/>
  <c r="AI3516" i="1"/>
  <c r="AI3517" i="1"/>
  <c r="AI3518" i="1"/>
  <c r="AI3519" i="1"/>
  <c r="AI3520" i="1"/>
  <c r="AI3521"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5"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0" i="1"/>
  <c r="AI3591" i="1"/>
  <c r="AI3592" i="1"/>
  <c r="AI3593" i="1"/>
  <c r="AI3594" i="1"/>
  <c r="AI3595" i="1"/>
  <c r="AI3596" i="1"/>
  <c r="AI3597" i="1"/>
  <c r="AI3598" i="1"/>
  <c r="AI3599" i="1"/>
  <c r="AI3600" i="1"/>
  <c r="AI3601" i="1"/>
  <c r="AI3602" i="1"/>
  <c r="AI3603" i="1"/>
  <c r="AI3604" i="1"/>
  <c r="AI3605" i="1"/>
  <c r="AI3606" i="1"/>
  <c r="AI3607" i="1"/>
  <c r="AI3608" i="1"/>
  <c r="AI3609" i="1"/>
  <c r="AI3610" i="1"/>
  <c r="AI3611" i="1"/>
  <c r="AI3612" i="1"/>
  <c r="AI3613" i="1"/>
  <c r="AI3614" i="1"/>
  <c r="AI3615" i="1"/>
  <c r="AI3616" i="1"/>
  <c r="AI3617" i="1"/>
  <c r="AI3618" i="1"/>
  <c r="AI3619" i="1"/>
  <c r="AI3620" i="1"/>
  <c r="AI3621" i="1"/>
  <c r="AI3622" i="1"/>
  <c r="AI3623" i="1"/>
  <c r="AI3624" i="1"/>
  <c r="AI3625" i="1"/>
  <c r="AI3626" i="1"/>
  <c r="AI3627" i="1"/>
  <c r="AI3628" i="1"/>
  <c r="AI3629" i="1"/>
  <c r="AI3630" i="1"/>
  <c r="AI3631" i="1"/>
  <c r="AI3632" i="1"/>
  <c r="AI3633" i="1"/>
  <c r="AI3634" i="1"/>
  <c r="AI3635" i="1"/>
  <c r="AI3636" i="1"/>
  <c r="AI3637" i="1"/>
  <c r="AI3638" i="1"/>
  <c r="AI3639" i="1"/>
  <c r="AI3640" i="1"/>
  <c r="AI3641" i="1"/>
  <c r="AI3642" i="1"/>
  <c r="AI3643" i="1"/>
  <c r="AI3644" i="1"/>
  <c r="AI3645" i="1"/>
  <c r="AI3646" i="1"/>
  <c r="AI3647" i="1"/>
  <c r="AI3648" i="1"/>
  <c r="AI3649" i="1"/>
  <c r="AI3650" i="1"/>
  <c r="AI3651" i="1"/>
  <c r="AI3652" i="1"/>
  <c r="AI3653" i="1"/>
  <c r="AI3654" i="1"/>
  <c r="AI3655" i="1"/>
  <c r="AI3656" i="1"/>
  <c r="AI3657" i="1"/>
  <c r="AI3658" i="1"/>
  <c r="AI3659" i="1"/>
  <c r="AI3660" i="1"/>
  <c r="AI3661" i="1"/>
  <c r="AI3662" i="1"/>
  <c r="AI3663" i="1"/>
  <c r="AI3664" i="1"/>
  <c r="AI3665" i="1"/>
  <c r="AI3666" i="1"/>
  <c r="AI3667" i="1"/>
  <c r="AI3668" i="1"/>
  <c r="AI3669" i="1"/>
  <c r="AI3670" i="1"/>
  <c r="AI3671" i="1"/>
  <c r="AI3672" i="1"/>
  <c r="AI3673" i="1"/>
  <c r="AI3674" i="1"/>
  <c r="AI3675" i="1"/>
  <c r="AI3676" i="1"/>
  <c r="AI3677" i="1"/>
  <c r="AI3678" i="1"/>
  <c r="AI3679" i="1"/>
  <c r="AI3680" i="1"/>
  <c r="AI3681" i="1"/>
  <c r="AI3682" i="1"/>
  <c r="AI3683" i="1"/>
  <c r="AI3684" i="1"/>
  <c r="AI3685" i="1"/>
  <c r="AI3686" i="1"/>
  <c r="AI3687" i="1"/>
  <c r="AI3688" i="1"/>
  <c r="AI3689"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1" i="1"/>
  <c r="AI3712" i="1"/>
  <c r="AI3713" i="1"/>
  <c r="AI3714" i="1"/>
  <c r="AI3715" i="1"/>
  <c r="AI3716" i="1"/>
  <c r="AI3717" i="1"/>
  <c r="AI3718" i="1"/>
  <c r="AI3719" i="1"/>
  <c r="AI3720" i="1"/>
  <c r="AI3721" i="1"/>
  <c r="AI3722" i="1"/>
  <c r="AI3723" i="1"/>
  <c r="AI3724" i="1"/>
  <c r="AI3725" i="1"/>
  <c r="AI3726" i="1"/>
  <c r="AI3727" i="1"/>
  <c r="AI3728" i="1"/>
  <c r="AI3729" i="1"/>
  <c r="AI3730" i="1"/>
  <c r="AI3731" i="1"/>
  <c r="AI3732" i="1"/>
  <c r="AI3733" i="1"/>
  <c r="AI3734" i="1"/>
  <c r="AI3735" i="1"/>
  <c r="AI3736" i="1"/>
  <c r="AI3737" i="1"/>
  <c r="AI3738" i="1"/>
  <c r="AI3739" i="1"/>
  <c r="AI3740" i="1"/>
  <c r="AI3741" i="1"/>
  <c r="AI3742" i="1"/>
  <c r="AI3743" i="1"/>
  <c r="AI3744" i="1"/>
  <c r="AI3745" i="1"/>
  <c r="AI3746" i="1"/>
  <c r="AI3747" i="1"/>
  <c r="AI3748" i="1"/>
  <c r="AI3749" i="1"/>
  <c r="AI3750" i="1"/>
  <c r="AI3751" i="1"/>
  <c r="AI3752" i="1"/>
  <c r="AI3753" i="1"/>
  <c r="AI3754" i="1"/>
  <c r="AI3755" i="1"/>
  <c r="AI3756" i="1"/>
  <c r="AI3757" i="1"/>
  <c r="AI3758" i="1"/>
  <c r="AI3759" i="1"/>
  <c r="AI3760" i="1"/>
  <c r="AI3761" i="1"/>
  <c r="AI3762" i="1"/>
  <c r="AI3763" i="1"/>
  <c r="AI3764" i="1"/>
  <c r="AI3765" i="1"/>
  <c r="AI3766" i="1"/>
  <c r="AI3767" i="1"/>
  <c r="AI3768" i="1"/>
  <c r="AI3769" i="1"/>
  <c r="AI3770" i="1"/>
  <c r="AI3771"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6" i="1"/>
  <c r="AI3797" i="1"/>
  <c r="AI3798" i="1"/>
  <c r="AI3799" i="1"/>
  <c r="AI3800" i="1"/>
  <c r="AI3801" i="1"/>
  <c r="AI3802" i="1"/>
  <c r="AI3803" i="1"/>
  <c r="AI3804" i="1"/>
  <c r="AI3805" i="1"/>
  <c r="AI3806" i="1"/>
  <c r="AI3807" i="1"/>
  <c r="AI3808" i="1"/>
  <c r="AI3809" i="1"/>
  <c r="AI3810" i="1"/>
  <c r="AI3811" i="1"/>
  <c r="AI3812" i="1"/>
  <c r="AI3813" i="1"/>
  <c r="AI3814" i="1"/>
  <c r="AI3815" i="1"/>
  <c r="AI3816" i="1"/>
  <c r="AI3817" i="1"/>
  <c r="AI3818" i="1"/>
  <c r="AI3819" i="1"/>
  <c r="AI3820" i="1"/>
  <c r="AI3821" i="1"/>
  <c r="AI3822" i="1"/>
  <c r="AI3823" i="1"/>
  <c r="AI3824" i="1"/>
  <c r="AI3825" i="1"/>
  <c r="AI3826" i="1"/>
  <c r="AI3827" i="1"/>
  <c r="AI3828" i="1"/>
  <c r="AI3829" i="1"/>
  <c r="AI3830" i="1"/>
  <c r="AI3831" i="1"/>
  <c r="AI3832" i="1"/>
  <c r="AI3833" i="1"/>
  <c r="AI3834" i="1"/>
  <c r="AI3835" i="1"/>
  <c r="AI3836" i="1"/>
  <c r="AI3837" i="1"/>
  <c r="AI3838" i="1"/>
  <c r="AI3839" i="1"/>
  <c r="AI3840" i="1"/>
  <c r="AI3841" i="1"/>
  <c r="AI3842" i="1"/>
  <c r="AI3843" i="1"/>
  <c r="AI3844" i="1"/>
  <c r="AI3845" i="1"/>
  <c r="AI3846" i="1"/>
  <c r="AI3847" i="1"/>
  <c r="AI3848" i="1"/>
  <c r="AI3849" i="1"/>
  <c r="AI3850" i="1"/>
  <c r="AI3851" i="1"/>
  <c r="AI3852" i="1"/>
  <c r="AI3853" i="1"/>
  <c r="AI3854" i="1"/>
  <c r="AI3855" i="1"/>
  <c r="AI3856" i="1"/>
  <c r="AI3857" i="1"/>
  <c r="AI3858" i="1"/>
  <c r="AI3859" i="1"/>
  <c r="AI3860" i="1"/>
  <c r="AI3861" i="1"/>
  <c r="AI3862" i="1"/>
  <c r="AI3863" i="1"/>
  <c r="AI3864" i="1"/>
  <c r="AI3865" i="1"/>
  <c r="AI3866" i="1"/>
  <c r="AI3867" i="1"/>
  <c r="AI3868" i="1"/>
  <c r="AI3869" i="1"/>
  <c r="AI3870" i="1"/>
  <c r="AI3871" i="1"/>
  <c r="AI3872" i="1"/>
  <c r="AI3873" i="1"/>
  <c r="AI3874" i="1"/>
  <c r="AI3875" i="1"/>
  <c r="AI3876" i="1"/>
  <c r="AI3877" i="1"/>
  <c r="AI3878" i="1"/>
  <c r="AI3879" i="1"/>
  <c r="AI3880" i="1"/>
  <c r="AI3881" i="1"/>
  <c r="AI3882" i="1"/>
  <c r="AI3883" i="1"/>
  <c r="AI3884" i="1"/>
  <c r="AI3885" i="1"/>
  <c r="AI3886" i="1"/>
  <c r="AI3887" i="1"/>
  <c r="AI3888" i="1"/>
  <c r="AI3889" i="1"/>
  <c r="AI3890" i="1"/>
  <c r="AI3891" i="1"/>
  <c r="AI3892" i="1"/>
  <c r="AI3893" i="1"/>
  <c r="AI3894" i="1"/>
  <c r="AI3895" i="1"/>
  <c r="AI3896" i="1"/>
  <c r="AI3897" i="1"/>
  <c r="AI3898" i="1"/>
  <c r="AI3899" i="1"/>
  <c r="AI3900" i="1"/>
  <c r="AI3901" i="1"/>
  <c r="AI3902" i="1"/>
  <c r="AI3903" i="1"/>
  <c r="AI3904" i="1"/>
  <c r="AI3905" i="1"/>
  <c r="AI3906" i="1"/>
  <c r="AI3907" i="1"/>
  <c r="AI3908" i="1"/>
  <c r="AI3909" i="1"/>
  <c r="AI3910" i="1"/>
  <c r="AI3911" i="1"/>
  <c r="AI3912" i="1"/>
  <c r="AI3913" i="1"/>
  <c r="AI3914" i="1"/>
  <c r="AI3915" i="1"/>
  <c r="AI3916" i="1"/>
  <c r="AI3917" i="1"/>
  <c r="AI3918" i="1"/>
  <c r="AI3919" i="1"/>
  <c r="AI3920" i="1"/>
  <c r="AI3921" i="1"/>
  <c r="AI3922" i="1"/>
  <c r="AI3923" i="1"/>
  <c r="AI3924"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3" i="1"/>
  <c r="AI3954" i="1"/>
  <c r="AI3955" i="1"/>
  <c r="AI3956" i="1"/>
  <c r="AI3957" i="1"/>
  <c r="AI3958" i="1"/>
  <c r="AI3959" i="1"/>
  <c r="AI3960" i="1"/>
  <c r="AI3961" i="1"/>
  <c r="AI3962" i="1"/>
  <c r="AI3963" i="1"/>
  <c r="AI3964" i="1"/>
  <c r="AI3965" i="1"/>
  <c r="AI3966" i="1"/>
  <c r="AI3967" i="1"/>
  <c r="AI3968" i="1"/>
  <c r="AI3969" i="1"/>
  <c r="AI3970" i="1"/>
  <c r="AI3971" i="1"/>
  <c r="AI3972" i="1"/>
  <c r="AI3973" i="1"/>
  <c r="AI3974" i="1"/>
  <c r="AI3975" i="1"/>
  <c r="AI3976" i="1"/>
  <c r="AI3977" i="1"/>
  <c r="AI3978" i="1"/>
  <c r="AI3979" i="1"/>
  <c r="AI3980" i="1"/>
  <c r="AI3981" i="1"/>
  <c r="AI3982" i="1"/>
  <c r="AI3983" i="1"/>
  <c r="AI3984" i="1"/>
  <c r="AI3985" i="1"/>
  <c r="AI3986" i="1"/>
  <c r="AI3987" i="1"/>
  <c r="AI3988" i="1"/>
  <c r="AI3989" i="1"/>
  <c r="AI3990" i="1"/>
  <c r="AI3991" i="1"/>
  <c r="AI3992" i="1"/>
  <c r="AI3993" i="1"/>
  <c r="AI3994" i="1"/>
  <c r="AI3995" i="1"/>
  <c r="AI3996" i="1"/>
  <c r="AI3997" i="1"/>
  <c r="AI3998" i="1"/>
  <c r="AI3999" i="1"/>
  <c r="AI4000" i="1"/>
  <c r="AI4001" i="1"/>
  <c r="AI4002" i="1"/>
  <c r="AI4003" i="1"/>
  <c r="AI4004" i="1"/>
  <c r="AI4005" i="1"/>
  <c r="AI4006" i="1"/>
  <c r="AI4007" i="1"/>
  <c r="AI4008" i="1"/>
  <c r="AI4009" i="1"/>
  <c r="AI4010" i="1"/>
  <c r="AI4011" i="1"/>
  <c r="AI4012" i="1"/>
  <c r="AI4013" i="1"/>
  <c r="AI4014" i="1"/>
  <c r="AI4015" i="1"/>
  <c r="AI4016" i="1"/>
  <c r="AI4017" i="1"/>
  <c r="AI4018" i="1"/>
  <c r="AI4019" i="1"/>
  <c r="AI4020" i="1"/>
  <c r="AI4021" i="1"/>
  <c r="AI4022" i="1"/>
  <c r="AI4023" i="1"/>
  <c r="AI4024" i="1"/>
  <c r="AI4025" i="1"/>
  <c r="AI4026" i="1"/>
  <c r="AI4027" i="1"/>
  <c r="AI4028"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5" i="1"/>
  <c r="AI4056" i="1"/>
  <c r="AI4057" i="1"/>
  <c r="AI4058" i="1"/>
  <c r="AI4059"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4086" i="1"/>
  <c r="AI4087" i="1"/>
  <c r="AI4088" i="1"/>
  <c r="AI4089" i="1"/>
  <c r="AI4090" i="1"/>
  <c r="AI4091" i="1"/>
  <c r="AI4092" i="1"/>
  <c r="AI4093" i="1"/>
  <c r="AI4094" i="1"/>
  <c r="AI4095" i="1"/>
  <c r="AI4096" i="1"/>
  <c r="AI4097" i="1"/>
  <c r="AI4098" i="1"/>
  <c r="AI4099" i="1"/>
  <c r="AI4100" i="1"/>
  <c r="AI4101" i="1"/>
  <c r="AI4102" i="1"/>
  <c r="AI4103" i="1"/>
  <c r="AI4104" i="1"/>
  <c r="AI4105" i="1"/>
  <c r="AI4106" i="1"/>
  <c r="AI4107" i="1"/>
  <c r="AI4108" i="1"/>
  <c r="AI4109" i="1"/>
  <c r="AI4110" i="1"/>
  <c r="AI4111" i="1"/>
  <c r="AI4112" i="1"/>
  <c r="AI4113" i="1"/>
  <c r="AI4114" i="1"/>
  <c r="AI4115" i="1"/>
  <c r="AI4116" i="1"/>
  <c r="AI4117" i="1"/>
  <c r="AI4118" i="1"/>
  <c r="AI4119" i="1"/>
  <c r="AI4120" i="1"/>
  <c r="AI4121" i="1"/>
  <c r="AI4122" i="1"/>
  <c r="AI4123" i="1"/>
  <c r="AI4124" i="1"/>
  <c r="AI4125" i="1"/>
  <c r="AI4126" i="1"/>
  <c r="AI4127" i="1"/>
  <c r="AI4128" i="1"/>
  <c r="AI4129" i="1"/>
  <c r="AI4130" i="1"/>
  <c r="AI4131" i="1"/>
  <c r="AI4132" i="1"/>
  <c r="AI4133" i="1"/>
  <c r="AI4134" i="1"/>
  <c r="AI4135" i="1"/>
  <c r="AI4136" i="1"/>
  <c r="AI4137" i="1"/>
  <c r="AI4138" i="1"/>
  <c r="AI4139" i="1"/>
  <c r="AI4140" i="1"/>
  <c r="AI4141" i="1"/>
  <c r="AI4142" i="1"/>
  <c r="AI4143" i="1"/>
  <c r="AI4144" i="1"/>
  <c r="AI4145" i="1"/>
  <c r="AI4146" i="1"/>
  <c r="AI4147" i="1"/>
  <c r="AI4148" i="1"/>
  <c r="AI4149" i="1"/>
  <c r="AI4150" i="1"/>
  <c r="AI4151" i="1"/>
  <c r="AI4152" i="1"/>
  <c r="AI4153" i="1"/>
  <c r="AI4154" i="1"/>
  <c r="AI4155" i="1"/>
  <c r="AI4156" i="1"/>
  <c r="AI4157" i="1"/>
  <c r="AI4158" i="1"/>
  <c r="AI4159" i="1"/>
  <c r="AI4160" i="1"/>
  <c r="AI4161" i="1"/>
  <c r="AI4162" i="1"/>
  <c r="AI4163" i="1"/>
  <c r="AI4164" i="1"/>
  <c r="AI4165" i="1"/>
  <c r="AI4166" i="1"/>
  <c r="AI4167" i="1"/>
  <c r="AI4168" i="1"/>
  <c r="AI4169" i="1"/>
  <c r="AI4170" i="1"/>
  <c r="AI4171" i="1"/>
  <c r="AI4172" i="1"/>
  <c r="AI4173" i="1"/>
  <c r="AI4174" i="1"/>
  <c r="AI4175" i="1"/>
  <c r="AI4176" i="1"/>
  <c r="AI4177" i="1"/>
  <c r="AI4178" i="1"/>
  <c r="AI4179" i="1"/>
  <c r="AI4180" i="1"/>
  <c r="AI4181" i="1"/>
  <c r="AI4182" i="1"/>
  <c r="AI4183" i="1"/>
  <c r="AI4184" i="1"/>
  <c r="AI4185" i="1"/>
  <c r="AI4186" i="1"/>
  <c r="AI4187" i="1"/>
  <c r="AI4188" i="1"/>
  <c r="AI4189" i="1"/>
  <c r="AI4190" i="1"/>
  <c r="AI4191" i="1"/>
  <c r="AI4192" i="1"/>
  <c r="AI4193" i="1"/>
  <c r="AI4194" i="1"/>
  <c r="AI4195" i="1"/>
  <c r="AI4196" i="1"/>
  <c r="AI4197" i="1"/>
  <c r="AI4198" i="1"/>
  <c r="AI4199" i="1"/>
  <c r="AI4200" i="1"/>
  <c r="AI4201" i="1"/>
  <c r="AI4202" i="1"/>
  <c r="AI4203" i="1"/>
  <c r="AI4204" i="1"/>
  <c r="AI4205" i="1"/>
  <c r="AI4206" i="1"/>
  <c r="AI4207" i="1"/>
  <c r="AI4208" i="1"/>
  <c r="AI4209" i="1"/>
  <c r="AI4210" i="1"/>
  <c r="AI4211" i="1"/>
  <c r="AI4212" i="1"/>
  <c r="AI4213" i="1"/>
  <c r="AI4214" i="1"/>
  <c r="AI4215" i="1"/>
  <c r="AI4216" i="1"/>
  <c r="AI4217" i="1"/>
  <c r="AI4218" i="1"/>
  <c r="AI4219" i="1"/>
  <c r="AI4220" i="1"/>
  <c r="AI4221" i="1"/>
  <c r="AI4222" i="1"/>
  <c r="AI4223" i="1"/>
  <c r="AI4224" i="1"/>
  <c r="AI4225" i="1"/>
  <c r="AI4226" i="1"/>
  <c r="AI4227" i="1"/>
  <c r="AI4228" i="1"/>
  <c r="AI4229" i="1"/>
  <c r="AI4230" i="1"/>
  <c r="AI4231" i="1"/>
  <c r="AI4232" i="1"/>
  <c r="AI4233" i="1"/>
  <c r="AI4234" i="1"/>
  <c r="AI4235" i="1"/>
  <c r="AI4236" i="1"/>
  <c r="AI4237" i="1"/>
  <c r="AI4238" i="1"/>
  <c r="AI4239" i="1"/>
  <c r="AI4240" i="1"/>
  <c r="AI4241" i="1"/>
  <c r="AI4242" i="1"/>
  <c r="AI4243" i="1"/>
  <c r="AI4244" i="1"/>
  <c r="AI4245" i="1"/>
  <c r="AI4246" i="1"/>
  <c r="AI4247" i="1"/>
  <c r="AI4248" i="1"/>
  <c r="AI4249" i="1"/>
  <c r="AI4250" i="1"/>
  <c r="AI4251" i="1"/>
  <c r="AI4252" i="1"/>
  <c r="AI4253" i="1"/>
  <c r="AI4254" i="1"/>
  <c r="AI4255" i="1"/>
  <c r="AI4256" i="1"/>
  <c r="AI4257" i="1"/>
  <c r="AI4258" i="1"/>
  <c r="AI4259" i="1"/>
  <c r="AI4260" i="1"/>
  <c r="AI4261" i="1"/>
  <c r="AI4262" i="1"/>
  <c r="AI4263" i="1"/>
  <c r="AI4264" i="1"/>
  <c r="AI4265" i="1"/>
  <c r="AI4266" i="1"/>
  <c r="AI4267" i="1"/>
  <c r="AI4268" i="1"/>
  <c r="AI4269" i="1"/>
  <c r="AI4270" i="1"/>
  <c r="AI4271" i="1"/>
  <c r="AI4272" i="1"/>
  <c r="AI4273" i="1"/>
  <c r="AI4274" i="1"/>
  <c r="AI4275" i="1"/>
  <c r="AI4276" i="1"/>
  <c r="AI4277" i="1"/>
  <c r="AI4278" i="1"/>
  <c r="AI4279" i="1"/>
  <c r="AI4280" i="1"/>
  <c r="AI4281" i="1"/>
  <c r="AI4282" i="1"/>
  <c r="AI4283" i="1"/>
  <c r="AI4284" i="1"/>
  <c r="AI4285" i="1"/>
  <c r="AI4286" i="1"/>
  <c r="AI4287" i="1"/>
  <c r="AI4288" i="1"/>
  <c r="AI4289" i="1"/>
  <c r="AI4290" i="1"/>
  <c r="AI4291" i="1"/>
  <c r="AI4292" i="1"/>
  <c r="AI4293" i="1"/>
  <c r="AI4294" i="1"/>
  <c r="AI4295" i="1"/>
  <c r="AI4296" i="1"/>
  <c r="AI4297" i="1"/>
  <c r="AI4298" i="1"/>
  <c r="AI4299" i="1"/>
  <c r="AI4300" i="1"/>
  <c r="AI4301" i="1"/>
  <c r="AI4302" i="1"/>
  <c r="AI4303" i="1"/>
  <c r="AI4304" i="1"/>
  <c r="AI4305" i="1"/>
  <c r="AI4306" i="1"/>
  <c r="AI4307" i="1"/>
  <c r="AI4308" i="1"/>
  <c r="AI4309" i="1"/>
  <c r="AI4310" i="1"/>
  <c r="AI4311" i="1"/>
  <c r="AI4312" i="1"/>
  <c r="AI4313" i="1"/>
  <c r="AI4314" i="1"/>
  <c r="AI4315" i="1"/>
  <c r="AI4316" i="1"/>
  <c r="AI4317" i="1"/>
  <c r="AI4318" i="1"/>
  <c r="AI4319" i="1"/>
  <c r="AI4320" i="1"/>
  <c r="AI4321" i="1"/>
  <c r="AI4322" i="1"/>
  <c r="AI4323" i="1"/>
  <c r="AI4324" i="1"/>
  <c r="AI4325" i="1"/>
  <c r="AI4326" i="1"/>
  <c r="AI4327" i="1"/>
  <c r="AI4328" i="1"/>
  <c r="AI4329" i="1"/>
  <c r="AI4330" i="1"/>
  <c r="AI4331" i="1"/>
  <c r="AI4332" i="1"/>
  <c r="AI4333" i="1"/>
  <c r="AI4334" i="1"/>
  <c r="AI4335" i="1"/>
  <c r="AI4336" i="1"/>
  <c r="AI4337" i="1"/>
  <c r="AI4338" i="1"/>
  <c r="AI4339" i="1"/>
  <c r="AI4340" i="1"/>
  <c r="AI4341" i="1"/>
  <c r="AI4342" i="1"/>
  <c r="AI4343" i="1"/>
  <c r="AI4344" i="1"/>
  <c r="AI4345" i="1"/>
  <c r="AI4346" i="1"/>
  <c r="AI4347" i="1"/>
  <c r="AI4348" i="1"/>
  <c r="AI4349" i="1"/>
  <c r="AI4350" i="1"/>
  <c r="AI4351" i="1"/>
  <c r="AI4352" i="1"/>
  <c r="AI4353" i="1"/>
  <c r="AI4354" i="1"/>
  <c r="AI4355" i="1"/>
  <c r="AI4356" i="1"/>
  <c r="AI4357" i="1"/>
  <c r="AI4358" i="1"/>
  <c r="AI4359" i="1"/>
  <c r="AI4360" i="1"/>
  <c r="AI4361" i="1"/>
  <c r="AI4362" i="1"/>
  <c r="AI4363" i="1"/>
  <c r="AI4364" i="1"/>
  <c r="AI4365" i="1"/>
  <c r="AI4366" i="1"/>
  <c r="AI4367" i="1"/>
  <c r="AI4368" i="1"/>
  <c r="AI4369" i="1"/>
  <c r="AI4370" i="1"/>
  <c r="AI4371" i="1"/>
  <c r="AI4372" i="1"/>
  <c r="AI4373" i="1"/>
  <c r="AI4374" i="1"/>
  <c r="AI4375" i="1"/>
  <c r="AI4376" i="1"/>
  <c r="AI4377" i="1"/>
  <c r="AI4378" i="1"/>
  <c r="AI4379" i="1"/>
  <c r="AI4380" i="1"/>
  <c r="AI4381" i="1"/>
  <c r="AI4382" i="1"/>
  <c r="AI4383" i="1"/>
  <c r="AI4384" i="1"/>
  <c r="AI4385" i="1"/>
  <c r="AI4386" i="1"/>
  <c r="AI4387" i="1"/>
  <c r="AI4388" i="1"/>
  <c r="AI4389" i="1"/>
  <c r="AI4390" i="1"/>
  <c r="AI4391" i="1"/>
  <c r="AI4392" i="1"/>
  <c r="AI4393" i="1"/>
  <c r="AI4394" i="1"/>
  <c r="AI4395" i="1"/>
  <c r="AI4396" i="1"/>
  <c r="AI4397" i="1"/>
  <c r="AI4398" i="1"/>
  <c r="AI4399" i="1"/>
  <c r="AI4400" i="1"/>
  <c r="AI4401" i="1"/>
  <c r="AI4402" i="1"/>
  <c r="AI4403" i="1"/>
  <c r="AI4404" i="1"/>
  <c r="AI4405" i="1"/>
  <c r="AI4406" i="1"/>
  <c r="AI4407" i="1"/>
  <c r="AI4408" i="1"/>
  <c r="AI4409" i="1"/>
  <c r="AI4410" i="1"/>
  <c r="AI4411" i="1"/>
  <c r="AI4412" i="1"/>
  <c r="AI4413" i="1"/>
  <c r="AI4414" i="1"/>
  <c r="AI4415" i="1"/>
  <c r="AI4416" i="1"/>
  <c r="AI4417" i="1"/>
  <c r="AI4418" i="1"/>
  <c r="AI4419" i="1"/>
  <c r="AI4420" i="1"/>
  <c r="AI4421" i="1"/>
  <c r="AI4422" i="1"/>
  <c r="AI4423" i="1"/>
  <c r="AI4424" i="1"/>
  <c r="AI4425" i="1"/>
  <c r="AI4426" i="1"/>
  <c r="AI4427" i="1"/>
  <c r="AI4428" i="1"/>
  <c r="AI4429" i="1"/>
  <c r="AI4430" i="1"/>
  <c r="AI4431" i="1"/>
  <c r="AI4432" i="1"/>
  <c r="AI4433" i="1"/>
  <c r="AI4434" i="1"/>
  <c r="AI4435" i="1"/>
  <c r="AI4436" i="1"/>
  <c r="AI4437" i="1"/>
  <c r="AI4438" i="1"/>
  <c r="AI4439" i="1"/>
  <c r="AI4440" i="1"/>
  <c r="AI4441" i="1"/>
  <c r="AI4442" i="1"/>
  <c r="AI4443" i="1"/>
  <c r="AI4444" i="1"/>
  <c r="AI4445" i="1"/>
  <c r="AI4446" i="1"/>
  <c r="AI4447" i="1"/>
  <c r="AI4448" i="1"/>
  <c r="AI4449" i="1"/>
  <c r="AI4450" i="1"/>
  <c r="AI4451" i="1"/>
  <c r="AI4452" i="1"/>
  <c r="AI4453" i="1"/>
  <c r="AI4454" i="1"/>
  <c r="AI4455" i="1"/>
  <c r="AI4456" i="1"/>
  <c r="AI4457" i="1"/>
  <c r="AI4458" i="1"/>
  <c r="AI4459" i="1"/>
  <c r="AI4460" i="1"/>
  <c r="AI4461" i="1"/>
  <c r="AI4462" i="1"/>
  <c r="AI4463" i="1"/>
  <c r="AI4464" i="1"/>
  <c r="AI4465" i="1"/>
  <c r="AI4466" i="1"/>
  <c r="AI4467" i="1"/>
  <c r="AI4468" i="1"/>
  <c r="AI4469" i="1"/>
  <c r="AI4470" i="1"/>
  <c r="AI4471" i="1"/>
  <c r="AI4472" i="1"/>
  <c r="AI4473" i="1"/>
  <c r="AI4474" i="1"/>
  <c r="AI4475" i="1"/>
  <c r="AI4476" i="1"/>
  <c r="AI4477" i="1"/>
  <c r="AI4478" i="1"/>
  <c r="AI4479" i="1"/>
  <c r="AI4480" i="1"/>
  <c r="AI4481" i="1"/>
  <c r="AI4482" i="1"/>
  <c r="AI4483" i="1"/>
  <c r="AI4484" i="1"/>
  <c r="AI4485" i="1"/>
  <c r="AI4486" i="1"/>
  <c r="AI4487" i="1"/>
  <c r="AI4488" i="1"/>
  <c r="AI4489" i="1"/>
  <c r="AI4490" i="1"/>
  <c r="AI4491" i="1"/>
  <c r="AI4492" i="1"/>
  <c r="AI4493" i="1"/>
  <c r="AI4494" i="1"/>
  <c r="AI4495" i="1"/>
  <c r="AI4496" i="1"/>
  <c r="AI4497" i="1"/>
  <c r="AI4498" i="1"/>
  <c r="AI4499" i="1"/>
  <c r="AI4500" i="1"/>
  <c r="AI4501" i="1"/>
  <c r="AI4502" i="1"/>
  <c r="AI4503" i="1"/>
  <c r="AI4504" i="1"/>
  <c r="AI4505" i="1"/>
  <c r="AI4506" i="1"/>
  <c r="AI4507" i="1"/>
  <c r="AI4508" i="1"/>
  <c r="AI4509" i="1"/>
  <c r="AI4510" i="1"/>
  <c r="AI4511" i="1"/>
  <c r="AI4512" i="1"/>
  <c r="AI4513" i="1"/>
  <c r="AI4514" i="1"/>
  <c r="AI4515" i="1"/>
  <c r="AI4516" i="1"/>
  <c r="AI4517" i="1"/>
  <c r="AI4518" i="1"/>
  <c r="AI4519" i="1"/>
  <c r="AI4520" i="1"/>
  <c r="AI4521" i="1"/>
  <c r="AI4522" i="1"/>
  <c r="AI4523" i="1"/>
  <c r="AI4524" i="1"/>
  <c r="AI4525" i="1"/>
  <c r="AI4526" i="1"/>
  <c r="AI4527" i="1"/>
  <c r="AI4528" i="1"/>
  <c r="AI4529" i="1"/>
  <c r="AI4530" i="1"/>
  <c r="AI4531" i="1"/>
  <c r="AI4532" i="1"/>
  <c r="AI4533" i="1"/>
  <c r="AI4534" i="1"/>
  <c r="AI4535" i="1"/>
  <c r="AI4536" i="1"/>
  <c r="AI4537" i="1"/>
  <c r="AI4538" i="1"/>
  <c r="AI4539" i="1"/>
  <c r="AI4540" i="1"/>
  <c r="AI4541" i="1"/>
  <c r="AI4542" i="1"/>
  <c r="AI4543" i="1"/>
  <c r="AI4544" i="1"/>
  <c r="AI4545" i="1"/>
  <c r="AI4546" i="1"/>
  <c r="AI4547" i="1"/>
  <c r="AI4548" i="1"/>
  <c r="AI4549" i="1"/>
  <c r="AI4550" i="1"/>
  <c r="AI4551" i="1"/>
  <c r="AI4552" i="1"/>
  <c r="AI4553" i="1"/>
  <c r="AI4554" i="1"/>
  <c r="AI4555" i="1"/>
  <c r="AI4556" i="1"/>
  <c r="AI4557" i="1"/>
  <c r="AI4558" i="1"/>
  <c r="AI4559" i="1"/>
  <c r="AI4560" i="1"/>
  <c r="AI4561" i="1"/>
  <c r="AI4562" i="1"/>
  <c r="AI4563" i="1"/>
  <c r="AI4564" i="1"/>
  <c r="AI4565" i="1"/>
  <c r="AI4566" i="1"/>
  <c r="AI4567" i="1"/>
  <c r="AI4568" i="1"/>
  <c r="AI4569" i="1"/>
  <c r="AI4570" i="1"/>
  <c r="AI4571" i="1"/>
  <c r="AI4572" i="1"/>
  <c r="AI4573" i="1"/>
  <c r="AI4574" i="1"/>
  <c r="AI4575" i="1"/>
  <c r="AI4576" i="1"/>
  <c r="AI4577" i="1"/>
  <c r="AI4578" i="1"/>
  <c r="AI4579" i="1"/>
  <c r="AI4580" i="1"/>
  <c r="AI4581" i="1"/>
  <c r="AI4582" i="1"/>
  <c r="AI4583" i="1"/>
  <c r="AI4584" i="1"/>
  <c r="AI4585" i="1"/>
  <c r="AI4586" i="1"/>
  <c r="AI4587" i="1"/>
  <c r="AI4588" i="1"/>
  <c r="AI4589" i="1"/>
  <c r="AI4590" i="1"/>
  <c r="AI4591" i="1"/>
  <c r="AI4592" i="1"/>
  <c r="AI4593" i="1"/>
  <c r="AI4594" i="1"/>
  <c r="AI4595" i="1"/>
  <c r="AI4596" i="1"/>
  <c r="AI4597" i="1"/>
  <c r="AI4598" i="1"/>
  <c r="AI4599" i="1"/>
  <c r="AI4600" i="1"/>
  <c r="AI4601" i="1"/>
  <c r="AI4602" i="1"/>
  <c r="AI4603" i="1"/>
  <c r="AI4604" i="1"/>
  <c r="AI4605" i="1"/>
  <c r="AI4606" i="1"/>
  <c r="AI4607" i="1"/>
  <c r="AI4608" i="1"/>
  <c r="AI4609" i="1"/>
  <c r="AI4610" i="1"/>
  <c r="AI4611" i="1"/>
  <c r="AI4612" i="1"/>
  <c r="AI4613" i="1"/>
  <c r="AI4614" i="1"/>
  <c r="AI4615" i="1"/>
  <c r="AI4616" i="1"/>
  <c r="AI4617" i="1"/>
  <c r="AI4618" i="1"/>
  <c r="AI4619" i="1"/>
  <c r="AI4620" i="1"/>
  <c r="AI4621" i="1"/>
  <c r="AI4622" i="1"/>
  <c r="AI4623" i="1"/>
  <c r="AI4624" i="1"/>
  <c r="AI4625" i="1"/>
  <c r="AI4626" i="1"/>
  <c r="AI4627" i="1"/>
  <c r="AI4628" i="1"/>
  <c r="AI4629" i="1"/>
  <c r="AI4630" i="1"/>
  <c r="AI4631" i="1"/>
  <c r="AI4632" i="1"/>
  <c r="AI4633" i="1"/>
  <c r="AI4634" i="1"/>
  <c r="AI4635" i="1"/>
  <c r="AI4636" i="1"/>
  <c r="AI4637" i="1"/>
  <c r="AI4638" i="1"/>
  <c r="AI4639" i="1"/>
  <c r="AI4640" i="1"/>
  <c r="AI4641" i="1"/>
  <c r="AI4642" i="1"/>
  <c r="AI4643" i="1"/>
  <c r="AI4644" i="1"/>
  <c r="AI4645" i="1"/>
  <c r="AI4646" i="1"/>
  <c r="AI4647" i="1"/>
  <c r="AI4648" i="1"/>
  <c r="AI4649" i="1"/>
  <c r="AI4650" i="1"/>
  <c r="AI4651" i="1"/>
  <c r="AI4652" i="1"/>
  <c r="AI4653" i="1"/>
  <c r="AI4654" i="1"/>
  <c r="AI4655" i="1"/>
  <c r="AI4656" i="1"/>
  <c r="AI4657" i="1"/>
  <c r="AI4658" i="1"/>
  <c r="AI4659" i="1"/>
  <c r="AI4660" i="1"/>
  <c r="AI4661" i="1"/>
  <c r="AI4662" i="1"/>
  <c r="AI4663" i="1"/>
  <c r="AI4664" i="1"/>
  <c r="AI4665" i="1"/>
  <c r="AI4666" i="1"/>
  <c r="AI4667" i="1"/>
  <c r="AI4668" i="1"/>
  <c r="AI4669" i="1"/>
  <c r="AI4670" i="1"/>
  <c r="AI4671" i="1"/>
  <c r="AI4672" i="1"/>
  <c r="AI4673" i="1"/>
  <c r="AI4674" i="1"/>
  <c r="AI4675" i="1"/>
  <c r="AI4676" i="1"/>
  <c r="AI4677" i="1"/>
  <c r="AI4678" i="1"/>
  <c r="AI4679" i="1"/>
  <c r="AI4680" i="1"/>
  <c r="AI4681" i="1"/>
  <c r="AI4682" i="1"/>
  <c r="AI4683" i="1"/>
  <c r="AI4684" i="1"/>
  <c r="AI4685" i="1"/>
  <c r="AI4686" i="1"/>
  <c r="AI4687" i="1"/>
  <c r="AI4688" i="1"/>
  <c r="AI4689" i="1"/>
  <c r="AI4690" i="1"/>
  <c r="AI4691" i="1"/>
  <c r="AI4692" i="1"/>
  <c r="AI4693" i="1"/>
  <c r="AI4694" i="1"/>
  <c r="AI4695" i="1"/>
  <c r="AI4696" i="1"/>
  <c r="AI4697" i="1"/>
  <c r="AI4698" i="1"/>
  <c r="AI4699" i="1"/>
  <c r="AI4700" i="1"/>
  <c r="AI4701" i="1"/>
  <c r="AI4702" i="1"/>
  <c r="AI4703" i="1"/>
  <c r="AI4704" i="1"/>
  <c r="AI4705" i="1"/>
  <c r="AI4706" i="1"/>
  <c r="AI4707" i="1"/>
  <c r="AI4708" i="1"/>
  <c r="AI4709" i="1"/>
  <c r="AI4710" i="1"/>
  <c r="AI4711" i="1"/>
  <c r="AI4712" i="1"/>
  <c r="AI4713" i="1"/>
  <c r="AI4714" i="1"/>
  <c r="AI4715" i="1"/>
  <c r="AI4716" i="1"/>
  <c r="AI4717" i="1"/>
  <c r="AI4718" i="1"/>
  <c r="AI4719" i="1"/>
  <c r="AI4720" i="1"/>
  <c r="AI4721" i="1"/>
  <c r="AI4722" i="1"/>
  <c r="AI4723" i="1"/>
  <c r="AI4724" i="1"/>
  <c r="AI4725" i="1"/>
  <c r="AI4726" i="1"/>
  <c r="AI4727" i="1"/>
  <c r="AI4728" i="1"/>
  <c r="AI4729" i="1"/>
  <c r="AI4730" i="1"/>
  <c r="AI4731" i="1"/>
  <c r="AI4732" i="1"/>
  <c r="AI4733" i="1"/>
  <c r="AI4734" i="1"/>
  <c r="AI4735" i="1"/>
  <c r="AI4736" i="1"/>
  <c r="AI4737" i="1"/>
  <c r="AI4738" i="1"/>
  <c r="AI4739" i="1"/>
  <c r="AI4740" i="1"/>
  <c r="AI4741" i="1"/>
  <c r="AI4742" i="1"/>
  <c r="AI4743" i="1"/>
  <c r="AI4744" i="1"/>
  <c r="AI4745" i="1"/>
  <c r="AI4746" i="1"/>
  <c r="AI4747" i="1"/>
  <c r="AI4748" i="1"/>
  <c r="AI4749" i="1"/>
  <c r="AI4750" i="1"/>
  <c r="AI4751" i="1"/>
  <c r="AI4752" i="1"/>
  <c r="AI4753" i="1"/>
  <c r="AI4754" i="1"/>
  <c r="AI4755" i="1"/>
  <c r="AI4756" i="1"/>
  <c r="AI4757" i="1"/>
  <c r="AI4758" i="1"/>
  <c r="AI4759" i="1"/>
  <c r="AI4760" i="1"/>
  <c r="AI4761" i="1"/>
  <c r="AI4762" i="1"/>
  <c r="AI4763" i="1"/>
  <c r="AI4764" i="1"/>
  <c r="AI4765" i="1"/>
  <c r="AI4766" i="1"/>
  <c r="AI4767" i="1"/>
  <c r="AI4768" i="1"/>
  <c r="AI4769" i="1"/>
  <c r="AI4770" i="1"/>
  <c r="AI4771" i="1"/>
  <c r="AI4772" i="1"/>
  <c r="AI4773" i="1"/>
  <c r="AI4774" i="1"/>
  <c r="AI4775" i="1"/>
  <c r="AI4776" i="1"/>
  <c r="AI4777" i="1"/>
  <c r="AI4778" i="1"/>
  <c r="AI4779" i="1"/>
  <c r="AI4780" i="1"/>
  <c r="AI4781" i="1"/>
  <c r="AI4782" i="1"/>
  <c r="AI4783" i="1"/>
  <c r="AI4784" i="1"/>
  <c r="AI4785" i="1"/>
  <c r="AI4786" i="1"/>
  <c r="AI4787" i="1"/>
  <c r="AI4788" i="1"/>
  <c r="AI4789" i="1"/>
  <c r="AI4790" i="1"/>
  <c r="AI4791" i="1"/>
  <c r="AI4792" i="1"/>
  <c r="AI4793" i="1"/>
  <c r="AI4794" i="1"/>
  <c r="AI4795" i="1"/>
  <c r="AI4796" i="1"/>
  <c r="AI4797" i="1"/>
  <c r="AI4798" i="1"/>
  <c r="AI4799" i="1"/>
  <c r="AI4800" i="1"/>
  <c r="AI4801" i="1"/>
  <c r="AI4802" i="1"/>
  <c r="AI4803" i="1"/>
  <c r="AI4804" i="1"/>
  <c r="AI4805" i="1"/>
  <c r="AI4806" i="1"/>
  <c r="AI4807" i="1"/>
  <c r="AI4808" i="1"/>
  <c r="AI4809" i="1"/>
  <c r="AI4810" i="1"/>
  <c r="AI4811" i="1"/>
  <c r="AI4812" i="1"/>
  <c r="AI4813" i="1"/>
  <c r="AI4814" i="1"/>
  <c r="AI4815" i="1"/>
  <c r="AI4816" i="1"/>
  <c r="AI4817" i="1"/>
  <c r="AI4818" i="1"/>
  <c r="AI4819" i="1"/>
  <c r="AI4820" i="1"/>
  <c r="AI4821" i="1"/>
  <c r="AI4822" i="1"/>
  <c r="AI4823" i="1"/>
  <c r="AI4824" i="1"/>
  <c r="AI4825" i="1"/>
  <c r="AI4826" i="1"/>
  <c r="AI4827" i="1"/>
  <c r="AI4828" i="1"/>
  <c r="AI4829" i="1"/>
  <c r="AI4830" i="1"/>
  <c r="AI4831" i="1"/>
  <c r="AI4832" i="1"/>
  <c r="AI4833" i="1"/>
  <c r="AI4834" i="1"/>
  <c r="AI4835" i="1"/>
  <c r="AI4836" i="1"/>
  <c r="AI4837" i="1"/>
  <c r="AI4838" i="1"/>
  <c r="AI4839" i="1"/>
  <c r="AI4840" i="1"/>
  <c r="AI4841" i="1"/>
  <c r="AI4842" i="1"/>
  <c r="AI4843" i="1"/>
  <c r="AI4844" i="1"/>
  <c r="AI4845" i="1"/>
  <c r="AI4846" i="1"/>
  <c r="AI4847" i="1"/>
  <c r="AI4848" i="1"/>
  <c r="AI4849" i="1"/>
  <c r="AI4850" i="1"/>
  <c r="AI4851" i="1"/>
  <c r="AI4852" i="1"/>
  <c r="AI4853" i="1"/>
  <c r="AI4854" i="1"/>
  <c r="AI4855" i="1"/>
  <c r="AI4856" i="1"/>
  <c r="AI4857" i="1"/>
  <c r="AI4858" i="1"/>
  <c r="AI4859" i="1"/>
  <c r="AI4860" i="1"/>
  <c r="AI4861" i="1"/>
  <c r="AI4862" i="1"/>
  <c r="AI4863" i="1"/>
  <c r="AI4864" i="1"/>
  <c r="AI4865" i="1"/>
  <c r="AI4866" i="1"/>
  <c r="AI4867" i="1"/>
  <c r="AI4868" i="1"/>
  <c r="AI4869" i="1"/>
  <c r="AI4870" i="1"/>
  <c r="AI4871" i="1"/>
  <c r="AI4872" i="1"/>
  <c r="AI4873" i="1"/>
  <c r="AI4874" i="1"/>
  <c r="AI4875" i="1"/>
  <c r="AI4876" i="1"/>
  <c r="AI4877" i="1"/>
  <c r="AI4878" i="1"/>
  <c r="AI4879" i="1"/>
  <c r="AI4880" i="1"/>
  <c r="AI4881" i="1"/>
  <c r="AI4882" i="1"/>
  <c r="AI4883" i="1"/>
  <c r="AI4884" i="1"/>
  <c r="AI4885" i="1"/>
  <c r="AI4886" i="1"/>
  <c r="AI4887" i="1"/>
  <c r="AI4888" i="1"/>
  <c r="AI4889" i="1"/>
  <c r="AI4890" i="1"/>
  <c r="AI4891" i="1"/>
  <c r="AI4892" i="1"/>
  <c r="AI4893" i="1"/>
  <c r="AI4894" i="1"/>
  <c r="AI4895" i="1"/>
  <c r="AI4896" i="1"/>
  <c r="AI4897" i="1"/>
  <c r="AI4898" i="1"/>
  <c r="AI4899" i="1"/>
  <c r="AI4900" i="1"/>
  <c r="AI4901" i="1"/>
  <c r="AI4902" i="1"/>
  <c r="AI4903" i="1"/>
  <c r="AI4904" i="1"/>
  <c r="AI4905" i="1"/>
  <c r="AI4906" i="1"/>
  <c r="AI4907" i="1"/>
  <c r="AI4908" i="1"/>
  <c r="AI4909" i="1"/>
  <c r="AI4910" i="1"/>
  <c r="AI4911" i="1"/>
  <c r="AI4912" i="1"/>
  <c r="AI4913" i="1"/>
  <c r="AI4914" i="1"/>
  <c r="AI4915" i="1"/>
  <c r="AI4916" i="1"/>
  <c r="AI4917" i="1"/>
  <c r="AI4918" i="1"/>
  <c r="AI4919" i="1"/>
  <c r="AI4920" i="1"/>
  <c r="AI4921" i="1"/>
  <c r="AI4922" i="1"/>
  <c r="AI4923" i="1"/>
  <c r="AI4924" i="1"/>
  <c r="AI4925" i="1"/>
  <c r="AI4926" i="1"/>
  <c r="AI4927" i="1"/>
  <c r="AI4928" i="1"/>
  <c r="AI4929" i="1"/>
  <c r="AI4930" i="1"/>
  <c r="AI4931" i="1"/>
  <c r="AI4932" i="1"/>
  <c r="AI4933" i="1"/>
  <c r="AI4934" i="1"/>
  <c r="AI4935" i="1"/>
  <c r="AI4936" i="1"/>
  <c r="AI4937" i="1"/>
  <c r="AI4938" i="1"/>
  <c r="AI4939" i="1"/>
  <c r="AI4940" i="1"/>
  <c r="AI4941" i="1"/>
  <c r="AI4942" i="1"/>
  <c r="AI4943" i="1"/>
  <c r="AI4944" i="1"/>
  <c r="AI4945" i="1"/>
  <c r="AI4946" i="1"/>
  <c r="AI4947" i="1"/>
  <c r="AI4948" i="1"/>
  <c r="AI4949" i="1"/>
  <c r="AI4950" i="1"/>
  <c r="AI4951" i="1"/>
  <c r="AI4952" i="1"/>
  <c r="AI4953" i="1"/>
  <c r="AI4954" i="1"/>
  <c r="AI4955" i="1"/>
  <c r="AI4956" i="1"/>
  <c r="AI4957" i="1"/>
  <c r="AI4958" i="1"/>
  <c r="AI4959" i="1"/>
  <c r="AI4960" i="1"/>
  <c r="AI4961" i="1"/>
  <c r="AI4962" i="1"/>
  <c r="AI4963" i="1"/>
  <c r="AI4964" i="1"/>
  <c r="AI4965" i="1"/>
  <c r="AI4966" i="1"/>
  <c r="AI4967" i="1"/>
  <c r="AI4968" i="1"/>
  <c r="AI4969" i="1"/>
  <c r="AI4970" i="1"/>
  <c r="AI4971" i="1"/>
  <c r="AI4972" i="1"/>
  <c r="AI4973" i="1"/>
  <c r="AI4974" i="1"/>
  <c r="AI4975" i="1"/>
  <c r="AI4976" i="1"/>
  <c r="AI4977" i="1"/>
  <c r="AI4978" i="1"/>
  <c r="AI4979" i="1"/>
  <c r="AI4980" i="1"/>
  <c r="AI4981" i="1"/>
  <c r="AI4982" i="1"/>
  <c r="AI4983" i="1"/>
  <c r="AI4984" i="1"/>
  <c r="AI4985" i="1"/>
  <c r="AI4986" i="1"/>
  <c r="AI4987" i="1"/>
  <c r="AI4988" i="1"/>
  <c r="AI4989" i="1"/>
  <c r="AI4990" i="1"/>
  <c r="AI4991" i="1"/>
  <c r="AI4992" i="1"/>
  <c r="AI4993" i="1"/>
  <c r="AI4994" i="1"/>
  <c r="AI4995" i="1"/>
  <c r="AI4996" i="1"/>
  <c r="AI4997" i="1"/>
  <c r="AI4998" i="1"/>
  <c r="AI4999" i="1"/>
  <c r="AI5000" i="1"/>
  <c r="AI5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H4202" i="1"/>
  <c r="AH4203" i="1"/>
  <c r="AH4204" i="1"/>
  <c r="AH4205" i="1"/>
  <c r="AH4206" i="1"/>
  <c r="AH4207" i="1"/>
  <c r="AH4208" i="1"/>
  <c r="AH4209" i="1"/>
  <c r="AH4210" i="1"/>
  <c r="AH4211" i="1"/>
  <c r="AH4212" i="1"/>
  <c r="AH4213" i="1"/>
  <c r="AH4214" i="1"/>
  <c r="AH4215" i="1"/>
  <c r="AH4216" i="1"/>
  <c r="AH4217" i="1"/>
  <c r="AH4218" i="1"/>
  <c r="AH4219" i="1"/>
  <c r="AH4220" i="1"/>
  <c r="AH4221" i="1"/>
  <c r="AH4222" i="1"/>
  <c r="AH4223" i="1"/>
  <c r="AH4224" i="1"/>
  <c r="AH4225" i="1"/>
  <c r="AH4226" i="1"/>
  <c r="AH4227" i="1"/>
  <c r="AH4228" i="1"/>
  <c r="AH4229" i="1"/>
  <c r="AH4230" i="1"/>
  <c r="AH4231" i="1"/>
  <c r="AH4232" i="1"/>
  <c r="AH4233" i="1"/>
  <c r="AH4234" i="1"/>
  <c r="AH4235" i="1"/>
  <c r="AH4236" i="1"/>
  <c r="AH4237" i="1"/>
  <c r="AH4238" i="1"/>
  <c r="AH4239" i="1"/>
  <c r="AH4240" i="1"/>
  <c r="AH4241" i="1"/>
  <c r="AH4242" i="1"/>
  <c r="AH4243" i="1"/>
  <c r="AH4244" i="1"/>
  <c r="AH4245" i="1"/>
  <c r="AH4246" i="1"/>
  <c r="AH4247" i="1"/>
  <c r="AH4248" i="1"/>
  <c r="AH4249" i="1"/>
  <c r="AH4250" i="1"/>
  <c r="AH4251" i="1"/>
  <c r="AH4252" i="1"/>
  <c r="AH4253" i="1"/>
  <c r="AH4254" i="1"/>
  <c r="AH4255" i="1"/>
  <c r="AH4256" i="1"/>
  <c r="AH4257" i="1"/>
  <c r="AH4258" i="1"/>
  <c r="AH4259" i="1"/>
  <c r="AH4260" i="1"/>
  <c r="AH4261" i="1"/>
  <c r="AH4262" i="1"/>
  <c r="AH4263" i="1"/>
  <c r="AH4264" i="1"/>
  <c r="AH4265" i="1"/>
  <c r="AH4266" i="1"/>
  <c r="AH4267" i="1"/>
  <c r="AH4268" i="1"/>
  <c r="AH4269" i="1"/>
  <c r="AH4270" i="1"/>
  <c r="AH4271" i="1"/>
  <c r="AH4272" i="1"/>
  <c r="AH4273" i="1"/>
  <c r="AH4274" i="1"/>
  <c r="AH4275" i="1"/>
  <c r="AH4276" i="1"/>
  <c r="AH4277" i="1"/>
  <c r="AH4278" i="1"/>
  <c r="AH4279" i="1"/>
  <c r="AH4280" i="1"/>
  <c r="AH4281" i="1"/>
  <c r="AH4282" i="1"/>
  <c r="AH4283" i="1"/>
  <c r="AH4284" i="1"/>
  <c r="AH4285" i="1"/>
  <c r="AH4286" i="1"/>
  <c r="AH4287" i="1"/>
  <c r="AH4288" i="1"/>
  <c r="AH4289" i="1"/>
  <c r="AH4290" i="1"/>
  <c r="AH4291" i="1"/>
  <c r="AH4292" i="1"/>
  <c r="AH4293" i="1"/>
  <c r="AH4294" i="1"/>
  <c r="AH4295" i="1"/>
  <c r="AH4296" i="1"/>
  <c r="AH4297" i="1"/>
  <c r="AH4298" i="1"/>
  <c r="AH4299" i="1"/>
  <c r="AH4300" i="1"/>
  <c r="AH4301" i="1"/>
  <c r="AH4302" i="1"/>
  <c r="AH4303" i="1"/>
  <c r="AH4304" i="1"/>
  <c r="AH4305" i="1"/>
  <c r="AH4306" i="1"/>
  <c r="AH4307" i="1"/>
  <c r="AH4308" i="1"/>
  <c r="AH4309" i="1"/>
  <c r="AH4310" i="1"/>
  <c r="AH4311" i="1"/>
  <c r="AH4312" i="1"/>
  <c r="AH4313" i="1"/>
  <c r="AH4314" i="1"/>
  <c r="AH4315" i="1"/>
  <c r="AH4316" i="1"/>
  <c r="AH4317" i="1"/>
  <c r="AH4318" i="1"/>
  <c r="AH4319" i="1"/>
  <c r="AH4320" i="1"/>
  <c r="AH4321" i="1"/>
  <c r="AH4322" i="1"/>
  <c r="AH4323" i="1"/>
  <c r="AH4324" i="1"/>
  <c r="AH4325" i="1"/>
  <c r="AH4326" i="1"/>
  <c r="AH4327" i="1"/>
  <c r="AH4328" i="1"/>
  <c r="AH4329" i="1"/>
  <c r="AH4330" i="1"/>
  <c r="AH4331" i="1"/>
  <c r="AH4332" i="1"/>
  <c r="AH4333" i="1"/>
  <c r="AH4334" i="1"/>
  <c r="AH4335" i="1"/>
  <c r="AH4336" i="1"/>
  <c r="AH4337" i="1"/>
  <c r="AH4338" i="1"/>
  <c r="AH4339" i="1"/>
  <c r="AH4340" i="1"/>
  <c r="AH4341" i="1"/>
  <c r="AH4342" i="1"/>
  <c r="AH4343" i="1"/>
  <c r="AH4344" i="1"/>
  <c r="AH4345" i="1"/>
  <c r="AH4346" i="1"/>
  <c r="AH4347" i="1"/>
  <c r="AH4348" i="1"/>
  <c r="AH4349" i="1"/>
  <c r="AH4350" i="1"/>
  <c r="AH4351" i="1"/>
  <c r="AH4352" i="1"/>
  <c r="AH4353" i="1"/>
  <c r="AH4354" i="1"/>
  <c r="AH4355" i="1"/>
  <c r="AH4356" i="1"/>
  <c r="AH4357" i="1"/>
  <c r="AH4358" i="1"/>
  <c r="AH4359" i="1"/>
  <c r="AH4360" i="1"/>
  <c r="AH4361" i="1"/>
  <c r="AH4362" i="1"/>
  <c r="AH4363" i="1"/>
  <c r="AH4364" i="1"/>
  <c r="AH4365" i="1"/>
  <c r="AH4366" i="1"/>
  <c r="AH4367" i="1"/>
  <c r="AH4368" i="1"/>
  <c r="AH4369" i="1"/>
  <c r="AH4370" i="1"/>
  <c r="AH4371" i="1"/>
  <c r="AH4372" i="1"/>
  <c r="AH4373" i="1"/>
  <c r="AH4374" i="1"/>
  <c r="AH4375" i="1"/>
  <c r="AH4376" i="1"/>
  <c r="AH4377" i="1"/>
  <c r="AH4378" i="1"/>
  <c r="AH4379" i="1"/>
  <c r="AH4380" i="1"/>
  <c r="AH4381" i="1"/>
  <c r="AH4382" i="1"/>
  <c r="AH4383" i="1"/>
  <c r="AH4384" i="1"/>
  <c r="AH4385" i="1"/>
  <c r="AH4386" i="1"/>
  <c r="AH4387" i="1"/>
  <c r="AH4388" i="1"/>
  <c r="AH4389" i="1"/>
  <c r="AH4390" i="1"/>
  <c r="AH4391" i="1"/>
  <c r="AH4392" i="1"/>
  <c r="AH4393" i="1"/>
  <c r="AH4394" i="1"/>
  <c r="AH4395" i="1"/>
  <c r="AH4396" i="1"/>
  <c r="AH4397" i="1"/>
  <c r="AH4398" i="1"/>
  <c r="AH4399" i="1"/>
  <c r="AH4400" i="1"/>
  <c r="AH4401" i="1"/>
  <c r="AH4402" i="1"/>
  <c r="AH4403" i="1"/>
  <c r="AH4404" i="1"/>
  <c r="AH4405" i="1"/>
  <c r="AH4406" i="1"/>
  <c r="AH4407" i="1"/>
  <c r="AH4408" i="1"/>
  <c r="AH4409" i="1"/>
  <c r="AH4410" i="1"/>
  <c r="AH4411" i="1"/>
  <c r="AH4412" i="1"/>
  <c r="AH4413" i="1"/>
  <c r="AH4414" i="1"/>
  <c r="AH4415" i="1"/>
  <c r="AH4416" i="1"/>
  <c r="AH4417" i="1"/>
  <c r="AH4418" i="1"/>
  <c r="AH4419" i="1"/>
  <c r="AH4420" i="1"/>
  <c r="AH4421" i="1"/>
  <c r="AH4422" i="1"/>
  <c r="AH4423" i="1"/>
  <c r="AH4424" i="1"/>
  <c r="AH4425" i="1"/>
  <c r="AH4426" i="1"/>
  <c r="AH4427" i="1"/>
  <c r="AH4428" i="1"/>
  <c r="AH4429" i="1"/>
  <c r="AH4430" i="1"/>
  <c r="AH4431" i="1"/>
  <c r="AH4432" i="1"/>
  <c r="AH4433" i="1"/>
  <c r="AH4434" i="1"/>
  <c r="AH4435" i="1"/>
  <c r="AH4436" i="1"/>
  <c r="AH4437" i="1"/>
  <c r="AH4438" i="1"/>
  <c r="AH4439" i="1"/>
  <c r="AH4440" i="1"/>
  <c r="AH4441" i="1"/>
  <c r="AH4442" i="1"/>
  <c r="AH4443" i="1"/>
  <c r="AH4444" i="1"/>
  <c r="AH4445" i="1"/>
  <c r="AH4446" i="1"/>
  <c r="AH4447" i="1"/>
  <c r="AH4448" i="1"/>
  <c r="AH4449" i="1"/>
  <c r="AH4450" i="1"/>
  <c r="AH4451" i="1"/>
  <c r="AH4452" i="1"/>
  <c r="AH4453" i="1"/>
  <c r="AH4454" i="1"/>
  <c r="AH4455" i="1"/>
  <c r="AH4456" i="1"/>
  <c r="AH4457" i="1"/>
  <c r="AH4458" i="1"/>
  <c r="AH4459" i="1"/>
  <c r="AH4460" i="1"/>
  <c r="AH4461" i="1"/>
  <c r="AH4462" i="1"/>
  <c r="AH4463" i="1"/>
  <c r="AH4464" i="1"/>
  <c r="AH4465" i="1"/>
  <c r="AH4466" i="1"/>
  <c r="AH4467" i="1"/>
  <c r="AH4468" i="1"/>
  <c r="AH4469" i="1"/>
  <c r="AH4470" i="1"/>
  <c r="AH4471" i="1"/>
  <c r="AH4472" i="1"/>
  <c r="AH4473" i="1"/>
  <c r="AH4474" i="1"/>
  <c r="AH4475" i="1"/>
  <c r="AH4476" i="1"/>
  <c r="AH4477" i="1"/>
  <c r="AH4478" i="1"/>
  <c r="AH4479" i="1"/>
  <c r="AH4480" i="1"/>
  <c r="AH4481" i="1"/>
  <c r="AH4482" i="1"/>
  <c r="AH4483" i="1"/>
  <c r="AH4484" i="1"/>
  <c r="AH4485" i="1"/>
  <c r="AH4486" i="1"/>
  <c r="AH4487" i="1"/>
  <c r="AH4488" i="1"/>
  <c r="AH4489" i="1"/>
  <c r="AH4490" i="1"/>
  <c r="AH4491" i="1"/>
  <c r="AH4492" i="1"/>
  <c r="AH4493" i="1"/>
  <c r="AH4494" i="1"/>
  <c r="AH4495" i="1"/>
  <c r="AH4496" i="1"/>
  <c r="AH4497" i="1"/>
  <c r="AH4498" i="1"/>
  <c r="AH4499" i="1"/>
  <c r="AH4500" i="1"/>
  <c r="AH4501" i="1"/>
  <c r="AH4502" i="1"/>
  <c r="AH4503" i="1"/>
  <c r="AH4504" i="1"/>
  <c r="AH4505" i="1"/>
  <c r="AH4506" i="1"/>
  <c r="AH4507" i="1"/>
  <c r="AH4508" i="1"/>
  <c r="AH4509" i="1"/>
  <c r="AH4510" i="1"/>
  <c r="AH4511" i="1"/>
  <c r="AH4512" i="1"/>
  <c r="AH4513" i="1"/>
  <c r="AH4514" i="1"/>
  <c r="AH4515" i="1"/>
  <c r="AH4516" i="1"/>
  <c r="AH4517" i="1"/>
  <c r="AH4518" i="1"/>
  <c r="AH4519" i="1"/>
  <c r="AH4520" i="1"/>
  <c r="AH4521" i="1"/>
  <c r="AH4522" i="1"/>
  <c r="AH4523" i="1"/>
  <c r="AH4524" i="1"/>
  <c r="AH4525" i="1"/>
  <c r="AH4526" i="1"/>
  <c r="AH4527" i="1"/>
  <c r="AH4528" i="1"/>
  <c r="AH4529" i="1"/>
  <c r="AH4530" i="1"/>
  <c r="AH4531" i="1"/>
  <c r="AH4532" i="1"/>
  <c r="AH4533" i="1"/>
  <c r="AH4534" i="1"/>
  <c r="AH4535" i="1"/>
  <c r="AH4536" i="1"/>
  <c r="AH4537" i="1"/>
  <c r="AH4538" i="1"/>
  <c r="AH4539" i="1"/>
  <c r="AH4540" i="1"/>
  <c r="AH4541" i="1"/>
  <c r="AH4542" i="1"/>
  <c r="AH4543" i="1"/>
  <c r="AH4544" i="1"/>
  <c r="AH4545" i="1"/>
  <c r="AH4546" i="1"/>
  <c r="AH4547" i="1"/>
  <c r="AH4548" i="1"/>
  <c r="AH4549" i="1"/>
  <c r="AH4550" i="1"/>
  <c r="AH4551" i="1"/>
  <c r="AH4552" i="1"/>
  <c r="AH4553" i="1"/>
  <c r="AH4554" i="1"/>
  <c r="AH4555" i="1"/>
  <c r="AH4556" i="1"/>
  <c r="AH4557" i="1"/>
  <c r="AH4558" i="1"/>
  <c r="AH4559" i="1"/>
  <c r="AH4560" i="1"/>
  <c r="AH4561" i="1"/>
  <c r="AH4562" i="1"/>
  <c r="AH4563" i="1"/>
  <c r="AH4564" i="1"/>
  <c r="AH4565" i="1"/>
  <c r="AH4566" i="1"/>
  <c r="AH4567" i="1"/>
  <c r="AH4568" i="1"/>
  <c r="AH4569" i="1"/>
  <c r="AH4570" i="1"/>
  <c r="AH4571" i="1"/>
  <c r="AH4572" i="1"/>
  <c r="AH4573" i="1"/>
  <c r="AH4574" i="1"/>
  <c r="AH4575" i="1"/>
  <c r="AH4576" i="1"/>
  <c r="AH4577" i="1"/>
  <c r="AH4578" i="1"/>
  <c r="AH4579" i="1"/>
  <c r="AH4580" i="1"/>
  <c r="AH4581" i="1"/>
  <c r="AH4582" i="1"/>
  <c r="AH4583" i="1"/>
  <c r="AH4584" i="1"/>
  <c r="AH4585" i="1"/>
  <c r="AH4586" i="1"/>
  <c r="AH4587" i="1"/>
  <c r="AH4588" i="1"/>
  <c r="AH4589" i="1"/>
  <c r="AH4590" i="1"/>
  <c r="AH4591" i="1"/>
  <c r="AH4592" i="1"/>
  <c r="AH4593" i="1"/>
  <c r="AH4594" i="1"/>
  <c r="AH4595" i="1"/>
  <c r="AH4596" i="1"/>
  <c r="AH4597" i="1"/>
  <c r="AH4598" i="1"/>
  <c r="AH4599" i="1"/>
  <c r="AH4600" i="1"/>
  <c r="AH4601" i="1"/>
  <c r="AH4602" i="1"/>
  <c r="AH4603" i="1"/>
  <c r="AH4604" i="1"/>
  <c r="AH4605" i="1"/>
  <c r="AH4606" i="1"/>
  <c r="AH4607" i="1"/>
  <c r="AH4608" i="1"/>
  <c r="AH4609" i="1"/>
  <c r="AH4610" i="1"/>
  <c r="AH4611" i="1"/>
  <c r="AH4612" i="1"/>
  <c r="AH4613" i="1"/>
  <c r="AH4614" i="1"/>
  <c r="AH4615" i="1"/>
  <c r="AH4616" i="1"/>
  <c r="AH4617" i="1"/>
  <c r="AH4618" i="1"/>
  <c r="AH4619" i="1"/>
  <c r="AH4620" i="1"/>
  <c r="AH4621" i="1"/>
  <c r="AH4622" i="1"/>
  <c r="AH4623" i="1"/>
  <c r="AH4624" i="1"/>
  <c r="AH4625" i="1"/>
  <c r="AH4626" i="1"/>
  <c r="AH4627" i="1"/>
  <c r="AH4628" i="1"/>
  <c r="AH4629" i="1"/>
  <c r="AH4630" i="1"/>
  <c r="AH4631" i="1"/>
  <c r="AH4632" i="1"/>
  <c r="AH4633" i="1"/>
  <c r="AH4634" i="1"/>
  <c r="AH4635" i="1"/>
  <c r="AH4636" i="1"/>
  <c r="AH4637" i="1"/>
  <c r="AH4638" i="1"/>
  <c r="AH4639" i="1"/>
  <c r="AH4640" i="1"/>
  <c r="AH4641" i="1"/>
  <c r="AH4642" i="1"/>
  <c r="AH4643" i="1"/>
  <c r="AH4644" i="1"/>
  <c r="AH4645" i="1"/>
  <c r="AH4646" i="1"/>
  <c r="AH4647" i="1"/>
  <c r="AH4648" i="1"/>
  <c r="AH4649" i="1"/>
  <c r="AH4650" i="1"/>
  <c r="AH4651" i="1"/>
  <c r="AH4652" i="1"/>
  <c r="AH4653" i="1"/>
  <c r="AH4654" i="1"/>
  <c r="AH4655" i="1"/>
  <c r="AH4656" i="1"/>
  <c r="AH4657" i="1"/>
  <c r="AH4658" i="1"/>
  <c r="AH4659" i="1"/>
  <c r="AH4660" i="1"/>
  <c r="AH4661" i="1"/>
  <c r="AH4662" i="1"/>
  <c r="AH4663" i="1"/>
  <c r="AH4664" i="1"/>
  <c r="AH4665" i="1"/>
  <c r="AH4666" i="1"/>
  <c r="AH4667" i="1"/>
  <c r="AH4668" i="1"/>
  <c r="AH4669" i="1"/>
  <c r="AH4670" i="1"/>
  <c r="AH4671" i="1"/>
  <c r="AH4672" i="1"/>
  <c r="AH4673" i="1"/>
  <c r="AH4674" i="1"/>
  <c r="AH4675" i="1"/>
  <c r="AH4676" i="1"/>
  <c r="AH4677" i="1"/>
  <c r="AH4678" i="1"/>
  <c r="AH4679" i="1"/>
  <c r="AH4680" i="1"/>
  <c r="AH4681" i="1"/>
  <c r="AH4682" i="1"/>
  <c r="AH4683" i="1"/>
  <c r="AH4684" i="1"/>
  <c r="AH4685" i="1"/>
  <c r="AH4686" i="1"/>
  <c r="AH4687" i="1"/>
  <c r="AH4688" i="1"/>
  <c r="AH4689" i="1"/>
  <c r="AH4690" i="1"/>
  <c r="AH4691" i="1"/>
  <c r="AH4692" i="1"/>
  <c r="AH4693" i="1"/>
  <c r="AH4694" i="1"/>
  <c r="AH4695" i="1"/>
  <c r="AH4696" i="1"/>
  <c r="AH4697" i="1"/>
  <c r="AH4698" i="1"/>
  <c r="AH4699" i="1"/>
  <c r="AH4700" i="1"/>
  <c r="AH4701" i="1"/>
  <c r="AH4702" i="1"/>
  <c r="AH4703" i="1"/>
  <c r="AH4704" i="1"/>
  <c r="AH4705" i="1"/>
  <c r="AH4706" i="1"/>
  <c r="AH4707" i="1"/>
  <c r="AH4708" i="1"/>
  <c r="AH4709" i="1"/>
  <c r="AH4710" i="1"/>
  <c r="AH4711" i="1"/>
  <c r="AH4712" i="1"/>
  <c r="AH4713" i="1"/>
  <c r="AH4714" i="1"/>
  <c r="AH4715" i="1"/>
  <c r="AH4716" i="1"/>
  <c r="AH4717" i="1"/>
  <c r="AH4718" i="1"/>
  <c r="AH4719" i="1"/>
  <c r="AH4720" i="1"/>
  <c r="AH4721" i="1"/>
  <c r="AH4722" i="1"/>
  <c r="AH4723" i="1"/>
  <c r="AH4724" i="1"/>
  <c r="AH4725" i="1"/>
  <c r="AH4726" i="1"/>
  <c r="AH4727" i="1"/>
  <c r="AH4728" i="1"/>
  <c r="AH4729" i="1"/>
  <c r="AH4730" i="1"/>
  <c r="AH4731" i="1"/>
  <c r="AH4732" i="1"/>
  <c r="AH4733" i="1"/>
  <c r="AH4734" i="1"/>
  <c r="AH4735" i="1"/>
  <c r="AH4736" i="1"/>
  <c r="AH4737" i="1"/>
  <c r="AH4738" i="1"/>
  <c r="AH4739" i="1"/>
  <c r="AH4740" i="1"/>
  <c r="AH4741" i="1"/>
  <c r="AH4742" i="1"/>
  <c r="AH4743" i="1"/>
  <c r="AH4744" i="1"/>
  <c r="AH4745" i="1"/>
  <c r="AH4746" i="1"/>
  <c r="AH4747" i="1"/>
  <c r="AH4748" i="1"/>
  <c r="AH4749" i="1"/>
  <c r="AH4750" i="1"/>
  <c r="AH4751" i="1"/>
  <c r="AH4752" i="1"/>
  <c r="AH4753" i="1"/>
  <c r="AH4754" i="1"/>
  <c r="AH4755" i="1"/>
  <c r="AH4756" i="1"/>
  <c r="AH4757" i="1"/>
  <c r="AH4758" i="1"/>
  <c r="AH4759" i="1"/>
  <c r="AH4760" i="1"/>
  <c r="AH4761" i="1"/>
  <c r="AH4762" i="1"/>
  <c r="AH4763" i="1"/>
  <c r="AH4764" i="1"/>
  <c r="AH4765" i="1"/>
  <c r="AH4766" i="1"/>
  <c r="AH4767" i="1"/>
  <c r="AH4768" i="1"/>
  <c r="AH4769" i="1"/>
  <c r="AH4770" i="1"/>
  <c r="AH4771" i="1"/>
  <c r="AH4772" i="1"/>
  <c r="AH4773" i="1"/>
  <c r="AH4774" i="1"/>
  <c r="AH4775" i="1"/>
  <c r="AH4776" i="1"/>
  <c r="AH4777" i="1"/>
  <c r="AH4778" i="1"/>
  <c r="AH4779" i="1"/>
  <c r="AH4780" i="1"/>
  <c r="AH4781" i="1"/>
  <c r="AH4782" i="1"/>
  <c r="AH4783" i="1"/>
  <c r="AH4784" i="1"/>
  <c r="AH4785" i="1"/>
  <c r="AH4786" i="1"/>
  <c r="AH4787" i="1"/>
  <c r="AH4788" i="1"/>
  <c r="AH4789" i="1"/>
  <c r="AH4790" i="1"/>
  <c r="AH4791" i="1"/>
  <c r="AH4792" i="1"/>
  <c r="AH4793" i="1"/>
  <c r="AH4794" i="1"/>
  <c r="AH4795" i="1"/>
  <c r="AH4796" i="1"/>
  <c r="AH4797" i="1"/>
  <c r="AH4798" i="1"/>
  <c r="AH4799" i="1"/>
  <c r="AH4800" i="1"/>
  <c r="AH4801" i="1"/>
  <c r="AH4802" i="1"/>
  <c r="AH4803" i="1"/>
  <c r="AH4804" i="1"/>
  <c r="AH4805" i="1"/>
  <c r="AH4806" i="1"/>
  <c r="AH4807" i="1"/>
  <c r="AH4808" i="1"/>
  <c r="AH4809" i="1"/>
  <c r="AH4810" i="1"/>
  <c r="AH4811" i="1"/>
  <c r="AH4812" i="1"/>
  <c r="AH4813" i="1"/>
  <c r="AH4814" i="1"/>
  <c r="AH4815" i="1"/>
  <c r="AH4816" i="1"/>
  <c r="AH4817" i="1"/>
  <c r="AH4818" i="1"/>
  <c r="AH4819" i="1"/>
  <c r="AH4820" i="1"/>
  <c r="AH4821" i="1"/>
  <c r="AH4822" i="1"/>
  <c r="AH4823" i="1"/>
  <c r="AH4824" i="1"/>
  <c r="AH4825" i="1"/>
  <c r="AH4826" i="1"/>
  <c r="AH4827" i="1"/>
  <c r="AH4828" i="1"/>
  <c r="AH4829" i="1"/>
  <c r="AH4830" i="1"/>
  <c r="AH4831" i="1"/>
  <c r="AH4832" i="1"/>
  <c r="AH4833" i="1"/>
  <c r="AH4834" i="1"/>
  <c r="AH4835" i="1"/>
  <c r="AH4836" i="1"/>
  <c r="AH4837" i="1"/>
  <c r="AH4838" i="1"/>
  <c r="AH4839" i="1"/>
  <c r="AH4840" i="1"/>
  <c r="AH4841" i="1"/>
  <c r="AH4842" i="1"/>
  <c r="AH4843" i="1"/>
  <c r="AH4844" i="1"/>
  <c r="AH4845" i="1"/>
  <c r="AH4846" i="1"/>
  <c r="AH4847" i="1"/>
  <c r="AH4848" i="1"/>
  <c r="AH4849" i="1"/>
  <c r="AH4850" i="1"/>
  <c r="AH4851" i="1"/>
  <c r="AH4852" i="1"/>
  <c r="AH4853" i="1"/>
  <c r="AH4854" i="1"/>
  <c r="AH4855" i="1"/>
  <c r="AH4856" i="1"/>
  <c r="AH4857" i="1"/>
  <c r="AH4858" i="1"/>
  <c r="AH4859" i="1"/>
  <c r="AH4860" i="1"/>
  <c r="AH4861" i="1"/>
  <c r="AH4862" i="1"/>
  <c r="AH4863" i="1"/>
  <c r="AH4864" i="1"/>
  <c r="AH4865" i="1"/>
  <c r="AH4866" i="1"/>
  <c r="AH4867" i="1"/>
  <c r="AH4868" i="1"/>
  <c r="AH4869" i="1"/>
  <c r="AH4870" i="1"/>
  <c r="AH4871" i="1"/>
  <c r="AH4872" i="1"/>
  <c r="AH4873" i="1"/>
  <c r="AH4874" i="1"/>
  <c r="AH4875" i="1"/>
  <c r="AH4876" i="1"/>
  <c r="AH4877" i="1"/>
  <c r="AH4878" i="1"/>
  <c r="AH4879" i="1"/>
  <c r="AH4880" i="1"/>
  <c r="AH4881" i="1"/>
  <c r="AH4882" i="1"/>
  <c r="AH4883" i="1"/>
  <c r="AH4884" i="1"/>
  <c r="AH4885" i="1"/>
  <c r="AH4886" i="1"/>
  <c r="AH4887" i="1"/>
  <c r="AH4888" i="1"/>
  <c r="AH4889" i="1"/>
  <c r="AH4890" i="1"/>
  <c r="AH4891" i="1"/>
  <c r="AH4892" i="1"/>
  <c r="AH4893" i="1"/>
  <c r="AH4894" i="1"/>
  <c r="AH4895" i="1"/>
  <c r="AH4896" i="1"/>
  <c r="AH4897" i="1"/>
  <c r="AH4898" i="1"/>
  <c r="AH4899" i="1"/>
  <c r="AH4900" i="1"/>
  <c r="AH4901" i="1"/>
  <c r="AH4902" i="1"/>
  <c r="AH4903" i="1"/>
  <c r="AH4904" i="1"/>
  <c r="AH4905" i="1"/>
  <c r="AH4906" i="1"/>
  <c r="AH4907" i="1"/>
  <c r="AH4908" i="1"/>
  <c r="AH4909" i="1"/>
  <c r="AH4910" i="1"/>
  <c r="AH4911" i="1"/>
  <c r="AH4912" i="1"/>
  <c r="AH4913" i="1"/>
  <c r="AH4914" i="1"/>
  <c r="AH4915" i="1"/>
  <c r="AH4916" i="1"/>
  <c r="AH4917" i="1"/>
  <c r="AH4918" i="1"/>
  <c r="AH4919" i="1"/>
  <c r="AH4920" i="1"/>
  <c r="AH4921" i="1"/>
  <c r="AH4922" i="1"/>
  <c r="AH4923" i="1"/>
  <c r="AH4924" i="1"/>
  <c r="AH4925" i="1"/>
  <c r="AH4926" i="1"/>
  <c r="AH4927" i="1"/>
  <c r="AH4928" i="1"/>
  <c r="AH4929" i="1"/>
  <c r="AH4930" i="1"/>
  <c r="AH4931" i="1"/>
  <c r="AH4932" i="1"/>
  <c r="AH4933" i="1"/>
  <c r="AH4934" i="1"/>
  <c r="AH4935" i="1"/>
  <c r="AH4936" i="1"/>
  <c r="AH4937" i="1"/>
  <c r="AH4938" i="1"/>
  <c r="AH4939" i="1"/>
  <c r="AH4940" i="1"/>
  <c r="AH4941" i="1"/>
  <c r="AH4942" i="1"/>
  <c r="AH4943" i="1"/>
  <c r="AH4944" i="1"/>
  <c r="AH4945" i="1"/>
  <c r="AH4946" i="1"/>
  <c r="AH4947" i="1"/>
  <c r="AH4948" i="1"/>
  <c r="AH4949" i="1"/>
  <c r="AH4950" i="1"/>
  <c r="AH4951" i="1"/>
  <c r="AH4952" i="1"/>
  <c r="AH4953" i="1"/>
  <c r="AH4954" i="1"/>
  <c r="AH4955" i="1"/>
  <c r="AH4956" i="1"/>
  <c r="AH4957" i="1"/>
  <c r="AH4958" i="1"/>
  <c r="AH4959" i="1"/>
  <c r="AH4960" i="1"/>
  <c r="AH4961" i="1"/>
  <c r="AH4962" i="1"/>
  <c r="AH4963" i="1"/>
  <c r="AH4964" i="1"/>
  <c r="AH4965" i="1"/>
  <c r="AH4966" i="1"/>
  <c r="AH4967" i="1"/>
  <c r="AH4968" i="1"/>
  <c r="AH4969" i="1"/>
  <c r="AH4970" i="1"/>
  <c r="AH4971" i="1"/>
  <c r="AH4972" i="1"/>
  <c r="AH4973" i="1"/>
  <c r="AH4974" i="1"/>
  <c r="AH4975" i="1"/>
  <c r="AH4976" i="1"/>
  <c r="AH4977" i="1"/>
  <c r="AH4978" i="1"/>
  <c r="AH4979" i="1"/>
  <c r="AH4980" i="1"/>
  <c r="AH4981" i="1"/>
  <c r="AH4982" i="1"/>
  <c r="AH4983" i="1"/>
  <c r="AH4984" i="1"/>
  <c r="AH4985" i="1"/>
  <c r="AH4986" i="1"/>
  <c r="AH4987" i="1"/>
  <c r="AH4988" i="1"/>
  <c r="AH4989" i="1"/>
  <c r="AH4990" i="1"/>
  <c r="AH4991" i="1"/>
  <c r="AH4992" i="1"/>
  <c r="AH4993" i="1"/>
  <c r="AH4994" i="1"/>
  <c r="AH4995" i="1"/>
  <c r="AH4996" i="1"/>
  <c r="AH4997" i="1"/>
  <c r="AH4998" i="1"/>
  <c r="AH4999" i="1"/>
  <c r="AH5000" i="1"/>
  <c r="AH500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202" i="1"/>
  <c r="AG4203" i="1"/>
  <c r="AG4204" i="1"/>
  <c r="AG4205" i="1"/>
  <c r="AG4206" i="1"/>
  <c r="AG4207" i="1"/>
  <c r="AG4208" i="1"/>
  <c r="AG4209" i="1"/>
  <c r="AG4210" i="1"/>
  <c r="AG4211" i="1"/>
  <c r="AG4212" i="1"/>
  <c r="AG4213" i="1"/>
  <c r="AG4214" i="1"/>
  <c r="AG4215" i="1"/>
  <c r="AG4216" i="1"/>
  <c r="AG4217" i="1"/>
  <c r="AG4218" i="1"/>
  <c r="AG4219" i="1"/>
  <c r="AG4220" i="1"/>
  <c r="AG4221" i="1"/>
  <c r="AG4222" i="1"/>
  <c r="AG4223" i="1"/>
  <c r="AG4224" i="1"/>
  <c r="AG4225" i="1"/>
  <c r="AG4226" i="1"/>
  <c r="AG4227" i="1"/>
  <c r="AG4228" i="1"/>
  <c r="AG4229" i="1"/>
  <c r="AG4230" i="1"/>
  <c r="AG4231" i="1"/>
  <c r="AG4232" i="1"/>
  <c r="AG4233" i="1"/>
  <c r="AG4234" i="1"/>
  <c r="AG4235" i="1"/>
  <c r="AG4236" i="1"/>
  <c r="AG4237" i="1"/>
  <c r="AG4238" i="1"/>
  <c r="AG4239" i="1"/>
  <c r="AG4240" i="1"/>
  <c r="AG4241" i="1"/>
  <c r="AG4242" i="1"/>
  <c r="AG4243" i="1"/>
  <c r="AG4244" i="1"/>
  <c r="AG4245" i="1"/>
  <c r="AG4246" i="1"/>
  <c r="AG4247" i="1"/>
  <c r="AG4248" i="1"/>
  <c r="AG4249" i="1"/>
  <c r="AG4250" i="1"/>
  <c r="AG4251" i="1"/>
  <c r="AG4252" i="1"/>
  <c r="AG4253" i="1"/>
  <c r="AG4254" i="1"/>
  <c r="AG4255" i="1"/>
  <c r="AG4256" i="1"/>
  <c r="AG4257" i="1"/>
  <c r="AG4258" i="1"/>
  <c r="AG4259" i="1"/>
  <c r="AG4260" i="1"/>
  <c r="AG4261" i="1"/>
  <c r="AG4262" i="1"/>
  <c r="AG4263" i="1"/>
  <c r="AG4264" i="1"/>
  <c r="AG4265" i="1"/>
  <c r="AG4266" i="1"/>
  <c r="AG4267" i="1"/>
  <c r="AG4268" i="1"/>
  <c r="AG4269" i="1"/>
  <c r="AG4270" i="1"/>
  <c r="AG4271" i="1"/>
  <c r="AG4272" i="1"/>
  <c r="AG4273" i="1"/>
  <c r="AG4274" i="1"/>
  <c r="AG4275" i="1"/>
  <c r="AG4276" i="1"/>
  <c r="AG4277" i="1"/>
  <c r="AG4278" i="1"/>
  <c r="AG4279" i="1"/>
  <c r="AG4280" i="1"/>
  <c r="AG4281" i="1"/>
  <c r="AG4282" i="1"/>
  <c r="AG4283" i="1"/>
  <c r="AG4284" i="1"/>
  <c r="AG4285" i="1"/>
  <c r="AG4286" i="1"/>
  <c r="AG4287" i="1"/>
  <c r="AG4288" i="1"/>
  <c r="AG4289" i="1"/>
  <c r="AG4290" i="1"/>
  <c r="AG4291" i="1"/>
  <c r="AG4292" i="1"/>
  <c r="AG4293" i="1"/>
  <c r="AG4294" i="1"/>
  <c r="AG4295" i="1"/>
  <c r="AG4296" i="1"/>
  <c r="AG4297" i="1"/>
  <c r="AG4298" i="1"/>
  <c r="AG4299" i="1"/>
  <c r="AG4300" i="1"/>
  <c r="AG4301" i="1"/>
  <c r="AG4302" i="1"/>
  <c r="AG4303" i="1"/>
  <c r="AG4304" i="1"/>
  <c r="AG4305" i="1"/>
  <c r="AG4306" i="1"/>
  <c r="AG4307" i="1"/>
  <c r="AG4308" i="1"/>
  <c r="AG4309" i="1"/>
  <c r="AG4310" i="1"/>
  <c r="AG4311" i="1"/>
  <c r="AG4312" i="1"/>
  <c r="AG4313" i="1"/>
  <c r="AG4314" i="1"/>
  <c r="AG4315" i="1"/>
  <c r="AG4316" i="1"/>
  <c r="AG4317" i="1"/>
  <c r="AG4318" i="1"/>
  <c r="AG4319" i="1"/>
  <c r="AG4320" i="1"/>
  <c r="AG4321" i="1"/>
  <c r="AG4322" i="1"/>
  <c r="AG4323" i="1"/>
  <c r="AG4324" i="1"/>
  <c r="AG4325" i="1"/>
  <c r="AG4326" i="1"/>
  <c r="AG4327" i="1"/>
  <c r="AG4328" i="1"/>
  <c r="AG4329" i="1"/>
  <c r="AG4330" i="1"/>
  <c r="AG4331" i="1"/>
  <c r="AG4332" i="1"/>
  <c r="AG4333" i="1"/>
  <c r="AG4334" i="1"/>
  <c r="AG4335" i="1"/>
  <c r="AG4336" i="1"/>
  <c r="AG4337" i="1"/>
  <c r="AG4338" i="1"/>
  <c r="AG4339" i="1"/>
  <c r="AG4340" i="1"/>
  <c r="AG4341" i="1"/>
  <c r="AG4342" i="1"/>
  <c r="AG4343" i="1"/>
  <c r="AG4344" i="1"/>
  <c r="AG4345" i="1"/>
  <c r="AG4346" i="1"/>
  <c r="AG4347" i="1"/>
  <c r="AG4348" i="1"/>
  <c r="AG4349" i="1"/>
  <c r="AG4350" i="1"/>
  <c r="AG4351" i="1"/>
  <c r="AG4352" i="1"/>
  <c r="AG4353" i="1"/>
  <c r="AG4354" i="1"/>
  <c r="AG4355" i="1"/>
  <c r="AG4356" i="1"/>
  <c r="AG4357" i="1"/>
  <c r="AG4358" i="1"/>
  <c r="AG4359" i="1"/>
  <c r="AG4360" i="1"/>
  <c r="AG4361" i="1"/>
  <c r="AG4362" i="1"/>
  <c r="AG4363" i="1"/>
  <c r="AG4364" i="1"/>
  <c r="AG4365" i="1"/>
  <c r="AG4366" i="1"/>
  <c r="AG4367" i="1"/>
  <c r="AG4368" i="1"/>
  <c r="AG4369" i="1"/>
  <c r="AG4370" i="1"/>
  <c r="AG4371" i="1"/>
  <c r="AG4372" i="1"/>
  <c r="AG4373" i="1"/>
  <c r="AG4374" i="1"/>
  <c r="AG4375" i="1"/>
  <c r="AG4376" i="1"/>
  <c r="AG4377" i="1"/>
  <c r="AG4378" i="1"/>
  <c r="AG4379" i="1"/>
  <c r="AG4380" i="1"/>
  <c r="AG4381" i="1"/>
  <c r="AG4382" i="1"/>
  <c r="AG4383" i="1"/>
  <c r="AG4384" i="1"/>
  <c r="AG4385" i="1"/>
  <c r="AG4386" i="1"/>
  <c r="AG4387" i="1"/>
  <c r="AG4388" i="1"/>
  <c r="AG4389" i="1"/>
  <c r="AG4390" i="1"/>
  <c r="AG4391" i="1"/>
  <c r="AG4392" i="1"/>
  <c r="AG4393" i="1"/>
  <c r="AG4394" i="1"/>
  <c r="AG4395" i="1"/>
  <c r="AG4396" i="1"/>
  <c r="AG4397" i="1"/>
  <c r="AG4398" i="1"/>
  <c r="AG4399" i="1"/>
  <c r="AG4400" i="1"/>
  <c r="AG4401" i="1"/>
  <c r="AG4402" i="1"/>
  <c r="AG4403" i="1"/>
  <c r="AG4404" i="1"/>
  <c r="AG4405" i="1"/>
  <c r="AG4406" i="1"/>
  <c r="AG4407" i="1"/>
  <c r="AG4408" i="1"/>
  <c r="AG4409" i="1"/>
  <c r="AG4410" i="1"/>
  <c r="AG4411" i="1"/>
  <c r="AG4412" i="1"/>
  <c r="AG4413" i="1"/>
  <c r="AG4414" i="1"/>
  <c r="AG4415" i="1"/>
  <c r="AG4416" i="1"/>
  <c r="AG4417" i="1"/>
  <c r="AG4418" i="1"/>
  <c r="AG4419" i="1"/>
  <c r="AG4420" i="1"/>
  <c r="AG4421" i="1"/>
  <c r="AG4422" i="1"/>
  <c r="AG4423" i="1"/>
  <c r="AG4424" i="1"/>
  <c r="AG4425" i="1"/>
  <c r="AG4426" i="1"/>
  <c r="AG4427" i="1"/>
  <c r="AG4428" i="1"/>
  <c r="AG4429" i="1"/>
  <c r="AG4430" i="1"/>
  <c r="AG4431" i="1"/>
  <c r="AG4432" i="1"/>
  <c r="AG4433" i="1"/>
  <c r="AG4434" i="1"/>
  <c r="AG4435" i="1"/>
  <c r="AG4436" i="1"/>
  <c r="AG4437" i="1"/>
  <c r="AG4438" i="1"/>
  <c r="AG4439" i="1"/>
  <c r="AG4440" i="1"/>
  <c r="AG4441" i="1"/>
  <c r="AG4442" i="1"/>
  <c r="AG4443" i="1"/>
  <c r="AG4444" i="1"/>
  <c r="AG4445" i="1"/>
  <c r="AG4446" i="1"/>
  <c r="AG4447" i="1"/>
  <c r="AG4448" i="1"/>
  <c r="AG4449" i="1"/>
  <c r="AG4450" i="1"/>
  <c r="AG4451" i="1"/>
  <c r="AG4452" i="1"/>
  <c r="AG4453" i="1"/>
  <c r="AG4454" i="1"/>
  <c r="AG4455" i="1"/>
  <c r="AG4456" i="1"/>
  <c r="AG4457" i="1"/>
  <c r="AG4458" i="1"/>
  <c r="AG4459" i="1"/>
  <c r="AG4460" i="1"/>
  <c r="AG4461" i="1"/>
  <c r="AG4462" i="1"/>
  <c r="AG4463" i="1"/>
  <c r="AG4464" i="1"/>
  <c r="AG4465" i="1"/>
  <c r="AG4466" i="1"/>
  <c r="AG4467" i="1"/>
  <c r="AG4468" i="1"/>
  <c r="AG4469" i="1"/>
  <c r="AG4470" i="1"/>
  <c r="AG4471" i="1"/>
  <c r="AG4472" i="1"/>
  <c r="AG4473" i="1"/>
  <c r="AG4474" i="1"/>
  <c r="AG4475" i="1"/>
  <c r="AG4476" i="1"/>
  <c r="AG4477" i="1"/>
  <c r="AG4478" i="1"/>
  <c r="AG4479" i="1"/>
  <c r="AG4480" i="1"/>
  <c r="AG4481" i="1"/>
  <c r="AG4482" i="1"/>
  <c r="AG4483" i="1"/>
  <c r="AG4484" i="1"/>
  <c r="AG4485" i="1"/>
  <c r="AG4486" i="1"/>
  <c r="AG4487" i="1"/>
  <c r="AG4488" i="1"/>
  <c r="AG4489" i="1"/>
  <c r="AG4490" i="1"/>
  <c r="AG4491" i="1"/>
  <c r="AG4492" i="1"/>
  <c r="AG4493" i="1"/>
  <c r="AG4494" i="1"/>
  <c r="AG4495" i="1"/>
  <c r="AG4496" i="1"/>
  <c r="AG4497" i="1"/>
  <c r="AG4498" i="1"/>
  <c r="AG4499" i="1"/>
  <c r="AG4500" i="1"/>
  <c r="AG4501" i="1"/>
  <c r="AG4502" i="1"/>
  <c r="AG4503" i="1"/>
  <c r="AG4504" i="1"/>
  <c r="AG4505" i="1"/>
  <c r="AG4506" i="1"/>
  <c r="AG4507" i="1"/>
  <c r="AG4508" i="1"/>
  <c r="AG4509" i="1"/>
  <c r="AG4510" i="1"/>
  <c r="AG4511" i="1"/>
  <c r="AG4512" i="1"/>
  <c r="AG4513" i="1"/>
  <c r="AG4514" i="1"/>
  <c r="AG4515" i="1"/>
  <c r="AG4516" i="1"/>
  <c r="AG4517" i="1"/>
  <c r="AG4518" i="1"/>
  <c r="AG4519" i="1"/>
  <c r="AG4520" i="1"/>
  <c r="AG4521" i="1"/>
  <c r="AG4522" i="1"/>
  <c r="AG4523" i="1"/>
  <c r="AG4524" i="1"/>
  <c r="AG4525" i="1"/>
  <c r="AG4526" i="1"/>
  <c r="AG4527" i="1"/>
  <c r="AG4528" i="1"/>
  <c r="AG4529" i="1"/>
  <c r="AG4530" i="1"/>
  <c r="AG4531" i="1"/>
  <c r="AG4532" i="1"/>
  <c r="AG4533" i="1"/>
  <c r="AG4534" i="1"/>
  <c r="AG4535" i="1"/>
  <c r="AG4536" i="1"/>
  <c r="AG4537" i="1"/>
  <c r="AG4538" i="1"/>
  <c r="AG4539" i="1"/>
  <c r="AG4540" i="1"/>
  <c r="AG4541" i="1"/>
  <c r="AG4542" i="1"/>
  <c r="AG4543" i="1"/>
  <c r="AG4544" i="1"/>
  <c r="AG4545" i="1"/>
  <c r="AG4546" i="1"/>
  <c r="AG4547" i="1"/>
  <c r="AG4548" i="1"/>
  <c r="AG4549" i="1"/>
  <c r="AG4550" i="1"/>
  <c r="AG4551" i="1"/>
  <c r="AG4552" i="1"/>
  <c r="AG4553" i="1"/>
  <c r="AG4554" i="1"/>
  <c r="AG4555" i="1"/>
  <c r="AG4556" i="1"/>
  <c r="AG4557" i="1"/>
  <c r="AG4558" i="1"/>
  <c r="AG4559" i="1"/>
  <c r="AG4560" i="1"/>
  <c r="AG4561" i="1"/>
  <c r="AG4562" i="1"/>
  <c r="AG4563" i="1"/>
  <c r="AG4564" i="1"/>
  <c r="AG4565" i="1"/>
  <c r="AG4566" i="1"/>
  <c r="AG4567" i="1"/>
  <c r="AG4568" i="1"/>
  <c r="AG4569" i="1"/>
  <c r="AG4570" i="1"/>
  <c r="AG4571" i="1"/>
  <c r="AG4572" i="1"/>
  <c r="AG4573" i="1"/>
  <c r="AG4574" i="1"/>
  <c r="AG4575" i="1"/>
  <c r="AG4576" i="1"/>
  <c r="AG4577" i="1"/>
  <c r="AG4578" i="1"/>
  <c r="AG4579" i="1"/>
  <c r="AG4580" i="1"/>
  <c r="AG4581" i="1"/>
  <c r="AG4582" i="1"/>
  <c r="AG4583" i="1"/>
  <c r="AG4584" i="1"/>
  <c r="AG4585" i="1"/>
  <c r="AG4586" i="1"/>
  <c r="AG4587" i="1"/>
  <c r="AG4588" i="1"/>
  <c r="AG4589" i="1"/>
  <c r="AG4590" i="1"/>
  <c r="AG4591" i="1"/>
  <c r="AG4592" i="1"/>
  <c r="AG4593" i="1"/>
  <c r="AG4594" i="1"/>
  <c r="AG4595" i="1"/>
  <c r="AG4596" i="1"/>
  <c r="AG4597" i="1"/>
  <c r="AG4598" i="1"/>
  <c r="AG4599" i="1"/>
  <c r="AG4600" i="1"/>
  <c r="AG4601" i="1"/>
  <c r="AG4602" i="1"/>
  <c r="AG4603" i="1"/>
  <c r="AG4604" i="1"/>
  <c r="AG4605" i="1"/>
  <c r="AG4606" i="1"/>
  <c r="AG4607" i="1"/>
  <c r="AG4608" i="1"/>
  <c r="AG4609" i="1"/>
  <c r="AG4610" i="1"/>
  <c r="AG4611" i="1"/>
  <c r="AG4612" i="1"/>
  <c r="AG4613" i="1"/>
  <c r="AG4614" i="1"/>
  <c r="AG4615" i="1"/>
  <c r="AG4616" i="1"/>
  <c r="AG4617" i="1"/>
  <c r="AG4618" i="1"/>
  <c r="AG4619" i="1"/>
  <c r="AG4620" i="1"/>
  <c r="AG4621" i="1"/>
  <c r="AG4622" i="1"/>
  <c r="AG4623" i="1"/>
  <c r="AG4624" i="1"/>
  <c r="AG4625" i="1"/>
  <c r="AG4626" i="1"/>
  <c r="AG4627" i="1"/>
  <c r="AG4628" i="1"/>
  <c r="AG4629" i="1"/>
  <c r="AG4630" i="1"/>
  <c r="AG4631" i="1"/>
  <c r="AG4632" i="1"/>
  <c r="AG4633" i="1"/>
  <c r="AG4634" i="1"/>
  <c r="AG4635" i="1"/>
  <c r="AG4636" i="1"/>
  <c r="AG4637" i="1"/>
  <c r="AG4638" i="1"/>
  <c r="AG4639" i="1"/>
  <c r="AG4640" i="1"/>
  <c r="AG4641" i="1"/>
  <c r="AG4642" i="1"/>
  <c r="AG4643" i="1"/>
  <c r="AG4644" i="1"/>
  <c r="AG4645" i="1"/>
  <c r="AG4646" i="1"/>
  <c r="AG4647" i="1"/>
  <c r="AG4648" i="1"/>
  <c r="AG4649" i="1"/>
  <c r="AG4650" i="1"/>
  <c r="AG4651" i="1"/>
  <c r="AG4652" i="1"/>
  <c r="AG4653" i="1"/>
  <c r="AG4654" i="1"/>
  <c r="AG4655" i="1"/>
  <c r="AG4656" i="1"/>
  <c r="AG4657" i="1"/>
  <c r="AG4658" i="1"/>
  <c r="AG4659" i="1"/>
  <c r="AG4660" i="1"/>
  <c r="AG4661" i="1"/>
  <c r="AG4662" i="1"/>
  <c r="AG4663" i="1"/>
  <c r="AG4664" i="1"/>
  <c r="AG4665" i="1"/>
  <c r="AG4666" i="1"/>
  <c r="AG4667" i="1"/>
  <c r="AG4668" i="1"/>
  <c r="AG4669" i="1"/>
  <c r="AG4670" i="1"/>
  <c r="AG4671" i="1"/>
  <c r="AG4672" i="1"/>
  <c r="AG4673" i="1"/>
  <c r="AG4674" i="1"/>
  <c r="AG4675" i="1"/>
  <c r="AG4676" i="1"/>
  <c r="AG4677" i="1"/>
  <c r="AG4678" i="1"/>
  <c r="AG4679" i="1"/>
  <c r="AG4680" i="1"/>
  <c r="AG4681" i="1"/>
  <c r="AG4682" i="1"/>
  <c r="AG4683" i="1"/>
  <c r="AG4684" i="1"/>
  <c r="AG4685" i="1"/>
  <c r="AG4686" i="1"/>
  <c r="AG4687" i="1"/>
  <c r="AG4688" i="1"/>
  <c r="AG4689" i="1"/>
  <c r="AG4690" i="1"/>
  <c r="AG4691" i="1"/>
  <c r="AG4692" i="1"/>
  <c r="AG4693" i="1"/>
  <c r="AG4694" i="1"/>
  <c r="AG4695" i="1"/>
  <c r="AG4696" i="1"/>
  <c r="AG4697" i="1"/>
  <c r="AG4698" i="1"/>
  <c r="AG4699" i="1"/>
  <c r="AG4700" i="1"/>
  <c r="AG4701" i="1"/>
  <c r="AG4702" i="1"/>
  <c r="AG4703" i="1"/>
  <c r="AG4704" i="1"/>
  <c r="AG4705" i="1"/>
  <c r="AG4706" i="1"/>
  <c r="AG4707" i="1"/>
  <c r="AG4708" i="1"/>
  <c r="AG4709" i="1"/>
  <c r="AG4710" i="1"/>
  <c r="AG4711" i="1"/>
  <c r="AG4712" i="1"/>
  <c r="AG4713" i="1"/>
  <c r="AG4714" i="1"/>
  <c r="AG4715" i="1"/>
  <c r="AG4716" i="1"/>
  <c r="AG4717" i="1"/>
  <c r="AG4718" i="1"/>
  <c r="AG4719" i="1"/>
  <c r="AG4720" i="1"/>
  <c r="AG4721" i="1"/>
  <c r="AG4722" i="1"/>
  <c r="AG4723" i="1"/>
  <c r="AG4724" i="1"/>
  <c r="AG4725" i="1"/>
  <c r="AG4726" i="1"/>
  <c r="AG4727" i="1"/>
  <c r="AG4728" i="1"/>
  <c r="AG4729" i="1"/>
  <c r="AG4730" i="1"/>
  <c r="AG4731" i="1"/>
  <c r="AG4732" i="1"/>
  <c r="AG4733" i="1"/>
  <c r="AG4734" i="1"/>
  <c r="AG4735" i="1"/>
  <c r="AG4736" i="1"/>
  <c r="AG4737" i="1"/>
  <c r="AG4738" i="1"/>
  <c r="AG4739" i="1"/>
  <c r="AG4740" i="1"/>
  <c r="AG4741" i="1"/>
  <c r="AG4742" i="1"/>
  <c r="AG4743" i="1"/>
  <c r="AG4744" i="1"/>
  <c r="AG4745" i="1"/>
  <c r="AG4746" i="1"/>
  <c r="AG4747" i="1"/>
  <c r="AG4748" i="1"/>
  <c r="AG4749" i="1"/>
  <c r="AG4750" i="1"/>
  <c r="AG4751" i="1"/>
  <c r="AG4752" i="1"/>
  <c r="AG4753" i="1"/>
  <c r="AG4754" i="1"/>
  <c r="AG4755" i="1"/>
  <c r="AG4756" i="1"/>
  <c r="AG4757" i="1"/>
  <c r="AG4758" i="1"/>
  <c r="AG4759" i="1"/>
  <c r="AG4760" i="1"/>
  <c r="AG4761" i="1"/>
  <c r="AG4762" i="1"/>
  <c r="AG4763" i="1"/>
  <c r="AG4764" i="1"/>
  <c r="AG4765" i="1"/>
  <c r="AG4766" i="1"/>
  <c r="AG4767" i="1"/>
  <c r="AG4768" i="1"/>
  <c r="AG4769" i="1"/>
  <c r="AG4770" i="1"/>
  <c r="AG4771" i="1"/>
  <c r="AG4772" i="1"/>
  <c r="AG4773" i="1"/>
  <c r="AG4774" i="1"/>
  <c r="AG4775" i="1"/>
  <c r="AG4776" i="1"/>
  <c r="AG4777" i="1"/>
  <c r="AG4778" i="1"/>
  <c r="AG4779" i="1"/>
  <c r="AG4780" i="1"/>
  <c r="AG4781" i="1"/>
  <c r="AG4782" i="1"/>
  <c r="AG4783" i="1"/>
  <c r="AG4784" i="1"/>
  <c r="AG4785" i="1"/>
  <c r="AG4786" i="1"/>
  <c r="AG4787" i="1"/>
  <c r="AG4788" i="1"/>
  <c r="AG4789" i="1"/>
  <c r="AG4790" i="1"/>
  <c r="AG4791" i="1"/>
  <c r="AG4792" i="1"/>
  <c r="AG4793" i="1"/>
  <c r="AG4794" i="1"/>
  <c r="AG4795" i="1"/>
  <c r="AG4796" i="1"/>
  <c r="AG4797" i="1"/>
  <c r="AG4798" i="1"/>
  <c r="AG4799" i="1"/>
  <c r="AG4800" i="1"/>
  <c r="AG4801" i="1"/>
  <c r="AG4802" i="1"/>
  <c r="AG4803" i="1"/>
  <c r="AG4804" i="1"/>
  <c r="AG4805" i="1"/>
  <c r="AG4806" i="1"/>
  <c r="AG4807" i="1"/>
  <c r="AG4808" i="1"/>
  <c r="AG4809" i="1"/>
  <c r="AG4810" i="1"/>
  <c r="AG4811" i="1"/>
  <c r="AG4812" i="1"/>
  <c r="AG4813" i="1"/>
  <c r="AG4814" i="1"/>
  <c r="AG4815" i="1"/>
  <c r="AG4816" i="1"/>
  <c r="AG4817" i="1"/>
  <c r="AG4818" i="1"/>
  <c r="AG4819" i="1"/>
  <c r="AG4820" i="1"/>
  <c r="AG4821" i="1"/>
  <c r="AG4822" i="1"/>
  <c r="AG4823" i="1"/>
  <c r="AG4824" i="1"/>
  <c r="AG4825" i="1"/>
  <c r="AG4826" i="1"/>
  <c r="AG4827" i="1"/>
  <c r="AG4828" i="1"/>
  <c r="AG4829" i="1"/>
  <c r="AG4830" i="1"/>
  <c r="AG4831" i="1"/>
  <c r="AG4832" i="1"/>
  <c r="AG4833" i="1"/>
  <c r="AG4834" i="1"/>
  <c r="AG4835" i="1"/>
  <c r="AG4836" i="1"/>
  <c r="AG4837" i="1"/>
  <c r="AG4838" i="1"/>
  <c r="AG4839" i="1"/>
  <c r="AG4840" i="1"/>
  <c r="AG4841" i="1"/>
  <c r="AG4842" i="1"/>
  <c r="AG4843" i="1"/>
  <c r="AG4844" i="1"/>
  <c r="AG4845" i="1"/>
  <c r="AG4846" i="1"/>
  <c r="AG4847" i="1"/>
  <c r="AG4848" i="1"/>
  <c r="AG4849" i="1"/>
  <c r="AG4850" i="1"/>
  <c r="AG4851" i="1"/>
  <c r="AG4852" i="1"/>
  <c r="AG4853" i="1"/>
  <c r="AG4854" i="1"/>
  <c r="AG4855" i="1"/>
  <c r="AG4856" i="1"/>
  <c r="AG4857" i="1"/>
  <c r="AG4858" i="1"/>
  <c r="AG4859" i="1"/>
  <c r="AG4860" i="1"/>
  <c r="AG4861" i="1"/>
  <c r="AG4862" i="1"/>
  <c r="AG4863" i="1"/>
  <c r="AG4864" i="1"/>
  <c r="AG4865" i="1"/>
  <c r="AG4866" i="1"/>
  <c r="AG4867" i="1"/>
  <c r="AG4868" i="1"/>
  <c r="AG4869" i="1"/>
  <c r="AG4870" i="1"/>
  <c r="AG4871" i="1"/>
  <c r="AG4872" i="1"/>
  <c r="AG4873" i="1"/>
  <c r="AG4874" i="1"/>
  <c r="AG4875" i="1"/>
  <c r="AG4876" i="1"/>
  <c r="AG4877" i="1"/>
  <c r="AG4878" i="1"/>
  <c r="AG4879" i="1"/>
  <c r="AG4880" i="1"/>
  <c r="AG4881" i="1"/>
  <c r="AG4882" i="1"/>
  <c r="AG4883" i="1"/>
  <c r="AG4884" i="1"/>
  <c r="AG4885" i="1"/>
  <c r="AG4886" i="1"/>
  <c r="AG4887" i="1"/>
  <c r="AG4888" i="1"/>
  <c r="AG4889" i="1"/>
  <c r="AG4890" i="1"/>
  <c r="AG4891" i="1"/>
  <c r="AG4892" i="1"/>
  <c r="AG4893" i="1"/>
  <c r="AG4894" i="1"/>
  <c r="AG4895" i="1"/>
  <c r="AG4896" i="1"/>
  <c r="AG4897" i="1"/>
  <c r="AG4898" i="1"/>
  <c r="AG4899" i="1"/>
  <c r="AG4900" i="1"/>
  <c r="AG4901" i="1"/>
  <c r="AG4902" i="1"/>
  <c r="AG4903" i="1"/>
  <c r="AG4904" i="1"/>
  <c r="AG4905" i="1"/>
  <c r="AG4906" i="1"/>
  <c r="AG4907" i="1"/>
  <c r="AG4908" i="1"/>
  <c r="AG4909" i="1"/>
  <c r="AG4910" i="1"/>
  <c r="AG4911" i="1"/>
  <c r="AG4912" i="1"/>
  <c r="AG4913" i="1"/>
  <c r="AG4914" i="1"/>
  <c r="AG4915" i="1"/>
  <c r="AG4916" i="1"/>
  <c r="AG4917" i="1"/>
  <c r="AG4918" i="1"/>
  <c r="AG4919" i="1"/>
  <c r="AG4920" i="1"/>
  <c r="AG4921" i="1"/>
  <c r="AG4922" i="1"/>
  <c r="AG4923" i="1"/>
  <c r="AG4924" i="1"/>
  <c r="AG4925" i="1"/>
  <c r="AG4926" i="1"/>
  <c r="AG4927" i="1"/>
  <c r="AG4928" i="1"/>
  <c r="AG4929" i="1"/>
  <c r="AG4930" i="1"/>
  <c r="AG4931" i="1"/>
  <c r="AG4932" i="1"/>
  <c r="AG4933" i="1"/>
  <c r="AG4934" i="1"/>
  <c r="AG4935" i="1"/>
  <c r="AG4936" i="1"/>
  <c r="AG4937" i="1"/>
  <c r="AG4938" i="1"/>
  <c r="AG4939" i="1"/>
  <c r="AG4940" i="1"/>
  <c r="AG4941" i="1"/>
  <c r="AG4942" i="1"/>
  <c r="AG4943" i="1"/>
  <c r="AG4944" i="1"/>
  <c r="AG4945" i="1"/>
  <c r="AG4946" i="1"/>
  <c r="AG4947" i="1"/>
  <c r="AG4948" i="1"/>
  <c r="AG4949" i="1"/>
  <c r="AG4950" i="1"/>
  <c r="AG4951" i="1"/>
  <c r="AG4952" i="1"/>
  <c r="AG4953" i="1"/>
  <c r="AG4954" i="1"/>
  <c r="AG4955" i="1"/>
  <c r="AG4956" i="1"/>
  <c r="AG4957" i="1"/>
  <c r="AG4958" i="1"/>
  <c r="AG4959" i="1"/>
  <c r="AG4960" i="1"/>
  <c r="AG4961" i="1"/>
  <c r="AG4962" i="1"/>
  <c r="AG4963" i="1"/>
  <c r="AG4964" i="1"/>
  <c r="AG4965" i="1"/>
  <c r="AG4966" i="1"/>
  <c r="AG4967" i="1"/>
  <c r="AG4968" i="1"/>
  <c r="AG4969" i="1"/>
  <c r="AG4970" i="1"/>
  <c r="AG4971" i="1"/>
  <c r="AG4972" i="1"/>
  <c r="AG4973" i="1"/>
  <c r="AG4974" i="1"/>
  <c r="AG4975" i="1"/>
  <c r="AG4976" i="1"/>
  <c r="AG4977" i="1"/>
  <c r="AG4978" i="1"/>
  <c r="AG4979" i="1"/>
  <c r="AG4980" i="1"/>
  <c r="AG4981" i="1"/>
  <c r="AG4982" i="1"/>
  <c r="AG4983" i="1"/>
  <c r="AG4984" i="1"/>
  <c r="AG4985" i="1"/>
  <c r="AG4986" i="1"/>
  <c r="AG4987" i="1"/>
  <c r="AG4988" i="1"/>
  <c r="AG4989" i="1"/>
  <c r="AG4990" i="1"/>
  <c r="AG4991" i="1"/>
  <c r="AG4992" i="1"/>
  <c r="AG4993" i="1"/>
  <c r="AG4994" i="1"/>
  <c r="AG4995" i="1"/>
  <c r="AG4996" i="1"/>
  <c r="AG4997" i="1"/>
  <c r="AG4998" i="1"/>
  <c r="AG4999" i="1"/>
  <c r="AG5000" i="1"/>
  <c r="AG5001" i="1"/>
  <c r="AF2" i="1"/>
  <c r="AF3" i="1"/>
  <c r="AF4" i="1"/>
  <c r="AF5" i="1"/>
  <c r="AF6" i="1"/>
  <c r="AF7" i="1"/>
  <c r="AF8" i="1"/>
  <c r="AF9" i="1"/>
  <c r="AF10" i="1"/>
  <c r="AF11" i="1"/>
  <c r="AF12" i="1"/>
  <c r="AF13" i="1"/>
  <c r="AF14" i="1"/>
  <c r="AF15" i="1"/>
  <c r="AF16" i="1"/>
  <c r="AF17" i="1"/>
  <c r="AF18" i="1"/>
  <c r="AF19"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4702" i="1"/>
  <c r="AF4703" i="1"/>
  <c r="AF4704" i="1"/>
  <c r="AF4705" i="1"/>
  <c r="AF4706" i="1"/>
  <c r="AF4707" i="1"/>
  <c r="AF4708" i="1"/>
  <c r="AF4709" i="1"/>
  <c r="AF4710" i="1"/>
  <c r="AF4711" i="1"/>
  <c r="AF4712" i="1"/>
  <c r="AF4713" i="1"/>
  <c r="AF4714" i="1"/>
  <c r="AF4715" i="1"/>
  <c r="AF4716" i="1"/>
  <c r="AF4717" i="1"/>
  <c r="AF4718" i="1"/>
  <c r="AF4719" i="1"/>
  <c r="AF4720" i="1"/>
  <c r="AF4721" i="1"/>
  <c r="AF4722" i="1"/>
  <c r="AF4723" i="1"/>
  <c r="AF4724" i="1"/>
  <c r="AF4725" i="1"/>
  <c r="AF4726" i="1"/>
  <c r="AF4727" i="1"/>
  <c r="AF4728" i="1"/>
  <c r="AF4729" i="1"/>
  <c r="AF4730" i="1"/>
  <c r="AF4731" i="1"/>
  <c r="AF4732" i="1"/>
  <c r="AF4733" i="1"/>
  <c r="AF4734" i="1"/>
  <c r="AF4735" i="1"/>
  <c r="AF4736" i="1"/>
  <c r="AF4737" i="1"/>
  <c r="AF4738" i="1"/>
  <c r="AF4739" i="1"/>
  <c r="AF4740" i="1"/>
  <c r="AF4741" i="1"/>
  <c r="AF4742" i="1"/>
  <c r="AF4743" i="1"/>
  <c r="AF4744" i="1"/>
  <c r="AF4745" i="1"/>
  <c r="AF4746" i="1"/>
  <c r="AF4747" i="1"/>
  <c r="AF4748" i="1"/>
  <c r="AF4749" i="1"/>
  <c r="AF4750" i="1"/>
  <c r="AF4751" i="1"/>
  <c r="AF4752" i="1"/>
  <c r="AF4753" i="1"/>
  <c r="AF4754" i="1"/>
  <c r="AF4755" i="1"/>
  <c r="AF4756" i="1"/>
  <c r="AF4757" i="1"/>
  <c r="AF4758" i="1"/>
  <c r="AF4759" i="1"/>
  <c r="AF4760" i="1"/>
  <c r="AF4761" i="1"/>
  <c r="AF4762" i="1"/>
  <c r="AF4763" i="1"/>
  <c r="AF4764" i="1"/>
  <c r="AF4765" i="1"/>
  <c r="AF4766" i="1"/>
  <c r="AF4767" i="1"/>
  <c r="AF4768" i="1"/>
  <c r="AF4769" i="1"/>
  <c r="AF4770" i="1"/>
  <c r="AF4771" i="1"/>
  <c r="AF4772" i="1"/>
  <c r="AF4773" i="1"/>
  <c r="AF4774" i="1"/>
  <c r="AF4775" i="1"/>
  <c r="AF4776" i="1"/>
  <c r="AF4777" i="1"/>
  <c r="AF4778" i="1"/>
  <c r="AF4779" i="1"/>
  <c r="AF4780" i="1"/>
  <c r="AF4781" i="1"/>
  <c r="AF4782" i="1"/>
  <c r="AF4783" i="1"/>
  <c r="AF4784" i="1"/>
  <c r="AF4785" i="1"/>
  <c r="AF4786" i="1"/>
  <c r="AF4787" i="1"/>
  <c r="AF4788" i="1"/>
  <c r="AF4789" i="1"/>
  <c r="AF4790" i="1"/>
  <c r="AF4791" i="1"/>
  <c r="AF4792" i="1"/>
  <c r="AF4793" i="1"/>
  <c r="AF4794" i="1"/>
  <c r="AF4795" i="1"/>
  <c r="AF4796" i="1"/>
  <c r="AF4797" i="1"/>
  <c r="AF4798" i="1"/>
  <c r="AF4799" i="1"/>
  <c r="AF4800" i="1"/>
  <c r="AF4801" i="1"/>
  <c r="AF4802" i="1"/>
  <c r="AF4803" i="1"/>
  <c r="AF4804" i="1"/>
  <c r="AF4805" i="1"/>
  <c r="AF4806" i="1"/>
  <c r="AF4807" i="1"/>
  <c r="AF4808" i="1"/>
  <c r="AF4809" i="1"/>
  <c r="AF4810" i="1"/>
  <c r="AF4811" i="1"/>
  <c r="AF4812" i="1"/>
  <c r="AF4813" i="1"/>
  <c r="AF4814" i="1"/>
  <c r="AF4815" i="1"/>
  <c r="AF4816" i="1"/>
  <c r="AF4817" i="1"/>
  <c r="AF4818" i="1"/>
  <c r="AF4819" i="1"/>
  <c r="AF4820" i="1"/>
  <c r="AF4821" i="1"/>
  <c r="AF4822" i="1"/>
  <c r="AF4823" i="1"/>
  <c r="AF4824" i="1"/>
  <c r="AF4825" i="1"/>
  <c r="AF4826" i="1"/>
  <c r="AF4827" i="1"/>
  <c r="AF4828" i="1"/>
  <c r="AF4829" i="1"/>
  <c r="AF4830" i="1"/>
  <c r="AF4831" i="1"/>
  <c r="AF4832" i="1"/>
  <c r="AF4833" i="1"/>
  <c r="AF4834" i="1"/>
  <c r="AF4835" i="1"/>
  <c r="AF4836" i="1"/>
  <c r="AF4837" i="1"/>
  <c r="AF4838" i="1"/>
  <c r="AF4839" i="1"/>
  <c r="AF4840" i="1"/>
  <c r="AF4841" i="1"/>
  <c r="AF4842" i="1"/>
  <c r="AF4843" i="1"/>
  <c r="AF4844" i="1"/>
  <c r="AF4845" i="1"/>
  <c r="AF4846" i="1"/>
  <c r="AF4847" i="1"/>
  <c r="AF4848" i="1"/>
  <c r="AF4849" i="1"/>
  <c r="AF4850" i="1"/>
  <c r="AF4851" i="1"/>
  <c r="AF4852" i="1"/>
  <c r="AF4853" i="1"/>
  <c r="AF4854" i="1"/>
  <c r="AF4855" i="1"/>
  <c r="AF4856" i="1"/>
  <c r="AF4857" i="1"/>
  <c r="AF4858" i="1"/>
  <c r="AF4859" i="1"/>
  <c r="AF4860" i="1"/>
  <c r="AF4861" i="1"/>
  <c r="AF4862" i="1"/>
  <c r="AF4863" i="1"/>
  <c r="AF4864" i="1"/>
  <c r="AF4865" i="1"/>
  <c r="AF4866" i="1"/>
  <c r="AF4867" i="1"/>
  <c r="AF4868" i="1"/>
  <c r="AF4869" i="1"/>
  <c r="AF4870" i="1"/>
  <c r="AF4871" i="1"/>
  <c r="AF4872" i="1"/>
  <c r="AF4873" i="1"/>
  <c r="AF4874" i="1"/>
  <c r="AF4875" i="1"/>
  <c r="AF4876" i="1"/>
  <c r="AF4877" i="1"/>
  <c r="AF4878" i="1"/>
  <c r="AF4879" i="1"/>
  <c r="AF4880" i="1"/>
  <c r="AF4881" i="1"/>
  <c r="AF4882" i="1"/>
  <c r="AF4883" i="1"/>
  <c r="AF4884" i="1"/>
  <c r="AF4885" i="1"/>
  <c r="AF4886" i="1"/>
  <c r="AF4887" i="1"/>
  <c r="AF4888" i="1"/>
  <c r="AF4889" i="1"/>
  <c r="AF4890" i="1"/>
  <c r="AF4891" i="1"/>
  <c r="AF4892" i="1"/>
  <c r="AF4893" i="1"/>
  <c r="AF4894" i="1"/>
  <c r="AF4895" i="1"/>
  <c r="AF4896" i="1"/>
  <c r="AF4897" i="1"/>
  <c r="AF4898" i="1"/>
  <c r="AF4899" i="1"/>
  <c r="AF4900" i="1"/>
  <c r="AF4901" i="1"/>
  <c r="AF4902" i="1"/>
  <c r="AF4903" i="1"/>
  <c r="AF4904" i="1"/>
  <c r="AF4905" i="1"/>
  <c r="AF4906" i="1"/>
  <c r="AF4907" i="1"/>
  <c r="AF4908" i="1"/>
  <c r="AF4909" i="1"/>
  <c r="AF4910" i="1"/>
  <c r="AF4911" i="1"/>
  <c r="AF4912" i="1"/>
  <c r="AF4913" i="1"/>
  <c r="AF4914" i="1"/>
  <c r="AF4915" i="1"/>
  <c r="AF4916" i="1"/>
  <c r="AF4917" i="1"/>
  <c r="AF4918" i="1"/>
  <c r="AF4919" i="1"/>
  <c r="AF4920" i="1"/>
  <c r="AF4921" i="1"/>
  <c r="AF4922" i="1"/>
  <c r="AF4923" i="1"/>
  <c r="AF4924" i="1"/>
  <c r="AF4925" i="1"/>
  <c r="AF4926" i="1"/>
  <c r="AF4927" i="1"/>
  <c r="AF4928" i="1"/>
  <c r="AF4929" i="1"/>
  <c r="AF4930" i="1"/>
  <c r="AF4931" i="1"/>
  <c r="AF4932" i="1"/>
  <c r="AF4933" i="1"/>
  <c r="AF4934" i="1"/>
  <c r="AF4935" i="1"/>
  <c r="AF4936" i="1"/>
  <c r="AF4937" i="1"/>
  <c r="AF4938" i="1"/>
  <c r="AF4939" i="1"/>
  <c r="AF4940" i="1"/>
  <c r="AF4941" i="1"/>
  <c r="AF4942" i="1"/>
  <c r="AF4943" i="1"/>
  <c r="AF4944" i="1"/>
  <c r="AF4945" i="1"/>
  <c r="AF4946" i="1"/>
  <c r="AF4947" i="1"/>
  <c r="AF4948" i="1"/>
  <c r="AF4949" i="1"/>
  <c r="AF4950" i="1"/>
  <c r="AF4951" i="1"/>
  <c r="AF4952" i="1"/>
  <c r="AF4953" i="1"/>
  <c r="AF4954" i="1"/>
  <c r="AF4955" i="1"/>
  <c r="AF4956" i="1"/>
  <c r="AF4957" i="1"/>
  <c r="AF4958" i="1"/>
  <c r="AF4959" i="1"/>
  <c r="AF4960" i="1"/>
  <c r="AF4961" i="1"/>
  <c r="AF4962" i="1"/>
  <c r="AF4963" i="1"/>
  <c r="AF4964" i="1"/>
  <c r="AF4965" i="1"/>
  <c r="AF4966" i="1"/>
  <c r="AF4967" i="1"/>
  <c r="AF4968" i="1"/>
  <c r="AF4969" i="1"/>
  <c r="AF4970" i="1"/>
  <c r="AF4971" i="1"/>
  <c r="AF4972" i="1"/>
  <c r="AF4973" i="1"/>
  <c r="AF4974" i="1"/>
  <c r="AF4975" i="1"/>
  <c r="AF4976" i="1"/>
  <c r="AF4977" i="1"/>
  <c r="AF4978" i="1"/>
  <c r="AF4979" i="1"/>
  <c r="AF4980" i="1"/>
  <c r="AF4981" i="1"/>
  <c r="AF4982" i="1"/>
  <c r="AF4983" i="1"/>
  <c r="AF4984" i="1"/>
  <c r="AF4985" i="1"/>
  <c r="AF4986" i="1"/>
  <c r="AF4987" i="1"/>
  <c r="AF4988" i="1"/>
  <c r="AF4989" i="1"/>
  <c r="AF4990" i="1"/>
  <c r="AF4991" i="1"/>
  <c r="AF4992" i="1"/>
  <c r="AF4993" i="1"/>
  <c r="AF4994" i="1"/>
  <c r="AF4995" i="1"/>
  <c r="AF4996" i="1"/>
  <c r="AF4997" i="1"/>
  <c r="AF4998" i="1"/>
  <c r="AF4999" i="1"/>
  <c r="AF5000" i="1"/>
  <c r="AF5001" i="1"/>
  <c r="AF20"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4702" i="1"/>
  <c r="AE4703" i="1"/>
  <c r="AE4704" i="1"/>
  <c r="AE4705" i="1"/>
  <c r="AE4706" i="1"/>
  <c r="AE4707" i="1"/>
  <c r="AE4708" i="1"/>
  <c r="AE4709" i="1"/>
  <c r="AE4710" i="1"/>
  <c r="AE4711" i="1"/>
  <c r="AE4712" i="1"/>
  <c r="AE4713" i="1"/>
  <c r="AE4714" i="1"/>
  <c r="AE4715" i="1"/>
  <c r="AE4716" i="1"/>
  <c r="AE4717" i="1"/>
  <c r="AE4718" i="1"/>
  <c r="AE4719"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4743" i="1"/>
  <c r="AE4744" i="1"/>
  <c r="AE4745" i="1"/>
  <c r="AE4746" i="1"/>
  <c r="AE4747" i="1"/>
  <c r="AE4748" i="1"/>
  <c r="AE4749" i="1"/>
  <c r="AE4750" i="1"/>
  <c r="AE4751" i="1"/>
  <c r="AE4752" i="1"/>
  <c r="AE4753" i="1"/>
  <c r="AE4754" i="1"/>
  <c r="AE4755" i="1"/>
  <c r="AE4756" i="1"/>
  <c r="AE4757" i="1"/>
  <c r="AE4758" i="1"/>
  <c r="AE4759" i="1"/>
  <c r="AE4760" i="1"/>
  <c r="AE4761" i="1"/>
  <c r="AE4762" i="1"/>
  <c r="AE4763" i="1"/>
  <c r="AE4764" i="1"/>
  <c r="AE4765" i="1"/>
  <c r="AE4766" i="1"/>
  <c r="AE4767" i="1"/>
  <c r="AE4768" i="1"/>
  <c r="AE4769" i="1"/>
  <c r="AE4770" i="1"/>
  <c r="AE4771" i="1"/>
  <c r="AE4772" i="1"/>
  <c r="AE4773" i="1"/>
  <c r="AE4774" i="1"/>
  <c r="AE4775" i="1"/>
  <c r="AE4776" i="1"/>
  <c r="AE4777" i="1"/>
  <c r="AE4778" i="1"/>
  <c r="AE4779" i="1"/>
  <c r="AE4780" i="1"/>
  <c r="AE4781" i="1"/>
  <c r="AE4782" i="1"/>
  <c r="AE4783" i="1"/>
  <c r="AE4784" i="1"/>
  <c r="AE4785" i="1"/>
  <c r="AE4786" i="1"/>
  <c r="AE4787" i="1"/>
  <c r="AE4788" i="1"/>
  <c r="AE4789" i="1"/>
  <c r="AE4790" i="1"/>
  <c r="AE4791" i="1"/>
  <c r="AE4792" i="1"/>
  <c r="AE4793" i="1"/>
  <c r="AE4794" i="1"/>
  <c r="AE4795" i="1"/>
  <c r="AE4796" i="1"/>
  <c r="AE4797" i="1"/>
  <c r="AE4798" i="1"/>
  <c r="AE4799" i="1"/>
  <c r="AE4800" i="1"/>
  <c r="AE4801" i="1"/>
  <c r="AE4802" i="1"/>
  <c r="AE4803" i="1"/>
  <c r="AE4804" i="1"/>
  <c r="AE4805" i="1"/>
  <c r="AE4806" i="1"/>
  <c r="AE4807" i="1"/>
  <c r="AE4808" i="1"/>
  <c r="AE4809" i="1"/>
  <c r="AE4810" i="1"/>
  <c r="AE4811" i="1"/>
  <c r="AE4812" i="1"/>
  <c r="AE4813" i="1"/>
  <c r="AE4814" i="1"/>
  <c r="AE4815" i="1"/>
  <c r="AE4816" i="1"/>
  <c r="AE4817" i="1"/>
  <c r="AE4818" i="1"/>
  <c r="AE4819" i="1"/>
  <c r="AE4820" i="1"/>
  <c r="AE4821" i="1"/>
  <c r="AE4822" i="1"/>
  <c r="AE4823" i="1"/>
  <c r="AE4824" i="1"/>
  <c r="AE4825" i="1"/>
  <c r="AE4826" i="1"/>
  <c r="AE4827" i="1"/>
  <c r="AE4828" i="1"/>
  <c r="AE4829" i="1"/>
  <c r="AE4830" i="1"/>
  <c r="AE4831" i="1"/>
  <c r="AE4832" i="1"/>
  <c r="AE4833" i="1"/>
  <c r="AE4834" i="1"/>
  <c r="AE4835" i="1"/>
  <c r="AE4836" i="1"/>
  <c r="AE4837" i="1"/>
  <c r="AE4838" i="1"/>
  <c r="AE4839" i="1"/>
  <c r="AE4840" i="1"/>
  <c r="AE4841" i="1"/>
  <c r="AE4842" i="1"/>
  <c r="AE4843" i="1"/>
  <c r="AE4844" i="1"/>
  <c r="AE4845" i="1"/>
  <c r="AE4846" i="1"/>
  <c r="AE4847" i="1"/>
  <c r="AE4848" i="1"/>
  <c r="AE4849" i="1"/>
  <c r="AE4850" i="1"/>
  <c r="AE4851" i="1"/>
  <c r="AE4852" i="1"/>
  <c r="AE4853" i="1"/>
  <c r="AE4854" i="1"/>
  <c r="AE4855" i="1"/>
  <c r="AE4856" i="1"/>
  <c r="AE4857" i="1"/>
  <c r="AE4858" i="1"/>
  <c r="AE4859" i="1"/>
  <c r="AE4860" i="1"/>
  <c r="AE4861" i="1"/>
  <c r="AE4862" i="1"/>
  <c r="AE4863" i="1"/>
  <c r="AE4864" i="1"/>
  <c r="AE4865" i="1"/>
  <c r="AE4866" i="1"/>
  <c r="AE4867" i="1"/>
  <c r="AE4868" i="1"/>
  <c r="AE4869" i="1"/>
  <c r="AE4870" i="1"/>
  <c r="AE4871" i="1"/>
  <c r="AE4872" i="1"/>
  <c r="AE4873" i="1"/>
  <c r="AE4874" i="1"/>
  <c r="AE4875" i="1"/>
  <c r="AE4876" i="1"/>
  <c r="AE4877" i="1"/>
  <c r="AE4878" i="1"/>
  <c r="AE4879" i="1"/>
  <c r="AE4880" i="1"/>
  <c r="AE4881" i="1"/>
  <c r="AE4882" i="1"/>
  <c r="AE4883" i="1"/>
  <c r="AE4884" i="1"/>
  <c r="AE4885" i="1"/>
  <c r="AE4886" i="1"/>
  <c r="AE4887" i="1"/>
  <c r="AE4888" i="1"/>
  <c r="AE4889" i="1"/>
  <c r="AE4890" i="1"/>
  <c r="AE4891" i="1"/>
  <c r="AE4892" i="1"/>
  <c r="AE4893" i="1"/>
  <c r="AE4894" i="1"/>
  <c r="AE4895" i="1"/>
  <c r="AE4896" i="1"/>
  <c r="AE4897" i="1"/>
  <c r="AE4898" i="1"/>
  <c r="AE4899" i="1"/>
  <c r="AE4900" i="1"/>
  <c r="AE4901" i="1"/>
  <c r="AE4902" i="1"/>
  <c r="AE4903" i="1"/>
  <c r="AE4904" i="1"/>
  <c r="AE4905" i="1"/>
  <c r="AE4906" i="1"/>
  <c r="AE4907" i="1"/>
  <c r="AE4908" i="1"/>
  <c r="AE4909" i="1"/>
  <c r="AE4910" i="1"/>
  <c r="AE4911" i="1"/>
  <c r="AE4912" i="1"/>
  <c r="AE4913" i="1"/>
  <c r="AE4914" i="1"/>
  <c r="AE4915" i="1"/>
  <c r="AE4916" i="1"/>
  <c r="AE4917" i="1"/>
  <c r="AE4918" i="1"/>
  <c r="AE4919" i="1"/>
  <c r="AE4920" i="1"/>
  <c r="AE4921" i="1"/>
  <c r="AE4922" i="1"/>
  <c r="AE4923" i="1"/>
  <c r="AE4924" i="1"/>
  <c r="AE4925" i="1"/>
  <c r="AE4926" i="1"/>
  <c r="AE4927" i="1"/>
  <c r="AE4928" i="1"/>
  <c r="AE4929" i="1"/>
  <c r="AE4930" i="1"/>
  <c r="AE4931" i="1"/>
  <c r="AE4932" i="1"/>
  <c r="AE4933" i="1"/>
  <c r="AE4934" i="1"/>
  <c r="AE4935" i="1"/>
  <c r="AE4936" i="1"/>
  <c r="AE4937" i="1"/>
  <c r="AE4938" i="1"/>
  <c r="AE4939" i="1"/>
  <c r="AE4940" i="1"/>
  <c r="AE4941" i="1"/>
  <c r="AE4942" i="1"/>
  <c r="AE4943" i="1"/>
  <c r="AE4944" i="1"/>
  <c r="AE4945" i="1"/>
  <c r="AE4946" i="1"/>
  <c r="AE4947" i="1"/>
  <c r="AE4948" i="1"/>
  <c r="AE4949" i="1"/>
  <c r="AE4950" i="1"/>
  <c r="AE4951" i="1"/>
  <c r="AE4952" i="1"/>
  <c r="AE4953" i="1"/>
  <c r="AE4954" i="1"/>
  <c r="AE4955" i="1"/>
  <c r="AE4956" i="1"/>
  <c r="AE4957" i="1"/>
  <c r="AE4958" i="1"/>
  <c r="AE4959" i="1"/>
  <c r="AE4960" i="1"/>
  <c r="AE4961" i="1"/>
  <c r="AE4962" i="1"/>
  <c r="AE4963" i="1"/>
  <c r="AE4964" i="1"/>
  <c r="AE4965" i="1"/>
  <c r="AE4966" i="1"/>
  <c r="AE4967" i="1"/>
  <c r="AE4968" i="1"/>
  <c r="AE4969" i="1"/>
  <c r="AE4970" i="1"/>
  <c r="AE4971" i="1"/>
  <c r="AE4972" i="1"/>
  <c r="AE4973" i="1"/>
  <c r="AE4974" i="1"/>
  <c r="AE4975" i="1"/>
  <c r="AE4976" i="1"/>
  <c r="AE4977" i="1"/>
  <c r="AE4978" i="1"/>
  <c r="AE4979" i="1"/>
  <c r="AE4980" i="1"/>
  <c r="AE4981" i="1"/>
  <c r="AE4982" i="1"/>
  <c r="AE4983" i="1"/>
  <c r="AE4984" i="1"/>
  <c r="AE4985" i="1"/>
  <c r="AE4986" i="1"/>
  <c r="AE4987" i="1"/>
  <c r="AE4988" i="1"/>
  <c r="AE4989" i="1"/>
  <c r="AE4990" i="1"/>
  <c r="AE4991" i="1"/>
  <c r="AE4992" i="1"/>
  <c r="AE4993" i="1"/>
  <c r="AE4994" i="1"/>
  <c r="AE4995" i="1"/>
  <c r="AE4996" i="1"/>
  <c r="AE4997" i="1"/>
  <c r="AE4998" i="1"/>
  <c r="AE4999" i="1"/>
  <c r="AE5000" i="1"/>
  <c r="AE5001" i="1"/>
  <c r="AC2" i="1"/>
  <c r="AB2" i="1" s="1"/>
  <c r="AC3" i="1"/>
  <c r="AB3" i="1" s="1"/>
  <c r="AC4" i="1"/>
  <c r="AB4" i="1" s="1"/>
  <c r="AC5" i="1"/>
  <c r="AB5" i="1" s="1"/>
  <c r="AC6" i="1"/>
  <c r="AB6" i="1" s="1"/>
  <c r="AC7" i="1"/>
  <c r="AB7" i="1" s="1"/>
  <c r="AC8" i="1"/>
  <c r="AB8" i="1" s="1"/>
  <c r="AC9" i="1"/>
  <c r="AB9" i="1" s="1"/>
  <c r="AC10" i="1"/>
  <c r="AB10" i="1" s="1"/>
  <c r="AC11" i="1"/>
  <c r="AB11" i="1" s="1"/>
  <c r="AC12" i="1"/>
  <c r="AB12" i="1" s="1"/>
  <c r="AC13" i="1"/>
  <c r="AB13" i="1" s="1"/>
  <c r="AC14" i="1"/>
  <c r="AB14" i="1" s="1"/>
  <c r="AC15" i="1"/>
  <c r="AB15" i="1" s="1"/>
  <c r="AC16" i="1"/>
  <c r="AB16" i="1" s="1"/>
  <c r="AC17" i="1"/>
  <c r="AB17" i="1" s="1"/>
  <c r="AC18" i="1"/>
  <c r="AB18" i="1" s="1"/>
  <c r="AC19" i="1"/>
  <c r="AB19" i="1" s="1"/>
  <c r="AC20" i="1"/>
  <c r="AB20" i="1" s="1"/>
  <c r="AC21" i="1"/>
  <c r="AB21" i="1" s="1"/>
  <c r="AC22" i="1"/>
  <c r="AB22" i="1" s="1"/>
  <c r="AC23" i="1"/>
  <c r="AB23" i="1" s="1"/>
  <c r="AC24" i="1"/>
  <c r="AB24" i="1" s="1"/>
  <c r="AC25" i="1"/>
  <c r="AB25" i="1" s="1"/>
  <c r="AC26" i="1"/>
  <c r="AB26" i="1" s="1"/>
  <c r="AC27" i="1"/>
  <c r="AB27" i="1" s="1"/>
  <c r="AC28" i="1"/>
  <c r="AB28" i="1" s="1"/>
  <c r="AC29" i="1"/>
  <c r="AB29" i="1" s="1"/>
  <c r="AC30" i="1"/>
  <c r="AB30" i="1" s="1"/>
  <c r="AC31" i="1"/>
  <c r="AB31" i="1" s="1"/>
  <c r="AC32" i="1"/>
  <c r="AB32" i="1" s="1"/>
  <c r="AC33" i="1"/>
  <c r="AB33" i="1" s="1"/>
  <c r="AC34" i="1"/>
  <c r="AB34" i="1" s="1"/>
  <c r="AC35" i="1"/>
  <c r="AB35" i="1" s="1"/>
  <c r="AC36" i="1"/>
  <c r="AB36" i="1" s="1"/>
  <c r="AC37" i="1"/>
  <c r="AB37" i="1" s="1"/>
  <c r="AC38" i="1"/>
  <c r="AB38" i="1" s="1"/>
  <c r="AC39" i="1"/>
  <c r="AB39" i="1" s="1"/>
  <c r="AC40" i="1"/>
  <c r="AB40" i="1" s="1"/>
  <c r="AC41" i="1"/>
  <c r="AB41" i="1" s="1"/>
  <c r="AC42" i="1"/>
  <c r="AB42" i="1" s="1"/>
  <c r="AC43" i="1"/>
  <c r="AB43" i="1" s="1"/>
  <c r="AC44" i="1"/>
  <c r="AB44" i="1" s="1"/>
  <c r="AC45" i="1"/>
  <c r="AB45" i="1" s="1"/>
  <c r="AC46" i="1"/>
  <c r="AB46" i="1" s="1"/>
  <c r="AC47" i="1"/>
  <c r="AB47" i="1" s="1"/>
  <c r="AC48" i="1"/>
  <c r="AB48" i="1" s="1"/>
  <c r="AC49" i="1"/>
  <c r="AB49" i="1" s="1"/>
  <c r="AC50" i="1"/>
  <c r="AB50" i="1" s="1"/>
  <c r="AC51" i="1"/>
  <c r="AB51" i="1" s="1"/>
  <c r="AC52" i="1"/>
  <c r="AB52" i="1" s="1"/>
  <c r="AC53" i="1"/>
  <c r="AB53" i="1" s="1"/>
  <c r="AC54" i="1"/>
  <c r="AB54" i="1" s="1"/>
  <c r="AC55" i="1"/>
  <c r="AB55" i="1" s="1"/>
  <c r="AC56" i="1"/>
  <c r="AB56" i="1" s="1"/>
  <c r="AC57" i="1"/>
  <c r="AB57" i="1" s="1"/>
  <c r="AC58" i="1"/>
  <c r="AB58" i="1" s="1"/>
  <c r="AC59" i="1"/>
  <c r="AB59" i="1" s="1"/>
  <c r="AC60" i="1"/>
  <c r="AB60" i="1" s="1"/>
  <c r="AC61" i="1"/>
  <c r="AB61" i="1" s="1"/>
  <c r="AC62" i="1"/>
  <c r="AB62" i="1" s="1"/>
  <c r="AC63" i="1"/>
  <c r="AB63" i="1" s="1"/>
  <c r="AC64" i="1"/>
  <c r="AB64" i="1" s="1"/>
  <c r="AC65" i="1"/>
  <c r="AB65" i="1" s="1"/>
  <c r="AC66" i="1"/>
  <c r="AB66" i="1" s="1"/>
  <c r="AC67" i="1"/>
  <c r="AB67" i="1" s="1"/>
  <c r="AC68" i="1"/>
  <c r="AB68" i="1" s="1"/>
  <c r="AC69" i="1"/>
  <c r="AB69" i="1" s="1"/>
  <c r="AC70" i="1"/>
  <c r="AB70" i="1" s="1"/>
  <c r="AC71" i="1"/>
  <c r="AB71" i="1" s="1"/>
  <c r="AC72" i="1"/>
  <c r="AB72" i="1" s="1"/>
  <c r="AC73" i="1"/>
  <c r="AB73" i="1" s="1"/>
  <c r="AC74" i="1"/>
  <c r="AB74" i="1" s="1"/>
  <c r="AC75" i="1"/>
  <c r="AB75" i="1" s="1"/>
  <c r="AC76" i="1"/>
  <c r="AB76" i="1" s="1"/>
  <c r="AC77" i="1"/>
  <c r="AB77" i="1" s="1"/>
  <c r="AC78" i="1"/>
  <c r="AB78" i="1" s="1"/>
  <c r="AC79" i="1"/>
  <c r="AB79" i="1" s="1"/>
  <c r="AC80" i="1"/>
  <c r="AB80" i="1" s="1"/>
  <c r="AC81" i="1"/>
  <c r="AB81" i="1" s="1"/>
  <c r="AC82" i="1"/>
  <c r="AB82" i="1" s="1"/>
  <c r="AC83" i="1"/>
  <c r="AB83" i="1" s="1"/>
  <c r="AC84" i="1"/>
  <c r="AB84" i="1" s="1"/>
  <c r="AC85" i="1"/>
  <c r="AB85" i="1" s="1"/>
  <c r="AC86" i="1"/>
  <c r="AB86" i="1" s="1"/>
  <c r="AC87" i="1"/>
  <c r="AB87" i="1" s="1"/>
  <c r="AC88" i="1"/>
  <c r="AB88" i="1" s="1"/>
  <c r="AC89" i="1"/>
  <c r="AB89" i="1" s="1"/>
  <c r="AC90" i="1"/>
  <c r="AB90" i="1" s="1"/>
  <c r="AC91" i="1"/>
  <c r="AB91" i="1" s="1"/>
  <c r="AC92" i="1"/>
  <c r="AB92" i="1" s="1"/>
  <c r="AC93" i="1"/>
  <c r="AB93" i="1" s="1"/>
  <c r="AC94" i="1"/>
  <c r="AB94" i="1" s="1"/>
  <c r="AC95" i="1"/>
  <c r="AB95" i="1" s="1"/>
  <c r="AC96" i="1"/>
  <c r="AB96" i="1" s="1"/>
  <c r="AC97" i="1"/>
  <c r="AB97" i="1" s="1"/>
  <c r="AC98" i="1"/>
  <c r="AB98" i="1" s="1"/>
  <c r="AC99" i="1"/>
  <c r="AB99" i="1" s="1"/>
  <c r="AC100" i="1"/>
  <c r="AB100" i="1" s="1"/>
  <c r="AC101" i="1"/>
  <c r="AB101" i="1" s="1"/>
  <c r="AC102" i="1"/>
  <c r="AB102" i="1" s="1"/>
  <c r="AC103" i="1"/>
  <c r="AB103" i="1" s="1"/>
  <c r="AC104" i="1"/>
  <c r="AB104" i="1" s="1"/>
  <c r="AC105" i="1"/>
  <c r="AB105" i="1" s="1"/>
  <c r="AC106" i="1"/>
  <c r="AB106" i="1" s="1"/>
  <c r="AC107" i="1"/>
  <c r="AB107" i="1" s="1"/>
  <c r="AC108" i="1"/>
  <c r="AB108" i="1" s="1"/>
  <c r="AC109" i="1"/>
  <c r="AB109" i="1" s="1"/>
  <c r="AC110" i="1"/>
  <c r="AB110" i="1" s="1"/>
  <c r="AC111" i="1"/>
  <c r="AB111" i="1" s="1"/>
  <c r="AC112" i="1"/>
  <c r="AB112" i="1" s="1"/>
  <c r="AC113" i="1"/>
  <c r="AB113" i="1" s="1"/>
  <c r="AC114" i="1"/>
  <c r="AB114" i="1" s="1"/>
  <c r="AC115" i="1"/>
  <c r="AB115" i="1" s="1"/>
  <c r="AC116" i="1"/>
  <c r="AB116" i="1" s="1"/>
  <c r="AC117" i="1"/>
  <c r="AB117" i="1" s="1"/>
  <c r="AC118" i="1"/>
  <c r="AB118" i="1" s="1"/>
  <c r="AC119" i="1"/>
  <c r="AB119" i="1" s="1"/>
  <c r="AC120" i="1"/>
  <c r="AB120" i="1" s="1"/>
  <c r="AC121" i="1"/>
  <c r="AB121" i="1" s="1"/>
  <c r="AC122" i="1"/>
  <c r="AB122" i="1" s="1"/>
  <c r="AC123" i="1"/>
  <c r="AB123" i="1" s="1"/>
  <c r="AC124" i="1"/>
  <c r="AB124" i="1" s="1"/>
  <c r="AC125" i="1"/>
  <c r="AB125" i="1" s="1"/>
  <c r="AC126" i="1"/>
  <c r="AB126" i="1" s="1"/>
  <c r="AC127" i="1"/>
  <c r="AB127" i="1" s="1"/>
  <c r="AC128" i="1"/>
  <c r="AB128" i="1" s="1"/>
  <c r="AC129" i="1"/>
  <c r="AB129" i="1" s="1"/>
  <c r="AC130" i="1"/>
  <c r="AB130" i="1" s="1"/>
  <c r="AC131" i="1"/>
  <c r="AB131" i="1" s="1"/>
  <c r="AC132" i="1"/>
  <c r="AB132" i="1" s="1"/>
  <c r="AC133" i="1"/>
  <c r="AB133" i="1" s="1"/>
  <c r="AC134" i="1"/>
  <c r="AB134" i="1" s="1"/>
  <c r="AC135" i="1"/>
  <c r="AB135" i="1" s="1"/>
  <c r="AC136" i="1"/>
  <c r="AB136" i="1" s="1"/>
  <c r="AC137" i="1"/>
  <c r="AB137" i="1" s="1"/>
  <c r="AC138" i="1"/>
  <c r="AB138" i="1" s="1"/>
  <c r="AC139" i="1"/>
  <c r="AB139" i="1" s="1"/>
  <c r="AC140" i="1"/>
  <c r="AB140" i="1" s="1"/>
  <c r="AC141" i="1"/>
  <c r="AB141" i="1" s="1"/>
  <c r="AC142" i="1"/>
  <c r="AB142" i="1" s="1"/>
  <c r="AC143" i="1"/>
  <c r="AB143" i="1" s="1"/>
  <c r="AC144" i="1"/>
  <c r="AB144" i="1" s="1"/>
  <c r="AC145" i="1"/>
  <c r="AB145" i="1" s="1"/>
  <c r="AC146" i="1"/>
  <c r="AB146" i="1" s="1"/>
  <c r="AC147" i="1"/>
  <c r="AB147" i="1" s="1"/>
  <c r="AC148" i="1"/>
  <c r="AB148" i="1" s="1"/>
  <c r="AC149" i="1"/>
  <c r="AB149" i="1" s="1"/>
  <c r="AC150" i="1"/>
  <c r="AB150" i="1" s="1"/>
  <c r="AC151" i="1"/>
  <c r="AB151" i="1" s="1"/>
  <c r="AC152" i="1"/>
  <c r="AB152" i="1" s="1"/>
  <c r="AC153" i="1"/>
  <c r="AB153" i="1" s="1"/>
  <c r="AC154" i="1"/>
  <c r="AB154" i="1" s="1"/>
  <c r="AC155" i="1"/>
  <c r="AB155" i="1" s="1"/>
  <c r="AC156" i="1"/>
  <c r="AB156" i="1" s="1"/>
  <c r="AC157" i="1"/>
  <c r="AB157" i="1" s="1"/>
  <c r="AC158" i="1"/>
  <c r="AB158" i="1" s="1"/>
  <c r="AC159" i="1"/>
  <c r="AB159" i="1" s="1"/>
  <c r="AC160" i="1"/>
  <c r="AB160" i="1" s="1"/>
  <c r="AC161" i="1"/>
  <c r="AB161" i="1" s="1"/>
  <c r="AC162" i="1"/>
  <c r="AB162" i="1" s="1"/>
  <c r="AC163" i="1"/>
  <c r="AB163" i="1" s="1"/>
  <c r="AC164" i="1"/>
  <c r="AB164" i="1" s="1"/>
  <c r="AC165" i="1"/>
  <c r="AB165" i="1" s="1"/>
  <c r="AC166" i="1"/>
  <c r="AB166" i="1" s="1"/>
  <c r="AC167" i="1"/>
  <c r="AB167" i="1" s="1"/>
  <c r="AC168" i="1"/>
  <c r="AB168" i="1" s="1"/>
  <c r="AC169" i="1"/>
  <c r="AB169" i="1" s="1"/>
  <c r="AC170" i="1"/>
  <c r="AB170" i="1" s="1"/>
  <c r="AC171" i="1"/>
  <c r="AB171" i="1" s="1"/>
  <c r="AC172" i="1"/>
  <c r="AB172" i="1" s="1"/>
  <c r="AC173" i="1"/>
  <c r="AB173" i="1" s="1"/>
  <c r="AC174" i="1"/>
  <c r="AB174" i="1" s="1"/>
  <c r="AC175" i="1"/>
  <c r="AB175" i="1" s="1"/>
  <c r="AC176" i="1"/>
  <c r="AB176" i="1" s="1"/>
  <c r="AC177" i="1"/>
  <c r="AB177" i="1" s="1"/>
  <c r="AC178" i="1"/>
  <c r="AB178" i="1" s="1"/>
  <c r="AC179" i="1"/>
  <c r="AB179" i="1" s="1"/>
  <c r="AC180" i="1"/>
  <c r="AB180" i="1" s="1"/>
  <c r="AC181" i="1"/>
  <c r="AB181" i="1" s="1"/>
  <c r="AC182" i="1"/>
  <c r="AB182" i="1" s="1"/>
  <c r="AC183" i="1"/>
  <c r="AB183" i="1" s="1"/>
  <c r="AC184" i="1"/>
  <c r="AB184" i="1" s="1"/>
  <c r="AC185" i="1"/>
  <c r="AB185" i="1" s="1"/>
  <c r="AC186" i="1"/>
  <c r="AB186" i="1" s="1"/>
  <c r="AC187" i="1"/>
  <c r="AB187" i="1" s="1"/>
  <c r="AC188" i="1"/>
  <c r="AB188" i="1" s="1"/>
  <c r="AC189" i="1"/>
  <c r="AB189" i="1" s="1"/>
  <c r="AC190" i="1"/>
  <c r="AB190" i="1" s="1"/>
  <c r="AC191" i="1"/>
  <c r="AB191" i="1" s="1"/>
  <c r="AC192" i="1"/>
  <c r="AB192" i="1" s="1"/>
  <c r="AC193" i="1"/>
  <c r="AB193" i="1" s="1"/>
  <c r="AC194" i="1"/>
  <c r="AB194" i="1" s="1"/>
  <c r="AC195" i="1"/>
  <c r="AB195" i="1" s="1"/>
  <c r="AC196" i="1"/>
  <c r="AB196" i="1" s="1"/>
  <c r="AC197" i="1"/>
  <c r="AB197" i="1" s="1"/>
  <c r="AC198" i="1"/>
  <c r="AB198" i="1" s="1"/>
  <c r="AC199" i="1"/>
  <c r="AB199" i="1" s="1"/>
  <c r="AC200" i="1"/>
  <c r="AB200" i="1" s="1"/>
  <c r="AC201" i="1"/>
  <c r="AB201" i="1" s="1"/>
  <c r="AC202" i="1"/>
  <c r="AB202" i="1" s="1"/>
  <c r="AC203" i="1"/>
  <c r="AB203" i="1" s="1"/>
  <c r="AC204" i="1"/>
  <c r="AB204" i="1" s="1"/>
  <c r="AC205" i="1"/>
  <c r="AB205" i="1" s="1"/>
  <c r="AC206" i="1"/>
  <c r="AB206" i="1" s="1"/>
  <c r="AC207" i="1"/>
  <c r="AB207" i="1" s="1"/>
  <c r="AC208" i="1"/>
  <c r="AB208" i="1" s="1"/>
  <c r="AC209" i="1"/>
  <c r="AB209" i="1" s="1"/>
  <c r="AC210" i="1"/>
  <c r="AB210" i="1" s="1"/>
  <c r="AC211" i="1"/>
  <c r="AB211" i="1" s="1"/>
  <c r="AC212" i="1"/>
  <c r="AB212" i="1" s="1"/>
  <c r="AC213" i="1"/>
  <c r="AB213" i="1" s="1"/>
  <c r="AC214" i="1"/>
  <c r="AB214" i="1" s="1"/>
  <c r="AC215" i="1"/>
  <c r="AB215" i="1" s="1"/>
  <c r="AC216" i="1"/>
  <c r="AB216" i="1" s="1"/>
  <c r="AC217" i="1"/>
  <c r="AB217" i="1" s="1"/>
  <c r="AC218" i="1"/>
  <c r="AB218" i="1" s="1"/>
  <c r="AC219" i="1"/>
  <c r="AB219" i="1" s="1"/>
  <c r="AC220" i="1"/>
  <c r="AB220" i="1" s="1"/>
  <c r="AC221" i="1"/>
  <c r="AB221" i="1" s="1"/>
  <c r="AC222" i="1"/>
  <c r="AB222" i="1" s="1"/>
  <c r="AC223" i="1"/>
  <c r="AB223" i="1" s="1"/>
  <c r="AC224" i="1"/>
  <c r="AB224" i="1" s="1"/>
  <c r="AC225" i="1"/>
  <c r="AB225" i="1" s="1"/>
  <c r="AC226" i="1"/>
  <c r="AB226" i="1" s="1"/>
  <c r="AC227" i="1"/>
  <c r="AB227" i="1" s="1"/>
  <c r="AC228" i="1"/>
  <c r="AB228" i="1" s="1"/>
  <c r="AC229" i="1"/>
  <c r="AB229" i="1" s="1"/>
  <c r="AC230" i="1"/>
  <c r="AB230" i="1" s="1"/>
  <c r="AC231" i="1"/>
  <c r="AB231" i="1" s="1"/>
  <c r="AC232" i="1"/>
  <c r="AB232" i="1" s="1"/>
  <c r="AC233" i="1"/>
  <c r="AB233" i="1" s="1"/>
  <c r="AC234" i="1"/>
  <c r="AB234" i="1" s="1"/>
  <c r="AC235" i="1"/>
  <c r="AB235" i="1" s="1"/>
  <c r="AC236" i="1"/>
  <c r="AB236" i="1" s="1"/>
  <c r="AC237" i="1"/>
  <c r="AB237" i="1" s="1"/>
  <c r="AC238" i="1"/>
  <c r="AB238" i="1" s="1"/>
  <c r="AC239" i="1"/>
  <c r="AB239" i="1" s="1"/>
  <c r="AC240" i="1"/>
  <c r="AB240" i="1" s="1"/>
  <c r="AC241" i="1"/>
  <c r="AB241" i="1" s="1"/>
  <c r="AC242" i="1"/>
  <c r="AB242" i="1" s="1"/>
  <c r="AC243" i="1"/>
  <c r="AB243" i="1" s="1"/>
  <c r="AC244" i="1"/>
  <c r="AB244" i="1" s="1"/>
  <c r="AC245" i="1"/>
  <c r="AB245" i="1" s="1"/>
  <c r="AC246" i="1"/>
  <c r="AB246" i="1" s="1"/>
  <c r="AC247" i="1"/>
  <c r="AB247" i="1" s="1"/>
  <c r="AC248" i="1"/>
  <c r="AB248" i="1" s="1"/>
  <c r="AC249" i="1"/>
  <c r="AB249" i="1" s="1"/>
  <c r="AC250" i="1"/>
  <c r="AB250" i="1" s="1"/>
  <c r="AC251" i="1"/>
  <c r="AB251" i="1" s="1"/>
  <c r="AC252" i="1"/>
  <c r="AB252" i="1" s="1"/>
  <c r="AC253" i="1"/>
  <c r="AB253" i="1" s="1"/>
  <c r="AC254" i="1"/>
  <c r="AB254" i="1" s="1"/>
  <c r="AC255" i="1"/>
  <c r="AB255" i="1" s="1"/>
  <c r="AC256" i="1"/>
  <c r="AB256" i="1" s="1"/>
  <c r="AC257" i="1"/>
  <c r="AB257" i="1" s="1"/>
  <c r="AC258" i="1"/>
  <c r="AB258" i="1" s="1"/>
  <c r="AC259" i="1"/>
  <c r="AB259" i="1" s="1"/>
  <c r="AC260" i="1"/>
  <c r="AB260" i="1" s="1"/>
  <c r="AC261" i="1"/>
  <c r="AB261" i="1" s="1"/>
  <c r="AC262" i="1"/>
  <c r="AB262" i="1" s="1"/>
  <c r="AC263" i="1"/>
  <c r="AB263" i="1" s="1"/>
  <c r="AC264" i="1"/>
  <c r="AB264" i="1" s="1"/>
  <c r="AC265" i="1"/>
  <c r="AB265" i="1" s="1"/>
  <c r="AC266" i="1"/>
  <c r="AB266" i="1" s="1"/>
  <c r="AC267" i="1"/>
  <c r="AB267" i="1" s="1"/>
  <c r="AC268" i="1"/>
  <c r="AB268" i="1" s="1"/>
  <c r="AC269" i="1"/>
  <c r="AB269" i="1" s="1"/>
  <c r="AC270" i="1"/>
  <c r="AB270" i="1" s="1"/>
  <c r="AC271" i="1"/>
  <c r="AB271" i="1" s="1"/>
  <c r="AC272" i="1"/>
  <c r="AB272" i="1" s="1"/>
  <c r="AC273" i="1"/>
  <c r="AB273" i="1" s="1"/>
  <c r="AC274" i="1"/>
  <c r="AB274" i="1" s="1"/>
  <c r="AC275" i="1"/>
  <c r="AB275" i="1" s="1"/>
  <c r="AC276" i="1"/>
  <c r="AB276" i="1" s="1"/>
  <c r="AC277" i="1"/>
  <c r="AB277" i="1" s="1"/>
  <c r="AC278" i="1"/>
  <c r="AB278" i="1" s="1"/>
  <c r="AC279" i="1"/>
  <c r="AB279" i="1" s="1"/>
  <c r="AC280" i="1"/>
  <c r="AB280" i="1" s="1"/>
  <c r="AC281" i="1"/>
  <c r="AB281" i="1" s="1"/>
  <c r="AC282" i="1"/>
  <c r="AB282" i="1" s="1"/>
  <c r="AC283" i="1"/>
  <c r="AB283" i="1" s="1"/>
  <c r="AC284" i="1"/>
  <c r="AB284" i="1" s="1"/>
  <c r="AC285" i="1"/>
  <c r="AB285" i="1" s="1"/>
  <c r="AC286" i="1"/>
  <c r="AB286" i="1" s="1"/>
  <c r="AC287" i="1"/>
  <c r="AB287" i="1" s="1"/>
  <c r="AC288" i="1"/>
  <c r="AB288" i="1" s="1"/>
  <c r="AC289" i="1"/>
  <c r="AB289" i="1" s="1"/>
  <c r="AC290" i="1"/>
  <c r="AB290" i="1" s="1"/>
  <c r="AC291" i="1"/>
  <c r="AB291" i="1" s="1"/>
  <c r="AC292" i="1"/>
  <c r="AB292" i="1" s="1"/>
  <c r="AC293" i="1"/>
  <c r="AB293" i="1" s="1"/>
  <c r="AC294" i="1"/>
  <c r="AB294" i="1" s="1"/>
  <c r="AC295" i="1"/>
  <c r="AB295" i="1" s="1"/>
  <c r="AC296" i="1"/>
  <c r="AB296" i="1" s="1"/>
  <c r="AC297" i="1"/>
  <c r="AB297" i="1" s="1"/>
  <c r="AC298" i="1"/>
  <c r="AB298" i="1" s="1"/>
  <c r="AC299" i="1"/>
  <c r="AB299" i="1" s="1"/>
  <c r="AC300" i="1"/>
  <c r="AB300" i="1" s="1"/>
  <c r="AC301" i="1"/>
  <c r="AB301" i="1" s="1"/>
  <c r="AC302" i="1"/>
  <c r="AB302" i="1" s="1"/>
  <c r="AC303" i="1"/>
  <c r="AB303" i="1" s="1"/>
  <c r="AC304" i="1"/>
  <c r="AB304" i="1" s="1"/>
  <c r="AC305" i="1"/>
  <c r="AB305" i="1" s="1"/>
  <c r="AC306" i="1"/>
  <c r="AB306" i="1" s="1"/>
  <c r="AC307" i="1"/>
  <c r="AB307" i="1" s="1"/>
  <c r="AC308" i="1"/>
  <c r="AB308" i="1" s="1"/>
  <c r="AC309" i="1"/>
  <c r="AB309" i="1" s="1"/>
  <c r="AC310" i="1"/>
  <c r="AB310" i="1" s="1"/>
  <c r="AC311" i="1"/>
  <c r="AB311" i="1" s="1"/>
  <c r="AC312" i="1"/>
  <c r="AB312" i="1" s="1"/>
  <c r="AC313" i="1"/>
  <c r="AB313" i="1" s="1"/>
  <c r="AC314" i="1"/>
  <c r="AB314" i="1" s="1"/>
  <c r="AC315" i="1"/>
  <c r="AB315" i="1" s="1"/>
  <c r="AC316" i="1"/>
  <c r="AB316" i="1" s="1"/>
  <c r="AC317" i="1"/>
  <c r="AB317" i="1" s="1"/>
  <c r="AC318" i="1"/>
  <c r="AB318" i="1" s="1"/>
  <c r="AC319" i="1"/>
  <c r="AB319" i="1" s="1"/>
  <c r="AC320" i="1"/>
  <c r="AB320" i="1" s="1"/>
  <c r="AC321" i="1"/>
  <c r="AB321" i="1" s="1"/>
  <c r="AC322" i="1"/>
  <c r="AB322" i="1" s="1"/>
  <c r="AC323" i="1"/>
  <c r="AB323" i="1" s="1"/>
  <c r="AC324" i="1"/>
  <c r="AB324" i="1" s="1"/>
  <c r="AC325" i="1"/>
  <c r="AB325" i="1" s="1"/>
  <c r="AC326" i="1"/>
  <c r="AB326" i="1" s="1"/>
  <c r="AC327" i="1"/>
  <c r="AB327" i="1" s="1"/>
  <c r="AC328" i="1"/>
  <c r="AB328" i="1" s="1"/>
  <c r="AC329" i="1"/>
  <c r="AB329" i="1" s="1"/>
  <c r="AC330" i="1"/>
  <c r="AB330" i="1" s="1"/>
  <c r="AC331" i="1"/>
  <c r="AB331" i="1" s="1"/>
  <c r="AC332" i="1"/>
  <c r="AB332" i="1" s="1"/>
  <c r="AC333" i="1"/>
  <c r="AB333" i="1" s="1"/>
  <c r="AC334" i="1"/>
  <c r="AB334" i="1" s="1"/>
  <c r="AC335" i="1"/>
  <c r="AB335" i="1" s="1"/>
  <c r="AC336" i="1"/>
  <c r="AB336" i="1" s="1"/>
  <c r="AC337" i="1"/>
  <c r="AB337" i="1" s="1"/>
  <c r="AC338" i="1"/>
  <c r="AB338" i="1" s="1"/>
  <c r="AC339" i="1"/>
  <c r="AB339" i="1" s="1"/>
  <c r="AC340" i="1"/>
  <c r="AB340" i="1" s="1"/>
  <c r="AC341" i="1"/>
  <c r="AB341" i="1" s="1"/>
  <c r="AC342" i="1"/>
  <c r="AB342" i="1" s="1"/>
  <c r="AC343" i="1"/>
  <c r="AB343" i="1" s="1"/>
  <c r="AC344" i="1"/>
  <c r="AB344" i="1" s="1"/>
  <c r="AC345" i="1"/>
  <c r="AB345" i="1" s="1"/>
  <c r="AC346" i="1"/>
  <c r="AB346" i="1" s="1"/>
  <c r="AC347" i="1"/>
  <c r="AB347" i="1" s="1"/>
  <c r="AC348" i="1"/>
  <c r="AB348" i="1" s="1"/>
  <c r="AC349" i="1"/>
  <c r="AB349" i="1" s="1"/>
  <c r="AC350" i="1"/>
  <c r="AB350" i="1" s="1"/>
  <c r="AC351" i="1"/>
  <c r="AB351" i="1" s="1"/>
  <c r="AC352" i="1"/>
  <c r="AB352" i="1" s="1"/>
  <c r="AC353" i="1"/>
  <c r="AB353" i="1" s="1"/>
  <c r="AC354" i="1"/>
  <c r="AB354" i="1" s="1"/>
  <c r="AC355" i="1"/>
  <c r="AB355" i="1" s="1"/>
  <c r="AC356" i="1"/>
  <c r="AB356" i="1" s="1"/>
  <c r="AC357" i="1"/>
  <c r="AB357" i="1" s="1"/>
  <c r="AC358" i="1"/>
  <c r="AB358" i="1" s="1"/>
  <c r="AC359" i="1"/>
  <c r="AB359" i="1" s="1"/>
  <c r="AC360" i="1"/>
  <c r="AB360" i="1" s="1"/>
  <c r="AC361" i="1"/>
  <c r="AB361" i="1" s="1"/>
  <c r="AC362" i="1"/>
  <c r="AB362" i="1" s="1"/>
  <c r="AC363" i="1"/>
  <c r="AB363" i="1" s="1"/>
  <c r="AC364" i="1"/>
  <c r="AB364" i="1" s="1"/>
  <c r="AC365" i="1"/>
  <c r="AB365" i="1" s="1"/>
  <c r="AC366" i="1"/>
  <c r="AB366" i="1" s="1"/>
  <c r="AC367" i="1"/>
  <c r="AB367" i="1" s="1"/>
  <c r="AC368" i="1"/>
  <c r="AB368" i="1" s="1"/>
  <c r="AC369" i="1"/>
  <c r="AB369" i="1" s="1"/>
  <c r="AC370" i="1"/>
  <c r="AB370" i="1" s="1"/>
  <c r="AC371" i="1"/>
  <c r="AB371" i="1" s="1"/>
  <c r="AC372" i="1"/>
  <c r="AB372" i="1" s="1"/>
  <c r="AC373" i="1"/>
  <c r="AB373" i="1" s="1"/>
  <c r="AC374" i="1"/>
  <c r="AB374" i="1" s="1"/>
  <c r="AC375" i="1"/>
  <c r="AB375" i="1" s="1"/>
  <c r="AC376" i="1"/>
  <c r="AB376" i="1" s="1"/>
  <c r="AC377" i="1"/>
  <c r="AB377" i="1" s="1"/>
  <c r="AC378" i="1"/>
  <c r="AB378" i="1" s="1"/>
  <c r="AC379" i="1"/>
  <c r="AB379" i="1" s="1"/>
  <c r="AC380" i="1"/>
  <c r="AB380" i="1" s="1"/>
  <c r="AC381" i="1"/>
  <c r="AB381" i="1" s="1"/>
  <c r="AC382" i="1"/>
  <c r="AB382" i="1" s="1"/>
  <c r="AC383" i="1"/>
  <c r="AB383" i="1" s="1"/>
  <c r="AC384" i="1"/>
  <c r="AB384" i="1" s="1"/>
  <c r="AC385" i="1"/>
  <c r="AB385" i="1" s="1"/>
  <c r="AC386" i="1"/>
  <c r="AB386" i="1" s="1"/>
  <c r="AC387" i="1"/>
  <c r="AB387" i="1" s="1"/>
  <c r="AC388" i="1"/>
  <c r="AB388" i="1" s="1"/>
  <c r="AC389" i="1"/>
  <c r="AB389" i="1" s="1"/>
  <c r="AC390" i="1"/>
  <c r="AB390" i="1" s="1"/>
  <c r="AC391" i="1"/>
  <c r="AB391" i="1" s="1"/>
  <c r="AC392" i="1"/>
  <c r="AB392" i="1" s="1"/>
  <c r="AC393" i="1"/>
  <c r="AB393" i="1" s="1"/>
  <c r="AC394" i="1"/>
  <c r="AB394" i="1" s="1"/>
  <c r="AC395" i="1"/>
  <c r="AB395" i="1" s="1"/>
  <c r="AC396" i="1"/>
  <c r="AB396" i="1" s="1"/>
  <c r="AC397" i="1"/>
  <c r="AB397" i="1" s="1"/>
  <c r="AC398" i="1"/>
  <c r="AB398" i="1" s="1"/>
  <c r="AC399" i="1"/>
  <c r="AB399" i="1" s="1"/>
  <c r="AC400" i="1"/>
  <c r="AB400" i="1" s="1"/>
  <c r="AC401" i="1"/>
  <c r="AB401" i="1" s="1"/>
  <c r="AC402" i="1"/>
  <c r="AB402" i="1" s="1"/>
  <c r="AC403" i="1"/>
  <c r="AB403" i="1" s="1"/>
  <c r="AC404" i="1"/>
  <c r="AB404" i="1" s="1"/>
  <c r="AC405" i="1"/>
  <c r="AB405" i="1" s="1"/>
  <c r="AC406" i="1"/>
  <c r="AB406" i="1" s="1"/>
  <c r="AC407" i="1"/>
  <c r="AB407" i="1" s="1"/>
  <c r="AC408" i="1"/>
  <c r="AB408" i="1" s="1"/>
  <c r="AC409" i="1"/>
  <c r="AB409" i="1" s="1"/>
  <c r="AC410" i="1"/>
  <c r="AB410" i="1" s="1"/>
  <c r="AC411" i="1"/>
  <c r="AB411" i="1" s="1"/>
  <c r="AC412" i="1"/>
  <c r="AB412" i="1" s="1"/>
  <c r="AC413" i="1"/>
  <c r="AB413" i="1" s="1"/>
  <c r="AC414" i="1"/>
  <c r="AB414" i="1" s="1"/>
  <c r="AC415" i="1"/>
  <c r="AB415" i="1" s="1"/>
  <c r="AC416" i="1"/>
  <c r="AB416" i="1" s="1"/>
  <c r="AC417" i="1"/>
  <c r="AB417" i="1" s="1"/>
  <c r="AC418" i="1"/>
  <c r="AB418" i="1" s="1"/>
  <c r="AC419" i="1"/>
  <c r="AB419" i="1" s="1"/>
  <c r="AC420" i="1"/>
  <c r="AB420" i="1" s="1"/>
  <c r="AC421" i="1"/>
  <c r="AB421" i="1" s="1"/>
  <c r="AC422" i="1"/>
  <c r="AB422" i="1" s="1"/>
  <c r="AC423" i="1"/>
  <c r="AB423" i="1" s="1"/>
  <c r="AC424" i="1"/>
  <c r="AB424" i="1" s="1"/>
  <c r="AC425" i="1"/>
  <c r="AB425" i="1" s="1"/>
  <c r="AC426" i="1"/>
  <c r="AB426" i="1" s="1"/>
  <c r="AC427" i="1"/>
  <c r="AB427" i="1" s="1"/>
  <c r="AC428" i="1"/>
  <c r="AB428" i="1" s="1"/>
  <c r="AC429" i="1"/>
  <c r="AB429" i="1" s="1"/>
  <c r="AC430" i="1"/>
  <c r="AB430" i="1" s="1"/>
  <c r="AC431" i="1"/>
  <c r="AB431" i="1" s="1"/>
  <c r="AC432" i="1"/>
  <c r="AB432" i="1" s="1"/>
  <c r="AC433" i="1"/>
  <c r="AB433" i="1" s="1"/>
  <c r="AC434" i="1"/>
  <c r="AB434" i="1" s="1"/>
  <c r="AC435" i="1"/>
  <c r="AB435" i="1" s="1"/>
  <c r="AC436" i="1"/>
  <c r="AB436" i="1" s="1"/>
  <c r="AC437" i="1"/>
  <c r="AB437" i="1" s="1"/>
  <c r="AC438" i="1"/>
  <c r="AB438" i="1" s="1"/>
  <c r="AC439" i="1"/>
  <c r="AB439" i="1" s="1"/>
  <c r="AC440" i="1"/>
  <c r="AB440" i="1" s="1"/>
  <c r="AC441" i="1"/>
  <c r="AB441" i="1" s="1"/>
  <c r="AC442" i="1"/>
  <c r="AB442" i="1" s="1"/>
  <c r="AC443" i="1"/>
  <c r="AB443" i="1" s="1"/>
  <c r="AC444" i="1"/>
  <c r="AB444" i="1" s="1"/>
  <c r="AC445" i="1"/>
  <c r="AB445" i="1" s="1"/>
  <c r="AC446" i="1"/>
  <c r="AB446" i="1" s="1"/>
  <c r="AC447" i="1"/>
  <c r="AB447" i="1" s="1"/>
  <c r="AC448" i="1"/>
  <c r="AB448" i="1" s="1"/>
  <c r="AC449" i="1"/>
  <c r="AB449" i="1" s="1"/>
  <c r="AC450" i="1"/>
  <c r="AB450" i="1" s="1"/>
  <c r="AC451" i="1"/>
  <c r="AB451" i="1" s="1"/>
  <c r="AC452" i="1"/>
  <c r="AB452" i="1" s="1"/>
  <c r="AC453" i="1"/>
  <c r="AB453" i="1" s="1"/>
  <c r="AC454" i="1"/>
  <c r="AB454" i="1" s="1"/>
  <c r="AC455" i="1"/>
  <c r="AB455" i="1" s="1"/>
  <c r="AC456" i="1"/>
  <c r="AB456" i="1" s="1"/>
  <c r="AC457" i="1"/>
  <c r="AB457" i="1" s="1"/>
  <c r="AC458" i="1"/>
  <c r="AB458" i="1" s="1"/>
  <c r="AC459" i="1"/>
  <c r="AB459" i="1" s="1"/>
  <c r="AC460" i="1"/>
  <c r="AB460" i="1" s="1"/>
  <c r="AC461" i="1"/>
  <c r="AB461" i="1" s="1"/>
  <c r="AC462" i="1"/>
  <c r="AB462" i="1" s="1"/>
  <c r="AC463" i="1"/>
  <c r="AB463" i="1" s="1"/>
  <c r="AC464" i="1"/>
  <c r="AB464" i="1" s="1"/>
  <c r="AC465" i="1"/>
  <c r="AB465" i="1" s="1"/>
  <c r="AC466" i="1"/>
  <c r="AB466" i="1" s="1"/>
  <c r="AC467" i="1"/>
  <c r="AB467" i="1" s="1"/>
  <c r="AC468" i="1"/>
  <c r="AB468" i="1" s="1"/>
  <c r="AC469" i="1"/>
  <c r="AB469" i="1" s="1"/>
  <c r="AC470" i="1"/>
  <c r="AB470" i="1" s="1"/>
  <c r="AC471" i="1"/>
  <c r="AB471" i="1" s="1"/>
  <c r="AC472" i="1"/>
  <c r="AB472" i="1" s="1"/>
  <c r="AC473" i="1"/>
  <c r="AB473" i="1" s="1"/>
  <c r="AC474" i="1"/>
  <c r="AB474" i="1" s="1"/>
  <c r="AC475" i="1"/>
  <c r="AB475" i="1" s="1"/>
  <c r="AC476" i="1"/>
  <c r="AB476" i="1" s="1"/>
  <c r="AC477" i="1"/>
  <c r="AB477" i="1" s="1"/>
  <c r="AC478" i="1"/>
  <c r="AB478" i="1" s="1"/>
  <c r="AC479" i="1"/>
  <c r="AB479" i="1" s="1"/>
  <c r="AC480" i="1"/>
  <c r="AB480" i="1" s="1"/>
  <c r="AC481" i="1"/>
  <c r="AB481" i="1" s="1"/>
  <c r="AC482" i="1"/>
  <c r="AB482" i="1" s="1"/>
  <c r="AC483" i="1"/>
  <c r="AB483" i="1" s="1"/>
  <c r="AC484" i="1"/>
  <c r="AB484" i="1" s="1"/>
  <c r="AC485" i="1"/>
  <c r="AB485" i="1" s="1"/>
  <c r="AC486" i="1"/>
  <c r="AB486" i="1" s="1"/>
  <c r="AC487" i="1"/>
  <c r="AB487" i="1" s="1"/>
  <c r="AC488" i="1"/>
  <c r="AB488" i="1" s="1"/>
  <c r="AC489" i="1"/>
  <c r="AB489" i="1" s="1"/>
  <c r="AC490" i="1"/>
  <c r="AB490" i="1" s="1"/>
  <c r="AC491" i="1"/>
  <c r="AB491" i="1" s="1"/>
  <c r="AC492" i="1"/>
  <c r="AB492" i="1" s="1"/>
  <c r="AC493" i="1"/>
  <c r="AB493" i="1" s="1"/>
  <c r="AC494" i="1"/>
  <c r="AB494" i="1" s="1"/>
  <c r="AC495" i="1"/>
  <c r="AB495" i="1" s="1"/>
  <c r="AC496" i="1"/>
  <c r="AB496" i="1" s="1"/>
  <c r="AC497" i="1"/>
  <c r="AB497" i="1" s="1"/>
  <c r="AC498" i="1"/>
  <c r="AB498" i="1" s="1"/>
  <c r="AC499" i="1"/>
  <c r="AB499" i="1" s="1"/>
  <c r="AC500" i="1"/>
  <c r="AB500" i="1" s="1"/>
  <c r="AC501" i="1"/>
  <c r="AB501" i="1" s="1"/>
  <c r="AC502" i="1"/>
  <c r="AB502" i="1" s="1"/>
  <c r="AC503" i="1"/>
  <c r="AB503" i="1" s="1"/>
  <c r="AC504" i="1"/>
  <c r="AB504" i="1" s="1"/>
  <c r="AC505" i="1"/>
  <c r="AB505" i="1" s="1"/>
  <c r="AC506" i="1"/>
  <c r="AB506" i="1" s="1"/>
  <c r="AC507" i="1"/>
  <c r="AB507" i="1" s="1"/>
  <c r="AC508" i="1"/>
  <c r="AB508" i="1" s="1"/>
  <c r="AC509" i="1"/>
  <c r="AB509" i="1" s="1"/>
  <c r="AC510" i="1"/>
  <c r="AB510" i="1" s="1"/>
  <c r="AC511" i="1"/>
  <c r="AB511" i="1" s="1"/>
  <c r="AC512" i="1"/>
  <c r="AB512" i="1" s="1"/>
  <c r="AC513" i="1"/>
  <c r="AB513" i="1" s="1"/>
  <c r="AC514" i="1"/>
  <c r="AB514" i="1" s="1"/>
  <c r="AC515" i="1"/>
  <c r="AB515" i="1" s="1"/>
  <c r="AC516" i="1"/>
  <c r="AB516" i="1" s="1"/>
  <c r="AC517" i="1"/>
  <c r="AB517" i="1" s="1"/>
  <c r="AC518" i="1"/>
  <c r="AB518" i="1" s="1"/>
  <c r="AC519" i="1"/>
  <c r="AB519" i="1" s="1"/>
  <c r="AC520" i="1"/>
  <c r="AB520" i="1" s="1"/>
  <c r="AC521" i="1"/>
  <c r="AB521" i="1" s="1"/>
  <c r="AC522" i="1"/>
  <c r="AB522" i="1" s="1"/>
  <c r="AC523" i="1"/>
  <c r="AB523" i="1" s="1"/>
  <c r="AC524" i="1"/>
  <c r="AB524" i="1" s="1"/>
  <c r="AC525" i="1"/>
  <c r="AB525" i="1" s="1"/>
  <c r="AC526" i="1"/>
  <c r="AB526" i="1" s="1"/>
  <c r="AC527" i="1"/>
  <c r="AB527" i="1" s="1"/>
  <c r="AC528" i="1"/>
  <c r="AB528" i="1" s="1"/>
  <c r="AC529" i="1"/>
  <c r="AB529" i="1" s="1"/>
  <c r="AC530" i="1"/>
  <c r="AB530" i="1" s="1"/>
  <c r="AC531" i="1"/>
  <c r="AB531" i="1" s="1"/>
  <c r="AC532" i="1"/>
  <c r="AB532" i="1" s="1"/>
  <c r="AC533" i="1"/>
  <c r="AB533" i="1" s="1"/>
  <c r="AC534" i="1"/>
  <c r="AB534" i="1" s="1"/>
  <c r="AC535" i="1"/>
  <c r="AB535" i="1" s="1"/>
  <c r="AC536" i="1"/>
  <c r="AB536" i="1" s="1"/>
  <c r="AC537" i="1"/>
  <c r="AB537" i="1" s="1"/>
  <c r="AC538" i="1"/>
  <c r="AB538" i="1" s="1"/>
  <c r="AC539" i="1"/>
  <c r="AB539" i="1" s="1"/>
  <c r="AC540" i="1"/>
  <c r="AB540" i="1" s="1"/>
  <c r="AC541" i="1"/>
  <c r="AB541" i="1" s="1"/>
  <c r="AC542" i="1"/>
  <c r="AB542" i="1" s="1"/>
  <c r="AC543" i="1"/>
  <c r="AB543" i="1" s="1"/>
  <c r="AC544" i="1"/>
  <c r="AB544" i="1" s="1"/>
  <c r="AC545" i="1"/>
  <c r="AB545" i="1" s="1"/>
  <c r="AC546" i="1"/>
  <c r="AB546" i="1" s="1"/>
  <c r="AC547" i="1"/>
  <c r="AB547" i="1" s="1"/>
  <c r="AC548" i="1"/>
  <c r="AB548" i="1" s="1"/>
  <c r="AC549" i="1"/>
  <c r="AB549" i="1" s="1"/>
  <c r="AC550" i="1"/>
  <c r="AB550" i="1" s="1"/>
  <c r="AC551" i="1"/>
  <c r="AB551" i="1" s="1"/>
  <c r="AC552" i="1"/>
  <c r="AB552" i="1" s="1"/>
  <c r="AC553" i="1"/>
  <c r="AB553" i="1" s="1"/>
  <c r="AC554" i="1"/>
  <c r="AB554" i="1" s="1"/>
  <c r="AC555" i="1"/>
  <c r="AB555" i="1" s="1"/>
  <c r="AC556" i="1"/>
  <c r="AB556" i="1" s="1"/>
  <c r="AC557" i="1"/>
  <c r="AB557" i="1" s="1"/>
  <c r="AC558" i="1"/>
  <c r="AB558" i="1" s="1"/>
  <c r="AC559" i="1"/>
  <c r="AB559" i="1" s="1"/>
  <c r="AC560" i="1"/>
  <c r="AB560" i="1" s="1"/>
  <c r="AC561" i="1"/>
  <c r="AB561" i="1" s="1"/>
  <c r="AC562" i="1"/>
  <c r="AB562" i="1" s="1"/>
  <c r="AC563" i="1"/>
  <c r="AB563" i="1" s="1"/>
  <c r="AC564" i="1"/>
  <c r="AB564" i="1" s="1"/>
  <c r="AC565" i="1"/>
  <c r="AB565" i="1" s="1"/>
  <c r="AC566" i="1"/>
  <c r="AB566" i="1" s="1"/>
  <c r="AC567" i="1"/>
  <c r="AB567" i="1" s="1"/>
  <c r="AC568" i="1"/>
  <c r="AB568" i="1" s="1"/>
  <c r="AC569" i="1"/>
  <c r="AB569" i="1" s="1"/>
  <c r="AC570" i="1"/>
  <c r="AB570" i="1" s="1"/>
  <c r="AC571" i="1"/>
  <c r="AB571" i="1" s="1"/>
  <c r="AC572" i="1"/>
  <c r="AB572" i="1" s="1"/>
  <c r="AC573" i="1"/>
  <c r="AB573" i="1" s="1"/>
  <c r="AC574" i="1"/>
  <c r="AB574" i="1" s="1"/>
  <c r="AC575" i="1"/>
  <c r="AB575" i="1" s="1"/>
  <c r="AC576" i="1"/>
  <c r="AB576" i="1" s="1"/>
  <c r="AC577" i="1"/>
  <c r="AB577" i="1" s="1"/>
  <c r="AC578" i="1"/>
  <c r="AB578" i="1" s="1"/>
  <c r="AC579" i="1"/>
  <c r="AB579" i="1" s="1"/>
  <c r="AC580" i="1"/>
  <c r="AB580" i="1" s="1"/>
  <c r="AC581" i="1"/>
  <c r="AB581" i="1" s="1"/>
  <c r="AC582" i="1"/>
  <c r="AB582" i="1" s="1"/>
  <c r="AC583" i="1"/>
  <c r="AB583" i="1" s="1"/>
  <c r="AC584" i="1"/>
  <c r="AB584" i="1" s="1"/>
  <c r="AC585" i="1"/>
  <c r="AB585" i="1" s="1"/>
  <c r="AC586" i="1"/>
  <c r="AB586" i="1" s="1"/>
  <c r="AC587" i="1"/>
  <c r="AB587" i="1" s="1"/>
  <c r="AC588" i="1"/>
  <c r="AB588" i="1" s="1"/>
  <c r="AC589" i="1"/>
  <c r="AB589" i="1" s="1"/>
  <c r="AC590" i="1"/>
  <c r="AB590" i="1" s="1"/>
  <c r="AC591" i="1"/>
  <c r="AB591" i="1" s="1"/>
  <c r="AC592" i="1"/>
  <c r="AB592" i="1" s="1"/>
  <c r="AC593" i="1"/>
  <c r="AB593" i="1" s="1"/>
  <c r="AC594" i="1"/>
  <c r="AB594" i="1" s="1"/>
  <c r="AC595" i="1"/>
  <c r="AB595" i="1" s="1"/>
  <c r="AC596" i="1"/>
  <c r="AB596" i="1" s="1"/>
  <c r="AC597" i="1"/>
  <c r="AB597" i="1" s="1"/>
  <c r="AC598" i="1"/>
  <c r="AB598" i="1" s="1"/>
  <c r="AC599" i="1"/>
  <c r="AB599" i="1" s="1"/>
  <c r="AC600" i="1"/>
  <c r="AB600" i="1" s="1"/>
  <c r="AC601" i="1"/>
  <c r="AB601" i="1" s="1"/>
  <c r="AC602" i="1"/>
  <c r="AB602" i="1" s="1"/>
  <c r="AC603" i="1"/>
  <c r="AB603" i="1" s="1"/>
  <c r="AC604" i="1"/>
  <c r="AB604" i="1" s="1"/>
  <c r="AC605" i="1"/>
  <c r="AB605" i="1" s="1"/>
  <c r="AC606" i="1"/>
  <c r="AB606" i="1" s="1"/>
  <c r="AC607" i="1"/>
  <c r="AB607" i="1" s="1"/>
  <c r="AC608" i="1"/>
  <c r="AB608" i="1" s="1"/>
  <c r="AC609" i="1"/>
  <c r="AB609" i="1" s="1"/>
  <c r="AC610" i="1"/>
  <c r="AB610" i="1" s="1"/>
  <c r="AC611" i="1"/>
  <c r="AB611" i="1" s="1"/>
  <c r="AC612" i="1"/>
  <c r="AB612" i="1" s="1"/>
  <c r="AC613" i="1"/>
  <c r="AB613" i="1" s="1"/>
  <c r="AC614" i="1"/>
  <c r="AB614" i="1" s="1"/>
  <c r="AC615" i="1"/>
  <c r="AB615" i="1" s="1"/>
  <c r="AC616" i="1"/>
  <c r="AB616" i="1" s="1"/>
  <c r="AC617" i="1"/>
  <c r="AB617" i="1" s="1"/>
  <c r="AC618" i="1"/>
  <c r="AB618" i="1" s="1"/>
  <c r="AC619" i="1"/>
  <c r="AB619" i="1" s="1"/>
  <c r="AC620" i="1"/>
  <c r="AB620" i="1" s="1"/>
  <c r="AC621" i="1"/>
  <c r="AB621" i="1" s="1"/>
  <c r="AC622" i="1"/>
  <c r="AB622" i="1" s="1"/>
  <c r="AC623" i="1"/>
  <c r="AB623" i="1" s="1"/>
  <c r="AC624" i="1"/>
  <c r="AB624" i="1" s="1"/>
  <c r="AC625" i="1"/>
  <c r="AB625" i="1" s="1"/>
  <c r="AC626" i="1"/>
  <c r="AB626" i="1" s="1"/>
  <c r="AC627" i="1"/>
  <c r="AB627" i="1" s="1"/>
  <c r="AC628" i="1"/>
  <c r="AB628" i="1" s="1"/>
  <c r="AC629" i="1"/>
  <c r="AB629" i="1" s="1"/>
  <c r="AC630" i="1"/>
  <c r="AB630" i="1" s="1"/>
  <c r="AC631" i="1"/>
  <c r="AB631" i="1" s="1"/>
  <c r="AC632" i="1"/>
  <c r="AB632" i="1" s="1"/>
  <c r="AC633" i="1"/>
  <c r="AB633" i="1" s="1"/>
  <c r="AC634" i="1"/>
  <c r="AB634" i="1" s="1"/>
  <c r="AC635" i="1"/>
  <c r="AB635" i="1" s="1"/>
  <c r="AC636" i="1"/>
  <c r="AB636" i="1" s="1"/>
  <c r="AC637" i="1"/>
  <c r="AB637" i="1" s="1"/>
  <c r="AC638" i="1"/>
  <c r="AB638" i="1" s="1"/>
  <c r="AC639" i="1"/>
  <c r="AB639" i="1" s="1"/>
  <c r="AC640" i="1"/>
  <c r="AB640" i="1" s="1"/>
  <c r="AC641" i="1"/>
  <c r="AB641" i="1" s="1"/>
  <c r="AC642" i="1"/>
  <c r="AB642" i="1" s="1"/>
  <c r="AC643" i="1"/>
  <c r="AB643" i="1" s="1"/>
  <c r="AC644" i="1"/>
  <c r="AB644" i="1" s="1"/>
  <c r="AC645" i="1"/>
  <c r="AB645" i="1" s="1"/>
  <c r="AC646" i="1"/>
  <c r="AB646" i="1" s="1"/>
  <c r="AC647" i="1"/>
  <c r="AB647" i="1" s="1"/>
  <c r="AC648" i="1"/>
  <c r="AB648" i="1" s="1"/>
  <c r="AC649" i="1"/>
  <c r="AB649" i="1" s="1"/>
  <c r="AC650" i="1"/>
  <c r="AB650" i="1" s="1"/>
  <c r="AC651" i="1"/>
  <c r="AB651" i="1" s="1"/>
  <c r="AC652" i="1"/>
  <c r="AB652" i="1" s="1"/>
  <c r="AC653" i="1"/>
  <c r="AB653" i="1" s="1"/>
  <c r="AC654" i="1"/>
  <c r="AB654" i="1" s="1"/>
  <c r="AC655" i="1"/>
  <c r="AB655" i="1" s="1"/>
  <c r="AC656" i="1"/>
  <c r="AB656" i="1" s="1"/>
  <c r="AC657" i="1"/>
  <c r="AB657" i="1" s="1"/>
  <c r="AC658" i="1"/>
  <c r="AB658" i="1" s="1"/>
  <c r="AC659" i="1"/>
  <c r="AB659" i="1" s="1"/>
  <c r="AC660" i="1"/>
  <c r="AB660" i="1" s="1"/>
  <c r="AC661" i="1"/>
  <c r="AB661" i="1" s="1"/>
  <c r="AC662" i="1"/>
  <c r="AB662" i="1" s="1"/>
  <c r="AC663" i="1"/>
  <c r="AB663" i="1" s="1"/>
  <c r="AC664" i="1"/>
  <c r="AB664" i="1" s="1"/>
  <c r="AC665" i="1"/>
  <c r="AB665" i="1" s="1"/>
  <c r="AC666" i="1"/>
  <c r="AB666" i="1" s="1"/>
  <c r="AC667" i="1"/>
  <c r="AB667" i="1" s="1"/>
  <c r="AC668" i="1"/>
  <c r="AB668" i="1" s="1"/>
  <c r="AC669" i="1"/>
  <c r="AB669" i="1" s="1"/>
  <c r="AC670" i="1"/>
  <c r="AB670" i="1" s="1"/>
  <c r="AC671" i="1"/>
  <c r="AB671" i="1" s="1"/>
  <c r="AC672" i="1"/>
  <c r="AB672" i="1" s="1"/>
  <c r="AC673" i="1"/>
  <c r="AB673" i="1" s="1"/>
  <c r="AC674" i="1"/>
  <c r="AB674" i="1" s="1"/>
  <c r="AC675" i="1"/>
  <c r="AB675" i="1" s="1"/>
  <c r="AC676" i="1"/>
  <c r="AB676" i="1" s="1"/>
  <c r="AC677" i="1"/>
  <c r="AB677" i="1" s="1"/>
  <c r="AC678" i="1"/>
  <c r="AB678" i="1" s="1"/>
  <c r="AC679" i="1"/>
  <c r="AB679" i="1" s="1"/>
  <c r="AC680" i="1"/>
  <c r="AB680" i="1" s="1"/>
  <c r="AC681" i="1"/>
  <c r="AB681" i="1" s="1"/>
  <c r="AC682" i="1"/>
  <c r="AB682" i="1" s="1"/>
  <c r="AC683" i="1"/>
  <c r="AB683" i="1" s="1"/>
  <c r="AC684" i="1"/>
  <c r="AB684" i="1" s="1"/>
  <c r="AC685" i="1"/>
  <c r="AB685" i="1" s="1"/>
  <c r="AC686" i="1"/>
  <c r="AB686" i="1" s="1"/>
  <c r="AC687" i="1"/>
  <c r="AB687" i="1" s="1"/>
  <c r="AC688" i="1"/>
  <c r="AB688" i="1" s="1"/>
  <c r="AC689" i="1"/>
  <c r="AB689" i="1" s="1"/>
  <c r="AC690" i="1"/>
  <c r="AB690" i="1" s="1"/>
  <c r="AC691" i="1"/>
  <c r="AB691" i="1" s="1"/>
  <c r="AC692" i="1"/>
  <c r="AB692" i="1" s="1"/>
  <c r="AC693" i="1"/>
  <c r="AB693" i="1" s="1"/>
  <c r="AC694" i="1"/>
  <c r="AB694" i="1" s="1"/>
  <c r="AC695" i="1"/>
  <c r="AB695" i="1" s="1"/>
  <c r="AC696" i="1"/>
  <c r="AB696" i="1" s="1"/>
  <c r="AC697" i="1"/>
  <c r="AB697" i="1" s="1"/>
  <c r="AC698" i="1"/>
  <c r="AB698" i="1" s="1"/>
  <c r="AC699" i="1"/>
  <c r="AB699" i="1" s="1"/>
  <c r="AC700" i="1"/>
  <c r="AB700" i="1" s="1"/>
  <c r="AC701" i="1"/>
  <c r="AB701" i="1" s="1"/>
  <c r="AC702" i="1"/>
  <c r="AB702" i="1" s="1"/>
  <c r="AC703" i="1"/>
  <c r="AB703" i="1" s="1"/>
  <c r="AC704" i="1"/>
  <c r="AB704" i="1" s="1"/>
  <c r="AC705" i="1"/>
  <c r="AB705" i="1" s="1"/>
  <c r="AC706" i="1"/>
  <c r="AB706" i="1" s="1"/>
  <c r="AC707" i="1"/>
  <c r="AB707" i="1" s="1"/>
  <c r="AC708" i="1"/>
  <c r="AB708" i="1" s="1"/>
  <c r="AC709" i="1"/>
  <c r="AB709" i="1" s="1"/>
  <c r="AC710" i="1"/>
  <c r="AB710" i="1" s="1"/>
  <c r="AC711" i="1"/>
  <c r="AB711" i="1" s="1"/>
  <c r="AC712" i="1"/>
  <c r="AB712" i="1" s="1"/>
  <c r="AC713" i="1"/>
  <c r="AB713" i="1" s="1"/>
  <c r="AC714" i="1"/>
  <c r="AB714" i="1" s="1"/>
  <c r="AC715" i="1"/>
  <c r="AB715" i="1" s="1"/>
  <c r="AC716" i="1"/>
  <c r="AB716" i="1" s="1"/>
  <c r="AC717" i="1"/>
  <c r="AB717" i="1" s="1"/>
  <c r="AC718" i="1"/>
  <c r="AB718" i="1" s="1"/>
  <c r="AC719" i="1"/>
  <c r="AB719" i="1" s="1"/>
  <c r="AC720" i="1"/>
  <c r="AB720" i="1" s="1"/>
  <c r="AC721" i="1"/>
  <c r="AB721" i="1" s="1"/>
  <c r="AC722" i="1"/>
  <c r="AB722" i="1" s="1"/>
  <c r="AC723" i="1"/>
  <c r="AB723" i="1" s="1"/>
  <c r="AC724" i="1"/>
  <c r="AB724" i="1" s="1"/>
  <c r="AC725" i="1"/>
  <c r="AB725" i="1" s="1"/>
  <c r="AC726" i="1"/>
  <c r="AB726" i="1" s="1"/>
  <c r="AC727" i="1"/>
  <c r="AB727" i="1" s="1"/>
  <c r="AC728" i="1"/>
  <c r="AB728" i="1" s="1"/>
  <c r="AC729" i="1"/>
  <c r="AB729" i="1" s="1"/>
  <c r="AC730" i="1"/>
  <c r="AB730" i="1" s="1"/>
  <c r="AC731" i="1"/>
  <c r="AB731" i="1" s="1"/>
  <c r="AC732" i="1"/>
  <c r="AB732" i="1" s="1"/>
  <c r="AC733" i="1"/>
  <c r="AB733" i="1" s="1"/>
  <c r="AC734" i="1"/>
  <c r="AB734" i="1" s="1"/>
  <c r="AC735" i="1"/>
  <c r="AB735" i="1" s="1"/>
  <c r="AC736" i="1"/>
  <c r="AB736" i="1" s="1"/>
  <c r="AC737" i="1"/>
  <c r="AB737" i="1" s="1"/>
  <c r="AC738" i="1"/>
  <c r="AB738" i="1" s="1"/>
  <c r="AC739" i="1"/>
  <c r="AB739" i="1" s="1"/>
  <c r="AC740" i="1"/>
  <c r="AB740" i="1" s="1"/>
  <c r="AC741" i="1"/>
  <c r="AB741" i="1" s="1"/>
  <c r="AC742" i="1"/>
  <c r="AB742" i="1" s="1"/>
  <c r="AC743" i="1"/>
  <c r="AB743" i="1" s="1"/>
  <c r="AC744" i="1"/>
  <c r="AB744" i="1" s="1"/>
  <c r="AC745" i="1"/>
  <c r="AB745" i="1" s="1"/>
  <c r="AC746" i="1"/>
  <c r="AB746" i="1" s="1"/>
  <c r="AC747" i="1"/>
  <c r="AB747" i="1" s="1"/>
  <c r="AC748" i="1"/>
  <c r="AB748" i="1" s="1"/>
  <c r="AC749" i="1"/>
  <c r="AB749" i="1" s="1"/>
  <c r="AC750" i="1"/>
  <c r="AB750" i="1" s="1"/>
  <c r="AC751" i="1"/>
  <c r="AB751" i="1" s="1"/>
  <c r="AC752" i="1"/>
  <c r="AB752" i="1" s="1"/>
  <c r="AC753" i="1"/>
  <c r="AB753" i="1" s="1"/>
  <c r="AC754" i="1"/>
  <c r="AB754" i="1" s="1"/>
  <c r="AC755" i="1"/>
  <c r="AB755" i="1" s="1"/>
  <c r="AC756" i="1"/>
  <c r="AB756" i="1" s="1"/>
  <c r="AC757" i="1"/>
  <c r="AB757" i="1" s="1"/>
  <c r="AC758" i="1"/>
  <c r="AB758" i="1" s="1"/>
  <c r="AC759" i="1"/>
  <c r="AB759" i="1" s="1"/>
  <c r="AC760" i="1"/>
  <c r="AB760" i="1" s="1"/>
  <c r="AC761" i="1"/>
  <c r="AB761" i="1" s="1"/>
  <c r="AC762" i="1"/>
  <c r="AB762" i="1" s="1"/>
  <c r="AC763" i="1"/>
  <c r="AB763" i="1" s="1"/>
  <c r="AC764" i="1"/>
  <c r="AB764" i="1" s="1"/>
  <c r="AC765" i="1"/>
  <c r="AB765" i="1" s="1"/>
  <c r="AC766" i="1"/>
  <c r="AB766" i="1" s="1"/>
  <c r="AC767" i="1"/>
  <c r="AB767" i="1" s="1"/>
  <c r="AC768" i="1"/>
  <c r="AB768" i="1" s="1"/>
  <c r="AC769" i="1"/>
  <c r="AB769" i="1" s="1"/>
  <c r="AC770" i="1"/>
  <c r="AB770" i="1" s="1"/>
  <c r="AC771" i="1"/>
  <c r="AB771" i="1" s="1"/>
  <c r="AC772" i="1"/>
  <c r="AB772" i="1" s="1"/>
  <c r="AC773" i="1"/>
  <c r="AB773" i="1" s="1"/>
  <c r="AC774" i="1"/>
  <c r="AB774" i="1" s="1"/>
  <c r="AC775" i="1"/>
  <c r="AB775" i="1" s="1"/>
  <c r="AC776" i="1"/>
  <c r="AB776" i="1" s="1"/>
  <c r="AC777" i="1"/>
  <c r="AB777" i="1" s="1"/>
  <c r="AC778" i="1"/>
  <c r="AB778" i="1" s="1"/>
  <c r="AC779" i="1"/>
  <c r="AB779" i="1" s="1"/>
  <c r="AC780" i="1"/>
  <c r="AB780" i="1" s="1"/>
  <c r="AC781" i="1"/>
  <c r="AB781" i="1" s="1"/>
  <c r="AC782" i="1"/>
  <c r="AB782" i="1" s="1"/>
  <c r="AC783" i="1"/>
  <c r="AB783" i="1" s="1"/>
  <c r="AC784" i="1"/>
  <c r="AB784" i="1" s="1"/>
  <c r="AC785" i="1"/>
  <c r="AB785" i="1" s="1"/>
  <c r="AC786" i="1"/>
  <c r="AB786" i="1" s="1"/>
  <c r="AC787" i="1"/>
  <c r="AB787" i="1" s="1"/>
  <c r="AC788" i="1"/>
  <c r="AB788" i="1" s="1"/>
  <c r="AC789" i="1"/>
  <c r="AB789" i="1" s="1"/>
  <c r="AC790" i="1"/>
  <c r="AB790" i="1" s="1"/>
  <c r="AC791" i="1"/>
  <c r="AB791" i="1" s="1"/>
  <c r="AC792" i="1"/>
  <c r="AB792" i="1" s="1"/>
  <c r="AC793" i="1"/>
  <c r="AB793" i="1" s="1"/>
  <c r="AC794" i="1"/>
  <c r="AB794" i="1" s="1"/>
  <c r="AC795" i="1"/>
  <c r="AB795" i="1" s="1"/>
  <c r="AC796" i="1"/>
  <c r="AB796" i="1" s="1"/>
  <c r="AC797" i="1"/>
  <c r="AB797" i="1" s="1"/>
  <c r="AC798" i="1"/>
  <c r="AB798" i="1" s="1"/>
  <c r="AC799" i="1"/>
  <c r="AB799" i="1" s="1"/>
  <c r="AC800" i="1"/>
  <c r="AB800" i="1" s="1"/>
  <c r="AC801" i="1"/>
  <c r="AB801" i="1" s="1"/>
  <c r="AC802" i="1"/>
  <c r="AB802" i="1" s="1"/>
  <c r="AC803" i="1"/>
  <c r="AB803" i="1" s="1"/>
  <c r="AC804" i="1"/>
  <c r="AB804" i="1" s="1"/>
  <c r="AC805" i="1"/>
  <c r="AB805" i="1" s="1"/>
  <c r="AC806" i="1"/>
  <c r="AB806" i="1" s="1"/>
  <c r="AC807" i="1"/>
  <c r="AB807" i="1" s="1"/>
  <c r="AC808" i="1"/>
  <c r="AB808" i="1" s="1"/>
  <c r="AC809" i="1"/>
  <c r="AB809" i="1" s="1"/>
  <c r="AC810" i="1"/>
  <c r="AB810" i="1" s="1"/>
  <c r="AC811" i="1"/>
  <c r="AB811" i="1" s="1"/>
  <c r="AC812" i="1"/>
  <c r="AB812" i="1" s="1"/>
  <c r="AC813" i="1"/>
  <c r="AB813" i="1" s="1"/>
  <c r="AC814" i="1"/>
  <c r="AB814" i="1" s="1"/>
  <c r="AC815" i="1"/>
  <c r="AB815" i="1" s="1"/>
  <c r="AC816" i="1"/>
  <c r="AB816" i="1" s="1"/>
  <c r="AC817" i="1"/>
  <c r="AB817" i="1" s="1"/>
  <c r="AC818" i="1"/>
  <c r="AB818" i="1" s="1"/>
  <c r="AC819" i="1"/>
  <c r="AB819" i="1" s="1"/>
  <c r="AC820" i="1"/>
  <c r="AB820" i="1" s="1"/>
  <c r="AC821" i="1"/>
  <c r="AB821" i="1" s="1"/>
  <c r="AC822" i="1"/>
  <c r="AB822" i="1" s="1"/>
  <c r="AC823" i="1"/>
  <c r="AB823" i="1" s="1"/>
  <c r="AC824" i="1"/>
  <c r="AB824" i="1" s="1"/>
  <c r="AC825" i="1"/>
  <c r="AB825" i="1" s="1"/>
  <c r="AC826" i="1"/>
  <c r="AB826" i="1" s="1"/>
  <c r="AC827" i="1"/>
  <c r="AB827" i="1" s="1"/>
  <c r="AC828" i="1"/>
  <c r="AB828" i="1" s="1"/>
  <c r="AC829" i="1"/>
  <c r="AB829" i="1" s="1"/>
  <c r="AC830" i="1"/>
  <c r="AB830" i="1" s="1"/>
  <c r="AC831" i="1"/>
  <c r="AB831" i="1" s="1"/>
  <c r="AC832" i="1"/>
  <c r="AB832" i="1" s="1"/>
  <c r="AC833" i="1"/>
  <c r="AB833" i="1" s="1"/>
  <c r="AC834" i="1"/>
  <c r="AB834" i="1" s="1"/>
  <c r="AC835" i="1"/>
  <c r="AB835" i="1" s="1"/>
  <c r="AC836" i="1"/>
  <c r="AB836" i="1" s="1"/>
  <c r="AC837" i="1"/>
  <c r="AB837" i="1" s="1"/>
  <c r="AC838" i="1"/>
  <c r="AB838" i="1" s="1"/>
  <c r="AC839" i="1"/>
  <c r="AB839" i="1" s="1"/>
  <c r="AC840" i="1"/>
  <c r="AB840" i="1" s="1"/>
  <c r="AC841" i="1"/>
  <c r="AB841" i="1" s="1"/>
  <c r="AC842" i="1"/>
  <c r="AB842" i="1" s="1"/>
  <c r="AC843" i="1"/>
  <c r="AB843" i="1" s="1"/>
  <c r="AC844" i="1"/>
  <c r="AB844" i="1" s="1"/>
  <c r="AC845" i="1"/>
  <c r="AB845" i="1" s="1"/>
  <c r="AC846" i="1"/>
  <c r="AB846" i="1" s="1"/>
  <c r="AC847" i="1"/>
  <c r="AB847" i="1" s="1"/>
  <c r="AC848" i="1"/>
  <c r="AB848" i="1" s="1"/>
  <c r="AC849" i="1"/>
  <c r="AB849" i="1" s="1"/>
  <c r="AC850" i="1"/>
  <c r="AB850" i="1" s="1"/>
  <c r="AC851" i="1"/>
  <c r="AB851" i="1" s="1"/>
  <c r="AC852" i="1"/>
  <c r="AB852" i="1" s="1"/>
  <c r="AC853" i="1"/>
  <c r="AB853" i="1" s="1"/>
  <c r="AC854" i="1"/>
  <c r="AB854" i="1" s="1"/>
  <c r="AC855" i="1"/>
  <c r="AB855" i="1" s="1"/>
  <c r="AC856" i="1"/>
  <c r="AB856" i="1" s="1"/>
  <c r="AC857" i="1"/>
  <c r="AB857" i="1" s="1"/>
  <c r="AC858" i="1"/>
  <c r="AB858" i="1" s="1"/>
  <c r="AC859" i="1"/>
  <c r="AB859" i="1" s="1"/>
  <c r="AC860" i="1"/>
  <c r="AB860" i="1" s="1"/>
  <c r="AC861" i="1"/>
  <c r="AB861" i="1" s="1"/>
  <c r="AC862" i="1"/>
  <c r="AB862" i="1" s="1"/>
  <c r="AC863" i="1"/>
  <c r="AB863" i="1" s="1"/>
  <c r="AC864" i="1"/>
  <c r="AB864" i="1" s="1"/>
  <c r="AC865" i="1"/>
  <c r="AB865" i="1" s="1"/>
  <c r="AC866" i="1"/>
  <c r="AB866" i="1" s="1"/>
  <c r="AC867" i="1"/>
  <c r="AB867" i="1" s="1"/>
  <c r="AC868" i="1"/>
  <c r="AB868" i="1" s="1"/>
  <c r="AC869" i="1"/>
  <c r="AB869" i="1" s="1"/>
  <c r="AC870" i="1"/>
  <c r="AB870" i="1" s="1"/>
  <c r="AC871" i="1"/>
  <c r="AB871" i="1" s="1"/>
  <c r="AC872" i="1"/>
  <c r="AB872" i="1" s="1"/>
  <c r="AC873" i="1"/>
  <c r="AB873" i="1" s="1"/>
  <c r="AC874" i="1"/>
  <c r="AB874" i="1" s="1"/>
  <c r="AC875" i="1"/>
  <c r="AB875" i="1" s="1"/>
  <c r="AC876" i="1"/>
  <c r="AB876" i="1" s="1"/>
  <c r="AC877" i="1"/>
  <c r="AB877" i="1" s="1"/>
  <c r="AC878" i="1"/>
  <c r="AB878" i="1" s="1"/>
  <c r="AC879" i="1"/>
  <c r="AB879" i="1" s="1"/>
  <c r="AC880" i="1"/>
  <c r="AB880" i="1" s="1"/>
  <c r="AC881" i="1"/>
  <c r="AB881" i="1" s="1"/>
  <c r="AC882" i="1"/>
  <c r="AB882" i="1" s="1"/>
  <c r="AC883" i="1"/>
  <c r="AB883" i="1" s="1"/>
  <c r="AC884" i="1"/>
  <c r="AB884" i="1" s="1"/>
  <c r="AC885" i="1"/>
  <c r="AB885" i="1" s="1"/>
  <c r="AC886" i="1"/>
  <c r="AB886" i="1" s="1"/>
  <c r="AC887" i="1"/>
  <c r="AB887" i="1" s="1"/>
  <c r="AC888" i="1"/>
  <c r="AB888" i="1" s="1"/>
  <c r="AC889" i="1"/>
  <c r="AB889" i="1" s="1"/>
  <c r="AC890" i="1"/>
  <c r="AB890" i="1" s="1"/>
  <c r="AC891" i="1"/>
  <c r="AB891" i="1" s="1"/>
  <c r="AC892" i="1"/>
  <c r="AB892" i="1" s="1"/>
  <c r="AC893" i="1"/>
  <c r="AB893" i="1" s="1"/>
  <c r="AC894" i="1"/>
  <c r="AB894" i="1" s="1"/>
  <c r="AC895" i="1"/>
  <c r="AB895" i="1" s="1"/>
  <c r="AC896" i="1"/>
  <c r="AB896" i="1" s="1"/>
  <c r="AC897" i="1"/>
  <c r="AB897" i="1" s="1"/>
  <c r="AC898" i="1"/>
  <c r="AB898" i="1" s="1"/>
  <c r="AC899" i="1"/>
  <c r="AB899" i="1" s="1"/>
  <c r="AC900" i="1"/>
  <c r="AB900" i="1" s="1"/>
  <c r="AC901" i="1"/>
  <c r="AB901" i="1" s="1"/>
  <c r="AC902" i="1"/>
  <c r="AB902" i="1" s="1"/>
  <c r="AC903" i="1"/>
  <c r="AB903" i="1" s="1"/>
  <c r="AC904" i="1"/>
  <c r="AB904" i="1" s="1"/>
  <c r="AC905" i="1"/>
  <c r="AB905" i="1" s="1"/>
  <c r="AC906" i="1"/>
  <c r="AB906" i="1" s="1"/>
  <c r="AC907" i="1"/>
  <c r="AB907" i="1" s="1"/>
  <c r="AC908" i="1"/>
  <c r="AB908" i="1" s="1"/>
  <c r="AC909" i="1"/>
  <c r="AB909" i="1" s="1"/>
  <c r="AC910" i="1"/>
  <c r="AB910" i="1" s="1"/>
  <c r="AC911" i="1"/>
  <c r="AB911" i="1" s="1"/>
  <c r="AC912" i="1"/>
  <c r="AB912" i="1" s="1"/>
  <c r="AC913" i="1"/>
  <c r="AB913" i="1" s="1"/>
  <c r="AC914" i="1"/>
  <c r="AB914" i="1" s="1"/>
  <c r="AC915" i="1"/>
  <c r="AB915" i="1" s="1"/>
  <c r="AC916" i="1"/>
  <c r="AB916" i="1" s="1"/>
  <c r="AC917" i="1"/>
  <c r="AB917" i="1" s="1"/>
  <c r="AC918" i="1"/>
  <c r="AB918" i="1" s="1"/>
  <c r="AC919" i="1"/>
  <c r="AB919" i="1" s="1"/>
  <c r="AC920" i="1"/>
  <c r="AB920" i="1" s="1"/>
  <c r="AC921" i="1"/>
  <c r="AB921" i="1" s="1"/>
  <c r="AC922" i="1"/>
  <c r="AB922" i="1" s="1"/>
  <c r="AC923" i="1"/>
  <c r="AB923" i="1" s="1"/>
  <c r="AC924" i="1"/>
  <c r="AB924" i="1" s="1"/>
  <c r="AC925" i="1"/>
  <c r="AB925" i="1" s="1"/>
  <c r="AC926" i="1"/>
  <c r="AB926" i="1" s="1"/>
  <c r="AC927" i="1"/>
  <c r="AB927" i="1" s="1"/>
  <c r="AC928" i="1"/>
  <c r="AB928" i="1" s="1"/>
  <c r="AC929" i="1"/>
  <c r="AB929" i="1" s="1"/>
  <c r="AC930" i="1"/>
  <c r="AB930" i="1" s="1"/>
  <c r="AC931" i="1"/>
  <c r="AB931" i="1" s="1"/>
  <c r="AC932" i="1"/>
  <c r="AB932" i="1" s="1"/>
  <c r="AC933" i="1"/>
  <c r="AB933" i="1" s="1"/>
  <c r="AC934" i="1"/>
  <c r="AB934" i="1" s="1"/>
  <c r="AC935" i="1"/>
  <c r="AB935" i="1" s="1"/>
  <c r="AC936" i="1"/>
  <c r="AB936" i="1" s="1"/>
  <c r="AC937" i="1"/>
  <c r="AB937" i="1" s="1"/>
  <c r="AC938" i="1"/>
  <c r="AB938" i="1" s="1"/>
  <c r="AC939" i="1"/>
  <c r="AB939" i="1" s="1"/>
  <c r="AC940" i="1"/>
  <c r="AB940" i="1" s="1"/>
  <c r="AC941" i="1"/>
  <c r="AB941" i="1" s="1"/>
  <c r="AC942" i="1"/>
  <c r="AB942" i="1" s="1"/>
  <c r="AC943" i="1"/>
  <c r="AB943" i="1" s="1"/>
  <c r="AC944" i="1"/>
  <c r="AB944" i="1" s="1"/>
  <c r="AC945" i="1"/>
  <c r="AB945" i="1" s="1"/>
  <c r="AC946" i="1"/>
  <c r="AB946" i="1" s="1"/>
  <c r="AC947" i="1"/>
  <c r="AB947" i="1" s="1"/>
  <c r="AC948" i="1"/>
  <c r="AB948" i="1" s="1"/>
  <c r="AC949" i="1"/>
  <c r="AB949" i="1" s="1"/>
  <c r="AC950" i="1"/>
  <c r="AB950" i="1" s="1"/>
  <c r="AC951" i="1"/>
  <c r="AB951" i="1" s="1"/>
  <c r="AC952" i="1"/>
  <c r="AB952" i="1" s="1"/>
  <c r="AC953" i="1"/>
  <c r="AB953" i="1" s="1"/>
  <c r="AC954" i="1"/>
  <c r="AB954" i="1" s="1"/>
  <c r="AC955" i="1"/>
  <c r="AB955" i="1" s="1"/>
  <c r="AC956" i="1"/>
  <c r="AB956" i="1" s="1"/>
  <c r="AC957" i="1"/>
  <c r="AB957" i="1" s="1"/>
  <c r="AC958" i="1"/>
  <c r="AB958" i="1" s="1"/>
  <c r="AC959" i="1"/>
  <c r="AB959" i="1" s="1"/>
  <c r="AC960" i="1"/>
  <c r="AB960" i="1" s="1"/>
  <c r="AC961" i="1"/>
  <c r="AB961" i="1" s="1"/>
  <c r="AC962" i="1"/>
  <c r="AB962" i="1" s="1"/>
  <c r="AC963" i="1"/>
  <c r="AB963" i="1" s="1"/>
  <c r="AC964" i="1"/>
  <c r="AB964" i="1" s="1"/>
  <c r="AC965" i="1"/>
  <c r="AB965" i="1" s="1"/>
  <c r="AC966" i="1"/>
  <c r="AB966" i="1" s="1"/>
  <c r="AC967" i="1"/>
  <c r="AB967" i="1" s="1"/>
  <c r="AC968" i="1"/>
  <c r="AB968" i="1" s="1"/>
  <c r="AC969" i="1"/>
  <c r="AB969" i="1" s="1"/>
  <c r="AC970" i="1"/>
  <c r="AB970" i="1" s="1"/>
  <c r="AC971" i="1"/>
  <c r="AB971" i="1" s="1"/>
  <c r="AC972" i="1"/>
  <c r="AB972" i="1" s="1"/>
  <c r="AC973" i="1"/>
  <c r="AB973" i="1" s="1"/>
  <c r="AC974" i="1"/>
  <c r="AB974" i="1" s="1"/>
  <c r="AC975" i="1"/>
  <c r="AB975" i="1" s="1"/>
  <c r="AC976" i="1"/>
  <c r="AB976" i="1" s="1"/>
  <c r="AC977" i="1"/>
  <c r="AB977" i="1" s="1"/>
  <c r="AC978" i="1"/>
  <c r="AB978" i="1" s="1"/>
  <c r="AC979" i="1"/>
  <c r="AB979" i="1" s="1"/>
  <c r="AC980" i="1"/>
  <c r="AB980" i="1" s="1"/>
  <c r="AC981" i="1"/>
  <c r="AB981" i="1" s="1"/>
  <c r="AC982" i="1"/>
  <c r="AB982" i="1" s="1"/>
  <c r="AC983" i="1"/>
  <c r="AB983" i="1" s="1"/>
  <c r="AC984" i="1"/>
  <c r="AB984" i="1" s="1"/>
  <c r="AC985" i="1"/>
  <c r="AB985" i="1" s="1"/>
  <c r="AC986" i="1"/>
  <c r="AB986" i="1" s="1"/>
  <c r="AC987" i="1"/>
  <c r="AB987" i="1" s="1"/>
  <c r="AC988" i="1"/>
  <c r="AB988" i="1" s="1"/>
  <c r="AC989" i="1"/>
  <c r="AB989" i="1" s="1"/>
  <c r="AC990" i="1"/>
  <c r="AB990" i="1" s="1"/>
  <c r="AC991" i="1"/>
  <c r="AB991" i="1" s="1"/>
  <c r="AC992" i="1"/>
  <c r="AB992" i="1" s="1"/>
  <c r="AC993" i="1"/>
  <c r="AB993" i="1" s="1"/>
  <c r="AC994" i="1"/>
  <c r="AB994" i="1" s="1"/>
  <c r="AC995" i="1"/>
  <c r="AB995" i="1" s="1"/>
  <c r="AC996" i="1"/>
  <c r="AB996" i="1" s="1"/>
  <c r="AC997" i="1"/>
  <c r="AB997" i="1" s="1"/>
  <c r="AC998" i="1"/>
  <c r="AB998" i="1" s="1"/>
  <c r="AC999" i="1"/>
  <c r="AB999" i="1" s="1"/>
  <c r="AC1000" i="1"/>
  <c r="AB1000" i="1" s="1"/>
  <c r="AC1001" i="1"/>
  <c r="AB1001" i="1" s="1"/>
  <c r="AC1002" i="1"/>
  <c r="AB1002" i="1" s="1"/>
  <c r="AC1003" i="1"/>
  <c r="AB1003" i="1" s="1"/>
  <c r="AC1004" i="1"/>
  <c r="AB1004" i="1" s="1"/>
  <c r="AC1005" i="1"/>
  <c r="AB1005" i="1" s="1"/>
  <c r="AC1006" i="1"/>
  <c r="AB1006" i="1" s="1"/>
  <c r="AC1007" i="1"/>
  <c r="AB1007" i="1" s="1"/>
  <c r="AC1008" i="1"/>
  <c r="AB1008" i="1" s="1"/>
  <c r="AC1009" i="1"/>
  <c r="AB1009" i="1" s="1"/>
  <c r="AC1010" i="1"/>
  <c r="AB1010" i="1" s="1"/>
  <c r="AC1011" i="1"/>
  <c r="AB1011" i="1" s="1"/>
  <c r="AC1012" i="1"/>
  <c r="AB1012" i="1" s="1"/>
  <c r="AC1013" i="1"/>
  <c r="AB1013" i="1" s="1"/>
  <c r="AC1014" i="1"/>
  <c r="AB1014" i="1" s="1"/>
  <c r="AC1015" i="1"/>
  <c r="AB1015" i="1" s="1"/>
  <c r="AC1016" i="1"/>
  <c r="AB1016" i="1" s="1"/>
  <c r="AC1017" i="1"/>
  <c r="AB1017" i="1" s="1"/>
  <c r="AC1018" i="1"/>
  <c r="AB1018" i="1" s="1"/>
  <c r="AC1019" i="1"/>
  <c r="AB1019" i="1" s="1"/>
  <c r="AC1020" i="1"/>
  <c r="AB1020" i="1" s="1"/>
  <c r="AC1021" i="1"/>
  <c r="AB1021" i="1" s="1"/>
  <c r="AC1022" i="1"/>
  <c r="AB1022" i="1" s="1"/>
  <c r="AC1023" i="1"/>
  <c r="AB1023" i="1" s="1"/>
  <c r="AC1024" i="1"/>
  <c r="AB1024" i="1" s="1"/>
  <c r="AC1025" i="1"/>
  <c r="AB1025" i="1" s="1"/>
  <c r="AC1026" i="1"/>
  <c r="AB1026" i="1" s="1"/>
  <c r="AC1027" i="1"/>
  <c r="AB1027" i="1" s="1"/>
  <c r="AC1028" i="1"/>
  <c r="AB1028" i="1" s="1"/>
  <c r="AC1029" i="1"/>
  <c r="AB1029" i="1" s="1"/>
  <c r="AC1030" i="1"/>
  <c r="AB1030" i="1" s="1"/>
  <c r="AC1031" i="1"/>
  <c r="AB1031" i="1" s="1"/>
  <c r="AC1032" i="1"/>
  <c r="AB1032" i="1" s="1"/>
  <c r="AC1033" i="1"/>
  <c r="AB1033" i="1" s="1"/>
  <c r="AC1034" i="1"/>
  <c r="AB1034" i="1" s="1"/>
  <c r="AC1035" i="1"/>
  <c r="AB1035" i="1" s="1"/>
  <c r="AC1036" i="1"/>
  <c r="AB1036" i="1" s="1"/>
  <c r="AC1037" i="1"/>
  <c r="AB1037" i="1" s="1"/>
  <c r="AC1038" i="1"/>
  <c r="AB1038" i="1" s="1"/>
  <c r="AC1039" i="1"/>
  <c r="AB1039" i="1" s="1"/>
  <c r="AC1040" i="1"/>
  <c r="AB1040" i="1" s="1"/>
  <c r="AC1041" i="1"/>
  <c r="AB1041" i="1" s="1"/>
  <c r="AC1042" i="1"/>
  <c r="AB1042" i="1" s="1"/>
  <c r="AC1043" i="1"/>
  <c r="AB1043" i="1" s="1"/>
  <c r="AC1044" i="1"/>
  <c r="AB1044" i="1" s="1"/>
  <c r="AC1045" i="1"/>
  <c r="AB1045" i="1" s="1"/>
  <c r="AC1046" i="1"/>
  <c r="AB1046" i="1" s="1"/>
  <c r="AC1047" i="1"/>
  <c r="AB1047" i="1" s="1"/>
  <c r="AC1048" i="1"/>
  <c r="AB1048" i="1" s="1"/>
  <c r="AC1049" i="1"/>
  <c r="AB1049" i="1" s="1"/>
  <c r="AC1050" i="1"/>
  <c r="AB1050" i="1" s="1"/>
  <c r="AC1051" i="1"/>
  <c r="AB1051" i="1" s="1"/>
  <c r="AC1052" i="1"/>
  <c r="AB1052" i="1" s="1"/>
  <c r="AC1053" i="1"/>
  <c r="AB1053" i="1" s="1"/>
  <c r="AC1054" i="1"/>
  <c r="AB1054" i="1" s="1"/>
  <c r="AC1055" i="1"/>
  <c r="AB1055" i="1" s="1"/>
  <c r="AC1056" i="1"/>
  <c r="AB1056" i="1" s="1"/>
  <c r="AC1057" i="1"/>
  <c r="AB1057" i="1" s="1"/>
  <c r="AC1058" i="1"/>
  <c r="AB1058" i="1" s="1"/>
  <c r="AC1059" i="1"/>
  <c r="AB1059" i="1" s="1"/>
  <c r="AC1060" i="1"/>
  <c r="AB1060" i="1" s="1"/>
  <c r="AC1061" i="1"/>
  <c r="AB1061" i="1" s="1"/>
  <c r="AC1062" i="1"/>
  <c r="AB1062" i="1" s="1"/>
  <c r="AC1063" i="1"/>
  <c r="AB1063" i="1" s="1"/>
  <c r="AC1064" i="1"/>
  <c r="AB1064" i="1" s="1"/>
  <c r="AC1065" i="1"/>
  <c r="AB1065" i="1" s="1"/>
  <c r="AC1066" i="1"/>
  <c r="AB1066" i="1" s="1"/>
  <c r="AC1067" i="1"/>
  <c r="AB1067" i="1" s="1"/>
  <c r="AC1068" i="1"/>
  <c r="AB1068" i="1" s="1"/>
  <c r="AC1069" i="1"/>
  <c r="AB1069" i="1" s="1"/>
  <c r="AC1070" i="1"/>
  <c r="AB1070" i="1" s="1"/>
  <c r="AC1071" i="1"/>
  <c r="AB1071" i="1" s="1"/>
  <c r="AC1072" i="1"/>
  <c r="AB1072" i="1" s="1"/>
  <c r="AC1073" i="1"/>
  <c r="AB1073" i="1" s="1"/>
  <c r="AC1074" i="1"/>
  <c r="AB1074" i="1" s="1"/>
  <c r="AC1075" i="1"/>
  <c r="AB1075" i="1" s="1"/>
  <c r="AC1076" i="1"/>
  <c r="AB1076" i="1" s="1"/>
  <c r="AC1077" i="1"/>
  <c r="AB1077" i="1" s="1"/>
  <c r="AC1078" i="1"/>
  <c r="AB1078" i="1" s="1"/>
  <c r="AC1079" i="1"/>
  <c r="AB1079" i="1" s="1"/>
  <c r="AC1080" i="1"/>
  <c r="AB1080" i="1" s="1"/>
  <c r="AC1081" i="1"/>
  <c r="AB1081" i="1" s="1"/>
  <c r="AC1082" i="1"/>
  <c r="AB1082" i="1" s="1"/>
  <c r="AC1083" i="1"/>
  <c r="AB1083" i="1" s="1"/>
  <c r="AC1084" i="1"/>
  <c r="AB1084" i="1" s="1"/>
  <c r="AC1085" i="1"/>
  <c r="AB1085" i="1" s="1"/>
  <c r="AC1086" i="1"/>
  <c r="AB1086" i="1" s="1"/>
  <c r="AC1087" i="1"/>
  <c r="AB1087" i="1" s="1"/>
  <c r="AC1088" i="1"/>
  <c r="AB1088" i="1" s="1"/>
  <c r="AC1089" i="1"/>
  <c r="AB1089" i="1" s="1"/>
  <c r="AC1090" i="1"/>
  <c r="AB1090" i="1" s="1"/>
  <c r="AC1091" i="1"/>
  <c r="AB1091" i="1" s="1"/>
  <c r="AC1092" i="1"/>
  <c r="AB1092" i="1" s="1"/>
  <c r="AC1093" i="1"/>
  <c r="AB1093" i="1" s="1"/>
  <c r="AC1094" i="1"/>
  <c r="AB1094" i="1" s="1"/>
  <c r="AC1095" i="1"/>
  <c r="AB1095" i="1" s="1"/>
  <c r="AC1096" i="1"/>
  <c r="AB1096" i="1" s="1"/>
  <c r="AC1097" i="1"/>
  <c r="AB1097" i="1" s="1"/>
  <c r="AC1098" i="1"/>
  <c r="AB1098" i="1" s="1"/>
  <c r="AC1099" i="1"/>
  <c r="AB1099" i="1" s="1"/>
  <c r="AC1100" i="1"/>
  <c r="AB1100" i="1" s="1"/>
  <c r="AC1101" i="1"/>
  <c r="AB1101" i="1" s="1"/>
  <c r="AC1102" i="1"/>
  <c r="AB1102" i="1" s="1"/>
  <c r="AC1103" i="1"/>
  <c r="AB1103" i="1" s="1"/>
  <c r="AC1104" i="1"/>
  <c r="AB1104" i="1" s="1"/>
  <c r="AC1105" i="1"/>
  <c r="AB1105" i="1" s="1"/>
  <c r="AC1106" i="1"/>
  <c r="AB1106" i="1" s="1"/>
  <c r="AC1107" i="1"/>
  <c r="AB1107" i="1" s="1"/>
  <c r="AC1108" i="1"/>
  <c r="AB1108" i="1" s="1"/>
  <c r="AC1109" i="1"/>
  <c r="AB1109" i="1" s="1"/>
  <c r="AC1110" i="1"/>
  <c r="AB1110" i="1" s="1"/>
  <c r="AC1111" i="1"/>
  <c r="AB1111" i="1" s="1"/>
  <c r="AC1112" i="1"/>
  <c r="AB1112" i="1" s="1"/>
  <c r="AC1113" i="1"/>
  <c r="AB1113" i="1" s="1"/>
  <c r="AC1114" i="1"/>
  <c r="AB1114" i="1" s="1"/>
  <c r="AC1115" i="1"/>
  <c r="AB1115" i="1" s="1"/>
  <c r="AC1116" i="1"/>
  <c r="AB1116" i="1" s="1"/>
  <c r="AC1117" i="1"/>
  <c r="AB1117" i="1" s="1"/>
  <c r="AC1118" i="1"/>
  <c r="AB1118" i="1" s="1"/>
  <c r="AC1119" i="1"/>
  <c r="AB1119" i="1" s="1"/>
  <c r="AC1120" i="1"/>
  <c r="AB1120" i="1" s="1"/>
  <c r="AC1121" i="1"/>
  <c r="AB1121" i="1" s="1"/>
  <c r="AC1122" i="1"/>
  <c r="AB1122" i="1" s="1"/>
  <c r="AC1123" i="1"/>
  <c r="AB1123" i="1" s="1"/>
  <c r="AC1124" i="1"/>
  <c r="AB1124" i="1" s="1"/>
  <c r="AC1125" i="1"/>
  <c r="AB1125" i="1" s="1"/>
  <c r="AC1126" i="1"/>
  <c r="AB1126" i="1" s="1"/>
  <c r="AC1127" i="1"/>
  <c r="AB1127" i="1" s="1"/>
  <c r="AC1128" i="1"/>
  <c r="AB1128" i="1" s="1"/>
  <c r="AC1129" i="1"/>
  <c r="AB1129" i="1" s="1"/>
  <c r="AC1130" i="1"/>
  <c r="AB1130" i="1" s="1"/>
  <c r="AC1131" i="1"/>
  <c r="AB1131" i="1" s="1"/>
  <c r="AC1132" i="1"/>
  <c r="AB1132" i="1" s="1"/>
  <c r="AC1133" i="1"/>
  <c r="AB1133" i="1" s="1"/>
  <c r="AC1134" i="1"/>
  <c r="AB1134" i="1" s="1"/>
  <c r="AC1135" i="1"/>
  <c r="AB1135" i="1" s="1"/>
  <c r="AC1136" i="1"/>
  <c r="AB1136" i="1" s="1"/>
  <c r="AC1137" i="1"/>
  <c r="AB1137" i="1" s="1"/>
  <c r="AC1138" i="1"/>
  <c r="AB1138" i="1" s="1"/>
  <c r="AC1139" i="1"/>
  <c r="AB1139" i="1" s="1"/>
  <c r="AC1140" i="1"/>
  <c r="AB1140" i="1" s="1"/>
  <c r="AC1141" i="1"/>
  <c r="AB1141" i="1" s="1"/>
  <c r="AC1142" i="1"/>
  <c r="AB1142" i="1" s="1"/>
  <c r="AC1143" i="1"/>
  <c r="AB1143" i="1" s="1"/>
  <c r="AC1144" i="1"/>
  <c r="AB1144" i="1" s="1"/>
  <c r="AC1145" i="1"/>
  <c r="AB1145" i="1" s="1"/>
  <c r="AC1146" i="1"/>
  <c r="AB1146" i="1" s="1"/>
  <c r="AC1147" i="1"/>
  <c r="AB1147" i="1" s="1"/>
  <c r="AC1148" i="1"/>
  <c r="AB1148" i="1" s="1"/>
  <c r="AC1149" i="1"/>
  <c r="AB1149" i="1" s="1"/>
  <c r="AC1150" i="1"/>
  <c r="AB1150" i="1" s="1"/>
  <c r="AC1151" i="1"/>
  <c r="AB1151" i="1" s="1"/>
  <c r="AC1152" i="1"/>
  <c r="AB1152" i="1" s="1"/>
  <c r="AC1153" i="1"/>
  <c r="AB1153" i="1" s="1"/>
  <c r="AC1154" i="1"/>
  <c r="AB1154" i="1" s="1"/>
  <c r="AC1155" i="1"/>
  <c r="AB1155" i="1" s="1"/>
  <c r="AC1156" i="1"/>
  <c r="AB1156" i="1" s="1"/>
  <c r="AC1157" i="1"/>
  <c r="AB1157" i="1" s="1"/>
  <c r="AC1158" i="1"/>
  <c r="AB1158" i="1" s="1"/>
  <c r="AC1159" i="1"/>
  <c r="AB1159" i="1" s="1"/>
  <c r="AC1160" i="1"/>
  <c r="AB1160" i="1" s="1"/>
  <c r="AC1161" i="1"/>
  <c r="AB1161" i="1" s="1"/>
  <c r="AC1162" i="1"/>
  <c r="AB1162" i="1" s="1"/>
  <c r="AC1163" i="1"/>
  <c r="AB1163" i="1" s="1"/>
  <c r="AC1164" i="1"/>
  <c r="AB1164" i="1" s="1"/>
  <c r="AC1165" i="1"/>
  <c r="AB1165" i="1" s="1"/>
  <c r="AC1166" i="1"/>
  <c r="AB1166" i="1" s="1"/>
  <c r="AC1167" i="1"/>
  <c r="AB1167" i="1" s="1"/>
  <c r="AC1168" i="1"/>
  <c r="AB1168" i="1" s="1"/>
  <c r="AC1169" i="1"/>
  <c r="AB1169" i="1" s="1"/>
  <c r="AC1170" i="1"/>
  <c r="AB1170" i="1" s="1"/>
  <c r="AC1171" i="1"/>
  <c r="AB1171" i="1" s="1"/>
  <c r="AC1172" i="1"/>
  <c r="AB1172" i="1" s="1"/>
  <c r="AC1173" i="1"/>
  <c r="AB1173" i="1" s="1"/>
  <c r="AC1174" i="1"/>
  <c r="AB1174" i="1" s="1"/>
  <c r="AC1175" i="1"/>
  <c r="AB1175" i="1" s="1"/>
  <c r="AC1176" i="1"/>
  <c r="AB1176" i="1" s="1"/>
  <c r="AC1177" i="1"/>
  <c r="AB1177" i="1" s="1"/>
  <c r="AC1178" i="1"/>
  <c r="AB1178" i="1" s="1"/>
  <c r="AC1179" i="1"/>
  <c r="AB1179" i="1" s="1"/>
  <c r="AC1180" i="1"/>
  <c r="AB1180" i="1" s="1"/>
  <c r="AC1181" i="1"/>
  <c r="AB1181" i="1" s="1"/>
  <c r="AC1182" i="1"/>
  <c r="AB1182" i="1" s="1"/>
  <c r="AC1183" i="1"/>
  <c r="AB1183" i="1" s="1"/>
  <c r="AC1184" i="1"/>
  <c r="AB1184" i="1" s="1"/>
  <c r="AC1185" i="1"/>
  <c r="AB1185" i="1" s="1"/>
  <c r="AC1186" i="1"/>
  <c r="AB1186" i="1" s="1"/>
  <c r="AC1187" i="1"/>
  <c r="AB1187" i="1" s="1"/>
  <c r="AC1188" i="1"/>
  <c r="AB1188" i="1" s="1"/>
  <c r="AC1189" i="1"/>
  <c r="AB1189" i="1" s="1"/>
  <c r="AC1190" i="1"/>
  <c r="AB1190" i="1" s="1"/>
  <c r="AC1191" i="1"/>
  <c r="AB1191" i="1" s="1"/>
  <c r="AC1192" i="1"/>
  <c r="AB1192" i="1" s="1"/>
  <c r="AC1193" i="1"/>
  <c r="AB1193" i="1" s="1"/>
  <c r="AC1194" i="1"/>
  <c r="AB1194" i="1" s="1"/>
  <c r="AC1195" i="1"/>
  <c r="AB1195" i="1" s="1"/>
  <c r="AC1196" i="1"/>
  <c r="AB1196" i="1" s="1"/>
  <c r="AC1197" i="1"/>
  <c r="AB1197" i="1" s="1"/>
  <c r="AC1198" i="1"/>
  <c r="AB1198" i="1" s="1"/>
  <c r="AC1199" i="1"/>
  <c r="AB1199" i="1" s="1"/>
  <c r="AC1200" i="1"/>
  <c r="AB1200" i="1" s="1"/>
  <c r="AC1201" i="1"/>
  <c r="AB1201" i="1" s="1"/>
  <c r="AC1202" i="1"/>
  <c r="AB1202" i="1" s="1"/>
  <c r="AC1203" i="1"/>
  <c r="AB1203" i="1" s="1"/>
  <c r="AC1204" i="1"/>
  <c r="AB1204" i="1" s="1"/>
  <c r="AC1205" i="1"/>
  <c r="AB1205" i="1" s="1"/>
  <c r="AC1206" i="1"/>
  <c r="AB1206" i="1" s="1"/>
  <c r="AC1207" i="1"/>
  <c r="AB1207" i="1" s="1"/>
  <c r="AC1208" i="1"/>
  <c r="AB1208" i="1" s="1"/>
  <c r="AC1209" i="1"/>
  <c r="AB1209" i="1" s="1"/>
  <c r="AC1210" i="1"/>
  <c r="AB1210" i="1" s="1"/>
  <c r="AC1211" i="1"/>
  <c r="AB1211" i="1" s="1"/>
  <c r="AC1212" i="1"/>
  <c r="AB1212" i="1" s="1"/>
  <c r="AC1213" i="1"/>
  <c r="AB1213" i="1" s="1"/>
  <c r="AC1214" i="1"/>
  <c r="AB1214" i="1" s="1"/>
  <c r="AC1215" i="1"/>
  <c r="AB1215" i="1" s="1"/>
  <c r="AC1216" i="1"/>
  <c r="AB1216" i="1" s="1"/>
  <c r="AC1217" i="1"/>
  <c r="AB1217" i="1" s="1"/>
  <c r="AC1218" i="1"/>
  <c r="AB1218" i="1" s="1"/>
  <c r="AC1219" i="1"/>
  <c r="AB1219" i="1" s="1"/>
  <c r="AC1220" i="1"/>
  <c r="AB1220" i="1" s="1"/>
  <c r="AC1221" i="1"/>
  <c r="AB1221" i="1" s="1"/>
  <c r="AC1222" i="1"/>
  <c r="AB1222" i="1" s="1"/>
  <c r="AC1223" i="1"/>
  <c r="AB1223" i="1" s="1"/>
  <c r="AC1224" i="1"/>
  <c r="AB1224" i="1" s="1"/>
  <c r="AC1225" i="1"/>
  <c r="AB1225" i="1" s="1"/>
  <c r="AC1226" i="1"/>
  <c r="AB1226" i="1" s="1"/>
  <c r="AC1227" i="1"/>
  <c r="AB1227" i="1" s="1"/>
  <c r="AC1228" i="1"/>
  <c r="AB1228" i="1" s="1"/>
  <c r="AC1229" i="1"/>
  <c r="AB1229" i="1" s="1"/>
  <c r="AC1230" i="1"/>
  <c r="AB1230" i="1" s="1"/>
  <c r="AC1231" i="1"/>
  <c r="AB1231" i="1" s="1"/>
  <c r="AC1232" i="1"/>
  <c r="AB1232" i="1" s="1"/>
  <c r="AC1233" i="1"/>
  <c r="AB1233" i="1" s="1"/>
  <c r="AC1234" i="1"/>
  <c r="AB1234" i="1" s="1"/>
  <c r="AC1235" i="1"/>
  <c r="AB1235" i="1" s="1"/>
  <c r="AC1236" i="1"/>
  <c r="AB1236" i="1" s="1"/>
  <c r="AC1237" i="1"/>
  <c r="AB1237" i="1" s="1"/>
  <c r="AC1238" i="1"/>
  <c r="AB1238" i="1" s="1"/>
  <c r="AC1239" i="1"/>
  <c r="AB1239" i="1" s="1"/>
  <c r="AC1240" i="1"/>
  <c r="AB1240" i="1" s="1"/>
  <c r="AC1241" i="1"/>
  <c r="AB1241" i="1" s="1"/>
  <c r="AC1242" i="1"/>
  <c r="AB1242" i="1" s="1"/>
  <c r="AC1243" i="1"/>
  <c r="AB1243" i="1" s="1"/>
  <c r="AC1244" i="1"/>
  <c r="AB1244" i="1" s="1"/>
  <c r="AC1245" i="1"/>
  <c r="AB1245" i="1" s="1"/>
  <c r="AC1246" i="1"/>
  <c r="AB1246" i="1" s="1"/>
  <c r="AC1247" i="1"/>
  <c r="AB1247" i="1" s="1"/>
  <c r="AC1248" i="1"/>
  <c r="AB1248" i="1" s="1"/>
  <c r="AC1249" i="1"/>
  <c r="AB1249" i="1" s="1"/>
  <c r="AC1250" i="1"/>
  <c r="AB1250" i="1" s="1"/>
  <c r="AC1251" i="1"/>
  <c r="AB1251" i="1" s="1"/>
  <c r="AC1252" i="1"/>
  <c r="AB1252" i="1" s="1"/>
  <c r="AC1253" i="1"/>
  <c r="AB1253" i="1" s="1"/>
  <c r="AC1254" i="1"/>
  <c r="AB1254" i="1" s="1"/>
  <c r="AC1255" i="1"/>
  <c r="AB1255" i="1" s="1"/>
  <c r="AC1256" i="1"/>
  <c r="AB1256" i="1" s="1"/>
  <c r="AC1257" i="1"/>
  <c r="AB1257" i="1" s="1"/>
  <c r="AC1258" i="1"/>
  <c r="AB1258" i="1" s="1"/>
  <c r="AC1259" i="1"/>
  <c r="AB1259" i="1" s="1"/>
  <c r="AC1260" i="1"/>
  <c r="AB1260" i="1" s="1"/>
  <c r="AC1261" i="1"/>
  <c r="AB1261" i="1" s="1"/>
  <c r="AC1262" i="1"/>
  <c r="AB1262" i="1" s="1"/>
  <c r="AC1263" i="1"/>
  <c r="AB1263" i="1" s="1"/>
  <c r="AC1264" i="1"/>
  <c r="AB1264" i="1" s="1"/>
  <c r="AC1265" i="1"/>
  <c r="AB1265" i="1" s="1"/>
  <c r="AC1266" i="1"/>
  <c r="AB1266" i="1" s="1"/>
  <c r="AC1267" i="1"/>
  <c r="AB1267" i="1" s="1"/>
  <c r="AC1268" i="1"/>
  <c r="AB1268" i="1" s="1"/>
  <c r="AC1269" i="1"/>
  <c r="AB1269" i="1" s="1"/>
  <c r="AC1270" i="1"/>
  <c r="AB1270" i="1" s="1"/>
  <c r="AC1271" i="1"/>
  <c r="AB1271" i="1" s="1"/>
  <c r="AC1272" i="1"/>
  <c r="AB1272" i="1" s="1"/>
  <c r="AC1273" i="1"/>
  <c r="AB1273" i="1" s="1"/>
  <c r="AC1274" i="1"/>
  <c r="AB1274" i="1" s="1"/>
  <c r="AC1275" i="1"/>
  <c r="AB1275" i="1" s="1"/>
  <c r="AC1276" i="1"/>
  <c r="AB1276" i="1" s="1"/>
  <c r="AC1277" i="1"/>
  <c r="AB1277" i="1" s="1"/>
  <c r="AC1278" i="1"/>
  <c r="AB1278" i="1" s="1"/>
  <c r="AC1279" i="1"/>
  <c r="AB1279" i="1" s="1"/>
  <c r="AC1280" i="1"/>
  <c r="AB1280" i="1" s="1"/>
  <c r="AC1281" i="1"/>
  <c r="AB1281" i="1" s="1"/>
  <c r="AC1282" i="1"/>
  <c r="AB1282" i="1" s="1"/>
  <c r="AC1283" i="1"/>
  <c r="AB1283" i="1" s="1"/>
  <c r="AC1284" i="1"/>
  <c r="AB1284" i="1" s="1"/>
  <c r="AC1285" i="1"/>
  <c r="AB1285" i="1" s="1"/>
  <c r="AC1286" i="1"/>
  <c r="AB1286" i="1" s="1"/>
  <c r="AC1287" i="1"/>
  <c r="AB1287" i="1" s="1"/>
  <c r="AC1288" i="1"/>
  <c r="AB1288" i="1" s="1"/>
  <c r="AC1289" i="1"/>
  <c r="AB1289" i="1" s="1"/>
  <c r="AC1290" i="1"/>
  <c r="AB1290" i="1" s="1"/>
  <c r="AC1291" i="1"/>
  <c r="AB1291" i="1" s="1"/>
  <c r="AC1292" i="1"/>
  <c r="AB1292" i="1" s="1"/>
  <c r="AC1293" i="1"/>
  <c r="AB1293" i="1" s="1"/>
  <c r="AC1294" i="1"/>
  <c r="AB1294" i="1" s="1"/>
  <c r="AC1295" i="1"/>
  <c r="AB1295" i="1" s="1"/>
  <c r="AC1296" i="1"/>
  <c r="AB1296" i="1" s="1"/>
  <c r="AC1297" i="1"/>
  <c r="AB1297" i="1" s="1"/>
  <c r="AC1298" i="1"/>
  <c r="AB1298" i="1" s="1"/>
  <c r="AC1299" i="1"/>
  <c r="AB1299" i="1" s="1"/>
  <c r="AC1300" i="1"/>
  <c r="AB1300" i="1" s="1"/>
  <c r="AC1301" i="1"/>
  <c r="AB1301" i="1" s="1"/>
  <c r="AC1302" i="1"/>
  <c r="AB1302" i="1" s="1"/>
  <c r="AC1303" i="1"/>
  <c r="AB1303" i="1" s="1"/>
  <c r="AC1304" i="1"/>
  <c r="AB1304" i="1" s="1"/>
  <c r="AC1305" i="1"/>
  <c r="AB1305" i="1" s="1"/>
  <c r="AC1306" i="1"/>
  <c r="AB1306" i="1" s="1"/>
  <c r="AC1307" i="1"/>
  <c r="AB1307" i="1" s="1"/>
  <c r="AC1308" i="1"/>
  <c r="AB1308" i="1" s="1"/>
  <c r="AC1309" i="1"/>
  <c r="AB1309" i="1" s="1"/>
  <c r="AC1310" i="1"/>
  <c r="AB1310" i="1" s="1"/>
  <c r="AC1311" i="1"/>
  <c r="AB1311" i="1" s="1"/>
  <c r="AC1312" i="1"/>
  <c r="AB1312" i="1" s="1"/>
  <c r="AC1313" i="1"/>
  <c r="AB1313" i="1" s="1"/>
  <c r="AC1314" i="1"/>
  <c r="AB1314" i="1" s="1"/>
  <c r="AC1315" i="1"/>
  <c r="AB1315" i="1" s="1"/>
  <c r="AC1316" i="1"/>
  <c r="AB1316" i="1" s="1"/>
  <c r="AC1317" i="1"/>
  <c r="AB1317" i="1" s="1"/>
  <c r="AC1318" i="1"/>
  <c r="AB1318" i="1" s="1"/>
  <c r="AC1319" i="1"/>
  <c r="AB1319" i="1" s="1"/>
  <c r="AC1320" i="1"/>
  <c r="AB1320" i="1" s="1"/>
  <c r="AC1321" i="1"/>
  <c r="AB1321" i="1" s="1"/>
  <c r="AC1322" i="1"/>
  <c r="AB1322" i="1" s="1"/>
  <c r="AC1323" i="1"/>
  <c r="AB1323" i="1" s="1"/>
  <c r="AC1324" i="1"/>
  <c r="AB1324" i="1" s="1"/>
  <c r="AC1325" i="1"/>
  <c r="AB1325" i="1" s="1"/>
  <c r="AC1326" i="1"/>
  <c r="AB1326" i="1" s="1"/>
  <c r="AC1327" i="1"/>
  <c r="AB1327" i="1" s="1"/>
  <c r="AC1328" i="1"/>
  <c r="AB1328" i="1" s="1"/>
  <c r="AC1329" i="1"/>
  <c r="AB1329" i="1" s="1"/>
  <c r="AC1330" i="1"/>
  <c r="AB1330" i="1" s="1"/>
  <c r="AC1331" i="1"/>
  <c r="AB1331" i="1" s="1"/>
  <c r="AC1332" i="1"/>
  <c r="AB1332" i="1" s="1"/>
  <c r="AC1333" i="1"/>
  <c r="AB1333" i="1" s="1"/>
  <c r="AC1334" i="1"/>
  <c r="AB1334" i="1" s="1"/>
  <c r="AC1335" i="1"/>
  <c r="AB1335" i="1" s="1"/>
  <c r="AC1336" i="1"/>
  <c r="AB1336" i="1" s="1"/>
  <c r="AC1337" i="1"/>
  <c r="AB1337" i="1" s="1"/>
  <c r="AC1338" i="1"/>
  <c r="AB1338" i="1" s="1"/>
  <c r="AC1339" i="1"/>
  <c r="AB1339" i="1" s="1"/>
  <c r="AC1340" i="1"/>
  <c r="AB1340" i="1" s="1"/>
  <c r="AC1341" i="1"/>
  <c r="AB1341" i="1" s="1"/>
  <c r="AC1342" i="1"/>
  <c r="AB1342" i="1" s="1"/>
  <c r="AC1343" i="1"/>
  <c r="AB1343" i="1" s="1"/>
  <c r="AC1344" i="1"/>
  <c r="AB1344" i="1" s="1"/>
  <c r="AC1345" i="1"/>
  <c r="AB1345" i="1" s="1"/>
  <c r="AC1346" i="1"/>
  <c r="AB1346" i="1" s="1"/>
  <c r="AC1347" i="1"/>
  <c r="AB1347" i="1" s="1"/>
  <c r="AC1348" i="1"/>
  <c r="AB1348" i="1" s="1"/>
  <c r="AC1349" i="1"/>
  <c r="AB1349" i="1" s="1"/>
  <c r="AC1350" i="1"/>
  <c r="AB1350" i="1" s="1"/>
  <c r="AC1351" i="1"/>
  <c r="AB1351" i="1" s="1"/>
  <c r="AC1352" i="1"/>
  <c r="AB1352" i="1" s="1"/>
  <c r="AC1353" i="1"/>
  <c r="AB1353" i="1" s="1"/>
  <c r="AC1354" i="1"/>
  <c r="AB1354" i="1" s="1"/>
  <c r="AC1355" i="1"/>
  <c r="AB1355" i="1" s="1"/>
  <c r="AC1356" i="1"/>
  <c r="AB1356" i="1" s="1"/>
  <c r="AC1357" i="1"/>
  <c r="AB1357" i="1" s="1"/>
  <c r="AC1358" i="1"/>
  <c r="AB1358" i="1" s="1"/>
  <c r="AC1359" i="1"/>
  <c r="AB1359" i="1" s="1"/>
  <c r="AC1360" i="1"/>
  <c r="AB1360" i="1" s="1"/>
  <c r="AC1361" i="1"/>
  <c r="AB1361" i="1" s="1"/>
  <c r="AC1362" i="1"/>
  <c r="AB1362" i="1" s="1"/>
  <c r="AC1363" i="1"/>
  <c r="AB1363" i="1" s="1"/>
  <c r="AC1364" i="1"/>
  <c r="AB1364" i="1" s="1"/>
  <c r="AC1365" i="1"/>
  <c r="AB1365" i="1" s="1"/>
  <c r="AC1366" i="1"/>
  <c r="AB1366" i="1" s="1"/>
  <c r="AC1367" i="1"/>
  <c r="AB1367" i="1" s="1"/>
  <c r="AC1368" i="1"/>
  <c r="AB1368" i="1" s="1"/>
  <c r="AC1369" i="1"/>
  <c r="AB1369" i="1" s="1"/>
  <c r="AC1370" i="1"/>
  <c r="AB1370" i="1" s="1"/>
  <c r="AC1371" i="1"/>
  <c r="AB1371" i="1" s="1"/>
  <c r="AC1372" i="1"/>
  <c r="AB1372" i="1" s="1"/>
  <c r="AC1373" i="1"/>
  <c r="AB1373" i="1" s="1"/>
  <c r="AC1374" i="1"/>
  <c r="AB1374" i="1" s="1"/>
  <c r="AC1375" i="1"/>
  <c r="AB1375" i="1" s="1"/>
  <c r="AC1376" i="1"/>
  <c r="AB1376" i="1" s="1"/>
  <c r="AC1377" i="1"/>
  <c r="AB1377" i="1" s="1"/>
  <c r="AC1378" i="1"/>
  <c r="AB1378" i="1" s="1"/>
  <c r="AC1379" i="1"/>
  <c r="AB1379" i="1" s="1"/>
  <c r="AC1380" i="1"/>
  <c r="AB1380" i="1" s="1"/>
  <c r="AC1381" i="1"/>
  <c r="AB1381" i="1" s="1"/>
  <c r="AC1382" i="1"/>
  <c r="AB1382" i="1" s="1"/>
  <c r="AC1383" i="1"/>
  <c r="AB1383" i="1" s="1"/>
  <c r="AC1384" i="1"/>
  <c r="AB1384" i="1" s="1"/>
  <c r="AC1385" i="1"/>
  <c r="AB1385" i="1" s="1"/>
  <c r="AC1386" i="1"/>
  <c r="AB1386" i="1" s="1"/>
  <c r="AC1387" i="1"/>
  <c r="AB1387" i="1" s="1"/>
  <c r="AC1388" i="1"/>
  <c r="AB1388" i="1" s="1"/>
  <c r="AC1389" i="1"/>
  <c r="AB1389" i="1" s="1"/>
  <c r="AC1390" i="1"/>
  <c r="AB1390" i="1" s="1"/>
  <c r="AC1391" i="1"/>
  <c r="AB1391" i="1" s="1"/>
  <c r="AC1392" i="1"/>
  <c r="AB1392" i="1" s="1"/>
  <c r="AC1393" i="1"/>
  <c r="AB1393" i="1" s="1"/>
  <c r="AC1394" i="1"/>
  <c r="AB1394" i="1" s="1"/>
  <c r="AC1395" i="1"/>
  <c r="AB1395" i="1" s="1"/>
  <c r="AC1396" i="1"/>
  <c r="AB1396" i="1" s="1"/>
  <c r="AC1397" i="1"/>
  <c r="AB1397" i="1" s="1"/>
  <c r="AC1398" i="1"/>
  <c r="AB1398" i="1" s="1"/>
  <c r="AC1399" i="1"/>
  <c r="AB1399" i="1" s="1"/>
  <c r="AC1400" i="1"/>
  <c r="AB1400" i="1" s="1"/>
  <c r="AC1401" i="1"/>
  <c r="AB1401" i="1" s="1"/>
  <c r="AC1402" i="1"/>
  <c r="AB1402" i="1" s="1"/>
  <c r="AC1403" i="1"/>
  <c r="AB1403" i="1" s="1"/>
  <c r="AC1404" i="1"/>
  <c r="AB1404" i="1" s="1"/>
  <c r="AC1405" i="1"/>
  <c r="AB1405" i="1" s="1"/>
  <c r="AC1406" i="1"/>
  <c r="AB1406" i="1" s="1"/>
  <c r="AC1407" i="1"/>
  <c r="AB1407" i="1" s="1"/>
  <c r="AC1408" i="1"/>
  <c r="AB1408" i="1" s="1"/>
  <c r="AC1409" i="1"/>
  <c r="AB1409" i="1" s="1"/>
  <c r="AC1410" i="1"/>
  <c r="AB1410" i="1" s="1"/>
  <c r="AC1411" i="1"/>
  <c r="AB1411" i="1" s="1"/>
  <c r="AC1412" i="1"/>
  <c r="AB1412" i="1" s="1"/>
  <c r="AC1413" i="1"/>
  <c r="AB1413" i="1" s="1"/>
  <c r="AC1414" i="1"/>
  <c r="AB1414" i="1" s="1"/>
  <c r="AC1415" i="1"/>
  <c r="AB1415" i="1" s="1"/>
  <c r="AC1416" i="1"/>
  <c r="AB1416" i="1" s="1"/>
  <c r="AC1417" i="1"/>
  <c r="AB1417" i="1" s="1"/>
  <c r="AC1418" i="1"/>
  <c r="AB1418" i="1" s="1"/>
  <c r="AC1419" i="1"/>
  <c r="AB1419" i="1" s="1"/>
  <c r="AC1420" i="1"/>
  <c r="AB1420" i="1" s="1"/>
  <c r="AC1421" i="1"/>
  <c r="AB1421" i="1" s="1"/>
  <c r="AC1422" i="1"/>
  <c r="AB1422" i="1" s="1"/>
  <c r="AC1423" i="1"/>
  <c r="AB1423" i="1" s="1"/>
  <c r="AC1424" i="1"/>
  <c r="AB1424" i="1" s="1"/>
  <c r="AC1425" i="1"/>
  <c r="AB1425" i="1" s="1"/>
  <c r="AC1426" i="1"/>
  <c r="AB1426" i="1" s="1"/>
  <c r="AC1427" i="1"/>
  <c r="AB1427" i="1" s="1"/>
  <c r="AC1428" i="1"/>
  <c r="AB1428" i="1" s="1"/>
  <c r="AC1429" i="1"/>
  <c r="AB1429" i="1" s="1"/>
  <c r="AC1430" i="1"/>
  <c r="AB1430" i="1" s="1"/>
  <c r="AC1431" i="1"/>
  <c r="AB1431" i="1" s="1"/>
  <c r="AC1432" i="1"/>
  <c r="AB1432" i="1" s="1"/>
  <c r="AC1433" i="1"/>
  <c r="AB1433" i="1" s="1"/>
  <c r="AC1434" i="1"/>
  <c r="AB1434" i="1" s="1"/>
  <c r="AC1435" i="1"/>
  <c r="AB1435" i="1" s="1"/>
  <c r="AC1436" i="1"/>
  <c r="AB1436" i="1" s="1"/>
  <c r="AC1437" i="1"/>
  <c r="AB1437" i="1" s="1"/>
  <c r="AC1438" i="1"/>
  <c r="AB1438" i="1" s="1"/>
  <c r="AC1439" i="1"/>
  <c r="AB1439" i="1" s="1"/>
  <c r="AC1440" i="1"/>
  <c r="AB1440" i="1" s="1"/>
  <c r="AC1441" i="1"/>
  <c r="AB1441" i="1" s="1"/>
  <c r="AC1442" i="1"/>
  <c r="AB1442" i="1" s="1"/>
  <c r="AC1443" i="1"/>
  <c r="AB1443" i="1" s="1"/>
  <c r="AC1444" i="1"/>
  <c r="AB1444" i="1" s="1"/>
  <c r="AC1445" i="1"/>
  <c r="AB1445" i="1" s="1"/>
  <c r="AC1446" i="1"/>
  <c r="AB1446" i="1" s="1"/>
  <c r="AC1447" i="1"/>
  <c r="AB1447" i="1" s="1"/>
  <c r="AC1448" i="1"/>
  <c r="AB1448" i="1" s="1"/>
  <c r="AC1449" i="1"/>
  <c r="AB1449" i="1" s="1"/>
  <c r="AC1450" i="1"/>
  <c r="AB1450" i="1" s="1"/>
  <c r="AC1451" i="1"/>
  <c r="AB1451" i="1" s="1"/>
  <c r="AC1452" i="1"/>
  <c r="AB1452" i="1" s="1"/>
  <c r="AC1453" i="1"/>
  <c r="AB1453" i="1" s="1"/>
  <c r="AC1454" i="1"/>
  <c r="AB1454" i="1" s="1"/>
  <c r="AC1455" i="1"/>
  <c r="AB1455" i="1" s="1"/>
  <c r="AC1456" i="1"/>
  <c r="AB1456" i="1" s="1"/>
  <c r="AC1457" i="1"/>
  <c r="AB1457" i="1" s="1"/>
  <c r="AC1458" i="1"/>
  <c r="AB1458" i="1" s="1"/>
  <c r="AC1459" i="1"/>
  <c r="AB1459" i="1" s="1"/>
  <c r="AC1460" i="1"/>
  <c r="AB1460" i="1" s="1"/>
  <c r="AC1461" i="1"/>
  <c r="AB1461" i="1" s="1"/>
  <c r="AC1462" i="1"/>
  <c r="AB1462" i="1" s="1"/>
  <c r="AC1463" i="1"/>
  <c r="AB1463" i="1" s="1"/>
  <c r="AC1464" i="1"/>
  <c r="AB1464" i="1" s="1"/>
  <c r="AC1465" i="1"/>
  <c r="AB1465" i="1" s="1"/>
  <c r="AC1466" i="1"/>
  <c r="AB1466" i="1" s="1"/>
  <c r="AC1467" i="1"/>
  <c r="AB1467" i="1" s="1"/>
  <c r="AC1468" i="1"/>
  <c r="AB1468" i="1" s="1"/>
  <c r="AC1469" i="1"/>
  <c r="AB1469" i="1" s="1"/>
  <c r="AC1470" i="1"/>
  <c r="AB1470" i="1" s="1"/>
  <c r="AC1471" i="1"/>
  <c r="AB1471" i="1" s="1"/>
  <c r="AC1472" i="1"/>
  <c r="AB1472" i="1" s="1"/>
  <c r="AC1473" i="1"/>
  <c r="AB1473" i="1" s="1"/>
  <c r="AC1474" i="1"/>
  <c r="AB1474" i="1" s="1"/>
  <c r="AC1475" i="1"/>
  <c r="AB1475" i="1" s="1"/>
  <c r="AC1476" i="1"/>
  <c r="AB1476" i="1" s="1"/>
  <c r="AC1477" i="1"/>
  <c r="AB1477" i="1" s="1"/>
  <c r="AC1478" i="1"/>
  <c r="AB1478" i="1" s="1"/>
  <c r="AC1479" i="1"/>
  <c r="AB1479" i="1" s="1"/>
  <c r="AC1480" i="1"/>
  <c r="AB1480" i="1" s="1"/>
  <c r="AC1481" i="1"/>
  <c r="AB1481" i="1" s="1"/>
  <c r="AC1482" i="1"/>
  <c r="AB1482" i="1" s="1"/>
  <c r="AC1483" i="1"/>
  <c r="AB1483" i="1" s="1"/>
  <c r="AC1484" i="1"/>
  <c r="AB1484" i="1" s="1"/>
  <c r="AC1485" i="1"/>
  <c r="AB1485" i="1" s="1"/>
  <c r="AC1486" i="1"/>
  <c r="AB1486" i="1" s="1"/>
  <c r="AC1487" i="1"/>
  <c r="AB1487" i="1" s="1"/>
  <c r="AC1488" i="1"/>
  <c r="AB1488" i="1" s="1"/>
  <c r="AC1489" i="1"/>
  <c r="AB1489" i="1" s="1"/>
  <c r="AC1490" i="1"/>
  <c r="AB1490" i="1" s="1"/>
  <c r="AC1491" i="1"/>
  <c r="AB1491" i="1" s="1"/>
  <c r="AC1492" i="1"/>
  <c r="AB1492" i="1" s="1"/>
  <c r="AC1493" i="1"/>
  <c r="AB1493" i="1" s="1"/>
  <c r="AC1494" i="1"/>
  <c r="AB1494" i="1" s="1"/>
  <c r="AC1495" i="1"/>
  <c r="AB1495" i="1" s="1"/>
  <c r="AC1496" i="1"/>
  <c r="AB1496" i="1" s="1"/>
  <c r="AC1497" i="1"/>
  <c r="AB1497" i="1" s="1"/>
  <c r="AC1498" i="1"/>
  <c r="AB1498" i="1" s="1"/>
  <c r="AC1499" i="1"/>
  <c r="AB1499" i="1" s="1"/>
  <c r="AC1500" i="1"/>
  <c r="AB1500" i="1" s="1"/>
  <c r="AC1501" i="1"/>
  <c r="AB1501" i="1" s="1"/>
  <c r="AC1502" i="1"/>
  <c r="AB1502" i="1" s="1"/>
  <c r="AC1503" i="1"/>
  <c r="AB1503" i="1" s="1"/>
  <c r="AC1504" i="1"/>
  <c r="AB1504" i="1" s="1"/>
  <c r="AC1505" i="1"/>
  <c r="AB1505" i="1" s="1"/>
  <c r="AC1506" i="1"/>
  <c r="AB1506" i="1" s="1"/>
  <c r="AC1507" i="1"/>
  <c r="AB1507" i="1" s="1"/>
  <c r="AC1508" i="1"/>
  <c r="AB1508" i="1" s="1"/>
  <c r="AC1509" i="1"/>
  <c r="AB1509" i="1" s="1"/>
  <c r="AC1510" i="1"/>
  <c r="AB1510" i="1" s="1"/>
  <c r="AC1511" i="1"/>
  <c r="AB1511" i="1" s="1"/>
  <c r="AC1512" i="1"/>
  <c r="AB1512" i="1" s="1"/>
  <c r="AC1513" i="1"/>
  <c r="AB1513" i="1" s="1"/>
  <c r="AC1514" i="1"/>
  <c r="AB1514" i="1" s="1"/>
  <c r="AC1515" i="1"/>
  <c r="AB1515" i="1" s="1"/>
  <c r="AC1516" i="1"/>
  <c r="AB1516" i="1" s="1"/>
  <c r="AC1517" i="1"/>
  <c r="AB1517" i="1" s="1"/>
  <c r="AC1518" i="1"/>
  <c r="AB1518" i="1" s="1"/>
  <c r="AC1519" i="1"/>
  <c r="AB1519" i="1" s="1"/>
  <c r="AC1520" i="1"/>
  <c r="AB1520" i="1" s="1"/>
  <c r="AC1521" i="1"/>
  <c r="AB1521" i="1" s="1"/>
  <c r="AC1522" i="1"/>
  <c r="AB1522" i="1" s="1"/>
  <c r="AC1523" i="1"/>
  <c r="AB1523" i="1" s="1"/>
  <c r="AC1524" i="1"/>
  <c r="AB1524" i="1" s="1"/>
  <c r="AC1525" i="1"/>
  <c r="AB1525" i="1" s="1"/>
  <c r="AC1526" i="1"/>
  <c r="AB1526" i="1" s="1"/>
  <c r="AC1527" i="1"/>
  <c r="AB1527" i="1" s="1"/>
  <c r="AC1528" i="1"/>
  <c r="AB1528" i="1" s="1"/>
  <c r="AC1529" i="1"/>
  <c r="AB1529" i="1" s="1"/>
  <c r="AC1530" i="1"/>
  <c r="AB1530" i="1" s="1"/>
  <c r="AC1531" i="1"/>
  <c r="AB1531" i="1" s="1"/>
  <c r="AC1532" i="1"/>
  <c r="AB1532" i="1" s="1"/>
  <c r="AC1533" i="1"/>
  <c r="AB1533" i="1" s="1"/>
  <c r="AC1534" i="1"/>
  <c r="AB1534" i="1" s="1"/>
  <c r="AC1535" i="1"/>
  <c r="AB1535" i="1" s="1"/>
  <c r="AC1536" i="1"/>
  <c r="AB1536" i="1" s="1"/>
  <c r="AC1537" i="1"/>
  <c r="AB1537" i="1" s="1"/>
  <c r="AC1538" i="1"/>
  <c r="AB1538" i="1" s="1"/>
  <c r="AC1539" i="1"/>
  <c r="AB1539" i="1" s="1"/>
  <c r="AC1540" i="1"/>
  <c r="AB1540" i="1" s="1"/>
  <c r="AC1541" i="1"/>
  <c r="AB1541" i="1" s="1"/>
  <c r="AC1542" i="1"/>
  <c r="AB1542" i="1" s="1"/>
  <c r="AC1543" i="1"/>
  <c r="AB1543" i="1" s="1"/>
  <c r="AC1544" i="1"/>
  <c r="AB1544" i="1" s="1"/>
  <c r="AC1545" i="1"/>
  <c r="AB1545" i="1" s="1"/>
  <c r="AC1546" i="1"/>
  <c r="AB1546" i="1" s="1"/>
  <c r="AC1547" i="1"/>
  <c r="AB1547" i="1" s="1"/>
  <c r="AC1548" i="1"/>
  <c r="AB1548" i="1" s="1"/>
  <c r="AC1549" i="1"/>
  <c r="AB1549" i="1" s="1"/>
  <c r="AC1550" i="1"/>
  <c r="AB1550" i="1" s="1"/>
  <c r="AC1551" i="1"/>
  <c r="AB1551" i="1" s="1"/>
  <c r="AC1552" i="1"/>
  <c r="AB1552" i="1" s="1"/>
  <c r="AC1553" i="1"/>
  <c r="AB1553" i="1" s="1"/>
  <c r="AC1554" i="1"/>
  <c r="AB1554" i="1" s="1"/>
  <c r="AC1555" i="1"/>
  <c r="AB1555" i="1" s="1"/>
  <c r="AC1556" i="1"/>
  <c r="AB1556" i="1" s="1"/>
  <c r="AC1557" i="1"/>
  <c r="AB1557" i="1" s="1"/>
  <c r="AC1558" i="1"/>
  <c r="AB1558" i="1" s="1"/>
  <c r="AC1559" i="1"/>
  <c r="AB1559" i="1" s="1"/>
  <c r="AC1560" i="1"/>
  <c r="AB1560" i="1" s="1"/>
  <c r="AC1561" i="1"/>
  <c r="AB1561" i="1" s="1"/>
  <c r="AC1562" i="1"/>
  <c r="AB1562" i="1" s="1"/>
  <c r="AC1563" i="1"/>
  <c r="AB1563" i="1" s="1"/>
  <c r="AC1564" i="1"/>
  <c r="AB1564" i="1" s="1"/>
  <c r="AC1565" i="1"/>
  <c r="AB1565" i="1" s="1"/>
  <c r="AC1566" i="1"/>
  <c r="AB1566" i="1" s="1"/>
  <c r="AC1567" i="1"/>
  <c r="AB1567" i="1" s="1"/>
  <c r="AC1568" i="1"/>
  <c r="AB1568" i="1" s="1"/>
  <c r="AC1569" i="1"/>
  <c r="AB1569" i="1" s="1"/>
  <c r="AC1570" i="1"/>
  <c r="AB1570" i="1" s="1"/>
  <c r="AC1571" i="1"/>
  <c r="AB1571" i="1" s="1"/>
  <c r="AC1572" i="1"/>
  <c r="AB1572" i="1" s="1"/>
  <c r="AC1573" i="1"/>
  <c r="AB1573" i="1" s="1"/>
  <c r="AC1574" i="1"/>
  <c r="AB1574" i="1" s="1"/>
  <c r="AC1575" i="1"/>
  <c r="AB1575" i="1" s="1"/>
  <c r="AC1576" i="1"/>
  <c r="AB1576" i="1" s="1"/>
  <c r="AC1577" i="1"/>
  <c r="AB1577" i="1" s="1"/>
  <c r="AC1578" i="1"/>
  <c r="AB1578" i="1" s="1"/>
  <c r="AC1579" i="1"/>
  <c r="AB1579" i="1" s="1"/>
  <c r="AC1580" i="1"/>
  <c r="AB1580" i="1" s="1"/>
  <c r="AC1581" i="1"/>
  <c r="AB1581" i="1" s="1"/>
  <c r="AC1582" i="1"/>
  <c r="AB1582" i="1" s="1"/>
  <c r="AC1583" i="1"/>
  <c r="AB1583" i="1" s="1"/>
  <c r="AC1584" i="1"/>
  <c r="AB1584" i="1" s="1"/>
  <c r="AC1585" i="1"/>
  <c r="AB1585" i="1" s="1"/>
  <c r="AC1586" i="1"/>
  <c r="AB1586" i="1" s="1"/>
  <c r="AC1587" i="1"/>
  <c r="AB1587" i="1" s="1"/>
  <c r="AC1588" i="1"/>
  <c r="AB1588" i="1" s="1"/>
  <c r="AC1589" i="1"/>
  <c r="AB1589" i="1" s="1"/>
  <c r="AC1590" i="1"/>
  <c r="AB1590" i="1" s="1"/>
  <c r="AC1591" i="1"/>
  <c r="AB1591" i="1" s="1"/>
  <c r="AC1592" i="1"/>
  <c r="AB1592" i="1" s="1"/>
  <c r="AC1593" i="1"/>
  <c r="AB1593" i="1" s="1"/>
  <c r="AC1594" i="1"/>
  <c r="AB1594" i="1" s="1"/>
  <c r="AC1595" i="1"/>
  <c r="AB1595" i="1" s="1"/>
  <c r="AC1596" i="1"/>
  <c r="AB1596" i="1" s="1"/>
  <c r="AC1597" i="1"/>
  <c r="AB1597" i="1" s="1"/>
  <c r="AC1598" i="1"/>
  <c r="AB1598" i="1" s="1"/>
  <c r="AC1599" i="1"/>
  <c r="AB1599" i="1" s="1"/>
  <c r="AC1600" i="1"/>
  <c r="AB1600" i="1" s="1"/>
  <c r="AC1601" i="1"/>
  <c r="AB1601" i="1" s="1"/>
  <c r="AC1602" i="1"/>
  <c r="AB1602" i="1" s="1"/>
  <c r="AC1603" i="1"/>
  <c r="AB1603" i="1" s="1"/>
  <c r="AC1604" i="1"/>
  <c r="AB1604" i="1" s="1"/>
  <c r="AC1605" i="1"/>
  <c r="AB1605" i="1" s="1"/>
  <c r="AC1606" i="1"/>
  <c r="AB1606" i="1" s="1"/>
  <c r="AC1607" i="1"/>
  <c r="AB1607" i="1" s="1"/>
  <c r="AC1608" i="1"/>
  <c r="AB1608" i="1" s="1"/>
  <c r="AC1609" i="1"/>
  <c r="AB1609" i="1" s="1"/>
  <c r="AC1610" i="1"/>
  <c r="AB1610" i="1" s="1"/>
  <c r="AC1611" i="1"/>
  <c r="AB1611" i="1" s="1"/>
  <c r="AC1612" i="1"/>
  <c r="AB1612" i="1" s="1"/>
  <c r="AC1613" i="1"/>
  <c r="AB1613" i="1" s="1"/>
  <c r="AC1614" i="1"/>
  <c r="AB1614" i="1" s="1"/>
  <c r="AC1615" i="1"/>
  <c r="AB1615" i="1" s="1"/>
  <c r="AC1616" i="1"/>
  <c r="AB1616" i="1" s="1"/>
  <c r="AC1617" i="1"/>
  <c r="AB1617" i="1" s="1"/>
  <c r="AC1618" i="1"/>
  <c r="AB1618" i="1" s="1"/>
  <c r="AC1619" i="1"/>
  <c r="AB1619" i="1" s="1"/>
  <c r="AC1620" i="1"/>
  <c r="AB1620" i="1" s="1"/>
  <c r="AC1621" i="1"/>
  <c r="AB1621" i="1" s="1"/>
  <c r="AC1622" i="1"/>
  <c r="AB1622" i="1" s="1"/>
  <c r="AC1623" i="1"/>
  <c r="AB1623" i="1" s="1"/>
  <c r="AC1624" i="1"/>
  <c r="AB1624" i="1" s="1"/>
  <c r="AC1625" i="1"/>
  <c r="AB1625" i="1" s="1"/>
  <c r="AC1626" i="1"/>
  <c r="AB1626" i="1" s="1"/>
  <c r="AC1627" i="1"/>
  <c r="AB1627" i="1" s="1"/>
  <c r="AC1628" i="1"/>
  <c r="AB1628" i="1" s="1"/>
  <c r="AC1629" i="1"/>
  <c r="AB1629" i="1" s="1"/>
  <c r="AC1630" i="1"/>
  <c r="AB1630" i="1" s="1"/>
  <c r="AC1631" i="1"/>
  <c r="AB1631" i="1" s="1"/>
  <c r="AC1632" i="1"/>
  <c r="AB1632" i="1" s="1"/>
  <c r="AC1633" i="1"/>
  <c r="AB1633" i="1" s="1"/>
  <c r="AC1634" i="1"/>
  <c r="AB1634" i="1" s="1"/>
  <c r="AC1635" i="1"/>
  <c r="AB1635" i="1" s="1"/>
  <c r="AC1636" i="1"/>
  <c r="AB1636" i="1" s="1"/>
  <c r="AC1637" i="1"/>
  <c r="AB1637" i="1" s="1"/>
  <c r="AC1638" i="1"/>
  <c r="AB1638" i="1" s="1"/>
  <c r="AC1639" i="1"/>
  <c r="AB1639" i="1" s="1"/>
  <c r="AC1640" i="1"/>
  <c r="AB1640" i="1" s="1"/>
  <c r="AC1641" i="1"/>
  <c r="AB1641" i="1" s="1"/>
  <c r="AC1642" i="1"/>
  <c r="AB1642" i="1" s="1"/>
  <c r="AC1643" i="1"/>
  <c r="AB1643" i="1" s="1"/>
  <c r="AC1644" i="1"/>
  <c r="AB1644" i="1" s="1"/>
  <c r="AC1645" i="1"/>
  <c r="AB1645" i="1" s="1"/>
  <c r="AC1646" i="1"/>
  <c r="AB1646" i="1" s="1"/>
  <c r="AC1647" i="1"/>
  <c r="AB1647" i="1" s="1"/>
  <c r="AC1648" i="1"/>
  <c r="AB1648" i="1" s="1"/>
  <c r="AC1649" i="1"/>
  <c r="AB1649" i="1" s="1"/>
  <c r="AC1650" i="1"/>
  <c r="AB1650" i="1" s="1"/>
  <c r="AC1651" i="1"/>
  <c r="AB1651" i="1" s="1"/>
  <c r="AC1652" i="1"/>
  <c r="AB1652" i="1" s="1"/>
  <c r="AC1653" i="1"/>
  <c r="AB1653" i="1" s="1"/>
  <c r="AC1654" i="1"/>
  <c r="AB1654" i="1" s="1"/>
  <c r="AC1655" i="1"/>
  <c r="AB1655" i="1" s="1"/>
  <c r="AC1656" i="1"/>
  <c r="AB1656" i="1" s="1"/>
  <c r="AC1657" i="1"/>
  <c r="AB1657" i="1" s="1"/>
  <c r="AC1658" i="1"/>
  <c r="AB1658" i="1" s="1"/>
  <c r="AC1659" i="1"/>
  <c r="AB1659" i="1" s="1"/>
  <c r="AC1660" i="1"/>
  <c r="AB1660" i="1" s="1"/>
  <c r="AC1661" i="1"/>
  <c r="AB1661" i="1" s="1"/>
  <c r="AC1662" i="1"/>
  <c r="AB1662" i="1" s="1"/>
  <c r="AC1663" i="1"/>
  <c r="AB1663" i="1" s="1"/>
  <c r="AC1664" i="1"/>
  <c r="AB1664" i="1" s="1"/>
  <c r="AC1665" i="1"/>
  <c r="AB1665" i="1" s="1"/>
  <c r="AC1666" i="1"/>
  <c r="AB1666" i="1" s="1"/>
  <c r="AC1667" i="1"/>
  <c r="AB1667" i="1" s="1"/>
  <c r="AC1668" i="1"/>
  <c r="AB1668" i="1" s="1"/>
  <c r="AC1669" i="1"/>
  <c r="AB1669" i="1" s="1"/>
  <c r="AC1670" i="1"/>
  <c r="AB1670" i="1" s="1"/>
  <c r="AC1671" i="1"/>
  <c r="AB1671" i="1" s="1"/>
  <c r="AC1672" i="1"/>
  <c r="AB1672" i="1" s="1"/>
  <c r="AC1673" i="1"/>
  <c r="AB1673" i="1" s="1"/>
  <c r="AC1674" i="1"/>
  <c r="AB1674" i="1" s="1"/>
  <c r="AC1675" i="1"/>
  <c r="AB1675" i="1" s="1"/>
  <c r="AC1676" i="1"/>
  <c r="AB1676" i="1" s="1"/>
  <c r="AC1677" i="1"/>
  <c r="AB1677" i="1" s="1"/>
  <c r="AC1678" i="1"/>
  <c r="AB1678" i="1" s="1"/>
  <c r="AC1679" i="1"/>
  <c r="AB1679" i="1" s="1"/>
  <c r="AC1680" i="1"/>
  <c r="AB1680" i="1" s="1"/>
  <c r="AC1681" i="1"/>
  <c r="AB1681" i="1" s="1"/>
  <c r="AC1682" i="1"/>
  <c r="AB1682" i="1" s="1"/>
  <c r="AC1683" i="1"/>
  <c r="AB1683" i="1" s="1"/>
  <c r="AC1684" i="1"/>
  <c r="AB1684" i="1" s="1"/>
  <c r="AC1685" i="1"/>
  <c r="AB1685" i="1" s="1"/>
  <c r="AC1686" i="1"/>
  <c r="AB1686" i="1" s="1"/>
  <c r="AC1687" i="1"/>
  <c r="AB1687" i="1" s="1"/>
  <c r="AC1688" i="1"/>
  <c r="AB1688" i="1" s="1"/>
  <c r="AC1689" i="1"/>
  <c r="AB1689" i="1" s="1"/>
  <c r="AC1690" i="1"/>
  <c r="AB1690" i="1" s="1"/>
  <c r="AC1691" i="1"/>
  <c r="AB1691" i="1" s="1"/>
  <c r="AC1692" i="1"/>
  <c r="AB1692" i="1" s="1"/>
  <c r="AC1693" i="1"/>
  <c r="AB1693" i="1" s="1"/>
  <c r="AC1694" i="1"/>
  <c r="AB1694" i="1" s="1"/>
  <c r="AC1695" i="1"/>
  <c r="AB1695" i="1" s="1"/>
  <c r="AC1696" i="1"/>
  <c r="AB1696" i="1" s="1"/>
  <c r="AC1697" i="1"/>
  <c r="AB1697" i="1" s="1"/>
  <c r="AC1698" i="1"/>
  <c r="AB1698" i="1" s="1"/>
  <c r="AC1699" i="1"/>
  <c r="AB1699" i="1" s="1"/>
  <c r="AC1700" i="1"/>
  <c r="AB1700" i="1" s="1"/>
  <c r="AC1701" i="1"/>
  <c r="AB1701" i="1" s="1"/>
  <c r="AC1702" i="1"/>
  <c r="AB1702" i="1" s="1"/>
  <c r="AC1703" i="1"/>
  <c r="AB1703" i="1" s="1"/>
  <c r="AC1704" i="1"/>
  <c r="AB1704" i="1" s="1"/>
  <c r="AC1705" i="1"/>
  <c r="AB1705" i="1" s="1"/>
  <c r="AC1706" i="1"/>
  <c r="AB1706" i="1" s="1"/>
  <c r="AC1707" i="1"/>
  <c r="AB1707" i="1" s="1"/>
  <c r="AC1708" i="1"/>
  <c r="AB1708" i="1" s="1"/>
  <c r="AC1709" i="1"/>
  <c r="AB1709" i="1" s="1"/>
  <c r="AC1710" i="1"/>
  <c r="AB1710" i="1" s="1"/>
  <c r="AC1711" i="1"/>
  <c r="AB1711" i="1" s="1"/>
  <c r="AC1712" i="1"/>
  <c r="AB1712" i="1" s="1"/>
  <c r="AC1713" i="1"/>
  <c r="AB1713" i="1" s="1"/>
  <c r="AC1714" i="1"/>
  <c r="AB1714" i="1" s="1"/>
  <c r="AC1715" i="1"/>
  <c r="AB1715" i="1" s="1"/>
  <c r="AC1716" i="1"/>
  <c r="AB1716" i="1" s="1"/>
  <c r="AC1717" i="1"/>
  <c r="AB1717" i="1" s="1"/>
  <c r="AC1718" i="1"/>
  <c r="AB1718" i="1" s="1"/>
  <c r="AC1719" i="1"/>
  <c r="AB1719" i="1" s="1"/>
  <c r="AC1720" i="1"/>
  <c r="AB1720" i="1" s="1"/>
  <c r="AC1721" i="1"/>
  <c r="AB1721" i="1" s="1"/>
  <c r="AC1722" i="1"/>
  <c r="AB1722" i="1" s="1"/>
  <c r="AC1723" i="1"/>
  <c r="AB1723" i="1" s="1"/>
  <c r="AC1724" i="1"/>
  <c r="AB1724" i="1" s="1"/>
  <c r="AC1725" i="1"/>
  <c r="AB1725" i="1" s="1"/>
  <c r="AC1726" i="1"/>
  <c r="AB1726" i="1" s="1"/>
  <c r="AC1727" i="1"/>
  <c r="AB1727" i="1" s="1"/>
  <c r="AC1728" i="1"/>
  <c r="AB1728" i="1" s="1"/>
  <c r="AC1729" i="1"/>
  <c r="AB1729" i="1" s="1"/>
  <c r="AC1730" i="1"/>
  <c r="AB1730" i="1" s="1"/>
  <c r="AC1731" i="1"/>
  <c r="AB1731" i="1" s="1"/>
  <c r="AC1732" i="1"/>
  <c r="AB1732" i="1" s="1"/>
  <c r="AC1733" i="1"/>
  <c r="AB1733" i="1" s="1"/>
  <c r="AC1734" i="1"/>
  <c r="AB1734" i="1" s="1"/>
  <c r="AC1735" i="1"/>
  <c r="AB1735" i="1" s="1"/>
  <c r="AC1736" i="1"/>
  <c r="AB1736" i="1" s="1"/>
  <c r="AC1737" i="1"/>
  <c r="AB1737" i="1" s="1"/>
  <c r="AC1738" i="1"/>
  <c r="AB1738" i="1" s="1"/>
  <c r="AC1739" i="1"/>
  <c r="AB1739" i="1" s="1"/>
  <c r="AC1740" i="1"/>
  <c r="AB1740" i="1" s="1"/>
  <c r="AC1741" i="1"/>
  <c r="AB1741" i="1" s="1"/>
  <c r="AC1742" i="1"/>
  <c r="AB1742" i="1" s="1"/>
  <c r="AC1743" i="1"/>
  <c r="AB1743" i="1" s="1"/>
  <c r="AC1744" i="1"/>
  <c r="AB1744" i="1" s="1"/>
  <c r="AC1745" i="1"/>
  <c r="AB1745" i="1" s="1"/>
  <c r="AC1746" i="1"/>
  <c r="AB1746" i="1" s="1"/>
  <c r="AC1747" i="1"/>
  <c r="AB1747" i="1" s="1"/>
  <c r="AC1748" i="1"/>
  <c r="AB1748" i="1" s="1"/>
  <c r="AC1749" i="1"/>
  <c r="AB1749" i="1" s="1"/>
  <c r="AC1750" i="1"/>
  <c r="AB1750" i="1" s="1"/>
  <c r="AC1751" i="1"/>
  <c r="AB1751" i="1" s="1"/>
  <c r="AC1752" i="1"/>
  <c r="AB1752" i="1" s="1"/>
  <c r="AC1753" i="1"/>
  <c r="AB1753" i="1" s="1"/>
  <c r="AC1754" i="1"/>
  <c r="AB1754" i="1" s="1"/>
  <c r="AC1755" i="1"/>
  <c r="AB1755" i="1" s="1"/>
  <c r="AC1756" i="1"/>
  <c r="AB1756" i="1" s="1"/>
  <c r="AC1757" i="1"/>
  <c r="AB1757" i="1" s="1"/>
  <c r="AC1758" i="1"/>
  <c r="AB1758" i="1" s="1"/>
  <c r="AC1759" i="1"/>
  <c r="AB1759" i="1" s="1"/>
  <c r="AC1760" i="1"/>
  <c r="AB1760" i="1" s="1"/>
  <c r="AC1761" i="1"/>
  <c r="AB1761" i="1" s="1"/>
  <c r="AC1762" i="1"/>
  <c r="AB1762" i="1" s="1"/>
  <c r="AC1763" i="1"/>
  <c r="AB1763" i="1" s="1"/>
  <c r="AC1764" i="1"/>
  <c r="AB1764" i="1" s="1"/>
  <c r="AC1765" i="1"/>
  <c r="AB1765" i="1" s="1"/>
  <c r="AC1766" i="1"/>
  <c r="AB1766" i="1" s="1"/>
  <c r="AC1767" i="1"/>
  <c r="AB1767" i="1" s="1"/>
  <c r="AC1768" i="1"/>
  <c r="AB1768" i="1" s="1"/>
  <c r="AC1769" i="1"/>
  <c r="AB1769" i="1" s="1"/>
  <c r="AC1770" i="1"/>
  <c r="AB1770" i="1" s="1"/>
  <c r="AC1771" i="1"/>
  <c r="AB1771" i="1" s="1"/>
  <c r="AC1772" i="1"/>
  <c r="AB1772" i="1" s="1"/>
  <c r="AC1773" i="1"/>
  <c r="AB1773" i="1" s="1"/>
  <c r="AC1774" i="1"/>
  <c r="AB1774" i="1" s="1"/>
  <c r="AC1775" i="1"/>
  <c r="AB1775" i="1" s="1"/>
  <c r="AC1776" i="1"/>
  <c r="AB1776" i="1" s="1"/>
  <c r="AC1777" i="1"/>
  <c r="AB1777" i="1" s="1"/>
  <c r="AC1778" i="1"/>
  <c r="AB1778" i="1" s="1"/>
  <c r="AC1779" i="1"/>
  <c r="AB1779" i="1" s="1"/>
  <c r="AC1780" i="1"/>
  <c r="AB1780" i="1" s="1"/>
  <c r="AC1781" i="1"/>
  <c r="AB1781" i="1" s="1"/>
  <c r="AC1782" i="1"/>
  <c r="AB1782" i="1" s="1"/>
  <c r="AC1783" i="1"/>
  <c r="AB1783" i="1" s="1"/>
  <c r="AC1784" i="1"/>
  <c r="AB1784" i="1" s="1"/>
  <c r="AC1785" i="1"/>
  <c r="AB1785" i="1" s="1"/>
  <c r="AC1786" i="1"/>
  <c r="AB1786" i="1" s="1"/>
  <c r="AC1787" i="1"/>
  <c r="AB1787" i="1" s="1"/>
  <c r="AC1788" i="1"/>
  <c r="AB1788" i="1" s="1"/>
  <c r="AC1789" i="1"/>
  <c r="AB1789" i="1" s="1"/>
  <c r="AC1790" i="1"/>
  <c r="AB1790" i="1" s="1"/>
  <c r="AC1791" i="1"/>
  <c r="AB1791" i="1" s="1"/>
  <c r="AC1792" i="1"/>
  <c r="AB1792" i="1" s="1"/>
  <c r="AC1793" i="1"/>
  <c r="AB1793" i="1" s="1"/>
  <c r="AC1794" i="1"/>
  <c r="AB1794" i="1" s="1"/>
  <c r="AC1795" i="1"/>
  <c r="AB1795" i="1" s="1"/>
  <c r="AC1796" i="1"/>
  <c r="AB1796" i="1" s="1"/>
  <c r="AC1797" i="1"/>
  <c r="AB1797" i="1" s="1"/>
  <c r="AC1798" i="1"/>
  <c r="AB1798" i="1" s="1"/>
  <c r="AC1799" i="1"/>
  <c r="AB1799" i="1" s="1"/>
  <c r="AC1800" i="1"/>
  <c r="AB1800" i="1" s="1"/>
  <c r="AC1801" i="1"/>
  <c r="AB1801" i="1" s="1"/>
  <c r="AC1802" i="1"/>
  <c r="AB1802" i="1" s="1"/>
  <c r="AC1803" i="1"/>
  <c r="AB1803" i="1" s="1"/>
  <c r="AC1804" i="1"/>
  <c r="AB1804" i="1" s="1"/>
  <c r="AC1805" i="1"/>
  <c r="AB1805" i="1" s="1"/>
  <c r="AC1806" i="1"/>
  <c r="AB1806" i="1" s="1"/>
  <c r="AC1807" i="1"/>
  <c r="AB1807" i="1" s="1"/>
  <c r="AC1808" i="1"/>
  <c r="AB1808" i="1" s="1"/>
  <c r="AC1809" i="1"/>
  <c r="AB1809" i="1" s="1"/>
  <c r="AC1810" i="1"/>
  <c r="AB1810" i="1" s="1"/>
  <c r="AC1811" i="1"/>
  <c r="AB1811" i="1" s="1"/>
  <c r="AC1812" i="1"/>
  <c r="AB1812" i="1" s="1"/>
  <c r="AC1813" i="1"/>
  <c r="AB1813" i="1" s="1"/>
  <c r="AC1814" i="1"/>
  <c r="AB1814" i="1" s="1"/>
  <c r="AC1815" i="1"/>
  <c r="AB1815" i="1" s="1"/>
  <c r="AC1816" i="1"/>
  <c r="AB1816" i="1" s="1"/>
  <c r="AC1817" i="1"/>
  <c r="AB1817" i="1" s="1"/>
  <c r="AC1818" i="1"/>
  <c r="AB1818" i="1" s="1"/>
  <c r="AC1819" i="1"/>
  <c r="AB1819" i="1" s="1"/>
  <c r="AC1820" i="1"/>
  <c r="AB1820" i="1" s="1"/>
  <c r="AC1821" i="1"/>
  <c r="AB1821" i="1" s="1"/>
  <c r="AC1822" i="1"/>
  <c r="AB1822" i="1" s="1"/>
  <c r="AC1823" i="1"/>
  <c r="AB1823" i="1" s="1"/>
  <c r="AC1824" i="1"/>
  <c r="AB1824" i="1" s="1"/>
  <c r="AC1825" i="1"/>
  <c r="AB1825" i="1" s="1"/>
  <c r="AC1826" i="1"/>
  <c r="AB1826" i="1" s="1"/>
  <c r="AC1827" i="1"/>
  <c r="AB1827" i="1" s="1"/>
  <c r="AC1828" i="1"/>
  <c r="AB1828" i="1" s="1"/>
  <c r="AC1829" i="1"/>
  <c r="AB1829" i="1" s="1"/>
  <c r="AC1830" i="1"/>
  <c r="AB1830" i="1" s="1"/>
  <c r="AC1831" i="1"/>
  <c r="AB1831" i="1" s="1"/>
  <c r="AC1832" i="1"/>
  <c r="AB1832" i="1" s="1"/>
  <c r="AC1833" i="1"/>
  <c r="AB1833" i="1" s="1"/>
  <c r="AC1834" i="1"/>
  <c r="AB1834" i="1" s="1"/>
  <c r="AC1835" i="1"/>
  <c r="AB1835" i="1" s="1"/>
  <c r="AC1836" i="1"/>
  <c r="AB1836" i="1" s="1"/>
  <c r="AC1837" i="1"/>
  <c r="AB1837" i="1" s="1"/>
  <c r="AC1838" i="1"/>
  <c r="AB1838" i="1" s="1"/>
  <c r="AC1839" i="1"/>
  <c r="AB1839" i="1" s="1"/>
  <c r="AC1840" i="1"/>
  <c r="AB1840" i="1" s="1"/>
  <c r="AC1841" i="1"/>
  <c r="AB1841" i="1" s="1"/>
  <c r="AC1842" i="1"/>
  <c r="AB1842" i="1" s="1"/>
  <c r="AC1843" i="1"/>
  <c r="AB1843" i="1" s="1"/>
  <c r="AC1844" i="1"/>
  <c r="AB1844" i="1" s="1"/>
  <c r="AC1845" i="1"/>
  <c r="AB1845" i="1" s="1"/>
  <c r="AC1846" i="1"/>
  <c r="AB1846" i="1" s="1"/>
  <c r="AC1847" i="1"/>
  <c r="AB1847" i="1" s="1"/>
  <c r="AC1848" i="1"/>
  <c r="AB1848" i="1" s="1"/>
  <c r="AC1849" i="1"/>
  <c r="AB1849" i="1" s="1"/>
  <c r="AC1850" i="1"/>
  <c r="AB1850" i="1" s="1"/>
  <c r="AC1851" i="1"/>
  <c r="AB1851" i="1" s="1"/>
  <c r="AC1852" i="1"/>
  <c r="AB1852" i="1" s="1"/>
  <c r="AC1853" i="1"/>
  <c r="AB1853" i="1" s="1"/>
  <c r="AC1854" i="1"/>
  <c r="AB1854" i="1" s="1"/>
  <c r="AC1855" i="1"/>
  <c r="AB1855" i="1" s="1"/>
  <c r="AC1856" i="1"/>
  <c r="AB1856" i="1" s="1"/>
  <c r="AC1857" i="1"/>
  <c r="AB1857" i="1" s="1"/>
  <c r="AC1858" i="1"/>
  <c r="AB1858" i="1" s="1"/>
  <c r="AC1859" i="1"/>
  <c r="AB1859" i="1" s="1"/>
  <c r="AC1860" i="1"/>
  <c r="AB1860" i="1" s="1"/>
  <c r="AC1861" i="1"/>
  <c r="AB1861" i="1" s="1"/>
  <c r="AC1862" i="1"/>
  <c r="AB1862" i="1" s="1"/>
  <c r="AC1863" i="1"/>
  <c r="AB1863" i="1" s="1"/>
  <c r="AC1864" i="1"/>
  <c r="AB1864" i="1" s="1"/>
  <c r="AC1865" i="1"/>
  <c r="AB1865" i="1" s="1"/>
  <c r="AC1866" i="1"/>
  <c r="AB1866" i="1" s="1"/>
  <c r="AC1867" i="1"/>
  <c r="AB1867" i="1" s="1"/>
  <c r="AC1868" i="1"/>
  <c r="AB1868" i="1" s="1"/>
  <c r="AC1869" i="1"/>
  <c r="AB1869" i="1" s="1"/>
  <c r="AC1870" i="1"/>
  <c r="AB1870" i="1" s="1"/>
  <c r="AC1871" i="1"/>
  <c r="AB1871" i="1" s="1"/>
  <c r="AC1872" i="1"/>
  <c r="AB1872" i="1" s="1"/>
  <c r="AC1873" i="1"/>
  <c r="AB1873" i="1" s="1"/>
  <c r="AC1874" i="1"/>
  <c r="AB1874" i="1" s="1"/>
  <c r="AC1875" i="1"/>
  <c r="AB1875" i="1" s="1"/>
  <c r="AC1876" i="1"/>
  <c r="AB1876" i="1" s="1"/>
  <c r="AC1877" i="1"/>
  <c r="AB1877" i="1" s="1"/>
  <c r="AC1878" i="1"/>
  <c r="AB1878" i="1" s="1"/>
  <c r="AC1879" i="1"/>
  <c r="AB1879" i="1" s="1"/>
  <c r="AC1880" i="1"/>
  <c r="AB1880" i="1" s="1"/>
  <c r="AC1881" i="1"/>
  <c r="AB1881" i="1" s="1"/>
  <c r="AC1882" i="1"/>
  <c r="AB1882" i="1" s="1"/>
  <c r="AC1883" i="1"/>
  <c r="AB1883" i="1" s="1"/>
  <c r="AC1884" i="1"/>
  <c r="AB1884" i="1" s="1"/>
  <c r="AC1885" i="1"/>
  <c r="AB1885" i="1" s="1"/>
  <c r="AC1886" i="1"/>
  <c r="AB1886" i="1" s="1"/>
  <c r="AC1887" i="1"/>
  <c r="AB1887" i="1" s="1"/>
  <c r="AC1888" i="1"/>
  <c r="AB1888" i="1" s="1"/>
  <c r="AC1889" i="1"/>
  <c r="AB1889" i="1" s="1"/>
  <c r="AC1890" i="1"/>
  <c r="AB1890" i="1" s="1"/>
  <c r="AC1891" i="1"/>
  <c r="AB1891" i="1" s="1"/>
  <c r="AC1892" i="1"/>
  <c r="AB1892" i="1" s="1"/>
  <c r="AC1893" i="1"/>
  <c r="AB1893" i="1" s="1"/>
  <c r="AC1894" i="1"/>
  <c r="AB1894" i="1" s="1"/>
  <c r="AC1895" i="1"/>
  <c r="AB1895" i="1" s="1"/>
  <c r="AC1896" i="1"/>
  <c r="AB1896" i="1" s="1"/>
  <c r="AC1897" i="1"/>
  <c r="AB1897" i="1" s="1"/>
  <c r="AC1898" i="1"/>
  <c r="AB1898" i="1" s="1"/>
  <c r="AC1899" i="1"/>
  <c r="AB1899" i="1" s="1"/>
  <c r="AC1900" i="1"/>
  <c r="AB1900" i="1" s="1"/>
  <c r="AC1901" i="1"/>
  <c r="AB1901" i="1" s="1"/>
  <c r="AC1902" i="1"/>
  <c r="AB1902" i="1" s="1"/>
  <c r="AC1903" i="1"/>
  <c r="AB1903" i="1" s="1"/>
  <c r="AC1904" i="1"/>
  <c r="AB1904" i="1" s="1"/>
  <c r="AC1905" i="1"/>
  <c r="AB1905" i="1" s="1"/>
  <c r="AC1906" i="1"/>
  <c r="AB1906" i="1" s="1"/>
  <c r="AC1907" i="1"/>
  <c r="AB1907" i="1" s="1"/>
  <c r="AC1908" i="1"/>
  <c r="AB1908" i="1" s="1"/>
  <c r="AC1909" i="1"/>
  <c r="AB1909" i="1" s="1"/>
  <c r="AC1910" i="1"/>
  <c r="AB1910" i="1" s="1"/>
  <c r="AC1911" i="1"/>
  <c r="AB1911" i="1" s="1"/>
  <c r="AC1912" i="1"/>
  <c r="AB1912" i="1" s="1"/>
  <c r="AC1913" i="1"/>
  <c r="AB1913" i="1" s="1"/>
  <c r="AC1914" i="1"/>
  <c r="AB1914" i="1" s="1"/>
  <c r="AC1915" i="1"/>
  <c r="AB1915" i="1" s="1"/>
  <c r="AC1916" i="1"/>
  <c r="AB1916" i="1" s="1"/>
  <c r="AC1917" i="1"/>
  <c r="AB1917" i="1" s="1"/>
  <c r="AC1918" i="1"/>
  <c r="AB1918" i="1" s="1"/>
  <c r="AC1919" i="1"/>
  <c r="AB1919" i="1" s="1"/>
  <c r="AC1920" i="1"/>
  <c r="AB1920" i="1" s="1"/>
  <c r="AC1921" i="1"/>
  <c r="AB1921" i="1" s="1"/>
  <c r="AC1922" i="1"/>
  <c r="AB1922" i="1" s="1"/>
  <c r="AC1923" i="1"/>
  <c r="AB1923" i="1" s="1"/>
  <c r="AC1924" i="1"/>
  <c r="AB1924" i="1" s="1"/>
  <c r="AC1925" i="1"/>
  <c r="AB1925" i="1" s="1"/>
  <c r="AC1926" i="1"/>
  <c r="AB1926" i="1" s="1"/>
  <c r="AC1927" i="1"/>
  <c r="AB1927" i="1" s="1"/>
  <c r="AC1928" i="1"/>
  <c r="AB1928" i="1" s="1"/>
  <c r="AC1929" i="1"/>
  <c r="AB1929" i="1" s="1"/>
  <c r="AC1930" i="1"/>
  <c r="AB1930" i="1" s="1"/>
  <c r="AC1931" i="1"/>
  <c r="AB1931" i="1" s="1"/>
  <c r="AC1932" i="1"/>
  <c r="AB1932" i="1" s="1"/>
  <c r="AC1933" i="1"/>
  <c r="AB1933" i="1" s="1"/>
  <c r="AC1934" i="1"/>
  <c r="AB1934" i="1" s="1"/>
  <c r="AC1935" i="1"/>
  <c r="AB1935" i="1" s="1"/>
  <c r="AC1936" i="1"/>
  <c r="AB1936" i="1" s="1"/>
  <c r="AC1937" i="1"/>
  <c r="AB1937" i="1" s="1"/>
  <c r="AC1938" i="1"/>
  <c r="AB1938" i="1" s="1"/>
  <c r="AC1939" i="1"/>
  <c r="AB1939" i="1" s="1"/>
  <c r="AC1940" i="1"/>
  <c r="AB1940" i="1" s="1"/>
  <c r="AC1941" i="1"/>
  <c r="AB1941" i="1" s="1"/>
  <c r="AC1942" i="1"/>
  <c r="AB1942" i="1" s="1"/>
  <c r="AC1943" i="1"/>
  <c r="AB1943" i="1" s="1"/>
  <c r="AC1944" i="1"/>
  <c r="AB1944" i="1" s="1"/>
  <c r="AC1945" i="1"/>
  <c r="AB1945" i="1" s="1"/>
  <c r="AC1946" i="1"/>
  <c r="AB1946" i="1" s="1"/>
  <c r="AC1947" i="1"/>
  <c r="AB1947" i="1" s="1"/>
  <c r="AC1948" i="1"/>
  <c r="AB1948" i="1" s="1"/>
  <c r="AC1949" i="1"/>
  <c r="AB1949" i="1" s="1"/>
  <c r="AC1950" i="1"/>
  <c r="AB1950" i="1" s="1"/>
  <c r="AC1951" i="1"/>
  <c r="AB1951" i="1" s="1"/>
  <c r="AC1952" i="1"/>
  <c r="AB1952" i="1" s="1"/>
  <c r="AC1953" i="1"/>
  <c r="AB1953" i="1" s="1"/>
  <c r="AC1954" i="1"/>
  <c r="AB1954" i="1" s="1"/>
  <c r="AC1955" i="1"/>
  <c r="AB1955" i="1" s="1"/>
  <c r="AC1956" i="1"/>
  <c r="AB1956" i="1" s="1"/>
  <c r="AC1957" i="1"/>
  <c r="AB1957" i="1" s="1"/>
  <c r="AC1958" i="1"/>
  <c r="AB1958" i="1" s="1"/>
  <c r="AC1959" i="1"/>
  <c r="AB1959" i="1" s="1"/>
  <c r="AC1960" i="1"/>
  <c r="AB1960" i="1" s="1"/>
  <c r="AC1961" i="1"/>
  <c r="AB1961" i="1" s="1"/>
  <c r="AC1962" i="1"/>
  <c r="AB1962" i="1" s="1"/>
  <c r="AC1963" i="1"/>
  <c r="AB1963" i="1" s="1"/>
  <c r="AC1964" i="1"/>
  <c r="AB1964" i="1" s="1"/>
  <c r="AC1965" i="1"/>
  <c r="AB1965" i="1" s="1"/>
  <c r="AC1966" i="1"/>
  <c r="AB1966" i="1" s="1"/>
  <c r="AC1967" i="1"/>
  <c r="AB1967" i="1" s="1"/>
  <c r="AC1968" i="1"/>
  <c r="AB1968" i="1" s="1"/>
  <c r="AC1969" i="1"/>
  <c r="AB1969" i="1" s="1"/>
  <c r="AC1970" i="1"/>
  <c r="AB1970" i="1" s="1"/>
  <c r="AC1971" i="1"/>
  <c r="AB1971" i="1" s="1"/>
  <c r="AC1972" i="1"/>
  <c r="AB1972" i="1" s="1"/>
  <c r="AC1973" i="1"/>
  <c r="AB1973" i="1" s="1"/>
  <c r="AC1974" i="1"/>
  <c r="AB1974" i="1" s="1"/>
  <c r="AC1975" i="1"/>
  <c r="AB1975" i="1" s="1"/>
  <c r="AC1976" i="1"/>
  <c r="AB1976" i="1" s="1"/>
  <c r="AC1977" i="1"/>
  <c r="AB1977" i="1" s="1"/>
  <c r="AC1978" i="1"/>
  <c r="AB1978" i="1" s="1"/>
  <c r="AC1979" i="1"/>
  <c r="AB1979" i="1" s="1"/>
  <c r="AC1980" i="1"/>
  <c r="AB1980" i="1" s="1"/>
  <c r="AC1981" i="1"/>
  <c r="AB1981" i="1" s="1"/>
  <c r="AC1982" i="1"/>
  <c r="AB1982" i="1" s="1"/>
  <c r="AC1983" i="1"/>
  <c r="AB1983" i="1" s="1"/>
  <c r="AC1984" i="1"/>
  <c r="AB1984" i="1" s="1"/>
  <c r="AC1985" i="1"/>
  <c r="AB1985" i="1" s="1"/>
  <c r="AC1986" i="1"/>
  <c r="AB1986" i="1" s="1"/>
  <c r="AC1987" i="1"/>
  <c r="AB1987" i="1" s="1"/>
  <c r="AC1988" i="1"/>
  <c r="AB1988" i="1" s="1"/>
  <c r="AC1989" i="1"/>
  <c r="AB1989" i="1" s="1"/>
  <c r="AC1990" i="1"/>
  <c r="AB1990" i="1" s="1"/>
  <c r="AC1991" i="1"/>
  <c r="AB1991" i="1" s="1"/>
  <c r="AC1992" i="1"/>
  <c r="AB1992" i="1" s="1"/>
  <c r="AC1993" i="1"/>
  <c r="AB1993" i="1" s="1"/>
  <c r="AC1994" i="1"/>
  <c r="AB1994" i="1" s="1"/>
  <c r="AC1995" i="1"/>
  <c r="AB1995" i="1" s="1"/>
  <c r="AC1996" i="1"/>
  <c r="AB1996" i="1" s="1"/>
  <c r="AC1997" i="1"/>
  <c r="AB1997" i="1" s="1"/>
  <c r="AC1998" i="1"/>
  <c r="AB1998" i="1" s="1"/>
  <c r="AC1999" i="1"/>
  <c r="AB1999" i="1" s="1"/>
  <c r="AC2000" i="1"/>
  <c r="AB2000" i="1" s="1"/>
  <c r="AC2001" i="1"/>
  <c r="AB2001" i="1" s="1"/>
  <c r="AC2002" i="1"/>
  <c r="AB2002" i="1" s="1"/>
  <c r="AC2003" i="1"/>
  <c r="AB2003" i="1" s="1"/>
  <c r="AC2004" i="1"/>
  <c r="AB2004" i="1" s="1"/>
  <c r="AC2005" i="1"/>
  <c r="AB2005" i="1" s="1"/>
  <c r="AC2006" i="1"/>
  <c r="AB2006" i="1" s="1"/>
  <c r="AC2007" i="1"/>
  <c r="AB2007" i="1" s="1"/>
  <c r="AC2008" i="1"/>
  <c r="AB2008" i="1" s="1"/>
  <c r="AC2009" i="1"/>
  <c r="AB2009" i="1" s="1"/>
  <c r="AC2010" i="1"/>
  <c r="AB2010" i="1" s="1"/>
  <c r="AC2011" i="1"/>
  <c r="AB2011" i="1" s="1"/>
  <c r="AC2012" i="1"/>
  <c r="AB2012" i="1" s="1"/>
  <c r="AC2013" i="1"/>
  <c r="AB2013" i="1" s="1"/>
  <c r="AC2014" i="1"/>
  <c r="AB2014" i="1" s="1"/>
  <c r="AC2015" i="1"/>
  <c r="AB2015" i="1" s="1"/>
  <c r="AC2016" i="1"/>
  <c r="AB2016" i="1" s="1"/>
  <c r="AC2017" i="1"/>
  <c r="AB2017" i="1" s="1"/>
  <c r="AC2018" i="1"/>
  <c r="AB2018" i="1" s="1"/>
  <c r="AC2019" i="1"/>
  <c r="AB2019" i="1" s="1"/>
  <c r="AC2020" i="1"/>
  <c r="AB2020" i="1" s="1"/>
  <c r="AC2021" i="1"/>
  <c r="AB2021" i="1" s="1"/>
  <c r="AC2022" i="1"/>
  <c r="AB2022" i="1" s="1"/>
  <c r="AC2023" i="1"/>
  <c r="AB2023" i="1" s="1"/>
  <c r="AC2024" i="1"/>
  <c r="AB2024" i="1" s="1"/>
  <c r="AC2025" i="1"/>
  <c r="AB2025" i="1" s="1"/>
  <c r="AC2026" i="1"/>
  <c r="AB2026" i="1" s="1"/>
  <c r="AC2027" i="1"/>
  <c r="AB2027" i="1" s="1"/>
  <c r="AC2028" i="1"/>
  <c r="AB2028" i="1" s="1"/>
  <c r="AC2029" i="1"/>
  <c r="AB2029" i="1" s="1"/>
  <c r="AC2030" i="1"/>
  <c r="AB2030" i="1" s="1"/>
  <c r="AC2031" i="1"/>
  <c r="AB2031" i="1" s="1"/>
  <c r="AC2032" i="1"/>
  <c r="AB2032" i="1" s="1"/>
  <c r="AC2033" i="1"/>
  <c r="AB2033" i="1" s="1"/>
  <c r="AC2034" i="1"/>
  <c r="AB2034" i="1" s="1"/>
  <c r="AC2035" i="1"/>
  <c r="AB2035" i="1" s="1"/>
  <c r="AC2036" i="1"/>
  <c r="AB2036" i="1" s="1"/>
  <c r="AC2037" i="1"/>
  <c r="AB2037" i="1" s="1"/>
  <c r="AC2038" i="1"/>
  <c r="AB2038" i="1" s="1"/>
  <c r="AC2039" i="1"/>
  <c r="AB2039" i="1" s="1"/>
  <c r="AC2040" i="1"/>
  <c r="AB2040" i="1" s="1"/>
  <c r="AC2041" i="1"/>
  <c r="AB2041" i="1" s="1"/>
  <c r="AC2042" i="1"/>
  <c r="AB2042" i="1" s="1"/>
  <c r="AC2043" i="1"/>
  <c r="AB2043" i="1" s="1"/>
  <c r="AC2044" i="1"/>
  <c r="AB2044" i="1" s="1"/>
  <c r="AC2045" i="1"/>
  <c r="AB2045" i="1" s="1"/>
  <c r="AC2046" i="1"/>
  <c r="AB2046" i="1" s="1"/>
  <c r="AC2047" i="1"/>
  <c r="AB2047" i="1" s="1"/>
  <c r="AC2048" i="1"/>
  <c r="AB2048" i="1" s="1"/>
  <c r="AC2049" i="1"/>
  <c r="AB2049" i="1" s="1"/>
  <c r="AC2050" i="1"/>
  <c r="AB2050" i="1" s="1"/>
  <c r="AC2051" i="1"/>
  <c r="AB2051" i="1" s="1"/>
  <c r="AC2052" i="1"/>
  <c r="AB2052" i="1" s="1"/>
  <c r="AC2053" i="1"/>
  <c r="AB2053" i="1" s="1"/>
  <c r="AC2054" i="1"/>
  <c r="AB2054" i="1" s="1"/>
  <c r="AC2055" i="1"/>
  <c r="AB2055" i="1" s="1"/>
  <c r="AC2056" i="1"/>
  <c r="AB2056" i="1" s="1"/>
  <c r="AC2057" i="1"/>
  <c r="AB2057" i="1" s="1"/>
  <c r="AC2058" i="1"/>
  <c r="AB2058" i="1" s="1"/>
  <c r="AC2059" i="1"/>
  <c r="AB2059" i="1" s="1"/>
  <c r="AC2060" i="1"/>
  <c r="AB2060" i="1" s="1"/>
  <c r="AC2061" i="1"/>
  <c r="AB2061" i="1" s="1"/>
  <c r="AC2062" i="1"/>
  <c r="AB2062" i="1" s="1"/>
  <c r="AC2063" i="1"/>
  <c r="AB2063" i="1" s="1"/>
  <c r="AC2064" i="1"/>
  <c r="AB2064" i="1" s="1"/>
  <c r="AC2065" i="1"/>
  <c r="AB2065" i="1" s="1"/>
  <c r="AC2066" i="1"/>
  <c r="AB2066" i="1" s="1"/>
  <c r="AC2067" i="1"/>
  <c r="AB2067" i="1" s="1"/>
  <c r="AC2068" i="1"/>
  <c r="AB2068" i="1" s="1"/>
  <c r="AC2069" i="1"/>
  <c r="AB2069" i="1" s="1"/>
  <c r="AC2070" i="1"/>
  <c r="AB2070" i="1" s="1"/>
  <c r="AC2071" i="1"/>
  <c r="AB2071" i="1" s="1"/>
  <c r="AC2072" i="1"/>
  <c r="AB2072" i="1" s="1"/>
  <c r="AC2073" i="1"/>
  <c r="AB2073" i="1" s="1"/>
  <c r="AC2074" i="1"/>
  <c r="AB2074" i="1" s="1"/>
  <c r="AC2075" i="1"/>
  <c r="AB2075" i="1" s="1"/>
  <c r="AC2076" i="1"/>
  <c r="AB2076" i="1" s="1"/>
  <c r="AC2077" i="1"/>
  <c r="AB2077" i="1" s="1"/>
  <c r="AC2078" i="1"/>
  <c r="AB2078" i="1" s="1"/>
  <c r="AC2079" i="1"/>
  <c r="AB2079" i="1" s="1"/>
  <c r="AC2080" i="1"/>
  <c r="AB2080" i="1" s="1"/>
  <c r="AC2081" i="1"/>
  <c r="AB2081" i="1" s="1"/>
  <c r="AC2082" i="1"/>
  <c r="AB2082" i="1" s="1"/>
  <c r="AC2083" i="1"/>
  <c r="AB2083" i="1" s="1"/>
  <c r="AC2084" i="1"/>
  <c r="AB2084" i="1" s="1"/>
  <c r="AC2085" i="1"/>
  <c r="AB2085" i="1" s="1"/>
  <c r="AC2086" i="1"/>
  <c r="AB2086" i="1" s="1"/>
  <c r="AC2087" i="1"/>
  <c r="AB2087" i="1" s="1"/>
  <c r="AC2088" i="1"/>
  <c r="AB2088" i="1" s="1"/>
  <c r="AC2089" i="1"/>
  <c r="AB2089" i="1" s="1"/>
  <c r="AC2090" i="1"/>
  <c r="AB2090" i="1" s="1"/>
  <c r="AC2091" i="1"/>
  <c r="AB2091" i="1" s="1"/>
  <c r="AC2092" i="1"/>
  <c r="AB2092" i="1" s="1"/>
  <c r="AC2093" i="1"/>
  <c r="AB2093" i="1" s="1"/>
  <c r="AC2094" i="1"/>
  <c r="AB2094" i="1" s="1"/>
  <c r="AC2095" i="1"/>
  <c r="AB2095" i="1" s="1"/>
  <c r="AC2096" i="1"/>
  <c r="AB2096" i="1" s="1"/>
  <c r="AC2097" i="1"/>
  <c r="AB2097" i="1" s="1"/>
  <c r="AC2098" i="1"/>
  <c r="AB2098" i="1" s="1"/>
  <c r="AC2099" i="1"/>
  <c r="AB2099" i="1" s="1"/>
  <c r="AC2100" i="1"/>
  <c r="AB2100" i="1" s="1"/>
  <c r="AC2101" i="1"/>
  <c r="AB2101" i="1" s="1"/>
  <c r="AC2102" i="1"/>
  <c r="AB2102" i="1" s="1"/>
  <c r="AC2103" i="1"/>
  <c r="AB2103" i="1" s="1"/>
  <c r="AC2104" i="1"/>
  <c r="AB2104" i="1" s="1"/>
  <c r="AC2105" i="1"/>
  <c r="AB2105" i="1" s="1"/>
  <c r="AC2106" i="1"/>
  <c r="AB2106" i="1" s="1"/>
  <c r="AC2107" i="1"/>
  <c r="AB2107" i="1" s="1"/>
  <c r="AC2108" i="1"/>
  <c r="AB2108" i="1" s="1"/>
  <c r="AC2109" i="1"/>
  <c r="AB2109" i="1" s="1"/>
  <c r="AC2110" i="1"/>
  <c r="AB2110" i="1" s="1"/>
  <c r="AC2111" i="1"/>
  <c r="AB2111" i="1" s="1"/>
  <c r="AC2112" i="1"/>
  <c r="AB2112" i="1" s="1"/>
  <c r="AC2113" i="1"/>
  <c r="AB2113" i="1" s="1"/>
  <c r="AC2114" i="1"/>
  <c r="AB2114" i="1" s="1"/>
  <c r="AC2115" i="1"/>
  <c r="AB2115" i="1" s="1"/>
  <c r="AC2116" i="1"/>
  <c r="AB2116" i="1" s="1"/>
  <c r="AC2117" i="1"/>
  <c r="AB2117" i="1" s="1"/>
  <c r="AC2118" i="1"/>
  <c r="AB2118" i="1" s="1"/>
  <c r="AC2119" i="1"/>
  <c r="AB2119" i="1" s="1"/>
  <c r="AC2120" i="1"/>
  <c r="AB2120" i="1" s="1"/>
  <c r="AC2121" i="1"/>
  <c r="AB2121" i="1" s="1"/>
  <c r="AC2122" i="1"/>
  <c r="AB2122" i="1" s="1"/>
  <c r="AC2123" i="1"/>
  <c r="AB2123" i="1" s="1"/>
  <c r="AC2124" i="1"/>
  <c r="AB2124" i="1" s="1"/>
  <c r="AC2125" i="1"/>
  <c r="AB2125" i="1" s="1"/>
  <c r="AC2126" i="1"/>
  <c r="AB2126" i="1" s="1"/>
  <c r="AC2127" i="1"/>
  <c r="AB2127" i="1" s="1"/>
  <c r="AC2128" i="1"/>
  <c r="AB2128" i="1" s="1"/>
  <c r="AC2129" i="1"/>
  <c r="AB2129" i="1" s="1"/>
  <c r="AC2130" i="1"/>
  <c r="AB2130" i="1" s="1"/>
  <c r="AC2131" i="1"/>
  <c r="AB2131" i="1" s="1"/>
  <c r="AC2132" i="1"/>
  <c r="AB2132" i="1" s="1"/>
  <c r="AC2133" i="1"/>
  <c r="AB2133" i="1" s="1"/>
  <c r="AC2134" i="1"/>
  <c r="AB2134" i="1" s="1"/>
  <c r="AC2135" i="1"/>
  <c r="AB2135" i="1" s="1"/>
  <c r="AC2136" i="1"/>
  <c r="AB2136" i="1" s="1"/>
  <c r="AC2137" i="1"/>
  <c r="AB2137" i="1" s="1"/>
  <c r="AC2138" i="1"/>
  <c r="AB2138" i="1" s="1"/>
  <c r="AC2139" i="1"/>
  <c r="AB2139" i="1" s="1"/>
  <c r="AC2140" i="1"/>
  <c r="AB2140" i="1" s="1"/>
  <c r="AC2141" i="1"/>
  <c r="AB2141" i="1" s="1"/>
  <c r="AC2142" i="1"/>
  <c r="AB2142" i="1" s="1"/>
  <c r="AC2143" i="1"/>
  <c r="AB2143" i="1" s="1"/>
  <c r="AC2144" i="1"/>
  <c r="AB2144" i="1" s="1"/>
  <c r="AC2145" i="1"/>
  <c r="AB2145" i="1" s="1"/>
  <c r="AC2146" i="1"/>
  <c r="AB2146" i="1" s="1"/>
  <c r="AC2147" i="1"/>
  <c r="AB2147" i="1" s="1"/>
  <c r="AC2148" i="1"/>
  <c r="AB2148" i="1" s="1"/>
  <c r="AC2149" i="1"/>
  <c r="AB2149" i="1" s="1"/>
  <c r="AC2150" i="1"/>
  <c r="AB2150" i="1" s="1"/>
  <c r="AC2151" i="1"/>
  <c r="AB2151" i="1" s="1"/>
  <c r="AC2152" i="1"/>
  <c r="AB2152" i="1" s="1"/>
  <c r="AC2153" i="1"/>
  <c r="AB2153" i="1" s="1"/>
  <c r="AC2154" i="1"/>
  <c r="AB2154" i="1" s="1"/>
  <c r="AC2155" i="1"/>
  <c r="AB2155" i="1" s="1"/>
  <c r="AC2156" i="1"/>
  <c r="AB2156" i="1" s="1"/>
  <c r="AC2157" i="1"/>
  <c r="AB2157" i="1" s="1"/>
  <c r="AC2158" i="1"/>
  <c r="AB2158" i="1" s="1"/>
  <c r="AC2159" i="1"/>
  <c r="AB2159" i="1" s="1"/>
  <c r="AC2160" i="1"/>
  <c r="AB2160" i="1" s="1"/>
  <c r="AC2161" i="1"/>
  <c r="AB2161" i="1" s="1"/>
  <c r="AC2162" i="1"/>
  <c r="AB2162" i="1" s="1"/>
  <c r="AC2163" i="1"/>
  <c r="AB2163" i="1" s="1"/>
  <c r="AC2164" i="1"/>
  <c r="AB2164" i="1" s="1"/>
  <c r="AC2165" i="1"/>
  <c r="AB2165" i="1" s="1"/>
  <c r="AC2166" i="1"/>
  <c r="AB2166" i="1" s="1"/>
  <c r="AC2167" i="1"/>
  <c r="AB2167" i="1" s="1"/>
  <c r="AC2168" i="1"/>
  <c r="AB2168" i="1" s="1"/>
  <c r="AC2169" i="1"/>
  <c r="AB2169" i="1" s="1"/>
  <c r="AC2170" i="1"/>
  <c r="AB2170" i="1" s="1"/>
  <c r="AC2171" i="1"/>
  <c r="AB2171" i="1" s="1"/>
  <c r="AC2172" i="1"/>
  <c r="AB2172" i="1" s="1"/>
  <c r="AC2173" i="1"/>
  <c r="AB2173" i="1" s="1"/>
  <c r="AC2174" i="1"/>
  <c r="AB2174" i="1" s="1"/>
  <c r="AC2175" i="1"/>
  <c r="AB2175" i="1" s="1"/>
  <c r="AC2176" i="1"/>
  <c r="AB2176" i="1" s="1"/>
  <c r="AC2177" i="1"/>
  <c r="AB2177" i="1" s="1"/>
  <c r="AC2178" i="1"/>
  <c r="AB2178" i="1" s="1"/>
  <c r="AC2179" i="1"/>
  <c r="AB2179" i="1" s="1"/>
  <c r="AC2180" i="1"/>
  <c r="AB2180" i="1" s="1"/>
  <c r="AC2181" i="1"/>
  <c r="AB2181" i="1" s="1"/>
  <c r="AC2182" i="1"/>
  <c r="AB2182" i="1" s="1"/>
  <c r="AC2183" i="1"/>
  <c r="AB2183" i="1" s="1"/>
  <c r="AC2184" i="1"/>
  <c r="AB2184" i="1" s="1"/>
  <c r="AC2185" i="1"/>
  <c r="AB2185" i="1" s="1"/>
  <c r="AC2186" i="1"/>
  <c r="AB2186" i="1" s="1"/>
  <c r="AC2187" i="1"/>
  <c r="AB2187" i="1" s="1"/>
  <c r="AC2188" i="1"/>
  <c r="AB2188" i="1" s="1"/>
  <c r="AC2189" i="1"/>
  <c r="AB2189" i="1" s="1"/>
  <c r="AC2190" i="1"/>
  <c r="AB2190" i="1" s="1"/>
  <c r="AC2191" i="1"/>
  <c r="AB2191" i="1" s="1"/>
  <c r="AC2192" i="1"/>
  <c r="AB2192" i="1" s="1"/>
  <c r="AC2193" i="1"/>
  <c r="AB2193" i="1" s="1"/>
  <c r="AC2194" i="1"/>
  <c r="AB2194" i="1" s="1"/>
  <c r="AC2195" i="1"/>
  <c r="AB2195" i="1" s="1"/>
  <c r="AC2196" i="1"/>
  <c r="AB2196" i="1" s="1"/>
  <c r="AC2197" i="1"/>
  <c r="AB2197" i="1" s="1"/>
  <c r="AC2198" i="1"/>
  <c r="AB2198" i="1" s="1"/>
  <c r="AC2199" i="1"/>
  <c r="AB2199" i="1" s="1"/>
  <c r="AC2200" i="1"/>
  <c r="AB2200" i="1" s="1"/>
  <c r="AC2201" i="1"/>
  <c r="AB2201" i="1" s="1"/>
  <c r="AC2202" i="1"/>
  <c r="AB2202" i="1" s="1"/>
  <c r="AC2203" i="1"/>
  <c r="AB2203" i="1" s="1"/>
  <c r="AC2204" i="1"/>
  <c r="AB2204" i="1" s="1"/>
  <c r="AC2205" i="1"/>
  <c r="AB2205" i="1" s="1"/>
  <c r="AC2206" i="1"/>
  <c r="AB2206" i="1" s="1"/>
  <c r="AC2207" i="1"/>
  <c r="AB2207" i="1" s="1"/>
  <c r="AC2208" i="1"/>
  <c r="AB2208" i="1" s="1"/>
  <c r="AC2209" i="1"/>
  <c r="AB2209" i="1" s="1"/>
  <c r="AC2210" i="1"/>
  <c r="AB2210" i="1" s="1"/>
  <c r="AC2211" i="1"/>
  <c r="AB2211" i="1" s="1"/>
  <c r="AC2212" i="1"/>
  <c r="AB2212" i="1" s="1"/>
  <c r="AC2213" i="1"/>
  <c r="AB2213" i="1" s="1"/>
  <c r="AC2214" i="1"/>
  <c r="AB2214" i="1" s="1"/>
  <c r="AC2215" i="1"/>
  <c r="AB2215" i="1" s="1"/>
  <c r="AC2216" i="1"/>
  <c r="AB2216" i="1" s="1"/>
  <c r="AC2217" i="1"/>
  <c r="AB2217" i="1" s="1"/>
  <c r="AC2218" i="1"/>
  <c r="AB2218" i="1" s="1"/>
  <c r="AC2219" i="1"/>
  <c r="AB2219" i="1" s="1"/>
  <c r="AC2220" i="1"/>
  <c r="AB2220" i="1" s="1"/>
  <c r="AC2221" i="1"/>
  <c r="AB2221" i="1" s="1"/>
  <c r="AC2222" i="1"/>
  <c r="AB2222" i="1" s="1"/>
  <c r="AC2223" i="1"/>
  <c r="AB2223" i="1" s="1"/>
  <c r="AC2224" i="1"/>
  <c r="AB2224" i="1" s="1"/>
  <c r="AC2225" i="1"/>
  <c r="AB2225" i="1" s="1"/>
  <c r="AC2226" i="1"/>
  <c r="AB2226" i="1" s="1"/>
  <c r="AC2227" i="1"/>
  <c r="AB2227" i="1" s="1"/>
  <c r="AC2228" i="1"/>
  <c r="AB2228" i="1" s="1"/>
  <c r="AC2229" i="1"/>
  <c r="AB2229" i="1" s="1"/>
  <c r="AC2230" i="1"/>
  <c r="AB2230" i="1" s="1"/>
  <c r="AC2231" i="1"/>
  <c r="AB2231" i="1" s="1"/>
  <c r="AC2232" i="1"/>
  <c r="AB2232" i="1" s="1"/>
  <c r="AC2233" i="1"/>
  <c r="AB2233" i="1" s="1"/>
  <c r="AC2234" i="1"/>
  <c r="AB2234" i="1" s="1"/>
  <c r="AC2235" i="1"/>
  <c r="AB2235" i="1" s="1"/>
  <c r="AC2236" i="1"/>
  <c r="AB2236" i="1" s="1"/>
  <c r="AC2237" i="1"/>
  <c r="AB2237" i="1" s="1"/>
  <c r="AC2238" i="1"/>
  <c r="AB2238" i="1" s="1"/>
  <c r="AC2239" i="1"/>
  <c r="AB2239" i="1" s="1"/>
  <c r="AC2240" i="1"/>
  <c r="AB2240" i="1" s="1"/>
  <c r="AC2241" i="1"/>
  <c r="AB2241" i="1" s="1"/>
  <c r="AC2242" i="1"/>
  <c r="AB2242" i="1" s="1"/>
  <c r="AC2243" i="1"/>
  <c r="AB2243" i="1" s="1"/>
  <c r="AC2244" i="1"/>
  <c r="AB2244" i="1" s="1"/>
  <c r="AC2245" i="1"/>
  <c r="AB2245" i="1" s="1"/>
  <c r="AC2246" i="1"/>
  <c r="AB2246" i="1" s="1"/>
  <c r="AC2247" i="1"/>
  <c r="AB2247" i="1" s="1"/>
  <c r="AC2248" i="1"/>
  <c r="AB2248" i="1" s="1"/>
  <c r="AC2249" i="1"/>
  <c r="AB2249" i="1" s="1"/>
  <c r="AC2250" i="1"/>
  <c r="AB2250" i="1" s="1"/>
  <c r="AC2251" i="1"/>
  <c r="AB2251" i="1" s="1"/>
  <c r="AC2252" i="1"/>
  <c r="AB2252" i="1" s="1"/>
  <c r="AC2253" i="1"/>
  <c r="AB2253" i="1" s="1"/>
  <c r="AC2254" i="1"/>
  <c r="AB2254" i="1" s="1"/>
  <c r="AC2255" i="1"/>
  <c r="AB2255" i="1" s="1"/>
  <c r="AC2256" i="1"/>
  <c r="AB2256" i="1" s="1"/>
  <c r="AC2257" i="1"/>
  <c r="AB2257" i="1" s="1"/>
  <c r="AC2258" i="1"/>
  <c r="AB2258" i="1" s="1"/>
  <c r="AC2259" i="1"/>
  <c r="AB2259" i="1" s="1"/>
  <c r="AC2260" i="1"/>
  <c r="AB2260" i="1" s="1"/>
  <c r="AC2261" i="1"/>
  <c r="AB2261" i="1" s="1"/>
  <c r="AC2262" i="1"/>
  <c r="AB2262" i="1" s="1"/>
  <c r="AC2263" i="1"/>
  <c r="AB2263" i="1" s="1"/>
  <c r="AC2264" i="1"/>
  <c r="AB2264" i="1" s="1"/>
  <c r="AC2265" i="1"/>
  <c r="AB2265" i="1" s="1"/>
  <c r="AC2266" i="1"/>
  <c r="AB2266" i="1" s="1"/>
  <c r="AC2267" i="1"/>
  <c r="AB2267" i="1" s="1"/>
  <c r="AC2268" i="1"/>
  <c r="AB2268" i="1" s="1"/>
  <c r="AC2269" i="1"/>
  <c r="AB2269" i="1" s="1"/>
  <c r="AC2270" i="1"/>
  <c r="AB2270" i="1" s="1"/>
  <c r="AC2271" i="1"/>
  <c r="AB2271" i="1" s="1"/>
  <c r="AC2272" i="1"/>
  <c r="AB2272" i="1" s="1"/>
  <c r="AC2273" i="1"/>
  <c r="AB2273" i="1" s="1"/>
  <c r="AC2274" i="1"/>
  <c r="AB2274" i="1" s="1"/>
  <c r="AC2275" i="1"/>
  <c r="AB2275" i="1" s="1"/>
  <c r="AC2276" i="1"/>
  <c r="AB2276" i="1" s="1"/>
  <c r="AC2277" i="1"/>
  <c r="AB2277" i="1" s="1"/>
  <c r="AC2278" i="1"/>
  <c r="AB2278" i="1" s="1"/>
  <c r="AC2279" i="1"/>
  <c r="AB2279" i="1" s="1"/>
  <c r="AC2280" i="1"/>
  <c r="AB2280" i="1" s="1"/>
  <c r="AC2281" i="1"/>
  <c r="AB2281" i="1" s="1"/>
  <c r="AC2282" i="1"/>
  <c r="AB2282" i="1" s="1"/>
  <c r="AC2283" i="1"/>
  <c r="AB2283" i="1" s="1"/>
  <c r="AC2284" i="1"/>
  <c r="AB2284" i="1" s="1"/>
  <c r="AC2285" i="1"/>
  <c r="AB2285" i="1" s="1"/>
  <c r="AC2286" i="1"/>
  <c r="AB2286" i="1" s="1"/>
  <c r="AC2287" i="1"/>
  <c r="AB2287" i="1" s="1"/>
  <c r="AC2288" i="1"/>
  <c r="AB2288" i="1" s="1"/>
  <c r="AC2289" i="1"/>
  <c r="AB2289" i="1" s="1"/>
  <c r="AC2290" i="1"/>
  <c r="AB2290" i="1" s="1"/>
  <c r="AC2291" i="1"/>
  <c r="AB2291" i="1" s="1"/>
  <c r="AC2292" i="1"/>
  <c r="AB2292" i="1" s="1"/>
  <c r="AC2293" i="1"/>
  <c r="AB2293" i="1" s="1"/>
  <c r="AC2294" i="1"/>
  <c r="AB2294" i="1" s="1"/>
  <c r="AC2295" i="1"/>
  <c r="AB2295" i="1" s="1"/>
  <c r="AC2296" i="1"/>
  <c r="AB2296" i="1" s="1"/>
  <c r="AC2297" i="1"/>
  <c r="AB2297" i="1" s="1"/>
  <c r="AC2298" i="1"/>
  <c r="AB2298" i="1" s="1"/>
  <c r="AC2299" i="1"/>
  <c r="AB2299" i="1" s="1"/>
  <c r="AC2300" i="1"/>
  <c r="AB2300" i="1" s="1"/>
  <c r="AC2301" i="1"/>
  <c r="AB2301" i="1" s="1"/>
  <c r="AC2302" i="1"/>
  <c r="AB2302" i="1" s="1"/>
  <c r="AC2303" i="1"/>
  <c r="AB2303" i="1" s="1"/>
  <c r="AC2304" i="1"/>
  <c r="AB2304" i="1" s="1"/>
  <c r="AC2305" i="1"/>
  <c r="AB2305" i="1" s="1"/>
  <c r="AC2306" i="1"/>
  <c r="AB2306" i="1" s="1"/>
  <c r="AC2307" i="1"/>
  <c r="AB2307" i="1" s="1"/>
  <c r="AC2308" i="1"/>
  <c r="AB2308" i="1" s="1"/>
  <c r="AC2309" i="1"/>
  <c r="AB2309" i="1" s="1"/>
  <c r="AC2310" i="1"/>
  <c r="AB2310" i="1" s="1"/>
  <c r="AC2311" i="1"/>
  <c r="AB2311" i="1" s="1"/>
  <c r="AC2312" i="1"/>
  <c r="AB2312" i="1" s="1"/>
  <c r="AC2313" i="1"/>
  <c r="AB2313" i="1" s="1"/>
  <c r="AC2314" i="1"/>
  <c r="AB2314" i="1" s="1"/>
  <c r="AC2315" i="1"/>
  <c r="AB2315" i="1" s="1"/>
  <c r="AC2316" i="1"/>
  <c r="AB2316" i="1" s="1"/>
  <c r="AC2317" i="1"/>
  <c r="AB2317" i="1" s="1"/>
  <c r="AC2318" i="1"/>
  <c r="AB2318" i="1" s="1"/>
  <c r="AC2319" i="1"/>
  <c r="AB2319" i="1" s="1"/>
  <c r="AC2320" i="1"/>
  <c r="AB2320" i="1" s="1"/>
  <c r="AC2321" i="1"/>
  <c r="AB2321" i="1" s="1"/>
  <c r="AC2322" i="1"/>
  <c r="AB2322" i="1" s="1"/>
  <c r="AC2323" i="1"/>
  <c r="AB2323" i="1" s="1"/>
  <c r="AC2324" i="1"/>
  <c r="AB2324" i="1" s="1"/>
  <c r="AC2325" i="1"/>
  <c r="AB2325" i="1" s="1"/>
  <c r="AC2326" i="1"/>
  <c r="AB2326" i="1" s="1"/>
  <c r="AC2327" i="1"/>
  <c r="AB2327" i="1" s="1"/>
  <c r="AC2328" i="1"/>
  <c r="AB2328" i="1" s="1"/>
  <c r="AC2329" i="1"/>
  <c r="AB2329" i="1" s="1"/>
  <c r="AC2330" i="1"/>
  <c r="AB2330" i="1" s="1"/>
  <c r="AC2331" i="1"/>
  <c r="AB2331" i="1" s="1"/>
  <c r="AC2332" i="1"/>
  <c r="AB2332" i="1" s="1"/>
  <c r="AC2333" i="1"/>
  <c r="AB2333" i="1" s="1"/>
  <c r="AC2334" i="1"/>
  <c r="AB2334" i="1" s="1"/>
  <c r="AC2335" i="1"/>
  <c r="AB2335" i="1" s="1"/>
  <c r="AC2336" i="1"/>
  <c r="AB2336" i="1" s="1"/>
  <c r="AC2337" i="1"/>
  <c r="AB2337" i="1" s="1"/>
  <c r="AC2338" i="1"/>
  <c r="AB2338" i="1" s="1"/>
  <c r="AC2339" i="1"/>
  <c r="AB2339" i="1" s="1"/>
  <c r="AC2340" i="1"/>
  <c r="AB2340" i="1" s="1"/>
  <c r="AC2341" i="1"/>
  <c r="AB2341" i="1" s="1"/>
  <c r="AC2342" i="1"/>
  <c r="AB2342" i="1" s="1"/>
  <c r="AC2343" i="1"/>
  <c r="AB2343" i="1" s="1"/>
  <c r="AC2344" i="1"/>
  <c r="AB2344" i="1" s="1"/>
  <c r="AC2345" i="1"/>
  <c r="AB2345" i="1" s="1"/>
  <c r="AC2346" i="1"/>
  <c r="AB2346" i="1" s="1"/>
  <c r="AC2347" i="1"/>
  <c r="AB2347" i="1" s="1"/>
  <c r="AC2348" i="1"/>
  <c r="AB2348" i="1" s="1"/>
  <c r="AC2349" i="1"/>
  <c r="AB2349" i="1" s="1"/>
  <c r="AC2350" i="1"/>
  <c r="AB2350" i="1" s="1"/>
  <c r="AC2351" i="1"/>
  <c r="AB2351" i="1" s="1"/>
  <c r="AC2352" i="1"/>
  <c r="AB2352" i="1" s="1"/>
  <c r="AC2353" i="1"/>
  <c r="AB2353" i="1" s="1"/>
  <c r="AC2354" i="1"/>
  <c r="AB2354" i="1" s="1"/>
  <c r="AC2355" i="1"/>
  <c r="AB2355" i="1" s="1"/>
  <c r="AC2356" i="1"/>
  <c r="AB2356" i="1" s="1"/>
  <c r="AC2357" i="1"/>
  <c r="AB2357" i="1" s="1"/>
  <c r="AC2358" i="1"/>
  <c r="AB2358" i="1" s="1"/>
  <c r="AC2359" i="1"/>
  <c r="AB2359" i="1" s="1"/>
  <c r="AC2360" i="1"/>
  <c r="AB2360" i="1" s="1"/>
  <c r="AC2361" i="1"/>
  <c r="AB2361" i="1" s="1"/>
  <c r="AC2362" i="1"/>
  <c r="AB2362" i="1" s="1"/>
  <c r="AC2363" i="1"/>
  <c r="AB2363" i="1" s="1"/>
  <c r="AC2364" i="1"/>
  <c r="AB2364" i="1" s="1"/>
  <c r="AC2365" i="1"/>
  <c r="AB2365" i="1" s="1"/>
  <c r="AC2366" i="1"/>
  <c r="AB2366" i="1" s="1"/>
  <c r="AC2367" i="1"/>
  <c r="AB2367" i="1" s="1"/>
  <c r="AC2368" i="1"/>
  <c r="AB2368" i="1" s="1"/>
  <c r="AC2369" i="1"/>
  <c r="AB2369" i="1" s="1"/>
  <c r="AC2370" i="1"/>
  <c r="AB2370" i="1" s="1"/>
  <c r="AC2371" i="1"/>
  <c r="AB2371" i="1" s="1"/>
  <c r="AC2372" i="1"/>
  <c r="AB2372" i="1" s="1"/>
  <c r="AC2373" i="1"/>
  <c r="AB2373" i="1" s="1"/>
  <c r="AC2374" i="1"/>
  <c r="AB2374" i="1" s="1"/>
  <c r="AC2375" i="1"/>
  <c r="AB2375" i="1" s="1"/>
  <c r="AC2376" i="1"/>
  <c r="AB2376" i="1" s="1"/>
  <c r="AC2377" i="1"/>
  <c r="AB2377" i="1" s="1"/>
  <c r="AC2378" i="1"/>
  <c r="AB2378" i="1" s="1"/>
  <c r="AC2379" i="1"/>
  <c r="AB2379" i="1" s="1"/>
  <c r="AC2380" i="1"/>
  <c r="AB2380" i="1" s="1"/>
  <c r="AC2381" i="1"/>
  <c r="AB2381" i="1" s="1"/>
  <c r="AC2382" i="1"/>
  <c r="AB2382" i="1" s="1"/>
  <c r="AC2383" i="1"/>
  <c r="AB2383" i="1" s="1"/>
  <c r="AC2384" i="1"/>
  <c r="AB2384" i="1" s="1"/>
  <c r="AC2385" i="1"/>
  <c r="AB2385" i="1" s="1"/>
  <c r="AC2386" i="1"/>
  <c r="AB2386" i="1" s="1"/>
  <c r="AC2387" i="1"/>
  <c r="AB2387" i="1" s="1"/>
  <c r="AC2388" i="1"/>
  <c r="AB2388" i="1" s="1"/>
  <c r="AC2389" i="1"/>
  <c r="AB2389" i="1" s="1"/>
  <c r="AC2390" i="1"/>
  <c r="AB2390" i="1" s="1"/>
  <c r="AC2391" i="1"/>
  <c r="AB2391" i="1" s="1"/>
  <c r="AC2392" i="1"/>
  <c r="AB2392" i="1" s="1"/>
  <c r="AC2393" i="1"/>
  <c r="AB2393" i="1" s="1"/>
  <c r="AC2394" i="1"/>
  <c r="AB2394" i="1" s="1"/>
  <c r="AC2395" i="1"/>
  <c r="AB2395" i="1" s="1"/>
  <c r="AC2396" i="1"/>
  <c r="AB2396" i="1" s="1"/>
  <c r="AC2397" i="1"/>
  <c r="AB2397" i="1" s="1"/>
  <c r="AC2398" i="1"/>
  <c r="AB2398" i="1" s="1"/>
  <c r="AC2399" i="1"/>
  <c r="AB2399" i="1" s="1"/>
  <c r="AC2400" i="1"/>
  <c r="AB2400" i="1" s="1"/>
  <c r="AC2401" i="1"/>
  <c r="AB2401" i="1" s="1"/>
  <c r="AC2402" i="1"/>
  <c r="AB2402" i="1" s="1"/>
  <c r="AC2403" i="1"/>
  <c r="AB2403" i="1" s="1"/>
  <c r="AC2404" i="1"/>
  <c r="AB2404" i="1" s="1"/>
  <c r="AC2405" i="1"/>
  <c r="AB2405" i="1" s="1"/>
  <c r="AC2406" i="1"/>
  <c r="AB2406" i="1" s="1"/>
  <c r="AC2407" i="1"/>
  <c r="AB2407" i="1" s="1"/>
  <c r="AC2408" i="1"/>
  <c r="AB2408" i="1" s="1"/>
  <c r="AC2409" i="1"/>
  <c r="AB2409" i="1" s="1"/>
  <c r="AC2410" i="1"/>
  <c r="AB2410" i="1" s="1"/>
  <c r="AC2411" i="1"/>
  <c r="AB2411" i="1" s="1"/>
  <c r="AC2412" i="1"/>
  <c r="AB2412" i="1" s="1"/>
  <c r="AC2413" i="1"/>
  <c r="AB2413" i="1" s="1"/>
  <c r="AC2414" i="1"/>
  <c r="AB2414" i="1" s="1"/>
  <c r="AC2415" i="1"/>
  <c r="AB2415" i="1" s="1"/>
  <c r="AC2416" i="1"/>
  <c r="AB2416" i="1" s="1"/>
  <c r="AC2417" i="1"/>
  <c r="AB2417" i="1" s="1"/>
  <c r="AC2418" i="1"/>
  <c r="AB2418" i="1" s="1"/>
  <c r="AC2419" i="1"/>
  <c r="AB2419" i="1" s="1"/>
  <c r="AC2420" i="1"/>
  <c r="AB2420" i="1" s="1"/>
  <c r="AC2421" i="1"/>
  <c r="AB2421" i="1" s="1"/>
  <c r="AC2422" i="1"/>
  <c r="AB2422" i="1" s="1"/>
  <c r="AC2423" i="1"/>
  <c r="AB2423" i="1" s="1"/>
  <c r="AC2424" i="1"/>
  <c r="AB2424" i="1" s="1"/>
  <c r="AC2425" i="1"/>
  <c r="AB2425" i="1" s="1"/>
  <c r="AC2426" i="1"/>
  <c r="AB2426" i="1" s="1"/>
  <c r="AC2427" i="1"/>
  <c r="AB2427" i="1" s="1"/>
  <c r="AC2428" i="1"/>
  <c r="AB2428" i="1" s="1"/>
  <c r="AC2429" i="1"/>
  <c r="AB2429" i="1" s="1"/>
  <c r="AC2430" i="1"/>
  <c r="AB2430" i="1" s="1"/>
  <c r="AC2431" i="1"/>
  <c r="AB2431" i="1" s="1"/>
  <c r="AC2432" i="1"/>
  <c r="AB2432" i="1" s="1"/>
  <c r="AC2433" i="1"/>
  <c r="AB2433" i="1" s="1"/>
  <c r="AC2434" i="1"/>
  <c r="AB2434" i="1" s="1"/>
  <c r="AC2435" i="1"/>
  <c r="AB2435" i="1" s="1"/>
  <c r="AC2436" i="1"/>
  <c r="AB2436" i="1" s="1"/>
  <c r="AC2437" i="1"/>
  <c r="AB2437" i="1" s="1"/>
  <c r="AC2438" i="1"/>
  <c r="AB2438" i="1" s="1"/>
  <c r="AC2439" i="1"/>
  <c r="AB2439" i="1" s="1"/>
  <c r="AC2440" i="1"/>
  <c r="AB2440" i="1" s="1"/>
  <c r="AC2441" i="1"/>
  <c r="AB2441" i="1" s="1"/>
  <c r="AC2442" i="1"/>
  <c r="AB2442" i="1" s="1"/>
  <c r="AC2443" i="1"/>
  <c r="AB2443" i="1" s="1"/>
  <c r="AC2444" i="1"/>
  <c r="AB2444" i="1" s="1"/>
  <c r="AC2445" i="1"/>
  <c r="AB2445" i="1" s="1"/>
  <c r="AC2446" i="1"/>
  <c r="AB2446" i="1" s="1"/>
  <c r="AC2447" i="1"/>
  <c r="AB2447" i="1" s="1"/>
  <c r="AC2448" i="1"/>
  <c r="AB2448" i="1" s="1"/>
  <c r="AC2449" i="1"/>
  <c r="AB2449" i="1" s="1"/>
  <c r="AC2450" i="1"/>
  <c r="AB2450" i="1" s="1"/>
  <c r="AC2451" i="1"/>
  <c r="AB2451" i="1" s="1"/>
  <c r="AC2452" i="1"/>
  <c r="AB2452" i="1" s="1"/>
  <c r="AC2453" i="1"/>
  <c r="AB2453" i="1" s="1"/>
  <c r="AC2454" i="1"/>
  <c r="AB2454" i="1" s="1"/>
  <c r="AC2455" i="1"/>
  <c r="AB2455" i="1" s="1"/>
  <c r="AC2456" i="1"/>
  <c r="AB2456" i="1" s="1"/>
  <c r="AC2457" i="1"/>
  <c r="AB2457" i="1" s="1"/>
  <c r="AC2458" i="1"/>
  <c r="AB2458" i="1" s="1"/>
  <c r="AC2459" i="1"/>
  <c r="AB2459" i="1" s="1"/>
  <c r="AC2460" i="1"/>
  <c r="AB2460" i="1" s="1"/>
  <c r="AC2461" i="1"/>
  <c r="AB2461" i="1" s="1"/>
  <c r="AC2462" i="1"/>
  <c r="AB2462" i="1" s="1"/>
  <c r="AC2463" i="1"/>
  <c r="AB2463" i="1" s="1"/>
  <c r="AC2464" i="1"/>
  <c r="AB2464" i="1" s="1"/>
  <c r="AC2465" i="1"/>
  <c r="AB2465" i="1" s="1"/>
  <c r="AC2466" i="1"/>
  <c r="AB2466" i="1" s="1"/>
  <c r="AC2467" i="1"/>
  <c r="AB2467" i="1" s="1"/>
  <c r="AC2468" i="1"/>
  <c r="AB2468" i="1" s="1"/>
  <c r="AC2469" i="1"/>
  <c r="AB2469" i="1" s="1"/>
  <c r="AC2470" i="1"/>
  <c r="AB2470" i="1" s="1"/>
  <c r="AC2471" i="1"/>
  <c r="AB2471" i="1" s="1"/>
  <c r="AC2472" i="1"/>
  <c r="AB2472" i="1" s="1"/>
  <c r="AC2473" i="1"/>
  <c r="AB2473" i="1" s="1"/>
  <c r="AC2474" i="1"/>
  <c r="AB2474" i="1" s="1"/>
  <c r="AC2475" i="1"/>
  <c r="AB2475" i="1" s="1"/>
  <c r="AC2476" i="1"/>
  <c r="AB2476" i="1" s="1"/>
  <c r="AC2477" i="1"/>
  <c r="AB2477" i="1" s="1"/>
  <c r="AC2478" i="1"/>
  <c r="AB2478" i="1" s="1"/>
  <c r="AC2479" i="1"/>
  <c r="AB2479" i="1" s="1"/>
  <c r="AC2480" i="1"/>
  <c r="AB2480" i="1" s="1"/>
  <c r="AC2481" i="1"/>
  <c r="AB2481" i="1" s="1"/>
  <c r="AC2482" i="1"/>
  <c r="AB2482" i="1" s="1"/>
  <c r="AC2483" i="1"/>
  <c r="AB2483" i="1" s="1"/>
  <c r="AC2484" i="1"/>
  <c r="AB2484" i="1" s="1"/>
  <c r="AC2485" i="1"/>
  <c r="AB2485" i="1" s="1"/>
  <c r="AC2486" i="1"/>
  <c r="AB2486" i="1" s="1"/>
  <c r="AC2487" i="1"/>
  <c r="AB2487" i="1" s="1"/>
  <c r="AC2488" i="1"/>
  <c r="AB2488" i="1" s="1"/>
  <c r="AC2489" i="1"/>
  <c r="AB2489" i="1" s="1"/>
  <c r="AC2490" i="1"/>
  <c r="AB2490" i="1" s="1"/>
  <c r="AC2491" i="1"/>
  <c r="AB2491" i="1" s="1"/>
  <c r="AC2492" i="1"/>
  <c r="AB2492" i="1" s="1"/>
  <c r="AC2493" i="1"/>
  <c r="AB2493" i="1" s="1"/>
  <c r="AC2494" i="1"/>
  <c r="AB2494" i="1" s="1"/>
  <c r="AC2495" i="1"/>
  <c r="AB2495" i="1" s="1"/>
  <c r="AC2496" i="1"/>
  <c r="AB2496" i="1" s="1"/>
  <c r="AC2497" i="1"/>
  <c r="AB2497" i="1" s="1"/>
  <c r="AC2498" i="1"/>
  <c r="AB2498" i="1" s="1"/>
  <c r="AC2499" i="1"/>
  <c r="AB2499" i="1" s="1"/>
  <c r="AC2500" i="1"/>
  <c r="AB2500" i="1" s="1"/>
  <c r="AC2501" i="1"/>
  <c r="AB2501" i="1" s="1"/>
  <c r="AC2502" i="1"/>
  <c r="AB2502" i="1" s="1"/>
  <c r="AC2503" i="1"/>
  <c r="AB2503" i="1" s="1"/>
  <c r="AC2504" i="1"/>
  <c r="AB2504" i="1" s="1"/>
  <c r="AC2505" i="1"/>
  <c r="AB2505" i="1" s="1"/>
  <c r="AC2506" i="1"/>
  <c r="AB2506" i="1" s="1"/>
  <c r="AC2507" i="1"/>
  <c r="AB2507" i="1" s="1"/>
  <c r="AC2508" i="1"/>
  <c r="AB2508" i="1" s="1"/>
  <c r="AC2509" i="1"/>
  <c r="AB2509" i="1" s="1"/>
  <c r="AC2510" i="1"/>
  <c r="AB2510" i="1" s="1"/>
  <c r="AC2511" i="1"/>
  <c r="AB2511" i="1" s="1"/>
  <c r="AC2512" i="1"/>
  <c r="AB2512" i="1" s="1"/>
  <c r="AC2513" i="1"/>
  <c r="AB2513" i="1" s="1"/>
  <c r="AC2514" i="1"/>
  <c r="AB2514" i="1" s="1"/>
  <c r="AC2515" i="1"/>
  <c r="AB2515" i="1" s="1"/>
  <c r="AC2516" i="1"/>
  <c r="AB2516" i="1" s="1"/>
  <c r="AC2517" i="1"/>
  <c r="AB2517" i="1" s="1"/>
  <c r="AC2518" i="1"/>
  <c r="AB2518" i="1" s="1"/>
  <c r="AC2519" i="1"/>
  <c r="AB2519" i="1" s="1"/>
  <c r="AC2520" i="1"/>
  <c r="AB2520" i="1" s="1"/>
  <c r="AC2521" i="1"/>
  <c r="AB2521" i="1" s="1"/>
  <c r="AC2522" i="1"/>
  <c r="AB2522" i="1" s="1"/>
  <c r="AC2523" i="1"/>
  <c r="AB2523" i="1" s="1"/>
  <c r="AC2524" i="1"/>
  <c r="AB2524" i="1" s="1"/>
  <c r="AC2525" i="1"/>
  <c r="AB2525" i="1" s="1"/>
  <c r="AC2526" i="1"/>
  <c r="AB2526" i="1" s="1"/>
  <c r="AC2527" i="1"/>
  <c r="AB2527" i="1" s="1"/>
  <c r="AC2528" i="1"/>
  <c r="AB2528" i="1" s="1"/>
  <c r="AC2529" i="1"/>
  <c r="AB2529" i="1" s="1"/>
  <c r="AC2530" i="1"/>
  <c r="AB2530" i="1" s="1"/>
  <c r="AC2531" i="1"/>
  <c r="AB2531" i="1" s="1"/>
  <c r="AC2532" i="1"/>
  <c r="AB2532" i="1" s="1"/>
  <c r="AC2533" i="1"/>
  <c r="AB2533" i="1" s="1"/>
  <c r="AC2534" i="1"/>
  <c r="AB2534" i="1" s="1"/>
  <c r="AC2535" i="1"/>
  <c r="AB2535" i="1" s="1"/>
  <c r="AC2536" i="1"/>
  <c r="AB2536" i="1" s="1"/>
  <c r="AC2537" i="1"/>
  <c r="AB2537" i="1" s="1"/>
  <c r="AC2538" i="1"/>
  <c r="AB2538" i="1" s="1"/>
  <c r="AC2539" i="1"/>
  <c r="AB2539" i="1" s="1"/>
  <c r="AC2540" i="1"/>
  <c r="AB2540" i="1" s="1"/>
  <c r="AC2541" i="1"/>
  <c r="AB2541" i="1" s="1"/>
  <c r="AC2542" i="1"/>
  <c r="AB2542" i="1" s="1"/>
  <c r="AC2543" i="1"/>
  <c r="AB2543" i="1" s="1"/>
  <c r="AC2544" i="1"/>
  <c r="AB2544" i="1" s="1"/>
  <c r="AC2545" i="1"/>
  <c r="AB2545" i="1" s="1"/>
  <c r="AC2546" i="1"/>
  <c r="AB2546" i="1" s="1"/>
  <c r="AC2547" i="1"/>
  <c r="AB2547" i="1" s="1"/>
  <c r="AC2548" i="1"/>
  <c r="AB2548" i="1" s="1"/>
  <c r="AC2549" i="1"/>
  <c r="AB2549" i="1" s="1"/>
  <c r="AC2550" i="1"/>
  <c r="AB2550" i="1" s="1"/>
  <c r="AC2551" i="1"/>
  <c r="AB2551" i="1" s="1"/>
  <c r="AC2552" i="1"/>
  <c r="AB2552" i="1" s="1"/>
  <c r="AC2553" i="1"/>
  <c r="AB2553" i="1" s="1"/>
  <c r="AC2554" i="1"/>
  <c r="AB2554" i="1" s="1"/>
  <c r="AC2555" i="1"/>
  <c r="AB2555" i="1" s="1"/>
  <c r="AC2556" i="1"/>
  <c r="AB2556" i="1" s="1"/>
  <c r="AC2557" i="1"/>
  <c r="AB2557" i="1" s="1"/>
  <c r="AC2558" i="1"/>
  <c r="AB2558" i="1" s="1"/>
  <c r="AC2559" i="1"/>
  <c r="AB2559" i="1" s="1"/>
  <c r="AC2560" i="1"/>
  <c r="AB2560" i="1" s="1"/>
  <c r="AC2561" i="1"/>
  <c r="AB2561" i="1" s="1"/>
  <c r="AC2562" i="1"/>
  <c r="AB2562" i="1" s="1"/>
  <c r="AC2563" i="1"/>
  <c r="AB2563" i="1" s="1"/>
  <c r="AC2564" i="1"/>
  <c r="AB2564" i="1" s="1"/>
  <c r="AC2565" i="1"/>
  <c r="AB2565" i="1" s="1"/>
  <c r="AC2566" i="1"/>
  <c r="AB2566" i="1" s="1"/>
  <c r="AC2567" i="1"/>
  <c r="AB2567" i="1" s="1"/>
  <c r="AC2568" i="1"/>
  <c r="AB2568" i="1" s="1"/>
  <c r="AC2569" i="1"/>
  <c r="AB2569" i="1" s="1"/>
  <c r="AC2570" i="1"/>
  <c r="AB2570" i="1" s="1"/>
  <c r="AC2571" i="1"/>
  <c r="AB2571" i="1" s="1"/>
  <c r="AC2572" i="1"/>
  <c r="AB2572" i="1" s="1"/>
  <c r="AC2573" i="1"/>
  <c r="AB2573" i="1" s="1"/>
  <c r="AC2574" i="1"/>
  <c r="AB2574" i="1" s="1"/>
  <c r="AC2575" i="1"/>
  <c r="AB2575" i="1" s="1"/>
  <c r="AC2576" i="1"/>
  <c r="AB2576" i="1" s="1"/>
  <c r="AC2577" i="1"/>
  <c r="AB2577" i="1" s="1"/>
  <c r="AC2578" i="1"/>
  <c r="AB2578" i="1" s="1"/>
  <c r="AC2579" i="1"/>
  <c r="AB2579" i="1" s="1"/>
  <c r="AC2580" i="1"/>
  <c r="AB2580" i="1" s="1"/>
  <c r="AC2581" i="1"/>
  <c r="AB2581" i="1" s="1"/>
  <c r="AC2582" i="1"/>
  <c r="AB2582" i="1" s="1"/>
  <c r="AC2583" i="1"/>
  <c r="AB2583" i="1" s="1"/>
  <c r="AC2584" i="1"/>
  <c r="AB2584" i="1" s="1"/>
  <c r="AC2585" i="1"/>
  <c r="AB2585" i="1" s="1"/>
  <c r="AC2586" i="1"/>
  <c r="AB2586" i="1" s="1"/>
  <c r="AC2587" i="1"/>
  <c r="AB2587" i="1" s="1"/>
  <c r="AC2588" i="1"/>
  <c r="AB2588" i="1" s="1"/>
  <c r="AC2589" i="1"/>
  <c r="AB2589" i="1" s="1"/>
  <c r="AC2590" i="1"/>
  <c r="AB2590" i="1" s="1"/>
  <c r="AC2591" i="1"/>
  <c r="AB2591" i="1" s="1"/>
  <c r="AC2592" i="1"/>
  <c r="AB2592" i="1" s="1"/>
  <c r="AC2593" i="1"/>
  <c r="AB2593" i="1" s="1"/>
  <c r="AC2594" i="1"/>
  <c r="AB2594" i="1" s="1"/>
  <c r="AC2595" i="1"/>
  <c r="AB2595" i="1" s="1"/>
  <c r="AC2596" i="1"/>
  <c r="AB2596" i="1" s="1"/>
  <c r="AC2597" i="1"/>
  <c r="AB2597" i="1" s="1"/>
  <c r="AC2598" i="1"/>
  <c r="AB2598" i="1" s="1"/>
  <c r="AC2599" i="1"/>
  <c r="AB2599" i="1" s="1"/>
  <c r="AC2600" i="1"/>
  <c r="AB2600" i="1" s="1"/>
  <c r="AC2601" i="1"/>
  <c r="AB2601" i="1" s="1"/>
  <c r="AC2602" i="1"/>
  <c r="AB2602" i="1" s="1"/>
  <c r="AC2603" i="1"/>
  <c r="AB2603" i="1" s="1"/>
  <c r="AC2604" i="1"/>
  <c r="AB2604" i="1" s="1"/>
  <c r="AC2605" i="1"/>
  <c r="AB2605" i="1" s="1"/>
  <c r="AC2606" i="1"/>
  <c r="AB2606" i="1" s="1"/>
  <c r="AC2607" i="1"/>
  <c r="AB2607" i="1" s="1"/>
  <c r="AC2608" i="1"/>
  <c r="AB2608" i="1" s="1"/>
  <c r="AC2609" i="1"/>
  <c r="AB2609" i="1" s="1"/>
  <c r="AC2610" i="1"/>
  <c r="AB2610" i="1" s="1"/>
  <c r="AC2611" i="1"/>
  <c r="AB2611" i="1" s="1"/>
  <c r="AC2612" i="1"/>
  <c r="AB2612" i="1" s="1"/>
  <c r="AC2613" i="1"/>
  <c r="AB2613" i="1" s="1"/>
  <c r="AC2614" i="1"/>
  <c r="AB2614" i="1" s="1"/>
  <c r="AC2615" i="1"/>
  <c r="AB2615" i="1" s="1"/>
  <c r="AC2616" i="1"/>
  <c r="AB2616" i="1" s="1"/>
  <c r="AC2617" i="1"/>
  <c r="AB2617" i="1" s="1"/>
  <c r="AC2618" i="1"/>
  <c r="AB2618" i="1" s="1"/>
  <c r="AC2619" i="1"/>
  <c r="AB2619" i="1" s="1"/>
  <c r="AC2620" i="1"/>
  <c r="AB2620" i="1" s="1"/>
  <c r="AC2621" i="1"/>
  <c r="AB2621" i="1" s="1"/>
  <c r="AC2622" i="1"/>
  <c r="AB2622" i="1" s="1"/>
  <c r="AC2623" i="1"/>
  <c r="AB2623" i="1" s="1"/>
  <c r="AC2624" i="1"/>
  <c r="AB2624" i="1" s="1"/>
  <c r="AC2625" i="1"/>
  <c r="AB2625" i="1" s="1"/>
  <c r="AC2626" i="1"/>
  <c r="AB2626" i="1" s="1"/>
  <c r="AC2627" i="1"/>
  <c r="AB2627" i="1" s="1"/>
  <c r="AC2628" i="1"/>
  <c r="AB2628" i="1" s="1"/>
  <c r="AC2629" i="1"/>
  <c r="AB2629" i="1" s="1"/>
  <c r="AC2630" i="1"/>
  <c r="AB2630" i="1" s="1"/>
  <c r="AC2631" i="1"/>
  <c r="AB2631" i="1" s="1"/>
  <c r="AC2632" i="1"/>
  <c r="AB2632" i="1" s="1"/>
  <c r="AC2633" i="1"/>
  <c r="AB2633" i="1" s="1"/>
  <c r="AC2634" i="1"/>
  <c r="AB2634" i="1" s="1"/>
  <c r="AC2635" i="1"/>
  <c r="AB2635" i="1" s="1"/>
  <c r="AC2636" i="1"/>
  <c r="AB2636" i="1" s="1"/>
  <c r="AC2637" i="1"/>
  <c r="AB2637" i="1" s="1"/>
  <c r="AC2638" i="1"/>
  <c r="AB2638" i="1" s="1"/>
  <c r="AC2639" i="1"/>
  <c r="AB2639" i="1" s="1"/>
  <c r="AC2640" i="1"/>
  <c r="AB2640" i="1" s="1"/>
  <c r="AC2641" i="1"/>
  <c r="AB2641" i="1" s="1"/>
  <c r="AC2642" i="1"/>
  <c r="AB2642" i="1" s="1"/>
  <c r="AC2643" i="1"/>
  <c r="AB2643" i="1" s="1"/>
  <c r="AC2644" i="1"/>
  <c r="AB2644" i="1" s="1"/>
  <c r="AC2645" i="1"/>
  <c r="AB2645" i="1" s="1"/>
  <c r="AC2646" i="1"/>
  <c r="AB2646" i="1" s="1"/>
  <c r="AC2647" i="1"/>
  <c r="AB2647" i="1" s="1"/>
  <c r="AC2648" i="1"/>
  <c r="AB2648" i="1" s="1"/>
  <c r="AC2649" i="1"/>
  <c r="AB2649" i="1" s="1"/>
  <c r="AC2650" i="1"/>
  <c r="AB2650" i="1" s="1"/>
  <c r="AC2651" i="1"/>
  <c r="AB2651" i="1" s="1"/>
  <c r="AC2652" i="1"/>
  <c r="AB2652" i="1" s="1"/>
  <c r="AC2653" i="1"/>
  <c r="AB2653" i="1" s="1"/>
  <c r="AC2654" i="1"/>
  <c r="AB2654" i="1" s="1"/>
  <c r="AC2655" i="1"/>
  <c r="AB2655" i="1" s="1"/>
  <c r="AC2656" i="1"/>
  <c r="AB2656" i="1" s="1"/>
  <c r="AC2657" i="1"/>
  <c r="AB2657" i="1" s="1"/>
  <c r="AC2658" i="1"/>
  <c r="AB2658" i="1" s="1"/>
  <c r="AC2659" i="1"/>
  <c r="AB2659" i="1" s="1"/>
  <c r="AC2660" i="1"/>
  <c r="AB2660" i="1" s="1"/>
  <c r="AC2661" i="1"/>
  <c r="AB2661" i="1" s="1"/>
  <c r="AC2662" i="1"/>
  <c r="AB2662" i="1" s="1"/>
  <c r="AC2663" i="1"/>
  <c r="AB2663" i="1" s="1"/>
  <c r="AC2664" i="1"/>
  <c r="AB2664" i="1" s="1"/>
  <c r="AC2665" i="1"/>
  <c r="AB2665" i="1" s="1"/>
  <c r="AC2666" i="1"/>
  <c r="AB2666" i="1" s="1"/>
  <c r="AC2667" i="1"/>
  <c r="AB2667" i="1" s="1"/>
  <c r="AC2668" i="1"/>
  <c r="AB2668" i="1" s="1"/>
  <c r="AC2669" i="1"/>
  <c r="AB2669" i="1" s="1"/>
  <c r="AC2670" i="1"/>
  <c r="AB2670" i="1" s="1"/>
  <c r="AC2671" i="1"/>
  <c r="AB2671" i="1" s="1"/>
  <c r="AC2672" i="1"/>
  <c r="AB2672" i="1" s="1"/>
  <c r="AC2673" i="1"/>
  <c r="AB2673" i="1" s="1"/>
  <c r="AC2674" i="1"/>
  <c r="AB2674" i="1" s="1"/>
  <c r="AC2675" i="1"/>
  <c r="AB2675" i="1" s="1"/>
  <c r="AC2676" i="1"/>
  <c r="AB2676" i="1" s="1"/>
  <c r="AC2677" i="1"/>
  <c r="AB2677" i="1" s="1"/>
  <c r="AC2678" i="1"/>
  <c r="AB2678" i="1" s="1"/>
  <c r="AC2679" i="1"/>
  <c r="AB2679" i="1" s="1"/>
  <c r="AC2680" i="1"/>
  <c r="AB2680" i="1" s="1"/>
  <c r="AC2681" i="1"/>
  <c r="AB2681" i="1" s="1"/>
  <c r="AC2682" i="1"/>
  <c r="AB2682" i="1" s="1"/>
  <c r="AC2683" i="1"/>
  <c r="AB2683" i="1" s="1"/>
  <c r="AC2684" i="1"/>
  <c r="AB2684" i="1" s="1"/>
  <c r="AC2685" i="1"/>
  <c r="AB2685" i="1" s="1"/>
  <c r="AC2686" i="1"/>
  <c r="AB2686" i="1" s="1"/>
  <c r="AC2687" i="1"/>
  <c r="AB2687" i="1" s="1"/>
  <c r="AC2688" i="1"/>
  <c r="AB2688" i="1" s="1"/>
  <c r="AC2689" i="1"/>
  <c r="AB2689" i="1" s="1"/>
  <c r="AC2690" i="1"/>
  <c r="AB2690" i="1" s="1"/>
  <c r="AC2691" i="1"/>
  <c r="AB2691" i="1" s="1"/>
  <c r="AC2692" i="1"/>
  <c r="AB2692" i="1" s="1"/>
  <c r="AC2693" i="1"/>
  <c r="AB2693" i="1" s="1"/>
  <c r="AC2694" i="1"/>
  <c r="AB2694" i="1" s="1"/>
  <c r="AC2695" i="1"/>
  <c r="AB2695" i="1" s="1"/>
  <c r="AC2696" i="1"/>
  <c r="AB2696" i="1" s="1"/>
  <c r="AC2697" i="1"/>
  <c r="AB2697" i="1" s="1"/>
  <c r="AC2698" i="1"/>
  <c r="AB2698" i="1" s="1"/>
  <c r="AC2699" i="1"/>
  <c r="AB2699" i="1" s="1"/>
  <c r="AC2700" i="1"/>
  <c r="AB2700" i="1" s="1"/>
  <c r="AC2701" i="1"/>
  <c r="AB2701" i="1" s="1"/>
  <c r="AC2702" i="1"/>
  <c r="AB2702" i="1" s="1"/>
  <c r="AC2703" i="1"/>
  <c r="AB2703" i="1" s="1"/>
  <c r="AC2704" i="1"/>
  <c r="AB2704" i="1" s="1"/>
  <c r="AC2705" i="1"/>
  <c r="AB2705" i="1" s="1"/>
  <c r="AC2706" i="1"/>
  <c r="AB2706" i="1" s="1"/>
  <c r="AC2707" i="1"/>
  <c r="AB2707" i="1" s="1"/>
  <c r="AC2708" i="1"/>
  <c r="AB2708" i="1" s="1"/>
  <c r="AC2709" i="1"/>
  <c r="AB2709" i="1" s="1"/>
  <c r="AC2710" i="1"/>
  <c r="AB2710" i="1" s="1"/>
  <c r="AC2711" i="1"/>
  <c r="AB2711" i="1" s="1"/>
  <c r="AC2712" i="1"/>
  <c r="AB2712" i="1" s="1"/>
  <c r="AC2713" i="1"/>
  <c r="AB2713" i="1" s="1"/>
  <c r="AC2714" i="1"/>
  <c r="AB2714" i="1" s="1"/>
  <c r="AC2715" i="1"/>
  <c r="AB2715" i="1" s="1"/>
  <c r="AC2716" i="1"/>
  <c r="AB2716" i="1" s="1"/>
  <c r="AC2717" i="1"/>
  <c r="AB2717" i="1" s="1"/>
  <c r="AC2718" i="1"/>
  <c r="AB2718" i="1" s="1"/>
  <c r="AC2719" i="1"/>
  <c r="AB2719" i="1" s="1"/>
  <c r="AC2720" i="1"/>
  <c r="AB2720" i="1" s="1"/>
  <c r="AC2721" i="1"/>
  <c r="AB2721" i="1" s="1"/>
  <c r="AC2722" i="1"/>
  <c r="AB2722" i="1" s="1"/>
  <c r="AC2723" i="1"/>
  <c r="AB2723" i="1" s="1"/>
  <c r="AC2724" i="1"/>
  <c r="AB2724" i="1" s="1"/>
  <c r="AC2725" i="1"/>
  <c r="AB2725" i="1" s="1"/>
  <c r="AC2726" i="1"/>
  <c r="AB2726" i="1" s="1"/>
  <c r="AC2727" i="1"/>
  <c r="AB2727" i="1" s="1"/>
  <c r="AC2728" i="1"/>
  <c r="AB2728" i="1" s="1"/>
  <c r="AC2729" i="1"/>
  <c r="AB2729" i="1" s="1"/>
  <c r="AC2730" i="1"/>
  <c r="AB2730" i="1" s="1"/>
  <c r="AC2731" i="1"/>
  <c r="AB2731" i="1" s="1"/>
  <c r="AC2732" i="1"/>
  <c r="AB2732" i="1" s="1"/>
  <c r="AC2733" i="1"/>
  <c r="AB2733" i="1" s="1"/>
  <c r="AC2734" i="1"/>
  <c r="AB2734" i="1" s="1"/>
  <c r="AC2735" i="1"/>
  <c r="AB2735" i="1" s="1"/>
  <c r="AC2736" i="1"/>
  <c r="AB2736" i="1" s="1"/>
  <c r="AC2737" i="1"/>
  <c r="AB2737" i="1" s="1"/>
  <c r="AC2738" i="1"/>
  <c r="AB2738" i="1" s="1"/>
  <c r="AC2739" i="1"/>
  <c r="AB2739" i="1" s="1"/>
  <c r="AC2740" i="1"/>
  <c r="AB2740" i="1" s="1"/>
  <c r="AC2741" i="1"/>
  <c r="AB2741" i="1" s="1"/>
  <c r="AC2742" i="1"/>
  <c r="AB2742" i="1" s="1"/>
  <c r="AC2743" i="1"/>
  <c r="AB2743" i="1" s="1"/>
  <c r="AC2744" i="1"/>
  <c r="AB2744" i="1" s="1"/>
  <c r="AC2745" i="1"/>
  <c r="AB2745" i="1" s="1"/>
  <c r="AC2746" i="1"/>
  <c r="AB2746" i="1" s="1"/>
  <c r="AC2747" i="1"/>
  <c r="AB2747" i="1" s="1"/>
  <c r="AC2748" i="1"/>
  <c r="AB2748" i="1" s="1"/>
  <c r="AC2749" i="1"/>
  <c r="AB2749" i="1" s="1"/>
  <c r="AC2750" i="1"/>
  <c r="AB2750" i="1" s="1"/>
  <c r="AC2751" i="1"/>
  <c r="AB2751" i="1" s="1"/>
  <c r="AC2752" i="1"/>
  <c r="AB2752" i="1" s="1"/>
  <c r="AC2753" i="1"/>
  <c r="AB2753" i="1" s="1"/>
  <c r="AC2754" i="1"/>
  <c r="AB2754" i="1" s="1"/>
  <c r="AC2755" i="1"/>
  <c r="AB2755" i="1" s="1"/>
  <c r="AC2756" i="1"/>
  <c r="AB2756" i="1" s="1"/>
  <c r="AC2757" i="1"/>
  <c r="AB2757" i="1" s="1"/>
  <c r="AC2758" i="1"/>
  <c r="AB2758" i="1" s="1"/>
  <c r="AC2759" i="1"/>
  <c r="AB2759" i="1" s="1"/>
  <c r="AC2760" i="1"/>
  <c r="AB2760" i="1" s="1"/>
  <c r="AC2761" i="1"/>
  <c r="AB2761" i="1" s="1"/>
  <c r="AC2762" i="1"/>
  <c r="AB2762" i="1" s="1"/>
  <c r="AC2763" i="1"/>
  <c r="AB2763" i="1" s="1"/>
  <c r="AC2764" i="1"/>
  <c r="AB2764" i="1" s="1"/>
  <c r="AC2765" i="1"/>
  <c r="AB2765" i="1" s="1"/>
  <c r="AC2766" i="1"/>
  <c r="AB2766" i="1" s="1"/>
  <c r="AC2767" i="1"/>
  <c r="AB2767" i="1" s="1"/>
  <c r="AC2768" i="1"/>
  <c r="AB2768" i="1" s="1"/>
  <c r="AC2769" i="1"/>
  <c r="AB2769" i="1" s="1"/>
  <c r="AC2770" i="1"/>
  <c r="AB2770" i="1" s="1"/>
  <c r="AC2771" i="1"/>
  <c r="AB2771" i="1" s="1"/>
  <c r="AC2772" i="1"/>
  <c r="AB2772" i="1" s="1"/>
  <c r="AC2773" i="1"/>
  <c r="AB2773" i="1" s="1"/>
  <c r="AC2774" i="1"/>
  <c r="AB2774" i="1" s="1"/>
  <c r="AC2775" i="1"/>
  <c r="AB2775" i="1" s="1"/>
  <c r="AC2776" i="1"/>
  <c r="AB2776" i="1" s="1"/>
  <c r="AC2777" i="1"/>
  <c r="AB2777" i="1" s="1"/>
  <c r="AC2778" i="1"/>
  <c r="AB2778" i="1" s="1"/>
  <c r="AC2779" i="1"/>
  <c r="AB2779" i="1" s="1"/>
  <c r="AC2780" i="1"/>
  <c r="AB2780" i="1" s="1"/>
  <c r="AC2781" i="1"/>
  <c r="AB2781" i="1" s="1"/>
  <c r="AC2782" i="1"/>
  <c r="AB2782" i="1" s="1"/>
  <c r="AC2783" i="1"/>
  <c r="AB2783" i="1" s="1"/>
  <c r="AC2784" i="1"/>
  <c r="AB2784" i="1" s="1"/>
  <c r="AC2785" i="1"/>
  <c r="AB2785" i="1" s="1"/>
  <c r="AC2786" i="1"/>
  <c r="AB2786" i="1" s="1"/>
  <c r="AC2787" i="1"/>
  <c r="AB2787" i="1" s="1"/>
  <c r="AC2788" i="1"/>
  <c r="AB2788" i="1" s="1"/>
  <c r="AC2789" i="1"/>
  <c r="AB2789" i="1" s="1"/>
  <c r="AC2790" i="1"/>
  <c r="AB2790" i="1" s="1"/>
  <c r="AC2791" i="1"/>
  <c r="AB2791" i="1" s="1"/>
  <c r="AC2792" i="1"/>
  <c r="AB2792" i="1" s="1"/>
  <c r="AC2793" i="1"/>
  <c r="AB2793" i="1" s="1"/>
  <c r="AC2794" i="1"/>
  <c r="AB2794" i="1" s="1"/>
  <c r="AC2795" i="1"/>
  <c r="AB2795" i="1" s="1"/>
  <c r="AC2796" i="1"/>
  <c r="AB2796" i="1" s="1"/>
  <c r="AC2797" i="1"/>
  <c r="AB2797" i="1" s="1"/>
  <c r="AC2798" i="1"/>
  <c r="AB2798" i="1" s="1"/>
  <c r="AC2799" i="1"/>
  <c r="AB2799" i="1" s="1"/>
  <c r="AC2800" i="1"/>
  <c r="AB2800" i="1" s="1"/>
  <c r="AC2801" i="1"/>
  <c r="AB2801" i="1" s="1"/>
  <c r="AC2802" i="1"/>
  <c r="AB2802" i="1" s="1"/>
  <c r="AC2803" i="1"/>
  <c r="AB2803" i="1" s="1"/>
  <c r="AC2804" i="1"/>
  <c r="AB2804" i="1" s="1"/>
  <c r="AC2805" i="1"/>
  <c r="AB2805" i="1" s="1"/>
  <c r="AC2806" i="1"/>
  <c r="AB2806" i="1" s="1"/>
  <c r="AC2807" i="1"/>
  <c r="AB2807" i="1" s="1"/>
  <c r="AC2808" i="1"/>
  <c r="AB2808" i="1" s="1"/>
  <c r="AC2809" i="1"/>
  <c r="AB2809" i="1" s="1"/>
  <c r="AC2810" i="1"/>
  <c r="AB2810" i="1" s="1"/>
  <c r="AC2811" i="1"/>
  <c r="AB2811" i="1" s="1"/>
  <c r="AC2812" i="1"/>
  <c r="AB2812" i="1" s="1"/>
  <c r="AC2813" i="1"/>
  <c r="AB2813" i="1" s="1"/>
  <c r="AC2814" i="1"/>
  <c r="AB2814" i="1" s="1"/>
  <c r="AC2815" i="1"/>
  <c r="AB2815" i="1" s="1"/>
  <c r="AC2816" i="1"/>
  <c r="AB2816" i="1" s="1"/>
  <c r="AC2817" i="1"/>
  <c r="AB2817" i="1" s="1"/>
  <c r="AC2818" i="1"/>
  <c r="AB2818" i="1" s="1"/>
  <c r="AC2819" i="1"/>
  <c r="AB2819" i="1" s="1"/>
  <c r="AC2820" i="1"/>
  <c r="AB2820" i="1" s="1"/>
  <c r="AC2821" i="1"/>
  <c r="AB2821" i="1" s="1"/>
  <c r="AC2822" i="1"/>
  <c r="AB2822" i="1" s="1"/>
  <c r="AC2823" i="1"/>
  <c r="AB2823" i="1" s="1"/>
  <c r="AC2824" i="1"/>
  <c r="AB2824" i="1" s="1"/>
  <c r="AC2825" i="1"/>
  <c r="AB2825" i="1" s="1"/>
  <c r="AC2826" i="1"/>
  <c r="AB2826" i="1" s="1"/>
  <c r="AC2827" i="1"/>
  <c r="AB2827" i="1" s="1"/>
  <c r="AC2828" i="1"/>
  <c r="AB2828" i="1" s="1"/>
  <c r="AC2829" i="1"/>
  <c r="AB2829" i="1" s="1"/>
  <c r="AC2830" i="1"/>
  <c r="AB2830" i="1" s="1"/>
  <c r="AC2831" i="1"/>
  <c r="AB2831" i="1" s="1"/>
  <c r="AC2832" i="1"/>
  <c r="AB2832" i="1" s="1"/>
  <c r="AC2833" i="1"/>
  <c r="AB2833" i="1" s="1"/>
  <c r="AC2834" i="1"/>
  <c r="AB2834" i="1" s="1"/>
  <c r="AC2835" i="1"/>
  <c r="AB2835" i="1" s="1"/>
  <c r="AC2836" i="1"/>
  <c r="AB2836" i="1" s="1"/>
  <c r="AC2837" i="1"/>
  <c r="AB2837" i="1" s="1"/>
  <c r="AC2838" i="1"/>
  <c r="AB2838" i="1" s="1"/>
  <c r="AC2839" i="1"/>
  <c r="AB2839" i="1" s="1"/>
  <c r="AC2840" i="1"/>
  <c r="AB2840" i="1" s="1"/>
  <c r="AC2841" i="1"/>
  <c r="AB2841" i="1" s="1"/>
  <c r="AC2842" i="1"/>
  <c r="AB2842" i="1" s="1"/>
  <c r="AC2843" i="1"/>
  <c r="AB2843" i="1" s="1"/>
  <c r="AC2844" i="1"/>
  <c r="AB2844" i="1" s="1"/>
  <c r="AC2845" i="1"/>
  <c r="AB2845" i="1" s="1"/>
  <c r="AC2846" i="1"/>
  <c r="AB2846" i="1" s="1"/>
  <c r="AC2847" i="1"/>
  <c r="AB2847" i="1" s="1"/>
  <c r="AC2848" i="1"/>
  <c r="AB2848" i="1" s="1"/>
  <c r="AC2849" i="1"/>
  <c r="AB2849" i="1" s="1"/>
  <c r="AC2850" i="1"/>
  <c r="AB2850" i="1" s="1"/>
  <c r="AC2851" i="1"/>
  <c r="AB2851" i="1" s="1"/>
  <c r="AC2852" i="1"/>
  <c r="AB2852" i="1" s="1"/>
  <c r="AC2853" i="1"/>
  <c r="AB2853" i="1" s="1"/>
  <c r="AC2854" i="1"/>
  <c r="AB2854" i="1" s="1"/>
  <c r="AC2855" i="1"/>
  <c r="AB2855" i="1" s="1"/>
  <c r="AC2856" i="1"/>
  <c r="AB2856" i="1" s="1"/>
  <c r="AC2857" i="1"/>
  <c r="AB2857" i="1" s="1"/>
  <c r="AC2858" i="1"/>
  <c r="AB2858" i="1" s="1"/>
  <c r="AC2859" i="1"/>
  <c r="AB2859" i="1" s="1"/>
  <c r="AC2860" i="1"/>
  <c r="AB2860" i="1" s="1"/>
  <c r="AC2861" i="1"/>
  <c r="AB2861" i="1" s="1"/>
  <c r="AC2862" i="1"/>
  <c r="AB2862" i="1" s="1"/>
  <c r="AC2863" i="1"/>
  <c r="AB2863" i="1" s="1"/>
  <c r="AC2864" i="1"/>
  <c r="AB2864" i="1" s="1"/>
  <c r="AC2865" i="1"/>
  <c r="AB2865" i="1" s="1"/>
  <c r="AC2866" i="1"/>
  <c r="AB2866" i="1" s="1"/>
  <c r="AC2867" i="1"/>
  <c r="AB2867" i="1" s="1"/>
  <c r="AC2868" i="1"/>
  <c r="AB2868" i="1" s="1"/>
  <c r="AC2869" i="1"/>
  <c r="AB2869" i="1" s="1"/>
  <c r="AC2870" i="1"/>
  <c r="AB2870" i="1" s="1"/>
  <c r="AC2871" i="1"/>
  <c r="AB2871" i="1" s="1"/>
  <c r="AC2872" i="1"/>
  <c r="AB2872" i="1" s="1"/>
  <c r="AC2873" i="1"/>
  <c r="AB2873" i="1" s="1"/>
  <c r="AC2874" i="1"/>
  <c r="AB2874" i="1" s="1"/>
  <c r="AC2875" i="1"/>
  <c r="AB2875" i="1" s="1"/>
  <c r="AC2876" i="1"/>
  <c r="AB2876" i="1" s="1"/>
  <c r="AC2877" i="1"/>
  <c r="AB2877" i="1" s="1"/>
  <c r="AC2878" i="1"/>
  <c r="AB2878" i="1" s="1"/>
  <c r="AC2879" i="1"/>
  <c r="AB2879" i="1" s="1"/>
  <c r="AC2880" i="1"/>
  <c r="AB2880" i="1" s="1"/>
  <c r="AC2881" i="1"/>
  <c r="AB2881" i="1" s="1"/>
  <c r="AC2882" i="1"/>
  <c r="AB2882" i="1" s="1"/>
  <c r="AC2883" i="1"/>
  <c r="AB2883" i="1" s="1"/>
  <c r="AC2884" i="1"/>
  <c r="AB2884" i="1" s="1"/>
  <c r="AC2885" i="1"/>
  <c r="AB2885" i="1" s="1"/>
  <c r="AC2886" i="1"/>
  <c r="AB2886" i="1" s="1"/>
  <c r="AC2887" i="1"/>
  <c r="AB2887" i="1" s="1"/>
  <c r="AC2888" i="1"/>
  <c r="AB2888" i="1" s="1"/>
  <c r="AC2889" i="1"/>
  <c r="AB2889" i="1" s="1"/>
  <c r="AC2890" i="1"/>
  <c r="AB2890" i="1" s="1"/>
  <c r="AC2891" i="1"/>
  <c r="AB2891" i="1" s="1"/>
  <c r="AC2892" i="1"/>
  <c r="AB2892" i="1" s="1"/>
  <c r="AC2893" i="1"/>
  <c r="AB2893" i="1" s="1"/>
  <c r="AC2894" i="1"/>
  <c r="AB2894" i="1" s="1"/>
  <c r="AC2895" i="1"/>
  <c r="AB2895" i="1" s="1"/>
  <c r="AC2896" i="1"/>
  <c r="AB2896" i="1" s="1"/>
  <c r="AC2897" i="1"/>
  <c r="AB2897" i="1" s="1"/>
  <c r="AC2898" i="1"/>
  <c r="AB2898" i="1" s="1"/>
  <c r="AC2899" i="1"/>
  <c r="AB2899" i="1" s="1"/>
  <c r="AC2900" i="1"/>
  <c r="AB2900" i="1" s="1"/>
  <c r="AC2901" i="1"/>
  <c r="AB2901" i="1" s="1"/>
  <c r="AC2902" i="1"/>
  <c r="AB2902" i="1" s="1"/>
  <c r="AC2903" i="1"/>
  <c r="AB2903" i="1" s="1"/>
  <c r="AC2904" i="1"/>
  <c r="AB2904" i="1" s="1"/>
  <c r="AC2905" i="1"/>
  <c r="AB2905" i="1" s="1"/>
  <c r="AC2906" i="1"/>
  <c r="AB2906" i="1" s="1"/>
  <c r="AC2907" i="1"/>
  <c r="AB2907" i="1" s="1"/>
  <c r="AC2908" i="1"/>
  <c r="AB2908" i="1" s="1"/>
  <c r="AC2909" i="1"/>
  <c r="AB2909" i="1" s="1"/>
  <c r="AC2910" i="1"/>
  <c r="AB2910" i="1" s="1"/>
  <c r="AC2911" i="1"/>
  <c r="AB2911" i="1" s="1"/>
  <c r="AC2912" i="1"/>
  <c r="AB2912" i="1" s="1"/>
  <c r="AC2913" i="1"/>
  <c r="AB2913" i="1" s="1"/>
  <c r="AC2914" i="1"/>
  <c r="AB2914" i="1" s="1"/>
  <c r="AC2915" i="1"/>
  <c r="AB2915" i="1" s="1"/>
  <c r="AC2916" i="1"/>
  <c r="AB2916" i="1" s="1"/>
  <c r="AC2917" i="1"/>
  <c r="AB2917" i="1" s="1"/>
  <c r="AC2918" i="1"/>
  <c r="AB2918" i="1" s="1"/>
  <c r="AC2919" i="1"/>
  <c r="AB2919" i="1" s="1"/>
  <c r="AC2920" i="1"/>
  <c r="AB2920" i="1" s="1"/>
  <c r="AC2921" i="1"/>
  <c r="AB2921" i="1" s="1"/>
  <c r="AC2922" i="1"/>
  <c r="AB2922" i="1" s="1"/>
  <c r="AC2923" i="1"/>
  <c r="AB2923" i="1" s="1"/>
  <c r="AC2924" i="1"/>
  <c r="AB2924" i="1" s="1"/>
  <c r="AC2925" i="1"/>
  <c r="AB2925" i="1" s="1"/>
  <c r="AC2926" i="1"/>
  <c r="AB2926" i="1" s="1"/>
  <c r="AC2927" i="1"/>
  <c r="AB2927" i="1" s="1"/>
  <c r="AC2928" i="1"/>
  <c r="AB2928" i="1" s="1"/>
  <c r="AC2929" i="1"/>
  <c r="AB2929" i="1" s="1"/>
  <c r="AC2930" i="1"/>
  <c r="AB2930" i="1" s="1"/>
  <c r="AC2931" i="1"/>
  <c r="AB2931" i="1" s="1"/>
  <c r="AC2932" i="1"/>
  <c r="AB2932" i="1" s="1"/>
  <c r="AC2933" i="1"/>
  <c r="AB2933" i="1" s="1"/>
  <c r="AC2934" i="1"/>
  <c r="AB2934" i="1" s="1"/>
  <c r="AC2935" i="1"/>
  <c r="AB2935" i="1" s="1"/>
  <c r="AC2936" i="1"/>
  <c r="AB2936" i="1" s="1"/>
  <c r="AC2937" i="1"/>
  <c r="AB2937" i="1" s="1"/>
  <c r="AC2938" i="1"/>
  <c r="AB2938" i="1" s="1"/>
  <c r="AC2939" i="1"/>
  <c r="AB2939" i="1" s="1"/>
  <c r="AC2940" i="1"/>
  <c r="AB2940" i="1" s="1"/>
  <c r="AC2941" i="1"/>
  <c r="AB2941" i="1" s="1"/>
  <c r="AC2942" i="1"/>
  <c r="AB2942" i="1" s="1"/>
  <c r="AC2943" i="1"/>
  <c r="AB2943" i="1" s="1"/>
  <c r="AC2944" i="1"/>
  <c r="AB2944" i="1" s="1"/>
  <c r="AC2945" i="1"/>
  <c r="AB2945" i="1" s="1"/>
  <c r="AC2946" i="1"/>
  <c r="AB2946" i="1" s="1"/>
  <c r="AC2947" i="1"/>
  <c r="AB2947" i="1" s="1"/>
  <c r="AC2948" i="1"/>
  <c r="AB2948" i="1" s="1"/>
  <c r="AC2949" i="1"/>
  <c r="AB2949" i="1" s="1"/>
  <c r="AC2950" i="1"/>
  <c r="AB2950" i="1" s="1"/>
  <c r="AC2951" i="1"/>
  <c r="AB2951" i="1" s="1"/>
  <c r="AC2952" i="1"/>
  <c r="AB2952" i="1" s="1"/>
  <c r="AC2953" i="1"/>
  <c r="AB2953" i="1" s="1"/>
  <c r="AC2954" i="1"/>
  <c r="AB2954" i="1" s="1"/>
  <c r="AC2955" i="1"/>
  <c r="AB2955" i="1" s="1"/>
  <c r="AC2956" i="1"/>
  <c r="AB2956" i="1" s="1"/>
  <c r="AC2957" i="1"/>
  <c r="AB2957" i="1" s="1"/>
  <c r="AC2958" i="1"/>
  <c r="AB2958" i="1" s="1"/>
  <c r="AC2959" i="1"/>
  <c r="AB2959" i="1" s="1"/>
  <c r="AC2960" i="1"/>
  <c r="AB2960" i="1" s="1"/>
  <c r="AC2961" i="1"/>
  <c r="AB2961" i="1" s="1"/>
  <c r="AC2962" i="1"/>
  <c r="AB2962" i="1" s="1"/>
  <c r="AC2963" i="1"/>
  <c r="AB2963" i="1" s="1"/>
  <c r="AC2964" i="1"/>
  <c r="AB2964" i="1" s="1"/>
  <c r="AC2965" i="1"/>
  <c r="AB2965" i="1" s="1"/>
  <c r="AC2966" i="1"/>
  <c r="AB2966" i="1" s="1"/>
  <c r="AC2967" i="1"/>
  <c r="AB2967" i="1" s="1"/>
  <c r="AC2968" i="1"/>
  <c r="AB2968" i="1" s="1"/>
  <c r="AC2969" i="1"/>
  <c r="AB2969" i="1" s="1"/>
  <c r="AC2970" i="1"/>
  <c r="AB2970" i="1" s="1"/>
  <c r="AC2971" i="1"/>
  <c r="AB2971" i="1" s="1"/>
  <c r="AC2972" i="1"/>
  <c r="AB2972" i="1" s="1"/>
  <c r="AC2973" i="1"/>
  <c r="AB2973" i="1" s="1"/>
  <c r="AC2974" i="1"/>
  <c r="AB2974" i="1" s="1"/>
  <c r="AC2975" i="1"/>
  <c r="AB2975" i="1" s="1"/>
  <c r="AC2976" i="1"/>
  <c r="AB2976" i="1" s="1"/>
  <c r="AC2977" i="1"/>
  <c r="AB2977" i="1" s="1"/>
  <c r="AC2978" i="1"/>
  <c r="AB2978" i="1" s="1"/>
  <c r="AC2979" i="1"/>
  <c r="AB2979" i="1" s="1"/>
  <c r="AC2980" i="1"/>
  <c r="AB2980" i="1" s="1"/>
  <c r="AC2981" i="1"/>
  <c r="AB2981" i="1" s="1"/>
  <c r="AC2982" i="1"/>
  <c r="AB2982" i="1" s="1"/>
  <c r="AC2983" i="1"/>
  <c r="AB2983" i="1" s="1"/>
  <c r="AC2984" i="1"/>
  <c r="AB2984" i="1" s="1"/>
  <c r="AC2985" i="1"/>
  <c r="AB2985" i="1" s="1"/>
  <c r="AC2986" i="1"/>
  <c r="AB2986" i="1" s="1"/>
  <c r="AC2987" i="1"/>
  <c r="AB2987" i="1" s="1"/>
  <c r="AC2988" i="1"/>
  <c r="AB2988" i="1" s="1"/>
  <c r="AC2989" i="1"/>
  <c r="AB2989" i="1" s="1"/>
  <c r="AC2990" i="1"/>
  <c r="AB2990" i="1" s="1"/>
  <c r="AC2991" i="1"/>
  <c r="AB2991" i="1" s="1"/>
  <c r="AC2992" i="1"/>
  <c r="AB2992" i="1" s="1"/>
  <c r="AC2993" i="1"/>
  <c r="AB2993" i="1" s="1"/>
  <c r="AC2994" i="1"/>
  <c r="AB2994" i="1" s="1"/>
  <c r="AC2995" i="1"/>
  <c r="AB2995" i="1" s="1"/>
  <c r="AC2996" i="1"/>
  <c r="AB2996" i="1" s="1"/>
  <c r="AC2997" i="1"/>
  <c r="AB2997" i="1" s="1"/>
  <c r="AC2998" i="1"/>
  <c r="AB2998" i="1" s="1"/>
  <c r="AC2999" i="1"/>
  <c r="AB2999" i="1" s="1"/>
  <c r="AC3000" i="1"/>
  <c r="AB3000" i="1" s="1"/>
  <c r="AC3001" i="1"/>
  <c r="AB3001" i="1" s="1"/>
  <c r="AC3002" i="1"/>
  <c r="AB3002" i="1" s="1"/>
  <c r="AC3003" i="1"/>
  <c r="AB3003" i="1" s="1"/>
  <c r="AC3004" i="1"/>
  <c r="AB3004" i="1" s="1"/>
  <c r="AC3005" i="1"/>
  <c r="AB3005" i="1" s="1"/>
  <c r="AC3006" i="1"/>
  <c r="AB3006" i="1" s="1"/>
  <c r="AC3007" i="1"/>
  <c r="AB3007" i="1" s="1"/>
  <c r="AC3008" i="1"/>
  <c r="AB3008" i="1" s="1"/>
  <c r="AC3009" i="1"/>
  <c r="AB3009" i="1" s="1"/>
  <c r="AC3010" i="1"/>
  <c r="AB3010" i="1" s="1"/>
  <c r="AC3011" i="1"/>
  <c r="AB3011" i="1" s="1"/>
  <c r="AC3012" i="1"/>
  <c r="AB3012" i="1" s="1"/>
  <c r="AC3013" i="1"/>
  <c r="AB3013" i="1" s="1"/>
  <c r="AC3014" i="1"/>
  <c r="AB3014" i="1" s="1"/>
  <c r="AC3015" i="1"/>
  <c r="AB3015" i="1" s="1"/>
  <c r="AC3016" i="1"/>
  <c r="AB3016" i="1" s="1"/>
  <c r="AC3017" i="1"/>
  <c r="AB3017" i="1" s="1"/>
  <c r="AC3018" i="1"/>
  <c r="AB3018" i="1" s="1"/>
  <c r="AC3019" i="1"/>
  <c r="AB3019" i="1" s="1"/>
  <c r="AC3020" i="1"/>
  <c r="AB3020" i="1" s="1"/>
  <c r="AC3021" i="1"/>
  <c r="AB3021" i="1" s="1"/>
  <c r="AC3022" i="1"/>
  <c r="AB3022" i="1" s="1"/>
  <c r="AC3023" i="1"/>
  <c r="AB3023" i="1" s="1"/>
  <c r="AC3024" i="1"/>
  <c r="AB3024" i="1" s="1"/>
  <c r="AC3025" i="1"/>
  <c r="AB3025" i="1" s="1"/>
  <c r="AC3026" i="1"/>
  <c r="AB3026" i="1" s="1"/>
  <c r="AC3027" i="1"/>
  <c r="AB3027" i="1" s="1"/>
  <c r="AC3028" i="1"/>
  <c r="AB3028" i="1" s="1"/>
  <c r="AC3029" i="1"/>
  <c r="AB3029" i="1" s="1"/>
  <c r="AC3030" i="1"/>
  <c r="AB3030" i="1" s="1"/>
  <c r="AC3031" i="1"/>
  <c r="AB3031" i="1" s="1"/>
  <c r="AC3032" i="1"/>
  <c r="AB3032" i="1" s="1"/>
  <c r="AC3033" i="1"/>
  <c r="AB3033" i="1" s="1"/>
  <c r="AC3034" i="1"/>
  <c r="AB3034" i="1" s="1"/>
  <c r="AC3035" i="1"/>
  <c r="AB3035" i="1" s="1"/>
  <c r="AC3036" i="1"/>
  <c r="AB3036" i="1" s="1"/>
  <c r="AC3037" i="1"/>
  <c r="AB3037" i="1" s="1"/>
  <c r="AC3038" i="1"/>
  <c r="AB3038" i="1" s="1"/>
  <c r="AC3039" i="1"/>
  <c r="AB3039" i="1" s="1"/>
  <c r="AC3040" i="1"/>
  <c r="AB3040" i="1" s="1"/>
  <c r="AC3041" i="1"/>
  <c r="AB3041" i="1" s="1"/>
  <c r="AC3042" i="1"/>
  <c r="AB3042" i="1" s="1"/>
  <c r="AC3043" i="1"/>
  <c r="AB3043" i="1" s="1"/>
  <c r="AC3044" i="1"/>
  <c r="AB3044" i="1" s="1"/>
  <c r="AC3045" i="1"/>
  <c r="AB3045" i="1" s="1"/>
  <c r="AC3046" i="1"/>
  <c r="AB3046" i="1" s="1"/>
  <c r="AC3047" i="1"/>
  <c r="AB3047" i="1" s="1"/>
  <c r="AC3048" i="1"/>
  <c r="AB3048" i="1" s="1"/>
  <c r="AC3049" i="1"/>
  <c r="AB3049" i="1" s="1"/>
  <c r="AC3050" i="1"/>
  <c r="AB3050" i="1" s="1"/>
  <c r="AC3051" i="1"/>
  <c r="AB3051" i="1" s="1"/>
  <c r="AC3052" i="1"/>
  <c r="AB3052" i="1" s="1"/>
  <c r="AC3053" i="1"/>
  <c r="AB3053" i="1" s="1"/>
  <c r="AC3054" i="1"/>
  <c r="AB3054" i="1" s="1"/>
  <c r="AC3055" i="1"/>
  <c r="AB3055" i="1" s="1"/>
  <c r="AC3056" i="1"/>
  <c r="AB3056" i="1" s="1"/>
  <c r="AC3057" i="1"/>
  <c r="AB3057" i="1" s="1"/>
  <c r="AC3058" i="1"/>
  <c r="AB3058" i="1" s="1"/>
  <c r="AC3059" i="1"/>
  <c r="AB3059" i="1" s="1"/>
  <c r="AC3060" i="1"/>
  <c r="AB3060" i="1" s="1"/>
  <c r="AC3061" i="1"/>
  <c r="AB3061" i="1" s="1"/>
  <c r="AC3062" i="1"/>
  <c r="AB3062" i="1" s="1"/>
  <c r="AC3063" i="1"/>
  <c r="AB3063" i="1" s="1"/>
  <c r="AC3064" i="1"/>
  <c r="AB3064" i="1" s="1"/>
  <c r="AC3065" i="1"/>
  <c r="AB3065" i="1" s="1"/>
  <c r="AC3066" i="1"/>
  <c r="AB3066" i="1" s="1"/>
  <c r="AC3067" i="1"/>
  <c r="AB3067" i="1" s="1"/>
  <c r="AC3068" i="1"/>
  <c r="AB3068" i="1" s="1"/>
  <c r="AC3069" i="1"/>
  <c r="AB3069" i="1" s="1"/>
  <c r="AC3070" i="1"/>
  <c r="AB3070" i="1" s="1"/>
  <c r="AC3071" i="1"/>
  <c r="AB3071" i="1" s="1"/>
  <c r="AC3072" i="1"/>
  <c r="AB3072" i="1" s="1"/>
  <c r="AC3073" i="1"/>
  <c r="AB3073" i="1" s="1"/>
  <c r="AC3074" i="1"/>
  <c r="AB3074" i="1" s="1"/>
  <c r="AC3075" i="1"/>
  <c r="AB3075" i="1" s="1"/>
  <c r="AC3076" i="1"/>
  <c r="AB3076" i="1" s="1"/>
  <c r="AC3077" i="1"/>
  <c r="AB3077" i="1" s="1"/>
  <c r="AC3078" i="1"/>
  <c r="AB3078" i="1" s="1"/>
  <c r="AC3079" i="1"/>
  <c r="AB3079" i="1" s="1"/>
  <c r="AC3080" i="1"/>
  <c r="AB3080" i="1" s="1"/>
  <c r="AC3081" i="1"/>
  <c r="AB3081" i="1" s="1"/>
  <c r="AC3082" i="1"/>
  <c r="AB3082" i="1" s="1"/>
  <c r="AC3083" i="1"/>
  <c r="AB3083" i="1" s="1"/>
  <c r="AC3084" i="1"/>
  <c r="AB3084" i="1" s="1"/>
  <c r="AC3085" i="1"/>
  <c r="AB3085" i="1" s="1"/>
  <c r="AC3086" i="1"/>
  <c r="AB3086" i="1" s="1"/>
  <c r="AC3087" i="1"/>
  <c r="AB3087" i="1" s="1"/>
  <c r="AC3088" i="1"/>
  <c r="AB3088" i="1" s="1"/>
  <c r="AC3089" i="1"/>
  <c r="AB3089" i="1" s="1"/>
  <c r="AC3090" i="1"/>
  <c r="AB3090" i="1" s="1"/>
  <c r="AC3091" i="1"/>
  <c r="AB3091" i="1" s="1"/>
  <c r="AC3092" i="1"/>
  <c r="AB3092" i="1" s="1"/>
  <c r="AC3093" i="1"/>
  <c r="AB3093" i="1" s="1"/>
  <c r="AC3094" i="1"/>
  <c r="AB3094" i="1" s="1"/>
  <c r="AC3095" i="1"/>
  <c r="AB3095" i="1" s="1"/>
  <c r="AC3096" i="1"/>
  <c r="AB3096" i="1" s="1"/>
  <c r="AC3097" i="1"/>
  <c r="AB3097" i="1" s="1"/>
  <c r="AC3098" i="1"/>
  <c r="AB3098" i="1" s="1"/>
  <c r="AC3099" i="1"/>
  <c r="AB3099" i="1" s="1"/>
  <c r="AC3100" i="1"/>
  <c r="AB3100" i="1" s="1"/>
  <c r="AC3101" i="1"/>
  <c r="AB3101" i="1" s="1"/>
  <c r="AC3102" i="1"/>
  <c r="AB3102" i="1" s="1"/>
  <c r="AC3103" i="1"/>
  <c r="AB3103" i="1" s="1"/>
  <c r="AC3104" i="1"/>
  <c r="AB3104" i="1" s="1"/>
  <c r="AC3105" i="1"/>
  <c r="AB3105" i="1" s="1"/>
  <c r="AC3106" i="1"/>
  <c r="AB3106" i="1" s="1"/>
  <c r="AC3107" i="1"/>
  <c r="AB3107" i="1" s="1"/>
  <c r="AC3108" i="1"/>
  <c r="AB3108" i="1" s="1"/>
  <c r="AC3109" i="1"/>
  <c r="AB3109" i="1" s="1"/>
  <c r="AC3110" i="1"/>
  <c r="AB3110" i="1" s="1"/>
  <c r="AC3111" i="1"/>
  <c r="AB3111" i="1" s="1"/>
  <c r="AC3112" i="1"/>
  <c r="AB3112" i="1" s="1"/>
  <c r="AC3113" i="1"/>
  <c r="AB3113" i="1" s="1"/>
  <c r="AC3114" i="1"/>
  <c r="AB3114" i="1" s="1"/>
  <c r="AC3115" i="1"/>
  <c r="AB3115" i="1" s="1"/>
  <c r="AC3116" i="1"/>
  <c r="AB3116" i="1" s="1"/>
  <c r="AC3117" i="1"/>
  <c r="AB3117" i="1" s="1"/>
  <c r="AC3118" i="1"/>
  <c r="AB3118" i="1" s="1"/>
  <c r="AC3119" i="1"/>
  <c r="AB3119" i="1" s="1"/>
  <c r="AC3120" i="1"/>
  <c r="AB3120" i="1" s="1"/>
  <c r="AC3121" i="1"/>
  <c r="AB3121" i="1" s="1"/>
  <c r="AC3122" i="1"/>
  <c r="AB3122" i="1" s="1"/>
  <c r="AC3123" i="1"/>
  <c r="AB3123" i="1" s="1"/>
  <c r="AC3124" i="1"/>
  <c r="AB3124" i="1" s="1"/>
  <c r="AC3125" i="1"/>
  <c r="AB3125" i="1" s="1"/>
  <c r="AC3126" i="1"/>
  <c r="AB3126" i="1" s="1"/>
  <c r="AC3127" i="1"/>
  <c r="AB3127" i="1" s="1"/>
  <c r="AC3128" i="1"/>
  <c r="AB3128" i="1" s="1"/>
  <c r="AC3129" i="1"/>
  <c r="AB3129" i="1" s="1"/>
  <c r="AC3130" i="1"/>
  <c r="AB3130" i="1" s="1"/>
  <c r="AC3131" i="1"/>
  <c r="AB3131" i="1" s="1"/>
  <c r="AC3132" i="1"/>
  <c r="AB3132" i="1" s="1"/>
  <c r="AC3133" i="1"/>
  <c r="AB3133" i="1" s="1"/>
  <c r="AC3134" i="1"/>
  <c r="AB3134" i="1" s="1"/>
  <c r="AC3135" i="1"/>
  <c r="AB3135" i="1" s="1"/>
  <c r="AC3136" i="1"/>
  <c r="AB3136" i="1" s="1"/>
  <c r="AC3137" i="1"/>
  <c r="AB3137" i="1" s="1"/>
  <c r="AC3138" i="1"/>
  <c r="AB3138" i="1" s="1"/>
  <c r="AC3139" i="1"/>
  <c r="AB3139" i="1" s="1"/>
  <c r="AC3140" i="1"/>
  <c r="AB3140" i="1" s="1"/>
  <c r="AC3141" i="1"/>
  <c r="AB3141" i="1" s="1"/>
  <c r="AC3142" i="1"/>
  <c r="AB3142" i="1" s="1"/>
  <c r="AC3143" i="1"/>
  <c r="AB3143" i="1" s="1"/>
  <c r="AC3144" i="1"/>
  <c r="AB3144" i="1" s="1"/>
  <c r="AC3145" i="1"/>
  <c r="AB3145" i="1" s="1"/>
  <c r="AC3146" i="1"/>
  <c r="AB3146" i="1" s="1"/>
  <c r="AC3147" i="1"/>
  <c r="AB3147" i="1" s="1"/>
  <c r="AC3148" i="1"/>
  <c r="AB3148" i="1" s="1"/>
  <c r="AC3149" i="1"/>
  <c r="AB3149" i="1" s="1"/>
  <c r="AC3150" i="1"/>
  <c r="AB3150" i="1" s="1"/>
  <c r="AC3151" i="1"/>
  <c r="AB3151" i="1" s="1"/>
  <c r="AC3152" i="1"/>
  <c r="AB3152" i="1" s="1"/>
  <c r="AC3153" i="1"/>
  <c r="AB3153" i="1" s="1"/>
  <c r="AC3154" i="1"/>
  <c r="AB3154" i="1" s="1"/>
  <c r="AC3155" i="1"/>
  <c r="AB3155" i="1" s="1"/>
  <c r="AC3156" i="1"/>
  <c r="AB3156" i="1" s="1"/>
  <c r="AC3157" i="1"/>
  <c r="AB3157" i="1" s="1"/>
  <c r="AC3158" i="1"/>
  <c r="AB3158" i="1" s="1"/>
  <c r="AC3159" i="1"/>
  <c r="AB3159" i="1" s="1"/>
  <c r="AC3160" i="1"/>
  <c r="AB3160" i="1" s="1"/>
  <c r="AC3161" i="1"/>
  <c r="AB3161" i="1" s="1"/>
  <c r="AC3162" i="1"/>
  <c r="AB3162" i="1" s="1"/>
  <c r="AC3163" i="1"/>
  <c r="AB3163" i="1" s="1"/>
  <c r="AC3164" i="1"/>
  <c r="AB3164" i="1" s="1"/>
  <c r="AC3165" i="1"/>
  <c r="AB3165" i="1" s="1"/>
  <c r="AC3166" i="1"/>
  <c r="AB3166" i="1" s="1"/>
  <c r="AC3167" i="1"/>
  <c r="AB3167" i="1" s="1"/>
  <c r="AC3168" i="1"/>
  <c r="AB3168" i="1" s="1"/>
  <c r="AC3169" i="1"/>
  <c r="AB3169" i="1" s="1"/>
  <c r="AC3170" i="1"/>
  <c r="AB3170" i="1" s="1"/>
  <c r="AC3171" i="1"/>
  <c r="AB3171" i="1" s="1"/>
  <c r="AC3172" i="1"/>
  <c r="AB3172" i="1" s="1"/>
  <c r="AC3173" i="1"/>
  <c r="AB3173" i="1" s="1"/>
  <c r="AC3174" i="1"/>
  <c r="AB3174" i="1" s="1"/>
  <c r="AC3175" i="1"/>
  <c r="AB3175" i="1" s="1"/>
  <c r="AC3176" i="1"/>
  <c r="AB3176" i="1" s="1"/>
  <c r="AC3177" i="1"/>
  <c r="AB3177" i="1" s="1"/>
  <c r="AC3178" i="1"/>
  <c r="AB3178" i="1" s="1"/>
  <c r="AC3179" i="1"/>
  <c r="AB3179" i="1" s="1"/>
  <c r="AC3180" i="1"/>
  <c r="AB3180" i="1" s="1"/>
  <c r="AC3181" i="1"/>
  <c r="AB3181" i="1" s="1"/>
  <c r="AC3182" i="1"/>
  <c r="AB3182" i="1" s="1"/>
  <c r="AC3183" i="1"/>
  <c r="AB3183" i="1" s="1"/>
  <c r="AC3184" i="1"/>
  <c r="AB3184" i="1" s="1"/>
  <c r="AC3185" i="1"/>
  <c r="AB3185" i="1" s="1"/>
  <c r="AC3186" i="1"/>
  <c r="AB3186" i="1" s="1"/>
  <c r="AC3187" i="1"/>
  <c r="AB3187" i="1" s="1"/>
  <c r="AC3188" i="1"/>
  <c r="AB3188" i="1" s="1"/>
  <c r="AC3189" i="1"/>
  <c r="AB3189" i="1" s="1"/>
  <c r="AC3190" i="1"/>
  <c r="AB3190" i="1" s="1"/>
  <c r="AC3191" i="1"/>
  <c r="AB3191" i="1" s="1"/>
  <c r="AC3192" i="1"/>
  <c r="AB3192" i="1" s="1"/>
  <c r="AC3193" i="1"/>
  <c r="AB3193" i="1" s="1"/>
  <c r="AC3194" i="1"/>
  <c r="AB3194" i="1" s="1"/>
  <c r="AC3195" i="1"/>
  <c r="AB3195" i="1" s="1"/>
  <c r="AC3196" i="1"/>
  <c r="AB3196" i="1" s="1"/>
  <c r="AC3197" i="1"/>
  <c r="AB3197" i="1" s="1"/>
  <c r="AC3198" i="1"/>
  <c r="AB3198" i="1" s="1"/>
  <c r="AC3199" i="1"/>
  <c r="AB3199" i="1" s="1"/>
  <c r="AC3200" i="1"/>
  <c r="AB3200" i="1" s="1"/>
  <c r="AC3201" i="1"/>
  <c r="AB3201" i="1" s="1"/>
  <c r="AC3202" i="1"/>
  <c r="AB3202" i="1" s="1"/>
  <c r="AC3203" i="1"/>
  <c r="AB3203" i="1" s="1"/>
  <c r="AC3204" i="1"/>
  <c r="AB3204" i="1" s="1"/>
  <c r="AC3205" i="1"/>
  <c r="AB3205" i="1" s="1"/>
  <c r="AC3206" i="1"/>
  <c r="AB3206" i="1" s="1"/>
  <c r="AC3207" i="1"/>
  <c r="AB3207" i="1" s="1"/>
  <c r="AC3208" i="1"/>
  <c r="AB3208" i="1" s="1"/>
  <c r="AC3209" i="1"/>
  <c r="AB3209" i="1" s="1"/>
  <c r="AC3210" i="1"/>
  <c r="AB3210" i="1" s="1"/>
  <c r="AC3211" i="1"/>
  <c r="AB3211" i="1" s="1"/>
  <c r="AC3212" i="1"/>
  <c r="AB3212" i="1" s="1"/>
  <c r="AC3213" i="1"/>
  <c r="AB3213" i="1" s="1"/>
  <c r="AC3214" i="1"/>
  <c r="AB3214" i="1" s="1"/>
  <c r="AC3215" i="1"/>
  <c r="AB3215" i="1" s="1"/>
  <c r="AC3216" i="1"/>
  <c r="AB3216" i="1" s="1"/>
  <c r="AC3217" i="1"/>
  <c r="AB3217" i="1" s="1"/>
  <c r="AC3218" i="1"/>
  <c r="AB3218" i="1" s="1"/>
  <c r="AC3219" i="1"/>
  <c r="AB3219" i="1" s="1"/>
  <c r="AC3220" i="1"/>
  <c r="AB3220" i="1" s="1"/>
  <c r="AC3221" i="1"/>
  <c r="AB3221" i="1" s="1"/>
  <c r="AC3222" i="1"/>
  <c r="AB3222" i="1" s="1"/>
  <c r="AC3223" i="1"/>
  <c r="AB3223" i="1" s="1"/>
  <c r="AC3224" i="1"/>
  <c r="AB3224" i="1" s="1"/>
  <c r="AC3225" i="1"/>
  <c r="AB3225" i="1" s="1"/>
  <c r="AC3226" i="1"/>
  <c r="AB3226" i="1" s="1"/>
  <c r="AC3227" i="1"/>
  <c r="AB3227" i="1" s="1"/>
  <c r="AC3228" i="1"/>
  <c r="AB3228" i="1" s="1"/>
  <c r="AC3229" i="1"/>
  <c r="AB3229" i="1" s="1"/>
  <c r="AC3230" i="1"/>
  <c r="AB3230" i="1" s="1"/>
  <c r="AC3231" i="1"/>
  <c r="AB3231" i="1" s="1"/>
  <c r="AC3232" i="1"/>
  <c r="AB3232" i="1" s="1"/>
  <c r="AC3233" i="1"/>
  <c r="AB3233" i="1" s="1"/>
  <c r="AC3234" i="1"/>
  <c r="AB3234" i="1" s="1"/>
  <c r="AC3235" i="1"/>
  <c r="AB3235" i="1" s="1"/>
  <c r="AC3236" i="1"/>
  <c r="AB3236" i="1" s="1"/>
  <c r="AC3237" i="1"/>
  <c r="AB3237" i="1" s="1"/>
  <c r="AC3238" i="1"/>
  <c r="AB3238" i="1" s="1"/>
  <c r="AC3239" i="1"/>
  <c r="AB3239" i="1" s="1"/>
  <c r="AC3240" i="1"/>
  <c r="AB3240" i="1" s="1"/>
  <c r="AC3241" i="1"/>
  <c r="AB3241" i="1" s="1"/>
  <c r="AC3242" i="1"/>
  <c r="AB3242" i="1" s="1"/>
  <c r="AC3243" i="1"/>
  <c r="AB3243" i="1" s="1"/>
  <c r="AC3244" i="1"/>
  <c r="AB3244" i="1" s="1"/>
  <c r="AC3245" i="1"/>
  <c r="AB3245" i="1" s="1"/>
  <c r="AC3246" i="1"/>
  <c r="AB3246" i="1" s="1"/>
  <c r="AC3247" i="1"/>
  <c r="AB3247" i="1" s="1"/>
  <c r="AC3248" i="1"/>
  <c r="AB3248" i="1" s="1"/>
  <c r="AC3249" i="1"/>
  <c r="AB3249" i="1" s="1"/>
  <c r="AC3250" i="1"/>
  <c r="AB3250" i="1" s="1"/>
  <c r="AC3251" i="1"/>
  <c r="AB3251" i="1" s="1"/>
  <c r="AC3252" i="1"/>
  <c r="AB3252" i="1" s="1"/>
  <c r="AC3253" i="1"/>
  <c r="AB3253" i="1" s="1"/>
  <c r="AC3254" i="1"/>
  <c r="AB3254" i="1" s="1"/>
  <c r="AC3255" i="1"/>
  <c r="AB3255" i="1" s="1"/>
  <c r="AC3256" i="1"/>
  <c r="AB3256" i="1" s="1"/>
  <c r="AC3257" i="1"/>
  <c r="AB3257" i="1" s="1"/>
  <c r="AC3258" i="1"/>
  <c r="AB3258" i="1" s="1"/>
  <c r="AC3259" i="1"/>
  <c r="AB3259" i="1" s="1"/>
  <c r="AC3260" i="1"/>
  <c r="AB3260" i="1" s="1"/>
  <c r="AC3261" i="1"/>
  <c r="AB3261" i="1" s="1"/>
  <c r="AC3262" i="1"/>
  <c r="AB3262" i="1" s="1"/>
  <c r="AC3263" i="1"/>
  <c r="AB3263" i="1" s="1"/>
  <c r="AC3264" i="1"/>
  <c r="AB3264" i="1" s="1"/>
  <c r="AC3265" i="1"/>
  <c r="AB3265" i="1" s="1"/>
  <c r="AC3266" i="1"/>
  <c r="AB3266" i="1" s="1"/>
  <c r="AC3267" i="1"/>
  <c r="AB3267" i="1" s="1"/>
  <c r="AC3268" i="1"/>
  <c r="AB3268" i="1" s="1"/>
  <c r="AC3269" i="1"/>
  <c r="AB3269" i="1" s="1"/>
  <c r="AC3270" i="1"/>
  <c r="AB3270" i="1" s="1"/>
  <c r="AC3271" i="1"/>
  <c r="AB3271" i="1" s="1"/>
  <c r="AC3272" i="1"/>
  <c r="AB3272" i="1" s="1"/>
  <c r="AC3273" i="1"/>
  <c r="AB3273" i="1" s="1"/>
  <c r="AC3274" i="1"/>
  <c r="AB3274" i="1" s="1"/>
  <c r="AC3275" i="1"/>
  <c r="AB3275" i="1" s="1"/>
  <c r="AC3276" i="1"/>
  <c r="AB3276" i="1" s="1"/>
  <c r="AC3277" i="1"/>
  <c r="AB3277" i="1" s="1"/>
  <c r="AC3278" i="1"/>
  <c r="AB3278" i="1" s="1"/>
  <c r="AC3279" i="1"/>
  <c r="AB3279" i="1" s="1"/>
  <c r="AC3280" i="1"/>
  <c r="AB3280" i="1" s="1"/>
  <c r="AC3281" i="1"/>
  <c r="AB3281" i="1" s="1"/>
  <c r="AC3282" i="1"/>
  <c r="AB3282" i="1" s="1"/>
  <c r="AC3283" i="1"/>
  <c r="AB3283" i="1" s="1"/>
  <c r="AC3284" i="1"/>
  <c r="AB3284" i="1" s="1"/>
  <c r="AC3285" i="1"/>
  <c r="AB3285" i="1" s="1"/>
  <c r="AC3286" i="1"/>
  <c r="AB3286" i="1" s="1"/>
  <c r="AC3287" i="1"/>
  <c r="AB3287" i="1" s="1"/>
  <c r="AC3288" i="1"/>
  <c r="AB3288" i="1" s="1"/>
  <c r="AC3289" i="1"/>
  <c r="AB3289" i="1" s="1"/>
  <c r="AC3290" i="1"/>
  <c r="AB3290" i="1" s="1"/>
  <c r="AC3291" i="1"/>
  <c r="AB3291" i="1" s="1"/>
  <c r="AC3292" i="1"/>
  <c r="AB3292" i="1" s="1"/>
  <c r="AC3293" i="1"/>
  <c r="AB3293" i="1" s="1"/>
  <c r="AC3294" i="1"/>
  <c r="AB3294" i="1" s="1"/>
  <c r="AC3295" i="1"/>
  <c r="AB3295" i="1" s="1"/>
  <c r="AC3296" i="1"/>
  <c r="AB3296" i="1" s="1"/>
  <c r="AC3297" i="1"/>
  <c r="AB3297" i="1" s="1"/>
  <c r="AC3298" i="1"/>
  <c r="AB3298" i="1" s="1"/>
  <c r="AC3299" i="1"/>
  <c r="AB3299" i="1" s="1"/>
  <c r="AC3300" i="1"/>
  <c r="AB3300" i="1" s="1"/>
  <c r="AC3301" i="1"/>
  <c r="AB3301" i="1" s="1"/>
  <c r="AC3302" i="1"/>
  <c r="AB3302" i="1" s="1"/>
  <c r="AC3303" i="1"/>
  <c r="AB3303" i="1" s="1"/>
  <c r="AC3304" i="1"/>
  <c r="AB3304" i="1" s="1"/>
  <c r="AC3305" i="1"/>
  <c r="AB3305" i="1" s="1"/>
  <c r="AC3306" i="1"/>
  <c r="AB3306" i="1" s="1"/>
  <c r="AC3307" i="1"/>
  <c r="AB3307" i="1" s="1"/>
  <c r="AC3308" i="1"/>
  <c r="AB3308" i="1" s="1"/>
  <c r="AC3309" i="1"/>
  <c r="AB3309" i="1" s="1"/>
  <c r="AC3310" i="1"/>
  <c r="AB3310" i="1" s="1"/>
  <c r="AC3311" i="1"/>
  <c r="AB3311" i="1" s="1"/>
  <c r="AC3312" i="1"/>
  <c r="AB3312" i="1" s="1"/>
  <c r="AC3313" i="1"/>
  <c r="AB3313" i="1" s="1"/>
  <c r="AC3314" i="1"/>
  <c r="AB3314" i="1" s="1"/>
  <c r="AC3315" i="1"/>
  <c r="AB3315" i="1" s="1"/>
  <c r="AC3316" i="1"/>
  <c r="AB3316" i="1" s="1"/>
  <c r="AC3317" i="1"/>
  <c r="AB3317" i="1" s="1"/>
  <c r="AC3318" i="1"/>
  <c r="AB3318" i="1" s="1"/>
  <c r="AC3319" i="1"/>
  <c r="AB3319" i="1" s="1"/>
  <c r="AC3320" i="1"/>
  <c r="AB3320" i="1" s="1"/>
  <c r="AC3321" i="1"/>
  <c r="AB3321" i="1" s="1"/>
  <c r="AC3322" i="1"/>
  <c r="AB3322" i="1" s="1"/>
  <c r="AC3323" i="1"/>
  <c r="AB3323" i="1" s="1"/>
  <c r="AC3324" i="1"/>
  <c r="AB3324" i="1" s="1"/>
  <c r="AC3325" i="1"/>
  <c r="AB3325" i="1" s="1"/>
  <c r="AC3326" i="1"/>
  <c r="AB3326" i="1" s="1"/>
  <c r="AC3327" i="1"/>
  <c r="AB3327" i="1" s="1"/>
  <c r="AC3328" i="1"/>
  <c r="AB3328" i="1" s="1"/>
  <c r="AC3329" i="1"/>
  <c r="AB3329" i="1" s="1"/>
  <c r="AC3330" i="1"/>
  <c r="AB3330" i="1" s="1"/>
  <c r="AC3331" i="1"/>
  <c r="AB3331" i="1" s="1"/>
  <c r="AC3332" i="1"/>
  <c r="AB3332" i="1" s="1"/>
  <c r="AC3333" i="1"/>
  <c r="AB3333" i="1" s="1"/>
  <c r="AC3334" i="1"/>
  <c r="AB3334" i="1" s="1"/>
  <c r="AC3335" i="1"/>
  <c r="AB3335" i="1" s="1"/>
  <c r="AC3336" i="1"/>
  <c r="AB3336" i="1" s="1"/>
  <c r="AC3337" i="1"/>
  <c r="AB3337" i="1" s="1"/>
  <c r="AC3338" i="1"/>
  <c r="AB3338" i="1" s="1"/>
  <c r="AC3339" i="1"/>
  <c r="AB3339" i="1" s="1"/>
  <c r="AC3340" i="1"/>
  <c r="AB3340" i="1" s="1"/>
  <c r="AC3341" i="1"/>
  <c r="AB3341" i="1" s="1"/>
  <c r="AC3342" i="1"/>
  <c r="AB3342" i="1" s="1"/>
  <c r="AC3343" i="1"/>
  <c r="AB3343" i="1" s="1"/>
  <c r="AC3344" i="1"/>
  <c r="AB3344" i="1" s="1"/>
  <c r="AC3345" i="1"/>
  <c r="AB3345" i="1" s="1"/>
  <c r="AC3346" i="1"/>
  <c r="AB3346" i="1" s="1"/>
  <c r="AC3347" i="1"/>
  <c r="AB3347" i="1" s="1"/>
  <c r="AC3348" i="1"/>
  <c r="AB3348" i="1" s="1"/>
  <c r="AC3349" i="1"/>
  <c r="AB3349" i="1" s="1"/>
  <c r="AC3350" i="1"/>
  <c r="AB3350" i="1" s="1"/>
  <c r="AC3351" i="1"/>
  <c r="AB3351" i="1" s="1"/>
  <c r="AC3352" i="1"/>
  <c r="AB3352" i="1" s="1"/>
  <c r="AC3353" i="1"/>
  <c r="AB3353" i="1" s="1"/>
  <c r="AC3354" i="1"/>
  <c r="AB3354" i="1" s="1"/>
  <c r="AC3355" i="1"/>
  <c r="AB3355" i="1" s="1"/>
  <c r="AC3356" i="1"/>
  <c r="AB3356" i="1" s="1"/>
  <c r="AC3357" i="1"/>
  <c r="AB3357" i="1" s="1"/>
  <c r="AC3358" i="1"/>
  <c r="AB3358" i="1" s="1"/>
  <c r="AC3359" i="1"/>
  <c r="AB3359" i="1" s="1"/>
  <c r="AC3360" i="1"/>
  <c r="AB3360" i="1" s="1"/>
  <c r="AC3361" i="1"/>
  <c r="AB3361" i="1" s="1"/>
  <c r="AC3362" i="1"/>
  <c r="AB3362" i="1" s="1"/>
  <c r="AC3363" i="1"/>
  <c r="AB3363" i="1" s="1"/>
  <c r="AC3364" i="1"/>
  <c r="AB3364" i="1" s="1"/>
  <c r="AC3365" i="1"/>
  <c r="AB3365" i="1" s="1"/>
  <c r="AC3366" i="1"/>
  <c r="AB3366" i="1" s="1"/>
  <c r="AC3367" i="1"/>
  <c r="AB3367" i="1" s="1"/>
  <c r="AC3368" i="1"/>
  <c r="AB3368" i="1" s="1"/>
  <c r="AC3369" i="1"/>
  <c r="AB3369" i="1" s="1"/>
  <c r="AC3370" i="1"/>
  <c r="AB3370" i="1" s="1"/>
  <c r="AC3371" i="1"/>
  <c r="AB3371" i="1" s="1"/>
  <c r="AC3372" i="1"/>
  <c r="AB3372" i="1" s="1"/>
  <c r="AC3373" i="1"/>
  <c r="AB3373" i="1" s="1"/>
  <c r="AC3374" i="1"/>
  <c r="AB3374" i="1" s="1"/>
  <c r="AC3375" i="1"/>
  <c r="AB3375" i="1" s="1"/>
  <c r="AC3376" i="1"/>
  <c r="AB3376" i="1" s="1"/>
  <c r="AC3377" i="1"/>
  <c r="AB3377" i="1" s="1"/>
  <c r="AC3378" i="1"/>
  <c r="AB3378" i="1" s="1"/>
  <c r="AC3379" i="1"/>
  <c r="AB3379" i="1" s="1"/>
  <c r="AC3380" i="1"/>
  <c r="AB3380" i="1" s="1"/>
  <c r="AC3381" i="1"/>
  <c r="AB3381" i="1" s="1"/>
  <c r="AC3382" i="1"/>
  <c r="AB3382" i="1" s="1"/>
  <c r="AC3383" i="1"/>
  <c r="AB3383" i="1" s="1"/>
  <c r="AC3384" i="1"/>
  <c r="AB3384" i="1" s="1"/>
  <c r="AC3385" i="1"/>
  <c r="AB3385" i="1" s="1"/>
  <c r="AC3386" i="1"/>
  <c r="AB3386" i="1" s="1"/>
  <c r="AC3387" i="1"/>
  <c r="AB3387" i="1" s="1"/>
  <c r="AC3388" i="1"/>
  <c r="AB3388" i="1" s="1"/>
  <c r="AC3389" i="1"/>
  <c r="AB3389" i="1" s="1"/>
  <c r="AC3390" i="1"/>
  <c r="AB3390" i="1" s="1"/>
  <c r="AC3391" i="1"/>
  <c r="AB3391" i="1" s="1"/>
  <c r="AC3392" i="1"/>
  <c r="AB3392" i="1" s="1"/>
  <c r="AC3393" i="1"/>
  <c r="AB3393" i="1" s="1"/>
  <c r="AC3394" i="1"/>
  <c r="AB3394" i="1" s="1"/>
  <c r="AC3395" i="1"/>
  <c r="AB3395" i="1" s="1"/>
  <c r="AC3396" i="1"/>
  <c r="AB3396" i="1" s="1"/>
  <c r="AC3397" i="1"/>
  <c r="AB3397" i="1" s="1"/>
  <c r="AC3398" i="1"/>
  <c r="AB3398" i="1" s="1"/>
  <c r="AC3399" i="1"/>
  <c r="AB3399" i="1" s="1"/>
  <c r="AC3400" i="1"/>
  <c r="AB3400" i="1" s="1"/>
  <c r="AC3401" i="1"/>
  <c r="AB3401" i="1" s="1"/>
  <c r="AC3402" i="1"/>
  <c r="AB3402" i="1" s="1"/>
  <c r="AC3403" i="1"/>
  <c r="AB3403" i="1" s="1"/>
  <c r="AC3404" i="1"/>
  <c r="AB3404" i="1" s="1"/>
  <c r="AC3405" i="1"/>
  <c r="AB3405" i="1" s="1"/>
  <c r="AC3406" i="1"/>
  <c r="AB3406" i="1" s="1"/>
  <c r="AC3407" i="1"/>
  <c r="AB3407" i="1" s="1"/>
  <c r="AC3408" i="1"/>
  <c r="AB3408" i="1" s="1"/>
  <c r="AC3409" i="1"/>
  <c r="AB3409" i="1" s="1"/>
  <c r="AC3410" i="1"/>
  <c r="AB3410" i="1" s="1"/>
  <c r="AC3411" i="1"/>
  <c r="AB3411" i="1" s="1"/>
  <c r="AC3412" i="1"/>
  <c r="AB3412" i="1" s="1"/>
  <c r="AC3413" i="1"/>
  <c r="AB3413" i="1" s="1"/>
  <c r="AC3414" i="1"/>
  <c r="AB3414" i="1" s="1"/>
  <c r="AC3415" i="1"/>
  <c r="AB3415" i="1" s="1"/>
  <c r="AC3416" i="1"/>
  <c r="AB3416" i="1" s="1"/>
  <c r="AC3417" i="1"/>
  <c r="AB3417" i="1" s="1"/>
  <c r="AC3418" i="1"/>
  <c r="AB3418" i="1" s="1"/>
  <c r="AC3419" i="1"/>
  <c r="AB3419" i="1" s="1"/>
  <c r="AC3420" i="1"/>
  <c r="AB3420" i="1" s="1"/>
  <c r="AC3421" i="1"/>
  <c r="AB3421" i="1" s="1"/>
  <c r="AC3422" i="1"/>
  <c r="AB3422" i="1" s="1"/>
  <c r="AC3423" i="1"/>
  <c r="AB3423" i="1" s="1"/>
  <c r="AC3424" i="1"/>
  <c r="AB3424" i="1" s="1"/>
  <c r="AC3425" i="1"/>
  <c r="AB3425" i="1" s="1"/>
  <c r="AC3426" i="1"/>
  <c r="AB3426" i="1" s="1"/>
  <c r="AC3427" i="1"/>
  <c r="AB3427" i="1" s="1"/>
  <c r="AC3428" i="1"/>
  <c r="AB3428" i="1" s="1"/>
  <c r="AC3429" i="1"/>
  <c r="AB3429" i="1" s="1"/>
  <c r="AC3430" i="1"/>
  <c r="AB3430" i="1" s="1"/>
  <c r="AC3431" i="1"/>
  <c r="AB3431" i="1" s="1"/>
  <c r="AC3432" i="1"/>
  <c r="AB3432" i="1" s="1"/>
  <c r="AC3433" i="1"/>
  <c r="AB3433" i="1" s="1"/>
  <c r="AC3434" i="1"/>
  <c r="AB3434" i="1" s="1"/>
  <c r="AC3435" i="1"/>
  <c r="AB3435" i="1" s="1"/>
  <c r="AC3436" i="1"/>
  <c r="AB3436" i="1" s="1"/>
  <c r="AC3437" i="1"/>
  <c r="AB3437" i="1" s="1"/>
  <c r="AC3438" i="1"/>
  <c r="AB3438" i="1" s="1"/>
  <c r="AC3439" i="1"/>
  <c r="AB3439" i="1" s="1"/>
  <c r="AC3440" i="1"/>
  <c r="AB3440" i="1" s="1"/>
  <c r="AC3441" i="1"/>
  <c r="AB3441" i="1" s="1"/>
  <c r="AC3442" i="1"/>
  <c r="AB3442" i="1" s="1"/>
  <c r="AC3443" i="1"/>
  <c r="AB3443" i="1" s="1"/>
  <c r="AC3444" i="1"/>
  <c r="AB3444" i="1" s="1"/>
  <c r="AC3445" i="1"/>
  <c r="AB3445" i="1" s="1"/>
  <c r="AC3446" i="1"/>
  <c r="AB3446" i="1" s="1"/>
  <c r="AC3447" i="1"/>
  <c r="AB3447" i="1" s="1"/>
  <c r="AC3448" i="1"/>
  <c r="AB3448" i="1" s="1"/>
  <c r="AC3449" i="1"/>
  <c r="AB3449" i="1" s="1"/>
  <c r="AC3450" i="1"/>
  <c r="AB3450" i="1" s="1"/>
  <c r="AC3451" i="1"/>
  <c r="AB3451" i="1" s="1"/>
  <c r="AC3452" i="1"/>
  <c r="AB3452" i="1" s="1"/>
  <c r="AC3453" i="1"/>
  <c r="AB3453" i="1" s="1"/>
  <c r="AC3454" i="1"/>
  <c r="AB3454" i="1" s="1"/>
  <c r="AC3455" i="1"/>
  <c r="AB3455" i="1" s="1"/>
  <c r="AC3456" i="1"/>
  <c r="AB3456" i="1" s="1"/>
  <c r="AC3457" i="1"/>
  <c r="AB3457" i="1" s="1"/>
  <c r="AC3458" i="1"/>
  <c r="AB3458" i="1" s="1"/>
  <c r="AC3459" i="1"/>
  <c r="AB3459" i="1" s="1"/>
  <c r="AC3460" i="1"/>
  <c r="AB3460" i="1" s="1"/>
  <c r="AC3461" i="1"/>
  <c r="AB3461" i="1" s="1"/>
  <c r="AC3462" i="1"/>
  <c r="AB3462" i="1" s="1"/>
  <c r="AC3463" i="1"/>
  <c r="AB3463" i="1" s="1"/>
  <c r="AC3464" i="1"/>
  <c r="AB3464" i="1" s="1"/>
  <c r="AC3465" i="1"/>
  <c r="AB3465" i="1" s="1"/>
  <c r="AC3466" i="1"/>
  <c r="AB3466" i="1" s="1"/>
  <c r="AC3467" i="1"/>
  <c r="AB3467" i="1" s="1"/>
  <c r="AC3468" i="1"/>
  <c r="AB3468" i="1" s="1"/>
  <c r="AC3469" i="1"/>
  <c r="AB3469" i="1" s="1"/>
  <c r="AC3470" i="1"/>
  <c r="AB3470" i="1" s="1"/>
  <c r="AC3471" i="1"/>
  <c r="AB3471" i="1" s="1"/>
  <c r="AC3472" i="1"/>
  <c r="AB3472" i="1" s="1"/>
  <c r="AC3473" i="1"/>
  <c r="AB3473" i="1" s="1"/>
  <c r="AC3474" i="1"/>
  <c r="AB3474" i="1" s="1"/>
  <c r="AC3475" i="1"/>
  <c r="AB3475" i="1" s="1"/>
  <c r="AC3476" i="1"/>
  <c r="AB3476" i="1" s="1"/>
  <c r="AC3477" i="1"/>
  <c r="AB3477" i="1" s="1"/>
  <c r="AC3478" i="1"/>
  <c r="AB3478" i="1" s="1"/>
  <c r="AC3479" i="1"/>
  <c r="AB3479" i="1" s="1"/>
  <c r="AC3480" i="1"/>
  <c r="AB3480" i="1" s="1"/>
  <c r="AC3481" i="1"/>
  <c r="AB3481" i="1" s="1"/>
  <c r="AC3482" i="1"/>
  <c r="AB3482" i="1" s="1"/>
  <c r="AC3483" i="1"/>
  <c r="AB3483" i="1" s="1"/>
  <c r="AC3484" i="1"/>
  <c r="AB3484" i="1" s="1"/>
  <c r="AC3485" i="1"/>
  <c r="AB3485" i="1" s="1"/>
  <c r="AC3486" i="1"/>
  <c r="AB3486" i="1" s="1"/>
  <c r="AC3487" i="1"/>
  <c r="AB3487" i="1" s="1"/>
  <c r="AC3488" i="1"/>
  <c r="AB3488" i="1" s="1"/>
  <c r="AC3489" i="1"/>
  <c r="AB3489" i="1" s="1"/>
  <c r="AC3490" i="1"/>
  <c r="AB3490" i="1" s="1"/>
  <c r="AC3491" i="1"/>
  <c r="AB3491" i="1" s="1"/>
  <c r="AC3492" i="1"/>
  <c r="AB3492" i="1" s="1"/>
  <c r="AC3493" i="1"/>
  <c r="AB3493" i="1" s="1"/>
  <c r="AC3494" i="1"/>
  <c r="AB3494" i="1" s="1"/>
  <c r="AC3495" i="1"/>
  <c r="AB3495" i="1" s="1"/>
  <c r="AC3496" i="1"/>
  <c r="AB3496" i="1" s="1"/>
  <c r="AC3497" i="1"/>
  <c r="AB3497" i="1" s="1"/>
  <c r="AC3498" i="1"/>
  <c r="AB3498" i="1" s="1"/>
  <c r="AC3499" i="1"/>
  <c r="AB3499" i="1" s="1"/>
  <c r="AC3500" i="1"/>
  <c r="AB3500" i="1" s="1"/>
  <c r="AC3501" i="1"/>
  <c r="AB3501" i="1" s="1"/>
  <c r="AC3502" i="1"/>
  <c r="AB3502" i="1" s="1"/>
  <c r="AC3503" i="1"/>
  <c r="AB3503" i="1" s="1"/>
  <c r="AC3504" i="1"/>
  <c r="AB3504" i="1" s="1"/>
  <c r="AC3505" i="1"/>
  <c r="AB3505" i="1" s="1"/>
  <c r="AC3506" i="1"/>
  <c r="AB3506" i="1" s="1"/>
  <c r="AC3507" i="1"/>
  <c r="AB3507" i="1" s="1"/>
  <c r="AC3508" i="1"/>
  <c r="AB3508" i="1" s="1"/>
  <c r="AC3509" i="1"/>
  <c r="AB3509" i="1" s="1"/>
  <c r="AC3510" i="1"/>
  <c r="AB3510" i="1" s="1"/>
  <c r="AC3511" i="1"/>
  <c r="AB3511" i="1" s="1"/>
  <c r="AC3512" i="1"/>
  <c r="AB3512" i="1" s="1"/>
  <c r="AC3513" i="1"/>
  <c r="AB3513" i="1" s="1"/>
  <c r="AC3514" i="1"/>
  <c r="AB3514" i="1" s="1"/>
  <c r="AC3515" i="1"/>
  <c r="AB3515" i="1" s="1"/>
  <c r="AC3516" i="1"/>
  <c r="AB3516" i="1" s="1"/>
  <c r="AC3517" i="1"/>
  <c r="AB3517" i="1" s="1"/>
  <c r="AC3518" i="1"/>
  <c r="AB3518" i="1" s="1"/>
  <c r="AC3519" i="1"/>
  <c r="AB3519" i="1" s="1"/>
  <c r="AC3520" i="1"/>
  <c r="AB3520" i="1" s="1"/>
  <c r="AC3521" i="1"/>
  <c r="AB3521" i="1" s="1"/>
  <c r="AC3522" i="1"/>
  <c r="AB3522" i="1" s="1"/>
  <c r="AC3523" i="1"/>
  <c r="AB3523" i="1" s="1"/>
  <c r="AC3524" i="1"/>
  <c r="AB3524" i="1" s="1"/>
  <c r="AC3525" i="1"/>
  <c r="AB3525" i="1" s="1"/>
  <c r="AC3526" i="1"/>
  <c r="AB3526" i="1" s="1"/>
  <c r="AC3527" i="1"/>
  <c r="AB3527" i="1" s="1"/>
  <c r="AC3528" i="1"/>
  <c r="AB3528" i="1" s="1"/>
  <c r="AC3529" i="1"/>
  <c r="AB3529" i="1" s="1"/>
  <c r="AC3530" i="1"/>
  <c r="AB3530" i="1" s="1"/>
  <c r="AC3531" i="1"/>
  <c r="AB3531" i="1" s="1"/>
  <c r="AC3532" i="1"/>
  <c r="AB3532" i="1" s="1"/>
  <c r="AC3533" i="1"/>
  <c r="AB3533" i="1" s="1"/>
  <c r="AC3534" i="1"/>
  <c r="AB3534" i="1" s="1"/>
  <c r="AC3535" i="1"/>
  <c r="AB3535" i="1" s="1"/>
  <c r="AC3536" i="1"/>
  <c r="AB3536" i="1" s="1"/>
  <c r="AC3537" i="1"/>
  <c r="AB3537" i="1" s="1"/>
  <c r="AC3538" i="1"/>
  <c r="AB3538" i="1" s="1"/>
  <c r="AC3539" i="1"/>
  <c r="AB3539" i="1" s="1"/>
  <c r="AC3540" i="1"/>
  <c r="AB3540" i="1" s="1"/>
  <c r="AC3541" i="1"/>
  <c r="AB3541" i="1" s="1"/>
  <c r="AC3542" i="1"/>
  <c r="AB3542" i="1" s="1"/>
  <c r="AC3543" i="1"/>
  <c r="AB3543" i="1" s="1"/>
  <c r="AC3544" i="1"/>
  <c r="AB3544" i="1" s="1"/>
  <c r="AC3545" i="1"/>
  <c r="AB3545" i="1" s="1"/>
  <c r="AC3546" i="1"/>
  <c r="AB3546" i="1" s="1"/>
  <c r="AC3547" i="1"/>
  <c r="AB3547" i="1" s="1"/>
  <c r="AC3548" i="1"/>
  <c r="AB3548" i="1" s="1"/>
  <c r="AC3549" i="1"/>
  <c r="AB3549" i="1" s="1"/>
  <c r="AC3550" i="1"/>
  <c r="AB3550" i="1" s="1"/>
  <c r="AC3551" i="1"/>
  <c r="AB3551" i="1" s="1"/>
  <c r="AC3552" i="1"/>
  <c r="AB3552" i="1" s="1"/>
  <c r="AC3553" i="1"/>
  <c r="AB3553" i="1" s="1"/>
  <c r="AC3554" i="1"/>
  <c r="AB3554" i="1" s="1"/>
  <c r="AC3555" i="1"/>
  <c r="AB3555" i="1" s="1"/>
  <c r="AC3556" i="1"/>
  <c r="AB3556" i="1" s="1"/>
  <c r="AC3557" i="1"/>
  <c r="AB3557" i="1" s="1"/>
  <c r="AC3558" i="1"/>
  <c r="AB3558" i="1" s="1"/>
  <c r="AC3559" i="1"/>
  <c r="AB3559" i="1" s="1"/>
  <c r="AC3560" i="1"/>
  <c r="AB3560" i="1" s="1"/>
  <c r="AC3561" i="1"/>
  <c r="AB3561" i="1" s="1"/>
  <c r="AC3562" i="1"/>
  <c r="AB3562" i="1" s="1"/>
  <c r="AC3563" i="1"/>
  <c r="AB3563" i="1" s="1"/>
  <c r="AC3564" i="1"/>
  <c r="AB3564" i="1" s="1"/>
  <c r="AC3565" i="1"/>
  <c r="AB3565" i="1" s="1"/>
  <c r="AC3566" i="1"/>
  <c r="AB3566" i="1" s="1"/>
  <c r="AC3567" i="1"/>
  <c r="AB3567" i="1" s="1"/>
  <c r="AC3568" i="1"/>
  <c r="AB3568" i="1" s="1"/>
  <c r="AC3569" i="1"/>
  <c r="AB3569" i="1" s="1"/>
  <c r="AC3570" i="1"/>
  <c r="AB3570" i="1" s="1"/>
  <c r="AC3571" i="1"/>
  <c r="AB3571" i="1" s="1"/>
  <c r="AC3572" i="1"/>
  <c r="AB3572" i="1" s="1"/>
  <c r="AC3573" i="1"/>
  <c r="AB3573" i="1" s="1"/>
  <c r="AC3574" i="1"/>
  <c r="AB3574" i="1" s="1"/>
  <c r="AC3575" i="1"/>
  <c r="AB3575" i="1" s="1"/>
  <c r="AC3576" i="1"/>
  <c r="AB3576" i="1" s="1"/>
  <c r="AC3577" i="1"/>
  <c r="AB3577" i="1" s="1"/>
  <c r="AC3578" i="1"/>
  <c r="AB3578" i="1" s="1"/>
  <c r="AC3579" i="1"/>
  <c r="AB3579" i="1" s="1"/>
  <c r="AC3580" i="1"/>
  <c r="AB3580" i="1" s="1"/>
  <c r="AC3581" i="1"/>
  <c r="AB3581" i="1" s="1"/>
  <c r="AC3582" i="1"/>
  <c r="AB3582" i="1" s="1"/>
  <c r="AC3583" i="1"/>
  <c r="AB3583" i="1" s="1"/>
  <c r="AC3584" i="1"/>
  <c r="AB3584" i="1" s="1"/>
  <c r="AC3585" i="1"/>
  <c r="AB3585" i="1" s="1"/>
  <c r="AC3586" i="1"/>
  <c r="AB3586" i="1" s="1"/>
  <c r="AC3587" i="1"/>
  <c r="AB3587" i="1" s="1"/>
  <c r="AC3588" i="1"/>
  <c r="AB3588" i="1" s="1"/>
  <c r="AC3589" i="1"/>
  <c r="AB3589" i="1" s="1"/>
  <c r="AC3590" i="1"/>
  <c r="AB3590" i="1" s="1"/>
  <c r="AC3591" i="1"/>
  <c r="AB3591" i="1" s="1"/>
  <c r="AC3592" i="1"/>
  <c r="AB3592" i="1" s="1"/>
  <c r="AC3593" i="1"/>
  <c r="AB3593" i="1" s="1"/>
  <c r="AC3594" i="1"/>
  <c r="AB3594" i="1" s="1"/>
  <c r="AC3595" i="1"/>
  <c r="AB3595" i="1" s="1"/>
  <c r="AC3596" i="1"/>
  <c r="AB3596" i="1" s="1"/>
  <c r="AC3597" i="1"/>
  <c r="AB3597" i="1" s="1"/>
  <c r="AC3598" i="1"/>
  <c r="AB3598" i="1" s="1"/>
  <c r="AC3599" i="1"/>
  <c r="AB3599" i="1" s="1"/>
  <c r="AC3600" i="1"/>
  <c r="AB3600" i="1" s="1"/>
  <c r="AC3601" i="1"/>
  <c r="AB3601" i="1" s="1"/>
  <c r="AC3602" i="1"/>
  <c r="AB3602" i="1" s="1"/>
  <c r="AC3603" i="1"/>
  <c r="AB3603" i="1" s="1"/>
  <c r="AC3604" i="1"/>
  <c r="AB3604" i="1" s="1"/>
  <c r="AC3605" i="1"/>
  <c r="AB3605" i="1" s="1"/>
  <c r="AC3606" i="1"/>
  <c r="AB3606" i="1" s="1"/>
  <c r="AC3607" i="1"/>
  <c r="AB3607" i="1" s="1"/>
  <c r="AC3608" i="1"/>
  <c r="AB3608" i="1" s="1"/>
  <c r="AC3609" i="1"/>
  <c r="AB3609" i="1" s="1"/>
  <c r="AC3610" i="1"/>
  <c r="AB3610" i="1" s="1"/>
  <c r="AC3611" i="1"/>
  <c r="AB3611" i="1" s="1"/>
  <c r="AC3612" i="1"/>
  <c r="AB3612" i="1" s="1"/>
  <c r="AC3613" i="1"/>
  <c r="AB3613" i="1" s="1"/>
  <c r="AC3614" i="1"/>
  <c r="AB3614" i="1" s="1"/>
  <c r="AC3615" i="1"/>
  <c r="AB3615" i="1" s="1"/>
  <c r="AC3616" i="1"/>
  <c r="AB3616" i="1" s="1"/>
  <c r="AC3617" i="1"/>
  <c r="AB3617" i="1" s="1"/>
  <c r="AC3618" i="1"/>
  <c r="AB3618" i="1" s="1"/>
  <c r="AC3619" i="1"/>
  <c r="AB3619" i="1" s="1"/>
  <c r="AC3620" i="1"/>
  <c r="AB3620" i="1" s="1"/>
  <c r="AC3621" i="1"/>
  <c r="AB3621" i="1" s="1"/>
  <c r="AC3622" i="1"/>
  <c r="AB3622" i="1" s="1"/>
  <c r="AC3623" i="1"/>
  <c r="AB3623" i="1" s="1"/>
  <c r="AC3624" i="1"/>
  <c r="AB3624" i="1" s="1"/>
  <c r="AC3625" i="1"/>
  <c r="AB3625" i="1" s="1"/>
  <c r="AC3626" i="1"/>
  <c r="AB3626" i="1" s="1"/>
  <c r="AC3627" i="1"/>
  <c r="AB3627" i="1" s="1"/>
  <c r="AC3628" i="1"/>
  <c r="AB3628" i="1" s="1"/>
  <c r="AC3629" i="1"/>
  <c r="AB3629" i="1" s="1"/>
  <c r="AC3630" i="1"/>
  <c r="AB3630" i="1" s="1"/>
  <c r="AC3631" i="1"/>
  <c r="AB3631" i="1" s="1"/>
  <c r="AC3632" i="1"/>
  <c r="AB3632" i="1" s="1"/>
  <c r="AC3633" i="1"/>
  <c r="AB3633" i="1" s="1"/>
  <c r="AC3634" i="1"/>
  <c r="AB3634" i="1" s="1"/>
  <c r="AC3635" i="1"/>
  <c r="AB3635" i="1" s="1"/>
  <c r="AC3636" i="1"/>
  <c r="AB3636" i="1" s="1"/>
  <c r="AC3637" i="1"/>
  <c r="AB3637" i="1" s="1"/>
  <c r="AC3638" i="1"/>
  <c r="AB3638" i="1" s="1"/>
  <c r="AC3639" i="1"/>
  <c r="AB3639" i="1" s="1"/>
  <c r="AC3640" i="1"/>
  <c r="AB3640" i="1" s="1"/>
  <c r="AC3641" i="1"/>
  <c r="AB3641" i="1" s="1"/>
  <c r="AC3642" i="1"/>
  <c r="AB3642" i="1" s="1"/>
  <c r="AC3643" i="1"/>
  <c r="AB3643" i="1" s="1"/>
  <c r="AC3644" i="1"/>
  <c r="AB3644" i="1" s="1"/>
  <c r="AC3645" i="1"/>
  <c r="AB3645" i="1" s="1"/>
  <c r="AC3646" i="1"/>
  <c r="AB3646" i="1" s="1"/>
  <c r="AC3647" i="1"/>
  <c r="AB3647" i="1" s="1"/>
  <c r="AC3648" i="1"/>
  <c r="AB3648" i="1" s="1"/>
  <c r="AC3649" i="1"/>
  <c r="AB3649" i="1" s="1"/>
  <c r="AC3650" i="1"/>
  <c r="AB3650" i="1" s="1"/>
  <c r="AC3651" i="1"/>
  <c r="AB3651" i="1" s="1"/>
  <c r="AC3652" i="1"/>
  <c r="AB3652" i="1" s="1"/>
  <c r="AC3653" i="1"/>
  <c r="AB3653" i="1" s="1"/>
  <c r="AC3654" i="1"/>
  <c r="AB3654" i="1" s="1"/>
  <c r="AC3655" i="1"/>
  <c r="AB3655" i="1" s="1"/>
  <c r="AC3656" i="1"/>
  <c r="AB3656" i="1" s="1"/>
  <c r="AC3657" i="1"/>
  <c r="AB3657" i="1" s="1"/>
  <c r="AC3658" i="1"/>
  <c r="AB3658" i="1" s="1"/>
  <c r="AC3659" i="1"/>
  <c r="AB3659" i="1" s="1"/>
  <c r="AC3660" i="1"/>
  <c r="AB3660" i="1" s="1"/>
  <c r="AC3661" i="1"/>
  <c r="AB3661" i="1" s="1"/>
  <c r="AC3662" i="1"/>
  <c r="AB3662" i="1" s="1"/>
  <c r="AC3663" i="1"/>
  <c r="AB3663" i="1" s="1"/>
  <c r="AC3664" i="1"/>
  <c r="AB3664" i="1" s="1"/>
  <c r="AC3665" i="1"/>
  <c r="AB3665" i="1" s="1"/>
  <c r="AC3666" i="1"/>
  <c r="AB3666" i="1" s="1"/>
  <c r="AC3667" i="1"/>
  <c r="AB3667" i="1" s="1"/>
  <c r="AC3668" i="1"/>
  <c r="AB3668" i="1" s="1"/>
  <c r="AC3669" i="1"/>
  <c r="AB3669" i="1" s="1"/>
  <c r="AC3670" i="1"/>
  <c r="AB3670" i="1" s="1"/>
  <c r="AC3671" i="1"/>
  <c r="AB3671" i="1" s="1"/>
  <c r="AC3672" i="1"/>
  <c r="AB3672" i="1" s="1"/>
  <c r="AC3673" i="1"/>
  <c r="AB3673" i="1" s="1"/>
  <c r="AC3674" i="1"/>
  <c r="AB3674" i="1" s="1"/>
  <c r="AC3675" i="1"/>
  <c r="AB3675" i="1" s="1"/>
  <c r="AC3676" i="1"/>
  <c r="AB3676" i="1" s="1"/>
  <c r="AC3677" i="1"/>
  <c r="AB3677" i="1" s="1"/>
  <c r="AC3678" i="1"/>
  <c r="AB3678" i="1" s="1"/>
  <c r="AC3679" i="1"/>
  <c r="AB3679" i="1" s="1"/>
  <c r="AC3680" i="1"/>
  <c r="AB3680" i="1" s="1"/>
  <c r="AC3681" i="1"/>
  <c r="AB3681" i="1" s="1"/>
  <c r="AC3682" i="1"/>
  <c r="AB3682" i="1" s="1"/>
  <c r="AC3683" i="1"/>
  <c r="AB3683" i="1" s="1"/>
  <c r="AC3684" i="1"/>
  <c r="AB3684" i="1" s="1"/>
  <c r="AC3685" i="1"/>
  <c r="AB3685" i="1" s="1"/>
  <c r="AC3686" i="1"/>
  <c r="AB3686" i="1" s="1"/>
  <c r="AC3687" i="1"/>
  <c r="AB3687" i="1" s="1"/>
  <c r="AC3688" i="1"/>
  <c r="AB3688" i="1" s="1"/>
  <c r="AC3689" i="1"/>
  <c r="AB3689" i="1" s="1"/>
  <c r="AC3690" i="1"/>
  <c r="AB3690" i="1" s="1"/>
  <c r="AC3691" i="1"/>
  <c r="AB3691" i="1" s="1"/>
  <c r="AC3692" i="1"/>
  <c r="AB3692" i="1" s="1"/>
  <c r="AC3693" i="1"/>
  <c r="AB3693" i="1" s="1"/>
  <c r="AC3694" i="1"/>
  <c r="AB3694" i="1" s="1"/>
  <c r="AC3695" i="1"/>
  <c r="AB3695" i="1" s="1"/>
  <c r="AC3696" i="1"/>
  <c r="AB3696" i="1" s="1"/>
  <c r="AC3697" i="1"/>
  <c r="AB3697" i="1" s="1"/>
  <c r="AC3698" i="1"/>
  <c r="AB3698" i="1" s="1"/>
  <c r="AC3699" i="1"/>
  <c r="AB3699" i="1" s="1"/>
  <c r="AC3700" i="1"/>
  <c r="AB3700" i="1" s="1"/>
  <c r="AC3701" i="1"/>
  <c r="AB3701" i="1" s="1"/>
  <c r="AC3702" i="1"/>
  <c r="AB3702" i="1" s="1"/>
  <c r="AC3703" i="1"/>
  <c r="AB3703" i="1" s="1"/>
  <c r="AC3704" i="1"/>
  <c r="AB3704" i="1" s="1"/>
  <c r="AC3705" i="1"/>
  <c r="AB3705" i="1" s="1"/>
  <c r="AC3706" i="1"/>
  <c r="AB3706" i="1" s="1"/>
  <c r="AC3707" i="1"/>
  <c r="AB3707" i="1" s="1"/>
  <c r="AC3708" i="1"/>
  <c r="AB3708" i="1" s="1"/>
  <c r="AC3709" i="1"/>
  <c r="AB3709" i="1" s="1"/>
  <c r="AC3710" i="1"/>
  <c r="AB3710" i="1" s="1"/>
  <c r="AC3711" i="1"/>
  <c r="AB3711" i="1" s="1"/>
  <c r="AC3712" i="1"/>
  <c r="AB3712" i="1" s="1"/>
  <c r="AC3713" i="1"/>
  <c r="AB3713" i="1" s="1"/>
  <c r="AC3714" i="1"/>
  <c r="AB3714" i="1" s="1"/>
  <c r="AC3715" i="1"/>
  <c r="AB3715" i="1" s="1"/>
  <c r="AC3716" i="1"/>
  <c r="AB3716" i="1" s="1"/>
  <c r="AC3717" i="1"/>
  <c r="AB3717" i="1" s="1"/>
  <c r="AC3718" i="1"/>
  <c r="AB3718" i="1" s="1"/>
  <c r="AC3719" i="1"/>
  <c r="AB3719" i="1" s="1"/>
  <c r="AC3720" i="1"/>
  <c r="AB3720" i="1" s="1"/>
  <c r="AC3721" i="1"/>
  <c r="AB3721" i="1" s="1"/>
  <c r="AC3722" i="1"/>
  <c r="AB3722" i="1" s="1"/>
  <c r="AC3723" i="1"/>
  <c r="AB3723" i="1" s="1"/>
  <c r="AC3724" i="1"/>
  <c r="AB3724" i="1" s="1"/>
  <c r="AC3725" i="1"/>
  <c r="AB3725" i="1" s="1"/>
  <c r="AC3726" i="1"/>
  <c r="AB3726" i="1" s="1"/>
  <c r="AC3727" i="1"/>
  <c r="AB3727" i="1" s="1"/>
  <c r="AC3728" i="1"/>
  <c r="AB3728" i="1" s="1"/>
  <c r="AC3729" i="1"/>
  <c r="AB3729" i="1" s="1"/>
  <c r="AC3730" i="1"/>
  <c r="AB3730" i="1" s="1"/>
  <c r="AC3731" i="1"/>
  <c r="AB3731" i="1" s="1"/>
  <c r="AC3732" i="1"/>
  <c r="AB3732" i="1" s="1"/>
  <c r="AC3733" i="1"/>
  <c r="AB3733" i="1" s="1"/>
  <c r="AC3734" i="1"/>
  <c r="AB3734" i="1" s="1"/>
  <c r="AC3735" i="1"/>
  <c r="AB3735" i="1" s="1"/>
  <c r="AC3736" i="1"/>
  <c r="AB3736" i="1" s="1"/>
  <c r="AC3737" i="1"/>
  <c r="AB3737" i="1" s="1"/>
  <c r="AC3738" i="1"/>
  <c r="AB3738" i="1" s="1"/>
  <c r="AC3739" i="1"/>
  <c r="AB3739" i="1" s="1"/>
  <c r="AC3740" i="1"/>
  <c r="AB3740" i="1" s="1"/>
  <c r="AC3741" i="1"/>
  <c r="AB3741" i="1" s="1"/>
  <c r="AC3742" i="1"/>
  <c r="AB3742" i="1" s="1"/>
  <c r="AC3743" i="1"/>
  <c r="AB3743" i="1" s="1"/>
  <c r="AC3744" i="1"/>
  <c r="AB3744" i="1" s="1"/>
  <c r="AC3745" i="1"/>
  <c r="AB3745" i="1" s="1"/>
  <c r="AC3746" i="1"/>
  <c r="AB3746" i="1" s="1"/>
  <c r="AC3747" i="1"/>
  <c r="AB3747" i="1" s="1"/>
  <c r="AC3748" i="1"/>
  <c r="AB3748" i="1" s="1"/>
  <c r="AC3749" i="1"/>
  <c r="AB3749" i="1" s="1"/>
  <c r="AC3750" i="1"/>
  <c r="AB3750" i="1" s="1"/>
  <c r="AC3751" i="1"/>
  <c r="AB3751" i="1" s="1"/>
  <c r="AC3752" i="1"/>
  <c r="AB3752" i="1" s="1"/>
  <c r="AC3753" i="1"/>
  <c r="AB3753" i="1" s="1"/>
  <c r="AC3754" i="1"/>
  <c r="AB3754" i="1" s="1"/>
  <c r="AC3755" i="1"/>
  <c r="AB3755" i="1" s="1"/>
  <c r="AC3756" i="1"/>
  <c r="AB3756" i="1" s="1"/>
  <c r="AC3757" i="1"/>
  <c r="AB3757" i="1" s="1"/>
  <c r="AC3758" i="1"/>
  <c r="AB3758" i="1" s="1"/>
  <c r="AC3759" i="1"/>
  <c r="AB3759" i="1" s="1"/>
  <c r="AC3760" i="1"/>
  <c r="AB3760" i="1" s="1"/>
  <c r="AC3761" i="1"/>
  <c r="AB3761" i="1" s="1"/>
  <c r="AC3762" i="1"/>
  <c r="AB3762" i="1" s="1"/>
  <c r="AC3763" i="1"/>
  <c r="AB3763" i="1" s="1"/>
  <c r="AC3764" i="1"/>
  <c r="AB3764" i="1" s="1"/>
  <c r="AC3765" i="1"/>
  <c r="AB3765" i="1" s="1"/>
  <c r="AC3766" i="1"/>
  <c r="AB3766" i="1" s="1"/>
  <c r="AC3767" i="1"/>
  <c r="AB3767" i="1" s="1"/>
  <c r="AC3768" i="1"/>
  <c r="AB3768" i="1" s="1"/>
  <c r="AC3769" i="1"/>
  <c r="AB3769" i="1" s="1"/>
  <c r="AC3770" i="1"/>
  <c r="AB3770" i="1" s="1"/>
  <c r="AC3771" i="1"/>
  <c r="AB3771" i="1" s="1"/>
  <c r="AC3772" i="1"/>
  <c r="AB3772" i="1" s="1"/>
  <c r="AC3773" i="1"/>
  <c r="AB3773" i="1" s="1"/>
  <c r="AC3774" i="1"/>
  <c r="AB3774" i="1" s="1"/>
  <c r="AC3775" i="1"/>
  <c r="AB3775" i="1" s="1"/>
  <c r="AC3776" i="1"/>
  <c r="AB3776" i="1" s="1"/>
  <c r="AC3777" i="1"/>
  <c r="AB3777" i="1" s="1"/>
  <c r="AC3778" i="1"/>
  <c r="AB3778" i="1" s="1"/>
  <c r="AC3779" i="1"/>
  <c r="AB3779" i="1" s="1"/>
  <c r="AC3780" i="1"/>
  <c r="AB3780" i="1" s="1"/>
  <c r="AC3781" i="1"/>
  <c r="AB3781" i="1" s="1"/>
  <c r="AC3782" i="1"/>
  <c r="AB3782" i="1" s="1"/>
  <c r="AC3783" i="1"/>
  <c r="AB3783" i="1" s="1"/>
  <c r="AC3784" i="1"/>
  <c r="AB3784" i="1" s="1"/>
  <c r="AC3785" i="1"/>
  <c r="AB3785" i="1" s="1"/>
  <c r="AC3786" i="1"/>
  <c r="AB3786" i="1" s="1"/>
  <c r="AC3787" i="1"/>
  <c r="AB3787" i="1" s="1"/>
  <c r="AC3788" i="1"/>
  <c r="AB3788" i="1" s="1"/>
  <c r="AC3789" i="1"/>
  <c r="AB3789" i="1" s="1"/>
  <c r="AC3790" i="1"/>
  <c r="AB3790" i="1" s="1"/>
  <c r="AC3791" i="1"/>
  <c r="AB3791" i="1" s="1"/>
  <c r="AC3792" i="1"/>
  <c r="AB3792" i="1" s="1"/>
  <c r="AC3793" i="1"/>
  <c r="AB3793" i="1" s="1"/>
  <c r="AC3794" i="1"/>
  <c r="AB3794" i="1" s="1"/>
  <c r="AC3795" i="1"/>
  <c r="AB3795" i="1" s="1"/>
  <c r="AC3796" i="1"/>
  <c r="AB3796" i="1" s="1"/>
  <c r="AC3797" i="1"/>
  <c r="AB3797" i="1" s="1"/>
  <c r="AC3798" i="1"/>
  <c r="AB3798" i="1" s="1"/>
  <c r="AC3799" i="1"/>
  <c r="AB3799" i="1" s="1"/>
  <c r="AC3800" i="1"/>
  <c r="AB3800" i="1" s="1"/>
  <c r="AC3801" i="1"/>
  <c r="AB3801" i="1" s="1"/>
  <c r="AC3802" i="1"/>
  <c r="AB3802" i="1" s="1"/>
  <c r="AC3803" i="1"/>
  <c r="AB3803" i="1" s="1"/>
  <c r="AC3804" i="1"/>
  <c r="AB3804" i="1" s="1"/>
  <c r="AC3805" i="1"/>
  <c r="AB3805" i="1" s="1"/>
  <c r="AC3806" i="1"/>
  <c r="AB3806" i="1" s="1"/>
  <c r="AC3807" i="1"/>
  <c r="AB3807" i="1" s="1"/>
  <c r="AC3808" i="1"/>
  <c r="AB3808" i="1" s="1"/>
  <c r="AC3809" i="1"/>
  <c r="AB3809" i="1" s="1"/>
  <c r="AC3810" i="1"/>
  <c r="AB3810" i="1" s="1"/>
  <c r="AC3811" i="1"/>
  <c r="AB3811" i="1" s="1"/>
  <c r="AC3812" i="1"/>
  <c r="AB3812" i="1" s="1"/>
  <c r="AC3813" i="1"/>
  <c r="AB3813" i="1" s="1"/>
  <c r="AC3814" i="1"/>
  <c r="AB3814" i="1" s="1"/>
  <c r="AC3815" i="1"/>
  <c r="AB3815" i="1" s="1"/>
  <c r="AC3816" i="1"/>
  <c r="AB3816" i="1" s="1"/>
  <c r="AC3817" i="1"/>
  <c r="AB3817" i="1" s="1"/>
  <c r="AC3818" i="1"/>
  <c r="AB3818" i="1" s="1"/>
  <c r="AC3819" i="1"/>
  <c r="AB3819" i="1" s="1"/>
  <c r="AC3820" i="1"/>
  <c r="AB3820" i="1" s="1"/>
  <c r="AC3821" i="1"/>
  <c r="AB3821" i="1" s="1"/>
  <c r="AC3822" i="1"/>
  <c r="AB3822" i="1" s="1"/>
  <c r="AC3823" i="1"/>
  <c r="AB3823" i="1" s="1"/>
  <c r="AC3824" i="1"/>
  <c r="AB3824" i="1" s="1"/>
  <c r="AC3825" i="1"/>
  <c r="AB3825" i="1" s="1"/>
  <c r="AC3826" i="1"/>
  <c r="AB3826" i="1" s="1"/>
  <c r="AC3827" i="1"/>
  <c r="AB3827" i="1" s="1"/>
  <c r="AC3828" i="1"/>
  <c r="AB3828" i="1" s="1"/>
  <c r="AC3829" i="1"/>
  <c r="AB3829" i="1" s="1"/>
  <c r="AC3830" i="1"/>
  <c r="AB3830" i="1" s="1"/>
  <c r="AC3831" i="1"/>
  <c r="AB3831" i="1" s="1"/>
  <c r="AC3832" i="1"/>
  <c r="AB3832" i="1" s="1"/>
  <c r="AC3833" i="1"/>
  <c r="AB3833" i="1" s="1"/>
  <c r="AC3834" i="1"/>
  <c r="AB3834" i="1" s="1"/>
  <c r="AC3835" i="1"/>
  <c r="AB3835" i="1" s="1"/>
  <c r="AC3836" i="1"/>
  <c r="AB3836" i="1" s="1"/>
  <c r="AC3837" i="1"/>
  <c r="AB3837" i="1" s="1"/>
  <c r="AC3838" i="1"/>
  <c r="AB3838" i="1" s="1"/>
  <c r="AC3839" i="1"/>
  <c r="AB3839" i="1" s="1"/>
  <c r="AC3840" i="1"/>
  <c r="AB3840" i="1" s="1"/>
  <c r="AC3841" i="1"/>
  <c r="AB3841" i="1" s="1"/>
  <c r="AC3842" i="1"/>
  <c r="AB3842" i="1" s="1"/>
  <c r="AC3843" i="1"/>
  <c r="AB3843" i="1" s="1"/>
  <c r="AC3844" i="1"/>
  <c r="AB3844" i="1" s="1"/>
  <c r="AC3845" i="1"/>
  <c r="AB3845" i="1" s="1"/>
  <c r="AC3846" i="1"/>
  <c r="AB3846" i="1" s="1"/>
  <c r="AC3847" i="1"/>
  <c r="AB3847" i="1" s="1"/>
  <c r="AC3848" i="1"/>
  <c r="AB3848" i="1" s="1"/>
  <c r="AC3849" i="1"/>
  <c r="AB3849" i="1" s="1"/>
  <c r="AC3850" i="1"/>
  <c r="AB3850" i="1" s="1"/>
  <c r="AC3851" i="1"/>
  <c r="AB3851" i="1" s="1"/>
  <c r="AC3852" i="1"/>
  <c r="AB3852" i="1" s="1"/>
  <c r="AC3853" i="1"/>
  <c r="AB3853" i="1" s="1"/>
  <c r="AC3854" i="1"/>
  <c r="AB3854" i="1" s="1"/>
  <c r="AC3855" i="1"/>
  <c r="AB3855" i="1" s="1"/>
  <c r="AC3856" i="1"/>
  <c r="AB3856" i="1" s="1"/>
  <c r="AC3857" i="1"/>
  <c r="AB3857" i="1" s="1"/>
  <c r="AC3858" i="1"/>
  <c r="AB3858" i="1" s="1"/>
  <c r="AC3859" i="1"/>
  <c r="AB3859" i="1" s="1"/>
  <c r="AC3860" i="1"/>
  <c r="AB3860" i="1" s="1"/>
  <c r="AC3861" i="1"/>
  <c r="AB3861" i="1" s="1"/>
  <c r="AC3862" i="1"/>
  <c r="AB3862" i="1" s="1"/>
  <c r="AC3863" i="1"/>
  <c r="AB3863" i="1" s="1"/>
  <c r="AC3864" i="1"/>
  <c r="AB3864" i="1" s="1"/>
  <c r="AC3865" i="1"/>
  <c r="AB3865" i="1" s="1"/>
  <c r="AC3866" i="1"/>
  <c r="AB3866" i="1" s="1"/>
  <c r="AC3867" i="1"/>
  <c r="AB3867" i="1" s="1"/>
  <c r="AC3868" i="1"/>
  <c r="AB3868" i="1" s="1"/>
  <c r="AC3869" i="1"/>
  <c r="AB3869" i="1" s="1"/>
  <c r="AC3870" i="1"/>
  <c r="AB3870" i="1" s="1"/>
  <c r="AC3871" i="1"/>
  <c r="AB3871" i="1" s="1"/>
  <c r="AC3872" i="1"/>
  <c r="AB3872" i="1" s="1"/>
  <c r="AC3873" i="1"/>
  <c r="AB3873" i="1" s="1"/>
  <c r="AC3874" i="1"/>
  <c r="AB3874" i="1" s="1"/>
  <c r="AC3875" i="1"/>
  <c r="AB3875" i="1" s="1"/>
  <c r="AC3876" i="1"/>
  <c r="AB3876" i="1" s="1"/>
  <c r="AC3877" i="1"/>
  <c r="AB3877" i="1" s="1"/>
  <c r="AC3878" i="1"/>
  <c r="AB3878" i="1" s="1"/>
  <c r="AC3879" i="1"/>
  <c r="AB3879" i="1" s="1"/>
  <c r="AC3880" i="1"/>
  <c r="AB3880" i="1" s="1"/>
  <c r="AC3881" i="1"/>
  <c r="AB3881" i="1" s="1"/>
  <c r="AC3882" i="1"/>
  <c r="AB3882" i="1" s="1"/>
  <c r="AC3883" i="1"/>
  <c r="AB3883" i="1" s="1"/>
  <c r="AC3884" i="1"/>
  <c r="AB3884" i="1" s="1"/>
  <c r="AC3885" i="1"/>
  <c r="AB3885" i="1" s="1"/>
  <c r="AC3886" i="1"/>
  <c r="AB3886" i="1" s="1"/>
  <c r="AC3887" i="1"/>
  <c r="AB3887" i="1" s="1"/>
  <c r="AC3888" i="1"/>
  <c r="AB3888" i="1" s="1"/>
  <c r="AC3889" i="1"/>
  <c r="AB3889" i="1" s="1"/>
  <c r="AC3890" i="1"/>
  <c r="AB3890" i="1" s="1"/>
  <c r="AC3891" i="1"/>
  <c r="AB3891" i="1" s="1"/>
  <c r="AC3892" i="1"/>
  <c r="AB3892" i="1" s="1"/>
  <c r="AC3893" i="1"/>
  <c r="AB3893" i="1" s="1"/>
  <c r="AC3894" i="1"/>
  <c r="AB3894" i="1" s="1"/>
  <c r="AC3895" i="1"/>
  <c r="AB3895" i="1" s="1"/>
  <c r="AC3896" i="1"/>
  <c r="AB3896" i="1" s="1"/>
  <c r="AC3897" i="1"/>
  <c r="AB3897" i="1" s="1"/>
  <c r="AC3898" i="1"/>
  <c r="AB3898" i="1" s="1"/>
  <c r="AC3899" i="1"/>
  <c r="AB3899" i="1" s="1"/>
  <c r="AC3900" i="1"/>
  <c r="AB3900" i="1" s="1"/>
  <c r="AC3901" i="1"/>
  <c r="AB3901" i="1" s="1"/>
  <c r="AC3902" i="1"/>
  <c r="AB3902" i="1" s="1"/>
  <c r="AC3903" i="1"/>
  <c r="AB3903" i="1" s="1"/>
  <c r="AC3904" i="1"/>
  <c r="AB3904" i="1" s="1"/>
  <c r="AC3905" i="1"/>
  <c r="AB3905" i="1" s="1"/>
  <c r="AC3906" i="1"/>
  <c r="AB3906" i="1" s="1"/>
  <c r="AC3907" i="1"/>
  <c r="AB3907" i="1" s="1"/>
  <c r="AC3908" i="1"/>
  <c r="AB3908" i="1" s="1"/>
  <c r="AC3909" i="1"/>
  <c r="AB3909" i="1" s="1"/>
  <c r="AC3910" i="1"/>
  <c r="AB3910" i="1" s="1"/>
  <c r="AC3911" i="1"/>
  <c r="AB3911" i="1" s="1"/>
  <c r="AC3912" i="1"/>
  <c r="AB3912" i="1" s="1"/>
  <c r="AC3913" i="1"/>
  <c r="AB3913" i="1" s="1"/>
  <c r="AC3914" i="1"/>
  <c r="AB3914" i="1" s="1"/>
  <c r="AC3915" i="1"/>
  <c r="AB3915" i="1" s="1"/>
  <c r="AC3916" i="1"/>
  <c r="AB3916" i="1" s="1"/>
  <c r="AC3917" i="1"/>
  <c r="AB3917" i="1" s="1"/>
  <c r="AC3918" i="1"/>
  <c r="AB3918" i="1" s="1"/>
  <c r="AC3919" i="1"/>
  <c r="AB3919" i="1" s="1"/>
  <c r="AC3920" i="1"/>
  <c r="AB3920" i="1" s="1"/>
  <c r="AC3921" i="1"/>
  <c r="AB3921" i="1" s="1"/>
  <c r="AC3922" i="1"/>
  <c r="AB3922" i="1" s="1"/>
  <c r="AC3923" i="1"/>
  <c r="AB3923" i="1" s="1"/>
  <c r="AC3924" i="1"/>
  <c r="AB3924" i="1" s="1"/>
  <c r="AC3925" i="1"/>
  <c r="AB3925" i="1" s="1"/>
  <c r="AC3926" i="1"/>
  <c r="AB3926" i="1" s="1"/>
  <c r="AC3927" i="1"/>
  <c r="AB3927" i="1" s="1"/>
  <c r="AC3928" i="1"/>
  <c r="AB3928" i="1" s="1"/>
  <c r="AC3929" i="1"/>
  <c r="AB3929" i="1" s="1"/>
  <c r="AC3930" i="1"/>
  <c r="AB3930" i="1" s="1"/>
  <c r="AC3931" i="1"/>
  <c r="AB3931" i="1" s="1"/>
  <c r="AC3932" i="1"/>
  <c r="AB3932" i="1" s="1"/>
  <c r="AC3933" i="1"/>
  <c r="AB3933" i="1" s="1"/>
  <c r="AC3934" i="1"/>
  <c r="AB3934" i="1" s="1"/>
  <c r="AC3935" i="1"/>
  <c r="AB3935" i="1" s="1"/>
  <c r="AC3936" i="1"/>
  <c r="AB3936" i="1" s="1"/>
  <c r="AC3937" i="1"/>
  <c r="AB3937" i="1" s="1"/>
  <c r="AC3938" i="1"/>
  <c r="AB3938" i="1" s="1"/>
  <c r="AC3939" i="1"/>
  <c r="AB3939" i="1" s="1"/>
  <c r="AC3940" i="1"/>
  <c r="AB3940" i="1" s="1"/>
  <c r="AC3941" i="1"/>
  <c r="AB3941" i="1" s="1"/>
  <c r="AC3942" i="1"/>
  <c r="AB3942" i="1" s="1"/>
  <c r="AC3943" i="1"/>
  <c r="AB3943" i="1" s="1"/>
  <c r="AC3944" i="1"/>
  <c r="AB3944" i="1" s="1"/>
  <c r="AC3945" i="1"/>
  <c r="AB3945" i="1" s="1"/>
  <c r="AC3946" i="1"/>
  <c r="AB3946" i="1" s="1"/>
  <c r="AC3947" i="1"/>
  <c r="AB3947" i="1" s="1"/>
  <c r="AC3948" i="1"/>
  <c r="AB3948" i="1" s="1"/>
  <c r="AC3949" i="1"/>
  <c r="AB3949" i="1" s="1"/>
  <c r="AC3950" i="1"/>
  <c r="AB3950" i="1" s="1"/>
  <c r="AC3951" i="1"/>
  <c r="AB3951" i="1" s="1"/>
  <c r="AC3952" i="1"/>
  <c r="AB3952" i="1" s="1"/>
  <c r="AC3953" i="1"/>
  <c r="AB3953" i="1" s="1"/>
  <c r="AC3954" i="1"/>
  <c r="AB3954" i="1" s="1"/>
  <c r="AC3955" i="1"/>
  <c r="AB3955" i="1" s="1"/>
  <c r="AC3956" i="1"/>
  <c r="AB3956" i="1" s="1"/>
  <c r="AC3957" i="1"/>
  <c r="AB3957" i="1" s="1"/>
  <c r="AC3958" i="1"/>
  <c r="AB3958" i="1" s="1"/>
  <c r="AC3959" i="1"/>
  <c r="AB3959" i="1" s="1"/>
  <c r="AC3960" i="1"/>
  <c r="AB3960" i="1" s="1"/>
  <c r="AC3961" i="1"/>
  <c r="AB3961" i="1" s="1"/>
  <c r="AC3962" i="1"/>
  <c r="AB3962" i="1" s="1"/>
  <c r="AC3963" i="1"/>
  <c r="AB3963" i="1" s="1"/>
  <c r="AC3964" i="1"/>
  <c r="AB3964" i="1" s="1"/>
  <c r="AC3965" i="1"/>
  <c r="AB3965" i="1" s="1"/>
  <c r="AC3966" i="1"/>
  <c r="AB3966" i="1" s="1"/>
  <c r="AC3967" i="1"/>
  <c r="AB3967" i="1" s="1"/>
  <c r="AC3968" i="1"/>
  <c r="AB3968" i="1" s="1"/>
  <c r="AC3969" i="1"/>
  <c r="AB3969" i="1" s="1"/>
  <c r="AC3970" i="1"/>
  <c r="AB3970" i="1" s="1"/>
  <c r="AC3971" i="1"/>
  <c r="AB3971" i="1" s="1"/>
  <c r="AC3972" i="1"/>
  <c r="AB3972" i="1" s="1"/>
  <c r="AC3973" i="1"/>
  <c r="AB3973" i="1" s="1"/>
  <c r="AC3974" i="1"/>
  <c r="AB3974" i="1" s="1"/>
  <c r="AC3975" i="1"/>
  <c r="AB3975" i="1" s="1"/>
  <c r="AC3976" i="1"/>
  <c r="AB3976" i="1" s="1"/>
  <c r="AC3977" i="1"/>
  <c r="AB3977" i="1" s="1"/>
  <c r="AC3978" i="1"/>
  <c r="AB3978" i="1" s="1"/>
  <c r="AC3979" i="1"/>
  <c r="AB3979" i="1" s="1"/>
  <c r="AC3980" i="1"/>
  <c r="AB3980" i="1" s="1"/>
  <c r="AC3981" i="1"/>
  <c r="AB3981" i="1" s="1"/>
  <c r="AC3982" i="1"/>
  <c r="AB3982" i="1" s="1"/>
  <c r="AC3983" i="1"/>
  <c r="AB3983" i="1" s="1"/>
  <c r="AC3984" i="1"/>
  <c r="AB3984" i="1" s="1"/>
  <c r="AC3985" i="1"/>
  <c r="AB3985" i="1" s="1"/>
  <c r="AC3986" i="1"/>
  <c r="AB3986" i="1" s="1"/>
  <c r="AC3987" i="1"/>
  <c r="AB3987" i="1" s="1"/>
  <c r="AC3988" i="1"/>
  <c r="AB3988" i="1" s="1"/>
  <c r="AC3989" i="1"/>
  <c r="AB3989" i="1" s="1"/>
  <c r="AC3990" i="1"/>
  <c r="AB3990" i="1" s="1"/>
  <c r="AC3991" i="1"/>
  <c r="AB3991" i="1" s="1"/>
  <c r="AC3992" i="1"/>
  <c r="AB3992" i="1" s="1"/>
  <c r="AC3993" i="1"/>
  <c r="AB3993" i="1" s="1"/>
  <c r="AC3994" i="1"/>
  <c r="AB3994" i="1" s="1"/>
  <c r="AC3995" i="1"/>
  <c r="AB3995" i="1" s="1"/>
  <c r="AC3996" i="1"/>
  <c r="AB3996" i="1" s="1"/>
  <c r="AC3997" i="1"/>
  <c r="AB3997" i="1" s="1"/>
  <c r="AC3998" i="1"/>
  <c r="AB3998" i="1" s="1"/>
  <c r="AC3999" i="1"/>
  <c r="AB3999" i="1" s="1"/>
  <c r="AC4000" i="1"/>
  <c r="AB4000" i="1" s="1"/>
  <c r="AC4001" i="1"/>
  <c r="AB4001" i="1" s="1"/>
  <c r="AC4002" i="1"/>
  <c r="AB4002" i="1" s="1"/>
  <c r="AC4003" i="1"/>
  <c r="AB4003" i="1" s="1"/>
  <c r="AC4004" i="1"/>
  <c r="AB4004" i="1" s="1"/>
  <c r="AC4005" i="1"/>
  <c r="AB4005" i="1" s="1"/>
  <c r="AC4006" i="1"/>
  <c r="AB4006" i="1" s="1"/>
  <c r="AC4007" i="1"/>
  <c r="AB4007" i="1" s="1"/>
  <c r="AC4008" i="1"/>
  <c r="AB4008" i="1" s="1"/>
  <c r="AC4009" i="1"/>
  <c r="AB4009" i="1" s="1"/>
  <c r="AC4010" i="1"/>
  <c r="AB4010" i="1" s="1"/>
  <c r="AC4011" i="1"/>
  <c r="AB4011" i="1" s="1"/>
  <c r="AC4012" i="1"/>
  <c r="AB4012" i="1" s="1"/>
  <c r="AC4013" i="1"/>
  <c r="AB4013" i="1" s="1"/>
  <c r="AC4014" i="1"/>
  <c r="AB4014" i="1" s="1"/>
  <c r="AC4015" i="1"/>
  <c r="AB4015" i="1" s="1"/>
  <c r="AC4016" i="1"/>
  <c r="AB4016" i="1" s="1"/>
  <c r="AC4017" i="1"/>
  <c r="AB4017" i="1" s="1"/>
  <c r="AC4018" i="1"/>
  <c r="AB4018" i="1" s="1"/>
  <c r="AC4019" i="1"/>
  <c r="AB4019" i="1" s="1"/>
  <c r="AC4020" i="1"/>
  <c r="AB4020" i="1" s="1"/>
  <c r="AC4021" i="1"/>
  <c r="AB4021" i="1" s="1"/>
  <c r="AC4022" i="1"/>
  <c r="AB4022" i="1" s="1"/>
  <c r="AC4023" i="1"/>
  <c r="AB4023" i="1" s="1"/>
  <c r="AC4024" i="1"/>
  <c r="AB4024" i="1" s="1"/>
  <c r="AC4025" i="1"/>
  <c r="AB4025" i="1" s="1"/>
  <c r="AC4026" i="1"/>
  <c r="AB4026" i="1" s="1"/>
  <c r="AC4027" i="1"/>
  <c r="AB4027" i="1" s="1"/>
  <c r="AC4028" i="1"/>
  <c r="AB4028" i="1" s="1"/>
  <c r="AC4029" i="1"/>
  <c r="AB4029" i="1" s="1"/>
  <c r="AC4030" i="1"/>
  <c r="AB4030" i="1" s="1"/>
  <c r="AC4031" i="1"/>
  <c r="AB4031" i="1" s="1"/>
  <c r="AC4032" i="1"/>
  <c r="AB4032" i="1" s="1"/>
  <c r="AC4033" i="1"/>
  <c r="AB4033" i="1" s="1"/>
  <c r="AC4034" i="1"/>
  <c r="AB4034" i="1" s="1"/>
  <c r="AC4035" i="1"/>
  <c r="AB4035" i="1" s="1"/>
  <c r="AC4036" i="1"/>
  <c r="AB4036" i="1" s="1"/>
  <c r="AC4037" i="1"/>
  <c r="AB4037" i="1" s="1"/>
  <c r="AC4038" i="1"/>
  <c r="AB4038" i="1" s="1"/>
  <c r="AC4039" i="1"/>
  <c r="AB4039" i="1" s="1"/>
  <c r="AC4040" i="1"/>
  <c r="AB4040" i="1" s="1"/>
  <c r="AC4041" i="1"/>
  <c r="AB4041" i="1" s="1"/>
  <c r="AC4042" i="1"/>
  <c r="AB4042" i="1" s="1"/>
  <c r="AC4043" i="1"/>
  <c r="AB4043" i="1" s="1"/>
  <c r="AC4044" i="1"/>
  <c r="AB4044" i="1" s="1"/>
  <c r="AC4045" i="1"/>
  <c r="AB4045" i="1" s="1"/>
  <c r="AC4046" i="1"/>
  <c r="AB4046" i="1" s="1"/>
  <c r="AC4047" i="1"/>
  <c r="AB4047" i="1" s="1"/>
  <c r="AC4048" i="1"/>
  <c r="AB4048" i="1" s="1"/>
  <c r="AC4049" i="1"/>
  <c r="AB4049" i="1" s="1"/>
  <c r="AC4050" i="1"/>
  <c r="AB4050" i="1" s="1"/>
  <c r="AC4051" i="1"/>
  <c r="AB4051" i="1" s="1"/>
  <c r="AC4052" i="1"/>
  <c r="AB4052" i="1" s="1"/>
  <c r="AC4053" i="1"/>
  <c r="AB4053" i="1" s="1"/>
  <c r="AC4054" i="1"/>
  <c r="AB4054" i="1" s="1"/>
  <c r="AC4055" i="1"/>
  <c r="AB4055" i="1" s="1"/>
  <c r="AC4056" i="1"/>
  <c r="AB4056" i="1" s="1"/>
  <c r="AC4057" i="1"/>
  <c r="AB4057" i="1" s="1"/>
  <c r="AC4058" i="1"/>
  <c r="AB4058" i="1" s="1"/>
  <c r="AC4059" i="1"/>
  <c r="AB4059" i="1" s="1"/>
  <c r="AC4060" i="1"/>
  <c r="AB4060" i="1" s="1"/>
  <c r="AC4061" i="1"/>
  <c r="AB4061" i="1" s="1"/>
  <c r="AC4062" i="1"/>
  <c r="AB4062" i="1" s="1"/>
  <c r="AC4063" i="1"/>
  <c r="AB4063" i="1" s="1"/>
  <c r="AC4064" i="1"/>
  <c r="AB4064" i="1" s="1"/>
  <c r="AC4065" i="1"/>
  <c r="AB4065" i="1" s="1"/>
  <c r="AC4066" i="1"/>
  <c r="AB4066" i="1" s="1"/>
  <c r="AC4067" i="1"/>
  <c r="AB4067" i="1" s="1"/>
  <c r="AC4068" i="1"/>
  <c r="AB4068" i="1" s="1"/>
  <c r="AC4069" i="1"/>
  <c r="AB4069" i="1" s="1"/>
  <c r="AC4070" i="1"/>
  <c r="AB4070" i="1" s="1"/>
  <c r="AC4071" i="1"/>
  <c r="AB4071" i="1" s="1"/>
  <c r="AC4072" i="1"/>
  <c r="AB4072" i="1" s="1"/>
  <c r="AC4073" i="1"/>
  <c r="AB4073" i="1" s="1"/>
  <c r="AC4074" i="1"/>
  <c r="AB4074" i="1" s="1"/>
  <c r="AC4075" i="1"/>
  <c r="AB4075" i="1" s="1"/>
  <c r="AC4076" i="1"/>
  <c r="AB4076" i="1" s="1"/>
  <c r="AC4077" i="1"/>
  <c r="AB4077" i="1" s="1"/>
  <c r="AC4078" i="1"/>
  <c r="AB4078" i="1" s="1"/>
  <c r="AC4079" i="1"/>
  <c r="AB4079" i="1" s="1"/>
  <c r="AC4080" i="1"/>
  <c r="AB4080" i="1" s="1"/>
  <c r="AC4081" i="1"/>
  <c r="AB4081" i="1" s="1"/>
  <c r="AC4082" i="1"/>
  <c r="AB4082" i="1" s="1"/>
  <c r="AC4083" i="1"/>
  <c r="AB4083" i="1" s="1"/>
  <c r="AC4084" i="1"/>
  <c r="AB4084" i="1" s="1"/>
  <c r="AC4085" i="1"/>
  <c r="AB4085" i="1" s="1"/>
  <c r="AC4086" i="1"/>
  <c r="AB4086" i="1" s="1"/>
  <c r="AC4087" i="1"/>
  <c r="AB4087" i="1" s="1"/>
  <c r="AC4088" i="1"/>
  <c r="AB4088" i="1" s="1"/>
  <c r="AC4089" i="1"/>
  <c r="AB4089" i="1" s="1"/>
  <c r="AC4090" i="1"/>
  <c r="AB4090" i="1" s="1"/>
  <c r="AC4091" i="1"/>
  <c r="AB4091" i="1" s="1"/>
  <c r="AC4092" i="1"/>
  <c r="AB4092" i="1" s="1"/>
  <c r="AC4093" i="1"/>
  <c r="AB4093" i="1" s="1"/>
  <c r="AC4094" i="1"/>
  <c r="AB4094" i="1" s="1"/>
  <c r="AC4095" i="1"/>
  <c r="AB4095" i="1" s="1"/>
  <c r="AC4096" i="1"/>
  <c r="AB4096" i="1" s="1"/>
  <c r="AC4097" i="1"/>
  <c r="AB4097" i="1" s="1"/>
  <c r="AC4098" i="1"/>
  <c r="AB4098" i="1" s="1"/>
  <c r="AC4099" i="1"/>
  <c r="AB4099" i="1" s="1"/>
  <c r="AC4100" i="1"/>
  <c r="AB4100" i="1" s="1"/>
  <c r="AC4101" i="1"/>
  <c r="AB4101" i="1" s="1"/>
  <c r="AC4102" i="1"/>
  <c r="AB4102" i="1" s="1"/>
  <c r="AC4103" i="1"/>
  <c r="AB4103" i="1" s="1"/>
  <c r="AC4104" i="1"/>
  <c r="AB4104" i="1" s="1"/>
  <c r="AC4105" i="1"/>
  <c r="AB4105" i="1" s="1"/>
  <c r="AC4106" i="1"/>
  <c r="AB4106" i="1" s="1"/>
  <c r="AC4107" i="1"/>
  <c r="AB4107" i="1" s="1"/>
  <c r="AC4108" i="1"/>
  <c r="AB4108" i="1" s="1"/>
  <c r="AC4109" i="1"/>
  <c r="AB4109" i="1" s="1"/>
  <c r="AC4110" i="1"/>
  <c r="AB4110" i="1" s="1"/>
  <c r="AC4111" i="1"/>
  <c r="AB4111" i="1" s="1"/>
  <c r="AC4112" i="1"/>
  <c r="AB4112" i="1" s="1"/>
  <c r="AC4113" i="1"/>
  <c r="AB4113" i="1" s="1"/>
  <c r="AC4114" i="1"/>
  <c r="AB4114" i="1" s="1"/>
  <c r="AC4115" i="1"/>
  <c r="AB4115" i="1" s="1"/>
  <c r="AC4116" i="1"/>
  <c r="AB4116" i="1" s="1"/>
  <c r="AC4117" i="1"/>
  <c r="AB4117" i="1" s="1"/>
  <c r="AC4118" i="1"/>
  <c r="AB4118" i="1" s="1"/>
  <c r="AC4119" i="1"/>
  <c r="AB4119" i="1" s="1"/>
  <c r="AC4120" i="1"/>
  <c r="AB4120" i="1" s="1"/>
  <c r="AC4121" i="1"/>
  <c r="AB4121" i="1" s="1"/>
  <c r="AC4122" i="1"/>
  <c r="AB4122" i="1" s="1"/>
  <c r="AC4123" i="1"/>
  <c r="AB4123" i="1" s="1"/>
  <c r="AC4124" i="1"/>
  <c r="AB4124" i="1" s="1"/>
  <c r="AC4125" i="1"/>
  <c r="AB4125" i="1" s="1"/>
  <c r="AC4126" i="1"/>
  <c r="AB4126" i="1" s="1"/>
  <c r="AC4127" i="1"/>
  <c r="AB4127" i="1" s="1"/>
  <c r="AC4128" i="1"/>
  <c r="AB4128" i="1" s="1"/>
  <c r="AC4129" i="1"/>
  <c r="AB4129" i="1" s="1"/>
  <c r="AC4130" i="1"/>
  <c r="AB4130" i="1" s="1"/>
  <c r="AC4131" i="1"/>
  <c r="AB4131" i="1" s="1"/>
  <c r="AC4132" i="1"/>
  <c r="AB4132" i="1" s="1"/>
  <c r="AC4133" i="1"/>
  <c r="AB4133" i="1" s="1"/>
  <c r="AC4134" i="1"/>
  <c r="AB4134" i="1" s="1"/>
  <c r="AC4135" i="1"/>
  <c r="AB4135" i="1" s="1"/>
  <c r="AC4136" i="1"/>
  <c r="AB4136" i="1" s="1"/>
  <c r="AC4137" i="1"/>
  <c r="AB4137" i="1" s="1"/>
  <c r="AC4138" i="1"/>
  <c r="AB4138" i="1" s="1"/>
  <c r="AC4139" i="1"/>
  <c r="AB4139" i="1" s="1"/>
  <c r="AC4140" i="1"/>
  <c r="AB4140" i="1" s="1"/>
  <c r="AC4141" i="1"/>
  <c r="AB4141" i="1" s="1"/>
  <c r="AC4142" i="1"/>
  <c r="AB4142" i="1" s="1"/>
  <c r="AC4143" i="1"/>
  <c r="AB4143" i="1" s="1"/>
  <c r="AC4144" i="1"/>
  <c r="AB4144" i="1" s="1"/>
  <c r="AC4145" i="1"/>
  <c r="AB4145" i="1" s="1"/>
  <c r="AC4146" i="1"/>
  <c r="AB4146" i="1" s="1"/>
  <c r="AC4147" i="1"/>
  <c r="AB4147" i="1" s="1"/>
  <c r="AC4148" i="1"/>
  <c r="AB4148" i="1" s="1"/>
  <c r="AC4149" i="1"/>
  <c r="AB4149" i="1" s="1"/>
  <c r="AC4150" i="1"/>
  <c r="AB4150" i="1" s="1"/>
  <c r="AC4151" i="1"/>
  <c r="AB4151" i="1" s="1"/>
  <c r="AC4152" i="1"/>
  <c r="AB4152" i="1" s="1"/>
  <c r="AC4153" i="1"/>
  <c r="AB4153" i="1" s="1"/>
  <c r="AC4154" i="1"/>
  <c r="AB4154" i="1" s="1"/>
  <c r="AC4155" i="1"/>
  <c r="AB4155" i="1" s="1"/>
  <c r="AC4156" i="1"/>
  <c r="AB4156" i="1" s="1"/>
  <c r="AC4157" i="1"/>
  <c r="AB4157" i="1" s="1"/>
  <c r="AC4158" i="1"/>
  <c r="AB4158" i="1" s="1"/>
  <c r="AC4159" i="1"/>
  <c r="AB4159" i="1" s="1"/>
  <c r="AC4160" i="1"/>
  <c r="AB4160" i="1" s="1"/>
  <c r="AC4161" i="1"/>
  <c r="AB4161" i="1" s="1"/>
  <c r="AC4162" i="1"/>
  <c r="AB4162" i="1" s="1"/>
  <c r="AC4163" i="1"/>
  <c r="AB4163" i="1" s="1"/>
  <c r="AC4164" i="1"/>
  <c r="AB4164" i="1" s="1"/>
  <c r="AC4165" i="1"/>
  <c r="AB4165" i="1" s="1"/>
  <c r="AC4166" i="1"/>
  <c r="AB4166" i="1" s="1"/>
  <c r="AC4167" i="1"/>
  <c r="AB4167" i="1" s="1"/>
  <c r="AC4168" i="1"/>
  <c r="AB4168" i="1" s="1"/>
  <c r="AC4169" i="1"/>
  <c r="AB4169" i="1" s="1"/>
  <c r="AC4170" i="1"/>
  <c r="AB4170" i="1" s="1"/>
  <c r="AC4171" i="1"/>
  <c r="AB4171" i="1" s="1"/>
  <c r="AC4172" i="1"/>
  <c r="AB4172" i="1" s="1"/>
  <c r="AC4173" i="1"/>
  <c r="AB4173" i="1" s="1"/>
  <c r="AC4174" i="1"/>
  <c r="AB4174" i="1" s="1"/>
  <c r="AC4175" i="1"/>
  <c r="AB4175" i="1" s="1"/>
  <c r="AC4176" i="1"/>
  <c r="AB4176" i="1" s="1"/>
  <c r="AC4177" i="1"/>
  <c r="AB4177" i="1" s="1"/>
  <c r="AC4178" i="1"/>
  <c r="AB4178" i="1" s="1"/>
  <c r="AC4179" i="1"/>
  <c r="AB4179" i="1" s="1"/>
  <c r="AC4180" i="1"/>
  <c r="AB4180" i="1" s="1"/>
  <c r="AC4181" i="1"/>
  <c r="AB4181" i="1" s="1"/>
  <c r="AC4182" i="1"/>
  <c r="AB4182" i="1" s="1"/>
  <c r="AC4183" i="1"/>
  <c r="AB4183" i="1" s="1"/>
  <c r="AC4184" i="1"/>
  <c r="AB4184" i="1" s="1"/>
  <c r="AC4185" i="1"/>
  <c r="AB4185" i="1" s="1"/>
  <c r="AC4186" i="1"/>
  <c r="AB4186" i="1" s="1"/>
  <c r="AC4187" i="1"/>
  <c r="AB4187" i="1" s="1"/>
  <c r="AC4188" i="1"/>
  <c r="AB4188" i="1" s="1"/>
  <c r="AC4189" i="1"/>
  <c r="AB4189" i="1" s="1"/>
  <c r="AC4190" i="1"/>
  <c r="AB4190" i="1" s="1"/>
  <c r="AC4191" i="1"/>
  <c r="AB4191" i="1" s="1"/>
  <c r="AC4192" i="1"/>
  <c r="AB4192" i="1" s="1"/>
  <c r="AC4193" i="1"/>
  <c r="AB4193" i="1" s="1"/>
  <c r="AC4194" i="1"/>
  <c r="AB4194" i="1" s="1"/>
  <c r="AC4195" i="1"/>
  <c r="AB4195" i="1" s="1"/>
  <c r="AC4196" i="1"/>
  <c r="AB4196" i="1" s="1"/>
  <c r="AC4197" i="1"/>
  <c r="AB4197" i="1" s="1"/>
  <c r="AC4198" i="1"/>
  <c r="AB4198" i="1" s="1"/>
  <c r="AC4199" i="1"/>
  <c r="AB4199" i="1" s="1"/>
  <c r="AC4200" i="1"/>
  <c r="AB4200" i="1" s="1"/>
  <c r="AC4201" i="1"/>
  <c r="AB4201" i="1" s="1"/>
  <c r="AC4202" i="1"/>
  <c r="AB4202" i="1" s="1"/>
  <c r="AC4203" i="1"/>
  <c r="AB4203" i="1" s="1"/>
  <c r="AC4204" i="1"/>
  <c r="AB4204" i="1" s="1"/>
  <c r="AC4205" i="1"/>
  <c r="AB4205" i="1" s="1"/>
  <c r="AC4206" i="1"/>
  <c r="AB4206" i="1" s="1"/>
  <c r="AC4207" i="1"/>
  <c r="AB4207" i="1" s="1"/>
  <c r="AC4208" i="1"/>
  <c r="AB4208" i="1" s="1"/>
  <c r="AC4209" i="1"/>
  <c r="AB4209" i="1" s="1"/>
  <c r="AC4210" i="1"/>
  <c r="AB4210" i="1" s="1"/>
  <c r="AC4211" i="1"/>
  <c r="AB4211" i="1" s="1"/>
  <c r="AC4212" i="1"/>
  <c r="AB4212" i="1" s="1"/>
  <c r="AC4213" i="1"/>
  <c r="AB4213" i="1" s="1"/>
  <c r="AC4214" i="1"/>
  <c r="AB4214" i="1" s="1"/>
  <c r="AC4215" i="1"/>
  <c r="AB4215" i="1" s="1"/>
  <c r="AC4216" i="1"/>
  <c r="AB4216" i="1" s="1"/>
  <c r="AC4217" i="1"/>
  <c r="AB4217" i="1" s="1"/>
  <c r="AC4218" i="1"/>
  <c r="AB4218" i="1" s="1"/>
  <c r="AC4219" i="1"/>
  <c r="AB4219" i="1" s="1"/>
  <c r="AC4220" i="1"/>
  <c r="AB4220" i="1" s="1"/>
  <c r="AC4221" i="1"/>
  <c r="AB4221" i="1" s="1"/>
  <c r="AC4222" i="1"/>
  <c r="AB4222" i="1" s="1"/>
  <c r="AC4223" i="1"/>
  <c r="AB4223" i="1" s="1"/>
  <c r="AC4224" i="1"/>
  <c r="AB4224" i="1" s="1"/>
  <c r="AC4225" i="1"/>
  <c r="AB4225" i="1" s="1"/>
  <c r="AC4226" i="1"/>
  <c r="AB4226" i="1" s="1"/>
  <c r="AC4227" i="1"/>
  <c r="AB4227" i="1" s="1"/>
  <c r="AC4228" i="1"/>
  <c r="AB4228" i="1" s="1"/>
  <c r="AC4229" i="1"/>
  <c r="AB4229" i="1" s="1"/>
  <c r="AC4230" i="1"/>
  <c r="AB4230" i="1" s="1"/>
  <c r="AC4231" i="1"/>
  <c r="AB4231" i="1" s="1"/>
  <c r="AC4232" i="1"/>
  <c r="AB4232" i="1" s="1"/>
  <c r="AC4233" i="1"/>
  <c r="AB4233" i="1" s="1"/>
  <c r="AC4234" i="1"/>
  <c r="AB4234" i="1" s="1"/>
  <c r="AC4235" i="1"/>
  <c r="AB4235" i="1" s="1"/>
  <c r="AC4236" i="1"/>
  <c r="AB4236" i="1" s="1"/>
  <c r="AC4237" i="1"/>
  <c r="AB4237" i="1" s="1"/>
  <c r="AC4238" i="1"/>
  <c r="AB4238" i="1" s="1"/>
  <c r="AC4239" i="1"/>
  <c r="AB4239" i="1" s="1"/>
  <c r="AC4240" i="1"/>
  <c r="AB4240" i="1" s="1"/>
  <c r="AC4241" i="1"/>
  <c r="AB4241" i="1" s="1"/>
  <c r="AC4242" i="1"/>
  <c r="AB4242" i="1" s="1"/>
  <c r="AC4243" i="1"/>
  <c r="AB4243" i="1" s="1"/>
  <c r="AC4244" i="1"/>
  <c r="AB4244" i="1" s="1"/>
  <c r="AC4245" i="1"/>
  <c r="AB4245" i="1" s="1"/>
  <c r="AC4246" i="1"/>
  <c r="AB4246" i="1" s="1"/>
  <c r="AC4247" i="1"/>
  <c r="AB4247" i="1" s="1"/>
  <c r="AC4248" i="1"/>
  <c r="AB4248" i="1" s="1"/>
  <c r="AC4249" i="1"/>
  <c r="AB4249" i="1" s="1"/>
  <c r="AC4250" i="1"/>
  <c r="AB4250" i="1" s="1"/>
  <c r="AC4251" i="1"/>
  <c r="AB4251" i="1" s="1"/>
  <c r="AC4252" i="1"/>
  <c r="AB4252" i="1" s="1"/>
  <c r="AC4253" i="1"/>
  <c r="AB4253" i="1" s="1"/>
  <c r="AC4254" i="1"/>
  <c r="AB4254" i="1" s="1"/>
  <c r="AC4255" i="1"/>
  <c r="AB4255" i="1" s="1"/>
  <c r="AC4256" i="1"/>
  <c r="AB4256" i="1" s="1"/>
  <c r="AC4257" i="1"/>
  <c r="AB4257" i="1" s="1"/>
  <c r="AC4258" i="1"/>
  <c r="AB4258" i="1" s="1"/>
  <c r="AC4259" i="1"/>
  <c r="AB4259" i="1" s="1"/>
  <c r="AC4260" i="1"/>
  <c r="AB4260" i="1" s="1"/>
  <c r="AC4261" i="1"/>
  <c r="AB4261" i="1" s="1"/>
  <c r="AC4262" i="1"/>
  <c r="AB4262" i="1" s="1"/>
  <c r="AC4263" i="1"/>
  <c r="AB4263" i="1" s="1"/>
  <c r="AC4264" i="1"/>
  <c r="AB4264" i="1" s="1"/>
  <c r="AC4265" i="1"/>
  <c r="AB4265" i="1" s="1"/>
  <c r="AC4266" i="1"/>
  <c r="AB4266" i="1" s="1"/>
  <c r="AC4267" i="1"/>
  <c r="AB4267" i="1" s="1"/>
  <c r="AC4268" i="1"/>
  <c r="AB4268" i="1" s="1"/>
  <c r="AC4269" i="1"/>
  <c r="AB4269" i="1" s="1"/>
  <c r="AC4270" i="1"/>
  <c r="AB4270" i="1" s="1"/>
  <c r="AC4271" i="1"/>
  <c r="AB4271" i="1" s="1"/>
  <c r="AC4272" i="1"/>
  <c r="AB4272" i="1" s="1"/>
  <c r="AC4273" i="1"/>
  <c r="AB4273" i="1" s="1"/>
  <c r="AC4274" i="1"/>
  <c r="AB4274" i="1" s="1"/>
  <c r="AC4275" i="1"/>
  <c r="AB4275" i="1" s="1"/>
  <c r="AC4276" i="1"/>
  <c r="AB4276" i="1" s="1"/>
  <c r="AC4277" i="1"/>
  <c r="AB4277" i="1" s="1"/>
  <c r="AC4278" i="1"/>
  <c r="AB4278" i="1" s="1"/>
  <c r="AC4279" i="1"/>
  <c r="AB4279" i="1" s="1"/>
  <c r="AC4280" i="1"/>
  <c r="AB4280" i="1" s="1"/>
  <c r="AC4281" i="1"/>
  <c r="AB4281" i="1" s="1"/>
  <c r="AC4282" i="1"/>
  <c r="AB4282" i="1" s="1"/>
  <c r="AC4283" i="1"/>
  <c r="AB4283" i="1" s="1"/>
  <c r="AC4284" i="1"/>
  <c r="AB4284" i="1" s="1"/>
  <c r="AC4285" i="1"/>
  <c r="AB4285" i="1" s="1"/>
  <c r="AC4286" i="1"/>
  <c r="AB4286" i="1" s="1"/>
  <c r="AC4287" i="1"/>
  <c r="AB4287" i="1" s="1"/>
  <c r="AC4288" i="1"/>
  <c r="AB4288" i="1" s="1"/>
  <c r="AC4289" i="1"/>
  <c r="AB4289" i="1" s="1"/>
  <c r="AC4290" i="1"/>
  <c r="AB4290" i="1" s="1"/>
  <c r="AC4291" i="1"/>
  <c r="AB4291" i="1" s="1"/>
  <c r="AC4292" i="1"/>
  <c r="AB4292" i="1" s="1"/>
  <c r="AC4293" i="1"/>
  <c r="AB4293" i="1" s="1"/>
  <c r="AC4294" i="1"/>
  <c r="AB4294" i="1" s="1"/>
  <c r="AC4295" i="1"/>
  <c r="AB4295" i="1" s="1"/>
  <c r="AC4296" i="1"/>
  <c r="AB4296" i="1" s="1"/>
  <c r="AC4297" i="1"/>
  <c r="AB4297" i="1" s="1"/>
  <c r="AC4298" i="1"/>
  <c r="AB4298" i="1" s="1"/>
  <c r="AC4299" i="1"/>
  <c r="AB4299" i="1" s="1"/>
  <c r="AC4300" i="1"/>
  <c r="AB4300" i="1" s="1"/>
  <c r="AC4301" i="1"/>
  <c r="AB4301" i="1" s="1"/>
  <c r="AC4302" i="1"/>
  <c r="AB4302" i="1" s="1"/>
  <c r="AC4303" i="1"/>
  <c r="AB4303" i="1" s="1"/>
  <c r="AC4304" i="1"/>
  <c r="AB4304" i="1" s="1"/>
  <c r="AC4305" i="1"/>
  <c r="AB4305" i="1" s="1"/>
  <c r="AC4306" i="1"/>
  <c r="AB4306" i="1" s="1"/>
  <c r="AC4307" i="1"/>
  <c r="AB4307" i="1" s="1"/>
  <c r="AC4308" i="1"/>
  <c r="AB4308" i="1" s="1"/>
  <c r="AC4309" i="1"/>
  <c r="AB4309" i="1" s="1"/>
  <c r="AC4310" i="1"/>
  <c r="AB4310" i="1" s="1"/>
  <c r="AC4311" i="1"/>
  <c r="AB4311" i="1" s="1"/>
  <c r="AC4312" i="1"/>
  <c r="AB4312" i="1" s="1"/>
  <c r="AC4313" i="1"/>
  <c r="AB4313" i="1" s="1"/>
  <c r="AC4314" i="1"/>
  <c r="AB4314" i="1" s="1"/>
  <c r="AC4315" i="1"/>
  <c r="AB4315" i="1" s="1"/>
  <c r="AC4316" i="1"/>
  <c r="AB4316" i="1" s="1"/>
  <c r="AC4317" i="1"/>
  <c r="AB4317" i="1" s="1"/>
  <c r="AC4318" i="1"/>
  <c r="AB4318" i="1" s="1"/>
  <c r="AC4319" i="1"/>
  <c r="AB4319" i="1" s="1"/>
  <c r="AC4320" i="1"/>
  <c r="AB4320" i="1" s="1"/>
  <c r="AC4321" i="1"/>
  <c r="AB4321" i="1" s="1"/>
  <c r="AC4322" i="1"/>
  <c r="AB4322" i="1" s="1"/>
  <c r="AC4323" i="1"/>
  <c r="AB4323" i="1" s="1"/>
  <c r="AC4324" i="1"/>
  <c r="AB4324" i="1" s="1"/>
  <c r="AC4325" i="1"/>
  <c r="AB4325" i="1" s="1"/>
  <c r="AC4326" i="1"/>
  <c r="AB4326" i="1" s="1"/>
  <c r="AC4327" i="1"/>
  <c r="AB4327" i="1" s="1"/>
  <c r="AC4328" i="1"/>
  <c r="AB4328" i="1" s="1"/>
  <c r="AC4329" i="1"/>
  <c r="AB4329" i="1" s="1"/>
  <c r="AC4330" i="1"/>
  <c r="AB4330" i="1" s="1"/>
  <c r="AC4331" i="1"/>
  <c r="AB4331" i="1" s="1"/>
  <c r="AC4332" i="1"/>
  <c r="AB4332" i="1" s="1"/>
  <c r="AC4333" i="1"/>
  <c r="AB4333" i="1" s="1"/>
  <c r="AC4334" i="1"/>
  <c r="AB4334" i="1" s="1"/>
  <c r="AC4335" i="1"/>
  <c r="AB4335" i="1" s="1"/>
  <c r="AC4336" i="1"/>
  <c r="AB4336" i="1" s="1"/>
  <c r="AC4337" i="1"/>
  <c r="AB4337" i="1" s="1"/>
  <c r="AC4338" i="1"/>
  <c r="AB4338" i="1" s="1"/>
  <c r="AC4339" i="1"/>
  <c r="AB4339" i="1" s="1"/>
  <c r="AC4340" i="1"/>
  <c r="AB4340" i="1" s="1"/>
  <c r="AC4341" i="1"/>
  <c r="AB4341" i="1" s="1"/>
  <c r="AC4342" i="1"/>
  <c r="AB4342" i="1" s="1"/>
  <c r="AC4343" i="1"/>
  <c r="AB4343" i="1" s="1"/>
  <c r="AC4344" i="1"/>
  <c r="AB4344" i="1" s="1"/>
  <c r="AC4345" i="1"/>
  <c r="AB4345" i="1" s="1"/>
  <c r="AC4346" i="1"/>
  <c r="AB4346" i="1" s="1"/>
  <c r="AC4347" i="1"/>
  <c r="AB4347" i="1" s="1"/>
  <c r="AC4348" i="1"/>
  <c r="AB4348" i="1" s="1"/>
  <c r="AC4349" i="1"/>
  <c r="AB4349" i="1" s="1"/>
  <c r="AC4350" i="1"/>
  <c r="AB4350" i="1" s="1"/>
  <c r="AC4351" i="1"/>
  <c r="AB4351" i="1" s="1"/>
  <c r="AC4352" i="1"/>
  <c r="AB4352" i="1" s="1"/>
  <c r="AC4353" i="1"/>
  <c r="AB4353" i="1" s="1"/>
  <c r="AC4354" i="1"/>
  <c r="AB4354" i="1" s="1"/>
  <c r="AC4355" i="1"/>
  <c r="AB4355" i="1" s="1"/>
  <c r="AC4356" i="1"/>
  <c r="AB4356" i="1" s="1"/>
  <c r="AC4357" i="1"/>
  <c r="AB4357" i="1" s="1"/>
  <c r="AC4358" i="1"/>
  <c r="AB4358" i="1" s="1"/>
  <c r="AC4359" i="1"/>
  <c r="AB4359" i="1" s="1"/>
  <c r="AC4360" i="1"/>
  <c r="AB4360" i="1" s="1"/>
  <c r="AC4361" i="1"/>
  <c r="AB4361" i="1" s="1"/>
  <c r="AC4362" i="1"/>
  <c r="AB4362" i="1" s="1"/>
  <c r="AC4363" i="1"/>
  <c r="AB4363" i="1" s="1"/>
  <c r="AC4364" i="1"/>
  <c r="AB4364" i="1" s="1"/>
  <c r="AC4365" i="1"/>
  <c r="AB4365" i="1" s="1"/>
  <c r="AC4366" i="1"/>
  <c r="AB4366" i="1" s="1"/>
  <c r="AC4367" i="1"/>
  <c r="AB4367" i="1" s="1"/>
  <c r="AC4368" i="1"/>
  <c r="AB4368" i="1" s="1"/>
  <c r="AC4369" i="1"/>
  <c r="AB4369" i="1" s="1"/>
  <c r="AC4370" i="1"/>
  <c r="AB4370" i="1" s="1"/>
  <c r="AC4371" i="1"/>
  <c r="AB4371" i="1" s="1"/>
  <c r="AC4372" i="1"/>
  <c r="AB4372" i="1" s="1"/>
  <c r="AC4373" i="1"/>
  <c r="AB4373" i="1" s="1"/>
  <c r="AC4374" i="1"/>
  <c r="AB4374" i="1" s="1"/>
  <c r="AC4375" i="1"/>
  <c r="AB4375" i="1" s="1"/>
  <c r="AC4376" i="1"/>
  <c r="AB4376" i="1" s="1"/>
  <c r="AC4377" i="1"/>
  <c r="AB4377" i="1" s="1"/>
  <c r="AC4378" i="1"/>
  <c r="AB4378" i="1" s="1"/>
  <c r="AC4379" i="1"/>
  <c r="AB4379" i="1" s="1"/>
  <c r="AC4380" i="1"/>
  <c r="AB4380" i="1" s="1"/>
  <c r="AC4381" i="1"/>
  <c r="AB4381" i="1" s="1"/>
  <c r="AC4382" i="1"/>
  <c r="AB4382" i="1" s="1"/>
  <c r="AC4383" i="1"/>
  <c r="AB4383" i="1" s="1"/>
  <c r="AC4384" i="1"/>
  <c r="AB4384" i="1" s="1"/>
  <c r="AC4385" i="1"/>
  <c r="AB4385" i="1" s="1"/>
  <c r="AC4386" i="1"/>
  <c r="AB4386" i="1" s="1"/>
  <c r="AC4387" i="1"/>
  <c r="AB4387" i="1" s="1"/>
  <c r="AC4388" i="1"/>
  <c r="AB4388" i="1" s="1"/>
  <c r="AC4389" i="1"/>
  <c r="AB4389" i="1" s="1"/>
  <c r="AC4390" i="1"/>
  <c r="AB4390" i="1" s="1"/>
  <c r="AC4391" i="1"/>
  <c r="AB4391" i="1" s="1"/>
  <c r="AC4392" i="1"/>
  <c r="AB4392" i="1" s="1"/>
  <c r="AC4393" i="1"/>
  <c r="AB4393" i="1" s="1"/>
  <c r="AC4394" i="1"/>
  <c r="AB4394" i="1" s="1"/>
  <c r="AC4395" i="1"/>
  <c r="AB4395" i="1" s="1"/>
  <c r="AC4396" i="1"/>
  <c r="AB4396" i="1" s="1"/>
  <c r="AC4397" i="1"/>
  <c r="AB4397" i="1" s="1"/>
  <c r="AC4398" i="1"/>
  <c r="AB4398" i="1" s="1"/>
  <c r="AC4399" i="1"/>
  <c r="AB4399" i="1" s="1"/>
  <c r="AC4400" i="1"/>
  <c r="AB4400" i="1" s="1"/>
  <c r="AC4401" i="1"/>
  <c r="AB4401" i="1" s="1"/>
  <c r="AC4402" i="1"/>
  <c r="AB4402" i="1" s="1"/>
  <c r="AC4403" i="1"/>
  <c r="AB4403" i="1" s="1"/>
  <c r="AC4404" i="1"/>
  <c r="AB4404" i="1" s="1"/>
  <c r="AC4405" i="1"/>
  <c r="AB4405" i="1" s="1"/>
  <c r="AC4406" i="1"/>
  <c r="AB4406" i="1" s="1"/>
  <c r="AC4407" i="1"/>
  <c r="AB4407" i="1" s="1"/>
  <c r="AC4408" i="1"/>
  <c r="AB4408" i="1" s="1"/>
  <c r="AC4409" i="1"/>
  <c r="AB4409" i="1" s="1"/>
  <c r="AC4410" i="1"/>
  <c r="AB4410" i="1" s="1"/>
  <c r="AC4411" i="1"/>
  <c r="AB4411" i="1" s="1"/>
  <c r="AC4412" i="1"/>
  <c r="AB4412" i="1" s="1"/>
  <c r="AC4413" i="1"/>
  <c r="AB4413" i="1" s="1"/>
  <c r="AC4414" i="1"/>
  <c r="AB4414" i="1" s="1"/>
  <c r="AC4415" i="1"/>
  <c r="AB4415" i="1" s="1"/>
  <c r="AC4416" i="1"/>
  <c r="AB4416" i="1" s="1"/>
  <c r="AC4417" i="1"/>
  <c r="AB4417" i="1" s="1"/>
  <c r="AC4418" i="1"/>
  <c r="AB4418" i="1" s="1"/>
  <c r="AC4419" i="1"/>
  <c r="AB4419" i="1" s="1"/>
  <c r="AC4420" i="1"/>
  <c r="AB4420" i="1" s="1"/>
  <c r="AC4421" i="1"/>
  <c r="AB4421" i="1" s="1"/>
  <c r="AC4422" i="1"/>
  <c r="AB4422" i="1" s="1"/>
  <c r="AC4423" i="1"/>
  <c r="AB4423" i="1" s="1"/>
  <c r="AC4424" i="1"/>
  <c r="AB4424" i="1" s="1"/>
  <c r="AC4425" i="1"/>
  <c r="AB4425" i="1" s="1"/>
  <c r="AC4426" i="1"/>
  <c r="AB4426" i="1" s="1"/>
  <c r="AC4427" i="1"/>
  <c r="AB4427" i="1" s="1"/>
  <c r="AC4428" i="1"/>
  <c r="AB4428" i="1" s="1"/>
  <c r="AC4429" i="1"/>
  <c r="AB4429" i="1" s="1"/>
  <c r="AC4430" i="1"/>
  <c r="AB4430" i="1" s="1"/>
  <c r="AC4431" i="1"/>
  <c r="AB4431" i="1" s="1"/>
  <c r="AC4432" i="1"/>
  <c r="AB4432" i="1" s="1"/>
  <c r="AC4433" i="1"/>
  <c r="AB4433" i="1" s="1"/>
  <c r="AC4434" i="1"/>
  <c r="AB4434" i="1" s="1"/>
  <c r="AC4435" i="1"/>
  <c r="AB4435" i="1" s="1"/>
  <c r="AC4436" i="1"/>
  <c r="AB4436" i="1" s="1"/>
  <c r="AC4437" i="1"/>
  <c r="AB4437" i="1" s="1"/>
  <c r="AC4438" i="1"/>
  <c r="AB4438" i="1" s="1"/>
  <c r="AC4439" i="1"/>
  <c r="AB4439" i="1" s="1"/>
  <c r="AC4440" i="1"/>
  <c r="AB4440" i="1" s="1"/>
  <c r="AC4441" i="1"/>
  <c r="AB4441" i="1" s="1"/>
  <c r="AC4442" i="1"/>
  <c r="AB4442" i="1" s="1"/>
  <c r="AC4443" i="1"/>
  <c r="AB4443" i="1" s="1"/>
  <c r="AC4444" i="1"/>
  <c r="AB4444" i="1" s="1"/>
  <c r="AC4445" i="1"/>
  <c r="AB4445" i="1" s="1"/>
  <c r="AC4446" i="1"/>
  <c r="AB4446" i="1" s="1"/>
  <c r="AC4447" i="1"/>
  <c r="AB4447" i="1" s="1"/>
  <c r="AC4448" i="1"/>
  <c r="AB4448" i="1" s="1"/>
  <c r="AC4449" i="1"/>
  <c r="AB4449" i="1" s="1"/>
  <c r="AC4450" i="1"/>
  <c r="AB4450" i="1" s="1"/>
  <c r="AC4451" i="1"/>
  <c r="AB4451" i="1" s="1"/>
  <c r="AC4452" i="1"/>
  <c r="AB4452" i="1" s="1"/>
  <c r="AC4453" i="1"/>
  <c r="AB4453" i="1" s="1"/>
  <c r="AC4454" i="1"/>
  <c r="AB4454" i="1" s="1"/>
  <c r="AC4455" i="1"/>
  <c r="AB4455" i="1" s="1"/>
  <c r="AC4456" i="1"/>
  <c r="AB4456" i="1" s="1"/>
  <c r="AC4457" i="1"/>
  <c r="AB4457" i="1" s="1"/>
  <c r="AC4458" i="1"/>
  <c r="AB4458" i="1" s="1"/>
  <c r="AC4459" i="1"/>
  <c r="AB4459" i="1" s="1"/>
  <c r="AC4460" i="1"/>
  <c r="AB4460" i="1" s="1"/>
  <c r="AC4461" i="1"/>
  <c r="AB4461" i="1" s="1"/>
  <c r="AC4462" i="1"/>
  <c r="AB4462" i="1" s="1"/>
  <c r="AC4463" i="1"/>
  <c r="AB4463" i="1" s="1"/>
  <c r="AC4464" i="1"/>
  <c r="AB4464" i="1" s="1"/>
  <c r="AC4465" i="1"/>
  <c r="AB4465" i="1" s="1"/>
  <c r="AC4466" i="1"/>
  <c r="AB4466" i="1" s="1"/>
  <c r="AC4467" i="1"/>
  <c r="AB4467" i="1" s="1"/>
  <c r="AC4468" i="1"/>
  <c r="AB4468" i="1" s="1"/>
  <c r="AC4469" i="1"/>
  <c r="AB4469" i="1" s="1"/>
  <c r="AC4470" i="1"/>
  <c r="AB4470" i="1" s="1"/>
  <c r="AC4471" i="1"/>
  <c r="AB4471" i="1" s="1"/>
  <c r="AC4472" i="1"/>
  <c r="AB4472" i="1" s="1"/>
  <c r="AC4473" i="1"/>
  <c r="AB4473" i="1" s="1"/>
  <c r="AC4474" i="1"/>
  <c r="AB4474" i="1" s="1"/>
  <c r="AC4475" i="1"/>
  <c r="AB4475" i="1" s="1"/>
  <c r="AC4476" i="1"/>
  <c r="AB4476" i="1" s="1"/>
  <c r="AC4477" i="1"/>
  <c r="AB4477" i="1" s="1"/>
  <c r="AC4478" i="1"/>
  <c r="AB4478" i="1" s="1"/>
  <c r="AC4479" i="1"/>
  <c r="AB4479" i="1" s="1"/>
  <c r="AC4480" i="1"/>
  <c r="AB4480" i="1" s="1"/>
  <c r="AC4481" i="1"/>
  <c r="AB4481" i="1" s="1"/>
  <c r="AC4482" i="1"/>
  <c r="AB4482" i="1" s="1"/>
  <c r="AC4483" i="1"/>
  <c r="AB4483" i="1" s="1"/>
  <c r="AC4484" i="1"/>
  <c r="AB4484" i="1" s="1"/>
  <c r="AC4485" i="1"/>
  <c r="AB4485" i="1" s="1"/>
  <c r="AC4486" i="1"/>
  <c r="AB4486" i="1" s="1"/>
  <c r="AC4487" i="1"/>
  <c r="AB4487" i="1" s="1"/>
  <c r="AC4488" i="1"/>
  <c r="AB4488" i="1" s="1"/>
  <c r="AC4489" i="1"/>
  <c r="AB4489" i="1" s="1"/>
  <c r="AC4490" i="1"/>
  <c r="AB4490" i="1" s="1"/>
  <c r="AC4491" i="1"/>
  <c r="AB4491" i="1" s="1"/>
  <c r="AC4492" i="1"/>
  <c r="AB4492" i="1" s="1"/>
  <c r="AC4493" i="1"/>
  <c r="AB4493" i="1" s="1"/>
  <c r="AC4494" i="1"/>
  <c r="AB4494" i="1" s="1"/>
  <c r="AC4495" i="1"/>
  <c r="AB4495" i="1" s="1"/>
  <c r="AC4496" i="1"/>
  <c r="AB4496" i="1" s="1"/>
  <c r="AC4497" i="1"/>
  <c r="AB4497" i="1" s="1"/>
  <c r="AC4498" i="1"/>
  <c r="AB4498" i="1" s="1"/>
  <c r="AC4499" i="1"/>
  <c r="AB4499" i="1" s="1"/>
  <c r="AC4500" i="1"/>
  <c r="AB4500" i="1" s="1"/>
  <c r="AC4501" i="1"/>
  <c r="AB4501" i="1" s="1"/>
  <c r="AC4502" i="1"/>
  <c r="AB4502" i="1" s="1"/>
  <c r="AC4503" i="1"/>
  <c r="AB4503" i="1" s="1"/>
  <c r="AC4504" i="1"/>
  <c r="AB4504" i="1" s="1"/>
  <c r="AC4505" i="1"/>
  <c r="AB4505" i="1" s="1"/>
  <c r="AC4506" i="1"/>
  <c r="AB4506" i="1" s="1"/>
  <c r="AC4507" i="1"/>
  <c r="AB4507" i="1" s="1"/>
  <c r="AC4508" i="1"/>
  <c r="AB4508" i="1" s="1"/>
  <c r="AC4509" i="1"/>
  <c r="AB4509" i="1" s="1"/>
  <c r="AC4510" i="1"/>
  <c r="AB4510" i="1" s="1"/>
  <c r="AC4511" i="1"/>
  <c r="AB4511" i="1" s="1"/>
  <c r="AC4512" i="1"/>
  <c r="AB4512" i="1" s="1"/>
  <c r="AC4513" i="1"/>
  <c r="AB4513" i="1" s="1"/>
  <c r="AC4514" i="1"/>
  <c r="AB4514" i="1" s="1"/>
  <c r="AC4515" i="1"/>
  <c r="AB4515" i="1" s="1"/>
  <c r="AC4516" i="1"/>
  <c r="AB4516" i="1" s="1"/>
  <c r="AC4517" i="1"/>
  <c r="AB4517" i="1" s="1"/>
  <c r="AC4518" i="1"/>
  <c r="AB4518" i="1" s="1"/>
  <c r="AC4519" i="1"/>
  <c r="AB4519" i="1" s="1"/>
  <c r="AC4520" i="1"/>
  <c r="AB4520" i="1" s="1"/>
  <c r="AC4521" i="1"/>
  <c r="AB4521" i="1" s="1"/>
  <c r="AC4522" i="1"/>
  <c r="AB4522" i="1" s="1"/>
  <c r="AC4523" i="1"/>
  <c r="AB4523" i="1" s="1"/>
  <c r="AC4524" i="1"/>
  <c r="AB4524" i="1" s="1"/>
  <c r="AC4525" i="1"/>
  <c r="AB4525" i="1" s="1"/>
  <c r="AC4526" i="1"/>
  <c r="AB4526" i="1" s="1"/>
  <c r="AC4527" i="1"/>
  <c r="AB4527" i="1" s="1"/>
  <c r="AC4528" i="1"/>
  <c r="AB4528" i="1" s="1"/>
  <c r="AC4529" i="1"/>
  <c r="AB4529" i="1" s="1"/>
  <c r="AC4530" i="1"/>
  <c r="AB4530" i="1" s="1"/>
  <c r="AC4531" i="1"/>
  <c r="AB4531" i="1" s="1"/>
  <c r="AC4532" i="1"/>
  <c r="AB4532" i="1" s="1"/>
  <c r="AC4533" i="1"/>
  <c r="AB4533" i="1" s="1"/>
  <c r="AC4534" i="1"/>
  <c r="AB4534" i="1" s="1"/>
  <c r="AC4535" i="1"/>
  <c r="AB4535" i="1" s="1"/>
  <c r="AC4536" i="1"/>
  <c r="AB4536" i="1" s="1"/>
  <c r="AC4537" i="1"/>
  <c r="AB4537" i="1" s="1"/>
  <c r="AC4538" i="1"/>
  <c r="AB4538" i="1" s="1"/>
  <c r="AC4539" i="1"/>
  <c r="AB4539" i="1" s="1"/>
  <c r="AC4540" i="1"/>
  <c r="AB4540" i="1" s="1"/>
  <c r="AC4541" i="1"/>
  <c r="AB4541" i="1" s="1"/>
  <c r="AC4542" i="1"/>
  <c r="AB4542" i="1" s="1"/>
  <c r="AC4543" i="1"/>
  <c r="AB4543" i="1" s="1"/>
  <c r="AC4544" i="1"/>
  <c r="AB4544" i="1" s="1"/>
  <c r="AC4545" i="1"/>
  <c r="AB4545" i="1" s="1"/>
  <c r="AC4546" i="1"/>
  <c r="AB4546" i="1" s="1"/>
  <c r="AC4547" i="1"/>
  <c r="AB4547" i="1" s="1"/>
  <c r="AC4548" i="1"/>
  <c r="AB4548" i="1" s="1"/>
  <c r="AC4549" i="1"/>
  <c r="AB4549" i="1" s="1"/>
  <c r="AC4550" i="1"/>
  <c r="AB4550" i="1" s="1"/>
  <c r="AC4551" i="1"/>
  <c r="AB4551" i="1" s="1"/>
  <c r="AC4552" i="1"/>
  <c r="AB4552" i="1" s="1"/>
  <c r="AC4553" i="1"/>
  <c r="AB4553" i="1" s="1"/>
  <c r="AC4554" i="1"/>
  <c r="AB4554" i="1" s="1"/>
  <c r="AC4555" i="1"/>
  <c r="AB4555" i="1" s="1"/>
  <c r="AC4556" i="1"/>
  <c r="AB4556" i="1" s="1"/>
  <c r="AC4557" i="1"/>
  <c r="AB4557" i="1" s="1"/>
  <c r="AC4558" i="1"/>
  <c r="AB4558" i="1" s="1"/>
  <c r="AC4559" i="1"/>
  <c r="AB4559" i="1" s="1"/>
  <c r="AC4560" i="1"/>
  <c r="AB4560" i="1" s="1"/>
  <c r="AC4561" i="1"/>
  <c r="AB4561" i="1" s="1"/>
  <c r="AC4562" i="1"/>
  <c r="AB4562" i="1" s="1"/>
  <c r="AC4563" i="1"/>
  <c r="AB4563" i="1" s="1"/>
  <c r="AC4564" i="1"/>
  <c r="AB4564" i="1" s="1"/>
  <c r="AC4565" i="1"/>
  <c r="AB4565" i="1" s="1"/>
  <c r="AC4566" i="1"/>
  <c r="AB4566" i="1" s="1"/>
  <c r="AC4567" i="1"/>
  <c r="AB4567" i="1" s="1"/>
  <c r="AC4568" i="1"/>
  <c r="AB4568" i="1" s="1"/>
  <c r="AC4569" i="1"/>
  <c r="AB4569" i="1" s="1"/>
  <c r="AC4570" i="1"/>
  <c r="AB4570" i="1" s="1"/>
  <c r="AC4571" i="1"/>
  <c r="AB4571" i="1" s="1"/>
  <c r="AC4572" i="1"/>
  <c r="AB4572" i="1" s="1"/>
  <c r="AC4573" i="1"/>
  <c r="AB4573" i="1" s="1"/>
  <c r="AC4574" i="1"/>
  <c r="AB4574" i="1" s="1"/>
  <c r="AC4575" i="1"/>
  <c r="AB4575" i="1" s="1"/>
  <c r="AC4576" i="1"/>
  <c r="AB4576" i="1" s="1"/>
  <c r="AC4577" i="1"/>
  <c r="AB4577" i="1" s="1"/>
  <c r="AC4578" i="1"/>
  <c r="AB4578" i="1" s="1"/>
  <c r="AC4579" i="1"/>
  <c r="AB4579" i="1" s="1"/>
  <c r="AC4580" i="1"/>
  <c r="AB4580" i="1" s="1"/>
  <c r="AC4581" i="1"/>
  <c r="AB4581" i="1" s="1"/>
  <c r="AC4582" i="1"/>
  <c r="AB4582" i="1" s="1"/>
  <c r="AC4583" i="1"/>
  <c r="AB4583" i="1" s="1"/>
  <c r="AC4584" i="1"/>
  <c r="AB4584" i="1" s="1"/>
  <c r="AC4585" i="1"/>
  <c r="AB4585" i="1" s="1"/>
  <c r="AC4586" i="1"/>
  <c r="AB4586" i="1" s="1"/>
  <c r="AC4587" i="1"/>
  <c r="AB4587" i="1" s="1"/>
  <c r="AC4588" i="1"/>
  <c r="AB4588" i="1" s="1"/>
  <c r="AC4589" i="1"/>
  <c r="AB4589" i="1" s="1"/>
  <c r="AC4590" i="1"/>
  <c r="AB4590" i="1" s="1"/>
  <c r="AC4591" i="1"/>
  <c r="AB4591" i="1" s="1"/>
  <c r="AC4592" i="1"/>
  <c r="AB4592" i="1" s="1"/>
  <c r="AC4593" i="1"/>
  <c r="AB4593" i="1" s="1"/>
  <c r="AC4594" i="1"/>
  <c r="AB4594" i="1" s="1"/>
  <c r="AC4595" i="1"/>
  <c r="AB4595" i="1" s="1"/>
  <c r="AC4596" i="1"/>
  <c r="AB4596" i="1" s="1"/>
  <c r="AC4597" i="1"/>
  <c r="AB4597" i="1" s="1"/>
  <c r="AC4598" i="1"/>
  <c r="AB4598" i="1" s="1"/>
  <c r="AC4599" i="1"/>
  <c r="AB4599" i="1" s="1"/>
  <c r="AC4600" i="1"/>
  <c r="AB4600" i="1" s="1"/>
  <c r="AC4601" i="1"/>
  <c r="AB4601" i="1" s="1"/>
  <c r="AC4602" i="1"/>
  <c r="AB4602" i="1" s="1"/>
  <c r="AC4603" i="1"/>
  <c r="AB4603" i="1" s="1"/>
  <c r="AC4604" i="1"/>
  <c r="AB4604" i="1" s="1"/>
  <c r="AC4605" i="1"/>
  <c r="AB4605" i="1" s="1"/>
  <c r="AC4606" i="1"/>
  <c r="AB4606" i="1" s="1"/>
  <c r="AC4607" i="1"/>
  <c r="AB4607" i="1" s="1"/>
  <c r="AC4608" i="1"/>
  <c r="AB4608" i="1" s="1"/>
  <c r="AC4609" i="1"/>
  <c r="AB4609" i="1" s="1"/>
  <c r="AC4610" i="1"/>
  <c r="AB4610" i="1" s="1"/>
  <c r="AC4611" i="1"/>
  <c r="AB4611" i="1" s="1"/>
  <c r="AC4612" i="1"/>
  <c r="AB4612" i="1" s="1"/>
  <c r="AC4613" i="1"/>
  <c r="AB4613" i="1" s="1"/>
  <c r="AC4614" i="1"/>
  <c r="AB4614" i="1" s="1"/>
  <c r="AC4615" i="1"/>
  <c r="AB4615" i="1" s="1"/>
  <c r="AC4616" i="1"/>
  <c r="AB4616" i="1" s="1"/>
  <c r="AC4617" i="1"/>
  <c r="AB4617" i="1" s="1"/>
  <c r="AC4618" i="1"/>
  <c r="AB4618" i="1" s="1"/>
  <c r="AC4619" i="1"/>
  <c r="AB4619" i="1" s="1"/>
  <c r="AC4620" i="1"/>
  <c r="AB4620" i="1" s="1"/>
  <c r="AC4621" i="1"/>
  <c r="AB4621" i="1" s="1"/>
  <c r="AC4622" i="1"/>
  <c r="AB4622" i="1" s="1"/>
  <c r="AC4623" i="1"/>
  <c r="AB4623" i="1" s="1"/>
  <c r="AC4624" i="1"/>
  <c r="AB4624" i="1" s="1"/>
  <c r="AC4625" i="1"/>
  <c r="AB4625" i="1" s="1"/>
  <c r="AC4626" i="1"/>
  <c r="AB4626" i="1" s="1"/>
  <c r="AC4627" i="1"/>
  <c r="AB4627" i="1" s="1"/>
  <c r="AC4628" i="1"/>
  <c r="AB4628" i="1" s="1"/>
  <c r="AC4629" i="1"/>
  <c r="AB4629" i="1" s="1"/>
  <c r="AC4630" i="1"/>
  <c r="AB4630" i="1" s="1"/>
  <c r="AC4631" i="1"/>
  <c r="AB4631" i="1" s="1"/>
  <c r="AC4632" i="1"/>
  <c r="AB4632" i="1" s="1"/>
  <c r="AC4633" i="1"/>
  <c r="AB4633" i="1" s="1"/>
  <c r="AC4634" i="1"/>
  <c r="AB4634" i="1" s="1"/>
  <c r="AC4635" i="1"/>
  <c r="AB4635" i="1" s="1"/>
  <c r="AC4636" i="1"/>
  <c r="AB4636" i="1" s="1"/>
  <c r="AC4637" i="1"/>
  <c r="AB4637" i="1" s="1"/>
  <c r="AC4638" i="1"/>
  <c r="AB4638" i="1" s="1"/>
  <c r="AC4639" i="1"/>
  <c r="AB4639" i="1" s="1"/>
  <c r="AC4640" i="1"/>
  <c r="AB4640" i="1" s="1"/>
  <c r="AC4641" i="1"/>
  <c r="AB4641" i="1" s="1"/>
  <c r="AC4642" i="1"/>
  <c r="AB4642" i="1" s="1"/>
  <c r="AC4643" i="1"/>
  <c r="AB4643" i="1" s="1"/>
  <c r="AC4644" i="1"/>
  <c r="AB4644" i="1" s="1"/>
  <c r="AC4645" i="1"/>
  <c r="AB4645" i="1" s="1"/>
  <c r="AC4646" i="1"/>
  <c r="AB4646" i="1" s="1"/>
  <c r="AC4647" i="1"/>
  <c r="AB4647" i="1" s="1"/>
  <c r="AC4648" i="1"/>
  <c r="AB4648" i="1" s="1"/>
  <c r="AC4649" i="1"/>
  <c r="AB4649" i="1" s="1"/>
  <c r="AC4650" i="1"/>
  <c r="AB4650" i="1" s="1"/>
  <c r="AC4651" i="1"/>
  <c r="AB4651" i="1" s="1"/>
  <c r="AC4652" i="1"/>
  <c r="AB4652" i="1" s="1"/>
  <c r="AC4653" i="1"/>
  <c r="AB4653" i="1" s="1"/>
  <c r="AC4654" i="1"/>
  <c r="AB4654" i="1" s="1"/>
  <c r="AC4655" i="1"/>
  <c r="AB4655" i="1" s="1"/>
  <c r="AC4656" i="1"/>
  <c r="AB4656" i="1" s="1"/>
  <c r="AC4657" i="1"/>
  <c r="AB4657" i="1" s="1"/>
  <c r="AC4658" i="1"/>
  <c r="AB4658" i="1" s="1"/>
  <c r="AC4659" i="1"/>
  <c r="AB4659" i="1" s="1"/>
  <c r="AC4660" i="1"/>
  <c r="AB4660" i="1" s="1"/>
  <c r="AC4661" i="1"/>
  <c r="AB4661" i="1" s="1"/>
  <c r="AC4662" i="1"/>
  <c r="AB4662" i="1" s="1"/>
  <c r="AC4663" i="1"/>
  <c r="AB4663" i="1" s="1"/>
  <c r="AC4664" i="1"/>
  <c r="AB4664" i="1" s="1"/>
  <c r="AC4665" i="1"/>
  <c r="AB4665" i="1" s="1"/>
  <c r="AC4666" i="1"/>
  <c r="AB4666" i="1" s="1"/>
  <c r="AC4667" i="1"/>
  <c r="AB4667" i="1" s="1"/>
  <c r="AC4668" i="1"/>
  <c r="AB4668" i="1" s="1"/>
  <c r="AC4669" i="1"/>
  <c r="AB4669" i="1" s="1"/>
  <c r="AC4670" i="1"/>
  <c r="AB4670" i="1" s="1"/>
  <c r="AC4671" i="1"/>
  <c r="AB4671" i="1" s="1"/>
  <c r="AC4672" i="1"/>
  <c r="AB4672" i="1" s="1"/>
  <c r="AC4673" i="1"/>
  <c r="AB4673" i="1" s="1"/>
  <c r="AC4674" i="1"/>
  <c r="AB4674" i="1" s="1"/>
  <c r="AC4675" i="1"/>
  <c r="AB4675" i="1" s="1"/>
  <c r="AC4676" i="1"/>
  <c r="AB4676" i="1" s="1"/>
  <c r="AC4677" i="1"/>
  <c r="AB4677" i="1" s="1"/>
  <c r="AC4678" i="1"/>
  <c r="AB4678" i="1" s="1"/>
  <c r="AC4679" i="1"/>
  <c r="AB4679" i="1" s="1"/>
  <c r="AC4680" i="1"/>
  <c r="AB4680" i="1" s="1"/>
  <c r="AC4681" i="1"/>
  <c r="AB4681" i="1" s="1"/>
  <c r="AC4682" i="1"/>
  <c r="AB4682" i="1" s="1"/>
  <c r="AC4683" i="1"/>
  <c r="AB4683" i="1" s="1"/>
  <c r="AC4684" i="1"/>
  <c r="AB4684" i="1" s="1"/>
  <c r="AC4685" i="1"/>
  <c r="AB4685" i="1" s="1"/>
  <c r="AC4686" i="1"/>
  <c r="AB4686" i="1" s="1"/>
  <c r="AC4687" i="1"/>
  <c r="AB4687" i="1" s="1"/>
  <c r="AC4688" i="1"/>
  <c r="AB4688" i="1" s="1"/>
  <c r="AC4689" i="1"/>
  <c r="AB4689" i="1" s="1"/>
  <c r="AC4690" i="1"/>
  <c r="AB4690" i="1" s="1"/>
  <c r="AC4691" i="1"/>
  <c r="AB4691" i="1" s="1"/>
  <c r="AC4692" i="1"/>
  <c r="AB4692" i="1" s="1"/>
  <c r="AC4693" i="1"/>
  <c r="AB4693" i="1" s="1"/>
  <c r="AC4694" i="1"/>
  <c r="AB4694" i="1" s="1"/>
  <c r="AC4695" i="1"/>
  <c r="AB4695" i="1" s="1"/>
  <c r="AC4696" i="1"/>
  <c r="AB4696" i="1" s="1"/>
  <c r="AC4697" i="1"/>
  <c r="AB4697" i="1" s="1"/>
  <c r="AC4698" i="1"/>
  <c r="AB4698" i="1" s="1"/>
  <c r="AC4699" i="1"/>
  <c r="AB4699" i="1" s="1"/>
  <c r="AC4700" i="1"/>
  <c r="AB4700" i="1" s="1"/>
  <c r="AC4701" i="1"/>
  <c r="AB4701" i="1" s="1"/>
  <c r="AC4702" i="1"/>
  <c r="AB4702" i="1" s="1"/>
  <c r="AC4703" i="1"/>
  <c r="AB4703" i="1" s="1"/>
  <c r="AC4704" i="1"/>
  <c r="AB4704" i="1" s="1"/>
  <c r="AC4705" i="1"/>
  <c r="AB4705" i="1" s="1"/>
  <c r="AC4706" i="1"/>
  <c r="AB4706" i="1" s="1"/>
  <c r="AC4707" i="1"/>
  <c r="AB4707" i="1" s="1"/>
  <c r="AC4708" i="1"/>
  <c r="AB4708" i="1" s="1"/>
  <c r="AC4709" i="1"/>
  <c r="AB4709" i="1" s="1"/>
  <c r="AC4710" i="1"/>
  <c r="AB4710" i="1" s="1"/>
  <c r="AC4711" i="1"/>
  <c r="AB4711" i="1" s="1"/>
  <c r="AC4712" i="1"/>
  <c r="AB4712" i="1" s="1"/>
  <c r="AC4713" i="1"/>
  <c r="AB4713" i="1" s="1"/>
  <c r="AC4714" i="1"/>
  <c r="AB4714" i="1" s="1"/>
  <c r="AC4715" i="1"/>
  <c r="AB4715" i="1" s="1"/>
  <c r="AC4716" i="1"/>
  <c r="AB4716" i="1" s="1"/>
  <c r="AC4717" i="1"/>
  <c r="AB4717" i="1" s="1"/>
  <c r="AC4718" i="1"/>
  <c r="AB4718" i="1" s="1"/>
  <c r="AC4719" i="1"/>
  <c r="AB4719" i="1" s="1"/>
  <c r="AC4720" i="1"/>
  <c r="AB4720" i="1" s="1"/>
  <c r="AC4721" i="1"/>
  <c r="AB4721" i="1" s="1"/>
  <c r="AC4722" i="1"/>
  <c r="AB4722" i="1" s="1"/>
  <c r="AC4723" i="1"/>
  <c r="AB4723" i="1" s="1"/>
  <c r="AC4724" i="1"/>
  <c r="AB4724" i="1" s="1"/>
  <c r="AC4725" i="1"/>
  <c r="AB4725" i="1" s="1"/>
  <c r="AC4726" i="1"/>
  <c r="AB4726" i="1" s="1"/>
  <c r="AC4727" i="1"/>
  <c r="AB4727" i="1" s="1"/>
  <c r="AC4728" i="1"/>
  <c r="AB4728" i="1" s="1"/>
  <c r="AC4729" i="1"/>
  <c r="AB4729" i="1" s="1"/>
  <c r="AC4730" i="1"/>
  <c r="AB4730" i="1" s="1"/>
  <c r="AC4731" i="1"/>
  <c r="AB4731" i="1" s="1"/>
  <c r="AC4732" i="1"/>
  <c r="AB4732" i="1" s="1"/>
  <c r="AC4733" i="1"/>
  <c r="AB4733" i="1" s="1"/>
  <c r="AC4734" i="1"/>
  <c r="AB4734" i="1" s="1"/>
  <c r="AC4735" i="1"/>
  <c r="AB4735" i="1" s="1"/>
  <c r="AC4736" i="1"/>
  <c r="AB4736" i="1" s="1"/>
  <c r="AC4737" i="1"/>
  <c r="AB4737" i="1" s="1"/>
  <c r="AC4738" i="1"/>
  <c r="AB4738" i="1" s="1"/>
  <c r="AC4739" i="1"/>
  <c r="AB4739" i="1" s="1"/>
  <c r="AC4740" i="1"/>
  <c r="AB4740" i="1" s="1"/>
  <c r="AC4741" i="1"/>
  <c r="AB4741" i="1" s="1"/>
  <c r="AC4742" i="1"/>
  <c r="AB4742" i="1" s="1"/>
  <c r="AC4743" i="1"/>
  <c r="AB4743" i="1" s="1"/>
  <c r="AC4744" i="1"/>
  <c r="AB4744" i="1" s="1"/>
  <c r="AC4745" i="1"/>
  <c r="AB4745" i="1" s="1"/>
  <c r="AC4746" i="1"/>
  <c r="AB4746" i="1" s="1"/>
  <c r="AC4747" i="1"/>
  <c r="AB4747" i="1" s="1"/>
  <c r="AC4748" i="1"/>
  <c r="AB4748" i="1" s="1"/>
  <c r="AC4749" i="1"/>
  <c r="AB4749" i="1" s="1"/>
  <c r="AC4750" i="1"/>
  <c r="AB4750" i="1" s="1"/>
  <c r="AC4751" i="1"/>
  <c r="AB4751" i="1" s="1"/>
  <c r="AC4752" i="1"/>
  <c r="AB4752" i="1" s="1"/>
  <c r="AC4753" i="1"/>
  <c r="AB4753" i="1" s="1"/>
  <c r="AC4754" i="1"/>
  <c r="AB4754" i="1" s="1"/>
  <c r="AC4755" i="1"/>
  <c r="AB4755" i="1" s="1"/>
  <c r="AC4756" i="1"/>
  <c r="AB4756" i="1" s="1"/>
  <c r="AC4757" i="1"/>
  <c r="AB4757" i="1" s="1"/>
  <c r="AC4758" i="1"/>
  <c r="AB4758" i="1" s="1"/>
  <c r="AC4759" i="1"/>
  <c r="AB4759" i="1" s="1"/>
  <c r="AC4760" i="1"/>
  <c r="AB4760" i="1" s="1"/>
  <c r="AC4761" i="1"/>
  <c r="AB4761" i="1" s="1"/>
  <c r="AC4762" i="1"/>
  <c r="AB4762" i="1" s="1"/>
  <c r="AC4763" i="1"/>
  <c r="AB4763" i="1" s="1"/>
  <c r="AC4764" i="1"/>
  <c r="AB4764" i="1" s="1"/>
  <c r="AC4765" i="1"/>
  <c r="AB4765" i="1" s="1"/>
  <c r="AC4766" i="1"/>
  <c r="AB4766" i="1" s="1"/>
  <c r="AC4767" i="1"/>
  <c r="AB4767" i="1" s="1"/>
  <c r="AC4768" i="1"/>
  <c r="AB4768" i="1" s="1"/>
  <c r="AC4769" i="1"/>
  <c r="AB4769" i="1" s="1"/>
  <c r="AC4770" i="1"/>
  <c r="AB4770" i="1" s="1"/>
  <c r="AC4771" i="1"/>
  <c r="AB4771" i="1" s="1"/>
  <c r="AC4772" i="1"/>
  <c r="AB4772" i="1" s="1"/>
  <c r="AC4773" i="1"/>
  <c r="AB4773" i="1" s="1"/>
  <c r="AC4774" i="1"/>
  <c r="AB4774" i="1" s="1"/>
  <c r="AC4775" i="1"/>
  <c r="AB4775" i="1" s="1"/>
  <c r="AC4776" i="1"/>
  <c r="AB4776" i="1" s="1"/>
  <c r="AC4777" i="1"/>
  <c r="AB4777" i="1" s="1"/>
  <c r="AC4778" i="1"/>
  <c r="AB4778" i="1" s="1"/>
  <c r="AC4779" i="1"/>
  <c r="AB4779" i="1" s="1"/>
  <c r="AC4780" i="1"/>
  <c r="AB4780" i="1" s="1"/>
  <c r="AC4781" i="1"/>
  <c r="AB4781" i="1" s="1"/>
  <c r="AC4782" i="1"/>
  <c r="AB4782" i="1" s="1"/>
  <c r="AC4783" i="1"/>
  <c r="AB4783" i="1" s="1"/>
  <c r="AC4784" i="1"/>
  <c r="AB4784" i="1" s="1"/>
  <c r="AC4785" i="1"/>
  <c r="AB4785" i="1" s="1"/>
  <c r="AC4786" i="1"/>
  <c r="AB4786" i="1" s="1"/>
  <c r="AC4787" i="1"/>
  <c r="AB4787" i="1" s="1"/>
  <c r="AC4788" i="1"/>
  <c r="AB4788" i="1" s="1"/>
  <c r="AC4789" i="1"/>
  <c r="AB4789" i="1" s="1"/>
  <c r="AC4790" i="1"/>
  <c r="AB4790" i="1" s="1"/>
  <c r="AC4791" i="1"/>
  <c r="AB4791" i="1" s="1"/>
  <c r="AC4792" i="1"/>
  <c r="AB4792" i="1" s="1"/>
  <c r="AC4793" i="1"/>
  <c r="AB4793" i="1" s="1"/>
  <c r="AC4794" i="1"/>
  <c r="AB4794" i="1" s="1"/>
  <c r="AC4795" i="1"/>
  <c r="AB4795" i="1" s="1"/>
  <c r="AC4796" i="1"/>
  <c r="AB4796" i="1" s="1"/>
  <c r="AC4797" i="1"/>
  <c r="AB4797" i="1" s="1"/>
  <c r="AC4798" i="1"/>
  <c r="AB4798" i="1" s="1"/>
  <c r="AC4799" i="1"/>
  <c r="AB4799" i="1" s="1"/>
  <c r="AC4800" i="1"/>
  <c r="AB4800" i="1" s="1"/>
  <c r="AC4801" i="1"/>
  <c r="AB4801" i="1" s="1"/>
  <c r="AC4802" i="1"/>
  <c r="AB4802" i="1" s="1"/>
  <c r="AC4803" i="1"/>
  <c r="AB4803" i="1" s="1"/>
  <c r="AC4804" i="1"/>
  <c r="AB4804" i="1" s="1"/>
  <c r="AC4805" i="1"/>
  <c r="AB4805" i="1" s="1"/>
  <c r="AC4806" i="1"/>
  <c r="AB4806" i="1" s="1"/>
  <c r="AC4807" i="1"/>
  <c r="AB4807" i="1" s="1"/>
  <c r="AC4808" i="1"/>
  <c r="AB4808" i="1" s="1"/>
  <c r="AC4809" i="1"/>
  <c r="AB4809" i="1" s="1"/>
  <c r="AC4810" i="1"/>
  <c r="AB4810" i="1" s="1"/>
  <c r="AC4811" i="1"/>
  <c r="AB4811" i="1" s="1"/>
  <c r="AC4812" i="1"/>
  <c r="AB4812" i="1" s="1"/>
  <c r="AC4813" i="1"/>
  <c r="AB4813" i="1" s="1"/>
  <c r="AC4814" i="1"/>
  <c r="AB4814" i="1" s="1"/>
  <c r="AC4815" i="1"/>
  <c r="AB4815" i="1" s="1"/>
  <c r="AC4816" i="1"/>
  <c r="AB4816" i="1" s="1"/>
  <c r="AC4817" i="1"/>
  <c r="AB4817" i="1" s="1"/>
  <c r="AC4818" i="1"/>
  <c r="AB4818" i="1" s="1"/>
  <c r="AC4819" i="1"/>
  <c r="AB4819" i="1" s="1"/>
  <c r="AC4820" i="1"/>
  <c r="AB4820" i="1" s="1"/>
  <c r="AC4821" i="1"/>
  <c r="AB4821" i="1" s="1"/>
  <c r="AC4822" i="1"/>
  <c r="AB4822" i="1" s="1"/>
  <c r="AC4823" i="1"/>
  <c r="AB4823" i="1" s="1"/>
  <c r="AC4824" i="1"/>
  <c r="AB4824" i="1" s="1"/>
  <c r="AC4825" i="1"/>
  <c r="AB4825" i="1" s="1"/>
  <c r="AC4826" i="1"/>
  <c r="AB4826" i="1" s="1"/>
  <c r="AC4827" i="1"/>
  <c r="AB4827" i="1" s="1"/>
  <c r="AC4828" i="1"/>
  <c r="AB4828" i="1" s="1"/>
  <c r="AC4829" i="1"/>
  <c r="AB4829" i="1" s="1"/>
  <c r="AC4830" i="1"/>
  <c r="AB4830" i="1" s="1"/>
  <c r="AC4831" i="1"/>
  <c r="AB4831" i="1" s="1"/>
  <c r="AC4832" i="1"/>
  <c r="AB4832" i="1" s="1"/>
  <c r="AC4833" i="1"/>
  <c r="AB4833" i="1" s="1"/>
  <c r="AC4834" i="1"/>
  <c r="AB4834" i="1" s="1"/>
  <c r="AC4835" i="1"/>
  <c r="AB4835" i="1" s="1"/>
  <c r="AC4836" i="1"/>
  <c r="AB4836" i="1" s="1"/>
  <c r="AC4837" i="1"/>
  <c r="AB4837" i="1" s="1"/>
  <c r="AC4838" i="1"/>
  <c r="AB4838" i="1" s="1"/>
  <c r="AC4839" i="1"/>
  <c r="AB4839" i="1" s="1"/>
  <c r="AC4840" i="1"/>
  <c r="AB4840" i="1" s="1"/>
  <c r="AC4841" i="1"/>
  <c r="AB4841" i="1" s="1"/>
  <c r="AC4842" i="1"/>
  <c r="AB4842" i="1" s="1"/>
  <c r="AC4843" i="1"/>
  <c r="AB4843" i="1" s="1"/>
  <c r="AC4844" i="1"/>
  <c r="AB4844" i="1" s="1"/>
  <c r="AC4845" i="1"/>
  <c r="AB4845" i="1" s="1"/>
  <c r="AC4846" i="1"/>
  <c r="AB4846" i="1" s="1"/>
  <c r="AC4847" i="1"/>
  <c r="AB4847" i="1" s="1"/>
  <c r="AC4848" i="1"/>
  <c r="AB4848" i="1" s="1"/>
  <c r="AC4849" i="1"/>
  <c r="AB4849" i="1" s="1"/>
  <c r="AC4850" i="1"/>
  <c r="AB4850" i="1" s="1"/>
  <c r="AC4851" i="1"/>
  <c r="AB4851" i="1" s="1"/>
  <c r="AC4852" i="1"/>
  <c r="AB4852" i="1" s="1"/>
  <c r="AC4853" i="1"/>
  <c r="AB4853" i="1" s="1"/>
  <c r="AC4854" i="1"/>
  <c r="AB4854" i="1" s="1"/>
  <c r="AC4855" i="1"/>
  <c r="AB4855" i="1" s="1"/>
  <c r="AC4856" i="1"/>
  <c r="AB4856" i="1" s="1"/>
  <c r="AC4857" i="1"/>
  <c r="AB4857" i="1" s="1"/>
  <c r="AC4858" i="1"/>
  <c r="AB4858" i="1" s="1"/>
  <c r="AC4859" i="1"/>
  <c r="AB4859" i="1" s="1"/>
  <c r="AC4860" i="1"/>
  <c r="AB4860" i="1" s="1"/>
  <c r="AC4861" i="1"/>
  <c r="AB4861" i="1" s="1"/>
  <c r="AC4862" i="1"/>
  <c r="AB4862" i="1" s="1"/>
  <c r="AC4863" i="1"/>
  <c r="AB4863" i="1" s="1"/>
  <c r="AC4864" i="1"/>
  <c r="AB4864" i="1" s="1"/>
  <c r="AC4865" i="1"/>
  <c r="AB4865" i="1" s="1"/>
  <c r="AC4866" i="1"/>
  <c r="AB4866" i="1" s="1"/>
  <c r="AC4867" i="1"/>
  <c r="AB4867" i="1" s="1"/>
  <c r="AC4868" i="1"/>
  <c r="AB4868" i="1" s="1"/>
  <c r="AC4869" i="1"/>
  <c r="AB4869" i="1" s="1"/>
  <c r="AC4870" i="1"/>
  <c r="AB4870" i="1" s="1"/>
  <c r="AC4871" i="1"/>
  <c r="AB4871" i="1" s="1"/>
  <c r="AC4872" i="1"/>
  <c r="AB4872" i="1" s="1"/>
  <c r="AC4873" i="1"/>
  <c r="AB4873" i="1" s="1"/>
  <c r="AC4874" i="1"/>
  <c r="AB4874" i="1" s="1"/>
  <c r="AC4875" i="1"/>
  <c r="AB4875" i="1" s="1"/>
  <c r="AC4876" i="1"/>
  <c r="AB4876" i="1" s="1"/>
  <c r="AC4877" i="1"/>
  <c r="AB4877" i="1" s="1"/>
  <c r="AC4878" i="1"/>
  <c r="AB4878" i="1" s="1"/>
  <c r="AC4879" i="1"/>
  <c r="AB4879" i="1" s="1"/>
  <c r="AC4880" i="1"/>
  <c r="AB4880" i="1" s="1"/>
  <c r="AC4881" i="1"/>
  <c r="AB4881" i="1" s="1"/>
  <c r="AC4882" i="1"/>
  <c r="AB4882" i="1" s="1"/>
  <c r="AC4883" i="1"/>
  <c r="AB4883" i="1" s="1"/>
  <c r="AC4884" i="1"/>
  <c r="AB4884" i="1" s="1"/>
  <c r="AC4885" i="1"/>
  <c r="AB4885" i="1" s="1"/>
  <c r="AC4886" i="1"/>
  <c r="AB4886" i="1" s="1"/>
  <c r="AC4887" i="1"/>
  <c r="AB4887" i="1" s="1"/>
  <c r="AC4888" i="1"/>
  <c r="AB4888" i="1" s="1"/>
  <c r="AC4889" i="1"/>
  <c r="AB4889" i="1" s="1"/>
  <c r="AC4890" i="1"/>
  <c r="AB4890" i="1" s="1"/>
  <c r="AC4891" i="1"/>
  <c r="AB4891" i="1" s="1"/>
  <c r="AC4892" i="1"/>
  <c r="AB4892" i="1" s="1"/>
  <c r="AC4893" i="1"/>
  <c r="AB4893" i="1" s="1"/>
  <c r="AC4894" i="1"/>
  <c r="AB4894" i="1" s="1"/>
  <c r="AC4895" i="1"/>
  <c r="AB4895" i="1" s="1"/>
  <c r="AC4896" i="1"/>
  <c r="AB4896" i="1" s="1"/>
  <c r="AC4897" i="1"/>
  <c r="AB4897" i="1" s="1"/>
  <c r="AC4898" i="1"/>
  <c r="AB4898" i="1" s="1"/>
  <c r="AC4899" i="1"/>
  <c r="AB4899" i="1" s="1"/>
  <c r="AC4900" i="1"/>
  <c r="AB4900" i="1" s="1"/>
  <c r="AC4901" i="1"/>
  <c r="AB4901" i="1" s="1"/>
  <c r="AC4902" i="1"/>
  <c r="AB4902" i="1" s="1"/>
  <c r="AC4903" i="1"/>
  <c r="AB4903" i="1" s="1"/>
  <c r="AC4904" i="1"/>
  <c r="AB4904" i="1" s="1"/>
  <c r="AC4905" i="1"/>
  <c r="AB4905" i="1" s="1"/>
  <c r="AC4906" i="1"/>
  <c r="AB4906" i="1" s="1"/>
  <c r="AC4907" i="1"/>
  <c r="AB4907" i="1" s="1"/>
  <c r="AC4908" i="1"/>
  <c r="AB4908" i="1" s="1"/>
  <c r="AC4909" i="1"/>
  <c r="AB4909" i="1" s="1"/>
  <c r="AC4910" i="1"/>
  <c r="AB4910" i="1" s="1"/>
  <c r="AC4911" i="1"/>
  <c r="AB4911" i="1" s="1"/>
  <c r="AC4912" i="1"/>
  <c r="AB4912" i="1" s="1"/>
  <c r="AC4913" i="1"/>
  <c r="AB4913" i="1" s="1"/>
  <c r="AC4914" i="1"/>
  <c r="AB4914" i="1" s="1"/>
  <c r="AC4915" i="1"/>
  <c r="AB4915" i="1" s="1"/>
  <c r="AC4916" i="1"/>
  <c r="AB4916" i="1" s="1"/>
  <c r="AC4917" i="1"/>
  <c r="AB4917" i="1" s="1"/>
  <c r="AC4918" i="1"/>
  <c r="AB4918" i="1" s="1"/>
  <c r="AC4919" i="1"/>
  <c r="AB4919" i="1" s="1"/>
  <c r="AC4920" i="1"/>
  <c r="AB4920" i="1" s="1"/>
  <c r="AC4921" i="1"/>
  <c r="AB4921" i="1" s="1"/>
  <c r="AC4922" i="1"/>
  <c r="AB4922" i="1" s="1"/>
  <c r="AC4923" i="1"/>
  <c r="AB4923" i="1" s="1"/>
  <c r="AC4924" i="1"/>
  <c r="AB4924" i="1" s="1"/>
  <c r="AC4925" i="1"/>
  <c r="AB4925" i="1" s="1"/>
  <c r="AC4926" i="1"/>
  <c r="AB4926" i="1" s="1"/>
  <c r="AC4927" i="1"/>
  <c r="AB4927" i="1" s="1"/>
  <c r="AC4928" i="1"/>
  <c r="AB4928" i="1" s="1"/>
  <c r="AC4929" i="1"/>
  <c r="AB4929" i="1" s="1"/>
  <c r="AC4930" i="1"/>
  <c r="AB4930" i="1" s="1"/>
  <c r="AC4931" i="1"/>
  <c r="AB4931" i="1" s="1"/>
  <c r="AC4932" i="1"/>
  <c r="AB4932" i="1" s="1"/>
  <c r="AC4933" i="1"/>
  <c r="AB4933" i="1" s="1"/>
  <c r="AC4934" i="1"/>
  <c r="AB4934" i="1" s="1"/>
  <c r="AC4935" i="1"/>
  <c r="AB4935" i="1" s="1"/>
  <c r="AC4936" i="1"/>
  <c r="AB4936" i="1" s="1"/>
  <c r="AC4937" i="1"/>
  <c r="AB4937" i="1" s="1"/>
  <c r="AC4938" i="1"/>
  <c r="AB4938" i="1" s="1"/>
  <c r="AC4939" i="1"/>
  <c r="AB4939" i="1" s="1"/>
  <c r="AC4940" i="1"/>
  <c r="AB4940" i="1" s="1"/>
  <c r="AC4941" i="1"/>
  <c r="AB4941" i="1" s="1"/>
  <c r="AC4942" i="1"/>
  <c r="AB4942" i="1" s="1"/>
  <c r="AC4943" i="1"/>
  <c r="AB4943" i="1" s="1"/>
  <c r="AC4944" i="1"/>
  <c r="AB4944" i="1" s="1"/>
  <c r="AC4945" i="1"/>
  <c r="AB4945" i="1" s="1"/>
  <c r="AC4946" i="1"/>
  <c r="AB4946" i="1" s="1"/>
  <c r="AC4947" i="1"/>
  <c r="AB4947" i="1" s="1"/>
  <c r="AC4948" i="1"/>
  <c r="AB4948" i="1" s="1"/>
  <c r="AC4949" i="1"/>
  <c r="AB4949" i="1" s="1"/>
  <c r="AC4950" i="1"/>
  <c r="AB4950" i="1" s="1"/>
  <c r="AC4951" i="1"/>
  <c r="AB4951" i="1" s="1"/>
  <c r="AC4952" i="1"/>
  <c r="AB4952" i="1" s="1"/>
  <c r="AC4953" i="1"/>
  <c r="AB4953" i="1" s="1"/>
  <c r="AC4954" i="1"/>
  <c r="AB4954" i="1" s="1"/>
  <c r="AC4955" i="1"/>
  <c r="AB4955" i="1" s="1"/>
  <c r="AC4956" i="1"/>
  <c r="AB4956" i="1" s="1"/>
  <c r="AC4957" i="1"/>
  <c r="AB4957" i="1" s="1"/>
  <c r="AC4958" i="1"/>
  <c r="AB4958" i="1" s="1"/>
  <c r="AC4959" i="1"/>
  <c r="AB4959" i="1" s="1"/>
  <c r="AC4960" i="1"/>
  <c r="AB4960" i="1" s="1"/>
  <c r="AC4961" i="1"/>
  <c r="AB4961" i="1" s="1"/>
  <c r="AC4962" i="1"/>
  <c r="AB4962" i="1" s="1"/>
  <c r="AC4963" i="1"/>
  <c r="AB4963" i="1" s="1"/>
  <c r="AC4964" i="1"/>
  <c r="AB4964" i="1" s="1"/>
  <c r="AC4965" i="1"/>
  <c r="AB4965" i="1" s="1"/>
  <c r="AC4966" i="1"/>
  <c r="AB4966" i="1" s="1"/>
  <c r="AC4967" i="1"/>
  <c r="AB4967" i="1" s="1"/>
  <c r="AC4968" i="1"/>
  <c r="AB4968" i="1" s="1"/>
  <c r="AC4969" i="1"/>
  <c r="AB4969" i="1" s="1"/>
  <c r="AC4970" i="1"/>
  <c r="AB4970" i="1" s="1"/>
  <c r="AC4971" i="1"/>
  <c r="AB4971" i="1" s="1"/>
  <c r="AC4972" i="1"/>
  <c r="AB4972" i="1" s="1"/>
  <c r="AC4973" i="1"/>
  <c r="AB4973" i="1" s="1"/>
  <c r="AC4974" i="1"/>
  <c r="AB4974" i="1" s="1"/>
  <c r="AC4975" i="1"/>
  <c r="AB4975" i="1" s="1"/>
  <c r="AC4976" i="1"/>
  <c r="AB4976" i="1" s="1"/>
  <c r="AC4977" i="1"/>
  <c r="AB4977" i="1" s="1"/>
  <c r="AC4978" i="1"/>
  <c r="AB4978" i="1" s="1"/>
  <c r="AC4979" i="1"/>
  <c r="AB4979" i="1" s="1"/>
  <c r="AC4980" i="1"/>
  <c r="AB4980" i="1" s="1"/>
  <c r="AC4981" i="1"/>
  <c r="AB4981" i="1" s="1"/>
  <c r="AC4982" i="1"/>
  <c r="AB4982" i="1" s="1"/>
  <c r="AC4983" i="1"/>
  <c r="AB4983" i="1" s="1"/>
  <c r="AC4984" i="1"/>
  <c r="AB4984" i="1" s="1"/>
  <c r="AC4985" i="1"/>
  <c r="AB4985" i="1" s="1"/>
  <c r="AC4986" i="1"/>
  <c r="AB4986" i="1" s="1"/>
  <c r="AC4987" i="1"/>
  <c r="AB4987" i="1" s="1"/>
  <c r="AC4988" i="1"/>
  <c r="AB4988" i="1" s="1"/>
  <c r="AC4989" i="1"/>
  <c r="AB4989" i="1" s="1"/>
  <c r="AC4990" i="1"/>
  <c r="AB4990" i="1" s="1"/>
  <c r="AC4991" i="1"/>
  <c r="AB4991" i="1" s="1"/>
  <c r="AC4992" i="1"/>
  <c r="AB4992" i="1" s="1"/>
  <c r="AC4993" i="1"/>
  <c r="AB4993" i="1" s="1"/>
  <c r="AC4994" i="1"/>
  <c r="AB4994" i="1" s="1"/>
  <c r="AC4995" i="1"/>
  <c r="AB4995" i="1" s="1"/>
  <c r="AC4996" i="1"/>
  <c r="AB4996" i="1" s="1"/>
  <c r="AC4997" i="1"/>
  <c r="AB4997" i="1" s="1"/>
  <c r="AC4998" i="1"/>
  <c r="AB4998" i="1" s="1"/>
  <c r="AC4999" i="1"/>
  <c r="AB4999" i="1" s="1"/>
  <c r="AC5000" i="1"/>
  <c r="AB5000" i="1" s="1"/>
  <c r="AC5001" i="1"/>
  <c r="AB5001" i="1" s="1"/>
  <c r="B25" i="3"/>
  <c r="B24" i="3"/>
  <c r="B23" i="3"/>
  <c r="B22" i="3"/>
  <c r="L18" i="3"/>
  <c r="K18" i="3"/>
  <c r="J18" i="3"/>
  <c r="I42" i="3"/>
  <c r="I41" i="3"/>
  <c r="I40" i="3"/>
  <c r="H42" i="3"/>
  <c r="H41" i="3"/>
  <c r="H40" i="3"/>
  <c r="G42" i="3"/>
  <c r="G41" i="3"/>
  <c r="G40" i="3"/>
  <c r="L27" i="3"/>
  <c r="L26" i="3"/>
  <c r="L25" i="3"/>
  <c r="L24" i="3"/>
  <c r="L23" i="3"/>
  <c r="L22" i="3"/>
  <c r="L21" i="3"/>
  <c r="L20" i="3"/>
  <c r="L19" i="3"/>
  <c r="K28" i="3"/>
  <c r="K27" i="3"/>
  <c r="K26" i="3"/>
  <c r="K25" i="3"/>
  <c r="K24" i="3"/>
  <c r="K23" i="3"/>
  <c r="K22" i="3"/>
  <c r="K21" i="3"/>
  <c r="K20" i="3"/>
  <c r="K19" i="3"/>
  <c r="J27" i="3"/>
  <c r="J26" i="3"/>
  <c r="J25" i="3"/>
  <c r="J24" i="3"/>
  <c r="J23" i="3"/>
  <c r="J22" i="3"/>
  <c r="J21" i="3"/>
  <c r="J20" i="3"/>
  <c r="J19" i="3"/>
  <c r="I36" i="3"/>
  <c r="I35" i="3"/>
  <c r="I34" i="3"/>
  <c r="I33" i="3"/>
  <c r="I32" i="3"/>
  <c r="H36" i="3"/>
  <c r="H35" i="3"/>
  <c r="H34" i="3"/>
  <c r="H33" i="3"/>
  <c r="H32" i="3"/>
  <c r="L28" i="3"/>
  <c r="J28" i="3"/>
  <c r="L15" i="3"/>
  <c r="L14" i="3"/>
  <c r="L13" i="3"/>
  <c r="L12" i="3"/>
  <c r="L11" i="3"/>
  <c r="L10" i="3"/>
  <c r="K15" i="3"/>
  <c r="K14" i="3"/>
  <c r="K13" i="3"/>
  <c r="K12" i="3"/>
  <c r="K11" i="3"/>
  <c r="K10" i="3"/>
  <c r="J15" i="3"/>
  <c r="J14" i="3"/>
  <c r="J13" i="3"/>
  <c r="J12" i="3"/>
  <c r="J11" i="3"/>
  <c r="J10" i="3"/>
  <c r="B4" i="4"/>
  <c r="E4" i="4"/>
  <c r="K5" i="3"/>
  <c r="K4" i="3"/>
  <c r="K3" i="3"/>
  <c r="K2" i="3"/>
  <c r="F4" i="4"/>
  <c r="D4" i="4"/>
  <c r="C4" i="4"/>
  <c r="H7" i="3"/>
  <c r="H6" i="3"/>
  <c r="H5" i="3"/>
  <c r="H4" i="3"/>
  <c r="H3" i="3"/>
  <c r="H2" i="3"/>
  <c r="G4" i="4" l="1"/>
</calcChain>
</file>

<file path=xl/sharedStrings.xml><?xml version="1.0" encoding="utf-8"?>
<sst xmlns="http://schemas.openxmlformats.org/spreadsheetml/2006/main" count="90192" uniqueCount="7651">
  <si>
    <t>Customer ID</t>
  </si>
  <si>
    <t>Date</t>
  </si>
  <si>
    <t>Week</t>
  </si>
  <si>
    <t>Day</t>
  </si>
  <si>
    <t>Weekend</t>
  </si>
  <si>
    <t>Retailer</t>
  </si>
  <si>
    <t>City</t>
  </si>
  <si>
    <t>State</t>
  </si>
  <si>
    <t>Brand</t>
  </si>
  <si>
    <t>Model</t>
  </si>
  <si>
    <t>Fuel Type</t>
  </si>
  <si>
    <t>Segment</t>
  </si>
  <si>
    <t>Age Group</t>
  </si>
  <si>
    <t>Income Band</t>
  </si>
  <si>
    <t>Customer Type</t>
  </si>
  <si>
    <t>Lead Source</t>
  </si>
  <si>
    <t>Salesperson</t>
  </si>
  <si>
    <t>Customers Visited</t>
  </si>
  <si>
    <t>Test Drives</t>
  </si>
  <si>
    <t>Contracts Offered</t>
  </si>
  <si>
    <t>Contracts Signed</t>
  </si>
  <si>
    <t>Conversion Rate (%)</t>
  </si>
  <si>
    <t>Discount (%)</t>
  </si>
  <si>
    <t>CUST_1</t>
  </si>
  <si>
    <t>Week 1</t>
  </si>
  <si>
    <t>Monday</t>
  </si>
  <si>
    <t>No</t>
  </si>
  <si>
    <t>Main Auto Hub</t>
  </si>
  <si>
    <t>Frankfurt</t>
  </si>
  <si>
    <t>Hesse</t>
  </si>
  <si>
    <t>BMW</t>
  </si>
  <si>
    <t>X5</t>
  </si>
  <si>
    <t>Petrol</t>
  </si>
  <si>
    <t>Sedan</t>
  </si>
  <si>
    <t>26-35</t>
  </si>
  <si>
    <t>Medium</t>
  </si>
  <si>
    <t>Returning</t>
  </si>
  <si>
    <t>Website</t>
  </si>
  <si>
    <t>Sales_6</t>
  </si>
  <si>
    <t>5.0</t>
  </si>
  <si>
    <t>CUST_2</t>
  </si>
  <si>
    <t>Sunday</t>
  </si>
  <si>
    <t>Yes</t>
  </si>
  <si>
    <t>Saxon Wheels</t>
  </si>
  <si>
    <t>Dresden</t>
  </si>
  <si>
    <t>Saxony</t>
  </si>
  <si>
    <t>SUV</t>
  </si>
  <si>
    <t>50+</t>
  </si>
  <si>
    <t>High</t>
  </si>
  <si>
    <t>Social Media</t>
  </si>
  <si>
    <t>Sales_16</t>
  </si>
  <si>
    <t>5.56</t>
  </si>
  <si>
    <t>CUST_3</t>
  </si>
  <si>
    <t>Week 4</t>
  </si>
  <si>
    <t>Friday</t>
  </si>
  <si>
    <t>Berlin</t>
  </si>
  <si>
    <t>Audi</t>
  </si>
  <si>
    <t>Q3</t>
  </si>
  <si>
    <t>Referral</t>
  </si>
  <si>
    <t>Sales_12</t>
  </si>
  <si>
    <t>14.09</t>
  </si>
  <si>
    <t>CUST_4</t>
  </si>
  <si>
    <t>Week 3</t>
  </si>
  <si>
    <t>Tuesday</t>
  </si>
  <si>
    <t>Mercedes</t>
  </si>
  <si>
    <t>C-Class</t>
  </si>
  <si>
    <t>Electric</t>
  </si>
  <si>
    <t>Hatchback</t>
  </si>
  <si>
    <t>36-50</t>
  </si>
  <si>
    <t>Low</t>
  </si>
  <si>
    <t>New</t>
  </si>
  <si>
    <t>Walk-in</t>
  </si>
  <si>
    <t>9.64</t>
  </si>
  <si>
    <t>CUST_5</t>
  </si>
  <si>
    <t>Stuttgart Auto Center</t>
  </si>
  <si>
    <t>Stuttgart</t>
  </si>
  <si>
    <t>Baden-WÃ¼rttemberg</t>
  </si>
  <si>
    <t>GLE</t>
  </si>
  <si>
    <t>Diesel</t>
  </si>
  <si>
    <t>Sales_13</t>
  </si>
  <si>
    <t>5.64</t>
  </si>
  <si>
    <t>CUST_6</t>
  </si>
  <si>
    <t>Wednesday</t>
  </si>
  <si>
    <t>Hannover Cars</t>
  </si>
  <si>
    <t>Hannover</t>
  </si>
  <si>
    <t>Lower Saxony</t>
  </si>
  <si>
    <t>3 Series</t>
  </si>
  <si>
    <t>18-25</t>
  </si>
  <si>
    <t>Sales_3</t>
  </si>
  <si>
    <t>16.28</t>
  </si>
  <si>
    <t>CUST_7</t>
  </si>
  <si>
    <t>Hybrid</t>
  </si>
  <si>
    <t>4.11</t>
  </si>
  <si>
    <t>CUST_8</t>
  </si>
  <si>
    <t>Bavaria Motors</t>
  </si>
  <si>
    <t>Munich</t>
  </si>
  <si>
    <t>Bavaria</t>
  </si>
  <si>
    <t>A4</t>
  </si>
  <si>
    <t>15.48</t>
  </si>
  <si>
    <t>CUST_9</t>
  </si>
  <si>
    <t>Thursday</t>
  </si>
  <si>
    <t>Ruhr Auto Plaza</t>
  </si>
  <si>
    <t>Dortmund</t>
  </si>
  <si>
    <t>NRW</t>
  </si>
  <si>
    <t>VW</t>
  </si>
  <si>
    <t>Passat</t>
  </si>
  <si>
    <t>Sales_17</t>
  </si>
  <si>
    <t>5.26</t>
  </si>
  <si>
    <t>CUST_10</t>
  </si>
  <si>
    <t>Leipzig Mobility</t>
  </si>
  <si>
    <t>Leipzig</t>
  </si>
  <si>
    <t>GLC</t>
  </si>
  <si>
    <t>7.95</t>
  </si>
  <si>
    <t>CUST_11</t>
  </si>
  <si>
    <t>Elbe Drive</t>
  </si>
  <si>
    <t>Hamburg</t>
  </si>
  <si>
    <t>Opel</t>
  </si>
  <si>
    <t>Corsa</t>
  </si>
  <si>
    <t>Sales_1</t>
  </si>
  <si>
    <t>6.25</t>
  </si>
  <si>
    <t>CUST_12</t>
  </si>
  <si>
    <t>Week 2</t>
  </si>
  <si>
    <t>Sales_15</t>
  </si>
  <si>
    <t>18.52</t>
  </si>
  <si>
    <t>CUST_13</t>
  </si>
  <si>
    <t>16.13</t>
  </si>
  <si>
    <t>CUST_14</t>
  </si>
  <si>
    <t>Rhein Auto Group</t>
  </si>
  <si>
    <t>Cologne</t>
  </si>
  <si>
    <t>Sales_8</t>
  </si>
  <si>
    <t>9.88</t>
  </si>
  <si>
    <t>CUST_15</t>
  </si>
  <si>
    <t>Grandland</t>
  </si>
  <si>
    <t>6.03</t>
  </si>
  <si>
    <t>CUST_16</t>
  </si>
  <si>
    <t>Sales_10</t>
  </si>
  <si>
    <t>CUST_17</t>
  </si>
  <si>
    <t>Q5</t>
  </si>
  <si>
    <t>7.46</t>
  </si>
  <si>
    <t>CUST_18</t>
  </si>
  <si>
    <t>Tiguan</t>
  </si>
  <si>
    <t>12.75</t>
  </si>
  <si>
    <t>CUST_19</t>
  </si>
  <si>
    <t>Golf</t>
  </si>
  <si>
    <t>Sales_2</t>
  </si>
  <si>
    <t>19.2</t>
  </si>
  <si>
    <t>CUST_20</t>
  </si>
  <si>
    <t>16.51</t>
  </si>
  <si>
    <t>CUST_21</t>
  </si>
  <si>
    <t>11.93</t>
  </si>
  <si>
    <t>CUST_22</t>
  </si>
  <si>
    <t>Saturday</t>
  </si>
  <si>
    <t>Sales_5</t>
  </si>
  <si>
    <t>13.76</t>
  </si>
  <si>
    <t>CUST_23</t>
  </si>
  <si>
    <t>11.01</t>
  </si>
  <si>
    <t>CUST_24</t>
  </si>
  <si>
    <t>E-Class</t>
  </si>
  <si>
    <t>Sales_4</t>
  </si>
  <si>
    <t>6.87</t>
  </si>
  <si>
    <t>CUST_25</t>
  </si>
  <si>
    <t>13.91</t>
  </si>
  <si>
    <t>CUST_26</t>
  </si>
  <si>
    <t>CUST_27</t>
  </si>
  <si>
    <t>19.14</t>
  </si>
  <si>
    <t>CUST_28</t>
  </si>
  <si>
    <t>X3</t>
  </si>
  <si>
    <t>Sales_11</t>
  </si>
  <si>
    <t>CUST_29</t>
  </si>
  <si>
    <t>Sales_14</t>
  </si>
  <si>
    <t>4.65</t>
  </si>
  <si>
    <t>CUST_30</t>
  </si>
  <si>
    <t>Sales_19</t>
  </si>
  <si>
    <t>12.12</t>
  </si>
  <si>
    <t>CUST_31</t>
  </si>
  <si>
    <t>9.86</t>
  </si>
  <si>
    <t>CUST_32</t>
  </si>
  <si>
    <t>11.56</t>
  </si>
  <si>
    <t>CUST_33</t>
  </si>
  <si>
    <t>A3</t>
  </si>
  <si>
    <t>14.53</t>
  </si>
  <si>
    <t>CUST_34</t>
  </si>
  <si>
    <t>14.06</t>
  </si>
  <si>
    <t>CUST_35</t>
  </si>
  <si>
    <t>4.97</t>
  </si>
  <si>
    <t>CUST_36</t>
  </si>
  <si>
    <t>14.48</t>
  </si>
  <si>
    <t>CUST_37</t>
  </si>
  <si>
    <t>5 Series</t>
  </si>
  <si>
    <t>Sales_9</t>
  </si>
  <si>
    <t>14.95</t>
  </si>
  <si>
    <t>CUST_38</t>
  </si>
  <si>
    <t>14.77</t>
  </si>
  <si>
    <t>CUST_39</t>
  </si>
  <si>
    <t>7.14</t>
  </si>
  <si>
    <t>CUST_40</t>
  </si>
  <si>
    <t>4.3</t>
  </si>
  <si>
    <t>CUST_41</t>
  </si>
  <si>
    <t>CUST_42</t>
  </si>
  <si>
    <t>11.96</t>
  </si>
  <si>
    <t>CUST_43</t>
  </si>
  <si>
    <t>7.22</t>
  </si>
  <si>
    <t>CUST_44</t>
  </si>
  <si>
    <t>Astra</t>
  </si>
  <si>
    <t>Sales_7</t>
  </si>
  <si>
    <t>10.17</t>
  </si>
  <si>
    <t>CUST_45</t>
  </si>
  <si>
    <t>8.33</t>
  </si>
  <si>
    <t>CUST_46</t>
  </si>
  <si>
    <t>11.65</t>
  </si>
  <si>
    <t>CUST_47</t>
  </si>
  <si>
    <t>14.47</t>
  </si>
  <si>
    <t>CUST_48</t>
  </si>
  <si>
    <t>CUST_49</t>
  </si>
  <si>
    <t>16.07</t>
  </si>
  <si>
    <t>CUST_50</t>
  </si>
  <si>
    <t>11.2</t>
  </si>
  <si>
    <t>CUST_51</t>
  </si>
  <si>
    <t>18.89</t>
  </si>
  <si>
    <t>CUST_52</t>
  </si>
  <si>
    <t>11.36</t>
  </si>
  <si>
    <t>CUST_53</t>
  </si>
  <si>
    <t>7.41</t>
  </si>
  <si>
    <t>CUST_54</t>
  </si>
  <si>
    <t>14.44</t>
  </si>
  <si>
    <t>CUST_55</t>
  </si>
  <si>
    <t>6.54</t>
  </si>
  <si>
    <t>CUST_56</t>
  </si>
  <si>
    <t>8.65</t>
  </si>
  <si>
    <t>CUST_57</t>
  </si>
  <si>
    <t>9.22</t>
  </si>
  <si>
    <t>CUST_58</t>
  </si>
  <si>
    <t>7.34</t>
  </si>
  <si>
    <t>CUST_59</t>
  </si>
  <si>
    <t>14.17</t>
  </si>
  <si>
    <t>CUST_60</t>
  </si>
  <si>
    <t>18.48</t>
  </si>
  <si>
    <t>CUST_61</t>
  </si>
  <si>
    <t>9.58</t>
  </si>
  <si>
    <t>CUST_62</t>
  </si>
  <si>
    <t>Sales_20</t>
  </si>
  <si>
    <t>8.41</t>
  </si>
  <si>
    <t>CUST_63</t>
  </si>
  <si>
    <t>7.84</t>
  </si>
  <si>
    <t>CUST_64</t>
  </si>
  <si>
    <t>13.98</t>
  </si>
  <si>
    <t>CUST_65</t>
  </si>
  <si>
    <t>18.42</t>
  </si>
  <si>
    <t>CUST_66</t>
  </si>
  <si>
    <t>19.13</t>
  </si>
  <si>
    <t>CUST_67</t>
  </si>
  <si>
    <t>CUST_68</t>
  </si>
  <si>
    <t>15.57</t>
  </si>
  <si>
    <t>CUST_69</t>
  </si>
  <si>
    <t>5.32</t>
  </si>
  <si>
    <t>CUST_70</t>
  </si>
  <si>
    <t>7.91</t>
  </si>
  <si>
    <t>CUST_71</t>
  </si>
  <si>
    <t>11.82</t>
  </si>
  <si>
    <t>CUST_72</t>
  </si>
  <si>
    <t>7.58</t>
  </si>
  <si>
    <t>CUST_73</t>
  </si>
  <si>
    <t>CUST_74</t>
  </si>
  <si>
    <t>CUST_75</t>
  </si>
  <si>
    <t>CUST_76</t>
  </si>
  <si>
    <t>12.5</t>
  </si>
  <si>
    <t>CUST_77</t>
  </si>
  <si>
    <t>6.56</t>
  </si>
  <si>
    <t>CUST_78</t>
  </si>
  <si>
    <t>8.12</t>
  </si>
  <si>
    <t>CUST_79</t>
  </si>
  <si>
    <t>17.18</t>
  </si>
  <si>
    <t>CUST_80</t>
  </si>
  <si>
    <t>6.36</t>
  </si>
  <si>
    <t>CUST_81</t>
  </si>
  <si>
    <t>12.96</t>
  </si>
  <si>
    <t>CUST_82</t>
  </si>
  <si>
    <t>10.61</t>
  </si>
  <si>
    <t>CUST_83</t>
  </si>
  <si>
    <t>8.14</t>
  </si>
  <si>
    <t>CUST_84</t>
  </si>
  <si>
    <t>10.71</t>
  </si>
  <si>
    <t>CUST_85</t>
  </si>
  <si>
    <t>17.81</t>
  </si>
  <si>
    <t>CUST_86</t>
  </si>
  <si>
    <t>CUST_87</t>
  </si>
  <si>
    <t>18.0</t>
  </si>
  <si>
    <t>CUST_88</t>
  </si>
  <si>
    <t>14.81</t>
  </si>
  <si>
    <t>CUST_89</t>
  </si>
  <si>
    <t>9.76</t>
  </si>
  <si>
    <t>CUST_90</t>
  </si>
  <si>
    <t>17.39</t>
  </si>
  <si>
    <t>CUST_91</t>
  </si>
  <si>
    <t>8.0</t>
  </si>
  <si>
    <t>CUST_92</t>
  </si>
  <si>
    <t>CUST_93</t>
  </si>
  <si>
    <t>8.89</t>
  </si>
  <si>
    <t>CUST_94</t>
  </si>
  <si>
    <t>16.85</t>
  </si>
  <si>
    <t>CUST_95</t>
  </si>
  <si>
    <t>13.79</t>
  </si>
  <si>
    <t>CUST_96</t>
  </si>
  <si>
    <t>11.81</t>
  </si>
  <si>
    <t>CUST_97</t>
  </si>
  <si>
    <t>10.26</t>
  </si>
  <si>
    <t>CUST_98</t>
  </si>
  <si>
    <t>5.77</t>
  </si>
  <si>
    <t>CUST_99</t>
  </si>
  <si>
    <t>18.44</t>
  </si>
  <si>
    <t>CUST_100</t>
  </si>
  <si>
    <t>13.83</t>
  </si>
  <si>
    <t>CUST_101</t>
  </si>
  <si>
    <t>11.76</t>
  </si>
  <si>
    <t>CUST_102</t>
  </si>
  <si>
    <t>6.67</t>
  </si>
  <si>
    <t>CUST_103</t>
  </si>
  <si>
    <t>16.98</t>
  </si>
  <si>
    <t>CUST_104</t>
  </si>
  <si>
    <t>7.6</t>
  </si>
  <si>
    <t>CUST_105</t>
  </si>
  <si>
    <t>12.16</t>
  </si>
  <si>
    <t>CUST_106</t>
  </si>
  <si>
    <t>4.8</t>
  </si>
  <si>
    <t>CUST_107</t>
  </si>
  <si>
    <t>11.52</t>
  </si>
  <si>
    <t>CUST_108</t>
  </si>
  <si>
    <t>14.93</t>
  </si>
  <si>
    <t>CUST_109</t>
  </si>
  <si>
    <t>12.0</t>
  </si>
  <si>
    <t>CUST_110</t>
  </si>
  <si>
    <t>6.21</t>
  </si>
  <si>
    <t>CUST_111</t>
  </si>
  <si>
    <t>16.0</t>
  </si>
  <si>
    <t>CUST_112</t>
  </si>
  <si>
    <t>18.03</t>
  </si>
  <si>
    <t>CUST_113</t>
  </si>
  <si>
    <t>10.14</t>
  </si>
  <si>
    <t>CUST_114</t>
  </si>
  <si>
    <t>CUST_115</t>
  </si>
  <si>
    <t>CUST_116</t>
  </si>
  <si>
    <t>8.37</t>
  </si>
  <si>
    <t>CUST_117</t>
  </si>
  <si>
    <t>15.71</t>
  </si>
  <si>
    <t>CUST_118</t>
  </si>
  <si>
    <t>18.56</t>
  </si>
  <si>
    <t>CUST_119</t>
  </si>
  <si>
    <t>Sales_18</t>
  </si>
  <si>
    <t>13.59</t>
  </si>
  <si>
    <t>CUST_120</t>
  </si>
  <si>
    <t>8.93</t>
  </si>
  <si>
    <t>CUST_121</t>
  </si>
  <si>
    <t>12.21</t>
  </si>
  <si>
    <t>CUST_122</t>
  </si>
  <si>
    <t>11.72</t>
  </si>
  <si>
    <t>CUST_123</t>
  </si>
  <si>
    <t>17.54</t>
  </si>
  <si>
    <t>CUST_124</t>
  </si>
  <si>
    <t>19.27</t>
  </si>
  <si>
    <t>CUST_125</t>
  </si>
  <si>
    <t>CUST_126</t>
  </si>
  <si>
    <t>6.35</t>
  </si>
  <si>
    <t>CUST_127</t>
  </si>
  <si>
    <t>18.6</t>
  </si>
  <si>
    <t>CUST_128</t>
  </si>
  <si>
    <t>16.09</t>
  </si>
  <si>
    <t>CUST_129</t>
  </si>
  <si>
    <t>19.05</t>
  </si>
  <si>
    <t>CUST_130</t>
  </si>
  <si>
    <t>7.53</t>
  </si>
  <si>
    <t>CUST_131</t>
  </si>
  <si>
    <t>CUST_132</t>
  </si>
  <si>
    <t>CUST_133</t>
  </si>
  <si>
    <t>6.78</t>
  </si>
  <si>
    <t>CUST_134</t>
  </si>
  <si>
    <t>18.92</t>
  </si>
  <si>
    <t>CUST_135</t>
  </si>
  <si>
    <t>CUST_136</t>
  </si>
  <si>
    <t>18.64</t>
  </si>
  <si>
    <t>CUST_137</t>
  </si>
  <si>
    <t>17.57</t>
  </si>
  <si>
    <t>CUST_138</t>
  </si>
  <si>
    <t>17.03</t>
  </si>
  <si>
    <t>CUST_139</t>
  </si>
  <si>
    <t>4.26</t>
  </si>
  <si>
    <t>CUST_140</t>
  </si>
  <si>
    <t>17.59</t>
  </si>
  <si>
    <t>CUST_141</t>
  </si>
  <si>
    <t>16.95</t>
  </si>
  <si>
    <t>CUST_142</t>
  </si>
  <si>
    <t>12.27</t>
  </si>
  <si>
    <t>CUST_143</t>
  </si>
  <si>
    <t>10.13</t>
  </si>
  <si>
    <t>CUST_144</t>
  </si>
  <si>
    <t>10.28</t>
  </si>
  <si>
    <t>CUST_145</t>
  </si>
  <si>
    <t>5.45</t>
  </si>
  <si>
    <t>CUST_146</t>
  </si>
  <si>
    <t>CUST_147</t>
  </si>
  <si>
    <t>CUST_148</t>
  </si>
  <si>
    <t>CUST_149</t>
  </si>
  <si>
    <t>12.37</t>
  </si>
  <si>
    <t>CUST_150</t>
  </si>
  <si>
    <t>19.77</t>
  </si>
  <si>
    <t>CUST_151</t>
  </si>
  <si>
    <t>14.75</t>
  </si>
  <si>
    <t>CUST_152</t>
  </si>
  <si>
    <t>4.88</t>
  </si>
  <si>
    <t>CUST_153</t>
  </si>
  <si>
    <t>7.69</t>
  </si>
  <si>
    <t>CUST_154</t>
  </si>
  <si>
    <t>14.39</t>
  </si>
  <si>
    <t>CUST_155</t>
  </si>
  <si>
    <t>16.94</t>
  </si>
  <si>
    <t>CUST_156</t>
  </si>
  <si>
    <t>14.71</t>
  </si>
  <si>
    <t>CUST_157</t>
  </si>
  <si>
    <t>11.95</t>
  </si>
  <si>
    <t>CUST_158</t>
  </si>
  <si>
    <t>9.8</t>
  </si>
  <si>
    <t>CUST_159</t>
  </si>
  <si>
    <t>8.91</t>
  </si>
  <si>
    <t>CUST_160</t>
  </si>
  <si>
    <t>6.98</t>
  </si>
  <si>
    <t>CUST_161</t>
  </si>
  <si>
    <t>15.67</t>
  </si>
  <si>
    <t>CUST_162</t>
  </si>
  <si>
    <t>10.0</t>
  </si>
  <si>
    <t>CUST_163</t>
  </si>
  <si>
    <t>CUST_164</t>
  </si>
  <si>
    <t>17.31</t>
  </si>
  <si>
    <t>CUST_165</t>
  </si>
  <si>
    <t>CUST_166</t>
  </si>
  <si>
    <t>15.64</t>
  </si>
  <si>
    <t>CUST_167</t>
  </si>
  <si>
    <t>9.93</t>
  </si>
  <si>
    <t>CUST_168</t>
  </si>
  <si>
    <t>13.51</t>
  </si>
  <si>
    <t>CUST_169</t>
  </si>
  <si>
    <t>5.34</t>
  </si>
  <si>
    <t>CUST_170</t>
  </si>
  <si>
    <t>9.63</t>
  </si>
  <si>
    <t>CUST_171</t>
  </si>
  <si>
    <t>4.5</t>
  </si>
  <si>
    <t>CUST_172</t>
  </si>
  <si>
    <t>CUST_173</t>
  </si>
  <si>
    <t>11.3</t>
  </si>
  <si>
    <t>CUST_174</t>
  </si>
  <si>
    <t>CUST_175</t>
  </si>
  <si>
    <t>CUST_176</t>
  </si>
  <si>
    <t>7.55</t>
  </si>
  <si>
    <t>CUST_177</t>
  </si>
  <si>
    <t>14.21</t>
  </si>
  <si>
    <t>CUST_178</t>
  </si>
  <si>
    <t>CUST_179</t>
  </si>
  <si>
    <t>CUST_180</t>
  </si>
  <si>
    <t>15.79</t>
  </si>
  <si>
    <t>CUST_181</t>
  </si>
  <si>
    <t>12.42</t>
  </si>
  <si>
    <t>CUST_182</t>
  </si>
  <si>
    <t>6.02</t>
  </si>
  <si>
    <t>CUST_183</t>
  </si>
  <si>
    <t>10.86</t>
  </si>
  <si>
    <t>CUST_184</t>
  </si>
  <si>
    <t>15.92</t>
  </si>
  <si>
    <t>CUST_185</t>
  </si>
  <si>
    <t>8.42</t>
  </si>
  <si>
    <t>CUST_186</t>
  </si>
  <si>
    <t>17.11</t>
  </si>
  <si>
    <t>CUST_187</t>
  </si>
  <si>
    <t>CUST_188</t>
  </si>
  <si>
    <t>16.96</t>
  </si>
  <si>
    <t>CUST_189</t>
  </si>
  <si>
    <t>18.79</t>
  </si>
  <si>
    <t>CUST_190</t>
  </si>
  <si>
    <t>CUST_191</t>
  </si>
  <si>
    <t>4.6</t>
  </si>
  <si>
    <t>CUST_192</t>
  </si>
  <si>
    <t>CUST_193</t>
  </si>
  <si>
    <t>CUST_194</t>
  </si>
  <si>
    <t>15.52</t>
  </si>
  <si>
    <t>CUST_195</t>
  </si>
  <si>
    <t>CUST_196</t>
  </si>
  <si>
    <t>10.31</t>
  </si>
  <si>
    <t>CUST_197</t>
  </si>
  <si>
    <t>CUST_198</t>
  </si>
  <si>
    <t>CUST_199</t>
  </si>
  <si>
    <t>CUST_200</t>
  </si>
  <si>
    <t>5.42</t>
  </si>
  <si>
    <t>CUST_201</t>
  </si>
  <si>
    <t>13.28</t>
  </si>
  <si>
    <t>CUST_202</t>
  </si>
  <si>
    <t>CUST_203</t>
  </si>
  <si>
    <t>CUST_204</t>
  </si>
  <si>
    <t>19.09</t>
  </si>
  <si>
    <t>CUST_205</t>
  </si>
  <si>
    <t>18.33</t>
  </si>
  <si>
    <t>CUST_206</t>
  </si>
  <si>
    <t>10.87</t>
  </si>
  <si>
    <t>CUST_207</t>
  </si>
  <si>
    <t>4.55</t>
  </si>
  <si>
    <t>CUST_208</t>
  </si>
  <si>
    <t>17.28</t>
  </si>
  <si>
    <t>CUST_209</t>
  </si>
  <si>
    <t>5.68</t>
  </si>
  <si>
    <t>CUST_210</t>
  </si>
  <si>
    <t>7.37</t>
  </si>
  <si>
    <t>CUST_211</t>
  </si>
  <si>
    <t>16.67</t>
  </si>
  <si>
    <t>CUST_212</t>
  </si>
  <si>
    <t>CUST_213</t>
  </si>
  <si>
    <t>CUST_214</t>
  </si>
  <si>
    <t>19.12</t>
  </si>
  <si>
    <t>CUST_215</t>
  </si>
  <si>
    <t>CUST_216</t>
  </si>
  <si>
    <t>14.18</t>
  </si>
  <si>
    <t>CUST_217</t>
  </si>
  <si>
    <t>19.79</t>
  </si>
  <si>
    <t>CUST_218</t>
  </si>
  <si>
    <t>10.09</t>
  </si>
  <si>
    <t>CUST_219</t>
  </si>
  <si>
    <t>8.53</t>
  </si>
  <si>
    <t>CUST_220</t>
  </si>
  <si>
    <t>15.89</t>
  </si>
  <si>
    <t>CUST_221</t>
  </si>
  <si>
    <t>18.86</t>
  </si>
  <si>
    <t>CUST_222</t>
  </si>
  <si>
    <t>14.29</t>
  </si>
  <si>
    <t>CUST_223</t>
  </si>
  <si>
    <t>8.45</t>
  </si>
  <si>
    <t>CUST_224</t>
  </si>
  <si>
    <t>17.27</t>
  </si>
  <si>
    <t>CUST_225</t>
  </si>
  <si>
    <t>CUST_226</t>
  </si>
  <si>
    <t>8.28</t>
  </si>
  <si>
    <t>CUST_227</t>
  </si>
  <si>
    <t>14.1</t>
  </si>
  <si>
    <t>CUST_228</t>
  </si>
  <si>
    <t>16.08</t>
  </si>
  <si>
    <t>CUST_229</t>
  </si>
  <si>
    <t>6.43</t>
  </si>
  <si>
    <t>CUST_230</t>
  </si>
  <si>
    <t>16.25</t>
  </si>
  <si>
    <t>CUST_231</t>
  </si>
  <si>
    <t>10.64</t>
  </si>
  <si>
    <t>CUST_232</t>
  </si>
  <si>
    <t>CUST_233</t>
  </si>
  <si>
    <t>CUST_234</t>
  </si>
  <si>
    <t>11.25</t>
  </si>
  <si>
    <t>CUST_235</t>
  </si>
  <si>
    <t>5.5</t>
  </si>
  <si>
    <t>CUST_236</t>
  </si>
  <si>
    <t>4.82</t>
  </si>
  <si>
    <t>CUST_237</t>
  </si>
  <si>
    <t>4.44</t>
  </si>
  <si>
    <t>CUST_238</t>
  </si>
  <si>
    <t>7.8</t>
  </si>
  <si>
    <t>CUST_239</t>
  </si>
  <si>
    <t>15.97</t>
  </si>
  <si>
    <t>CUST_240</t>
  </si>
  <si>
    <t>CUST_241</t>
  </si>
  <si>
    <t>8.75</t>
  </si>
  <si>
    <t>CUST_242</t>
  </si>
  <si>
    <t>7.94</t>
  </si>
  <si>
    <t>CUST_243</t>
  </si>
  <si>
    <t>9.87</t>
  </si>
  <si>
    <t>CUST_244</t>
  </si>
  <si>
    <t>13.39</t>
  </si>
  <si>
    <t>CUST_245</t>
  </si>
  <si>
    <t>5.88</t>
  </si>
  <si>
    <t>CUST_246</t>
  </si>
  <si>
    <t>CUST_247</t>
  </si>
  <si>
    <t>5.44</t>
  </si>
  <si>
    <t>CUST_248</t>
  </si>
  <si>
    <t>CUST_249</t>
  </si>
  <si>
    <t>CUST_250</t>
  </si>
  <si>
    <t>19.23</t>
  </si>
  <si>
    <t>CUST_251</t>
  </si>
  <si>
    <t>CUST_252</t>
  </si>
  <si>
    <t>12.4</t>
  </si>
  <si>
    <t>CUST_253</t>
  </si>
  <si>
    <t>13.54</t>
  </si>
  <si>
    <t>CUST_254</t>
  </si>
  <si>
    <t>9.23</t>
  </si>
  <si>
    <t>CUST_255</t>
  </si>
  <si>
    <t>5.33</t>
  </si>
  <si>
    <t>CUST_256</t>
  </si>
  <si>
    <t>CUST_257</t>
  </si>
  <si>
    <t>CUST_258</t>
  </si>
  <si>
    <t>5.03</t>
  </si>
  <si>
    <t>CUST_259</t>
  </si>
  <si>
    <t>CUST_260</t>
  </si>
  <si>
    <t>15.15</t>
  </si>
  <si>
    <t>CUST_261</t>
  </si>
  <si>
    <t>CUST_262</t>
  </si>
  <si>
    <t>16.75</t>
  </si>
  <si>
    <t>CUST_263</t>
  </si>
  <si>
    <t>15.0</t>
  </si>
  <si>
    <t>CUST_264</t>
  </si>
  <si>
    <t>17.48</t>
  </si>
  <si>
    <t>CUST_265</t>
  </si>
  <si>
    <t>17.0</t>
  </si>
  <si>
    <t>CUST_266</t>
  </si>
  <si>
    <t>CUST_267</t>
  </si>
  <si>
    <t>10.19</t>
  </si>
  <si>
    <t>CUST_268</t>
  </si>
  <si>
    <t>11.83</t>
  </si>
  <si>
    <t>CUST_269</t>
  </si>
  <si>
    <t>CUST_270</t>
  </si>
  <si>
    <t>6.0</t>
  </si>
  <si>
    <t>CUST_271</t>
  </si>
  <si>
    <t>18.31</t>
  </si>
  <si>
    <t>CUST_272</t>
  </si>
  <si>
    <t>10.5</t>
  </si>
  <si>
    <t>CUST_273</t>
  </si>
  <si>
    <t>CUST_274</t>
  </si>
  <si>
    <t>15.94</t>
  </si>
  <si>
    <t>CUST_275</t>
  </si>
  <si>
    <t>16.46</t>
  </si>
  <si>
    <t>CUST_276</t>
  </si>
  <si>
    <t>CUST_277</t>
  </si>
  <si>
    <t>16.43</t>
  </si>
  <si>
    <t>CUST_278</t>
  </si>
  <si>
    <t>6.4</t>
  </si>
  <si>
    <t>CUST_279</t>
  </si>
  <si>
    <t>CUST_280</t>
  </si>
  <si>
    <t>15.96</t>
  </si>
  <si>
    <t>CUST_281</t>
  </si>
  <si>
    <t>18.35</t>
  </si>
  <si>
    <t>CUST_282</t>
  </si>
  <si>
    <t>14.89</t>
  </si>
  <si>
    <t>CUST_283</t>
  </si>
  <si>
    <t>16.81</t>
  </si>
  <si>
    <t>CUST_284</t>
  </si>
  <si>
    <t>19.7</t>
  </si>
  <si>
    <t>CUST_285</t>
  </si>
  <si>
    <t>13.71</t>
  </si>
  <si>
    <t>CUST_286</t>
  </si>
  <si>
    <t>5.8</t>
  </si>
  <si>
    <t>CUST_287</t>
  </si>
  <si>
    <t>11.29</t>
  </si>
  <si>
    <t>CUST_288</t>
  </si>
  <si>
    <t>10.85</t>
  </si>
  <si>
    <t>CUST_289</t>
  </si>
  <si>
    <t>CUST_290</t>
  </si>
  <si>
    <t>CUST_291</t>
  </si>
  <si>
    <t>12.33</t>
  </si>
  <si>
    <t>CUST_292</t>
  </si>
  <si>
    <t>17.5</t>
  </si>
  <si>
    <t>CUST_293</t>
  </si>
  <si>
    <t>12.35</t>
  </si>
  <si>
    <t>CUST_294</t>
  </si>
  <si>
    <t>17.44</t>
  </si>
  <si>
    <t>CUST_295</t>
  </si>
  <si>
    <t>17.58</t>
  </si>
  <si>
    <t>CUST_296</t>
  </si>
  <si>
    <t>16.92</t>
  </si>
  <si>
    <t>CUST_297</t>
  </si>
  <si>
    <t>7.97</t>
  </si>
  <si>
    <t>CUST_298</t>
  </si>
  <si>
    <t>CUST_299</t>
  </si>
  <si>
    <t>14.58</t>
  </si>
  <si>
    <t>CUST_300</t>
  </si>
  <si>
    <t>CUST_301</t>
  </si>
  <si>
    <t>16.26</t>
  </si>
  <si>
    <t>CUST_302</t>
  </si>
  <si>
    <t>CUST_303</t>
  </si>
  <si>
    <t>11.11</t>
  </si>
  <si>
    <t>CUST_304</t>
  </si>
  <si>
    <t>CUST_305</t>
  </si>
  <si>
    <t>8.26</t>
  </si>
  <si>
    <t>CUST_306</t>
  </si>
  <si>
    <t>12.7</t>
  </si>
  <si>
    <t>CUST_307</t>
  </si>
  <si>
    <t>10.97</t>
  </si>
  <si>
    <t>CUST_308</t>
  </si>
  <si>
    <t>11.89</t>
  </si>
  <si>
    <t>CUST_309</t>
  </si>
  <si>
    <t>5.94</t>
  </si>
  <si>
    <t>CUST_310</t>
  </si>
  <si>
    <t>7.07</t>
  </si>
  <si>
    <t>CUST_311</t>
  </si>
  <si>
    <t>CUST_312</t>
  </si>
  <si>
    <t>8.4</t>
  </si>
  <si>
    <t>CUST_313</t>
  </si>
  <si>
    <t>16.86</t>
  </si>
  <si>
    <t>CUST_314</t>
  </si>
  <si>
    <t>14.04</t>
  </si>
  <si>
    <t>CUST_315</t>
  </si>
  <si>
    <t>CUST_316</t>
  </si>
  <si>
    <t>12.03</t>
  </si>
  <si>
    <t>CUST_317</t>
  </si>
  <si>
    <t>7.36</t>
  </si>
  <si>
    <t>CUST_318</t>
  </si>
  <si>
    <t>8.43</t>
  </si>
  <si>
    <t>CUST_319</t>
  </si>
  <si>
    <t>15.91</t>
  </si>
  <si>
    <t>CUST_320</t>
  </si>
  <si>
    <t>5.04</t>
  </si>
  <si>
    <t>CUST_321</t>
  </si>
  <si>
    <t>CUST_322</t>
  </si>
  <si>
    <t>CUST_323</t>
  </si>
  <si>
    <t>5.31</t>
  </si>
  <si>
    <t>CUST_324</t>
  </si>
  <si>
    <t>15.25</t>
  </si>
  <si>
    <t>CUST_325</t>
  </si>
  <si>
    <t>CUST_326</t>
  </si>
  <si>
    <t>16.04</t>
  </si>
  <si>
    <t>CUST_327</t>
  </si>
  <si>
    <t>CUST_328</t>
  </si>
  <si>
    <t>6.58</t>
  </si>
  <si>
    <t>CUST_329</t>
  </si>
  <si>
    <t>6.31</t>
  </si>
  <si>
    <t>CUST_330</t>
  </si>
  <si>
    <t>CUST_331</t>
  </si>
  <si>
    <t>CUST_332</t>
  </si>
  <si>
    <t>17.78</t>
  </si>
  <si>
    <t>CUST_333</t>
  </si>
  <si>
    <t>15.11</t>
  </si>
  <si>
    <t>CUST_334</t>
  </si>
  <si>
    <t>17.67</t>
  </si>
  <si>
    <t>CUST_335</t>
  </si>
  <si>
    <t>18.95</t>
  </si>
  <si>
    <t>CUST_336</t>
  </si>
  <si>
    <t>CUST_337</t>
  </si>
  <si>
    <t>16.55</t>
  </si>
  <si>
    <t>CUST_338</t>
  </si>
  <si>
    <t>12.78</t>
  </si>
  <si>
    <t>CUST_339</t>
  </si>
  <si>
    <t>18.75</t>
  </si>
  <si>
    <t>CUST_340</t>
  </si>
  <si>
    <t>14.79</t>
  </si>
  <si>
    <t>CUST_341</t>
  </si>
  <si>
    <t>14.37</t>
  </si>
  <si>
    <t>CUST_342</t>
  </si>
  <si>
    <t>6.59</t>
  </si>
  <si>
    <t>CUST_343</t>
  </si>
  <si>
    <t>CUST_344</t>
  </si>
  <si>
    <t>12.58</t>
  </si>
  <si>
    <t>CUST_345</t>
  </si>
  <si>
    <t>CUST_346</t>
  </si>
  <si>
    <t>9.62</t>
  </si>
  <si>
    <t>CUST_347</t>
  </si>
  <si>
    <t>18.1</t>
  </si>
  <si>
    <t>CUST_348</t>
  </si>
  <si>
    <t>CUST_349</t>
  </si>
  <si>
    <t>5.81</t>
  </si>
  <si>
    <t>CUST_350</t>
  </si>
  <si>
    <t>11.19</t>
  </si>
  <si>
    <t>CUST_351</t>
  </si>
  <si>
    <t>6.01</t>
  </si>
  <si>
    <t>CUST_352</t>
  </si>
  <si>
    <t>18.18</t>
  </si>
  <si>
    <t>CUST_353</t>
  </si>
  <si>
    <t>9.42</t>
  </si>
  <si>
    <t>CUST_354</t>
  </si>
  <si>
    <t>19.72</t>
  </si>
  <si>
    <t>CUST_355</t>
  </si>
  <si>
    <t>CUST_356</t>
  </si>
  <si>
    <t>CUST_357</t>
  </si>
  <si>
    <t>CUST_358</t>
  </si>
  <si>
    <t>CUST_359</t>
  </si>
  <si>
    <t>CUST_360</t>
  </si>
  <si>
    <t>17.01</t>
  </si>
  <si>
    <t>CUST_361</t>
  </si>
  <si>
    <t>7.61</t>
  </si>
  <si>
    <t>CUST_362</t>
  </si>
  <si>
    <t>16.22</t>
  </si>
  <si>
    <t>CUST_363</t>
  </si>
  <si>
    <t>CUST_364</t>
  </si>
  <si>
    <t>8.38</t>
  </si>
  <si>
    <t>CUST_365</t>
  </si>
  <si>
    <t>13.27</t>
  </si>
  <si>
    <t>CUST_366</t>
  </si>
  <si>
    <t>12.38</t>
  </si>
  <si>
    <t>CUST_367</t>
  </si>
  <si>
    <t>CUST_368</t>
  </si>
  <si>
    <t>CUST_369</t>
  </si>
  <si>
    <t>CUST_370</t>
  </si>
  <si>
    <t>13.87</t>
  </si>
  <si>
    <t>CUST_371</t>
  </si>
  <si>
    <t>8.24</t>
  </si>
  <si>
    <t>CUST_372</t>
  </si>
  <si>
    <t>CUST_373</t>
  </si>
  <si>
    <t>CUST_374</t>
  </si>
  <si>
    <t>18.12</t>
  </si>
  <si>
    <t>CUST_375</t>
  </si>
  <si>
    <t>10.29</t>
  </si>
  <si>
    <t>CUST_376</t>
  </si>
  <si>
    <t>11.88</t>
  </si>
  <si>
    <t>CUST_377</t>
  </si>
  <si>
    <t>9.09</t>
  </si>
  <si>
    <t>CUST_378</t>
  </si>
  <si>
    <t>CUST_379</t>
  </si>
  <si>
    <t>6.5</t>
  </si>
  <si>
    <t>CUST_380</t>
  </si>
  <si>
    <t>6.52</t>
  </si>
  <si>
    <t>CUST_381</t>
  </si>
  <si>
    <t>CUST_382</t>
  </si>
  <si>
    <t>18.24</t>
  </si>
  <si>
    <t>CUST_383</t>
  </si>
  <si>
    <t>16.02</t>
  </si>
  <si>
    <t>CUST_384</t>
  </si>
  <si>
    <t>CUST_385</t>
  </si>
  <si>
    <t>7.38</t>
  </si>
  <si>
    <t>CUST_386</t>
  </si>
  <si>
    <t>CUST_387</t>
  </si>
  <si>
    <t>14.41</t>
  </si>
  <si>
    <t>CUST_388</t>
  </si>
  <si>
    <t>6.47</t>
  </si>
  <si>
    <t>CUST_389</t>
  </si>
  <si>
    <t>CUST_390</t>
  </si>
  <si>
    <t>17.89</t>
  </si>
  <si>
    <t>CUST_391</t>
  </si>
  <si>
    <t>CUST_392</t>
  </si>
  <si>
    <t>CUST_393</t>
  </si>
  <si>
    <t>10.88</t>
  </si>
  <si>
    <t>CUST_394</t>
  </si>
  <si>
    <t>CUST_395</t>
  </si>
  <si>
    <t>7.89</t>
  </si>
  <si>
    <t>CUST_396</t>
  </si>
  <si>
    <t>CUST_397</t>
  </si>
  <si>
    <t>13.21</t>
  </si>
  <si>
    <t>CUST_398</t>
  </si>
  <si>
    <t>8.03</t>
  </si>
  <si>
    <t>CUST_399</t>
  </si>
  <si>
    <t>5.05</t>
  </si>
  <si>
    <t>CUST_400</t>
  </si>
  <si>
    <t>5.38</t>
  </si>
  <si>
    <t>CUST_401</t>
  </si>
  <si>
    <t>9.26</t>
  </si>
  <si>
    <t>CUST_402</t>
  </si>
  <si>
    <t>CUST_403</t>
  </si>
  <si>
    <t>17.16</t>
  </si>
  <si>
    <t>CUST_404</t>
  </si>
  <si>
    <t>CUST_405</t>
  </si>
  <si>
    <t>CUST_406</t>
  </si>
  <si>
    <t>CUST_407</t>
  </si>
  <si>
    <t>8.44</t>
  </si>
  <si>
    <t>CUST_408</t>
  </si>
  <si>
    <t>13.92</t>
  </si>
  <si>
    <t>CUST_409</t>
  </si>
  <si>
    <t>10.06</t>
  </si>
  <si>
    <t>CUST_410</t>
  </si>
  <si>
    <t>CUST_411</t>
  </si>
  <si>
    <t>7.27</t>
  </si>
  <si>
    <t>CUST_412</t>
  </si>
  <si>
    <t>11.67</t>
  </si>
  <si>
    <t>CUST_413</t>
  </si>
  <si>
    <t>19.67</t>
  </si>
  <si>
    <t>CUST_414</t>
  </si>
  <si>
    <t>CUST_415</t>
  </si>
  <si>
    <t>17.61</t>
  </si>
  <si>
    <t>CUST_416</t>
  </si>
  <si>
    <t>12.07</t>
  </si>
  <si>
    <t>CUST_417</t>
  </si>
  <si>
    <t>CUST_418</t>
  </si>
  <si>
    <t>CUST_419</t>
  </si>
  <si>
    <t>CUST_420</t>
  </si>
  <si>
    <t>17.65</t>
  </si>
  <si>
    <t>CUST_421</t>
  </si>
  <si>
    <t>6.93</t>
  </si>
  <si>
    <t>CUST_422</t>
  </si>
  <si>
    <t>CUST_423</t>
  </si>
  <si>
    <t>8.13</t>
  </si>
  <si>
    <t>CUST_424</t>
  </si>
  <si>
    <t>11.86</t>
  </si>
  <si>
    <t>CUST_425</t>
  </si>
  <si>
    <t>CUST_426</t>
  </si>
  <si>
    <t>CUST_427</t>
  </si>
  <si>
    <t>CUST_428</t>
  </si>
  <si>
    <t>17.86</t>
  </si>
  <si>
    <t>CUST_429</t>
  </si>
  <si>
    <t>CUST_430</t>
  </si>
  <si>
    <t>CUST_431</t>
  </si>
  <si>
    <t>CUST_432</t>
  </si>
  <si>
    <t>5.36</t>
  </si>
  <si>
    <t>CUST_433</t>
  </si>
  <si>
    <t>18.13</t>
  </si>
  <si>
    <t>CUST_434</t>
  </si>
  <si>
    <t>10.93</t>
  </si>
  <si>
    <t>CUST_435</t>
  </si>
  <si>
    <t>16.58</t>
  </si>
  <si>
    <t>CUST_436</t>
  </si>
  <si>
    <t>14.52</t>
  </si>
  <si>
    <t>CUST_437</t>
  </si>
  <si>
    <t>19.28</t>
  </si>
  <si>
    <t>CUST_438</t>
  </si>
  <si>
    <t>CUST_439</t>
  </si>
  <si>
    <t>12.82</t>
  </si>
  <si>
    <t>CUST_440</t>
  </si>
  <si>
    <t>CUST_441</t>
  </si>
  <si>
    <t>13.41</t>
  </si>
  <si>
    <t>CUST_442</t>
  </si>
  <si>
    <t>10.69</t>
  </si>
  <si>
    <t>CUST_443</t>
  </si>
  <si>
    <t>9.19</t>
  </si>
  <si>
    <t>CUST_444</t>
  </si>
  <si>
    <t>11.17</t>
  </si>
  <si>
    <t>CUST_445</t>
  </si>
  <si>
    <t>10.67</t>
  </si>
  <si>
    <t>CUST_446</t>
  </si>
  <si>
    <t>9.66</t>
  </si>
  <si>
    <t>CUST_447</t>
  </si>
  <si>
    <t>9.27</t>
  </si>
  <si>
    <t>CUST_448</t>
  </si>
  <si>
    <t>9.45</t>
  </si>
  <si>
    <t>CUST_449</t>
  </si>
  <si>
    <t>CUST_450</t>
  </si>
  <si>
    <t>5.43</t>
  </si>
  <si>
    <t>CUST_451</t>
  </si>
  <si>
    <t>15.12</t>
  </si>
  <si>
    <t>CUST_452</t>
  </si>
  <si>
    <t>10.91</t>
  </si>
  <si>
    <t>CUST_453</t>
  </si>
  <si>
    <t>13.73</t>
  </si>
  <si>
    <t>CUST_454</t>
  </si>
  <si>
    <t>10.96</t>
  </si>
  <si>
    <t>CUST_455</t>
  </si>
  <si>
    <t>9.92</t>
  </si>
  <si>
    <t>CUST_456</t>
  </si>
  <si>
    <t>12.93</t>
  </si>
  <si>
    <t>CUST_457</t>
  </si>
  <si>
    <t>5.1</t>
  </si>
  <si>
    <t>CUST_458</t>
  </si>
  <si>
    <t>15.56</t>
  </si>
  <si>
    <t>CUST_459</t>
  </si>
  <si>
    <t>14.08</t>
  </si>
  <si>
    <t>CUST_460</t>
  </si>
  <si>
    <t>6.49</t>
  </si>
  <si>
    <t>CUST_461</t>
  </si>
  <si>
    <t>13.08</t>
  </si>
  <si>
    <t>CUST_462</t>
  </si>
  <si>
    <t>CUST_463</t>
  </si>
  <si>
    <t>CUST_464</t>
  </si>
  <si>
    <t>18.67</t>
  </si>
  <si>
    <t>CUST_465</t>
  </si>
  <si>
    <t>17.49</t>
  </si>
  <si>
    <t>CUST_466</t>
  </si>
  <si>
    <t>15.75</t>
  </si>
  <si>
    <t>CUST_467</t>
  </si>
  <si>
    <t>10.83</t>
  </si>
  <si>
    <t>CUST_468</t>
  </si>
  <si>
    <t>CUST_469</t>
  </si>
  <si>
    <t>6.41</t>
  </si>
  <si>
    <t>CUST_470</t>
  </si>
  <si>
    <t>15.45</t>
  </si>
  <si>
    <t>CUST_471</t>
  </si>
  <si>
    <t>8.02</t>
  </si>
  <si>
    <t>CUST_472</t>
  </si>
  <si>
    <t>9.29</t>
  </si>
  <si>
    <t>CUST_473</t>
  </si>
  <si>
    <t>CUST_474</t>
  </si>
  <si>
    <t>10.56</t>
  </si>
  <si>
    <t>CUST_475</t>
  </si>
  <si>
    <t>6.45</t>
  </si>
  <si>
    <t>CUST_476</t>
  </si>
  <si>
    <t>CUST_477</t>
  </si>
  <si>
    <t>5.63</t>
  </si>
  <si>
    <t>CUST_478</t>
  </si>
  <si>
    <t>15.03</t>
  </si>
  <si>
    <t>CUST_479</t>
  </si>
  <si>
    <t>17.07</t>
  </si>
  <si>
    <t>CUST_480</t>
  </si>
  <si>
    <t>11.24</t>
  </si>
  <si>
    <t>CUST_481</t>
  </si>
  <si>
    <t>CUST_482</t>
  </si>
  <si>
    <t>CUST_483</t>
  </si>
  <si>
    <t>17.68</t>
  </si>
  <si>
    <t>CUST_484</t>
  </si>
  <si>
    <t>CUST_485</t>
  </si>
  <si>
    <t>CUST_486</t>
  </si>
  <si>
    <t>8.74</t>
  </si>
  <si>
    <t>CUST_487</t>
  </si>
  <si>
    <t>CUST_488</t>
  </si>
  <si>
    <t>18.08</t>
  </si>
  <si>
    <t>CUST_489</t>
  </si>
  <si>
    <t>6.82</t>
  </si>
  <si>
    <t>CUST_490</t>
  </si>
  <si>
    <t>11.54</t>
  </si>
  <si>
    <t>CUST_491</t>
  </si>
  <si>
    <t>8.92</t>
  </si>
  <si>
    <t>CUST_492</t>
  </si>
  <si>
    <t>CUST_493</t>
  </si>
  <si>
    <t>CUST_494</t>
  </si>
  <si>
    <t>10.62</t>
  </si>
  <si>
    <t>CUST_495</t>
  </si>
  <si>
    <t>CUST_496</t>
  </si>
  <si>
    <t>CUST_497</t>
  </si>
  <si>
    <t>CUST_498</t>
  </si>
  <si>
    <t>18.26</t>
  </si>
  <si>
    <t>CUST_499</t>
  </si>
  <si>
    <t>CUST_500</t>
  </si>
  <si>
    <t>CUST_501</t>
  </si>
  <si>
    <t>4.48</t>
  </si>
  <si>
    <t>CUST_502</t>
  </si>
  <si>
    <t>CUST_503</t>
  </si>
  <si>
    <t>CUST_504</t>
  </si>
  <si>
    <t>18.3</t>
  </si>
  <si>
    <t>CUST_505</t>
  </si>
  <si>
    <t>12.15</t>
  </si>
  <si>
    <t>CUST_506</t>
  </si>
  <si>
    <t>4.85</t>
  </si>
  <si>
    <t>CUST_507</t>
  </si>
  <si>
    <t>15.07</t>
  </si>
  <si>
    <t>CUST_508</t>
  </si>
  <si>
    <t>CUST_509</t>
  </si>
  <si>
    <t>CUST_510</t>
  </si>
  <si>
    <t>CUST_511</t>
  </si>
  <si>
    <t>11.48</t>
  </si>
  <si>
    <t>CUST_512</t>
  </si>
  <si>
    <t>13.64</t>
  </si>
  <si>
    <t>CUST_513</t>
  </si>
  <si>
    <t>14.69</t>
  </si>
  <si>
    <t>CUST_514</t>
  </si>
  <si>
    <t>16.36</t>
  </si>
  <si>
    <t>CUST_515</t>
  </si>
  <si>
    <t>7.83</t>
  </si>
  <si>
    <t>CUST_516</t>
  </si>
  <si>
    <t>CUST_517</t>
  </si>
  <si>
    <t>CUST_518</t>
  </si>
  <si>
    <t>CUST_519</t>
  </si>
  <si>
    <t>CUST_520</t>
  </si>
  <si>
    <t>6.04</t>
  </si>
  <si>
    <t>CUST_521</t>
  </si>
  <si>
    <t>CUST_522</t>
  </si>
  <si>
    <t>11.32</t>
  </si>
  <si>
    <t>CUST_523</t>
  </si>
  <si>
    <t>7.32</t>
  </si>
  <si>
    <t>CUST_524</t>
  </si>
  <si>
    <t>19.61</t>
  </si>
  <si>
    <t>CUST_525</t>
  </si>
  <si>
    <t>CUST_526</t>
  </si>
  <si>
    <t>CUST_527</t>
  </si>
  <si>
    <t>14.63</t>
  </si>
  <si>
    <t>CUST_528</t>
  </si>
  <si>
    <t>CUST_529</t>
  </si>
  <si>
    <t>CUST_530</t>
  </si>
  <si>
    <t>8.39</t>
  </si>
  <si>
    <t>CUST_531</t>
  </si>
  <si>
    <t>18.99</t>
  </si>
  <si>
    <t>CUST_532</t>
  </si>
  <si>
    <t>10.2</t>
  </si>
  <si>
    <t>CUST_533</t>
  </si>
  <si>
    <t>CUST_534</t>
  </si>
  <si>
    <t>10.81</t>
  </si>
  <si>
    <t>CUST_535</t>
  </si>
  <si>
    <t>6.06</t>
  </si>
  <si>
    <t>CUST_536</t>
  </si>
  <si>
    <t>CUST_537</t>
  </si>
  <si>
    <t>CUST_538</t>
  </si>
  <si>
    <t>CUST_539</t>
  </si>
  <si>
    <t>8.49</t>
  </si>
  <si>
    <t>CUST_540</t>
  </si>
  <si>
    <t>CUST_541</t>
  </si>
  <si>
    <t>CUST_542</t>
  </si>
  <si>
    <t>12.31</t>
  </si>
  <si>
    <t>CUST_543</t>
  </si>
  <si>
    <t>13.14</t>
  </si>
  <si>
    <t>CUST_544</t>
  </si>
  <si>
    <t>10.66</t>
  </si>
  <si>
    <t>CUST_545</t>
  </si>
  <si>
    <t>CUST_546</t>
  </si>
  <si>
    <t>CUST_547</t>
  </si>
  <si>
    <t>9.01</t>
  </si>
  <si>
    <t>CUST_548</t>
  </si>
  <si>
    <t>6.9</t>
  </si>
  <si>
    <t>CUST_549</t>
  </si>
  <si>
    <t>8.47</t>
  </si>
  <si>
    <t>CUST_550</t>
  </si>
  <si>
    <t>9.38</t>
  </si>
  <si>
    <t>CUST_551</t>
  </si>
  <si>
    <t>CUST_552</t>
  </si>
  <si>
    <t>9.52</t>
  </si>
  <si>
    <t>CUST_553</t>
  </si>
  <si>
    <t>18.37</t>
  </si>
  <si>
    <t>CUST_554</t>
  </si>
  <si>
    <t>4.62</t>
  </si>
  <si>
    <t>CUST_555</t>
  </si>
  <si>
    <t>16.23</t>
  </si>
  <si>
    <t>CUST_556</t>
  </si>
  <si>
    <t>CUST_557</t>
  </si>
  <si>
    <t>11.97</t>
  </si>
  <si>
    <t>CUST_558</t>
  </si>
  <si>
    <t>10.38</t>
  </si>
  <si>
    <t>CUST_559</t>
  </si>
  <si>
    <t>CUST_560</t>
  </si>
  <si>
    <t>CUST_561</t>
  </si>
  <si>
    <t>CUST_562</t>
  </si>
  <si>
    <t>7.64</t>
  </si>
  <si>
    <t>CUST_563</t>
  </si>
  <si>
    <t>CUST_564</t>
  </si>
  <si>
    <t>6.83</t>
  </si>
  <si>
    <t>CUST_565</t>
  </si>
  <si>
    <t>CUST_566</t>
  </si>
  <si>
    <t>CUST_567</t>
  </si>
  <si>
    <t>10.77</t>
  </si>
  <si>
    <t>CUST_568</t>
  </si>
  <si>
    <t>5.18</t>
  </si>
  <si>
    <t>CUST_569</t>
  </si>
  <si>
    <t>CUST_570</t>
  </si>
  <si>
    <t>4.69</t>
  </si>
  <si>
    <t>CUST_571</t>
  </si>
  <si>
    <t>18.54</t>
  </si>
  <si>
    <t>CUST_572</t>
  </si>
  <si>
    <t>9.6</t>
  </si>
  <si>
    <t>CUST_573</t>
  </si>
  <si>
    <t>18.49</t>
  </si>
  <si>
    <t>CUST_574</t>
  </si>
  <si>
    <t>15.38</t>
  </si>
  <si>
    <t>CUST_575</t>
  </si>
  <si>
    <t>CUST_576</t>
  </si>
  <si>
    <t>9.85</t>
  </si>
  <si>
    <t>CUST_577</t>
  </si>
  <si>
    <t>6.94</t>
  </si>
  <si>
    <t>CUST_578</t>
  </si>
  <si>
    <t>CUST_579</t>
  </si>
  <si>
    <t>CUST_580</t>
  </si>
  <si>
    <t>9.33</t>
  </si>
  <si>
    <t>CUST_581</t>
  </si>
  <si>
    <t>8.62</t>
  </si>
  <si>
    <t>CUST_582</t>
  </si>
  <si>
    <t>10.49</t>
  </si>
  <si>
    <t>CUST_583</t>
  </si>
  <si>
    <t>12.2</t>
  </si>
  <si>
    <t>CUST_584</t>
  </si>
  <si>
    <t>CUST_585</t>
  </si>
  <si>
    <t>7.96</t>
  </si>
  <si>
    <t>CUST_586</t>
  </si>
  <si>
    <t>CUST_587</t>
  </si>
  <si>
    <t>CUST_588</t>
  </si>
  <si>
    <t>CUST_589</t>
  </si>
  <si>
    <t>CUST_590</t>
  </si>
  <si>
    <t>14.0</t>
  </si>
  <si>
    <t>CUST_591</t>
  </si>
  <si>
    <t>CUST_592</t>
  </si>
  <si>
    <t>8.18</t>
  </si>
  <si>
    <t>CUST_593</t>
  </si>
  <si>
    <t>CUST_594</t>
  </si>
  <si>
    <t>17.42</t>
  </si>
  <si>
    <t>CUST_595</t>
  </si>
  <si>
    <t>CUST_596</t>
  </si>
  <si>
    <t>19.35</t>
  </si>
  <si>
    <t>CUST_597</t>
  </si>
  <si>
    <t>11.98</t>
  </si>
  <si>
    <t>CUST_598</t>
  </si>
  <si>
    <t>7.48</t>
  </si>
  <si>
    <t>CUST_599</t>
  </si>
  <si>
    <t>CUST_600</t>
  </si>
  <si>
    <t>15.04</t>
  </si>
  <si>
    <t>CUST_601</t>
  </si>
  <si>
    <t>4.92</t>
  </si>
  <si>
    <t>CUST_602</t>
  </si>
  <si>
    <t>CUST_603</t>
  </si>
  <si>
    <t>CUST_604</t>
  </si>
  <si>
    <t>CUST_605</t>
  </si>
  <si>
    <t>9.15</t>
  </si>
  <si>
    <t>CUST_606</t>
  </si>
  <si>
    <t>18.23</t>
  </si>
  <si>
    <t>CUST_607</t>
  </si>
  <si>
    <t>CUST_608</t>
  </si>
  <si>
    <t>CUST_609</t>
  </si>
  <si>
    <t>18.87</t>
  </si>
  <si>
    <t>CUST_610</t>
  </si>
  <si>
    <t>CUST_611</t>
  </si>
  <si>
    <t>CUST_612</t>
  </si>
  <si>
    <t>CUST_613</t>
  </si>
  <si>
    <t>4.35</t>
  </si>
  <si>
    <t>CUST_614</t>
  </si>
  <si>
    <t>CUST_615</t>
  </si>
  <si>
    <t>18.4</t>
  </si>
  <si>
    <t>CUST_616</t>
  </si>
  <si>
    <t>CUST_617</t>
  </si>
  <si>
    <t>CUST_618</t>
  </si>
  <si>
    <t>7.43</t>
  </si>
  <si>
    <t>CUST_619</t>
  </si>
  <si>
    <t>CUST_620</t>
  </si>
  <si>
    <t>CUST_621</t>
  </si>
  <si>
    <t>9.24</t>
  </si>
  <si>
    <t>CUST_622</t>
  </si>
  <si>
    <t>CUST_623</t>
  </si>
  <si>
    <t>CUST_624</t>
  </si>
  <si>
    <t>14.72</t>
  </si>
  <si>
    <t>CUST_625</t>
  </si>
  <si>
    <t>11.94</t>
  </si>
  <si>
    <t>CUST_626</t>
  </si>
  <si>
    <t>CUST_627</t>
  </si>
  <si>
    <t>CUST_628</t>
  </si>
  <si>
    <t>14.86</t>
  </si>
  <si>
    <t>CUST_629</t>
  </si>
  <si>
    <t>CUST_630</t>
  </si>
  <si>
    <t>CUST_631</t>
  </si>
  <si>
    <t>11.37</t>
  </si>
  <si>
    <t>CUST_632</t>
  </si>
  <si>
    <t>CUST_633</t>
  </si>
  <si>
    <t>17.53</t>
  </si>
  <si>
    <t>CUST_634</t>
  </si>
  <si>
    <t>15.66</t>
  </si>
  <si>
    <t>CUST_635</t>
  </si>
  <si>
    <t>6.84</t>
  </si>
  <si>
    <t>CUST_636</t>
  </si>
  <si>
    <t>9.35</t>
  </si>
  <si>
    <t>CUST_637</t>
  </si>
  <si>
    <t>17.05</t>
  </si>
  <si>
    <t>CUST_638</t>
  </si>
  <si>
    <t>16.88</t>
  </si>
  <si>
    <t>CUST_639</t>
  </si>
  <si>
    <t>14.65</t>
  </si>
  <si>
    <t>CUST_640</t>
  </si>
  <si>
    <t>12.3</t>
  </si>
  <si>
    <t>CUST_641</t>
  </si>
  <si>
    <t>8.51</t>
  </si>
  <si>
    <t>CUST_642</t>
  </si>
  <si>
    <t>19.71</t>
  </si>
  <si>
    <t>CUST_643</t>
  </si>
  <si>
    <t>5.71</t>
  </si>
  <si>
    <t>CUST_644</t>
  </si>
  <si>
    <t>6.19</t>
  </si>
  <si>
    <t>CUST_645</t>
  </si>
  <si>
    <t>CUST_646</t>
  </si>
  <si>
    <t>CUST_647</t>
  </si>
  <si>
    <t>17.74</t>
  </si>
  <si>
    <t>CUST_648</t>
  </si>
  <si>
    <t>CUST_649</t>
  </si>
  <si>
    <t>CUST_650</t>
  </si>
  <si>
    <t>15.65</t>
  </si>
  <si>
    <t>CUST_651</t>
  </si>
  <si>
    <t>CUST_652</t>
  </si>
  <si>
    <t>18.39</t>
  </si>
  <si>
    <t>CUST_653</t>
  </si>
  <si>
    <t>CUST_654</t>
  </si>
  <si>
    <t>CUST_655</t>
  </si>
  <si>
    <t>CUST_656</t>
  </si>
  <si>
    <t>10.47</t>
  </si>
  <si>
    <t>CUST_657</t>
  </si>
  <si>
    <t>15.17</t>
  </si>
  <si>
    <t>CUST_658</t>
  </si>
  <si>
    <t>12.24</t>
  </si>
  <si>
    <t>CUST_659</t>
  </si>
  <si>
    <t>9.14</t>
  </si>
  <si>
    <t>CUST_660</t>
  </si>
  <si>
    <t>CUST_661</t>
  </si>
  <si>
    <t>CUST_662</t>
  </si>
  <si>
    <t>CUST_663</t>
  </si>
  <si>
    <t>7.62</t>
  </si>
  <si>
    <t>CUST_664</t>
  </si>
  <si>
    <t>CUST_665</t>
  </si>
  <si>
    <t>CUST_666</t>
  </si>
  <si>
    <t>8.86</t>
  </si>
  <si>
    <t>CUST_667</t>
  </si>
  <si>
    <t>CUST_668</t>
  </si>
  <si>
    <t>CUST_669</t>
  </si>
  <si>
    <t>CUST_670</t>
  </si>
  <si>
    <t>14.07</t>
  </si>
  <si>
    <t>CUST_671</t>
  </si>
  <si>
    <t>13.01</t>
  </si>
  <si>
    <t>CUST_672</t>
  </si>
  <si>
    <t>15.27</t>
  </si>
  <si>
    <t>CUST_673</t>
  </si>
  <si>
    <t>11.63</t>
  </si>
  <si>
    <t>CUST_674</t>
  </si>
  <si>
    <t>CUST_675</t>
  </si>
  <si>
    <t>CUST_676</t>
  </si>
  <si>
    <t>6.61</t>
  </si>
  <si>
    <t>CUST_677</t>
  </si>
  <si>
    <t>CUST_678</t>
  </si>
  <si>
    <t>18.57</t>
  </si>
  <si>
    <t>CUST_679</t>
  </si>
  <si>
    <t>15.05</t>
  </si>
  <si>
    <t>CUST_680</t>
  </si>
  <si>
    <t>10.42</t>
  </si>
  <si>
    <t>CUST_681</t>
  </si>
  <si>
    <t>7.11</t>
  </si>
  <si>
    <t>CUST_682</t>
  </si>
  <si>
    <t>17.9</t>
  </si>
  <si>
    <t>CUST_683</t>
  </si>
  <si>
    <t>11.33</t>
  </si>
  <si>
    <t>CUST_684</t>
  </si>
  <si>
    <t>13.04</t>
  </si>
  <si>
    <t>CUST_685</t>
  </si>
  <si>
    <t>CUST_686</t>
  </si>
  <si>
    <t>CUST_687</t>
  </si>
  <si>
    <t>12.79</t>
  </si>
  <si>
    <t>CUST_688</t>
  </si>
  <si>
    <t>15.47</t>
  </si>
  <si>
    <t>CUST_689</t>
  </si>
  <si>
    <t>6.62</t>
  </si>
  <si>
    <t>CUST_690</t>
  </si>
  <si>
    <t>16.79</t>
  </si>
  <si>
    <t>CUST_691</t>
  </si>
  <si>
    <t>15.33</t>
  </si>
  <si>
    <t>CUST_692</t>
  </si>
  <si>
    <t>CUST_693</t>
  </si>
  <si>
    <t>6.32</t>
  </si>
  <si>
    <t>CUST_694</t>
  </si>
  <si>
    <t>10.99</t>
  </si>
  <si>
    <t>CUST_695</t>
  </si>
  <si>
    <t>7.65</t>
  </si>
  <si>
    <t>CUST_696</t>
  </si>
  <si>
    <t>6.88</t>
  </si>
  <si>
    <t>CUST_697</t>
  </si>
  <si>
    <t>CUST_698</t>
  </si>
  <si>
    <t>17.12</t>
  </si>
  <si>
    <t>CUST_699</t>
  </si>
  <si>
    <t>CUST_700</t>
  </si>
  <si>
    <t>8.94</t>
  </si>
  <si>
    <t>CUST_701</t>
  </si>
  <si>
    <t>16.38</t>
  </si>
  <si>
    <t>CUST_702</t>
  </si>
  <si>
    <t>CUST_703</t>
  </si>
  <si>
    <t>12.1</t>
  </si>
  <si>
    <t>CUST_704</t>
  </si>
  <si>
    <t>CUST_705</t>
  </si>
  <si>
    <t>CUST_706</t>
  </si>
  <si>
    <t>CUST_707</t>
  </si>
  <si>
    <t>CUST_708</t>
  </si>
  <si>
    <t>CUST_709</t>
  </si>
  <si>
    <t>CUST_710</t>
  </si>
  <si>
    <t>CUST_711</t>
  </si>
  <si>
    <t>14.85</t>
  </si>
  <si>
    <t>CUST_712</t>
  </si>
  <si>
    <t>CUST_713</t>
  </si>
  <si>
    <t>CUST_714</t>
  </si>
  <si>
    <t>CUST_715</t>
  </si>
  <si>
    <t>CUST_716</t>
  </si>
  <si>
    <t>5.48</t>
  </si>
  <si>
    <t>CUST_717</t>
  </si>
  <si>
    <t>15.76</t>
  </si>
  <si>
    <t>CUST_718</t>
  </si>
  <si>
    <t>CUST_719</t>
  </si>
  <si>
    <t>9.3</t>
  </si>
  <si>
    <t>CUST_720</t>
  </si>
  <si>
    <t>CUST_721</t>
  </si>
  <si>
    <t>CUST_722</t>
  </si>
  <si>
    <t>16.45</t>
  </si>
  <si>
    <t>CUST_723</t>
  </si>
  <si>
    <t>CUST_724</t>
  </si>
  <si>
    <t>CUST_725</t>
  </si>
  <si>
    <t>CUST_726</t>
  </si>
  <si>
    <t>17.46</t>
  </si>
  <si>
    <t>CUST_727</t>
  </si>
  <si>
    <t>CUST_728</t>
  </si>
  <si>
    <t>15.69</t>
  </si>
  <si>
    <t>CUST_729</t>
  </si>
  <si>
    <t>CUST_730</t>
  </si>
  <si>
    <t>CUST_731</t>
  </si>
  <si>
    <t>CUST_732</t>
  </si>
  <si>
    <t>6.2</t>
  </si>
  <si>
    <t>CUST_733</t>
  </si>
  <si>
    <t>12.39</t>
  </si>
  <si>
    <t>CUST_734</t>
  </si>
  <si>
    <t>6.38</t>
  </si>
  <si>
    <t>CUST_735</t>
  </si>
  <si>
    <t>CUST_736</t>
  </si>
  <si>
    <t>CUST_737</t>
  </si>
  <si>
    <t>16.42</t>
  </si>
  <si>
    <t>CUST_738</t>
  </si>
  <si>
    <t>19.59</t>
  </si>
  <si>
    <t>CUST_739</t>
  </si>
  <si>
    <t>CUST_740</t>
  </si>
  <si>
    <t>CUST_741</t>
  </si>
  <si>
    <t>18.71</t>
  </si>
  <si>
    <t>CUST_742</t>
  </si>
  <si>
    <t>14.74</t>
  </si>
  <si>
    <t>CUST_743</t>
  </si>
  <si>
    <t>CUST_744</t>
  </si>
  <si>
    <t>13.33</t>
  </si>
  <si>
    <t>CUST_745</t>
  </si>
  <si>
    <t>CUST_746</t>
  </si>
  <si>
    <t>12.73</t>
  </si>
  <si>
    <t>CUST_747</t>
  </si>
  <si>
    <t>CUST_748</t>
  </si>
  <si>
    <t>CUST_749</t>
  </si>
  <si>
    <t>CUST_750</t>
  </si>
  <si>
    <t>CUST_751</t>
  </si>
  <si>
    <t>CUST_752</t>
  </si>
  <si>
    <t>CUST_753</t>
  </si>
  <si>
    <t>CUST_754</t>
  </si>
  <si>
    <t>12.77</t>
  </si>
  <si>
    <t>CUST_755</t>
  </si>
  <si>
    <t>CUST_756</t>
  </si>
  <si>
    <t>7.04</t>
  </si>
  <si>
    <t>CUST_757</t>
  </si>
  <si>
    <t>CUST_758</t>
  </si>
  <si>
    <t>CUST_759</t>
  </si>
  <si>
    <t>13.66</t>
  </si>
  <si>
    <t>CUST_760</t>
  </si>
  <si>
    <t>CUST_761</t>
  </si>
  <si>
    <t>18.68</t>
  </si>
  <si>
    <t>CUST_762</t>
  </si>
  <si>
    <t>4.21</t>
  </si>
  <si>
    <t>CUST_763</t>
  </si>
  <si>
    <t>CUST_764</t>
  </si>
  <si>
    <t>CUST_765</t>
  </si>
  <si>
    <t>CUST_766</t>
  </si>
  <si>
    <t>CUST_767</t>
  </si>
  <si>
    <t>CUST_768</t>
  </si>
  <si>
    <t>CUST_769</t>
  </si>
  <si>
    <t>10.59</t>
  </si>
  <si>
    <t>CUST_770</t>
  </si>
  <si>
    <t>CUST_771</t>
  </si>
  <si>
    <t>CUST_772</t>
  </si>
  <si>
    <t>CUST_773</t>
  </si>
  <si>
    <t>4.68</t>
  </si>
  <si>
    <t>CUST_774</t>
  </si>
  <si>
    <t>7.85</t>
  </si>
  <si>
    <t>CUST_775</t>
  </si>
  <si>
    <t>CUST_776</t>
  </si>
  <si>
    <t>CUST_777</t>
  </si>
  <si>
    <t>7.75</t>
  </si>
  <si>
    <t>CUST_778</t>
  </si>
  <si>
    <t>13.69</t>
  </si>
  <si>
    <t>CUST_779</t>
  </si>
  <si>
    <t>CUST_780</t>
  </si>
  <si>
    <t>13.12</t>
  </si>
  <si>
    <t>CUST_781</t>
  </si>
  <si>
    <t>10.32</t>
  </si>
  <si>
    <t>CUST_782</t>
  </si>
  <si>
    <t>13.89</t>
  </si>
  <si>
    <t>CUST_783</t>
  </si>
  <si>
    <t>CUST_784</t>
  </si>
  <si>
    <t>CUST_785</t>
  </si>
  <si>
    <t>16.48</t>
  </si>
  <si>
    <t>CUST_786</t>
  </si>
  <si>
    <t>7.09</t>
  </si>
  <si>
    <t>CUST_787</t>
  </si>
  <si>
    <t>CUST_788</t>
  </si>
  <si>
    <t>13.11</t>
  </si>
  <si>
    <t>CUST_789</t>
  </si>
  <si>
    <t>CUST_790</t>
  </si>
  <si>
    <t>CUST_791</t>
  </si>
  <si>
    <t>14.5</t>
  </si>
  <si>
    <t>CUST_792</t>
  </si>
  <si>
    <t>10.4</t>
  </si>
  <si>
    <t>CUST_793</t>
  </si>
  <si>
    <t>CUST_794</t>
  </si>
  <si>
    <t>13.29</t>
  </si>
  <si>
    <t>CUST_795</t>
  </si>
  <si>
    <t>10.27</t>
  </si>
  <si>
    <t>CUST_796</t>
  </si>
  <si>
    <t>4.23</t>
  </si>
  <si>
    <t>CUST_797</t>
  </si>
  <si>
    <t>CUST_798</t>
  </si>
  <si>
    <t>CUST_799</t>
  </si>
  <si>
    <t>16.56</t>
  </si>
  <si>
    <t>CUST_800</t>
  </si>
  <si>
    <t>CUST_801</t>
  </si>
  <si>
    <t>17.24</t>
  </si>
  <si>
    <t>CUST_802</t>
  </si>
  <si>
    <t>CUST_803</t>
  </si>
  <si>
    <t>CUST_804</t>
  </si>
  <si>
    <t>CUST_805</t>
  </si>
  <si>
    <t>CUST_806</t>
  </si>
  <si>
    <t>15.22</t>
  </si>
  <si>
    <t>CUST_807</t>
  </si>
  <si>
    <t>15.18</t>
  </si>
  <si>
    <t>CUST_808</t>
  </si>
  <si>
    <t>8.77</t>
  </si>
  <si>
    <t>CUST_809</t>
  </si>
  <si>
    <t>CUST_810</t>
  </si>
  <si>
    <t>CUST_811</t>
  </si>
  <si>
    <t>CUST_812</t>
  </si>
  <si>
    <t>CUST_813</t>
  </si>
  <si>
    <t>CUST_814</t>
  </si>
  <si>
    <t>CUST_815</t>
  </si>
  <si>
    <t>11.35</t>
  </si>
  <si>
    <t>CUST_816</t>
  </si>
  <si>
    <t>CUST_817</t>
  </si>
  <si>
    <t>18.85</t>
  </si>
  <si>
    <t>CUST_818</t>
  </si>
  <si>
    <t>15.82</t>
  </si>
  <si>
    <t>CUST_819</t>
  </si>
  <si>
    <t>CUST_820</t>
  </si>
  <si>
    <t>9.17</t>
  </si>
  <si>
    <t>CUST_821</t>
  </si>
  <si>
    <t>CUST_822</t>
  </si>
  <si>
    <t>CUST_823</t>
  </si>
  <si>
    <t>19.18</t>
  </si>
  <si>
    <t>CUST_824</t>
  </si>
  <si>
    <t>CUST_825</t>
  </si>
  <si>
    <t>8.8</t>
  </si>
  <si>
    <t>CUST_826</t>
  </si>
  <si>
    <t>CUST_827</t>
  </si>
  <si>
    <t>11.47</t>
  </si>
  <si>
    <t>CUST_828</t>
  </si>
  <si>
    <t>CUST_829</t>
  </si>
  <si>
    <t>CUST_830</t>
  </si>
  <si>
    <t>19.4</t>
  </si>
  <si>
    <t>CUST_831</t>
  </si>
  <si>
    <t>4.74</t>
  </si>
  <si>
    <t>CUST_832</t>
  </si>
  <si>
    <t>CUST_833</t>
  </si>
  <si>
    <t>CUST_834</t>
  </si>
  <si>
    <t>16.24</t>
  </si>
  <si>
    <t>CUST_835</t>
  </si>
  <si>
    <t>15.62</t>
  </si>
  <si>
    <t>CUST_836</t>
  </si>
  <si>
    <t>CUST_837</t>
  </si>
  <si>
    <t>CUST_838</t>
  </si>
  <si>
    <t>CUST_839</t>
  </si>
  <si>
    <t>12.9</t>
  </si>
  <si>
    <t>CUST_840</t>
  </si>
  <si>
    <t>CUST_841</t>
  </si>
  <si>
    <t>12.68</t>
  </si>
  <si>
    <t>CUST_842</t>
  </si>
  <si>
    <t>13.99</t>
  </si>
  <si>
    <t>CUST_843</t>
  </si>
  <si>
    <t>17.33</t>
  </si>
  <si>
    <t>CUST_844</t>
  </si>
  <si>
    <t>13.97</t>
  </si>
  <si>
    <t>CUST_845</t>
  </si>
  <si>
    <t>CUST_846</t>
  </si>
  <si>
    <t>CUST_847</t>
  </si>
  <si>
    <t>CUST_848</t>
  </si>
  <si>
    <t>CUST_849</t>
  </si>
  <si>
    <t>7.87</t>
  </si>
  <si>
    <t>CUST_850</t>
  </si>
  <si>
    <t>CUST_851</t>
  </si>
  <si>
    <t>6.3</t>
  </si>
  <si>
    <t>CUST_852</t>
  </si>
  <si>
    <t>4.76</t>
  </si>
  <si>
    <t>CUST_853</t>
  </si>
  <si>
    <t>CUST_854</t>
  </si>
  <si>
    <t>CUST_855</t>
  </si>
  <si>
    <t>CUST_856</t>
  </si>
  <si>
    <t>CUST_857</t>
  </si>
  <si>
    <t>CUST_858</t>
  </si>
  <si>
    <t>CUST_859</t>
  </si>
  <si>
    <t>13.56</t>
  </si>
  <si>
    <t>CUST_860</t>
  </si>
  <si>
    <t>CUST_861</t>
  </si>
  <si>
    <t>CUST_862</t>
  </si>
  <si>
    <t>15.19</t>
  </si>
  <si>
    <t>CUST_863</t>
  </si>
  <si>
    <t>CUST_864</t>
  </si>
  <si>
    <t>CUST_865</t>
  </si>
  <si>
    <t>CUST_866</t>
  </si>
  <si>
    <t>8.78</t>
  </si>
  <si>
    <t>CUST_867</t>
  </si>
  <si>
    <t>14.46</t>
  </si>
  <si>
    <t>CUST_868</t>
  </si>
  <si>
    <t>CUST_869</t>
  </si>
  <si>
    <t>CUST_870</t>
  </si>
  <si>
    <t>CUST_871</t>
  </si>
  <si>
    <t>CUST_872</t>
  </si>
  <si>
    <t>CUST_873</t>
  </si>
  <si>
    <t>CUST_874</t>
  </si>
  <si>
    <t>CUST_875</t>
  </si>
  <si>
    <t>CUST_876</t>
  </si>
  <si>
    <t>CUST_877</t>
  </si>
  <si>
    <t>CUST_878</t>
  </si>
  <si>
    <t>5.61</t>
  </si>
  <si>
    <t>CUST_879</t>
  </si>
  <si>
    <t>CUST_880</t>
  </si>
  <si>
    <t>CUST_881</t>
  </si>
  <si>
    <t>CUST_882</t>
  </si>
  <si>
    <t>8.06</t>
  </si>
  <si>
    <t>CUST_883</t>
  </si>
  <si>
    <t>CUST_884</t>
  </si>
  <si>
    <t>11.04</t>
  </si>
  <si>
    <t>CUST_885</t>
  </si>
  <si>
    <t>CUST_886</t>
  </si>
  <si>
    <t>16.49</t>
  </si>
  <si>
    <t>CUST_887</t>
  </si>
  <si>
    <t>CUST_888</t>
  </si>
  <si>
    <t>CUST_889</t>
  </si>
  <si>
    <t>11.21</t>
  </si>
  <si>
    <t>CUST_890</t>
  </si>
  <si>
    <t>CUST_891</t>
  </si>
  <si>
    <t>CUST_892</t>
  </si>
  <si>
    <t>CUST_893</t>
  </si>
  <si>
    <t>11.68</t>
  </si>
  <si>
    <t>CUST_894</t>
  </si>
  <si>
    <t>17.99</t>
  </si>
  <si>
    <t>CUST_895</t>
  </si>
  <si>
    <t>12.36</t>
  </si>
  <si>
    <t>CUST_896</t>
  </si>
  <si>
    <t>7.29</t>
  </si>
  <si>
    <t>CUST_897</t>
  </si>
  <si>
    <t>CUST_898</t>
  </si>
  <si>
    <t>CUST_899</t>
  </si>
  <si>
    <t>CUST_900</t>
  </si>
  <si>
    <t>CUST_901</t>
  </si>
  <si>
    <t>CUST_902</t>
  </si>
  <si>
    <t>18.46</t>
  </si>
  <si>
    <t>CUST_903</t>
  </si>
  <si>
    <t>16.89</t>
  </si>
  <si>
    <t>CUST_904</t>
  </si>
  <si>
    <t>CUST_905</t>
  </si>
  <si>
    <t>CUST_906</t>
  </si>
  <si>
    <t>5.35</t>
  </si>
  <si>
    <t>CUST_907</t>
  </si>
  <si>
    <t>10.43</t>
  </si>
  <si>
    <t>CUST_908</t>
  </si>
  <si>
    <t>CUST_909</t>
  </si>
  <si>
    <t>CUST_910</t>
  </si>
  <si>
    <t>CUST_911</t>
  </si>
  <si>
    <t>CUST_912</t>
  </si>
  <si>
    <t>13.6</t>
  </si>
  <si>
    <t>CUST_913</t>
  </si>
  <si>
    <t>CUST_914</t>
  </si>
  <si>
    <t>CUST_915</t>
  </si>
  <si>
    <t>CUST_916</t>
  </si>
  <si>
    <t>CUST_917</t>
  </si>
  <si>
    <t>CUST_918</t>
  </si>
  <si>
    <t>7.81</t>
  </si>
  <si>
    <t>CUST_919</t>
  </si>
  <si>
    <t>CUST_920</t>
  </si>
  <si>
    <t>13.68</t>
  </si>
  <si>
    <t>CUST_921</t>
  </si>
  <si>
    <t>CUST_922</t>
  </si>
  <si>
    <t>CUST_923</t>
  </si>
  <si>
    <t>13.22</t>
  </si>
  <si>
    <t>CUST_924</t>
  </si>
  <si>
    <t>8.05</t>
  </si>
  <si>
    <t>CUST_925</t>
  </si>
  <si>
    <t>CUST_926</t>
  </si>
  <si>
    <t>CUST_927</t>
  </si>
  <si>
    <t>CUST_928</t>
  </si>
  <si>
    <t>7.0</t>
  </si>
  <si>
    <t>CUST_929</t>
  </si>
  <si>
    <t>CUST_930</t>
  </si>
  <si>
    <t>CUST_931</t>
  </si>
  <si>
    <t>CUST_932</t>
  </si>
  <si>
    <t>19.51</t>
  </si>
  <si>
    <t>CUST_933</t>
  </si>
  <si>
    <t>CUST_934</t>
  </si>
  <si>
    <t>CUST_935</t>
  </si>
  <si>
    <t>15.29</t>
  </si>
  <si>
    <t>CUST_936</t>
  </si>
  <si>
    <t>CUST_937</t>
  </si>
  <si>
    <t>CUST_938</t>
  </si>
  <si>
    <t>5.41</t>
  </si>
  <si>
    <t>CUST_939</t>
  </si>
  <si>
    <t>CUST_940</t>
  </si>
  <si>
    <t>CUST_941</t>
  </si>
  <si>
    <t>9.68</t>
  </si>
  <si>
    <t>CUST_942</t>
  </si>
  <si>
    <t>CUST_943</t>
  </si>
  <si>
    <t>CUST_944</t>
  </si>
  <si>
    <t>CUST_945</t>
  </si>
  <si>
    <t>CUST_946</t>
  </si>
  <si>
    <t>17.2</t>
  </si>
  <si>
    <t>CUST_947</t>
  </si>
  <si>
    <t>12.84</t>
  </si>
  <si>
    <t>CUST_948</t>
  </si>
  <si>
    <t>9.05</t>
  </si>
  <si>
    <t>CUST_949</t>
  </si>
  <si>
    <t>CUST_950</t>
  </si>
  <si>
    <t>CUST_951</t>
  </si>
  <si>
    <t>CUST_952</t>
  </si>
  <si>
    <t>7.25</t>
  </si>
  <si>
    <t>CUST_953</t>
  </si>
  <si>
    <t>10.89</t>
  </si>
  <si>
    <t>CUST_954</t>
  </si>
  <si>
    <t>CUST_955</t>
  </si>
  <si>
    <t>CUST_956</t>
  </si>
  <si>
    <t>19.25</t>
  </si>
  <si>
    <t>CUST_957</t>
  </si>
  <si>
    <t>18.97</t>
  </si>
  <si>
    <t>CUST_958</t>
  </si>
  <si>
    <t>CUST_959</t>
  </si>
  <si>
    <t>CUST_960</t>
  </si>
  <si>
    <t>12.71</t>
  </si>
  <si>
    <t>CUST_961</t>
  </si>
  <si>
    <t>CUST_962</t>
  </si>
  <si>
    <t>CUST_963</t>
  </si>
  <si>
    <t>CUST_964</t>
  </si>
  <si>
    <t>10.7</t>
  </si>
  <si>
    <t>CUST_965</t>
  </si>
  <si>
    <t>11.02</t>
  </si>
  <si>
    <t>CUST_966</t>
  </si>
  <si>
    <t>19.55</t>
  </si>
  <si>
    <t>CUST_967</t>
  </si>
  <si>
    <t>CUST_968</t>
  </si>
  <si>
    <t>CUST_969</t>
  </si>
  <si>
    <t>CUST_970</t>
  </si>
  <si>
    <t>5.22</t>
  </si>
  <si>
    <t>CUST_971</t>
  </si>
  <si>
    <t>CUST_972</t>
  </si>
  <si>
    <t>5.92</t>
  </si>
  <si>
    <t>CUST_973</t>
  </si>
  <si>
    <t>CUST_974</t>
  </si>
  <si>
    <t>9.57</t>
  </si>
  <si>
    <t>CUST_975</t>
  </si>
  <si>
    <t>19.21</t>
  </si>
  <si>
    <t>CUST_976</t>
  </si>
  <si>
    <t>CUST_977</t>
  </si>
  <si>
    <t>16.54</t>
  </si>
  <si>
    <t>CUST_978</t>
  </si>
  <si>
    <t>10.34</t>
  </si>
  <si>
    <t>CUST_979</t>
  </si>
  <si>
    <t>10.53</t>
  </si>
  <si>
    <t>CUST_980</t>
  </si>
  <si>
    <t>CUST_981</t>
  </si>
  <si>
    <t>CUST_982</t>
  </si>
  <si>
    <t>CUST_983</t>
  </si>
  <si>
    <t>CUST_984</t>
  </si>
  <si>
    <t>15.83</t>
  </si>
  <si>
    <t>CUST_985</t>
  </si>
  <si>
    <t>CUST_986</t>
  </si>
  <si>
    <t>11.61</t>
  </si>
  <si>
    <t>CUST_987</t>
  </si>
  <si>
    <t>CUST_988</t>
  </si>
  <si>
    <t>CUST_989</t>
  </si>
  <si>
    <t>CUST_990</t>
  </si>
  <si>
    <t>13.0</t>
  </si>
  <si>
    <t>CUST_991</t>
  </si>
  <si>
    <t>CUST_992</t>
  </si>
  <si>
    <t>17.29</t>
  </si>
  <si>
    <t>CUST_993</t>
  </si>
  <si>
    <t>15.31</t>
  </si>
  <si>
    <t>CUST_994</t>
  </si>
  <si>
    <t>CUST_995</t>
  </si>
  <si>
    <t>14.84</t>
  </si>
  <si>
    <t>CUST_996</t>
  </si>
  <si>
    <t>CUST_997</t>
  </si>
  <si>
    <t>11.39</t>
  </si>
  <si>
    <t>CUST_998</t>
  </si>
  <si>
    <t>CUST_999</t>
  </si>
  <si>
    <t>CUST_1000</t>
  </si>
  <si>
    <t>17.37</t>
  </si>
  <si>
    <t>CUST_1001</t>
  </si>
  <si>
    <t>15.87</t>
  </si>
  <si>
    <t>CUST_1002</t>
  </si>
  <si>
    <t>CUST_1003</t>
  </si>
  <si>
    <t>11.58</t>
  </si>
  <si>
    <t>CUST_1004</t>
  </si>
  <si>
    <t>CUST_1005</t>
  </si>
  <si>
    <t>CUST_1006</t>
  </si>
  <si>
    <t>CUST_1007</t>
  </si>
  <si>
    <t>CUST_1008</t>
  </si>
  <si>
    <t>9.04</t>
  </si>
  <si>
    <t>CUST_1009</t>
  </si>
  <si>
    <t>5.3</t>
  </si>
  <si>
    <t>CUST_1010</t>
  </si>
  <si>
    <t>18.32</t>
  </si>
  <si>
    <t>CUST_1011</t>
  </si>
  <si>
    <t>CUST_1012</t>
  </si>
  <si>
    <t>4.9</t>
  </si>
  <si>
    <t>CUST_1013</t>
  </si>
  <si>
    <t>16.41</t>
  </si>
  <si>
    <t>CUST_1014</t>
  </si>
  <si>
    <t>8.2</t>
  </si>
  <si>
    <t>CUST_1015</t>
  </si>
  <si>
    <t>CUST_1016</t>
  </si>
  <si>
    <t>15.84</t>
  </si>
  <si>
    <t>CUST_1017</t>
  </si>
  <si>
    <t>CUST_1018</t>
  </si>
  <si>
    <t>CUST_1019</t>
  </si>
  <si>
    <t>CUST_1020</t>
  </si>
  <si>
    <t>CUST_1021</t>
  </si>
  <si>
    <t>4.98</t>
  </si>
  <si>
    <t>CUST_1022</t>
  </si>
  <si>
    <t>3.77</t>
  </si>
  <si>
    <t>CUST_1023</t>
  </si>
  <si>
    <t>CUST_1024</t>
  </si>
  <si>
    <t>CUST_1025</t>
  </si>
  <si>
    <t>CUST_1026</t>
  </si>
  <si>
    <t>7.3</t>
  </si>
  <si>
    <t>CUST_1027</t>
  </si>
  <si>
    <t>CUST_1028</t>
  </si>
  <si>
    <t>7.35</t>
  </si>
  <si>
    <t>CUST_1029</t>
  </si>
  <si>
    <t>5.13</t>
  </si>
  <si>
    <t>CUST_1030</t>
  </si>
  <si>
    <t>CUST_1031</t>
  </si>
  <si>
    <t>19.44</t>
  </si>
  <si>
    <t>CUST_1032</t>
  </si>
  <si>
    <t>CUST_1033</t>
  </si>
  <si>
    <t>CUST_1034</t>
  </si>
  <si>
    <t>17.8</t>
  </si>
  <si>
    <t>CUST_1035</t>
  </si>
  <si>
    <t>14.62</t>
  </si>
  <si>
    <t>CUST_1036</t>
  </si>
  <si>
    <t>CUST_1037</t>
  </si>
  <si>
    <t>13.38</t>
  </si>
  <si>
    <t>CUST_1038</t>
  </si>
  <si>
    <t>CUST_1039</t>
  </si>
  <si>
    <t>CUST_1040</t>
  </si>
  <si>
    <t>8.19</t>
  </si>
  <si>
    <t>CUST_1041</t>
  </si>
  <si>
    <t>CUST_1042</t>
  </si>
  <si>
    <t>18.06</t>
  </si>
  <si>
    <t>CUST_1043</t>
  </si>
  <si>
    <t>CUST_1044</t>
  </si>
  <si>
    <t>CUST_1045</t>
  </si>
  <si>
    <t>14.14</t>
  </si>
  <si>
    <t>CUST_1046</t>
  </si>
  <si>
    <t>9.43</t>
  </si>
  <si>
    <t>CUST_1047</t>
  </si>
  <si>
    <t>CUST_1048</t>
  </si>
  <si>
    <t>CUST_1049</t>
  </si>
  <si>
    <t>CUST_1050</t>
  </si>
  <si>
    <t>12.98</t>
  </si>
  <si>
    <t>CUST_1051</t>
  </si>
  <si>
    <t>CUST_1052</t>
  </si>
  <si>
    <t>CUST_1053</t>
  </si>
  <si>
    <t>CUST_1054</t>
  </si>
  <si>
    <t>CUST_1055</t>
  </si>
  <si>
    <t>14.42</t>
  </si>
  <si>
    <t>CUST_1056</t>
  </si>
  <si>
    <t>9.03</t>
  </si>
  <si>
    <t>CUST_1057</t>
  </si>
  <si>
    <t>14.94</t>
  </si>
  <si>
    <t>CUST_1058</t>
  </si>
  <si>
    <t>17.26</t>
  </si>
  <si>
    <t>CUST_1059</t>
  </si>
  <si>
    <t>12.43</t>
  </si>
  <si>
    <t>CUST_1060</t>
  </si>
  <si>
    <t>CUST_1061</t>
  </si>
  <si>
    <t>CUST_1062</t>
  </si>
  <si>
    <t>CUST_1063</t>
  </si>
  <si>
    <t>4.93</t>
  </si>
  <si>
    <t>CUST_1064</t>
  </si>
  <si>
    <t>CUST_1065</t>
  </si>
  <si>
    <t>10.98</t>
  </si>
  <si>
    <t>CUST_1066</t>
  </si>
  <si>
    <t>CUST_1067</t>
  </si>
  <si>
    <t>CUST_1068</t>
  </si>
  <si>
    <t>CUST_1069</t>
  </si>
  <si>
    <t>CUST_1070</t>
  </si>
  <si>
    <t>CUST_1071</t>
  </si>
  <si>
    <t>17.73</t>
  </si>
  <si>
    <t>CUST_1072</t>
  </si>
  <si>
    <t>19.01</t>
  </si>
  <si>
    <t>CUST_1073</t>
  </si>
  <si>
    <t>CUST_1074</t>
  </si>
  <si>
    <t>13.46</t>
  </si>
  <si>
    <t>CUST_1075</t>
  </si>
  <si>
    <t>5.83</t>
  </si>
  <si>
    <t>CUST_1076</t>
  </si>
  <si>
    <t>CUST_1077</t>
  </si>
  <si>
    <t>CUST_1078</t>
  </si>
  <si>
    <t>CUST_1079</t>
  </si>
  <si>
    <t>CUST_1080</t>
  </si>
  <si>
    <t>CUST_1081</t>
  </si>
  <si>
    <t>CUST_1082</t>
  </si>
  <si>
    <t>17.14</t>
  </si>
  <si>
    <t>CUST_1083</t>
  </si>
  <si>
    <t>CUST_1084</t>
  </si>
  <si>
    <t>CUST_1085</t>
  </si>
  <si>
    <t>12.23</t>
  </si>
  <si>
    <t>CUST_1086</t>
  </si>
  <si>
    <t>CUST_1087</t>
  </si>
  <si>
    <t>CUST_1088</t>
  </si>
  <si>
    <t>CUST_1089</t>
  </si>
  <si>
    <t>CUST_1090</t>
  </si>
  <si>
    <t>CUST_1091</t>
  </si>
  <si>
    <t>CUST_1092</t>
  </si>
  <si>
    <t>7.33</t>
  </si>
  <si>
    <t>CUST_1093</t>
  </si>
  <si>
    <t>CUST_1094</t>
  </si>
  <si>
    <t>CUST_1095</t>
  </si>
  <si>
    <t>CUST_1096</t>
  </si>
  <si>
    <t>CUST_1097</t>
  </si>
  <si>
    <t>CUST_1098</t>
  </si>
  <si>
    <t>CUST_1099</t>
  </si>
  <si>
    <t>CUST_1100</t>
  </si>
  <si>
    <t>CUST_1101</t>
  </si>
  <si>
    <t>CUST_1102</t>
  </si>
  <si>
    <t>CUST_1103</t>
  </si>
  <si>
    <t>CUST_1104</t>
  </si>
  <si>
    <t>17.55</t>
  </si>
  <si>
    <t>CUST_1105</t>
  </si>
  <si>
    <t>19.88</t>
  </si>
  <si>
    <t>CUST_1106</t>
  </si>
  <si>
    <t>19.46</t>
  </si>
  <si>
    <t>CUST_1107</t>
  </si>
  <si>
    <t>CUST_1108</t>
  </si>
  <si>
    <t>CUST_1109</t>
  </si>
  <si>
    <t>CUST_1110</t>
  </si>
  <si>
    <t>12.81</t>
  </si>
  <si>
    <t>CUST_1111</t>
  </si>
  <si>
    <t>10.33</t>
  </si>
  <si>
    <t>CUST_1112</t>
  </si>
  <si>
    <t>CUST_1113</t>
  </si>
  <si>
    <t>CUST_1114</t>
  </si>
  <si>
    <t>CUST_1115</t>
  </si>
  <si>
    <t>9.56</t>
  </si>
  <si>
    <t>CUST_1116</t>
  </si>
  <si>
    <t>CUST_1117</t>
  </si>
  <si>
    <t>CUST_1118</t>
  </si>
  <si>
    <t>9.84</t>
  </si>
  <si>
    <t>CUST_1119</t>
  </si>
  <si>
    <t>11.7</t>
  </si>
  <si>
    <t>CUST_1120</t>
  </si>
  <si>
    <t>CUST_1121</t>
  </si>
  <si>
    <t>CUST_1122</t>
  </si>
  <si>
    <t>CUST_1123</t>
  </si>
  <si>
    <t>CUST_1124</t>
  </si>
  <si>
    <t>CUST_1125</t>
  </si>
  <si>
    <t>6.91</t>
  </si>
  <si>
    <t>CUST_1126</t>
  </si>
  <si>
    <t>CUST_1127</t>
  </si>
  <si>
    <t>19.31</t>
  </si>
  <si>
    <t>CUST_1128</t>
  </si>
  <si>
    <t>8.27</t>
  </si>
  <si>
    <t>CUST_1129</t>
  </si>
  <si>
    <t>CUST_1130</t>
  </si>
  <si>
    <t>CUST_1131</t>
  </si>
  <si>
    <t>CUST_1132</t>
  </si>
  <si>
    <t>CUST_1133</t>
  </si>
  <si>
    <t>6.11</t>
  </si>
  <si>
    <t>CUST_1134</t>
  </si>
  <si>
    <t>CUST_1135</t>
  </si>
  <si>
    <t>4.96</t>
  </si>
  <si>
    <t>CUST_1136</t>
  </si>
  <si>
    <t>CUST_1137</t>
  </si>
  <si>
    <t>CUST_1138</t>
  </si>
  <si>
    <t>CUST_1139</t>
  </si>
  <si>
    <t>8.99</t>
  </si>
  <si>
    <t>CUST_1140</t>
  </si>
  <si>
    <t>10.39</t>
  </si>
  <si>
    <t>CUST_1141</t>
  </si>
  <si>
    <t>CUST_1142</t>
  </si>
  <si>
    <t>CUST_1143</t>
  </si>
  <si>
    <t>17.96</t>
  </si>
  <si>
    <t>CUST_1144</t>
  </si>
  <si>
    <t>13.16</t>
  </si>
  <si>
    <t>CUST_1145</t>
  </si>
  <si>
    <t>8.25</t>
  </si>
  <si>
    <t>CUST_1146</t>
  </si>
  <si>
    <t>CUST_1147</t>
  </si>
  <si>
    <t>16.99</t>
  </si>
  <si>
    <t>CUST_1148</t>
  </si>
  <si>
    <t>CUST_1149</t>
  </si>
  <si>
    <t>CUST_1150</t>
  </si>
  <si>
    <t>CUST_1151</t>
  </si>
  <si>
    <t>CUST_1152</t>
  </si>
  <si>
    <t>CUST_1153</t>
  </si>
  <si>
    <t>CUST_1154</t>
  </si>
  <si>
    <t>CUST_1155</t>
  </si>
  <si>
    <t>CUST_1156</t>
  </si>
  <si>
    <t>CUST_1157</t>
  </si>
  <si>
    <t>CUST_1158</t>
  </si>
  <si>
    <t>CUST_1159</t>
  </si>
  <si>
    <t>5.11</t>
  </si>
  <si>
    <t>CUST_1160</t>
  </si>
  <si>
    <t>CUST_1161</t>
  </si>
  <si>
    <t>12.29</t>
  </si>
  <si>
    <t>CUST_1162</t>
  </si>
  <si>
    <t>CUST_1163</t>
  </si>
  <si>
    <t>9.73</t>
  </si>
  <si>
    <t>CUST_1164</t>
  </si>
  <si>
    <t>16.19</t>
  </si>
  <si>
    <t>CUST_1165</t>
  </si>
  <si>
    <t>CUST_1166</t>
  </si>
  <si>
    <t>10.92</t>
  </si>
  <si>
    <t>CUST_1167</t>
  </si>
  <si>
    <t>CUST_1168</t>
  </si>
  <si>
    <t>12.62</t>
  </si>
  <si>
    <t>CUST_1169</t>
  </si>
  <si>
    <t>6.09</t>
  </si>
  <si>
    <t>CUST_1170</t>
  </si>
  <si>
    <t>CUST_1171</t>
  </si>
  <si>
    <t>CUST_1172</t>
  </si>
  <si>
    <t>9.65</t>
  </si>
  <si>
    <t>CUST_1173</t>
  </si>
  <si>
    <t>6.08</t>
  </si>
  <si>
    <t>CUST_1174</t>
  </si>
  <si>
    <t>CUST_1175</t>
  </si>
  <si>
    <t>CUST_1176</t>
  </si>
  <si>
    <t>7.28</t>
  </si>
  <si>
    <t>CUST_1177</t>
  </si>
  <si>
    <t>CUST_1178</t>
  </si>
  <si>
    <t>CUST_1179</t>
  </si>
  <si>
    <t>16.57</t>
  </si>
  <si>
    <t>CUST_1180</t>
  </si>
  <si>
    <t>16.06</t>
  </si>
  <si>
    <t>CUST_1181</t>
  </si>
  <si>
    <t>CUST_1182</t>
  </si>
  <si>
    <t>CUST_1183</t>
  </si>
  <si>
    <t>CUST_1184</t>
  </si>
  <si>
    <t>CUST_1185</t>
  </si>
  <si>
    <t>CUST_1186</t>
  </si>
  <si>
    <t>19.83</t>
  </si>
  <si>
    <t>CUST_1187</t>
  </si>
  <si>
    <t>6.8</t>
  </si>
  <si>
    <t>CUST_1188</t>
  </si>
  <si>
    <t>CUST_1189</t>
  </si>
  <si>
    <t>CUST_1190</t>
  </si>
  <si>
    <t>CUST_1191</t>
  </si>
  <si>
    <t>6.85</t>
  </si>
  <si>
    <t>CUST_1192</t>
  </si>
  <si>
    <t>CUST_1193</t>
  </si>
  <si>
    <t>CUST_1194</t>
  </si>
  <si>
    <t>14.96</t>
  </si>
  <si>
    <t>CUST_1195</t>
  </si>
  <si>
    <t>CUST_1196</t>
  </si>
  <si>
    <t>16.2</t>
  </si>
  <si>
    <t>CUST_1197</t>
  </si>
  <si>
    <t>11.38</t>
  </si>
  <si>
    <t>CUST_1198</t>
  </si>
  <si>
    <t>CUST_1199</t>
  </si>
  <si>
    <t>CUST_1200</t>
  </si>
  <si>
    <t>15.74</t>
  </si>
  <si>
    <t>CUST_1201</t>
  </si>
  <si>
    <t>17.04</t>
  </si>
  <si>
    <t>CUST_1202</t>
  </si>
  <si>
    <t>CUST_1203</t>
  </si>
  <si>
    <t>CUST_1204</t>
  </si>
  <si>
    <t>CUST_1205</t>
  </si>
  <si>
    <t>15.98</t>
  </si>
  <si>
    <t>CUST_1206</t>
  </si>
  <si>
    <t>CUST_1207</t>
  </si>
  <si>
    <t>6.79</t>
  </si>
  <si>
    <t>CUST_1208</t>
  </si>
  <si>
    <t>16.87</t>
  </si>
  <si>
    <t>CUST_1209</t>
  </si>
  <si>
    <t>9.16</t>
  </si>
  <si>
    <t>CUST_1210</t>
  </si>
  <si>
    <t>12.64</t>
  </si>
  <si>
    <t>CUST_1211</t>
  </si>
  <si>
    <t>CUST_1212</t>
  </si>
  <si>
    <t>CUST_1213</t>
  </si>
  <si>
    <t>10.84</t>
  </si>
  <si>
    <t>CUST_1214</t>
  </si>
  <si>
    <t>CUST_1215</t>
  </si>
  <si>
    <t>CUST_1216</t>
  </si>
  <si>
    <t>CUST_1217</t>
  </si>
  <si>
    <t>CUST_1218</t>
  </si>
  <si>
    <t>CUST_1219</t>
  </si>
  <si>
    <t>4.0</t>
  </si>
  <si>
    <t>CUST_1220</t>
  </si>
  <si>
    <t>CUST_1221</t>
  </si>
  <si>
    <t>17.76</t>
  </si>
  <si>
    <t>CUST_1222</t>
  </si>
  <si>
    <t>CUST_1223</t>
  </si>
  <si>
    <t>CUST_1224</t>
  </si>
  <si>
    <t>CUST_1225</t>
  </si>
  <si>
    <t>CUST_1226</t>
  </si>
  <si>
    <t>CUST_1227</t>
  </si>
  <si>
    <t>9.91</t>
  </si>
  <si>
    <t>CUST_1228</t>
  </si>
  <si>
    <t>6.34</t>
  </si>
  <si>
    <t>CUST_1229</t>
  </si>
  <si>
    <t>CUST_1230</t>
  </si>
  <si>
    <t>18.69</t>
  </si>
  <si>
    <t>CUST_1231</t>
  </si>
  <si>
    <t>5.09</t>
  </si>
  <si>
    <t>CUST_1232</t>
  </si>
  <si>
    <t>18.47</t>
  </si>
  <si>
    <t>CUST_1233</t>
  </si>
  <si>
    <t>10.8</t>
  </si>
  <si>
    <t>CUST_1234</t>
  </si>
  <si>
    <t>12.28</t>
  </si>
  <si>
    <t>CUST_1235</t>
  </si>
  <si>
    <t>CUST_1236</t>
  </si>
  <si>
    <t>CUST_1237</t>
  </si>
  <si>
    <t>CUST_1238</t>
  </si>
  <si>
    <t>CUST_1239</t>
  </si>
  <si>
    <t>CUST_1240</t>
  </si>
  <si>
    <t>CUST_1241</t>
  </si>
  <si>
    <t>18.63</t>
  </si>
  <si>
    <t>CUST_1242</t>
  </si>
  <si>
    <t>10.48</t>
  </si>
  <si>
    <t>CUST_1243</t>
  </si>
  <si>
    <t>CUST_1244</t>
  </si>
  <si>
    <t>CUST_1245</t>
  </si>
  <si>
    <t>CUST_1246</t>
  </si>
  <si>
    <t>5.08</t>
  </si>
  <si>
    <t>CUST_1247</t>
  </si>
  <si>
    <t>CUST_1248</t>
  </si>
  <si>
    <t>CUST_1249</t>
  </si>
  <si>
    <t>CUST_1250</t>
  </si>
  <si>
    <t>CUST_1251</t>
  </si>
  <si>
    <t>19.0</t>
  </si>
  <si>
    <t>CUST_1252</t>
  </si>
  <si>
    <t>CUST_1253</t>
  </si>
  <si>
    <t>10.94</t>
  </si>
  <si>
    <t>CUST_1254</t>
  </si>
  <si>
    <t>CUST_1255</t>
  </si>
  <si>
    <t>CUST_1256</t>
  </si>
  <si>
    <t>CUST_1257</t>
  </si>
  <si>
    <t>19.63</t>
  </si>
  <si>
    <t>CUST_1258</t>
  </si>
  <si>
    <t>CUST_1259</t>
  </si>
  <si>
    <t>CUST_1260</t>
  </si>
  <si>
    <t>CUST_1261</t>
  </si>
  <si>
    <t>CUST_1262</t>
  </si>
  <si>
    <t>12.86</t>
  </si>
  <si>
    <t>CUST_1263</t>
  </si>
  <si>
    <t>CUST_1264</t>
  </si>
  <si>
    <t>11.27</t>
  </si>
  <si>
    <t>CUST_1265</t>
  </si>
  <si>
    <t>CUST_1266</t>
  </si>
  <si>
    <t>16.35</t>
  </si>
  <si>
    <t>CUST_1267</t>
  </si>
  <si>
    <t>CUST_1268</t>
  </si>
  <si>
    <t>7.24</t>
  </si>
  <si>
    <t>CUST_1269</t>
  </si>
  <si>
    <t>CUST_1270</t>
  </si>
  <si>
    <t>CUST_1271</t>
  </si>
  <si>
    <t>CUST_1272</t>
  </si>
  <si>
    <t>CUST_1273</t>
  </si>
  <si>
    <t>CUST_1274</t>
  </si>
  <si>
    <t>CUST_1275</t>
  </si>
  <si>
    <t>CUST_1276</t>
  </si>
  <si>
    <t>CUST_1277</t>
  </si>
  <si>
    <t>CUST_1278</t>
  </si>
  <si>
    <t>CUST_1279</t>
  </si>
  <si>
    <t>CUST_1280</t>
  </si>
  <si>
    <t>6.37</t>
  </si>
  <si>
    <t>CUST_1281</t>
  </si>
  <si>
    <t>CUST_1282</t>
  </si>
  <si>
    <t>CUST_1283</t>
  </si>
  <si>
    <t>4.63</t>
  </si>
  <si>
    <t>CUST_1284</t>
  </si>
  <si>
    <t>CUST_1285</t>
  </si>
  <si>
    <t>5.62</t>
  </si>
  <si>
    <t>CUST_1286</t>
  </si>
  <si>
    <t>CUST_1287</t>
  </si>
  <si>
    <t>CUST_1288</t>
  </si>
  <si>
    <t>15.32</t>
  </si>
  <si>
    <t>CUST_1289</t>
  </si>
  <si>
    <t>10.68</t>
  </si>
  <si>
    <t>CUST_1290</t>
  </si>
  <si>
    <t>CUST_1291</t>
  </si>
  <si>
    <t>CUST_1292</t>
  </si>
  <si>
    <t>CUST_1293</t>
  </si>
  <si>
    <t>12.26</t>
  </si>
  <si>
    <t>CUST_1294</t>
  </si>
  <si>
    <t>CUST_1295</t>
  </si>
  <si>
    <t>CUST_1296</t>
  </si>
  <si>
    <t>CUST_1297</t>
  </si>
  <si>
    <t>16.5</t>
  </si>
  <si>
    <t>CUST_1298</t>
  </si>
  <si>
    <t>CUST_1299</t>
  </si>
  <si>
    <t>6.57</t>
  </si>
  <si>
    <t>CUST_1300</t>
  </si>
  <si>
    <t>CUST_1301</t>
  </si>
  <si>
    <t>9.0</t>
  </si>
  <si>
    <t>CUST_1302</t>
  </si>
  <si>
    <t>CUST_1303</t>
  </si>
  <si>
    <t>CUST_1304</t>
  </si>
  <si>
    <t>CUST_1305</t>
  </si>
  <si>
    <t>CUST_1306</t>
  </si>
  <si>
    <t>6.72</t>
  </si>
  <si>
    <t>CUST_1307</t>
  </si>
  <si>
    <t>CUST_1308</t>
  </si>
  <si>
    <t>CUST_1309</t>
  </si>
  <si>
    <t>5.96</t>
  </si>
  <si>
    <t>CUST_1310</t>
  </si>
  <si>
    <t>13.24</t>
  </si>
  <si>
    <t>CUST_1311</t>
  </si>
  <si>
    <t>CUST_1312</t>
  </si>
  <si>
    <t>CUST_1313</t>
  </si>
  <si>
    <t>CUST_1314</t>
  </si>
  <si>
    <t>CUST_1315</t>
  </si>
  <si>
    <t>CUST_1316</t>
  </si>
  <si>
    <t>CUST_1317</t>
  </si>
  <si>
    <t>CUST_1318</t>
  </si>
  <si>
    <t>CUST_1319</t>
  </si>
  <si>
    <t>CUST_1320</t>
  </si>
  <si>
    <t>4.81</t>
  </si>
  <si>
    <t>CUST_1321</t>
  </si>
  <si>
    <t>10.58</t>
  </si>
  <si>
    <t>CUST_1322</t>
  </si>
  <si>
    <t>9.28</t>
  </si>
  <si>
    <t>CUST_1323</t>
  </si>
  <si>
    <t>7.76</t>
  </si>
  <si>
    <t>CUST_1324</t>
  </si>
  <si>
    <t>11.43</t>
  </si>
  <si>
    <t>CUST_1325</t>
  </si>
  <si>
    <t>CUST_1326</t>
  </si>
  <si>
    <t>CUST_1327</t>
  </si>
  <si>
    <t>CUST_1328</t>
  </si>
  <si>
    <t>18.38</t>
  </si>
  <si>
    <t>CUST_1329</t>
  </si>
  <si>
    <t>CUST_1330</t>
  </si>
  <si>
    <t>CUST_1331</t>
  </si>
  <si>
    <t>12.05</t>
  </si>
  <si>
    <t>CUST_1332</t>
  </si>
  <si>
    <t>CUST_1333</t>
  </si>
  <si>
    <t>CUST_1334</t>
  </si>
  <si>
    <t>6.15</t>
  </si>
  <si>
    <t>CUST_1335</t>
  </si>
  <si>
    <t>CUST_1336</t>
  </si>
  <si>
    <t>6.12</t>
  </si>
  <si>
    <t>CUST_1337</t>
  </si>
  <si>
    <t>CUST_1338</t>
  </si>
  <si>
    <t>CUST_1339</t>
  </si>
  <si>
    <t>CUST_1340</t>
  </si>
  <si>
    <t>CUST_1341</t>
  </si>
  <si>
    <t>7.19</t>
  </si>
  <si>
    <t>CUST_1342</t>
  </si>
  <si>
    <t>CUST_1343</t>
  </si>
  <si>
    <t>CUST_1344</t>
  </si>
  <si>
    <t>18.27</t>
  </si>
  <si>
    <t>CUST_1345</t>
  </si>
  <si>
    <t>CUST_1346</t>
  </si>
  <si>
    <t>4.05</t>
  </si>
  <si>
    <t>CUST_1347</t>
  </si>
  <si>
    <t>CUST_1348</t>
  </si>
  <si>
    <t>10.45</t>
  </si>
  <si>
    <t>CUST_1349</t>
  </si>
  <si>
    <t>12.17</t>
  </si>
  <si>
    <t>CUST_1350</t>
  </si>
  <si>
    <t>CUST_1351</t>
  </si>
  <si>
    <t>CUST_1352</t>
  </si>
  <si>
    <t>CUST_1353</t>
  </si>
  <si>
    <t>CUST_1354</t>
  </si>
  <si>
    <t>10.78</t>
  </si>
  <si>
    <t>CUST_1355</t>
  </si>
  <si>
    <t>CUST_1356</t>
  </si>
  <si>
    <t>CUST_1357</t>
  </si>
  <si>
    <t>CUST_1358</t>
  </si>
  <si>
    <t>14.61</t>
  </si>
  <si>
    <t>CUST_1359</t>
  </si>
  <si>
    <t>CUST_1360</t>
  </si>
  <si>
    <t>7.56</t>
  </si>
  <si>
    <t>CUST_1361</t>
  </si>
  <si>
    <t>18.62</t>
  </si>
  <si>
    <t>CUST_1362</t>
  </si>
  <si>
    <t>CUST_1363</t>
  </si>
  <si>
    <t>6.29</t>
  </si>
  <si>
    <t>CUST_1364</t>
  </si>
  <si>
    <t>CUST_1365</t>
  </si>
  <si>
    <t>CUST_1366</t>
  </si>
  <si>
    <t>CUST_1367</t>
  </si>
  <si>
    <t>CUST_1368</t>
  </si>
  <si>
    <t>12.41</t>
  </si>
  <si>
    <t>CUST_1369</t>
  </si>
  <si>
    <t>CUST_1370</t>
  </si>
  <si>
    <t>CUST_1371</t>
  </si>
  <si>
    <t>10.6</t>
  </si>
  <si>
    <t>CUST_1372</t>
  </si>
  <si>
    <t>CUST_1373</t>
  </si>
  <si>
    <t>CUST_1374</t>
  </si>
  <si>
    <t>CUST_1375</t>
  </si>
  <si>
    <t>CUST_1376</t>
  </si>
  <si>
    <t>17.88</t>
  </si>
  <si>
    <t>CUST_1377</t>
  </si>
  <si>
    <t>CUST_1378</t>
  </si>
  <si>
    <t>13.43</t>
  </si>
  <si>
    <t>CUST_1379</t>
  </si>
  <si>
    <t>13.1</t>
  </si>
  <si>
    <t>CUST_1380</t>
  </si>
  <si>
    <t>CUST_1381</t>
  </si>
  <si>
    <t>CUST_1382</t>
  </si>
  <si>
    <t>CUST_1383</t>
  </si>
  <si>
    <t>11.05</t>
  </si>
  <si>
    <t>CUST_1384</t>
  </si>
  <si>
    <t>CUST_1385</t>
  </si>
  <si>
    <t>CUST_1386</t>
  </si>
  <si>
    <t>CUST_1387</t>
  </si>
  <si>
    <t>CUST_1388</t>
  </si>
  <si>
    <t>11.31</t>
  </si>
  <si>
    <t>CUST_1389</t>
  </si>
  <si>
    <t>CUST_1390</t>
  </si>
  <si>
    <t>4.94</t>
  </si>
  <si>
    <t>CUST_1391</t>
  </si>
  <si>
    <t>CUST_1392</t>
  </si>
  <si>
    <t>CUST_1393</t>
  </si>
  <si>
    <t>CUST_1394</t>
  </si>
  <si>
    <t>CUST_1395</t>
  </si>
  <si>
    <t>CUST_1396</t>
  </si>
  <si>
    <t>CUST_1397</t>
  </si>
  <si>
    <t>8.84</t>
  </si>
  <si>
    <t>CUST_1398</t>
  </si>
  <si>
    <t>5.58</t>
  </si>
  <si>
    <t>CUST_1399</t>
  </si>
  <si>
    <t>17.91</t>
  </si>
  <si>
    <t>CUST_1400</t>
  </si>
  <si>
    <t>CUST_1401</t>
  </si>
  <si>
    <t>CUST_1402</t>
  </si>
  <si>
    <t>8.6</t>
  </si>
  <si>
    <t>CUST_1403</t>
  </si>
  <si>
    <t>CUST_1404</t>
  </si>
  <si>
    <t>7.79</t>
  </si>
  <si>
    <t>CUST_1405</t>
  </si>
  <si>
    <t>9.82</t>
  </si>
  <si>
    <t>CUST_1406</t>
  </si>
  <si>
    <t>CUST_1407</t>
  </si>
  <si>
    <t>CUST_1408</t>
  </si>
  <si>
    <t>CUST_1409</t>
  </si>
  <si>
    <t>CUST_1410</t>
  </si>
  <si>
    <t>5.7</t>
  </si>
  <si>
    <t>CUST_1411</t>
  </si>
  <si>
    <t>CUST_1412</t>
  </si>
  <si>
    <t>CUST_1413</t>
  </si>
  <si>
    <t>9.48</t>
  </si>
  <si>
    <t>CUST_1414</t>
  </si>
  <si>
    <t>CUST_1415</t>
  </si>
  <si>
    <t>CUST_1416</t>
  </si>
  <si>
    <t>8.57</t>
  </si>
  <si>
    <t>CUST_1417</t>
  </si>
  <si>
    <t>16.03</t>
  </si>
  <si>
    <t>CUST_1418</t>
  </si>
  <si>
    <t>CUST_1419</t>
  </si>
  <si>
    <t>CUST_1420</t>
  </si>
  <si>
    <t>11.0</t>
  </si>
  <si>
    <t>CUST_1421</t>
  </si>
  <si>
    <t>19.53</t>
  </si>
  <si>
    <t>CUST_1422</t>
  </si>
  <si>
    <t>CUST_1423</t>
  </si>
  <si>
    <t>CUST_1424</t>
  </si>
  <si>
    <t>CUST_1425</t>
  </si>
  <si>
    <t>5.78</t>
  </si>
  <si>
    <t>CUST_1426</t>
  </si>
  <si>
    <t>CUST_1427</t>
  </si>
  <si>
    <t>9.59</t>
  </si>
  <si>
    <t>CUST_1428</t>
  </si>
  <si>
    <t>CUST_1429</t>
  </si>
  <si>
    <t>16.3</t>
  </si>
  <si>
    <t>CUST_1430</t>
  </si>
  <si>
    <t>CUST_1431</t>
  </si>
  <si>
    <t>CUST_1432</t>
  </si>
  <si>
    <t>CUST_1433</t>
  </si>
  <si>
    <t>CUST_1434</t>
  </si>
  <si>
    <t>CUST_1435</t>
  </si>
  <si>
    <t>CUST_1436</t>
  </si>
  <si>
    <t>6.7</t>
  </si>
  <si>
    <t>CUST_1437</t>
  </si>
  <si>
    <t>CUST_1438</t>
  </si>
  <si>
    <t>CUST_1439</t>
  </si>
  <si>
    <t>CUST_1440</t>
  </si>
  <si>
    <t>CUST_1441</t>
  </si>
  <si>
    <t>CUST_1442</t>
  </si>
  <si>
    <t>CUST_1443</t>
  </si>
  <si>
    <t>CUST_1444</t>
  </si>
  <si>
    <t>CUST_1445</t>
  </si>
  <si>
    <t>17.17</t>
  </si>
  <si>
    <t>CUST_1446</t>
  </si>
  <si>
    <t>CUST_1447</t>
  </si>
  <si>
    <t>CUST_1448</t>
  </si>
  <si>
    <t>CUST_1449</t>
  </si>
  <si>
    <t>17.02</t>
  </si>
  <si>
    <t>CUST_1450</t>
  </si>
  <si>
    <t>CUST_1451</t>
  </si>
  <si>
    <t>CUST_1452</t>
  </si>
  <si>
    <t>16.33</t>
  </si>
  <si>
    <t>CUST_1453</t>
  </si>
  <si>
    <t>5.99</t>
  </si>
  <si>
    <t>CUST_1454</t>
  </si>
  <si>
    <t>10.73</t>
  </si>
  <si>
    <t>CUST_1455</t>
  </si>
  <si>
    <t>CUST_1456</t>
  </si>
  <si>
    <t>CUST_1457</t>
  </si>
  <si>
    <t>CUST_1458</t>
  </si>
  <si>
    <t>CUST_1459</t>
  </si>
  <si>
    <t>CUST_1460</t>
  </si>
  <si>
    <t>CUST_1461</t>
  </si>
  <si>
    <t>CUST_1462</t>
  </si>
  <si>
    <t>CUST_1463</t>
  </si>
  <si>
    <t>CUST_1464</t>
  </si>
  <si>
    <t>CUST_1465</t>
  </si>
  <si>
    <t>4.17</t>
  </si>
  <si>
    <t>CUST_1466</t>
  </si>
  <si>
    <t>CUST_1467</t>
  </si>
  <si>
    <t>15.26</t>
  </si>
  <si>
    <t>CUST_1468</t>
  </si>
  <si>
    <t>CUST_1469</t>
  </si>
  <si>
    <t>CUST_1470</t>
  </si>
  <si>
    <t>19.1</t>
  </si>
  <si>
    <t>CUST_1471</t>
  </si>
  <si>
    <t>13.61</t>
  </si>
  <si>
    <t>CUST_1472</t>
  </si>
  <si>
    <t>CUST_1473</t>
  </si>
  <si>
    <t>18.25</t>
  </si>
  <si>
    <t>CUST_1474</t>
  </si>
  <si>
    <t>CUST_1475</t>
  </si>
  <si>
    <t>CUST_1476</t>
  </si>
  <si>
    <t>CUST_1477</t>
  </si>
  <si>
    <t>CUST_1478</t>
  </si>
  <si>
    <t>CUST_1479</t>
  </si>
  <si>
    <t>CUST_1480</t>
  </si>
  <si>
    <t>15.6</t>
  </si>
  <si>
    <t>CUST_1481</t>
  </si>
  <si>
    <t>11.06</t>
  </si>
  <si>
    <t>CUST_1482</t>
  </si>
  <si>
    <t>7.06</t>
  </si>
  <si>
    <t>CUST_1483</t>
  </si>
  <si>
    <t>CUST_1484</t>
  </si>
  <si>
    <t>CUST_1485</t>
  </si>
  <si>
    <t>CUST_1486</t>
  </si>
  <si>
    <t>CUST_1487</t>
  </si>
  <si>
    <t>CUST_1488</t>
  </si>
  <si>
    <t>CUST_1489</t>
  </si>
  <si>
    <t>CUST_1490</t>
  </si>
  <si>
    <t>CUST_1491</t>
  </si>
  <si>
    <t>CUST_1492</t>
  </si>
  <si>
    <t>CUST_1493</t>
  </si>
  <si>
    <t>CUST_1494</t>
  </si>
  <si>
    <t>CUST_1495</t>
  </si>
  <si>
    <t>4.72</t>
  </si>
  <si>
    <t>CUST_1496</t>
  </si>
  <si>
    <t>CUST_1497</t>
  </si>
  <si>
    <t>CUST_1498</t>
  </si>
  <si>
    <t>CUST_1499</t>
  </si>
  <si>
    <t>CUST_1500</t>
  </si>
  <si>
    <t>CUST_1501</t>
  </si>
  <si>
    <t>11.23</t>
  </si>
  <si>
    <t>CUST_1502</t>
  </si>
  <si>
    <t>CUST_1503</t>
  </si>
  <si>
    <t>13.17</t>
  </si>
  <si>
    <t>CUST_1504</t>
  </si>
  <si>
    <t>9.94</t>
  </si>
  <si>
    <t>CUST_1505</t>
  </si>
  <si>
    <t>CUST_1506</t>
  </si>
  <si>
    <t>13.75</t>
  </si>
  <si>
    <t>CUST_1507</t>
  </si>
  <si>
    <t>CUST_1508</t>
  </si>
  <si>
    <t>8.87</t>
  </si>
  <si>
    <t>CUST_1509</t>
  </si>
  <si>
    <t>6.74</t>
  </si>
  <si>
    <t>CUST_1510</t>
  </si>
  <si>
    <t>CUST_1511</t>
  </si>
  <si>
    <t>CUST_1512</t>
  </si>
  <si>
    <t>CUST_1513</t>
  </si>
  <si>
    <t>CUST_1514</t>
  </si>
  <si>
    <t>CUST_1515</t>
  </si>
  <si>
    <t>CUST_1516</t>
  </si>
  <si>
    <t>CUST_1517</t>
  </si>
  <si>
    <t>CUST_1518</t>
  </si>
  <si>
    <t>CUST_1519</t>
  </si>
  <si>
    <t>CUST_1520</t>
  </si>
  <si>
    <t>CUST_1521</t>
  </si>
  <si>
    <t>CUST_1522</t>
  </si>
  <si>
    <t>CUST_1523</t>
  </si>
  <si>
    <t>CUST_1524</t>
  </si>
  <si>
    <t>CUST_1525</t>
  </si>
  <si>
    <t>CUST_1526</t>
  </si>
  <si>
    <t>CUST_1527</t>
  </si>
  <si>
    <t>CUST_1528</t>
  </si>
  <si>
    <t>CUST_1529</t>
  </si>
  <si>
    <t>6.39</t>
  </si>
  <si>
    <t>CUST_1530</t>
  </si>
  <si>
    <t>CUST_1531</t>
  </si>
  <si>
    <t>CUST_1532</t>
  </si>
  <si>
    <t>CUST_1533</t>
  </si>
  <si>
    <t>CUST_1534</t>
  </si>
  <si>
    <t>CUST_1535</t>
  </si>
  <si>
    <t>CUST_1536</t>
  </si>
  <si>
    <t>CUST_1537</t>
  </si>
  <si>
    <t>CUST_1538</t>
  </si>
  <si>
    <t>CUST_1539</t>
  </si>
  <si>
    <t>CUST_1540</t>
  </si>
  <si>
    <t>CUST_1541</t>
  </si>
  <si>
    <t>13.82</t>
  </si>
  <si>
    <t>CUST_1542</t>
  </si>
  <si>
    <t>16.83</t>
  </si>
  <si>
    <t>CUST_1543</t>
  </si>
  <si>
    <t>CUST_1544</t>
  </si>
  <si>
    <t>11.46</t>
  </si>
  <si>
    <t>CUST_1545</t>
  </si>
  <si>
    <t>8.16</t>
  </si>
  <si>
    <t>CUST_1546</t>
  </si>
  <si>
    <t>CUST_1547</t>
  </si>
  <si>
    <t>CUST_1548</t>
  </si>
  <si>
    <t>CUST_1549</t>
  </si>
  <si>
    <t>CUST_1550</t>
  </si>
  <si>
    <t>15.7</t>
  </si>
  <si>
    <t>CUST_1551</t>
  </si>
  <si>
    <t>CUST_1552</t>
  </si>
  <si>
    <t>CUST_1553</t>
  </si>
  <si>
    <t>CUST_1554</t>
  </si>
  <si>
    <t>CUST_1555</t>
  </si>
  <si>
    <t>CUST_1556</t>
  </si>
  <si>
    <t>CUST_1557</t>
  </si>
  <si>
    <t>CUST_1558</t>
  </si>
  <si>
    <t>CUST_1559</t>
  </si>
  <si>
    <t>CUST_1560</t>
  </si>
  <si>
    <t>15.53</t>
  </si>
  <si>
    <t>CUST_1561</t>
  </si>
  <si>
    <t>CUST_1562</t>
  </si>
  <si>
    <t>CUST_1563</t>
  </si>
  <si>
    <t>CUST_1564</t>
  </si>
  <si>
    <t>CUST_1565</t>
  </si>
  <si>
    <t>CUST_1566</t>
  </si>
  <si>
    <t>CUST_1567</t>
  </si>
  <si>
    <t>CUST_1568</t>
  </si>
  <si>
    <t>18.29</t>
  </si>
  <si>
    <t>CUST_1569</t>
  </si>
  <si>
    <t>CUST_1570</t>
  </si>
  <si>
    <t>17.45</t>
  </si>
  <si>
    <t>CUST_1571</t>
  </si>
  <si>
    <t>CUST_1572</t>
  </si>
  <si>
    <t>CUST_1573</t>
  </si>
  <si>
    <t>14.88</t>
  </si>
  <si>
    <t>CUST_1574</t>
  </si>
  <si>
    <t>CUST_1575</t>
  </si>
  <si>
    <t>CUST_1576</t>
  </si>
  <si>
    <t>19.48</t>
  </si>
  <si>
    <t>CUST_1577</t>
  </si>
  <si>
    <t>CUST_1578</t>
  </si>
  <si>
    <t>CUST_1579</t>
  </si>
  <si>
    <t>CUST_1580</t>
  </si>
  <si>
    <t>CUST_1581</t>
  </si>
  <si>
    <t>CUST_1582</t>
  </si>
  <si>
    <t>CUST_1583</t>
  </si>
  <si>
    <t>CUST_1584</t>
  </si>
  <si>
    <t>CUST_1585</t>
  </si>
  <si>
    <t>CUST_1586</t>
  </si>
  <si>
    <t>CUST_1587</t>
  </si>
  <si>
    <t>CUST_1588</t>
  </si>
  <si>
    <t>12.8</t>
  </si>
  <si>
    <t>CUST_1589</t>
  </si>
  <si>
    <t>CUST_1590</t>
  </si>
  <si>
    <t>CUST_1591</t>
  </si>
  <si>
    <t>CUST_1592</t>
  </si>
  <si>
    <t>CUST_1593</t>
  </si>
  <si>
    <t>19.58</t>
  </si>
  <si>
    <t>CUST_1594</t>
  </si>
  <si>
    <t>18.88</t>
  </si>
  <si>
    <t>CUST_1595</t>
  </si>
  <si>
    <t>CUST_1596</t>
  </si>
  <si>
    <t>CUST_1597</t>
  </si>
  <si>
    <t>16.18</t>
  </si>
  <si>
    <t>CUST_1598</t>
  </si>
  <si>
    <t>CUST_1599</t>
  </si>
  <si>
    <t>CUST_1600</t>
  </si>
  <si>
    <t>CUST_1601</t>
  </si>
  <si>
    <t>CUST_1602</t>
  </si>
  <si>
    <t>CUST_1603</t>
  </si>
  <si>
    <t>16.76</t>
  </si>
  <si>
    <t>CUST_1604</t>
  </si>
  <si>
    <t>11.16</t>
  </si>
  <si>
    <t>CUST_1605</t>
  </si>
  <si>
    <t>CUST_1606</t>
  </si>
  <si>
    <t>11.51</t>
  </si>
  <si>
    <t>CUST_1607</t>
  </si>
  <si>
    <t>CUST_1608</t>
  </si>
  <si>
    <t>4.27</t>
  </si>
  <si>
    <t>CUST_1609</t>
  </si>
  <si>
    <t>CUST_1610</t>
  </si>
  <si>
    <t>CUST_1611</t>
  </si>
  <si>
    <t>CUST_1612</t>
  </si>
  <si>
    <t>7.78</t>
  </si>
  <si>
    <t>CUST_1613</t>
  </si>
  <si>
    <t>CUST_1614</t>
  </si>
  <si>
    <t>14.2</t>
  </si>
  <si>
    <t>CUST_1615</t>
  </si>
  <si>
    <t>CUST_1616</t>
  </si>
  <si>
    <t>8.73</t>
  </si>
  <si>
    <t>CUST_1617</t>
  </si>
  <si>
    <t>CUST_1618</t>
  </si>
  <si>
    <t>17.95</t>
  </si>
  <si>
    <t>CUST_1619</t>
  </si>
  <si>
    <t>CUST_1620</t>
  </si>
  <si>
    <t>5.66</t>
  </si>
  <si>
    <t>CUST_1621</t>
  </si>
  <si>
    <t>11.66</t>
  </si>
  <si>
    <t>CUST_1622</t>
  </si>
  <si>
    <t>CUST_1623</t>
  </si>
  <si>
    <t>CUST_1624</t>
  </si>
  <si>
    <t>CUST_1625</t>
  </si>
  <si>
    <t>CUST_1626</t>
  </si>
  <si>
    <t>CUST_1627</t>
  </si>
  <si>
    <t>CUST_1628</t>
  </si>
  <si>
    <t>CUST_1629</t>
  </si>
  <si>
    <t>CUST_1630</t>
  </si>
  <si>
    <t>CUST_1631</t>
  </si>
  <si>
    <t>CUST_1632</t>
  </si>
  <si>
    <t>CUST_1633</t>
  </si>
  <si>
    <t>5.73</t>
  </si>
  <si>
    <t>CUST_1634</t>
  </si>
  <si>
    <t>CUST_1635</t>
  </si>
  <si>
    <t>CUST_1636</t>
  </si>
  <si>
    <t>CUST_1637</t>
  </si>
  <si>
    <t>5.21</t>
  </si>
  <si>
    <t>CUST_1638</t>
  </si>
  <si>
    <t>14.91</t>
  </si>
  <si>
    <t>CUST_1639</t>
  </si>
  <si>
    <t>CUST_1640</t>
  </si>
  <si>
    <t>CUST_1641</t>
  </si>
  <si>
    <t>19.57</t>
  </si>
  <si>
    <t>CUST_1642</t>
  </si>
  <si>
    <t>CUST_1643</t>
  </si>
  <si>
    <t>CUST_1644</t>
  </si>
  <si>
    <t>CUST_1645</t>
  </si>
  <si>
    <t>CUST_1646</t>
  </si>
  <si>
    <t>CUST_1647</t>
  </si>
  <si>
    <t>CUST_1648</t>
  </si>
  <si>
    <t>CUST_1649</t>
  </si>
  <si>
    <t>4.91</t>
  </si>
  <si>
    <t>CUST_1650</t>
  </si>
  <si>
    <t>CUST_1651</t>
  </si>
  <si>
    <t>CUST_1652</t>
  </si>
  <si>
    <t>17.98</t>
  </si>
  <si>
    <t>CUST_1653</t>
  </si>
  <si>
    <t>CUST_1654</t>
  </si>
  <si>
    <t>8.04</t>
  </si>
  <si>
    <t>CUST_1655</t>
  </si>
  <si>
    <t>CUST_1656</t>
  </si>
  <si>
    <t>CUST_1657</t>
  </si>
  <si>
    <t>9.21</t>
  </si>
  <si>
    <t>CUST_1658</t>
  </si>
  <si>
    <t>CUST_1659</t>
  </si>
  <si>
    <t>8.7</t>
  </si>
  <si>
    <t>CUST_1660</t>
  </si>
  <si>
    <t>CUST_1661</t>
  </si>
  <si>
    <t>CUST_1662</t>
  </si>
  <si>
    <t>CUST_1663</t>
  </si>
  <si>
    <t>CUST_1664</t>
  </si>
  <si>
    <t>CUST_1665</t>
  </si>
  <si>
    <t>14.05</t>
  </si>
  <si>
    <t>CUST_1666</t>
  </si>
  <si>
    <t>CUST_1667</t>
  </si>
  <si>
    <t>CUST_1668</t>
  </si>
  <si>
    <t>15.13</t>
  </si>
  <si>
    <t>CUST_1669</t>
  </si>
  <si>
    <t>CUST_1670</t>
  </si>
  <si>
    <t>12.99</t>
  </si>
  <si>
    <t>CUST_1671</t>
  </si>
  <si>
    <t>CUST_1672</t>
  </si>
  <si>
    <t>CUST_1673</t>
  </si>
  <si>
    <t>CUST_1674</t>
  </si>
  <si>
    <t>18.01</t>
  </si>
  <si>
    <t>CUST_1675</t>
  </si>
  <si>
    <t>CUST_1676</t>
  </si>
  <si>
    <t>CUST_1677</t>
  </si>
  <si>
    <t>CUST_1678</t>
  </si>
  <si>
    <t>10.1</t>
  </si>
  <si>
    <t>CUST_1679</t>
  </si>
  <si>
    <t>CUST_1680</t>
  </si>
  <si>
    <t>CUST_1681</t>
  </si>
  <si>
    <t>CUST_1682</t>
  </si>
  <si>
    <t>CUST_1683</t>
  </si>
  <si>
    <t>CUST_1684</t>
  </si>
  <si>
    <t>CUST_1685</t>
  </si>
  <si>
    <t>CUST_1686</t>
  </si>
  <si>
    <t>CUST_1687</t>
  </si>
  <si>
    <t>CUST_1688</t>
  </si>
  <si>
    <t>CUST_1689</t>
  </si>
  <si>
    <t>11.45</t>
  </si>
  <si>
    <t>CUST_1690</t>
  </si>
  <si>
    <t>14.35</t>
  </si>
  <si>
    <t>CUST_1691</t>
  </si>
  <si>
    <t>8.11</t>
  </si>
  <si>
    <t>CUST_1692</t>
  </si>
  <si>
    <t>CUST_1693</t>
  </si>
  <si>
    <t>CUST_1694</t>
  </si>
  <si>
    <t>CUST_1695</t>
  </si>
  <si>
    <t>CUST_1696</t>
  </si>
  <si>
    <t>CUST_1697</t>
  </si>
  <si>
    <t>CUST_1698</t>
  </si>
  <si>
    <t>CUST_1699</t>
  </si>
  <si>
    <t>18.8</t>
  </si>
  <si>
    <t>CUST_1700</t>
  </si>
  <si>
    <t>CUST_1701</t>
  </si>
  <si>
    <t>CUST_1702</t>
  </si>
  <si>
    <t>CUST_1703</t>
  </si>
  <si>
    <t>CUST_1704</t>
  </si>
  <si>
    <t>CUST_1705</t>
  </si>
  <si>
    <t>17.36</t>
  </si>
  <si>
    <t>CUST_1706</t>
  </si>
  <si>
    <t>CUST_1707</t>
  </si>
  <si>
    <t>CUST_1708</t>
  </si>
  <si>
    <t>CUST_1709</t>
  </si>
  <si>
    <t>CUST_1710</t>
  </si>
  <si>
    <t>CUST_1711</t>
  </si>
  <si>
    <t>CUST_1712</t>
  </si>
  <si>
    <t>CUST_1713</t>
  </si>
  <si>
    <t>CUST_1714</t>
  </si>
  <si>
    <t>CUST_1715</t>
  </si>
  <si>
    <t>CUST_1716</t>
  </si>
  <si>
    <t>CUST_1717</t>
  </si>
  <si>
    <t>CUST_1718</t>
  </si>
  <si>
    <t>CUST_1719</t>
  </si>
  <si>
    <t>CUST_1720</t>
  </si>
  <si>
    <t>15.14</t>
  </si>
  <si>
    <t>CUST_1721</t>
  </si>
  <si>
    <t>CUST_1722</t>
  </si>
  <si>
    <t>CUST_1723</t>
  </si>
  <si>
    <t>CUST_1724</t>
  </si>
  <si>
    <t>5.19</t>
  </si>
  <si>
    <t>CUST_1725</t>
  </si>
  <si>
    <t>CUST_1726</t>
  </si>
  <si>
    <t>12.87</t>
  </si>
  <si>
    <t>CUST_1727</t>
  </si>
  <si>
    <t>CUST_1728</t>
  </si>
  <si>
    <t>CUST_1729</t>
  </si>
  <si>
    <t>CUST_1730</t>
  </si>
  <si>
    <t>CUST_1731</t>
  </si>
  <si>
    <t>CUST_1732</t>
  </si>
  <si>
    <t>CUST_1733</t>
  </si>
  <si>
    <t>CUST_1734</t>
  </si>
  <si>
    <t>CUST_1735</t>
  </si>
  <si>
    <t>CUST_1736</t>
  </si>
  <si>
    <t>CUST_1737</t>
  </si>
  <si>
    <t>CUST_1738</t>
  </si>
  <si>
    <t>CUST_1739</t>
  </si>
  <si>
    <t>CUST_1740</t>
  </si>
  <si>
    <t>7.86</t>
  </si>
  <si>
    <t>CUST_1741</t>
  </si>
  <si>
    <t>CUST_1742</t>
  </si>
  <si>
    <t>CUST_1743</t>
  </si>
  <si>
    <t>CUST_1744</t>
  </si>
  <si>
    <t>CUST_1745</t>
  </si>
  <si>
    <t>CUST_1746</t>
  </si>
  <si>
    <t>CUST_1747</t>
  </si>
  <si>
    <t>5.98</t>
  </si>
  <si>
    <t>CUST_1748</t>
  </si>
  <si>
    <t>CUST_1749</t>
  </si>
  <si>
    <t>CUST_1750</t>
  </si>
  <si>
    <t>CUST_1751</t>
  </si>
  <si>
    <t>CUST_1752</t>
  </si>
  <si>
    <t>CUST_1753</t>
  </si>
  <si>
    <t>CUST_1754</t>
  </si>
  <si>
    <t>5.67</t>
  </si>
  <si>
    <t>CUST_1755</t>
  </si>
  <si>
    <t>CUST_1756</t>
  </si>
  <si>
    <t>CUST_1757</t>
  </si>
  <si>
    <t>CUST_1758</t>
  </si>
  <si>
    <t>11.18</t>
  </si>
  <si>
    <t>CUST_1759</t>
  </si>
  <si>
    <t>7.1</t>
  </si>
  <si>
    <t>CUST_1760</t>
  </si>
  <si>
    <t>CUST_1761</t>
  </si>
  <si>
    <t>16.84</t>
  </si>
  <si>
    <t>CUST_1762</t>
  </si>
  <si>
    <t>8.22</t>
  </si>
  <si>
    <t>CUST_1763</t>
  </si>
  <si>
    <t>CUST_1764</t>
  </si>
  <si>
    <t>CUST_1765</t>
  </si>
  <si>
    <t>17.82</t>
  </si>
  <si>
    <t>CUST_1766</t>
  </si>
  <si>
    <t>18.59</t>
  </si>
  <si>
    <t>CUST_1767</t>
  </si>
  <si>
    <t>CUST_1768</t>
  </si>
  <si>
    <t>CUST_1769</t>
  </si>
  <si>
    <t>CUST_1770</t>
  </si>
  <si>
    <t>CUST_1771</t>
  </si>
  <si>
    <t>CUST_1772</t>
  </si>
  <si>
    <t>CUST_1773</t>
  </si>
  <si>
    <t>CUST_1774</t>
  </si>
  <si>
    <t>5.79</t>
  </si>
  <si>
    <t>CUST_1775</t>
  </si>
  <si>
    <t>CUST_1776</t>
  </si>
  <si>
    <t>CUST_1777</t>
  </si>
  <si>
    <t>12.44</t>
  </si>
  <si>
    <t>CUST_1778</t>
  </si>
  <si>
    <t>CUST_1779</t>
  </si>
  <si>
    <t>CUST_1780</t>
  </si>
  <si>
    <t>CUST_1781</t>
  </si>
  <si>
    <t>CUST_1782</t>
  </si>
  <si>
    <t>CUST_1783</t>
  </si>
  <si>
    <t>11.64</t>
  </si>
  <si>
    <t>CUST_1784</t>
  </si>
  <si>
    <t>18.02</t>
  </si>
  <si>
    <t>CUST_1785</t>
  </si>
  <si>
    <t>CUST_1786</t>
  </si>
  <si>
    <t>CUST_1787</t>
  </si>
  <si>
    <t>CUST_1788</t>
  </si>
  <si>
    <t>CUST_1789</t>
  </si>
  <si>
    <t>CUST_1790</t>
  </si>
  <si>
    <t>CUST_1791</t>
  </si>
  <si>
    <t>CUST_1792</t>
  </si>
  <si>
    <t>CUST_1793</t>
  </si>
  <si>
    <t>10.79</t>
  </si>
  <si>
    <t>CUST_1794</t>
  </si>
  <si>
    <t>CUST_1795</t>
  </si>
  <si>
    <t>CUST_1796</t>
  </si>
  <si>
    <t>CUST_1797</t>
  </si>
  <si>
    <t>CUST_1798</t>
  </si>
  <si>
    <t>CUST_1799</t>
  </si>
  <si>
    <t>CUST_1800</t>
  </si>
  <si>
    <t>CUST_1801</t>
  </si>
  <si>
    <t>11.49</t>
  </si>
  <si>
    <t>CUST_1802</t>
  </si>
  <si>
    <t>CUST_1803</t>
  </si>
  <si>
    <t>CUST_1804</t>
  </si>
  <si>
    <t>17.56</t>
  </si>
  <si>
    <t>CUST_1805</t>
  </si>
  <si>
    <t>CUST_1806</t>
  </si>
  <si>
    <t>CUST_1807</t>
  </si>
  <si>
    <t>19.49</t>
  </si>
  <si>
    <t>CUST_1808</t>
  </si>
  <si>
    <t>CUST_1809</t>
  </si>
  <si>
    <t>CUST_1810</t>
  </si>
  <si>
    <t>CUST_1811</t>
  </si>
  <si>
    <t>CUST_1812</t>
  </si>
  <si>
    <t>15.24</t>
  </si>
  <si>
    <t>CUST_1813</t>
  </si>
  <si>
    <t>CUST_1814</t>
  </si>
  <si>
    <t>CUST_1815</t>
  </si>
  <si>
    <t>CUST_1816</t>
  </si>
  <si>
    <t>CUST_1817</t>
  </si>
  <si>
    <t>CUST_1818</t>
  </si>
  <si>
    <t>CUST_1819</t>
  </si>
  <si>
    <t>8.55</t>
  </si>
  <si>
    <t>CUST_1820</t>
  </si>
  <si>
    <t>CUST_1821</t>
  </si>
  <si>
    <t>CUST_1822</t>
  </si>
  <si>
    <t>CUST_1823</t>
  </si>
  <si>
    <t>5.16</t>
  </si>
  <si>
    <t>CUST_1824</t>
  </si>
  <si>
    <t>CUST_1825</t>
  </si>
  <si>
    <t>CUST_1826</t>
  </si>
  <si>
    <t>CUST_1827</t>
  </si>
  <si>
    <t>CUST_1828</t>
  </si>
  <si>
    <t>CUST_1829</t>
  </si>
  <si>
    <t>CUST_1830</t>
  </si>
  <si>
    <t>CUST_1831</t>
  </si>
  <si>
    <t>5.17</t>
  </si>
  <si>
    <t>CUST_1832</t>
  </si>
  <si>
    <t>CUST_1833</t>
  </si>
  <si>
    <t>CUST_1834</t>
  </si>
  <si>
    <t>CUST_1835</t>
  </si>
  <si>
    <t>CUST_1836</t>
  </si>
  <si>
    <t>12.04</t>
  </si>
  <si>
    <t>CUST_1837</t>
  </si>
  <si>
    <t>CUST_1838</t>
  </si>
  <si>
    <t>19.75</t>
  </si>
  <si>
    <t>CUST_1839</t>
  </si>
  <si>
    <t>CUST_1840</t>
  </si>
  <si>
    <t>CUST_1841</t>
  </si>
  <si>
    <t>CUST_1842</t>
  </si>
  <si>
    <t>CUST_1843</t>
  </si>
  <si>
    <t>CUST_1844</t>
  </si>
  <si>
    <t>18.55</t>
  </si>
  <si>
    <t>CUST_1845</t>
  </si>
  <si>
    <t>CUST_1846</t>
  </si>
  <si>
    <t>CUST_1847</t>
  </si>
  <si>
    <t>CUST_1848</t>
  </si>
  <si>
    <t>9.78</t>
  </si>
  <si>
    <t>CUST_1849</t>
  </si>
  <si>
    <t>CUST_1850</t>
  </si>
  <si>
    <t>CUST_1851</t>
  </si>
  <si>
    <t>CUST_1852</t>
  </si>
  <si>
    <t>CUST_1853</t>
  </si>
  <si>
    <t>CUST_1854</t>
  </si>
  <si>
    <t>CUST_1855</t>
  </si>
  <si>
    <t>14.12</t>
  </si>
  <si>
    <t>CUST_1856</t>
  </si>
  <si>
    <t>15.2</t>
  </si>
  <si>
    <t>CUST_1857</t>
  </si>
  <si>
    <t>7.08</t>
  </si>
  <si>
    <t>CUST_1858</t>
  </si>
  <si>
    <t>13.48</t>
  </si>
  <si>
    <t>CUST_1859</t>
  </si>
  <si>
    <t>CUST_1860</t>
  </si>
  <si>
    <t>CUST_1861</t>
  </si>
  <si>
    <t>CUST_1862</t>
  </si>
  <si>
    <t>CUST_1863</t>
  </si>
  <si>
    <t>CUST_1864</t>
  </si>
  <si>
    <t>CUST_1865</t>
  </si>
  <si>
    <t>CUST_1866</t>
  </si>
  <si>
    <t>CUST_1867</t>
  </si>
  <si>
    <t>CUST_1868</t>
  </si>
  <si>
    <t>CUST_1869</t>
  </si>
  <si>
    <t>CUST_1870</t>
  </si>
  <si>
    <t>CUST_1871</t>
  </si>
  <si>
    <t>CUST_1872</t>
  </si>
  <si>
    <t>CUST_1873</t>
  </si>
  <si>
    <t>CUST_1874</t>
  </si>
  <si>
    <t>CUST_1875</t>
  </si>
  <si>
    <t>CUST_1876</t>
  </si>
  <si>
    <t>CUST_1877</t>
  </si>
  <si>
    <t>CUST_1878</t>
  </si>
  <si>
    <t>4.49</t>
  </si>
  <si>
    <t>CUST_1879</t>
  </si>
  <si>
    <t>CUST_1880</t>
  </si>
  <si>
    <t>CUST_1881</t>
  </si>
  <si>
    <t>16.44</t>
  </si>
  <si>
    <t>CUST_1882</t>
  </si>
  <si>
    <t>19.15</t>
  </si>
  <si>
    <t>CUST_1883</t>
  </si>
  <si>
    <t>CUST_1884</t>
  </si>
  <si>
    <t>5.75</t>
  </si>
  <si>
    <t>CUST_1885</t>
  </si>
  <si>
    <t>CUST_1886</t>
  </si>
  <si>
    <t>CUST_1887</t>
  </si>
  <si>
    <t>CUST_1888</t>
  </si>
  <si>
    <t>CUST_1889</t>
  </si>
  <si>
    <t>CUST_1890</t>
  </si>
  <si>
    <t>CUST_1891</t>
  </si>
  <si>
    <t>CUST_1892</t>
  </si>
  <si>
    <t>CUST_1893</t>
  </si>
  <si>
    <t>CUST_1894</t>
  </si>
  <si>
    <t>CUST_1895</t>
  </si>
  <si>
    <t>CUST_1896</t>
  </si>
  <si>
    <t>CUST_1897</t>
  </si>
  <si>
    <t>14.22</t>
  </si>
  <si>
    <t>CUST_1898</t>
  </si>
  <si>
    <t>CUST_1899</t>
  </si>
  <si>
    <t>11.28</t>
  </si>
  <si>
    <t>CUST_1900</t>
  </si>
  <si>
    <t>CUST_1901</t>
  </si>
  <si>
    <t>CUST_1902</t>
  </si>
  <si>
    <t>CUST_1903</t>
  </si>
  <si>
    <t>13.7</t>
  </si>
  <si>
    <t>CUST_1904</t>
  </si>
  <si>
    <t>CUST_1905</t>
  </si>
  <si>
    <t>CUST_1906</t>
  </si>
  <si>
    <t>5.15</t>
  </si>
  <si>
    <t>CUST_1907</t>
  </si>
  <si>
    <t>CUST_1908</t>
  </si>
  <si>
    <t>8.08</t>
  </si>
  <si>
    <t>CUST_1909</t>
  </si>
  <si>
    <t>9.96</t>
  </si>
  <si>
    <t>CUST_1910</t>
  </si>
  <si>
    <t>CUST_1911</t>
  </si>
  <si>
    <t>CUST_1912</t>
  </si>
  <si>
    <t>CUST_1913</t>
  </si>
  <si>
    <t>CUST_1914</t>
  </si>
  <si>
    <t>CUST_1915</t>
  </si>
  <si>
    <t>CUST_1916</t>
  </si>
  <si>
    <t>CUST_1917</t>
  </si>
  <si>
    <t>CUST_1918</t>
  </si>
  <si>
    <t>CUST_1919</t>
  </si>
  <si>
    <t>CUST_1920</t>
  </si>
  <si>
    <t>CUST_1921</t>
  </si>
  <si>
    <t>CUST_1922</t>
  </si>
  <si>
    <t>CUST_1923</t>
  </si>
  <si>
    <t>CUST_1924</t>
  </si>
  <si>
    <t>CUST_1925</t>
  </si>
  <si>
    <t>18.04</t>
  </si>
  <si>
    <t>CUST_1926</t>
  </si>
  <si>
    <t>CUST_1927</t>
  </si>
  <si>
    <t>CUST_1928</t>
  </si>
  <si>
    <t>CUST_1929</t>
  </si>
  <si>
    <t>CUST_1930</t>
  </si>
  <si>
    <t>CUST_1931</t>
  </si>
  <si>
    <t>CUST_1932</t>
  </si>
  <si>
    <t>CUST_1933</t>
  </si>
  <si>
    <t>CUST_1934</t>
  </si>
  <si>
    <t>CUST_1935</t>
  </si>
  <si>
    <t>CUST_1936</t>
  </si>
  <si>
    <t>CUST_1937</t>
  </si>
  <si>
    <t>CUST_1938</t>
  </si>
  <si>
    <t>CUST_1939</t>
  </si>
  <si>
    <t>CUST_1940</t>
  </si>
  <si>
    <t>11.59</t>
  </si>
  <si>
    <t>CUST_1941</t>
  </si>
  <si>
    <t>CUST_1942</t>
  </si>
  <si>
    <t>CUST_1943</t>
  </si>
  <si>
    <t>CUST_1944</t>
  </si>
  <si>
    <t>CUST_1945</t>
  </si>
  <si>
    <t>19.64</t>
  </si>
  <si>
    <t>CUST_1946</t>
  </si>
  <si>
    <t>CUST_1947</t>
  </si>
  <si>
    <t>CUST_1948</t>
  </si>
  <si>
    <t>CUST_1949</t>
  </si>
  <si>
    <t>CUST_1950</t>
  </si>
  <si>
    <t>CUST_1951</t>
  </si>
  <si>
    <t>CUST_1952</t>
  </si>
  <si>
    <t>CUST_1953</t>
  </si>
  <si>
    <t>CUST_1954</t>
  </si>
  <si>
    <t>CUST_1955</t>
  </si>
  <si>
    <t>8.9</t>
  </si>
  <si>
    <t>CUST_1956</t>
  </si>
  <si>
    <t>CUST_1957</t>
  </si>
  <si>
    <t>CUST_1958</t>
  </si>
  <si>
    <t>CUST_1959</t>
  </si>
  <si>
    <t>CUST_1960</t>
  </si>
  <si>
    <t>CUST_1961</t>
  </si>
  <si>
    <t>CUST_1962</t>
  </si>
  <si>
    <t>CUST_1963</t>
  </si>
  <si>
    <t>CUST_1964</t>
  </si>
  <si>
    <t>CUST_1965</t>
  </si>
  <si>
    <t>CUST_1966</t>
  </si>
  <si>
    <t>CUST_1967</t>
  </si>
  <si>
    <t>CUST_1968</t>
  </si>
  <si>
    <t>7.26</t>
  </si>
  <si>
    <t>CUST_1969</t>
  </si>
  <si>
    <t>6.96</t>
  </si>
  <si>
    <t>CUST_1970</t>
  </si>
  <si>
    <t>18.11</t>
  </si>
  <si>
    <t>CUST_1971</t>
  </si>
  <si>
    <t>7.01</t>
  </si>
  <si>
    <t>CUST_1972</t>
  </si>
  <si>
    <t>CUST_1973</t>
  </si>
  <si>
    <t>CUST_1974</t>
  </si>
  <si>
    <t>CUST_1975</t>
  </si>
  <si>
    <t>CUST_1976</t>
  </si>
  <si>
    <t>CUST_1977</t>
  </si>
  <si>
    <t>CUST_1978</t>
  </si>
  <si>
    <t>CUST_1979</t>
  </si>
  <si>
    <t>11.57</t>
  </si>
  <si>
    <t>CUST_1980</t>
  </si>
  <si>
    <t>CUST_1981</t>
  </si>
  <si>
    <t>CUST_1982</t>
  </si>
  <si>
    <t>CUST_1983</t>
  </si>
  <si>
    <t>CUST_1984</t>
  </si>
  <si>
    <t>CUST_1985</t>
  </si>
  <si>
    <t>CUST_1986</t>
  </si>
  <si>
    <t>CUST_1987</t>
  </si>
  <si>
    <t>CUST_1988</t>
  </si>
  <si>
    <t>CUST_1989</t>
  </si>
  <si>
    <t>CUST_1990</t>
  </si>
  <si>
    <t>CUST_1991</t>
  </si>
  <si>
    <t>CUST_1992</t>
  </si>
  <si>
    <t>CUST_1993</t>
  </si>
  <si>
    <t>CUST_1994</t>
  </si>
  <si>
    <t>17.19</t>
  </si>
  <si>
    <t>CUST_1995</t>
  </si>
  <si>
    <t>CUST_1996</t>
  </si>
  <si>
    <t>CUST_1997</t>
  </si>
  <si>
    <t>CUST_1998</t>
  </si>
  <si>
    <t>CUST_1999</t>
  </si>
  <si>
    <t>CUST_2000</t>
  </si>
  <si>
    <t>7.63</t>
  </si>
  <si>
    <t>CUST_2001</t>
  </si>
  <si>
    <t>CUST_2002</t>
  </si>
  <si>
    <t>5.91</t>
  </si>
  <si>
    <t>CUST_2003</t>
  </si>
  <si>
    <t>CUST_2004</t>
  </si>
  <si>
    <t>CUST_2005</t>
  </si>
  <si>
    <t>CUST_2006</t>
  </si>
  <si>
    <t>CUST_2007</t>
  </si>
  <si>
    <t>CUST_2008</t>
  </si>
  <si>
    <t>CUST_2009</t>
  </si>
  <si>
    <t>15.08</t>
  </si>
  <si>
    <t>CUST_2010</t>
  </si>
  <si>
    <t>CUST_2011</t>
  </si>
  <si>
    <t>CUST_2012</t>
  </si>
  <si>
    <t>CUST_2013</t>
  </si>
  <si>
    <t>CUST_2014</t>
  </si>
  <si>
    <t>CUST_2015</t>
  </si>
  <si>
    <t>CUST_2016</t>
  </si>
  <si>
    <t>CUST_2017</t>
  </si>
  <si>
    <t>8.72</t>
  </si>
  <si>
    <t>CUST_2018</t>
  </si>
  <si>
    <t>CUST_2019</t>
  </si>
  <si>
    <t>CUST_2020</t>
  </si>
  <si>
    <t>CUST_2021</t>
  </si>
  <si>
    <t>CUST_2022</t>
  </si>
  <si>
    <t>CUST_2023</t>
  </si>
  <si>
    <t>11.85</t>
  </si>
  <si>
    <t>CUST_2024</t>
  </si>
  <si>
    <t>CUST_2025</t>
  </si>
  <si>
    <t>CUST_2026</t>
  </si>
  <si>
    <t>5.93</t>
  </si>
  <si>
    <t>CUST_2027</t>
  </si>
  <si>
    <t>CUST_2028</t>
  </si>
  <si>
    <t>CUST_2029</t>
  </si>
  <si>
    <t>CUST_2030</t>
  </si>
  <si>
    <t>CUST_2031</t>
  </si>
  <si>
    <t>CUST_2032</t>
  </si>
  <si>
    <t>CUST_2033</t>
  </si>
  <si>
    <t>CUST_2034</t>
  </si>
  <si>
    <t>CUST_2035</t>
  </si>
  <si>
    <t>13.07</t>
  </si>
  <si>
    <t>CUST_2036</t>
  </si>
  <si>
    <t>CUST_2037</t>
  </si>
  <si>
    <t>11.22</t>
  </si>
  <si>
    <t>CUST_2038</t>
  </si>
  <si>
    <t>CUST_2039</t>
  </si>
  <si>
    <t>CUST_2040</t>
  </si>
  <si>
    <t>5.06</t>
  </si>
  <si>
    <t>CUST_2041</t>
  </si>
  <si>
    <t>CUST_2042</t>
  </si>
  <si>
    <t>5.39</t>
  </si>
  <si>
    <t>CUST_2043</t>
  </si>
  <si>
    <t>CUST_2044</t>
  </si>
  <si>
    <t>CUST_2045</t>
  </si>
  <si>
    <t>CUST_2046</t>
  </si>
  <si>
    <t>CUST_2047</t>
  </si>
  <si>
    <t>CUST_2048</t>
  </si>
  <si>
    <t>CUST_2049</t>
  </si>
  <si>
    <t>CUST_2050</t>
  </si>
  <si>
    <t>CUST_2051</t>
  </si>
  <si>
    <t>CUST_2052</t>
  </si>
  <si>
    <t>CUST_2053</t>
  </si>
  <si>
    <t>CUST_2054</t>
  </si>
  <si>
    <t>CUST_2055</t>
  </si>
  <si>
    <t>CUST_2056</t>
  </si>
  <si>
    <t>CUST_2057</t>
  </si>
  <si>
    <t>6.92</t>
  </si>
  <si>
    <t>CUST_2058</t>
  </si>
  <si>
    <t>CUST_2059</t>
  </si>
  <si>
    <t>CUST_2060</t>
  </si>
  <si>
    <t>5.24</t>
  </si>
  <si>
    <t>CUST_2061</t>
  </si>
  <si>
    <t>CUST_2062</t>
  </si>
  <si>
    <t>CUST_2063</t>
  </si>
  <si>
    <t>10.08</t>
  </si>
  <si>
    <t>CUST_2064</t>
  </si>
  <si>
    <t>CUST_2065</t>
  </si>
  <si>
    <t>13.74</t>
  </si>
  <si>
    <t>CUST_2066</t>
  </si>
  <si>
    <t>CUST_2067</t>
  </si>
  <si>
    <t>CUST_2068</t>
  </si>
  <si>
    <t>CUST_2069</t>
  </si>
  <si>
    <t>CUST_2070</t>
  </si>
  <si>
    <t>CUST_2071</t>
  </si>
  <si>
    <t>CUST_2072</t>
  </si>
  <si>
    <t>CUST_2073</t>
  </si>
  <si>
    <t>CUST_2074</t>
  </si>
  <si>
    <t>11.03</t>
  </si>
  <si>
    <t>CUST_2075</t>
  </si>
  <si>
    <t>CUST_2076</t>
  </si>
  <si>
    <t>10.75</t>
  </si>
  <si>
    <t>CUST_2077</t>
  </si>
  <si>
    <t>CUST_2078</t>
  </si>
  <si>
    <t>CUST_2079</t>
  </si>
  <si>
    <t>CUST_2080</t>
  </si>
  <si>
    <t>CUST_2081</t>
  </si>
  <si>
    <t>CUST_2082</t>
  </si>
  <si>
    <t>CUST_2083</t>
  </si>
  <si>
    <t>CUST_2084</t>
  </si>
  <si>
    <t>CUST_2085</t>
  </si>
  <si>
    <t>CUST_2086</t>
  </si>
  <si>
    <t>6.42</t>
  </si>
  <si>
    <t>CUST_2087</t>
  </si>
  <si>
    <t>CUST_2088</t>
  </si>
  <si>
    <t>7.39</t>
  </si>
  <si>
    <t>CUST_2089</t>
  </si>
  <si>
    <t>13.67</t>
  </si>
  <si>
    <t>CUST_2090</t>
  </si>
  <si>
    <t>CUST_2091</t>
  </si>
  <si>
    <t>6.75</t>
  </si>
  <si>
    <t>CUST_2092</t>
  </si>
  <si>
    <t>CUST_2093</t>
  </si>
  <si>
    <t>CUST_2094</t>
  </si>
  <si>
    <t>CUST_2095</t>
  </si>
  <si>
    <t>CUST_2096</t>
  </si>
  <si>
    <t>18.22</t>
  </si>
  <si>
    <t>CUST_2097</t>
  </si>
  <si>
    <t>CUST_2098</t>
  </si>
  <si>
    <t>8.59</t>
  </si>
  <si>
    <t>CUST_2099</t>
  </si>
  <si>
    <t>17.62</t>
  </si>
  <si>
    <t>CUST_2100</t>
  </si>
  <si>
    <t>CUST_2101</t>
  </si>
  <si>
    <t>CUST_2102</t>
  </si>
  <si>
    <t>CUST_2103</t>
  </si>
  <si>
    <t>11.4</t>
  </si>
  <si>
    <t>CUST_2104</t>
  </si>
  <si>
    <t>18.83</t>
  </si>
  <si>
    <t>CUST_2105</t>
  </si>
  <si>
    <t>CUST_2106</t>
  </si>
  <si>
    <t>CUST_2107</t>
  </si>
  <si>
    <t>CUST_2108</t>
  </si>
  <si>
    <t>CUST_2109</t>
  </si>
  <si>
    <t>15.85</t>
  </si>
  <si>
    <t>CUST_2110</t>
  </si>
  <si>
    <t>CUST_2111</t>
  </si>
  <si>
    <t>CUST_2112</t>
  </si>
  <si>
    <t>CUST_2113</t>
  </si>
  <si>
    <t>CUST_2114</t>
  </si>
  <si>
    <t>CUST_2115</t>
  </si>
  <si>
    <t>18.81</t>
  </si>
  <si>
    <t>CUST_2116</t>
  </si>
  <si>
    <t>CUST_2117</t>
  </si>
  <si>
    <t>CUST_2118</t>
  </si>
  <si>
    <t>CUST_2119</t>
  </si>
  <si>
    <t>CUST_2120</t>
  </si>
  <si>
    <t>CUST_2121</t>
  </si>
  <si>
    <t>CUST_2122</t>
  </si>
  <si>
    <t>CUST_2123</t>
  </si>
  <si>
    <t>CUST_2124</t>
  </si>
  <si>
    <t>CUST_2125</t>
  </si>
  <si>
    <t>CUST_2126</t>
  </si>
  <si>
    <t>CUST_2127</t>
  </si>
  <si>
    <t>CUST_2128</t>
  </si>
  <si>
    <t>CUST_2129</t>
  </si>
  <si>
    <t>CUST_2130</t>
  </si>
  <si>
    <t>CUST_2131</t>
  </si>
  <si>
    <t>CUST_2132</t>
  </si>
  <si>
    <t>14.78</t>
  </si>
  <si>
    <t>CUST_2133</t>
  </si>
  <si>
    <t>CUST_2134</t>
  </si>
  <si>
    <t>CUST_2135</t>
  </si>
  <si>
    <t>CUST_2136</t>
  </si>
  <si>
    <t>CUST_2137</t>
  </si>
  <si>
    <t>CUST_2138</t>
  </si>
  <si>
    <t>CUST_2139</t>
  </si>
  <si>
    <t>CUST_2140</t>
  </si>
  <si>
    <t>CUST_2141</t>
  </si>
  <si>
    <t>7.47</t>
  </si>
  <si>
    <t>CUST_2142</t>
  </si>
  <si>
    <t>CUST_2143</t>
  </si>
  <si>
    <t>CUST_2144</t>
  </si>
  <si>
    <t>CUST_2145</t>
  </si>
  <si>
    <t>CUST_2146</t>
  </si>
  <si>
    <t>CUST_2147</t>
  </si>
  <si>
    <t>CUST_2148</t>
  </si>
  <si>
    <t>CUST_2149</t>
  </si>
  <si>
    <t>CUST_2150</t>
  </si>
  <si>
    <t>CUST_2151</t>
  </si>
  <si>
    <t>CUST_2152</t>
  </si>
  <si>
    <t>CUST_2153</t>
  </si>
  <si>
    <t>CUST_2154</t>
  </si>
  <si>
    <t>CUST_2155</t>
  </si>
  <si>
    <t>CUST_2156</t>
  </si>
  <si>
    <t>CUST_2157</t>
  </si>
  <si>
    <t>11.69</t>
  </si>
  <si>
    <t>CUST_2158</t>
  </si>
  <si>
    <t>CUST_2159</t>
  </si>
  <si>
    <t>CUST_2160</t>
  </si>
  <si>
    <t>12.08</t>
  </si>
  <si>
    <t>CUST_2161</t>
  </si>
  <si>
    <t>CUST_2162</t>
  </si>
  <si>
    <t>CUST_2163</t>
  </si>
  <si>
    <t>CUST_2164</t>
  </si>
  <si>
    <t>CUST_2165</t>
  </si>
  <si>
    <t>CUST_2166</t>
  </si>
  <si>
    <t>CUST_2167</t>
  </si>
  <si>
    <t>CUST_2168</t>
  </si>
  <si>
    <t>CUST_2169</t>
  </si>
  <si>
    <t>13.47</t>
  </si>
  <si>
    <t>CUST_2170</t>
  </si>
  <si>
    <t>CUST_2171</t>
  </si>
  <si>
    <t>8.09</t>
  </si>
  <si>
    <t>CUST_2172</t>
  </si>
  <si>
    <t>CUST_2173</t>
  </si>
  <si>
    <t>13.5</t>
  </si>
  <si>
    <t>CUST_2174</t>
  </si>
  <si>
    <t>CUST_2175</t>
  </si>
  <si>
    <t>CUST_2176</t>
  </si>
  <si>
    <t>CUST_2177</t>
  </si>
  <si>
    <t>CUST_2178</t>
  </si>
  <si>
    <t>CUST_2179</t>
  </si>
  <si>
    <t>CUST_2180</t>
  </si>
  <si>
    <t>CUST_2181</t>
  </si>
  <si>
    <t>CUST_2182</t>
  </si>
  <si>
    <t>CUST_2183</t>
  </si>
  <si>
    <t>5.53</t>
  </si>
  <si>
    <t>CUST_2184</t>
  </si>
  <si>
    <t>CUST_2185</t>
  </si>
  <si>
    <t>CUST_2186</t>
  </si>
  <si>
    <t>CUST_2187</t>
  </si>
  <si>
    <t>CUST_2188</t>
  </si>
  <si>
    <t>12.57</t>
  </si>
  <si>
    <t>CUST_2189</t>
  </si>
  <si>
    <t>CUST_2190</t>
  </si>
  <si>
    <t>CUST_2191</t>
  </si>
  <si>
    <t>CUST_2192</t>
  </si>
  <si>
    <t>6.17</t>
  </si>
  <si>
    <t>CUST_2193</t>
  </si>
  <si>
    <t>CUST_2194</t>
  </si>
  <si>
    <t>CUST_2195</t>
  </si>
  <si>
    <t>CUST_2196</t>
  </si>
  <si>
    <t>CUST_2197</t>
  </si>
  <si>
    <t>CUST_2198</t>
  </si>
  <si>
    <t>CUST_2199</t>
  </si>
  <si>
    <t>CUST_2200</t>
  </si>
  <si>
    <t>CUST_2201</t>
  </si>
  <si>
    <t>7.02</t>
  </si>
  <si>
    <t>CUST_2202</t>
  </si>
  <si>
    <t>10.07</t>
  </si>
  <si>
    <t>CUST_2203</t>
  </si>
  <si>
    <t>CUST_2204</t>
  </si>
  <si>
    <t>CUST_2205</t>
  </si>
  <si>
    <t>CUST_2206</t>
  </si>
  <si>
    <t>CUST_2207</t>
  </si>
  <si>
    <t>CUST_2208</t>
  </si>
  <si>
    <t>CUST_2209</t>
  </si>
  <si>
    <t>CUST_2210</t>
  </si>
  <si>
    <t>CUST_2211</t>
  </si>
  <si>
    <t>CUST_2212</t>
  </si>
  <si>
    <t>CUST_2213</t>
  </si>
  <si>
    <t>CUST_2214</t>
  </si>
  <si>
    <t>CUST_2215</t>
  </si>
  <si>
    <t>CUST_2216</t>
  </si>
  <si>
    <t>CUST_2217</t>
  </si>
  <si>
    <t>19.76</t>
  </si>
  <si>
    <t>CUST_2218</t>
  </si>
  <si>
    <t>CUST_2219</t>
  </si>
  <si>
    <t>CUST_2220</t>
  </si>
  <si>
    <t>CUST_2221</t>
  </si>
  <si>
    <t>CUST_2222</t>
  </si>
  <si>
    <t>CUST_2223</t>
  </si>
  <si>
    <t>13.81</t>
  </si>
  <si>
    <t>CUST_2224</t>
  </si>
  <si>
    <t>CUST_2225</t>
  </si>
  <si>
    <t>CUST_2226</t>
  </si>
  <si>
    <t>5.95</t>
  </si>
  <si>
    <t>CUST_2227</t>
  </si>
  <si>
    <t>CUST_2228</t>
  </si>
  <si>
    <t>17.69</t>
  </si>
  <si>
    <t>CUST_2229</t>
  </si>
  <si>
    <t>CUST_2230</t>
  </si>
  <si>
    <t>CUST_2231</t>
  </si>
  <si>
    <t>CUST_2232</t>
  </si>
  <si>
    <t>CUST_2233</t>
  </si>
  <si>
    <t>CUST_2234</t>
  </si>
  <si>
    <t>CUST_2235</t>
  </si>
  <si>
    <t>15.44</t>
  </si>
  <si>
    <t>CUST_2236</t>
  </si>
  <si>
    <t>CUST_2237</t>
  </si>
  <si>
    <t>19.6</t>
  </si>
  <si>
    <t>CUST_2238</t>
  </si>
  <si>
    <t>CUST_2239</t>
  </si>
  <si>
    <t>16.37</t>
  </si>
  <si>
    <t>CUST_2240</t>
  </si>
  <si>
    <t>CUST_2241</t>
  </si>
  <si>
    <t>CUST_2242</t>
  </si>
  <si>
    <t>CUST_2243</t>
  </si>
  <si>
    <t>9.13</t>
  </si>
  <si>
    <t>CUST_2244</t>
  </si>
  <si>
    <t>CUST_2245</t>
  </si>
  <si>
    <t>CUST_2246</t>
  </si>
  <si>
    <t>CUST_2247</t>
  </si>
  <si>
    <t>5.14</t>
  </si>
  <si>
    <t>CUST_2248</t>
  </si>
  <si>
    <t>CUST_2249</t>
  </si>
  <si>
    <t>CUST_2250</t>
  </si>
  <si>
    <t>CUST_2251</t>
  </si>
  <si>
    <t>CUST_2252</t>
  </si>
  <si>
    <t>CUST_2253</t>
  </si>
  <si>
    <t>CUST_2254</t>
  </si>
  <si>
    <t>CUST_2255</t>
  </si>
  <si>
    <t>CUST_2256</t>
  </si>
  <si>
    <t>CUST_2257</t>
  </si>
  <si>
    <t>CUST_2258</t>
  </si>
  <si>
    <t>CUST_2259</t>
  </si>
  <si>
    <t>CUST_2260</t>
  </si>
  <si>
    <t>14.98</t>
  </si>
  <si>
    <t>CUST_2261</t>
  </si>
  <si>
    <t>13.26</t>
  </si>
  <si>
    <t>CUST_2262</t>
  </si>
  <si>
    <t>CUST_2263</t>
  </si>
  <si>
    <t>19.3</t>
  </si>
  <si>
    <t>CUST_2264</t>
  </si>
  <si>
    <t>CUST_2265</t>
  </si>
  <si>
    <t>CUST_2266</t>
  </si>
  <si>
    <t>CUST_2267</t>
  </si>
  <si>
    <t>CUST_2268</t>
  </si>
  <si>
    <t>CUST_2269</t>
  </si>
  <si>
    <t>CUST_2270</t>
  </si>
  <si>
    <t>CUST_2271</t>
  </si>
  <si>
    <t>CUST_2272</t>
  </si>
  <si>
    <t>CUST_2273</t>
  </si>
  <si>
    <t>CUST_2274</t>
  </si>
  <si>
    <t>16.15</t>
  </si>
  <si>
    <t>CUST_2275</t>
  </si>
  <si>
    <t>CUST_2276</t>
  </si>
  <si>
    <t>7.66</t>
  </si>
  <si>
    <t>CUST_2277</t>
  </si>
  <si>
    <t>CUST_2278</t>
  </si>
  <si>
    <t>CUST_2279</t>
  </si>
  <si>
    <t>CUST_2280</t>
  </si>
  <si>
    <t>CUST_2281</t>
  </si>
  <si>
    <t>CUST_2282</t>
  </si>
  <si>
    <t>CUST_2283</t>
  </si>
  <si>
    <t>CUST_2284</t>
  </si>
  <si>
    <t>CUST_2285</t>
  </si>
  <si>
    <t>9.46</t>
  </si>
  <si>
    <t>CUST_2286</t>
  </si>
  <si>
    <t>CUST_2287</t>
  </si>
  <si>
    <t>CUST_2288</t>
  </si>
  <si>
    <t>CUST_2289</t>
  </si>
  <si>
    <t>12.32</t>
  </si>
  <si>
    <t>CUST_2290</t>
  </si>
  <si>
    <t>CUST_2291</t>
  </si>
  <si>
    <t>CUST_2292</t>
  </si>
  <si>
    <t>CUST_2293</t>
  </si>
  <si>
    <t>CUST_2294</t>
  </si>
  <si>
    <t>CUST_2295</t>
  </si>
  <si>
    <t>CUST_2296</t>
  </si>
  <si>
    <t>CUST_2297</t>
  </si>
  <si>
    <t>CUST_2298</t>
  </si>
  <si>
    <t>13.4</t>
  </si>
  <si>
    <t>CUST_2299</t>
  </si>
  <si>
    <t>CUST_2300</t>
  </si>
  <si>
    <t>CUST_2301</t>
  </si>
  <si>
    <t>8.21</t>
  </si>
  <si>
    <t>CUST_2302</t>
  </si>
  <si>
    <t>CUST_2303</t>
  </si>
  <si>
    <t>6.86</t>
  </si>
  <si>
    <t>CUST_2304</t>
  </si>
  <si>
    <t>CUST_2305</t>
  </si>
  <si>
    <t>CUST_2306</t>
  </si>
  <si>
    <t>CUST_2307</t>
  </si>
  <si>
    <t>CUST_2308</t>
  </si>
  <si>
    <t>CUST_2309</t>
  </si>
  <si>
    <t>CUST_2310</t>
  </si>
  <si>
    <t>14.15</t>
  </si>
  <si>
    <t>CUST_2311</t>
  </si>
  <si>
    <t>5.37</t>
  </si>
  <si>
    <t>CUST_2312</t>
  </si>
  <si>
    <t>CUST_2313</t>
  </si>
  <si>
    <t>CUST_2314</t>
  </si>
  <si>
    <t>CUST_2315</t>
  </si>
  <si>
    <t>CUST_2316</t>
  </si>
  <si>
    <t>7.05</t>
  </si>
  <si>
    <t>CUST_2317</t>
  </si>
  <si>
    <t>CUST_2318</t>
  </si>
  <si>
    <t>CUST_2319</t>
  </si>
  <si>
    <t>CUST_2320</t>
  </si>
  <si>
    <t>CUST_2321</t>
  </si>
  <si>
    <t>CUST_2322</t>
  </si>
  <si>
    <t>8.79</t>
  </si>
  <si>
    <t>CUST_2323</t>
  </si>
  <si>
    <t>CUST_2324</t>
  </si>
  <si>
    <t>CUST_2325</t>
  </si>
  <si>
    <t>CUST_2326</t>
  </si>
  <si>
    <t>CUST_2327</t>
  </si>
  <si>
    <t>CUST_2328</t>
  </si>
  <si>
    <t>CUST_2329</t>
  </si>
  <si>
    <t>CUST_2330</t>
  </si>
  <si>
    <t>CUST_2331</t>
  </si>
  <si>
    <t>18.94</t>
  </si>
  <si>
    <t>CUST_2332</t>
  </si>
  <si>
    <t>8.54</t>
  </si>
  <si>
    <t>CUST_2333</t>
  </si>
  <si>
    <t>CUST_2334</t>
  </si>
  <si>
    <t>CUST_2335</t>
  </si>
  <si>
    <t>CUST_2336</t>
  </si>
  <si>
    <t>CUST_2337</t>
  </si>
  <si>
    <t>CUST_2338</t>
  </si>
  <si>
    <t>CUST_2339</t>
  </si>
  <si>
    <t>CUST_2340</t>
  </si>
  <si>
    <t>CUST_2341</t>
  </si>
  <si>
    <t>8.98</t>
  </si>
  <si>
    <t>CUST_2342</t>
  </si>
  <si>
    <t>CUST_2343</t>
  </si>
  <si>
    <t>CUST_2344</t>
  </si>
  <si>
    <t>CUST_2345</t>
  </si>
  <si>
    <t>CUST_2346</t>
  </si>
  <si>
    <t>CUST_2347</t>
  </si>
  <si>
    <t>CUST_2348</t>
  </si>
  <si>
    <t>15.49</t>
  </si>
  <si>
    <t>CUST_2349</t>
  </si>
  <si>
    <t>CUST_2350</t>
  </si>
  <si>
    <t>15.73</t>
  </si>
  <si>
    <t>CUST_2351</t>
  </si>
  <si>
    <t>CUST_2352</t>
  </si>
  <si>
    <t>CUST_2353</t>
  </si>
  <si>
    <t>CUST_2354</t>
  </si>
  <si>
    <t>CUST_2355</t>
  </si>
  <si>
    <t>16.82</t>
  </si>
  <si>
    <t>CUST_2356</t>
  </si>
  <si>
    <t>CUST_2357</t>
  </si>
  <si>
    <t>CUST_2358</t>
  </si>
  <si>
    <t>CUST_2359</t>
  </si>
  <si>
    <t>CUST_2360</t>
  </si>
  <si>
    <t>CUST_2361</t>
  </si>
  <si>
    <t>CUST_2362</t>
  </si>
  <si>
    <t>CUST_2363</t>
  </si>
  <si>
    <t>CUST_2364</t>
  </si>
  <si>
    <t>CUST_2365</t>
  </si>
  <si>
    <t>6.6</t>
  </si>
  <si>
    <t>CUST_2366</t>
  </si>
  <si>
    <t>CUST_2367</t>
  </si>
  <si>
    <t>CUST_2368</t>
  </si>
  <si>
    <t>CUST_2369</t>
  </si>
  <si>
    <t>CUST_2370</t>
  </si>
  <si>
    <t>CUST_2371</t>
  </si>
  <si>
    <t>CUST_2372</t>
  </si>
  <si>
    <t>CUST_2373</t>
  </si>
  <si>
    <t>CUST_2374</t>
  </si>
  <si>
    <t>CUST_2375</t>
  </si>
  <si>
    <t>CUST_2376</t>
  </si>
  <si>
    <t>12.45</t>
  </si>
  <si>
    <t>CUST_2377</t>
  </si>
  <si>
    <t>CUST_2378</t>
  </si>
  <si>
    <t>18.98</t>
  </si>
  <si>
    <t>CUST_2379</t>
  </si>
  <si>
    <t>CUST_2380</t>
  </si>
  <si>
    <t>CUST_2381</t>
  </si>
  <si>
    <t>CUST_2382</t>
  </si>
  <si>
    <t>11.84</t>
  </si>
  <si>
    <t>CUST_2383</t>
  </si>
  <si>
    <t>CUST_2384</t>
  </si>
  <si>
    <t>CUST_2385</t>
  </si>
  <si>
    <t>CUST_2386</t>
  </si>
  <si>
    <t>CUST_2387</t>
  </si>
  <si>
    <t>13.45</t>
  </si>
  <si>
    <t>CUST_2388</t>
  </si>
  <si>
    <t>12.94</t>
  </si>
  <si>
    <t>CUST_2389</t>
  </si>
  <si>
    <t>CUST_2390</t>
  </si>
  <si>
    <t>CUST_2391</t>
  </si>
  <si>
    <t>CUST_2392</t>
  </si>
  <si>
    <t>CUST_2393</t>
  </si>
  <si>
    <t>CUST_2394</t>
  </si>
  <si>
    <t>CUST_2395</t>
  </si>
  <si>
    <t>CUST_2396</t>
  </si>
  <si>
    <t>CUST_2397</t>
  </si>
  <si>
    <t>CUST_2398</t>
  </si>
  <si>
    <t>CUST_2399</t>
  </si>
  <si>
    <t>CUST_2400</t>
  </si>
  <si>
    <t>CUST_2401</t>
  </si>
  <si>
    <t>CUST_2402</t>
  </si>
  <si>
    <t>CUST_2403</t>
  </si>
  <si>
    <t>CUST_2404</t>
  </si>
  <si>
    <t>CUST_2405</t>
  </si>
  <si>
    <t>CUST_2406</t>
  </si>
  <si>
    <t>CUST_2407</t>
  </si>
  <si>
    <t>CUST_2408</t>
  </si>
  <si>
    <t>CUST_2409</t>
  </si>
  <si>
    <t>CUST_2410</t>
  </si>
  <si>
    <t>CUST_2411</t>
  </si>
  <si>
    <t>CUST_2412</t>
  </si>
  <si>
    <t>7.51</t>
  </si>
  <si>
    <t>CUST_2413</t>
  </si>
  <si>
    <t>15.54</t>
  </si>
  <si>
    <t>CUST_2414</t>
  </si>
  <si>
    <t>18.28</t>
  </si>
  <si>
    <t>CUST_2415</t>
  </si>
  <si>
    <t>CUST_2416</t>
  </si>
  <si>
    <t>CUST_2417</t>
  </si>
  <si>
    <t>4.08</t>
  </si>
  <si>
    <t>CUST_2418</t>
  </si>
  <si>
    <t>CUST_2419</t>
  </si>
  <si>
    <t>CUST_2420</t>
  </si>
  <si>
    <t>CUST_2421</t>
  </si>
  <si>
    <t>19.73</t>
  </si>
  <si>
    <t>CUST_2422</t>
  </si>
  <si>
    <t>CUST_2423</t>
  </si>
  <si>
    <t>5.59</t>
  </si>
  <si>
    <t>CUST_2424</t>
  </si>
  <si>
    <t>CUST_2425</t>
  </si>
  <si>
    <t>CUST_2426</t>
  </si>
  <si>
    <t>CUST_2427</t>
  </si>
  <si>
    <t>CUST_2428</t>
  </si>
  <si>
    <t>CUST_2429</t>
  </si>
  <si>
    <t>CUST_2430</t>
  </si>
  <si>
    <t>CUST_2431</t>
  </si>
  <si>
    <t>12.89</t>
  </si>
  <si>
    <t>CUST_2432</t>
  </si>
  <si>
    <t>CUST_2433</t>
  </si>
  <si>
    <t>CUST_2434</t>
  </si>
  <si>
    <t>CUST_2435</t>
  </si>
  <si>
    <t>CUST_2436</t>
  </si>
  <si>
    <t>CUST_2437</t>
  </si>
  <si>
    <t>CUST_2438</t>
  </si>
  <si>
    <t>14.68</t>
  </si>
  <si>
    <t>CUST_2439</t>
  </si>
  <si>
    <t>9.4</t>
  </si>
  <si>
    <t>CUST_2440</t>
  </si>
  <si>
    <t>CUST_2441</t>
  </si>
  <si>
    <t>CUST_2442</t>
  </si>
  <si>
    <t>CUST_2443</t>
  </si>
  <si>
    <t>CUST_2444</t>
  </si>
  <si>
    <t>CUST_2445</t>
  </si>
  <si>
    <t>CUST_2446</t>
  </si>
  <si>
    <t>CUST_2447</t>
  </si>
  <si>
    <t>CUST_2448</t>
  </si>
  <si>
    <t>CUST_2449</t>
  </si>
  <si>
    <t>4.84</t>
  </si>
  <si>
    <t>CUST_2450</t>
  </si>
  <si>
    <t>CUST_2451</t>
  </si>
  <si>
    <t>CUST_2452</t>
  </si>
  <si>
    <t>CUST_2453</t>
  </si>
  <si>
    <t>CUST_2454</t>
  </si>
  <si>
    <t>19.42</t>
  </si>
  <si>
    <t>CUST_2455</t>
  </si>
  <si>
    <t>CUST_2456</t>
  </si>
  <si>
    <t>12.92</t>
  </si>
  <si>
    <t>CUST_2457</t>
  </si>
  <si>
    <t>CUST_2458</t>
  </si>
  <si>
    <t>CUST_2459</t>
  </si>
  <si>
    <t>13.58</t>
  </si>
  <si>
    <t>CUST_2460</t>
  </si>
  <si>
    <t>CUST_2461</t>
  </si>
  <si>
    <t>11.92</t>
  </si>
  <si>
    <t>CUST_2462</t>
  </si>
  <si>
    <t>CUST_2463</t>
  </si>
  <si>
    <t>CUST_2464</t>
  </si>
  <si>
    <t>CUST_2465</t>
  </si>
  <si>
    <t>CUST_2466</t>
  </si>
  <si>
    <t>CUST_2467</t>
  </si>
  <si>
    <t>CUST_2468</t>
  </si>
  <si>
    <t>CUST_2469</t>
  </si>
  <si>
    <t>CUST_2470</t>
  </si>
  <si>
    <t>CUST_2471</t>
  </si>
  <si>
    <t>CUST_2472</t>
  </si>
  <si>
    <t>CUST_2473</t>
  </si>
  <si>
    <t>CUST_2474</t>
  </si>
  <si>
    <t>CUST_2475</t>
  </si>
  <si>
    <t>CUST_2476</t>
  </si>
  <si>
    <t>CUST_2477</t>
  </si>
  <si>
    <t>14.56</t>
  </si>
  <si>
    <t>CUST_2478</t>
  </si>
  <si>
    <t>CUST_2479</t>
  </si>
  <si>
    <t>CUST_2480</t>
  </si>
  <si>
    <t>CUST_2481</t>
  </si>
  <si>
    <t>CUST_2482</t>
  </si>
  <si>
    <t>CUST_2483</t>
  </si>
  <si>
    <t>CUST_2484</t>
  </si>
  <si>
    <t>CUST_2485</t>
  </si>
  <si>
    <t>CUST_2486</t>
  </si>
  <si>
    <t>CUST_2487</t>
  </si>
  <si>
    <t>CUST_2488</t>
  </si>
  <si>
    <t>CUST_2489</t>
  </si>
  <si>
    <t>CUST_2490</t>
  </si>
  <si>
    <t>CUST_2491</t>
  </si>
  <si>
    <t>CUST_2492</t>
  </si>
  <si>
    <t>CUST_2493</t>
  </si>
  <si>
    <t>CUST_2494</t>
  </si>
  <si>
    <t>CUST_2495</t>
  </si>
  <si>
    <t>16.16</t>
  </si>
  <si>
    <t>CUST_2496</t>
  </si>
  <si>
    <t>CUST_2497</t>
  </si>
  <si>
    <t>17.21</t>
  </si>
  <si>
    <t>CUST_2498</t>
  </si>
  <si>
    <t>CUST_2499</t>
  </si>
  <si>
    <t>CUST_2500</t>
  </si>
  <si>
    <t>CUST_2501</t>
  </si>
  <si>
    <t>CUST_2502</t>
  </si>
  <si>
    <t>CUST_2503</t>
  </si>
  <si>
    <t>CUST_2504</t>
  </si>
  <si>
    <t>CUST_2505</t>
  </si>
  <si>
    <t>CUST_2506</t>
  </si>
  <si>
    <t>CUST_2507</t>
  </si>
  <si>
    <t>CUST_2508</t>
  </si>
  <si>
    <t>4.58</t>
  </si>
  <si>
    <t>CUST_2509</t>
  </si>
  <si>
    <t>CUST_2510</t>
  </si>
  <si>
    <t>8.23</t>
  </si>
  <si>
    <t>CUST_2511</t>
  </si>
  <si>
    <t>18.7</t>
  </si>
  <si>
    <t>CUST_2512</t>
  </si>
  <si>
    <t>CUST_2513</t>
  </si>
  <si>
    <t>CUST_2514</t>
  </si>
  <si>
    <t>CUST_2515</t>
  </si>
  <si>
    <t>CUST_2516</t>
  </si>
  <si>
    <t>CUST_2517</t>
  </si>
  <si>
    <t>CUST_2518</t>
  </si>
  <si>
    <t>CUST_2519</t>
  </si>
  <si>
    <t>13.94</t>
  </si>
  <si>
    <t>CUST_2520</t>
  </si>
  <si>
    <t>CUST_2521</t>
  </si>
  <si>
    <t>CUST_2522</t>
  </si>
  <si>
    <t>17.83</t>
  </si>
  <si>
    <t>CUST_2523</t>
  </si>
  <si>
    <t>CUST_2524</t>
  </si>
  <si>
    <t>CUST_2525</t>
  </si>
  <si>
    <t>CUST_2526</t>
  </si>
  <si>
    <t>CUST_2527</t>
  </si>
  <si>
    <t>CUST_2528</t>
  </si>
  <si>
    <t>CUST_2529</t>
  </si>
  <si>
    <t>CUST_2530</t>
  </si>
  <si>
    <t>CUST_2531</t>
  </si>
  <si>
    <t>CUST_2532</t>
  </si>
  <si>
    <t>16.34</t>
  </si>
  <si>
    <t>CUST_2533</t>
  </si>
  <si>
    <t>CUST_2534</t>
  </si>
  <si>
    <t>CUST_2535</t>
  </si>
  <si>
    <t>CUST_2536</t>
  </si>
  <si>
    <t>CUST_2537</t>
  </si>
  <si>
    <t>CUST_2538</t>
  </si>
  <si>
    <t>8.96</t>
  </si>
  <si>
    <t>CUST_2539</t>
  </si>
  <si>
    <t>CUST_2540</t>
  </si>
  <si>
    <t>12.34</t>
  </si>
  <si>
    <t>CUST_2541</t>
  </si>
  <si>
    <t>6.63</t>
  </si>
  <si>
    <t>CUST_2542</t>
  </si>
  <si>
    <t>CUST_2543</t>
  </si>
  <si>
    <t>CUST_2544</t>
  </si>
  <si>
    <t>CUST_2545</t>
  </si>
  <si>
    <t>CUST_2546</t>
  </si>
  <si>
    <t>CUST_2547</t>
  </si>
  <si>
    <t>CUST_2548</t>
  </si>
  <si>
    <t>5.69</t>
  </si>
  <si>
    <t>CUST_2549</t>
  </si>
  <si>
    <t>CUST_2550</t>
  </si>
  <si>
    <t>CUST_2551</t>
  </si>
  <si>
    <t>CUST_2552</t>
  </si>
  <si>
    <t>CUST_2553</t>
  </si>
  <si>
    <t>CUST_2554</t>
  </si>
  <si>
    <t>CUST_2555</t>
  </si>
  <si>
    <t>CUST_2556</t>
  </si>
  <si>
    <t>CUST_2557</t>
  </si>
  <si>
    <t>CUST_2558</t>
  </si>
  <si>
    <t>17.22</t>
  </si>
  <si>
    <t>CUST_2559</t>
  </si>
  <si>
    <t>CUST_2560</t>
  </si>
  <si>
    <t>CUST_2561</t>
  </si>
  <si>
    <t>CUST_2562</t>
  </si>
  <si>
    <t>CUST_2563</t>
  </si>
  <si>
    <t>CUST_2564</t>
  </si>
  <si>
    <t>CUST_2565</t>
  </si>
  <si>
    <t>CUST_2566</t>
  </si>
  <si>
    <t>CUST_2567</t>
  </si>
  <si>
    <t>8.76</t>
  </si>
  <si>
    <t>CUST_2568</t>
  </si>
  <si>
    <t>CUST_2569</t>
  </si>
  <si>
    <t>CUST_2570</t>
  </si>
  <si>
    <t>17.75</t>
  </si>
  <si>
    <t>CUST_2571</t>
  </si>
  <si>
    <t>CUST_2572</t>
  </si>
  <si>
    <t>CUST_2573</t>
  </si>
  <si>
    <t>CUST_2574</t>
  </si>
  <si>
    <t>CUST_2575</t>
  </si>
  <si>
    <t>CUST_2576</t>
  </si>
  <si>
    <t>CUST_2577</t>
  </si>
  <si>
    <t>CUST_2578</t>
  </si>
  <si>
    <t>CUST_2579</t>
  </si>
  <si>
    <t>CUST_2580</t>
  </si>
  <si>
    <t>CUST_2581</t>
  </si>
  <si>
    <t>CUST_2582</t>
  </si>
  <si>
    <t>CUST_2583</t>
  </si>
  <si>
    <t>CUST_2584</t>
  </si>
  <si>
    <t>CUST_2585</t>
  </si>
  <si>
    <t>CUST_2586</t>
  </si>
  <si>
    <t>CUST_2587</t>
  </si>
  <si>
    <t>16.77</t>
  </si>
  <si>
    <t>CUST_2588</t>
  </si>
  <si>
    <t>CUST_2589</t>
  </si>
  <si>
    <t>CUST_2590</t>
  </si>
  <si>
    <t>CUST_2591</t>
  </si>
  <si>
    <t>CUST_2592</t>
  </si>
  <si>
    <t>CUST_2593</t>
  </si>
  <si>
    <t>CUST_2594</t>
  </si>
  <si>
    <t>CUST_2595</t>
  </si>
  <si>
    <t>CUST_2596</t>
  </si>
  <si>
    <t>CUST_2597</t>
  </si>
  <si>
    <t>CUST_2598</t>
  </si>
  <si>
    <t>CUST_2599</t>
  </si>
  <si>
    <t>13.25</t>
  </si>
  <si>
    <t>CUST_2600</t>
  </si>
  <si>
    <t>CUST_2601</t>
  </si>
  <si>
    <t>CUST_2602</t>
  </si>
  <si>
    <t>CUST_2603</t>
  </si>
  <si>
    <t>CUST_2604</t>
  </si>
  <si>
    <t>5.12</t>
  </si>
  <si>
    <t>CUST_2605</t>
  </si>
  <si>
    <t>CUST_2606</t>
  </si>
  <si>
    <t>8.66</t>
  </si>
  <si>
    <t>CUST_2607</t>
  </si>
  <si>
    <t>CUST_2608</t>
  </si>
  <si>
    <t>CUST_2609</t>
  </si>
  <si>
    <t>CUST_2610</t>
  </si>
  <si>
    <t>CUST_2611</t>
  </si>
  <si>
    <t>9.55</t>
  </si>
  <si>
    <t>CUST_2612</t>
  </si>
  <si>
    <t>19.29</t>
  </si>
  <si>
    <t>CUST_2613</t>
  </si>
  <si>
    <t>CUST_2614</t>
  </si>
  <si>
    <t>CUST_2615</t>
  </si>
  <si>
    <t>CUST_2616</t>
  </si>
  <si>
    <t>CUST_2617</t>
  </si>
  <si>
    <t>CUST_2618</t>
  </si>
  <si>
    <t>CUST_2619</t>
  </si>
  <si>
    <t>CUST_2620</t>
  </si>
  <si>
    <t>17.35</t>
  </si>
  <si>
    <t>CUST_2621</t>
  </si>
  <si>
    <t>13.57</t>
  </si>
  <si>
    <t>CUST_2622</t>
  </si>
  <si>
    <t>CUST_2623</t>
  </si>
  <si>
    <t>18.78</t>
  </si>
  <si>
    <t>CUST_2624</t>
  </si>
  <si>
    <t>CUST_2625</t>
  </si>
  <si>
    <t>CUST_2626</t>
  </si>
  <si>
    <t>13.02</t>
  </si>
  <si>
    <t>CUST_2627</t>
  </si>
  <si>
    <t>14.38</t>
  </si>
  <si>
    <t>CUST_2628</t>
  </si>
  <si>
    <t>CUST_2629</t>
  </si>
  <si>
    <t>CUST_2630</t>
  </si>
  <si>
    <t>CUST_2631</t>
  </si>
  <si>
    <t>16.29</t>
  </si>
  <si>
    <t>CUST_2632</t>
  </si>
  <si>
    <t>CUST_2633</t>
  </si>
  <si>
    <t>CUST_2634</t>
  </si>
  <si>
    <t>CUST_2635</t>
  </si>
  <si>
    <t>CUST_2636</t>
  </si>
  <si>
    <t>CUST_2637</t>
  </si>
  <si>
    <t>6.73</t>
  </si>
  <si>
    <t>CUST_2638</t>
  </si>
  <si>
    <t>CUST_2639</t>
  </si>
  <si>
    <t>CUST_2640</t>
  </si>
  <si>
    <t>CUST_2641</t>
  </si>
  <si>
    <t>CUST_2642</t>
  </si>
  <si>
    <t>CUST_2643</t>
  </si>
  <si>
    <t>CUST_2644</t>
  </si>
  <si>
    <t>CUST_2645</t>
  </si>
  <si>
    <t>8.81</t>
  </si>
  <si>
    <t>CUST_2646</t>
  </si>
  <si>
    <t>CUST_2647</t>
  </si>
  <si>
    <t>CUST_2648</t>
  </si>
  <si>
    <t>CUST_2649</t>
  </si>
  <si>
    <t>CUST_2650</t>
  </si>
  <si>
    <t>CUST_2651</t>
  </si>
  <si>
    <t>CUST_2652</t>
  </si>
  <si>
    <t>CUST_2653</t>
  </si>
  <si>
    <t>CUST_2654</t>
  </si>
  <si>
    <t>CUST_2655</t>
  </si>
  <si>
    <t>CUST_2656</t>
  </si>
  <si>
    <t>CUST_2657</t>
  </si>
  <si>
    <t>CUST_2658</t>
  </si>
  <si>
    <t>CUST_2659</t>
  </si>
  <si>
    <t>CUST_2660</t>
  </si>
  <si>
    <t>CUST_2661</t>
  </si>
  <si>
    <t>CUST_2662</t>
  </si>
  <si>
    <t>CUST_2663</t>
  </si>
  <si>
    <t>CUST_2664</t>
  </si>
  <si>
    <t>CUST_2665</t>
  </si>
  <si>
    <t>CUST_2666</t>
  </si>
  <si>
    <t>CUST_2667</t>
  </si>
  <si>
    <t>18.09</t>
  </si>
  <si>
    <t>CUST_2668</t>
  </si>
  <si>
    <t>CUST_2669</t>
  </si>
  <si>
    <t>CUST_2670</t>
  </si>
  <si>
    <t>CUST_2671</t>
  </si>
  <si>
    <t>CUST_2672</t>
  </si>
  <si>
    <t>CUST_2673</t>
  </si>
  <si>
    <t>CUST_2674</t>
  </si>
  <si>
    <t>CUST_2675</t>
  </si>
  <si>
    <t>CUST_2676</t>
  </si>
  <si>
    <t>CUST_2677</t>
  </si>
  <si>
    <t>14.01</t>
  </si>
  <si>
    <t>CUST_2678</t>
  </si>
  <si>
    <t>CUST_2679</t>
  </si>
  <si>
    <t>6.1</t>
  </si>
  <si>
    <t>CUST_2680</t>
  </si>
  <si>
    <t>CUST_2681</t>
  </si>
  <si>
    <t>CUST_2682</t>
  </si>
  <si>
    <t>CUST_2683</t>
  </si>
  <si>
    <t>13.85</t>
  </si>
  <si>
    <t>CUST_2684</t>
  </si>
  <si>
    <t>CUST_2685</t>
  </si>
  <si>
    <t>CUST_2686</t>
  </si>
  <si>
    <t>CUST_2687</t>
  </si>
  <si>
    <t>CUST_2688</t>
  </si>
  <si>
    <t>CUST_2689</t>
  </si>
  <si>
    <t>CUST_2690</t>
  </si>
  <si>
    <t>CUST_2691</t>
  </si>
  <si>
    <t>CUST_2692</t>
  </si>
  <si>
    <t>CUST_2693</t>
  </si>
  <si>
    <t>CUST_2694</t>
  </si>
  <si>
    <t>CUST_2695</t>
  </si>
  <si>
    <t>CUST_2696</t>
  </si>
  <si>
    <t>CUST_2697</t>
  </si>
  <si>
    <t>CUST_2698</t>
  </si>
  <si>
    <t>CUST_2699</t>
  </si>
  <si>
    <t>CUST_2700</t>
  </si>
  <si>
    <t>18.9</t>
  </si>
  <si>
    <t>CUST_2701</t>
  </si>
  <si>
    <t>CUST_2702</t>
  </si>
  <si>
    <t>CUST_2703</t>
  </si>
  <si>
    <t>CUST_2704</t>
  </si>
  <si>
    <t>CUST_2705</t>
  </si>
  <si>
    <t>CUST_2706</t>
  </si>
  <si>
    <t>CUST_2707</t>
  </si>
  <si>
    <t>15.34</t>
  </si>
  <si>
    <t>CUST_2708</t>
  </si>
  <si>
    <t>CUST_2709</t>
  </si>
  <si>
    <t>CUST_2710</t>
  </si>
  <si>
    <t>19.74</t>
  </si>
  <si>
    <t>CUST_2711</t>
  </si>
  <si>
    <t>CUST_2712</t>
  </si>
  <si>
    <t>7.52</t>
  </si>
  <si>
    <t>CUST_2713</t>
  </si>
  <si>
    <t>CUST_2714</t>
  </si>
  <si>
    <t>CUST_2715</t>
  </si>
  <si>
    <t>CUST_2716</t>
  </si>
  <si>
    <t>CUST_2717</t>
  </si>
  <si>
    <t>CUST_2718</t>
  </si>
  <si>
    <t>CUST_2719</t>
  </si>
  <si>
    <t>CUST_2720</t>
  </si>
  <si>
    <t>CUST_2721</t>
  </si>
  <si>
    <t>CUST_2722</t>
  </si>
  <si>
    <t>CUST_2723</t>
  </si>
  <si>
    <t>19.43</t>
  </si>
  <si>
    <t>CUST_2724</t>
  </si>
  <si>
    <t>CUST_2725</t>
  </si>
  <si>
    <t>CUST_2726</t>
  </si>
  <si>
    <t>CUST_2727</t>
  </si>
  <si>
    <t>CUST_2728</t>
  </si>
  <si>
    <t>CUST_2729</t>
  </si>
  <si>
    <t>CUST_2730</t>
  </si>
  <si>
    <t>CUST_2731</t>
  </si>
  <si>
    <t>CUST_2732</t>
  </si>
  <si>
    <t>5.49</t>
  </si>
  <si>
    <t>CUST_2733</t>
  </si>
  <si>
    <t>CUST_2734</t>
  </si>
  <si>
    <t>CUST_2735</t>
  </si>
  <si>
    <t>CUST_2736</t>
  </si>
  <si>
    <t>CUST_2737</t>
  </si>
  <si>
    <t>5.97</t>
  </si>
  <si>
    <t>CUST_2738</t>
  </si>
  <si>
    <t>CUST_2739</t>
  </si>
  <si>
    <t>CUST_2740</t>
  </si>
  <si>
    <t>CUST_2741</t>
  </si>
  <si>
    <t>CUST_2742</t>
  </si>
  <si>
    <t>CUST_2743</t>
  </si>
  <si>
    <t>CUST_2744</t>
  </si>
  <si>
    <t>CUST_2745</t>
  </si>
  <si>
    <t>CUST_2746</t>
  </si>
  <si>
    <t>CUST_2747</t>
  </si>
  <si>
    <t>CUST_2748</t>
  </si>
  <si>
    <t>CUST_2749</t>
  </si>
  <si>
    <t>CUST_2750</t>
  </si>
  <si>
    <t>CUST_2751</t>
  </si>
  <si>
    <t>CUST_2752</t>
  </si>
  <si>
    <t>CUST_2753</t>
  </si>
  <si>
    <t>CUST_2754</t>
  </si>
  <si>
    <t>12.66</t>
  </si>
  <si>
    <t>CUST_2755</t>
  </si>
  <si>
    <t>CUST_2756</t>
  </si>
  <si>
    <t>CUST_2757</t>
  </si>
  <si>
    <t>CUST_2758</t>
  </si>
  <si>
    <t>CUST_2759</t>
  </si>
  <si>
    <t>CUST_2760</t>
  </si>
  <si>
    <t>CUST_2761</t>
  </si>
  <si>
    <t>CUST_2762</t>
  </si>
  <si>
    <t>CUST_2763</t>
  </si>
  <si>
    <t>CUST_2764</t>
  </si>
  <si>
    <t>CUST_2765</t>
  </si>
  <si>
    <t>CUST_2766</t>
  </si>
  <si>
    <t>CUST_2767</t>
  </si>
  <si>
    <t>10.57</t>
  </si>
  <si>
    <t>CUST_2768</t>
  </si>
  <si>
    <t>CUST_2769</t>
  </si>
  <si>
    <t>CUST_2770</t>
  </si>
  <si>
    <t>CUST_2771</t>
  </si>
  <si>
    <t>CUST_2772</t>
  </si>
  <si>
    <t>CUST_2773</t>
  </si>
  <si>
    <t>CUST_2774</t>
  </si>
  <si>
    <t>15.28</t>
  </si>
  <si>
    <t>CUST_2775</t>
  </si>
  <si>
    <t>CUST_2776</t>
  </si>
  <si>
    <t>CUST_2777</t>
  </si>
  <si>
    <t>CUST_2778</t>
  </si>
  <si>
    <t>4.29</t>
  </si>
  <si>
    <t>CUST_2779</t>
  </si>
  <si>
    <t>10.12</t>
  </si>
  <si>
    <t>CUST_2780</t>
  </si>
  <si>
    <t>CUST_2781</t>
  </si>
  <si>
    <t>CUST_2782</t>
  </si>
  <si>
    <t>CUST_2783</t>
  </si>
  <si>
    <t>CUST_2784</t>
  </si>
  <si>
    <t>CUST_2785</t>
  </si>
  <si>
    <t>CUST_2786</t>
  </si>
  <si>
    <t>CUST_2787</t>
  </si>
  <si>
    <t>CUST_2788</t>
  </si>
  <si>
    <t>CUST_2789</t>
  </si>
  <si>
    <t>CUST_2790</t>
  </si>
  <si>
    <t>CUST_2791</t>
  </si>
  <si>
    <t>CUST_2792</t>
  </si>
  <si>
    <t>CUST_2793</t>
  </si>
  <si>
    <t>CUST_2794</t>
  </si>
  <si>
    <t>CUST_2795</t>
  </si>
  <si>
    <t>CUST_2796</t>
  </si>
  <si>
    <t>CUST_2797</t>
  </si>
  <si>
    <t>CUST_2798</t>
  </si>
  <si>
    <t>CUST_2799</t>
  </si>
  <si>
    <t>CUST_2800</t>
  </si>
  <si>
    <t>CUST_2801</t>
  </si>
  <si>
    <t>CUST_2802</t>
  </si>
  <si>
    <t>CUST_2803</t>
  </si>
  <si>
    <t>CUST_2804</t>
  </si>
  <si>
    <t>9.9</t>
  </si>
  <si>
    <t>CUST_2805</t>
  </si>
  <si>
    <t>CUST_2806</t>
  </si>
  <si>
    <t>13.95</t>
  </si>
  <si>
    <t>CUST_2807</t>
  </si>
  <si>
    <t>CUST_2808</t>
  </si>
  <si>
    <t>CUST_2809</t>
  </si>
  <si>
    <t>CUST_2810</t>
  </si>
  <si>
    <t>CUST_2811</t>
  </si>
  <si>
    <t>CUST_2812</t>
  </si>
  <si>
    <t>CUST_2813</t>
  </si>
  <si>
    <t>CUST_2814</t>
  </si>
  <si>
    <t>CUST_2815</t>
  </si>
  <si>
    <t>CUST_2816</t>
  </si>
  <si>
    <t>CUST_2817</t>
  </si>
  <si>
    <t>CUST_2818</t>
  </si>
  <si>
    <t>CUST_2819</t>
  </si>
  <si>
    <t>CUST_2820</t>
  </si>
  <si>
    <t>CUST_2821</t>
  </si>
  <si>
    <t>CUST_2822</t>
  </si>
  <si>
    <t>CUST_2823</t>
  </si>
  <si>
    <t>CUST_2824</t>
  </si>
  <si>
    <t>CUST_2825</t>
  </si>
  <si>
    <t>CUST_2826</t>
  </si>
  <si>
    <t>CUST_2827</t>
  </si>
  <si>
    <t>CUST_2828</t>
  </si>
  <si>
    <t>CUST_2829</t>
  </si>
  <si>
    <t>CUST_2830</t>
  </si>
  <si>
    <t>CUST_2831</t>
  </si>
  <si>
    <t>CUST_2832</t>
  </si>
  <si>
    <t>CUST_2833</t>
  </si>
  <si>
    <t>CUST_2834</t>
  </si>
  <si>
    <t>CUST_2835</t>
  </si>
  <si>
    <t>CUST_2836</t>
  </si>
  <si>
    <t>CUST_2837</t>
  </si>
  <si>
    <t>CUST_2838</t>
  </si>
  <si>
    <t>CUST_2839</t>
  </si>
  <si>
    <t>CUST_2840</t>
  </si>
  <si>
    <t>CUST_2841</t>
  </si>
  <si>
    <t>CUST_2842</t>
  </si>
  <si>
    <t>CUST_2843</t>
  </si>
  <si>
    <t>CUST_2844</t>
  </si>
  <si>
    <t>CUST_2845</t>
  </si>
  <si>
    <t>CUST_2846</t>
  </si>
  <si>
    <t>CUST_2847</t>
  </si>
  <si>
    <t>CUST_2848</t>
  </si>
  <si>
    <t>CUST_2849</t>
  </si>
  <si>
    <t>CUST_2850</t>
  </si>
  <si>
    <t>7.54</t>
  </si>
  <si>
    <t>CUST_2851</t>
  </si>
  <si>
    <t>CUST_2852</t>
  </si>
  <si>
    <t>CUST_2853</t>
  </si>
  <si>
    <t>CUST_2854</t>
  </si>
  <si>
    <t>CUST_2855</t>
  </si>
  <si>
    <t>CUST_2856</t>
  </si>
  <si>
    <t>CUST_2857</t>
  </si>
  <si>
    <t>CUST_2858</t>
  </si>
  <si>
    <t>CUST_2859</t>
  </si>
  <si>
    <t>CUST_2860</t>
  </si>
  <si>
    <t>CUST_2861</t>
  </si>
  <si>
    <t>CUST_2862</t>
  </si>
  <si>
    <t>CUST_2863</t>
  </si>
  <si>
    <t>CUST_2864</t>
  </si>
  <si>
    <t>CUST_2865</t>
  </si>
  <si>
    <t>CUST_2866</t>
  </si>
  <si>
    <t>8.64</t>
  </si>
  <si>
    <t>CUST_2867</t>
  </si>
  <si>
    <t>CUST_2868</t>
  </si>
  <si>
    <t>CUST_2869</t>
  </si>
  <si>
    <t>CUST_2870</t>
  </si>
  <si>
    <t>CUST_2871</t>
  </si>
  <si>
    <t>CUST_2872</t>
  </si>
  <si>
    <t>CUST_2873</t>
  </si>
  <si>
    <t>CUST_2874</t>
  </si>
  <si>
    <t>4.89</t>
  </si>
  <si>
    <t>CUST_2875</t>
  </si>
  <si>
    <t>7.2</t>
  </si>
  <si>
    <t>CUST_2876</t>
  </si>
  <si>
    <t>CUST_2877</t>
  </si>
  <si>
    <t>CUST_2878</t>
  </si>
  <si>
    <t>CUST_2879</t>
  </si>
  <si>
    <t>CUST_2880</t>
  </si>
  <si>
    <t>CUST_2881</t>
  </si>
  <si>
    <t>CUST_2882</t>
  </si>
  <si>
    <t>CUST_2883</t>
  </si>
  <si>
    <t>14.4</t>
  </si>
  <si>
    <t>CUST_2884</t>
  </si>
  <si>
    <t>CUST_2885</t>
  </si>
  <si>
    <t>CUST_2886</t>
  </si>
  <si>
    <t>CUST_2887</t>
  </si>
  <si>
    <t>CUST_2888</t>
  </si>
  <si>
    <t>CUST_2889</t>
  </si>
  <si>
    <t>CUST_2890</t>
  </si>
  <si>
    <t>7.21</t>
  </si>
  <si>
    <t>CUST_2891</t>
  </si>
  <si>
    <t>CUST_2892</t>
  </si>
  <si>
    <t>CUST_2893</t>
  </si>
  <si>
    <t>CUST_2894</t>
  </si>
  <si>
    <t>CUST_2895</t>
  </si>
  <si>
    <t>CUST_2896</t>
  </si>
  <si>
    <t>CUST_2897</t>
  </si>
  <si>
    <t>CUST_2898</t>
  </si>
  <si>
    <t>CUST_2899</t>
  </si>
  <si>
    <t>CUST_2900</t>
  </si>
  <si>
    <t>CUST_2901</t>
  </si>
  <si>
    <t>CUST_2902</t>
  </si>
  <si>
    <t>CUST_2903</t>
  </si>
  <si>
    <t>13.19</t>
  </si>
  <si>
    <t>CUST_2904</t>
  </si>
  <si>
    <t>CUST_2905</t>
  </si>
  <si>
    <t>CUST_2906</t>
  </si>
  <si>
    <t>CUST_2907</t>
  </si>
  <si>
    <t>CUST_2908</t>
  </si>
  <si>
    <t>14.19</t>
  </si>
  <si>
    <t>CUST_2909</t>
  </si>
  <si>
    <t>CUST_2910</t>
  </si>
  <si>
    <t>CUST_2911</t>
  </si>
  <si>
    <t>CUST_2912</t>
  </si>
  <si>
    <t>CUST_2913</t>
  </si>
  <si>
    <t>CUST_2914</t>
  </si>
  <si>
    <t>CUST_2915</t>
  </si>
  <si>
    <t>CUST_2916</t>
  </si>
  <si>
    <t>CUST_2917</t>
  </si>
  <si>
    <t>CUST_2918</t>
  </si>
  <si>
    <t>CUST_2919</t>
  </si>
  <si>
    <t>CUST_2920</t>
  </si>
  <si>
    <t>CUST_2921</t>
  </si>
  <si>
    <t>CUST_2922</t>
  </si>
  <si>
    <t>CUST_2923</t>
  </si>
  <si>
    <t>CUST_2924</t>
  </si>
  <si>
    <t>CUST_2925</t>
  </si>
  <si>
    <t>CUST_2926</t>
  </si>
  <si>
    <t>7.03</t>
  </si>
  <si>
    <t>CUST_2927</t>
  </si>
  <si>
    <t>15.43</t>
  </si>
  <si>
    <t>CUST_2928</t>
  </si>
  <si>
    <t>CUST_2929</t>
  </si>
  <si>
    <t>12.69</t>
  </si>
  <si>
    <t>CUST_2930</t>
  </si>
  <si>
    <t>8.46</t>
  </si>
  <si>
    <t>CUST_2931</t>
  </si>
  <si>
    <t>CUST_2932</t>
  </si>
  <si>
    <t>CUST_2933</t>
  </si>
  <si>
    <t>CUST_2934</t>
  </si>
  <si>
    <t>CUST_2935</t>
  </si>
  <si>
    <t>CUST_2936</t>
  </si>
  <si>
    <t>CUST_2937</t>
  </si>
  <si>
    <t>CUST_2938</t>
  </si>
  <si>
    <t>CUST_2939</t>
  </si>
  <si>
    <t>15.59</t>
  </si>
  <si>
    <t>CUST_2940</t>
  </si>
  <si>
    <t>CUST_2941</t>
  </si>
  <si>
    <t>CUST_2942</t>
  </si>
  <si>
    <t>CUST_2943</t>
  </si>
  <si>
    <t>CUST_2944</t>
  </si>
  <si>
    <t>CUST_2945</t>
  </si>
  <si>
    <t>CUST_2946</t>
  </si>
  <si>
    <t>CUST_2947</t>
  </si>
  <si>
    <t>CUST_2948</t>
  </si>
  <si>
    <t>CUST_2949</t>
  </si>
  <si>
    <t>CUST_2950</t>
  </si>
  <si>
    <t>13.15</t>
  </si>
  <si>
    <t>CUST_2951</t>
  </si>
  <si>
    <t>CUST_2952</t>
  </si>
  <si>
    <t>CUST_2953</t>
  </si>
  <si>
    <t>12.59</t>
  </si>
  <si>
    <t>CUST_2954</t>
  </si>
  <si>
    <t>CUST_2955</t>
  </si>
  <si>
    <t>CUST_2956</t>
  </si>
  <si>
    <t>CUST_2957</t>
  </si>
  <si>
    <t>CUST_2958</t>
  </si>
  <si>
    <t>CUST_2959</t>
  </si>
  <si>
    <t>CUST_2960</t>
  </si>
  <si>
    <t>CUST_2961</t>
  </si>
  <si>
    <t>CUST_2962</t>
  </si>
  <si>
    <t>CUST_2963</t>
  </si>
  <si>
    <t>CUST_2964</t>
  </si>
  <si>
    <t>CUST_2965</t>
  </si>
  <si>
    <t>CUST_2966</t>
  </si>
  <si>
    <t>CUST_2967</t>
  </si>
  <si>
    <t>CUST_2968</t>
  </si>
  <si>
    <t>CUST_2969</t>
  </si>
  <si>
    <t>13.37</t>
  </si>
  <si>
    <t>CUST_2970</t>
  </si>
  <si>
    <t>CUST_2971</t>
  </si>
  <si>
    <t>11.34</t>
  </si>
  <si>
    <t>CUST_2972</t>
  </si>
  <si>
    <t>CUST_2973</t>
  </si>
  <si>
    <t>CUST_2974</t>
  </si>
  <si>
    <t>9.77</t>
  </si>
  <si>
    <t>CUST_2975</t>
  </si>
  <si>
    <t>14.43</t>
  </si>
  <si>
    <t>CUST_2976</t>
  </si>
  <si>
    <t>CUST_2977</t>
  </si>
  <si>
    <t>CUST_2978</t>
  </si>
  <si>
    <t>CUST_2979</t>
  </si>
  <si>
    <t>CUST_2980</t>
  </si>
  <si>
    <t>CUST_2981</t>
  </si>
  <si>
    <t>CUST_2982</t>
  </si>
  <si>
    <t>CUST_2983</t>
  </si>
  <si>
    <t>CUST_2984</t>
  </si>
  <si>
    <t>CUST_2985</t>
  </si>
  <si>
    <t>15.58</t>
  </si>
  <si>
    <t>CUST_2986</t>
  </si>
  <si>
    <t>CUST_2987</t>
  </si>
  <si>
    <t>CUST_2988</t>
  </si>
  <si>
    <t>CUST_2989</t>
  </si>
  <si>
    <t>CUST_2990</t>
  </si>
  <si>
    <t>CUST_2991</t>
  </si>
  <si>
    <t>CUST_2992</t>
  </si>
  <si>
    <t>CUST_2993</t>
  </si>
  <si>
    <t>CUST_2994</t>
  </si>
  <si>
    <t>CUST_2995</t>
  </si>
  <si>
    <t>16.8</t>
  </si>
  <si>
    <t>CUST_2996</t>
  </si>
  <si>
    <t>CUST_2997</t>
  </si>
  <si>
    <t>CUST_2998</t>
  </si>
  <si>
    <t>CUST_2999</t>
  </si>
  <si>
    <t>CUST_3000</t>
  </si>
  <si>
    <t>CUST_3001</t>
  </si>
  <si>
    <t>CUST_3002</t>
  </si>
  <si>
    <t>CUST_3003</t>
  </si>
  <si>
    <t>CUST_3004</t>
  </si>
  <si>
    <t>16.11</t>
  </si>
  <si>
    <t>CUST_3005</t>
  </si>
  <si>
    <t>CUST_3006</t>
  </si>
  <si>
    <t>CUST_3007</t>
  </si>
  <si>
    <t>CUST_3008</t>
  </si>
  <si>
    <t>CUST_3009</t>
  </si>
  <si>
    <t>CUST_3010</t>
  </si>
  <si>
    <t>CUST_3011</t>
  </si>
  <si>
    <t>CUST_3012</t>
  </si>
  <si>
    <t>CUST_3013</t>
  </si>
  <si>
    <t>CUST_3014</t>
  </si>
  <si>
    <t>CUST_3015</t>
  </si>
  <si>
    <t>10.74</t>
  </si>
  <si>
    <t>CUST_3016</t>
  </si>
  <si>
    <t>11.9</t>
  </si>
  <si>
    <t>CUST_3017</t>
  </si>
  <si>
    <t>CUST_3018</t>
  </si>
  <si>
    <t>CUST_3019</t>
  </si>
  <si>
    <t>CUST_3020</t>
  </si>
  <si>
    <t>CUST_3021</t>
  </si>
  <si>
    <t>CUST_3022</t>
  </si>
  <si>
    <t>CUST_3023</t>
  </si>
  <si>
    <t>CUST_3024</t>
  </si>
  <si>
    <t>CUST_3025</t>
  </si>
  <si>
    <t>CUST_3026</t>
  </si>
  <si>
    <t>CUST_3027</t>
  </si>
  <si>
    <t>CUST_3028</t>
  </si>
  <si>
    <t>CUST_3029</t>
  </si>
  <si>
    <t>CUST_3030</t>
  </si>
  <si>
    <t>11.26</t>
  </si>
  <si>
    <t>CUST_3031</t>
  </si>
  <si>
    <t>CUST_3032</t>
  </si>
  <si>
    <t>CUST_3033</t>
  </si>
  <si>
    <t>CUST_3034</t>
  </si>
  <si>
    <t>CUST_3035</t>
  </si>
  <si>
    <t>CUST_3036</t>
  </si>
  <si>
    <t>CUST_3037</t>
  </si>
  <si>
    <t>CUST_3038</t>
  </si>
  <si>
    <t>CUST_3039</t>
  </si>
  <si>
    <t>CUST_3040</t>
  </si>
  <si>
    <t>CUST_3041</t>
  </si>
  <si>
    <t>CUST_3042</t>
  </si>
  <si>
    <t>CUST_3043</t>
  </si>
  <si>
    <t>CUST_3044</t>
  </si>
  <si>
    <t>CUST_3045</t>
  </si>
  <si>
    <t>CUST_3046</t>
  </si>
  <si>
    <t>CUST_3047</t>
  </si>
  <si>
    <t>CUST_3048</t>
  </si>
  <si>
    <t>CUST_3049</t>
  </si>
  <si>
    <t>CUST_3050</t>
  </si>
  <si>
    <t>CUST_3051</t>
  </si>
  <si>
    <t>CUST_3052</t>
  </si>
  <si>
    <t>CUST_3053</t>
  </si>
  <si>
    <t>CUST_3054</t>
  </si>
  <si>
    <t>17.13</t>
  </si>
  <si>
    <t>CUST_3055</t>
  </si>
  <si>
    <t>CUST_3056</t>
  </si>
  <si>
    <t>CUST_3057</t>
  </si>
  <si>
    <t>CUST_3058</t>
  </si>
  <si>
    <t>CUST_3059</t>
  </si>
  <si>
    <t>CUST_3060</t>
  </si>
  <si>
    <t>CUST_3061</t>
  </si>
  <si>
    <t>CUST_3062</t>
  </si>
  <si>
    <t>CUST_3063</t>
  </si>
  <si>
    <t>CUST_3064</t>
  </si>
  <si>
    <t>CUST_3065</t>
  </si>
  <si>
    <t>CUST_3066</t>
  </si>
  <si>
    <t>CUST_3067</t>
  </si>
  <si>
    <t>6.33</t>
  </si>
  <si>
    <t>CUST_3068</t>
  </si>
  <si>
    <t>CUST_3069</t>
  </si>
  <si>
    <t>CUST_3070</t>
  </si>
  <si>
    <t>CUST_3071</t>
  </si>
  <si>
    <t>CUST_3072</t>
  </si>
  <si>
    <t>CUST_3073</t>
  </si>
  <si>
    <t>CUST_3074</t>
  </si>
  <si>
    <t>CUST_3075</t>
  </si>
  <si>
    <t>CUST_3076</t>
  </si>
  <si>
    <t>9.72</t>
  </si>
  <si>
    <t>CUST_3077</t>
  </si>
  <si>
    <t>CUST_3078</t>
  </si>
  <si>
    <t>CUST_3079</t>
  </si>
  <si>
    <t>CUST_3080</t>
  </si>
  <si>
    <t>16.47</t>
  </si>
  <si>
    <t>CUST_3081</t>
  </si>
  <si>
    <t>CUST_3082</t>
  </si>
  <si>
    <t>CUST_3083</t>
  </si>
  <si>
    <t>CUST_3084</t>
  </si>
  <si>
    <t>CUST_3085</t>
  </si>
  <si>
    <t>CUST_3086</t>
  </si>
  <si>
    <t>CUST_3087</t>
  </si>
  <si>
    <t>CUST_3088</t>
  </si>
  <si>
    <t>CUST_3089</t>
  </si>
  <si>
    <t>CUST_3090</t>
  </si>
  <si>
    <t>CUST_3091</t>
  </si>
  <si>
    <t>CUST_3092</t>
  </si>
  <si>
    <t>CUST_3093</t>
  </si>
  <si>
    <t>CUST_3094</t>
  </si>
  <si>
    <t>CUST_3095</t>
  </si>
  <si>
    <t>CUST_3096</t>
  </si>
  <si>
    <t>CUST_3097</t>
  </si>
  <si>
    <t>CUST_3098</t>
  </si>
  <si>
    <t>CUST_3099</t>
  </si>
  <si>
    <t>CUST_3100</t>
  </si>
  <si>
    <t>CUST_3101</t>
  </si>
  <si>
    <t>CUST_3102</t>
  </si>
  <si>
    <t>CUST_3103</t>
  </si>
  <si>
    <t>CUST_3104</t>
  </si>
  <si>
    <t>9.02</t>
  </si>
  <si>
    <t>CUST_3105</t>
  </si>
  <si>
    <t>13.86</t>
  </si>
  <si>
    <t>CUST_3106</t>
  </si>
  <si>
    <t>CUST_3107</t>
  </si>
  <si>
    <t>CUST_3108</t>
  </si>
  <si>
    <t>CUST_3109</t>
  </si>
  <si>
    <t>CUST_3110</t>
  </si>
  <si>
    <t>CUST_3111</t>
  </si>
  <si>
    <t>CUST_3112</t>
  </si>
  <si>
    <t>CUST_3113</t>
  </si>
  <si>
    <t>CUST_3114</t>
  </si>
  <si>
    <t>CUST_3115</t>
  </si>
  <si>
    <t>10.37</t>
  </si>
  <si>
    <t>CUST_3116</t>
  </si>
  <si>
    <t>CUST_3117</t>
  </si>
  <si>
    <t>CUST_3118</t>
  </si>
  <si>
    <t>CUST_3119</t>
  </si>
  <si>
    <t>CUST_3120</t>
  </si>
  <si>
    <t>CUST_3121</t>
  </si>
  <si>
    <t>CUST_3122</t>
  </si>
  <si>
    <t>CUST_3123</t>
  </si>
  <si>
    <t>CUST_3124</t>
  </si>
  <si>
    <t>CUST_3125</t>
  </si>
  <si>
    <t>CUST_3126</t>
  </si>
  <si>
    <t>CUST_3127</t>
  </si>
  <si>
    <t>CUST_3128</t>
  </si>
  <si>
    <t>CUST_3129</t>
  </si>
  <si>
    <t>CUST_3130</t>
  </si>
  <si>
    <t>CUST_3131</t>
  </si>
  <si>
    <t>CUST_3132</t>
  </si>
  <si>
    <t>CUST_3133</t>
  </si>
  <si>
    <t>CUST_3134</t>
  </si>
  <si>
    <t>CUST_3135</t>
  </si>
  <si>
    <t>CUST_3136</t>
  </si>
  <si>
    <t>CUST_3137</t>
  </si>
  <si>
    <t>CUST_3138</t>
  </si>
  <si>
    <t>CUST_3139</t>
  </si>
  <si>
    <t>CUST_3140</t>
  </si>
  <si>
    <t>CUST_3141</t>
  </si>
  <si>
    <t>CUST_3142</t>
  </si>
  <si>
    <t>CUST_3143</t>
  </si>
  <si>
    <t>CUST_3144</t>
  </si>
  <si>
    <t>CUST_3145</t>
  </si>
  <si>
    <t>CUST_3146</t>
  </si>
  <si>
    <t>CUST_3147</t>
  </si>
  <si>
    <t>CUST_3148</t>
  </si>
  <si>
    <t>CUST_3149</t>
  </si>
  <si>
    <t>CUST_3150</t>
  </si>
  <si>
    <t>CUST_3151</t>
  </si>
  <si>
    <t>10.05</t>
  </si>
  <si>
    <t>CUST_3152</t>
  </si>
  <si>
    <t>CUST_3153</t>
  </si>
  <si>
    <t>CUST_3154</t>
  </si>
  <si>
    <t>CUST_3155</t>
  </si>
  <si>
    <t>19.08</t>
  </si>
  <si>
    <t>CUST_3156</t>
  </si>
  <si>
    <t>CUST_3157</t>
  </si>
  <si>
    <t>CUST_3158</t>
  </si>
  <si>
    <t>6.13</t>
  </si>
  <si>
    <t>CUST_3159</t>
  </si>
  <si>
    <t>CUST_3160</t>
  </si>
  <si>
    <t>CUST_3161</t>
  </si>
  <si>
    <t>CUST_3162</t>
  </si>
  <si>
    <t>CUST_3163</t>
  </si>
  <si>
    <t>CUST_3164</t>
  </si>
  <si>
    <t>CUST_3165</t>
  </si>
  <si>
    <t>CUST_3166</t>
  </si>
  <si>
    <t>CUST_3167</t>
  </si>
  <si>
    <t>CUST_3168</t>
  </si>
  <si>
    <t>CUST_3169</t>
  </si>
  <si>
    <t>11.73</t>
  </si>
  <si>
    <t>CUST_3170</t>
  </si>
  <si>
    <t>CUST_3171</t>
  </si>
  <si>
    <t>CUST_3172</t>
  </si>
  <si>
    <t>CUST_3173</t>
  </si>
  <si>
    <t>CUST_3174</t>
  </si>
  <si>
    <t>CUST_3175</t>
  </si>
  <si>
    <t>14.55</t>
  </si>
  <si>
    <t>CUST_3176</t>
  </si>
  <si>
    <t>CUST_3177</t>
  </si>
  <si>
    <t>CUST_3178</t>
  </si>
  <si>
    <t>13.3</t>
  </si>
  <si>
    <t>CUST_3179</t>
  </si>
  <si>
    <t>CUST_3180</t>
  </si>
  <si>
    <t>CUST_3181</t>
  </si>
  <si>
    <t>16.53</t>
  </si>
  <si>
    <t>CUST_3182</t>
  </si>
  <si>
    <t>CUST_3183</t>
  </si>
  <si>
    <t>CUST_3184</t>
  </si>
  <si>
    <t>16.1</t>
  </si>
  <si>
    <t>CUST_3185</t>
  </si>
  <si>
    <t>CUST_3186</t>
  </si>
  <si>
    <t>CUST_3187</t>
  </si>
  <si>
    <t>CUST_3188</t>
  </si>
  <si>
    <t>CUST_3189</t>
  </si>
  <si>
    <t>CUST_3190</t>
  </si>
  <si>
    <t>CUST_3191</t>
  </si>
  <si>
    <t>CUST_3192</t>
  </si>
  <si>
    <t>CUST_3193</t>
  </si>
  <si>
    <t>CUST_3194</t>
  </si>
  <si>
    <t>CUST_3195</t>
  </si>
  <si>
    <t>CUST_3196</t>
  </si>
  <si>
    <t>CUST_3197</t>
  </si>
  <si>
    <t>CUST_3198</t>
  </si>
  <si>
    <t>CUST_3199</t>
  </si>
  <si>
    <t>CUST_3200</t>
  </si>
  <si>
    <t>14.59</t>
  </si>
  <si>
    <t>CUST_3201</t>
  </si>
  <si>
    <t>CUST_3202</t>
  </si>
  <si>
    <t>CUST_3203</t>
  </si>
  <si>
    <t>CUST_3204</t>
  </si>
  <si>
    <t>CUST_3205</t>
  </si>
  <si>
    <t>CUST_3206</t>
  </si>
  <si>
    <t>CUST_3207</t>
  </si>
  <si>
    <t>CUST_3208</t>
  </si>
  <si>
    <t>CUST_3209</t>
  </si>
  <si>
    <t>CUST_3210</t>
  </si>
  <si>
    <t>CUST_3211</t>
  </si>
  <si>
    <t>CUST_3212</t>
  </si>
  <si>
    <t>CUST_3213</t>
  </si>
  <si>
    <t>12.18</t>
  </si>
  <si>
    <t>CUST_3214</t>
  </si>
  <si>
    <t>CUST_3215</t>
  </si>
  <si>
    <t>CUST_3216</t>
  </si>
  <si>
    <t>CUST_3217</t>
  </si>
  <si>
    <t>CUST_3218</t>
  </si>
  <si>
    <t>CUST_3219</t>
  </si>
  <si>
    <t>CUST_3220</t>
  </si>
  <si>
    <t>10.44</t>
  </si>
  <si>
    <t>CUST_3221</t>
  </si>
  <si>
    <t>8.1</t>
  </si>
  <si>
    <t>CUST_3222</t>
  </si>
  <si>
    <t>CUST_3223</t>
  </si>
  <si>
    <t>CUST_3224</t>
  </si>
  <si>
    <t>CUST_3225</t>
  </si>
  <si>
    <t>CUST_3226</t>
  </si>
  <si>
    <t>CUST_3227</t>
  </si>
  <si>
    <t>9.95</t>
  </si>
  <si>
    <t>CUST_3228</t>
  </si>
  <si>
    <t>CUST_3229</t>
  </si>
  <si>
    <t>CUST_3230</t>
  </si>
  <si>
    <t>CUST_3231</t>
  </si>
  <si>
    <t>CUST_3232</t>
  </si>
  <si>
    <t>CUST_3233</t>
  </si>
  <si>
    <t>CUST_3234</t>
  </si>
  <si>
    <t>CUST_3235</t>
  </si>
  <si>
    <t>CUST_3236</t>
  </si>
  <si>
    <t>CUST_3237</t>
  </si>
  <si>
    <t>CUST_3238</t>
  </si>
  <si>
    <t>CUST_3239</t>
  </si>
  <si>
    <t>CUST_3240</t>
  </si>
  <si>
    <t>CUST_3241</t>
  </si>
  <si>
    <t>CUST_3242</t>
  </si>
  <si>
    <t>CUST_3243</t>
  </si>
  <si>
    <t>CUST_3244</t>
  </si>
  <si>
    <t>CUST_3245</t>
  </si>
  <si>
    <t>CUST_3246</t>
  </si>
  <si>
    <t>7.98</t>
  </si>
  <si>
    <t>CUST_3247</t>
  </si>
  <si>
    <t>CUST_3248</t>
  </si>
  <si>
    <t>CUST_3249</t>
  </si>
  <si>
    <t>CUST_3250</t>
  </si>
  <si>
    <t>CUST_3251</t>
  </si>
  <si>
    <t>CUST_3252</t>
  </si>
  <si>
    <t>CUST_3253</t>
  </si>
  <si>
    <t>CUST_3254</t>
  </si>
  <si>
    <t>CUST_3255</t>
  </si>
  <si>
    <t>7.18</t>
  </si>
  <si>
    <t>CUST_3256</t>
  </si>
  <si>
    <t>CUST_3257</t>
  </si>
  <si>
    <t>CUST_3258</t>
  </si>
  <si>
    <t>CUST_3259</t>
  </si>
  <si>
    <t>CUST_3260</t>
  </si>
  <si>
    <t>CUST_3261</t>
  </si>
  <si>
    <t>CUST_3262</t>
  </si>
  <si>
    <t>CUST_3263</t>
  </si>
  <si>
    <t>CUST_3264</t>
  </si>
  <si>
    <t>CUST_3265</t>
  </si>
  <si>
    <t>CUST_3266</t>
  </si>
  <si>
    <t>CUST_3267</t>
  </si>
  <si>
    <t>CUST_3268</t>
  </si>
  <si>
    <t>17.71</t>
  </si>
  <si>
    <t>CUST_3269</t>
  </si>
  <si>
    <t>8.63</t>
  </si>
  <si>
    <t>CUST_3270</t>
  </si>
  <si>
    <t>CUST_3271</t>
  </si>
  <si>
    <t>CUST_3272</t>
  </si>
  <si>
    <t>17.97</t>
  </si>
  <si>
    <t>CUST_3273</t>
  </si>
  <si>
    <t>CUST_3274</t>
  </si>
  <si>
    <t>CUST_3275</t>
  </si>
  <si>
    <t>CUST_3276</t>
  </si>
  <si>
    <t>CUST_3277</t>
  </si>
  <si>
    <t>CUST_3278</t>
  </si>
  <si>
    <t>CUST_3279</t>
  </si>
  <si>
    <t>CUST_3280</t>
  </si>
  <si>
    <t>CUST_3281</t>
  </si>
  <si>
    <t>6.48</t>
  </si>
  <si>
    <t>CUST_3282</t>
  </si>
  <si>
    <t>CUST_3283</t>
  </si>
  <si>
    <t>CUST_3284</t>
  </si>
  <si>
    <t>CUST_3285</t>
  </si>
  <si>
    <t>CUST_3286</t>
  </si>
  <si>
    <t>CUST_3287</t>
  </si>
  <si>
    <t>CUST_3288</t>
  </si>
  <si>
    <t>16.39</t>
  </si>
  <si>
    <t>CUST_3289</t>
  </si>
  <si>
    <t>CUST_3290</t>
  </si>
  <si>
    <t>CUST_3291</t>
  </si>
  <si>
    <t>CUST_3292</t>
  </si>
  <si>
    <t>CUST_3293</t>
  </si>
  <si>
    <t>14.73</t>
  </si>
  <si>
    <t>CUST_3294</t>
  </si>
  <si>
    <t>CUST_3295</t>
  </si>
  <si>
    <t>CUST_3296</t>
  </si>
  <si>
    <t>CUST_3297</t>
  </si>
  <si>
    <t>CUST_3298</t>
  </si>
  <si>
    <t>CUST_3299</t>
  </si>
  <si>
    <t>CUST_3300</t>
  </si>
  <si>
    <t>CUST_3301</t>
  </si>
  <si>
    <t>CUST_3302</t>
  </si>
  <si>
    <t>CUST_3303</t>
  </si>
  <si>
    <t>CUST_3304</t>
  </si>
  <si>
    <t>CUST_3305</t>
  </si>
  <si>
    <t>CUST_3306</t>
  </si>
  <si>
    <t>CUST_3307</t>
  </si>
  <si>
    <t>CUST_3308</t>
  </si>
  <si>
    <t>CUST_3309</t>
  </si>
  <si>
    <t>CUST_3310</t>
  </si>
  <si>
    <t>16.17</t>
  </si>
  <si>
    <t>CUST_3311</t>
  </si>
  <si>
    <t>CUST_3312</t>
  </si>
  <si>
    <t>CUST_3313</t>
  </si>
  <si>
    <t>CUST_3314</t>
  </si>
  <si>
    <t>CUST_3315</t>
  </si>
  <si>
    <t>CUST_3316</t>
  </si>
  <si>
    <t>CUST_3317</t>
  </si>
  <si>
    <t>CUST_3318</t>
  </si>
  <si>
    <t>CUST_3319</t>
  </si>
  <si>
    <t>CUST_3320</t>
  </si>
  <si>
    <t>CUST_3321</t>
  </si>
  <si>
    <t>CUST_3322</t>
  </si>
  <si>
    <t>CUST_3323</t>
  </si>
  <si>
    <t>CUST_3324</t>
  </si>
  <si>
    <t>CUST_3325</t>
  </si>
  <si>
    <t>CUST_3326</t>
  </si>
  <si>
    <t>CUST_3327</t>
  </si>
  <si>
    <t>CUST_3328</t>
  </si>
  <si>
    <t>CUST_3329</t>
  </si>
  <si>
    <t>CUST_3330</t>
  </si>
  <si>
    <t>CUST_3331</t>
  </si>
  <si>
    <t>CUST_3332</t>
  </si>
  <si>
    <t>CUST_3333</t>
  </si>
  <si>
    <t>CUST_3334</t>
  </si>
  <si>
    <t>CUST_3335</t>
  </si>
  <si>
    <t>CUST_3336</t>
  </si>
  <si>
    <t>CUST_3337</t>
  </si>
  <si>
    <t>CUST_3338</t>
  </si>
  <si>
    <t>CUST_3339</t>
  </si>
  <si>
    <t>CUST_3340</t>
  </si>
  <si>
    <t>CUST_3341</t>
  </si>
  <si>
    <t>CUST_3342</t>
  </si>
  <si>
    <t>CUST_3343</t>
  </si>
  <si>
    <t>CUST_3344</t>
  </si>
  <si>
    <t>CUST_3345</t>
  </si>
  <si>
    <t>6.77</t>
  </si>
  <si>
    <t>CUST_3346</t>
  </si>
  <si>
    <t>CUST_3347</t>
  </si>
  <si>
    <t>12.95</t>
  </si>
  <si>
    <t>CUST_3348</t>
  </si>
  <si>
    <t>CUST_3349</t>
  </si>
  <si>
    <t>CUST_3350</t>
  </si>
  <si>
    <t>CUST_3351</t>
  </si>
  <si>
    <t>CUST_3352</t>
  </si>
  <si>
    <t>CUST_3353</t>
  </si>
  <si>
    <t>CUST_3354</t>
  </si>
  <si>
    <t>CUST_3355</t>
  </si>
  <si>
    <t>CUST_3356</t>
  </si>
  <si>
    <t>CUST_3357</t>
  </si>
  <si>
    <t>CUST_3358</t>
  </si>
  <si>
    <t>CUST_3359</t>
  </si>
  <si>
    <t>CUST_3360</t>
  </si>
  <si>
    <t>19.26</t>
  </si>
  <si>
    <t>CUST_3361</t>
  </si>
  <si>
    <t>CUST_3362</t>
  </si>
  <si>
    <t>CUST_3363</t>
  </si>
  <si>
    <t>4.83</t>
  </si>
  <si>
    <t>CUST_3364</t>
  </si>
  <si>
    <t>CUST_3365</t>
  </si>
  <si>
    <t>7.92</t>
  </si>
  <si>
    <t>CUST_3366</t>
  </si>
  <si>
    <t>CUST_3367</t>
  </si>
  <si>
    <t>6.18</t>
  </si>
  <si>
    <t>CUST_3368</t>
  </si>
  <si>
    <t>CUST_3369</t>
  </si>
  <si>
    <t>CUST_3370</t>
  </si>
  <si>
    <t>CUST_3371</t>
  </si>
  <si>
    <t>CUST_3372</t>
  </si>
  <si>
    <t>CUST_3373</t>
  </si>
  <si>
    <t>CUST_3374</t>
  </si>
  <si>
    <t>CUST_3375</t>
  </si>
  <si>
    <t>9.32</t>
  </si>
  <si>
    <t>CUST_3376</t>
  </si>
  <si>
    <t>12.02</t>
  </si>
  <si>
    <t>CUST_3377</t>
  </si>
  <si>
    <t>CUST_3378</t>
  </si>
  <si>
    <t>CUST_3379</t>
  </si>
  <si>
    <t>CUST_3380</t>
  </si>
  <si>
    <t>CUST_3381</t>
  </si>
  <si>
    <t>5.6</t>
  </si>
  <si>
    <t>CUST_3382</t>
  </si>
  <si>
    <t>CUST_3383</t>
  </si>
  <si>
    <t>CUST_3384</t>
  </si>
  <si>
    <t>CUST_3385</t>
  </si>
  <si>
    <t>CUST_3386</t>
  </si>
  <si>
    <t>CUST_3387</t>
  </si>
  <si>
    <t>CUST_3388</t>
  </si>
  <si>
    <t>CUST_3389</t>
  </si>
  <si>
    <t>CUST_3390</t>
  </si>
  <si>
    <t>CUST_3391</t>
  </si>
  <si>
    <t>CUST_3392</t>
  </si>
  <si>
    <t>CUST_3393</t>
  </si>
  <si>
    <t>CUST_3394</t>
  </si>
  <si>
    <t>CUST_3395</t>
  </si>
  <si>
    <t>CUST_3396</t>
  </si>
  <si>
    <t>19.07</t>
  </si>
  <si>
    <t>CUST_3397</t>
  </si>
  <si>
    <t>CUST_3398</t>
  </si>
  <si>
    <t>CUST_3399</t>
  </si>
  <si>
    <t>CUST_3400</t>
  </si>
  <si>
    <t>CUST_3401</t>
  </si>
  <si>
    <t>CUST_3402</t>
  </si>
  <si>
    <t>CUST_3403</t>
  </si>
  <si>
    <t>CUST_3404</t>
  </si>
  <si>
    <t>CUST_3405</t>
  </si>
  <si>
    <t>CUST_3406</t>
  </si>
  <si>
    <t>CUST_3407</t>
  </si>
  <si>
    <t>CUST_3408</t>
  </si>
  <si>
    <t>CUST_3409</t>
  </si>
  <si>
    <t>9.44</t>
  </si>
  <si>
    <t>CUST_3410</t>
  </si>
  <si>
    <t>CUST_3411</t>
  </si>
  <si>
    <t>CUST_3412</t>
  </si>
  <si>
    <t>CUST_3413</t>
  </si>
  <si>
    <t>12.56</t>
  </si>
  <si>
    <t>CUST_3414</t>
  </si>
  <si>
    <t>CUST_3415</t>
  </si>
  <si>
    <t>CUST_3416</t>
  </si>
  <si>
    <t>CUST_3417</t>
  </si>
  <si>
    <t>9.71</t>
  </si>
  <si>
    <t>CUST_3418</t>
  </si>
  <si>
    <t>CUST_3419</t>
  </si>
  <si>
    <t>9.83</t>
  </si>
  <si>
    <t>CUST_3420</t>
  </si>
  <si>
    <t>CUST_3421</t>
  </si>
  <si>
    <t>CUST_3422</t>
  </si>
  <si>
    <t>CUST_3423</t>
  </si>
  <si>
    <t>CUST_3424</t>
  </si>
  <si>
    <t>16.9</t>
  </si>
  <si>
    <t>CUST_3425</t>
  </si>
  <si>
    <t>CUST_3426</t>
  </si>
  <si>
    <t>CUST_3427</t>
  </si>
  <si>
    <t>CUST_3428</t>
  </si>
  <si>
    <t>CUST_3429</t>
  </si>
  <si>
    <t>CUST_3430</t>
  </si>
  <si>
    <t>CUST_3431</t>
  </si>
  <si>
    <t>CUST_3432</t>
  </si>
  <si>
    <t>CUST_3433</t>
  </si>
  <si>
    <t>CUST_3434</t>
  </si>
  <si>
    <t>CUST_3435</t>
  </si>
  <si>
    <t>CUST_3436</t>
  </si>
  <si>
    <t>CUST_3437</t>
  </si>
  <si>
    <t>CUST_3438</t>
  </si>
  <si>
    <t>CUST_3439</t>
  </si>
  <si>
    <t>CUST_3440</t>
  </si>
  <si>
    <t>CUST_3441</t>
  </si>
  <si>
    <t>CUST_3442</t>
  </si>
  <si>
    <t>CUST_3443</t>
  </si>
  <si>
    <t>CUST_3444</t>
  </si>
  <si>
    <t>CUST_3445</t>
  </si>
  <si>
    <t>CUST_3446</t>
  </si>
  <si>
    <t>CUST_3447</t>
  </si>
  <si>
    <t>CUST_3448</t>
  </si>
  <si>
    <t>CUST_3449</t>
  </si>
  <si>
    <t>CUST_3450</t>
  </si>
  <si>
    <t>CUST_3451</t>
  </si>
  <si>
    <t>CUST_3452</t>
  </si>
  <si>
    <t>CUST_3453</t>
  </si>
  <si>
    <t>6.97</t>
  </si>
  <si>
    <t>CUST_3454</t>
  </si>
  <si>
    <t>CUST_3455</t>
  </si>
  <si>
    <t>CUST_3456</t>
  </si>
  <si>
    <t>CUST_3457</t>
  </si>
  <si>
    <t>CUST_3458</t>
  </si>
  <si>
    <t>CUST_3459</t>
  </si>
  <si>
    <t>CUST_3460</t>
  </si>
  <si>
    <t>CUST_3461</t>
  </si>
  <si>
    <t>CUST_3462</t>
  </si>
  <si>
    <t>CUST_3463</t>
  </si>
  <si>
    <t>CUST_3464</t>
  </si>
  <si>
    <t>CUST_3465</t>
  </si>
  <si>
    <t>14.67</t>
  </si>
  <si>
    <t>CUST_3466</t>
  </si>
  <si>
    <t>CUST_3467</t>
  </si>
  <si>
    <t>CUST_3468</t>
  </si>
  <si>
    <t>CUST_3469</t>
  </si>
  <si>
    <t>18.65</t>
  </si>
  <si>
    <t>CUST_3470</t>
  </si>
  <si>
    <t>CUST_3471</t>
  </si>
  <si>
    <t>CUST_3472</t>
  </si>
  <si>
    <t>CUST_3473</t>
  </si>
  <si>
    <t>CUST_3474</t>
  </si>
  <si>
    <t>CUST_3475</t>
  </si>
  <si>
    <t>CUST_3476</t>
  </si>
  <si>
    <t>CUST_3477</t>
  </si>
  <si>
    <t>CUST_3478</t>
  </si>
  <si>
    <t>CUST_3479</t>
  </si>
  <si>
    <t>CUST_3480</t>
  </si>
  <si>
    <t>CUST_3481</t>
  </si>
  <si>
    <t>CUST_3482</t>
  </si>
  <si>
    <t>CUST_3483</t>
  </si>
  <si>
    <t>CUST_3484</t>
  </si>
  <si>
    <t>CUST_3485</t>
  </si>
  <si>
    <t>CUST_3486</t>
  </si>
  <si>
    <t>CUST_3487</t>
  </si>
  <si>
    <t>CUST_3488</t>
  </si>
  <si>
    <t>CUST_3489</t>
  </si>
  <si>
    <t>CUST_3490</t>
  </si>
  <si>
    <t>CUST_3491</t>
  </si>
  <si>
    <t>CUST_3492</t>
  </si>
  <si>
    <t>CUST_3493</t>
  </si>
  <si>
    <t>CUST_3494</t>
  </si>
  <si>
    <t>3.51</t>
  </si>
  <si>
    <t>CUST_3495</t>
  </si>
  <si>
    <t>CUST_3496</t>
  </si>
  <si>
    <t>CUST_3497</t>
  </si>
  <si>
    <t>CUST_3498</t>
  </si>
  <si>
    <t>CUST_3499</t>
  </si>
  <si>
    <t>CUST_3500</t>
  </si>
  <si>
    <t>CUST_3501</t>
  </si>
  <si>
    <t>CUST_3502</t>
  </si>
  <si>
    <t>CUST_3503</t>
  </si>
  <si>
    <t>CUST_3504</t>
  </si>
  <si>
    <t>CUST_3505</t>
  </si>
  <si>
    <t>CUST_3506</t>
  </si>
  <si>
    <t>CUST_3507</t>
  </si>
  <si>
    <t>CUST_3508</t>
  </si>
  <si>
    <t>CUST_3509</t>
  </si>
  <si>
    <t>CUST_3510</t>
  </si>
  <si>
    <t>CUST_3511</t>
  </si>
  <si>
    <t>CUST_3512</t>
  </si>
  <si>
    <t>CUST_3513</t>
  </si>
  <si>
    <t>CUST_3514</t>
  </si>
  <si>
    <t>CUST_3515</t>
  </si>
  <si>
    <t>CUST_3516</t>
  </si>
  <si>
    <t>CUST_3517</t>
  </si>
  <si>
    <t>CUST_3518</t>
  </si>
  <si>
    <t>CUST_3519</t>
  </si>
  <si>
    <t>CUST_3520</t>
  </si>
  <si>
    <t>CUST_3521</t>
  </si>
  <si>
    <t>CUST_3522</t>
  </si>
  <si>
    <t>CUST_3523</t>
  </si>
  <si>
    <t>CUST_3524</t>
  </si>
  <si>
    <t>CUST_3525</t>
  </si>
  <si>
    <t>CUST_3526</t>
  </si>
  <si>
    <t>CUST_3527</t>
  </si>
  <si>
    <t>CUST_3528</t>
  </si>
  <si>
    <t>CUST_3529</t>
  </si>
  <si>
    <t>10.95</t>
  </si>
  <si>
    <t>CUST_3530</t>
  </si>
  <si>
    <t>CUST_3531</t>
  </si>
  <si>
    <t>CUST_3532</t>
  </si>
  <si>
    <t>CUST_3533</t>
  </si>
  <si>
    <t>CUST_3534</t>
  </si>
  <si>
    <t>CUST_3535</t>
  </si>
  <si>
    <t>CUST_3536</t>
  </si>
  <si>
    <t>CUST_3537</t>
  </si>
  <si>
    <t>CUST_3538</t>
  </si>
  <si>
    <t>CUST_3539</t>
  </si>
  <si>
    <t>CUST_3540</t>
  </si>
  <si>
    <t>CUST_3541</t>
  </si>
  <si>
    <t>CUST_3542</t>
  </si>
  <si>
    <t>CUST_3543</t>
  </si>
  <si>
    <t>CUST_3544</t>
  </si>
  <si>
    <t>9.36</t>
  </si>
  <si>
    <t>CUST_3545</t>
  </si>
  <si>
    <t>CUST_3546</t>
  </si>
  <si>
    <t>CUST_3547</t>
  </si>
  <si>
    <t>CUST_3548</t>
  </si>
  <si>
    <t>9.7</t>
  </si>
  <si>
    <t>CUST_3549</t>
  </si>
  <si>
    <t>CUST_3550</t>
  </si>
  <si>
    <t>CUST_3551</t>
  </si>
  <si>
    <t>CUST_3552</t>
  </si>
  <si>
    <t>6.99</t>
  </si>
  <si>
    <t>CUST_3553</t>
  </si>
  <si>
    <t>CUST_3554</t>
  </si>
  <si>
    <t>CUST_3555</t>
  </si>
  <si>
    <t>CUST_3556</t>
  </si>
  <si>
    <t>CUST_3557</t>
  </si>
  <si>
    <t>CUST_3558</t>
  </si>
  <si>
    <t>CUST_3559</t>
  </si>
  <si>
    <t>CUST_3560</t>
  </si>
  <si>
    <t>CUST_3561</t>
  </si>
  <si>
    <t>CUST_3562</t>
  </si>
  <si>
    <t>CUST_3563</t>
  </si>
  <si>
    <t>CUST_3564</t>
  </si>
  <si>
    <t>CUST_3565</t>
  </si>
  <si>
    <t>CUST_3566</t>
  </si>
  <si>
    <t>CUST_3567</t>
  </si>
  <si>
    <t>CUST_3568</t>
  </si>
  <si>
    <t>CUST_3569</t>
  </si>
  <si>
    <t>CUST_3570</t>
  </si>
  <si>
    <t>CUST_3571</t>
  </si>
  <si>
    <t>CUST_3572</t>
  </si>
  <si>
    <t>CUST_3573</t>
  </si>
  <si>
    <t>CUST_3574</t>
  </si>
  <si>
    <t>CUST_3575</t>
  </si>
  <si>
    <t>CUST_3576</t>
  </si>
  <si>
    <t>CUST_3577</t>
  </si>
  <si>
    <t>CUST_3578</t>
  </si>
  <si>
    <t>CUST_3579</t>
  </si>
  <si>
    <t>CUST_3580</t>
  </si>
  <si>
    <t>CUST_3581</t>
  </si>
  <si>
    <t>CUST_3582</t>
  </si>
  <si>
    <t>CUST_3583</t>
  </si>
  <si>
    <t>CUST_3584</t>
  </si>
  <si>
    <t>9.18</t>
  </si>
  <si>
    <t>CUST_3585</t>
  </si>
  <si>
    <t>CUST_3586</t>
  </si>
  <si>
    <t>CUST_3587</t>
  </si>
  <si>
    <t>CUST_3588</t>
  </si>
  <si>
    <t>CUST_3589</t>
  </si>
  <si>
    <t>CUST_3590</t>
  </si>
  <si>
    <t>CUST_3591</t>
  </si>
  <si>
    <t>CUST_3592</t>
  </si>
  <si>
    <t>CUST_3593</t>
  </si>
  <si>
    <t>CUST_3594</t>
  </si>
  <si>
    <t>5.85</t>
  </si>
  <si>
    <t>CUST_3595</t>
  </si>
  <si>
    <t>CUST_3596</t>
  </si>
  <si>
    <t>CUST_3597</t>
  </si>
  <si>
    <t>CUST_3598</t>
  </si>
  <si>
    <t>CUST_3599</t>
  </si>
  <si>
    <t>CUST_3600</t>
  </si>
  <si>
    <t>CUST_3601</t>
  </si>
  <si>
    <t>CUST_3602</t>
  </si>
  <si>
    <t>CUST_3603</t>
  </si>
  <si>
    <t>CUST_3604</t>
  </si>
  <si>
    <t>CUST_3605</t>
  </si>
  <si>
    <t>CUST_3606</t>
  </si>
  <si>
    <t>CUST_3607</t>
  </si>
  <si>
    <t>CUST_3608</t>
  </si>
  <si>
    <t>CUST_3609</t>
  </si>
  <si>
    <t>CUST_3610</t>
  </si>
  <si>
    <t>CUST_3611</t>
  </si>
  <si>
    <t>CUST_3612</t>
  </si>
  <si>
    <t>CUST_3613</t>
  </si>
  <si>
    <t>CUST_3614</t>
  </si>
  <si>
    <t>CUST_3615</t>
  </si>
  <si>
    <t>CUST_3616</t>
  </si>
  <si>
    <t>CUST_3617</t>
  </si>
  <si>
    <t>CUST_3618</t>
  </si>
  <si>
    <t>CUST_3619</t>
  </si>
  <si>
    <t>19.38</t>
  </si>
  <si>
    <t>CUST_3620</t>
  </si>
  <si>
    <t>CUST_3621</t>
  </si>
  <si>
    <t>3.39</t>
  </si>
  <si>
    <t>CUST_3622</t>
  </si>
  <si>
    <t>CUST_3623</t>
  </si>
  <si>
    <t>CUST_3624</t>
  </si>
  <si>
    <t>CUST_3625</t>
  </si>
  <si>
    <t>CUST_3626</t>
  </si>
  <si>
    <t>CUST_3627</t>
  </si>
  <si>
    <t>CUST_3628</t>
  </si>
  <si>
    <t>CUST_3629</t>
  </si>
  <si>
    <t>17.47</t>
  </si>
  <si>
    <t>CUST_3630</t>
  </si>
  <si>
    <t>CUST_3631</t>
  </si>
  <si>
    <t>CUST_3632</t>
  </si>
  <si>
    <t>CUST_3633</t>
  </si>
  <si>
    <t>CUST_3634</t>
  </si>
  <si>
    <t>CUST_3635</t>
  </si>
  <si>
    <t>CUST_3636</t>
  </si>
  <si>
    <t>CUST_3637</t>
  </si>
  <si>
    <t>CUST_3638</t>
  </si>
  <si>
    <t>CUST_3639</t>
  </si>
  <si>
    <t>CUST_3640</t>
  </si>
  <si>
    <t>CUST_3641</t>
  </si>
  <si>
    <t>CUST_3642</t>
  </si>
  <si>
    <t>CUST_3643</t>
  </si>
  <si>
    <t>CUST_3644</t>
  </si>
  <si>
    <t>CUST_3645</t>
  </si>
  <si>
    <t>CUST_3646</t>
  </si>
  <si>
    <t>CUST_3647</t>
  </si>
  <si>
    <t>CUST_3648</t>
  </si>
  <si>
    <t>CUST_3649</t>
  </si>
  <si>
    <t>CUST_3650</t>
  </si>
  <si>
    <t>CUST_3651</t>
  </si>
  <si>
    <t>CUST_3652</t>
  </si>
  <si>
    <t>CUST_3653</t>
  </si>
  <si>
    <t>CUST_3654</t>
  </si>
  <si>
    <t>CUST_3655</t>
  </si>
  <si>
    <t>CUST_3656</t>
  </si>
  <si>
    <t>CUST_3657</t>
  </si>
  <si>
    <t>CUST_3658</t>
  </si>
  <si>
    <t>CUST_3659</t>
  </si>
  <si>
    <t>CUST_3660</t>
  </si>
  <si>
    <t>CUST_3661</t>
  </si>
  <si>
    <t>CUST_3662</t>
  </si>
  <si>
    <t>CUST_3663</t>
  </si>
  <si>
    <t>CUST_3664</t>
  </si>
  <si>
    <t>CUST_3665</t>
  </si>
  <si>
    <t>CUST_3666</t>
  </si>
  <si>
    <t>CUST_3667</t>
  </si>
  <si>
    <t>CUST_3668</t>
  </si>
  <si>
    <t>CUST_3669</t>
  </si>
  <si>
    <t>CUST_3670</t>
  </si>
  <si>
    <t>CUST_3671</t>
  </si>
  <si>
    <t>CUST_3672</t>
  </si>
  <si>
    <t>CUST_3673</t>
  </si>
  <si>
    <t>CUST_3674</t>
  </si>
  <si>
    <t>CUST_3675</t>
  </si>
  <si>
    <t>CUST_3676</t>
  </si>
  <si>
    <t>CUST_3677</t>
  </si>
  <si>
    <t>CUST_3678</t>
  </si>
  <si>
    <t>CUST_3679</t>
  </si>
  <si>
    <t>8.88</t>
  </si>
  <si>
    <t>CUST_3680</t>
  </si>
  <si>
    <t>CUST_3681</t>
  </si>
  <si>
    <t>14.66</t>
  </si>
  <si>
    <t>CUST_3682</t>
  </si>
  <si>
    <t>CUST_3683</t>
  </si>
  <si>
    <t>CUST_3684</t>
  </si>
  <si>
    <t>CUST_3685</t>
  </si>
  <si>
    <t>CUST_3686</t>
  </si>
  <si>
    <t>CUST_3687</t>
  </si>
  <si>
    <t>CUST_3688</t>
  </si>
  <si>
    <t>16.97</t>
  </si>
  <si>
    <t>CUST_3689</t>
  </si>
  <si>
    <t>CUST_3690</t>
  </si>
  <si>
    <t>CUST_3691</t>
  </si>
  <si>
    <t>CUST_3692</t>
  </si>
  <si>
    <t>CUST_3693</t>
  </si>
  <si>
    <t>17.06</t>
  </si>
  <si>
    <t>CUST_3694</t>
  </si>
  <si>
    <t>CUST_3695</t>
  </si>
  <si>
    <t>CUST_3696</t>
  </si>
  <si>
    <t>14.36</t>
  </si>
  <si>
    <t>CUST_3697</t>
  </si>
  <si>
    <t>CUST_3698</t>
  </si>
  <si>
    <t>CUST_3699</t>
  </si>
  <si>
    <t>CUST_3700</t>
  </si>
  <si>
    <t>5.52</t>
  </si>
  <si>
    <t>CUST_3701</t>
  </si>
  <si>
    <t>CUST_3702</t>
  </si>
  <si>
    <t>CUST_3703</t>
  </si>
  <si>
    <t>CUST_3704</t>
  </si>
  <si>
    <t>CUST_3705</t>
  </si>
  <si>
    <t>CUST_3706</t>
  </si>
  <si>
    <t>CUST_3707</t>
  </si>
  <si>
    <t>15.51</t>
  </si>
  <si>
    <t>CUST_3708</t>
  </si>
  <si>
    <t>CUST_3709</t>
  </si>
  <si>
    <t>CUST_3710</t>
  </si>
  <si>
    <t>CUST_3711</t>
  </si>
  <si>
    <t>CUST_3712</t>
  </si>
  <si>
    <t>CUST_3713</t>
  </si>
  <si>
    <t>19.34</t>
  </si>
  <si>
    <t>CUST_3714</t>
  </si>
  <si>
    <t>12.83</t>
  </si>
  <si>
    <t>CUST_3715</t>
  </si>
  <si>
    <t>CUST_3716</t>
  </si>
  <si>
    <t>CUST_3717</t>
  </si>
  <si>
    <t>CUST_3718</t>
  </si>
  <si>
    <t>CUST_3719</t>
  </si>
  <si>
    <t>CUST_3720</t>
  </si>
  <si>
    <t>CUST_3721</t>
  </si>
  <si>
    <t>CUST_3722</t>
  </si>
  <si>
    <t>CUST_3723</t>
  </si>
  <si>
    <t>CUST_3724</t>
  </si>
  <si>
    <t>CUST_3725</t>
  </si>
  <si>
    <t>CUST_3726</t>
  </si>
  <si>
    <t>CUST_3727</t>
  </si>
  <si>
    <t>6.05</t>
  </si>
  <si>
    <t>CUST_3728</t>
  </si>
  <si>
    <t>CUST_3729</t>
  </si>
  <si>
    <t>CUST_3730</t>
  </si>
  <si>
    <t>CUST_3731</t>
  </si>
  <si>
    <t>CUST_3732</t>
  </si>
  <si>
    <t>CUST_3733</t>
  </si>
  <si>
    <t>CUST_3734</t>
  </si>
  <si>
    <t>CUST_3735</t>
  </si>
  <si>
    <t>11.6</t>
  </si>
  <si>
    <t>CUST_3736</t>
  </si>
  <si>
    <t>CUST_3737</t>
  </si>
  <si>
    <t>CUST_3738</t>
  </si>
  <si>
    <t>CUST_3739</t>
  </si>
  <si>
    <t>CUST_3740</t>
  </si>
  <si>
    <t>CUST_3741</t>
  </si>
  <si>
    <t>CUST_3742</t>
  </si>
  <si>
    <t>CUST_3743</t>
  </si>
  <si>
    <t>CUST_3744</t>
  </si>
  <si>
    <t>CUST_3745</t>
  </si>
  <si>
    <t>CUST_3746</t>
  </si>
  <si>
    <t>CUST_3747</t>
  </si>
  <si>
    <t>CUST_3748</t>
  </si>
  <si>
    <t>CUST_3749</t>
  </si>
  <si>
    <t>CUST_3750</t>
  </si>
  <si>
    <t>CUST_3751</t>
  </si>
  <si>
    <t>CUST_3752</t>
  </si>
  <si>
    <t>CUST_3753</t>
  </si>
  <si>
    <t>CUST_3754</t>
  </si>
  <si>
    <t>CUST_3755</t>
  </si>
  <si>
    <t>CUST_3756</t>
  </si>
  <si>
    <t>CUST_3757</t>
  </si>
  <si>
    <t>CUST_3758</t>
  </si>
  <si>
    <t>CUST_3759</t>
  </si>
  <si>
    <t>6.95</t>
  </si>
  <si>
    <t>CUST_3760</t>
  </si>
  <si>
    <t>CUST_3761</t>
  </si>
  <si>
    <t>CUST_3762</t>
  </si>
  <si>
    <t>CUST_3763</t>
  </si>
  <si>
    <t>CUST_3764</t>
  </si>
  <si>
    <t>CUST_3765</t>
  </si>
  <si>
    <t>CUST_3766</t>
  </si>
  <si>
    <t>5.84</t>
  </si>
  <si>
    <t>CUST_3767</t>
  </si>
  <si>
    <t>CUST_3768</t>
  </si>
  <si>
    <t>CUST_3769</t>
  </si>
  <si>
    <t>CUST_3770</t>
  </si>
  <si>
    <t>CUST_3771</t>
  </si>
  <si>
    <t>CUST_3772</t>
  </si>
  <si>
    <t>8.95</t>
  </si>
  <si>
    <t>CUST_3773</t>
  </si>
  <si>
    <t>CUST_3774</t>
  </si>
  <si>
    <t>CUST_3775</t>
  </si>
  <si>
    <t>CUST_3776</t>
  </si>
  <si>
    <t>CUST_3777</t>
  </si>
  <si>
    <t>CUST_3778</t>
  </si>
  <si>
    <t>CUST_3779</t>
  </si>
  <si>
    <t>CUST_3780</t>
  </si>
  <si>
    <t>CUST_3781</t>
  </si>
  <si>
    <t>CUST_3782</t>
  </si>
  <si>
    <t>CUST_3783</t>
  </si>
  <si>
    <t>CUST_3784</t>
  </si>
  <si>
    <t>19.17</t>
  </si>
  <si>
    <t>CUST_3785</t>
  </si>
  <si>
    <t>CUST_3786</t>
  </si>
  <si>
    <t>CUST_3787</t>
  </si>
  <si>
    <t>CUST_3788</t>
  </si>
  <si>
    <t>CUST_3789</t>
  </si>
  <si>
    <t>CUST_3790</t>
  </si>
  <si>
    <t>14.76</t>
  </si>
  <si>
    <t>CUST_3791</t>
  </si>
  <si>
    <t>CUST_3792</t>
  </si>
  <si>
    <t>CUST_3793</t>
  </si>
  <si>
    <t>CUST_3794</t>
  </si>
  <si>
    <t>CUST_3795</t>
  </si>
  <si>
    <t>CUST_3796</t>
  </si>
  <si>
    <t>CUST_3797</t>
  </si>
  <si>
    <t>CUST_3798</t>
  </si>
  <si>
    <t>CUST_3799</t>
  </si>
  <si>
    <t>CUST_3800</t>
  </si>
  <si>
    <t>CUST_3801</t>
  </si>
  <si>
    <t>CUST_3802</t>
  </si>
  <si>
    <t>CUST_3803</t>
  </si>
  <si>
    <t>CUST_3804</t>
  </si>
  <si>
    <t>CUST_3805</t>
  </si>
  <si>
    <t>CUST_3806</t>
  </si>
  <si>
    <t>CUST_3807</t>
  </si>
  <si>
    <t>CUST_3808</t>
  </si>
  <si>
    <t>7.49</t>
  </si>
  <si>
    <t>CUST_3809</t>
  </si>
  <si>
    <t>CUST_3810</t>
  </si>
  <si>
    <t>CUST_3811</t>
  </si>
  <si>
    <t>CUST_3812</t>
  </si>
  <si>
    <t>CUST_3813</t>
  </si>
  <si>
    <t>CUST_3814</t>
  </si>
  <si>
    <t>CUST_3815</t>
  </si>
  <si>
    <t>CUST_3816</t>
  </si>
  <si>
    <t>CUST_3817</t>
  </si>
  <si>
    <t>CUST_3818</t>
  </si>
  <si>
    <t>CUST_3819</t>
  </si>
  <si>
    <t>CUST_3820</t>
  </si>
  <si>
    <t>CUST_3821</t>
  </si>
  <si>
    <t>CUST_3822</t>
  </si>
  <si>
    <t>CUST_3823</t>
  </si>
  <si>
    <t>CUST_3824</t>
  </si>
  <si>
    <t>CUST_3825</t>
  </si>
  <si>
    <t>CUST_3826</t>
  </si>
  <si>
    <t>CUST_3827</t>
  </si>
  <si>
    <t>12.61</t>
  </si>
  <si>
    <t>CUST_3828</t>
  </si>
  <si>
    <t>CUST_3829</t>
  </si>
  <si>
    <t>CUST_3830</t>
  </si>
  <si>
    <t>CUST_3831</t>
  </si>
  <si>
    <t>CUST_3832</t>
  </si>
  <si>
    <t>CUST_3833</t>
  </si>
  <si>
    <t>CUST_3834</t>
  </si>
  <si>
    <t>CUST_3835</t>
  </si>
  <si>
    <t>9.2</t>
  </si>
  <si>
    <t>CUST_3836</t>
  </si>
  <si>
    <t>CUST_3837</t>
  </si>
  <si>
    <t>CUST_3838</t>
  </si>
  <si>
    <t>CUST_3839</t>
  </si>
  <si>
    <t>CUST_3840</t>
  </si>
  <si>
    <t>CUST_3841</t>
  </si>
  <si>
    <t>CUST_3842</t>
  </si>
  <si>
    <t>CUST_3843</t>
  </si>
  <si>
    <t>CUST_3844</t>
  </si>
  <si>
    <t>CUST_3845</t>
  </si>
  <si>
    <t>CUST_3846</t>
  </si>
  <si>
    <t>13.55</t>
  </si>
  <si>
    <t>CUST_3847</t>
  </si>
  <si>
    <t>CUST_3848</t>
  </si>
  <si>
    <t>CUST_3849</t>
  </si>
  <si>
    <t>CUST_3850</t>
  </si>
  <si>
    <t>CUST_3851</t>
  </si>
  <si>
    <t>CUST_3852</t>
  </si>
  <si>
    <t>CUST_3853</t>
  </si>
  <si>
    <t>CUST_3854</t>
  </si>
  <si>
    <t>CUST_3855</t>
  </si>
  <si>
    <t>CUST_3856</t>
  </si>
  <si>
    <t>CUST_3857</t>
  </si>
  <si>
    <t>CUST_3858</t>
  </si>
  <si>
    <t>19.11</t>
  </si>
  <si>
    <t>CUST_3859</t>
  </si>
  <si>
    <t>CUST_3860</t>
  </si>
  <si>
    <t>CUST_3861</t>
  </si>
  <si>
    <t>5.23</t>
  </si>
  <si>
    <t>CUST_3862</t>
  </si>
  <si>
    <t>CUST_3863</t>
  </si>
  <si>
    <t>CUST_3864</t>
  </si>
  <si>
    <t>CUST_3865</t>
  </si>
  <si>
    <t>CUST_3866</t>
  </si>
  <si>
    <t>CUST_3867</t>
  </si>
  <si>
    <t>CUST_3868</t>
  </si>
  <si>
    <t>CUST_3869</t>
  </si>
  <si>
    <t>CUST_3870</t>
  </si>
  <si>
    <t>CUST_3871</t>
  </si>
  <si>
    <t>CUST_3872</t>
  </si>
  <si>
    <t>CUST_3873</t>
  </si>
  <si>
    <t>14.02</t>
  </si>
  <si>
    <t>CUST_3874</t>
  </si>
  <si>
    <t>CUST_3875</t>
  </si>
  <si>
    <t>CUST_3876</t>
  </si>
  <si>
    <t>CUST_3877</t>
  </si>
  <si>
    <t>CUST_3878</t>
  </si>
  <si>
    <t>7.77</t>
  </si>
  <si>
    <t>CUST_3879</t>
  </si>
  <si>
    <t>CUST_3880</t>
  </si>
  <si>
    <t>CUST_3881</t>
  </si>
  <si>
    <t>CUST_3882</t>
  </si>
  <si>
    <t>CUST_3883</t>
  </si>
  <si>
    <t>CUST_3884</t>
  </si>
  <si>
    <t>CUST_3885</t>
  </si>
  <si>
    <t>CUST_3886</t>
  </si>
  <si>
    <t>CUST_3887</t>
  </si>
  <si>
    <t>CUST_3888</t>
  </si>
  <si>
    <t>CUST_3889</t>
  </si>
  <si>
    <t>CUST_3890</t>
  </si>
  <si>
    <t>CUST_3891</t>
  </si>
  <si>
    <t>CUST_3892</t>
  </si>
  <si>
    <t>CUST_3893</t>
  </si>
  <si>
    <t>CUST_3894</t>
  </si>
  <si>
    <t>CUST_3895</t>
  </si>
  <si>
    <t>CUST_3896</t>
  </si>
  <si>
    <t>CUST_3897</t>
  </si>
  <si>
    <t>CUST_3898</t>
  </si>
  <si>
    <t>CUST_3899</t>
  </si>
  <si>
    <t>CUST_3900</t>
  </si>
  <si>
    <t>CUST_3901</t>
  </si>
  <si>
    <t>CUST_3902</t>
  </si>
  <si>
    <t>CUST_3903</t>
  </si>
  <si>
    <t>CUST_3904</t>
  </si>
  <si>
    <t>CUST_3905</t>
  </si>
  <si>
    <t>CUST_3906</t>
  </si>
  <si>
    <t>CUST_3907</t>
  </si>
  <si>
    <t>16.78</t>
  </si>
  <si>
    <t>CUST_3908</t>
  </si>
  <si>
    <t>CUST_3909</t>
  </si>
  <si>
    <t>CUST_3910</t>
  </si>
  <si>
    <t>CUST_3911</t>
  </si>
  <si>
    <t>CUST_3912</t>
  </si>
  <si>
    <t>10.23</t>
  </si>
  <si>
    <t>CUST_3913</t>
  </si>
  <si>
    <t>CUST_3914</t>
  </si>
  <si>
    <t>CUST_3915</t>
  </si>
  <si>
    <t>CUST_3916</t>
  </si>
  <si>
    <t>CUST_3917</t>
  </si>
  <si>
    <t>CUST_3918</t>
  </si>
  <si>
    <t>CUST_3919</t>
  </si>
  <si>
    <t>CUST_3920</t>
  </si>
  <si>
    <t>CUST_3921</t>
  </si>
  <si>
    <t>CUST_3922</t>
  </si>
  <si>
    <t>CUST_3923</t>
  </si>
  <si>
    <t>CUST_3924</t>
  </si>
  <si>
    <t>CUST_3925</t>
  </si>
  <si>
    <t>CUST_3926</t>
  </si>
  <si>
    <t>CUST_3927</t>
  </si>
  <si>
    <t>CUST_3928</t>
  </si>
  <si>
    <t>CUST_3929</t>
  </si>
  <si>
    <t>CUST_3930</t>
  </si>
  <si>
    <t>CUST_3931</t>
  </si>
  <si>
    <t>CUST_3932</t>
  </si>
  <si>
    <t>CUST_3933</t>
  </si>
  <si>
    <t>CUST_3934</t>
  </si>
  <si>
    <t>CUST_3935</t>
  </si>
  <si>
    <t>CUST_3936</t>
  </si>
  <si>
    <t>CUST_3937</t>
  </si>
  <si>
    <t>CUST_3938</t>
  </si>
  <si>
    <t>CUST_3939</t>
  </si>
  <si>
    <t>17.52</t>
  </si>
  <si>
    <t>CUST_3940</t>
  </si>
  <si>
    <t>CUST_3941</t>
  </si>
  <si>
    <t>CUST_3942</t>
  </si>
  <si>
    <t>CUST_3943</t>
  </si>
  <si>
    <t>CUST_3944</t>
  </si>
  <si>
    <t>CUST_3945</t>
  </si>
  <si>
    <t>CUST_3946</t>
  </si>
  <si>
    <t>CUST_3947</t>
  </si>
  <si>
    <t>CUST_3948</t>
  </si>
  <si>
    <t>CUST_3949</t>
  </si>
  <si>
    <t>CUST_3950</t>
  </si>
  <si>
    <t>CUST_3951</t>
  </si>
  <si>
    <t>CUST_3952</t>
  </si>
  <si>
    <t>CUST_3953</t>
  </si>
  <si>
    <t>CUST_3954</t>
  </si>
  <si>
    <t>CUST_3955</t>
  </si>
  <si>
    <t>CUST_3956</t>
  </si>
  <si>
    <t>19.32</t>
  </si>
  <si>
    <t>CUST_3957</t>
  </si>
  <si>
    <t>CUST_3958</t>
  </si>
  <si>
    <t>CUST_3959</t>
  </si>
  <si>
    <t>CUST_3960</t>
  </si>
  <si>
    <t>CUST_3961</t>
  </si>
  <si>
    <t>CUST_3962</t>
  </si>
  <si>
    <t>CUST_3963</t>
  </si>
  <si>
    <t>CUST_3964</t>
  </si>
  <si>
    <t>CUST_3965</t>
  </si>
  <si>
    <t>CUST_3966</t>
  </si>
  <si>
    <t>CUST_3967</t>
  </si>
  <si>
    <t>CUST_3968</t>
  </si>
  <si>
    <t>CUST_3969</t>
  </si>
  <si>
    <t>15.86</t>
  </si>
  <si>
    <t>CUST_3970</t>
  </si>
  <si>
    <t>CUST_3971</t>
  </si>
  <si>
    <t>CUST_3972</t>
  </si>
  <si>
    <t>CUST_3973</t>
  </si>
  <si>
    <t>CUST_3974</t>
  </si>
  <si>
    <t>CUST_3975</t>
  </si>
  <si>
    <t>CUST_3976</t>
  </si>
  <si>
    <t>CUST_3977</t>
  </si>
  <si>
    <t>CUST_3978</t>
  </si>
  <si>
    <t>15.3</t>
  </si>
  <si>
    <t>CUST_3979</t>
  </si>
  <si>
    <t>CUST_3980</t>
  </si>
  <si>
    <t>CUST_3981</t>
  </si>
  <si>
    <t>CUST_3982</t>
  </si>
  <si>
    <t>CUST_3983</t>
  </si>
  <si>
    <t>CUST_3984</t>
  </si>
  <si>
    <t>CUST_3985</t>
  </si>
  <si>
    <t>CUST_3986</t>
  </si>
  <si>
    <t>CUST_3987</t>
  </si>
  <si>
    <t>CUST_3988</t>
  </si>
  <si>
    <t>CUST_3989</t>
  </si>
  <si>
    <t>CUST_3990</t>
  </si>
  <si>
    <t>CUST_3991</t>
  </si>
  <si>
    <t>CUST_3992</t>
  </si>
  <si>
    <t>CUST_3993</t>
  </si>
  <si>
    <t>CUST_3994</t>
  </si>
  <si>
    <t>CUST_3995</t>
  </si>
  <si>
    <t>4.86</t>
  </si>
  <si>
    <t>CUST_3996</t>
  </si>
  <si>
    <t>CUST_3997</t>
  </si>
  <si>
    <t>CUST_3998</t>
  </si>
  <si>
    <t>CUST_3999</t>
  </si>
  <si>
    <t>CUST_4000</t>
  </si>
  <si>
    <t>CUST_4001</t>
  </si>
  <si>
    <t>CUST_4002</t>
  </si>
  <si>
    <t>CUST_4003</t>
  </si>
  <si>
    <t>CUST_4004</t>
  </si>
  <si>
    <t>CUST_4005</t>
  </si>
  <si>
    <t>CUST_4006</t>
  </si>
  <si>
    <t>CUST_4007</t>
  </si>
  <si>
    <t>CUST_4008</t>
  </si>
  <si>
    <t>CUST_4009</t>
  </si>
  <si>
    <t>CUST_4010</t>
  </si>
  <si>
    <t>CUST_4011</t>
  </si>
  <si>
    <t>CUST_4012</t>
  </si>
  <si>
    <t>CUST_4013</t>
  </si>
  <si>
    <t>CUST_4014</t>
  </si>
  <si>
    <t>CUST_4015</t>
  </si>
  <si>
    <t>CUST_4016</t>
  </si>
  <si>
    <t>CUST_4017</t>
  </si>
  <si>
    <t>CUST_4018</t>
  </si>
  <si>
    <t>CUST_4019</t>
  </si>
  <si>
    <t>CUST_4020</t>
  </si>
  <si>
    <t>CUST_4021</t>
  </si>
  <si>
    <t>CUST_4022</t>
  </si>
  <si>
    <t>CUST_4023</t>
  </si>
  <si>
    <t>CUST_4024</t>
  </si>
  <si>
    <t>CUST_4025</t>
  </si>
  <si>
    <t>CUST_4026</t>
  </si>
  <si>
    <t>CUST_4027</t>
  </si>
  <si>
    <t>CUST_4028</t>
  </si>
  <si>
    <t>CUST_4029</t>
  </si>
  <si>
    <t>CUST_4030</t>
  </si>
  <si>
    <t>13.42</t>
  </si>
  <si>
    <t>CUST_4031</t>
  </si>
  <si>
    <t>CUST_4032</t>
  </si>
  <si>
    <t>CUST_4033</t>
  </si>
  <si>
    <t>CUST_4034</t>
  </si>
  <si>
    <t>CUST_4035</t>
  </si>
  <si>
    <t>CUST_4036</t>
  </si>
  <si>
    <t>CUST_4037</t>
  </si>
  <si>
    <t>CUST_4038</t>
  </si>
  <si>
    <t>CUST_4039</t>
  </si>
  <si>
    <t>CUST_4040</t>
  </si>
  <si>
    <t>CUST_4041</t>
  </si>
  <si>
    <t>CUST_4042</t>
  </si>
  <si>
    <t>CUST_4043</t>
  </si>
  <si>
    <t>CUST_4044</t>
  </si>
  <si>
    <t>CUST_4045</t>
  </si>
  <si>
    <t>11.62</t>
  </si>
  <si>
    <t>CUST_4046</t>
  </si>
  <si>
    <t>CUST_4047</t>
  </si>
  <si>
    <t>CUST_4048</t>
  </si>
  <si>
    <t>CUST_4049</t>
  </si>
  <si>
    <t>CUST_4050</t>
  </si>
  <si>
    <t>CUST_4051</t>
  </si>
  <si>
    <t>CUST_4052</t>
  </si>
  <si>
    <t>CUST_4053</t>
  </si>
  <si>
    <t>CUST_4054</t>
  </si>
  <si>
    <t>CUST_4055</t>
  </si>
  <si>
    <t>CUST_4056</t>
  </si>
  <si>
    <t>CUST_4057</t>
  </si>
  <si>
    <t>CUST_4058</t>
  </si>
  <si>
    <t>CUST_4059</t>
  </si>
  <si>
    <t>CUST_4060</t>
  </si>
  <si>
    <t>CUST_4061</t>
  </si>
  <si>
    <t>CUST_4062</t>
  </si>
  <si>
    <t>CUST_4063</t>
  </si>
  <si>
    <t>CUST_4064</t>
  </si>
  <si>
    <t>CUST_4065</t>
  </si>
  <si>
    <t>CUST_4066</t>
  </si>
  <si>
    <t>CUST_4067</t>
  </si>
  <si>
    <t>CUST_4068</t>
  </si>
  <si>
    <t>CUST_4069</t>
  </si>
  <si>
    <t>CUST_4070</t>
  </si>
  <si>
    <t>CUST_4071</t>
  </si>
  <si>
    <t>CUST_4072</t>
  </si>
  <si>
    <t>CUST_4073</t>
  </si>
  <si>
    <t>CUST_4074</t>
  </si>
  <si>
    <t>CUST_4075</t>
  </si>
  <si>
    <t>CUST_4076</t>
  </si>
  <si>
    <t>CUST_4077</t>
  </si>
  <si>
    <t>CUST_4078</t>
  </si>
  <si>
    <t>CUST_4079</t>
  </si>
  <si>
    <t>CUST_4080</t>
  </si>
  <si>
    <t>CUST_4081</t>
  </si>
  <si>
    <t>CUST_4082</t>
  </si>
  <si>
    <t>CUST_4083</t>
  </si>
  <si>
    <t>CUST_4084</t>
  </si>
  <si>
    <t>CUST_4085</t>
  </si>
  <si>
    <t>CUST_4086</t>
  </si>
  <si>
    <t>CUST_4087</t>
  </si>
  <si>
    <t>12.06</t>
  </si>
  <si>
    <t>CUST_4088</t>
  </si>
  <si>
    <t>CUST_4089</t>
  </si>
  <si>
    <t>CUST_4090</t>
  </si>
  <si>
    <t>CUST_4091</t>
  </si>
  <si>
    <t>CUST_4092</t>
  </si>
  <si>
    <t>CUST_4093</t>
  </si>
  <si>
    <t>CUST_4094</t>
  </si>
  <si>
    <t>CUST_4095</t>
  </si>
  <si>
    <t>CUST_4096</t>
  </si>
  <si>
    <t>CUST_4097</t>
  </si>
  <si>
    <t>CUST_4098</t>
  </si>
  <si>
    <t>CUST_4099</t>
  </si>
  <si>
    <t>CUST_4100</t>
  </si>
  <si>
    <t>CUST_4101</t>
  </si>
  <si>
    <t>CUST_4102</t>
  </si>
  <si>
    <t>CUST_4103</t>
  </si>
  <si>
    <t>CUST_4104</t>
  </si>
  <si>
    <t>4.71</t>
  </si>
  <si>
    <t>CUST_4105</t>
  </si>
  <si>
    <t>CUST_4106</t>
  </si>
  <si>
    <t>CUST_4107</t>
  </si>
  <si>
    <t>CUST_4108</t>
  </si>
  <si>
    <t>CUST_4109</t>
  </si>
  <si>
    <t>CUST_4110</t>
  </si>
  <si>
    <t>CUST_4111</t>
  </si>
  <si>
    <t>CUST_4112</t>
  </si>
  <si>
    <t>CUST_4113</t>
  </si>
  <si>
    <t>CUST_4114</t>
  </si>
  <si>
    <t>CUST_4115</t>
  </si>
  <si>
    <t>CUST_4116</t>
  </si>
  <si>
    <t>CUST_4117</t>
  </si>
  <si>
    <t>CUST_4118</t>
  </si>
  <si>
    <t>CUST_4119</t>
  </si>
  <si>
    <t>CUST_4120</t>
  </si>
  <si>
    <t>CUST_4121</t>
  </si>
  <si>
    <t>CUST_4122</t>
  </si>
  <si>
    <t>CUST_4123</t>
  </si>
  <si>
    <t>CUST_4124</t>
  </si>
  <si>
    <t>12.22</t>
  </si>
  <si>
    <t>CUST_4125</t>
  </si>
  <si>
    <t>CUST_4126</t>
  </si>
  <si>
    <t>CUST_4127</t>
  </si>
  <si>
    <t>CUST_4128</t>
  </si>
  <si>
    <t>CUST_4129</t>
  </si>
  <si>
    <t>CUST_4130</t>
  </si>
  <si>
    <t>CUST_4131</t>
  </si>
  <si>
    <t>CUST_4132</t>
  </si>
  <si>
    <t>CUST_4133</t>
  </si>
  <si>
    <t>CUST_4134</t>
  </si>
  <si>
    <t>CUST_4135</t>
  </si>
  <si>
    <t>CUST_4136</t>
  </si>
  <si>
    <t>8.52</t>
  </si>
  <si>
    <t>CUST_4137</t>
  </si>
  <si>
    <t>CUST_4138</t>
  </si>
  <si>
    <t>CUST_4139</t>
  </si>
  <si>
    <t>CUST_4140</t>
  </si>
  <si>
    <t>CUST_4141</t>
  </si>
  <si>
    <t>CUST_4142</t>
  </si>
  <si>
    <t>CUST_4143</t>
  </si>
  <si>
    <t>CUST_4144</t>
  </si>
  <si>
    <t>CUST_4145</t>
  </si>
  <si>
    <t>CUST_4146</t>
  </si>
  <si>
    <t>CUST_4147</t>
  </si>
  <si>
    <t>CUST_4148</t>
  </si>
  <si>
    <t>CUST_4149</t>
  </si>
  <si>
    <t>CUST_4150</t>
  </si>
  <si>
    <t>CUST_4151</t>
  </si>
  <si>
    <t>CUST_4152</t>
  </si>
  <si>
    <t>CUST_4153</t>
  </si>
  <si>
    <t>CUST_4154</t>
  </si>
  <si>
    <t>CUST_4155</t>
  </si>
  <si>
    <t>CUST_4156</t>
  </si>
  <si>
    <t>CUST_4157</t>
  </si>
  <si>
    <t>CUST_4158</t>
  </si>
  <si>
    <t>CUST_4159</t>
  </si>
  <si>
    <t>CUST_4160</t>
  </si>
  <si>
    <t>CUST_4161</t>
  </si>
  <si>
    <t>CUST_4162</t>
  </si>
  <si>
    <t>CUST_4163</t>
  </si>
  <si>
    <t>CUST_4164</t>
  </si>
  <si>
    <t>CUST_4165</t>
  </si>
  <si>
    <t>CUST_4166</t>
  </si>
  <si>
    <t>CUST_4167</t>
  </si>
  <si>
    <t>CUST_4168</t>
  </si>
  <si>
    <t>CUST_4169</t>
  </si>
  <si>
    <t>13.13</t>
  </si>
  <si>
    <t>CUST_4170</t>
  </si>
  <si>
    <t>CUST_4171</t>
  </si>
  <si>
    <t>CUST_4172</t>
  </si>
  <si>
    <t>CUST_4173</t>
  </si>
  <si>
    <t>CUST_4174</t>
  </si>
  <si>
    <t>CUST_4175</t>
  </si>
  <si>
    <t>CUST_4176</t>
  </si>
  <si>
    <t>CUST_4177</t>
  </si>
  <si>
    <t>CUST_4178</t>
  </si>
  <si>
    <t>CUST_4179</t>
  </si>
  <si>
    <t>CUST_4180</t>
  </si>
  <si>
    <t>CUST_4181</t>
  </si>
  <si>
    <t>CUST_4182</t>
  </si>
  <si>
    <t>CUST_4183</t>
  </si>
  <si>
    <t>CUST_4184</t>
  </si>
  <si>
    <t>CUST_4185</t>
  </si>
  <si>
    <t>10.46</t>
  </si>
  <si>
    <t>CUST_4186</t>
  </si>
  <si>
    <t>CUST_4187</t>
  </si>
  <si>
    <t>CUST_4188</t>
  </si>
  <si>
    <t>CUST_4189</t>
  </si>
  <si>
    <t>CUST_4190</t>
  </si>
  <si>
    <t>CUST_4191</t>
  </si>
  <si>
    <t>CUST_4192</t>
  </si>
  <si>
    <t>CUST_4193</t>
  </si>
  <si>
    <t>CUST_4194</t>
  </si>
  <si>
    <t>CUST_4195</t>
  </si>
  <si>
    <t>CUST_4196</t>
  </si>
  <si>
    <t>CUST_4197</t>
  </si>
  <si>
    <t>CUST_4198</t>
  </si>
  <si>
    <t>CUST_4199</t>
  </si>
  <si>
    <t>CUST_4200</t>
  </si>
  <si>
    <t>CUST_4201</t>
  </si>
  <si>
    <t>13.78</t>
  </si>
  <si>
    <t>CUST_4202</t>
  </si>
  <si>
    <t>CUST_4203</t>
  </si>
  <si>
    <t>CUST_4204</t>
  </si>
  <si>
    <t>CUST_4205</t>
  </si>
  <si>
    <t>CUST_4206</t>
  </si>
  <si>
    <t>CUST_4207</t>
  </si>
  <si>
    <t>CUST_4208</t>
  </si>
  <si>
    <t>CUST_4209</t>
  </si>
  <si>
    <t>CUST_4210</t>
  </si>
  <si>
    <t>CUST_4211</t>
  </si>
  <si>
    <t>CUST_4212</t>
  </si>
  <si>
    <t>9.47</t>
  </si>
  <si>
    <t>CUST_4213</t>
  </si>
  <si>
    <t>CUST_4214</t>
  </si>
  <si>
    <t>CUST_4215</t>
  </si>
  <si>
    <t>CUST_4216</t>
  </si>
  <si>
    <t>CUST_4217</t>
  </si>
  <si>
    <t>CUST_4218</t>
  </si>
  <si>
    <t>CUST_4219</t>
  </si>
  <si>
    <t>CUST_4220</t>
  </si>
  <si>
    <t>CUST_4221</t>
  </si>
  <si>
    <t>CUST_4222</t>
  </si>
  <si>
    <t>CUST_4223</t>
  </si>
  <si>
    <t>CUST_4224</t>
  </si>
  <si>
    <t>CUST_4225</t>
  </si>
  <si>
    <t>CUST_4226</t>
  </si>
  <si>
    <t>CUST_4227</t>
  </si>
  <si>
    <t>CUST_4228</t>
  </si>
  <si>
    <t>CUST_4229</t>
  </si>
  <si>
    <t>CUST_4230</t>
  </si>
  <si>
    <t>CUST_4231</t>
  </si>
  <si>
    <t>CUST_4232</t>
  </si>
  <si>
    <t>CUST_4233</t>
  </si>
  <si>
    <t>CUST_4234</t>
  </si>
  <si>
    <t>CUST_4235</t>
  </si>
  <si>
    <t>4.51</t>
  </si>
  <si>
    <t>CUST_4236</t>
  </si>
  <si>
    <t>CUST_4237</t>
  </si>
  <si>
    <t>CUST_4238</t>
  </si>
  <si>
    <t>CUST_4239</t>
  </si>
  <si>
    <t>CUST_4240</t>
  </si>
  <si>
    <t>CUST_4241</t>
  </si>
  <si>
    <t>CUST_4242</t>
  </si>
  <si>
    <t>CUST_4243</t>
  </si>
  <si>
    <t>CUST_4244</t>
  </si>
  <si>
    <t>CUST_4245</t>
  </si>
  <si>
    <t>CUST_4246</t>
  </si>
  <si>
    <t>CUST_4247</t>
  </si>
  <si>
    <t>CUST_4248</t>
  </si>
  <si>
    <t>CUST_4249</t>
  </si>
  <si>
    <t>CUST_4250</t>
  </si>
  <si>
    <t>CUST_4251</t>
  </si>
  <si>
    <t>CUST_4252</t>
  </si>
  <si>
    <t>CUST_4253</t>
  </si>
  <si>
    <t>CUST_4254</t>
  </si>
  <si>
    <t>CUST_4255</t>
  </si>
  <si>
    <t>CUST_4256</t>
  </si>
  <si>
    <t>CUST_4257</t>
  </si>
  <si>
    <t>CUST_4258</t>
  </si>
  <si>
    <t>CUST_4259</t>
  </si>
  <si>
    <t>CUST_4260</t>
  </si>
  <si>
    <t>CUST_4261</t>
  </si>
  <si>
    <t>CUST_4262</t>
  </si>
  <si>
    <t>CUST_4263</t>
  </si>
  <si>
    <t>CUST_4264</t>
  </si>
  <si>
    <t>CUST_4265</t>
  </si>
  <si>
    <t>CUST_4266</t>
  </si>
  <si>
    <t>CUST_4267</t>
  </si>
  <si>
    <t>CUST_4268</t>
  </si>
  <si>
    <t>CUST_4269</t>
  </si>
  <si>
    <t>CUST_4270</t>
  </si>
  <si>
    <t>CUST_4271</t>
  </si>
  <si>
    <t>CUST_4272</t>
  </si>
  <si>
    <t>CUST_4273</t>
  </si>
  <si>
    <t>CUST_4274</t>
  </si>
  <si>
    <t>CUST_4275</t>
  </si>
  <si>
    <t>CUST_4276</t>
  </si>
  <si>
    <t>CUST_4277</t>
  </si>
  <si>
    <t>CUST_4278</t>
  </si>
  <si>
    <t>CUST_4279</t>
  </si>
  <si>
    <t>CUST_4280</t>
  </si>
  <si>
    <t>CUST_4281</t>
  </si>
  <si>
    <t>CUST_4282</t>
  </si>
  <si>
    <t>CUST_4283</t>
  </si>
  <si>
    <t>CUST_4284</t>
  </si>
  <si>
    <t>CUST_4285</t>
  </si>
  <si>
    <t>CUST_4286</t>
  </si>
  <si>
    <t>CUST_4287</t>
  </si>
  <si>
    <t>CUST_4288</t>
  </si>
  <si>
    <t>CUST_4289</t>
  </si>
  <si>
    <t>CUST_4290</t>
  </si>
  <si>
    <t>CUST_4291</t>
  </si>
  <si>
    <t>11.5</t>
  </si>
  <si>
    <t>CUST_4292</t>
  </si>
  <si>
    <t>CUST_4293</t>
  </si>
  <si>
    <t>CUST_4294</t>
  </si>
  <si>
    <t>CUST_4295</t>
  </si>
  <si>
    <t>CUST_4296</t>
  </si>
  <si>
    <t>CUST_4297</t>
  </si>
  <si>
    <t>CUST_4298</t>
  </si>
  <si>
    <t>CUST_4299</t>
  </si>
  <si>
    <t>CUST_4300</t>
  </si>
  <si>
    <t>CUST_4301</t>
  </si>
  <si>
    <t>CUST_4302</t>
  </si>
  <si>
    <t>CUST_4303</t>
  </si>
  <si>
    <t>CUST_4304</t>
  </si>
  <si>
    <t>CUST_4305</t>
  </si>
  <si>
    <t>16.52</t>
  </si>
  <si>
    <t>CUST_4306</t>
  </si>
  <si>
    <t>CUST_4307</t>
  </si>
  <si>
    <t>CUST_4308</t>
  </si>
  <si>
    <t>18.05</t>
  </si>
  <si>
    <t>CUST_4309</t>
  </si>
  <si>
    <t>4.79</t>
  </si>
  <si>
    <t>CUST_4310</t>
  </si>
  <si>
    <t>CUST_4311</t>
  </si>
  <si>
    <t>CUST_4312</t>
  </si>
  <si>
    <t>CUST_4313</t>
  </si>
  <si>
    <t>CUST_4314</t>
  </si>
  <si>
    <t>CUST_4315</t>
  </si>
  <si>
    <t>CUST_4316</t>
  </si>
  <si>
    <t>CUST_4317</t>
  </si>
  <si>
    <t>CUST_4318</t>
  </si>
  <si>
    <t>19.33</t>
  </si>
  <si>
    <t>CUST_4319</t>
  </si>
  <si>
    <t>CUST_4320</t>
  </si>
  <si>
    <t>CUST_4321</t>
  </si>
  <si>
    <t>CUST_4322</t>
  </si>
  <si>
    <t>CUST_4323</t>
  </si>
  <si>
    <t>CUST_4324</t>
  </si>
  <si>
    <t>18.41</t>
  </si>
  <si>
    <t>CUST_4325</t>
  </si>
  <si>
    <t>CUST_4326</t>
  </si>
  <si>
    <t>CUST_4327</t>
  </si>
  <si>
    <t>CUST_4328</t>
  </si>
  <si>
    <t>CUST_4329</t>
  </si>
  <si>
    <t>CUST_4330</t>
  </si>
  <si>
    <t>CUST_4331</t>
  </si>
  <si>
    <t>CUST_4332</t>
  </si>
  <si>
    <t>CUST_4333</t>
  </si>
  <si>
    <t>CUST_4334</t>
  </si>
  <si>
    <t>CUST_4335</t>
  </si>
  <si>
    <t>CUST_4336</t>
  </si>
  <si>
    <t>CUST_4337</t>
  </si>
  <si>
    <t>CUST_4338</t>
  </si>
  <si>
    <t>CUST_4339</t>
  </si>
  <si>
    <t>CUST_4340</t>
  </si>
  <si>
    <t>CUST_4341</t>
  </si>
  <si>
    <t>7.44</t>
  </si>
  <si>
    <t>CUST_4342</t>
  </si>
  <si>
    <t>CUST_4343</t>
  </si>
  <si>
    <t>CUST_4344</t>
  </si>
  <si>
    <t>CUST_4345</t>
  </si>
  <si>
    <t>CUST_4346</t>
  </si>
  <si>
    <t>CUST_4347</t>
  </si>
  <si>
    <t>CUST_4348</t>
  </si>
  <si>
    <t>CUST_4349</t>
  </si>
  <si>
    <t>CUST_4350</t>
  </si>
  <si>
    <t>CUST_4351</t>
  </si>
  <si>
    <t>CUST_4352</t>
  </si>
  <si>
    <t>CUST_4353</t>
  </si>
  <si>
    <t>CUST_4354</t>
  </si>
  <si>
    <t>CUST_4355</t>
  </si>
  <si>
    <t>CUST_4356</t>
  </si>
  <si>
    <t>CUST_4357</t>
  </si>
  <si>
    <t>CUST_4358</t>
  </si>
  <si>
    <t>8.67</t>
  </si>
  <si>
    <t>CUST_4359</t>
  </si>
  <si>
    <t>CUST_4360</t>
  </si>
  <si>
    <t>CUST_4361</t>
  </si>
  <si>
    <t>CUST_4362</t>
  </si>
  <si>
    <t>CUST_4363</t>
  </si>
  <si>
    <t>CUST_4364</t>
  </si>
  <si>
    <t>CUST_4365</t>
  </si>
  <si>
    <t>CUST_4366</t>
  </si>
  <si>
    <t>CUST_4367</t>
  </si>
  <si>
    <t>CUST_4368</t>
  </si>
  <si>
    <t>5.47</t>
  </si>
  <si>
    <t>CUST_4369</t>
  </si>
  <si>
    <t>CUST_4370</t>
  </si>
  <si>
    <t>CUST_4371</t>
  </si>
  <si>
    <t>CUST_4372</t>
  </si>
  <si>
    <t>CUST_4373</t>
  </si>
  <si>
    <t>CUST_4374</t>
  </si>
  <si>
    <t>CUST_4375</t>
  </si>
  <si>
    <t>CUST_4376</t>
  </si>
  <si>
    <t>CUST_4377</t>
  </si>
  <si>
    <t>CUST_4378</t>
  </si>
  <si>
    <t>CUST_4379</t>
  </si>
  <si>
    <t>CUST_4380</t>
  </si>
  <si>
    <t>CUST_4381</t>
  </si>
  <si>
    <t>CUST_4382</t>
  </si>
  <si>
    <t>CUST_4383</t>
  </si>
  <si>
    <t>CUST_4384</t>
  </si>
  <si>
    <t>CUST_4385</t>
  </si>
  <si>
    <t>CUST_4386</t>
  </si>
  <si>
    <t>CUST_4387</t>
  </si>
  <si>
    <t>CUST_4388</t>
  </si>
  <si>
    <t>19.02</t>
  </si>
  <si>
    <t>CUST_4389</t>
  </si>
  <si>
    <t>CUST_4390</t>
  </si>
  <si>
    <t>CUST_4391</t>
  </si>
  <si>
    <t>CUST_4392</t>
  </si>
  <si>
    <t>CUST_4393</t>
  </si>
  <si>
    <t>CUST_4394</t>
  </si>
  <si>
    <t>CUST_4395</t>
  </si>
  <si>
    <t>CUST_4396</t>
  </si>
  <si>
    <t>CUST_4397</t>
  </si>
  <si>
    <t>14.57</t>
  </si>
  <si>
    <t>CUST_4398</t>
  </si>
  <si>
    <t>CUST_4399</t>
  </si>
  <si>
    <t>CUST_4400</t>
  </si>
  <si>
    <t>CUST_4401</t>
  </si>
  <si>
    <t>CUST_4402</t>
  </si>
  <si>
    <t>CUST_4403</t>
  </si>
  <si>
    <t>CUST_4404</t>
  </si>
  <si>
    <t>CUST_4405</t>
  </si>
  <si>
    <t>CUST_4406</t>
  </si>
  <si>
    <t>CUST_4407</t>
  </si>
  <si>
    <t>CUST_4408</t>
  </si>
  <si>
    <t>CUST_4409</t>
  </si>
  <si>
    <t>CUST_4410</t>
  </si>
  <si>
    <t>CUST_4411</t>
  </si>
  <si>
    <t>CUST_4412</t>
  </si>
  <si>
    <t>CUST_4413</t>
  </si>
  <si>
    <t>CUST_4414</t>
  </si>
  <si>
    <t>CUST_4415</t>
  </si>
  <si>
    <t>CUST_4416</t>
  </si>
  <si>
    <t>CUST_4417</t>
  </si>
  <si>
    <t>CUST_4418</t>
  </si>
  <si>
    <t>CUST_4419</t>
  </si>
  <si>
    <t>CUST_4420</t>
  </si>
  <si>
    <t>CUST_4421</t>
  </si>
  <si>
    <t>CUST_4422</t>
  </si>
  <si>
    <t>CUST_4423</t>
  </si>
  <si>
    <t>CUST_4424</t>
  </si>
  <si>
    <t>CUST_4425</t>
  </si>
  <si>
    <t>CUST_4426</t>
  </si>
  <si>
    <t>CUST_4427</t>
  </si>
  <si>
    <t>CUST_4428</t>
  </si>
  <si>
    <t>8.85</t>
  </si>
  <si>
    <t>CUST_4429</t>
  </si>
  <si>
    <t>CUST_4430</t>
  </si>
  <si>
    <t>CUST_4431</t>
  </si>
  <si>
    <t>CUST_4432</t>
  </si>
  <si>
    <t>CUST_4433</t>
  </si>
  <si>
    <t>CUST_4434</t>
  </si>
  <si>
    <t>CUST_4435</t>
  </si>
  <si>
    <t>CUST_4436</t>
  </si>
  <si>
    <t>CUST_4437</t>
  </si>
  <si>
    <t>CUST_4438</t>
  </si>
  <si>
    <t>CUST_4439</t>
  </si>
  <si>
    <t>CUST_4440</t>
  </si>
  <si>
    <t>CUST_4441</t>
  </si>
  <si>
    <t>CUST_4442</t>
  </si>
  <si>
    <t>CUST_4443</t>
  </si>
  <si>
    <t>CUST_4444</t>
  </si>
  <si>
    <t>CUST_4445</t>
  </si>
  <si>
    <t>CUST_4446</t>
  </si>
  <si>
    <t>9.49</t>
  </si>
  <si>
    <t>CUST_4447</t>
  </si>
  <si>
    <t>CUST_4448</t>
  </si>
  <si>
    <t>CUST_4449</t>
  </si>
  <si>
    <t>CUST_4450</t>
  </si>
  <si>
    <t>CUST_4451</t>
  </si>
  <si>
    <t>19.8</t>
  </si>
  <si>
    <t>CUST_4452</t>
  </si>
  <si>
    <t>CUST_4453</t>
  </si>
  <si>
    <t>CUST_4454</t>
  </si>
  <si>
    <t>CUST_4455</t>
  </si>
  <si>
    <t>CUST_4456</t>
  </si>
  <si>
    <t>CUST_4457</t>
  </si>
  <si>
    <t>CUST_4458</t>
  </si>
  <si>
    <t>CUST_4459</t>
  </si>
  <si>
    <t>4.95</t>
  </si>
  <si>
    <t>CUST_4460</t>
  </si>
  <si>
    <t>CUST_4461</t>
  </si>
  <si>
    <t>CUST_4462</t>
  </si>
  <si>
    <t>CUST_4463</t>
  </si>
  <si>
    <t>CUST_4464</t>
  </si>
  <si>
    <t>CUST_4465</t>
  </si>
  <si>
    <t>CUST_4466</t>
  </si>
  <si>
    <t>CUST_4467</t>
  </si>
  <si>
    <t>CUST_4468</t>
  </si>
  <si>
    <t>CUST_4469</t>
  </si>
  <si>
    <t>13.77</t>
  </si>
  <si>
    <t>CUST_4470</t>
  </si>
  <si>
    <t>CUST_4471</t>
  </si>
  <si>
    <t>CUST_4472</t>
  </si>
  <si>
    <t>CUST_4473</t>
  </si>
  <si>
    <t>CUST_4474</t>
  </si>
  <si>
    <t>CUST_4475</t>
  </si>
  <si>
    <t>CUST_4476</t>
  </si>
  <si>
    <t>CUST_4477</t>
  </si>
  <si>
    <t>CUST_4478</t>
  </si>
  <si>
    <t>CUST_4479</t>
  </si>
  <si>
    <t>CUST_4480</t>
  </si>
  <si>
    <t>CUST_4481</t>
  </si>
  <si>
    <t>CUST_4482</t>
  </si>
  <si>
    <t>CUST_4483</t>
  </si>
  <si>
    <t>CUST_4484</t>
  </si>
  <si>
    <t>CUST_4485</t>
  </si>
  <si>
    <t>CUST_4486</t>
  </si>
  <si>
    <t>CUST_4487</t>
  </si>
  <si>
    <t>CUST_4488</t>
  </si>
  <si>
    <t>CUST_4489</t>
  </si>
  <si>
    <t>CUST_4490</t>
  </si>
  <si>
    <t>CUST_4491</t>
  </si>
  <si>
    <t>CUST_4492</t>
  </si>
  <si>
    <t>CUST_4493</t>
  </si>
  <si>
    <t>CUST_4494</t>
  </si>
  <si>
    <t>CUST_4495</t>
  </si>
  <si>
    <t>CUST_4496</t>
  </si>
  <si>
    <t>CUST_4497</t>
  </si>
  <si>
    <t>CUST_4498</t>
  </si>
  <si>
    <t>CUST_4499</t>
  </si>
  <si>
    <t>CUST_4500</t>
  </si>
  <si>
    <t>CUST_4501</t>
  </si>
  <si>
    <t>CUST_4502</t>
  </si>
  <si>
    <t>CUST_4503</t>
  </si>
  <si>
    <t>CUST_4504</t>
  </si>
  <si>
    <t>CUST_4505</t>
  </si>
  <si>
    <t>CUST_4506</t>
  </si>
  <si>
    <t>CUST_4507</t>
  </si>
  <si>
    <t>CUST_4508</t>
  </si>
  <si>
    <t>CUST_4509</t>
  </si>
  <si>
    <t>CUST_4510</t>
  </si>
  <si>
    <t>CUST_4511</t>
  </si>
  <si>
    <t>CUST_4512</t>
  </si>
  <si>
    <t>9.74</t>
  </si>
  <si>
    <t>CUST_4513</t>
  </si>
  <si>
    <t>CUST_4514</t>
  </si>
  <si>
    <t>CUST_4515</t>
  </si>
  <si>
    <t>CUST_4516</t>
  </si>
  <si>
    <t>CUST_4517</t>
  </si>
  <si>
    <t>CUST_4518</t>
  </si>
  <si>
    <t>CUST_4519</t>
  </si>
  <si>
    <t>CUST_4520</t>
  </si>
  <si>
    <t>CUST_4521</t>
  </si>
  <si>
    <t>CUST_4522</t>
  </si>
  <si>
    <t>CUST_4523</t>
  </si>
  <si>
    <t>CUST_4524</t>
  </si>
  <si>
    <t>CUST_4525</t>
  </si>
  <si>
    <t>CUST_4526</t>
  </si>
  <si>
    <t>CUST_4527</t>
  </si>
  <si>
    <t>CUST_4528</t>
  </si>
  <si>
    <t>CUST_4529</t>
  </si>
  <si>
    <t>CUST_4530</t>
  </si>
  <si>
    <t>CUST_4531</t>
  </si>
  <si>
    <t>CUST_4532</t>
  </si>
  <si>
    <t>CUST_4533</t>
  </si>
  <si>
    <t>CUST_4534</t>
  </si>
  <si>
    <t>CUST_4535</t>
  </si>
  <si>
    <t>CUST_4536</t>
  </si>
  <si>
    <t>CUST_4537</t>
  </si>
  <si>
    <t>CUST_4538</t>
  </si>
  <si>
    <t>CUST_4539</t>
  </si>
  <si>
    <t>CUST_4540</t>
  </si>
  <si>
    <t>CUST_4541</t>
  </si>
  <si>
    <t>CUST_4542</t>
  </si>
  <si>
    <t>CUST_4543</t>
  </si>
  <si>
    <t>CUST_4544</t>
  </si>
  <si>
    <t>CUST_4545</t>
  </si>
  <si>
    <t>CUST_4546</t>
  </si>
  <si>
    <t>CUST_4547</t>
  </si>
  <si>
    <t>CUST_4548</t>
  </si>
  <si>
    <t>CUST_4549</t>
  </si>
  <si>
    <t>CUST_4550</t>
  </si>
  <si>
    <t>CUST_4551</t>
  </si>
  <si>
    <t>CUST_4552</t>
  </si>
  <si>
    <t>CUST_4553</t>
  </si>
  <si>
    <t>CUST_4554</t>
  </si>
  <si>
    <t>CUST_4555</t>
  </si>
  <si>
    <t>CUST_4556</t>
  </si>
  <si>
    <t>CUST_4557</t>
  </si>
  <si>
    <t>CUST_4558</t>
  </si>
  <si>
    <t>CUST_4559</t>
  </si>
  <si>
    <t>CUST_4560</t>
  </si>
  <si>
    <t>CUST_4561</t>
  </si>
  <si>
    <t>CUST_4562</t>
  </si>
  <si>
    <t>CUST_4563</t>
  </si>
  <si>
    <t>CUST_4564</t>
  </si>
  <si>
    <t>CUST_4565</t>
  </si>
  <si>
    <t>CUST_4566</t>
  </si>
  <si>
    <t>CUST_4567</t>
  </si>
  <si>
    <t>CUST_4568</t>
  </si>
  <si>
    <t>CUST_4569</t>
  </si>
  <si>
    <t>CUST_4570</t>
  </si>
  <si>
    <t>CUST_4571</t>
  </si>
  <si>
    <t>CUST_4572</t>
  </si>
  <si>
    <t>CUST_4573</t>
  </si>
  <si>
    <t>CUST_4574</t>
  </si>
  <si>
    <t>CUST_4575</t>
  </si>
  <si>
    <t>17.7</t>
  </si>
  <si>
    <t>CUST_4576</t>
  </si>
  <si>
    <t>CUST_4577</t>
  </si>
  <si>
    <t>CUST_4578</t>
  </si>
  <si>
    <t>CUST_4579</t>
  </si>
  <si>
    <t>CUST_4580</t>
  </si>
  <si>
    <t>CUST_4581</t>
  </si>
  <si>
    <t>CUST_4582</t>
  </si>
  <si>
    <t>6.55</t>
  </si>
  <si>
    <t>CUST_4583</t>
  </si>
  <si>
    <t>CUST_4584</t>
  </si>
  <si>
    <t>CUST_4585</t>
  </si>
  <si>
    <t>CUST_4586</t>
  </si>
  <si>
    <t>CUST_4587</t>
  </si>
  <si>
    <t>CUST_4588</t>
  </si>
  <si>
    <t>CUST_4589</t>
  </si>
  <si>
    <t>6.14</t>
  </si>
  <si>
    <t>CUST_4590</t>
  </si>
  <si>
    <t>CUST_4591</t>
  </si>
  <si>
    <t>CUST_4592</t>
  </si>
  <si>
    <t>CUST_4593</t>
  </si>
  <si>
    <t>CUST_4594</t>
  </si>
  <si>
    <t>CUST_4595</t>
  </si>
  <si>
    <t>CUST_4596</t>
  </si>
  <si>
    <t>CUST_4597</t>
  </si>
  <si>
    <t>CUST_4598</t>
  </si>
  <si>
    <t>CUST_4599</t>
  </si>
  <si>
    <t>CUST_4600</t>
  </si>
  <si>
    <t>CUST_4601</t>
  </si>
  <si>
    <t>CUST_4602</t>
  </si>
  <si>
    <t>CUST_4603</t>
  </si>
  <si>
    <t>CUST_4604</t>
  </si>
  <si>
    <t>4.46</t>
  </si>
  <si>
    <t>CUST_4605</t>
  </si>
  <si>
    <t>CUST_4606</t>
  </si>
  <si>
    <t>CUST_4607</t>
  </si>
  <si>
    <t>CUST_4608</t>
  </si>
  <si>
    <t>CUST_4609</t>
  </si>
  <si>
    <t>CUST_4610</t>
  </si>
  <si>
    <t>CUST_4611</t>
  </si>
  <si>
    <t>CUST_4612</t>
  </si>
  <si>
    <t>CUST_4613</t>
  </si>
  <si>
    <t>CUST_4614</t>
  </si>
  <si>
    <t>CUST_4615</t>
  </si>
  <si>
    <t>CUST_4616</t>
  </si>
  <si>
    <t>5.02</t>
  </si>
  <si>
    <t>CUST_4617</t>
  </si>
  <si>
    <t>CUST_4618</t>
  </si>
  <si>
    <t>CUST_4619</t>
  </si>
  <si>
    <t>CUST_4620</t>
  </si>
  <si>
    <t>CUST_4621</t>
  </si>
  <si>
    <t>CUST_4622</t>
  </si>
  <si>
    <t>CUST_4623</t>
  </si>
  <si>
    <t>CUST_4624</t>
  </si>
  <si>
    <t>CUST_4625</t>
  </si>
  <si>
    <t>CUST_4626</t>
  </si>
  <si>
    <t>CUST_4627</t>
  </si>
  <si>
    <t>CUST_4628</t>
  </si>
  <si>
    <t>CUST_4629</t>
  </si>
  <si>
    <t>CUST_4630</t>
  </si>
  <si>
    <t>CUST_4631</t>
  </si>
  <si>
    <t>CUST_4632</t>
  </si>
  <si>
    <t>CUST_4633</t>
  </si>
  <si>
    <t>CUST_4634</t>
  </si>
  <si>
    <t>CUST_4635</t>
  </si>
  <si>
    <t>CUST_4636</t>
  </si>
  <si>
    <t>CUST_4637</t>
  </si>
  <si>
    <t>CUST_4638</t>
  </si>
  <si>
    <t>CUST_4639</t>
  </si>
  <si>
    <t>CUST_4640</t>
  </si>
  <si>
    <t>CUST_4641</t>
  </si>
  <si>
    <t>CUST_4642</t>
  </si>
  <si>
    <t>CUST_4643</t>
  </si>
  <si>
    <t>CUST_4644</t>
  </si>
  <si>
    <t>CUST_4645</t>
  </si>
  <si>
    <t>CUST_4646</t>
  </si>
  <si>
    <t>CUST_4647</t>
  </si>
  <si>
    <t>CUST_4648</t>
  </si>
  <si>
    <t>CUST_4649</t>
  </si>
  <si>
    <t>CUST_4650</t>
  </si>
  <si>
    <t>CUST_4651</t>
  </si>
  <si>
    <t>CUST_4652</t>
  </si>
  <si>
    <t>CUST_4653</t>
  </si>
  <si>
    <t>CUST_4654</t>
  </si>
  <si>
    <t>CUST_4655</t>
  </si>
  <si>
    <t>CUST_4656</t>
  </si>
  <si>
    <t>CUST_4657</t>
  </si>
  <si>
    <t>CUST_4658</t>
  </si>
  <si>
    <t>CUST_4659</t>
  </si>
  <si>
    <t>CUST_4660</t>
  </si>
  <si>
    <t>CUST_4661</t>
  </si>
  <si>
    <t>CUST_4662</t>
  </si>
  <si>
    <t>CUST_4663</t>
  </si>
  <si>
    <t>CUST_4664</t>
  </si>
  <si>
    <t>CUST_4665</t>
  </si>
  <si>
    <t>CUST_4666</t>
  </si>
  <si>
    <t>CUST_4667</t>
  </si>
  <si>
    <t>CUST_4668</t>
  </si>
  <si>
    <t>CUST_4669</t>
  </si>
  <si>
    <t>CUST_4670</t>
  </si>
  <si>
    <t>CUST_4671</t>
  </si>
  <si>
    <t>CUST_4672</t>
  </si>
  <si>
    <t>CUST_4673</t>
  </si>
  <si>
    <t>CUST_4674</t>
  </si>
  <si>
    <t>CUST_4675</t>
  </si>
  <si>
    <t>CUST_4676</t>
  </si>
  <si>
    <t>CUST_4677</t>
  </si>
  <si>
    <t>CUST_4678</t>
  </si>
  <si>
    <t>CUST_4679</t>
  </si>
  <si>
    <t>CUST_4680</t>
  </si>
  <si>
    <t>CUST_4681</t>
  </si>
  <si>
    <t>CUST_4682</t>
  </si>
  <si>
    <t>CUST_4683</t>
  </si>
  <si>
    <t>CUST_4684</t>
  </si>
  <si>
    <t>CUST_4685</t>
  </si>
  <si>
    <t>CUST_4686</t>
  </si>
  <si>
    <t>CUST_4687</t>
  </si>
  <si>
    <t>CUST_4688</t>
  </si>
  <si>
    <t>CUST_4689</t>
  </si>
  <si>
    <t>CUST_4690</t>
  </si>
  <si>
    <t>CUST_4691</t>
  </si>
  <si>
    <t>CUST_4692</t>
  </si>
  <si>
    <t>CUST_4693</t>
  </si>
  <si>
    <t>CUST_4694</t>
  </si>
  <si>
    <t>CUST_4695</t>
  </si>
  <si>
    <t>CUST_4696</t>
  </si>
  <si>
    <t>CUST_4697</t>
  </si>
  <si>
    <t>CUST_4698</t>
  </si>
  <si>
    <t>7.74</t>
  </si>
  <si>
    <t>CUST_4699</t>
  </si>
  <si>
    <t>CUST_4700</t>
  </si>
  <si>
    <t>CUST_4701</t>
  </si>
  <si>
    <t>CUST_4702</t>
  </si>
  <si>
    <t>CUST_4703</t>
  </si>
  <si>
    <t>CUST_4704</t>
  </si>
  <si>
    <t>CUST_4705</t>
  </si>
  <si>
    <t>CUST_4706</t>
  </si>
  <si>
    <t>CUST_4707</t>
  </si>
  <si>
    <t>CUST_4708</t>
  </si>
  <si>
    <t>CUST_4709</t>
  </si>
  <si>
    <t>CUST_4710</t>
  </si>
  <si>
    <t>CUST_4711</t>
  </si>
  <si>
    <t>CUST_4712</t>
  </si>
  <si>
    <t>CUST_4713</t>
  </si>
  <si>
    <t>CUST_4714</t>
  </si>
  <si>
    <t>CUST_4715</t>
  </si>
  <si>
    <t>CUST_4716</t>
  </si>
  <si>
    <t>CUST_4717</t>
  </si>
  <si>
    <t>7.88</t>
  </si>
  <si>
    <t>CUST_4718</t>
  </si>
  <si>
    <t>CUST_4719</t>
  </si>
  <si>
    <t>CUST_4720</t>
  </si>
  <si>
    <t>CUST_4721</t>
  </si>
  <si>
    <t>CUST_4722</t>
  </si>
  <si>
    <t>CUST_4723</t>
  </si>
  <si>
    <t>CUST_4724</t>
  </si>
  <si>
    <t>CUST_4725</t>
  </si>
  <si>
    <t>CUST_4726</t>
  </si>
  <si>
    <t>CUST_4727</t>
  </si>
  <si>
    <t>CUST_4728</t>
  </si>
  <si>
    <t>CUST_4729</t>
  </si>
  <si>
    <t>CUST_4730</t>
  </si>
  <si>
    <t>CUST_4731</t>
  </si>
  <si>
    <t>CUST_4732</t>
  </si>
  <si>
    <t>CUST_4733</t>
  </si>
  <si>
    <t>CUST_4734</t>
  </si>
  <si>
    <t>CUST_4735</t>
  </si>
  <si>
    <t>CUST_4736</t>
  </si>
  <si>
    <t>CUST_4737</t>
  </si>
  <si>
    <t>CUST_4738</t>
  </si>
  <si>
    <t>CUST_4739</t>
  </si>
  <si>
    <t>CUST_4740</t>
  </si>
  <si>
    <t>CUST_4741</t>
  </si>
  <si>
    <t>CUST_4742</t>
  </si>
  <si>
    <t>CUST_4743</t>
  </si>
  <si>
    <t>CUST_4744</t>
  </si>
  <si>
    <t>CUST_4745</t>
  </si>
  <si>
    <t>CUST_4746</t>
  </si>
  <si>
    <t>CUST_4747</t>
  </si>
  <si>
    <t>CUST_4748</t>
  </si>
  <si>
    <t>CUST_4749</t>
  </si>
  <si>
    <t>CUST_4750</t>
  </si>
  <si>
    <t>CUST_4751</t>
  </si>
  <si>
    <t>CUST_4752</t>
  </si>
  <si>
    <t>CUST_4753</t>
  </si>
  <si>
    <t>CUST_4754</t>
  </si>
  <si>
    <t>CUST_4755</t>
  </si>
  <si>
    <t>CUST_4756</t>
  </si>
  <si>
    <t>CUST_4757</t>
  </si>
  <si>
    <t>CUST_4758</t>
  </si>
  <si>
    <t>CUST_4759</t>
  </si>
  <si>
    <t>CUST_4760</t>
  </si>
  <si>
    <t>CUST_4761</t>
  </si>
  <si>
    <t>CUST_4762</t>
  </si>
  <si>
    <t>CUST_4763</t>
  </si>
  <si>
    <t>CUST_4764</t>
  </si>
  <si>
    <t>CUST_4765</t>
  </si>
  <si>
    <t>CUST_4766</t>
  </si>
  <si>
    <t>CUST_4767</t>
  </si>
  <si>
    <t>CUST_4768</t>
  </si>
  <si>
    <t>CUST_4769</t>
  </si>
  <si>
    <t>CUST_4770</t>
  </si>
  <si>
    <t>CUST_4771</t>
  </si>
  <si>
    <t>CUST_4772</t>
  </si>
  <si>
    <t>CUST_4773</t>
  </si>
  <si>
    <t>CUST_4774</t>
  </si>
  <si>
    <t>CUST_4775</t>
  </si>
  <si>
    <t>CUST_4776</t>
  </si>
  <si>
    <t>CUST_4777</t>
  </si>
  <si>
    <t>CUST_4778</t>
  </si>
  <si>
    <t>CUST_4779</t>
  </si>
  <si>
    <t>CUST_4780</t>
  </si>
  <si>
    <t>CUST_4781</t>
  </si>
  <si>
    <t>CUST_4782</t>
  </si>
  <si>
    <t>CUST_4783</t>
  </si>
  <si>
    <t>CUST_4784</t>
  </si>
  <si>
    <t>CUST_4785</t>
  </si>
  <si>
    <t>CUST_4786</t>
  </si>
  <si>
    <t>CUST_4787</t>
  </si>
  <si>
    <t>CUST_4788</t>
  </si>
  <si>
    <t>CUST_4789</t>
  </si>
  <si>
    <t>CUST_4790</t>
  </si>
  <si>
    <t>CUST_4791</t>
  </si>
  <si>
    <t>CUST_4792</t>
  </si>
  <si>
    <t>13.88</t>
  </si>
  <si>
    <t>CUST_4793</t>
  </si>
  <si>
    <t>CUST_4794</t>
  </si>
  <si>
    <t>CUST_4795</t>
  </si>
  <si>
    <t>CUST_4796</t>
  </si>
  <si>
    <t>CUST_4797</t>
  </si>
  <si>
    <t>CUST_4798</t>
  </si>
  <si>
    <t>CUST_4799</t>
  </si>
  <si>
    <t>CUST_4800</t>
  </si>
  <si>
    <t>CUST_4801</t>
  </si>
  <si>
    <t>CUST_4802</t>
  </si>
  <si>
    <t>CUST_4803</t>
  </si>
  <si>
    <t>CUST_4804</t>
  </si>
  <si>
    <t>CUST_4805</t>
  </si>
  <si>
    <t>CUST_4806</t>
  </si>
  <si>
    <t>CUST_4807</t>
  </si>
  <si>
    <t>CUST_4808</t>
  </si>
  <si>
    <t>CUST_4809</t>
  </si>
  <si>
    <t>CUST_4810</t>
  </si>
  <si>
    <t>CUST_4811</t>
  </si>
  <si>
    <t>CUST_4812</t>
  </si>
  <si>
    <t>CUST_4813</t>
  </si>
  <si>
    <t>CUST_4814</t>
  </si>
  <si>
    <t>CUST_4815</t>
  </si>
  <si>
    <t>CUST_4816</t>
  </si>
  <si>
    <t>CUST_4817</t>
  </si>
  <si>
    <t>CUST_4818</t>
  </si>
  <si>
    <t>CUST_4819</t>
  </si>
  <si>
    <t>CUST_4820</t>
  </si>
  <si>
    <t>CUST_4821</t>
  </si>
  <si>
    <t>CUST_4822</t>
  </si>
  <si>
    <t>CUST_4823</t>
  </si>
  <si>
    <t>CUST_4824</t>
  </si>
  <si>
    <t>CUST_4825</t>
  </si>
  <si>
    <t>CUST_4826</t>
  </si>
  <si>
    <t>CUST_4827</t>
  </si>
  <si>
    <t>CUST_4828</t>
  </si>
  <si>
    <t>CUST_4829</t>
  </si>
  <si>
    <t>CUST_4830</t>
  </si>
  <si>
    <t>CUST_4831</t>
  </si>
  <si>
    <t>10.65</t>
  </si>
  <si>
    <t>CUST_4832</t>
  </si>
  <si>
    <t>9.79</t>
  </si>
  <si>
    <t>CUST_4833</t>
  </si>
  <si>
    <t>CUST_4834</t>
  </si>
  <si>
    <t>CUST_4835</t>
  </si>
  <si>
    <t>CUST_4836</t>
  </si>
  <si>
    <t>CUST_4837</t>
  </si>
  <si>
    <t>CUST_4838</t>
  </si>
  <si>
    <t>CUST_4839</t>
  </si>
  <si>
    <t>CUST_4840</t>
  </si>
  <si>
    <t>CUST_4841</t>
  </si>
  <si>
    <t>CUST_4842</t>
  </si>
  <si>
    <t>CUST_4843</t>
  </si>
  <si>
    <t>CUST_4844</t>
  </si>
  <si>
    <t>CUST_4845</t>
  </si>
  <si>
    <t>CUST_4846</t>
  </si>
  <si>
    <t>CUST_4847</t>
  </si>
  <si>
    <t>CUST_4848</t>
  </si>
  <si>
    <t>CUST_4849</t>
  </si>
  <si>
    <t>CUST_4850</t>
  </si>
  <si>
    <t>CUST_4851</t>
  </si>
  <si>
    <t>CUST_4852</t>
  </si>
  <si>
    <t>CUST_4853</t>
  </si>
  <si>
    <t>CUST_4854</t>
  </si>
  <si>
    <t>CUST_4855</t>
  </si>
  <si>
    <t>4.66</t>
  </si>
  <si>
    <t>CUST_4856</t>
  </si>
  <si>
    <t>CUST_4857</t>
  </si>
  <si>
    <t>CUST_4858</t>
  </si>
  <si>
    <t>CUST_4859</t>
  </si>
  <si>
    <t>CUST_4860</t>
  </si>
  <si>
    <t>CUST_4861</t>
  </si>
  <si>
    <t>CUST_4862</t>
  </si>
  <si>
    <t>CUST_4863</t>
  </si>
  <si>
    <t>CUST_4864</t>
  </si>
  <si>
    <t>CUST_4865</t>
  </si>
  <si>
    <t>CUST_4866</t>
  </si>
  <si>
    <t>CUST_4867</t>
  </si>
  <si>
    <t>CUST_4868</t>
  </si>
  <si>
    <t>CUST_4869</t>
  </si>
  <si>
    <t>CUST_4870</t>
  </si>
  <si>
    <t>CUST_4871</t>
  </si>
  <si>
    <t>CUST_4872</t>
  </si>
  <si>
    <t>CUST_4873</t>
  </si>
  <si>
    <t>CUST_4874</t>
  </si>
  <si>
    <t>CUST_4875</t>
  </si>
  <si>
    <t>CUST_4876</t>
  </si>
  <si>
    <t>CUST_4877</t>
  </si>
  <si>
    <t>CUST_4878</t>
  </si>
  <si>
    <t>CUST_4879</t>
  </si>
  <si>
    <t>CUST_4880</t>
  </si>
  <si>
    <t>CUST_4881</t>
  </si>
  <si>
    <t>CUST_4882</t>
  </si>
  <si>
    <t>CUST_4883</t>
  </si>
  <si>
    <t>CUST_4884</t>
  </si>
  <si>
    <t>CUST_4885</t>
  </si>
  <si>
    <t>CUST_4886</t>
  </si>
  <si>
    <t>CUST_4887</t>
  </si>
  <si>
    <t>CUST_4888</t>
  </si>
  <si>
    <t>CUST_4889</t>
  </si>
  <si>
    <t>CUST_4890</t>
  </si>
  <si>
    <t>CUST_4891</t>
  </si>
  <si>
    <t>CUST_4892</t>
  </si>
  <si>
    <t>CUST_4893</t>
  </si>
  <si>
    <t>CUST_4894</t>
  </si>
  <si>
    <t>CUST_4895</t>
  </si>
  <si>
    <t>CUST_4896</t>
  </si>
  <si>
    <t>CUST_4897</t>
  </si>
  <si>
    <t>CUST_4898</t>
  </si>
  <si>
    <t>CUST_4899</t>
  </si>
  <si>
    <t>CUST_4900</t>
  </si>
  <si>
    <t>CUST_4901</t>
  </si>
  <si>
    <t>CUST_4902</t>
  </si>
  <si>
    <t>CUST_4903</t>
  </si>
  <si>
    <t>CUST_4904</t>
  </si>
  <si>
    <t>CUST_4905</t>
  </si>
  <si>
    <t>CUST_4906</t>
  </si>
  <si>
    <t>CUST_4907</t>
  </si>
  <si>
    <t>CUST_4908</t>
  </si>
  <si>
    <t>CUST_4909</t>
  </si>
  <si>
    <t>CUST_4910</t>
  </si>
  <si>
    <t>CUST_4911</t>
  </si>
  <si>
    <t>CUST_4912</t>
  </si>
  <si>
    <t>9.39</t>
  </si>
  <si>
    <t>CUST_4913</t>
  </si>
  <si>
    <t>CUST_4914</t>
  </si>
  <si>
    <t>CUST_4915</t>
  </si>
  <si>
    <t>8.5</t>
  </si>
  <si>
    <t>CUST_4916</t>
  </si>
  <si>
    <t>CUST_4917</t>
  </si>
  <si>
    <t>CUST_4918</t>
  </si>
  <si>
    <t>CUST_4919</t>
  </si>
  <si>
    <t>CUST_4920</t>
  </si>
  <si>
    <t>CUST_4921</t>
  </si>
  <si>
    <t>CUST_4922</t>
  </si>
  <si>
    <t>CUST_4923</t>
  </si>
  <si>
    <t>CUST_4924</t>
  </si>
  <si>
    <t>CUST_4925</t>
  </si>
  <si>
    <t>CUST_4926</t>
  </si>
  <si>
    <t>CUST_4927</t>
  </si>
  <si>
    <t>CUST_4928</t>
  </si>
  <si>
    <t>CUST_4929</t>
  </si>
  <si>
    <t>CUST_4930</t>
  </si>
  <si>
    <t>CUST_4931</t>
  </si>
  <si>
    <t>CUST_4932</t>
  </si>
  <si>
    <t>CUST_4933</t>
  </si>
  <si>
    <t>CUST_4934</t>
  </si>
  <si>
    <t>CUST_4935</t>
  </si>
  <si>
    <t>CUST_4936</t>
  </si>
  <si>
    <t>CUST_4937</t>
  </si>
  <si>
    <t>CUST_4938</t>
  </si>
  <si>
    <t>CUST_4939</t>
  </si>
  <si>
    <t>CUST_4940</t>
  </si>
  <si>
    <t>CUST_4941</t>
  </si>
  <si>
    <t>CUST_4942</t>
  </si>
  <si>
    <t>CUST_4943</t>
  </si>
  <si>
    <t>CUST_4944</t>
  </si>
  <si>
    <t>CUST_4945</t>
  </si>
  <si>
    <t>CUST_4946</t>
  </si>
  <si>
    <t>CUST_4947</t>
  </si>
  <si>
    <t>CUST_4948</t>
  </si>
  <si>
    <t>CUST_4949</t>
  </si>
  <si>
    <t>CUST_4950</t>
  </si>
  <si>
    <t>CUST_4951</t>
  </si>
  <si>
    <t>CUST_4952</t>
  </si>
  <si>
    <t>CUST_4953</t>
  </si>
  <si>
    <t>CUST_4954</t>
  </si>
  <si>
    <t>CUST_4955</t>
  </si>
  <si>
    <t>CUST_4956</t>
  </si>
  <si>
    <t>CUST_4957</t>
  </si>
  <si>
    <t>CUST_4958</t>
  </si>
  <si>
    <t>CUST_4959</t>
  </si>
  <si>
    <t>CUST_4960</t>
  </si>
  <si>
    <t>CUST_4961</t>
  </si>
  <si>
    <t>CUST_4962</t>
  </si>
  <si>
    <t>CUST_4963</t>
  </si>
  <si>
    <t>CUST_4964</t>
  </si>
  <si>
    <t>CUST_4965</t>
  </si>
  <si>
    <t>CUST_4966</t>
  </si>
  <si>
    <t>CUST_4967</t>
  </si>
  <si>
    <t>CUST_4968</t>
  </si>
  <si>
    <t>CUST_4969</t>
  </si>
  <si>
    <t>CUST_4970</t>
  </si>
  <si>
    <t>CUST_4971</t>
  </si>
  <si>
    <t>CUST_4972</t>
  </si>
  <si>
    <t>CUST_4973</t>
  </si>
  <si>
    <t>CUST_4974</t>
  </si>
  <si>
    <t>CUST_4975</t>
  </si>
  <si>
    <t>CUST_4976</t>
  </si>
  <si>
    <t>CUST_4977</t>
  </si>
  <si>
    <t>CUST_4978</t>
  </si>
  <si>
    <t>CUST_4979</t>
  </si>
  <si>
    <t>CUST_4980</t>
  </si>
  <si>
    <t>CUST_4981</t>
  </si>
  <si>
    <t>CUST_4982</t>
  </si>
  <si>
    <t>CUST_4983</t>
  </si>
  <si>
    <t>CUST_4984</t>
  </si>
  <si>
    <t>CUST_4985</t>
  </si>
  <si>
    <t>CUST_4986</t>
  </si>
  <si>
    <t>CUST_4987</t>
  </si>
  <si>
    <t>CUST_4988</t>
  </si>
  <si>
    <t>CUST_4989</t>
  </si>
  <si>
    <t>CUST_4990</t>
  </si>
  <si>
    <t>CUST_4991</t>
  </si>
  <si>
    <t>CUST_4992</t>
  </si>
  <si>
    <t>CUST_4993</t>
  </si>
  <si>
    <t>CUST_4994</t>
  </si>
  <si>
    <t>CUST_4995</t>
  </si>
  <si>
    <t>CUST_4996</t>
  </si>
  <si>
    <t>CUST_4997</t>
  </si>
  <si>
    <t>CUST_4998</t>
  </si>
  <si>
    <t>CUST_4999</t>
  </si>
  <si>
    <t>CUST_5000</t>
  </si>
  <si>
    <t>Month</t>
  </si>
  <si>
    <t>Month Number</t>
  </si>
  <si>
    <t>Year</t>
  </si>
  <si>
    <t>Weekday Type</t>
  </si>
  <si>
    <t>Jan</t>
  </si>
  <si>
    <t>Feb</t>
  </si>
  <si>
    <t>Mar</t>
  </si>
  <si>
    <t>Apr</t>
  </si>
  <si>
    <t>May</t>
  </si>
  <si>
    <t>Jun</t>
  </si>
  <si>
    <t>Jul</t>
  </si>
  <si>
    <t>Aug</t>
  </si>
  <si>
    <t>Sep</t>
  </si>
  <si>
    <t>Oct</t>
  </si>
  <si>
    <t>Nov</t>
  </si>
  <si>
    <t>Dec</t>
  </si>
  <si>
    <t>January</t>
  </si>
  <si>
    <t>February</t>
  </si>
  <si>
    <t>March</t>
  </si>
  <si>
    <t>April</t>
  </si>
  <si>
    <t>June</t>
  </si>
  <si>
    <t>July</t>
  </si>
  <si>
    <t>August</t>
  </si>
  <si>
    <t>September</t>
  </si>
  <si>
    <t>October</t>
  </si>
  <si>
    <t>November</t>
  </si>
  <si>
    <t>December</t>
  </si>
  <si>
    <t>Offer Conversion</t>
  </si>
  <si>
    <t>Column1</t>
  </si>
  <si>
    <t>Visit to Test Drive %</t>
  </si>
  <si>
    <t>Visit to Signed %</t>
  </si>
  <si>
    <t>Average Margin per Signed Contract</t>
  </si>
  <si>
    <t>Revenue</t>
  </si>
  <si>
    <t>Profit</t>
  </si>
  <si>
    <r>
      <t>Profit(</t>
    </r>
    <r>
      <rPr>
        <sz val="11"/>
        <color theme="1"/>
        <rFont val="Aptos Narrow"/>
        <family val="2"/>
      </rPr>
      <t>€)</t>
    </r>
  </si>
  <si>
    <t>Revenue(€)</t>
  </si>
  <si>
    <t>Cost Price (€)</t>
  </si>
  <si>
    <t>Unit Price (€)</t>
  </si>
  <si>
    <t>Sum of Customers Visited</t>
  </si>
  <si>
    <t>Sum of Test Drives</t>
  </si>
  <si>
    <t>Sum of Contracts Signed</t>
  </si>
  <si>
    <t>Sum of Revenue(€)</t>
  </si>
  <si>
    <t>Sum of Profit(€)</t>
  </si>
  <si>
    <t>KPI Calculation Block</t>
  </si>
  <si>
    <t>Total Customers</t>
  </si>
  <si>
    <t>Total Test Drives</t>
  </si>
  <si>
    <t>Total Contracts</t>
  </si>
  <si>
    <t>Total Revenue</t>
  </si>
  <si>
    <t>Total Profit</t>
  </si>
  <si>
    <t>Conversion Rate</t>
  </si>
  <si>
    <t>Customers</t>
  </si>
  <si>
    <t>Contracts</t>
  </si>
  <si>
    <t>Conversion</t>
  </si>
  <si>
    <t>Sum of Contracts Offered</t>
  </si>
  <si>
    <t>Stage</t>
  </si>
  <si>
    <t>Value</t>
  </si>
  <si>
    <t>Row Labels</t>
  </si>
  <si>
    <t>Grand Total</t>
  </si>
  <si>
    <t>Automotive Dashboard</t>
  </si>
  <si>
    <t>Conversion %</t>
  </si>
  <si>
    <t>25.56</t>
  </si>
  <si>
    <t>23.49</t>
  </si>
  <si>
    <t>22.0</t>
  </si>
  <si>
    <t>20.1</t>
  </si>
  <si>
    <t>27.95</t>
  </si>
  <si>
    <t>27.63</t>
  </si>
  <si>
    <t>25.83</t>
  </si>
  <si>
    <t>27.78</t>
  </si>
  <si>
    <t>25.2</t>
  </si>
  <si>
    <t>20.59</t>
  </si>
  <si>
    <t>28.48</t>
  </si>
  <si>
    <t>20.72</t>
  </si>
  <si>
    <t>24.66</t>
  </si>
  <si>
    <t>28.57</t>
  </si>
  <si>
    <t>23.14</t>
  </si>
  <si>
    <t>27.69</t>
  </si>
  <si>
    <t>26.09</t>
  </si>
  <si>
    <t>24.1</t>
  </si>
  <si>
    <t>28.99</t>
  </si>
  <si>
    <t>27.55</t>
  </si>
  <si>
    <t>22.58</t>
  </si>
  <si>
    <t>23.33</t>
  </si>
  <si>
    <t>22.06</t>
  </si>
  <si>
    <t>16.91</t>
  </si>
  <si>
    <t>25.35</t>
  </si>
  <si>
    <t>25.19</t>
  </si>
  <si>
    <t>26.35</t>
  </si>
  <si>
    <t>22.96</t>
  </si>
  <si>
    <t>20.83</t>
  </si>
  <si>
    <t>27.73</t>
  </si>
  <si>
    <t>23.27</t>
  </si>
  <si>
    <t>29.08</t>
  </si>
  <si>
    <t>25.34</t>
  </si>
  <si>
    <t>20.44</t>
  </si>
  <si>
    <t>24.32</t>
  </si>
  <si>
    <t>21.74</t>
  </si>
  <si>
    <t>24.43</t>
  </si>
  <si>
    <t>27.48</t>
  </si>
  <si>
    <t>21.95</t>
  </si>
  <si>
    <t>23.81</t>
  </si>
  <si>
    <t>15.02</t>
  </si>
  <si>
    <t>27.56</t>
  </si>
  <si>
    <t>23.08</t>
  </si>
  <si>
    <t>23.2</t>
  </si>
  <si>
    <t>26.67</t>
  </si>
  <si>
    <t>23.36</t>
  </si>
  <si>
    <t>24.77</t>
  </si>
  <si>
    <t>21.77</t>
  </si>
  <si>
    <t>25.33</t>
  </si>
  <si>
    <t>25.37</t>
  </si>
  <si>
    <t>24.81</t>
  </si>
  <si>
    <t>29.17</t>
  </si>
  <si>
    <t>27.96</t>
  </si>
  <si>
    <t>22.03</t>
  </si>
  <si>
    <t>25.97</t>
  </si>
  <si>
    <t>20.79</t>
  </si>
  <si>
    <t>24.11</t>
  </si>
  <si>
    <t>22.63</t>
  </si>
  <si>
    <t>21.29</t>
  </si>
  <si>
    <t>25.0</t>
  </si>
  <si>
    <t>28.4</t>
  </si>
  <si>
    <t>25.64</t>
  </si>
  <si>
    <t>24.58</t>
  </si>
  <si>
    <t>28.77</t>
  </si>
  <si>
    <t>22.08</t>
  </si>
  <si>
    <t>21.84</t>
  </si>
  <si>
    <t>20.0</t>
  </si>
  <si>
    <t>26.03</t>
  </si>
  <si>
    <t>28.93</t>
  </si>
  <si>
    <t>29.33</t>
  </si>
  <si>
    <t>28.1</t>
  </si>
  <si>
    <t>25.14</t>
  </si>
  <si>
    <t>26.74</t>
  </si>
  <si>
    <t>26.97</t>
  </si>
  <si>
    <t>24.78</t>
  </si>
  <si>
    <t>29.27</t>
  </si>
  <si>
    <t>20.93</t>
  </si>
  <si>
    <t>21.05</t>
  </si>
  <si>
    <t>28.05</t>
  </si>
  <si>
    <t>21.33</t>
  </si>
  <si>
    <t>21.14</t>
  </si>
  <si>
    <t>28.66</t>
  </si>
  <si>
    <t>21.7</t>
  </si>
  <si>
    <t>20.18</t>
  </si>
  <si>
    <t>23.47</t>
  </si>
  <si>
    <t>24.24</t>
  </si>
  <si>
    <t>21.11</t>
  </si>
  <si>
    <t>25.61</t>
  </si>
  <si>
    <t>21.78</t>
  </si>
  <si>
    <t>22.22</t>
  </si>
  <si>
    <t>15.06</t>
  </si>
  <si>
    <t>21.5</t>
  </si>
  <si>
    <t>28.36</t>
  </si>
  <si>
    <t>22.92</t>
  </si>
  <si>
    <t>28.81</t>
  </si>
  <si>
    <t>23.53</t>
  </si>
  <si>
    <t>26.8</t>
  </si>
  <si>
    <t>23.68</t>
  </si>
  <si>
    <t>21.24</t>
  </si>
  <si>
    <t>21.79</t>
  </si>
  <si>
    <t>20.54</t>
  </si>
  <si>
    <t>22.15</t>
  </si>
  <si>
    <t>20.27</t>
  </si>
  <si>
    <t>22.89</t>
  </si>
  <si>
    <t>25.27</t>
  </si>
  <si>
    <t>19.82</t>
  </si>
  <si>
    <t>26.26</t>
  </si>
  <si>
    <t>26.87</t>
  </si>
  <si>
    <t>21.43</t>
  </si>
  <si>
    <t>24.73</t>
  </si>
  <si>
    <t>24.03</t>
  </si>
  <si>
    <t>22.3</t>
  </si>
  <si>
    <t>23.94</t>
  </si>
  <si>
    <t>21.57</t>
  </si>
  <si>
    <t>27.42</t>
  </si>
  <si>
    <t>24.48</t>
  </si>
  <si>
    <t>24.86</t>
  </si>
  <si>
    <t>25.53</t>
  </si>
  <si>
    <t>24.27</t>
  </si>
  <si>
    <t>23.58</t>
  </si>
  <si>
    <t>27.72</t>
  </si>
  <si>
    <t>17.32</t>
  </si>
  <si>
    <t>23.62</t>
  </si>
  <si>
    <t>22.67</t>
  </si>
  <si>
    <t>27.4</t>
  </si>
  <si>
    <t>25.58</t>
  </si>
  <si>
    <t>26.15</t>
  </si>
  <si>
    <t>26.32</t>
  </si>
  <si>
    <t>22.42</t>
  </si>
  <si>
    <t>24.64</t>
  </si>
  <si>
    <t>23.66</t>
  </si>
  <si>
    <t>28.38</t>
  </si>
  <si>
    <t>26.92</t>
  </si>
  <si>
    <t>22.37</t>
  </si>
  <si>
    <t>21.89</t>
  </si>
  <si>
    <t>22.68</t>
  </si>
  <si>
    <t>26.4</t>
  </si>
  <si>
    <t>24.59</t>
  </si>
  <si>
    <t>17.79</t>
  </si>
  <si>
    <t>27.27</t>
  </si>
  <si>
    <t>21.93</t>
  </si>
  <si>
    <t>25.87</t>
  </si>
  <si>
    <t>26.47</t>
  </si>
  <si>
    <t>23.6</t>
  </si>
  <si>
    <t>20.13</t>
  </si>
  <si>
    <t>22.99</t>
  </si>
  <si>
    <t>23.76</t>
  </si>
  <si>
    <t>16.32</t>
  </si>
  <si>
    <t>23.42</t>
  </si>
  <si>
    <t>22.07</t>
  </si>
  <si>
    <t>17.51</t>
  </si>
  <si>
    <t>24.31</t>
  </si>
  <si>
    <t>24.09</t>
  </si>
  <si>
    <t>24.07</t>
  </si>
  <si>
    <t>29.07</t>
  </si>
  <si>
    <t>26.05</t>
  </si>
  <si>
    <t>27.19</t>
  </si>
  <si>
    <t>28.21</t>
  </si>
  <si>
    <t>20.57</t>
  </si>
  <si>
    <t>14.34</t>
  </si>
  <si>
    <t>22.81</t>
  </si>
  <si>
    <t>24.42</t>
  </si>
  <si>
    <t>26.96</t>
  </si>
  <si>
    <t>26.22</t>
  </si>
  <si>
    <t>22.41</t>
  </si>
  <si>
    <t>27.03</t>
  </si>
  <si>
    <t>24.18</t>
  </si>
  <si>
    <t>28.7</t>
  </si>
  <si>
    <t>23.02</t>
  </si>
  <si>
    <t>27.91</t>
  </si>
  <si>
    <t>28.12</t>
  </si>
  <si>
    <t>26.02</t>
  </si>
  <si>
    <t>24.51</t>
  </si>
  <si>
    <t>25.49</t>
  </si>
  <si>
    <t>24.49</t>
  </si>
  <si>
    <t>26.0</t>
  </si>
  <si>
    <t>27.14</t>
  </si>
  <si>
    <t>22.76</t>
  </si>
  <si>
    <t>26.36</t>
  </si>
  <si>
    <t>16.4</t>
  </si>
  <si>
    <t>25.52</t>
  </si>
  <si>
    <t>27.68</t>
  </si>
  <si>
    <t>20.96</t>
  </si>
  <si>
    <t>25.89</t>
  </si>
  <si>
    <t>27.62</t>
  </si>
  <si>
    <t>16.31</t>
  </si>
  <si>
    <t>28.18</t>
  </si>
  <si>
    <t>23.88</t>
  </si>
  <si>
    <t>28.85</t>
  </si>
  <si>
    <t>25.24</t>
  </si>
  <si>
    <t>28.8</t>
  </si>
  <si>
    <t>23.93</t>
  </si>
  <si>
    <t>24.22</t>
  </si>
  <si>
    <t>22.86</t>
  </si>
  <si>
    <t>22.05</t>
  </si>
  <si>
    <t>26.42</t>
  </si>
  <si>
    <t>21.97</t>
  </si>
  <si>
    <t>28.28</t>
  </si>
  <si>
    <t>21.88</t>
  </si>
  <si>
    <t>25.17</t>
  </si>
  <si>
    <t>28.0</t>
  </si>
  <si>
    <t>28.08</t>
  </si>
  <si>
    <t>25.81</t>
  </si>
  <si>
    <t>21.53</t>
  </si>
  <si>
    <t>24.34</t>
  </si>
  <si>
    <t>27.39</t>
  </si>
  <si>
    <t>21.37</t>
  </si>
  <si>
    <t>24.75</t>
  </si>
  <si>
    <t>28.69</t>
  </si>
  <si>
    <t>23.31</t>
  </si>
  <si>
    <t>25.31</t>
  </si>
  <si>
    <t>20.75</t>
  </si>
  <si>
    <t>23.91</t>
  </si>
  <si>
    <t>23.21</t>
  </si>
  <si>
    <t>13.03</t>
  </si>
  <si>
    <t>27.37</t>
  </si>
  <si>
    <t>24.68</t>
  </si>
  <si>
    <t>23.7</t>
  </si>
  <si>
    <t>23.3</t>
  </si>
  <si>
    <t>25.85</t>
  </si>
  <si>
    <t>22.64</t>
  </si>
  <si>
    <t>22.38</t>
  </si>
  <si>
    <t>27.84</t>
  </si>
  <si>
    <t>29.0</t>
  </si>
  <si>
    <t>23.19</t>
  </si>
  <si>
    <t>29.46</t>
  </si>
  <si>
    <t>20.5</t>
  </si>
  <si>
    <t>23.0</t>
  </si>
  <si>
    <t>24.29</t>
  </si>
  <si>
    <t>29.32</t>
  </si>
  <si>
    <t>22.88</t>
  </si>
  <si>
    <t>12.85</t>
  </si>
  <si>
    <t>24.35</t>
  </si>
  <si>
    <t>27.54</t>
  </si>
  <si>
    <t>22.47</t>
  </si>
  <si>
    <t>20.97</t>
  </si>
  <si>
    <t>29.06</t>
  </si>
  <si>
    <t>26.37</t>
  </si>
  <si>
    <t>29.29</t>
  </si>
  <si>
    <t>20.61</t>
  </si>
  <si>
    <t>23.44</t>
  </si>
  <si>
    <t>25.21</t>
  </si>
  <si>
    <t>15.35</t>
  </si>
  <si>
    <t>21.31</t>
  </si>
  <si>
    <t>24.85</t>
  </si>
  <si>
    <t>27.94</t>
  </si>
  <si>
    <t>24.56</t>
  </si>
  <si>
    <t>22.73</t>
  </si>
  <si>
    <t>21.3</t>
  </si>
  <si>
    <t>25.69</t>
  </si>
  <si>
    <t>24.06</t>
  </si>
  <si>
    <t>14.87</t>
  </si>
  <si>
    <t>25.44</t>
  </si>
  <si>
    <t>14.9</t>
  </si>
  <si>
    <t>25.62</t>
  </si>
  <si>
    <t>25.74</t>
  </si>
  <si>
    <t>22.45</t>
  </si>
  <si>
    <t>26.44</t>
  </si>
  <si>
    <t>26.27</t>
  </si>
  <si>
    <t>22.12</t>
  </si>
  <si>
    <t>25.93</t>
  </si>
  <si>
    <t>17.38</t>
  </si>
  <si>
    <t>26.51</t>
  </si>
  <si>
    <t>26.72</t>
  </si>
  <si>
    <t>19.9</t>
  </si>
  <si>
    <t>21.18</t>
  </si>
  <si>
    <t>27.06</t>
  </si>
  <si>
    <t>28.39</t>
  </si>
  <si>
    <t>27.59</t>
  </si>
  <si>
    <t>25.48</t>
  </si>
  <si>
    <t>28.43</t>
  </si>
  <si>
    <t>13.53</t>
  </si>
  <si>
    <t>20.56</t>
  </si>
  <si>
    <t>22.39</t>
  </si>
  <si>
    <t>13.44</t>
  </si>
  <si>
    <t>26.28</t>
  </si>
  <si>
    <t>24.53</t>
  </si>
  <si>
    <t>22.43</t>
  </si>
  <si>
    <t>28.17</t>
  </si>
  <si>
    <t>21.47</t>
  </si>
  <si>
    <t>24.72</t>
  </si>
  <si>
    <t>25.32</t>
  </si>
  <si>
    <t>20.35</t>
  </si>
  <si>
    <t>25.9</t>
  </si>
  <si>
    <t>23.32</t>
  </si>
  <si>
    <t>24.0</t>
  </si>
  <si>
    <t>20.33</t>
  </si>
  <si>
    <t>22.13</t>
  </si>
  <si>
    <t>26.89</t>
  </si>
  <si>
    <t>21.62</t>
  </si>
  <si>
    <t>22.78</t>
  </si>
  <si>
    <t>25.96</t>
  </si>
  <si>
    <t>29.13</t>
  </si>
  <si>
    <t>27.15</t>
  </si>
  <si>
    <t>24.84</t>
  </si>
  <si>
    <t>14.92</t>
  </si>
  <si>
    <t>23.89</t>
  </si>
  <si>
    <t>22.01</t>
  </si>
  <si>
    <t>22.33</t>
  </si>
  <si>
    <t>13.49</t>
  </si>
  <si>
    <t>24.21</t>
  </si>
  <si>
    <t>26.63</t>
  </si>
  <si>
    <t>21.8</t>
  </si>
  <si>
    <t>26.45</t>
  </si>
  <si>
    <t>27.0</t>
  </si>
  <si>
    <t>28.95</t>
  </si>
  <si>
    <t>22.97</t>
  </si>
  <si>
    <t>27.86</t>
  </si>
  <si>
    <t>23.17</t>
  </si>
  <si>
    <t>27.93</t>
  </si>
  <si>
    <t>29.59</t>
  </si>
  <si>
    <t>26.53</t>
  </si>
  <si>
    <t>29.57</t>
  </si>
  <si>
    <t>20.49</t>
  </si>
  <si>
    <t>23.16</t>
  </si>
  <si>
    <t>24.14</t>
  </si>
  <si>
    <t>25.6</t>
  </si>
  <si>
    <t>20.81</t>
  </si>
  <si>
    <t>23.12</t>
  </si>
  <si>
    <t>26.19</t>
  </si>
  <si>
    <t>22.94</t>
  </si>
  <si>
    <t>27.43</t>
  </si>
  <si>
    <t>28.91</t>
  </si>
  <si>
    <t>23.74</t>
  </si>
  <si>
    <t>25.66</t>
  </si>
  <si>
    <t>28.75</t>
  </si>
  <si>
    <t>21.49</t>
  </si>
  <si>
    <t>22.09</t>
  </si>
  <si>
    <t>28.22</t>
  </si>
  <si>
    <t>14.6</t>
  </si>
  <si>
    <t>25.23</t>
  </si>
  <si>
    <t>23.29</t>
  </si>
  <si>
    <t>20.26</t>
  </si>
  <si>
    <t>23.61</t>
  </si>
  <si>
    <t>27.64</t>
  </si>
  <si>
    <t>28.37</t>
  </si>
  <si>
    <t>28.29</t>
  </si>
  <si>
    <t>20.14</t>
  </si>
  <si>
    <t>23.97</t>
  </si>
  <si>
    <t>23.48</t>
  </si>
  <si>
    <t>26.79</t>
  </si>
  <si>
    <t>27.22</t>
  </si>
  <si>
    <t>22.54</t>
  </si>
  <si>
    <t>26.61</t>
  </si>
  <si>
    <t>28.89</t>
  </si>
  <si>
    <t>23.03</t>
  </si>
  <si>
    <t>20.51</t>
  </si>
  <si>
    <t>28.46</t>
  </si>
  <si>
    <t>24.4</t>
  </si>
  <si>
    <t>28.87</t>
  </si>
  <si>
    <t>27.08</t>
  </si>
  <si>
    <t>23.75</t>
  </si>
  <si>
    <t>14.16</t>
  </si>
  <si>
    <t>29.55</t>
  </si>
  <si>
    <t>24.41</t>
  </si>
  <si>
    <t>24.26</t>
  </si>
  <si>
    <t>23.38</t>
  </si>
  <si>
    <t>24.82</t>
  </si>
  <si>
    <t>22.02</t>
  </si>
  <si>
    <t>24.69</t>
  </si>
  <si>
    <t>12.74</t>
  </si>
  <si>
    <t>24.44</t>
  </si>
  <si>
    <t>25.3</t>
  </si>
  <si>
    <t>22.28</t>
  </si>
  <si>
    <t>27.71</t>
  </si>
  <si>
    <t>25.45</t>
  </si>
  <si>
    <t>22.95</t>
  </si>
  <si>
    <t>22.83</t>
  </si>
  <si>
    <t>15.5</t>
  </si>
  <si>
    <t>24.87</t>
  </si>
  <si>
    <t>24.52</t>
  </si>
  <si>
    <t>22.69</t>
  </si>
  <si>
    <t>21.38</t>
  </si>
  <si>
    <t>27.36</t>
  </si>
  <si>
    <t>22.7</t>
  </si>
  <si>
    <t>27.66</t>
  </si>
  <si>
    <t>20.3</t>
  </si>
  <si>
    <t>28.15</t>
  </si>
  <si>
    <t>25.18</t>
  </si>
  <si>
    <t>28.16</t>
  </si>
  <si>
    <t>20.55</t>
  </si>
  <si>
    <t>25.95</t>
  </si>
  <si>
    <t>23.26</t>
  </si>
  <si>
    <t>26.85</t>
  </si>
  <si>
    <t>20.41</t>
  </si>
  <si>
    <t>22.52</t>
  </si>
  <si>
    <t>29.52</t>
  </si>
  <si>
    <t>21.71</t>
  </si>
  <si>
    <t>24.17</t>
  </si>
  <si>
    <t>23.23</t>
  </si>
  <si>
    <t>20.16</t>
  </si>
  <si>
    <t>20.86</t>
  </si>
  <si>
    <t>25.68</t>
  </si>
  <si>
    <t>24.36</t>
  </si>
  <si>
    <t>24.5</t>
  </si>
  <si>
    <t>25.29</t>
  </si>
  <si>
    <t>21.58</t>
  </si>
  <si>
    <t>13.84</t>
  </si>
  <si>
    <t>25.51</t>
  </si>
  <si>
    <t>23.46</t>
  </si>
  <si>
    <t>22.35</t>
  </si>
  <si>
    <t>26.81</t>
  </si>
  <si>
    <t>22.82</t>
  </si>
  <si>
    <t>20.99</t>
  </si>
  <si>
    <t>24.05</t>
  </si>
  <si>
    <t>25.22</t>
  </si>
  <si>
    <t>22.6</t>
  </si>
  <si>
    <t>26.23</t>
  </si>
  <si>
    <t>19.84</t>
  </si>
  <si>
    <t>22.32</t>
  </si>
  <si>
    <t>20.48</t>
  </si>
  <si>
    <t>20.91</t>
  </si>
  <si>
    <t>24.37</t>
  </si>
  <si>
    <t>22.93</t>
  </si>
  <si>
    <t>27.04</t>
  </si>
  <si>
    <t>24.62</t>
  </si>
  <si>
    <t>28.3</t>
  </si>
  <si>
    <t>27.83</t>
  </si>
  <si>
    <t>21.65</t>
  </si>
  <si>
    <t>29.67</t>
  </si>
  <si>
    <t>23.65</t>
  </si>
  <si>
    <t>24.46</t>
  </si>
  <si>
    <t>24.19</t>
  </si>
  <si>
    <t>27.5</t>
  </si>
  <si>
    <t>20.09</t>
  </si>
  <si>
    <t>29.71</t>
  </si>
  <si>
    <t>26.58</t>
  </si>
  <si>
    <t>23.95</t>
  </si>
  <si>
    <t>29.58</t>
  </si>
  <si>
    <t>23.15</t>
  </si>
  <si>
    <t>25.55</t>
  </si>
  <si>
    <t>26.14</t>
  </si>
  <si>
    <t>21.94</t>
  </si>
  <si>
    <t>26.5</t>
  </si>
  <si>
    <t>22.56</t>
  </si>
  <si>
    <t>27.85</t>
  </si>
  <si>
    <t>14.11</t>
  </si>
  <si>
    <t>24.38</t>
  </si>
  <si>
    <t>23.57</t>
  </si>
  <si>
    <t>22.75</t>
  </si>
  <si>
    <t>26.39</t>
  </si>
  <si>
    <t>23.85</t>
  </si>
  <si>
    <t>20.15</t>
  </si>
  <si>
    <t>25.86</t>
  </si>
  <si>
    <t>29.11</t>
  </si>
  <si>
    <t>21.23</t>
  </si>
  <si>
    <t>21.0</t>
  </si>
  <si>
    <t>22.61</t>
  </si>
  <si>
    <t>25.98</t>
  </si>
  <si>
    <t>27.97</t>
  </si>
  <si>
    <t>29.77</t>
  </si>
  <si>
    <t>24.12</t>
  </si>
  <si>
    <t>22.9</t>
  </si>
  <si>
    <t>24.55</t>
  </si>
  <si>
    <t>21.85</t>
  </si>
  <si>
    <t>25.47</t>
  </si>
  <si>
    <t>27.61</t>
  </si>
  <si>
    <t>23.4</t>
  </si>
  <si>
    <t>21.21</t>
  </si>
  <si>
    <t>29.89</t>
  </si>
  <si>
    <t>22.16</t>
  </si>
  <si>
    <t>26.71</t>
  </si>
  <si>
    <t>29.5</t>
  </si>
  <si>
    <t>20.87</t>
  </si>
  <si>
    <t>29.79</t>
  </si>
  <si>
    <t>13.96</t>
  </si>
  <si>
    <t>20.39</t>
  </si>
  <si>
    <t>24.02</t>
  </si>
  <si>
    <t>15.93</t>
  </si>
  <si>
    <t>17.3</t>
  </si>
  <si>
    <t>27.81</t>
  </si>
  <si>
    <t>23.45</t>
  </si>
  <si>
    <t>25.88</t>
  </si>
  <si>
    <t>22.55</t>
  </si>
  <si>
    <t>20.69</t>
  </si>
  <si>
    <t>22.98</t>
  </si>
  <si>
    <t>25.42</t>
  </si>
  <si>
    <t>19.86</t>
  </si>
  <si>
    <t>26.52</t>
  </si>
  <si>
    <t>24.67</t>
  </si>
  <si>
    <t>26.25</t>
  </si>
  <si>
    <t>23.13</t>
  </si>
  <si>
    <t>22.34</t>
  </si>
  <si>
    <t>24.71</t>
  </si>
  <si>
    <t>24.04</t>
  </si>
  <si>
    <t>26.76</t>
  </si>
  <si>
    <t>28.09</t>
  </si>
  <si>
    <t>26.04</t>
  </si>
  <si>
    <t>27.88</t>
  </si>
  <si>
    <t>23.78</t>
  </si>
  <si>
    <t>24.76</t>
  </si>
  <si>
    <t>13.36</t>
  </si>
  <si>
    <t>28.24</t>
  </si>
  <si>
    <t>28.42</t>
  </si>
  <si>
    <t>25.77</t>
  </si>
  <si>
    <t>14.45</t>
  </si>
  <si>
    <t>29.24</t>
  </si>
  <si>
    <t>23.39</t>
  </si>
  <si>
    <t>23.96</t>
  </si>
  <si>
    <t>26.06</t>
  </si>
  <si>
    <t>28.07</t>
  </si>
  <si>
    <t>16.27</t>
  </si>
  <si>
    <t>20.95</t>
  </si>
  <si>
    <t>21.09</t>
  </si>
  <si>
    <t>28.79</t>
  </si>
  <si>
    <t>14.97</t>
  </si>
  <si>
    <t>29.05</t>
  </si>
  <si>
    <t>28.97</t>
  </si>
  <si>
    <t>25.36</t>
  </si>
  <si>
    <t>28.04</t>
  </si>
  <si>
    <t>20.31</t>
  </si>
  <si>
    <t>28.72</t>
  </si>
  <si>
    <t>24.83</t>
  </si>
  <si>
    <t>29.3</t>
  </si>
  <si>
    <t>27.12</t>
  </si>
  <si>
    <t>29.38</t>
  </si>
  <si>
    <t>28.23</t>
  </si>
  <si>
    <t>15.61</t>
  </si>
  <si>
    <t>29.2</t>
  </si>
  <si>
    <t>23.71</t>
  </si>
  <si>
    <t>22.11</t>
  </si>
  <si>
    <t>21.92</t>
  </si>
  <si>
    <t>28.68</t>
  </si>
  <si>
    <t>24.2</t>
  </si>
  <si>
    <t>25.26</t>
  </si>
  <si>
    <t>25.84</t>
  </si>
  <si>
    <t>22.5</t>
  </si>
  <si>
    <t>26.77</t>
  </si>
  <si>
    <t>21.82</t>
  </si>
  <si>
    <t>23.28</t>
  </si>
  <si>
    <t>22.79</t>
  </si>
  <si>
    <t>27.16</t>
  </si>
  <si>
    <t>25.4</t>
  </si>
  <si>
    <t>29.14</t>
  </si>
  <si>
    <t>28.32</t>
  </si>
  <si>
    <t>25.78</t>
  </si>
  <si>
    <t>20.9</t>
  </si>
  <si>
    <t>27.07</t>
  </si>
  <si>
    <t>22.29</t>
  </si>
  <si>
    <t>19.65</t>
  </si>
  <si>
    <t>20.12</t>
  </si>
  <si>
    <t>21.51</t>
  </si>
  <si>
    <t>25.91</t>
  </si>
  <si>
    <t>29.91</t>
  </si>
  <si>
    <t>26.17</t>
  </si>
  <si>
    <t>25.71</t>
  </si>
  <si>
    <t>25.16</t>
  </si>
  <si>
    <t>26.73</t>
  </si>
  <si>
    <t>24.74</t>
  </si>
  <si>
    <t>28.83</t>
  </si>
  <si>
    <t>22.62</t>
  </si>
  <si>
    <t>19.66</t>
  </si>
  <si>
    <t>28.26</t>
  </si>
  <si>
    <t>24.6</t>
  </si>
  <si>
    <t>26.56</t>
  </si>
  <si>
    <t>27.7</t>
  </si>
  <si>
    <t>21.83</t>
  </si>
  <si>
    <t>26.24</t>
  </si>
  <si>
    <t>23.64</t>
  </si>
  <si>
    <t>24.39</t>
  </si>
  <si>
    <t>20.37</t>
  </si>
  <si>
    <t>20.8</t>
  </si>
  <si>
    <t>29.84</t>
  </si>
  <si>
    <t>20.43</t>
  </si>
  <si>
    <t>20.88</t>
  </si>
  <si>
    <t>20.24</t>
  </si>
  <si>
    <t>24.8</t>
  </si>
  <si>
    <t>20.25</t>
  </si>
  <si>
    <t>13.9</t>
  </si>
  <si>
    <t>20.47</t>
  </si>
  <si>
    <t>20.45</t>
  </si>
  <si>
    <t>29.31</t>
  </si>
  <si>
    <t>26.57</t>
  </si>
  <si>
    <t>23.73</t>
  </si>
  <si>
    <t>27.74</t>
  </si>
  <si>
    <t>26.95</t>
  </si>
  <si>
    <t>21.76</t>
  </si>
  <si>
    <t>27.1</t>
  </si>
  <si>
    <t>14.83</t>
  </si>
  <si>
    <t>22.31</t>
  </si>
  <si>
    <t>27.89</t>
  </si>
  <si>
    <t>28.03</t>
  </si>
  <si>
    <t>21.9</t>
  </si>
  <si>
    <t>24.79</t>
  </si>
  <si>
    <t>24.65</t>
  </si>
  <si>
    <t>21.6</t>
  </si>
  <si>
    <t>15.81</t>
  </si>
  <si>
    <t>25.57</t>
  </si>
  <si>
    <t>24.3</t>
  </si>
  <si>
    <t>27.21</t>
  </si>
  <si>
    <t>23.9</t>
  </si>
  <si>
    <t>25.15</t>
  </si>
  <si>
    <t>13.31</t>
  </si>
  <si>
    <t>20.65</t>
  </si>
  <si>
    <t>29.37</t>
  </si>
  <si>
    <t>24.54</t>
  </si>
  <si>
    <t>22.91</t>
  </si>
  <si>
    <t>27.33</t>
  </si>
  <si>
    <t>22.77</t>
  </si>
  <si>
    <t>21.13</t>
  </si>
  <si>
    <t>27.38</t>
  </si>
  <si>
    <t>28.76</t>
  </si>
  <si>
    <t>22.84</t>
  </si>
  <si>
    <t>27.13</t>
  </si>
  <si>
    <t>22.71</t>
  </si>
  <si>
    <t>28.33</t>
  </si>
  <si>
    <t>26.13</t>
  </si>
  <si>
    <t>25.41</t>
  </si>
  <si>
    <t>20.92</t>
  </si>
  <si>
    <t>29.03</t>
  </si>
  <si>
    <t>23.86</t>
  </si>
  <si>
    <t>26.98</t>
  </si>
  <si>
    <t>21.36</t>
  </si>
  <si>
    <t>27.92</t>
  </si>
  <si>
    <t>22.66</t>
  </si>
  <si>
    <t>20.98</t>
  </si>
  <si>
    <t>29.09</t>
  </si>
  <si>
    <t>29.23</t>
  </si>
  <si>
    <t>22.14</t>
  </si>
  <si>
    <t>29.49</t>
  </si>
  <si>
    <t>16.73</t>
  </si>
  <si>
    <t>20.63</t>
  </si>
  <si>
    <t>29.41</t>
  </si>
  <si>
    <t>25.38</t>
  </si>
  <si>
    <t>28.67</t>
  </si>
  <si>
    <t>28.45</t>
  </si>
  <si>
    <t>28.47</t>
  </si>
  <si>
    <t>29.01</t>
  </si>
  <si>
    <t>19.87</t>
  </si>
  <si>
    <t>20.2</t>
  </si>
  <si>
    <t>26.12</t>
  </si>
  <si>
    <t>27.45</t>
  </si>
  <si>
    <t>29.47</t>
  </si>
  <si>
    <t>22.36</t>
  </si>
  <si>
    <t>21.25</t>
  </si>
  <si>
    <t>27.34</t>
  </si>
  <si>
    <t>26.88</t>
  </si>
  <si>
    <t>21.59</t>
  </si>
  <si>
    <t>27.2</t>
  </si>
  <si>
    <t>13.2</t>
  </si>
  <si>
    <t>25.75</t>
  </si>
  <si>
    <t>26.6</t>
  </si>
  <si>
    <t>16.74</t>
  </si>
  <si>
    <t>17.34</t>
  </si>
  <si>
    <t>29.45</t>
  </si>
  <si>
    <t>16.6</t>
  </si>
  <si>
    <t>22.46</t>
  </si>
  <si>
    <t>20.11</t>
  </si>
  <si>
    <t>21.55</t>
  </si>
  <si>
    <t>26.21</t>
  </si>
  <si>
    <t>27.17</t>
  </si>
  <si>
    <t>12.67</t>
  </si>
  <si>
    <t>20.22</t>
  </si>
  <si>
    <t>20.66</t>
  </si>
  <si>
    <t>21.01</t>
  </si>
  <si>
    <t>20.29</t>
  </si>
  <si>
    <t>29.73</t>
  </si>
  <si>
    <t>29.36</t>
  </si>
  <si>
    <t>13.62</t>
  </si>
  <si>
    <t>27.01</t>
  </si>
  <si>
    <t>27.18</t>
  </si>
  <si>
    <t>23.24</t>
  </si>
  <si>
    <t>28.92</t>
  </si>
  <si>
    <t>21.12</t>
  </si>
  <si>
    <t>29.51</t>
  </si>
  <si>
    <t>26.82</t>
  </si>
  <si>
    <t>24.16</t>
  </si>
  <si>
    <t>21.64</t>
  </si>
  <si>
    <t>20.78</t>
  </si>
  <si>
    <t>29.21</t>
  </si>
  <si>
    <t>21.54</t>
  </si>
  <si>
    <t>17.41</t>
  </si>
  <si>
    <t>23.77</t>
  </si>
  <si>
    <t>14.51</t>
  </si>
  <si>
    <t>26.49</t>
  </si>
  <si>
    <t>22.51</t>
  </si>
  <si>
    <t>21.15</t>
  </si>
  <si>
    <t>14.24</t>
  </si>
  <si>
    <t>29.8</t>
  </si>
  <si>
    <t>13.65</t>
  </si>
  <si>
    <t>29.35</t>
  </si>
  <si>
    <t>2.66</t>
  </si>
  <si>
    <t>Mokka</t>
  </si>
  <si>
    <t>30.5</t>
  </si>
  <si>
    <t>e-tron</t>
  </si>
  <si>
    <t>EQE</t>
  </si>
  <si>
    <t>2.12</t>
  </si>
  <si>
    <t>T-Roc</t>
  </si>
  <si>
    <t>4.02</t>
  </si>
  <si>
    <t>3.54</t>
  </si>
  <si>
    <t>3.37</t>
  </si>
  <si>
    <t>3.79</t>
  </si>
  <si>
    <t>5.76</t>
  </si>
  <si>
    <t>32.26</t>
  </si>
  <si>
    <t>2.85</t>
  </si>
  <si>
    <t>7.72</t>
  </si>
  <si>
    <t>29.82</t>
  </si>
  <si>
    <t>4.03</t>
  </si>
  <si>
    <t>4.32</t>
  </si>
  <si>
    <t>10.9</t>
  </si>
  <si>
    <t>2.94</t>
  </si>
  <si>
    <t>3.13</t>
  </si>
  <si>
    <t>19.81</t>
  </si>
  <si>
    <t>9.69</t>
  </si>
  <si>
    <t>11.07</t>
  </si>
  <si>
    <t>30.66</t>
  </si>
  <si>
    <t>2.29</t>
  </si>
  <si>
    <t>28.35</t>
  </si>
  <si>
    <t>29.63</t>
  </si>
  <si>
    <t>3.71</t>
  </si>
  <si>
    <t>3.03</t>
  </si>
  <si>
    <t>3.57</t>
  </si>
  <si>
    <t>4.15</t>
  </si>
  <si>
    <t>8.3</t>
  </si>
  <si>
    <t>3.67</t>
  </si>
  <si>
    <t>3.3</t>
  </si>
  <si>
    <t>17.25</t>
  </si>
  <si>
    <t>ID.4</t>
  </si>
  <si>
    <t>4.64</t>
  </si>
  <si>
    <t>2.99</t>
  </si>
  <si>
    <t>30.43</t>
  </si>
  <si>
    <t>4.59</t>
  </si>
  <si>
    <t>12.01</t>
  </si>
  <si>
    <t>2.09</t>
  </si>
  <si>
    <t>2.97</t>
  </si>
  <si>
    <t>4.34</t>
  </si>
  <si>
    <t>21.28</t>
  </si>
  <si>
    <t>32.05</t>
  </si>
  <si>
    <t>5.55</t>
  </si>
  <si>
    <t>4.2</t>
  </si>
  <si>
    <t>2.26</t>
  </si>
  <si>
    <t>i4</t>
  </si>
  <si>
    <t>31.25</t>
  </si>
  <si>
    <t>21.19</t>
  </si>
  <si>
    <t>4.67</t>
  </si>
  <si>
    <t>6.24</t>
  </si>
  <si>
    <t>4.75</t>
  </si>
  <si>
    <t>21.08</t>
  </si>
  <si>
    <t>2.9</t>
  </si>
  <si>
    <t>3.86</t>
  </si>
  <si>
    <t>31.17</t>
  </si>
  <si>
    <t>4.4</t>
  </si>
  <si>
    <t>33.96</t>
  </si>
  <si>
    <t>3.94</t>
  </si>
  <si>
    <t>28.41</t>
  </si>
  <si>
    <t>3.82</t>
  </si>
  <si>
    <t>Crossland</t>
  </si>
  <si>
    <t>5.54</t>
  </si>
  <si>
    <t>18.36</t>
  </si>
  <si>
    <t>4.42</t>
  </si>
  <si>
    <t>29.66</t>
  </si>
  <si>
    <t>5.89</t>
  </si>
  <si>
    <t>30.26</t>
  </si>
  <si>
    <t>3.5</t>
  </si>
  <si>
    <t>9.37</t>
  </si>
  <si>
    <t>19.52</t>
  </si>
  <si>
    <t>30.0</t>
  </si>
  <si>
    <t>2.38</t>
  </si>
  <si>
    <t>3.43</t>
  </si>
  <si>
    <t>2.36</t>
  </si>
  <si>
    <t>2.19</t>
  </si>
  <si>
    <t>31.11</t>
  </si>
  <si>
    <t>3.25</t>
  </si>
  <si>
    <t>4.61</t>
  </si>
  <si>
    <t>2.1</t>
  </si>
  <si>
    <t>5.01</t>
  </si>
  <si>
    <t>31.93</t>
  </si>
  <si>
    <t>4.43</t>
  </si>
  <si>
    <t>5.28</t>
  </si>
  <si>
    <t>2.23</t>
  </si>
  <si>
    <t>3.98</t>
  </si>
  <si>
    <t>3.7</t>
  </si>
  <si>
    <t>3.99</t>
  </si>
  <si>
    <t>4.38</t>
  </si>
  <si>
    <t>3.08</t>
  </si>
  <si>
    <t>6.46</t>
  </si>
  <si>
    <t>31.43</t>
  </si>
  <si>
    <t>2.92</t>
  </si>
  <si>
    <t>4.19</t>
  </si>
  <si>
    <t>23.18</t>
  </si>
  <si>
    <t>3.78</t>
  </si>
  <si>
    <t>7.99</t>
  </si>
  <si>
    <t>4.16</t>
  </si>
  <si>
    <t>2.41</t>
  </si>
  <si>
    <t>2.87</t>
  </si>
  <si>
    <t>12.46</t>
  </si>
  <si>
    <t>2.71</t>
  </si>
  <si>
    <t>32.86</t>
  </si>
  <si>
    <t>3.45</t>
  </si>
  <si>
    <t>3.31</t>
  </si>
  <si>
    <t>11.91</t>
  </si>
  <si>
    <t>3.04</t>
  </si>
  <si>
    <t>2.3</t>
  </si>
  <si>
    <t>5.07</t>
  </si>
  <si>
    <t>2.28</t>
  </si>
  <si>
    <t>2.59</t>
  </si>
  <si>
    <t>8.35</t>
  </si>
  <si>
    <t>21.35</t>
  </si>
  <si>
    <t>6.69</t>
  </si>
  <si>
    <t>9.25</t>
  </si>
  <si>
    <t>3.0</t>
  </si>
  <si>
    <t>11.42</t>
  </si>
  <si>
    <t>4.73</t>
  </si>
  <si>
    <t>28.44</t>
  </si>
  <si>
    <t>2.76</t>
  </si>
  <si>
    <t>3.93</t>
  </si>
  <si>
    <t>2.45</t>
  </si>
  <si>
    <t>9.51</t>
  </si>
  <si>
    <t>4.39</t>
  </si>
  <si>
    <t>13.8</t>
  </si>
  <si>
    <t>4.31</t>
  </si>
  <si>
    <t>31.4</t>
  </si>
  <si>
    <t>10.55</t>
  </si>
  <si>
    <t>4.04</t>
  </si>
  <si>
    <t>11.87</t>
  </si>
  <si>
    <t>30.59</t>
  </si>
  <si>
    <t>4.12</t>
  </si>
  <si>
    <t>5.2</t>
  </si>
  <si>
    <t>27.47</t>
  </si>
  <si>
    <t>5.65</t>
  </si>
  <si>
    <t>31.37</t>
  </si>
  <si>
    <t>4.28</t>
  </si>
  <si>
    <t>2.98</t>
  </si>
  <si>
    <t>10.01</t>
  </si>
  <si>
    <t>12.54</t>
  </si>
  <si>
    <t>3.85</t>
  </si>
  <si>
    <t>5.51</t>
  </si>
  <si>
    <t>6.68</t>
  </si>
  <si>
    <t>11.78</t>
  </si>
  <si>
    <t>6.53</t>
  </si>
  <si>
    <t>2.55</t>
  </si>
  <si>
    <t>3.47</t>
  </si>
  <si>
    <t>3.74</t>
  </si>
  <si>
    <t>3.69</t>
  </si>
  <si>
    <t>3.91</t>
  </si>
  <si>
    <t>4.77</t>
  </si>
  <si>
    <t>2.53</t>
  </si>
  <si>
    <t>30.3</t>
  </si>
  <si>
    <t>3.33</t>
  </si>
  <si>
    <t>3.26</t>
  </si>
  <si>
    <t>30.91</t>
  </si>
  <si>
    <t>5.25</t>
  </si>
  <si>
    <t>6.71</t>
  </si>
  <si>
    <t>31.19</t>
  </si>
  <si>
    <t>19.5</t>
  </si>
  <si>
    <t>31.33</t>
  </si>
  <si>
    <t>2.64</t>
  </si>
  <si>
    <t>4.47</t>
  </si>
  <si>
    <t>32.38</t>
  </si>
  <si>
    <t>3.12</t>
  </si>
  <si>
    <t>3.02</t>
  </si>
  <si>
    <t>2.01</t>
  </si>
  <si>
    <t>5.87</t>
  </si>
  <si>
    <t>29.53</t>
  </si>
  <si>
    <t>2.03</t>
  </si>
  <si>
    <t>4.57</t>
  </si>
  <si>
    <t>10.52</t>
  </si>
  <si>
    <t>30.51</t>
  </si>
  <si>
    <t>3.6</t>
  </si>
  <si>
    <t>8.58</t>
  </si>
  <si>
    <t>9.5</t>
  </si>
  <si>
    <t>4.14</t>
  </si>
  <si>
    <t>33.33</t>
  </si>
  <si>
    <t>2.44</t>
  </si>
  <si>
    <t>3.18</t>
  </si>
  <si>
    <t>21.02</t>
  </si>
  <si>
    <t>3.73</t>
  </si>
  <si>
    <t>10.11</t>
  </si>
  <si>
    <t>2.68</t>
  </si>
  <si>
    <t>2.15</t>
  </si>
  <si>
    <t>3.65</t>
  </si>
  <si>
    <t>21.32</t>
  </si>
  <si>
    <t>3.38</t>
  </si>
  <si>
    <t>5.82</t>
  </si>
  <si>
    <t>3.66</t>
  </si>
  <si>
    <t>3.35</t>
  </si>
  <si>
    <t>4.7</t>
  </si>
  <si>
    <t>8.83</t>
  </si>
  <si>
    <t>3.49</t>
  </si>
  <si>
    <t>2.63</t>
  </si>
  <si>
    <t>3.27</t>
  </si>
  <si>
    <t>4.45</t>
  </si>
  <si>
    <t>29.94</t>
  </si>
  <si>
    <t>2.82</t>
  </si>
  <si>
    <t>2.73</t>
  </si>
  <si>
    <t>2.49</t>
  </si>
  <si>
    <t>2.7</t>
  </si>
  <si>
    <t>6.07</t>
  </si>
  <si>
    <t>5.86</t>
  </si>
  <si>
    <t>32.64</t>
  </si>
  <si>
    <t>10.54</t>
  </si>
  <si>
    <t>2.05</t>
  </si>
  <si>
    <t>2.46</t>
  </si>
  <si>
    <t>12.6</t>
  </si>
  <si>
    <t>5.72</t>
  </si>
  <si>
    <t>2.93</t>
  </si>
  <si>
    <t>2.56</t>
  </si>
  <si>
    <t>31.65</t>
  </si>
  <si>
    <t>21.34</t>
  </si>
  <si>
    <t>9.53</t>
  </si>
  <si>
    <t>2.84</t>
  </si>
  <si>
    <t>30.34</t>
  </si>
  <si>
    <t>3.87</t>
  </si>
  <si>
    <t>26.83</t>
  </si>
  <si>
    <t>3.58</t>
  </si>
  <si>
    <t>9.11</t>
  </si>
  <si>
    <t>31.72</t>
  </si>
  <si>
    <t>32.14</t>
  </si>
  <si>
    <t>2.25</t>
  </si>
  <si>
    <t>29.92</t>
  </si>
  <si>
    <t>5.74</t>
  </si>
  <si>
    <t>4.1</t>
  </si>
  <si>
    <t>4.33</t>
  </si>
  <si>
    <t>2.32</t>
  </si>
  <si>
    <t>2.07</t>
  </si>
  <si>
    <t>21.98</t>
  </si>
  <si>
    <t>3.28</t>
  </si>
  <si>
    <t>2.48</t>
  </si>
  <si>
    <t>4.09</t>
  </si>
  <si>
    <t>4.24</t>
  </si>
  <si>
    <t>12.11</t>
  </si>
  <si>
    <t>6.81</t>
  </si>
  <si>
    <t>2.04</t>
  </si>
  <si>
    <t>10.25</t>
  </si>
  <si>
    <t>20.89</t>
  </si>
  <si>
    <t>3.92</t>
  </si>
  <si>
    <t>3.2</t>
  </si>
  <si>
    <t>10.03</t>
  </si>
  <si>
    <t>2.88</t>
  </si>
  <si>
    <t>4.99</t>
  </si>
  <si>
    <t>2.58</t>
  </si>
  <si>
    <t>3.55</t>
  </si>
  <si>
    <t>4.25</t>
  </si>
  <si>
    <t>30.65</t>
  </si>
  <si>
    <t>31.54</t>
  </si>
  <si>
    <t>3.24</t>
  </si>
  <si>
    <t>2.69</t>
  </si>
  <si>
    <t>20.94</t>
  </si>
  <si>
    <t>3.88</t>
  </si>
  <si>
    <t>2.67</t>
  </si>
  <si>
    <t>2.57</t>
  </si>
  <si>
    <t>5.27</t>
  </si>
  <si>
    <t>30.07</t>
  </si>
  <si>
    <t>2.62</t>
  </si>
  <si>
    <t>11.08</t>
  </si>
  <si>
    <t>33.55</t>
  </si>
  <si>
    <t>33.59</t>
  </si>
  <si>
    <t>3.76</t>
  </si>
  <si>
    <t>12.48</t>
  </si>
  <si>
    <t>18.5</t>
  </si>
  <si>
    <t>3.83</t>
  </si>
  <si>
    <t>5.29</t>
  </si>
  <si>
    <t>3.05</t>
  </si>
  <si>
    <t>10.18</t>
  </si>
  <si>
    <t>11.74</t>
  </si>
  <si>
    <t>3.36</t>
  </si>
  <si>
    <t>3.16</t>
  </si>
  <si>
    <t>2.21</t>
  </si>
  <si>
    <t>4.07</t>
  </si>
  <si>
    <t>2.16</t>
  </si>
  <si>
    <t>31.03</t>
  </si>
  <si>
    <t>9.97</t>
  </si>
  <si>
    <t>27.82</t>
  </si>
  <si>
    <t>6.64</t>
  </si>
  <si>
    <t>30.47</t>
  </si>
  <si>
    <t>4.01</t>
  </si>
  <si>
    <t>13.23</t>
  </si>
  <si>
    <t>8.07</t>
  </si>
  <si>
    <t>2.33</t>
  </si>
  <si>
    <t>30.85</t>
  </si>
  <si>
    <t>2.06</t>
  </si>
  <si>
    <t>7.57</t>
  </si>
  <si>
    <t>3.63</t>
  </si>
  <si>
    <t>31.68</t>
  </si>
  <si>
    <t>3.97</t>
  </si>
  <si>
    <t>9.89</t>
  </si>
  <si>
    <t>31.82</t>
  </si>
  <si>
    <t>2.31</t>
  </si>
  <si>
    <t>11.09</t>
  </si>
  <si>
    <t>18.34</t>
  </si>
  <si>
    <t>3.19</t>
  </si>
  <si>
    <t>6.44</t>
  </si>
  <si>
    <t>4.37</t>
  </si>
  <si>
    <t>2.14</t>
  </si>
  <si>
    <t>2.35</t>
  </si>
  <si>
    <t>4.13</t>
  </si>
  <si>
    <t>4.18</t>
  </si>
  <si>
    <t>33.04</t>
  </si>
  <si>
    <t>2.22</t>
  </si>
  <si>
    <t>2.95</t>
  </si>
  <si>
    <t>32.48</t>
  </si>
  <si>
    <t>2.8</t>
  </si>
  <si>
    <t>19.62</t>
  </si>
  <si>
    <t>5.46</t>
  </si>
  <si>
    <t>11.14</t>
  </si>
  <si>
    <t>5.9</t>
  </si>
  <si>
    <t>3.8</t>
  </si>
  <si>
    <t>8.36</t>
  </si>
  <si>
    <t>11.15</t>
  </si>
  <si>
    <t>4.78</t>
  </si>
  <si>
    <t>2.37</t>
  </si>
  <si>
    <t>10.76</t>
  </si>
  <si>
    <t>2.65</t>
  </si>
  <si>
    <t>3.52</t>
  </si>
  <si>
    <t>2.86</t>
  </si>
  <si>
    <t>31.15</t>
  </si>
  <si>
    <t>27.41</t>
  </si>
  <si>
    <t>32.43</t>
  </si>
  <si>
    <t>3.22</t>
  </si>
  <si>
    <t>3.09</t>
  </si>
  <si>
    <t>2.34</t>
  </si>
  <si>
    <t>8.01</t>
  </si>
  <si>
    <t>9.99</t>
  </si>
  <si>
    <t>13.35</t>
  </si>
  <si>
    <t>11.77</t>
  </si>
  <si>
    <t>32.81</t>
  </si>
  <si>
    <t>28.74</t>
  </si>
  <si>
    <t>25.76</t>
  </si>
  <si>
    <t>6.16</t>
  </si>
  <si>
    <t>30.17</t>
  </si>
  <si>
    <t>30.71</t>
  </si>
  <si>
    <t>12.51</t>
  </si>
  <si>
    <t>3.21</t>
  </si>
  <si>
    <t>31.5</t>
  </si>
  <si>
    <t>31.52</t>
  </si>
  <si>
    <t>18.51</t>
  </si>
  <si>
    <t>9.61</t>
  </si>
  <si>
    <t>6.23</t>
  </si>
  <si>
    <t>6.26</t>
  </si>
  <si>
    <t>2.0</t>
  </si>
  <si>
    <t>29.69</t>
  </si>
  <si>
    <t>13.52</t>
  </si>
  <si>
    <t>7.9</t>
  </si>
  <si>
    <t>11.79</t>
  </si>
  <si>
    <t>2.18</t>
  </si>
  <si>
    <t>12.76</t>
  </si>
  <si>
    <t>3.44</t>
  </si>
  <si>
    <t>2.27</t>
  </si>
  <si>
    <t>32.0</t>
  </si>
  <si>
    <t>7.7</t>
  </si>
  <si>
    <t>2.13</t>
  </si>
  <si>
    <t>3.41</t>
  </si>
  <si>
    <t>2.08</t>
  </si>
  <si>
    <t>2.51</t>
  </si>
  <si>
    <t>30.11</t>
  </si>
  <si>
    <t>21.1</t>
  </si>
  <si>
    <t>2.78</t>
  </si>
  <si>
    <t>3.59</t>
  </si>
  <si>
    <t>12.49</t>
  </si>
  <si>
    <t>2.81</t>
  </si>
  <si>
    <t>3.46</t>
  </si>
  <si>
    <t>3.95</t>
  </si>
  <si>
    <t>20.38</t>
  </si>
  <si>
    <t>9.07</t>
  </si>
  <si>
    <t>3.4</t>
  </si>
  <si>
    <t>3.15</t>
  </si>
  <si>
    <t>5.4</t>
  </si>
  <si>
    <t>31.73</t>
  </si>
  <si>
    <t>3.29</t>
  </si>
  <si>
    <t>30.38</t>
  </si>
  <si>
    <t>2.47</t>
  </si>
  <si>
    <t>7.82</t>
  </si>
  <si>
    <t>31.06</t>
  </si>
  <si>
    <t>3.81</t>
  </si>
  <si>
    <t>4.53</t>
  </si>
  <si>
    <t>7.68</t>
  </si>
  <si>
    <t>2.91</t>
  </si>
  <si>
    <t>9.41</t>
  </si>
  <si>
    <t>12.65</t>
  </si>
  <si>
    <t>3.84</t>
  </si>
  <si>
    <t>31.87</t>
  </si>
  <si>
    <t>2.96</t>
  </si>
  <si>
    <t>30.13</t>
  </si>
  <si>
    <t>10.21</t>
  </si>
  <si>
    <t>19.37</t>
  </si>
  <si>
    <t>9.67</t>
  </si>
  <si>
    <t>3.11</t>
  </si>
  <si>
    <t>10.04</t>
  </si>
  <si>
    <t>32.11</t>
  </si>
  <si>
    <t>9.81</t>
  </si>
  <si>
    <t>2.42</t>
  </si>
  <si>
    <t>4.87</t>
  </si>
  <si>
    <t>6.28</t>
  </si>
  <si>
    <t>32.89</t>
  </si>
  <si>
    <t>8.71</t>
  </si>
  <si>
    <t>30.77</t>
  </si>
  <si>
    <t>12.72</t>
  </si>
  <si>
    <t>30.93</t>
  </si>
  <si>
    <t>30.58</t>
  </si>
  <si>
    <t>29.81</t>
  </si>
  <si>
    <t>3.48</t>
  </si>
  <si>
    <t>3.72</t>
  </si>
  <si>
    <t>2.89</t>
  </si>
  <si>
    <t>3.23</t>
  </si>
  <si>
    <t>3.64</t>
  </si>
  <si>
    <t>13.32</t>
  </si>
  <si>
    <t>20.74</t>
  </si>
  <si>
    <t>30.56</t>
  </si>
  <si>
    <t>2.61</t>
  </si>
  <si>
    <t>13.63</t>
  </si>
  <si>
    <t>10.41</t>
  </si>
  <si>
    <t>3.53</t>
  </si>
  <si>
    <t>11.71</t>
  </si>
  <si>
    <t>32.04</t>
  </si>
  <si>
    <t>2.2</t>
  </si>
  <si>
    <t>30.49</t>
  </si>
  <si>
    <t>4.36</t>
  </si>
  <si>
    <t>31.71</t>
  </si>
  <si>
    <t>33.06</t>
  </si>
  <si>
    <t>2.39</t>
  </si>
  <si>
    <t>31.46</t>
  </si>
  <si>
    <t>32.03</t>
  </si>
  <si>
    <t>2.17</t>
  </si>
  <si>
    <t>31.58</t>
  </si>
  <si>
    <t>8.56</t>
  </si>
  <si>
    <t>31.31</t>
  </si>
  <si>
    <t>3.32</t>
  </si>
  <si>
    <t>2.02</t>
  </si>
  <si>
    <t>8.61</t>
  </si>
  <si>
    <t>31.76</t>
  </si>
  <si>
    <t>19.47</t>
  </si>
  <si>
    <t>4.22</t>
  </si>
  <si>
    <t>7.17</t>
  </si>
  <si>
    <t>30.12</t>
  </si>
  <si>
    <t>3.06</t>
  </si>
  <si>
    <t>31.45</t>
  </si>
  <si>
    <t>33.61</t>
  </si>
  <si>
    <t>28.25</t>
  </si>
  <si>
    <t>3.61</t>
  </si>
  <si>
    <t>30.23</t>
  </si>
  <si>
    <t>20.64</t>
  </si>
  <si>
    <t>12.91</t>
  </si>
  <si>
    <t>3.62</t>
  </si>
  <si>
    <t>7.13</t>
  </si>
  <si>
    <t>20.08</t>
  </si>
  <si>
    <t>31.41</t>
  </si>
  <si>
    <t>11.1</t>
  </si>
  <si>
    <t>10.24</t>
  </si>
  <si>
    <t>29.76</t>
  </si>
  <si>
    <t>3.56</t>
  </si>
  <si>
    <t>7.42</t>
  </si>
  <si>
    <t>3.89</t>
  </si>
  <si>
    <t>30.53</t>
  </si>
  <si>
    <t>32.54</t>
  </si>
  <si>
    <t>19.16</t>
  </si>
  <si>
    <t>30.19</t>
  </si>
  <si>
    <t>33.9</t>
  </si>
  <si>
    <t>2.77</t>
  </si>
  <si>
    <t>30.08</t>
  </si>
  <si>
    <t>3.75</t>
  </si>
  <si>
    <t>3.68</t>
  </si>
  <si>
    <t>33.94</t>
  </si>
  <si>
    <t>2.6</t>
  </si>
  <si>
    <t>2.11</t>
  </si>
  <si>
    <t>20.73</t>
  </si>
  <si>
    <t>32.17</t>
  </si>
  <si>
    <t>29.7</t>
  </si>
  <si>
    <t>2.74</t>
  </si>
  <si>
    <t>32.91</t>
  </si>
  <si>
    <t>32.18</t>
  </si>
  <si>
    <t>10.02</t>
  </si>
  <si>
    <t>32.93</t>
  </si>
  <si>
    <t>28.86</t>
  </si>
  <si>
    <t>19.92</t>
  </si>
  <si>
    <t>3.42</t>
  </si>
  <si>
    <t>8.34</t>
  </si>
  <si>
    <t>30.87</t>
  </si>
  <si>
    <t>2.24</t>
  </si>
  <si>
    <t>26.38</t>
  </si>
  <si>
    <t>8.48</t>
  </si>
  <si>
    <t>30.95</t>
  </si>
  <si>
    <t>17.87</t>
  </si>
  <si>
    <t>31.86</t>
  </si>
  <si>
    <t>4.52</t>
  </si>
  <si>
    <t>2.54</t>
  </si>
  <si>
    <t>13.05</t>
  </si>
  <si>
    <t>11.99</t>
  </si>
  <si>
    <t>32.5</t>
  </si>
  <si>
    <t>3.17</t>
  </si>
  <si>
    <t>10.3</t>
  </si>
  <si>
    <t>33.6</t>
  </si>
  <si>
    <t>11.8</t>
  </si>
  <si>
    <t>7.71</t>
  </si>
  <si>
    <t>3.07</t>
  </si>
  <si>
    <t>3.14</t>
  </si>
  <si>
    <t>4.06</t>
  </si>
  <si>
    <t>32.08</t>
  </si>
  <si>
    <t>19.89</t>
  </si>
  <si>
    <t>20.21</t>
  </si>
  <si>
    <t>6.51</t>
  </si>
  <si>
    <t>12.14</t>
  </si>
  <si>
    <t>3.9</t>
  </si>
  <si>
    <t>3.34</t>
  </si>
  <si>
    <t>31.61</t>
  </si>
  <si>
    <t>8.69</t>
  </si>
  <si>
    <t>27.05</t>
  </si>
  <si>
    <t>8.32</t>
  </si>
  <si>
    <t>20.42</t>
  </si>
  <si>
    <t>12.19</t>
  </si>
  <si>
    <t>11.44</t>
  </si>
  <si>
    <t>3.96</t>
  </si>
  <si>
    <t>10.15</t>
  </si>
  <si>
    <t>31.09</t>
  </si>
  <si>
    <t>31.3</t>
  </si>
  <si>
    <t>7.15</t>
  </si>
  <si>
    <t>11.13</t>
  </si>
  <si>
    <t>8.31</t>
  </si>
  <si>
    <t>10.72</t>
  </si>
  <si>
    <t>31.9</t>
  </si>
  <si>
    <t>2.4</t>
  </si>
  <si>
    <t>11.12</t>
  </si>
  <si>
    <t>3.1</t>
  </si>
  <si>
    <t>30.86</t>
  </si>
  <si>
    <t>19.85</t>
  </si>
  <si>
    <t>30.14</t>
  </si>
  <si>
    <t>30.16</t>
  </si>
  <si>
    <t>32.56</t>
  </si>
  <si>
    <t>32.61</t>
  </si>
  <si>
    <t>30.21</t>
  </si>
  <si>
    <t>13.34</t>
  </si>
  <si>
    <t>18.96</t>
  </si>
  <si>
    <t>4.41</t>
  </si>
  <si>
    <t>2.83</t>
  </si>
  <si>
    <t>4.54</t>
  </si>
  <si>
    <t>31.36</t>
  </si>
  <si>
    <t>20.17</t>
  </si>
  <si>
    <t>23.01</t>
  </si>
  <si>
    <t>31.47</t>
  </si>
  <si>
    <t>10.82</t>
  </si>
  <si>
    <t>12.55</t>
  </si>
  <si>
    <t>6.65</t>
  </si>
  <si>
    <t>11.41</t>
  </si>
  <si>
    <t>32.97</t>
  </si>
  <si>
    <t>4.56</t>
  </si>
  <si>
    <t>7.12</t>
  </si>
  <si>
    <t>31.07</t>
  </si>
  <si>
    <t>9.75</t>
  </si>
  <si>
    <t>31.51</t>
  </si>
  <si>
    <t>6.66</t>
  </si>
  <si>
    <t>6.27</t>
  </si>
  <si>
    <t>20.28</t>
  </si>
  <si>
    <t>33.91</t>
  </si>
  <si>
    <t>31.85</t>
  </si>
  <si>
    <t>10.16</t>
  </si>
  <si>
    <t>6.89</t>
  </si>
  <si>
    <t>20.34</t>
  </si>
  <si>
    <t>32.82</t>
  </si>
  <si>
    <t>30.46</t>
  </si>
  <si>
    <t>2.43</t>
  </si>
  <si>
    <t>5.57</t>
  </si>
  <si>
    <t>29.9</t>
  </si>
  <si>
    <t>7.93</t>
  </si>
  <si>
    <t>12.53</t>
  </si>
  <si>
    <t>32.37</t>
  </si>
  <si>
    <t>30.4</t>
  </si>
  <si>
    <t>7.4</t>
  </si>
  <si>
    <t>27.53</t>
  </si>
  <si>
    <t>8.17</t>
  </si>
  <si>
    <t>11.55</t>
  </si>
  <si>
    <t>27.35</t>
  </si>
  <si>
    <t>30.15</t>
  </si>
  <si>
    <t>19.69</t>
  </si>
  <si>
    <t>24.47</t>
  </si>
  <si>
    <t>30.88</t>
  </si>
  <si>
    <t>7.31</t>
  </si>
  <si>
    <t>2.5</t>
  </si>
  <si>
    <t>32.85</t>
  </si>
  <si>
    <t>7.16</t>
  </si>
  <si>
    <t>31.94</t>
  </si>
  <si>
    <t>21.52</t>
  </si>
  <si>
    <t>10.51</t>
  </si>
  <si>
    <t>2.79</t>
  </si>
  <si>
    <t>32.47</t>
  </si>
  <si>
    <t>30.99</t>
  </si>
  <si>
    <t>9.54</t>
  </si>
  <si>
    <t>33.57</t>
  </si>
  <si>
    <t>2.72</t>
  </si>
  <si>
    <t>29.75</t>
  </si>
  <si>
    <t>12.13</t>
  </si>
  <si>
    <t>31.13</t>
  </si>
  <si>
    <t>3.01</t>
  </si>
  <si>
    <t>33.71</t>
  </si>
  <si>
    <t>30.67</t>
  </si>
  <si>
    <t>10.63</t>
  </si>
  <si>
    <t>31.0</t>
  </si>
  <si>
    <t>30.28</t>
  </si>
  <si>
    <t>32.28</t>
  </si>
  <si>
    <t>30.22</t>
  </si>
  <si>
    <t>30.48</t>
  </si>
  <si>
    <t>2.52</t>
  </si>
  <si>
    <t>15.77</t>
  </si>
  <si>
    <t>31.62</t>
  </si>
  <si>
    <t>29.85</t>
  </si>
  <si>
    <t>12.47</t>
  </si>
  <si>
    <t>19.54</t>
  </si>
  <si>
    <t>7.67</t>
  </si>
  <si>
    <t>32.94</t>
  </si>
  <si>
    <t>32.06</t>
  </si>
  <si>
    <t>32.23</t>
  </si>
  <si>
    <t>20.62</t>
  </si>
  <si>
    <t>12.25</t>
  </si>
  <si>
    <t>7.73</t>
  </si>
  <si>
    <t>31.21</t>
  </si>
  <si>
    <t>16.72</t>
  </si>
  <si>
    <t>19.03</t>
  </si>
  <si>
    <t>Autohaus Berlin</t>
  </si>
  <si>
    <t>Sales Performance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</si>
</sst>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00"/>
    <numFmt numFmtId="171" formatCode="0.00;&quot;K&quot;"/>
    <numFmt numFmtId="173" formatCode="&quot;€&quot;\ #\ ##0.0,,&quot;M&quot;"/>
    <numFmt numFmtId="174" formatCode="#\ ##0.0,&quot;K&quot;"/>
    <numFmt numFmtId="175" formatCode="[&gt;=1000000]&quot;€&quot;\ #\ ##0.0,,&quot;M&quot;;[&gt;=1000]&quot;€&quot;\ #\ ##0.0,&quot;K&quot;;&quot;€&quot;\ #\ ##0"/>
  </numFmts>
  <fonts count="26"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8"/>
      <name val="Rockwell"/>
      <family val="2"/>
      <scheme val="minor"/>
    </font>
    <font>
      <sz val="11"/>
      <color theme="1"/>
      <name val="Aptos Narrow"/>
      <family val="2"/>
    </font>
    <font>
      <b/>
      <sz val="18"/>
      <color theme="1"/>
      <name val="Rockwell"/>
      <family val="2"/>
      <scheme val="minor"/>
    </font>
    <font>
      <sz val="11"/>
      <color theme="1"/>
      <name val="Times New Roman"/>
      <family val="1"/>
    </font>
    <font>
      <b/>
      <sz val="24"/>
      <color theme="1"/>
      <name val="Times New Roman"/>
      <family val="1"/>
    </font>
    <font>
      <sz val="14"/>
      <color theme="1"/>
      <name val="Times New Roman"/>
      <family val="1"/>
    </font>
    <font>
      <sz val="18"/>
      <color theme="1"/>
      <name val="Times New Roman"/>
      <family val="1"/>
    </font>
    <font>
      <b/>
      <sz val="24"/>
      <color theme="4" tint="-0.499984740745262"/>
      <name val="Rockwell"/>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thin">
        <color theme="2"/>
      </top>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thin">
        <color theme="4" tint="-0.249977111117893"/>
      </right>
      <top/>
      <bottom style="thin">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0" fontId="0" fillId="0" borderId="10" xfId="0" applyFont="1" applyBorder="1"/>
    <xf numFmtId="165" fontId="0" fillId="0" borderId="0" xfId="0" applyNumberFormat="1"/>
    <xf numFmtId="0" fontId="0" fillId="0" borderId="0" xfId="0" applyNumberFormat="1"/>
    <xf numFmtId="10" fontId="0" fillId="0" borderId="0" xfId="0" applyNumberFormat="1"/>
    <xf numFmtId="2" fontId="0" fillId="0" borderId="0" xfId="0" applyNumberFormat="1"/>
    <xf numFmtId="0" fontId="16" fillId="33" borderId="11" xfId="0" applyFont="1" applyFill="1" applyBorder="1"/>
    <xf numFmtId="0" fontId="0" fillId="0" borderId="0" xfId="0" pivotButton="1"/>
    <xf numFmtId="0" fontId="0" fillId="0" borderId="0" xfId="0" applyAlignment="1">
      <alignment horizontal="left"/>
    </xf>
    <xf numFmtId="171" fontId="0" fillId="0" borderId="0" xfId="0" applyNumberFormat="1"/>
    <xf numFmtId="173" fontId="0" fillId="0" borderId="0" xfId="0" applyNumberFormat="1" applyFont="1"/>
    <xf numFmtId="174" fontId="0" fillId="0" borderId="0" xfId="0" applyNumberFormat="1"/>
    <xf numFmtId="175" fontId="0" fillId="0" borderId="0" xfId="0" applyNumberFormat="1"/>
    <xf numFmtId="173" fontId="0" fillId="0" borderId="0" xfId="0" applyNumberFormat="1"/>
    <xf numFmtId="0" fontId="16" fillId="33" borderId="12" xfId="0" applyFont="1" applyFill="1" applyBorder="1" applyAlignment="1">
      <alignment horizontal="left"/>
    </xf>
    <xf numFmtId="0" fontId="21" fillId="0" borderId="0" xfId="0" applyFont="1"/>
    <xf numFmtId="0" fontId="22" fillId="0" borderId="0" xfId="0" applyFont="1" applyAlignment="1">
      <alignment horizontal="left"/>
    </xf>
    <xf numFmtId="0" fontId="21" fillId="0" borderId="13" xfId="0" applyFont="1" applyBorder="1"/>
    <xf numFmtId="0" fontId="23" fillId="0" borderId="0" xfId="0" applyFont="1" applyAlignment="1">
      <alignment vertical="center"/>
    </xf>
    <xf numFmtId="0" fontId="21" fillId="0" borderId="0" xfId="0" applyFont="1" applyBorder="1"/>
    <xf numFmtId="0" fontId="21" fillId="34" borderId="0" xfId="0" applyFont="1" applyFill="1" applyBorder="1"/>
    <xf numFmtId="0" fontId="24" fillId="34" borderId="0" xfId="0" applyFont="1" applyFill="1" applyBorder="1"/>
    <xf numFmtId="0" fontId="25" fillId="0" borderId="0" xfId="0" applyFont="1" applyAlignment="1">
      <alignment horizontal="left"/>
    </xf>
    <xf numFmtId="174" fontId="20" fillId="35" borderId="14" xfId="0" applyNumberFormat="1" applyFont="1" applyFill="1" applyBorder="1" applyAlignment="1">
      <alignment horizontal="center"/>
    </xf>
    <xf numFmtId="173" fontId="20" fillId="35" borderId="14" xfId="0" applyNumberFormat="1" applyFont="1" applyFill="1" applyBorder="1" applyAlignment="1">
      <alignment horizontal="center"/>
    </xf>
    <xf numFmtId="10" fontId="20" fillId="35" borderId="14" xfId="0" applyNumberFormat="1" applyFont="1" applyFill="1" applyBorder="1" applyAlignment="1">
      <alignment horizontal="center"/>
    </xf>
    <xf numFmtId="0" fontId="20" fillId="35" borderId="15" xfId="0" applyFont="1" applyFill="1" applyBorder="1" applyAlignment="1">
      <alignment horizontal="center" vertical="center"/>
    </xf>
    <xf numFmtId="0" fontId="25"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9">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4" formatCode="0.00%"/>
    </dxf>
    <dxf>
      <numFmt numFmtId="174" formatCode="#\ ##0.0,&quot;K&quot;"/>
    </dxf>
    <dxf>
      <numFmt numFmtId="173" formatCode="&quot;€&quot;\ #\ ##0.0,,&quot;M&quot;"/>
    </dxf>
    <dxf>
      <numFmt numFmtId="174" formatCode="#\ ##0.0,&quot;K&quot;"/>
    </dxf>
    <dxf>
      <numFmt numFmtId="173" formatCode="&quot;€&quot;\ #\ ##0.0,,&quot;M&quot;"/>
    </dxf>
    <dxf>
      <numFmt numFmtId="174" formatCode="#\ ##0.0,&quot;K&quot;"/>
    </dxf>
    <dxf>
      <numFmt numFmtId="173" formatCode="&quot;€&quot;\ #\ ##0.0,,&quot;M&quot;"/>
    </dxf>
    <dxf>
      <numFmt numFmtId="173" formatCode="&quot;€&quot;\ #\ ##0.0,,&quot;M&quot;"/>
    </dxf>
    <dxf>
      <numFmt numFmtId="174" formatCode="#\ ##0.0,&quot;K&quot;"/>
    </dxf>
    <dxf>
      <numFmt numFmtId="174" formatCode="#\ ##0.0,&quot;K&quot;"/>
    </dxf>
    <dxf>
      <numFmt numFmtId="19" formatCode="dd/mm/yyyy"/>
    </dxf>
    <dxf>
      <numFmt numFmtId="14" formatCode="0.00%"/>
    </dxf>
    <dxf>
      <numFmt numFmtId="171" formatCode="0.00;&quot;K&quot;"/>
    </dxf>
    <dxf>
      <numFmt numFmtId="2" formatCode="0.00"/>
    </dxf>
    <dxf>
      <numFmt numFmtId="2" formatCode="0.00"/>
    </dxf>
    <dxf>
      <numFmt numFmtId="2"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Funnel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Pivot_Calcs!$K$1</c:f>
              <c:strCache>
                <c:ptCount val="1"/>
                <c:pt idx="0">
                  <c:v>Value</c:v>
                </c:pt>
              </c:strCache>
            </c:strRef>
          </c:tx>
          <c:spPr>
            <a:solidFill>
              <a:schemeClr val="accent1"/>
            </a:solidFill>
            <a:ln>
              <a:noFill/>
            </a:ln>
            <a:effectLst/>
          </c:spPr>
          <c:invertIfNegative val="0"/>
          <c:cat>
            <c:strRef>
              <c:f>Pivot_Calcs!$J$2:$J$5</c:f>
              <c:strCache>
                <c:ptCount val="4"/>
                <c:pt idx="0">
                  <c:v>Customers Visited</c:v>
                </c:pt>
                <c:pt idx="1">
                  <c:v>Test Drives</c:v>
                </c:pt>
                <c:pt idx="2">
                  <c:v>Contracts Offered</c:v>
                </c:pt>
                <c:pt idx="3">
                  <c:v>Contracts Signed</c:v>
                </c:pt>
              </c:strCache>
            </c:strRef>
          </c:cat>
          <c:val>
            <c:numRef>
              <c:f>Pivot_Calcs!$K$2:$K$5</c:f>
              <c:numCache>
                <c:formatCode>#\ ##0.0,"K"</c:formatCode>
                <c:ptCount val="4"/>
                <c:pt idx="0">
                  <c:v>346287</c:v>
                </c:pt>
                <c:pt idx="1">
                  <c:v>174667</c:v>
                </c:pt>
                <c:pt idx="2">
                  <c:v>118703</c:v>
                </c:pt>
                <c:pt idx="3">
                  <c:v>33623</c:v>
                </c:pt>
              </c:numCache>
            </c:numRef>
          </c:val>
          <c:extLst>
            <c:ext xmlns:c16="http://schemas.microsoft.com/office/drawing/2014/chart" uri="{C3380CC4-5D6E-409C-BE32-E72D297353CC}">
              <c16:uniqueId val="{00000000-6358-46B6-B124-68ECFB335A37}"/>
            </c:ext>
          </c:extLst>
        </c:ser>
        <c:dLbls>
          <c:showLegendKey val="0"/>
          <c:showVal val="0"/>
          <c:showCatName val="0"/>
          <c:showSerName val="0"/>
          <c:showPercent val="0"/>
          <c:showBubbleSize val="0"/>
        </c:dLbls>
        <c:gapWidth val="182"/>
        <c:axId val="607363535"/>
        <c:axId val="607357775"/>
      </c:barChart>
      <c:catAx>
        <c:axId val="607363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607357775"/>
        <c:crosses val="autoZero"/>
        <c:auto val="1"/>
        <c:lblAlgn val="ctr"/>
        <c:lblOffset val="100"/>
        <c:noMultiLvlLbl val="0"/>
      </c:catAx>
      <c:valAx>
        <c:axId val="607357775"/>
        <c:scaling>
          <c:orientation val="minMax"/>
        </c:scaling>
        <c:delete val="0"/>
        <c:axPos val="b"/>
        <c:numFmt formatCode="#\ ##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607363535"/>
        <c:crosses val="autoZero"/>
        <c:crossBetween val="between"/>
      </c:valAx>
      <c:spPr>
        <a:noFill/>
        <a:ln>
          <a:noFill/>
        </a:ln>
        <a:effectLst>
          <a:glow>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Lead-Source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DE"/>
        </a:p>
      </c:txPr>
    </c:title>
    <c:autoTitleDeleted val="0"/>
    <c:plotArea>
      <c:layout/>
      <c:barChart>
        <c:barDir val="col"/>
        <c:grouping val="clustered"/>
        <c:varyColors val="0"/>
        <c:ser>
          <c:idx val="0"/>
          <c:order val="0"/>
          <c:tx>
            <c:strRef>
              <c:f>Pivot_Calcs!$H$31</c:f>
              <c:strCache>
                <c:ptCount val="1"/>
                <c:pt idx="0">
                  <c:v>Sum of Customers Visited</c:v>
                </c:pt>
              </c:strCache>
            </c:strRef>
          </c:tx>
          <c:spPr>
            <a:gradFill rotWithShape="1">
              <a:gsLst>
                <a:gs pos="0">
                  <a:schemeClr val="accent1">
                    <a:tint val="48000"/>
                    <a:satMod val="105000"/>
                    <a:lumMod val="110000"/>
                  </a:schemeClr>
                </a:gs>
                <a:gs pos="100000">
                  <a:schemeClr val="accent1">
                    <a:tint val="78000"/>
                    <a:satMod val="109000"/>
                    <a:lumMod val="100000"/>
                  </a:schemeClr>
                </a:gs>
              </a:gsLst>
              <a:lin ang="5400000" scaled="0"/>
            </a:gradFill>
            <a:ln w="9525" cap="flat" cmpd="sng" algn="ctr">
              <a:solidFill>
                <a:schemeClr val="accent1">
                  <a:shade val="95000"/>
                </a:schemeClr>
              </a:solidFill>
              <a:round/>
            </a:ln>
            <a:effectLst/>
          </c:spPr>
          <c:invertIfNegative val="0"/>
          <c:cat>
            <c:strRef>
              <c:f>Pivot_Calcs!$G$32:$G$35</c:f>
              <c:strCache>
                <c:ptCount val="4"/>
                <c:pt idx="0">
                  <c:v>Referral</c:v>
                </c:pt>
                <c:pt idx="1">
                  <c:v>Social Media</c:v>
                </c:pt>
                <c:pt idx="2">
                  <c:v>Walk-in</c:v>
                </c:pt>
                <c:pt idx="3">
                  <c:v>Website</c:v>
                </c:pt>
              </c:strCache>
            </c:strRef>
          </c:cat>
          <c:val>
            <c:numRef>
              <c:f>Pivot_Calcs!$H$32:$H$35</c:f>
              <c:numCache>
                <c:formatCode>#\ ##0.0,"K"</c:formatCode>
                <c:ptCount val="4"/>
                <c:pt idx="0">
                  <c:v>0</c:v>
                </c:pt>
                <c:pt idx="1">
                  <c:v>0</c:v>
                </c:pt>
                <c:pt idx="2">
                  <c:v>0</c:v>
                </c:pt>
                <c:pt idx="3">
                  <c:v>346287</c:v>
                </c:pt>
              </c:numCache>
            </c:numRef>
          </c:val>
          <c:extLst>
            <c:ext xmlns:c16="http://schemas.microsoft.com/office/drawing/2014/chart" uri="{C3380CC4-5D6E-409C-BE32-E72D297353CC}">
              <c16:uniqueId val="{00000000-899F-49C9-943B-42DB47AE3633}"/>
            </c:ext>
          </c:extLst>
        </c:ser>
        <c:dLbls>
          <c:showLegendKey val="0"/>
          <c:showVal val="0"/>
          <c:showCatName val="0"/>
          <c:showSerName val="0"/>
          <c:showPercent val="0"/>
          <c:showBubbleSize val="0"/>
        </c:dLbls>
        <c:gapWidth val="247"/>
        <c:overlap val="-27"/>
        <c:axId val="795194639"/>
        <c:axId val="795195119"/>
      </c:barChart>
      <c:lineChart>
        <c:grouping val="standard"/>
        <c:varyColors val="0"/>
        <c:ser>
          <c:idx val="1"/>
          <c:order val="1"/>
          <c:tx>
            <c:strRef>
              <c:f>Pivot_Calcs!$I$31</c:f>
              <c:strCache>
                <c:ptCount val="1"/>
                <c:pt idx="0">
                  <c:v>Conversion %</c:v>
                </c:pt>
              </c:strCache>
            </c:strRef>
          </c:tx>
          <c:spPr>
            <a:ln w="15875" cap="rnd">
              <a:solidFill>
                <a:schemeClr val="accent2"/>
              </a:solidFill>
              <a:round/>
            </a:ln>
            <a:effectLst/>
          </c:spPr>
          <c:marker>
            <c:symbol val="none"/>
          </c:marker>
          <c:cat>
            <c:strRef>
              <c:f>Pivot_Calcs!$G$32:$G$35</c:f>
              <c:strCache>
                <c:ptCount val="4"/>
                <c:pt idx="0">
                  <c:v>Referral</c:v>
                </c:pt>
                <c:pt idx="1">
                  <c:v>Social Media</c:v>
                </c:pt>
                <c:pt idx="2">
                  <c:v>Walk-in</c:v>
                </c:pt>
                <c:pt idx="3">
                  <c:v>Website</c:v>
                </c:pt>
              </c:strCache>
            </c:strRef>
          </c:cat>
          <c:val>
            <c:numRef>
              <c:f>Pivot_Calcs!$I$32:$I$35</c:f>
              <c:numCache>
                <c:formatCode>0.00%</c:formatCode>
                <c:ptCount val="4"/>
                <c:pt idx="0">
                  <c:v>0</c:v>
                </c:pt>
                <c:pt idx="1">
                  <c:v>0</c:v>
                </c:pt>
                <c:pt idx="2">
                  <c:v>0</c:v>
                </c:pt>
                <c:pt idx="3">
                  <c:v>0.19249772424098427</c:v>
                </c:pt>
              </c:numCache>
            </c:numRef>
          </c:val>
          <c:smooth val="0"/>
          <c:extLst>
            <c:ext xmlns:c16="http://schemas.microsoft.com/office/drawing/2014/chart" uri="{C3380CC4-5D6E-409C-BE32-E72D297353CC}">
              <c16:uniqueId val="{00000001-899F-49C9-943B-42DB47AE3633}"/>
            </c:ext>
          </c:extLst>
        </c:ser>
        <c:dLbls>
          <c:showLegendKey val="0"/>
          <c:showVal val="0"/>
          <c:showCatName val="0"/>
          <c:showSerName val="0"/>
          <c:showPercent val="0"/>
          <c:showBubbleSize val="0"/>
        </c:dLbls>
        <c:marker val="1"/>
        <c:smooth val="0"/>
        <c:axId val="722612847"/>
        <c:axId val="722615727"/>
      </c:lineChart>
      <c:catAx>
        <c:axId val="79519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795195119"/>
        <c:crosses val="autoZero"/>
        <c:auto val="1"/>
        <c:lblAlgn val="ctr"/>
        <c:lblOffset val="100"/>
        <c:noMultiLvlLbl val="0"/>
      </c:catAx>
      <c:valAx>
        <c:axId val="795195119"/>
        <c:scaling>
          <c:orientation val="minMax"/>
        </c:scaling>
        <c:delete val="0"/>
        <c:axPos val="l"/>
        <c:numFmt formatCode="#\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795194639"/>
        <c:crosses val="autoZero"/>
        <c:crossBetween val="between"/>
      </c:valAx>
      <c:valAx>
        <c:axId val="72261572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722612847"/>
        <c:crosses val="max"/>
        <c:crossBetween val="between"/>
      </c:valAx>
      <c:catAx>
        <c:axId val="722612847"/>
        <c:scaling>
          <c:orientation val="minMax"/>
        </c:scaling>
        <c:delete val="1"/>
        <c:axPos val="b"/>
        <c:numFmt formatCode="General" sourceLinked="1"/>
        <c:majorTickMark val="none"/>
        <c:minorTickMark val="none"/>
        <c:tickLblPos val="nextTo"/>
        <c:crossAx val="722615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Brand Performance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DE"/>
        </a:p>
      </c:txPr>
    </c:title>
    <c:autoTitleDeleted val="0"/>
    <c:plotArea>
      <c:layout/>
      <c:barChart>
        <c:barDir val="col"/>
        <c:grouping val="clustered"/>
        <c:varyColors val="0"/>
        <c:ser>
          <c:idx val="0"/>
          <c:order val="0"/>
          <c:tx>
            <c:strRef>
              <c:f>Pivot_Calcs!$J$9</c:f>
              <c:strCache>
                <c:ptCount val="1"/>
                <c:pt idx="0">
                  <c:v>Sum of Revenue(€)</c:v>
                </c:pt>
              </c:strCache>
            </c:strRef>
          </c:tx>
          <c:spPr>
            <a:gradFill rotWithShape="1">
              <a:gsLst>
                <a:gs pos="0">
                  <a:schemeClr val="accent2">
                    <a:tint val="48000"/>
                    <a:satMod val="105000"/>
                    <a:lumMod val="110000"/>
                  </a:schemeClr>
                </a:gs>
                <a:gs pos="100000">
                  <a:schemeClr val="accent2">
                    <a:tint val="78000"/>
                    <a:satMod val="109000"/>
                    <a:lumMod val="100000"/>
                  </a:schemeClr>
                </a:gs>
              </a:gsLst>
              <a:lin ang="5400000" scaled="0"/>
            </a:gradFill>
            <a:ln w="9525" cap="flat" cmpd="sng" algn="ctr">
              <a:solidFill>
                <a:schemeClr val="accent2">
                  <a:shade val="95000"/>
                </a:schemeClr>
              </a:solidFill>
              <a:round/>
            </a:ln>
            <a:effectLst/>
          </c:spPr>
          <c:invertIfNegative val="0"/>
          <c:cat>
            <c:strRef>
              <c:f>Pivot_Calcs!$I$10:$I$14</c:f>
              <c:strCache>
                <c:ptCount val="5"/>
                <c:pt idx="0">
                  <c:v>Audi</c:v>
                </c:pt>
                <c:pt idx="1">
                  <c:v>BMW</c:v>
                </c:pt>
                <c:pt idx="2">
                  <c:v>Mercedes</c:v>
                </c:pt>
                <c:pt idx="3">
                  <c:v>Opel</c:v>
                </c:pt>
                <c:pt idx="4">
                  <c:v>VW</c:v>
                </c:pt>
              </c:strCache>
            </c:strRef>
          </c:cat>
          <c:val>
            <c:numRef>
              <c:f>Pivot_Calcs!$J$10:$J$14</c:f>
              <c:numCache>
                <c:formatCode>[&gt;=1000000]"€"\ #\ ##0.0,,"M";[&gt;=1000]"€"\ #\ ##0.0,"K";"€"\ #\ ##0</c:formatCode>
                <c:ptCount val="5"/>
                <c:pt idx="0">
                  <c:v>354430918</c:v>
                </c:pt>
                <c:pt idx="1">
                  <c:v>411909738</c:v>
                </c:pt>
                <c:pt idx="2">
                  <c:v>374773721</c:v>
                </c:pt>
                <c:pt idx="3">
                  <c:v>134733187</c:v>
                </c:pt>
                <c:pt idx="4">
                  <c:v>219625997</c:v>
                </c:pt>
              </c:numCache>
            </c:numRef>
          </c:val>
          <c:extLst>
            <c:ext xmlns:c16="http://schemas.microsoft.com/office/drawing/2014/chart" uri="{C3380CC4-5D6E-409C-BE32-E72D297353CC}">
              <c16:uniqueId val="{00000000-FF78-4FF2-A092-E87DCEB05D6F}"/>
            </c:ext>
          </c:extLst>
        </c:ser>
        <c:ser>
          <c:idx val="1"/>
          <c:order val="1"/>
          <c:tx>
            <c:strRef>
              <c:f>Pivot_Calcs!$K$9</c:f>
              <c:strCache>
                <c:ptCount val="1"/>
                <c:pt idx="0">
                  <c:v>Sum of Profit(€)</c:v>
                </c:pt>
              </c:strCache>
            </c:strRef>
          </c:tx>
          <c:spPr>
            <a:gradFill rotWithShape="1">
              <a:gsLst>
                <a:gs pos="0">
                  <a:schemeClr val="accent4">
                    <a:tint val="48000"/>
                    <a:satMod val="105000"/>
                    <a:lumMod val="110000"/>
                  </a:schemeClr>
                </a:gs>
                <a:gs pos="100000">
                  <a:schemeClr val="accent4">
                    <a:tint val="78000"/>
                    <a:satMod val="109000"/>
                    <a:lumMod val="100000"/>
                  </a:schemeClr>
                </a:gs>
              </a:gsLst>
              <a:lin ang="5400000" scaled="0"/>
            </a:gradFill>
            <a:ln w="9525" cap="flat" cmpd="sng" algn="ctr">
              <a:solidFill>
                <a:schemeClr val="accent4">
                  <a:shade val="95000"/>
                </a:schemeClr>
              </a:solidFill>
              <a:round/>
            </a:ln>
            <a:effectLst/>
          </c:spPr>
          <c:invertIfNegative val="0"/>
          <c:cat>
            <c:strRef>
              <c:f>Pivot_Calcs!$I$10:$I$14</c:f>
              <c:strCache>
                <c:ptCount val="5"/>
                <c:pt idx="0">
                  <c:v>Audi</c:v>
                </c:pt>
                <c:pt idx="1">
                  <c:v>BMW</c:v>
                </c:pt>
                <c:pt idx="2">
                  <c:v>Mercedes</c:v>
                </c:pt>
                <c:pt idx="3">
                  <c:v>Opel</c:v>
                </c:pt>
                <c:pt idx="4">
                  <c:v>VW</c:v>
                </c:pt>
              </c:strCache>
            </c:strRef>
          </c:cat>
          <c:val>
            <c:numRef>
              <c:f>Pivot_Calcs!$K$10:$K$14</c:f>
              <c:numCache>
                <c:formatCode>[&gt;=1000000]"€"\ #\ ##0.0,,"M";[&gt;=1000]"€"\ #\ ##0.0,"K";"€"\ #\ ##0</c:formatCode>
                <c:ptCount val="5"/>
                <c:pt idx="0">
                  <c:v>77125182</c:v>
                </c:pt>
                <c:pt idx="1">
                  <c:v>107677516</c:v>
                </c:pt>
                <c:pt idx="2">
                  <c:v>94095197</c:v>
                </c:pt>
                <c:pt idx="3">
                  <c:v>12126385</c:v>
                </c:pt>
                <c:pt idx="4">
                  <c:v>25470999</c:v>
                </c:pt>
              </c:numCache>
            </c:numRef>
          </c:val>
          <c:extLst>
            <c:ext xmlns:c16="http://schemas.microsoft.com/office/drawing/2014/chart" uri="{C3380CC4-5D6E-409C-BE32-E72D297353CC}">
              <c16:uniqueId val="{00000001-FF78-4FF2-A092-E87DCEB05D6F}"/>
            </c:ext>
          </c:extLst>
        </c:ser>
        <c:dLbls>
          <c:showLegendKey val="0"/>
          <c:showVal val="0"/>
          <c:showCatName val="0"/>
          <c:showSerName val="0"/>
          <c:showPercent val="0"/>
          <c:showBubbleSize val="0"/>
        </c:dLbls>
        <c:gapWidth val="219"/>
        <c:overlap val="-27"/>
        <c:axId val="1040298815"/>
        <c:axId val="1040296895"/>
      </c:barChart>
      <c:lineChart>
        <c:grouping val="standard"/>
        <c:varyColors val="0"/>
        <c:ser>
          <c:idx val="2"/>
          <c:order val="2"/>
          <c:tx>
            <c:strRef>
              <c:f>Pivot_Calcs!$L$9</c:f>
              <c:strCache>
                <c:ptCount val="1"/>
                <c:pt idx="0">
                  <c:v>Conversion Rate (%)</c:v>
                </c:pt>
              </c:strCache>
            </c:strRef>
          </c:tx>
          <c:spPr>
            <a:ln w="15875" cap="rnd">
              <a:solidFill>
                <a:schemeClr val="accent6"/>
              </a:solidFill>
              <a:round/>
            </a:ln>
            <a:effectLst/>
          </c:spPr>
          <c:marker>
            <c:symbol val="none"/>
          </c:marker>
          <c:cat>
            <c:strRef>
              <c:f>Pivot_Calcs!$I$10:$I$14</c:f>
              <c:strCache>
                <c:ptCount val="5"/>
                <c:pt idx="0">
                  <c:v>Audi</c:v>
                </c:pt>
                <c:pt idx="1">
                  <c:v>BMW</c:v>
                </c:pt>
                <c:pt idx="2">
                  <c:v>Mercedes</c:v>
                </c:pt>
                <c:pt idx="3">
                  <c:v>Opel</c:v>
                </c:pt>
                <c:pt idx="4">
                  <c:v>VW</c:v>
                </c:pt>
              </c:strCache>
            </c:strRef>
          </c:cat>
          <c:val>
            <c:numRef>
              <c:f>Pivot_Calcs!$L$10:$L$14</c:f>
              <c:numCache>
                <c:formatCode>0.00%</c:formatCode>
                <c:ptCount val="5"/>
                <c:pt idx="0">
                  <c:v>0.21803699597362433</c:v>
                </c:pt>
                <c:pt idx="1">
                  <c:v>0.26618119843513965</c:v>
                </c:pt>
                <c:pt idx="2">
                  <c:v>0.23746346715889863</c:v>
                </c:pt>
                <c:pt idx="3">
                  <c:v>0.14846802385358832</c:v>
                </c:pt>
                <c:pt idx="4">
                  <c:v>0.14751952967705564</c:v>
                </c:pt>
              </c:numCache>
            </c:numRef>
          </c:val>
          <c:smooth val="0"/>
          <c:extLst>
            <c:ext xmlns:c16="http://schemas.microsoft.com/office/drawing/2014/chart" uri="{C3380CC4-5D6E-409C-BE32-E72D297353CC}">
              <c16:uniqueId val="{00000002-FF78-4FF2-A092-E87DCEB05D6F}"/>
            </c:ext>
          </c:extLst>
        </c:ser>
        <c:dLbls>
          <c:showLegendKey val="0"/>
          <c:showVal val="0"/>
          <c:showCatName val="0"/>
          <c:showSerName val="0"/>
          <c:showPercent val="0"/>
          <c:showBubbleSize val="0"/>
        </c:dLbls>
        <c:marker val="1"/>
        <c:smooth val="0"/>
        <c:axId val="1040297375"/>
        <c:axId val="1040293535"/>
      </c:lineChart>
      <c:catAx>
        <c:axId val="10402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1040296895"/>
        <c:crosses val="autoZero"/>
        <c:auto val="1"/>
        <c:lblAlgn val="ctr"/>
        <c:lblOffset val="100"/>
        <c:noMultiLvlLbl val="0"/>
      </c:catAx>
      <c:valAx>
        <c:axId val="1040296895"/>
        <c:scaling>
          <c:orientation val="minMax"/>
        </c:scaling>
        <c:delete val="0"/>
        <c:axPos val="l"/>
        <c:numFmt formatCode="[&gt;=1000000]&quot;€&quot;\ #\ ##0.0,,&quot;M&quot;;[&gt;=1000]&quot;€&quot;\ #\ ##0.0,&quot;K&quot;;&quot;€&quot;\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1040298815"/>
        <c:crosses val="autoZero"/>
        <c:crossBetween val="between"/>
      </c:valAx>
      <c:valAx>
        <c:axId val="1040293535"/>
        <c:scaling>
          <c:orientation val="minMax"/>
          <c:max val="0.35000000000000003"/>
          <c:min val="0.1"/>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1040297375"/>
        <c:crosses val="max"/>
        <c:crossBetween val="between"/>
      </c:valAx>
      <c:catAx>
        <c:axId val="1040297375"/>
        <c:scaling>
          <c:orientation val="minMax"/>
        </c:scaling>
        <c:delete val="1"/>
        <c:axPos val="b"/>
        <c:numFmt formatCode="General" sourceLinked="1"/>
        <c:majorTickMark val="none"/>
        <c:minorTickMark val="none"/>
        <c:tickLblPos val="nextTo"/>
        <c:crossAx val="10402935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Segment Analysis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DE"/>
        </a:p>
      </c:txPr>
    </c:title>
    <c:autoTitleDeleted val="0"/>
    <c:plotArea>
      <c:layout/>
      <c:barChart>
        <c:barDir val="col"/>
        <c:grouping val="clustered"/>
        <c:varyColors val="0"/>
        <c:ser>
          <c:idx val="0"/>
          <c:order val="0"/>
          <c:tx>
            <c:strRef>
              <c:f>Pivot_Calcs!$G$39</c:f>
              <c:strCache>
                <c:ptCount val="1"/>
                <c:pt idx="0">
                  <c:v>Sum of Revenue(€)</c:v>
                </c:pt>
              </c:strCache>
            </c:strRef>
          </c:tx>
          <c:spPr>
            <a:gradFill rotWithShape="1">
              <a:gsLst>
                <a:gs pos="0">
                  <a:schemeClr val="accent2">
                    <a:tint val="48000"/>
                    <a:satMod val="105000"/>
                    <a:lumMod val="110000"/>
                  </a:schemeClr>
                </a:gs>
                <a:gs pos="100000">
                  <a:schemeClr val="accent2">
                    <a:tint val="78000"/>
                    <a:satMod val="109000"/>
                    <a:lumMod val="100000"/>
                  </a:schemeClr>
                </a:gs>
              </a:gsLst>
              <a:lin ang="5400000" scaled="0"/>
            </a:gradFill>
            <a:ln w="9525" cap="flat" cmpd="sng" algn="ctr">
              <a:solidFill>
                <a:schemeClr val="accent2">
                  <a:shade val="95000"/>
                </a:schemeClr>
              </a:solidFill>
              <a:round/>
            </a:ln>
            <a:effectLst/>
          </c:spPr>
          <c:invertIfNegative val="0"/>
          <c:cat>
            <c:strRef>
              <c:f>Pivot_Calcs!$F$40:$F$42</c:f>
              <c:strCache>
                <c:ptCount val="3"/>
                <c:pt idx="0">
                  <c:v>Hatchback</c:v>
                </c:pt>
                <c:pt idx="1">
                  <c:v>Sedan</c:v>
                </c:pt>
                <c:pt idx="2">
                  <c:v>SUV</c:v>
                </c:pt>
              </c:strCache>
            </c:strRef>
          </c:cat>
          <c:val>
            <c:numRef>
              <c:f>Pivot_Calcs!$G$40:$G$42</c:f>
              <c:numCache>
                <c:formatCode>"€"\ #\ ##0.0,,"M"</c:formatCode>
                <c:ptCount val="3"/>
                <c:pt idx="0">
                  <c:v>172216346</c:v>
                </c:pt>
                <c:pt idx="1">
                  <c:v>549909654</c:v>
                </c:pt>
                <c:pt idx="2">
                  <c:v>773347561</c:v>
                </c:pt>
              </c:numCache>
            </c:numRef>
          </c:val>
          <c:extLst>
            <c:ext xmlns:c16="http://schemas.microsoft.com/office/drawing/2014/chart" uri="{C3380CC4-5D6E-409C-BE32-E72D297353CC}">
              <c16:uniqueId val="{00000000-458F-47C9-BE0D-1203CBC4F966}"/>
            </c:ext>
          </c:extLst>
        </c:ser>
        <c:ser>
          <c:idx val="1"/>
          <c:order val="1"/>
          <c:tx>
            <c:strRef>
              <c:f>Pivot_Calcs!$H$39</c:f>
              <c:strCache>
                <c:ptCount val="1"/>
                <c:pt idx="0">
                  <c:v>Sum of Profit(€)</c:v>
                </c:pt>
              </c:strCache>
            </c:strRef>
          </c:tx>
          <c:spPr>
            <a:gradFill rotWithShape="1">
              <a:gsLst>
                <a:gs pos="0">
                  <a:schemeClr val="accent4">
                    <a:tint val="48000"/>
                    <a:satMod val="105000"/>
                    <a:lumMod val="110000"/>
                  </a:schemeClr>
                </a:gs>
                <a:gs pos="100000">
                  <a:schemeClr val="accent4">
                    <a:tint val="78000"/>
                    <a:satMod val="109000"/>
                    <a:lumMod val="100000"/>
                  </a:schemeClr>
                </a:gs>
              </a:gsLst>
              <a:lin ang="5400000" scaled="0"/>
            </a:gradFill>
            <a:ln w="9525" cap="flat" cmpd="sng" algn="ctr">
              <a:solidFill>
                <a:schemeClr val="accent4">
                  <a:shade val="95000"/>
                </a:schemeClr>
              </a:solidFill>
              <a:round/>
            </a:ln>
            <a:effectLst/>
          </c:spPr>
          <c:invertIfNegative val="0"/>
          <c:cat>
            <c:strRef>
              <c:f>Pivot_Calcs!$F$40:$F$42</c:f>
              <c:strCache>
                <c:ptCount val="3"/>
                <c:pt idx="0">
                  <c:v>Hatchback</c:v>
                </c:pt>
                <c:pt idx="1">
                  <c:v>Sedan</c:v>
                </c:pt>
                <c:pt idx="2">
                  <c:v>SUV</c:v>
                </c:pt>
              </c:strCache>
            </c:strRef>
          </c:cat>
          <c:val>
            <c:numRef>
              <c:f>Pivot_Calcs!$H$40:$H$42</c:f>
              <c:numCache>
                <c:formatCode>"€"\ #\ ##0.0,,"M"</c:formatCode>
                <c:ptCount val="3"/>
                <c:pt idx="0">
                  <c:v>24634200</c:v>
                </c:pt>
                <c:pt idx="1">
                  <c:v>132176073</c:v>
                </c:pt>
                <c:pt idx="2">
                  <c:v>159685006</c:v>
                </c:pt>
              </c:numCache>
            </c:numRef>
          </c:val>
          <c:extLst>
            <c:ext xmlns:c16="http://schemas.microsoft.com/office/drawing/2014/chart" uri="{C3380CC4-5D6E-409C-BE32-E72D297353CC}">
              <c16:uniqueId val="{00000001-458F-47C9-BE0D-1203CBC4F966}"/>
            </c:ext>
          </c:extLst>
        </c:ser>
        <c:dLbls>
          <c:showLegendKey val="0"/>
          <c:showVal val="0"/>
          <c:showCatName val="0"/>
          <c:showSerName val="0"/>
          <c:showPercent val="0"/>
          <c:showBubbleSize val="0"/>
        </c:dLbls>
        <c:gapWidth val="219"/>
        <c:overlap val="-27"/>
        <c:axId val="500538079"/>
        <c:axId val="500539519"/>
      </c:barChart>
      <c:lineChart>
        <c:grouping val="standard"/>
        <c:varyColors val="0"/>
        <c:ser>
          <c:idx val="2"/>
          <c:order val="2"/>
          <c:tx>
            <c:strRef>
              <c:f>Pivot_Calcs!$I$39</c:f>
              <c:strCache>
                <c:ptCount val="1"/>
                <c:pt idx="0">
                  <c:v>Conversion Rate (%)</c:v>
                </c:pt>
              </c:strCache>
            </c:strRef>
          </c:tx>
          <c:spPr>
            <a:ln w="15875" cap="rnd">
              <a:solidFill>
                <a:schemeClr val="accent6"/>
              </a:solidFill>
              <a:round/>
            </a:ln>
            <a:effectLst/>
          </c:spPr>
          <c:marker>
            <c:symbol val="none"/>
          </c:marker>
          <c:cat>
            <c:strRef>
              <c:f>Pivot_Calcs!$F$40:$F$42</c:f>
              <c:strCache>
                <c:ptCount val="3"/>
                <c:pt idx="0">
                  <c:v>Hatchback</c:v>
                </c:pt>
                <c:pt idx="1">
                  <c:v>Sedan</c:v>
                </c:pt>
                <c:pt idx="2">
                  <c:v>SUV</c:v>
                </c:pt>
              </c:strCache>
            </c:strRef>
          </c:cat>
          <c:val>
            <c:numRef>
              <c:f>Pivot_Calcs!$I$40:$I$42</c:f>
              <c:numCache>
                <c:formatCode>0.00%</c:formatCode>
                <c:ptCount val="3"/>
                <c:pt idx="0">
                  <c:v>0.16031081546048859</c:v>
                </c:pt>
                <c:pt idx="1">
                  <c:v>0.22434203220433094</c:v>
                </c:pt>
                <c:pt idx="2">
                  <c:v>0.18921343097735474</c:v>
                </c:pt>
              </c:numCache>
            </c:numRef>
          </c:val>
          <c:smooth val="0"/>
          <c:extLst>
            <c:ext xmlns:c16="http://schemas.microsoft.com/office/drawing/2014/chart" uri="{C3380CC4-5D6E-409C-BE32-E72D297353CC}">
              <c16:uniqueId val="{00000002-458F-47C9-BE0D-1203CBC4F966}"/>
            </c:ext>
          </c:extLst>
        </c:ser>
        <c:dLbls>
          <c:showLegendKey val="0"/>
          <c:showVal val="0"/>
          <c:showCatName val="0"/>
          <c:showSerName val="0"/>
          <c:showPercent val="0"/>
          <c:showBubbleSize val="0"/>
        </c:dLbls>
        <c:marker val="1"/>
        <c:smooth val="0"/>
        <c:axId val="500540479"/>
        <c:axId val="500539039"/>
      </c:lineChart>
      <c:catAx>
        <c:axId val="5005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500539519"/>
        <c:crosses val="autoZero"/>
        <c:auto val="1"/>
        <c:lblAlgn val="ctr"/>
        <c:lblOffset val="100"/>
        <c:noMultiLvlLbl val="0"/>
      </c:catAx>
      <c:valAx>
        <c:axId val="500539519"/>
        <c:scaling>
          <c:orientation val="minMax"/>
        </c:scaling>
        <c:delete val="0"/>
        <c:axPos val="l"/>
        <c:numFmt formatCode="&quot;€&quot;\ #\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500538079"/>
        <c:crosses val="autoZero"/>
        <c:crossBetween val="between"/>
      </c:valAx>
      <c:valAx>
        <c:axId val="500539039"/>
        <c:scaling>
          <c:orientation val="minMax"/>
          <c:min val="0.1"/>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crossAx val="500540479"/>
        <c:crosses val="max"/>
        <c:crossBetween val="between"/>
      </c:valAx>
      <c:catAx>
        <c:axId val="500540479"/>
        <c:scaling>
          <c:orientation val="minMax"/>
        </c:scaling>
        <c:delete val="1"/>
        <c:axPos val="b"/>
        <c:numFmt formatCode="General" sourceLinked="1"/>
        <c:majorTickMark val="none"/>
        <c:minorTickMark val="none"/>
        <c:tickLblPos val="nextTo"/>
        <c:crossAx val="5005390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Retailer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strRef>
              <c:f>Pivot_Calcs!$J$17</c:f>
              <c:strCache>
                <c:ptCount val="1"/>
                <c:pt idx="0">
                  <c:v>Sum of Revenue(€)</c:v>
                </c:pt>
              </c:strCache>
            </c:strRef>
          </c:tx>
          <c:spPr>
            <a:solidFill>
              <a:schemeClr val="accent1"/>
            </a:solidFill>
            <a:ln>
              <a:noFill/>
            </a:ln>
            <a:effectLst/>
          </c:spPr>
          <c:invertIfNegative val="0"/>
          <c:cat>
            <c:strRef>
              <c:f>Pivot_Calcs!$I$18:$I$27</c:f>
              <c:strCache>
                <c:ptCount val="10"/>
                <c:pt idx="0">
                  <c:v>Autohaus Berlin</c:v>
                </c:pt>
                <c:pt idx="1">
                  <c:v>Bavaria Motors</c:v>
                </c:pt>
                <c:pt idx="2">
                  <c:v>Elbe Drive</c:v>
                </c:pt>
                <c:pt idx="3">
                  <c:v>Hannover Cars</c:v>
                </c:pt>
                <c:pt idx="4">
                  <c:v>Leipzig Mobility</c:v>
                </c:pt>
                <c:pt idx="5">
                  <c:v>Main Auto Hub</c:v>
                </c:pt>
                <c:pt idx="6">
                  <c:v>Rhein Auto Group</c:v>
                </c:pt>
                <c:pt idx="7">
                  <c:v>Ruhr Auto Plaza</c:v>
                </c:pt>
                <c:pt idx="8">
                  <c:v>Saxon Wheels</c:v>
                </c:pt>
                <c:pt idx="9">
                  <c:v>Stuttgart Auto Center</c:v>
                </c:pt>
              </c:strCache>
            </c:strRef>
          </c:cat>
          <c:val>
            <c:numRef>
              <c:f>Pivot_Calcs!$J$18:$J$27</c:f>
              <c:numCache>
                <c:formatCode>"€"\ #\ ##0.0,,"M"</c:formatCode>
                <c:ptCount val="10"/>
                <c:pt idx="0">
                  <c:v>167063743</c:v>
                </c:pt>
                <c:pt idx="1">
                  <c:v>164867367</c:v>
                </c:pt>
                <c:pt idx="2">
                  <c:v>176133274</c:v>
                </c:pt>
                <c:pt idx="3">
                  <c:v>158668449</c:v>
                </c:pt>
                <c:pt idx="4">
                  <c:v>130379673</c:v>
                </c:pt>
                <c:pt idx="5">
                  <c:v>126237997</c:v>
                </c:pt>
                <c:pt idx="6">
                  <c:v>167013952</c:v>
                </c:pt>
                <c:pt idx="7">
                  <c:v>126704559</c:v>
                </c:pt>
                <c:pt idx="8">
                  <c:v>133173778</c:v>
                </c:pt>
                <c:pt idx="9">
                  <c:v>145230769</c:v>
                </c:pt>
              </c:numCache>
            </c:numRef>
          </c:val>
          <c:extLst>
            <c:ext xmlns:c16="http://schemas.microsoft.com/office/drawing/2014/chart" uri="{C3380CC4-5D6E-409C-BE32-E72D297353CC}">
              <c16:uniqueId val="{00000000-5A48-433E-A090-4D3D04C44CC1}"/>
            </c:ext>
          </c:extLst>
        </c:ser>
        <c:ser>
          <c:idx val="1"/>
          <c:order val="1"/>
          <c:tx>
            <c:strRef>
              <c:f>Pivot_Calcs!$K$17</c:f>
              <c:strCache>
                <c:ptCount val="1"/>
                <c:pt idx="0">
                  <c:v>Sum of Profit(€)</c:v>
                </c:pt>
              </c:strCache>
            </c:strRef>
          </c:tx>
          <c:spPr>
            <a:solidFill>
              <a:schemeClr val="accent2"/>
            </a:solidFill>
            <a:ln>
              <a:noFill/>
            </a:ln>
            <a:effectLst/>
          </c:spPr>
          <c:invertIfNegative val="0"/>
          <c:cat>
            <c:strRef>
              <c:f>Pivot_Calcs!$I$18:$I$27</c:f>
              <c:strCache>
                <c:ptCount val="10"/>
                <c:pt idx="0">
                  <c:v>Autohaus Berlin</c:v>
                </c:pt>
                <c:pt idx="1">
                  <c:v>Bavaria Motors</c:v>
                </c:pt>
                <c:pt idx="2">
                  <c:v>Elbe Drive</c:v>
                </c:pt>
                <c:pt idx="3">
                  <c:v>Hannover Cars</c:v>
                </c:pt>
                <c:pt idx="4">
                  <c:v>Leipzig Mobility</c:v>
                </c:pt>
                <c:pt idx="5">
                  <c:v>Main Auto Hub</c:v>
                </c:pt>
                <c:pt idx="6">
                  <c:v>Rhein Auto Group</c:v>
                </c:pt>
                <c:pt idx="7">
                  <c:v>Ruhr Auto Plaza</c:v>
                </c:pt>
                <c:pt idx="8">
                  <c:v>Saxon Wheels</c:v>
                </c:pt>
                <c:pt idx="9">
                  <c:v>Stuttgart Auto Center</c:v>
                </c:pt>
              </c:strCache>
            </c:strRef>
          </c:cat>
          <c:val>
            <c:numRef>
              <c:f>Pivot_Calcs!$K$18:$K$27</c:f>
              <c:numCache>
                <c:formatCode>"€"\ #\ ##0.0,,"M"</c:formatCode>
                <c:ptCount val="10"/>
                <c:pt idx="0">
                  <c:v>35035559</c:v>
                </c:pt>
                <c:pt idx="1">
                  <c:v>35685196</c:v>
                </c:pt>
                <c:pt idx="2">
                  <c:v>37136696</c:v>
                </c:pt>
                <c:pt idx="3">
                  <c:v>34653671</c:v>
                </c:pt>
                <c:pt idx="4">
                  <c:v>27471752</c:v>
                </c:pt>
                <c:pt idx="5">
                  <c:v>26439864</c:v>
                </c:pt>
                <c:pt idx="6">
                  <c:v>35686202</c:v>
                </c:pt>
                <c:pt idx="7">
                  <c:v>26435665</c:v>
                </c:pt>
                <c:pt idx="8">
                  <c:v>27859557</c:v>
                </c:pt>
                <c:pt idx="9">
                  <c:v>30091117</c:v>
                </c:pt>
              </c:numCache>
            </c:numRef>
          </c:val>
          <c:extLst>
            <c:ext xmlns:c16="http://schemas.microsoft.com/office/drawing/2014/chart" uri="{C3380CC4-5D6E-409C-BE32-E72D297353CC}">
              <c16:uniqueId val="{00000001-5A48-433E-A090-4D3D04C44CC1}"/>
            </c:ext>
          </c:extLst>
        </c:ser>
        <c:dLbls>
          <c:showLegendKey val="0"/>
          <c:showVal val="0"/>
          <c:showCatName val="0"/>
          <c:showSerName val="0"/>
          <c:showPercent val="0"/>
          <c:showBubbleSize val="0"/>
        </c:dLbls>
        <c:gapWidth val="219"/>
        <c:overlap val="-27"/>
        <c:axId val="832176767"/>
        <c:axId val="832179647"/>
      </c:barChart>
      <c:lineChart>
        <c:grouping val="standard"/>
        <c:varyColors val="0"/>
        <c:ser>
          <c:idx val="2"/>
          <c:order val="2"/>
          <c:tx>
            <c:strRef>
              <c:f>Pivot_Calcs!$L$17</c:f>
              <c:strCache>
                <c:ptCount val="1"/>
                <c:pt idx="0">
                  <c:v>Conversion Rate (%)</c:v>
                </c:pt>
              </c:strCache>
            </c:strRef>
          </c:tx>
          <c:spPr>
            <a:ln w="28575" cap="rnd">
              <a:solidFill>
                <a:schemeClr val="accent3"/>
              </a:solidFill>
              <a:round/>
            </a:ln>
            <a:effectLst/>
          </c:spPr>
          <c:marker>
            <c:symbol val="none"/>
          </c:marker>
          <c:cat>
            <c:strRef>
              <c:f>Pivot_Calcs!$I$18:$I$27</c:f>
              <c:strCache>
                <c:ptCount val="10"/>
                <c:pt idx="0">
                  <c:v>Autohaus Berlin</c:v>
                </c:pt>
                <c:pt idx="1">
                  <c:v>Bavaria Motors</c:v>
                </c:pt>
                <c:pt idx="2">
                  <c:v>Elbe Drive</c:v>
                </c:pt>
                <c:pt idx="3">
                  <c:v>Hannover Cars</c:v>
                </c:pt>
                <c:pt idx="4">
                  <c:v>Leipzig Mobility</c:v>
                </c:pt>
                <c:pt idx="5">
                  <c:v>Main Auto Hub</c:v>
                </c:pt>
                <c:pt idx="6">
                  <c:v>Rhein Auto Group</c:v>
                </c:pt>
                <c:pt idx="7">
                  <c:v>Ruhr Auto Plaza</c:v>
                </c:pt>
                <c:pt idx="8">
                  <c:v>Saxon Wheels</c:v>
                </c:pt>
                <c:pt idx="9">
                  <c:v>Stuttgart Auto Center</c:v>
                </c:pt>
              </c:strCache>
            </c:strRef>
          </c:cat>
          <c:val>
            <c:numRef>
              <c:f>Pivot_Calcs!$L$18:$L$27</c:f>
              <c:numCache>
                <c:formatCode>0.00%</c:formatCode>
                <c:ptCount val="10"/>
                <c:pt idx="0">
                  <c:v>0.20419187554019014</c:v>
                </c:pt>
                <c:pt idx="1">
                  <c:v>0.2161582459485224</c:v>
                </c:pt>
                <c:pt idx="2">
                  <c:v>0.20125499721674003</c:v>
                </c:pt>
                <c:pt idx="3">
                  <c:v>0.19372735507246377</c:v>
                </c:pt>
                <c:pt idx="4">
                  <c:v>0.17910893454371715</c:v>
                </c:pt>
                <c:pt idx="5">
                  <c:v>0.18263888888888888</c:v>
                </c:pt>
                <c:pt idx="6">
                  <c:v>0.19753152958930689</c:v>
                </c:pt>
                <c:pt idx="7">
                  <c:v>0.17057994834468185</c:v>
                </c:pt>
                <c:pt idx="8">
                  <c:v>0.17974924237922635</c:v>
                </c:pt>
                <c:pt idx="9">
                  <c:v>0.19642330165850203</c:v>
                </c:pt>
              </c:numCache>
            </c:numRef>
          </c:val>
          <c:smooth val="0"/>
          <c:extLst>
            <c:ext xmlns:c16="http://schemas.microsoft.com/office/drawing/2014/chart" uri="{C3380CC4-5D6E-409C-BE32-E72D297353CC}">
              <c16:uniqueId val="{00000002-5A48-433E-A090-4D3D04C44CC1}"/>
            </c:ext>
          </c:extLst>
        </c:ser>
        <c:dLbls>
          <c:showLegendKey val="0"/>
          <c:showVal val="0"/>
          <c:showCatName val="0"/>
          <c:showSerName val="0"/>
          <c:showPercent val="0"/>
          <c:showBubbleSize val="0"/>
        </c:dLbls>
        <c:marker val="1"/>
        <c:smooth val="0"/>
        <c:axId val="661963279"/>
        <c:axId val="795194159"/>
      </c:lineChart>
      <c:catAx>
        <c:axId val="83217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32179647"/>
        <c:crosses val="autoZero"/>
        <c:auto val="1"/>
        <c:lblAlgn val="ctr"/>
        <c:lblOffset val="100"/>
        <c:noMultiLvlLbl val="0"/>
      </c:catAx>
      <c:valAx>
        <c:axId val="832179647"/>
        <c:scaling>
          <c:orientation val="minMax"/>
        </c:scaling>
        <c:delete val="0"/>
        <c:axPos val="l"/>
        <c:numFmt formatCode="&quot;€&quot;\ #\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32176767"/>
        <c:crosses val="autoZero"/>
        <c:crossBetween val="between"/>
      </c:valAx>
      <c:valAx>
        <c:axId val="79519415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661963279"/>
        <c:crosses val="max"/>
        <c:crossBetween val="between"/>
      </c:valAx>
      <c:catAx>
        <c:axId val="661963279"/>
        <c:scaling>
          <c:orientation val="minMax"/>
        </c:scaling>
        <c:delete val="1"/>
        <c:axPos val="b"/>
        <c:numFmt formatCode="General" sourceLinked="1"/>
        <c:majorTickMark val="none"/>
        <c:minorTickMark val="none"/>
        <c:tickLblPos val="nextTo"/>
        <c:crossAx val="7951941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lineChart>
        <c:grouping val="standard"/>
        <c:varyColors val="0"/>
        <c:ser>
          <c:idx val="0"/>
          <c:order val="0"/>
          <c:tx>
            <c:strRef>
              <c:f>Pivot_Calcs!$B$21</c:f>
              <c:strCache>
                <c:ptCount val="1"/>
                <c:pt idx="0">
                  <c:v>Sum of Profit(€)</c:v>
                </c:pt>
              </c:strCache>
            </c:strRef>
          </c:tx>
          <c:spPr>
            <a:ln w="28575" cap="rnd">
              <a:solidFill>
                <a:schemeClr val="accent1"/>
              </a:solidFill>
              <a:round/>
            </a:ln>
            <a:effectLst/>
          </c:spPr>
          <c:marker>
            <c:symbol val="none"/>
          </c:marker>
          <c:cat>
            <c:strRef>
              <c:f>Pivot_Calcs!$A$22:$A$25</c:f>
              <c:strCache>
                <c:ptCount val="4"/>
                <c:pt idx="0">
                  <c:v>Week 1</c:v>
                </c:pt>
                <c:pt idx="1">
                  <c:v>Week 2</c:v>
                </c:pt>
                <c:pt idx="2">
                  <c:v>Week 3</c:v>
                </c:pt>
                <c:pt idx="3">
                  <c:v>Week 4</c:v>
                </c:pt>
              </c:strCache>
            </c:strRef>
          </c:cat>
          <c:val>
            <c:numRef>
              <c:f>Pivot_Calcs!$B$22:$B$25</c:f>
              <c:numCache>
                <c:formatCode>"€"\ #\ ##0.0,,"M"</c:formatCode>
                <c:ptCount val="4"/>
                <c:pt idx="0">
                  <c:v>81437076</c:v>
                </c:pt>
                <c:pt idx="1">
                  <c:v>81816712</c:v>
                </c:pt>
                <c:pt idx="2">
                  <c:v>81600568</c:v>
                </c:pt>
                <c:pt idx="3">
                  <c:v>71640923</c:v>
                </c:pt>
              </c:numCache>
            </c:numRef>
          </c:val>
          <c:smooth val="0"/>
          <c:extLst>
            <c:ext xmlns:c16="http://schemas.microsoft.com/office/drawing/2014/chart" uri="{C3380CC4-5D6E-409C-BE32-E72D297353CC}">
              <c16:uniqueId val="{00000000-0C7B-4462-B9B4-16FE2CACBF26}"/>
            </c:ext>
          </c:extLst>
        </c:ser>
        <c:dLbls>
          <c:showLegendKey val="0"/>
          <c:showVal val="0"/>
          <c:showCatName val="0"/>
          <c:showSerName val="0"/>
          <c:showPercent val="0"/>
          <c:showBubbleSize val="0"/>
        </c:dLbls>
        <c:smooth val="0"/>
        <c:axId val="501226655"/>
        <c:axId val="501229535"/>
      </c:lineChart>
      <c:catAx>
        <c:axId val="5012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01229535"/>
        <c:crosses val="autoZero"/>
        <c:auto val="1"/>
        <c:lblAlgn val="ctr"/>
        <c:lblOffset val="100"/>
        <c:noMultiLvlLbl val="0"/>
      </c:catAx>
      <c:valAx>
        <c:axId val="501229535"/>
        <c:scaling>
          <c:orientation val="minMax"/>
        </c:scaling>
        <c:delete val="0"/>
        <c:axPos val="l"/>
        <c:numFmt formatCode="&quot;€&quot;\ #\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0122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76199</xdr:rowOff>
    </xdr:from>
    <xdr:to>
      <xdr:col>3</xdr:col>
      <xdr:colOff>330975</xdr:colOff>
      <xdr:row>19</xdr:row>
      <xdr:rowOff>61574</xdr:rowOff>
    </xdr:to>
    <xdr:graphicFrame macro="">
      <xdr:nvGraphicFramePr>
        <xdr:cNvPr id="2" name="Chart 1">
          <a:extLst>
            <a:ext uri="{FF2B5EF4-FFF2-40B4-BE49-F238E27FC236}">
              <a16:creationId xmlns:a16="http://schemas.microsoft.com/office/drawing/2014/main" id="{52A1643C-4D1B-4989-9B6D-307F382EA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376238</xdr:colOff>
      <xdr:row>19</xdr:row>
      <xdr:rowOff>114300</xdr:rowOff>
    </xdr:from>
    <xdr:to>
      <xdr:col>5</xdr:col>
      <xdr:colOff>1069163</xdr:colOff>
      <xdr:row>33</xdr:row>
      <xdr:rowOff>147300</xdr:rowOff>
    </xdr:to>
    <xdr:graphicFrame macro="">
      <xdr:nvGraphicFramePr>
        <xdr:cNvPr id="15" name="Chart 14">
          <a:extLst>
            <a:ext uri="{FF2B5EF4-FFF2-40B4-BE49-F238E27FC236}">
              <a16:creationId xmlns:a16="http://schemas.microsoft.com/office/drawing/2014/main" id="{23879A6C-3AC5-495D-9FE1-E75A66DC3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1104900</xdr:colOff>
      <xdr:row>5</xdr:row>
      <xdr:rowOff>85725</xdr:rowOff>
    </xdr:from>
    <xdr:to>
      <xdr:col>9</xdr:col>
      <xdr:colOff>311925</xdr:colOff>
      <xdr:row>19</xdr:row>
      <xdr:rowOff>71100</xdr:rowOff>
    </xdr:to>
    <xdr:graphicFrame macro="">
      <xdr:nvGraphicFramePr>
        <xdr:cNvPr id="16" name="Chart 15">
          <a:extLst>
            <a:ext uri="{FF2B5EF4-FFF2-40B4-BE49-F238E27FC236}">
              <a16:creationId xmlns:a16="http://schemas.microsoft.com/office/drawing/2014/main" id="{AD490BC3-7F73-4AC2-9ED7-487F028E6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1114425</xdr:colOff>
      <xdr:row>19</xdr:row>
      <xdr:rowOff>114300</xdr:rowOff>
    </xdr:from>
    <xdr:to>
      <xdr:col>9</xdr:col>
      <xdr:colOff>321450</xdr:colOff>
      <xdr:row>33</xdr:row>
      <xdr:rowOff>147300</xdr:rowOff>
    </xdr:to>
    <xdr:graphicFrame macro="">
      <xdr:nvGraphicFramePr>
        <xdr:cNvPr id="18" name="Chart 17">
          <a:extLst>
            <a:ext uri="{FF2B5EF4-FFF2-40B4-BE49-F238E27FC236}">
              <a16:creationId xmlns:a16="http://schemas.microsoft.com/office/drawing/2014/main" id="{081FBF3C-1404-4795-AF16-D896A8535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400050</xdr:colOff>
      <xdr:row>5</xdr:row>
      <xdr:rowOff>19049</xdr:rowOff>
    </xdr:from>
    <xdr:to>
      <xdr:col>13</xdr:col>
      <xdr:colOff>38100</xdr:colOff>
      <xdr:row>21</xdr:row>
      <xdr:rowOff>152399</xdr:rowOff>
    </xdr:to>
    <mc:AlternateContent xmlns:mc="http://schemas.openxmlformats.org/markup-compatibility/2006">
      <mc:Choice xmlns:a14="http://schemas.microsoft.com/office/drawing/2010/main" Requires="a14">
        <xdr:graphicFrame macro="">
          <xdr:nvGraphicFramePr>
            <xdr:cNvPr id="20" name="City">
              <a:extLst>
                <a:ext uri="{FF2B5EF4-FFF2-40B4-BE49-F238E27FC236}">
                  <a16:creationId xmlns:a16="http://schemas.microsoft.com/office/drawing/2014/main" id="{0158CAEE-8391-423A-9067-B7303BC293F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106275" y="1219199"/>
              <a:ext cx="1828800" cy="322897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54219</xdr:colOff>
      <xdr:row>5</xdr:row>
      <xdr:rowOff>11723</xdr:rowOff>
    </xdr:from>
    <xdr:to>
      <xdr:col>15</xdr:col>
      <xdr:colOff>511419</xdr:colOff>
      <xdr:row>14</xdr:row>
      <xdr:rowOff>116498</xdr:rowOff>
    </xdr:to>
    <mc:AlternateContent xmlns:mc="http://schemas.openxmlformats.org/markup-compatibility/2006">
      <mc:Choice xmlns:a14="http://schemas.microsoft.com/office/drawing/2010/main" Requires="a14">
        <xdr:graphicFrame macro="">
          <xdr:nvGraphicFramePr>
            <xdr:cNvPr id="21" name="Brand">
              <a:extLst>
                <a:ext uri="{FF2B5EF4-FFF2-40B4-BE49-F238E27FC236}">
                  <a16:creationId xmlns:a16="http://schemas.microsoft.com/office/drawing/2014/main" id="{4905AA88-9352-41DA-9CB7-91B0072EEE8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951194" y="1211873"/>
              <a:ext cx="1828800" cy="18669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56417</xdr:colOff>
      <xdr:row>14</xdr:row>
      <xdr:rowOff>151668</xdr:rowOff>
    </xdr:from>
    <xdr:to>
      <xdr:col>15</xdr:col>
      <xdr:colOff>513617</xdr:colOff>
      <xdr:row>21</xdr:row>
      <xdr:rowOff>133350</xdr:rowOff>
    </xdr:to>
    <mc:AlternateContent xmlns:mc="http://schemas.openxmlformats.org/markup-compatibility/2006">
      <mc:Choice xmlns:a14="http://schemas.microsoft.com/office/drawing/2010/main" Requires="a14">
        <xdr:graphicFrame macro="">
          <xdr:nvGraphicFramePr>
            <xdr:cNvPr id="22" name="Customer Type">
              <a:extLst>
                <a:ext uri="{FF2B5EF4-FFF2-40B4-BE49-F238E27FC236}">
                  <a16:creationId xmlns:a16="http://schemas.microsoft.com/office/drawing/2014/main" id="{B00BA1E9-6EE8-4439-BF07-5972E51BE09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3953392" y="3113943"/>
              <a:ext cx="1828800" cy="1315182"/>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537064</xdr:colOff>
      <xdr:row>5</xdr:row>
      <xdr:rowOff>11723</xdr:rowOff>
    </xdr:from>
    <xdr:to>
      <xdr:col>18</xdr:col>
      <xdr:colOff>345038</xdr:colOff>
      <xdr:row>12</xdr:row>
      <xdr:rowOff>135548</xdr:rowOff>
    </xdr:to>
    <mc:AlternateContent xmlns:mc="http://schemas.openxmlformats.org/markup-compatibility/2006">
      <mc:Choice xmlns:a14="http://schemas.microsoft.com/office/drawing/2010/main" Requires="a14">
        <xdr:graphicFrame macro="">
          <xdr:nvGraphicFramePr>
            <xdr:cNvPr id="23" name="Lead Source">
              <a:extLst>
                <a:ext uri="{FF2B5EF4-FFF2-40B4-BE49-F238E27FC236}">
                  <a16:creationId xmlns:a16="http://schemas.microsoft.com/office/drawing/2014/main" id="{99E18F82-E93F-4202-839F-4201FFED65BC}"/>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dr:sp macro="" textlink="">
          <xdr:nvSpPr>
            <xdr:cNvPr id="0" name=""/>
            <xdr:cNvSpPr>
              <a:spLocks noTextEdit="1"/>
            </xdr:cNvSpPr>
          </xdr:nvSpPr>
          <xdr:spPr>
            <a:xfrm>
              <a:off x="15805639" y="1211873"/>
              <a:ext cx="1865374" cy="15049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1</xdr:row>
      <xdr:rowOff>228599</xdr:rowOff>
    </xdr:from>
    <xdr:to>
      <xdr:col>18</xdr:col>
      <xdr:colOff>342900</xdr:colOff>
      <xdr:row>5</xdr:row>
      <xdr:rowOff>9524</xdr:rowOff>
    </xdr:to>
    <mc:AlternateContent xmlns:mc="http://schemas.openxmlformats.org/markup-compatibility/2006">
      <mc:Choice xmlns:a14="http://schemas.microsoft.com/office/drawing/2010/main" Requires="a14">
        <xdr:graphicFrame macro="">
          <xdr:nvGraphicFramePr>
            <xdr:cNvPr id="24" name="Retailer">
              <a:extLst>
                <a:ext uri="{FF2B5EF4-FFF2-40B4-BE49-F238E27FC236}">
                  <a16:creationId xmlns:a16="http://schemas.microsoft.com/office/drawing/2014/main" id="{AF534D36-07A5-4793-B6EA-11BA87259EE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0372725" y="266699"/>
              <a:ext cx="7296150" cy="94297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400050</xdr:colOff>
      <xdr:row>22</xdr:row>
      <xdr:rowOff>19050</xdr:rowOff>
    </xdr:from>
    <xdr:ext cx="5567653" cy="2228850"/>
    <xdr:sp macro="" textlink="">
      <xdr:nvSpPr>
        <xdr:cNvPr id="25" name="TextBox 24">
          <a:extLst>
            <a:ext uri="{FF2B5EF4-FFF2-40B4-BE49-F238E27FC236}">
              <a16:creationId xmlns:a16="http://schemas.microsoft.com/office/drawing/2014/main" id="{15D2A637-5A27-3A22-99F5-5E3A47DCDB03}"/>
            </a:ext>
          </a:extLst>
        </xdr:cNvPr>
        <xdr:cNvSpPr txBox="1"/>
      </xdr:nvSpPr>
      <xdr:spPr>
        <a:xfrm>
          <a:off x="12107053" y="4489968"/>
          <a:ext cx="5567653" cy="222885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Key Insights</a:t>
          </a:r>
        </a:p>
        <a:p>
          <a:r>
            <a:rPr lang="en-US" sz="1100" b="0"/>
            <a:t>• BMW delivers the strongest overall performance, with the highest revenue and the highest conversion rate among all brands.</a:t>
          </a:r>
        </a:p>
        <a:p>
          <a:endParaRPr lang="en-US" sz="1100" b="0"/>
        </a:p>
        <a:p>
          <a:r>
            <a:rPr lang="en-US" sz="1100" b="0"/>
            <a:t>• Walk-in leads generate the highest customer volume, while Referral leads convert more efficiently, indicating stronger lead quality.</a:t>
          </a:r>
        </a:p>
        <a:p>
          <a:endParaRPr lang="en-US" sz="1100" b="0"/>
        </a:p>
        <a:p>
          <a:r>
            <a:rPr lang="en-US" sz="1100" b="0"/>
            <a:t>• SUV is the top-performing segment in both revenue and profit, while Sedan shows the strongest conversion rate.</a:t>
          </a:r>
        </a:p>
        <a:p>
          <a:endParaRPr lang="en-US" sz="1100" b="0"/>
        </a:p>
        <a:p>
          <a:r>
            <a:rPr lang="en-US" sz="1100" b="0"/>
            <a:t>• Profit declined steadily from Week 1 to Week 3 before showing a slight recovery in Week 4.</a:t>
          </a:r>
        </a:p>
        <a:p>
          <a:endParaRPr lang="en-US" sz="1100" b="0"/>
        </a:p>
      </xdr:txBody>
    </xdr:sp>
    <xdr:clientData/>
  </xdr:oneCellAnchor>
  <xdr:twoCellAnchor>
    <xdr:from>
      <xdr:col>1</xdr:col>
      <xdr:colOff>0</xdr:colOff>
      <xdr:row>19</xdr:row>
      <xdr:rowOff>114300</xdr:rowOff>
    </xdr:from>
    <xdr:to>
      <xdr:col>3</xdr:col>
      <xdr:colOff>330975</xdr:colOff>
      <xdr:row>33</xdr:row>
      <xdr:rowOff>147300</xdr:rowOff>
    </xdr:to>
    <xdr:graphicFrame macro="">
      <xdr:nvGraphicFramePr>
        <xdr:cNvPr id="27" name="Chart 26">
          <a:extLst>
            <a:ext uri="{FF2B5EF4-FFF2-40B4-BE49-F238E27FC236}">
              <a16:creationId xmlns:a16="http://schemas.microsoft.com/office/drawing/2014/main" id="{60F24B42-6524-4A4C-9296-31AB06161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371475</xdr:colOff>
      <xdr:row>5</xdr:row>
      <xdr:rowOff>80596</xdr:rowOff>
    </xdr:from>
    <xdr:to>
      <xdr:col>5</xdr:col>
      <xdr:colOff>1064400</xdr:colOff>
      <xdr:row>19</xdr:row>
      <xdr:rowOff>65971</xdr:rowOff>
    </xdr:to>
    <xdr:graphicFrame macro="">
      <xdr:nvGraphicFramePr>
        <xdr:cNvPr id="29" name="Chart 28">
          <a:extLst>
            <a:ext uri="{FF2B5EF4-FFF2-40B4-BE49-F238E27FC236}">
              <a16:creationId xmlns:a16="http://schemas.microsoft.com/office/drawing/2014/main" id="{84012CFF-1DE7-4876-992C-4244C14DB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15</xdr:col>
      <xdr:colOff>532222</xdr:colOff>
      <xdr:row>13</xdr:row>
      <xdr:rowOff>10703</xdr:rowOff>
    </xdr:from>
    <xdr:ext cx="1857765" cy="1662700"/>
    <xdr:sp macro="" textlink="">
      <xdr:nvSpPr>
        <xdr:cNvPr id="30" name="TextBox 29">
          <a:extLst>
            <a:ext uri="{FF2B5EF4-FFF2-40B4-BE49-F238E27FC236}">
              <a16:creationId xmlns:a16="http://schemas.microsoft.com/office/drawing/2014/main" id="{0039C5A1-38C3-DE68-AAF9-69436F31A6E1}"/>
            </a:ext>
          </a:extLst>
        </xdr:cNvPr>
        <xdr:cNvSpPr txBox="1"/>
      </xdr:nvSpPr>
      <xdr:spPr>
        <a:xfrm>
          <a:off x="15793626" y="2803990"/>
          <a:ext cx="1857765" cy="166270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Snapshots</a:t>
          </a:r>
        </a:p>
        <a:p>
          <a:r>
            <a:rPr lang="en-US" sz="1100"/>
            <a:t>Top Brand: BMW  </a:t>
          </a:r>
        </a:p>
        <a:p>
          <a:r>
            <a:rPr lang="en-US" sz="1100"/>
            <a:t>Highest Revenue: BMW  </a:t>
          </a:r>
        </a:p>
        <a:p>
          <a:r>
            <a:rPr lang="en-US" sz="1100"/>
            <a:t>Best Conversion: BMW  </a:t>
          </a:r>
        </a:p>
        <a:p>
          <a:r>
            <a:rPr lang="en-US" sz="1100"/>
            <a:t>Top Segment: SUV  </a:t>
          </a:r>
        </a:p>
        <a:p>
          <a:r>
            <a:rPr lang="en-US" sz="1100"/>
            <a:t>Best Lead Source: Walk-in</a:t>
          </a:r>
          <a:endParaRPr lang="en-DE"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rut Narayan" refreshedDate="46108.5809681713" createdVersion="8" refreshedVersion="8" minRefreshableVersion="3" recordCount="5000" xr:uid="{F71AEA4E-AE09-4FF5-ACCB-59502117C6D3}">
  <cacheSource type="worksheet">
    <worksheetSource name="SalesData"/>
  </cacheSource>
  <cacheFields count="37">
    <cacheField name="Customer ID" numFmtId="0">
      <sharedItems/>
    </cacheField>
    <cacheField name="Date" numFmtId="14">
      <sharedItems containsSemiMixedTypes="0" containsNonDate="0" containsDate="1" containsString="0" minDate="2026-02-01T00:00:00" maxDate="2026-03-01T00:00:00" count="28">
        <d v="2026-02-02T00:00:00"/>
        <d v="2026-02-25T00:00:00"/>
        <d v="2026-02-09T00:00:00"/>
        <d v="2026-02-22T00:00:00"/>
        <d v="2026-02-11T00:00:00"/>
        <d v="2026-02-21T00:00:00"/>
        <d v="2026-02-14T00:00:00"/>
        <d v="2026-02-16T00:00:00"/>
        <d v="2026-02-18T00:00:00"/>
        <d v="2026-02-01T00:00:00"/>
        <d v="2026-02-23T00:00:00"/>
        <d v="2026-02-04T00:00:00"/>
        <d v="2026-02-19T00:00:00"/>
        <d v="2026-02-06T00:00:00"/>
        <d v="2026-02-13T00:00:00"/>
        <d v="2026-02-12T00:00:00"/>
        <d v="2026-02-24T00:00:00"/>
        <d v="2026-02-08T00:00:00"/>
        <d v="2026-02-07T00:00:00"/>
        <d v="2026-02-28T00:00:00"/>
        <d v="2026-02-05T00:00:00"/>
        <d v="2026-02-03T00:00:00"/>
        <d v="2026-02-17T00:00:00"/>
        <d v="2026-02-10T00:00:00"/>
        <d v="2026-02-26T00:00:00"/>
        <d v="2026-02-20T00:00:00"/>
        <d v="2026-02-27T00:00:00"/>
        <d v="2026-02-15T00:00:00"/>
      </sharedItems>
      <fieldGroup par="36"/>
    </cacheField>
    <cacheField name="Week" numFmtId="0">
      <sharedItems count="4">
        <s v="Week 1"/>
        <s v="Week 4"/>
        <s v="Week 2"/>
        <s v="Week 3"/>
      </sharedItems>
    </cacheField>
    <cacheField name="Day" numFmtId="0">
      <sharedItems/>
    </cacheField>
    <cacheField name="Weekend" numFmtId="0">
      <sharedItems/>
    </cacheField>
    <cacheField name="Retailer" numFmtId="0">
      <sharedItems count="12">
        <s v="Main Auto Hub"/>
        <s v="Rhein Auto Group"/>
        <s v="Hannover Cars"/>
        <s v="Saxon Wheels"/>
        <s v="Autohaus Berlin"/>
        <s v="Elbe Drive"/>
        <s v="Leipzig Mobility"/>
        <s v="Bavaria Motors"/>
        <s v="Stuttgart Auto Center"/>
        <s v="Ruhr Auto Plaza"/>
        <s v="Autohaus König" u="1"/>
        <s v="AutoHaus KÃ¶nig" u="1"/>
      </sharedItems>
    </cacheField>
    <cacheField name="City" numFmtId="0">
      <sharedItems count="10">
        <s v="Frankfurt"/>
        <s v="Cologne"/>
        <s v="Hannover"/>
        <s v="Dresden"/>
        <s v="Berlin"/>
        <s v="Hamburg"/>
        <s v="Leipzig"/>
        <s v="Munich"/>
        <s v="Stuttgart"/>
        <s v="Dortmund"/>
      </sharedItems>
    </cacheField>
    <cacheField name="State" numFmtId="0">
      <sharedItems/>
    </cacheField>
    <cacheField name="Brand" numFmtId="0">
      <sharedItems count="5">
        <s v="BMW"/>
        <s v="Opel"/>
        <s v="Audi"/>
        <s v="Mercedes"/>
        <s v="VW"/>
      </sharedItems>
    </cacheField>
    <cacheField name="Model" numFmtId="0">
      <sharedItems/>
    </cacheField>
    <cacheField name="Fuel Type" numFmtId="0">
      <sharedItems/>
    </cacheField>
    <cacheField name="Segment" numFmtId="0">
      <sharedItems count="3">
        <s v="SUV"/>
        <s v="Sedan"/>
        <s v="Hatchback"/>
      </sharedItems>
    </cacheField>
    <cacheField name="Age Group" numFmtId="0">
      <sharedItems/>
    </cacheField>
    <cacheField name="Income Band" numFmtId="0">
      <sharedItems/>
    </cacheField>
    <cacheField name="Customer Type" numFmtId="0">
      <sharedItems count="2">
        <s v="Returning"/>
        <s v="New"/>
      </sharedItems>
    </cacheField>
    <cacheField name="Lead Source" numFmtId="0">
      <sharedItems count="4">
        <s v="Social Media"/>
        <s v="Walk-in"/>
        <s v="Referral"/>
        <s v="Website"/>
      </sharedItems>
    </cacheField>
    <cacheField name="Salesperson" numFmtId="0">
      <sharedItems/>
    </cacheField>
    <cacheField name="Customers Visited" numFmtId="0">
      <sharedItems containsSemiMixedTypes="0" containsString="0" containsNumber="1" containsInteger="1" minValue="140" maxValue="520"/>
    </cacheField>
    <cacheField name="Test Drives" numFmtId="0">
      <sharedItems containsSemiMixedTypes="0" containsString="0" containsNumber="1" containsInteger="1" minValue="64" maxValue="298"/>
    </cacheField>
    <cacheField name="Contracts Offered" numFmtId="0">
      <sharedItems containsSemiMixedTypes="0" containsString="0" containsNumber="1" containsInteger="1" minValue="43" maxValue="212"/>
    </cacheField>
    <cacheField name="Contracts Signed" numFmtId="0">
      <sharedItems containsSemiMixedTypes="0" containsString="0" containsNumber="1" containsInteger="1" minValue="9" maxValue="62"/>
    </cacheField>
    <cacheField name="Conversion Rate (%)" numFmtId="0">
      <sharedItems/>
    </cacheField>
    <cacheField name="Unit Price (€)" numFmtId="0">
      <sharedItems containsSemiMixedTypes="0" containsString="0" containsNumber="1" containsInteger="1" minValue="19001" maxValue="73174"/>
    </cacheField>
    <cacheField name="Discount (%)" numFmtId="0">
      <sharedItems/>
    </cacheField>
    <cacheField name="Cost Price (€)" numFmtId="0">
      <sharedItems containsSemiMixedTypes="0" containsString="0" containsNumber="1" containsInteger="1" minValue="17127" maxValue="57215"/>
    </cacheField>
    <cacheField name="Revenue(€)" numFmtId="0">
      <sharedItems containsSemiMixedTypes="0" containsString="0" containsNumber="1" containsInteger="1" minValue="178182" maxValue="3404550"/>
    </cacheField>
    <cacheField name="Profit(€)" numFmtId="0">
      <sharedItems containsSemiMixedTypes="0" containsString="0" containsNumber="1" containsInteger="1" minValue="15705" maxValue="985850"/>
    </cacheField>
    <cacheField name="Month" numFmtId="0">
      <sharedItems/>
    </cacheField>
    <cacheField name="Month Number" numFmtId="0">
      <sharedItems containsSemiMixedTypes="0" containsString="0" containsNumber="1" containsInteger="1" minValue="2" maxValue="2"/>
    </cacheField>
    <cacheField name="Year" numFmtId="0">
      <sharedItems containsSemiMixedTypes="0" containsString="0" containsNumber="1" containsInteger="1" minValue="2026" maxValue="2026"/>
    </cacheField>
    <cacheField name="Weekday Type" numFmtId="0">
      <sharedItems/>
    </cacheField>
    <cacheField name="Offer Conversion" numFmtId="10">
      <sharedItems containsSemiMixedTypes="0" containsString="0" containsNumber="1" minValue="0.14130434782608695" maxValue="0.49557522123893805"/>
    </cacheField>
    <cacheField name="Visit to Test Drive %" numFmtId="10">
      <sharedItems containsSemiMixedTypes="0" containsString="0" containsNumber="1" minValue="0.37827715355805241" maxValue="0.63907284768211925"/>
    </cacheField>
    <cacheField name="Visit to Signed %" numFmtId="10">
      <sharedItems containsSemiMixedTypes="0" containsString="0" containsNumber="1" minValue="3.9755351681957186E-2" maxValue="0.20588235294117646"/>
    </cacheField>
    <cacheField name="Average Margin per Signed Contract" numFmtId="2">
      <sharedItems containsSemiMixedTypes="0" containsString="0" containsNumber="1" containsInteger="1" minValue="1381" maxValue="20606"/>
    </cacheField>
    <cacheField name="Column1" numFmtId="10">
      <sharedItems/>
    </cacheField>
    <cacheField name="Days (Date)" numFmtId="0" databaseField="0">
      <fieldGroup base="1">
        <rangePr groupBy="days" startDate="2026-02-01T00:00:00" endDate="2026-03-01T00:00:00" groupInterval="7"/>
        <groupItems count="6">
          <s v="&lt;01/02/2026"/>
          <s v="01/02/2026 - 07/02/2026"/>
          <s v="08/02/2026 - 14/02/2026"/>
          <s v="15/02/2026 - 21/02/2026"/>
          <s v="22/02/2026 - 28/02/2026"/>
          <s v="&gt;01/03/2026"/>
        </groupItems>
      </fieldGroup>
    </cacheField>
  </cacheFields>
  <extLst>
    <ext xmlns:x14="http://schemas.microsoft.com/office/spreadsheetml/2009/9/main" uri="{725AE2AE-9491-48be-B2B4-4EB974FC3084}">
      <x14:pivotCacheDefinition pivotCacheId="187584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_1"/>
    <x v="0"/>
    <x v="0"/>
    <s v="Monday"/>
    <s v="No"/>
    <x v="0"/>
    <x v="0"/>
    <s v="Hesse"/>
    <x v="0"/>
    <s v="X5"/>
    <s v="Hybrid"/>
    <x v="0"/>
    <s v="18-25"/>
    <s v="Low"/>
    <x v="0"/>
    <x v="0"/>
    <s v="Sales_11"/>
    <n v="153"/>
    <n v="73"/>
    <n v="53"/>
    <n v="18"/>
    <s v="24.66"/>
    <n v="58436"/>
    <s v="2.66"/>
    <n v="41345"/>
    <n v="1051848"/>
    <n v="307638"/>
    <s v="Feb"/>
    <n v="2"/>
    <n v="2026"/>
    <s v="Weekday"/>
    <n v="0.33962264150943394"/>
    <n v="0.47712418300653597"/>
    <n v="0.11764705882352941"/>
    <n v="17091"/>
    <s v="Main Auto Hub"/>
  </r>
  <r>
    <s v="CUST_2"/>
    <x v="1"/>
    <x v="1"/>
    <s v="Wednesday"/>
    <s v="No"/>
    <x v="1"/>
    <x v="1"/>
    <s v="NRW"/>
    <x v="1"/>
    <s v="Mokka"/>
    <s v="Petrol"/>
    <x v="0"/>
    <s v="18-25"/>
    <s v="Medium"/>
    <x v="0"/>
    <x v="1"/>
    <s v="Sales_2"/>
    <n v="243"/>
    <n v="121"/>
    <n v="69"/>
    <n v="24"/>
    <s v="19.83"/>
    <n v="21127"/>
    <s v="13.38"/>
    <n v="19164"/>
    <n v="507048"/>
    <n v="47112"/>
    <s v="Feb"/>
    <n v="2"/>
    <n v="2026"/>
    <s v="Weekday"/>
    <n v="0.34782608695652173"/>
    <n v="0.49794238683127573"/>
    <n v="9.8765432098765427E-2"/>
    <n v="1963"/>
    <s v="Rhein Auto Group"/>
  </r>
  <r>
    <s v="CUST_3"/>
    <x v="2"/>
    <x v="2"/>
    <s v="Monday"/>
    <s v="No"/>
    <x v="2"/>
    <x v="2"/>
    <s v="Lower Saxony"/>
    <x v="0"/>
    <s v="X3"/>
    <s v="Hybrid"/>
    <x v="0"/>
    <s v="50+"/>
    <s v="Low"/>
    <x v="0"/>
    <x v="1"/>
    <s v="Sales_13"/>
    <n v="271"/>
    <n v="141"/>
    <n v="106"/>
    <n v="43"/>
    <s v="30.5"/>
    <n v="67568"/>
    <s v="5.56"/>
    <n v="50075"/>
    <n v="2905424"/>
    <n v="752199"/>
    <s v="Feb"/>
    <n v="2"/>
    <n v="2026"/>
    <s v="Weekday"/>
    <n v="0.40566037735849059"/>
    <n v="0.52029520295202947"/>
    <n v="0.15867158671586715"/>
    <n v="17493"/>
    <s v="Hannover Cars"/>
  </r>
  <r>
    <s v="CUST_4"/>
    <x v="3"/>
    <x v="1"/>
    <s v="Sunday"/>
    <s v="Yes"/>
    <x v="3"/>
    <x v="3"/>
    <s v="Saxony"/>
    <x v="2"/>
    <s v="e-tron"/>
    <s v="Petrol"/>
    <x v="0"/>
    <s v="26-35"/>
    <s v="High"/>
    <x v="1"/>
    <x v="2"/>
    <s v="Sales_9"/>
    <n v="203"/>
    <n v="105"/>
    <n v="75"/>
    <n v="27"/>
    <s v="25.71"/>
    <n v="51246"/>
    <s v="4.83"/>
    <n v="39966"/>
    <n v="1383642"/>
    <n v="304560"/>
    <s v="Feb"/>
    <n v="2"/>
    <n v="2026"/>
    <s v="Weekend"/>
    <n v="0.36"/>
    <n v="0.51724137931034486"/>
    <n v="0.13300492610837439"/>
    <n v="11280"/>
    <s v="Saxon Wheels"/>
  </r>
  <r>
    <s v="CUST_5"/>
    <x v="4"/>
    <x v="2"/>
    <s v="Wednesday"/>
    <s v="No"/>
    <x v="4"/>
    <x v="4"/>
    <s v="Berlin"/>
    <x v="3"/>
    <s v="EQE"/>
    <s v="Petrol"/>
    <x v="1"/>
    <s v="36-50"/>
    <s v="Low"/>
    <x v="0"/>
    <x v="3"/>
    <s v="Sales_13"/>
    <n v="281"/>
    <n v="146"/>
    <n v="113"/>
    <n v="34"/>
    <s v="23.29"/>
    <n v="57760"/>
    <s v="5.97"/>
    <n v="41176"/>
    <n v="1963840"/>
    <n v="563856"/>
    <s v="Feb"/>
    <n v="2"/>
    <n v="2026"/>
    <s v="Weekday"/>
    <n v="0.30088495575221241"/>
    <n v="0.5195729537366548"/>
    <n v="0.12099644128113879"/>
    <n v="16584"/>
    <s v="Autohaus Berlin"/>
  </r>
  <r>
    <s v="CUST_6"/>
    <x v="5"/>
    <x v="3"/>
    <s v="Saturday"/>
    <s v="Yes"/>
    <x v="5"/>
    <x v="5"/>
    <s v="Hamburg"/>
    <x v="1"/>
    <s v="Mokka"/>
    <s v="Diesel"/>
    <x v="0"/>
    <s v="26-35"/>
    <s v="High"/>
    <x v="0"/>
    <x v="2"/>
    <s v="Sales_15"/>
    <n v="231"/>
    <n v="88"/>
    <n v="54"/>
    <n v="15"/>
    <s v="17.05"/>
    <n v="25844"/>
    <s v="9.46"/>
    <n v="23754"/>
    <n v="387660"/>
    <n v="31350"/>
    <s v="Feb"/>
    <n v="2"/>
    <n v="2026"/>
    <s v="Weekend"/>
    <n v="0.27777777777777779"/>
    <n v="0.38095238095238093"/>
    <n v="6.4935064935064929E-2"/>
    <n v="2090"/>
    <s v="Elbe Drive"/>
  </r>
  <r>
    <s v="CUST_7"/>
    <x v="6"/>
    <x v="2"/>
    <s v="Saturday"/>
    <s v="Yes"/>
    <x v="3"/>
    <x v="3"/>
    <s v="Saxony"/>
    <x v="0"/>
    <s v="3 Series"/>
    <s v="Petrol"/>
    <x v="1"/>
    <s v="36-50"/>
    <s v="High"/>
    <x v="1"/>
    <x v="1"/>
    <s v="Sales_14"/>
    <n v="142"/>
    <n v="83"/>
    <n v="60"/>
    <n v="22"/>
    <s v="26.51"/>
    <n v="63862"/>
    <s v="2.12"/>
    <n v="48165"/>
    <n v="1404964"/>
    <n v="345334"/>
    <s v="Feb"/>
    <n v="2"/>
    <n v="2026"/>
    <s v="Weekend"/>
    <n v="0.36666666666666664"/>
    <n v="0.58450704225352113"/>
    <n v="0.15492957746478872"/>
    <n v="15697"/>
    <s v="Saxon Wheels"/>
  </r>
  <r>
    <s v="CUST_8"/>
    <x v="7"/>
    <x v="3"/>
    <s v="Monday"/>
    <s v="No"/>
    <x v="4"/>
    <x v="4"/>
    <s v="Berlin"/>
    <x v="1"/>
    <s v="Grandland"/>
    <s v="Electric"/>
    <x v="0"/>
    <s v="36-50"/>
    <s v="Low"/>
    <x v="1"/>
    <x v="2"/>
    <s v="Sales_3"/>
    <n v="403"/>
    <n v="216"/>
    <n v="125"/>
    <n v="45"/>
    <s v="20.83"/>
    <n v="25974"/>
    <s v="7.55"/>
    <n v="23243"/>
    <n v="1168830"/>
    <n v="122895"/>
    <s v="Feb"/>
    <n v="2"/>
    <n v="2026"/>
    <s v="Weekday"/>
    <n v="0.36"/>
    <n v="0.53598014888337464"/>
    <n v="0.11166253101736973"/>
    <n v="2731"/>
    <s v="Autohaus Berlin"/>
  </r>
  <r>
    <s v="CUST_9"/>
    <x v="0"/>
    <x v="0"/>
    <s v="Monday"/>
    <s v="No"/>
    <x v="6"/>
    <x v="6"/>
    <s v="Saxony"/>
    <x v="4"/>
    <s v="T-Roc"/>
    <s v="Hybrid"/>
    <x v="0"/>
    <s v="26-35"/>
    <s v="High"/>
    <x v="0"/>
    <x v="2"/>
    <s v="Sales_12"/>
    <n v="324"/>
    <n v="160"/>
    <n v="100"/>
    <n v="26"/>
    <s v="16.25"/>
    <n v="27410"/>
    <s v="10.81"/>
    <n v="24414"/>
    <n v="712660"/>
    <n v="77896"/>
    <s v="Feb"/>
    <n v="2"/>
    <n v="2026"/>
    <s v="Weekday"/>
    <n v="0.26"/>
    <n v="0.49382716049382713"/>
    <n v="8.0246913580246909E-2"/>
    <n v="2996"/>
    <s v="Leipzig Mobility"/>
  </r>
  <r>
    <s v="CUST_10"/>
    <x v="0"/>
    <x v="0"/>
    <s v="Monday"/>
    <s v="No"/>
    <x v="7"/>
    <x v="7"/>
    <s v="Bavaria"/>
    <x v="4"/>
    <s v="Golf"/>
    <s v="Hybrid"/>
    <x v="2"/>
    <s v="50+"/>
    <s v="High"/>
    <x v="0"/>
    <x v="0"/>
    <s v="Sales_14"/>
    <n v="274"/>
    <n v="117"/>
    <n v="73"/>
    <n v="19"/>
    <s v="16.24"/>
    <n v="34587"/>
    <s v="6.82"/>
    <n v="30609"/>
    <n v="657153"/>
    <n v="75582"/>
    <s v="Feb"/>
    <n v="2"/>
    <n v="2026"/>
    <s v="Weekday"/>
    <n v="0.26027397260273971"/>
    <n v="0.42700729927007297"/>
    <n v="6.9343065693430656E-2"/>
    <n v="3978"/>
    <s v="Bavaria Motors"/>
  </r>
  <r>
    <s v="CUST_11"/>
    <x v="8"/>
    <x v="3"/>
    <s v="Wednesday"/>
    <s v="No"/>
    <x v="8"/>
    <x v="8"/>
    <s v="Baden-WÃ¼rttemberg"/>
    <x v="3"/>
    <s v="EQE"/>
    <s v="Hybrid"/>
    <x v="1"/>
    <s v="18-25"/>
    <s v="Medium"/>
    <x v="1"/>
    <x v="3"/>
    <s v="Sales_11"/>
    <n v="212"/>
    <n v="106"/>
    <n v="83"/>
    <n v="23"/>
    <s v="21.7"/>
    <n v="56108"/>
    <s v="4.02"/>
    <n v="40922"/>
    <n v="1290484"/>
    <n v="349278"/>
    <s v="Feb"/>
    <n v="2"/>
    <n v="2026"/>
    <s v="Weekday"/>
    <n v="0.27710843373493976"/>
    <n v="0.5"/>
    <n v="0.10849056603773585"/>
    <n v="15186"/>
    <s v="Stuttgart Auto Center"/>
  </r>
  <r>
    <s v="CUST_12"/>
    <x v="9"/>
    <x v="0"/>
    <s v="Sunday"/>
    <s v="Yes"/>
    <x v="5"/>
    <x v="5"/>
    <s v="Hamburg"/>
    <x v="2"/>
    <s v="e-tron"/>
    <s v="Diesel"/>
    <x v="0"/>
    <s v="18-25"/>
    <s v="High"/>
    <x v="0"/>
    <x v="1"/>
    <s v="Sales_11"/>
    <n v="301"/>
    <n v="167"/>
    <n v="128"/>
    <n v="44"/>
    <s v="26.35"/>
    <n v="48955"/>
    <s v="3.54"/>
    <n v="37052"/>
    <n v="2154020"/>
    <n v="523732"/>
    <s v="Feb"/>
    <n v="2"/>
    <n v="2026"/>
    <s v="Weekend"/>
    <n v="0.34375"/>
    <n v="0.55481727574750828"/>
    <n v="0.1461794019933555"/>
    <n v="11903"/>
    <s v="Elbe Drive"/>
  </r>
  <r>
    <s v="CUST_13"/>
    <x v="7"/>
    <x v="3"/>
    <s v="Monday"/>
    <s v="No"/>
    <x v="3"/>
    <x v="3"/>
    <s v="Saxony"/>
    <x v="0"/>
    <s v="X3"/>
    <s v="Electric"/>
    <x v="0"/>
    <s v="36-50"/>
    <s v="Medium"/>
    <x v="1"/>
    <x v="3"/>
    <s v="Sales_20"/>
    <n v="141"/>
    <n v="84"/>
    <n v="66"/>
    <n v="22"/>
    <s v="26.19"/>
    <n v="65904"/>
    <s v="3.37"/>
    <n v="48323"/>
    <n v="1449888"/>
    <n v="386782"/>
    <s v="Feb"/>
    <n v="2"/>
    <n v="2026"/>
    <s v="Weekday"/>
    <n v="0.33333333333333331"/>
    <n v="0.5957446808510638"/>
    <n v="0.15602836879432624"/>
    <n v="17581"/>
    <s v="Saxon Wheels"/>
  </r>
  <r>
    <s v="CUST_14"/>
    <x v="10"/>
    <x v="1"/>
    <s v="Monday"/>
    <s v="No"/>
    <x v="4"/>
    <x v="4"/>
    <s v="Berlin"/>
    <x v="2"/>
    <s v="Q5"/>
    <s v="Hybrid"/>
    <x v="0"/>
    <s v="50+"/>
    <s v="Medium"/>
    <x v="0"/>
    <x v="3"/>
    <s v="Sales_15"/>
    <n v="247"/>
    <n v="149"/>
    <n v="99"/>
    <n v="39"/>
    <s v="26.17"/>
    <n v="44929"/>
    <s v="6.91"/>
    <n v="36645"/>
    <n v="1752231"/>
    <n v="323076"/>
    <s v="Feb"/>
    <n v="2"/>
    <n v="2026"/>
    <s v="Weekday"/>
    <n v="0.39393939393939392"/>
    <n v="0.60323886639676116"/>
    <n v="0.15789473684210525"/>
    <n v="8284"/>
    <s v="Autohaus Berlin"/>
  </r>
  <r>
    <s v="CUST_15"/>
    <x v="6"/>
    <x v="2"/>
    <s v="Saturday"/>
    <s v="Yes"/>
    <x v="3"/>
    <x v="3"/>
    <s v="Saxony"/>
    <x v="1"/>
    <s v="Grandland"/>
    <s v="Diesel"/>
    <x v="0"/>
    <s v="50+"/>
    <s v="Medium"/>
    <x v="1"/>
    <x v="0"/>
    <s v="Sales_4"/>
    <n v="287"/>
    <n v="135"/>
    <n v="87"/>
    <n v="14"/>
    <s v="10.37"/>
    <n v="23268"/>
    <s v="7.36"/>
    <n v="21278"/>
    <n v="325752"/>
    <n v="27860"/>
    <s v="Feb"/>
    <n v="2"/>
    <n v="2026"/>
    <s v="Weekend"/>
    <n v="0.16091954022988506"/>
    <n v="0.47038327526132406"/>
    <n v="4.878048780487805E-2"/>
    <n v="1990"/>
    <s v="Saxon Wheels"/>
  </r>
  <r>
    <s v="CUST_16"/>
    <x v="11"/>
    <x v="0"/>
    <s v="Wednesday"/>
    <s v="No"/>
    <x v="2"/>
    <x v="2"/>
    <s v="Lower Saxony"/>
    <x v="1"/>
    <s v="Grandland"/>
    <s v="Diesel"/>
    <x v="0"/>
    <s v="50+"/>
    <s v="Medium"/>
    <x v="0"/>
    <x v="0"/>
    <s v="Sales_8"/>
    <n v="396"/>
    <n v="182"/>
    <n v="116"/>
    <n v="30"/>
    <s v="16.48"/>
    <n v="21375"/>
    <s v="13.68"/>
    <n v="19723"/>
    <n v="641250"/>
    <n v="49560"/>
    <s v="Feb"/>
    <n v="2"/>
    <n v="2026"/>
    <s v="Weekday"/>
    <n v="0.25862068965517243"/>
    <n v="0.45959595959595961"/>
    <n v="7.575757575757576E-2"/>
    <n v="1652"/>
    <s v="Hannover Cars"/>
  </r>
  <r>
    <s v="CUST_17"/>
    <x v="9"/>
    <x v="0"/>
    <s v="Sunday"/>
    <s v="Yes"/>
    <x v="3"/>
    <x v="3"/>
    <s v="Saxony"/>
    <x v="4"/>
    <s v="Passat"/>
    <s v="Electric"/>
    <x v="1"/>
    <s v="18-25"/>
    <s v="Medium"/>
    <x v="1"/>
    <x v="0"/>
    <s v="Sales_12"/>
    <n v="373"/>
    <n v="189"/>
    <n v="110"/>
    <n v="24"/>
    <s v="12.7"/>
    <n v="33822"/>
    <s v="10.65"/>
    <n v="30290"/>
    <n v="811728"/>
    <n v="84768"/>
    <s v="Feb"/>
    <n v="2"/>
    <n v="2026"/>
    <s v="Weekend"/>
    <n v="0.21818181818181817"/>
    <n v="0.50670241286863271"/>
    <n v="6.4343163538873996E-2"/>
    <n v="3532"/>
    <s v="Saxon Wheels"/>
  </r>
  <r>
    <s v="CUST_18"/>
    <x v="12"/>
    <x v="3"/>
    <s v="Thursday"/>
    <s v="No"/>
    <x v="4"/>
    <x v="4"/>
    <s v="Berlin"/>
    <x v="2"/>
    <s v="Q5"/>
    <s v="Diesel"/>
    <x v="0"/>
    <s v="18-25"/>
    <s v="Medium"/>
    <x v="0"/>
    <x v="3"/>
    <s v="Sales_14"/>
    <n v="251"/>
    <n v="134"/>
    <n v="97"/>
    <n v="32"/>
    <s v="23.88"/>
    <n v="43005"/>
    <s v="3.79"/>
    <n v="34453"/>
    <n v="1376160"/>
    <n v="273664"/>
    <s v="Feb"/>
    <n v="2"/>
    <n v="2026"/>
    <s v="Weekday"/>
    <n v="0.32989690721649484"/>
    <n v="0.53386454183266929"/>
    <n v="0.12749003984063745"/>
    <n v="8552"/>
    <s v="Autohaus Berlin"/>
  </r>
  <r>
    <s v="CUST_19"/>
    <x v="13"/>
    <x v="0"/>
    <s v="Friday"/>
    <s v="No"/>
    <x v="6"/>
    <x v="6"/>
    <s v="Saxony"/>
    <x v="3"/>
    <s v="GLC"/>
    <s v="Electric"/>
    <x v="0"/>
    <s v="50+"/>
    <s v="Low"/>
    <x v="0"/>
    <x v="1"/>
    <s v="Sales_4"/>
    <n v="258"/>
    <n v="138"/>
    <n v="101"/>
    <n v="37"/>
    <s v="26.81"/>
    <n v="65084"/>
    <s v="5.76"/>
    <n v="51063"/>
    <n v="2408108"/>
    <n v="518777"/>
    <s v="Feb"/>
    <n v="2"/>
    <n v="2026"/>
    <s v="Weekday"/>
    <n v="0.36633663366336633"/>
    <n v="0.53488372093023251"/>
    <n v="0.1434108527131783"/>
    <n v="14021"/>
    <s v="Leipzig Mobility"/>
  </r>
  <r>
    <s v="CUST_20"/>
    <x v="14"/>
    <x v="2"/>
    <s v="Friday"/>
    <s v="No"/>
    <x v="3"/>
    <x v="3"/>
    <s v="Saxony"/>
    <x v="4"/>
    <s v="Golf"/>
    <s v="Petrol"/>
    <x v="2"/>
    <s v="50+"/>
    <s v="High"/>
    <x v="0"/>
    <x v="0"/>
    <s v="Sales_5"/>
    <n v="512"/>
    <n v="217"/>
    <n v="154"/>
    <n v="35"/>
    <s v="16.13"/>
    <n v="26477"/>
    <s v="7.47"/>
    <n v="23818"/>
    <n v="926695"/>
    <n v="93065"/>
    <s v="Feb"/>
    <n v="2"/>
    <n v="2026"/>
    <s v="Weekday"/>
    <n v="0.22727272727272727"/>
    <n v="0.423828125"/>
    <n v="6.8359375E-2"/>
    <n v="2659"/>
    <s v="Saxon Wheels"/>
  </r>
  <r>
    <s v="CUST_21"/>
    <x v="14"/>
    <x v="2"/>
    <s v="Friday"/>
    <s v="No"/>
    <x v="4"/>
    <x v="4"/>
    <s v="Berlin"/>
    <x v="0"/>
    <s v="X5"/>
    <s v="Hybrid"/>
    <x v="0"/>
    <s v="18-25"/>
    <s v="Low"/>
    <x v="1"/>
    <x v="2"/>
    <s v="Sales_10"/>
    <n v="187"/>
    <n v="93"/>
    <n v="66"/>
    <n v="30"/>
    <s v="32.26"/>
    <n v="60858"/>
    <s v="2.85"/>
    <n v="47343"/>
    <n v="1825740"/>
    <n v="405450"/>
    <s v="Feb"/>
    <n v="2"/>
    <n v="2026"/>
    <s v="Weekday"/>
    <n v="0.45454545454545453"/>
    <n v="0.49732620320855614"/>
    <n v="0.16042780748663102"/>
    <n v="13515"/>
    <s v="Autohaus Berlin"/>
  </r>
  <r>
    <s v="CUST_22"/>
    <x v="15"/>
    <x v="2"/>
    <s v="Thursday"/>
    <s v="No"/>
    <x v="7"/>
    <x v="7"/>
    <s v="Bavaria"/>
    <x v="4"/>
    <s v="Passat"/>
    <s v="Electric"/>
    <x v="1"/>
    <s v="26-35"/>
    <s v="High"/>
    <x v="0"/>
    <x v="2"/>
    <s v="Sales_18"/>
    <n v="356"/>
    <n v="167"/>
    <n v="119"/>
    <n v="35"/>
    <s v="20.96"/>
    <n v="26482"/>
    <s v="7.72"/>
    <n v="23469"/>
    <n v="926870"/>
    <n v="105455"/>
    <s v="Feb"/>
    <n v="2"/>
    <n v="2026"/>
    <s v="Weekday"/>
    <n v="0.29411764705882354"/>
    <n v="0.4691011235955056"/>
    <n v="9.8314606741573038E-2"/>
    <n v="3013"/>
    <s v="Bavaria Motors"/>
  </r>
  <r>
    <s v="CUST_23"/>
    <x v="16"/>
    <x v="1"/>
    <s v="Tuesday"/>
    <s v="No"/>
    <x v="1"/>
    <x v="1"/>
    <s v="NRW"/>
    <x v="3"/>
    <s v="C-Class"/>
    <s v="Electric"/>
    <x v="1"/>
    <s v="36-50"/>
    <s v="High"/>
    <x v="1"/>
    <x v="2"/>
    <s v="Sales_17"/>
    <n v="235"/>
    <n v="114"/>
    <n v="78"/>
    <n v="34"/>
    <s v="29.82"/>
    <n v="53229"/>
    <s v="4.03"/>
    <n v="38281"/>
    <n v="1809786"/>
    <n v="508232"/>
    <s v="Feb"/>
    <n v="2"/>
    <n v="2026"/>
    <s v="Weekday"/>
    <n v="0.4358974358974359"/>
    <n v="0.48510638297872338"/>
    <n v="0.14468085106382977"/>
    <n v="14948"/>
    <s v="Rhein Auto Group"/>
  </r>
  <r>
    <s v="CUST_24"/>
    <x v="11"/>
    <x v="0"/>
    <s v="Wednesday"/>
    <s v="No"/>
    <x v="9"/>
    <x v="9"/>
    <s v="NRW"/>
    <x v="2"/>
    <s v="A3"/>
    <s v="Diesel"/>
    <x v="2"/>
    <s v="50+"/>
    <s v="Low"/>
    <x v="0"/>
    <x v="3"/>
    <s v="Sales_16"/>
    <n v="195"/>
    <n v="119"/>
    <n v="76"/>
    <n v="27"/>
    <s v="22.69"/>
    <n v="41539"/>
    <s v="4.32"/>
    <n v="33776"/>
    <n v="1121553"/>
    <n v="209601"/>
    <s v="Feb"/>
    <n v="2"/>
    <n v="2026"/>
    <s v="Weekday"/>
    <n v="0.35526315789473684"/>
    <n v="0.61025641025641031"/>
    <n v="0.13846153846153847"/>
    <n v="7763"/>
    <s v="Ruhr Auto Plaza"/>
  </r>
  <r>
    <s v="CUST_25"/>
    <x v="17"/>
    <x v="2"/>
    <s v="Sunday"/>
    <s v="Yes"/>
    <x v="2"/>
    <x v="2"/>
    <s v="Lower Saxony"/>
    <x v="4"/>
    <s v="Passat"/>
    <s v="Electric"/>
    <x v="1"/>
    <s v="18-25"/>
    <s v="Low"/>
    <x v="1"/>
    <x v="1"/>
    <s v="Sales_15"/>
    <n v="306"/>
    <n v="129"/>
    <n v="75"/>
    <n v="19"/>
    <s v="14.73"/>
    <n v="27960"/>
    <s v="10.9"/>
    <n v="25115"/>
    <n v="531240"/>
    <n v="54055"/>
    <s v="Feb"/>
    <n v="2"/>
    <n v="2026"/>
    <s v="Weekend"/>
    <n v="0.25333333333333335"/>
    <n v="0.42156862745098039"/>
    <n v="6.2091503267973858E-2"/>
    <n v="2845"/>
    <s v="Hannover Cars"/>
  </r>
  <r>
    <s v="CUST_26"/>
    <x v="6"/>
    <x v="2"/>
    <s v="Saturday"/>
    <s v="Yes"/>
    <x v="8"/>
    <x v="8"/>
    <s v="Baden-WÃ¼rttemberg"/>
    <x v="3"/>
    <s v="C-Class"/>
    <s v="Petrol"/>
    <x v="1"/>
    <s v="36-50"/>
    <s v="Medium"/>
    <x v="0"/>
    <x v="0"/>
    <s v="Sales_8"/>
    <n v="160"/>
    <n v="71"/>
    <n v="47"/>
    <n v="18"/>
    <s v="25.35"/>
    <n v="59633"/>
    <s v="2.94"/>
    <n v="44451"/>
    <n v="1073394"/>
    <n v="273276"/>
    <s v="Feb"/>
    <n v="2"/>
    <n v="2026"/>
    <s v="Weekend"/>
    <n v="0.38297872340425532"/>
    <n v="0.44374999999999998"/>
    <n v="0.1125"/>
    <n v="15182"/>
    <s v="Stuttgart Auto Center"/>
  </r>
  <r>
    <s v="CUST_27"/>
    <x v="9"/>
    <x v="0"/>
    <s v="Sunday"/>
    <s v="Yes"/>
    <x v="9"/>
    <x v="9"/>
    <s v="NRW"/>
    <x v="1"/>
    <s v="Grandland"/>
    <s v="Electric"/>
    <x v="0"/>
    <s v="36-50"/>
    <s v="Medium"/>
    <x v="1"/>
    <x v="2"/>
    <s v="Sales_2"/>
    <n v="374"/>
    <n v="161"/>
    <n v="97"/>
    <n v="29"/>
    <s v="18.01"/>
    <n v="25858"/>
    <s v="9.45"/>
    <n v="23263"/>
    <n v="749882"/>
    <n v="75255"/>
    <s v="Feb"/>
    <n v="2"/>
    <n v="2026"/>
    <s v="Weekend"/>
    <n v="0.29896907216494845"/>
    <n v="0.43048128342245989"/>
    <n v="7.7540106951871662E-2"/>
    <n v="2595"/>
    <s v="Ruhr Auto Plaza"/>
  </r>
  <r>
    <s v="CUST_28"/>
    <x v="5"/>
    <x v="3"/>
    <s v="Saturday"/>
    <s v="Yes"/>
    <x v="0"/>
    <x v="0"/>
    <s v="Hesse"/>
    <x v="0"/>
    <s v="X5"/>
    <s v="Diesel"/>
    <x v="0"/>
    <s v="36-50"/>
    <s v="Medium"/>
    <x v="1"/>
    <x v="3"/>
    <s v="Sales_13"/>
    <n v="158"/>
    <n v="76"/>
    <n v="59"/>
    <n v="19"/>
    <s v="25.0"/>
    <n v="65636"/>
    <s v="3.13"/>
    <n v="46521"/>
    <n v="1247084"/>
    <n v="363185"/>
    <s v="Feb"/>
    <n v="2"/>
    <n v="2026"/>
    <s v="Weekend"/>
    <n v="0.32203389830508472"/>
    <n v="0.48101265822784811"/>
    <n v="0.12025316455696203"/>
    <n v="19115"/>
    <s v="Main Auto Hub"/>
  </r>
  <r>
    <s v="CUST_29"/>
    <x v="8"/>
    <x v="3"/>
    <s v="Wednesday"/>
    <s v="No"/>
    <x v="7"/>
    <x v="7"/>
    <s v="Bavaria"/>
    <x v="4"/>
    <s v="Golf"/>
    <s v="Hybrid"/>
    <x v="2"/>
    <s v="18-25"/>
    <s v="High"/>
    <x v="1"/>
    <x v="3"/>
    <s v="Sales_12"/>
    <n v="354"/>
    <n v="148"/>
    <n v="106"/>
    <n v="25"/>
    <s v="16.89"/>
    <n v="30248"/>
    <s v="6.73"/>
    <n v="26143"/>
    <n v="756200"/>
    <n v="102625"/>
    <s v="Feb"/>
    <n v="2"/>
    <n v="2026"/>
    <s v="Weekday"/>
    <n v="0.23584905660377359"/>
    <n v="0.41807909604519772"/>
    <n v="7.0621468926553674E-2"/>
    <n v="4105"/>
    <s v="Bavaria Motors"/>
  </r>
  <r>
    <s v="CUST_30"/>
    <x v="15"/>
    <x v="2"/>
    <s v="Thursday"/>
    <s v="No"/>
    <x v="4"/>
    <x v="4"/>
    <s v="Berlin"/>
    <x v="2"/>
    <s v="Q3"/>
    <s v="Diesel"/>
    <x v="0"/>
    <s v="36-50"/>
    <s v="Medium"/>
    <x v="1"/>
    <x v="0"/>
    <s v="Sales_17"/>
    <n v="301"/>
    <n v="185"/>
    <n v="135"/>
    <n v="38"/>
    <s v="20.54"/>
    <n v="54550"/>
    <s v="4.32"/>
    <n v="41679"/>
    <n v="2072900"/>
    <n v="489098"/>
    <s v="Feb"/>
    <n v="2"/>
    <n v="2026"/>
    <s v="Weekday"/>
    <n v="0.2814814814814815"/>
    <n v="0.61461794019933558"/>
    <n v="0.12624584717607973"/>
    <n v="12871"/>
    <s v="Autohaus Berlin"/>
  </r>
  <r>
    <s v="CUST_31"/>
    <x v="5"/>
    <x v="3"/>
    <s v="Saturday"/>
    <s v="Yes"/>
    <x v="0"/>
    <x v="0"/>
    <s v="Hesse"/>
    <x v="4"/>
    <s v="Passat"/>
    <s v="Petrol"/>
    <x v="1"/>
    <s v="18-25"/>
    <s v="Low"/>
    <x v="1"/>
    <x v="2"/>
    <s v="Sales_13"/>
    <n v="443"/>
    <n v="252"/>
    <n v="152"/>
    <n v="49"/>
    <s v="19.44"/>
    <n v="32286"/>
    <s v="6.0"/>
    <n v="29042"/>
    <n v="1582014"/>
    <n v="158956"/>
    <s v="Feb"/>
    <n v="2"/>
    <n v="2026"/>
    <s v="Weekend"/>
    <n v="0.32236842105263158"/>
    <n v="0.56884875846501126"/>
    <n v="0.11060948081264109"/>
    <n v="3244"/>
    <s v="Main Auto Hub"/>
  </r>
  <r>
    <s v="CUST_32"/>
    <x v="9"/>
    <x v="0"/>
    <s v="Sunday"/>
    <s v="Yes"/>
    <x v="3"/>
    <x v="3"/>
    <s v="Saxony"/>
    <x v="3"/>
    <s v="C-Class"/>
    <s v="Diesel"/>
    <x v="1"/>
    <s v="36-50"/>
    <s v="Medium"/>
    <x v="1"/>
    <x v="2"/>
    <s v="Sales_10"/>
    <n v="161"/>
    <n v="93"/>
    <n v="62"/>
    <n v="24"/>
    <s v="25.81"/>
    <n v="58127"/>
    <s v="4.27"/>
    <n v="42953"/>
    <n v="1395048"/>
    <n v="364176"/>
    <s v="Feb"/>
    <n v="2"/>
    <n v="2026"/>
    <s v="Weekend"/>
    <n v="0.38709677419354838"/>
    <n v="0.57763975155279501"/>
    <n v="0.14906832298136646"/>
    <n v="15174"/>
    <s v="Saxon Wheels"/>
  </r>
  <r>
    <s v="CUST_33"/>
    <x v="8"/>
    <x v="3"/>
    <s v="Wednesday"/>
    <s v="No"/>
    <x v="5"/>
    <x v="5"/>
    <s v="Hamburg"/>
    <x v="2"/>
    <s v="Q3"/>
    <s v="Hybrid"/>
    <x v="0"/>
    <s v="18-25"/>
    <s v="High"/>
    <x v="1"/>
    <x v="0"/>
    <s v="Sales_10"/>
    <n v="211"/>
    <n v="113"/>
    <n v="80"/>
    <n v="24"/>
    <s v="21.24"/>
    <n v="52706"/>
    <s v="6.2"/>
    <n v="39635"/>
    <n v="1264944"/>
    <n v="313704"/>
    <s v="Feb"/>
    <n v="2"/>
    <n v="2026"/>
    <s v="Weekday"/>
    <n v="0.3"/>
    <n v="0.53554502369668244"/>
    <n v="0.11374407582938388"/>
    <n v="13071"/>
    <s v="Elbe Drive"/>
  </r>
  <r>
    <s v="CUST_34"/>
    <x v="13"/>
    <x v="0"/>
    <s v="Friday"/>
    <s v="No"/>
    <x v="4"/>
    <x v="4"/>
    <s v="Berlin"/>
    <x v="1"/>
    <s v="Astra"/>
    <s v="Petrol"/>
    <x v="2"/>
    <s v="50+"/>
    <s v="High"/>
    <x v="1"/>
    <x v="2"/>
    <s v="Sales_19"/>
    <n v="403"/>
    <n v="212"/>
    <n v="131"/>
    <n v="42"/>
    <s v="19.81"/>
    <n v="23112"/>
    <s v="7.52"/>
    <n v="20726"/>
    <n v="970704"/>
    <n v="100212"/>
    <s v="Feb"/>
    <n v="2"/>
    <n v="2026"/>
    <s v="Weekday"/>
    <n v="0.32061068702290074"/>
    <n v="0.52605459057071957"/>
    <n v="0.10421836228287841"/>
    <n v="2386"/>
    <s v="Autohaus Berlin"/>
  </r>
  <r>
    <s v="CUST_35"/>
    <x v="18"/>
    <x v="0"/>
    <s v="Saturday"/>
    <s v="Yes"/>
    <x v="1"/>
    <x v="1"/>
    <s v="NRW"/>
    <x v="4"/>
    <s v="Golf"/>
    <s v="Hybrid"/>
    <x v="2"/>
    <s v="18-25"/>
    <s v="Low"/>
    <x v="1"/>
    <x v="3"/>
    <s v="Sales_17"/>
    <n v="310"/>
    <n v="178"/>
    <n v="104"/>
    <n v="25"/>
    <s v="14.04"/>
    <n v="32278"/>
    <s v="9.69"/>
    <n v="28834"/>
    <n v="806950"/>
    <n v="86100"/>
    <s v="Feb"/>
    <n v="2"/>
    <n v="2026"/>
    <s v="Weekend"/>
    <n v="0.24038461538461539"/>
    <n v="0.5741935483870968"/>
    <n v="8.0645161290322578E-2"/>
    <n v="3444"/>
    <s v="Rhein Auto Group"/>
  </r>
  <r>
    <s v="CUST_36"/>
    <x v="13"/>
    <x v="0"/>
    <s v="Friday"/>
    <s v="No"/>
    <x v="3"/>
    <x v="3"/>
    <s v="Saxony"/>
    <x v="4"/>
    <s v="Golf"/>
    <s v="Petrol"/>
    <x v="2"/>
    <s v="18-25"/>
    <s v="Low"/>
    <x v="1"/>
    <x v="3"/>
    <s v="Sales_19"/>
    <n v="414"/>
    <n v="192"/>
    <n v="122"/>
    <n v="24"/>
    <s v="12.5"/>
    <n v="30888"/>
    <s v="11.07"/>
    <n v="27284"/>
    <n v="741312"/>
    <n v="86496"/>
    <s v="Feb"/>
    <n v="2"/>
    <n v="2026"/>
    <s v="Weekday"/>
    <n v="0.19672131147540983"/>
    <n v="0.46376811594202899"/>
    <n v="5.7971014492753624E-2"/>
    <n v="3604"/>
    <s v="Saxon Wheels"/>
  </r>
  <r>
    <s v="CUST_37"/>
    <x v="19"/>
    <x v="1"/>
    <s v="Saturday"/>
    <s v="Yes"/>
    <x v="6"/>
    <x v="6"/>
    <s v="Saxony"/>
    <x v="0"/>
    <s v="3 Series"/>
    <s v="Diesel"/>
    <x v="1"/>
    <s v="18-25"/>
    <s v="Medium"/>
    <x v="1"/>
    <x v="2"/>
    <s v="Sales_1"/>
    <n v="235"/>
    <n v="117"/>
    <n v="91"/>
    <n v="33"/>
    <s v="28.21"/>
    <n v="58045"/>
    <s v="5.33"/>
    <n v="41729"/>
    <n v="1915485"/>
    <n v="538428"/>
    <s v="Feb"/>
    <n v="2"/>
    <n v="2026"/>
    <s v="Weekend"/>
    <n v="0.36263736263736263"/>
    <n v="0.49787234042553191"/>
    <n v="0.14042553191489363"/>
    <n v="16316"/>
    <s v="Leipzig Mobility"/>
  </r>
  <r>
    <s v="CUST_38"/>
    <x v="12"/>
    <x v="3"/>
    <s v="Thursday"/>
    <s v="No"/>
    <x v="8"/>
    <x v="8"/>
    <s v="Baden-WÃ¼rttemberg"/>
    <x v="3"/>
    <s v="E-Class"/>
    <s v="Petrol"/>
    <x v="1"/>
    <s v="36-50"/>
    <s v="Low"/>
    <x v="1"/>
    <x v="2"/>
    <s v="Sales_12"/>
    <n v="252"/>
    <n v="137"/>
    <n v="107"/>
    <n v="42"/>
    <s v="30.66"/>
    <n v="70597"/>
    <s v="2.29"/>
    <n v="52531"/>
    <n v="2965074"/>
    <n v="758772"/>
    <s v="Feb"/>
    <n v="2"/>
    <n v="2026"/>
    <s v="Weekday"/>
    <n v="0.3925233644859813"/>
    <n v="0.54365079365079361"/>
    <n v="0.16666666666666666"/>
    <n v="18066"/>
    <s v="Stuttgart Auto Center"/>
  </r>
  <r>
    <s v="CUST_39"/>
    <x v="20"/>
    <x v="0"/>
    <s v="Thursday"/>
    <s v="No"/>
    <x v="6"/>
    <x v="6"/>
    <s v="Saxony"/>
    <x v="0"/>
    <s v="X5"/>
    <s v="Diesel"/>
    <x v="0"/>
    <s v="50+"/>
    <s v="Medium"/>
    <x v="0"/>
    <x v="2"/>
    <s v="Sales_9"/>
    <n v="226"/>
    <n v="127"/>
    <n v="89"/>
    <n v="36"/>
    <s v="28.35"/>
    <n v="51171"/>
    <s v="4.76"/>
    <n v="37002"/>
    <n v="1842156"/>
    <n v="510084"/>
    <s v="Feb"/>
    <n v="2"/>
    <n v="2026"/>
    <s v="Weekday"/>
    <n v="0.4044943820224719"/>
    <n v="0.56194690265486724"/>
    <n v="0.15929203539823009"/>
    <n v="14169"/>
    <s v="Leipzig Mobility"/>
  </r>
  <r>
    <s v="CUST_40"/>
    <x v="20"/>
    <x v="0"/>
    <s v="Thursday"/>
    <s v="No"/>
    <x v="8"/>
    <x v="8"/>
    <s v="Baden-WÃ¼rttemberg"/>
    <x v="0"/>
    <s v="5 Series"/>
    <s v="Diesel"/>
    <x v="1"/>
    <s v="26-35"/>
    <s v="High"/>
    <x v="0"/>
    <x v="3"/>
    <s v="Sales_18"/>
    <n v="203"/>
    <n v="108"/>
    <n v="83"/>
    <n v="32"/>
    <s v="29.63"/>
    <n v="65205"/>
    <s v="4.0"/>
    <n v="50833"/>
    <n v="2086560"/>
    <n v="459904"/>
    <s v="Feb"/>
    <n v="2"/>
    <n v="2026"/>
    <s v="Weekday"/>
    <n v="0.38554216867469882"/>
    <n v="0.53201970443349755"/>
    <n v="0.15763546798029557"/>
    <n v="14372"/>
    <s v="Stuttgart Auto Center"/>
  </r>
  <r>
    <s v="CUST_41"/>
    <x v="20"/>
    <x v="0"/>
    <s v="Thursday"/>
    <s v="No"/>
    <x v="0"/>
    <x v="0"/>
    <s v="Hesse"/>
    <x v="2"/>
    <s v="e-tron"/>
    <s v="Electric"/>
    <x v="0"/>
    <s v="26-35"/>
    <s v="Low"/>
    <x v="0"/>
    <x v="2"/>
    <s v="Sales_13"/>
    <n v="241"/>
    <n v="112"/>
    <n v="78"/>
    <n v="28"/>
    <s v="25.0"/>
    <n v="40439"/>
    <s v="6.92"/>
    <n v="31905"/>
    <n v="1132292"/>
    <n v="238952"/>
    <s v="Feb"/>
    <n v="2"/>
    <n v="2026"/>
    <s v="Weekday"/>
    <n v="0.35897435897435898"/>
    <n v="0.46473029045643155"/>
    <n v="0.11618257261410789"/>
    <n v="8534"/>
    <s v="Main Auto Hub"/>
  </r>
  <r>
    <s v="CUST_42"/>
    <x v="9"/>
    <x v="0"/>
    <s v="Sunday"/>
    <s v="Yes"/>
    <x v="1"/>
    <x v="1"/>
    <s v="NRW"/>
    <x v="0"/>
    <s v="X3"/>
    <s v="Hybrid"/>
    <x v="0"/>
    <s v="36-50"/>
    <s v="Low"/>
    <x v="0"/>
    <x v="0"/>
    <s v="Sales_8"/>
    <n v="148"/>
    <n v="71"/>
    <n v="54"/>
    <n v="18"/>
    <s v="25.35"/>
    <n v="64865"/>
    <s v="3.71"/>
    <n v="46247"/>
    <n v="1167570"/>
    <n v="335124"/>
    <s v="Feb"/>
    <n v="2"/>
    <n v="2026"/>
    <s v="Weekend"/>
    <n v="0.33333333333333331"/>
    <n v="0.47972972972972971"/>
    <n v="0.12162162162162163"/>
    <n v="18618"/>
    <s v="Rhein Auto Group"/>
  </r>
  <r>
    <s v="CUST_43"/>
    <x v="15"/>
    <x v="2"/>
    <s v="Thursday"/>
    <s v="No"/>
    <x v="7"/>
    <x v="7"/>
    <s v="Bavaria"/>
    <x v="2"/>
    <s v="Q3"/>
    <s v="Hybrid"/>
    <x v="0"/>
    <s v="18-25"/>
    <s v="Medium"/>
    <x v="1"/>
    <x v="1"/>
    <s v="Sales_4"/>
    <n v="302"/>
    <n v="145"/>
    <n v="103"/>
    <n v="37"/>
    <s v="25.52"/>
    <n v="48083"/>
    <s v="4.68"/>
    <n v="37058"/>
    <n v="1779071"/>
    <n v="407925"/>
    <s v="Feb"/>
    <n v="2"/>
    <n v="2026"/>
    <s v="Weekday"/>
    <n v="0.35922330097087379"/>
    <n v="0.48013245033112584"/>
    <n v="0.12251655629139073"/>
    <n v="11025"/>
    <s v="Bavaria Motors"/>
  </r>
  <r>
    <s v="CUST_44"/>
    <x v="21"/>
    <x v="0"/>
    <s v="Tuesday"/>
    <s v="No"/>
    <x v="5"/>
    <x v="5"/>
    <s v="Hamburg"/>
    <x v="3"/>
    <s v="GLC"/>
    <s v="Diesel"/>
    <x v="0"/>
    <s v="36-50"/>
    <s v="High"/>
    <x v="0"/>
    <x v="2"/>
    <s v="Sales_4"/>
    <n v="246"/>
    <n v="111"/>
    <n v="81"/>
    <n v="32"/>
    <s v="28.83"/>
    <n v="56651"/>
    <s v="3.03"/>
    <n v="41616"/>
    <n v="1812832"/>
    <n v="481120"/>
    <s v="Feb"/>
    <n v="2"/>
    <n v="2026"/>
    <s v="Weekday"/>
    <n v="0.39506172839506171"/>
    <n v="0.45121951219512196"/>
    <n v="0.13008130081300814"/>
    <n v="15035"/>
    <s v="Elbe Drive"/>
  </r>
  <r>
    <s v="CUST_45"/>
    <x v="15"/>
    <x v="2"/>
    <s v="Thursday"/>
    <s v="No"/>
    <x v="7"/>
    <x v="7"/>
    <s v="Bavaria"/>
    <x v="3"/>
    <s v="C-Class"/>
    <s v="Petrol"/>
    <x v="1"/>
    <s v="50+"/>
    <s v="High"/>
    <x v="0"/>
    <x v="2"/>
    <s v="Sales_15"/>
    <n v="155"/>
    <n v="78"/>
    <n v="52"/>
    <n v="23"/>
    <s v="29.49"/>
    <n v="66179"/>
    <s v="3.57"/>
    <n v="47870"/>
    <n v="1522117"/>
    <n v="421107"/>
    <s v="Feb"/>
    <n v="2"/>
    <n v="2026"/>
    <s v="Weekday"/>
    <n v="0.44230769230769229"/>
    <n v="0.50322580645161286"/>
    <n v="0.14838709677419354"/>
    <n v="18309"/>
    <s v="Bavaria Motors"/>
  </r>
  <r>
    <s v="CUST_46"/>
    <x v="16"/>
    <x v="1"/>
    <s v="Tuesday"/>
    <s v="No"/>
    <x v="8"/>
    <x v="8"/>
    <s v="Baden-WÃ¼rttemberg"/>
    <x v="2"/>
    <s v="Q3"/>
    <s v="Petrol"/>
    <x v="0"/>
    <s v="36-50"/>
    <s v="High"/>
    <x v="1"/>
    <x v="1"/>
    <s v="Sales_1"/>
    <n v="273"/>
    <n v="144"/>
    <n v="98"/>
    <n v="37"/>
    <s v="25.69"/>
    <n v="52880"/>
    <s v="4.15"/>
    <n v="40760"/>
    <n v="1956560"/>
    <n v="448440"/>
    <s v="Feb"/>
    <n v="2"/>
    <n v="2026"/>
    <s v="Weekday"/>
    <n v="0.37755102040816324"/>
    <n v="0.52747252747252749"/>
    <n v="0.13553113553113552"/>
    <n v="12120"/>
    <s v="Stuttgart Auto Center"/>
  </r>
  <r>
    <s v="CUST_47"/>
    <x v="20"/>
    <x v="0"/>
    <s v="Thursday"/>
    <s v="No"/>
    <x v="8"/>
    <x v="8"/>
    <s v="Baden-WÃ¼rttemberg"/>
    <x v="1"/>
    <s v="Mokka"/>
    <s v="Hybrid"/>
    <x v="0"/>
    <s v="26-35"/>
    <s v="High"/>
    <x v="1"/>
    <x v="2"/>
    <s v="Sales_5"/>
    <n v="273"/>
    <n v="119"/>
    <n v="78"/>
    <n v="23"/>
    <s v="19.33"/>
    <n v="26292"/>
    <s v="9.19"/>
    <n v="23635"/>
    <n v="604716"/>
    <n v="61111"/>
    <s v="Feb"/>
    <n v="2"/>
    <n v="2026"/>
    <s v="Weekday"/>
    <n v="0.29487179487179488"/>
    <n v="0.4358974358974359"/>
    <n v="8.4249084249084255E-2"/>
    <n v="2657"/>
    <s v="Stuttgart Auto Center"/>
  </r>
  <r>
    <s v="CUST_48"/>
    <x v="18"/>
    <x v="0"/>
    <s v="Saturday"/>
    <s v="Yes"/>
    <x v="2"/>
    <x v="2"/>
    <s v="Lower Saxony"/>
    <x v="4"/>
    <s v="Tiguan"/>
    <s v="Electric"/>
    <x v="0"/>
    <s v="50+"/>
    <s v="Medium"/>
    <x v="0"/>
    <x v="2"/>
    <s v="Sales_10"/>
    <n v="300"/>
    <n v="155"/>
    <n v="108"/>
    <n v="32"/>
    <s v="20.65"/>
    <n v="30515"/>
    <s v="8.3"/>
    <n v="26908"/>
    <n v="976480"/>
    <n v="115424"/>
    <s v="Feb"/>
    <n v="2"/>
    <n v="2026"/>
    <s v="Weekend"/>
    <n v="0.29629629629629628"/>
    <n v="0.51666666666666672"/>
    <n v="0.10666666666666667"/>
    <n v="3607"/>
    <s v="Hannover Cars"/>
  </r>
  <r>
    <s v="CUST_49"/>
    <x v="22"/>
    <x v="3"/>
    <s v="Tuesday"/>
    <s v="No"/>
    <x v="7"/>
    <x v="7"/>
    <s v="Bavaria"/>
    <x v="3"/>
    <s v="C-Class"/>
    <s v="Diesel"/>
    <x v="1"/>
    <s v="50+"/>
    <s v="High"/>
    <x v="0"/>
    <x v="0"/>
    <s v="Sales_20"/>
    <n v="205"/>
    <n v="115"/>
    <n v="78"/>
    <n v="30"/>
    <s v="26.09"/>
    <n v="72109"/>
    <s v="3.67"/>
    <n v="52717"/>
    <n v="2163270"/>
    <n v="581760"/>
    <s v="Feb"/>
    <n v="2"/>
    <n v="2026"/>
    <s v="Weekday"/>
    <n v="0.38461538461538464"/>
    <n v="0.56097560975609762"/>
    <n v="0.14634146341463414"/>
    <n v="19392"/>
    <s v="Bavaria Motors"/>
  </r>
  <r>
    <s v="CUST_50"/>
    <x v="21"/>
    <x v="0"/>
    <s v="Tuesday"/>
    <s v="No"/>
    <x v="9"/>
    <x v="9"/>
    <s v="NRW"/>
    <x v="4"/>
    <s v="T-Roc"/>
    <s v="Petrol"/>
    <x v="0"/>
    <s v="36-50"/>
    <s v="Medium"/>
    <x v="1"/>
    <x v="3"/>
    <s v="Sales_12"/>
    <n v="325"/>
    <n v="138"/>
    <n v="98"/>
    <n v="17"/>
    <s v="12.32"/>
    <n v="28406"/>
    <s v="6.96"/>
    <n v="25468"/>
    <n v="482902"/>
    <n v="49946"/>
    <s v="Feb"/>
    <n v="2"/>
    <n v="2026"/>
    <s v="Weekday"/>
    <n v="0.17346938775510204"/>
    <n v="0.42461538461538462"/>
    <n v="5.2307692307692305E-2"/>
    <n v="2938"/>
    <s v="Ruhr Auto Plaza"/>
  </r>
  <r>
    <s v="CUST_51"/>
    <x v="17"/>
    <x v="2"/>
    <s v="Sunday"/>
    <s v="Yes"/>
    <x v="9"/>
    <x v="9"/>
    <s v="NRW"/>
    <x v="3"/>
    <s v="GLC"/>
    <s v="Diesel"/>
    <x v="0"/>
    <s v="18-25"/>
    <s v="Medium"/>
    <x v="1"/>
    <x v="2"/>
    <s v="Sales_1"/>
    <n v="191"/>
    <n v="88"/>
    <n v="62"/>
    <n v="23"/>
    <s v="26.14"/>
    <n v="55394"/>
    <s v="3.3"/>
    <n v="43316"/>
    <n v="1274062"/>
    <n v="277794"/>
    <s v="Feb"/>
    <n v="2"/>
    <n v="2026"/>
    <s v="Weekend"/>
    <n v="0.37096774193548387"/>
    <n v="0.4607329842931937"/>
    <n v="0.12041884816753927"/>
    <n v="12078"/>
    <s v="Ruhr Auto Plaza"/>
  </r>
  <r>
    <s v="CUST_52"/>
    <x v="0"/>
    <x v="0"/>
    <s v="Monday"/>
    <s v="No"/>
    <x v="8"/>
    <x v="8"/>
    <s v="Baden-WÃ¼rttemberg"/>
    <x v="3"/>
    <s v="C-Class"/>
    <s v="Diesel"/>
    <x v="1"/>
    <s v="50+"/>
    <s v="Medium"/>
    <x v="1"/>
    <x v="1"/>
    <s v="Sales_18"/>
    <n v="279"/>
    <n v="125"/>
    <n v="93"/>
    <n v="33"/>
    <s v="26.4"/>
    <n v="61934"/>
    <s v="5.56"/>
    <n v="47751"/>
    <n v="2043822"/>
    <n v="468039"/>
    <s v="Feb"/>
    <n v="2"/>
    <n v="2026"/>
    <s v="Weekday"/>
    <n v="0.35483870967741937"/>
    <n v="0.44802867383512546"/>
    <n v="0.11827956989247312"/>
    <n v="14183"/>
    <s v="Stuttgart Auto Center"/>
  </r>
  <r>
    <s v="CUST_53"/>
    <x v="23"/>
    <x v="2"/>
    <s v="Tuesday"/>
    <s v="No"/>
    <x v="7"/>
    <x v="7"/>
    <s v="Bavaria"/>
    <x v="4"/>
    <s v="Passat"/>
    <s v="Hybrid"/>
    <x v="1"/>
    <s v="50+"/>
    <s v="Low"/>
    <x v="0"/>
    <x v="0"/>
    <s v="Sales_14"/>
    <n v="481"/>
    <n v="255"/>
    <n v="153"/>
    <n v="44"/>
    <s v="17.25"/>
    <n v="28856"/>
    <s v="7.37"/>
    <n v="25186"/>
    <n v="1269664"/>
    <n v="161480"/>
    <s v="Feb"/>
    <n v="2"/>
    <n v="2026"/>
    <s v="Weekday"/>
    <n v="0.28758169934640521"/>
    <n v="0.53014553014553012"/>
    <n v="9.1476091476091481E-2"/>
    <n v="3670"/>
    <s v="Bavaria Motors"/>
  </r>
  <r>
    <s v="CUST_54"/>
    <x v="24"/>
    <x v="1"/>
    <s v="Thursday"/>
    <s v="No"/>
    <x v="2"/>
    <x v="2"/>
    <s v="Lower Saxony"/>
    <x v="1"/>
    <s v="Astra"/>
    <s v="Diesel"/>
    <x v="2"/>
    <s v="26-35"/>
    <s v="High"/>
    <x v="1"/>
    <x v="3"/>
    <s v="Sales_16"/>
    <n v="410"/>
    <n v="164"/>
    <n v="98"/>
    <n v="20"/>
    <s v="12.2"/>
    <n v="19811"/>
    <s v="10.49"/>
    <n v="17817"/>
    <n v="396220"/>
    <n v="39880"/>
    <s v="Feb"/>
    <n v="2"/>
    <n v="2026"/>
    <s v="Weekday"/>
    <n v="0.20408163265306123"/>
    <n v="0.4"/>
    <n v="4.878048780487805E-2"/>
    <n v="1994"/>
    <s v="Hannover Cars"/>
  </r>
  <r>
    <s v="CUST_55"/>
    <x v="3"/>
    <x v="1"/>
    <s v="Sunday"/>
    <s v="Yes"/>
    <x v="3"/>
    <x v="3"/>
    <s v="Saxony"/>
    <x v="3"/>
    <s v="EQE"/>
    <s v="Diesel"/>
    <x v="1"/>
    <s v="50+"/>
    <s v="High"/>
    <x v="1"/>
    <x v="0"/>
    <s v="Sales_9"/>
    <n v="288"/>
    <n v="140"/>
    <n v="97"/>
    <n v="27"/>
    <s v="19.29"/>
    <n v="55213"/>
    <s v="5.93"/>
    <n v="43579"/>
    <n v="1490751"/>
    <n v="314118"/>
    <s v="Feb"/>
    <n v="2"/>
    <n v="2026"/>
    <s v="Weekend"/>
    <n v="0.27835051546391754"/>
    <n v="0.4861111111111111"/>
    <n v="9.375E-2"/>
    <n v="11634"/>
    <s v="Saxon Wheels"/>
  </r>
  <r>
    <s v="CUST_56"/>
    <x v="10"/>
    <x v="1"/>
    <s v="Monday"/>
    <s v="No"/>
    <x v="1"/>
    <x v="1"/>
    <s v="NRW"/>
    <x v="4"/>
    <s v="T-Roc"/>
    <s v="Hybrid"/>
    <x v="0"/>
    <s v="50+"/>
    <s v="Low"/>
    <x v="1"/>
    <x v="2"/>
    <s v="Sales_11"/>
    <n v="518"/>
    <n v="213"/>
    <n v="139"/>
    <n v="36"/>
    <s v="16.9"/>
    <n v="31912"/>
    <s v="9.82"/>
    <n v="28814"/>
    <n v="1148832"/>
    <n v="111528"/>
    <s v="Feb"/>
    <n v="2"/>
    <n v="2026"/>
    <s v="Weekday"/>
    <n v="0.25899280575539568"/>
    <n v="0.41119691119691121"/>
    <n v="6.9498069498069498E-2"/>
    <n v="3098"/>
    <s v="Rhein Auto Group"/>
  </r>
  <r>
    <s v="CUST_57"/>
    <x v="4"/>
    <x v="2"/>
    <s v="Wednesday"/>
    <s v="No"/>
    <x v="7"/>
    <x v="7"/>
    <s v="Bavaria"/>
    <x v="4"/>
    <s v="ID.4"/>
    <s v="Hybrid"/>
    <x v="0"/>
    <s v="18-25"/>
    <s v="High"/>
    <x v="0"/>
    <x v="2"/>
    <s v="Sales_12"/>
    <n v="450"/>
    <n v="248"/>
    <n v="151"/>
    <n v="51"/>
    <s v="20.56"/>
    <n v="29724"/>
    <s v="7.6"/>
    <n v="26266"/>
    <n v="1515924"/>
    <n v="176358"/>
    <s v="Feb"/>
    <n v="2"/>
    <n v="2026"/>
    <s v="Weekday"/>
    <n v="0.33774834437086093"/>
    <n v="0.55111111111111111"/>
    <n v="0.11333333333333333"/>
    <n v="3458"/>
    <s v="Bavaria Motors"/>
  </r>
  <r>
    <s v="CUST_58"/>
    <x v="11"/>
    <x v="0"/>
    <s v="Wednesday"/>
    <s v="No"/>
    <x v="4"/>
    <x v="4"/>
    <s v="Berlin"/>
    <x v="2"/>
    <s v="Q3"/>
    <s v="Electric"/>
    <x v="0"/>
    <s v="50+"/>
    <s v="Medium"/>
    <x v="1"/>
    <x v="3"/>
    <s v="Sales_8"/>
    <n v="205"/>
    <n v="118"/>
    <n v="81"/>
    <n v="28"/>
    <s v="23.73"/>
    <n v="52442"/>
    <s v="3.57"/>
    <n v="40146"/>
    <n v="1468376"/>
    <n v="344288"/>
    <s v="Feb"/>
    <n v="2"/>
    <n v="2026"/>
    <s v="Weekday"/>
    <n v="0.34567901234567899"/>
    <n v="0.57560975609756093"/>
    <n v="0.13658536585365855"/>
    <n v="12296"/>
    <s v="Autohaus Berlin"/>
  </r>
  <r>
    <s v="CUST_59"/>
    <x v="8"/>
    <x v="3"/>
    <s v="Wednesday"/>
    <s v="No"/>
    <x v="5"/>
    <x v="5"/>
    <s v="Hamburg"/>
    <x v="4"/>
    <s v="Tiguan"/>
    <s v="Electric"/>
    <x v="0"/>
    <s v="26-35"/>
    <s v="Medium"/>
    <x v="0"/>
    <x v="2"/>
    <s v="Sales_18"/>
    <n v="481"/>
    <n v="251"/>
    <n v="145"/>
    <n v="56"/>
    <s v="22.31"/>
    <n v="33148"/>
    <s v="7.35"/>
    <n v="29174"/>
    <n v="1856288"/>
    <n v="222544"/>
    <s v="Feb"/>
    <n v="2"/>
    <n v="2026"/>
    <s v="Weekday"/>
    <n v="0.38620689655172413"/>
    <n v="0.5218295218295218"/>
    <n v="0.11642411642411643"/>
    <n v="3974"/>
    <s v="Elbe Drive"/>
  </r>
  <r>
    <s v="CUST_60"/>
    <x v="20"/>
    <x v="0"/>
    <s v="Thursday"/>
    <s v="No"/>
    <x v="9"/>
    <x v="9"/>
    <s v="NRW"/>
    <x v="2"/>
    <s v="Q5"/>
    <s v="Hybrid"/>
    <x v="0"/>
    <s v="18-25"/>
    <s v="High"/>
    <x v="0"/>
    <x v="0"/>
    <s v="Sales_15"/>
    <n v="173"/>
    <n v="86"/>
    <n v="58"/>
    <n v="19"/>
    <s v="22.09"/>
    <n v="42751"/>
    <s v="4.97"/>
    <n v="33052"/>
    <n v="812269"/>
    <n v="184281"/>
    <s v="Feb"/>
    <n v="2"/>
    <n v="2026"/>
    <s v="Weekday"/>
    <n v="0.32758620689655171"/>
    <n v="0.49710982658959535"/>
    <n v="0.10982658959537572"/>
    <n v="9699"/>
    <s v="Ruhr Auto Plaza"/>
  </r>
  <r>
    <s v="CUST_61"/>
    <x v="5"/>
    <x v="3"/>
    <s v="Saturday"/>
    <s v="Yes"/>
    <x v="7"/>
    <x v="7"/>
    <s v="Bavaria"/>
    <x v="3"/>
    <s v="EQE"/>
    <s v="Diesel"/>
    <x v="1"/>
    <s v="26-35"/>
    <s v="High"/>
    <x v="0"/>
    <x v="2"/>
    <s v="Sales_18"/>
    <n v="266"/>
    <n v="119"/>
    <n v="87"/>
    <n v="34"/>
    <s v="28.57"/>
    <n v="71273"/>
    <s v="4.64"/>
    <n v="51780"/>
    <n v="2423282"/>
    <n v="662762"/>
    <s v="Feb"/>
    <n v="2"/>
    <n v="2026"/>
    <s v="Weekend"/>
    <n v="0.39080459770114945"/>
    <n v="0.44736842105263158"/>
    <n v="0.12781954887218044"/>
    <n v="19493"/>
    <s v="Bavaria Motors"/>
  </r>
  <r>
    <s v="CUST_62"/>
    <x v="21"/>
    <x v="0"/>
    <s v="Tuesday"/>
    <s v="No"/>
    <x v="5"/>
    <x v="5"/>
    <s v="Hamburg"/>
    <x v="4"/>
    <s v="Tiguan"/>
    <s v="Petrol"/>
    <x v="0"/>
    <s v="36-50"/>
    <s v="Low"/>
    <x v="0"/>
    <x v="0"/>
    <s v="Sales_15"/>
    <n v="506"/>
    <n v="258"/>
    <n v="151"/>
    <n v="36"/>
    <s v="13.95"/>
    <n v="32432"/>
    <s v="7.37"/>
    <n v="28674"/>
    <n v="1167552"/>
    <n v="135288"/>
    <s v="Feb"/>
    <n v="2"/>
    <n v="2026"/>
    <s v="Weekday"/>
    <n v="0.23841059602649006"/>
    <n v="0.50988142292490124"/>
    <n v="7.1146245059288543E-2"/>
    <n v="3758"/>
    <s v="Elbe Drive"/>
  </r>
  <r>
    <s v="CUST_63"/>
    <x v="0"/>
    <x v="0"/>
    <s v="Monday"/>
    <s v="No"/>
    <x v="9"/>
    <x v="9"/>
    <s v="NRW"/>
    <x v="1"/>
    <s v="Grandland"/>
    <s v="Diesel"/>
    <x v="0"/>
    <s v="26-35"/>
    <s v="Low"/>
    <x v="1"/>
    <x v="1"/>
    <s v="Sales_3"/>
    <n v="350"/>
    <n v="166"/>
    <n v="104"/>
    <n v="26"/>
    <s v="15.66"/>
    <n v="21587"/>
    <s v="11.47"/>
    <n v="19910"/>
    <n v="561262"/>
    <n v="43602"/>
    <s v="Feb"/>
    <n v="2"/>
    <n v="2026"/>
    <s v="Weekday"/>
    <n v="0.25"/>
    <n v="0.47428571428571431"/>
    <n v="7.4285714285714288E-2"/>
    <n v="1677"/>
    <s v="Ruhr Auto Plaza"/>
  </r>
  <r>
    <s v="CUST_64"/>
    <x v="24"/>
    <x v="1"/>
    <s v="Thursday"/>
    <s v="No"/>
    <x v="3"/>
    <x v="3"/>
    <s v="Saxony"/>
    <x v="3"/>
    <s v="EQE"/>
    <s v="Diesel"/>
    <x v="1"/>
    <s v="26-35"/>
    <s v="Low"/>
    <x v="1"/>
    <x v="0"/>
    <s v="Sales_9"/>
    <n v="265"/>
    <n v="128"/>
    <n v="94"/>
    <n v="27"/>
    <s v="21.09"/>
    <n v="54462"/>
    <s v="2.99"/>
    <n v="42690"/>
    <n v="1470474"/>
    <n v="317844"/>
    <s v="Feb"/>
    <n v="2"/>
    <n v="2026"/>
    <s v="Weekday"/>
    <n v="0.28723404255319152"/>
    <n v="0.48301886792452831"/>
    <n v="0.10188679245283019"/>
    <n v="11772"/>
    <s v="Saxon Wheels"/>
  </r>
  <r>
    <s v="CUST_65"/>
    <x v="15"/>
    <x v="2"/>
    <s v="Thursday"/>
    <s v="No"/>
    <x v="5"/>
    <x v="5"/>
    <s v="Hamburg"/>
    <x v="2"/>
    <s v="A3"/>
    <s v="Electric"/>
    <x v="2"/>
    <s v="18-25"/>
    <s v="High"/>
    <x v="1"/>
    <x v="0"/>
    <s v="Sales_20"/>
    <n v="304"/>
    <n v="142"/>
    <n v="103"/>
    <n v="34"/>
    <s v="23.94"/>
    <n v="51393"/>
    <s v="6.0"/>
    <n v="39783"/>
    <n v="1747362"/>
    <n v="394740"/>
    <s v="Feb"/>
    <n v="2"/>
    <n v="2026"/>
    <s v="Weekday"/>
    <n v="0.3300970873786408"/>
    <n v="0.46710526315789475"/>
    <n v="0.1118421052631579"/>
    <n v="11610"/>
    <s v="Elbe Drive"/>
  </r>
  <r>
    <s v="CUST_66"/>
    <x v="13"/>
    <x v="0"/>
    <s v="Friday"/>
    <s v="No"/>
    <x v="5"/>
    <x v="5"/>
    <s v="Hamburg"/>
    <x v="2"/>
    <s v="Q5"/>
    <s v="Diesel"/>
    <x v="0"/>
    <s v="50+"/>
    <s v="High"/>
    <x v="0"/>
    <x v="3"/>
    <s v="Sales_19"/>
    <n v="244"/>
    <n v="124"/>
    <n v="87"/>
    <n v="30"/>
    <s v="24.19"/>
    <n v="50944"/>
    <s v="4.02"/>
    <n v="39541"/>
    <n v="1528320"/>
    <n v="342090"/>
    <s v="Feb"/>
    <n v="2"/>
    <n v="2026"/>
    <s v="Weekday"/>
    <n v="0.34482758620689657"/>
    <n v="0.50819672131147542"/>
    <n v="0.12295081967213115"/>
    <n v="11403"/>
    <s v="Elbe Drive"/>
  </r>
  <r>
    <s v="CUST_67"/>
    <x v="15"/>
    <x v="2"/>
    <s v="Thursday"/>
    <s v="No"/>
    <x v="6"/>
    <x v="6"/>
    <s v="Saxony"/>
    <x v="1"/>
    <s v="Grandland"/>
    <s v="Diesel"/>
    <x v="0"/>
    <s v="50+"/>
    <s v="Medium"/>
    <x v="1"/>
    <x v="3"/>
    <s v="Sales_5"/>
    <n v="383"/>
    <n v="175"/>
    <n v="99"/>
    <n v="22"/>
    <s v="12.57"/>
    <n v="24691"/>
    <s v="10.45"/>
    <n v="22754"/>
    <n v="543202"/>
    <n v="42614"/>
    <s v="Feb"/>
    <n v="2"/>
    <n v="2026"/>
    <s v="Weekday"/>
    <n v="0.22222222222222221"/>
    <n v="0.45691906005221933"/>
    <n v="5.7441253263707574E-2"/>
    <n v="1937"/>
    <s v="Leipzig Mobility"/>
  </r>
  <r>
    <s v="CUST_68"/>
    <x v="4"/>
    <x v="2"/>
    <s v="Wednesday"/>
    <s v="No"/>
    <x v="4"/>
    <x v="4"/>
    <s v="Berlin"/>
    <x v="3"/>
    <s v="E-Class"/>
    <s v="Diesel"/>
    <x v="1"/>
    <s v="26-35"/>
    <s v="Medium"/>
    <x v="1"/>
    <x v="2"/>
    <s v="Sales_5"/>
    <n v="276"/>
    <n v="138"/>
    <n v="105"/>
    <n v="42"/>
    <s v="30.43"/>
    <n v="51409"/>
    <s v="4.96"/>
    <n v="38009"/>
    <n v="2159178"/>
    <n v="562800"/>
    <s v="Feb"/>
    <n v="2"/>
    <n v="2026"/>
    <s v="Weekday"/>
    <n v="0.4"/>
    <n v="0.5"/>
    <n v="0.15217391304347827"/>
    <n v="13400"/>
    <s v="Autohaus Berlin"/>
  </r>
  <r>
    <s v="CUST_69"/>
    <x v="10"/>
    <x v="1"/>
    <s v="Monday"/>
    <s v="No"/>
    <x v="9"/>
    <x v="9"/>
    <s v="NRW"/>
    <x v="3"/>
    <s v="E-Class"/>
    <s v="Diesel"/>
    <x v="1"/>
    <s v="18-25"/>
    <s v="Medium"/>
    <x v="0"/>
    <x v="0"/>
    <s v="Sales_7"/>
    <n v="245"/>
    <n v="123"/>
    <n v="97"/>
    <n v="25"/>
    <s v="20.33"/>
    <n v="59335"/>
    <s v="4.59"/>
    <n v="45070"/>
    <n v="1483375"/>
    <n v="356625"/>
    <s v="Feb"/>
    <n v="2"/>
    <n v="2026"/>
    <s v="Weekday"/>
    <n v="0.25773195876288657"/>
    <n v="0.50204081632653064"/>
    <n v="0.10204081632653061"/>
    <n v="14265"/>
    <s v="Ruhr Auto Plaza"/>
  </r>
  <r>
    <s v="CUST_70"/>
    <x v="10"/>
    <x v="1"/>
    <s v="Monday"/>
    <s v="No"/>
    <x v="7"/>
    <x v="7"/>
    <s v="Bavaria"/>
    <x v="1"/>
    <s v="Mokka"/>
    <s v="Diesel"/>
    <x v="0"/>
    <s v="36-50"/>
    <s v="Low"/>
    <x v="0"/>
    <x v="1"/>
    <s v="Sales_6"/>
    <n v="414"/>
    <n v="189"/>
    <n v="114"/>
    <n v="36"/>
    <s v="19.05"/>
    <n v="24993"/>
    <s v="12.01"/>
    <n v="23225"/>
    <n v="899748"/>
    <n v="63648"/>
    <s v="Feb"/>
    <n v="2"/>
    <n v="2026"/>
    <s v="Weekday"/>
    <n v="0.31578947368421051"/>
    <n v="0.45652173913043476"/>
    <n v="8.6956521739130432E-2"/>
    <n v="1768"/>
    <s v="Bavaria Motors"/>
  </r>
  <r>
    <s v="CUST_71"/>
    <x v="9"/>
    <x v="0"/>
    <s v="Sunday"/>
    <s v="Yes"/>
    <x v="9"/>
    <x v="9"/>
    <s v="NRW"/>
    <x v="0"/>
    <s v="X5"/>
    <s v="Petrol"/>
    <x v="0"/>
    <s v="26-35"/>
    <s v="High"/>
    <x v="1"/>
    <x v="3"/>
    <s v="Sales_11"/>
    <n v="188"/>
    <n v="112"/>
    <n v="79"/>
    <n v="29"/>
    <s v="25.89"/>
    <n v="65105"/>
    <s v="2.09"/>
    <n v="50417"/>
    <n v="1888045"/>
    <n v="425952"/>
    <s v="Feb"/>
    <n v="2"/>
    <n v="2026"/>
    <s v="Weekend"/>
    <n v="0.36708860759493672"/>
    <n v="0.5957446808510638"/>
    <n v="0.15425531914893617"/>
    <n v="14688"/>
    <s v="Ruhr Auto Plaza"/>
  </r>
  <r>
    <s v="CUST_72"/>
    <x v="18"/>
    <x v="0"/>
    <s v="Saturday"/>
    <s v="Yes"/>
    <x v="2"/>
    <x v="2"/>
    <s v="Lower Saxony"/>
    <x v="2"/>
    <s v="e-tron"/>
    <s v="Diesel"/>
    <x v="0"/>
    <s v="26-35"/>
    <s v="High"/>
    <x v="0"/>
    <x v="2"/>
    <s v="Sales_19"/>
    <n v="319"/>
    <n v="160"/>
    <n v="111"/>
    <n v="40"/>
    <s v="25.0"/>
    <n v="49662"/>
    <s v="5.97"/>
    <n v="37777"/>
    <n v="1986480"/>
    <n v="475400"/>
    <s v="Feb"/>
    <n v="2"/>
    <n v="2026"/>
    <s v="Weekend"/>
    <n v="0.36036036036036034"/>
    <n v="0.50156739811912221"/>
    <n v="0.12539184952978055"/>
    <n v="11885"/>
    <s v="Hannover Cars"/>
  </r>
  <r>
    <s v="CUST_73"/>
    <x v="3"/>
    <x v="1"/>
    <s v="Sunday"/>
    <s v="Yes"/>
    <x v="1"/>
    <x v="1"/>
    <s v="NRW"/>
    <x v="3"/>
    <s v="GLE"/>
    <s v="Diesel"/>
    <x v="0"/>
    <s v="26-35"/>
    <s v="Low"/>
    <x v="1"/>
    <x v="3"/>
    <s v="Sales_6"/>
    <n v="166"/>
    <n v="96"/>
    <n v="66"/>
    <n v="23"/>
    <s v="23.96"/>
    <n v="53475"/>
    <s v="2.97"/>
    <n v="42228"/>
    <n v="1229925"/>
    <n v="258681"/>
    <s v="Feb"/>
    <n v="2"/>
    <n v="2026"/>
    <s v="Weekend"/>
    <n v="0.34848484848484851"/>
    <n v="0.57831325301204817"/>
    <n v="0.13855421686746988"/>
    <n v="11247"/>
    <s v="Rhein Auto Group"/>
  </r>
  <r>
    <s v="CUST_74"/>
    <x v="2"/>
    <x v="2"/>
    <s v="Monday"/>
    <s v="No"/>
    <x v="8"/>
    <x v="8"/>
    <s v="Baden-WÃ¼rttemberg"/>
    <x v="2"/>
    <s v="A3"/>
    <s v="Diesel"/>
    <x v="2"/>
    <s v="36-50"/>
    <s v="Low"/>
    <x v="1"/>
    <x v="0"/>
    <s v="Sales_3"/>
    <n v="293"/>
    <n v="169"/>
    <n v="120"/>
    <n v="34"/>
    <s v="20.12"/>
    <n v="53515"/>
    <s v="4.34"/>
    <n v="42136"/>
    <n v="1819510"/>
    <n v="386886"/>
    <s v="Feb"/>
    <n v="2"/>
    <n v="2026"/>
    <s v="Weekday"/>
    <n v="0.28333333333333333"/>
    <n v="0.57679180887372017"/>
    <n v="0.11604095563139932"/>
    <n v="11379"/>
    <s v="Stuttgart Auto Center"/>
  </r>
  <r>
    <s v="CUST_75"/>
    <x v="25"/>
    <x v="3"/>
    <s v="Friday"/>
    <s v="No"/>
    <x v="5"/>
    <x v="5"/>
    <s v="Hamburg"/>
    <x v="1"/>
    <s v="Mokka"/>
    <s v="Electric"/>
    <x v="0"/>
    <s v="18-25"/>
    <s v="Low"/>
    <x v="1"/>
    <x v="1"/>
    <s v="Sales_4"/>
    <n v="341"/>
    <n v="153"/>
    <n v="96"/>
    <n v="28"/>
    <s v="18.3"/>
    <n v="24489"/>
    <s v="12.15"/>
    <n v="21876"/>
    <n v="685692"/>
    <n v="73164"/>
    <s v="Feb"/>
    <n v="2"/>
    <n v="2026"/>
    <s v="Weekday"/>
    <n v="0.29166666666666669"/>
    <n v="0.44868035190615835"/>
    <n v="8.2111436950146624E-2"/>
    <n v="2613"/>
    <s v="Elbe Drive"/>
  </r>
  <r>
    <s v="CUST_76"/>
    <x v="16"/>
    <x v="1"/>
    <s v="Tuesday"/>
    <s v="No"/>
    <x v="5"/>
    <x v="5"/>
    <s v="Hamburg"/>
    <x v="2"/>
    <s v="A4"/>
    <s v="Diesel"/>
    <x v="1"/>
    <s v="26-35"/>
    <s v="High"/>
    <x v="0"/>
    <x v="0"/>
    <s v="Sales_3"/>
    <n v="274"/>
    <n v="126"/>
    <n v="82"/>
    <n v="31"/>
    <s v="24.6"/>
    <n v="41513"/>
    <s v="4.05"/>
    <n v="32106"/>
    <n v="1286903"/>
    <n v="291617"/>
    <s v="Feb"/>
    <n v="2"/>
    <n v="2026"/>
    <s v="Weekday"/>
    <n v="0.37804878048780488"/>
    <n v="0.45985401459854014"/>
    <n v="0.11313868613138686"/>
    <n v="9407"/>
    <s v="Elbe Drive"/>
  </r>
  <r>
    <s v="CUST_77"/>
    <x v="24"/>
    <x v="1"/>
    <s v="Thursday"/>
    <s v="No"/>
    <x v="2"/>
    <x v="2"/>
    <s v="Lower Saxony"/>
    <x v="2"/>
    <s v="A3"/>
    <s v="Diesel"/>
    <x v="2"/>
    <s v="50+"/>
    <s v="High"/>
    <x v="1"/>
    <x v="0"/>
    <s v="Sales_18"/>
    <n v="303"/>
    <n v="188"/>
    <n v="143"/>
    <n v="40"/>
    <s v="21.28"/>
    <n v="52453"/>
    <s v="6.75"/>
    <n v="39557"/>
    <n v="2098120"/>
    <n v="515840"/>
    <s v="Feb"/>
    <n v="2"/>
    <n v="2026"/>
    <s v="Weekday"/>
    <n v="0.27972027972027974"/>
    <n v="0.62046204620462042"/>
    <n v="0.132013201320132"/>
    <n v="12896"/>
    <s v="Hannover Cars"/>
  </r>
  <r>
    <s v="CUST_78"/>
    <x v="13"/>
    <x v="0"/>
    <s v="Friday"/>
    <s v="No"/>
    <x v="5"/>
    <x v="5"/>
    <s v="Hamburg"/>
    <x v="3"/>
    <s v="GLE"/>
    <s v="Hybrid"/>
    <x v="0"/>
    <s v="18-25"/>
    <s v="Low"/>
    <x v="0"/>
    <x v="3"/>
    <s v="Sales_15"/>
    <n v="246"/>
    <n v="117"/>
    <n v="83"/>
    <n v="28"/>
    <s v="23.93"/>
    <n v="66133"/>
    <s v="4.82"/>
    <n v="50758"/>
    <n v="1851724"/>
    <n v="430500"/>
    <s v="Feb"/>
    <n v="2"/>
    <n v="2026"/>
    <s v="Weekday"/>
    <n v="0.33734939759036142"/>
    <n v="0.47560975609756095"/>
    <n v="0.11382113821138211"/>
    <n v="15375"/>
    <s v="Elbe Drive"/>
  </r>
  <r>
    <s v="CUST_79"/>
    <x v="8"/>
    <x v="3"/>
    <s v="Wednesday"/>
    <s v="No"/>
    <x v="9"/>
    <x v="9"/>
    <s v="NRW"/>
    <x v="1"/>
    <s v="Corsa"/>
    <s v="Petrol"/>
    <x v="2"/>
    <s v="50+"/>
    <s v="High"/>
    <x v="1"/>
    <x v="3"/>
    <s v="Sales_16"/>
    <n v="329"/>
    <n v="133"/>
    <n v="86"/>
    <n v="17"/>
    <s v="12.78"/>
    <n v="27498"/>
    <s v="7.85"/>
    <n v="24609"/>
    <n v="467466"/>
    <n v="49113"/>
    <s v="Feb"/>
    <n v="2"/>
    <n v="2026"/>
    <s v="Weekday"/>
    <n v="0.19767441860465115"/>
    <n v="0.40425531914893614"/>
    <n v="5.1671732522796353E-2"/>
    <n v="2889"/>
    <s v="Ruhr Auto Plaza"/>
  </r>
  <r>
    <s v="CUST_80"/>
    <x v="20"/>
    <x v="0"/>
    <s v="Thursday"/>
    <s v="No"/>
    <x v="5"/>
    <x v="5"/>
    <s v="Hamburg"/>
    <x v="0"/>
    <s v="3 Series"/>
    <s v="Hybrid"/>
    <x v="1"/>
    <s v="36-50"/>
    <s v="Low"/>
    <x v="0"/>
    <x v="2"/>
    <s v="Sales_10"/>
    <n v="160"/>
    <n v="78"/>
    <n v="63"/>
    <n v="25"/>
    <s v="32.05"/>
    <n v="50785"/>
    <s v="5.55"/>
    <n v="38014"/>
    <n v="1269625"/>
    <n v="319275"/>
    <s v="Feb"/>
    <n v="2"/>
    <n v="2026"/>
    <s v="Weekday"/>
    <n v="0.3968253968253968"/>
    <n v="0.48749999999999999"/>
    <n v="0.15625"/>
    <n v="12771"/>
    <s v="Elbe Drive"/>
  </r>
  <r>
    <s v="CUST_81"/>
    <x v="6"/>
    <x v="2"/>
    <s v="Saturday"/>
    <s v="Yes"/>
    <x v="4"/>
    <x v="4"/>
    <s v="Berlin"/>
    <x v="2"/>
    <s v="A4"/>
    <s v="Hybrid"/>
    <x v="1"/>
    <s v="50+"/>
    <s v="High"/>
    <x v="1"/>
    <x v="2"/>
    <s v="Sales_3"/>
    <n v="213"/>
    <n v="106"/>
    <n v="77"/>
    <n v="28"/>
    <s v="26.42"/>
    <n v="50979"/>
    <s v="4.2"/>
    <n v="40684"/>
    <n v="1427412"/>
    <n v="288260"/>
    <s v="Feb"/>
    <n v="2"/>
    <n v="2026"/>
    <s v="Weekend"/>
    <n v="0.36363636363636365"/>
    <n v="0.49765258215962443"/>
    <n v="0.13145539906103287"/>
    <n v="10295"/>
    <s v="Autohaus Berlin"/>
  </r>
  <r>
    <s v="CUST_82"/>
    <x v="23"/>
    <x v="2"/>
    <s v="Tuesday"/>
    <s v="No"/>
    <x v="1"/>
    <x v="1"/>
    <s v="NRW"/>
    <x v="4"/>
    <s v="Tiguan"/>
    <s v="Diesel"/>
    <x v="0"/>
    <s v="50+"/>
    <s v="High"/>
    <x v="0"/>
    <x v="3"/>
    <s v="Sales_1"/>
    <n v="408"/>
    <n v="200"/>
    <n v="116"/>
    <n v="34"/>
    <s v="17.0"/>
    <n v="32145"/>
    <s v="8.62"/>
    <n v="27944"/>
    <n v="1092930"/>
    <n v="142834"/>
    <s v="Feb"/>
    <n v="2"/>
    <n v="2026"/>
    <s v="Weekday"/>
    <n v="0.29310344827586204"/>
    <n v="0.49019607843137253"/>
    <n v="8.3333333333333329E-2"/>
    <n v="4201"/>
    <s v="Rhein Auto Group"/>
  </r>
  <r>
    <s v="CUST_83"/>
    <x v="23"/>
    <x v="2"/>
    <s v="Tuesday"/>
    <s v="No"/>
    <x v="0"/>
    <x v="0"/>
    <s v="Hesse"/>
    <x v="0"/>
    <s v="5 Series"/>
    <s v="Electric"/>
    <x v="1"/>
    <s v="26-35"/>
    <s v="Low"/>
    <x v="1"/>
    <x v="0"/>
    <s v="Sales_10"/>
    <n v="176"/>
    <n v="105"/>
    <n v="77"/>
    <n v="28"/>
    <s v="26.67"/>
    <n v="69219"/>
    <s v="2.26"/>
    <n v="49754"/>
    <n v="1938132"/>
    <n v="545020"/>
    <s v="Feb"/>
    <n v="2"/>
    <n v="2026"/>
    <s v="Weekday"/>
    <n v="0.36363636363636365"/>
    <n v="0.59659090909090906"/>
    <n v="0.15909090909090909"/>
    <n v="19465"/>
    <s v="Main Auto Hub"/>
  </r>
  <r>
    <s v="CUST_84"/>
    <x v="26"/>
    <x v="1"/>
    <s v="Friday"/>
    <s v="No"/>
    <x v="7"/>
    <x v="7"/>
    <s v="Bavaria"/>
    <x v="0"/>
    <s v="i4"/>
    <s v="Diesel"/>
    <x v="1"/>
    <s v="18-25"/>
    <s v="Low"/>
    <x v="1"/>
    <x v="1"/>
    <s v="Sales_2"/>
    <n v="163"/>
    <n v="80"/>
    <n v="64"/>
    <n v="25"/>
    <s v="31.25"/>
    <n v="66452"/>
    <s v="4.05"/>
    <n v="50866"/>
    <n v="1661300"/>
    <n v="389650"/>
    <s v="Feb"/>
    <n v="2"/>
    <n v="2026"/>
    <s v="Weekday"/>
    <n v="0.390625"/>
    <n v="0.49079754601226994"/>
    <n v="0.15337423312883436"/>
    <n v="15586"/>
    <s v="Bavaria Motors"/>
  </r>
  <r>
    <s v="CUST_85"/>
    <x v="6"/>
    <x v="2"/>
    <s v="Saturday"/>
    <s v="Yes"/>
    <x v="2"/>
    <x v="2"/>
    <s v="Lower Saxony"/>
    <x v="0"/>
    <s v="3 Series"/>
    <s v="Hybrid"/>
    <x v="1"/>
    <s v="26-35"/>
    <s v="High"/>
    <x v="0"/>
    <x v="0"/>
    <s v="Sales_17"/>
    <n v="144"/>
    <n v="77"/>
    <n v="54"/>
    <n v="21"/>
    <s v="27.27"/>
    <n v="55519"/>
    <s v="4.0"/>
    <n v="41517"/>
    <n v="1165899"/>
    <n v="294042"/>
    <s v="Feb"/>
    <n v="2"/>
    <n v="2026"/>
    <s v="Weekend"/>
    <n v="0.3888888888888889"/>
    <n v="0.53472222222222221"/>
    <n v="0.14583333333333334"/>
    <n v="14002"/>
    <s v="Hannover Cars"/>
  </r>
  <r>
    <s v="CUST_86"/>
    <x v="20"/>
    <x v="0"/>
    <s v="Thursday"/>
    <s v="No"/>
    <x v="8"/>
    <x v="8"/>
    <s v="Baden-WÃ¼rttemberg"/>
    <x v="1"/>
    <s v="Mokka"/>
    <s v="Electric"/>
    <x v="0"/>
    <s v="36-50"/>
    <s v="Low"/>
    <x v="1"/>
    <x v="3"/>
    <s v="Sales_19"/>
    <n v="340"/>
    <n v="172"/>
    <n v="117"/>
    <n v="29"/>
    <s v="16.86"/>
    <n v="22110"/>
    <s v="11.7"/>
    <n v="20542"/>
    <n v="641190"/>
    <n v="45472"/>
    <s v="Feb"/>
    <n v="2"/>
    <n v="2026"/>
    <s v="Weekday"/>
    <n v="0.24786324786324787"/>
    <n v="0.50588235294117645"/>
    <n v="8.5294117647058826E-2"/>
    <n v="1568"/>
    <s v="Stuttgart Auto Center"/>
  </r>
  <r>
    <s v="CUST_87"/>
    <x v="23"/>
    <x v="2"/>
    <s v="Tuesday"/>
    <s v="No"/>
    <x v="2"/>
    <x v="2"/>
    <s v="Lower Saxony"/>
    <x v="4"/>
    <s v="Golf"/>
    <s v="Electric"/>
    <x v="2"/>
    <s v="50+"/>
    <s v="Low"/>
    <x v="1"/>
    <x v="2"/>
    <s v="Sales_4"/>
    <n v="452"/>
    <n v="208"/>
    <n v="139"/>
    <n v="34"/>
    <s v="16.35"/>
    <n v="28704"/>
    <s v="9.15"/>
    <n v="24930"/>
    <n v="975936"/>
    <n v="128316"/>
    <s v="Feb"/>
    <n v="2"/>
    <n v="2026"/>
    <s v="Weekday"/>
    <n v="0.2446043165467626"/>
    <n v="0.46017699115044247"/>
    <n v="7.5221238938053103E-2"/>
    <n v="3774"/>
    <s v="Hannover Cars"/>
  </r>
  <r>
    <s v="CUST_88"/>
    <x v="19"/>
    <x v="1"/>
    <s v="Saturday"/>
    <s v="Yes"/>
    <x v="6"/>
    <x v="6"/>
    <s v="Saxony"/>
    <x v="3"/>
    <s v="E-Class"/>
    <s v="Hybrid"/>
    <x v="1"/>
    <s v="50+"/>
    <s v="Medium"/>
    <x v="1"/>
    <x v="1"/>
    <s v="Sales_1"/>
    <n v="224"/>
    <n v="118"/>
    <n v="85"/>
    <n v="25"/>
    <s v="21.19"/>
    <n v="59763"/>
    <s v="4.67"/>
    <n v="45267"/>
    <n v="1494075"/>
    <n v="362400"/>
    <s v="Feb"/>
    <n v="2"/>
    <n v="2026"/>
    <s v="Weekend"/>
    <n v="0.29411764705882354"/>
    <n v="0.5267857142857143"/>
    <n v="0.11160714285714286"/>
    <n v="14496"/>
    <s v="Leipzig Mobility"/>
  </r>
  <r>
    <s v="CUST_89"/>
    <x v="26"/>
    <x v="1"/>
    <s v="Friday"/>
    <s v="No"/>
    <x v="9"/>
    <x v="9"/>
    <s v="NRW"/>
    <x v="2"/>
    <s v="e-tron"/>
    <s v="Hybrid"/>
    <x v="0"/>
    <s v="50+"/>
    <s v="Medium"/>
    <x v="0"/>
    <x v="3"/>
    <s v="Sales_6"/>
    <n v="183"/>
    <n v="114"/>
    <n v="83"/>
    <n v="23"/>
    <s v="20.18"/>
    <n v="53393"/>
    <s v="5.94"/>
    <n v="41156"/>
    <n v="1228039"/>
    <n v="281451"/>
    <s v="Feb"/>
    <n v="2"/>
    <n v="2026"/>
    <s v="Weekday"/>
    <n v="0.27710843373493976"/>
    <n v="0.62295081967213117"/>
    <n v="0.12568306010928962"/>
    <n v="12237"/>
    <s v="Ruhr Auto Plaza"/>
  </r>
  <r>
    <s v="CUST_90"/>
    <x v="26"/>
    <x v="1"/>
    <s v="Friday"/>
    <s v="No"/>
    <x v="4"/>
    <x v="4"/>
    <s v="Berlin"/>
    <x v="4"/>
    <s v="Passat"/>
    <s v="Petrol"/>
    <x v="1"/>
    <s v="26-35"/>
    <s v="Medium"/>
    <x v="0"/>
    <x v="0"/>
    <s v="Sales_19"/>
    <n v="343"/>
    <n v="156"/>
    <n v="94"/>
    <n v="25"/>
    <s v="16.03"/>
    <n v="34687"/>
    <s v="6.24"/>
    <n v="31067"/>
    <n v="867175"/>
    <n v="90500"/>
    <s v="Feb"/>
    <n v="2"/>
    <n v="2026"/>
    <s v="Weekday"/>
    <n v="0.26595744680851063"/>
    <n v="0.45481049562682213"/>
    <n v="7.2886297376093298E-2"/>
    <n v="3620"/>
    <s v="Autohaus Berlin"/>
  </r>
  <r>
    <s v="CUST_91"/>
    <x v="14"/>
    <x v="2"/>
    <s v="Friday"/>
    <s v="No"/>
    <x v="4"/>
    <x v="4"/>
    <s v="Berlin"/>
    <x v="0"/>
    <s v="i4"/>
    <s v="Petrol"/>
    <x v="1"/>
    <s v="36-50"/>
    <s v="High"/>
    <x v="1"/>
    <x v="0"/>
    <s v="Sales_3"/>
    <n v="278"/>
    <n v="135"/>
    <n v="101"/>
    <n v="39"/>
    <s v="28.89"/>
    <n v="65387"/>
    <s v="4.75"/>
    <n v="48597"/>
    <n v="2550093"/>
    <n v="654810"/>
    <s v="Feb"/>
    <n v="2"/>
    <n v="2026"/>
    <s v="Weekday"/>
    <n v="0.38613861386138615"/>
    <n v="0.48561151079136688"/>
    <n v="0.14028776978417265"/>
    <n v="16790"/>
    <s v="Autohaus Berlin"/>
  </r>
  <r>
    <s v="CUST_92"/>
    <x v="0"/>
    <x v="0"/>
    <s v="Monday"/>
    <s v="No"/>
    <x v="7"/>
    <x v="7"/>
    <s v="Bavaria"/>
    <x v="2"/>
    <s v="Q3"/>
    <s v="Hybrid"/>
    <x v="0"/>
    <s v="50+"/>
    <s v="Medium"/>
    <x v="1"/>
    <x v="3"/>
    <s v="Sales_7"/>
    <n v="307"/>
    <n v="166"/>
    <n v="115"/>
    <n v="35"/>
    <s v="21.08"/>
    <n v="54775"/>
    <s v="4.08"/>
    <n v="42547"/>
    <n v="1917125"/>
    <n v="427980"/>
    <s v="Feb"/>
    <n v="2"/>
    <n v="2026"/>
    <s v="Weekday"/>
    <n v="0.30434782608695654"/>
    <n v="0.54071661237785018"/>
    <n v="0.11400651465798045"/>
    <n v="12228"/>
    <s v="Bavaria Motors"/>
  </r>
  <r>
    <s v="CUST_93"/>
    <x v="0"/>
    <x v="0"/>
    <s v="Monday"/>
    <s v="No"/>
    <x v="8"/>
    <x v="8"/>
    <s v="Baden-WÃ¼rttemberg"/>
    <x v="2"/>
    <s v="e-tron"/>
    <s v="Petrol"/>
    <x v="0"/>
    <s v="26-35"/>
    <s v="Medium"/>
    <x v="1"/>
    <x v="0"/>
    <s v="Sales_12"/>
    <n v="254"/>
    <n v="131"/>
    <n v="93"/>
    <n v="27"/>
    <s v="20.61"/>
    <n v="48239"/>
    <s v="6.88"/>
    <n v="39398"/>
    <n v="1302453"/>
    <n v="238707"/>
    <s v="Feb"/>
    <n v="2"/>
    <n v="2026"/>
    <s v="Weekday"/>
    <n v="0.29032258064516131"/>
    <n v="0.51574803149606296"/>
    <n v="0.1062992125984252"/>
    <n v="8841"/>
    <s v="Stuttgart Auto Center"/>
  </r>
  <r>
    <s v="CUST_94"/>
    <x v="5"/>
    <x v="3"/>
    <s v="Saturday"/>
    <s v="Yes"/>
    <x v="9"/>
    <x v="9"/>
    <s v="NRW"/>
    <x v="3"/>
    <s v="GLC"/>
    <s v="Hybrid"/>
    <x v="0"/>
    <s v="26-35"/>
    <s v="High"/>
    <x v="0"/>
    <x v="3"/>
    <s v="Sales_16"/>
    <n v="218"/>
    <n v="120"/>
    <n v="91"/>
    <n v="27"/>
    <s v="22.5"/>
    <n v="68680"/>
    <s v="2.9"/>
    <n v="49225"/>
    <n v="1854360"/>
    <n v="525285"/>
    <s v="Feb"/>
    <n v="2"/>
    <n v="2026"/>
    <s v="Weekend"/>
    <n v="0.2967032967032967"/>
    <n v="0.55045871559633031"/>
    <n v="0.12385321100917432"/>
    <n v="19455"/>
    <s v="Ruhr Auto Plaza"/>
  </r>
  <r>
    <s v="CUST_95"/>
    <x v="3"/>
    <x v="1"/>
    <s v="Sunday"/>
    <s v="Yes"/>
    <x v="2"/>
    <x v="2"/>
    <s v="Lower Saxony"/>
    <x v="1"/>
    <s v="Grandland"/>
    <s v="Electric"/>
    <x v="0"/>
    <s v="36-50"/>
    <s v="Medium"/>
    <x v="0"/>
    <x v="1"/>
    <s v="Sales_19"/>
    <n v="377"/>
    <n v="187"/>
    <n v="128"/>
    <n v="31"/>
    <s v="16.58"/>
    <n v="22912"/>
    <s v="13.08"/>
    <n v="20431"/>
    <n v="710272"/>
    <n v="76911"/>
    <s v="Feb"/>
    <n v="2"/>
    <n v="2026"/>
    <s v="Weekend"/>
    <n v="0.2421875"/>
    <n v="0.49602122015915118"/>
    <n v="8.2228116710875335E-2"/>
    <n v="2481"/>
    <s v="Hannover Cars"/>
  </r>
  <r>
    <s v="CUST_96"/>
    <x v="7"/>
    <x v="3"/>
    <s v="Monday"/>
    <s v="No"/>
    <x v="1"/>
    <x v="1"/>
    <s v="NRW"/>
    <x v="2"/>
    <s v="Q3"/>
    <s v="Petrol"/>
    <x v="0"/>
    <s v="18-25"/>
    <s v="Low"/>
    <x v="0"/>
    <x v="0"/>
    <s v="Sales_5"/>
    <n v="320"/>
    <n v="168"/>
    <n v="109"/>
    <n v="40"/>
    <s v="23.81"/>
    <n v="53834"/>
    <s v="3.86"/>
    <n v="43853"/>
    <n v="2153360"/>
    <n v="399240"/>
    <s v="Feb"/>
    <n v="2"/>
    <n v="2026"/>
    <s v="Weekday"/>
    <n v="0.3669724770642202"/>
    <n v="0.52500000000000002"/>
    <n v="0.125"/>
    <n v="9981"/>
    <s v="Rhein Auto Group"/>
  </r>
  <r>
    <s v="CUST_97"/>
    <x v="11"/>
    <x v="0"/>
    <s v="Wednesday"/>
    <s v="No"/>
    <x v="3"/>
    <x v="3"/>
    <s v="Saxony"/>
    <x v="0"/>
    <s v="X5"/>
    <s v="Diesel"/>
    <x v="0"/>
    <s v="26-35"/>
    <s v="Low"/>
    <x v="1"/>
    <x v="3"/>
    <s v="Sales_6"/>
    <n v="151"/>
    <n v="84"/>
    <n v="57"/>
    <n v="23"/>
    <s v="27.38"/>
    <n v="54243"/>
    <s v="5.11"/>
    <n v="41244"/>
    <n v="1247589"/>
    <n v="298977"/>
    <s v="Feb"/>
    <n v="2"/>
    <n v="2026"/>
    <s v="Weekday"/>
    <n v="0.40350877192982454"/>
    <n v="0.55629139072847678"/>
    <n v="0.15231788079470199"/>
    <n v="12999"/>
    <s v="Saxon Wheels"/>
  </r>
  <r>
    <s v="CUST_98"/>
    <x v="0"/>
    <x v="0"/>
    <s v="Monday"/>
    <s v="No"/>
    <x v="6"/>
    <x v="6"/>
    <s v="Saxony"/>
    <x v="3"/>
    <s v="GLE"/>
    <s v="Electric"/>
    <x v="0"/>
    <s v="36-50"/>
    <s v="Low"/>
    <x v="0"/>
    <x v="1"/>
    <s v="Sales_5"/>
    <n v="254"/>
    <n v="149"/>
    <n v="116"/>
    <n v="35"/>
    <s v="23.49"/>
    <n v="58229"/>
    <s v="4.44"/>
    <n v="45699"/>
    <n v="2038015"/>
    <n v="438550"/>
    <s v="Feb"/>
    <n v="2"/>
    <n v="2026"/>
    <s v="Weekday"/>
    <n v="0.30172413793103448"/>
    <n v="0.58661417322834641"/>
    <n v="0.13779527559055119"/>
    <n v="12530"/>
    <s v="Leipzig Mobility"/>
  </r>
  <r>
    <s v="CUST_99"/>
    <x v="5"/>
    <x v="3"/>
    <s v="Saturday"/>
    <s v="Yes"/>
    <x v="6"/>
    <x v="6"/>
    <s v="Saxony"/>
    <x v="0"/>
    <s v="3 Series"/>
    <s v="Petrol"/>
    <x v="1"/>
    <s v="36-50"/>
    <s v="Low"/>
    <x v="0"/>
    <x v="2"/>
    <s v="Sales_15"/>
    <n v="153"/>
    <n v="70"/>
    <n v="48"/>
    <n v="19"/>
    <s v="27.14"/>
    <n v="61466"/>
    <s v="5.08"/>
    <n v="43522"/>
    <n v="1167854"/>
    <n v="340936"/>
    <s v="Feb"/>
    <n v="2"/>
    <n v="2026"/>
    <s v="Weekend"/>
    <n v="0.39583333333333331"/>
    <n v="0.45751633986928103"/>
    <n v="0.12418300653594772"/>
    <n v="17944"/>
    <s v="Leipzig Mobility"/>
  </r>
  <r>
    <s v="CUST_100"/>
    <x v="18"/>
    <x v="0"/>
    <s v="Saturday"/>
    <s v="Yes"/>
    <x v="6"/>
    <x v="6"/>
    <s v="Saxony"/>
    <x v="0"/>
    <s v="X3"/>
    <s v="Petrol"/>
    <x v="0"/>
    <s v="50+"/>
    <s v="Medium"/>
    <x v="0"/>
    <x v="2"/>
    <s v="Sales_10"/>
    <n v="163"/>
    <n v="77"/>
    <n v="57"/>
    <n v="24"/>
    <s v="31.17"/>
    <n v="53185"/>
    <s v="4.4"/>
    <n v="39680"/>
    <n v="1276440"/>
    <n v="324120"/>
    <s v="Feb"/>
    <n v="2"/>
    <n v="2026"/>
    <s v="Weekend"/>
    <n v="0.42105263157894735"/>
    <n v="0.47239263803680981"/>
    <n v="0.14723926380368099"/>
    <n v="13505"/>
    <s v="Leipzig Mobility"/>
  </r>
  <r>
    <s v="CUST_101"/>
    <x v="22"/>
    <x v="3"/>
    <s v="Tuesday"/>
    <s v="No"/>
    <x v="5"/>
    <x v="5"/>
    <s v="Hamburg"/>
    <x v="4"/>
    <s v="Tiguan"/>
    <s v="Hybrid"/>
    <x v="0"/>
    <s v="26-35"/>
    <s v="Medium"/>
    <x v="1"/>
    <x v="1"/>
    <s v="Sales_13"/>
    <n v="302"/>
    <n v="146"/>
    <n v="90"/>
    <n v="24"/>
    <s v="16.44"/>
    <n v="32108"/>
    <s v="10.89"/>
    <n v="27726"/>
    <n v="770592"/>
    <n v="105168"/>
    <s v="Feb"/>
    <n v="2"/>
    <n v="2026"/>
    <s v="Weekday"/>
    <n v="0.26666666666666666"/>
    <n v="0.48344370860927155"/>
    <n v="7.9470198675496692E-2"/>
    <n v="4382"/>
    <s v="Elbe Drive"/>
  </r>
  <r>
    <s v="CUST_102"/>
    <x v="8"/>
    <x v="3"/>
    <s v="Wednesday"/>
    <s v="No"/>
    <x v="8"/>
    <x v="8"/>
    <s v="Baden-WÃ¼rttemberg"/>
    <x v="0"/>
    <s v="5 Series"/>
    <s v="Electric"/>
    <x v="1"/>
    <s v="50+"/>
    <s v="High"/>
    <x v="0"/>
    <x v="2"/>
    <s v="Sales_17"/>
    <n v="212"/>
    <n v="106"/>
    <n v="83"/>
    <n v="36"/>
    <s v="33.96"/>
    <n v="65982"/>
    <s v="3.94"/>
    <n v="50275"/>
    <n v="2375352"/>
    <n v="565452"/>
    <s v="Feb"/>
    <n v="2"/>
    <n v="2026"/>
    <s v="Weekday"/>
    <n v="0.43373493975903615"/>
    <n v="0.5"/>
    <n v="0.16981132075471697"/>
    <n v="15707"/>
    <s v="Stuttgart Auto Center"/>
  </r>
  <r>
    <s v="CUST_103"/>
    <x v="7"/>
    <x v="3"/>
    <s v="Monday"/>
    <s v="No"/>
    <x v="8"/>
    <x v="8"/>
    <s v="Baden-WÃ¼rttemberg"/>
    <x v="4"/>
    <s v="Golf"/>
    <s v="Hybrid"/>
    <x v="2"/>
    <s v="36-50"/>
    <s v="Low"/>
    <x v="1"/>
    <x v="1"/>
    <s v="Sales_7"/>
    <n v="434"/>
    <n v="218"/>
    <n v="153"/>
    <n v="39"/>
    <s v="17.89"/>
    <n v="31378"/>
    <s v="10.34"/>
    <n v="27805"/>
    <n v="1223742"/>
    <n v="139347"/>
    <s v="Feb"/>
    <n v="2"/>
    <n v="2026"/>
    <s v="Weekday"/>
    <n v="0.25490196078431371"/>
    <n v="0.50230414746543783"/>
    <n v="8.9861751152073732E-2"/>
    <n v="3573"/>
    <s v="Stuttgart Auto Center"/>
  </r>
  <r>
    <s v="CUST_104"/>
    <x v="13"/>
    <x v="0"/>
    <s v="Friday"/>
    <s v="No"/>
    <x v="2"/>
    <x v="2"/>
    <s v="Lower Saxony"/>
    <x v="2"/>
    <s v="A3"/>
    <s v="Petrol"/>
    <x v="2"/>
    <s v="50+"/>
    <s v="Low"/>
    <x v="0"/>
    <x v="1"/>
    <s v="Sales_13"/>
    <n v="292"/>
    <n v="141"/>
    <n v="93"/>
    <n v="32"/>
    <s v="22.7"/>
    <n v="55173"/>
    <s v="3.54"/>
    <n v="41928"/>
    <n v="1765536"/>
    <n v="423840"/>
    <s v="Feb"/>
    <n v="2"/>
    <n v="2026"/>
    <s v="Weekday"/>
    <n v="0.34408602150537637"/>
    <n v="0.48287671232876711"/>
    <n v="0.1095890410958904"/>
    <n v="13245"/>
    <s v="Hannover Cars"/>
  </r>
  <r>
    <s v="CUST_105"/>
    <x v="16"/>
    <x v="1"/>
    <s v="Tuesday"/>
    <s v="No"/>
    <x v="7"/>
    <x v="7"/>
    <s v="Bavaria"/>
    <x v="1"/>
    <s v="Corsa"/>
    <s v="Hybrid"/>
    <x v="2"/>
    <s v="36-50"/>
    <s v="High"/>
    <x v="1"/>
    <x v="2"/>
    <s v="Sales_16"/>
    <n v="299"/>
    <n v="162"/>
    <n v="102"/>
    <n v="31"/>
    <s v="19.14"/>
    <n v="22202"/>
    <s v="7.98"/>
    <n v="19957"/>
    <n v="688262"/>
    <n v="69595"/>
    <s v="Feb"/>
    <n v="2"/>
    <n v="2026"/>
    <s v="Weekday"/>
    <n v="0.30392156862745096"/>
    <n v="0.5418060200668896"/>
    <n v="0.10367892976588629"/>
    <n v="2245"/>
    <s v="Bavaria Motors"/>
  </r>
  <r>
    <s v="CUST_106"/>
    <x v="2"/>
    <x v="2"/>
    <s v="Monday"/>
    <s v="No"/>
    <x v="9"/>
    <x v="9"/>
    <s v="NRW"/>
    <x v="0"/>
    <s v="3 Series"/>
    <s v="Petrol"/>
    <x v="1"/>
    <s v="26-35"/>
    <s v="High"/>
    <x v="0"/>
    <x v="1"/>
    <s v="Sales_8"/>
    <n v="172"/>
    <n v="88"/>
    <n v="71"/>
    <n v="25"/>
    <s v="28.41"/>
    <n v="60176"/>
    <s v="3.71"/>
    <n v="45542"/>
    <n v="1504400"/>
    <n v="365850"/>
    <s v="Feb"/>
    <n v="2"/>
    <n v="2026"/>
    <s v="Weekday"/>
    <n v="0.352112676056338"/>
    <n v="0.51162790697674421"/>
    <n v="0.14534883720930233"/>
    <n v="14634"/>
    <s v="Ruhr Auto Plaza"/>
  </r>
  <r>
    <s v="CUST_107"/>
    <x v="9"/>
    <x v="0"/>
    <s v="Sunday"/>
    <s v="Yes"/>
    <x v="6"/>
    <x v="6"/>
    <s v="Saxony"/>
    <x v="3"/>
    <s v="E-Class"/>
    <s v="Hybrid"/>
    <x v="1"/>
    <s v="36-50"/>
    <s v="High"/>
    <x v="0"/>
    <x v="0"/>
    <s v="Sales_19"/>
    <n v="231"/>
    <n v="117"/>
    <n v="84"/>
    <n v="26"/>
    <s v="22.22"/>
    <n v="49884"/>
    <s v="5.13"/>
    <n v="38225"/>
    <n v="1296984"/>
    <n v="303134"/>
    <s v="Feb"/>
    <n v="2"/>
    <n v="2026"/>
    <s v="Weekend"/>
    <n v="0.30952380952380953"/>
    <n v="0.50649350649350644"/>
    <n v="0.11255411255411256"/>
    <n v="11659"/>
    <s v="Leipzig Mobility"/>
  </r>
  <r>
    <s v="CUST_108"/>
    <x v="18"/>
    <x v="0"/>
    <s v="Saturday"/>
    <s v="Yes"/>
    <x v="0"/>
    <x v="0"/>
    <s v="Hesse"/>
    <x v="4"/>
    <s v="Passat"/>
    <s v="Hybrid"/>
    <x v="1"/>
    <s v="36-50"/>
    <s v="Medium"/>
    <x v="1"/>
    <x v="3"/>
    <s v="Sales_6"/>
    <n v="434"/>
    <n v="197"/>
    <n v="141"/>
    <n v="25"/>
    <s v="12.69"/>
    <n v="33894"/>
    <s v="7.53"/>
    <n v="29382"/>
    <n v="847350"/>
    <n v="112800"/>
    <s v="Feb"/>
    <n v="2"/>
    <n v="2026"/>
    <s v="Weekend"/>
    <n v="0.1773049645390071"/>
    <n v="0.45391705069124422"/>
    <n v="5.7603686635944701E-2"/>
    <n v="4512"/>
    <s v="Main Auto Hub"/>
  </r>
  <r>
    <s v="CUST_109"/>
    <x v="8"/>
    <x v="3"/>
    <s v="Wednesday"/>
    <s v="No"/>
    <x v="6"/>
    <x v="6"/>
    <s v="Saxony"/>
    <x v="2"/>
    <s v="Q3"/>
    <s v="Hybrid"/>
    <x v="0"/>
    <s v="26-35"/>
    <s v="Low"/>
    <x v="0"/>
    <x v="1"/>
    <s v="Sales_6"/>
    <n v="276"/>
    <n v="129"/>
    <n v="94"/>
    <n v="27"/>
    <s v="20.93"/>
    <n v="42368"/>
    <s v="3.82"/>
    <n v="32619"/>
    <n v="1143936"/>
    <n v="263223"/>
    <s v="Feb"/>
    <n v="2"/>
    <n v="2026"/>
    <s v="Weekday"/>
    <n v="0.28723404255319152"/>
    <n v="0.46739130434782611"/>
    <n v="9.7826086956521743E-2"/>
    <n v="9749"/>
    <s v="Leipzig Mobility"/>
  </r>
  <r>
    <s v="CUST_110"/>
    <x v="13"/>
    <x v="0"/>
    <s v="Friday"/>
    <s v="No"/>
    <x v="1"/>
    <x v="1"/>
    <s v="NRW"/>
    <x v="3"/>
    <s v="EQE"/>
    <s v="Petrol"/>
    <x v="1"/>
    <s v="18-25"/>
    <s v="High"/>
    <x v="1"/>
    <x v="3"/>
    <s v="Sales_4"/>
    <n v="245"/>
    <n v="134"/>
    <n v="92"/>
    <n v="30"/>
    <s v="22.39"/>
    <n v="54959"/>
    <s v="5.37"/>
    <n v="39486"/>
    <n v="1648770"/>
    <n v="464190"/>
    <s v="Feb"/>
    <n v="2"/>
    <n v="2026"/>
    <s v="Weekday"/>
    <n v="0.32608695652173914"/>
    <n v="0.54693877551020409"/>
    <n v="0.12244897959183673"/>
    <n v="15473"/>
    <s v="Rhein Auto Group"/>
  </r>
  <r>
    <s v="CUST_111"/>
    <x v="7"/>
    <x v="3"/>
    <s v="Monday"/>
    <s v="No"/>
    <x v="8"/>
    <x v="8"/>
    <s v="Baden-WÃ¼rttemberg"/>
    <x v="3"/>
    <s v="C-Class"/>
    <s v="Electric"/>
    <x v="1"/>
    <s v="50+"/>
    <s v="Medium"/>
    <x v="0"/>
    <x v="1"/>
    <s v="Sales_2"/>
    <n v="149"/>
    <n v="80"/>
    <n v="58"/>
    <n v="20"/>
    <s v="25.0"/>
    <n v="65644"/>
    <s v="5.68"/>
    <n v="49327"/>
    <n v="1312880"/>
    <n v="326340"/>
    <s v="Feb"/>
    <n v="2"/>
    <n v="2026"/>
    <s v="Weekday"/>
    <n v="0.34482758620689657"/>
    <n v="0.53691275167785235"/>
    <n v="0.13422818791946309"/>
    <n v="16317"/>
    <s v="Stuttgart Auto Center"/>
  </r>
  <r>
    <s v="CUST_112"/>
    <x v="0"/>
    <x v="0"/>
    <s v="Monday"/>
    <s v="No"/>
    <x v="2"/>
    <x v="2"/>
    <s v="Lower Saxony"/>
    <x v="1"/>
    <s v="Crossland"/>
    <s v="Hybrid"/>
    <x v="0"/>
    <s v="50+"/>
    <s v="High"/>
    <x v="1"/>
    <x v="0"/>
    <s v="Sales_12"/>
    <n v="281"/>
    <n v="129"/>
    <n v="82"/>
    <n v="19"/>
    <s v="14.73"/>
    <n v="20057"/>
    <s v="9.87"/>
    <n v="18636"/>
    <n v="381083"/>
    <n v="26999"/>
    <s v="Feb"/>
    <n v="2"/>
    <n v="2026"/>
    <s v="Weekday"/>
    <n v="0.23170731707317074"/>
    <n v="0.45907473309608543"/>
    <n v="6.7615658362989328E-2"/>
    <n v="1421"/>
    <s v="Hannover Cars"/>
  </r>
  <r>
    <s v="CUST_113"/>
    <x v="13"/>
    <x v="0"/>
    <s v="Friday"/>
    <s v="No"/>
    <x v="2"/>
    <x v="2"/>
    <s v="Lower Saxony"/>
    <x v="0"/>
    <s v="X5"/>
    <s v="Electric"/>
    <x v="0"/>
    <s v="26-35"/>
    <s v="Medium"/>
    <x v="0"/>
    <x v="0"/>
    <s v="Sales_20"/>
    <n v="261"/>
    <n v="141"/>
    <n v="103"/>
    <n v="36"/>
    <s v="25.53"/>
    <n v="58221"/>
    <s v="5.54"/>
    <n v="41256"/>
    <n v="2095956"/>
    <n v="610740"/>
    <s v="Feb"/>
    <n v="2"/>
    <n v="2026"/>
    <s v="Weekday"/>
    <n v="0.34951456310679613"/>
    <n v="0.54022988505747127"/>
    <n v="0.13793103448275862"/>
    <n v="16965"/>
    <s v="Hannover Cars"/>
  </r>
  <r>
    <s v="CUST_114"/>
    <x v="8"/>
    <x v="3"/>
    <s v="Wednesday"/>
    <s v="No"/>
    <x v="8"/>
    <x v="8"/>
    <s v="Baden-WÃ¼rttemberg"/>
    <x v="1"/>
    <s v="Grandland"/>
    <s v="Electric"/>
    <x v="0"/>
    <s v="26-35"/>
    <s v="High"/>
    <x v="1"/>
    <x v="1"/>
    <s v="Sales_6"/>
    <n v="394"/>
    <n v="207"/>
    <n v="139"/>
    <n v="38"/>
    <s v="18.36"/>
    <n v="25558"/>
    <s v="10.34"/>
    <n v="23489"/>
    <n v="971204"/>
    <n v="78622"/>
    <s v="Feb"/>
    <n v="2"/>
    <n v="2026"/>
    <s v="Weekday"/>
    <n v="0.2733812949640288"/>
    <n v="0.52538071065989844"/>
    <n v="9.6446700507614211E-2"/>
    <n v="2069"/>
    <s v="Stuttgart Auto Center"/>
  </r>
  <r>
    <s v="CUST_115"/>
    <x v="19"/>
    <x v="1"/>
    <s v="Saturday"/>
    <s v="Yes"/>
    <x v="1"/>
    <x v="1"/>
    <s v="NRW"/>
    <x v="2"/>
    <s v="Q3"/>
    <s v="Petrol"/>
    <x v="0"/>
    <s v="36-50"/>
    <s v="High"/>
    <x v="1"/>
    <x v="0"/>
    <s v="Sales_12"/>
    <n v="161"/>
    <n v="87"/>
    <n v="67"/>
    <n v="18"/>
    <s v="20.69"/>
    <n v="55247"/>
    <s v="4.42"/>
    <n v="41944"/>
    <n v="994446"/>
    <n v="239454"/>
    <s v="Feb"/>
    <n v="2"/>
    <n v="2026"/>
    <s v="Weekend"/>
    <n v="0.26865671641791045"/>
    <n v="0.54037267080745344"/>
    <n v="0.11180124223602485"/>
    <n v="13303"/>
    <s v="Rhein Auto Group"/>
  </r>
  <r>
    <s v="CUST_116"/>
    <x v="16"/>
    <x v="1"/>
    <s v="Tuesday"/>
    <s v="No"/>
    <x v="4"/>
    <x v="4"/>
    <s v="Berlin"/>
    <x v="0"/>
    <s v="i4"/>
    <s v="Electric"/>
    <x v="1"/>
    <s v="18-25"/>
    <s v="High"/>
    <x v="0"/>
    <x v="3"/>
    <s v="Sales_5"/>
    <n v="192"/>
    <n v="118"/>
    <n v="88"/>
    <n v="35"/>
    <s v="29.66"/>
    <n v="49686"/>
    <s v="5.49"/>
    <n v="36875"/>
    <n v="1739010"/>
    <n v="448385"/>
    <s v="Feb"/>
    <n v="2"/>
    <n v="2026"/>
    <s v="Weekday"/>
    <n v="0.39772727272727271"/>
    <n v="0.61458333333333337"/>
    <n v="0.18229166666666666"/>
    <n v="12811"/>
    <s v="Autohaus Berlin"/>
  </r>
  <r>
    <s v="CUST_117"/>
    <x v="4"/>
    <x v="2"/>
    <s v="Wednesday"/>
    <s v="No"/>
    <x v="2"/>
    <x v="2"/>
    <s v="Lower Saxony"/>
    <x v="0"/>
    <s v="i4"/>
    <s v="Electric"/>
    <x v="1"/>
    <s v="26-35"/>
    <s v="High"/>
    <x v="0"/>
    <x v="3"/>
    <s v="Sales_11"/>
    <n v="157"/>
    <n v="87"/>
    <n v="62"/>
    <n v="24"/>
    <s v="27.59"/>
    <n v="61571"/>
    <s v="5.89"/>
    <n v="46897"/>
    <n v="1477704"/>
    <n v="352176"/>
    <s v="Feb"/>
    <n v="2"/>
    <n v="2026"/>
    <s v="Weekday"/>
    <n v="0.38709677419354838"/>
    <n v="0.55414012738853502"/>
    <n v="0.15286624203821655"/>
    <n v="14674"/>
    <s v="Hannover Cars"/>
  </r>
  <r>
    <s v="CUST_118"/>
    <x v="3"/>
    <x v="1"/>
    <s v="Sunday"/>
    <s v="Yes"/>
    <x v="7"/>
    <x v="7"/>
    <s v="Bavaria"/>
    <x v="0"/>
    <s v="X3"/>
    <s v="Hybrid"/>
    <x v="0"/>
    <s v="36-50"/>
    <s v="High"/>
    <x v="0"/>
    <x v="3"/>
    <s v="Sales_11"/>
    <n v="161"/>
    <n v="76"/>
    <n v="59"/>
    <n v="23"/>
    <s v="30.26"/>
    <n v="53541"/>
    <s v="5.63"/>
    <n v="39262"/>
    <n v="1231443"/>
    <n v="328417"/>
    <s v="Feb"/>
    <n v="2"/>
    <n v="2026"/>
    <s v="Weekend"/>
    <n v="0.38983050847457629"/>
    <n v="0.47204968944099379"/>
    <n v="0.14285714285714285"/>
    <n v="14279"/>
    <s v="Bavaria Motors"/>
  </r>
  <r>
    <s v="CUST_119"/>
    <x v="21"/>
    <x v="0"/>
    <s v="Tuesday"/>
    <s v="No"/>
    <x v="2"/>
    <x v="2"/>
    <s v="Lower Saxony"/>
    <x v="0"/>
    <s v="5 Series"/>
    <s v="Electric"/>
    <x v="1"/>
    <s v="50+"/>
    <s v="Low"/>
    <x v="1"/>
    <x v="3"/>
    <s v="Sales_19"/>
    <n v="214"/>
    <n v="108"/>
    <n v="74"/>
    <n v="26"/>
    <s v="24.07"/>
    <n v="64448"/>
    <s v="3.94"/>
    <n v="47275"/>
    <n v="1675648"/>
    <n v="446498"/>
    <s v="Feb"/>
    <n v="2"/>
    <n v="2026"/>
    <s v="Weekday"/>
    <n v="0.35135135135135137"/>
    <n v="0.50467289719626163"/>
    <n v="0.12149532710280374"/>
    <n v="17173"/>
    <s v="Hannover Cars"/>
  </r>
  <r>
    <s v="CUST_120"/>
    <x v="16"/>
    <x v="1"/>
    <s v="Tuesday"/>
    <s v="No"/>
    <x v="2"/>
    <x v="2"/>
    <s v="Lower Saxony"/>
    <x v="3"/>
    <s v="GLE"/>
    <s v="Hybrid"/>
    <x v="0"/>
    <s v="50+"/>
    <s v="Medium"/>
    <x v="1"/>
    <x v="2"/>
    <s v="Sales_16"/>
    <n v="219"/>
    <n v="104"/>
    <n v="78"/>
    <n v="29"/>
    <s v="27.88"/>
    <n v="64607"/>
    <s v="4.08"/>
    <n v="49493"/>
    <n v="1873603"/>
    <n v="438306"/>
    <s v="Feb"/>
    <n v="2"/>
    <n v="2026"/>
    <s v="Weekday"/>
    <n v="0.37179487179487181"/>
    <n v="0.47488584474885842"/>
    <n v="0.13242009132420091"/>
    <n v="15114"/>
    <s v="Hannover Cars"/>
  </r>
  <r>
    <s v="CUST_121"/>
    <x v="9"/>
    <x v="0"/>
    <s v="Sunday"/>
    <s v="Yes"/>
    <x v="2"/>
    <x v="2"/>
    <s v="Lower Saxony"/>
    <x v="1"/>
    <s v="Crossland"/>
    <s v="Hybrid"/>
    <x v="0"/>
    <s v="50+"/>
    <s v="High"/>
    <x v="1"/>
    <x v="0"/>
    <s v="Sales_13"/>
    <n v="238"/>
    <n v="133"/>
    <n v="79"/>
    <n v="14"/>
    <s v="10.53"/>
    <n v="24274"/>
    <s v="11.83"/>
    <n v="22275"/>
    <n v="339836"/>
    <n v="27986"/>
    <s v="Feb"/>
    <n v="2"/>
    <n v="2026"/>
    <s v="Weekend"/>
    <n v="0.17721518987341772"/>
    <n v="0.55882352941176472"/>
    <n v="5.8823529411764705E-2"/>
    <n v="1999"/>
    <s v="Hannover Cars"/>
  </r>
  <r>
    <s v="CUST_122"/>
    <x v="18"/>
    <x v="0"/>
    <s v="Saturday"/>
    <s v="Yes"/>
    <x v="6"/>
    <x v="6"/>
    <s v="Saxony"/>
    <x v="0"/>
    <s v="5 Series"/>
    <s v="Petrol"/>
    <x v="1"/>
    <s v="26-35"/>
    <s v="High"/>
    <x v="0"/>
    <x v="1"/>
    <s v="Sales_15"/>
    <n v="222"/>
    <n v="132"/>
    <n v="104"/>
    <n v="39"/>
    <s v="29.55"/>
    <n v="62702"/>
    <s v="5.63"/>
    <n v="48529"/>
    <n v="2445378"/>
    <n v="552747"/>
    <s v="Feb"/>
    <n v="2"/>
    <n v="2026"/>
    <s v="Weekend"/>
    <n v="0.375"/>
    <n v="0.59459459459459463"/>
    <n v="0.17567567567567569"/>
    <n v="14173"/>
    <s v="Leipzig Mobility"/>
  </r>
  <r>
    <s v="CUST_123"/>
    <x v="17"/>
    <x v="2"/>
    <s v="Sunday"/>
    <s v="Yes"/>
    <x v="4"/>
    <x v="4"/>
    <s v="Berlin"/>
    <x v="2"/>
    <s v="A4"/>
    <s v="Petrol"/>
    <x v="1"/>
    <s v="36-50"/>
    <s v="Low"/>
    <x v="1"/>
    <x v="0"/>
    <s v="Sales_3"/>
    <n v="235"/>
    <n v="129"/>
    <n v="97"/>
    <n v="25"/>
    <s v="19.38"/>
    <n v="50099"/>
    <s v="5.41"/>
    <n v="38418"/>
    <n v="1252475"/>
    <n v="292025"/>
    <s v="Feb"/>
    <n v="2"/>
    <n v="2026"/>
    <s v="Weekend"/>
    <n v="0.25773195876288657"/>
    <n v="0.54893617021276597"/>
    <n v="0.10638297872340426"/>
    <n v="11681"/>
    <s v="Autohaus Berlin"/>
  </r>
  <r>
    <s v="CUST_124"/>
    <x v="14"/>
    <x v="2"/>
    <s v="Friday"/>
    <s v="No"/>
    <x v="2"/>
    <x v="2"/>
    <s v="Lower Saxony"/>
    <x v="1"/>
    <s v="Mokka"/>
    <s v="Diesel"/>
    <x v="0"/>
    <s v="18-25"/>
    <s v="Medium"/>
    <x v="1"/>
    <x v="3"/>
    <s v="Sales_20"/>
    <n v="278"/>
    <n v="119"/>
    <n v="68"/>
    <n v="19"/>
    <s v="15.97"/>
    <n v="23012"/>
    <s v="9.63"/>
    <n v="20685"/>
    <n v="437228"/>
    <n v="44213"/>
    <s v="Feb"/>
    <n v="2"/>
    <n v="2026"/>
    <s v="Weekday"/>
    <n v="0.27941176470588236"/>
    <n v="0.42805755395683454"/>
    <n v="6.83453237410072E-2"/>
    <n v="2327"/>
    <s v="Hannover Cars"/>
  </r>
  <r>
    <s v="CUST_125"/>
    <x v="26"/>
    <x v="1"/>
    <s v="Friday"/>
    <s v="No"/>
    <x v="7"/>
    <x v="7"/>
    <s v="Bavaria"/>
    <x v="4"/>
    <s v="Tiguan"/>
    <s v="Hybrid"/>
    <x v="0"/>
    <s v="50+"/>
    <s v="High"/>
    <x v="0"/>
    <x v="3"/>
    <s v="Sales_16"/>
    <n v="354"/>
    <n v="170"/>
    <n v="104"/>
    <n v="31"/>
    <s v="18.24"/>
    <n v="31341"/>
    <s v="6.35"/>
    <n v="27168"/>
    <n v="971571"/>
    <n v="129363"/>
    <s v="Feb"/>
    <n v="2"/>
    <n v="2026"/>
    <s v="Weekday"/>
    <n v="0.29807692307692307"/>
    <n v="0.48022598870056499"/>
    <n v="8.7570621468926552E-2"/>
    <n v="4173"/>
    <s v="Bavaria Motors"/>
  </r>
  <r>
    <s v="CUST_126"/>
    <x v="3"/>
    <x v="1"/>
    <s v="Sunday"/>
    <s v="Yes"/>
    <x v="9"/>
    <x v="9"/>
    <s v="NRW"/>
    <x v="2"/>
    <s v="Q3"/>
    <s v="Electric"/>
    <x v="0"/>
    <s v="26-35"/>
    <s v="Low"/>
    <x v="1"/>
    <x v="2"/>
    <s v="Sales_2"/>
    <n v="195"/>
    <n v="108"/>
    <n v="71"/>
    <n v="24"/>
    <s v="22.22"/>
    <n v="43476"/>
    <s v="4.93"/>
    <n v="34850"/>
    <n v="1043424"/>
    <n v="207024"/>
    <s v="Feb"/>
    <n v="2"/>
    <n v="2026"/>
    <s v="Weekend"/>
    <n v="0.3380281690140845"/>
    <n v="0.55384615384615388"/>
    <n v="0.12307692307692308"/>
    <n v="8626"/>
    <s v="Ruhr Auto Plaza"/>
  </r>
  <r>
    <s v="CUST_127"/>
    <x v="2"/>
    <x v="2"/>
    <s v="Monday"/>
    <s v="No"/>
    <x v="5"/>
    <x v="5"/>
    <s v="Hamburg"/>
    <x v="4"/>
    <s v="Tiguan"/>
    <s v="Electric"/>
    <x v="0"/>
    <s v="18-25"/>
    <s v="Medium"/>
    <x v="1"/>
    <x v="3"/>
    <s v="Sales_17"/>
    <n v="380"/>
    <n v="155"/>
    <n v="106"/>
    <n v="27"/>
    <s v="17.42"/>
    <n v="28492"/>
    <s v="10.31"/>
    <n v="25822"/>
    <n v="769284"/>
    <n v="72090"/>
    <s v="Feb"/>
    <n v="2"/>
    <n v="2026"/>
    <s v="Weekday"/>
    <n v="0.25471698113207547"/>
    <n v="0.40789473684210525"/>
    <n v="7.1052631578947367E-2"/>
    <n v="2670"/>
    <s v="Elbe Drive"/>
  </r>
  <r>
    <s v="CUST_128"/>
    <x v="26"/>
    <x v="1"/>
    <s v="Friday"/>
    <s v="No"/>
    <x v="2"/>
    <x v="2"/>
    <s v="Lower Saxony"/>
    <x v="0"/>
    <s v="i4"/>
    <s v="Electric"/>
    <x v="1"/>
    <s v="36-50"/>
    <s v="Low"/>
    <x v="0"/>
    <x v="1"/>
    <s v="Sales_11"/>
    <n v="230"/>
    <n v="113"/>
    <n v="87"/>
    <n v="32"/>
    <s v="28.32"/>
    <n v="58906"/>
    <s v="3.5"/>
    <n v="43605"/>
    <n v="1884992"/>
    <n v="489632"/>
    <s v="Feb"/>
    <n v="2"/>
    <n v="2026"/>
    <s v="Weekday"/>
    <n v="0.36781609195402298"/>
    <n v="0.49130434782608695"/>
    <n v="0.1391304347826087"/>
    <n v="15301"/>
    <s v="Hannover Cars"/>
  </r>
  <r>
    <s v="CUST_129"/>
    <x v="12"/>
    <x v="3"/>
    <s v="Thursday"/>
    <s v="No"/>
    <x v="0"/>
    <x v="0"/>
    <s v="Hesse"/>
    <x v="1"/>
    <s v="Astra"/>
    <s v="Diesel"/>
    <x v="2"/>
    <s v="36-50"/>
    <s v="Low"/>
    <x v="1"/>
    <x v="2"/>
    <s v="Sales_16"/>
    <n v="399"/>
    <n v="221"/>
    <n v="140"/>
    <n v="42"/>
    <s v="19.0"/>
    <n v="22564"/>
    <s v="8.16"/>
    <n v="20763"/>
    <n v="947688"/>
    <n v="75642"/>
    <s v="Feb"/>
    <n v="2"/>
    <n v="2026"/>
    <s v="Weekday"/>
    <n v="0.3"/>
    <n v="0.55388471177944865"/>
    <n v="0.10526315789473684"/>
    <n v="1801"/>
    <s v="Main Auto Hub"/>
  </r>
  <r>
    <s v="CUST_130"/>
    <x v="26"/>
    <x v="1"/>
    <s v="Friday"/>
    <s v="No"/>
    <x v="5"/>
    <x v="5"/>
    <s v="Hamburg"/>
    <x v="4"/>
    <s v="T-Roc"/>
    <s v="Petrol"/>
    <x v="0"/>
    <s v="18-25"/>
    <s v="High"/>
    <x v="1"/>
    <x v="2"/>
    <s v="Sales_15"/>
    <n v="437"/>
    <n v="177"/>
    <n v="113"/>
    <n v="35"/>
    <s v="19.77"/>
    <n v="27327"/>
    <s v="9.37"/>
    <n v="23952"/>
    <n v="956445"/>
    <n v="118125"/>
    <s v="Feb"/>
    <n v="2"/>
    <n v="2026"/>
    <s v="Weekday"/>
    <n v="0.30973451327433627"/>
    <n v="0.40503432494279173"/>
    <n v="8.0091533180778038E-2"/>
    <n v="3375"/>
    <s v="Elbe Drive"/>
  </r>
  <r>
    <s v="CUST_131"/>
    <x v="8"/>
    <x v="3"/>
    <s v="Wednesday"/>
    <s v="No"/>
    <x v="8"/>
    <x v="8"/>
    <s v="Baden-WÃ¼rttemberg"/>
    <x v="4"/>
    <s v="Passat"/>
    <s v="Electric"/>
    <x v="1"/>
    <s v="26-35"/>
    <s v="Low"/>
    <x v="0"/>
    <x v="1"/>
    <s v="Sales_1"/>
    <n v="424"/>
    <n v="210"/>
    <n v="123"/>
    <n v="41"/>
    <s v="19.52"/>
    <n v="29049"/>
    <s v="9.64"/>
    <n v="25370"/>
    <n v="1191009"/>
    <n v="150839"/>
    <s v="Feb"/>
    <n v="2"/>
    <n v="2026"/>
    <s v="Weekday"/>
    <n v="0.33333333333333331"/>
    <n v="0.49528301886792453"/>
    <n v="9.6698113207547176E-2"/>
    <n v="3679"/>
    <s v="Stuttgart Auto Center"/>
  </r>
  <r>
    <s v="CUST_132"/>
    <x v="25"/>
    <x v="3"/>
    <s v="Friday"/>
    <s v="No"/>
    <x v="1"/>
    <x v="1"/>
    <s v="NRW"/>
    <x v="3"/>
    <s v="GLE"/>
    <s v="Diesel"/>
    <x v="0"/>
    <s v="50+"/>
    <s v="Medium"/>
    <x v="1"/>
    <x v="0"/>
    <s v="Sales_2"/>
    <n v="227"/>
    <n v="125"/>
    <n v="87"/>
    <n v="26"/>
    <s v="20.8"/>
    <n v="69662"/>
    <s v="5.13"/>
    <n v="52963"/>
    <n v="1811212"/>
    <n v="434174"/>
    <s v="Feb"/>
    <n v="2"/>
    <n v="2026"/>
    <s v="Weekday"/>
    <n v="0.2988505747126437"/>
    <n v="0.5506607929515418"/>
    <n v="0.11453744493392071"/>
    <n v="16699"/>
    <s v="Rhein Auto Group"/>
  </r>
  <r>
    <s v="CUST_133"/>
    <x v="9"/>
    <x v="0"/>
    <s v="Sunday"/>
    <s v="Yes"/>
    <x v="3"/>
    <x v="3"/>
    <s v="Saxony"/>
    <x v="3"/>
    <s v="GLC"/>
    <s v="Diesel"/>
    <x v="0"/>
    <s v="18-25"/>
    <s v="Medium"/>
    <x v="0"/>
    <x v="3"/>
    <s v="Sales_19"/>
    <n v="180"/>
    <n v="102"/>
    <n v="81"/>
    <n v="25"/>
    <s v="24.51"/>
    <n v="64828"/>
    <s v="5.96"/>
    <n v="47032"/>
    <n v="1620700"/>
    <n v="444900"/>
    <s v="Feb"/>
    <n v="2"/>
    <n v="2026"/>
    <s v="Weekend"/>
    <n v="0.30864197530864196"/>
    <n v="0.56666666666666665"/>
    <n v="0.1388888888888889"/>
    <n v="17796"/>
    <s v="Saxon Wheels"/>
  </r>
  <r>
    <s v="CUST_134"/>
    <x v="16"/>
    <x v="1"/>
    <s v="Tuesday"/>
    <s v="No"/>
    <x v="6"/>
    <x v="6"/>
    <s v="Saxony"/>
    <x v="0"/>
    <s v="i4"/>
    <s v="Hybrid"/>
    <x v="1"/>
    <s v="18-25"/>
    <s v="Medium"/>
    <x v="1"/>
    <x v="2"/>
    <s v="Sales_1"/>
    <n v="196"/>
    <n v="110"/>
    <n v="80"/>
    <n v="33"/>
    <s v="30.0"/>
    <n v="57968"/>
    <s v="2.38"/>
    <n v="43912"/>
    <n v="1912944"/>
    <n v="463848"/>
    <s v="Feb"/>
    <n v="2"/>
    <n v="2026"/>
    <s v="Weekday"/>
    <n v="0.41249999999999998"/>
    <n v="0.56122448979591832"/>
    <n v="0.1683673469387755"/>
    <n v="14056"/>
    <s v="Leipzig Mobility"/>
  </r>
  <r>
    <s v="CUST_135"/>
    <x v="2"/>
    <x v="2"/>
    <s v="Monday"/>
    <s v="No"/>
    <x v="7"/>
    <x v="7"/>
    <s v="Bavaria"/>
    <x v="1"/>
    <s v="Grandland"/>
    <s v="Hybrid"/>
    <x v="0"/>
    <s v="36-50"/>
    <s v="High"/>
    <x v="1"/>
    <x v="0"/>
    <s v="Sales_8"/>
    <n v="415"/>
    <n v="159"/>
    <n v="105"/>
    <n v="22"/>
    <s v="13.84"/>
    <n v="24062"/>
    <s v="13.42"/>
    <n v="21922"/>
    <n v="529364"/>
    <n v="47080"/>
    <s v="Feb"/>
    <n v="2"/>
    <n v="2026"/>
    <s v="Weekday"/>
    <n v="0.20952380952380953"/>
    <n v="0.38313253012048193"/>
    <n v="5.3012048192771083E-2"/>
    <n v="2140"/>
    <s v="Bavaria Motors"/>
  </r>
  <r>
    <s v="CUST_136"/>
    <x v="11"/>
    <x v="0"/>
    <s v="Wednesday"/>
    <s v="No"/>
    <x v="4"/>
    <x v="4"/>
    <s v="Berlin"/>
    <x v="2"/>
    <s v="e-tron"/>
    <s v="Hybrid"/>
    <x v="0"/>
    <s v="50+"/>
    <s v="Low"/>
    <x v="1"/>
    <x v="1"/>
    <s v="Sales_5"/>
    <n v="216"/>
    <n v="118"/>
    <n v="88"/>
    <n v="26"/>
    <s v="22.03"/>
    <n v="53262"/>
    <s v="5.6"/>
    <n v="43190"/>
    <n v="1384812"/>
    <n v="261872"/>
    <s v="Feb"/>
    <n v="2"/>
    <n v="2026"/>
    <s v="Weekday"/>
    <n v="0.29545454545454547"/>
    <n v="0.54629629629629628"/>
    <n v="0.12037037037037036"/>
    <n v="10072"/>
    <s v="Autohaus Berlin"/>
  </r>
  <r>
    <s v="CUST_137"/>
    <x v="17"/>
    <x v="2"/>
    <s v="Sunday"/>
    <s v="Yes"/>
    <x v="7"/>
    <x v="7"/>
    <s v="Bavaria"/>
    <x v="1"/>
    <s v="Grandland"/>
    <s v="Diesel"/>
    <x v="0"/>
    <s v="26-35"/>
    <s v="High"/>
    <x v="1"/>
    <x v="0"/>
    <s v="Sales_2"/>
    <n v="228"/>
    <n v="95"/>
    <n v="59"/>
    <n v="17"/>
    <s v="17.89"/>
    <n v="25808"/>
    <s v="7.79"/>
    <n v="23699"/>
    <n v="438736"/>
    <n v="35853"/>
    <s v="Feb"/>
    <n v="2"/>
    <n v="2026"/>
    <s v="Weekend"/>
    <n v="0.28813559322033899"/>
    <n v="0.41666666666666669"/>
    <n v="7.4561403508771926E-2"/>
    <n v="2109"/>
    <s v="Bavaria Motors"/>
  </r>
  <r>
    <s v="CUST_138"/>
    <x v="9"/>
    <x v="0"/>
    <s v="Sunday"/>
    <s v="Yes"/>
    <x v="7"/>
    <x v="7"/>
    <s v="Bavaria"/>
    <x v="2"/>
    <s v="A4"/>
    <s v="Diesel"/>
    <x v="1"/>
    <s v="50+"/>
    <s v="Medium"/>
    <x v="0"/>
    <x v="3"/>
    <s v="Sales_18"/>
    <n v="184"/>
    <n v="85"/>
    <n v="62"/>
    <n v="21"/>
    <s v="24.71"/>
    <n v="46638"/>
    <s v="3.43"/>
    <n v="35637"/>
    <n v="979398"/>
    <n v="231021"/>
    <s v="Feb"/>
    <n v="2"/>
    <n v="2026"/>
    <s v="Weekend"/>
    <n v="0.33870967741935482"/>
    <n v="0.46195652173913043"/>
    <n v="0.11413043478260869"/>
    <n v="11001"/>
    <s v="Bavaria Motors"/>
  </r>
  <r>
    <s v="CUST_139"/>
    <x v="2"/>
    <x v="2"/>
    <s v="Monday"/>
    <s v="No"/>
    <x v="6"/>
    <x v="6"/>
    <s v="Saxony"/>
    <x v="1"/>
    <s v="Corsa"/>
    <s v="Electric"/>
    <x v="2"/>
    <s v="26-35"/>
    <s v="Low"/>
    <x v="1"/>
    <x v="3"/>
    <s v="Sales_4"/>
    <n v="348"/>
    <n v="141"/>
    <n v="97"/>
    <n v="19"/>
    <s v="13.48"/>
    <n v="22108"/>
    <s v="9.43"/>
    <n v="20454"/>
    <n v="420052"/>
    <n v="31426"/>
    <s v="Feb"/>
    <n v="2"/>
    <n v="2026"/>
    <s v="Weekday"/>
    <n v="0.19587628865979381"/>
    <n v="0.40517241379310343"/>
    <n v="5.459770114942529E-2"/>
    <n v="1654"/>
    <s v="Leipzig Mobility"/>
  </r>
  <r>
    <s v="CUST_140"/>
    <x v="4"/>
    <x v="2"/>
    <s v="Wednesday"/>
    <s v="No"/>
    <x v="2"/>
    <x v="2"/>
    <s v="Lower Saxony"/>
    <x v="0"/>
    <s v="5 Series"/>
    <s v="Hybrid"/>
    <x v="1"/>
    <s v="36-50"/>
    <s v="Low"/>
    <x v="1"/>
    <x v="1"/>
    <s v="Sales_19"/>
    <n v="212"/>
    <n v="128"/>
    <n v="100"/>
    <n v="35"/>
    <s v="27.34"/>
    <n v="51497"/>
    <s v="2.36"/>
    <n v="39630"/>
    <n v="1802395"/>
    <n v="415345"/>
    <s v="Feb"/>
    <n v="2"/>
    <n v="2026"/>
    <s v="Weekday"/>
    <n v="0.35"/>
    <n v="0.60377358490566035"/>
    <n v="0.1650943396226415"/>
    <n v="11867"/>
    <s v="Hannover Cars"/>
  </r>
  <r>
    <s v="CUST_141"/>
    <x v="20"/>
    <x v="0"/>
    <s v="Thursday"/>
    <s v="No"/>
    <x v="6"/>
    <x v="6"/>
    <s v="Saxony"/>
    <x v="4"/>
    <s v="ID.4"/>
    <s v="Petrol"/>
    <x v="0"/>
    <s v="50+"/>
    <s v="Low"/>
    <x v="0"/>
    <x v="1"/>
    <s v="Sales_8"/>
    <n v="323"/>
    <n v="186"/>
    <n v="109"/>
    <n v="34"/>
    <s v="18.28"/>
    <n v="30274"/>
    <s v="6.41"/>
    <n v="26784"/>
    <n v="1029316"/>
    <n v="118660"/>
    <s v="Feb"/>
    <n v="2"/>
    <n v="2026"/>
    <s v="Weekday"/>
    <n v="0.31192660550458717"/>
    <n v="0.57585139318885448"/>
    <n v="0.10526315789473684"/>
    <n v="3490"/>
    <s v="Leipzig Mobility"/>
  </r>
  <r>
    <s v="CUST_142"/>
    <x v="20"/>
    <x v="0"/>
    <s v="Thursday"/>
    <s v="No"/>
    <x v="9"/>
    <x v="9"/>
    <s v="NRW"/>
    <x v="4"/>
    <s v="Passat"/>
    <s v="Electric"/>
    <x v="1"/>
    <s v="26-35"/>
    <s v="Low"/>
    <x v="1"/>
    <x v="0"/>
    <s v="Sales_8"/>
    <n v="470"/>
    <n v="231"/>
    <n v="143"/>
    <n v="30"/>
    <s v="12.99"/>
    <n v="28406"/>
    <s v="6.11"/>
    <n v="25714"/>
    <n v="852180"/>
    <n v="80760"/>
    <s v="Feb"/>
    <n v="2"/>
    <n v="2026"/>
    <s v="Weekday"/>
    <n v="0.20979020979020979"/>
    <n v="0.49148936170212765"/>
    <n v="6.3829787234042548E-2"/>
    <n v="2692"/>
    <s v="Ruhr Auto Plaza"/>
  </r>
  <r>
    <s v="CUST_143"/>
    <x v="18"/>
    <x v="0"/>
    <s v="Saturday"/>
    <s v="Yes"/>
    <x v="7"/>
    <x v="7"/>
    <s v="Bavaria"/>
    <x v="0"/>
    <s v="3 Series"/>
    <s v="Petrol"/>
    <x v="1"/>
    <s v="50+"/>
    <s v="High"/>
    <x v="1"/>
    <x v="1"/>
    <s v="Sales_14"/>
    <n v="195"/>
    <n v="108"/>
    <n v="76"/>
    <n v="32"/>
    <s v="29.63"/>
    <n v="52826"/>
    <s v="2.19"/>
    <n v="40883"/>
    <n v="1690432"/>
    <n v="382176"/>
    <s v="Feb"/>
    <n v="2"/>
    <n v="2026"/>
    <s v="Weekend"/>
    <n v="0.42105263157894735"/>
    <n v="0.55384615384615388"/>
    <n v="0.1641025641025641"/>
    <n v="11943"/>
    <s v="Bavaria Motors"/>
  </r>
  <r>
    <s v="CUST_144"/>
    <x v="15"/>
    <x v="2"/>
    <s v="Thursday"/>
    <s v="No"/>
    <x v="2"/>
    <x v="2"/>
    <s v="Lower Saxony"/>
    <x v="3"/>
    <s v="E-Class"/>
    <s v="Diesel"/>
    <x v="1"/>
    <s v="50+"/>
    <s v="Low"/>
    <x v="0"/>
    <x v="3"/>
    <s v="Sales_18"/>
    <n v="184"/>
    <n v="108"/>
    <n v="77"/>
    <n v="28"/>
    <s v="25.93"/>
    <n v="60101"/>
    <s v="5.05"/>
    <n v="45678"/>
    <n v="1682828"/>
    <n v="403844"/>
    <s v="Feb"/>
    <n v="2"/>
    <n v="2026"/>
    <s v="Weekday"/>
    <n v="0.36363636363636365"/>
    <n v="0.58695652173913049"/>
    <n v="0.15217391304347827"/>
    <n v="14423"/>
    <s v="Hannover Cars"/>
  </r>
  <r>
    <s v="CUST_145"/>
    <x v="25"/>
    <x v="3"/>
    <s v="Friday"/>
    <s v="No"/>
    <x v="4"/>
    <x v="4"/>
    <s v="Berlin"/>
    <x v="0"/>
    <s v="i4"/>
    <s v="Diesel"/>
    <x v="1"/>
    <s v="50+"/>
    <s v="Medium"/>
    <x v="0"/>
    <x v="3"/>
    <s v="Sales_13"/>
    <n v="227"/>
    <n v="135"/>
    <n v="109"/>
    <n v="42"/>
    <s v="31.11"/>
    <n v="57013"/>
    <s v="3.25"/>
    <n v="41560"/>
    <n v="2394546"/>
    <n v="649026"/>
    <s v="Feb"/>
    <n v="2"/>
    <n v="2026"/>
    <s v="Weekday"/>
    <n v="0.38532110091743121"/>
    <n v="0.59471365638766516"/>
    <n v="0.18502202643171806"/>
    <n v="15453"/>
    <s v="Autohaus Berlin"/>
  </r>
  <r>
    <s v="CUST_146"/>
    <x v="23"/>
    <x v="2"/>
    <s v="Tuesday"/>
    <s v="No"/>
    <x v="8"/>
    <x v="8"/>
    <s v="Baden-WÃ¼rttemberg"/>
    <x v="1"/>
    <s v="Mokka"/>
    <s v="Petrol"/>
    <x v="0"/>
    <s v="18-25"/>
    <s v="Low"/>
    <x v="1"/>
    <x v="1"/>
    <s v="Sales_13"/>
    <n v="354"/>
    <n v="197"/>
    <n v="112"/>
    <n v="34"/>
    <s v="17.26"/>
    <n v="24277"/>
    <s v="7.53"/>
    <n v="22254"/>
    <n v="825418"/>
    <n v="68782"/>
    <s v="Feb"/>
    <n v="2"/>
    <n v="2026"/>
    <s v="Weekday"/>
    <n v="0.30357142857142855"/>
    <n v="0.55649717514124297"/>
    <n v="9.6045197740112997E-2"/>
    <n v="2023"/>
    <s v="Stuttgart Auto Center"/>
  </r>
  <r>
    <s v="CUST_147"/>
    <x v="15"/>
    <x v="2"/>
    <s v="Thursday"/>
    <s v="No"/>
    <x v="4"/>
    <x v="4"/>
    <s v="Berlin"/>
    <x v="2"/>
    <s v="A4"/>
    <s v="Electric"/>
    <x v="1"/>
    <s v="26-35"/>
    <s v="High"/>
    <x v="0"/>
    <x v="2"/>
    <s v="Sales_1"/>
    <n v="277"/>
    <n v="176"/>
    <n v="124"/>
    <n v="45"/>
    <s v="25.57"/>
    <n v="42262"/>
    <s v="4.61"/>
    <n v="32816"/>
    <n v="1901790"/>
    <n v="425070"/>
    <s v="Feb"/>
    <n v="2"/>
    <n v="2026"/>
    <s v="Weekday"/>
    <n v="0.36290322580645162"/>
    <n v="0.63537906137184119"/>
    <n v="0.16245487364620939"/>
    <n v="9446"/>
    <s v="Autohaus Berlin"/>
  </r>
  <r>
    <s v="CUST_148"/>
    <x v="24"/>
    <x v="1"/>
    <s v="Thursday"/>
    <s v="No"/>
    <x v="7"/>
    <x v="7"/>
    <s v="Bavaria"/>
    <x v="2"/>
    <s v="Q3"/>
    <s v="Petrol"/>
    <x v="0"/>
    <s v="50+"/>
    <s v="Medium"/>
    <x v="0"/>
    <x v="1"/>
    <s v="Sales_20"/>
    <n v="229"/>
    <n v="142"/>
    <n v="98"/>
    <n v="35"/>
    <s v="24.65"/>
    <n v="47415"/>
    <s v="4.69"/>
    <n v="37177"/>
    <n v="1659525"/>
    <n v="358330"/>
    <s v="Feb"/>
    <n v="2"/>
    <n v="2026"/>
    <s v="Weekday"/>
    <n v="0.35714285714285715"/>
    <n v="0.62008733624454149"/>
    <n v="0.15283842794759825"/>
    <n v="10238"/>
    <s v="Bavaria Motors"/>
  </r>
  <r>
    <s v="CUST_149"/>
    <x v="3"/>
    <x v="1"/>
    <s v="Sunday"/>
    <s v="Yes"/>
    <x v="1"/>
    <x v="1"/>
    <s v="NRW"/>
    <x v="0"/>
    <s v="X3"/>
    <s v="Electric"/>
    <x v="0"/>
    <s v="50+"/>
    <s v="Medium"/>
    <x v="0"/>
    <x v="0"/>
    <s v="Sales_15"/>
    <n v="221"/>
    <n v="130"/>
    <n v="91"/>
    <n v="33"/>
    <s v="25.38"/>
    <n v="57183"/>
    <s v="2.1"/>
    <n v="44319"/>
    <n v="1887039"/>
    <n v="424512"/>
    <s v="Feb"/>
    <n v="2"/>
    <n v="2026"/>
    <s v="Weekend"/>
    <n v="0.36263736263736263"/>
    <n v="0.58823529411764708"/>
    <n v="0.14932126696832579"/>
    <n v="12864"/>
    <s v="Rhein Auto Group"/>
  </r>
  <r>
    <s v="CUST_150"/>
    <x v="4"/>
    <x v="2"/>
    <s v="Wednesday"/>
    <s v="No"/>
    <x v="5"/>
    <x v="5"/>
    <s v="Hamburg"/>
    <x v="0"/>
    <s v="X5"/>
    <s v="Electric"/>
    <x v="0"/>
    <s v="36-50"/>
    <s v="Medium"/>
    <x v="0"/>
    <x v="0"/>
    <s v="Sales_13"/>
    <n v="274"/>
    <n v="148"/>
    <n v="100"/>
    <n v="39"/>
    <s v="26.35"/>
    <n v="54042"/>
    <s v="5.01"/>
    <n v="41428"/>
    <n v="2107638"/>
    <n v="491946"/>
    <s v="Feb"/>
    <n v="2"/>
    <n v="2026"/>
    <s v="Weekday"/>
    <n v="0.39"/>
    <n v="0.54014598540145986"/>
    <n v="0.14233576642335766"/>
    <n v="12614"/>
    <s v="Elbe Drive"/>
  </r>
  <r>
    <s v="CUST_151"/>
    <x v="12"/>
    <x v="3"/>
    <s v="Thursday"/>
    <s v="No"/>
    <x v="2"/>
    <x v="2"/>
    <s v="Lower Saxony"/>
    <x v="1"/>
    <s v="Corsa"/>
    <s v="Petrol"/>
    <x v="2"/>
    <s v="26-35"/>
    <s v="Medium"/>
    <x v="0"/>
    <x v="0"/>
    <s v="Sales_3"/>
    <n v="223"/>
    <n v="113"/>
    <n v="78"/>
    <n v="16"/>
    <s v="14.16"/>
    <n v="23603"/>
    <s v="12.18"/>
    <n v="21524"/>
    <n v="377648"/>
    <n v="33264"/>
    <s v="Feb"/>
    <n v="2"/>
    <n v="2026"/>
    <s v="Weekday"/>
    <n v="0.20512820512820512"/>
    <n v="0.50672645739910316"/>
    <n v="7.1748878923766815E-2"/>
    <n v="2079"/>
    <s v="Hannover Cars"/>
  </r>
  <r>
    <s v="CUST_152"/>
    <x v="24"/>
    <x v="1"/>
    <s v="Thursday"/>
    <s v="No"/>
    <x v="6"/>
    <x v="6"/>
    <s v="Saxony"/>
    <x v="1"/>
    <s v="Mokka"/>
    <s v="Electric"/>
    <x v="0"/>
    <s v="36-50"/>
    <s v="High"/>
    <x v="1"/>
    <x v="1"/>
    <s v="Sales_12"/>
    <n v="402"/>
    <n v="166"/>
    <n v="104"/>
    <n v="25"/>
    <s v="15.06"/>
    <n v="23238"/>
    <s v="7.22"/>
    <n v="21547"/>
    <n v="580950"/>
    <n v="42275"/>
    <s v="Feb"/>
    <n v="2"/>
    <n v="2026"/>
    <s v="Weekday"/>
    <n v="0.24038461538461539"/>
    <n v="0.41293532338308458"/>
    <n v="6.2189054726368161E-2"/>
    <n v="1691"/>
    <s v="Leipzig Mobility"/>
  </r>
  <r>
    <s v="CUST_153"/>
    <x v="20"/>
    <x v="0"/>
    <s v="Thursday"/>
    <s v="No"/>
    <x v="1"/>
    <x v="1"/>
    <s v="NRW"/>
    <x v="4"/>
    <s v="Tiguan"/>
    <s v="Petrol"/>
    <x v="0"/>
    <s v="26-35"/>
    <s v="Medium"/>
    <x v="0"/>
    <x v="2"/>
    <s v="Sales_1"/>
    <n v="415"/>
    <n v="200"/>
    <n v="129"/>
    <n v="41"/>
    <s v="20.5"/>
    <n v="25222"/>
    <s v="10.08"/>
    <n v="22046"/>
    <n v="1034102"/>
    <n v="130216"/>
    <s v="Feb"/>
    <n v="2"/>
    <n v="2026"/>
    <s v="Weekday"/>
    <n v="0.31782945736434109"/>
    <n v="0.48192771084337349"/>
    <n v="9.8795180722891562E-2"/>
    <n v="3176"/>
    <s v="Rhein Auto Group"/>
  </r>
  <r>
    <s v="CUST_154"/>
    <x v="3"/>
    <x v="1"/>
    <s v="Sunday"/>
    <s v="Yes"/>
    <x v="7"/>
    <x v="7"/>
    <s v="Bavaria"/>
    <x v="0"/>
    <s v="3 Series"/>
    <s v="Diesel"/>
    <x v="1"/>
    <s v="36-50"/>
    <s v="Low"/>
    <x v="0"/>
    <x v="2"/>
    <s v="Sales_8"/>
    <n v="195"/>
    <n v="119"/>
    <n v="82"/>
    <n v="38"/>
    <s v="31.93"/>
    <n v="53582"/>
    <s v="3.71"/>
    <n v="40955"/>
    <n v="2036116"/>
    <n v="479826"/>
    <s v="Feb"/>
    <n v="2"/>
    <n v="2026"/>
    <s v="Weekend"/>
    <n v="0.46341463414634149"/>
    <n v="0.61025641025641031"/>
    <n v="0.19487179487179487"/>
    <n v="12627"/>
    <s v="Bavaria Motors"/>
  </r>
  <r>
    <s v="CUST_155"/>
    <x v="5"/>
    <x v="3"/>
    <s v="Saturday"/>
    <s v="Yes"/>
    <x v="5"/>
    <x v="5"/>
    <s v="Hamburg"/>
    <x v="3"/>
    <s v="EQE"/>
    <s v="Diesel"/>
    <x v="1"/>
    <s v="26-35"/>
    <s v="High"/>
    <x v="1"/>
    <x v="2"/>
    <s v="Sales_1"/>
    <n v="287"/>
    <n v="158"/>
    <n v="123"/>
    <n v="46"/>
    <s v="29.11"/>
    <n v="51823"/>
    <s v="5.09"/>
    <n v="39866"/>
    <n v="2383858"/>
    <n v="550022"/>
    <s v="Feb"/>
    <n v="2"/>
    <n v="2026"/>
    <s v="Weekend"/>
    <n v="0.37398373983739835"/>
    <n v="0.55052264808362372"/>
    <n v="0.16027874564459929"/>
    <n v="11957"/>
    <s v="Elbe Drive"/>
  </r>
  <r>
    <s v="CUST_156"/>
    <x v="0"/>
    <x v="0"/>
    <s v="Monday"/>
    <s v="No"/>
    <x v="1"/>
    <x v="1"/>
    <s v="NRW"/>
    <x v="3"/>
    <s v="GLC"/>
    <s v="Diesel"/>
    <x v="0"/>
    <s v="26-35"/>
    <s v="Medium"/>
    <x v="0"/>
    <x v="0"/>
    <s v="Sales_1"/>
    <n v="186"/>
    <n v="109"/>
    <n v="79"/>
    <n v="27"/>
    <s v="24.77"/>
    <n v="56750"/>
    <s v="4.43"/>
    <n v="43557"/>
    <n v="1532250"/>
    <n v="356211"/>
    <s v="Feb"/>
    <n v="2"/>
    <n v="2026"/>
    <s v="Weekday"/>
    <n v="0.34177215189873417"/>
    <n v="0.58602150537634412"/>
    <n v="0.14516129032258066"/>
    <n v="13193"/>
    <s v="Rhein Auto Group"/>
  </r>
  <r>
    <s v="CUST_157"/>
    <x v="0"/>
    <x v="0"/>
    <s v="Monday"/>
    <s v="No"/>
    <x v="2"/>
    <x v="2"/>
    <s v="Lower Saxony"/>
    <x v="1"/>
    <s v="Grandland"/>
    <s v="Petrol"/>
    <x v="0"/>
    <s v="18-25"/>
    <s v="High"/>
    <x v="0"/>
    <x v="0"/>
    <s v="Sales_13"/>
    <n v="399"/>
    <n v="202"/>
    <n v="115"/>
    <n v="31"/>
    <s v="15.35"/>
    <n v="22484"/>
    <s v="12.0"/>
    <n v="20149"/>
    <n v="697004"/>
    <n v="72385"/>
    <s v="Feb"/>
    <n v="2"/>
    <n v="2026"/>
    <s v="Weekday"/>
    <n v="0.26956521739130435"/>
    <n v="0.50626566416040097"/>
    <n v="7.7694235588972427E-2"/>
    <n v="2335"/>
    <s v="Hannover Cars"/>
  </r>
  <r>
    <s v="CUST_158"/>
    <x v="3"/>
    <x v="1"/>
    <s v="Sunday"/>
    <s v="Yes"/>
    <x v="3"/>
    <x v="3"/>
    <s v="Saxony"/>
    <x v="3"/>
    <s v="EQE"/>
    <s v="Petrol"/>
    <x v="1"/>
    <s v="18-25"/>
    <s v="Low"/>
    <x v="0"/>
    <x v="1"/>
    <s v="Sales_9"/>
    <n v="213"/>
    <n v="94"/>
    <n v="68"/>
    <n v="25"/>
    <s v="26.6"/>
    <n v="63009"/>
    <s v="5.28"/>
    <n v="45084"/>
    <n v="1575225"/>
    <n v="448125"/>
    <s v="Feb"/>
    <n v="2"/>
    <n v="2026"/>
    <s v="Weekend"/>
    <n v="0.36764705882352944"/>
    <n v="0.44131455399061031"/>
    <n v="0.11737089201877934"/>
    <n v="17925"/>
    <s v="Saxon Wheels"/>
  </r>
  <r>
    <s v="CUST_159"/>
    <x v="24"/>
    <x v="1"/>
    <s v="Thursday"/>
    <s v="No"/>
    <x v="3"/>
    <x v="3"/>
    <s v="Saxony"/>
    <x v="0"/>
    <s v="X5"/>
    <s v="Diesel"/>
    <x v="0"/>
    <s v="18-25"/>
    <s v="Medium"/>
    <x v="0"/>
    <x v="3"/>
    <s v="Sales_17"/>
    <n v="221"/>
    <n v="111"/>
    <n v="79"/>
    <n v="28"/>
    <s v="25.23"/>
    <n v="54746"/>
    <s v="3.57"/>
    <n v="39635"/>
    <n v="1532888"/>
    <n v="423108"/>
    <s v="Feb"/>
    <n v="2"/>
    <n v="2026"/>
    <s v="Weekday"/>
    <n v="0.35443037974683544"/>
    <n v="0.50226244343891402"/>
    <n v="0.12669683257918551"/>
    <n v="15111"/>
    <s v="Saxon Wheels"/>
  </r>
  <r>
    <s v="CUST_160"/>
    <x v="19"/>
    <x v="1"/>
    <s v="Saturday"/>
    <s v="Yes"/>
    <x v="7"/>
    <x v="7"/>
    <s v="Bavaria"/>
    <x v="0"/>
    <s v="3 Series"/>
    <s v="Petrol"/>
    <x v="1"/>
    <s v="50+"/>
    <s v="High"/>
    <x v="1"/>
    <x v="1"/>
    <s v="Sales_18"/>
    <n v="165"/>
    <n v="85"/>
    <n v="62"/>
    <n v="24"/>
    <s v="28.24"/>
    <n v="63284"/>
    <s v="2.23"/>
    <n v="48784"/>
    <n v="1518816"/>
    <n v="348000"/>
    <s v="Feb"/>
    <n v="2"/>
    <n v="2026"/>
    <s v="Weekend"/>
    <n v="0.38709677419354838"/>
    <n v="0.51515151515151514"/>
    <n v="0.14545454545454545"/>
    <n v="14500"/>
    <s v="Bavaria Motors"/>
  </r>
  <r>
    <s v="CUST_161"/>
    <x v="16"/>
    <x v="1"/>
    <s v="Tuesday"/>
    <s v="No"/>
    <x v="5"/>
    <x v="5"/>
    <s v="Hamburg"/>
    <x v="0"/>
    <s v="3 Series"/>
    <s v="Electric"/>
    <x v="1"/>
    <s v="18-25"/>
    <s v="Low"/>
    <x v="1"/>
    <x v="0"/>
    <s v="Sales_13"/>
    <n v="207"/>
    <n v="104"/>
    <n v="77"/>
    <n v="30"/>
    <s v="28.85"/>
    <n v="66518"/>
    <s v="4.8"/>
    <n v="47756"/>
    <n v="1995540"/>
    <n v="562860"/>
    <s v="Feb"/>
    <n v="2"/>
    <n v="2026"/>
    <s v="Weekday"/>
    <n v="0.38961038961038963"/>
    <n v="0.50241545893719808"/>
    <n v="0.14492753623188406"/>
    <n v="18762"/>
    <s v="Elbe Drive"/>
  </r>
  <r>
    <s v="CUST_162"/>
    <x v="22"/>
    <x v="3"/>
    <s v="Tuesday"/>
    <s v="No"/>
    <x v="3"/>
    <x v="3"/>
    <s v="Saxony"/>
    <x v="4"/>
    <s v="ID.4"/>
    <s v="Electric"/>
    <x v="0"/>
    <s v="50+"/>
    <s v="High"/>
    <x v="0"/>
    <x v="1"/>
    <s v="Sales_6"/>
    <n v="458"/>
    <n v="197"/>
    <n v="114"/>
    <n v="32"/>
    <s v="16.24"/>
    <n v="26843"/>
    <s v="9.49"/>
    <n v="23493"/>
    <n v="858976"/>
    <n v="107200"/>
    <s v="Feb"/>
    <n v="2"/>
    <n v="2026"/>
    <s v="Weekday"/>
    <n v="0.2807017543859649"/>
    <n v="0.43013100436681223"/>
    <n v="6.9868995633187769E-2"/>
    <n v="3350"/>
    <s v="Saxon Wheels"/>
  </r>
  <r>
    <s v="CUST_163"/>
    <x v="12"/>
    <x v="3"/>
    <s v="Thursday"/>
    <s v="No"/>
    <x v="9"/>
    <x v="9"/>
    <s v="NRW"/>
    <x v="0"/>
    <s v="3 Series"/>
    <s v="Diesel"/>
    <x v="1"/>
    <s v="18-25"/>
    <s v="High"/>
    <x v="1"/>
    <x v="1"/>
    <s v="Sales_11"/>
    <n v="229"/>
    <n v="110"/>
    <n v="82"/>
    <n v="31"/>
    <s v="28.18"/>
    <n v="52878"/>
    <s v="3.98"/>
    <n v="37752"/>
    <n v="1639218"/>
    <n v="468906"/>
    <s v="Feb"/>
    <n v="2"/>
    <n v="2026"/>
    <s v="Weekday"/>
    <n v="0.37804878048780488"/>
    <n v="0.48034934497816595"/>
    <n v="0.13537117903930132"/>
    <n v="15126"/>
    <s v="Ruhr Auto Plaza"/>
  </r>
  <r>
    <s v="CUST_164"/>
    <x v="17"/>
    <x v="2"/>
    <s v="Sunday"/>
    <s v="Yes"/>
    <x v="3"/>
    <x v="3"/>
    <s v="Saxony"/>
    <x v="1"/>
    <s v="Corsa"/>
    <s v="Electric"/>
    <x v="2"/>
    <s v="26-35"/>
    <s v="Low"/>
    <x v="1"/>
    <x v="1"/>
    <s v="Sales_8"/>
    <n v="390"/>
    <n v="193"/>
    <n v="119"/>
    <n v="32"/>
    <s v="16.58"/>
    <n v="23929"/>
    <s v="10.95"/>
    <n v="21808"/>
    <n v="765728"/>
    <n v="67872"/>
    <s v="Feb"/>
    <n v="2"/>
    <n v="2026"/>
    <s v="Weekend"/>
    <n v="0.26890756302521007"/>
    <n v="0.49487179487179489"/>
    <n v="8.2051282051282051E-2"/>
    <n v="2121"/>
    <s v="Saxon Wheels"/>
  </r>
  <r>
    <s v="CUST_165"/>
    <x v="21"/>
    <x v="0"/>
    <s v="Tuesday"/>
    <s v="No"/>
    <x v="5"/>
    <x v="5"/>
    <s v="Hamburg"/>
    <x v="1"/>
    <s v="Crossland"/>
    <s v="Electric"/>
    <x v="0"/>
    <s v="36-50"/>
    <s v="Medium"/>
    <x v="1"/>
    <x v="0"/>
    <s v="Sales_18"/>
    <n v="347"/>
    <n v="179"/>
    <n v="104"/>
    <n v="31"/>
    <s v="17.32"/>
    <n v="26760"/>
    <s v="9.23"/>
    <n v="24752"/>
    <n v="829560"/>
    <n v="62248"/>
    <s v="Feb"/>
    <n v="2"/>
    <n v="2026"/>
    <s v="Weekday"/>
    <n v="0.29807692307692307"/>
    <n v="0.51585014409221897"/>
    <n v="8.9337175792507204E-2"/>
    <n v="2008"/>
    <s v="Elbe Drive"/>
  </r>
  <r>
    <s v="CUST_166"/>
    <x v="9"/>
    <x v="0"/>
    <s v="Sunday"/>
    <s v="Yes"/>
    <x v="2"/>
    <x v="2"/>
    <s v="Lower Saxony"/>
    <x v="2"/>
    <s v="Q5"/>
    <s v="Hybrid"/>
    <x v="0"/>
    <s v="36-50"/>
    <s v="Medium"/>
    <x v="0"/>
    <x v="1"/>
    <s v="Sales_2"/>
    <n v="219"/>
    <n v="122"/>
    <n v="81"/>
    <n v="31"/>
    <s v="25.41"/>
    <n v="54485"/>
    <s v="3.7"/>
    <n v="41070"/>
    <n v="1689035"/>
    <n v="415865"/>
    <s v="Feb"/>
    <n v="2"/>
    <n v="2026"/>
    <s v="Weekend"/>
    <n v="0.38271604938271603"/>
    <n v="0.55707762557077622"/>
    <n v="0.14155251141552511"/>
    <n v="13415"/>
    <s v="Hannover Cars"/>
  </r>
  <r>
    <s v="CUST_167"/>
    <x v="6"/>
    <x v="2"/>
    <s v="Saturday"/>
    <s v="Yes"/>
    <x v="0"/>
    <x v="0"/>
    <s v="Hesse"/>
    <x v="3"/>
    <s v="EQE"/>
    <s v="Petrol"/>
    <x v="1"/>
    <s v="36-50"/>
    <s v="High"/>
    <x v="0"/>
    <x v="0"/>
    <s v="Sales_5"/>
    <n v="158"/>
    <n v="78"/>
    <n v="55"/>
    <n v="18"/>
    <s v="23.08"/>
    <n v="58707"/>
    <s v="3.99"/>
    <n v="42007"/>
    <n v="1056726"/>
    <n v="300600"/>
    <s v="Feb"/>
    <n v="2"/>
    <n v="2026"/>
    <s v="Weekend"/>
    <n v="0.32727272727272727"/>
    <n v="0.49367088607594939"/>
    <n v="0.11392405063291139"/>
    <n v="16700"/>
    <s v="Main Auto Hub"/>
  </r>
  <r>
    <s v="CUST_168"/>
    <x v="13"/>
    <x v="0"/>
    <s v="Friday"/>
    <s v="No"/>
    <x v="0"/>
    <x v="0"/>
    <s v="Hesse"/>
    <x v="3"/>
    <s v="E-Class"/>
    <s v="Petrol"/>
    <x v="1"/>
    <s v="36-50"/>
    <s v="High"/>
    <x v="0"/>
    <x v="0"/>
    <s v="Sales_6"/>
    <n v="192"/>
    <n v="114"/>
    <n v="75"/>
    <n v="26"/>
    <s v="22.81"/>
    <n v="53337"/>
    <s v="2.85"/>
    <n v="41275"/>
    <n v="1386762"/>
    <n v="313612"/>
    <s v="Feb"/>
    <n v="2"/>
    <n v="2026"/>
    <s v="Weekday"/>
    <n v="0.34666666666666668"/>
    <n v="0.59375"/>
    <n v="0.13541666666666666"/>
    <n v="12062"/>
    <s v="Main Auto Hub"/>
  </r>
  <r>
    <s v="CUST_169"/>
    <x v="18"/>
    <x v="0"/>
    <s v="Saturday"/>
    <s v="Yes"/>
    <x v="8"/>
    <x v="8"/>
    <s v="Baden-WÃ¼rttemberg"/>
    <x v="2"/>
    <s v="A4"/>
    <s v="Diesel"/>
    <x v="1"/>
    <s v="18-25"/>
    <s v="High"/>
    <x v="1"/>
    <x v="3"/>
    <s v="Sales_6"/>
    <n v="258"/>
    <n v="122"/>
    <n v="93"/>
    <n v="29"/>
    <s v="23.77"/>
    <n v="47053"/>
    <s v="5.78"/>
    <n v="35623"/>
    <n v="1364537"/>
    <n v="331470"/>
    <s v="Feb"/>
    <n v="2"/>
    <n v="2026"/>
    <s v="Weekend"/>
    <n v="0.31182795698924731"/>
    <n v="0.47286821705426357"/>
    <n v="0.1124031007751938"/>
    <n v="11430"/>
    <s v="Stuttgart Auto Center"/>
  </r>
  <r>
    <s v="CUST_170"/>
    <x v="10"/>
    <x v="1"/>
    <s v="Monday"/>
    <s v="No"/>
    <x v="2"/>
    <x v="2"/>
    <s v="Lower Saxony"/>
    <x v="0"/>
    <s v="i4"/>
    <s v="Electric"/>
    <x v="1"/>
    <s v="36-50"/>
    <s v="Low"/>
    <x v="0"/>
    <x v="1"/>
    <s v="Sales_18"/>
    <n v="267"/>
    <n v="128"/>
    <n v="92"/>
    <n v="35"/>
    <s v="27.34"/>
    <n v="67200"/>
    <s v="5.6"/>
    <n v="48021"/>
    <n v="2352000"/>
    <n v="671265"/>
    <s v="Feb"/>
    <n v="2"/>
    <n v="2026"/>
    <s v="Weekday"/>
    <n v="0.38043478260869568"/>
    <n v="0.47940074906367042"/>
    <n v="0.13108614232209737"/>
    <n v="19179"/>
    <s v="Hannover Cars"/>
  </r>
  <r>
    <s v="CUST_171"/>
    <x v="8"/>
    <x v="3"/>
    <s v="Wednesday"/>
    <s v="No"/>
    <x v="5"/>
    <x v="5"/>
    <s v="Hamburg"/>
    <x v="4"/>
    <s v="Tiguan"/>
    <s v="Petrol"/>
    <x v="0"/>
    <s v="26-35"/>
    <s v="Medium"/>
    <x v="1"/>
    <x v="2"/>
    <s v="Sales_12"/>
    <n v="339"/>
    <n v="193"/>
    <n v="120"/>
    <n v="35"/>
    <s v="18.13"/>
    <n v="31653"/>
    <s v="7.03"/>
    <n v="28322"/>
    <n v="1107855"/>
    <n v="116585"/>
    <s v="Feb"/>
    <n v="2"/>
    <n v="2026"/>
    <s v="Weekday"/>
    <n v="0.29166666666666669"/>
    <n v="0.56932153392330387"/>
    <n v="0.10324483775811209"/>
    <n v="3331"/>
    <s v="Elbe Drive"/>
  </r>
  <r>
    <s v="CUST_172"/>
    <x v="21"/>
    <x v="0"/>
    <s v="Tuesday"/>
    <s v="No"/>
    <x v="2"/>
    <x v="2"/>
    <s v="Lower Saxony"/>
    <x v="2"/>
    <s v="A3"/>
    <s v="Hybrid"/>
    <x v="2"/>
    <s v="36-50"/>
    <s v="Low"/>
    <x v="1"/>
    <x v="0"/>
    <s v="Sales_2"/>
    <n v="232"/>
    <n v="123"/>
    <n v="94"/>
    <n v="23"/>
    <s v="18.7"/>
    <n v="48734"/>
    <s v="5.36"/>
    <n v="37322"/>
    <n v="1120882"/>
    <n v="262476"/>
    <s v="Feb"/>
    <n v="2"/>
    <n v="2026"/>
    <s v="Weekday"/>
    <n v="0.24468085106382978"/>
    <n v="0.53017241379310343"/>
    <n v="9.9137931034482762E-2"/>
    <n v="11412"/>
    <s v="Hannover Cars"/>
  </r>
  <r>
    <s v="CUST_173"/>
    <x v="22"/>
    <x v="3"/>
    <s v="Tuesday"/>
    <s v="No"/>
    <x v="1"/>
    <x v="1"/>
    <s v="NRW"/>
    <x v="3"/>
    <s v="EQE"/>
    <s v="Diesel"/>
    <x v="1"/>
    <s v="26-35"/>
    <s v="High"/>
    <x v="1"/>
    <x v="1"/>
    <s v="Sales_13"/>
    <n v="198"/>
    <n v="100"/>
    <n v="67"/>
    <n v="23"/>
    <s v="23.0"/>
    <n v="55239"/>
    <s v="4.38"/>
    <n v="42878"/>
    <n v="1270497"/>
    <n v="284303"/>
    <s v="Feb"/>
    <n v="2"/>
    <n v="2026"/>
    <s v="Weekday"/>
    <n v="0.34328358208955223"/>
    <n v="0.50505050505050508"/>
    <n v="0.11616161616161616"/>
    <n v="12361"/>
    <s v="Rhein Auto Group"/>
  </r>
  <r>
    <s v="CUST_174"/>
    <x v="16"/>
    <x v="1"/>
    <s v="Tuesday"/>
    <s v="No"/>
    <x v="1"/>
    <x v="1"/>
    <s v="NRW"/>
    <x v="4"/>
    <s v="ID.4"/>
    <s v="Petrol"/>
    <x v="0"/>
    <s v="50+"/>
    <s v="High"/>
    <x v="1"/>
    <x v="2"/>
    <s v="Sales_10"/>
    <n v="495"/>
    <n v="223"/>
    <n v="152"/>
    <n v="38"/>
    <s v="17.04"/>
    <n v="31758"/>
    <s v="6.02"/>
    <n v="28835"/>
    <n v="1206804"/>
    <n v="111074"/>
    <s v="Feb"/>
    <n v="2"/>
    <n v="2026"/>
    <s v="Weekday"/>
    <n v="0.25"/>
    <n v="0.45050505050505052"/>
    <n v="7.6767676767676762E-2"/>
    <n v="2923"/>
    <s v="Rhein Auto Group"/>
  </r>
  <r>
    <s v="CUST_175"/>
    <x v="16"/>
    <x v="1"/>
    <s v="Tuesday"/>
    <s v="No"/>
    <x v="6"/>
    <x v="6"/>
    <s v="Saxony"/>
    <x v="0"/>
    <s v="X3"/>
    <s v="Petrol"/>
    <x v="0"/>
    <s v="18-25"/>
    <s v="High"/>
    <x v="1"/>
    <x v="3"/>
    <s v="Sales_10"/>
    <n v="229"/>
    <n v="127"/>
    <n v="94"/>
    <n v="32"/>
    <s v="25.2"/>
    <n v="68792"/>
    <s v="3.08"/>
    <n v="48488"/>
    <n v="2201344"/>
    <n v="649728"/>
    <s v="Feb"/>
    <n v="2"/>
    <n v="2026"/>
    <s v="Weekday"/>
    <n v="0.34042553191489361"/>
    <n v="0.55458515283842791"/>
    <n v="0.13973799126637554"/>
    <n v="20304"/>
    <s v="Leipzig Mobility"/>
  </r>
  <r>
    <s v="CUST_176"/>
    <x v="26"/>
    <x v="1"/>
    <s v="Friday"/>
    <s v="No"/>
    <x v="2"/>
    <x v="2"/>
    <s v="Lower Saxony"/>
    <x v="4"/>
    <s v="Golf"/>
    <s v="Electric"/>
    <x v="2"/>
    <s v="36-50"/>
    <s v="Low"/>
    <x v="0"/>
    <x v="1"/>
    <s v="Sales_18"/>
    <n v="266"/>
    <n v="128"/>
    <n v="83"/>
    <n v="19"/>
    <s v="14.84"/>
    <n v="35324"/>
    <s v="6.46"/>
    <n v="30398"/>
    <n v="671156"/>
    <n v="93594"/>
    <s v="Feb"/>
    <n v="2"/>
    <n v="2026"/>
    <s v="Weekday"/>
    <n v="0.2289156626506024"/>
    <n v="0.48120300751879697"/>
    <n v="7.1428571428571425E-2"/>
    <n v="4926"/>
    <s v="Hannover Cars"/>
  </r>
  <r>
    <s v="CUST_177"/>
    <x v="9"/>
    <x v="0"/>
    <s v="Sunday"/>
    <s v="Yes"/>
    <x v="4"/>
    <x v="4"/>
    <s v="Berlin"/>
    <x v="2"/>
    <s v="Q3"/>
    <s v="Hybrid"/>
    <x v="0"/>
    <s v="50+"/>
    <s v="High"/>
    <x v="0"/>
    <x v="3"/>
    <s v="Sales_20"/>
    <n v="224"/>
    <n v="133"/>
    <n v="92"/>
    <n v="32"/>
    <s v="24.06"/>
    <n v="50084"/>
    <s v="5.71"/>
    <n v="37734"/>
    <n v="1602688"/>
    <n v="395200"/>
    <s v="Feb"/>
    <n v="2"/>
    <n v="2026"/>
    <s v="Weekend"/>
    <n v="0.34782608695652173"/>
    <n v="0.59375"/>
    <n v="0.14285714285714285"/>
    <n v="12350"/>
    <s v="Autohaus Berlin"/>
  </r>
  <r>
    <s v="CUST_178"/>
    <x v="20"/>
    <x v="0"/>
    <s v="Thursday"/>
    <s v="No"/>
    <x v="6"/>
    <x v="6"/>
    <s v="Saxony"/>
    <x v="2"/>
    <s v="Q5"/>
    <s v="Petrol"/>
    <x v="0"/>
    <s v="50+"/>
    <s v="High"/>
    <x v="0"/>
    <x v="0"/>
    <s v="Sales_8"/>
    <n v="205"/>
    <n v="121"/>
    <n v="92"/>
    <n v="26"/>
    <s v="21.49"/>
    <n v="42725"/>
    <s v="4.92"/>
    <n v="32794"/>
    <n v="1110850"/>
    <n v="258206"/>
    <s v="Feb"/>
    <n v="2"/>
    <n v="2026"/>
    <s v="Weekday"/>
    <n v="0.28260869565217389"/>
    <n v="0.59024390243902436"/>
    <n v="0.12682926829268293"/>
    <n v="9931"/>
    <s v="Leipzig Mobility"/>
  </r>
  <r>
    <s v="CUST_179"/>
    <x v="15"/>
    <x v="2"/>
    <s v="Thursday"/>
    <s v="No"/>
    <x v="9"/>
    <x v="9"/>
    <s v="NRW"/>
    <x v="1"/>
    <s v="Mokka"/>
    <s v="Electric"/>
    <x v="0"/>
    <s v="18-25"/>
    <s v="High"/>
    <x v="0"/>
    <x v="1"/>
    <s v="Sales_1"/>
    <n v="346"/>
    <n v="158"/>
    <n v="108"/>
    <n v="23"/>
    <s v="14.56"/>
    <n v="22432"/>
    <s v="7.81"/>
    <n v="20141"/>
    <n v="515936"/>
    <n v="52693"/>
    <s v="Feb"/>
    <n v="2"/>
    <n v="2026"/>
    <s v="Weekday"/>
    <n v="0.21296296296296297"/>
    <n v="0.45664739884393063"/>
    <n v="6.6473988439306353E-2"/>
    <n v="2291"/>
    <s v="Ruhr Auto Plaza"/>
  </r>
  <r>
    <s v="CUST_180"/>
    <x v="0"/>
    <x v="0"/>
    <s v="Monday"/>
    <s v="No"/>
    <x v="4"/>
    <x v="4"/>
    <s v="Berlin"/>
    <x v="0"/>
    <s v="5 Series"/>
    <s v="Hybrid"/>
    <x v="1"/>
    <s v="18-25"/>
    <s v="High"/>
    <x v="1"/>
    <x v="2"/>
    <s v="Sales_19"/>
    <n v="217"/>
    <n v="105"/>
    <n v="76"/>
    <n v="33"/>
    <s v="31.43"/>
    <n v="52421"/>
    <s v="5.92"/>
    <n v="37644"/>
    <n v="1729893"/>
    <n v="487641"/>
    <s v="Feb"/>
    <n v="2"/>
    <n v="2026"/>
    <s v="Weekday"/>
    <n v="0.43421052631578949"/>
    <n v="0.4838709677419355"/>
    <n v="0.15207373271889402"/>
    <n v="14777"/>
    <s v="Autohaus Berlin"/>
  </r>
  <r>
    <s v="CUST_181"/>
    <x v="17"/>
    <x v="2"/>
    <s v="Sunday"/>
    <s v="Yes"/>
    <x v="8"/>
    <x v="8"/>
    <s v="Baden-WÃ¼rttemberg"/>
    <x v="1"/>
    <s v="Crossland"/>
    <s v="Petrol"/>
    <x v="0"/>
    <s v="18-25"/>
    <s v="High"/>
    <x v="1"/>
    <x v="2"/>
    <s v="Sales_7"/>
    <n v="266"/>
    <n v="127"/>
    <n v="82"/>
    <n v="22"/>
    <s v="17.32"/>
    <n v="24308"/>
    <s v="8.87"/>
    <n v="22603"/>
    <n v="534776"/>
    <n v="37510"/>
    <s v="Feb"/>
    <n v="2"/>
    <n v="2026"/>
    <s v="Weekend"/>
    <n v="0.26829268292682928"/>
    <n v="0.47744360902255639"/>
    <n v="8.2706766917293228E-2"/>
    <n v="1705"/>
    <s v="Stuttgart Auto Center"/>
  </r>
  <r>
    <s v="CUST_182"/>
    <x v="23"/>
    <x v="2"/>
    <s v="Tuesday"/>
    <s v="No"/>
    <x v="4"/>
    <x v="4"/>
    <s v="Berlin"/>
    <x v="4"/>
    <s v="Tiguan"/>
    <s v="Petrol"/>
    <x v="0"/>
    <s v="26-35"/>
    <s v="High"/>
    <x v="1"/>
    <x v="2"/>
    <s v="Sales_11"/>
    <n v="293"/>
    <n v="122"/>
    <n v="84"/>
    <n v="23"/>
    <s v="18.85"/>
    <n v="32137"/>
    <s v="10.89"/>
    <n v="28387"/>
    <n v="739151"/>
    <n v="86250"/>
    <s v="Feb"/>
    <n v="2"/>
    <n v="2026"/>
    <s v="Weekday"/>
    <n v="0.27380952380952384"/>
    <n v="0.41638225255972694"/>
    <n v="7.8498293515358364E-2"/>
    <n v="3750"/>
    <s v="Autohaus Berlin"/>
  </r>
  <r>
    <s v="CUST_183"/>
    <x v="2"/>
    <x v="2"/>
    <s v="Monday"/>
    <s v="No"/>
    <x v="1"/>
    <x v="1"/>
    <s v="NRW"/>
    <x v="0"/>
    <s v="5 Series"/>
    <s v="Petrol"/>
    <x v="1"/>
    <s v="36-50"/>
    <s v="High"/>
    <x v="0"/>
    <x v="3"/>
    <s v="Sales_18"/>
    <n v="199"/>
    <n v="96"/>
    <n v="78"/>
    <n v="24"/>
    <s v="25.0"/>
    <n v="53581"/>
    <s v="2.92"/>
    <n v="38869"/>
    <n v="1285944"/>
    <n v="353088"/>
    <s v="Feb"/>
    <n v="2"/>
    <n v="2026"/>
    <s v="Weekday"/>
    <n v="0.30769230769230771"/>
    <n v="0.48241206030150752"/>
    <n v="0.12060301507537688"/>
    <n v="14712"/>
    <s v="Rhein Auto Group"/>
  </r>
  <r>
    <s v="CUST_184"/>
    <x v="8"/>
    <x v="3"/>
    <s v="Wednesday"/>
    <s v="No"/>
    <x v="2"/>
    <x v="2"/>
    <s v="Lower Saxony"/>
    <x v="4"/>
    <s v="T-Roc"/>
    <s v="Petrol"/>
    <x v="0"/>
    <s v="18-25"/>
    <s v="High"/>
    <x v="1"/>
    <x v="1"/>
    <s v="Sales_6"/>
    <n v="484"/>
    <n v="272"/>
    <n v="177"/>
    <n v="37"/>
    <s v="13.6"/>
    <n v="31631"/>
    <s v="7.44"/>
    <n v="28083"/>
    <n v="1170347"/>
    <n v="131276"/>
    <s v="Feb"/>
    <n v="2"/>
    <n v="2026"/>
    <s v="Weekday"/>
    <n v="0.20903954802259886"/>
    <n v="0.56198347107438018"/>
    <n v="7.6446280991735532E-2"/>
    <n v="3548"/>
    <s v="Hannover Cars"/>
  </r>
  <r>
    <s v="CUST_185"/>
    <x v="21"/>
    <x v="0"/>
    <s v="Tuesday"/>
    <s v="No"/>
    <x v="1"/>
    <x v="1"/>
    <s v="NRW"/>
    <x v="4"/>
    <s v="ID.4"/>
    <s v="Diesel"/>
    <x v="0"/>
    <s v="26-35"/>
    <s v="Medium"/>
    <x v="0"/>
    <x v="0"/>
    <s v="Sales_1"/>
    <n v="410"/>
    <n v="218"/>
    <n v="134"/>
    <n v="35"/>
    <s v="16.06"/>
    <n v="34685"/>
    <s v="6.73"/>
    <n v="29889"/>
    <n v="1213975"/>
    <n v="167860"/>
    <s v="Feb"/>
    <n v="2"/>
    <n v="2026"/>
    <s v="Weekday"/>
    <n v="0.26119402985074625"/>
    <n v="0.53170731707317076"/>
    <n v="8.5365853658536592E-2"/>
    <n v="4796"/>
    <s v="Rhein Auto Group"/>
  </r>
  <r>
    <s v="CUST_186"/>
    <x v="11"/>
    <x v="0"/>
    <s v="Wednesday"/>
    <s v="No"/>
    <x v="2"/>
    <x v="2"/>
    <s v="Lower Saxony"/>
    <x v="1"/>
    <s v="Crossland"/>
    <s v="Petrol"/>
    <x v="0"/>
    <s v="18-25"/>
    <s v="Medium"/>
    <x v="0"/>
    <x v="0"/>
    <s v="Sales_16"/>
    <n v="329"/>
    <n v="154"/>
    <n v="90"/>
    <n v="25"/>
    <s v="16.23"/>
    <n v="26547"/>
    <s v="9.21"/>
    <n v="23666"/>
    <n v="663675"/>
    <n v="72025"/>
    <s v="Feb"/>
    <n v="2"/>
    <n v="2026"/>
    <s v="Weekday"/>
    <n v="0.27777777777777779"/>
    <n v="0.46808510638297873"/>
    <n v="7.598784194528875E-2"/>
    <n v="2881"/>
    <s v="Hannover Cars"/>
  </r>
  <r>
    <s v="CUST_187"/>
    <x v="27"/>
    <x v="3"/>
    <s v="Sunday"/>
    <s v="Yes"/>
    <x v="1"/>
    <x v="1"/>
    <s v="NRW"/>
    <x v="3"/>
    <s v="GLC"/>
    <s v="Diesel"/>
    <x v="0"/>
    <s v="26-35"/>
    <s v="Low"/>
    <x v="0"/>
    <x v="3"/>
    <s v="Sales_14"/>
    <n v="223"/>
    <n v="102"/>
    <n v="70"/>
    <n v="27"/>
    <s v="26.47"/>
    <n v="64498"/>
    <s v="4.19"/>
    <n v="47513"/>
    <n v="1741446"/>
    <n v="458595"/>
    <s v="Feb"/>
    <n v="2"/>
    <n v="2026"/>
    <s v="Weekend"/>
    <n v="0.38571428571428573"/>
    <n v="0.45739910313901344"/>
    <n v="0.1210762331838565"/>
    <n v="16985"/>
    <s v="Rhein Auto Group"/>
  </r>
  <r>
    <s v="CUST_188"/>
    <x v="12"/>
    <x v="3"/>
    <s v="Thursday"/>
    <s v="No"/>
    <x v="2"/>
    <x v="2"/>
    <s v="Lower Saxony"/>
    <x v="3"/>
    <s v="GLC"/>
    <s v="Hybrid"/>
    <x v="0"/>
    <s v="36-50"/>
    <s v="High"/>
    <x v="0"/>
    <x v="3"/>
    <s v="Sales_5"/>
    <n v="263"/>
    <n v="147"/>
    <n v="100"/>
    <n v="36"/>
    <s v="24.49"/>
    <n v="61110"/>
    <s v="4.94"/>
    <n v="46409"/>
    <n v="2199960"/>
    <n v="529236"/>
    <s v="Feb"/>
    <n v="2"/>
    <n v="2026"/>
    <s v="Weekday"/>
    <n v="0.36"/>
    <n v="0.55893536121673004"/>
    <n v="0.13688212927756654"/>
    <n v="14701"/>
    <s v="Hannover Cars"/>
  </r>
  <r>
    <s v="CUST_189"/>
    <x v="7"/>
    <x v="3"/>
    <s v="Monday"/>
    <s v="No"/>
    <x v="9"/>
    <x v="9"/>
    <s v="NRW"/>
    <x v="1"/>
    <s v="Corsa"/>
    <s v="Hybrid"/>
    <x v="2"/>
    <s v="18-25"/>
    <s v="Medium"/>
    <x v="1"/>
    <x v="2"/>
    <s v="Sales_5"/>
    <n v="395"/>
    <n v="154"/>
    <n v="93"/>
    <n v="23"/>
    <s v="14.94"/>
    <n v="26105"/>
    <s v="11.16"/>
    <n v="24124"/>
    <n v="600415"/>
    <n v="45563"/>
    <s v="Feb"/>
    <n v="2"/>
    <n v="2026"/>
    <s v="Weekday"/>
    <n v="0.24731182795698925"/>
    <n v="0.38987341772151901"/>
    <n v="5.8227848101265821E-2"/>
    <n v="1981"/>
    <s v="Ruhr Auto Plaza"/>
  </r>
  <r>
    <s v="CUST_190"/>
    <x v="20"/>
    <x v="0"/>
    <s v="Thursday"/>
    <s v="No"/>
    <x v="1"/>
    <x v="1"/>
    <s v="NRW"/>
    <x v="2"/>
    <s v="e-tron"/>
    <s v="Electric"/>
    <x v="0"/>
    <s v="50+"/>
    <s v="Medium"/>
    <x v="1"/>
    <x v="1"/>
    <s v="Sales_1"/>
    <n v="255"/>
    <n v="151"/>
    <n v="107"/>
    <n v="35"/>
    <s v="23.18"/>
    <n v="49590"/>
    <s v="4.84"/>
    <n v="40313"/>
    <n v="1735650"/>
    <n v="324695"/>
    <s v="Feb"/>
    <n v="2"/>
    <n v="2026"/>
    <s v="Weekday"/>
    <n v="0.32710280373831774"/>
    <n v="0.59215686274509804"/>
    <n v="0.13725490196078433"/>
    <n v="9277"/>
    <s v="Rhein Auto Group"/>
  </r>
  <r>
    <s v="CUST_191"/>
    <x v="14"/>
    <x v="2"/>
    <s v="Friday"/>
    <s v="No"/>
    <x v="5"/>
    <x v="5"/>
    <s v="Hamburg"/>
    <x v="4"/>
    <s v="Tiguan"/>
    <s v="Electric"/>
    <x v="0"/>
    <s v="18-25"/>
    <s v="Medium"/>
    <x v="0"/>
    <x v="0"/>
    <s v="Sales_17"/>
    <n v="421"/>
    <n v="222"/>
    <n v="150"/>
    <n v="38"/>
    <s v="17.12"/>
    <n v="26341"/>
    <s v="9.32"/>
    <n v="23570"/>
    <n v="1000958"/>
    <n v="105298"/>
    <s v="Feb"/>
    <n v="2"/>
    <n v="2026"/>
    <s v="Weekday"/>
    <n v="0.25333333333333335"/>
    <n v="0.52731591448931114"/>
    <n v="9.0261282660332537E-2"/>
    <n v="2771"/>
    <s v="Elbe Drive"/>
  </r>
  <r>
    <s v="CUST_192"/>
    <x v="26"/>
    <x v="1"/>
    <s v="Friday"/>
    <s v="No"/>
    <x v="9"/>
    <x v="9"/>
    <s v="NRW"/>
    <x v="1"/>
    <s v="Mokka"/>
    <s v="Diesel"/>
    <x v="0"/>
    <s v="26-35"/>
    <s v="Low"/>
    <x v="0"/>
    <x v="0"/>
    <s v="Sales_12"/>
    <n v="408"/>
    <n v="199"/>
    <n v="120"/>
    <n v="31"/>
    <s v="15.58"/>
    <n v="25593"/>
    <s v="7.54"/>
    <n v="22868"/>
    <n v="793383"/>
    <n v="84475"/>
    <s v="Feb"/>
    <n v="2"/>
    <n v="2026"/>
    <s v="Weekday"/>
    <n v="0.25833333333333336"/>
    <n v="0.48774509803921567"/>
    <n v="7.5980392156862739E-2"/>
    <n v="2725"/>
    <s v="Ruhr Auto Plaza"/>
  </r>
  <r>
    <s v="CUST_193"/>
    <x v="8"/>
    <x v="3"/>
    <s v="Wednesday"/>
    <s v="No"/>
    <x v="8"/>
    <x v="8"/>
    <s v="Baden-WÃ¼rttemberg"/>
    <x v="0"/>
    <s v="X5"/>
    <s v="Diesel"/>
    <x v="0"/>
    <s v="36-50"/>
    <s v="Medium"/>
    <x v="0"/>
    <x v="1"/>
    <s v="Sales_20"/>
    <n v="252"/>
    <n v="116"/>
    <n v="89"/>
    <n v="33"/>
    <s v="28.45"/>
    <n v="67478"/>
    <s v="3.78"/>
    <n v="50370"/>
    <n v="2226774"/>
    <n v="564564"/>
    <s v="Feb"/>
    <n v="2"/>
    <n v="2026"/>
    <s v="Weekday"/>
    <n v="0.3707865168539326"/>
    <n v="0.46031746031746029"/>
    <n v="0.13095238095238096"/>
    <n v="17108"/>
    <s v="Stuttgart Auto Center"/>
  </r>
  <r>
    <s v="CUST_194"/>
    <x v="14"/>
    <x v="2"/>
    <s v="Friday"/>
    <s v="No"/>
    <x v="4"/>
    <x v="4"/>
    <s v="Berlin"/>
    <x v="1"/>
    <s v="Crossland"/>
    <s v="Diesel"/>
    <x v="0"/>
    <s v="18-25"/>
    <s v="Low"/>
    <x v="1"/>
    <x v="2"/>
    <s v="Sales_15"/>
    <n v="342"/>
    <n v="157"/>
    <n v="98"/>
    <n v="31"/>
    <s v="19.75"/>
    <n v="26139"/>
    <s v="11.58"/>
    <n v="24253"/>
    <n v="810309"/>
    <n v="58466"/>
    <s v="Feb"/>
    <n v="2"/>
    <n v="2026"/>
    <s v="Weekday"/>
    <n v="0.31632653061224492"/>
    <n v="0.45906432748538012"/>
    <n v="9.0643274853801165E-2"/>
    <n v="1886"/>
    <s v="Autohaus Berlin"/>
  </r>
  <r>
    <s v="CUST_195"/>
    <x v="8"/>
    <x v="3"/>
    <s v="Wednesday"/>
    <s v="No"/>
    <x v="6"/>
    <x v="6"/>
    <s v="Saxony"/>
    <x v="3"/>
    <s v="E-Class"/>
    <s v="Diesel"/>
    <x v="1"/>
    <s v="36-50"/>
    <s v="Medium"/>
    <x v="0"/>
    <x v="0"/>
    <s v="Sales_18"/>
    <n v="218"/>
    <n v="118"/>
    <n v="91"/>
    <n v="28"/>
    <s v="23.73"/>
    <n v="61219"/>
    <s v="4.75"/>
    <n v="46175"/>
    <n v="1714132"/>
    <n v="421232"/>
    <s v="Feb"/>
    <n v="2"/>
    <n v="2026"/>
    <s v="Weekday"/>
    <n v="0.30769230769230771"/>
    <n v="0.54128440366972475"/>
    <n v="0.12844036697247707"/>
    <n v="15044"/>
    <s v="Leipzig Mobility"/>
  </r>
  <r>
    <s v="CUST_196"/>
    <x v="0"/>
    <x v="0"/>
    <s v="Monday"/>
    <s v="No"/>
    <x v="0"/>
    <x v="0"/>
    <s v="Hesse"/>
    <x v="4"/>
    <s v="T-Roc"/>
    <s v="Electric"/>
    <x v="0"/>
    <s v="50+"/>
    <s v="Low"/>
    <x v="1"/>
    <x v="0"/>
    <s v="Sales_2"/>
    <n v="455"/>
    <n v="257"/>
    <n v="169"/>
    <n v="38"/>
    <s v="14.79"/>
    <n v="34345"/>
    <s v="7.99"/>
    <n v="30539"/>
    <n v="1305110"/>
    <n v="144628"/>
    <s v="Feb"/>
    <n v="2"/>
    <n v="2026"/>
    <s v="Weekday"/>
    <n v="0.22485207100591717"/>
    <n v="0.56483516483516483"/>
    <n v="8.3516483516483511E-2"/>
    <n v="3806"/>
    <s v="Main Auto Hub"/>
  </r>
  <r>
    <s v="CUST_197"/>
    <x v="25"/>
    <x v="3"/>
    <s v="Friday"/>
    <s v="No"/>
    <x v="0"/>
    <x v="0"/>
    <s v="Hesse"/>
    <x v="3"/>
    <s v="GLC"/>
    <s v="Diesel"/>
    <x v="0"/>
    <s v="26-35"/>
    <s v="High"/>
    <x v="1"/>
    <x v="3"/>
    <s v="Sales_10"/>
    <n v="161"/>
    <n v="89"/>
    <n v="60"/>
    <n v="20"/>
    <s v="22.47"/>
    <n v="68766"/>
    <s v="4.8"/>
    <n v="52804"/>
    <n v="1375320"/>
    <n v="319240"/>
    <s v="Feb"/>
    <n v="2"/>
    <n v="2026"/>
    <s v="Weekday"/>
    <n v="0.33333333333333331"/>
    <n v="0.55279503105590067"/>
    <n v="0.12422360248447205"/>
    <n v="15962"/>
    <s v="Main Auto Hub"/>
  </r>
  <r>
    <s v="CUST_198"/>
    <x v="11"/>
    <x v="0"/>
    <s v="Wednesday"/>
    <s v="No"/>
    <x v="7"/>
    <x v="7"/>
    <s v="Bavaria"/>
    <x v="4"/>
    <s v="ID.4"/>
    <s v="Diesel"/>
    <x v="0"/>
    <s v="18-25"/>
    <s v="High"/>
    <x v="1"/>
    <x v="0"/>
    <s v="Sales_17"/>
    <n v="391"/>
    <n v="197"/>
    <n v="139"/>
    <n v="33"/>
    <s v="16.75"/>
    <n v="33549"/>
    <s v="11.28"/>
    <n v="29543"/>
    <n v="1107117"/>
    <n v="132198"/>
    <s v="Feb"/>
    <n v="2"/>
    <n v="2026"/>
    <s v="Weekday"/>
    <n v="0.23741007194244604"/>
    <n v="0.50383631713554988"/>
    <n v="8.4398976982097182E-2"/>
    <n v="4006"/>
    <s v="Bavaria Motors"/>
  </r>
  <r>
    <s v="CUST_199"/>
    <x v="6"/>
    <x v="2"/>
    <s v="Saturday"/>
    <s v="Yes"/>
    <x v="1"/>
    <x v="1"/>
    <s v="NRW"/>
    <x v="0"/>
    <s v="5 Series"/>
    <s v="Petrol"/>
    <x v="1"/>
    <s v="18-25"/>
    <s v="High"/>
    <x v="1"/>
    <x v="2"/>
    <s v="Sales_10"/>
    <n v="203"/>
    <n v="96"/>
    <n v="68"/>
    <n v="30"/>
    <s v="31.25"/>
    <n v="54978"/>
    <s v="4.85"/>
    <n v="42078"/>
    <n v="1649340"/>
    <n v="387000"/>
    <s v="Feb"/>
    <n v="2"/>
    <n v="2026"/>
    <s v="Weekend"/>
    <n v="0.44117647058823528"/>
    <n v="0.47290640394088668"/>
    <n v="0.14778325123152711"/>
    <n v="12900"/>
    <s v="Rhein Auto Group"/>
  </r>
  <r>
    <s v="CUST_200"/>
    <x v="15"/>
    <x v="2"/>
    <s v="Thursday"/>
    <s v="No"/>
    <x v="1"/>
    <x v="1"/>
    <s v="NRW"/>
    <x v="0"/>
    <s v="3 Series"/>
    <s v="Diesel"/>
    <x v="1"/>
    <s v="36-50"/>
    <s v="Low"/>
    <x v="1"/>
    <x v="0"/>
    <s v="Sales_1"/>
    <n v="280"/>
    <n v="144"/>
    <n v="104"/>
    <n v="38"/>
    <s v="26.39"/>
    <n v="61833"/>
    <s v="5.68"/>
    <n v="47175"/>
    <n v="2349654"/>
    <n v="557004"/>
    <s v="Feb"/>
    <n v="2"/>
    <n v="2026"/>
    <s v="Weekday"/>
    <n v="0.36538461538461536"/>
    <n v="0.51428571428571423"/>
    <n v="0.1357142857142857"/>
    <n v="14658"/>
    <s v="Rhein Auto Group"/>
  </r>
  <r>
    <s v="CUST_201"/>
    <x v="25"/>
    <x v="3"/>
    <s v="Friday"/>
    <s v="No"/>
    <x v="5"/>
    <x v="5"/>
    <s v="Hamburg"/>
    <x v="4"/>
    <s v="Passat"/>
    <s v="Electric"/>
    <x v="1"/>
    <s v="36-50"/>
    <s v="High"/>
    <x v="1"/>
    <x v="2"/>
    <s v="Sales_15"/>
    <n v="313"/>
    <n v="174"/>
    <n v="105"/>
    <n v="30"/>
    <s v="17.24"/>
    <n v="30425"/>
    <s v="11.24"/>
    <n v="26667"/>
    <n v="912750"/>
    <n v="112740"/>
    <s v="Feb"/>
    <n v="2"/>
    <n v="2026"/>
    <s v="Weekday"/>
    <n v="0.2857142857142857"/>
    <n v="0.55591054313099042"/>
    <n v="9.5846645367412137E-2"/>
    <n v="3758"/>
    <s v="Elbe Drive"/>
  </r>
  <r>
    <s v="CUST_202"/>
    <x v="17"/>
    <x v="2"/>
    <s v="Sunday"/>
    <s v="Yes"/>
    <x v="3"/>
    <x v="3"/>
    <s v="Saxony"/>
    <x v="4"/>
    <s v="Passat"/>
    <s v="Electric"/>
    <x v="1"/>
    <s v="50+"/>
    <s v="Medium"/>
    <x v="0"/>
    <x v="3"/>
    <s v="Sales_5"/>
    <n v="362"/>
    <n v="158"/>
    <n v="108"/>
    <n v="19"/>
    <s v="12.03"/>
    <n v="31629"/>
    <s v="6.39"/>
    <n v="28741"/>
    <n v="600951"/>
    <n v="54872"/>
    <s v="Feb"/>
    <n v="2"/>
    <n v="2026"/>
    <s v="Weekend"/>
    <n v="0.17592592592592593"/>
    <n v="0.43646408839779005"/>
    <n v="5.2486187845303865E-2"/>
    <n v="2888"/>
    <s v="Saxon Wheels"/>
  </r>
  <r>
    <s v="CUST_203"/>
    <x v="6"/>
    <x v="2"/>
    <s v="Saturday"/>
    <s v="Yes"/>
    <x v="8"/>
    <x v="8"/>
    <s v="Baden-WÃ¼rttemberg"/>
    <x v="3"/>
    <s v="E-Class"/>
    <s v="Electric"/>
    <x v="1"/>
    <s v="50+"/>
    <s v="High"/>
    <x v="1"/>
    <x v="1"/>
    <s v="Sales_15"/>
    <n v="266"/>
    <n v="128"/>
    <n v="86"/>
    <n v="32"/>
    <s v="25.0"/>
    <n v="57734"/>
    <s v="4.84"/>
    <n v="44415"/>
    <n v="1847488"/>
    <n v="426208"/>
    <s v="Feb"/>
    <n v="2"/>
    <n v="2026"/>
    <s v="Weekend"/>
    <n v="0.37209302325581395"/>
    <n v="0.48120300751879697"/>
    <n v="0.12030075187969924"/>
    <n v="13319"/>
    <s v="Stuttgart Auto Center"/>
  </r>
  <r>
    <s v="CUST_204"/>
    <x v="26"/>
    <x v="1"/>
    <s v="Friday"/>
    <s v="No"/>
    <x v="5"/>
    <x v="5"/>
    <s v="Hamburg"/>
    <x v="3"/>
    <s v="EQE"/>
    <s v="Petrol"/>
    <x v="1"/>
    <s v="36-50"/>
    <s v="Medium"/>
    <x v="0"/>
    <x v="1"/>
    <s v="Sales_17"/>
    <n v="151"/>
    <n v="71"/>
    <n v="51"/>
    <n v="21"/>
    <s v="29.58"/>
    <n v="65885"/>
    <s v="5.14"/>
    <n v="50323"/>
    <n v="1383585"/>
    <n v="326802"/>
    <s v="Feb"/>
    <n v="2"/>
    <n v="2026"/>
    <s v="Weekday"/>
    <n v="0.41176470588235292"/>
    <n v="0.47019867549668876"/>
    <n v="0.13907284768211919"/>
    <n v="15562"/>
    <s v="Elbe Drive"/>
  </r>
  <r>
    <s v="CUST_205"/>
    <x v="21"/>
    <x v="0"/>
    <s v="Tuesday"/>
    <s v="No"/>
    <x v="6"/>
    <x v="6"/>
    <s v="Saxony"/>
    <x v="1"/>
    <s v="Mokka"/>
    <s v="Electric"/>
    <x v="0"/>
    <s v="36-50"/>
    <s v="High"/>
    <x v="1"/>
    <x v="3"/>
    <s v="Sales_4"/>
    <n v="349"/>
    <n v="168"/>
    <n v="97"/>
    <n v="25"/>
    <s v="14.88"/>
    <n v="20963"/>
    <s v="7.49"/>
    <n v="19177"/>
    <n v="524075"/>
    <n v="44650"/>
    <s v="Feb"/>
    <n v="2"/>
    <n v="2026"/>
    <s v="Weekday"/>
    <n v="0.25773195876288657"/>
    <n v="0.48137535816618909"/>
    <n v="7.1633237822349566E-2"/>
    <n v="1786"/>
    <s v="Leipzig Mobility"/>
  </r>
  <r>
    <s v="CUST_206"/>
    <x v="16"/>
    <x v="1"/>
    <s v="Tuesday"/>
    <s v="No"/>
    <x v="3"/>
    <x v="3"/>
    <s v="Saxony"/>
    <x v="0"/>
    <s v="X3"/>
    <s v="Hybrid"/>
    <x v="0"/>
    <s v="36-50"/>
    <s v="High"/>
    <x v="1"/>
    <x v="3"/>
    <s v="Sales_13"/>
    <n v="191"/>
    <n v="91"/>
    <n v="67"/>
    <n v="23"/>
    <s v="25.27"/>
    <n v="66516"/>
    <s v="3.37"/>
    <n v="47629"/>
    <n v="1529868"/>
    <n v="434401"/>
    <s v="Feb"/>
    <n v="2"/>
    <n v="2026"/>
    <s v="Weekday"/>
    <n v="0.34328358208955223"/>
    <n v="0.47643979057591623"/>
    <n v="0.12041884816753927"/>
    <n v="18887"/>
    <s v="Saxon Wheels"/>
  </r>
  <r>
    <s v="CUST_207"/>
    <x v="14"/>
    <x v="2"/>
    <s v="Friday"/>
    <s v="No"/>
    <x v="2"/>
    <x v="2"/>
    <s v="Lower Saxony"/>
    <x v="2"/>
    <s v="Q5"/>
    <s v="Electric"/>
    <x v="0"/>
    <s v="36-50"/>
    <s v="High"/>
    <x v="0"/>
    <x v="0"/>
    <s v="Sales_10"/>
    <n v="292"/>
    <n v="145"/>
    <n v="95"/>
    <n v="27"/>
    <s v="18.62"/>
    <n v="43333"/>
    <s v="4.92"/>
    <n v="34835"/>
    <n v="1169991"/>
    <n v="229446"/>
    <s v="Feb"/>
    <n v="2"/>
    <n v="2026"/>
    <s v="Weekday"/>
    <n v="0.28421052631578947"/>
    <n v="0.49657534246575341"/>
    <n v="9.2465753424657529E-2"/>
    <n v="8498"/>
    <s v="Hannover Cars"/>
  </r>
  <r>
    <s v="CUST_208"/>
    <x v="3"/>
    <x v="1"/>
    <s v="Sunday"/>
    <s v="Yes"/>
    <x v="8"/>
    <x v="8"/>
    <s v="Baden-WÃ¼rttemberg"/>
    <x v="2"/>
    <s v="A4"/>
    <s v="Electric"/>
    <x v="1"/>
    <s v="18-25"/>
    <s v="Medium"/>
    <x v="1"/>
    <x v="2"/>
    <s v="Sales_18"/>
    <n v="232"/>
    <n v="122"/>
    <n v="94"/>
    <n v="31"/>
    <s v="25.41"/>
    <n v="52470"/>
    <s v="4.16"/>
    <n v="41210"/>
    <n v="1626570"/>
    <n v="349060"/>
    <s v="Feb"/>
    <n v="2"/>
    <n v="2026"/>
    <s v="Weekend"/>
    <n v="0.32978723404255317"/>
    <n v="0.52586206896551724"/>
    <n v="0.1336206896551724"/>
    <n v="11260"/>
    <s v="Stuttgart Auto Center"/>
  </r>
  <r>
    <s v="CUST_209"/>
    <x v="20"/>
    <x v="0"/>
    <s v="Thursday"/>
    <s v="No"/>
    <x v="0"/>
    <x v="0"/>
    <s v="Hesse"/>
    <x v="3"/>
    <s v="EQE"/>
    <s v="Hybrid"/>
    <x v="1"/>
    <s v="36-50"/>
    <s v="Medium"/>
    <x v="0"/>
    <x v="0"/>
    <s v="Sales_5"/>
    <n v="176"/>
    <n v="79"/>
    <n v="54"/>
    <n v="16"/>
    <s v="20.25"/>
    <n v="69022"/>
    <s v="2.41"/>
    <n v="54266"/>
    <n v="1104352"/>
    <n v="236096"/>
    <s v="Feb"/>
    <n v="2"/>
    <n v="2026"/>
    <s v="Weekday"/>
    <n v="0.29629629629629628"/>
    <n v="0.44886363636363635"/>
    <n v="9.0909090909090912E-2"/>
    <n v="14756"/>
    <s v="Main Auto Hub"/>
  </r>
  <r>
    <s v="CUST_210"/>
    <x v="11"/>
    <x v="0"/>
    <s v="Wednesday"/>
    <s v="No"/>
    <x v="0"/>
    <x v="0"/>
    <s v="Hesse"/>
    <x v="4"/>
    <s v="Golf"/>
    <s v="Petrol"/>
    <x v="2"/>
    <s v="18-25"/>
    <s v="Low"/>
    <x v="0"/>
    <x v="3"/>
    <s v="Sales_15"/>
    <n v="324"/>
    <n v="152"/>
    <n v="105"/>
    <n v="19"/>
    <s v="12.5"/>
    <n v="25743"/>
    <s v="10.47"/>
    <n v="23425"/>
    <n v="489117"/>
    <n v="44042"/>
    <s v="Feb"/>
    <n v="2"/>
    <n v="2026"/>
    <s v="Weekday"/>
    <n v="0.18095238095238095"/>
    <n v="0.46913580246913578"/>
    <n v="5.8641975308641972E-2"/>
    <n v="2318"/>
    <s v="Main Auto Hub"/>
  </r>
  <r>
    <s v="CUST_211"/>
    <x v="27"/>
    <x v="3"/>
    <s v="Sunday"/>
    <s v="Yes"/>
    <x v="8"/>
    <x v="8"/>
    <s v="Baden-WÃ¼rttemberg"/>
    <x v="2"/>
    <s v="e-tron"/>
    <s v="Petrol"/>
    <x v="0"/>
    <s v="36-50"/>
    <s v="Medium"/>
    <x v="0"/>
    <x v="0"/>
    <s v="Sales_18"/>
    <n v="287"/>
    <n v="168"/>
    <n v="111"/>
    <n v="41"/>
    <s v="24.4"/>
    <n v="44067"/>
    <s v="5.69"/>
    <n v="34658"/>
    <n v="1806747"/>
    <n v="385769"/>
    <s v="Feb"/>
    <n v="2"/>
    <n v="2026"/>
    <s v="Weekend"/>
    <n v="0.36936936936936937"/>
    <n v="0.58536585365853655"/>
    <n v="0.14285714285714285"/>
    <n v="9409"/>
    <s v="Stuttgart Auto Center"/>
  </r>
  <r>
    <s v="CUST_212"/>
    <x v="16"/>
    <x v="1"/>
    <s v="Tuesday"/>
    <s v="No"/>
    <x v="1"/>
    <x v="1"/>
    <s v="NRW"/>
    <x v="0"/>
    <s v="i4"/>
    <s v="Hybrid"/>
    <x v="1"/>
    <s v="36-50"/>
    <s v="Medium"/>
    <x v="1"/>
    <x v="3"/>
    <s v="Sales_1"/>
    <n v="204"/>
    <n v="95"/>
    <n v="69"/>
    <n v="25"/>
    <s v="26.32"/>
    <n v="62851"/>
    <s v="2.87"/>
    <n v="47910"/>
    <n v="1571275"/>
    <n v="373525"/>
    <s v="Feb"/>
    <n v="2"/>
    <n v="2026"/>
    <s v="Weekday"/>
    <n v="0.36231884057971014"/>
    <n v="0.46568627450980393"/>
    <n v="0.12254901960784313"/>
    <n v="14941"/>
    <s v="Rhein Auto Group"/>
  </r>
  <r>
    <s v="CUST_213"/>
    <x v="24"/>
    <x v="1"/>
    <s v="Thursday"/>
    <s v="No"/>
    <x v="7"/>
    <x v="7"/>
    <s v="Bavaria"/>
    <x v="1"/>
    <s v="Crossland"/>
    <s v="Hybrid"/>
    <x v="0"/>
    <s v="50+"/>
    <s v="Low"/>
    <x v="1"/>
    <x v="2"/>
    <s v="Sales_2"/>
    <n v="321"/>
    <n v="153"/>
    <n v="104"/>
    <n v="33"/>
    <s v="21.57"/>
    <n v="23431"/>
    <s v="12.46"/>
    <n v="21373"/>
    <n v="773223"/>
    <n v="67914"/>
    <s v="Feb"/>
    <n v="2"/>
    <n v="2026"/>
    <s v="Weekday"/>
    <n v="0.31730769230769229"/>
    <n v="0.47663551401869159"/>
    <n v="0.10280373831775701"/>
    <n v="2058"/>
    <s v="Bavaria Motors"/>
  </r>
  <r>
    <s v="CUST_214"/>
    <x v="19"/>
    <x v="1"/>
    <s v="Saturday"/>
    <s v="Yes"/>
    <x v="2"/>
    <x v="2"/>
    <s v="Lower Saxony"/>
    <x v="1"/>
    <s v="Corsa"/>
    <s v="Hybrid"/>
    <x v="2"/>
    <s v="26-35"/>
    <s v="Low"/>
    <x v="1"/>
    <x v="3"/>
    <s v="Sales_17"/>
    <n v="329"/>
    <n v="179"/>
    <n v="121"/>
    <n v="23"/>
    <s v="12.85"/>
    <n v="22124"/>
    <s v="7.41"/>
    <n v="20363"/>
    <n v="508852"/>
    <n v="40503"/>
    <s v="Feb"/>
    <n v="2"/>
    <n v="2026"/>
    <s v="Weekend"/>
    <n v="0.19008264462809918"/>
    <n v="0.54407294832826747"/>
    <n v="6.9908814589665649E-2"/>
    <n v="1761"/>
    <s v="Hannover Cars"/>
  </r>
  <r>
    <s v="CUST_215"/>
    <x v="24"/>
    <x v="1"/>
    <s v="Thursday"/>
    <s v="No"/>
    <x v="9"/>
    <x v="9"/>
    <s v="NRW"/>
    <x v="2"/>
    <s v="Q5"/>
    <s v="Electric"/>
    <x v="0"/>
    <s v="36-50"/>
    <s v="Medium"/>
    <x v="0"/>
    <x v="1"/>
    <s v="Sales_7"/>
    <n v="292"/>
    <n v="152"/>
    <n v="102"/>
    <n v="36"/>
    <s v="23.68"/>
    <n v="48634"/>
    <s v="5.56"/>
    <n v="36752"/>
    <n v="1750824"/>
    <n v="427752"/>
    <s v="Feb"/>
    <n v="2"/>
    <n v="2026"/>
    <s v="Weekday"/>
    <n v="0.35294117647058826"/>
    <n v="0.52054794520547942"/>
    <n v="0.12328767123287671"/>
    <n v="11882"/>
    <s v="Ruhr Auto Plaza"/>
  </r>
  <r>
    <s v="CUST_216"/>
    <x v="19"/>
    <x v="1"/>
    <s v="Saturday"/>
    <s v="Yes"/>
    <x v="7"/>
    <x v="7"/>
    <s v="Bavaria"/>
    <x v="3"/>
    <s v="GLC"/>
    <s v="Diesel"/>
    <x v="0"/>
    <s v="18-25"/>
    <s v="High"/>
    <x v="1"/>
    <x v="2"/>
    <s v="Sales_11"/>
    <n v="159"/>
    <n v="74"/>
    <n v="58"/>
    <n v="22"/>
    <s v="29.73"/>
    <n v="67885"/>
    <s v="5.37"/>
    <n v="49970"/>
    <n v="1493470"/>
    <n v="394130"/>
    <s v="Feb"/>
    <n v="2"/>
    <n v="2026"/>
    <s v="Weekend"/>
    <n v="0.37931034482758619"/>
    <n v="0.46540880503144655"/>
    <n v="0.13836477987421383"/>
    <n v="17915"/>
    <s v="Bavaria Motors"/>
  </r>
  <r>
    <s v="CUST_217"/>
    <x v="9"/>
    <x v="0"/>
    <s v="Sunday"/>
    <s v="Yes"/>
    <x v="7"/>
    <x v="7"/>
    <s v="Bavaria"/>
    <x v="3"/>
    <s v="EQE"/>
    <s v="Electric"/>
    <x v="1"/>
    <s v="36-50"/>
    <s v="Medium"/>
    <x v="0"/>
    <x v="2"/>
    <s v="Sales_6"/>
    <n v="227"/>
    <n v="101"/>
    <n v="69"/>
    <n v="28"/>
    <s v="27.72"/>
    <n v="64950"/>
    <s v="2.71"/>
    <n v="51293"/>
    <n v="1818600"/>
    <n v="382396"/>
    <s v="Feb"/>
    <n v="2"/>
    <n v="2026"/>
    <s v="Weekend"/>
    <n v="0.40579710144927539"/>
    <n v="0.44493392070484583"/>
    <n v="0.12334801762114538"/>
    <n v="13657"/>
    <s v="Bavaria Motors"/>
  </r>
  <r>
    <s v="CUST_218"/>
    <x v="6"/>
    <x v="2"/>
    <s v="Saturday"/>
    <s v="Yes"/>
    <x v="8"/>
    <x v="8"/>
    <s v="Baden-WÃ¼rttemberg"/>
    <x v="2"/>
    <s v="A4"/>
    <s v="Petrol"/>
    <x v="1"/>
    <s v="18-25"/>
    <s v="Low"/>
    <x v="0"/>
    <x v="3"/>
    <s v="Sales_11"/>
    <n v="267"/>
    <n v="132"/>
    <n v="92"/>
    <n v="29"/>
    <s v="21.97"/>
    <n v="41231"/>
    <s v="4.72"/>
    <n v="33341"/>
    <n v="1195699"/>
    <n v="228810"/>
    <s v="Feb"/>
    <n v="2"/>
    <n v="2026"/>
    <s v="Weekend"/>
    <n v="0.31521739130434784"/>
    <n v="0.4943820224719101"/>
    <n v="0.10861423220973783"/>
    <n v="7890"/>
    <s v="Stuttgart Auto Center"/>
  </r>
  <r>
    <s v="CUST_219"/>
    <x v="15"/>
    <x v="2"/>
    <s v="Thursday"/>
    <s v="No"/>
    <x v="7"/>
    <x v="7"/>
    <s v="Bavaria"/>
    <x v="0"/>
    <s v="X5"/>
    <s v="Electric"/>
    <x v="0"/>
    <s v="18-25"/>
    <s v="Low"/>
    <x v="1"/>
    <x v="2"/>
    <s v="Sales_15"/>
    <n v="140"/>
    <n v="70"/>
    <n v="49"/>
    <n v="23"/>
    <s v="32.86"/>
    <n v="60267"/>
    <s v="3.45"/>
    <n v="45387"/>
    <n v="1386141"/>
    <n v="342240"/>
    <s v="Feb"/>
    <n v="2"/>
    <n v="2026"/>
    <s v="Weekday"/>
    <n v="0.46938775510204084"/>
    <n v="0.5"/>
    <n v="0.16428571428571428"/>
    <n v="14880"/>
    <s v="Bavaria Motors"/>
  </r>
  <r>
    <s v="CUST_220"/>
    <x v="8"/>
    <x v="3"/>
    <s v="Wednesday"/>
    <s v="No"/>
    <x v="2"/>
    <x v="2"/>
    <s v="Lower Saxony"/>
    <x v="3"/>
    <s v="E-Class"/>
    <s v="Electric"/>
    <x v="1"/>
    <s v="36-50"/>
    <s v="Low"/>
    <x v="0"/>
    <x v="3"/>
    <s v="Sales_12"/>
    <n v="152"/>
    <n v="80"/>
    <n v="62"/>
    <n v="18"/>
    <s v="22.5"/>
    <n v="68550"/>
    <s v="4.23"/>
    <n v="50076"/>
    <n v="1233900"/>
    <n v="332532"/>
    <s v="Feb"/>
    <n v="2"/>
    <n v="2026"/>
    <s v="Weekday"/>
    <n v="0.29032258064516131"/>
    <n v="0.52631578947368418"/>
    <n v="0.11842105263157894"/>
    <n v="18474"/>
    <s v="Hannover Cars"/>
  </r>
  <r>
    <s v="CUST_221"/>
    <x v="2"/>
    <x v="2"/>
    <s v="Monday"/>
    <s v="No"/>
    <x v="6"/>
    <x v="6"/>
    <s v="Saxony"/>
    <x v="2"/>
    <s v="A3"/>
    <s v="Hybrid"/>
    <x v="2"/>
    <s v="36-50"/>
    <s v="Low"/>
    <x v="0"/>
    <x v="1"/>
    <s v="Sales_6"/>
    <n v="220"/>
    <n v="115"/>
    <n v="85"/>
    <n v="27"/>
    <s v="23.48"/>
    <n v="55765"/>
    <s v="3.31"/>
    <n v="44583"/>
    <n v="1505655"/>
    <n v="301914"/>
    <s v="Feb"/>
    <n v="2"/>
    <n v="2026"/>
    <s v="Weekday"/>
    <n v="0.31764705882352939"/>
    <n v="0.52272727272727271"/>
    <n v="0.12272727272727273"/>
    <n v="11182"/>
    <s v="Leipzig Mobility"/>
  </r>
  <r>
    <s v="CUST_222"/>
    <x v="2"/>
    <x v="2"/>
    <s v="Monday"/>
    <s v="No"/>
    <x v="1"/>
    <x v="1"/>
    <s v="NRW"/>
    <x v="4"/>
    <s v="Tiguan"/>
    <s v="Diesel"/>
    <x v="0"/>
    <s v="18-25"/>
    <s v="Low"/>
    <x v="0"/>
    <x v="1"/>
    <s v="Sales_4"/>
    <n v="376"/>
    <n v="183"/>
    <n v="119"/>
    <n v="36"/>
    <s v="19.67"/>
    <n v="27610"/>
    <s v="11.91"/>
    <n v="24754"/>
    <n v="993960"/>
    <n v="102816"/>
    <s v="Feb"/>
    <n v="2"/>
    <n v="2026"/>
    <s v="Weekday"/>
    <n v="0.30252100840336132"/>
    <n v="0.48670212765957449"/>
    <n v="9.5744680851063829E-2"/>
    <n v="2856"/>
    <s v="Rhein Auto Group"/>
  </r>
  <r>
    <s v="CUST_223"/>
    <x v="3"/>
    <x v="1"/>
    <s v="Sunday"/>
    <s v="Yes"/>
    <x v="0"/>
    <x v="0"/>
    <s v="Hesse"/>
    <x v="0"/>
    <s v="5 Series"/>
    <s v="Petrol"/>
    <x v="1"/>
    <s v="26-35"/>
    <s v="Low"/>
    <x v="0"/>
    <x v="2"/>
    <s v="Sales_11"/>
    <n v="228"/>
    <n v="123"/>
    <n v="97"/>
    <n v="34"/>
    <s v="27.64"/>
    <n v="57787"/>
    <s v="3.04"/>
    <n v="41012"/>
    <n v="1964758"/>
    <n v="570350"/>
    <s v="Feb"/>
    <n v="2"/>
    <n v="2026"/>
    <s v="Weekend"/>
    <n v="0.35051546391752575"/>
    <n v="0.53947368421052633"/>
    <n v="0.14912280701754385"/>
    <n v="16775"/>
    <s v="Main Auto Hub"/>
  </r>
  <r>
    <s v="CUST_224"/>
    <x v="9"/>
    <x v="0"/>
    <s v="Sunday"/>
    <s v="Yes"/>
    <x v="5"/>
    <x v="5"/>
    <s v="Hamburg"/>
    <x v="1"/>
    <s v="Corsa"/>
    <s v="Hybrid"/>
    <x v="2"/>
    <s v="26-35"/>
    <s v="High"/>
    <x v="1"/>
    <x v="1"/>
    <s v="Sales_6"/>
    <n v="225"/>
    <n v="101"/>
    <n v="61"/>
    <n v="19"/>
    <s v="18.81"/>
    <n v="26541"/>
    <s v="11.02"/>
    <n v="23862"/>
    <n v="504279"/>
    <n v="50901"/>
    <s v="Feb"/>
    <n v="2"/>
    <n v="2026"/>
    <s v="Weekend"/>
    <n v="0.31147540983606559"/>
    <n v="0.44888888888888889"/>
    <n v="8.4444444444444447E-2"/>
    <n v="2679"/>
    <s v="Elbe Drive"/>
  </r>
  <r>
    <s v="CUST_225"/>
    <x v="4"/>
    <x v="2"/>
    <s v="Wednesday"/>
    <s v="No"/>
    <x v="2"/>
    <x v="2"/>
    <s v="Lower Saxony"/>
    <x v="1"/>
    <s v="Corsa"/>
    <s v="Petrol"/>
    <x v="2"/>
    <s v="50+"/>
    <s v="Low"/>
    <x v="0"/>
    <x v="0"/>
    <s v="Sales_5"/>
    <n v="413"/>
    <n v="174"/>
    <n v="116"/>
    <n v="23"/>
    <s v="13.22"/>
    <n v="20824"/>
    <s v="11.62"/>
    <n v="18838"/>
    <n v="478952"/>
    <n v="45678"/>
    <s v="Feb"/>
    <n v="2"/>
    <n v="2026"/>
    <s v="Weekday"/>
    <n v="0.19827586206896552"/>
    <n v="0.42130750605326878"/>
    <n v="5.569007263922518E-2"/>
    <n v="1986"/>
    <s v="Hannover Cars"/>
  </r>
  <r>
    <s v="CUST_226"/>
    <x v="15"/>
    <x v="2"/>
    <s v="Thursday"/>
    <s v="No"/>
    <x v="6"/>
    <x v="6"/>
    <s v="Saxony"/>
    <x v="3"/>
    <s v="E-Class"/>
    <s v="Petrol"/>
    <x v="1"/>
    <s v="50+"/>
    <s v="Low"/>
    <x v="0"/>
    <x v="0"/>
    <s v="Sales_18"/>
    <n v="270"/>
    <n v="123"/>
    <n v="87"/>
    <n v="26"/>
    <s v="21.14"/>
    <n v="57138"/>
    <s v="2.3"/>
    <n v="43081"/>
    <n v="1485588"/>
    <n v="365482"/>
    <s v="Feb"/>
    <n v="2"/>
    <n v="2026"/>
    <s v="Weekday"/>
    <n v="0.2988505747126437"/>
    <n v="0.45555555555555555"/>
    <n v="9.6296296296296297E-2"/>
    <n v="14057"/>
    <s v="Leipzig Mobility"/>
  </r>
  <r>
    <s v="CUST_227"/>
    <x v="11"/>
    <x v="0"/>
    <s v="Wednesday"/>
    <s v="No"/>
    <x v="1"/>
    <x v="1"/>
    <s v="NRW"/>
    <x v="0"/>
    <s v="X3"/>
    <s v="Hybrid"/>
    <x v="0"/>
    <s v="36-50"/>
    <s v="Medium"/>
    <x v="1"/>
    <x v="2"/>
    <s v="Sales_3"/>
    <n v="180"/>
    <n v="85"/>
    <n v="58"/>
    <n v="25"/>
    <s v="29.41"/>
    <n v="61623"/>
    <s v="5.07"/>
    <n v="44420"/>
    <n v="1540575"/>
    <n v="430075"/>
    <s v="Feb"/>
    <n v="2"/>
    <n v="2026"/>
    <s v="Weekday"/>
    <n v="0.43103448275862066"/>
    <n v="0.47222222222222221"/>
    <n v="0.1388888888888889"/>
    <n v="17203"/>
    <s v="Rhein Auto Group"/>
  </r>
  <r>
    <s v="CUST_228"/>
    <x v="21"/>
    <x v="0"/>
    <s v="Tuesday"/>
    <s v="No"/>
    <x v="9"/>
    <x v="9"/>
    <s v="NRW"/>
    <x v="4"/>
    <s v="Tiguan"/>
    <s v="Hybrid"/>
    <x v="0"/>
    <s v="36-50"/>
    <s v="Low"/>
    <x v="1"/>
    <x v="3"/>
    <s v="Sales_16"/>
    <n v="410"/>
    <n v="224"/>
    <n v="138"/>
    <n v="28"/>
    <s v="12.5"/>
    <n v="32536"/>
    <s v="6.45"/>
    <n v="28256"/>
    <n v="911008"/>
    <n v="119840"/>
    <s v="Feb"/>
    <n v="2"/>
    <n v="2026"/>
    <s v="Weekday"/>
    <n v="0.20289855072463769"/>
    <n v="0.54634146341463419"/>
    <n v="6.8292682926829273E-2"/>
    <n v="4280"/>
    <s v="Ruhr Auto Plaza"/>
  </r>
  <r>
    <s v="CUST_229"/>
    <x v="10"/>
    <x v="1"/>
    <s v="Monday"/>
    <s v="No"/>
    <x v="4"/>
    <x v="4"/>
    <s v="Berlin"/>
    <x v="3"/>
    <s v="GLC"/>
    <s v="Electric"/>
    <x v="0"/>
    <s v="18-25"/>
    <s v="High"/>
    <x v="1"/>
    <x v="0"/>
    <s v="Sales_6"/>
    <n v="172"/>
    <n v="76"/>
    <n v="57"/>
    <n v="18"/>
    <s v="23.68"/>
    <n v="51295"/>
    <s v="2.28"/>
    <n v="39352"/>
    <n v="923310"/>
    <n v="214974"/>
    <s v="Feb"/>
    <n v="2"/>
    <n v="2026"/>
    <s v="Weekday"/>
    <n v="0.31578947368421051"/>
    <n v="0.44186046511627908"/>
    <n v="0.10465116279069768"/>
    <n v="11943"/>
    <s v="Autohaus Berlin"/>
  </r>
  <r>
    <s v="CUST_230"/>
    <x v="14"/>
    <x v="2"/>
    <s v="Friday"/>
    <s v="No"/>
    <x v="5"/>
    <x v="5"/>
    <s v="Hamburg"/>
    <x v="4"/>
    <s v="Passat"/>
    <s v="Diesel"/>
    <x v="1"/>
    <s v="18-25"/>
    <s v="Medium"/>
    <x v="1"/>
    <x v="3"/>
    <s v="Sales_10"/>
    <n v="319"/>
    <n v="172"/>
    <n v="122"/>
    <n v="24"/>
    <s v="13.95"/>
    <n v="32685"/>
    <s v="10.56"/>
    <n v="28139"/>
    <n v="784440"/>
    <n v="109104"/>
    <s v="Feb"/>
    <n v="2"/>
    <n v="2026"/>
    <s v="Weekday"/>
    <n v="0.19672131147540983"/>
    <n v="0.53918495297805646"/>
    <n v="7.5235109717868343E-2"/>
    <n v="4546"/>
    <s v="Elbe Drive"/>
  </r>
  <r>
    <s v="CUST_231"/>
    <x v="21"/>
    <x v="0"/>
    <s v="Tuesday"/>
    <s v="No"/>
    <x v="9"/>
    <x v="9"/>
    <s v="NRW"/>
    <x v="0"/>
    <s v="X5"/>
    <s v="Hybrid"/>
    <x v="0"/>
    <s v="36-50"/>
    <s v="Low"/>
    <x v="0"/>
    <x v="0"/>
    <s v="Sales_5"/>
    <n v="176"/>
    <n v="101"/>
    <n v="73"/>
    <n v="26"/>
    <s v="25.74"/>
    <n v="55740"/>
    <s v="4.02"/>
    <n v="42475"/>
    <n v="1449240"/>
    <n v="344890"/>
    <s v="Feb"/>
    <n v="2"/>
    <n v="2026"/>
    <s v="Weekday"/>
    <n v="0.35616438356164382"/>
    <n v="0.57386363636363635"/>
    <n v="0.14772727272727273"/>
    <n v="13265"/>
    <s v="Ruhr Auto Plaza"/>
  </r>
  <r>
    <s v="CUST_232"/>
    <x v="24"/>
    <x v="1"/>
    <s v="Thursday"/>
    <s v="No"/>
    <x v="7"/>
    <x v="7"/>
    <s v="Bavaria"/>
    <x v="4"/>
    <s v="Passat"/>
    <s v="Hybrid"/>
    <x v="1"/>
    <s v="18-25"/>
    <s v="Medium"/>
    <x v="1"/>
    <x v="0"/>
    <s v="Sales_16"/>
    <n v="272"/>
    <n v="127"/>
    <n v="88"/>
    <n v="18"/>
    <s v="14.17"/>
    <n v="31722"/>
    <s v="8.13"/>
    <n v="28534"/>
    <n v="570996"/>
    <n v="57384"/>
    <s v="Feb"/>
    <n v="2"/>
    <n v="2026"/>
    <s v="Weekday"/>
    <n v="0.20454545454545456"/>
    <n v="0.46691176470588236"/>
    <n v="6.6176470588235295E-2"/>
    <n v="3188"/>
    <s v="Bavaria Motors"/>
  </r>
  <r>
    <s v="CUST_233"/>
    <x v="16"/>
    <x v="1"/>
    <s v="Tuesday"/>
    <s v="No"/>
    <x v="8"/>
    <x v="8"/>
    <s v="Baden-WÃ¼rttemberg"/>
    <x v="3"/>
    <s v="EQE"/>
    <s v="Hybrid"/>
    <x v="1"/>
    <s v="26-35"/>
    <s v="Medium"/>
    <x v="0"/>
    <x v="3"/>
    <s v="Sales_18"/>
    <n v="207"/>
    <n v="116"/>
    <n v="89"/>
    <n v="30"/>
    <s v="25.86"/>
    <n v="62854"/>
    <s v="3.45"/>
    <n v="48225"/>
    <n v="1885620"/>
    <n v="438870"/>
    <s v="Feb"/>
    <n v="2"/>
    <n v="2026"/>
    <s v="Weekday"/>
    <n v="0.33707865168539325"/>
    <n v="0.56038647342995174"/>
    <n v="0.14492753623188406"/>
    <n v="14629"/>
    <s v="Stuttgart Auto Center"/>
  </r>
  <r>
    <s v="CUST_234"/>
    <x v="19"/>
    <x v="1"/>
    <s v="Saturday"/>
    <s v="Yes"/>
    <x v="2"/>
    <x v="2"/>
    <s v="Lower Saxony"/>
    <x v="2"/>
    <s v="Q5"/>
    <s v="Diesel"/>
    <x v="0"/>
    <s v="18-25"/>
    <s v="Low"/>
    <x v="0"/>
    <x v="0"/>
    <s v="Sales_18"/>
    <n v="314"/>
    <n v="154"/>
    <n v="119"/>
    <n v="30"/>
    <s v="19.48"/>
    <n v="51679"/>
    <s v="5.16"/>
    <n v="40695"/>
    <n v="1550370"/>
    <n v="329520"/>
    <s v="Feb"/>
    <n v="2"/>
    <n v="2026"/>
    <s v="Weekend"/>
    <n v="0.25210084033613445"/>
    <n v="0.49044585987261147"/>
    <n v="9.5541401273885357E-2"/>
    <n v="10984"/>
    <s v="Hannover Cars"/>
  </r>
  <r>
    <s v="CUST_235"/>
    <x v="1"/>
    <x v="1"/>
    <s v="Wednesday"/>
    <s v="No"/>
    <x v="4"/>
    <x v="4"/>
    <s v="Berlin"/>
    <x v="3"/>
    <s v="GLE"/>
    <s v="Diesel"/>
    <x v="0"/>
    <s v="18-25"/>
    <s v="Medium"/>
    <x v="0"/>
    <x v="0"/>
    <s v="Sales_13"/>
    <n v="175"/>
    <n v="93"/>
    <n v="70"/>
    <n v="23"/>
    <s v="24.73"/>
    <n v="62310"/>
    <s v="2.29"/>
    <n v="46009"/>
    <n v="1433130"/>
    <n v="374923"/>
    <s v="Feb"/>
    <n v="2"/>
    <n v="2026"/>
    <s v="Weekday"/>
    <n v="0.32857142857142857"/>
    <n v="0.53142857142857147"/>
    <n v="0.13142857142857142"/>
    <n v="16301"/>
    <s v="Autohaus Berlin"/>
  </r>
  <r>
    <s v="CUST_236"/>
    <x v="20"/>
    <x v="0"/>
    <s v="Thursday"/>
    <s v="No"/>
    <x v="6"/>
    <x v="6"/>
    <s v="Saxony"/>
    <x v="3"/>
    <s v="C-Class"/>
    <s v="Petrol"/>
    <x v="1"/>
    <s v="50+"/>
    <s v="Medium"/>
    <x v="1"/>
    <x v="0"/>
    <s v="Sales_10"/>
    <n v="236"/>
    <n v="116"/>
    <n v="88"/>
    <n v="26"/>
    <s v="22.41"/>
    <n v="65297"/>
    <s v="2.59"/>
    <n v="49137"/>
    <n v="1697722"/>
    <n v="420160"/>
    <s v="Feb"/>
    <n v="2"/>
    <n v="2026"/>
    <s v="Weekday"/>
    <n v="0.29545454545454547"/>
    <n v="0.49152542372881358"/>
    <n v="0.11016949152542373"/>
    <n v="16160"/>
    <s v="Leipzig Mobility"/>
  </r>
  <r>
    <s v="CUST_237"/>
    <x v="27"/>
    <x v="3"/>
    <s v="Sunday"/>
    <s v="Yes"/>
    <x v="2"/>
    <x v="2"/>
    <s v="Lower Saxony"/>
    <x v="3"/>
    <s v="GLE"/>
    <s v="Electric"/>
    <x v="0"/>
    <s v="18-25"/>
    <s v="Medium"/>
    <x v="0"/>
    <x v="1"/>
    <s v="Sales_19"/>
    <n v="156"/>
    <n v="69"/>
    <n v="46"/>
    <n v="17"/>
    <s v="24.64"/>
    <n v="67965"/>
    <s v="5.12"/>
    <n v="49146"/>
    <n v="1155405"/>
    <n v="319923"/>
    <s v="Feb"/>
    <n v="2"/>
    <n v="2026"/>
    <s v="Weekend"/>
    <n v="0.36956521739130432"/>
    <n v="0.44230769230769229"/>
    <n v="0.10897435897435898"/>
    <n v="18819"/>
    <s v="Hannover Cars"/>
  </r>
  <r>
    <s v="CUST_238"/>
    <x v="17"/>
    <x v="2"/>
    <s v="Sunday"/>
    <s v="Yes"/>
    <x v="2"/>
    <x v="2"/>
    <s v="Lower Saxony"/>
    <x v="1"/>
    <s v="Astra"/>
    <s v="Electric"/>
    <x v="2"/>
    <s v="18-25"/>
    <s v="High"/>
    <x v="1"/>
    <x v="3"/>
    <s v="Sales_12"/>
    <n v="360"/>
    <n v="184"/>
    <n v="107"/>
    <n v="24"/>
    <s v="13.04"/>
    <n v="22060"/>
    <s v="8.35"/>
    <n v="19757"/>
    <n v="529440"/>
    <n v="55272"/>
    <s v="Feb"/>
    <n v="2"/>
    <n v="2026"/>
    <s v="Weekend"/>
    <n v="0.22429906542056074"/>
    <n v="0.51111111111111107"/>
    <n v="6.6666666666666666E-2"/>
    <n v="2303"/>
    <s v="Hannover Cars"/>
  </r>
  <r>
    <s v="CUST_239"/>
    <x v="26"/>
    <x v="1"/>
    <s v="Friday"/>
    <s v="No"/>
    <x v="3"/>
    <x v="3"/>
    <s v="Saxony"/>
    <x v="4"/>
    <s v="ID.4"/>
    <s v="Diesel"/>
    <x v="0"/>
    <s v="26-35"/>
    <s v="Medium"/>
    <x v="0"/>
    <x v="3"/>
    <s v="Sales_12"/>
    <n v="511"/>
    <n v="269"/>
    <n v="190"/>
    <n v="34"/>
    <s v="12.64"/>
    <n v="33949"/>
    <s v="10.37"/>
    <n v="29309"/>
    <n v="1154266"/>
    <n v="157760"/>
    <s v="Feb"/>
    <n v="2"/>
    <n v="2026"/>
    <s v="Weekday"/>
    <n v="0.17894736842105263"/>
    <n v="0.52641878669275932"/>
    <n v="6.6536203522504889E-2"/>
    <n v="4640"/>
    <s v="Saxon Wheels"/>
  </r>
  <r>
    <s v="CUST_240"/>
    <x v="15"/>
    <x v="2"/>
    <s v="Thursday"/>
    <s v="No"/>
    <x v="6"/>
    <x v="6"/>
    <s v="Saxony"/>
    <x v="4"/>
    <s v="T-Roc"/>
    <s v="Diesel"/>
    <x v="0"/>
    <s v="50+"/>
    <s v="Medium"/>
    <x v="0"/>
    <x v="0"/>
    <s v="Sales_16"/>
    <n v="364"/>
    <n v="208"/>
    <n v="149"/>
    <n v="31"/>
    <s v="14.9"/>
    <n v="25111"/>
    <s v="10.48"/>
    <n v="22034"/>
    <n v="778441"/>
    <n v="95387"/>
    <s v="Feb"/>
    <n v="2"/>
    <n v="2026"/>
    <s v="Weekday"/>
    <n v="0.20805369127516779"/>
    <n v="0.5714285714285714"/>
    <n v="8.5164835164835168E-2"/>
    <n v="3077"/>
    <s v="Leipzig Mobility"/>
  </r>
  <r>
    <s v="CUST_241"/>
    <x v="8"/>
    <x v="3"/>
    <s v="Wednesday"/>
    <s v="No"/>
    <x v="4"/>
    <x v="4"/>
    <s v="Berlin"/>
    <x v="2"/>
    <s v="A3"/>
    <s v="Petrol"/>
    <x v="2"/>
    <s v="26-35"/>
    <s v="High"/>
    <x v="1"/>
    <x v="3"/>
    <s v="Sales_3"/>
    <n v="204"/>
    <n v="115"/>
    <n v="78"/>
    <n v="23"/>
    <s v="20.0"/>
    <n v="48773"/>
    <s v="4.89"/>
    <n v="37511"/>
    <n v="1121779"/>
    <n v="259026"/>
    <s v="Feb"/>
    <n v="2"/>
    <n v="2026"/>
    <s v="Weekday"/>
    <n v="0.29487179487179488"/>
    <n v="0.56372549019607843"/>
    <n v="0.11274509803921569"/>
    <n v="11262"/>
    <s v="Autohaus Berlin"/>
  </r>
  <r>
    <s v="CUST_242"/>
    <x v="21"/>
    <x v="0"/>
    <s v="Tuesday"/>
    <s v="No"/>
    <x v="6"/>
    <x v="6"/>
    <s v="Saxony"/>
    <x v="1"/>
    <s v="Mokka"/>
    <s v="Diesel"/>
    <x v="0"/>
    <s v="26-35"/>
    <s v="Medium"/>
    <x v="0"/>
    <x v="2"/>
    <s v="Sales_8"/>
    <n v="344"/>
    <n v="191"/>
    <n v="120"/>
    <n v="34"/>
    <s v="17.8"/>
    <n v="22170"/>
    <s v="12.67"/>
    <n v="20387"/>
    <n v="753780"/>
    <n v="60622"/>
    <s v="Feb"/>
    <n v="2"/>
    <n v="2026"/>
    <s v="Weekday"/>
    <n v="0.28333333333333333"/>
    <n v="0.55523255813953487"/>
    <n v="9.8837209302325577E-2"/>
    <n v="1783"/>
    <s v="Leipzig Mobility"/>
  </r>
  <r>
    <s v="CUST_243"/>
    <x v="16"/>
    <x v="1"/>
    <s v="Tuesday"/>
    <s v="No"/>
    <x v="1"/>
    <x v="1"/>
    <s v="NRW"/>
    <x v="2"/>
    <s v="A3"/>
    <s v="Electric"/>
    <x v="2"/>
    <s v="26-35"/>
    <s v="High"/>
    <x v="1"/>
    <x v="0"/>
    <s v="Sales_16"/>
    <n v="183"/>
    <n v="89"/>
    <n v="58"/>
    <n v="19"/>
    <s v="21.35"/>
    <n v="39878"/>
    <s v="6.69"/>
    <n v="32670"/>
    <n v="757682"/>
    <n v="136952"/>
    <s v="Feb"/>
    <n v="2"/>
    <n v="2026"/>
    <s v="Weekday"/>
    <n v="0.32758620689655171"/>
    <n v="0.48633879781420764"/>
    <n v="0.10382513661202186"/>
    <n v="7208"/>
    <s v="Rhein Auto Group"/>
  </r>
  <r>
    <s v="CUST_244"/>
    <x v="27"/>
    <x v="3"/>
    <s v="Sunday"/>
    <s v="Yes"/>
    <x v="0"/>
    <x v="0"/>
    <s v="Hesse"/>
    <x v="4"/>
    <s v="ID.4"/>
    <s v="Petrol"/>
    <x v="0"/>
    <s v="18-25"/>
    <s v="Low"/>
    <x v="0"/>
    <x v="3"/>
    <s v="Sales_19"/>
    <n v="335"/>
    <n v="137"/>
    <n v="98"/>
    <n v="22"/>
    <s v="16.06"/>
    <n v="28220"/>
    <s v="9.25"/>
    <n v="25295"/>
    <n v="620840"/>
    <n v="64350"/>
    <s v="Feb"/>
    <n v="2"/>
    <n v="2026"/>
    <s v="Weekend"/>
    <n v="0.22448979591836735"/>
    <n v="0.40895522388059702"/>
    <n v="6.5671641791044774E-2"/>
    <n v="2925"/>
    <s v="Main Auto Hub"/>
  </r>
  <r>
    <s v="CUST_245"/>
    <x v="7"/>
    <x v="3"/>
    <s v="Monday"/>
    <s v="No"/>
    <x v="8"/>
    <x v="8"/>
    <s v="Baden-WÃ¼rttemberg"/>
    <x v="3"/>
    <s v="C-Class"/>
    <s v="Electric"/>
    <x v="1"/>
    <s v="36-50"/>
    <s v="High"/>
    <x v="0"/>
    <x v="2"/>
    <s v="Sales_4"/>
    <n v="184"/>
    <n v="86"/>
    <n v="66"/>
    <n v="24"/>
    <s v="27.91"/>
    <n v="63540"/>
    <s v="3.0"/>
    <n v="46608"/>
    <n v="1524960"/>
    <n v="406368"/>
    <s v="Feb"/>
    <n v="2"/>
    <n v="2026"/>
    <s v="Weekday"/>
    <n v="0.36363636363636365"/>
    <n v="0.46739130434782611"/>
    <n v="0.13043478260869565"/>
    <n v="16932"/>
    <s v="Stuttgart Auto Center"/>
  </r>
  <r>
    <s v="CUST_246"/>
    <x v="23"/>
    <x v="2"/>
    <s v="Tuesday"/>
    <s v="No"/>
    <x v="3"/>
    <x v="3"/>
    <s v="Saxony"/>
    <x v="1"/>
    <s v="Mokka"/>
    <s v="Hybrid"/>
    <x v="0"/>
    <s v="36-50"/>
    <s v="High"/>
    <x v="0"/>
    <x v="2"/>
    <s v="Sales_8"/>
    <n v="352"/>
    <n v="137"/>
    <n v="80"/>
    <n v="25"/>
    <s v="18.25"/>
    <n v="25725"/>
    <s v="11.57"/>
    <n v="23708"/>
    <n v="643125"/>
    <n v="50425"/>
    <s v="Feb"/>
    <n v="2"/>
    <n v="2026"/>
    <s v="Weekday"/>
    <n v="0.3125"/>
    <n v="0.38920454545454547"/>
    <n v="7.1022727272727279E-2"/>
    <n v="2017"/>
    <s v="Saxon Wheels"/>
  </r>
  <r>
    <s v="CUST_247"/>
    <x v="2"/>
    <x v="2"/>
    <s v="Monday"/>
    <s v="No"/>
    <x v="2"/>
    <x v="2"/>
    <s v="Lower Saxony"/>
    <x v="2"/>
    <s v="e-tron"/>
    <s v="Diesel"/>
    <x v="0"/>
    <s v="26-35"/>
    <s v="Low"/>
    <x v="0"/>
    <x v="0"/>
    <s v="Sales_4"/>
    <n v="312"/>
    <n v="189"/>
    <n v="145"/>
    <n v="42"/>
    <s v="22.22"/>
    <n v="53153"/>
    <s v="6.13"/>
    <n v="41023"/>
    <n v="2232426"/>
    <n v="509460"/>
    <s v="Feb"/>
    <n v="2"/>
    <n v="2026"/>
    <s v="Weekday"/>
    <n v="0.28965517241379313"/>
    <n v="0.60576923076923073"/>
    <n v="0.13461538461538461"/>
    <n v="12130"/>
    <s v="Hannover Cars"/>
  </r>
  <r>
    <s v="CUST_248"/>
    <x v="15"/>
    <x v="2"/>
    <s v="Thursday"/>
    <s v="No"/>
    <x v="4"/>
    <x v="4"/>
    <s v="Berlin"/>
    <x v="1"/>
    <s v="Corsa"/>
    <s v="Hybrid"/>
    <x v="2"/>
    <s v="26-35"/>
    <s v="High"/>
    <x v="1"/>
    <x v="3"/>
    <s v="Sales_2"/>
    <n v="397"/>
    <n v="154"/>
    <n v="88"/>
    <n v="24"/>
    <s v="15.58"/>
    <n v="22180"/>
    <s v="12.45"/>
    <n v="19787"/>
    <n v="532320"/>
    <n v="57432"/>
    <s v="Feb"/>
    <n v="2"/>
    <n v="2026"/>
    <s v="Weekday"/>
    <n v="0.27272727272727271"/>
    <n v="0.38790931989924432"/>
    <n v="6.0453400503778336E-2"/>
    <n v="2393"/>
    <s v="Autohaus Berlin"/>
  </r>
  <r>
    <s v="CUST_249"/>
    <x v="12"/>
    <x v="3"/>
    <s v="Thursday"/>
    <s v="No"/>
    <x v="9"/>
    <x v="9"/>
    <s v="NRW"/>
    <x v="4"/>
    <s v="Tiguan"/>
    <s v="Petrol"/>
    <x v="0"/>
    <s v="50+"/>
    <s v="High"/>
    <x v="0"/>
    <x v="3"/>
    <s v="Sales_19"/>
    <n v="272"/>
    <n v="136"/>
    <n v="82"/>
    <n v="19"/>
    <s v="13.97"/>
    <n v="29448"/>
    <s v="11.42"/>
    <n v="25399"/>
    <n v="559512"/>
    <n v="76931"/>
    <s v="Feb"/>
    <n v="2"/>
    <n v="2026"/>
    <s v="Weekday"/>
    <n v="0.23170731707317074"/>
    <n v="0.5"/>
    <n v="6.985294117647059E-2"/>
    <n v="4049"/>
    <s v="Ruhr Auto Plaza"/>
  </r>
  <r>
    <s v="CUST_250"/>
    <x v="5"/>
    <x v="3"/>
    <s v="Saturday"/>
    <s v="Yes"/>
    <x v="0"/>
    <x v="0"/>
    <s v="Hesse"/>
    <x v="3"/>
    <s v="EQE"/>
    <s v="Petrol"/>
    <x v="1"/>
    <s v="26-35"/>
    <s v="High"/>
    <x v="0"/>
    <x v="1"/>
    <s v="Sales_15"/>
    <n v="147"/>
    <n v="75"/>
    <n v="57"/>
    <n v="18"/>
    <s v="24.0"/>
    <n v="54361"/>
    <s v="5.55"/>
    <n v="42530"/>
    <n v="978498"/>
    <n v="212958"/>
    <s v="Feb"/>
    <n v="2"/>
    <n v="2026"/>
    <s v="Weekend"/>
    <n v="0.31578947368421051"/>
    <n v="0.51020408163265307"/>
    <n v="0.12244897959183673"/>
    <n v="11831"/>
    <s v="Main Auto Hub"/>
  </r>
  <r>
    <s v="CUST_251"/>
    <x v="15"/>
    <x v="2"/>
    <s v="Thursday"/>
    <s v="No"/>
    <x v="7"/>
    <x v="7"/>
    <s v="Bavaria"/>
    <x v="2"/>
    <s v="Q5"/>
    <s v="Hybrid"/>
    <x v="0"/>
    <s v="18-25"/>
    <s v="Medium"/>
    <x v="0"/>
    <x v="1"/>
    <s v="Sales_14"/>
    <n v="281"/>
    <n v="156"/>
    <n v="110"/>
    <n v="40"/>
    <s v="25.64"/>
    <n v="51004"/>
    <s v="4.73"/>
    <n v="38271"/>
    <n v="2040160"/>
    <n v="509320"/>
    <s v="Feb"/>
    <n v="2"/>
    <n v="2026"/>
    <s v="Weekday"/>
    <n v="0.36363636363636365"/>
    <n v="0.55516014234875444"/>
    <n v="0.14234875444839859"/>
    <n v="12733"/>
    <s v="Bavaria Motors"/>
  </r>
  <r>
    <s v="CUST_252"/>
    <x v="16"/>
    <x v="1"/>
    <s v="Tuesday"/>
    <s v="No"/>
    <x v="9"/>
    <x v="9"/>
    <s v="NRW"/>
    <x v="2"/>
    <s v="A3"/>
    <s v="Electric"/>
    <x v="2"/>
    <s v="26-35"/>
    <s v="High"/>
    <x v="0"/>
    <x v="3"/>
    <s v="Sales_5"/>
    <n v="202"/>
    <n v="103"/>
    <n v="65"/>
    <n v="21"/>
    <s v="20.39"/>
    <n v="44612"/>
    <s v="5.99"/>
    <n v="33773"/>
    <n v="936852"/>
    <n v="227619"/>
    <s v="Feb"/>
    <n v="2"/>
    <n v="2026"/>
    <s v="Weekday"/>
    <n v="0.32307692307692309"/>
    <n v="0.50990099009900991"/>
    <n v="0.10396039603960396"/>
    <n v="10839"/>
    <s v="Ruhr Auto Plaza"/>
  </r>
  <r>
    <s v="CUST_253"/>
    <x v="5"/>
    <x v="3"/>
    <s v="Saturday"/>
    <s v="Yes"/>
    <x v="1"/>
    <x v="1"/>
    <s v="NRW"/>
    <x v="0"/>
    <s v="i4"/>
    <s v="Diesel"/>
    <x v="1"/>
    <s v="36-50"/>
    <s v="Low"/>
    <x v="0"/>
    <x v="1"/>
    <s v="Sales_19"/>
    <n v="229"/>
    <n v="109"/>
    <n v="81"/>
    <n v="31"/>
    <s v="28.44"/>
    <n v="62564"/>
    <s v="2.76"/>
    <n v="43980"/>
    <n v="1939484"/>
    <n v="576104"/>
    <s v="Feb"/>
    <n v="2"/>
    <n v="2026"/>
    <s v="Weekend"/>
    <n v="0.38271604938271603"/>
    <n v="0.4759825327510917"/>
    <n v="0.13537117903930132"/>
    <n v="18584"/>
    <s v="Rhein Auto Group"/>
  </r>
  <r>
    <s v="CUST_254"/>
    <x v="5"/>
    <x v="3"/>
    <s v="Saturday"/>
    <s v="Yes"/>
    <x v="2"/>
    <x v="2"/>
    <s v="Lower Saxony"/>
    <x v="2"/>
    <s v="Q3"/>
    <s v="Electric"/>
    <x v="0"/>
    <s v="26-35"/>
    <s v="Low"/>
    <x v="1"/>
    <x v="1"/>
    <s v="Sales_4"/>
    <n v="193"/>
    <n v="96"/>
    <n v="73"/>
    <n v="21"/>
    <s v="21.88"/>
    <n v="45046"/>
    <s v="3.93"/>
    <n v="34458"/>
    <n v="945966"/>
    <n v="222348"/>
    <s v="Feb"/>
    <n v="2"/>
    <n v="2026"/>
    <s v="Weekend"/>
    <n v="0.28767123287671231"/>
    <n v="0.49740932642487046"/>
    <n v="0.10880829015544041"/>
    <n v="10588"/>
    <s v="Hannover Cars"/>
  </r>
  <r>
    <s v="CUST_255"/>
    <x v="22"/>
    <x v="3"/>
    <s v="Tuesday"/>
    <s v="No"/>
    <x v="1"/>
    <x v="1"/>
    <s v="NRW"/>
    <x v="3"/>
    <s v="C-Class"/>
    <s v="Petrol"/>
    <x v="1"/>
    <s v="36-50"/>
    <s v="High"/>
    <x v="0"/>
    <x v="0"/>
    <s v="Sales_9"/>
    <n v="178"/>
    <n v="96"/>
    <n v="76"/>
    <n v="22"/>
    <s v="22.92"/>
    <n v="69768"/>
    <s v="2.45"/>
    <n v="53318"/>
    <n v="1534896"/>
    <n v="361900"/>
    <s v="Feb"/>
    <n v="2"/>
    <n v="2026"/>
    <s v="Weekday"/>
    <n v="0.28947368421052633"/>
    <n v="0.5393258426966292"/>
    <n v="0.12359550561797752"/>
    <n v="16450"/>
    <s v="Rhein Auto Group"/>
  </r>
  <r>
    <s v="CUST_256"/>
    <x v="23"/>
    <x v="2"/>
    <s v="Tuesday"/>
    <s v="No"/>
    <x v="8"/>
    <x v="8"/>
    <s v="Baden-WÃ¼rttemberg"/>
    <x v="1"/>
    <s v="Corsa"/>
    <s v="Diesel"/>
    <x v="2"/>
    <s v="26-35"/>
    <s v="High"/>
    <x v="0"/>
    <x v="2"/>
    <s v="Sales_14"/>
    <n v="397"/>
    <n v="158"/>
    <n v="102"/>
    <n v="29"/>
    <s v="18.35"/>
    <n v="20003"/>
    <s v="9.51"/>
    <n v="17990"/>
    <n v="580087"/>
    <n v="58377"/>
    <s v="Feb"/>
    <n v="2"/>
    <n v="2026"/>
    <s v="Weekday"/>
    <n v="0.28431372549019607"/>
    <n v="0.39798488664987408"/>
    <n v="7.3047858942065488E-2"/>
    <n v="2013"/>
    <s v="Stuttgart Auto Center"/>
  </r>
  <r>
    <s v="CUST_257"/>
    <x v="1"/>
    <x v="1"/>
    <s v="Wednesday"/>
    <s v="No"/>
    <x v="9"/>
    <x v="9"/>
    <s v="NRW"/>
    <x v="3"/>
    <s v="C-Class"/>
    <s v="Petrol"/>
    <x v="1"/>
    <s v="26-35"/>
    <s v="Low"/>
    <x v="0"/>
    <x v="1"/>
    <s v="Sales_16"/>
    <n v="201"/>
    <n v="104"/>
    <n v="78"/>
    <n v="27"/>
    <s v="25.96"/>
    <n v="66350"/>
    <s v="4.39"/>
    <n v="51079"/>
    <n v="1791450"/>
    <n v="412317"/>
    <s v="Feb"/>
    <n v="2"/>
    <n v="2026"/>
    <s v="Weekday"/>
    <n v="0.34615384615384615"/>
    <n v="0.51741293532338306"/>
    <n v="0.13432835820895522"/>
    <n v="15271"/>
    <s v="Ruhr Auto Plaza"/>
  </r>
  <r>
    <s v="CUST_258"/>
    <x v="23"/>
    <x v="2"/>
    <s v="Tuesday"/>
    <s v="No"/>
    <x v="2"/>
    <x v="2"/>
    <s v="Lower Saxony"/>
    <x v="4"/>
    <s v="Golf"/>
    <s v="Diesel"/>
    <x v="2"/>
    <s v="36-50"/>
    <s v="High"/>
    <x v="0"/>
    <x v="1"/>
    <s v="Sales_2"/>
    <n v="363"/>
    <n v="194"/>
    <n v="123"/>
    <n v="36"/>
    <s v="18.56"/>
    <n v="34824"/>
    <s v="8.27"/>
    <n v="31599"/>
    <n v="1253664"/>
    <n v="116100"/>
    <s v="Feb"/>
    <n v="2"/>
    <n v="2026"/>
    <s v="Weekday"/>
    <n v="0.29268292682926828"/>
    <n v="0.53443526170798894"/>
    <n v="9.9173553719008267E-2"/>
    <n v="3225"/>
    <s v="Hannover Cars"/>
  </r>
  <r>
    <s v="CUST_259"/>
    <x v="23"/>
    <x v="2"/>
    <s v="Tuesday"/>
    <s v="No"/>
    <x v="2"/>
    <x v="2"/>
    <s v="Lower Saxony"/>
    <x v="1"/>
    <s v="Astra"/>
    <s v="Petrol"/>
    <x v="2"/>
    <s v="18-25"/>
    <s v="Medium"/>
    <x v="1"/>
    <x v="2"/>
    <s v="Sales_18"/>
    <n v="295"/>
    <n v="137"/>
    <n v="82"/>
    <n v="26"/>
    <s v="18.98"/>
    <n v="23723"/>
    <s v="13.8"/>
    <n v="21473"/>
    <n v="616798"/>
    <n v="58500"/>
    <s v="Feb"/>
    <n v="2"/>
    <n v="2026"/>
    <s v="Weekday"/>
    <n v="0.31707317073170732"/>
    <n v="0.46440677966101696"/>
    <n v="8.8135593220338981E-2"/>
    <n v="2250"/>
    <s v="Hannover Cars"/>
  </r>
  <r>
    <s v="CUST_260"/>
    <x v="25"/>
    <x v="3"/>
    <s v="Friday"/>
    <s v="No"/>
    <x v="7"/>
    <x v="7"/>
    <s v="Bavaria"/>
    <x v="1"/>
    <s v="Grandland"/>
    <s v="Diesel"/>
    <x v="0"/>
    <s v="50+"/>
    <s v="Low"/>
    <x v="0"/>
    <x v="0"/>
    <s v="Sales_3"/>
    <n v="279"/>
    <n v="148"/>
    <n v="91"/>
    <n v="21"/>
    <s v="14.19"/>
    <n v="24285"/>
    <s v="10.26"/>
    <n v="22295"/>
    <n v="509985"/>
    <n v="41790"/>
    <s v="Feb"/>
    <n v="2"/>
    <n v="2026"/>
    <s v="Weekday"/>
    <n v="0.23076923076923078"/>
    <n v="0.53046594982078854"/>
    <n v="7.5268817204301078E-2"/>
    <n v="1990"/>
    <s v="Bavaria Motors"/>
  </r>
  <r>
    <s v="CUST_261"/>
    <x v="20"/>
    <x v="0"/>
    <s v="Thursday"/>
    <s v="No"/>
    <x v="5"/>
    <x v="5"/>
    <s v="Hamburg"/>
    <x v="3"/>
    <s v="GLC"/>
    <s v="Electric"/>
    <x v="0"/>
    <s v="26-35"/>
    <s v="Low"/>
    <x v="0"/>
    <x v="3"/>
    <s v="Sales_7"/>
    <n v="260"/>
    <n v="146"/>
    <n v="104"/>
    <n v="34"/>
    <s v="23.29"/>
    <n v="52775"/>
    <s v="4.31"/>
    <n v="38378"/>
    <n v="1794350"/>
    <n v="489498"/>
    <s v="Feb"/>
    <n v="2"/>
    <n v="2026"/>
    <s v="Weekday"/>
    <n v="0.32692307692307693"/>
    <n v="0.56153846153846154"/>
    <n v="0.13076923076923078"/>
    <n v="14397"/>
    <s v="Elbe Drive"/>
  </r>
  <r>
    <s v="CUST_262"/>
    <x v="25"/>
    <x v="3"/>
    <s v="Friday"/>
    <s v="No"/>
    <x v="9"/>
    <x v="9"/>
    <s v="NRW"/>
    <x v="1"/>
    <s v="Crossland"/>
    <s v="Petrol"/>
    <x v="0"/>
    <s v="36-50"/>
    <s v="High"/>
    <x v="1"/>
    <x v="0"/>
    <s v="Sales_12"/>
    <n v="337"/>
    <n v="142"/>
    <n v="98"/>
    <n v="19"/>
    <s v="13.38"/>
    <n v="22565"/>
    <s v="7.1"/>
    <n v="20420"/>
    <n v="428735"/>
    <n v="40755"/>
    <s v="Feb"/>
    <n v="2"/>
    <n v="2026"/>
    <s v="Weekday"/>
    <n v="0.19387755102040816"/>
    <n v="0.42136498516320475"/>
    <n v="5.637982195845697E-2"/>
    <n v="2145"/>
    <s v="Ruhr Auto Plaza"/>
  </r>
  <r>
    <s v="CUST_263"/>
    <x v="21"/>
    <x v="0"/>
    <s v="Tuesday"/>
    <s v="No"/>
    <x v="3"/>
    <x v="3"/>
    <s v="Saxony"/>
    <x v="4"/>
    <s v="Golf"/>
    <s v="Electric"/>
    <x v="2"/>
    <s v="26-35"/>
    <s v="Medium"/>
    <x v="1"/>
    <x v="3"/>
    <s v="Sales_13"/>
    <n v="360"/>
    <n v="189"/>
    <n v="119"/>
    <n v="29"/>
    <s v="15.34"/>
    <n v="34365"/>
    <s v="7.38"/>
    <n v="29939"/>
    <n v="996585"/>
    <n v="128354"/>
    <s v="Feb"/>
    <n v="2"/>
    <n v="2026"/>
    <s v="Weekday"/>
    <n v="0.24369747899159663"/>
    <n v="0.52500000000000002"/>
    <n v="8.0555555555555561E-2"/>
    <n v="4426"/>
    <s v="Saxon Wheels"/>
  </r>
  <r>
    <s v="CUST_264"/>
    <x v="25"/>
    <x v="3"/>
    <s v="Friday"/>
    <s v="No"/>
    <x v="4"/>
    <x v="4"/>
    <s v="Berlin"/>
    <x v="3"/>
    <s v="EQE"/>
    <s v="Petrol"/>
    <x v="1"/>
    <s v="50+"/>
    <s v="Medium"/>
    <x v="1"/>
    <x v="1"/>
    <s v="Sales_7"/>
    <n v="208"/>
    <n v="98"/>
    <n v="65"/>
    <n v="27"/>
    <s v="27.55"/>
    <n v="54785"/>
    <s v="3.45"/>
    <n v="41563"/>
    <n v="1479195"/>
    <n v="356994"/>
    <s v="Feb"/>
    <n v="2"/>
    <n v="2026"/>
    <s v="Weekday"/>
    <n v="0.41538461538461541"/>
    <n v="0.47115384615384615"/>
    <n v="0.12980769230769232"/>
    <n v="13222"/>
    <s v="Autohaus Berlin"/>
  </r>
  <r>
    <s v="CUST_265"/>
    <x v="4"/>
    <x v="2"/>
    <s v="Wednesday"/>
    <s v="No"/>
    <x v="3"/>
    <x v="3"/>
    <s v="Saxony"/>
    <x v="4"/>
    <s v="Golf"/>
    <s v="Diesel"/>
    <x v="2"/>
    <s v="50+"/>
    <s v="Medium"/>
    <x v="1"/>
    <x v="0"/>
    <s v="Sales_17"/>
    <n v="421"/>
    <n v="224"/>
    <n v="160"/>
    <n v="29"/>
    <s v="12.95"/>
    <n v="34035"/>
    <s v="8.94"/>
    <n v="30123"/>
    <n v="987015"/>
    <n v="113448"/>
    <s v="Feb"/>
    <n v="2"/>
    <n v="2026"/>
    <s v="Weekday"/>
    <n v="0.18124999999999999"/>
    <n v="0.53206650831353919"/>
    <n v="6.8883610451306407E-2"/>
    <n v="3912"/>
    <s v="Saxon Wheels"/>
  </r>
  <r>
    <s v="CUST_266"/>
    <x v="25"/>
    <x v="3"/>
    <s v="Friday"/>
    <s v="No"/>
    <x v="8"/>
    <x v="8"/>
    <s v="Baden-WÃ¼rttemberg"/>
    <x v="4"/>
    <s v="Passat"/>
    <s v="Hybrid"/>
    <x v="1"/>
    <s v="36-50"/>
    <s v="Low"/>
    <x v="1"/>
    <x v="2"/>
    <s v="Sales_14"/>
    <n v="321"/>
    <n v="150"/>
    <n v="104"/>
    <n v="30"/>
    <s v="20.0"/>
    <n v="28505"/>
    <s v="9.23"/>
    <n v="25480"/>
    <n v="855150"/>
    <n v="90750"/>
    <s v="Feb"/>
    <n v="2"/>
    <n v="2026"/>
    <s v="Weekday"/>
    <n v="0.28846153846153844"/>
    <n v="0.46728971962616822"/>
    <n v="9.3457943925233641E-2"/>
    <n v="3025"/>
    <s v="Stuttgart Auto Center"/>
  </r>
  <r>
    <s v="CUST_267"/>
    <x v="26"/>
    <x v="1"/>
    <s v="Friday"/>
    <s v="No"/>
    <x v="2"/>
    <x v="2"/>
    <s v="Lower Saxony"/>
    <x v="0"/>
    <s v="X5"/>
    <s v="Petrol"/>
    <x v="0"/>
    <s v="26-35"/>
    <s v="Low"/>
    <x v="1"/>
    <x v="0"/>
    <s v="Sales_15"/>
    <n v="180"/>
    <n v="93"/>
    <n v="65"/>
    <n v="24"/>
    <s v="25.81"/>
    <n v="68383"/>
    <s v="4.73"/>
    <n v="52257"/>
    <n v="1641192"/>
    <n v="387024"/>
    <s v="Feb"/>
    <n v="2"/>
    <n v="2026"/>
    <s v="Weekday"/>
    <n v="0.36923076923076925"/>
    <n v="0.51666666666666672"/>
    <n v="0.13333333333333333"/>
    <n v="16126"/>
    <s v="Hannover Cars"/>
  </r>
  <r>
    <s v="CUST_268"/>
    <x v="13"/>
    <x v="0"/>
    <s v="Friday"/>
    <s v="No"/>
    <x v="7"/>
    <x v="7"/>
    <s v="Bavaria"/>
    <x v="3"/>
    <s v="EQE"/>
    <s v="Petrol"/>
    <x v="1"/>
    <s v="36-50"/>
    <s v="Low"/>
    <x v="0"/>
    <x v="2"/>
    <s v="Sales_5"/>
    <n v="173"/>
    <n v="86"/>
    <n v="63"/>
    <n v="27"/>
    <s v="31.4"/>
    <n v="60547"/>
    <s v="4.43"/>
    <n v="43128"/>
    <n v="1634769"/>
    <n v="470313"/>
    <s v="Feb"/>
    <n v="2"/>
    <n v="2026"/>
    <s v="Weekday"/>
    <n v="0.42857142857142855"/>
    <n v="0.49710982658959535"/>
    <n v="0.15606936416184972"/>
    <n v="17419"/>
    <s v="Bavaria Motors"/>
  </r>
  <r>
    <s v="CUST_269"/>
    <x v="14"/>
    <x v="2"/>
    <s v="Friday"/>
    <s v="No"/>
    <x v="4"/>
    <x v="4"/>
    <s v="Berlin"/>
    <x v="4"/>
    <s v="T-Roc"/>
    <s v="Electric"/>
    <x v="0"/>
    <s v="36-50"/>
    <s v="Low"/>
    <x v="1"/>
    <x v="2"/>
    <s v="Sales_12"/>
    <n v="509"/>
    <n v="247"/>
    <n v="158"/>
    <n v="44"/>
    <s v="17.81"/>
    <n v="27338"/>
    <s v="10.55"/>
    <n v="24853"/>
    <n v="1202872"/>
    <n v="109340"/>
    <s v="Feb"/>
    <n v="2"/>
    <n v="2026"/>
    <s v="Weekday"/>
    <n v="0.27848101265822783"/>
    <n v="0.48526522593320237"/>
    <n v="8.6444007858546168E-2"/>
    <n v="2485"/>
    <s v="Autohaus Berlin"/>
  </r>
  <r>
    <s v="CUST_270"/>
    <x v="4"/>
    <x v="2"/>
    <s v="Wednesday"/>
    <s v="No"/>
    <x v="9"/>
    <x v="9"/>
    <s v="NRW"/>
    <x v="3"/>
    <s v="GLE"/>
    <s v="Electric"/>
    <x v="0"/>
    <s v="50+"/>
    <s v="Low"/>
    <x v="0"/>
    <x v="1"/>
    <s v="Sales_10"/>
    <n v="244"/>
    <n v="137"/>
    <n v="100"/>
    <n v="31"/>
    <s v="22.63"/>
    <n v="68382"/>
    <s v="4.04"/>
    <n v="52399"/>
    <n v="2119842"/>
    <n v="495473"/>
    <s v="Feb"/>
    <n v="2"/>
    <n v="2026"/>
    <s v="Weekday"/>
    <n v="0.31"/>
    <n v="0.56147540983606559"/>
    <n v="0.12704918032786885"/>
    <n v="15983"/>
    <s v="Ruhr Auto Plaza"/>
  </r>
  <r>
    <s v="CUST_271"/>
    <x v="7"/>
    <x v="3"/>
    <s v="Monday"/>
    <s v="No"/>
    <x v="8"/>
    <x v="8"/>
    <s v="Baden-WÃ¼rttemberg"/>
    <x v="4"/>
    <s v="T-Roc"/>
    <s v="Hybrid"/>
    <x v="0"/>
    <s v="50+"/>
    <s v="Low"/>
    <x v="0"/>
    <x v="2"/>
    <s v="Sales_9"/>
    <n v="447"/>
    <n v="187"/>
    <n v="121"/>
    <n v="37"/>
    <s v="19.79"/>
    <n v="25109"/>
    <s v="11.87"/>
    <n v="22575"/>
    <n v="929033"/>
    <n v="93758"/>
    <s v="Feb"/>
    <n v="2"/>
    <n v="2026"/>
    <s v="Weekday"/>
    <n v="0.30578512396694213"/>
    <n v="0.41834451901565994"/>
    <n v="8.2774049217002238E-2"/>
    <n v="2534"/>
    <s v="Stuttgart Auto Center"/>
  </r>
  <r>
    <s v="CUST_272"/>
    <x v="19"/>
    <x v="1"/>
    <s v="Saturday"/>
    <s v="Yes"/>
    <x v="5"/>
    <x v="5"/>
    <s v="Hamburg"/>
    <x v="2"/>
    <s v="A4"/>
    <s v="Diesel"/>
    <x v="1"/>
    <s v="18-25"/>
    <s v="High"/>
    <x v="0"/>
    <x v="2"/>
    <s v="Sales_14"/>
    <n v="319"/>
    <n v="203"/>
    <n v="137"/>
    <n v="59"/>
    <s v="29.06"/>
    <n v="49694"/>
    <s v="5.06"/>
    <n v="38278"/>
    <n v="2931946"/>
    <n v="673544"/>
    <s v="Feb"/>
    <n v="2"/>
    <n v="2026"/>
    <s v="Weekend"/>
    <n v="0.43065693430656932"/>
    <n v="0.63636363636363635"/>
    <n v="0.18495297805642633"/>
    <n v="11416"/>
    <s v="Elbe Drive"/>
  </r>
  <r>
    <s v="CUST_273"/>
    <x v="21"/>
    <x v="0"/>
    <s v="Tuesday"/>
    <s v="No"/>
    <x v="2"/>
    <x v="2"/>
    <s v="Lower Saxony"/>
    <x v="3"/>
    <s v="E-Class"/>
    <s v="Petrol"/>
    <x v="1"/>
    <s v="26-35"/>
    <s v="Medium"/>
    <x v="0"/>
    <x v="1"/>
    <s v="Sales_17"/>
    <n v="276"/>
    <n v="146"/>
    <n v="98"/>
    <n v="41"/>
    <s v="28.08"/>
    <n v="67622"/>
    <s v="5.44"/>
    <n v="51831"/>
    <n v="2772502"/>
    <n v="647431"/>
    <s v="Feb"/>
    <n v="2"/>
    <n v="2026"/>
    <s v="Weekday"/>
    <n v="0.41836734693877553"/>
    <n v="0.52898550724637683"/>
    <n v="0.14855072463768115"/>
    <n v="15791"/>
    <s v="Hannover Cars"/>
  </r>
  <r>
    <s v="CUST_274"/>
    <x v="11"/>
    <x v="0"/>
    <s v="Wednesday"/>
    <s v="No"/>
    <x v="4"/>
    <x v="4"/>
    <s v="Berlin"/>
    <x v="0"/>
    <s v="i4"/>
    <s v="Diesel"/>
    <x v="1"/>
    <s v="18-25"/>
    <s v="Medium"/>
    <x v="0"/>
    <x v="3"/>
    <s v="Sales_3"/>
    <n v="210"/>
    <n v="105"/>
    <n v="71"/>
    <n v="29"/>
    <s v="27.62"/>
    <n v="54943"/>
    <s v="4.79"/>
    <n v="42189"/>
    <n v="1593347"/>
    <n v="369866"/>
    <s v="Feb"/>
    <n v="2"/>
    <n v="2026"/>
    <s v="Weekday"/>
    <n v="0.40845070422535212"/>
    <n v="0.5"/>
    <n v="0.1380952380952381"/>
    <n v="12754"/>
    <s v="Autohaus Berlin"/>
  </r>
  <r>
    <s v="CUST_275"/>
    <x v="14"/>
    <x v="2"/>
    <s v="Friday"/>
    <s v="No"/>
    <x v="7"/>
    <x v="7"/>
    <s v="Bavaria"/>
    <x v="2"/>
    <s v="A3"/>
    <s v="Petrol"/>
    <x v="2"/>
    <s v="18-25"/>
    <s v="High"/>
    <x v="0"/>
    <x v="1"/>
    <s v="Sales_13"/>
    <n v="251"/>
    <n v="153"/>
    <n v="105"/>
    <n v="40"/>
    <s v="26.14"/>
    <n v="39545"/>
    <s v="6.03"/>
    <n v="31639"/>
    <n v="1581800"/>
    <n v="316240"/>
    <s v="Feb"/>
    <n v="2"/>
    <n v="2026"/>
    <s v="Weekday"/>
    <n v="0.38095238095238093"/>
    <n v="0.60956175298804782"/>
    <n v="0.15936254980079681"/>
    <n v="7906"/>
    <s v="Bavaria Motors"/>
  </r>
  <r>
    <s v="CUST_276"/>
    <x v="16"/>
    <x v="1"/>
    <s v="Tuesday"/>
    <s v="No"/>
    <x v="6"/>
    <x v="6"/>
    <s v="Saxony"/>
    <x v="4"/>
    <s v="ID.4"/>
    <s v="Electric"/>
    <x v="0"/>
    <s v="26-35"/>
    <s v="Medium"/>
    <x v="0"/>
    <x v="3"/>
    <s v="Sales_19"/>
    <n v="449"/>
    <n v="230"/>
    <n v="136"/>
    <n v="29"/>
    <s v="12.61"/>
    <n v="30688"/>
    <s v="10.87"/>
    <n v="26948"/>
    <n v="889952"/>
    <n v="108460"/>
    <s v="Feb"/>
    <n v="2"/>
    <n v="2026"/>
    <s v="Weekday"/>
    <n v="0.21323529411764705"/>
    <n v="0.51224944320712695"/>
    <n v="6.4587973273942098E-2"/>
    <n v="3740"/>
    <s v="Leipzig Mobility"/>
  </r>
  <r>
    <s v="CUST_277"/>
    <x v="21"/>
    <x v="0"/>
    <s v="Tuesday"/>
    <s v="No"/>
    <x v="7"/>
    <x v="7"/>
    <s v="Bavaria"/>
    <x v="0"/>
    <s v="3 Series"/>
    <s v="Diesel"/>
    <x v="1"/>
    <s v="26-35"/>
    <s v="Low"/>
    <x v="0"/>
    <x v="3"/>
    <s v="Sales_9"/>
    <n v="153"/>
    <n v="85"/>
    <n v="58"/>
    <n v="26"/>
    <s v="30.59"/>
    <n v="57977"/>
    <s v="5.09"/>
    <n v="41636"/>
    <n v="1507402"/>
    <n v="424866"/>
    <s v="Feb"/>
    <n v="2"/>
    <n v="2026"/>
    <s v="Weekday"/>
    <n v="0.44827586206896552"/>
    <n v="0.55555555555555558"/>
    <n v="0.16993464052287582"/>
    <n v="16341"/>
    <s v="Bavaria Motors"/>
  </r>
  <r>
    <s v="CUST_278"/>
    <x v="20"/>
    <x v="0"/>
    <s v="Thursday"/>
    <s v="No"/>
    <x v="5"/>
    <x v="5"/>
    <s v="Hamburg"/>
    <x v="0"/>
    <s v="3 Series"/>
    <s v="Petrol"/>
    <x v="1"/>
    <s v="18-25"/>
    <s v="Medium"/>
    <x v="0"/>
    <x v="0"/>
    <s v="Sales_1"/>
    <n v="144"/>
    <n v="83"/>
    <n v="64"/>
    <n v="24"/>
    <s v="28.92"/>
    <n v="67705"/>
    <s v="4.12"/>
    <n v="48706"/>
    <n v="1624920"/>
    <n v="455976"/>
    <s v="Feb"/>
    <n v="2"/>
    <n v="2026"/>
    <s v="Weekday"/>
    <n v="0.375"/>
    <n v="0.57638888888888884"/>
    <n v="0.16666666666666666"/>
    <n v="18999"/>
    <s v="Elbe Drive"/>
  </r>
  <r>
    <s v="CUST_279"/>
    <x v="0"/>
    <x v="0"/>
    <s v="Monday"/>
    <s v="No"/>
    <x v="6"/>
    <x v="6"/>
    <s v="Saxony"/>
    <x v="4"/>
    <s v="T-Roc"/>
    <s v="Diesel"/>
    <x v="0"/>
    <s v="26-35"/>
    <s v="Medium"/>
    <x v="0"/>
    <x v="0"/>
    <s v="Sales_10"/>
    <n v="331"/>
    <n v="170"/>
    <n v="120"/>
    <n v="26"/>
    <s v="15.29"/>
    <n v="33695"/>
    <s v="10.29"/>
    <n v="30252"/>
    <n v="876070"/>
    <n v="89518"/>
    <s v="Feb"/>
    <n v="2"/>
    <n v="2026"/>
    <s v="Weekday"/>
    <n v="0.21666666666666667"/>
    <n v="0.51359516616314205"/>
    <n v="7.8549848942598186E-2"/>
    <n v="3443"/>
    <s v="Leipzig Mobility"/>
  </r>
  <r>
    <s v="CUST_280"/>
    <x v="5"/>
    <x v="3"/>
    <s v="Saturday"/>
    <s v="Yes"/>
    <x v="3"/>
    <x v="3"/>
    <s v="Saxony"/>
    <x v="2"/>
    <s v="Q3"/>
    <s v="Electric"/>
    <x v="0"/>
    <s v="18-25"/>
    <s v="High"/>
    <x v="1"/>
    <x v="2"/>
    <s v="Sales_13"/>
    <n v="283"/>
    <n v="155"/>
    <n v="103"/>
    <n v="38"/>
    <s v="24.52"/>
    <n v="49521"/>
    <s v="4.83"/>
    <n v="39555"/>
    <n v="1881798"/>
    <n v="378708"/>
    <s v="Feb"/>
    <n v="2"/>
    <n v="2026"/>
    <s v="Weekend"/>
    <n v="0.36893203883495146"/>
    <n v="0.54770318021201414"/>
    <n v="0.13427561837455831"/>
    <n v="9966"/>
    <s v="Saxon Wheels"/>
  </r>
  <r>
    <s v="CUST_281"/>
    <x v="7"/>
    <x v="3"/>
    <s v="Monday"/>
    <s v="No"/>
    <x v="8"/>
    <x v="8"/>
    <s v="Baden-WÃ¼rttemberg"/>
    <x v="1"/>
    <s v="Grandland"/>
    <s v="Electric"/>
    <x v="0"/>
    <s v="36-50"/>
    <s v="Medium"/>
    <x v="1"/>
    <x v="2"/>
    <s v="Sales_1"/>
    <n v="249"/>
    <n v="131"/>
    <n v="75"/>
    <n v="23"/>
    <s v="17.56"/>
    <n v="23892"/>
    <s v="7.95"/>
    <n v="21946"/>
    <n v="549516"/>
    <n v="44758"/>
    <s v="Feb"/>
    <n v="2"/>
    <n v="2026"/>
    <s v="Weekday"/>
    <n v="0.30666666666666664"/>
    <n v="0.52610441767068272"/>
    <n v="9.2369477911646583E-2"/>
    <n v="1946"/>
    <s v="Stuttgart Auto Center"/>
  </r>
  <r>
    <s v="CUST_282"/>
    <x v="26"/>
    <x v="1"/>
    <s v="Friday"/>
    <s v="No"/>
    <x v="4"/>
    <x v="4"/>
    <s v="Berlin"/>
    <x v="0"/>
    <s v="X3"/>
    <s v="Petrol"/>
    <x v="0"/>
    <s v="26-35"/>
    <s v="High"/>
    <x v="1"/>
    <x v="2"/>
    <s v="Sales_9"/>
    <n v="187"/>
    <n v="115"/>
    <n v="93"/>
    <n v="34"/>
    <s v="29.57"/>
    <n v="54992"/>
    <s v="5.2"/>
    <n v="41259"/>
    <n v="1869728"/>
    <n v="466922"/>
    <s v="Feb"/>
    <n v="2"/>
    <n v="2026"/>
    <s v="Weekday"/>
    <n v="0.36559139784946237"/>
    <n v="0.61497326203208558"/>
    <n v="0.18181818181818182"/>
    <n v="13733"/>
    <s v="Autohaus Berlin"/>
  </r>
  <r>
    <s v="CUST_283"/>
    <x v="5"/>
    <x v="3"/>
    <s v="Saturday"/>
    <s v="Yes"/>
    <x v="9"/>
    <x v="9"/>
    <s v="NRW"/>
    <x v="0"/>
    <s v="X5"/>
    <s v="Diesel"/>
    <x v="0"/>
    <s v="50+"/>
    <s v="Medium"/>
    <x v="1"/>
    <x v="0"/>
    <s v="Sales_6"/>
    <n v="228"/>
    <n v="131"/>
    <n v="104"/>
    <n v="31"/>
    <s v="23.66"/>
    <n v="60203"/>
    <s v="4.79"/>
    <n v="46944"/>
    <n v="1866293"/>
    <n v="411029"/>
    <s v="Feb"/>
    <n v="2"/>
    <n v="2026"/>
    <s v="Weekend"/>
    <n v="0.29807692307692307"/>
    <n v="0.57456140350877194"/>
    <n v="0.13596491228070176"/>
    <n v="13259"/>
    <s v="Ruhr Auto Plaza"/>
  </r>
  <r>
    <s v="CUST_284"/>
    <x v="15"/>
    <x v="2"/>
    <s v="Thursday"/>
    <s v="No"/>
    <x v="2"/>
    <x v="2"/>
    <s v="Lower Saxony"/>
    <x v="3"/>
    <s v="EQE"/>
    <s v="Hybrid"/>
    <x v="1"/>
    <s v="50+"/>
    <s v="High"/>
    <x v="1"/>
    <x v="3"/>
    <s v="Sales_10"/>
    <n v="197"/>
    <n v="95"/>
    <n v="63"/>
    <n v="20"/>
    <s v="21.05"/>
    <n v="57363"/>
    <s v="5.43"/>
    <n v="40930"/>
    <n v="1147260"/>
    <n v="328660"/>
    <s v="Feb"/>
    <n v="2"/>
    <n v="2026"/>
    <s v="Weekday"/>
    <n v="0.31746031746031744"/>
    <n v="0.48223350253807107"/>
    <n v="0.10152284263959391"/>
    <n v="16433"/>
    <s v="Hannover Cars"/>
  </r>
  <r>
    <s v="CUST_285"/>
    <x v="11"/>
    <x v="0"/>
    <s v="Wednesday"/>
    <s v="No"/>
    <x v="9"/>
    <x v="9"/>
    <s v="NRW"/>
    <x v="2"/>
    <s v="A3"/>
    <s v="Hybrid"/>
    <x v="2"/>
    <s v="18-25"/>
    <s v="Medium"/>
    <x v="0"/>
    <x v="0"/>
    <s v="Sales_9"/>
    <n v="213"/>
    <n v="98"/>
    <n v="73"/>
    <n v="22"/>
    <s v="22.45"/>
    <n v="52031"/>
    <s v="6.43"/>
    <n v="41108"/>
    <n v="1144682"/>
    <n v="240306"/>
    <s v="Feb"/>
    <n v="2"/>
    <n v="2026"/>
    <s v="Weekday"/>
    <n v="0.30136986301369861"/>
    <n v="0.460093896713615"/>
    <n v="0.10328638497652583"/>
    <n v="10923"/>
    <s v="Ruhr Auto Plaza"/>
  </r>
  <r>
    <s v="CUST_286"/>
    <x v="8"/>
    <x v="3"/>
    <s v="Wednesday"/>
    <s v="No"/>
    <x v="8"/>
    <x v="8"/>
    <s v="Baden-WÃ¼rttemberg"/>
    <x v="1"/>
    <s v="Astra"/>
    <s v="Electric"/>
    <x v="2"/>
    <s v="36-50"/>
    <s v="Medium"/>
    <x v="0"/>
    <x v="1"/>
    <s v="Sales_4"/>
    <n v="234"/>
    <n v="118"/>
    <n v="67"/>
    <n v="20"/>
    <s v="16.95"/>
    <n v="23274"/>
    <s v="13.48"/>
    <n v="20743"/>
    <n v="465480"/>
    <n v="50620"/>
    <s v="Feb"/>
    <n v="2"/>
    <n v="2026"/>
    <s v="Weekday"/>
    <n v="0.29850746268656714"/>
    <n v="0.50427350427350426"/>
    <n v="8.5470085470085472E-2"/>
    <n v="2531"/>
    <s v="Stuttgart Auto Center"/>
  </r>
  <r>
    <s v="CUST_287"/>
    <x v="3"/>
    <x v="1"/>
    <s v="Sunday"/>
    <s v="Yes"/>
    <x v="2"/>
    <x v="2"/>
    <s v="Lower Saxony"/>
    <x v="2"/>
    <s v="A3"/>
    <s v="Diesel"/>
    <x v="2"/>
    <s v="18-25"/>
    <s v="Low"/>
    <x v="0"/>
    <x v="1"/>
    <s v="Sales_16"/>
    <n v="214"/>
    <n v="113"/>
    <n v="76"/>
    <n v="27"/>
    <s v="23.89"/>
    <n v="50442"/>
    <s v="6.3"/>
    <n v="40404"/>
    <n v="1361934"/>
    <n v="271026"/>
    <s v="Feb"/>
    <n v="2"/>
    <n v="2026"/>
    <s v="Weekend"/>
    <n v="0.35526315789473684"/>
    <n v="0.5280373831775701"/>
    <n v="0.12616822429906541"/>
    <n v="10038"/>
    <s v="Hannover Cars"/>
  </r>
  <r>
    <s v="CUST_288"/>
    <x v="6"/>
    <x v="2"/>
    <s v="Saturday"/>
    <s v="Yes"/>
    <x v="4"/>
    <x v="4"/>
    <s v="Berlin"/>
    <x v="0"/>
    <s v="X3"/>
    <s v="Petrol"/>
    <x v="0"/>
    <s v="18-25"/>
    <s v="Medium"/>
    <x v="0"/>
    <x v="3"/>
    <s v="Sales_6"/>
    <n v="175"/>
    <n v="95"/>
    <n v="67"/>
    <n v="27"/>
    <s v="28.42"/>
    <n v="60445"/>
    <s v="5.67"/>
    <n v="46625"/>
    <n v="1632015"/>
    <n v="373140"/>
    <s v="Feb"/>
    <n v="2"/>
    <n v="2026"/>
    <s v="Weekend"/>
    <n v="0.40298507462686567"/>
    <n v="0.54285714285714282"/>
    <n v="0.15428571428571428"/>
    <n v="13820"/>
    <s v="Autohaus Berlin"/>
  </r>
  <r>
    <s v="CUST_289"/>
    <x v="13"/>
    <x v="0"/>
    <s v="Friday"/>
    <s v="No"/>
    <x v="7"/>
    <x v="7"/>
    <s v="Bavaria"/>
    <x v="3"/>
    <s v="GLC"/>
    <s v="Electric"/>
    <x v="0"/>
    <s v="50+"/>
    <s v="High"/>
    <x v="0"/>
    <x v="1"/>
    <s v="Sales_20"/>
    <n v="193"/>
    <n v="91"/>
    <n v="67"/>
    <n v="25"/>
    <s v="27.47"/>
    <n v="49739"/>
    <s v="5.65"/>
    <n v="37132"/>
    <n v="1243475"/>
    <n v="315175"/>
    <s v="Feb"/>
    <n v="2"/>
    <n v="2026"/>
    <s v="Weekday"/>
    <n v="0.37313432835820898"/>
    <n v="0.47150259067357514"/>
    <n v="0.12953367875647667"/>
    <n v="12607"/>
    <s v="Bavaria Motors"/>
  </r>
  <r>
    <s v="CUST_290"/>
    <x v="0"/>
    <x v="0"/>
    <s v="Monday"/>
    <s v="No"/>
    <x v="3"/>
    <x v="3"/>
    <s v="Saxony"/>
    <x v="2"/>
    <s v="A4"/>
    <s v="Hybrid"/>
    <x v="1"/>
    <s v="50+"/>
    <s v="Medium"/>
    <x v="0"/>
    <x v="3"/>
    <s v="Sales_8"/>
    <n v="242"/>
    <n v="130"/>
    <n v="99"/>
    <n v="30"/>
    <s v="23.08"/>
    <n v="53039"/>
    <s v="3.94"/>
    <n v="39812"/>
    <n v="1591170"/>
    <n v="396810"/>
    <s v="Feb"/>
    <n v="2"/>
    <n v="2026"/>
    <s v="Weekday"/>
    <n v="0.30303030303030304"/>
    <n v="0.53719008264462809"/>
    <n v="0.12396694214876033"/>
    <n v="13227"/>
    <s v="Saxon Wheels"/>
  </r>
  <r>
    <s v="CUST_291"/>
    <x v="13"/>
    <x v="0"/>
    <s v="Friday"/>
    <s v="No"/>
    <x v="7"/>
    <x v="7"/>
    <s v="Bavaria"/>
    <x v="0"/>
    <s v="i4"/>
    <s v="Diesel"/>
    <x v="1"/>
    <s v="26-35"/>
    <s v="Low"/>
    <x v="1"/>
    <x v="1"/>
    <s v="Sales_16"/>
    <n v="262"/>
    <n v="153"/>
    <n v="105"/>
    <n v="48"/>
    <s v="31.37"/>
    <n v="56415"/>
    <s v="4.89"/>
    <n v="42832"/>
    <n v="2707920"/>
    <n v="651984"/>
    <s v="Feb"/>
    <n v="2"/>
    <n v="2026"/>
    <s v="Weekday"/>
    <n v="0.45714285714285713"/>
    <n v="0.58396946564885499"/>
    <n v="0.18320610687022901"/>
    <n v="13583"/>
    <s v="Bavaria Motors"/>
  </r>
  <r>
    <s v="CUST_292"/>
    <x v="0"/>
    <x v="0"/>
    <s v="Monday"/>
    <s v="No"/>
    <x v="6"/>
    <x v="6"/>
    <s v="Saxony"/>
    <x v="3"/>
    <s v="C-Class"/>
    <s v="Diesel"/>
    <x v="1"/>
    <s v="26-35"/>
    <s v="Low"/>
    <x v="0"/>
    <x v="2"/>
    <s v="Sales_7"/>
    <n v="253"/>
    <n v="129"/>
    <n v="87"/>
    <n v="36"/>
    <s v="27.91"/>
    <n v="55689"/>
    <s v="4.28"/>
    <n v="39781"/>
    <n v="2004804"/>
    <n v="572688"/>
    <s v="Feb"/>
    <n v="2"/>
    <n v="2026"/>
    <s v="Weekday"/>
    <n v="0.41379310344827586"/>
    <n v="0.50988142292490124"/>
    <n v="0.14229249011857709"/>
    <n v="15908"/>
    <s v="Leipzig Mobility"/>
  </r>
  <r>
    <s v="CUST_293"/>
    <x v="16"/>
    <x v="1"/>
    <s v="Tuesday"/>
    <s v="No"/>
    <x v="5"/>
    <x v="5"/>
    <s v="Hamburg"/>
    <x v="4"/>
    <s v="Passat"/>
    <s v="Petrol"/>
    <x v="1"/>
    <s v="50+"/>
    <s v="Low"/>
    <x v="0"/>
    <x v="3"/>
    <s v="Sales_11"/>
    <n v="444"/>
    <n v="245"/>
    <n v="168"/>
    <n v="38"/>
    <s v="15.51"/>
    <n v="27393"/>
    <s v="11.58"/>
    <n v="24330"/>
    <n v="1040934"/>
    <n v="116394"/>
    <s v="Feb"/>
    <n v="2"/>
    <n v="2026"/>
    <s v="Weekday"/>
    <n v="0.22619047619047619"/>
    <n v="0.55180180180180183"/>
    <n v="8.5585585585585586E-2"/>
    <n v="3063"/>
    <s v="Elbe Drive"/>
  </r>
  <r>
    <s v="CUST_294"/>
    <x v="0"/>
    <x v="0"/>
    <s v="Monday"/>
    <s v="No"/>
    <x v="9"/>
    <x v="9"/>
    <s v="NRW"/>
    <x v="3"/>
    <s v="GLE"/>
    <s v="Petrol"/>
    <x v="0"/>
    <s v="18-25"/>
    <s v="Low"/>
    <x v="1"/>
    <x v="2"/>
    <s v="Sales_4"/>
    <n v="163"/>
    <n v="92"/>
    <n v="65"/>
    <n v="24"/>
    <s v="26.09"/>
    <n v="60523"/>
    <s v="2.98"/>
    <n v="46326"/>
    <n v="1452552"/>
    <n v="340728"/>
    <s v="Feb"/>
    <n v="2"/>
    <n v="2026"/>
    <s v="Weekday"/>
    <n v="0.36923076923076925"/>
    <n v="0.56441717791411039"/>
    <n v="0.14723926380368099"/>
    <n v="14197"/>
    <s v="Ruhr Auto Plaza"/>
  </r>
  <r>
    <s v="CUST_295"/>
    <x v="20"/>
    <x v="0"/>
    <s v="Thursday"/>
    <s v="No"/>
    <x v="5"/>
    <x v="5"/>
    <s v="Hamburg"/>
    <x v="2"/>
    <s v="Q5"/>
    <s v="Petrol"/>
    <x v="0"/>
    <s v="26-35"/>
    <s v="High"/>
    <x v="0"/>
    <x v="1"/>
    <s v="Sales_17"/>
    <n v="228"/>
    <n v="115"/>
    <n v="79"/>
    <n v="29"/>
    <s v="25.22"/>
    <n v="45801"/>
    <s v="4.62"/>
    <n v="37077"/>
    <n v="1328229"/>
    <n v="252996"/>
    <s v="Feb"/>
    <n v="2"/>
    <n v="2026"/>
    <s v="Weekday"/>
    <n v="0.36708860759493672"/>
    <n v="0.50438596491228072"/>
    <n v="0.12719298245614036"/>
    <n v="8724"/>
    <s v="Elbe Drive"/>
  </r>
  <r>
    <s v="CUST_296"/>
    <x v="0"/>
    <x v="0"/>
    <s v="Monday"/>
    <s v="No"/>
    <x v="3"/>
    <x v="3"/>
    <s v="Saxony"/>
    <x v="0"/>
    <s v="5 Series"/>
    <s v="Petrol"/>
    <x v="1"/>
    <s v="36-50"/>
    <s v="Medium"/>
    <x v="1"/>
    <x v="1"/>
    <s v="Sales_16"/>
    <n v="227"/>
    <n v="123"/>
    <n v="87"/>
    <n v="36"/>
    <s v="29.27"/>
    <n v="55843"/>
    <s v="4.91"/>
    <n v="42360"/>
    <n v="2010348"/>
    <n v="485388"/>
    <s v="Feb"/>
    <n v="2"/>
    <n v="2026"/>
    <s v="Weekday"/>
    <n v="0.41379310344827586"/>
    <n v="0.54185022026431717"/>
    <n v="0.15859030837004406"/>
    <n v="13483"/>
    <s v="Saxon Wheels"/>
  </r>
  <r>
    <s v="CUST_297"/>
    <x v="2"/>
    <x v="2"/>
    <s v="Monday"/>
    <s v="No"/>
    <x v="8"/>
    <x v="8"/>
    <s v="Baden-WÃ¼rttemberg"/>
    <x v="4"/>
    <s v="ID.4"/>
    <s v="Electric"/>
    <x v="0"/>
    <s v="36-50"/>
    <s v="High"/>
    <x v="0"/>
    <x v="3"/>
    <s v="Sales_16"/>
    <n v="320"/>
    <n v="179"/>
    <n v="119"/>
    <n v="27"/>
    <s v="15.08"/>
    <n v="28674"/>
    <s v="10.01"/>
    <n v="25331"/>
    <n v="774198"/>
    <n v="90261"/>
    <s v="Feb"/>
    <n v="2"/>
    <n v="2026"/>
    <s v="Weekday"/>
    <n v="0.22689075630252101"/>
    <n v="0.55937499999999996"/>
    <n v="8.4375000000000006E-2"/>
    <n v="3343"/>
    <s v="Stuttgart Auto Center"/>
  </r>
  <r>
    <s v="CUST_298"/>
    <x v="10"/>
    <x v="1"/>
    <s v="Monday"/>
    <s v="No"/>
    <x v="8"/>
    <x v="8"/>
    <s v="Baden-WÃ¼rttemberg"/>
    <x v="2"/>
    <s v="Q3"/>
    <s v="Electric"/>
    <x v="0"/>
    <s v="50+"/>
    <s v="High"/>
    <x v="0"/>
    <x v="1"/>
    <s v="Sales_11"/>
    <n v="276"/>
    <n v="174"/>
    <n v="131"/>
    <n v="39"/>
    <s v="22.41"/>
    <n v="53804"/>
    <s v="5.84"/>
    <n v="41520"/>
    <n v="2098356"/>
    <n v="479076"/>
    <s v="Feb"/>
    <n v="2"/>
    <n v="2026"/>
    <s v="Weekday"/>
    <n v="0.29770992366412213"/>
    <n v="0.63043478260869568"/>
    <n v="0.14130434782608695"/>
    <n v="12284"/>
    <s v="Stuttgart Auto Center"/>
  </r>
  <r>
    <s v="CUST_299"/>
    <x v="6"/>
    <x v="2"/>
    <s v="Saturday"/>
    <s v="Yes"/>
    <x v="5"/>
    <x v="5"/>
    <s v="Hamburg"/>
    <x v="1"/>
    <s v="Crossland"/>
    <s v="Diesel"/>
    <x v="0"/>
    <s v="18-25"/>
    <s v="Medium"/>
    <x v="0"/>
    <x v="1"/>
    <s v="Sales_1"/>
    <n v="259"/>
    <n v="107"/>
    <n v="63"/>
    <n v="21"/>
    <s v="19.63"/>
    <n v="24257"/>
    <s v="12.54"/>
    <n v="22174"/>
    <n v="509397"/>
    <n v="43743"/>
    <s v="Feb"/>
    <n v="2"/>
    <n v="2026"/>
    <s v="Weekend"/>
    <n v="0.33333333333333331"/>
    <n v="0.41312741312741313"/>
    <n v="8.1081081081081086E-2"/>
    <n v="2083"/>
    <s v="Elbe Drive"/>
  </r>
  <r>
    <s v="CUST_300"/>
    <x v="23"/>
    <x v="2"/>
    <s v="Tuesday"/>
    <s v="No"/>
    <x v="6"/>
    <x v="6"/>
    <s v="Saxony"/>
    <x v="0"/>
    <s v="X5"/>
    <s v="Hybrid"/>
    <x v="0"/>
    <s v="50+"/>
    <s v="Medium"/>
    <x v="0"/>
    <x v="3"/>
    <s v="Sales_2"/>
    <n v="155"/>
    <n v="94"/>
    <n v="68"/>
    <n v="22"/>
    <s v="23.4"/>
    <n v="57168"/>
    <s v="4.51"/>
    <n v="40084"/>
    <n v="1257696"/>
    <n v="375848"/>
    <s v="Feb"/>
    <n v="2"/>
    <n v="2026"/>
    <s v="Weekday"/>
    <n v="0.3235294117647059"/>
    <n v="0.6064516129032258"/>
    <n v="0.14193548387096774"/>
    <n v="17084"/>
    <s v="Leipzig Mobility"/>
  </r>
  <r>
    <s v="CUST_301"/>
    <x v="2"/>
    <x v="2"/>
    <s v="Monday"/>
    <s v="No"/>
    <x v="6"/>
    <x v="6"/>
    <s v="Saxony"/>
    <x v="3"/>
    <s v="GLE"/>
    <s v="Petrol"/>
    <x v="0"/>
    <s v="36-50"/>
    <s v="Medium"/>
    <x v="1"/>
    <x v="0"/>
    <s v="Sales_16"/>
    <n v="199"/>
    <n v="115"/>
    <n v="86"/>
    <n v="25"/>
    <s v="21.74"/>
    <n v="58693"/>
    <s v="3.85"/>
    <n v="41684"/>
    <n v="1467325"/>
    <n v="425225"/>
    <s v="Feb"/>
    <n v="2"/>
    <n v="2026"/>
    <s v="Weekday"/>
    <n v="0.29069767441860467"/>
    <n v="0.57788944723618085"/>
    <n v="0.12562814070351758"/>
    <n v="17009"/>
    <s v="Leipzig Mobility"/>
  </r>
  <r>
    <s v="CUST_302"/>
    <x v="25"/>
    <x v="3"/>
    <s v="Friday"/>
    <s v="No"/>
    <x v="0"/>
    <x v="0"/>
    <s v="Hesse"/>
    <x v="2"/>
    <s v="e-tron"/>
    <s v="Hybrid"/>
    <x v="0"/>
    <s v="26-35"/>
    <s v="Medium"/>
    <x v="1"/>
    <x v="3"/>
    <s v="Sales_20"/>
    <n v="282"/>
    <n v="166"/>
    <n v="110"/>
    <n v="38"/>
    <s v="22.89"/>
    <n v="44663"/>
    <s v="4.71"/>
    <n v="33761"/>
    <n v="1697194"/>
    <n v="414276"/>
    <s v="Feb"/>
    <n v="2"/>
    <n v="2026"/>
    <s v="Weekday"/>
    <n v="0.34545454545454546"/>
    <n v="0.58865248226950351"/>
    <n v="0.13475177304964539"/>
    <n v="10902"/>
    <s v="Main Auto Hub"/>
  </r>
  <r>
    <s v="CUST_303"/>
    <x v="26"/>
    <x v="1"/>
    <s v="Friday"/>
    <s v="No"/>
    <x v="4"/>
    <x v="4"/>
    <s v="Berlin"/>
    <x v="0"/>
    <s v="3 Series"/>
    <s v="Hybrid"/>
    <x v="1"/>
    <s v="50+"/>
    <s v="High"/>
    <x v="1"/>
    <x v="3"/>
    <s v="Sales_17"/>
    <n v="224"/>
    <n v="131"/>
    <n v="101"/>
    <n v="37"/>
    <s v="28.24"/>
    <n v="64498"/>
    <s v="5.51"/>
    <n v="45808"/>
    <n v="2386426"/>
    <n v="691530"/>
    <s v="Feb"/>
    <n v="2"/>
    <n v="2026"/>
    <s v="Weekday"/>
    <n v="0.36633663366336633"/>
    <n v="0.5848214285714286"/>
    <n v="0.16517857142857142"/>
    <n v="18690"/>
    <s v="Autohaus Berlin"/>
  </r>
  <r>
    <s v="CUST_304"/>
    <x v="5"/>
    <x v="3"/>
    <s v="Saturday"/>
    <s v="Yes"/>
    <x v="3"/>
    <x v="3"/>
    <s v="Saxony"/>
    <x v="4"/>
    <s v="Golf"/>
    <s v="Electric"/>
    <x v="2"/>
    <s v="18-25"/>
    <s v="Medium"/>
    <x v="0"/>
    <x v="3"/>
    <s v="Sales_3"/>
    <n v="382"/>
    <n v="182"/>
    <n v="121"/>
    <n v="30"/>
    <s v="16.48"/>
    <n v="32026"/>
    <s v="11.49"/>
    <n v="28345"/>
    <n v="960780"/>
    <n v="110430"/>
    <s v="Feb"/>
    <n v="2"/>
    <n v="2026"/>
    <s v="Weekend"/>
    <n v="0.24793388429752067"/>
    <n v="0.47643979057591623"/>
    <n v="7.8534031413612565E-2"/>
    <n v="3681"/>
    <s v="Saxon Wheels"/>
  </r>
  <r>
    <s v="CUST_305"/>
    <x v="19"/>
    <x v="1"/>
    <s v="Saturday"/>
    <s v="Yes"/>
    <x v="2"/>
    <x v="2"/>
    <s v="Lower Saxony"/>
    <x v="2"/>
    <s v="e-tron"/>
    <s v="Hybrid"/>
    <x v="0"/>
    <s v="18-25"/>
    <s v="Medium"/>
    <x v="1"/>
    <x v="3"/>
    <s v="Sales_14"/>
    <n v="180"/>
    <n v="110"/>
    <n v="79"/>
    <n v="23"/>
    <s v="20.91"/>
    <n v="50101"/>
    <s v="5.6"/>
    <n v="37730"/>
    <n v="1152323"/>
    <n v="284533"/>
    <s v="Feb"/>
    <n v="2"/>
    <n v="2026"/>
    <s v="Weekend"/>
    <n v="0.29113924050632911"/>
    <n v="0.61111111111111116"/>
    <n v="0.12777777777777777"/>
    <n v="12371"/>
    <s v="Hannover Cars"/>
  </r>
  <r>
    <s v="CUST_306"/>
    <x v="3"/>
    <x v="1"/>
    <s v="Sunday"/>
    <s v="Yes"/>
    <x v="8"/>
    <x v="8"/>
    <s v="Baden-WÃ¼rttemberg"/>
    <x v="0"/>
    <s v="5 Series"/>
    <s v="Diesel"/>
    <x v="1"/>
    <s v="18-25"/>
    <s v="Medium"/>
    <x v="1"/>
    <x v="3"/>
    <s v="Sales_15"/>
    <n v="274"/>
    <n v="160"/>
    <n v="126"/>
    <n v="39"/>
    <s v="24.38"/>
    <n v="57210"/>
    <s v="5.32"/>
    <n v="42401"/>
    <n v="2231190"/>
    <n v="577551"/>
    <s v="Feb"/>
    <n v="2"/>
    <n v="2026"/>
    <s v="Weekend"/>
    <n v="0.30952380952380953"/>
    <n v="0.58394160583941601"/>
    <n v="0.14233576642335766"/>
    <n v="14809"/>
    <s v="Stuttgart Auto Center"/>
  </r>
  <r>
    <s v="CUST_307"/>
    <x v="7"/>
    <x v="3"/>
    <s v="Monday"/>
    <s v="No"/>
    <x v="0"/>
    <x v="0"/>
    <s v="Hesse"/>
    <x v="4"/>
    <s v="ID.4"/>
    <s v="Hybrid"/>
    <x v="0"/>
    <s v="18-25"/>
    <s v="Low"/>
    <x v="0"/>
    <x v="3"/>
    <s v="Sales_20"/>
    <n v="321"/>
    <n v="159"/>
    <n v="97"/>
    <n v="21"/>
    <s v="13.21"/>
    <n v="26869"/>
    <s v="6.68"/>
    <n v="24147"/>
    <n v="564249"/>
    <n v="57162"/>
    <s v="Feb"/>
    <n v="2"/>
    <n v="2026"/>
    <s v="Weekday"/>
    <n v="0.21649484536082475"/>
    <n v="0.49532710280373832"/>
    <n v="6.5420560747663545E-2"/>
    <n v="2722"/>
    <s v="Main Auto Hub"/>
  </r>
  <r>
    <s v="CUST_308"/>
    <x v="14"/>
    <x v="2"/>
    <s v="Friday"/>
    <s v="No"/>
    <x v="3"/>
    <x v="3"/>
    <s v="Saxony"/>
    <x v="1"/>
    <s v="Mokka"/>
    <s v="Hybrid"/>
    <x v="0"/>
    <s v="18-25"/>
    <s v="Low"/>
    <x v="1"/>
    <x v="1"/>
    <s v="Sales_18"/>
    <n v="426"/>
    <n v="191"/>
    <n v="108"/>
    <n v="26"/>
    <s v="13.61"/>
    <n v="26165"/>
    <s v="11.78"/>
    <n v="23554"/>
    <n v="680290"/>
    <n v="67886"/>
    <s v="Feb"/>
    <n v="2"/>
    <n v="2026"/>
    <s v="Weekday"/>
    <n v="0.24074074074074073"/>
    <n v="0.44835680751173707"/>
    <n v="6.1032863849765258E-2"/>
    <n v="2611"/>
    <s v="Saxon Wheels"/>
  </r>
  <r>
    <s v="CUST_309"/>
    <x v="20"/>
    <x v="0"/>
    <s v="Thursday"/>
    <s v="No"/>
    <x v="7"/>
    <x v="7"/>
    <s v="Bavaria"/>
    <x v="2"/>
    <s v="e-tron"/>
    <s v="Diesel"/>
    <x v="0"/>
    <s v="36-50"/>
    <s v="Medium"/>
    <x v="0"/>
    <x v="3"/>
    <s v="Sales_13"/>
    <n v="231"/>
    <n v="141"/>
    <n v="100"/>
    <n v="32"/>
    <s v="22.7"/>
    <n v="44041"/>
    <s v="6.53"/>
    <n v="33258"/>
    <n v="1409312"/>
    <n v="345056"/>
    <s v="Feb"/>
    <n v="2"/>
    <n v="2026"/>
    <s v="Weekday"/>
    <n v="0.32"/>
    <n v="0.61038961038961037"/>
    <n v="0.13852813852813853"/>
    <n v="10783"/>
    <s v="Bavaria Motors"/>
  </r>
  <r>
    <s v="CUST_310"/>
    <x v="7"/>
    <x v="3"/>
    <s v="Monday"/>
    <s v="No"/>
    <x v="8"/>
    <x v="8"/>
    <s v="Baden-WÃ¼rttemberg"/>
    <x v="1"/>
    <s v="Crossland"/>
    <s v="Petrol"/>
    <x v="0"/>
    <s v="50+"/>
    <s v="Low"/>
    <x v="1"/>
    <x v="2"/>
    <s v="Sales_4"/>
    <n v="231"/>
    <n v="99"/>
    <n v="56"/>
    <n v="17"/>
    <s v="17.17"/>
    <n v="20441"/>
    <s v="8.37"/>
    <n v="18258"/>
    <n v="347497"/>
    <n v="37111"/>
    <s v="Feb"/>
    <n v="2"/>
    <n v="2026"/>
    <s v="Weekday"/>
    <n v="0.30357142857142855"/>
    <n v="0.42857142857142855"/>
    <n v="7.3593073593073599E-2"/>
    <n v="2183"/>
    <s v="Stuttgart Auto Center"/>
  </r>
  <r>
    <s v="CUST_311"/>
    <x v="19"/>
    <x v="1"/>
    <s v="Saturday"/>
    <s v="Yes"/>
    <x v="1"/>
    <x v="1"/>
    <s v="NRW"/>
    <x v="4"/>
    <s v="Passat"/>
    <s v="Petrol"/>
    <x v="1"/>
    <s v="18-25"/>
    <s v="Low"/>
    <x v="0"/>
    <x v="3"/>
    <s v="Sales_14"/>
    <n v="323"/>
    <n v="179"/>
    <n v="120"/>
    <n v="24"/>
    <s v="13.41"/>
    <n v="30642"/>
    <s v="10.5"/>
    <n v="26707"/>
    <n v="735408"/>
    <n v="94440"/>
    <s v="Feb"/>
    <n v="2"/>
    <n v="2026"/>
    <s v="Weekend"/>
    <n v="0.2"/>
    <n v="0.55417956656346745"/>
    <n v="7.4303405572755415E-2"/>
    <n v="3935"/>
    <s v="Rhein Auto Group"/>
  </r>
  <r>
    <s v="CUST_312"/>
    <x v="19"/>
    <x v="1"/>
    <s v="Saturday"/>
    <s v="Yes"/>
    <x v="7"/>
    <x v="7"/>
    <s v="Bavaria"/>
    <x v="1"/>
    <s v="Crossland"/>
    <s v="Hybrid"/>
    <x v="0"/>
    <s v="36-50"/>
    <s v="Medium"/>
    <x v="1"/>
    <x v="2"/>
    <s v="Sales_16"/>
    <n v="428"/>
    <n v="225"/>
    <n v="152"/>
    <n v="39"/>
    <s v="17.33"/>
    <n v="20942"/>
    <s v="12.03"/>
    <n v="19209"/>
    <n v="816738"/>
    <n v="67587"/>
    <s v="Feb"/>
    <n v="2"/>
    <n v="2026"/>
    <s v="Weekend"/>
    <n v="0.25657894736842107"/>
    <n v="0.52570093457943923"/>
    <n v="9.11214953271028E-2"/>
    <n v="1733"/>
    <s v="Bavaria Motors"/>
  </r>
  <r>
    <s v="CUST_313"/>
    <x v="5"/>
    <x v="3"/>
    <s v="Saturday"/>
    <s v="Yes"/>
    <x v="5"/>
    <x v="5"/>
    <s v="Hamburg"/>
    <x v="0"/>
    <s v="3 Series"/>
    <s v="Diesel"/>
    <x v="1"/>
    <s v="26-35"/>
    <s v="High"/>
    <x v="0"/>
    <x v="3"/>
    <s v="Sales_4"/>
    <n v="173"/>
    <n v="86"/>
    <n v="68"/>
    <n v="25"/>
    <s v="29.07"/>
    <n v="67405"/>
    <s v="2.55"/>
    <n v="48939"/>
    <n v="1685125"/>
    <n v="461650"/>
    <s v="Feb"/>
    <n v="2"/>
    <n v="2026"/>
    <s v="Weekend"/>
    <n v="0.36764705882352944"/>
    <n v="0.49710982658959535"/>
    <n v="0.14450867052023122"/>
    <n v="18466"/>
    <s v="Elbe Drive"/>
  </r>
  <r>
    <s v="CUST_314"/>
    <x v="13"/>
    <x v="0"/>
    <s v="Friday"/>
    <s v="No"/>
    <x v="8"/>
    <x v="8"/>
    <s v="Baden-WÃ¼rttemberg"/>
    <x v="0"/>
    <s v="X5"/>
    <s v="Petrol"/>
    <x v="0"/>
    <s v="50+"/>
    <s v="Medium"/>
    <x v="0"/>
    <x v="3"/>
    <s v="Sales_8"/>
    <n v="164"/>
    <n v="75"/>
    <n v="56"/>
    <n v="19"/>
    <s v="25.33"/>
    <n v="55908"/>
    <s v="5.26"/>
    <n v="43393"/>
    <n v="1062252"/>
    <n v="237785"/>
    <s v="Feb"/>
    <n v="2"/>
    <n v="2026"/>
    <s v="Weekday"/>
    <n v="0.3392857142857143"/>
    <n v="0.45731707317073172"/>
    <n v="0.11585365853658537"/>
    <n v="12515"/>
    <s v="Stuttgart Auto Center"/>
  </r>
  <r>
    <s v="CUST_315"/>
    <x v="7"/>
    <x v="3"/>
    <s v="Monday"/>
    <s v="No"/>
    <x v="4"/>
    <x v="4"/>
    <s v="Berlin"/>
    <x v="2"/>
    <s v="A4"/>
    <s v="Petrol"/>
    <x v="1"/>
    <s v="18-25"/>
    <s v="High"/>
    <x v="1"/>
    <x v="3"/>
    <s v="Sales_9"/>
    <n v="296"/>
    <n v="147"/>
    <n v="104"/>
    <n v="31"/>
    <s v="21.09"/>
    <n v="48174"/>
    <s v="6.14"/>
    <n v="39054"/>
    <n v="1493394"/>
    <n v="282720"/>
    <s v="Feb"/>
    <n v="2"/>
    <n v="2026"/>
    <s v="Weekday"/>
    <n v="0.29807692307692307"/>
    <n v="0.4966216216216216"/>
    <n v="0.10472972972972973"/>
    <n v="9120"/>
    <s v="Autohaus Berlin"/>
  </r>
  <r>
    <s v="CUST_316"/>
    <x v="27"/>
    <x v="3"/>
    <s v="Sunday"/>
    <s v="Yes"/>
    <x v="2"/>
    <x v="2"/>
    <s v="Lower Saxony"/>
    <x v="0"/>
    <s v="3 Series"/>
    <s v="Hybrid"/>
    <x v="1"/>
    <s v="18-25"/>
    <s v="Low"/>
    <x v="0"/>
    <x v="1"/>
    <s v="Sales_20"/>
    <n v="279"/>
    <n v="156"/>
    <n v="111"/>
    <n v="45"/>
    <s v="28.85"/>
    <n v="50235"/>
    <s v="3.47"/>
    <n v="38005"/>
    <n v="2260575"/>
    <n v="550350"/>
    <s v="Feb"/>
    <n v="2"/>
    <n v="2026"/>
    <s v="Weekend"/>
    <n v="0.40540540540540543"/>
    <n v="0.55913978494623651"/>
    <n v="0.16129032258064516"/>
    <n v="12230"/>
    <s v="Hannover Cars"/>
  </r>
  <r>
    <s v="CUST_317"/>
    <x v="5"/>
    <x v="3"/>
    <s v="Saturday"/>
    <s v="Yes"/>
    <x v="6"/>
    <x v="6"/>
    <s v="Saxony"/>
    <x v="4"/>
    <s v="T-Roc"/>
    <s v="Diesel"/>
    <x v="0"/>
    <s v="36-50"/>
    <s v="Low"/>
    <x v="1"/>
    <x v="1"/>
    <s v="Sales_9"/>
    <n v="499"/>
    <n v="282"/>
    <n v="181"/>
    <n v="46"/>
    <s v="16.31"/>
    <n v="27636"/>
    <s v="11.97"/>
    <n v="24830"/>
    <n v="1271256"/>
    <n v="129076"/>
    <s v="Feb"/>
    <n v="2"/>
    <n v="2026"/>
    <s v="Weekend"/>
    <n v="0.2541436464088398"/>
    <n v="0.56513026052104209"/>
    <n v="9.2184368737474945E-2"/>
    <n v="2806"/>
    <s v="Leipzig Mobility"/>
  </r>
  <r>
    <s v="CUST_318"/>
    <x v="27"/>
    <x v="3"/>
    <s v="Sunday"/>
    <s v="Yes"/>
    <x v="9"/>
    <x v="9"/>
    <s v="NRW"/>
    <x v="1"/>
    <s v="Crossland"/>
    <s v="Hybrid"/>
    <x v="0"/>
    <s v="18-25"/>
    <s v="Low"/>
    <x v="1"/>
    <x v="3"/>
    <s v="Sales_2"/>
    <n v="407"/>
    <n v="203"/>
    <n v="141"/>
    <n v="27"/>
    <s v="13.3"/>
    <n v="24849"/>
    <s v="12.04"/>
    <n v="22258"/>
    <n v="670923"/>
    <n v="69957"/>
    <s v="Feb"/>
    <n v="2"/>
    <n v="2026"/>
    <s v="Weekend"/>
    <n v="0.19148936170212766"/>
    <n v="0.49877149877149879"/>
    <n v="6.6339066339066333E-2"/>
    <n v="2591"/>
    <s v="Ruhr Auto Plaza"/>
  </r>
  <r>
    <s v="CUST_319"/>
    <x v="22"/>
    <x v="3"/>
    <s v="Tuesday"/>
    <s v="No"/>
    <x v="0"/>
    <x v="0"/>
    <s v="Hesse"/>
    <x v="3"/>
    <s v="GLE"/>
    <s v="Hybrid"/>
    <x v="0"/>
    <s v="36-50"/>
    <s v="High"/>
    <x v="0"/>
    <x v="1"/>
    <s v="Sales_1"/>
    <n v="220"/>
    <n v="110"/>
    <n v="79"/>
    <n v="30"/>
    <s v="27.27"/>
    <n v="58118"/>
    <s v="5.84"/>
    <n v="43193"/>
    <n v="1743540"/>
    <n v="447750"/>
    <s v="Feb"/>
    <n v="2"/>
    <n v="2026"/>
    <s v="Weekday"/>
    <n v="0.379746835443038"/>
    <n v="0.5"/>
    <n v="0.13636363636363635"/>
    <n v="14925"/>
    <s v="Main Auto Hub"/>
  </r>
  <r>
    <s v="CUST_320"/>
    <x v="12"/>
    <x v="3"/>
    <s v="Thursday"/>
    <s v="No"/>
    <x v="7"/>
    <x v="7"/>
    <s v="Bavaria"/>
    <x v="2"/>
    <s v="A3"/>
    <s v="Electric"/>
    <x v="2"/>
    <s v="26-35"/>
    <s v="Low"/>
    <x v="1"/>
    <x v="1"/>
    <s v="Sales_17"/>
    <n v="303"/>
    <n v="188"/>
    <n v="124"/>
    <n v="44"/>
    <s v="23.4"/>
    <n v="40814"/>
    <s v="3.74"/>
    <n v="32421"/>
    <n v="1795816"/>
    <n v="369292"/>
    <s v="Feb"/>
    <n v="2"/>
    <n v="2026"/>
    <s v="Weekday"/>
    <n v="0.35483870967741937"/>
    <n v="0.62046204620462042"/>
    <n v="0.14521452145214522"/>
    <n v="8393"/>
    <s v="Bavaria Motors"/>
  </r>
  <r>
    <s v="CUST_321"/>
    <x v="17"/>
    <x v="2"/>
    <s v="Sunday"/>
    <s v="Yes"/>
    <x v="0"/>
    <x v="0"/>
    <s v="Hesse"/>
    <x v="4"/>
    <s v="Passat"/>
    <s v="Electric"/>
    <x v="1"/>
    <s v="18-25"/>
    <s v="High"/>
    <x v="1"/>
    <x v="1"/>
    <s v="Sales_16"/>
    <n v="427"/>
    <n v="211"/>
    <n v="145"/>
    <n v="30"/>
    <s v="14.22"/>
    <n v="34056"/>
    <s v="7.36"/>
    <n v="30362"/>
    <n v="1021680"/>
    <n v="110820"/>
    <s v="Feb"/>
    <n v="2"/>
    <n v="2026"/>
    <s v="Weekend"/>
    <n v="0.20689655172413793"/>
    <n v="0.49414519906323184"/>
    <n v="7.0257611241217793E-2"/>
    <n v="3694"/>
    <s v="Main Auto Hub"/>
  </r>
  <r>
    <s v="CUST_322"/>
    <x v="12"/>
    <x v="3"/>
    <s v="Thursday"/>
    <s v="No"/>
    <x v="6"/>
    <x v="6"/>
    <s v="Saxony"/>
    <x v="4"/>
    <s v="Tiguan"/>
    <s v="Diesel"/>
    <x v="0"/>
    <s v="26-35"/>
    <s v="Medium"/>
    <x v="1"/>
    <x v="0"/>
    <s v="Sales_9"/>
    <n v="462"/>
    <n v="223"/>
    <n v="145"/>
    <n v="31"/>
    <s v="13.9"/>
    <n v="34601"/>
    <s v="8.73"/>
    <n v="30473"/>
    <n v="1072631"/>
    <n v="127968"/>
    <s v="Feb"/>
    <n v="2"/>
    <n v="2026"/>
    <s v="Weekday"/>
    <n v="0.21379310344827587"/>
    <n v="0.48268398268398266"/>
    <n v="6.7099567099567103E-2"/>
    <n v="4128"/>
    <s v="Leipzig Mobility"/>
  </r>
  <r>
    <s v="CUST_323"/>
    <x v="21"/>
    <x v="0"/>
    <s v="Tuesday"/>
    <s v="No"/>
    <x v="5"/>
    <x v="5"/>
    <s v="Hamburg"/>
    <x v="1"/>
    <s v="Crossland"/>
    <s v="Hybrid"/>
    <x v="0"/>
    <s v="26-35"/>
    <s v="Low"/>
    <x v="0"/>
    <x v="0"/>
    <s v="Sales_19"/>
    <n v="427"/>
    <n v="207"/>
    <n v="118"/>
    <n v="33"/>
    <s v="15.94"/>
    <n v="19998"/>
    <s v="9.17"/>
    <n v="18186"/>
    <n v="659934"/>
    <n v="59796"/>
    <s v="Feb"/>
    <n v="2"/>
    <n v="2026"/>
    <s v="Weekday"/>
    <n v="0.27966101694915252"/>
    <n v="0.48477751756440279"/>
    <n v="7.7283372365339581E-2"/>
    <n v="1812"/>
    <s v="Elbe Drive"/>
  </r>
  <r>
    <s v="CUST_324"/>
    <x v="21"/>
    <x v="0"/>
    <s v="Tuesday"/>
    <s v="No"/>
    <x v="4"/>
    <x v="4"/>
    <s v="Berlin"/>
    <x v="4"/>
    <s v="Tiguan"/>
    <s v="Hybrid"/>
    <x v="0"/>
    <s v="18-25"/>
    <s v="Low"/>
    <x v="1"/>
    <x v="0"/>
    <s v="Sales_14"/>
    <n v="403"/>
    <n v="195"/>
    <n v="122"/>
    <n v="30"/>
    <s v="15.38"/>
    <n v="26935"/>
    <s v="7.92"/>
    <n v="24202"/>
    <n v="808050"/>
    <n v="81990"/>
    <s v="Feb"/>
    <n v="2"/>
    <n v="2026"/>
    <s v="Weekday"/>
    <n v="0.24590163934426229"/>
    <n v="0.4838709677419355"/>
    <n v="7.4441687344913146E-2"/>
    <n v="2733"/>
    <s v="Autohaus Berlin"/>
  </r>
  <r>
    <s v="CUST_325"/>
    <x v="6"/>
    <x v="2"/>
    <s v="Saturday"/>
    <s v="Yes"/>
    <x v="1"/>
    <x v="1"/>
    <s v="NRW"/>
    <x v="4"/>
    <s v="Golf"/>
    <s v="Diesel"/>
    <x v="2"/>
    <s v="26-35"/>
    <s v="Medium"/>
    <x v="1"/>
    <x v="2"/>
    <s v="Sales_12"/>
    <n v="260"/>
    <n v="148"/>
    <n v="100"/>
    <n v="26"/>
    <s v="17.57"/>
    <n v="30400"/>
    <s v="7.88"/>
    <n v="26419"/>
    <n v="790400"/>
    <n v="103506"/>
    <s v="Feb"/>
    <n v="2"/>
    <n v="2026"/>
    <s v="Weekend"/>
    <n v="0.26"/>
    <n v="0.56923076923076921"/>
    <n v="0.1"/>
    <n v="3981"/>
    <s v="Rhein Auto Group"/>
  </r>
  <r>
    <s v="CUST_326"/>
    <x v="9"/>
    <x v="0"/>
    <s v="Sunday"/>
    <s v="Yes"/>
    <x v="9"/>
    <x v="9"/>
    <s v="NRW"/>
    <x v="2"/>
    <s v="A3"/>
    <s v="Electric"/>
    <x v="2"/>
    <s v="50+"/>
    <s v="High"/>
    <x v="0"/>
    <x v="0"/>
    <s v="Sales_12"/>
    <n v="284"/>
    <n v="157"/>
    <n v="102"/>
    <n v="31"/>
    <s v="19.75"/>
    <n v="47461"/>
    <s v="4.12"/>
    <n v="37252"/>
    <n v="1471291"/>
    <n v="316479"/>
    <s v="Feb"/>
    <n v="2"/>
    <n v="2026"/>
    <s v="Weekend"/>
    <n v="0.30392156862745096"/>
    <n v="0.55281690140845074"/>
    <n v="0.10915492957746478"/>
    <n v="10209"/>
    <s v="Ruhr Auto Plaza"/>
  </r>
  <r>
    <s v="CUST_327"/>
    <x v="4"/>
    <x v="2"/>
    <s v="Wednesday"/>
    <s v="No"/>
    <x v="5"/>
    <x v="5"/>
    <s v="Hamburg"/>
    <x v="2"/>
    <s v="A4"/>
    <s v="Hybrid"/>
    <x v="1"/>
    <s v="18-25"/>
    <s v="High"/>
    <x v="0"/>
    <x v="3"/>
    <s v="Sales_11"/>
    <n v="297"/>
    <n v="175"/>
    <n v="125"/>
    <n v="37"/>
    <s v="21.14"/>
    <n v="40668"/>
    <s v="4.88"/>
    <n v="30998"/>
    <n v="1504716"/>
    <n v="357790"/>
    <s v="Feb"/>
    <n v="2"/>
    <n v="2026"/>
    <s v="Weekday"/>
    <n v="0.29599999999999999"/>
    <n v="0.58922558922558921"/>
    <n v="0.12457912457912458"/>
    <n v="9670"/>
    <s v="Elbe Drive"/>
  </r>
  <r>
    <s v="CUST_328"/>
    <x v="1"/>
    <x v="1"/>
    <s v="Wednesday"/>
    <s v="No"/>
    <x v="4"/>
    <x v="4"/>
    <s v="Berlin"/>
    <x v="2"/>
    <s v="Q3"/>
    <s v="Hybrid"/>
    <x v="0"/>
    <s v="36-50"/>
    <s v="High"/>
    <x v="1"/>
    <x v="2"/>
    <s v="Sales_17"/>
    <n v="214"/>
    <n v="121"/>
    <n v="82"/>
    <n v="34"/>
    <s v="28.1"/>
    <n v="49433"/>
    <s v="3.79"/>
    <n v="37092"/>
    <n v="1680722"/>
    <n v="419594"/>
    <s v="Feb"/>
    <n v="2"/>
    <n v="2026"/>
    <s v="Weekday"/>
    <n v="0.41463414634146339"/>
    <n v="0.56542056074766356"/>
    <n v="0.15887850467289719"/>
    <n v="12341"/>
    <s v="Autohaus Berlin"/>
  </r>
  <r>
    <s v="CUST_329"/>
    <x v="17"/>
    <x v="2"/>
    <s v="Sunday"/>
    <s v="Yes"/>
    <x v="0"/>
    <x v="0"/>
    <s v="Hesse"/>
    <x v="3"/>
    <s v="GLE"/>
    <s v="Diesel"/>
    <x v="0"/>
    <s v="18-25"/>
    <s v="Low"/>
    <x v="0"/>
    <x v="0"/>
    <s v="Sales_7"/>
    <n v="274"/>
    <n v="155"/>
    <n v="119"/>
    <n v="34"/>
    <s v="21.94"/>
    <n v="53871"/>
    <s v="3.69"/>
    <n v="41124"/>
    <n v="1831614"/>
    <n v="433398"/>
    <s v="Feb"/>
    <n v="2"/>
    <n v="2026"/>
    <s v="Weekend"/>
    <n v="0.2857142857142857"/>
    <n v="0.56569343065693434"/>
    <n v="0.12408759124087591"/>
    <n v="12747"/>
    <s v="Main Auto Hub"/>
  </r>
  <r>
    <s v="CUST_330"/>
    <x v="1"/>
    <x v="1"/>
    <s v="Wednesday"/>
    <s v="No"/>
    <x v="2"/>
    <x v="2"/>
    <s v="Lower Saxony"/>
    <x v="3"/>
    <s v="GLC"/>
    <s v="Petrol"/>
    <x v="0"/>
    <s v="26-35"/>
    <s v="High"/>
    <x v="1"/>
    <x v="0"/>
    <s v="Sales_1"/>
    <n v="272"/>
    <n v="125"/>
    <n v="89"/>
    <n v="29"/>
    <s v="23.2"/>
    <n v="69797"/>
    <s v="5.28"/>
    <n v="51821"/>
    <n v="2024113"/>
    <n v="521304"/>
    <s v="Feb"/>
    <n v="2"/>
    <n v="2026"/>
    <s v="Weekday"/>
    <n v="0.3258426966292135"/>
    <n v="0.45955882352941174"/>
    <n v="0.10661764705882353"/>
    <n v="17976"/>
    <s v="Hannover Cars"/>
  </r>
  <r>
    <s v="CUST_331"/>
    <x v="20"/>
    <x v="0"/>
    <s v="Thursday"/>
    <s v="No"/>
    <x v="5"/>
    <x v="5"/>
    <s v="Hamburg"/>
    <x v="2"/>
    <s v="A4"/>
    <s v="Electric"/>
    <x v="1"/>
    <s v="36-50"/>
    <s v="Low"/>
    <x v="0"/>
    <x v="2"/>
    <s v="Sales_15"/>
    <n v="279"/>
    <n v="130"/>
    <n v="93"/>
    <n v="38"/>
    <s v="29.23"/>
    <n v="53947"/>
    <s v="3.91"/>
    <n v="40650"/>
    <n v="2049986"/>
    <n v="505286"/>
    <s v="Feb"/>
    <n v="2"/>
    <n v="2026"/>
    <s v="Weekday"/>
    <n v="0.40860215053763443"/>
    <n v="0.46594982078853048"/>
    <n v="0.13620071684587814"/>
    <n v="13297"/>
    <s v="Elbe Drive"/>
  </r>
  <r>
    <s v="CUST_332"/>
    <x v="12"/>
    <x v="3"/>
    <s v="Thursday"/>
    <s v="No"/>
    <x v="0"/>
    <x v="0"/>
    <s v="Hesse"/>
    <x v="1"/>
    <s v="Astra"/>
    <s v="Electric"/>
    <x v="2"/>
    <s v="36-50"/>
    <s v="Medium"/>
    <x v="0"/>
    <x v="1"/>
    <s v="Sales_18"/>
    <n v="293"/>
    <n v="114"/>
    <n v="67"/>
    <n v="20"/>
    <s v="17.54"/>
    <n v="22910"/>
    <s v="7.99"/>
    <n v="20438"/>
    <n v="458200"/>
    <n v="49440"/>
    <s v="Feb"/>
    <n v="2"/>
    <n v="2026"/>
    <s v="Weekday"/>
    <n v="0.29850746268656714"/>
    <n v="0.38907849829351537"/>
    <n v="6.8259385665529013E-2"/>
    <n v="2472"/>
    <s v="Main Auto Hub"/>
  </r>
  <r>
    <s v="CUST_333"/>
    <x v="9"/>
    <x v="0"/>
    <s v="Sunday"/>
    <s v="Yes"/>
    <x v="6"/>
    <x v="6"/>
    <s v="Saxony"/>
    <x v="2"/>
    <s v="e-tron"/>
    <s v="Electric"/>
    <x v="0"/>
    <s v="18-25"/>
    <s v="Low"/>
    <x v="0"/>
    <x v="1"/>
    <s v="Sales_1"/>
    <n v="317"/>
    <n v="182"/>
    <n v="138"/>
    <n v="38"/>
    <s v="20.88"/>
    <n v="39857"/>
    <s v="5.53"/>
    <n v="32042"/>
    <n v="1514566"/>
    <n v="296970"/>
    <s v="Feb"/>
    <n v="2"/>
    <n v="2026"/>
    <s v="Weekend"/>
    <n v="0.27536231884057971"/>
    <n v="0.57413249211356465"/>
    <n v="0.11987381703470032"/>
    <n v="7815"/>
    <s v="Leipzig Mobility"/>
  </r>
  <r>
    <s v="CUST_334"/>
    <x v="1"/>
    <x v="1"/>
    <s v="Wednesday"/>
    <s v="No"/>
    <x v="8"/>
    <x v="8"/>
    <s v="Baden-WÃ¼rttemberg"/>
    <x v="1"/>
    <s v="Crossland"/>
    <s v="Electric"/>
    <x v="0"/>
    <s v="18-25"/>
    <s v="High"/>
    <x v="0"/>
    <x v="1"/>
    <s v="Sales_9"/>
    <n v="421"/>
    <n v="212"/>
    <n v="147"/>
    <n v="41"/>
    <s v="19.34"/>
    <n v="24175"/>
    <s v="13.2"/>
    <n v="21854"/>
    <n v="991175"/>
    <n v="95161"/>
    <s v="Feb"/>
    <n v="2"/>
    <n v="2026"/>
    <s v="Weekday"/>
    <n v="0.27891156462585032"/>
    <n v="0.50356294536817103"/>
    <n v="9.7387173396674589E-2"/>
    <n v="2321"/>
    <s v="Stuttgart Auto Center"/>
  </r>
  <r>
    <s v="CUST_335"/>
    <x v="18"/>
    <x v="0"/>
    <s v="Saturday"/>
    <s v="Yes"/>
    <x v="3"/>
    <x v="3"/>
    <s v="Saxony"/>
    <x v="1"/>
    <s v="Grandland"/>
    <s v="Diesel"/>
    <x v="0"/>
    <s v="26-35"/>
    <s v="Low"/>
    <x v="1"/>
    <x v="1"/>
    <s v="Sales_15"/>
    <n v="404"/>
    <n v="212"/>
    <n v="141"/>
    <n v="35"/>
    <s v="16.51"/>
    <n v="23325"/>
    <s v="9.79"/>
    <n v="21496"/>
    <n v="816375"/>
    <n v="64015"/>
    <s v="Feb"/>
    <n v="2"/>
    <n v="2026"/>
    <s v="Weekend"/>
    <n v="0.24822695035460993"/>
    <n v="0.52475247524752477"/>
    <n v="8.6633663366336627E-2"/>
    <n v="1829"/>
    <s v="Saxon Wheels"/>
  </r>
  <r>
    <s v="CUST_336"/>
    <x v="24"/>
    <x v="1"/>
    <s v="Thursday"/>
    <s v="No"/>
    <x v="1"/>
    <x v="1"/>
    <s v="NRW"/>
    <x v="2"/>
    <s v="Q3"/>
    <s v="Diesel"/>
    <x v="0"/>
    <s v="36-50"/>
    <s v="Medium"/>
    <x v="0"/>
    <x v="2"/>
    <s v="Sales_13"/>
    <n v="285"/>
    <n v="144"/>
    <n v="93"/>
    <n v="36"/>
    <s v="25.0"/>
    <n v="49482"/>
    <s v="4.77"/>
    <n v="37519"/>
    <n v="1781352"/>
    <n v="430668"/>
    <s v="Feb"/>
    <n v="2"/>
    <n v="2026"/>
    <s v="Weekday"/>
    <n v="0.38709677419354838"/>
    <n v="0.50526315789473686"/>
    <n v="0.12631578947368421"/>
    <n v="11963"/>
    <s v="Rhein Auto Group"/>
  </r>
  <r>
    <s v="CUST_337"/>
    <x v="10"/>
    <x v="1"/>
    <s v="Monday"/>
    <s v="No"/>
    <x v="2"/>
    <x v="2"/>
    <s v="Lower Saxony"/>
    <x v="4"/>
    <s v="Passat"/>
    <s v="Petrol"/>
    <x v="1"/>
    <s v="36-50"/>
    <s v="High"/>
    <x v="0"/>
    <x v="1"/>
    <s v="Sales_16"/>
    <n v="422"/>
    <n v="217"/>
    <n v="131"/>
    <n v="37"/>
    <s v="17.05"/>
    <n v="29636"/>
    <s v="9.24"/>
    <n v="26841"/>
    <n v="1096532"/>
    <n v="103415"/>
    <s v="Feb"/>
    <n v="2"/>
    <n v="2026"/>
    <s v="Weekday"/>
    <n v="0.28244274809160308"/>
    <n v="0.51421800947867302"/>
    <n v="8.7677725118483416E-2"/>
    <n v="2795"/>
    <s v="Hannover Cars"/>
  </r>
  <r>
    <s v="CUST_338"/>
    <x v="0"/>
    <x v="0"/>
    <s v="Monday"/>
    <s v="No"/>
    <x v="7"/>
    <x v="7"/>
    <s v="Bavaria"/>
    <x v="3"/>
    <s v="GLC"/>
    <s v="Hybrid"/>
    <x v="0"/>
    <s v="50+"/>
    <s v="Low"/>
    <x v="1"/>
    <x v="0"/>
    <s v="Sales_19"/>
    <n v="199"/>
    <n v="90"/>
    <n v="65"/>
    <n v="23"/>
    <s v="25.56"/>
    <n v="69115"/>
    <s v="2.53"/>
    <n v="49994"/>
    <n v="1589645"/>
    <n v="439783"/>
    <s v="Feb"/>
    <n v="2"/>
    <n v="2026"/>
    <s v="Weekday"/>
    <n v="0.35384615384615387"/>
    <n v="0.45226130653266333"/>
    <n v="0.11557788944723618"/>
    <n v="19121"/>
    <s v="Bavaria Motors"/>
  </r>
  <r>
    <s v="CUST_339"/>
    <x v="9"/>
    <x v="0"/>
    <s v="Sunday"/>
    <s v="Yes"/>
    <x v="4"/>
    <x v="4"/>
    <s v="Berlin"/>
    <x v="3"/>
    <s v="C-Class"/>
    <s v="Hybrid"/>
    <x v="1"/>
    <s v="50+"/>
    <s v="High"/>
    <x v="1"/>
    <x v="2"/>
    <s v="Sales_10"/>
    <n v="174"/>
    <n v="99"/>
    <n v="73"/>
    <n v="30"/>
    <s v="30.3"/>
    <n v="65561"/>
    <s v="3.33"/>
    <n v="51376"/>
    <n v="1966830"/>
    <n v="425550"/>
    <s v="Feb"/>
    <n v="2"/>
    <n v="2026"/>
    <s v="Weekend"/>
    <n v="0.41095890410958902"/>
    <n v="0.56896551724137934"/>
    <n v="0.17241379310344829"/>
    <n v="14185"/>
    <s v="Autohaus Berlin"/>
  </r>
  <r>
    <s v="CUST_340"/>
    <x v="3"/>
    <x v="1"/>
    <s v="Sunday"/>
    <s v="Yes"/>
    <x v="8"/>
    <x v="8"/>
    <s v="Baden-WÃ¼rttemberg"/>
    <x v="3"/>
    <s v="GLC"/>
    <s v="Diesel"/>
    <x v="0"/>
    <s v="26-35"/>
    <s v="Medium"/>
    <x v="1"/>
    <x v="3"/>
    <s v="Sales_12"/>
    <n v="227"/>
    <n v="106"/>
    <n v="83"/>
    <n v="27"/>
    <s v="25.47"/>
    <n v="71194"/>
    <s v="3.26"/>
    <n v="56179"/>
    <n v="1922238"/>
    <n v="405405"/>
    <s v="Feb"/>
    <n v="2"/>
    <n v="2026"/>
    <s v="Weekend"/>
    <n v="0.3253012048192771"/>
    <n v="0.46696035242290751"/>
    <n v="0.11894273127753303"/>
    <n v="15015"/>
    <s v="Stuttgart Auto Center"/>
  </r>
  <r>
    <s v="CUST_341"/>
    <x v="21"/>
    <x v="0"/>
    <s v="Tuesday"/>
    <s v="No"/>
    <x v="2"/>
    <x v="2"/>
    <s v="Lower Saxony"/>
    <x v="0"/>
    <s v="i4"/>
    <s v="Hybrid"/>
    <x v="1"/>
    <s v="18-25"/>
    <s v="High"/>
    <x v="0"/>
    <x v="1"/>
    <s v="Sales_13"/>
    <n v="189"/>
    <n v="110"/>
    <n v="84"/>
    <n v="34"/>
    <s v="30.91"/>
    <n v="57002"/>
    <s v="5.25"/>
    <n v="42591"/>
    <n v="1938068"/>
    <n v="489974"/>
    <s v="Feb"/>
    <n v="2"/>
    <n v="2026"/>
    <s v="Weekday"/>
    <n v="0.40476190476190477"/>
    <n v="0.58201058201058198"/>
    <n v="0.17989417989417988"/>
    <n v="14411"/>
    <s v="Hannover Cars"/>
  </r>
  <r>
    <s v="CUST_342"/>
    <x v="22"/>
    <x v="3"/>
    <s v="Tuesday"/>
    <s v="No"/>
    <x v="2"/>
    <x v="2"/>
    <s v="Lower Saxony"/>
    <x v="4"/>
    <s v="T-Roc"/>
    <s v="Petrol"/>
    <x v="0"/>
    <s v="18-25"/>
    <s v="High"/>
    <x v="1"/>
    <x v="1"/>
    <s v="Sales_13"/>
    <n v="404"/>
    <n v="163"/>
    <n v="104"/>
    <n v="25"/>
    <s v="15.34"/>
    <n v="29572"/>
    <s v="7.08"/>
    <n v="25948"/>
    <n v="739300"/>
    <n v="90600"/>
    <s v="Feb"/>
    <n v="2"/>
    <n v="2026"/>
    <s v="Weekday"/>
    <n v="0.24038461538461539"/>
    <n v="0.40346534653465349"/>
    <n v="6.1881188118811881E-2"/>
    <n v="3624"/>
    <s v="Hannover Cars"/>
  </r>
  <r>
    <s v="CUST_343"/>
    <x v="22"/>
    <x v="3"/>
    <s v="Tuesday"/>
    <s v="No"/>
    <x v="3"/>
    <x v="3"/>
    <s v="Saxony"/>
    <x v="0"/>
    <s v="X5"/>
    <s v="Electric"/>
    <x v="0"/>
    <s v="18-25"/>
    <s v="Low"/>
    <x v="1"/>
    <x v="0"/>
    <s v="Sales_3"/>
    <n v="156"/>
    <n v="88"/>
    <n v="69"/>
    <n v="23"/>
    <s v="26.14"/>
    <n v="63153"/>
    <s v="6.0"/>
    <n v="48694"/>
    <n v="1452519"/>
    <n v="332557"/>
    <s v="Feb"/>
    <n v="2"/>
    <n v="2026"/>
    <s v="Weekday"/>
    <n v="0.33333333333333331"/>
    <n v="0.5641025641025641"/>
    <n v="0.14743589743589744"/>
    <n v="14459"/>
    <s v="Saxon Wheels"/>
  </r>
  <r>
    <s v="CUST_344"/>
    <x v="0"/>
    <x v="0"/>
    <s v="Monday"/>
    <s v="No"/>
    <x v="3"/>
    <x v="3"/>
    <s v="Saxony"/>
    <x v="2"/>
    <s v="A3"/>
    <s v="Electric"/>
    <x v="2"/>
    <s v="26-35"/>
    <s v="High"/>
    <x v="0"/>
    <x v="0"/>
    <s v="Sales_6"/>
    <n v="304"/>
    <n v="171"/>
    <n v="113"/>
    <n v="34"/>
    <s v="19.88"/>
    <n v="45703"/>
    <s v="6.08"/>
    <n v="34899"/>
    <n v="1553902"/>
    <n v="367336"/>
    <s v="Feb"/>
    <n v="2"/>
    <n v="2026"/>
    <s v="Weekday"/>
    <n v="0.30088495575221241"/>
    <n v="0.5625"/>
    <n v="0.1118421052631579"/>
    <n v="10804"/>
    <s v="Saxon Wheels"/>
  </r>
  <r>
    <s v="CUST_345"/>
    <x v="10"/>
    <x v="1"/>
    <s v="Monday"/>
    <s v="No"/>
    <x v="5"/>
    <x v="5"/>
    <s v="Hamburg"/>
    <x v="2"/>
    <s v="e-tron"/>
    <s v="Hybrid"/>
    <x v="0"/>
    <s v="50+"/>
    <s v="High"/>
    <x v="0"/>
    <x v="1"/>
    <s v="Sales_6"/>
    <n v="237"/>
    <n v="137"/>
    <n v="88"/>
    <n v="36"/>
    <s v="26.28"/>
    <n v="51795"/>
    <s v="4.51"/>
    <n v="42311"/>
    <n v="1864620"/>
    <n v="341424"/>
    <s v="Feb"/>
    <n v="2"/>
    <n v="2026"/>
    <s v="Weekday"/>
    <n v="0.40909090909090912"/>
    <n v="0.57805907172995785"/>
    <n v="0.15189873417721519"/>
    <n v="9484"/>
    <s v="Elbe Drive"/>
  </r>
  <r>
    <s v="CUST_346"/>
    <x v="5"/>
    <x v="3"/>
    <s v="Saturday"/>
    <s v="Yes"/>
    <x v="9"/>
    <x v="9"/>
    <s v="NRW"/>
    <x v="0"/>
    <s v="X3"/>
    <s v="Electric"/>
    <x v="0"/>
    <s v="36-50"/>
    <s v="High"/>
    <x v="0"/>
    <x v="0"/>
    <s v="Sales_16"/>
    <n v="143"/>
    <n v="70"/>
    <n v="50"/>
    <n v="17"/>
    <s v="24.29"/>
    <n v="50854"/>
    <s v="2.41"/>
    <n v="38722"/>
    <n v="864518"/>
    <n v="206244"/>
    <s v="Feb"/>
    <n v="2"/>
    <n v="2026"/>
    <s v="Weekend"/>
    <n v="0.34"/>
    <n v="0.48951048951048953"/>
    <n v="0.11888111888111888"/>
    <n v="12132"/>
    <s v="Ruhr Auto Plaza"/>
  </r>
  <r>
    <s v="CUST_347"/>
    <x v="20"/>
    <x v="0"/>
    <s v="Thursday"/>
    <s v="No"/>
    <x v="6"/>
    <x v="6"/>
    <s v="Saxony"/>
    <x v="2"/>
    <s v="Q3"/>
    <s v="Diesel"/>
    <x v="0"/>
    <s v="50+"/>
    <s v="Low"/>
    <x v="0"/>
    <x v="2"/>
    <s v="Sales_14"/>
    <n v="283"/>
    <n v="167"/>
    <n v="109"/>
    <n v="38"/>
    <s v="22.75"/>
    <n v="53878"/>
    <s v="6.71"/>
    <n v="43956"/>
    <n v="2047364"/>
    <n v="377036"/>
    <s v="Feb"/>
    <n v="2"/>
    <n v="2026"/>
    <s v="Weekday"/>
    <n v="0.34862385321100919"/>
    <n v="0.59010600706713778"/>
    <n v="0.13427561837455831"/>
    <n v="9922"/>
    <s v="Leipzig Mobility"/>
  </r>
  <r>
    <s v="CUST_348"/>
    <x v="20"/>
    <x v="0"/>
    <s v="Thursday"/>
    <s v="No"/>
    <x v="1"/>
    <x v="1"/>
    <s v="NRW"/>
    <x v="3"/>
    <s v="E-Class"/>
    <s v="Electric"/>
    <x v="1"/>
    <s v="26-35"/>
    <s v="Medium"/>
    <x v="1"/>
    <x v="1"/>
    <s v="Sales_10"/>
    <n v="211"/>
    <n v="113"/>
    <n v="77"/>
    <n v="31"/>
    <s v="27.43"/>
    <n v="58327"/>
    <s v="5.5"/>
    <n v="42652"/>
    <n v="1808137"/>
    <n v="485925"/>
    <s v="Feb"/>
    <n v="2"/>
    <n v="2026"/>
    <s v="Weekday"/>
    <n v="0.40259740259740262"/>
    <n v="0.53554502369668244"/>
    <n v="0.14691943127962084"/>
    <n v="15675"/>
    <s v="Rhein Auto Group"/>
  </r>
  <r>
    <s v="CUST_349"/>
    <x v="19"/>
    <x v="1"/>
    <s v="Saturday"/>
    <s v="Yes"/>
    <x v="0"/>
    <x v="0"/>
    <s v="Hesse"/>
    <x v="2"/>
    <s v="A3"/>
    <s v="Diesel"/>
    <x v="2"/>
    <s v="18-25"/>
    <s v="Low"/>
    <x v="0"/>
    <x v="3"/>
    <s v="Sales_12"/>
    <n v="305"/>
    <n v="154"/>
    <n v="109"/>
    <n v="34"/>
    <s v="22.08"/>
    <n v="40760"/>
    <s v="4.9"/>
    <n v="32424"/>
    <n v="1385840"/>
    <n v="283424"/>
    <s v="Feb"/>
    <n v="2"/>
    <n v="2026"/>
    <s v="Weekend"/>
    <n v="0.31192660550458717"/>
    <n v="0.5049180327868853"/>
    <n v="0.11147540983606558"/>
    <n v="8336"/>
    <s v="Main Auto Hub"/>
  </r>
  <r>
    <s v="CUST_350"/>
    <x v="5"/>
    <x v="3"/>
    <s v="Saturday"/>
    <s v="Yes"/>
    <x v="4"/>
    <x v="4"/>
    <s v="Berlin"/>
    <x v="0"/>
    <s v="5 Series"/>
    <s v="Diesel"/>
    <x v="1"/>
    <s v="26-35"/>
    <s v="Medium"/>
    <x v="1"/>
    <x v="3"/>
    <s v="Sales_10"/>
    <n v="216"/>
    <n v="122"/>
    <n v="93"/>
    <n v="31"/>
    <s v="25.41"/>
    <n v="60102"/>
    <s v="4.35"/>
    <n v="44963"/>
    <n v="1863162"/>
    <n v="469309"/>
    <s v="Feb"/>
    <n v="2"/>
    <n v="2026"/>
    <s v="Weekend"/>
    <n v="0.33333333333333331"/>
    <n v="0.56481481481481477"/>
    <n v="0.14351851851851852"/>
    <n v="15139"/>
    <s v="Autohaus Berlin"/>
  </r>
  <r>
    <s v="CUST_351"/>
    <x v="2"/>
    <x v="2"/>
    <s v="Monday"/>
    <s v="No"/>
    <x v="1"/>
    <x v="1"/>
    <s v="NRW"/>
    <x v="0"/>
    <s v="3 Series"/>
    <s v="Diesel"/>
    <x v="1"/>
    <s v="18-25"/>
    <s v="High"/>
    <x v="1"/>
    <x v="1"/>
    <s v="Sales_7"/>
    <n v="206"/>
    <n v="109"/>
    <n v="87"/>
    <n v="34"/>
    <s v="31.19"/>
    <n v="59479"/>
    <s v="3.5"/>
    <n v="45489"/>
    <n v="2022286"/>
    <n v="475660"/>
    <s v="Feb"/>
    <n v="2"/>
    <n v="2026"/>
    <s v="Weekday"/>
    <n v="0.39080459770114945"/>
    <n v="0.529126213592233"/>
    <n v="0.1650485436893204"/>
    <n v="13990"/>
    <s v="Rhein Auto Group"/>
  </r>
  <r>
    <s v="CUST_352"/>
    <x v="10"/>
    <x v="1"/>
    <s v="Monday"/>
    <s v="No"/>
    <x v="5"/>
    <x v="5"/>
    <s v="Hamburg"/>
    <x v="3"/>
    <s v="GLE"/>
    <s v="Petrol"/>
    <x v="0"/>
    <s v="50+"/>
    <s v="High"/>
    <x v="0"/>
    <x v="0"/>
    <s v="Sales_12"/>
    <n v="248"/>
    <n v="144"/>
    <n v="109"/>
    <n v="33"/>
    <s v="22.92"/>
    <n v="65769"/>
    <s v="4.93"/>
    <n v="48294"/>
    <n v="2170377"/>
    <n v="576675"/>
    <s v="Feb"/>
    <n v="2"/>
    <n v="2026"/>
    <s v="Weekday"/>
    <n v="0.30275229357798167"/>
    <n v="0.58064516129032262"/>
    <n v="0.13306451612903225"/>
    <n v="17475"/>
    <s v="Elbe Drive"/>
  </r>
  <r>
    <s v="CUST_353"/>
    <x v="23"/>
    <x v="2"/>
    <s v="Tuesday"/>
    <s v="No"/>
    <x v="7"/>
    <x v="7"/>
    <s v="Bavaria"/>
    <x v="1"/>
    <s v="Mokka"/>
    <s v="Diesel"/>
    <x v="0"/>
    <s v="36-50"/>
    <s v="Medium"/>
    <x v="0"/>
    <x v="2"/>
    <s v="Sales_19"/>
    <n v="419"/>
    <n v="159"/>
    <n v="90"/>
    <n v="31"/>
    <s v="19.5"/>
    <n v="24298"/>
    <s v="9.83"/>
    <n v="21756"/>
    <n v="753238"/>
    <n v="78802"/>
    <s v="Feb"/>
    <n v="2"/>
    <n v="2026"/>
    <s v="Weekday"/>
    <n v="0.34444444444444444"/>
    <n v="0.37947494033412887"/>
    <n v="7.3985680190930783E-2"/>
    <n v="2542"/>
    <s v="Bavaria Motors"/>
  </r>
  <r>
    <s v="CUST_354"/>
    <x v="16"/>
    <x v="1"/>
    <s v="Tuesday"/>
    <s v="No"/>
    <x v="9"/>
    <x v="9"/>
    <s v="NRW"/>
    <x v="1"/>
    <s v="Astra"/>
    <s v="Petrol"/>
    <x v="2"/>
    <s v="18-25"/>
    <s v="High"/>
    <x v="1"/>
    <x v="2"/>
    <s v="Sales_1"/>
    <n v="322"/>
    <n v="127"/>
    <n v="81"/>
    <n v="21"/>
    <s v="16.54"/>
    <n v="26056"/>
    <s v="12.4"/>
    <n v="23577"/>
    <n v="547176"/>
    <n v="52059"/>
    <s v="Feb"/>
    <n v="2"/>
    <n v="2026"/>
    <s v="Weekday"/>
    <n v="0.25925925925925924"/>
    <n v="0.39440993788819878"/>
    <n v="6.5217391304347824E-2"/>
    <n v="2479"/>
    <s v="Ruhr Auto Plaza"/>
  </r>
  <r>
    <s v="CUST_355"/>
    <x v="10"/>
    <x v="1"/>
    <s v="Monday"/>
    <s v="No"/>
    <x v="5"/>
    <x v="5"/>
    <s v="Hamburg"/>
    <x v="0"/>
    <s v="i4"/>
    <s v="Petrol"/>
    <x v="1"/>
    <s v="18-25"/>
    <s v="Low"/>
    <x v="1"/>
    <x v="1"/>
    <s v="Sales_12"/>
    <n v="259"/>
    <n v="150"/>
    <n v="112"/>
    <n v="47"/>
    <s v="31.33"/>
    <n v="52345"/>
    <s v="2.64"/>
    <n v="38726"/>
    <n v="2460215"/>
    <n v="640093"/>
    <s v="Feb"/>
    <n v="2"/>
    <n v="2026"/>
    <s v="Weekday"/>
    <n v="0.41964285714285715"/>
    <n v="0.5791505791505791"/>
    <n v="0.18146718146718147"/>
    <n v="13619"/>
    <s v="Elbe Drive"/>
  </r>
  <r>
    <s v="CUST_356"/>
    <x v="14"/>
    <x v="2"/>
    <s v="Friday"/>
    <s v="No"/>
    <x v="7"/>
    <x v="7"/>
    <s v="Bavaria"/>
    <x v="2"/>
    <s v="Q3"/>
    <s v="Electric"/>
    <x v="0"/>
    <s v="18-25"/>
    <s v="Medium"/>
    <x v="1"/>
    <x v="0"/>
    <s v="Sales_1"/>
    <n v="234"/>
    <n v="130"/>
    <n v="86"/>
    <n v="32"/>
    <s v="24.62"/>
    <n v="51404"/>
    <s v="5.71"/>
    <n v="39690"/>
    <n v="1644928"/>
    <n v="374848"/>
    <s v="Feb"/>
    <n v="2"/>
    <n v="2026"/>
    <s v="Weekday"/>
    <n v="0.37209302325581395"/>
    <n v="0.55555555555555558"/>
    <n v="0.13675213675213677"/>
    <n v="11714"/>
    <s v="Bavaria Motors"/>
  </r>
  <r>
    <s v="CUST_357"/>
    <x v="22"/>
    <x v="3"/>
    <s v="Tuesday"/>
    <s v="No"/>
    <x v="3"/>
    <x v="3"/>
    <s v="Saxony"/>
    <x v="1"/>
    <s v="Grandland"/>
    <s v="Electric"/>
    <x v="0"/>
    <s v="36-50"/>
    <s v="Medium"/>
    <x v="1"/>
    <x v="0"/>
    <s v="Sales_11"/>
    <n v="280"/>
    <n v="107"/>
    <n v="61"/>
    <n v="15"/>
    <s v="14.02"/>
    <n v="22565"/>
    <s v="9.46"/>
    <n v="20572"/>
    <n v="338475"/>
    <n v="29895"/>
    <s v="Feb"/>
    <n v="2"/>
    <n v="2026"/>
    <s v="Weekday"/>
    <n v="0.24590163934426229"/>
    <n v="0.38214285714285712"/>
    <n v="5.3571428571428568E-2"/>
    <n v="1993"/>
    <s v="Saxon Wheels"/>
  </r>
  <r>
    <s v="CUST_358"/>
    <x v="8"/>
    <x v="3"/>
    <s v="Wednesday"/>
    <s v="No"/>
    <x v="6"/>
    <x v="6"/>
    <s v="Saxony"/>
    <x v="3"/>
    <s v="C-Class"/>
    <s v="Diesel"/>
    <x v="1"/>
    <s v="50+"/>
    <s v="Low"/>
    <x v="0"/>
    <x v="3"/>
    <s v="Sales_8"/>
    <n v="198"/>
    <n v="117"/>
    <n v="82"/>
    <n v="26"/>
    <s v="22.22"/>
    <n v="67260"/>
    <s v="4.47"/>
    <n v="48130"/>
    <n v="1748760"/>
    <n v="497380"/>
    <s v="Feb"/>
    <n v="2"/>
    <n v="2026"/>
    <s v="Weekday"/>
    <n v="0.31707317073170732"/>
    <n v="0.59090909090909094"/>
    <n v="0.13131313131313133"/>
    <n v="19130"/>
    <s v="Leipzig Mobility"/>
  </r>
  <r>
    <s v="CUST_359"/>
    <x v="6"/>
    <x v="2"/>
    <s v="Saturday"/>
    <s v="Yes"/>
    <x v="1"/>
    <x v="1"/>
    <s v="NRW"/>
    <x v="0"/>
    <s v="X3"/>
    <s v="Diesel"/>
    <x v="0"/>
    <s v="26-35"/>
    <s v="Low"/>
    <x v="0"/>
    <x v="2"/>
    <s v="Sales_3"/>
    <n v="171"/>
    <n v="105"/>
    <n v="75"/>
    <n v="34"/>
    <s v="32.38"/>
    <n v="52533"/>
    <s v="4.63"/>
    <n v="38665"/>
    <n v="1786122"/>
    <n v="471512"/>
    <s v="Feb"/>
    <n v="2"/>
    <n v="2026"/>
    <s v="Weekend"/>
    <n v="0.45333333333333331"/>
    <n v="0.61403508771929827"/>
    <n v="0.19883040935672514"/>
    <n v="13868"/>
    <s v="Rhein Auto Group"/>
  </r>
  <r>
    <s v="CUST_360"/>
    <x v="7"/>
    <x v="3"/>
    <s v="Monday"/>
    <s v="No"/>
    <x v="1"/>
    <x v="1"/>
    <s v="NRW"/>
    <x v="2"/>
    <s v="A3"/>
    <s v="Hybrid"/>
    <x v="2"/>
    <s v="50+"/>
    <s v="Low"/>
    <x v="1"/>
    <x v="1"/>
    <s v="Sales_9"/>
    <n v="195"/>
    <n v="100"/>
    <n v="68"/>
    <n v="24"/>
    <s v="24.0"/>
    <n v="53463"/>
    <s v="5.14"/>
    <n v="43832"/>
    <n v="1283112"/>
    <n v="231144"/>
    <s v="Feb"/>
    <n v="2"/>
    <n v="2026"/>
    <s v="Weekday"/>
    <n v="0.35294117647058826"/>
    <n v="0.51282051282051277"/>
    <n v="0.12307692307692308"/>
    <n v="9631"/>
    <s v="Rhein Auto Group"/>
  </r>
  <r>
    <s v="CUST_361"/>
    <x v="6"/>
    <x v="2"/>
    <s v="Saturday"/>
    <s v="Yes"/>
    <x v="1"/>
    <x v="1"/>
    <s v="NRW"/>
    <x v="2"/>
    <s v="Q3"/>
    <s v="Diesel"/>
    <x v="0"/>
    <s v="26-35"/>
    <s v="High"/>
    <x v="0"/>
    <x v="0"/>
    <s v="Sales_7"/>
    <n v="252"/>
    <n v="116"/>
    <n v="76"/>
    <n v="25"/>
    <s v="21.55"/>
    <n v="45155"/>
    <s v="3.12"/>
    <n v="36621"/>
    <n v="1128875"/>
    <n v="213350"/>
    <s v="Feb"/>
    <n v="2"/>
    <n v="2026"/>
    <s v="Weekend"/>
    <n v="0.32894736842105265"/>
    <n v="0.46031746031746029"/>
    <n v="9.9206349206349201E-2"/>
    <n v="8534"/>
    <s v="Rhein Auto Group"/>
  </r>
  <r>
    <s v="CUST_362"/>
    <x v="21"/>
    <x v="0"/>
    <s v="Tuesday"/>
    <s v="No"/>
    <x v="7"/>
    <x v="7"/>
    <s v="Bavaria"/>
    <x v="2"/>
    <s v="Q3"/>
    <s v="Hybrid"/>
    <x v="0"/>
    <s v="50+"/>
    <s v="Low"/>
    <x v="0"/>
    <x v="0"/>
    <s v="Sales_4"/>
    <n v="313"/>
    <n v="182"/>
    <n v="140"/>
    <n v="46"/>
    <s v="25.27"/>
    <n v="43124"/>
    <s v="5.3"/>
    <n v="35102"/>
    <n v="1983704"/>
    <n v="369012"/>
    <s v="Feb"/>
    <n v="2"/>
    <n v="2026"/>
    <s v="Weekday"/>
    <n v="0.32857142857142857"/>
    <n v="0.58146964856230032"/>
    <n v="0.14696485623003194"/>
    <n v="8022"/>
    <s v="Bavaria Motors"/>
  </r>
  <r>
    <s v="CUST_363"/>
    <x v="21"/>
    <x v="0"/>
    <s v="Tuesday"/>
    <s v="No"/>
    <x v="1"/>
    <x v="1"/>
    <s v="NRW"/>
    <x v="2"/>
    <s v="e-tron"/>
    <s v="Electric"/>
    <x v="0"/>
    <s v="50+"/>
    <s v="High"/>
    <x v="0"/>
    <x v="0"/>
    <s v="Sales_11"/>
    <n v="263"/>
    <n v="141"/>
    <n v="95"/>
    <n v="28"/>
    <s v="19.86"/>
    <n v="48032"/>
    <s v="5.98"/>
    <n v="37759"/>
    <n v="1344896"/>
    <n v="287644"/>
    <s v="Feb"/>
    <n v="2"/>
    <n v="2026"/>
    <s v="Weekday"/>
    <n v="0.29473684210526313"/>
    <n v="0.53612167300380231"/>
    <n v="0.10646387832699619"/>
    <n v="10273"/>
    <s v="Rhein Auto Group"/>
  </r>
  <r>
    <s v="CUST_364"/>
    <x v="24"/>
    <x v="1"/>
    <s v="Thursday"/>
    <s v="No"/>
    <x v="2"/>
    <x v="2"/>
    <s v="Lower Saxony"/>
    <x v="2"/>
    <s v="e-tron"/>
    <s v="Diesel"/>
    <x v="0"/>
    <s v="18-25"/>
    <s v="Low"/>
    <x v="0"/>
    <x v="3"/>
    <s v="Sales_20"/>
    <n v="303"/>
    <n v="156"/>
    <n v="112"/>
    <n v="31"/>
    <s v="19.87"/>
    <n v="45987"/>
    <s v="4.93"/>
    <n v="36409"/>
    <n v="1425597"/>
    <n v="296918"/>
    <s v="Feb"/>
    <n v="2"/>
    <n v="2026"/>
    <s v="Weekday"/>
    <n v="0.2767857142857143"/>
    <n v="0.51485148514851486"/>
    <n v="0.10231023102310231"/>
    <n v="9578"/>
    <s v="Hannover Cars"/>
  </r>
  <r>
    <s v="CUST_365"/>
    <x v="7"/>
    <x v="3"/>
    <s v="Monday"/>
    <s v="No"/>
    <x v="0"/>
    <x v="0"/>
    <s v="Hesse"/>
    <x v="2"/>
    <s v="Q5"/>
    <s v="Diesel"/>
    <x v="0"/>
    <s v="50+"/>
    <s v="Medium"/>
    <x v="0"/>
    <x v="0"/>
    <s v="Sales_19"/>
    <n v="202"/>
    <n v="118"/>
    <n v="82"/>
    <n v="25"/>
    <s v="21.19"/>
    <n v="41161"/>
    <s v="3.02"/>
    <n v="32383"/>
    <n v="1029025"/>
    <n v="219450"/>
    <s v="Feb"/>
    <n v="2"/>
    <n v="2026"/>
    <s v="Weekday"/>
    <n v="0.3048780487804878"/>
    <n v="0.58415841584158412"/>
    <n v="0.12376237623762376"/>
    <n v="8778"/>
    <s v="Main Auto Hub"/>
  </r>
  <r>
    <s v="CUST_366"/>
    <x v="10"/>
    <x v="1"/>
    <s v="Monday"/>
    <s v="No"/>
    <x v="9"/>
    <x v="9"/>
    <s v="NRW"/>
    <x v="1"/>
    <s v="Corsa"/>
    <s v="Hybrid"/>
    <x v="2"/>
    <s v="18-25"/>
    <s v="High"/>
    <x v="0"/>
    <x v="2"/>
    <s v="Sales_19"/>
    <n v="225"/>
    <n v="93"/>
    <n v="63"/>
    <n v="14"/>
    <s v="15.05"/>
    <n v="21925"/>
    <s v="11.95"/>
    <n v="20169"/>
    <n v="306950"/>
    <n v="24584"/>
    <s v="Feb"/>
    <n v="2"/>
    <n v="2026"/>
    <s v="Weekday"/>
    <n v="0.22222222222222221"/>
    <n v="0.41333333333333333"/>
    <n v="6.222222222222222E-2"/>
    <n v="1756"/>
    <s v="Ruhr Auto Plaza"/>
  </r>
  <r>
    <s v="CUST_367"/>
    <x v="27"/>
    <x v="3"/>
    <s v="Sunday"/>
    <s v="Yes"/>
    <x v="7"/>
    <x v="7"/>
    <s v="Bavaria"/>
    <x v="3"/>
    <s v="GLE"/>
    <s v="Diesel"/>
    <x v="0"/>
    <s v="26-35"/>
    <s v="Low"/>
    <x v="1"/>
    <x v="3"/>
    <s v="Sales_3"/>
    <n v="199"/>
    <n v="93"/>
    <n v="69"/>
    <n v="23"/>
    <s v="24.73"/>
    <n v="57585"/>
    <s v="2.01"/>
    <n v="43806"/>
    <n v="1324455"/>
    <n v="316917"/>
    <s v="Feb"/>
    <n v="2"/>
    <n v="2026"/>
    <s v="Weekend"/>
    <n v="0.33333333333333331"/>
    <n v="0.46733668341708545"/>
    <n v="0.11557788944723618"/>
    <n v="13779"/>
    <s v="Bavaria Motors"/>
  </r>
  <r>
    <s v="CUST_368"/>
    <x v="7"/>
    <x v="3"/>
    <s v="Monday"/>
    <s v="No"/>
    <x v="9"/>
    <x v="9"/>
    <s v="NRW"/>
    <x v="2"/>
    <s v="A3"/>
    <s v="Diesel"/>
    <x v="2"/>
    <s v="36-50"/>
    <s v="Medium"/>
    <x v="0"/>
    <x v="2"/>
    <s v="Sales_19"/>
    <n v="177"/>
    <n v="91"/>
    <n v="67"/>
    <n v="23"/>
    <s v="25.27"/>
    <n v="47516"/>
    <s v="5.87"/>
    <n v="36997"/>
    <n v="1092868"/>
    <n v="241937"/>
    <s v="Feb"/>
    <n v="2"/>
    <n v="2026"/>
    <s v="Weekday"/>
    <n v="0.34328358208955223"/>
    <n v="0.51412429378531077"/>
    <n v="0.12994350282485875"/>
    <n v="10519"/>
    <s v="Ruhr Auto Plaza"/>
  </r>
  <r>
    <s v="CUST_369"/>
    <x v="6"/>
    <x v="2"/>
    <s v="Saturday"/>
    <s v="Yes"/>
    <x v="0"/>
    <x v="0"/>
    <s v="Hesse"/>
    <x v="0"/>
    <s v="X3"/>
    <s v="Petrol"/>
    <x v="0"/>
    <s v="26-35"/>
    <s v="Low"/>
    <x v="1"/>
    <x v="1"/>
    <s v="Sales_9"/>
    <n v="262"/>
    <n v="149"/>
    <n v="102"/>
    <n v="44"/>
    <s v="29.53"/>
    <n v="64366"/>
    <s v="3.08"/>
    <n v="47619"/>
    <n v="2832104"/>
    <n v="736868"/>
    <s v="Feb"/>
    <n v="2"/>
    <n v="2026"/>
    <s v="Weekend"/>
    <n v="0.43137254901960786"/>
    <n v="0.56870229007633588"/>
    <n v="0.16793893129770993"/>
    <n v="16747"/>
    <s v="Main Auto Hub"/>
  </r>
  <r>
    <s v="CUST_370"/>
    <x v="21"/>
    <x v="0"/>
    <s v="Tuesday"/>
    <s v="No"/>
    <x v="8"/>
    <x v="8"/>
    <s v="Baden-WÃ¼rttemberg"/>
    <x v="4"/>
    <s v="T-Roc"/>
    <s v="Hybrid"/>
    <x v="0"/>
    <s v="26-35"/>
    <s v="Medium"/>
    <x v="1"/>
    <x v="3"/>
    <s v="Sales_15"/>
    <n v="374"/>
    <n v="208"/>
    <n v="128"/>
    <n v="30"/>
    <s v="14.42"/>
    <n v="34227"/>
    <s v="9.33"/>
    <n v="29959"/>
    <n v="1026810"/>
    <n v="128040"/>
    <s v="Feb"/>
    <n v="2"/>
    <n v="2026"/>
    <s v="Weekday"/>
    <n v="0.234375"/>
    <n v="0.55614973262032086"/>
    <n v="8.0213903743315509E-2"/>
    <n v="4268"/>
    <s v="Stuttgart Auto Center"/>
  </r>
  <r>
    <s v="CUST_371"/>
    <x v="7"/>
    <x v="3"/>
    <s v="Monday"/>
    <s v="No"/>
    <x v="3"/>
    <x v="3"/>
    <s v="Saxony"/>
    <x v="2"/>
    <s v="A4"/>
    <s v="Electric"/>
    <x v="1"/>
    <s v="50+"/>
    <s v="Medium"/>
    <x v="0"/>
    <x v="1"/>
    <s v="Sales_9"/>
    <n v="198"/>
    <n v="96"/>
    <n v="69"/>
    <n v="25"/>
    <s v="26.04"/>
    <n v="47884"/>
    <s v="5.25"/>
    <n v="38950"/>
    <n v="1197100"/>
    <n v="223350"/>
    <s v="Feb"/>
    <n v="2"/>
    <n v="2026"/>
    <s v="Weekday"/>
    <n v="0.36231884057971014"/>
    <n v="0.48484848484848486"/>
    <n v="0.12626262626262627"/>
    <n v="8934"/>
    <s v="Saxon Wheels"/>
  </r>
  <r>
    <s v="CUST_372"/>
    <x v="1"/>
    <x v="1"/>
    <s v="Wednesday"/>
    <s v="No"/>
    <x v="4"/>
    <x v="4"/>
    <s v="Berlin"/>
    <x v="2"/>
    <s v="e-tron"/>
    <s v="Hybrid"/>
    <x v="0"/>
    <s v="50+"/>
    <s v="Medium"/>
    <x v="1"/>
    <x v="3"/>
    <s v="Sales_1"/>
    <n v="243"/>
    <n v="136"/>
    <n v="97"/>
    <n v="33"/>
    <s v="24.26"/>
    <n v="41953"/>
    <s v="5.23"/>
    <n v="32437"/>
    <n v="1384449"/>
    <n v="314028"/>
    <s v="Feb"/>
    <n v="2"/>
    <n v="2026"/>
    <s v="Weekday"/>
    <n v="0.34020618556701032"/>
    <n v="0.55967078189300412"/>
    <n v="0.13580246913580246"/>
    <n v="9516"/>
    <s v="Autohaus Berlin"/>
  </r>
  <r>
    <s v="CUST_373"/>
    <x v="4"/>
    <x v="2"/>
    <s v="Wednesday"/>
    <s v="No"/>
    <x v="9"/>
    <x v="9"/>
    <s v="NRW"/>
    <x v="3"/>
    <s v="E-Class"/>
    <s v="Diesel"/>
    <x v="1"/>
    <s v="50+"/>
    <s v="Medium"/>
    <x v="1"/>
    <x v="0"/>
    <s v="Sales_1"/>
    <n v="233"/>
    <n v="117"/>
    <n v="91"/>
    <n v="24"/>
    <s v="20.51"/>
    <n v="71899"/>
    <s v="2.03"/>
    <n v="54299"/>
    <n v="1725576"/>
    <n v="422400"/>
    <s v="Feb"/>
    <n v="2"/>
    <n v="2026"/>
    <s v="Weekday"/>
    <n v="0.26373626373626374"/>
    <n v="0.50214592274678116"/>
    <n v="0.10300429184549356"/>
    <n v="17600"/>
    <s v="Ruhr Auto Plaza"/>
  </r>
  <r>
    <s v="CUST_374"/>
    <x v="9"/>
    <x v="0"/>
    <s v="Sunday"/>
    <s v="Yes"/>
    <x v="0"/>
    <x v="0"/>
    <s v="Hesse"/>
    <x v="4"/>
    <s v="Tiguan"/>
    <s v="Hybrid"/>
    <x v="0"/>
    <s v="50+"/>
    <s v="Low"/>
    <x v="1"/>
    <x v="1"/>
    <s v="Sales_9"/>
    <n v="315"/>
    <n v="140"/>
    <n v="94"/>
    <n v="25"/>
    <s v="17.86"/>
    <n v="28792"/>
    <s v="10.13"/>
    <n v="24937"/>
    <n v="719800"/>
    <n v="96375"/>
    <s v="Feb"/>
    <n v="2"/>
    <n v="2026"/>
    <s v="Weekend"/>
    <n v="0.26595744680851063"/>
    <n v="0.44444444444444442"/>
    <n v="7.9365079365079361E-2"/>
    <n v="3855"/>
    <s v="Main Auto Hub"/>
  </r>
  <r>
    <s v="CUST_375"/>
    <x v="19"/>
    <x v="1"/>
    <s v="Saturday"/>
    <s v="Yes"/>
    <x v="8"/>
    <x v="8"/>
    <s v="Baden-WÃ¼rttemberg"/>
    <x v="1"/>
    <s v="Crossland"/>
    <s v="Petrol"/>
    <x v="0"/>
    <s v="26-35"/>
    <s v="Low"/>
    <x v="1"/>
    <x v="1"/>
    <s v="Sales_19"/>
    <n v="382"/>
    <n v="181"/>
    <n v="101"/>
    <n v="34"/>
    <s v="18.78"/>
    <n v="23203"/>
    <s v="13.22"/>
    <n v="20657"/>
    <n v="788902"/>
    <n v="86564"/>
    <s v="Feb"/>
    <n v="2"/>
    <n v="2026"/>
    <s v="Weekend"/>
    <n v="0.33663366336633666"/>
    <n v="0.47382198952879578"/>
    <n v="8.9005235602094238E-2"/>
    <n v="2546"/>
    <s v="Stuttgart Auto Center"/>
  </r>
  <r>
    <s v="CUST_376"/>
    <x v="16"/>
    <x v="1"/>
    <s v="Tuesday"/>
    <s v="No"/>
    <x v="4"/>
    <x v="4"/>
    <s v="Berlin"/>
    <x v="0"/>
    <s v="X5"/>
    <s v="Electric"/>
    <x v="0"/>
    <s v="50+"/>
    <s v="High"/>
    <x v="0"/>
    <x v="3"/>
    <s v="Sales_19"/>
    <n v="155"/>
    <n v="71"/>
    <n v="51"/>
    <n v="21"/>
    <s v="29.58"/>
    <n v="66048"/>
    <s v="4.57"/>
    <n v="46275"/>
    <n v="1387008"/>
    <n v="415233"/>
    <s v="Feb"/>
    <n v="2"/>
    <n v="2026"/>
    <s v="Weekday"/>
    <n v="0.41176470588235292"/>
    <n v="0.45806451612903226"/>
    <n v="0.13548387096774195"/>
    <n v="19773"/>
    <s v="Autohaus Berlin"/>
  </r>
  <r>
    <s v="CUST_377"/>
    <x v="2"/>
    <x v="2"/>
    <s v="Monday"/>
    <s v="No"/>
    <x v="7"/>
    <x v="7"/>
    <s v="Bavaria"/>
    <x v="4"/>
    <s v="Tiguan"/>
    <s v="Petrol"/>
    <x v="0"/>
    <s v="36-50"/>
    <s v="Medium"/>
    <x v="1"/>
    <x v="0"/>
    <s v="Sales_8"/>
    <n v="372"/>
    <n v="213"/>
    <n v="140"/>
    <n v="30"/>
    <s v="14.08"/>
    <n v="28419"/>
    <s v="11.93"/>
    <n v="25019"/>
    <n v="852570"/>
    <n v="102000"/>
    <s v="Feb"/>
    <n v="2"/>
    <n v="2026"/>
    <s v="Weekday"/>
    <n v="0.21428571428571427"/>
    <n v="0.57258064516129037"/>
    <n v="8.0645161290322578E-2"/>
    <n v="3400"/>
    <s v="Bavaria Motors"/>
  </r>
  <r>
    <s v="CUST_378"/>
    <x v="27"/>
    <x v="3"/>
    <s v="Sunday"/>
    <s v="Yes"/>
    <x v="4"/>
    <x v="4"/>
    <s v="Berlin"/>
    <x v="3"/>
    <s v="EQE"/>
    <s v="Diesel"/>
    <x v="1"/>
    <s v="36-50"/>
    <s v="Medium"/>
    <x v="1"/>
    <x v="1"/>
    <s v="Sales_14"/>
    <n v="168"/>
    <n v="78"/>
    <n v="57"/>
    <n v="21"/>
    <s v="26.92"/>
    <n v="66053"/>
    <s v="4.72"/>
    <n v="48928"/>
    <n v="1387113"/>
    <n v="359625"/>
    <s v="Feb"/>
    <n v="2"/>
    <n v="2026"/>
    <s v="Weekend"/>
    <n v="0.36842105263157893"/>
    <n v="0.4642857142857143"/>
    <n v="0.125"/>
    <n v="17125"/>
    <s v="Autohaus Berlin"/>
  </r>
  <r>
    <s v="CUST_379"/>
    <x v="18"/>
    <x v="0"/>
    <s v="Saturday"/>
    <s v="Yes"/>
    <x v="9"/>
    <x v="9"/>
    <s v="NRW"/>
    <x v="4"/>
    <s v="Golf"/>
    <s v="Diesel"/>
    <x v="2"/>
    <s v="18-25"/>
    <s v="High"/>
    <x v="0"/>
    <x v="2"/>
    <s v="Sales_11"/>
    <n v="512"/>
    <n v="282"/>
    <n v="177"/>
    <n v="49"/>
    <s v="17.38"/>
    <n v="30769"/>
    <s v="10.52"/>
    <n v="26824"/>
    <n v="1507681"/>
    <n v="193305"/>
    <s v="Feb"/>
    <n v="2"/>
    <n v="2026"/>
    <s v="Weekend"/>
    <n v="0.2768361581920904"/>
    <n v="0.55078125"/>
    <n v="9.5703125E-2"/>
    <n v="3945"/>
    <s v="Ruhr Auto Plaza"/>
  </r>
  <r>
    <s v="CUST_380"/>
    <x v="19"/>
    <x v="1"/>
    <s v="Saturday"/>
    <s v="Yes"/>
    <x v="9"/>
    <x v="9"/>
    <s v="NRW"/>
    <x v="3"/>
    <s v="GLE"/>
    <s v="Petrol"/>
    <x v="0"/>
    <s v="26-35"/>
    <s v="Low"/>
    <x v="0"/>
    <x v="0"/>
    <s v="Sales_20"/>
    <n v="146"/>
    <n v="76"/>
    <n v="60"/>
    <n v="17"/>
    <s v="22.37"/>
    <n v="58035"/>
    <s v="4.65"/>
    <n v="42480"/>
    <n v="986595"/>
    <n v="264435"/>
    <s v="Feb"/>
    <n v="2"/>
    <n v="2026"/>
    <s v="Weekend"/>
    <n v="0.28333333333333333"/>
    <n v="0.52054794520547942"/>
    <n v="0.11643835616438356"/>
    <n v="15555"/>
    <s v="Ruhr Auto Plaza"/>
  </r>
  <r>
    <s v="CUST_381"/>
    <x v="4"/>
    <x v="2"/>
    <s v="Wednesday"/>
    <s v="No"/>
    <x v="4"/>
    <x v="4"/>
    <s v="Berlin"/>
    <x v="0"/>
    <s v="i4"/>
    <s v="Diesel"/>
    <x v="1"/>
    <s v="36-50"/>
    <s v="Low"/>
    <x v="1"/>
    <x v="2"/>
    <s v="Sales_16"/>
    <n v="218"/>
    <n v="110"/>
    <n v="87"/>
    <n v="32"/>
    <s v="29.09"/>
    <n v="59792"/>
    <s v="3.47"/>
    <n v="46091"/>
    <n v="1913344"/>
    <n v="438432"/>
    <s v="Feb"/>
    <n v="2"/>
    <n v="2026"/>
    <s v="Weekday"/>
    <n v="0.36781609195402298"/>
    <n v="0.50458715596330272"/>
    <n v="0.14678899082568808"/>
    <n v="13701"/>
    <s v="Autohaus Berlin"/>
  </r>
  <r>
    <s v="CUST_382"/>
    <x v="20"/>
    <x v="0"/>
    <s v="Thursday"/>
    <s v="No"/>
    <x v="4"/>
    <x v="4"/>
    <s v="Berlin"/>
    <x v="3"/>
    <s v="GLC"/>
    <s v="Diesel"/>
    <x v="0"/>
    <s v="18-25"/>
    <s v="High"/>
    <x v="0"/>
    <x v="2"/>
    <s v="Sales_8"/>
    <n v="207"/>
    <n v="118"/>
    <n v="83"/>
    <n v="36"/>
    <s v="30.51"/>
    <n v="57800"/>
    <s v="4.34"/>
    <n v="43091"/>
    <n v="2080800"/>
    <n v="529524"/>
    <s v="Feb"/>
    <n v="2"/>
    <n v="2026"/>
    <s v="Weekday"/>
    <n v="0.43373493975903615"/>
    <n v="0.57004830917874394"/>
    <n v="0.17391304347826086"/>
    <n v="14709"/>
    <s v="Autohaus Berlin"/>
  </r>
  <r>
    <s v="CUST_383"/>
    <x v="4"/>
    <x v="2"/>
    <s v="Wednesday"/>
    <s v="No"/>
    <x v="1"/>
    <x v="1"/>
    <s v="NRW"/>
    <x v="1"/>
    <s v="Grandland"/>
    <s v="Hybrid"/>
    <x v="0"/>
    <s v="18-25"/>
    <s v="Low"/>
    <x v="0"/>
    <x v="2"/>
    <s v="Sales_20"/>
    <n v="382"/>
    <n v="186"/>
    <n v="119"/>
    <n v="36"/>
    <s v="19.35"/>
    <n v="21379"/>
    <s v="11.33"/>
    <n v="19079"/>
    <n v="769644"/>
    <n v="82800"/>
    <s v="Feb"/>
    <n v="2"/>
    <n v="2026"/>
    <s v="Weekday"/>
    <n v="0.30252100840336132"/>
    <n v="0.48691099476439792"/>
    <n v="9.4240837696335081E-2"/>
    <n v="2300"/>
    <s v="Rhein Auto Group"/>
  </r>
  <r>
    <s v="CUST_384"/>
    <x v="13"/>
    <x v="0"/>
    <s v="Friday"/>
    <s v="No"/>
    <x v="4"/>
    <x v="4"/>
    <s v="Berlin"/>
    <x v="2"/>
    <s v="A3"/>
    <s v="Petrol"/>
    <x v="2"/>
    <s v="26-35"/>
    <s v="Low"/>
    <x v="1"/>
    <x v="2"/>
    <s v="Sales_6"/>
    <n v="225"/>
    <n v="110"/>
    <n v="73"/>
    <n v="32"/>
    <s v="29.09"/>
    <n v="43988"/>
    <s v="3.6"/>
    <n v="33575"/>
    <n v="1407616"/>
    <n v="333216"/>
    <s v="Feb"/>
    <n v="2"/>
    <n v="2026"/>
    <s v="Weekday"/>
    <n v="0.43835616438356162"/>
    <n v="0.48888888888888887"/>
    <n v="0.14222222222222222"/>
    <n v="10413"/>
    <s v="Autohaus Berlin"/>
  </r>
  <r>
    <s v="CUST_385"/>
    <x v="21"/>
    <x v="0"/>
    <s v="Tuesday"/>
    <s v="No"/>
    <x v="1"/>
    <x v="1"/>
    <s v="NRW"/>
    <x v="2"/>
    <s v="A4"/>
    <s v="Electric"/>
    <x v="1"/>
    <s v="18-25"/>
    <s v="High"/>
    <x v="1"/>
    <x v="2"/>
    <s v="Sales_13"/>
    <n v="223"/>
    <n v="116"/>
    <n v="77"/>
    <n v="32"/>
    <s v="27.59"/>
    <n v="52528"/>
    <s v="4.69"/>
    <n v="41315"/>
    <n v="1680896"/>
    <n v="358816"/>
    <s v="Feb"/>
    <n v="2"/>
    <n v="2026"/>
    <s v="Weekday"/>
    <n v="0.41558441558441561"/>
    <n v="0.52017937219730936"/>
    <n v="0.14349775784753363"/>
    <n v="11213"/>
    <s v="Rhein Auto Group"/>
  </r>
  <r>
    <s v="CUST_386"/>
    <x v="4"/>
    <x v="2"/>
    <s v="Wednesday"/>
    <s v="No"/>
    <x v="6"/>
    <x v="6"/>
    <s v="Saxony"/>
    <x v="1"/>
    <s v="Mokka"/>
    <s v="Hybrid"/>
    <x v="0"/>
    <s v="26-35"/>
    <s v="Medium"/>
    <x v="1"/>
    <x v="2"/>
    <s v="Sales_4"/>
    <n v="250"/>
    <n v="120"/>
    <n v="78"/>
    <n v="18"/>
    <s v="15.0"/>
    <n v="25167"/>
    <s v="11.6"/>
    <n v="23219"/>
    <n v="453006"/>
    <n v="35064"/>
    <s v="Feb"/>
    <n v="2"/>
    <n v="2026"/>
    <s v="Weekday"/>
    <n v="0.23076923076923078"/>
    <n v="0.48"/>
    <n v="7.1999999999999995E-2"/>
    <n v="1948"/>
    <s v="Leipzig Mobility"/>
  </r>
  <r>
    <s v="CUST_387"/>
    <x v="20"/>
    <x v="0"/>
    <s v="Thursday"/>
    <s v="No"/>
    <x v="8"/>
    <x v="8"/>
    <s v="Baden-WÃ¼rttemberg"/>
    <x v="2"/>
    <s v="A3"/>
    <s v="Electric"/>
    <x v="2"/>
    <s v="26-35"/>
    <s v="Medium"/>
    <x v="0"/>
    <x v="1"/>
    <s v="Sales_5"/>
    <n v="209"/>
    <n v="115"/>
    <n v="81"/>
    <n v="29"/>
    <s v="25.22"/>
    <n v="40502"/>
    <s v="4.81"/>
    <n v="31075"/>
    <n v="1174558"/>
    <n v="273383"/>
    <s v="Feb"/>
    <n v="2"/>
    <n v="2026"/>
    <s v="Weekday"/>
    <n v="0.35802469135802467"/>
    <n v="0.55023923444976075"/>
    <n v="0.13875598086124402"/>
    <n v="9427"/>
    <s v="Stuttgart Auto Center"/>
  </r>
  <r>
    <s v="CUST_388"/>
    <x v="24"/>
    <x v="1"/>
    <s v="Thursday"/>
    <s v="No"/>
    <x v="0"/>
    <x v="0"/>
    <s v="Hesse"/>
    <x v="1"/>
    <s v="Crossland"/>
    <s v="Hybrid"/>
    <x v="0"/>
    <s v="36-50"/>
    <s v="High"/>
    <x v="1"/>
    <x v="1"/>
    <s v="Sales_9"/>
    <n v="368"/>
    <n v="156"/>
    <n v="107"/>
    <n v="25"/>
    <s v="16.03"/>
    <n v="22119"/>
    <s v="7.09"/>
    <n v="20286"/>
    <n v="552975"/>
    <n v="45825"/>
    <s v="Feb"/>
    <n v="2"/>
    <n v="2026"/>
    <s v="Weekday"/>
    <n v="0.23364485981308411"/>
    <n v="0.42391304347826086"/>
    <n v="6.7934782608695649E-2"/>
    <n v="1833"/>
    <s v="Main Auto Hub"/>
  </r>
  <r>
    <s v="CUST_389"/>
    <x v="11"/>
    <x v="0"/>
    <s v="Wednesday"/>
    <s v="No"/>
    <x v="0"/>
    <x v="0"/>
    <s v="Hesse"/>
    <x v="2"/>
    <s v="Q5"/>
    <s v="Petrol"/>
    <x v="0"/>
    <s v="50+"/>
    <s v="Medium"/>
    <x v="0"/>
    <x v="3"/>
    <s v="Sales_8"/>
    <n v="299"/>
    <n v="167"/>
    <n v="129"/>
    <n v="35"/>
    <s v="20.96"/>
    <n v="45504"/>
    <s v="5.61"/>
    <n v="35066"/>
    <n v="1592640"/>
    <n v="365330"/>
    <s v="Feb"/>
    <n v="2"/>
    <n v="2026"/>
    <s v="Weekday"/>
    <n v="0.27131782945736432"/>
    <n v="0.55852842809364545"/>
    <n v="0.11705685618729098"/>
    <n v="10438"/>
    <s v="Main Auto Hub"/>
  </r>
  <r>
    <s v="CUST_390"/>
    <x v="5"/>
    <x v="3"/>
    <s v="Saturday"/>
    <s v="Yes"/>
    <x v="2"/>
    <x v="2"/>
    <s v="Lower Saxony"/>
    <x v="4"/>
    <s v="Tiguan"/>
    <s v="Diesel"/>
    <x v="0"/>
    <s v="26-35"/>
    <s v="High"/>
    <x v="0"/>
    <x v="3"/>
    <s v="Sales_10"/>
    <n v="328"/>
    <n v="169"/>
    <n v="116"/>
    <n v="21"/>
    <s v="12.43"/>
    <n v="34059"/>
    <s v="8.58"/>
    <n v="30495"/>
    <n v="715239"/>
    <n v="74844"/>
    <s v="Feb"/>
    <n v="2"/>
    <n v="2026"/>
    <s v="Weekend"/>
    <n v="0.18103448275862069"/>
    <n v="0.5152439024390244"/>
    <n v="6.402439024390244E-2"/>
    <n v="3564"/>
    <s v="Hannover Cars"/>
  </r>
  <r>
    <s v="CUST_391"/>
    <x v="3"/>
    <x v="1"/>
    <s v="Sunday"/>
    <s v="Yes"/>
    <x v="0"/>
    <x v="0"/>
    <s v="Hesse"/>
    <x v="4"/>
    <s v="Tiguan"/>
    <s v="Electric"/>
    <x v="0"/>
    <s v="18-25"/>
    <s v="Medium"/>
    <x v="1"/>
    <x v="1"/>
    <s v="Sales_19"/>
    <n v="452"/>
    <n v="260"/>
    <n v="162"/>
    <n v="38"/>
    <s v="14.62"/>
    <n v="30433"/>
    <s v="6.61"/>
    <n v="27062"/>
    <n v="1156454"/>
    <n v="128098"/>
    <s v="Feb"/>
    <n v="2"/>
    <n v="2026"/>
    <s v="Weekend"/>
    <n v="0.23456790123456789"/>
    <n v="0.5752212389380531"/>
    <n v="8.4070796460176997E-2"/>
    <n v="3371"/>
    <s v="Main Auto Hub"/>
  </r>
  <r>
    <s v="CUST_392"/>
    <x v="15"/>
    <x v="2"/>
    <s v="Thursday"/>
    <s v="No"/>
    <x v="2"/>
    <x v="2"/>
    <s v="Lower Saxony"/>
    <x v="4"/>
    <s v="ID.4"/>
    <s v="Petrol"/>
    <x v="0"/>
    <s v="50+"/>
    <s v="Medium"/>
    <x v="1"/>
    <x v="3"/>
    <s v="Sales_16"/>
    <n v="489"/>
    <n v="270"/>
    <n v="183"/>
    <n v="42"/>
    <s v="15.56"/>
    <n v="26233"/>
    <s v="8.96"/>
    <n v="22771"/>
    <n v="1101786"/>
    <n v="145404"/>
    <s v="Feb"/>
    <n v="2"/>
    <n v="2026"/>
    <s v="Weekday"/>
    <n v="0.22950819672131148"/>
    <n v="0.55214723926380371"/>
    <n v="8.5889570552147243E-2"/>
    <n v="3462"/>
    <s v="Hannover Cars"/>
  </r>
  <r>
    <s v="CUST_393"/>
    <x v="10"/>
    <x v="1"/>
    <s v="Monday"/>
    <s v="No"/>
    <x v="5"/>
    <x v="5"/>
    <s v="Hamburg"/>
    <x v="1"/>
    <s v="Grandland"/>
    <s v="Diesel"/>
    <x v="0"/>
    <s v="50+"/>
    <s v="Medium"/>
    <x v="0"/>
    <x v="3"/>
    <s v="Sales_18"/>
    <n v="342"/>
    <n v="161"/>
    <n v="95"/>
    <n v="27"/>
    <s v="16.77"/>
    <n v="20529"/>
    <s v="11.22"/>
    <n v="18929"/>
    <n v="554283"/>
    <n v="43200"/>
    <s v="Feb"/>
    <n v="2"/>
    <n v="2026"/>
    <s v="Weekday"/>
    <n v="0.28421052631578947"/>
    <n v="0.47076023391812866"/>
    <n v="7.8947368421052627E-2"/>
    <n v="1600"/>
    <s v="Elbe Drive"/>
  </r>
  <r>
    <s v="CUST_394"/>
    <x v="19"/>
    <x v="1"/>
    <s v="Saturday"/>
    <s v="Yes"/>
    <x v="7"/>
    <x v="7"/>
    <s v="Bavaria"/>
    <x v="2"/>
    <s v="A3"/>
    <s v="Electric"/>
    <x v="2"/>
    <s v="18-25"/>
    <s v="Low"/>
    <x v="0"/>
    <x v="2"/>
    <s v="Sales_6"/>
    <n v="277"/>
    <n v="138"/>
    <n v="93"/>
    <n v="36"/>
    <s v="26.09"/>
    <n v="46115"/>
    <s v="4.65"/>
    <n v="36166"/>
    <n v="1660140"/>
    <n v="358164"/>
    <s v="Feb"/>
    <n v="2"/>
    <n v="2026"/>
    <s v="Weekend"/>
    <n v="0.38709677419354838"/>
    <n v="0.49819494584837543"/>
    <n v="0.1299638989169675"/>
    <n v="9949"/>
    <s v="Bavaria Motors"/>
  </r>
  <r>
    <s v="CUST_395"/>
    <x v="4"/>
    <x v="2"/>
    <s v="Wednesday"/>
    <s v="No"/>
    <x v="4"/>
    <x v="4"/>
    <s v="Berlin"/>
    <x v="1"/>
    <s v="Astra"/>
    <s v="Diesel"/>
    <x v="2"/>
    <s v="18-25"/>
    <s v="Low"/>
    <x v="1"/>
    <x v="2"/>
    <s v="Sales_9"/>
    <n v="248"/>
    <n v="129"/>
    <n v="84"/>
    <n v="25"/>
    <s v="19.38"/>
    <n v="25402"/>
    <s v="9.5"/>
    <n v="23311"/>
    <n v="635050"/>
    <n v="52275"/>
    <s v="Feb"/>
    <n v="2"/>
    <n v="2026"/>
    <s v="Weekday"/>
    <n v="0.29761904761904762"/>
    <n v="0.52016129032258063"/>
    <n v="0.10080645161290322"/>
    <n v="2091"/>
    <s v="Autohaus Berlin"/>
  </r>
  <r>
    <s v="CUST_396"/>
    <x v="7"/>
    <x v="3"/>
    <s v="Monday"/>
    <s v="No"/>
    <x v="2"/>
    <x v="2"/>
    <s v="Lower Saxony"/>
    <x v="1"/>
    <s v="Grandland"/>
    <s v="Electric"/>
    <x v="0"/>
    <s v="18-25"/>
    <s v="High"/>
    <x v="0"/>
    <x v="3"/>
    <s v="Sales_19"/>
    <n v="386"/>
    <n v="192"/>
    <n v="108"/>
    <n v="25"/>
    <s v="13.02"/>
    <n v="23716"/>
    <s v="12.83"/>
    <n v="22040"/>
    <n v="592900"/>
    <n v="41900"/>
    <s v="Feb"/>
    <n v="2"/>
    <n v="2026"/>
    <s v="Weekday"/>
    <n v="0.23148148148148148"/>
    <n v="0.49740932642487046"/>
    <n v="6.4766839378238336E-2"/>
    <n v="1676"/>
    <s v="Hannover Cars"/>
  </r>
  <r>
    <s v="CUST_397"/>
    <x v="8"/>
    <x v="3"/>
    <s v="Wednesday"/>
    <s v="No"/>
    <x v="5"/>
    <x v="5"/>
    <s v="Hamburg"/>
    <x v="4"/>
    <s v="Golf"/>
    <s v="Diesel"/>
    <x v="2"/>
    <s v="18-25"/>
    <s v="Medium"/>
    <x v="1"/>
    <x v="3"/>
    <s v="Sales_17"/>
    <n v="461"/>
    <n v="186"/>
    <n v="129"/>
    <n v="33"/>
    <s v="17.74"/>
    <n v="29991"/>
    <s v="11.69"/>
    <n v="25806"/>
    <n v="989703"/>
    <n v="138105"/>
    <s v="Feb"/>
    <n v="2"/>
    <n v="2026"/>
    <s v="Weekday"/>
    <n v="0.2558139534883721"/>
    <n v="0.40347071583514099"/>
    <n v="7.1583514099783085E-2"/>
    <n v="4185"/>
    <s v="Elbe Drive"/>
  </r>
  <r>
    <s v="CUST_398"/>
    <x v="18"/>
    <x v="0"/>
    <s v="Saturday"/>
    <s v="Yes"/>
    <x v="3"/>
    <x v="3"/>
    <s v="Saxony"/>
    <x v="0"/>
    <s v="i4"/>
    <s v="Hybrid"/>
    <x v="1"/>
    <s v="36-50"/>
    <s v="Low"/>
    <x v="0"/>
    <x v="1"/>
    <s v="Sales_17"/>
    <n v="263"/>
    <n v="122"/>
    <n v="96"/>
    <n v="36"/>
    <s v="29.51"/>
    <n v="67564"/>
    <s v="4.3"/>
    <n v="51939"/>
    <n v="2432304"/>
    <n v="562500"/>
    <s v="Feb"/>
    <n v="2"/>
    <n v="2026"/>
    <s v="Weekend"/>
    <n v="0.375"/>
    <n v="0.46387832699619774"/>
    <n v="0.13688212927756654"/>
    <n v="15625"/>
    <s v="Saxon Wheels"/>
  </r>
  <r>
    <s v="CUST_399"/>
    <x v="20"/>
    <x v="0"/>
    <s v="Thursday"/>
    <s v="No"/>
    <x v="6"/>
    <x v="6"/>
    <s v="Saxony"/>
    <x v="0"/>
    <s v="X5"/>
    <s v="Hybrid"/>
    <x v="0"/>
    <s v="50+"/>
    <s v="Medium"/>
    <x v="1"/>
    <x v="2"/>
    <s v="Sales_10"/>
    <n v="188"/>
    <n v="98"/>
    <n v="76"/>
    <n v="28"/>
    <s v="28.57"/>
    <n v="68595"/>
    <s v="4.14"/>
    <n v="48391"/>
    <n v="1920660"/>
    <n v="565712"/>
    <s v="Feb"/>
    <n v="2"/>
    <n v="2026"/>
    <s v="Weekday"/>
    <n v="0.36842105263157893"/>
    <n v="0.52127659574468088"/>
    <n v="0.14893617021276595"/>
    <n v="20204"/>
    <s v="Leipzig Mobility"/>
  </r>
  <r>
    <s v="CUST_400"/>
    <x v="24"/>
    <x v="1"/>
    <s v="Thursday"/>
    <s v="No"/>
    <x v="9"/>
    <x v="9"/>
    <s v="NRW"/>
    <x v="4"/>
    <s v="Golf"/>
    <s v="Diesel"/>
    <x v="2"/>
    <s v="36-50"/>
    <s v="Medium"/>
    <x v="1"/>
    <x v="2"/>
    <s v="Sales_2"/>
    <n v="265"/>
    <n v="152"/>
    <n v="105"/>
    <n v="29"/>
    <s v="19.08"/>
    <n v="33117"/>
    <s v="10.52"/>
    <n v="29307"/>
    <n v="960393"/>
    <n v="110490"/>
    <s v="Feb"/>
    <n v="2"/>
    <n v="2026"/>
    <s v="Weekday"/>
    <n v="0.27619047619047621"/>
    <n v="0.57358490566037734"/>
    <n v="0.10943396226415095"/>
    <n v="3810"/>
    <s v="Ruhr Auto Plaza"/>
  </r>
  <r>
    <s v="CUST_401"/>
    <x v="3"/>
    <x v="1"/>
    <s v="Sunday"/>
    <s v="Yes"/>
    <x v="4"/>
    <x v="4"/>
    <s v="Berlin"/>
    <x v="3"/>
    <s v="C-Class"/>
    <s v="Diesel"/>
    <x v="1"/>
    <s v="18-25"/>
    <s v="High"/>
    <x v="0"/>
    <x v="1"/>
    <s v="Sales_11"/>
    <n v="208"/>
    <n v="100"/>
    <n v="69"/>
    <n v="28"/>
    <s v="28.0"/>
    <n v="51800"/>
    <s v="4.81"/>
    <n v="38425"/>
    <n v="1450400"/>
    <n v="374500"/>
    <s v="Feb"/>
    <n v="2"/>
    <n v="2026"/>
    <s v="Weekend"/>
    <n v="0.40579710144927539"/>
    <n v="0.48076923076923078"/>
    <n v="0.13461538461538461"/>
    <n v="13375"/>
    <s v="Autohaus Berlin"/>
  </r>
  <r>
    <s v="CUST_402"/>
    <x v="9"/>
    <x v="0"/>
    <s v="Sunday"/>
    <s v="Yes"/>
    <x v="8"/>
    <x v="8"/>
    <s v="Baden-WÃ¼rttemberg"/>
    <x v="1"/>
    <s v="Mokka"/>
    <s v="Petrol"/>
    <x v="0"/>
    <s v="36-50"/>
    <s v="High"/>
    <x v="0"/>
    <x v="1"/>
    <s v="Sales_19"/>
    <n v="411"/>
    <n v="158"/>
    <n v="105"/>
    <n v="26"/>
    <s v="16.46"/>
    <n v="21212"/>
    <s v="12.27"/>
    <n v="19671"/>
    <n v="551512"/>
    <n v="40066"/>
    <s v="Feb"/>
    <n v="2"/>
    <n v="2026"/>
    <s v="Weekend"/>
    <n v="0.24761904761904763"/>
    <n v="0.38442822384428221"/>
    <n v="6.3260340632603412E-2"/>
    <n v="1541"/>
    <s v="Stuttgart Auto Center"/>
  </r>
  <r>
    <s v="CUST_403"/>
    <x v="22"/>
    <x v="3"/>
    <s v="Tuesday"/>
    <s v="No"/>
    <x v="0"/>
    <x v="0"/>
    <s v="Hesse"/>
    <x v="4"/>
    <s v="Golf"/>
    <s v="Diesel"/>
    <x v="2"/>
    <s v="18-25"/>
    <s v="High"/>
    <x v="1"/>
    <x v="1"/>
    <s v="Sales_11"/>
    <n v="372"/>
    <n v="160"/>
    <n v="113"/>
    <n v="29"/>
    <s v="18.12"/>
    <n v="25379"/>
    <s v="9.72"/>
    <n v="21879"/>
    <n v="735991"/>
    <n v="101500"/>
    <s v="Feb"/>
    <n v="2"/>
    <n v="2026"/>
    <s v="Weekday"/>
    <n v="0.25663716814159293"/>
    <n v="0.43010752688172044"/>
    <n v="7.7956989247311828E-2"/>
    <n v="3500"/>
    <s v="Main Auto Hub"/>
  </r>
  <r>
    <s v="CUST_404"/>
    <x v="17"/>
    <x v="2"/>
    <s v="Sunday"/>
    <s v="Yes"/>
    <x v="4"/>
    <x v="4"/>
    <s v="Berlin"/>
    <x v="0"/>
    <s v="X5"/>
    <s v="Diesel"/>
    <x v="0"/>
    <s v="50+"/>
    <s v="Medium"/>
    <x v="0"/>
    <x v="2"/>
    <s v="Sales_3"/>
    <n v="225"/>
    <n v="132"/>
    <n v="107"/>
    <n v="44"/>
    <s v="33.33"/>
    <n v="53554"/>
    <s v="2.44"/>
    <n v="37961"/>
    <n v="2356376"/>
    <n v="686092"/>
    <s v="Feb"/>
    <n v="2"/>
    <n v="2026"/>
    <s v="Weekend"/>
    <n v="0.41121495327102803"/>
    <n v="0.58666666666666667"/>
    <n v="0.19555555555555557"/>
    <n v="15593"/>
    <s v="Autohaus Berlin"/>
  </r>
  <r>
    <s v="CUST_405"/>
    <x v="3"/>
    <x v="1"/>
    <s v="Sunday"/>
    <s v="Yes"/>
    <x v="9"/>
    <x v="9"/>
    <s v="NRW"/>
    <x v="2"/>
    <s v="Q5"/>
    <s v="Electric"/>
    <x v="0"/>
    <s v="26-35"/>
    <s v="Medium"/>
    <x v="0"/>
    <x v="2"/>
    <s v="Sales_11"/>
    <n v="182"/>
    <n v="111"/>
    <n v="86"/>
    <n v="25"/>
    <s v="22.52"/>
    <n v="48641"/>
    <s v="5.83"/>
    <n v="36803"/>
    <n v="1216025"/>
    <n v="295950"/>
    <s v="Feb"/>
    <n v="2"/>
    <n v="2026"/>
    <s v="Weekend"/>
    <n v="0.29069767441860467"/>
    <n v="0.60989010989010994"/>
    <n v="0.13736263736263737"/>
    <n v="11838"/>
    <s v="Ruhr Auto Plaza"/>
  </r>
  <r>
    <s v="CUST_406"/>
    <x v="7"/>
    <x v="3"/>
    <s v="Monday"/>
    <s v="No"/>
    <x v="9"/>
    <x v="9"/>
    <s v="NRW"/>
    <x v="1"/>
    <s v="Crossland"/>
    <s v="Hybrid"/>
    <x v="0"/>
    <s v="36-50"/>
    <s v="Low"/>
    <x v="1"/>
    <x v="0"/>
    <s v="Sales_1"/>
    <n v="229"/>
    <n v="123"/>
    <n v="77"/>
    <n v="15"/>
    <s v="12.2"/>
    <n v="21198"/>
    <s v="7.04"/>
    <n v="18941"/>
    <n v="317970"/>
    <n v="33855"/>
    <s v="Feb"/>
    <n v="2"/>
    <n v="2026"/>
    <s v="Weekday"/>
    <n v="0.19480519480519481"/>
    <n v="0.53711790393013104"/>
    <n v="6.5502183406113537E-2"/>
    <n v="2257"/>
    <s v="Ruhr Auto Plaza"/>
  </r>
  <r>
    <s v="CUST_407"/>
    <x v="24"/>
    <x v="1"/>
    <s v="Thursday"/>
    <s v="No"/>
    <x v="9"/>
    <x v="9"/>
    <s v="NRW"/>
    <x v="2"/>
    <s v="e-tron"/>
    <s v="Diesel"/>
    <x v="0"/>
    <s v="18-25"/>
    <s v="Low"/>
    <x v="0"/>
    <x v="1"/>
    <s v="Sales_14"/>
    <n v="202"/>
    <n v="98"/>
    <n v="65"/>
    <n v="21"/>
    <s v="21.43"/>
    <n v="50465"/>
    <s v="6.91"/>
    <n v="40334"/>
    <n v="1059765"/>
    <n v="212751"/>
    <s v="Feb"/>
    <n v="2"/>
    <n v="2026"/>
    <s v="Weekday"/>
    <n v="0.32307692307692309"/>
    <n v="0.48514851485148514"/>
    <n v="0.10396039603960396"/>
    <n v="10131"/>
    <s v="Ruhr Auto Plaza"/>
  </r>
  <r>
    <s v="CUST_408"/>
    <x v="14"/>
    <x v="2"/>
    <s v="Friday"/>
    <s v="No"/>
    <x v="7"/>
    <x v="7"/>
    <s v="Bavaria"/>
    <x v="2"/>
    <s v="Q5"/>
    <s v="Hybrid"/>
    <x v="0"/>
    <s v="36-50"/>
    <s v="Low"/>
    <x v="0"/>
    <x v="3"/>
    <s v="Sales_17"/>
    <n v="301"/>
    <n v="174"/>
    <n v="119"/>
    <n v="44"/>
    <s v="25.29"/>
    <n v="49554"/>
    <s v="5.2"/>
    <n v="40146"/>
    <n v="2180376"/>
    <n v="413952"/>
    <s v="Feb"/>
    <n v="2"/>
    <n v="2026"/>
    <s v="Weekday"/>
    <n v="0.36974789915966388"/>
    <n v="0.57807308970099669"/>
    <n v="0.1461794019933555"/>
    <n v="9408"/>
    <s v="Bavaria Motors"/>
  </r>
  <r>
    <s v="CUST_409"/>
    <x v="19"/>
    <x v="1"/>
    <s v="Saturday"/>
    <s v="Yes"/>
    <x v="9"/>
    <x v="9"/>
    <s v="NRW"/>
    <x v="0"/>
    <s v="X5"/>
    <s v="Diesel"/>
    <x v="0"/>
    <s v="18-25"/>
    <s v="Low"/>
    <x v="1"/>
    <x v="0"/>
    <s v="Sales_14"/>
    <n v="259"/>
    <n v="137"/>
    <n v="95"/>
    <n v="33"/>
    <s v="24.09"/>
    <n v="55543"/>
    <s v="4.82"/>
    <n v="40033"/>
    <n v="1832919"/>
    <n v="511830"/>
    <s v="Feb"/>
    <n v="2"/>
    <n v="2026"/>
    <s v="Weekend"/>
    <n v="0.3473684210526316"/>
    <n v="0.52895752895752901"/>
    <n v="0.12741312741312741"/>
    <n v="15510"/>
    <s v="Ruhr Auto Plaza"/>
  </r>
  <r>
    <s v="CUST_410"/>
    <x v="18"/>
    <x v="0"/>
    <s v="Saturday"/>
    <s v="Yes"/>
    <x v="1"/>
    <x v="1"/>
    <s v="NRW"/>
    <x v="3"/>
    <s v="EQE"/>
    <s v="Diesel"/>
    <x v="1"/>
    <s v="50+"/>
    <s v="Low"/>
    <x v="0"/>
    <x v="0"/>
    <s v="Sales_15"/>
    <n v="269"/>
    <n v="151"/>
    <n v="104"/>
    <n v="33"/>
    <s v="21.85"/>
    <n v="65019"/>
    <s v="4.32"/>
    <n v="50898"/>
    <n v="2145627"/>
    <n v="465993"/>
    <s v="Feb"/>
    <n v="2"/>
    <n v="2026"/>
    <s v="Weekend"/>
    <n v="0.31730769230769229"/>
    <n v="0.56133828996282531"/>
    <n v="0.12267657992565056"/>
    <n v="14121"/>
    <s v="Rhein Auto Group"/>
  </r>
  <r>
    <s v="CUST_411"/>
    <x v="6"/>
    <x v="2"/>
    <s v="Saturday"/>
    <s v="Yes"/>
    <x v="5"/>
    <x v="5"/>
    <s v="Hamburg"/>
    <x v="1"/>
    <s v="Corsa"/>
    <s v="Hybrid"/>
    <x v="2"/>
    <s v="50+"/>
    <s v="Low"/>
    <x v="1"/>
    <x v="1"/>
    <s v="Sales_16"/>
    <n v="278"/>
    <n v="136"/>
    <n v="91"/>
    <n v="23"/>
    <s v="16.91"/>
    <n v="24374"/>
    <s v="13.08"/>
    <n v="22653"/>
    <n v="560602"/>
    <n v="39583"/>
    <s v="Feb"/>
    <n v="2"/>
    <n v="2026"/>
    <s v="Weekend"/>
    <n v="0.25274725274725274"/>
    <n v="0.48920863309352519"/>
    <n v="8.2733812949640287E-2"/>
    <n v="1721"/>
    <s v="Elbe Drive"/>
  </r>
  <r>
    <s v="CUST_412"/>
    <x v="24"/>
    <x v="1"/>
    <s v="Thursday"/>
    <s v="No"/>
    <x v="0"/>
    <x v="0"/>
    <s v="Hesse"/>
    <x v="1"/>
    <s v="Grandland"/>
    <s v="Hybrid"/>
    <x v="0"/>
    <s v="50+"/>
    <s v="Low"/>
    <x v="1"/>
    <x v="2"/>
    <s v="Sales_17"/>
    <n v="423"/>
    <n v="190"/>
    <n v="107"/>
    <n v="36"/>
    <s v="18.95"/>
    <n v="22288"/>
    <s v="7.1"/>
    <n v="20150"/>
    <n v="802368"/>
    <n v="76968"/>
    <s v="Feb"/>
    <n v="2"/>
    <n v="2026"/>
    <s v="Weekday"/>
    <n v="0.3364485981308411"/>
    <n v="0.44917257683215128"/>
    <n v="8.5106382978723402E-2"/>
    <n v="2138"/>
    <s v="Main Auto Hub"/>
  </r>
  <r>
    <s v="CUST_413"/>
    <x v="7"/>
    <x v="3"/>
    <s v="Monday"/>
    <s v="No"/>
    <x v="5"/>
    <x v="5"/>
    <s v="Hamburg"/>
    <x v="3"/>
    <s v="GLC"/>
    <s v="Electric"/>
    <x v="0"/>
    <s v="26-35"/>
    <s v="High"/>
    <x v="1"/>
    <x v="1"/>
    <s v="Sales_7"/>
    <n v="183"/>
    <n v="89"/>
    <n v="66"/>
    <n v="22"/>
    <s v="24.72"/>
    <n v="60522"/>
    <s v="3.18"/>
    <n v="46216"/>
    <n v="1331484"/>
    <n v="314732"/>
    <s v="Feb"/>
    <n v="2"/>
    <n v="2026"/>
    <s v="Weekday"/>
    <n v="0.33333333333333331"/>
    <n v="0.48633879781420764"/>
    <n v="0.12021857923497267"/>
    <n v="14306"/>
    <s v="Elbe Drive"/>
  </r>
  <r>
    <s v="CUST_414"/>
    <x v="3"/>
    <x v="1"/>
    <s v="Sunday"/>
    <s v="Yes"/>
    <x v="4"/>
    <x v="4"/>
    <s v="Berlin"/>
    <x v="4"/>
    <s v="Golf"/>
    <s v="Hybrid"/>
    <x v="2"/>
    <s v="18-25"/>
    <s v="Medium"/>
    <x v="1"/>
    <x v="2"/>
    <s v="Sales_5"/>
    <n v="394"/>
    <n v="176"/>
    <n v="115"/>
    <n v="37"/>
    <s v="21.02"/>
    <n v="26954"/>
    <s v="10.48"/>
    <n v="23559"/>
    <n v="997298"/>
    <n v="125615"/>
    <s v="Feb"/>
    <n v="2"/>
    <n v="2026"/>
    <s v="Weekend"/>
    <n v="0.32173913043478258"/>
    <n v="0.4467005076142132"/>
    <n v="9.3908629441624369E-2"/>
    <n v="3395"/>
    <s v="Autohaus Berlin"/>
  </r>
  <r>
    <s v="CUST_415"/>
    <x v="27"/>
    <x v="3"/>
    <s v="Sunday"/>
    <s v="Yes"/>
    <x v="1"/>
    <x v="1"/>
    <s v="NRW"/>
    <x v="1"/>
    <s v="Corsa"/>
    <s v="Petrol"/>
    <x v="2"/>
    <s v="36-50"/>
    <s v="Medium"/>
    <x v="0"/>
    <x v="1"/>
    <s v="Sales_6"/>
    <n v="421"/>
    <n v="211"/>
    <n v="141"/>
    <n v="34"/>
    <s v="16.11"/>
    <n v="21433"/>
    <s v="9.28"/>
    <n v="19489"/>
    <n v="728722"/>
    <n v="66096"/>
    <s v="Feb"/>
    <n v="2"/>
    <n v="2026"/>
    <s v="Weekend"/>
    <n v="0.24113475177304963"/>
    <n v="0.50118764845605701"/>
    <n v="8.076009501187649E-2"/>
    <n v="1944"/>
    <s v="Rhein Auto Group"/>
  </r>
  <r>
    <s v="CUST_416"/>
    <x v="21"/>
    <x v="0"/>
    <s v="Tuesday"/>
    <s v="No"/>
    <x v="5"/>
    <x v="5"/>
    <s v="Hamburg"/>
    <x v="0"/>
    <s v="X5"/>
    <s v="Petrol"/>
    <x v="0"/>
    <s v="36-50"/>
    <s v="Medium"/>
    <x v="0"/>
    <x v="3"/>
    <s v="Sales_17"/>
    <n v="218"/>
    <n v="115"/>
    <n v="85"/>
    <n v="34"/>
    <s v="29.57"/>
    <n v="58478"/>
    <s v="5.47"/>
    <n v="43996"/>
    <n v="1988252"/>
    <n v="492388"/>
    <s v="Feb"/>
    <n v="2"/>
    <n v="2026"/>
    <s v="Weekday"/>
    <n v="0.4"/>
    <n v="0.52752293577981646"/>
    <n v="0.15596330275229359"/>
    <n v="14482"/>
    <s v="Elbe Drive"/>
  </r>
  <r>
    <s v="CUST_417"/>
    <x v="19"/>
    <x v="1"/>
    <s v="Saturday"/>
    <s v="Yes"/>
    <x v="4"/>
    <x v="4"/>
    <s v="Berlin"/>
    <x v="3"/>
    <s v="EQE"/>
    <s v="Petrol"/>
    <x v="1"/>
    <s v="26-35"/>
    <s v="High"/>
    <x v="0"/>
    <x v="3"/>
    <s v="Sales_18"/>
    <n v="275"/>
    <n v="134"/>
    <n v="91"/>
    <n v="32"/>
    <s v="23.88"/>
    <n v="51074"/>
    <s v="3.73"/>
    <n v="38503"/>
    <n v="1634368"/>
    <n v="402272"/>
    <s v="Feb"/>
    <n v="2"/>
    <n v="2026"/>
    <s v="Weekend"/>
    <n v="0.35164835164835168"/>
    <n v="0.48727272727272725"/>
    <n v="0.11636363636363636"/>
    <n v="12571"/>
    <s v="Autohaus Berlin"/>
  </r>
  <r>
    <s v="CUST_418"/>
    <x v="2"/>
    <x v="2"/>
    <s v="Monday"/>
    <s v="No"/>
    <x v="2"/>
    <x v="2"/>
    <s v="Lower Saxony"/>
    <x v="4"/>
    <s v="ID.4"/>
    <s v="Electric"/>
    <x v="0"/>
    <s v="36-50"/>
    <s v="Low"/>
    <x v="0"/>
    <x v="3"/>
    <s v="Sales_11"/>
    <n v="263"/>
    <n v="131"/>
    <n v="81"/>
    <n v="22"/>
    <s v="16.79"/>
    <n v="34688"/>
    <s v="7.03"/>
    <n v="30507"/>
    <n v="763136"/>
    <n v="91982"/>
    <s v="Feb"/>
    <n v="2"/>
    <n v="2026"/>
    <s v="Weekday"/>
    <n v="0.27160493827160492"/>
    <n v="0.49809885931558934"/>
    <n v="8.3650190114068435E-2"/>
    <n v="4181"/>
    <s v="Hannover Cars"/>
  </r>
  <r>
    <s v="CUST_419"/>
    <x v="17"/>
    <x v="2"/>
    <s v="Sunday"/>
    <s v="Yes"/>
    <x v="9"/>
    <x v="9"/>
    <s v="NRW"/>
    <x v="4"/>
    <s v="Passat"/>
    <s v="Hybrid"/>
    <x v="1"/>
    <s v="26-35"/>
    <s v="High"/>
    <x v="1"/>
    <x v="2"/>
    <s v="Sales_10"/>
    <n v="364"/>
    <n v="157"/>
    <n v="100"/>
    <n v="24"/>
    <s v="15.29"/>
    <n v="31870"/>
    <s v="8.93"/>
    <n v="28108"/>
    <n v="764880"/>
    <n v="90288"/>
    <s v="Feb"/>
    <n v="2"/>
    <n v="2026"/>
    <s v="Weekend"/>
    <n v="0.24"/>
    <n v="0.43131868131868134"/>
    <n v="6.5934065934065936E-2"/>
    <n v="3762"/>
    <s v="Ruhr Auto Plaza"/>
  </r>
  <r>
    <s v="CUST_420"/>
    <x v="5"/>
    <x v="3"/>
    <s v="Saturday"/>
    <s v="Yes"/>
    <x v="1"/>
    <x v="1"/>
    <s v="NRW"/>
    <x v="1"/>
    <s v="Crossland"/>
    <s v="Electric"/>
    <x v="0"/>
    <s v="26-35"/>
    <s v="Low"/>
    <x v="1"/>
    <x v="3"/>
    <s v="Sales_1"/>
    <n v="407"/>
    <n v="171"/>
    <n v="105"/>
    <n v="22"/>
    <s v="12.87"/>
    <n v="20996"/>
    <s v="12.46"/>
    <n v="19061"/>
    <n v="461912"/>
    <n v="42570"/>
    <s v="Feb"/>
    <n v="2"/>
    <n v="2026"/>
    <s v="Weekend"/>
    <n v="0.20952380952380953"/>
    <n v="0.42014742014742013"/>
    <n v="5.4054054054054057E-2"/>
    <n v="1935"/>
    <s v="Rhein Auto Group"/>
  </r>
  <r>
    <s v="CUST_421"/>
    <x v="25"/>
    <x v="3"/>
    <s v="Friday"/>
    <s v="No"/>
    <x v="3"/>
    <x v="3"/>
    <s v="Saxony"/>
    <x v="4"/>
    <s v="Tiguan"/>
    <s v="Hybrid"/>
    <x v="0"/>
    <s v="50+"/>
    <s v="Medium"/>
    <x v="1"/>
    <x v="2"/>
    <s v="Sales_19"/>
    <n v="282"/>
    <n v="158"/>
    <n v="100"/>
    <n v="24"/>
    <s v="15.19"/>
    <n v="34364"/>
    <s v="8.16"/>
    <n v="30659"/>
    <n v="824736"/>
    <n v="88920"/>
    <s v="Feb"/>
    <n v="2"/>
    <n v="2026"/>
    <s v="Weekday"/>
    <n v="0.24"/>
    <n v="0.56028368794326244"/>
    <n v="8.5106382978723402E-2"/>
    <n v="3705"/>
    <s v="Saxon Wheels"/>
  </r>
  <r>
    <s v="CUST_422"/>
    <x v="18"/>
    <x v="0"/>
    <s v="Saturday"/>
    <s v="Yes"/>
    <x v="3"/>
    <x v="3"/>
    <s v="Saxony"/>
    <x v="1"/>
    <s v="Astra"/>
    <s v="Petrol"/>
    <x v="2"/>
    <s v="18-25"/>
    <s v="Low"/>
    <x v="1"/>
    <x v="1"/>
    <s v="Sales_13"/>
    <n v="361"/>
    <n v="181"/>
    <n v="124"/>
    <n v="31"/>
    <s v="17.13"/>
    <n v="21060"/>
    <s v="10.11"/>
    <n v="18971"/>
    <n v="652860"/>
    <n v="64759"/>
    <s v="Feb"/>
    <n v="2"/>
    <n v="2026"/>
    <s v="Weekend"/>
    <n v="0.25"/>
    <n v="0.50138504155124652"/>
    <n v="8.5872576177285317E-2"/>
    <n v="2089"/>
    <s v="Saxon Wheels"/>
  </r>
  <r>
    <s v="CUST_423"/>
    <x v="19"/>
    <x v="1"/>
    <s v="Saturday"/>
    <s v="Yes"/>
    <x v="1"/>
    <x v="1"/>
    <s v="NRW"/>
    <x v="0"/>
    <s v="3 Series"/>
    <s v="Hybrid"/>
    <x v="1"/>
    <s v="18-25"/>
    <s v="Low"/>
    <x v="0"/>
    <x v="0"/>
    <s v="Sales_15"/>
    <n v="162"/>
    <n v="88"/>
    <n v="69"/>
    <n v="24"/>
    <s v="27.27"/>
    <n v="62942"/>
    <s v="2.68"/>
    <n v="48879"/>
    <n v="1510608"/>
    <n v="337512"/>
    <s v="Feb"/>
    <n v="2"/>
    <n v="2026"/>
    <s v="Weekend"/>
    <n v="0.34782608695652173"/>
    <n v="0.54320987654320985"/>
    <n v="0.14814814814814814"/>
    <n v="14063"/>
    <s v="Rhein Auto Group"/>
  </r>
  <r>
    <s v="CUST_424"/>
    <x v="4"/>
    <x v="2"/>
    <s v="Wednesday"/>
    <s v="No"/>
    <x v="2"/>
    <x v="2"/>
    <s v="Lower Saxony"/>
    <x v="1"/>
    <s v="Corsa"/>
    <s v="Electric"/>
    <x v="2"/>
    <s v="36-50"/>
    <s v="Low"/>
    <x v="1"/>
    <x v="0"/>
    <s v="Sales_7"/>
    <n v="397"/>
    <n v="183"/>
    <n v="118"/>
    <n v="21"/>
    <s v="11.48"/>
    <n v="26281"/>
    <s v="8.85"/>
    <n v="24188"/>
    <n v="551901"/>
    <n v="43953"/>
    <s v="Feb"/>
    <n v="2"/>
    <n v="2026"/>
    <s v="Weekday"/>
    <n v="0.17796610169491525"/>
    <n v="0.46095717884130982"/>
    <n v="5.2896725440806043E-2"/>
    <n v="2093"/>
    <s v="Hannover Cars"/>
  </r>
  <r>
    <s v="CUST_425"/>
    <x v="27"/>
    <x v="3"/>
    <s v="Sunday"/>
    <s v="Yes"/>
    <x v="2"/>
    <x v="2"/>
    <s v="Lower Saxony"/>
    <x v="2"/>
    <s v="A3"/>
    <s v="Electric"/>
    <x v="2"/>
    <s v="18-25"/>
    <s v="Medium"/>
    <x v="0"/>
    <x v="3"/>
    <s v="Sales_11"/>
    <n v="304"/>
    <n v="174"/>
    <n v="129"/>
    <n v="40"/>
    <s v="22.99"/>
    <n v="47989"/>
    <s v="5.11"/>
    <n v="38643"/>
    <n v="1919560"/>
    <n v="373840"/>
    <s v="Feb"/>
    <n v="2"/>
    <n v="2026"/>
    <s v="Weekend"/>
    <n v="0.31007751937984496"/>
    <n v="0.57236842105263153"/>
    <n v="0.13157894736842105"/>
    <n v="9346"/>
    <s v="Hannover Cars"/>
  </r>
  <r>
    <s v="CUST_426"/>
    <x v="13"/>
    <x v="0"/>
    <s v="Friday"/>
    <s v="No"/>
    <x v="3"/>
    <x v="3"/>
    <s v="Saxony"/>
    <x v="3"/>
    <s v="GLE"/>
    <s v="Hybrid"/>
    <x v="0"/>
    <s v="18-25"/>
    <s v="Low"/>
    <x v="0"/>
    <x v="2"/>
    <s v="Sales_9"/>
    <n v="172"/>
    <n v="98"/>
    <n v="73"/>
    <n v="26"/>
    <s v="26.53"/>
    <n v="63368"/>
    <s v="2.15"/>
    <n v="45683"/>
    <n v="1647568"/>
    <n v="459810"/>
    <s v="Feb"/>
    <n v="2"/>
    <n v="2026"/>
    <s v="Weekday"/>
    <n v="0.35616438356164382"/>
    <n v="0.56976744186046513"/>
    <n v="0.15116279069767441"/>
    <n v="17685"/>
    <s v="Saxon Wheels"/>
  </r>
  <r>
    <s v="CUST_427"/>
    <x v="23"/>
    <x v="2"/>
    <s v="Tuesday"/>
    <s v="No"/>
    <x v="4"/>
    <x v="4"/>
    <s v="Berlin"/>
    <x v="3"/>
    <s v="GLE"/>
    <s v="Electric"/>
    <x v="0"/>
    <s v="50+"/>
    <s v="Medium"/>
    <x v="1"/>
    <x v="2"/>
    <s v="Sales_1"/>
    <n v="154"/>
    <n v="87"/>
    <n v="67"/>
    <n v="26"/>
    <s v="29.89"/>
    <n v="59456"/>
    <s v="3.65"/>
    <n v="43478"/>
    <n v="1545856"/>
    <n v="415428"/>
    <s v="Feb"/>
    <n v="2"/>
    <n v="2026"/>
    <s v="Weekday"/>
    <n v="0.38805970149253732"/>
    <n v="0.56493506493506496"/>
    <n v="0.16883116883116883"/>
    <n v="15978"/>
    <s v="Autohaus Berlin"/>
  </r>
  <r>
    <s v="CUST_428"/>
    <x v="2"/>
    <x v="2"/>
    <s v="Monday"/>
    <s v="No"/>
    <x v="5"/>
    <x v="5"/>
    <s v="Hamburg"/>
    <x v="3"/>
    <s v="C-Class"/>
    <s v="Hybrid"/>
    <x v="1"/>
    <s v="36-50"/>
    <s v="Medium"/>
    <x v="0"/>
    <x v="3"/>
    <s v="Sales_8"/>
    <n v="235"/>
    <n v="137"/>
    <n v="93"/>
    <n v="35"/>
    <s v="25.55"/>
    <n v="52671"/>
    <s v="3.3"/>
    <n v="39431"/>
    <n v="1843485"/>
    <n v="463400"/>
    <s v="Feb"/>
    <n v="2"/>
    <n v="2026"/>
    <s v="Weekday"/>
    <n v="0.37634408602150538"/>
    <n v="0.58297872340425527"/>
    <n v="0.14893617021276595"/>
    <n v="13240"/>
    <s v="Elbe Drive"/>
  </r>
  <r>
    <s v="CUST_429"/>
    <x v="17"/>
    <x v="2"/>
    <s v="Sunday"/>
    <s v="Yes"/>
    <x v="1"/>
    <x v="1"/>
    <s v="NRW"/>
    <x v="1"/>
    <s v="Crossland"/>
    <s v="Hybrid"/>
    <x v="0"/>
    <s v="36-50"/>
    <s v="Medium"/>
    <x v="0"/>
    <x v="0"/>
    <s v="Sales_18"/>
    <n v="328"/>
    <n v="176"/>
    <n v="101"/>
    <n v="26"/>
    <s v="14.77"/>
    <n v="20471"/>
    <s v="7.18"/>
    <n v="18519"/>
    <n v="532246"/>
    <n v="50752"/>
    <s v="Feb"/>
    <n v="2"/>
    <n v="2026"/>
    <s v="Weekend"/>
    <n v="0.25742574257425743"/>
    <n v="0.53658536585365857"/>
    <n v="7.926829268292683E-2"/>
    <n v="1952"/>
    <s v="Rhein Auto Group"/>
  </r>
  <r>
    <s v="CUST_430"/>
    <x v="3"/>
    <x v="1"/>
    <s v="Sunday"/>
    <s v="Yes"/>
    <x v="9"/>
    <x v="9"/>
    <s v="NRW"/>
    <x v="2"/>
    <s v="e-tron"/>
    <s v="Electric"/>
    <x v="0"/>
    <s v="50+"/>
    <s v="Low"/>
    <x v="0"/>
    <x v="1"/>
    <s v="Sales_20"/>
    <n v="311"/>
    <n v="197"/>
    <n v="149"/>
    <n v="42"/>
    <s v="21.32"/>
    <n v="45294"/>
    <s v="3.38"/>
    <n v="35117"/>
    <n v="1902348"/>
    <n v="427434"/>
    <s v="Feb"/>
    <n v="2"/>
    <n v="2026"/>
    <s v="Weekend"/>
    <n v="0.28187919463087246"/>
    <n v="0.63344051446945338"/>
    <n v="0.13504823151125403"/>
    <n v="10177"/>
    <s v="Ruhr Auto Plaza"/>
  </r>
  <r>
    <s v="CUST_431"/>
    <x v="9"/>
    <x v="0"/>
    <s v="Sunday"/>
    <s v="Yes"/>
    <x v="0"/>
    <x v="0"/>
    <s v="Hesse"/>
    <x v="4"/>
    <s v="Tiguan"/>
    <s v="Electric"/>
    <x v="0"/>
    <s v="36-50"/>
    <s v="High"/>
    <x v="1"/>
    <x v="0"/>
    <s v="Sales_15"/>
    <n v="386"/>
    <n v="164"/>
    <n v="108"/>
    <n v="25"/>
    <s v="15.24"/>
    <n v="25830"/>
    <s v="10.7"/>
    <n v="23204"/>
    <n v="645750"/>
    <n v="65650"/>
    <s v="Feb"/>
    <n v="2"/>
    <n v="2026"/>
    <s v="Weekend"/>
    <n v="0.23148148148148148"/>
    <n v="0.42487046632124353"/>
    <n v="6.4766839378238336E-2"/>
    <n v="2626"/>
    <s v="Main Auto Hub"/>
  </r>
  <r>
    <s v="CUST_432"/>
    <x v="2"/>
    <x v="2"/>
    <s v="Monday"/>
    <s v="No"/>
    <x v="1"/>
    <x v="1"/>
    <s v="NRW"/>
    <x v="0"/>
    <s v="i4"/>
    <s v="Electric"/>
    <x v="1"/>
    <s v="50+"/>
    <s v="High"/>
    <x v="0"/>
    <x v="3"/>
    <s v="Sales_11"/>
    <n v="149"/>
    <n v="70"/>
    <n v="52"/>
    <n v="20"/>
    <s v="28.57"/>
    <n v="61313"/>
    <s v="5.82"/>
    <n v="46365"/>
    <n v="1226260"/>
    <n v="298960"/>
    <s v="Feb"/>
    <n v="2"/>
    <n v="2026"/>
    <s v="Weekday"/>
    <n v="0.38461538461538464"/>
    <n v="0.46979865771812079"/>
    <n v="0.13422818791946309"/>
    <n v="14948"/>
    <s v="Rhein Auto Group"/>
  </r>
  <r>
    <s v="CUST_433"/>
    <x v="25"/>
    <x v="3"/>
    <s v="Friday"/>
    <s v="No"/>
    <x v="1"/>
    <x v="1"/>
    <s v="NRW"/>
    <x v="2"/>
    <s v="A4"/>
    <s v="Hybrid"/>
    <x v="1"/>
    <s v="26-35"/>
    <s v="Medium"/>
    <x v="0"/>
    <x v="1"/>
    <s v="Sales_13"/>
    <n v="167"/>
    <n v="86"/>
    <n v="65"/>
    <n v="23"/>
    <s v="26.74"/>
    <n v="50906"/>
    <s v="6.21"/>
    <n v="39853"/>
    <n v="1170838"/>
    <n v="254219"/>
    <s v="Feb"/>
    <n v="2"/>
    <n v="2026"/>
    <s v="Weekday"/>
    <n v="0.35384615384615387"/>
    <n v="0.51497005988023947"/>
    <n v="0.1377245508982036"/>
    <n v="11053"/>
    <s v="Rhein Auto Group"/>
  </r>
  <r>
    <s v="CUST_434"/>
    <x v="23"/>
    <x v="2"/>
    <s v="Tuesday"/>
    <s v="No"/>
    <x v="0"/>
    <x v="0"/>
    <s v="Hesse"/>
    <x v="2"/>
    <s v="Q3"/>
    <s v="Hybrid"/>
    <x v="0"/>
    <s v="36-50"/>
    <s v="Low"/>
    <x v="1"/>
    <x v="3"/>
    <s v="Sales_20"/>
    <n v="267"/>
    <n v="123"/>
    <n v="85"/>
    <n v="27"/>
    <s v="21.95"/>
    <n v="46612"/>
    <s v="3.66"/>
    <n v="35775"/>
    <n v="1258524"/>
    <n v="292599"/>
    <s v="Feb"/>
    <n v="2"/>
    <n v="2026"/>
    <s v="Weekday"/>
    <n v="0.31764705882352939"/>
    <n v="0.4606741573033708"/>
    <n v="0.10112359550561797"/>
    <n v="10837"/>
    <s v="Main Auto Hub"/>
  </r>
  <r>
    <s v="CUST_435"/>
    <x v="23"/>
    <x v="2"/>
    <s v="Tuesday"/>
    <s v="No"/>
    <x v="7"/>
    <x v="7"/>
    <s v="Bavaria"/>
    <x v="1"/>
    <s v="Grandland"/>
    <s v="Electric"/>
    <x v="0"/>
    <s v="26-35"/>
    <s v="Low"/>
    <x v="1"/>
    <x v="0"/>
    <s v="Sales_13"/>
    <n v="339"/>
    <n v="171"/>
    <n v="108"/>
    <n v="24"/>
    <s v="14.04"/>
    <n v="24017"/>
    <s v="7.34"/>
    <n v="21817"/>
    <n v="576408"/>
    <n v="52800"/>
    <s v="Feb"/>
    <n v="2"/>
    <n v="2026"/>
    <s v="Weekday"/>
    <n v="0.22222222222222221"/>
    <n v="0.50442477876106195"/>
    <n v="7.0796460176991149E-2"/>
    <n v="2200"/>
    <s v="Bavaria Motors"/>
  </r>
  <r>
    <s v="CUST_436"/>
    <x v="14"/>
    <x v="2"/>
    <s v="Friday"/>
    <s v="No"/>
    <x v="4"/>
    <x v="4"/>
    <s v="Berlin"/>
    <x v="2"/>
    <s v="A4"/>
    <s v="Petrol"/>
    <x v="1"/>
    <s v="36-50"/>
    <s v="High"/>
    <x v="1"/>
    <x v="3"/>
    <s v="Sales_7"/>
    <n v="203"/>
    <n v="112"/>
    <n v="73"/>
    <n v="25"/>
    <s v="22.32"/>
    <n v="46348"/>
    <s v="3.35"/>
    <n v="35711"/>
    <n v="1158700"/>
    <n v="265925"/>
    <s v="Feb"/>
    <n v="2"/>
    <n v="2026"/>
    <s v="Weekday"/>
    <n v="0.34246575342465752"/>
    <n v="0.55172413793103448"/>
    <n v="0.12315270935960591"/>
    <n v="10637"/>
    <s v="Autohaus Berlin"/>
  </r>
  <r>
    <s v="CUST_437"/>
    <x v="27"/>
    <x v="3"/>
    <s v="Sunday"/>
    <s v="Yes"/>
    <x v="7"/>
    <x v="7"/>
    <s v="Bavaria"/>
    <x v="1"/>
    <s v="Mokka"/>
    <s v="Hybrid"/>
    <x v="0"/>
    <s v="50+"/>
    <s v="Medium"/>
    <x v="0"/>
    <x v="2"/>
    <s v="Sales_9"/>
    <n v="355"/>
    <n v="176"/>
    <n v="109"/>
    <n v="39"/>
    <s v="22.16"/>
    <n v="24662"/>
    <s v="7.58"/>
    <n v="22806"/>
    <n v="961818"/>
    <n v="72384"/>
    <s v="Feb"/>
    <n v="2"/>
    <n v="2026"/>
    <s v="Weekend"/>
    <n v="0.3577981651376147"/>
    <n v="0.49577464788732395"/>
    <n v="0.10985915492957747"/>
    <n v="1856"/>
    <s v="Bavaria Motors"/>
  </r>
  <r>
    <s v="CUST_438"/>
    <x v="22"/>
    <x v="3"/>
    <s v="Tuesday"/>
    <s v="No"/>
    <x v="5"/>
    <x v="5"/>
    <s v="Hamburg"/>
    <x v="4"/>
    <s v="T-Roc"/>
    <s v="Electric"/>
    <x v="0"/>
    <s v="18-25"/>
    <s v="Low"/>
    <x v="1"/>
    <x v="1"/>
    <s v="Sales_1"/>
    <n v="271"/>
    <n v="144"/>
    <n v="99"/>
    <n v="25"/>
    <s v="17.36"/>
    <n v="31027"/>
    <s v="10.12"/>
    <n v="27319"/>
    <n v="775675"/>
    <n v="92700"/>
    <s v="Feb"/>
    <n v="2"/>
    <n v="2026"/>
    <s v="Weekday"/>
    <n v="0.25252525252525254"/>
    <n v="0.53136531365313655"/>
    <n v="9.2250922509225092E-2"/>
    <n v="3708"/>
    <s v="Elbe Drive"/>
  </r>
  <r>
    <s v="CUST_439"/>
    <x v="16"/>
    <x v="1"/>
    <s v="Tuesday"/>
    <s v="No"/>
    <x v="9"/>
    <x v="9"/>
    <s v="NRW"/>
    <x v="3"/>
    <s v="C-Class"/>
    <s v="Electric"/>
    <x v="1"/>
    <s v="26-35"/>
    <s v="Medium"/>
    <x v="1"/>
    <x v="3"/>
    <s v="Sales_4"/>
    <n v="170"/>
    <n v="79"/>
    <n v="58"/>
    <n v="16"/>
    <s v="20.25"/>
    <n v="63385"/>
    <s v="4.92"/>
    <n v="45473"/>
    <n v="1014160"/>
    <n v="286592"/>
    <s v="Feb"/>
    <n v="2"/>
    <n v="2026"/>
    <s v="Weekday"/>
    <n v="0.27586206896551724"/>
    <n v="0.46470588235294119"/>
    <n v="9.4117647058823528E-2"/>
    <n v="17912"/>
    <s v="Ruhr Auto Plaza"/>
  </r>
  <r>
    <s v="CUST_440"/>
    <x v="26"/>
    <x v="1"/>
    <s v="Friday"/>
    <s v="No"/>
    <x v="5"/>
    <x v="5"/>
    <s v="Hamburg"/>
    <x v="4"/>
    <s v="Golf"/>
    <s v="Electric"/>
    <x v="2"/>
    <s v="18-25"/>
    <s v="Medium"/>
    <x v="1"/>
    <x v="2"/>
    <s v="Sales_11"/>
    <n v="424"/>
    <n v="230"/>
    <n v="154"/>
    <n v="43"/>
    <s v="18.7"/>
    <n v="32313"/>
    <s v="11.35"/>
    <n v="28529"/>
    <n v="1389459"/>
    <n v="162712"/>
    <s v="Feb"/>
    <n v="2"/>
    <n v="2026"/>
    <s v="Weekday"/>
    <n v="0.2792207792207792"/>
    <n v="0.54245283018867929"/>
    <n v="0.10141509433962265"/>
    <n v="3784"/>
    <s v="Elbe Drive"/>
  </r>
  <r>
    <s v="CUST_441"/>
    <x v="4"/>
    <x v="2"/>
    <s v="Wednesday"/>
    <s v="No"/>
    <x v="9"/>
    <x v="9"/>
    <s v="NRW"/>
    <x v="0"/>
    <s v="X3"/>
    <s v="Hybrid"/>
    <x v="0"/>
    <s v="18-25"/>
    <s v="Low"/>
    <x v="1"/>
    <x v="2"/>
    <s v="Sales_7"/>
    <n v="273"/>
    <n v="138"/>
    <n v="111"/>
    <n v="41"/>
    <s v="29.71"/>
    <n v="53191"/>
    <s v="4.7"/>
    <n v="39762"/>
    <n v="2180831"/>
    <n v="550589"/>
    <s v="Feb"/>
    <n v="2"/>
    <n v="2026"/>
    <s v="Weekday"/>
    <n v="0.36936936936936937"/>
    <n v="0.50549450549450547"/>
    <n v="0.15018315018315018"/>
    <n v="13429"/>
    <s v="Ruhr Auto Plaza"/>
  </r>
  <r>
    <s v="CUST_442"/>
    <x v="9"/>
    <x v="0"/>
    <s v="Sunday"/>
    <s v="Yes"/>
    <x v="9"/>
    <x v="9"/>
    <s v="NRW"/>
    <x v="4"/>
    <s v="Tiguan"/>
    <s v="Diesel"/>
    <x v="0"/>
    <s v="36-50"/>
    <s v="Low"/>
    <x v="1"/>
    <x v="0"/>
    <s v="Sales_7"/>
    <n v="367"/>
    <n v="183"/>
    <n v="110"/>
    <n v="25"/>
    <s v="13.66"/>
    <n v="28565"/>
    <s v="6.93"/>
    <n v="25116"/>
    <n v="714125"/>
    <n v="86225"/>
    <s v="Feb"/>
    <n v="2"/>
    <n v="2026"/>
    <s v="Weekend"/>
    <n v="0.22727272727272727"/>
    <n v="0.49863760217983649"/>
    <n v="6.8119891008174394E-2"/>
    <n v="3449"/>
    <s v="Ruhr Auto Plaza"/>
  </r>
  <r>
    <s v="CUST_443"/>
    <x v="14"/>
    <x v="2"/>
    <s v="Friday"/>
    <s v="No"/>
    <x v="6"/>
    <x v="6"/>
    <s v="Saxony"/>
    <x v="1"/>
    <s v="Crossland"/>
    <s v="Electric"/>
    <x v="0"/>
    <s v="36-50"/>
    <s v="High"/>
    <x v="0"/>
    <x v="1"/>
    <s v="Sales_13"/>
    <n v="245"/>
    <n v="119"/>
    <n v="80"/>
    <n v="22"/>
    <s v="18.49"/>
    <n v="20716"/>
    <s v="8.83"/>
    <n v="18740"/>
    <n v="455752"/>
    <n v="43472"/>
    <s v="Feb"/>
    <n v="2"/>
    <n v="2026"/>
    <s v="Weekday"/>
    <n v="0.27500000000000002"/>
    <n v="0.48571428571428571"/>
    <n v="8.9795918367346933E-2"/>
    <n v="1976"/>
    <s v="Leipzig Mobility"/>
  </r>
  <r>
    <s v="CUST_444"/>
    <x v="27"/>
    <x v="3"/>
    <s v="Sunday"/>
    <s v="Yes"/>
    <x v="4"/>
    <x v="4"/>
    <s v="Berlin"/>
    <x v="2"/>
    <s v="A4"/>
    <s v="Petrol"/>
    <x v="1"/>
    <s v="18-25"/>
    <s v="High"/>
    <x v="0"/>
    <x v="3"/>
    <s v="Sales_2"/>
    <n v="314"/>
    <n v="194"/>
    <n v="134"/>
    <n v="41"/>
    <s v="21.13"/>
    <n v="53368"/>
    <s v="3.49"/>
    <n v="41008"/>
    <n v="2188088"/>
    <n v="506760"/>
    <s v="Feb"/>
    <n v="2"/>
    <n v="2026"/>
    <s v="Weekend"/>
    <n v="0.30597014925373134"/>
    <n v="0.61783439490445857"/>
    <n v="0.13057324840764331"/>
    <n v="12360"/>
    <s v="Autohaus Berlin"/>
  </r>
  <r>
    <s v="CUST_445"/>
    <x v="19"/>
    <x v="1"/>
    <s v="Saturday"/>
    <s v="Yes"/>
    <x v="6"/>
    <x v="6"/>
    <s v="Saxony"/>
    <x v="1"/>
    <s v="Mokka"/>
    <s v="Hybrid"/>
    <x v="0"/>
    <s v="36-50"/>
    <s v="Low"/>
    <x v="1"/>
    <x v="0"/>
    <s v="Sales_14"/>
    <n v="417"/>
    <n v="225"/>
    <n v="138"/>
    <n v="22"/>
    <s v="9.78"/>
    <n v="25141"/>
    <s v="9.47"/>
    <n v="22457"/>
    <n v="553102"/>
    <n v="59048"/>
    <s v="Feb"/>
    <n v="2"/>
    <n v="2026"/>
    <s v="Weekend"/>
    <n v="0.15942028985507245"/>
    <n v="0.53956834532374098"/>
    <n v="5.2757793764988008E-2"/>
    <n v="2684"/>
    <s v="Leipzig Mobility"/>
  </r>
  <r>
    <s v="CUST_446"/>
    <x v="8"/>
    <x v="3"/>
    <s v="Wednesday"/>
    <s v="No"/>
    <x v="8"/>
    <x v="8"/>
    <s v="Baden-WÃ¼rttemberg"/>
    <x v="2"/>
    <s v="A4"/>
    <s v="Electric"/>
    <x v="1"/>
    <s v="18-25"/>
    <s v="High"/>
    <x v="0"/>
    <x v="2"/>
    <s v="Sales_13"/>
    <n v="196"/>
    <n v="92"/>
    <n v="69"/>
    <n v="26"/>
    <s v="28.26"/>
    <n v="52739"/>
    <s v="6.62"/>
    <n v="40906"/>
    <n v="1371214"/>
    <n v="307658"/>
    <s v="Feb"/>
    <n v="2"/>
    <n v="2026"/>
    <s v="Weekday"/>
    <n v="0.37681159420289856"/>
    <n v="0.46938775510204084"/>
    <n v="0.1326530612244898"/>
    <n v="11833"/>
    <s v="Stuttgart Auto Center"/>
  </r>
  <r>
    <s v="CUST_447"/>
    <x v="16"/>
    <x v="1"/>
    <s v="Tuesday"/>
    <s v="No"/>
    <x v="9"/>
    <x v="9"/>
    <s v="NRW"/>
    <x v="0"/>
    <s v="5 Series"/>
    <s v="Electric"/>
    <x v="1"/>
    <s v="36-50"/>
    <s v="Medium"/>
    <x v="0"/>
    <x v="1"/>
    <s v="Sales_12"/>
    <n v="239"/>
    <n v="123"/>
    <n v="88"/>
    <n v="32"/>
    <s v="26.02"/>
    <n v="62780"/>
    <s v="5.19"/>
    <n v="44979"/>
    <n v="2008960"/>
    <n v="569632"/>
    <s v="Feb"/>
    <n v="2"/>
    <n v="2026"/>
    <s v="Weekday"/>
    <n v="0.36363636363636365"/>
    <n v="0.5146443514644351"/>
    <n v="0.13389121338912133"/>
    <n v="17801"/>
    <s v="Ruhr Auto Plaza"/>
  </r>
  <r>
    <s v="CUST_448"/>
    <x v="25"/>
    <x v="3"/>
    <s v="Friday"/>
    <s v="No"/>
    <x v="2"/>
    <x v="2"/>
    <s v="Lower Saxony"/>
    <x v="4"/>
    <s v="ID.4"/>
    <s v="Electric"/>
    <x v="0"/>
    <s v="18-25"/>
    <s v="High"/>
    <x v="1"/>
    <x v="3"/>
    <s v="Sales_4"/>
    <n v="264"/>
    <n v="137"/>
    <n v="96"/>
    <n v="16"/>
    <s v="11.68"/>
    <n v="25791"/>
    <s v="9.92"/>
    <n v="22196"/>
    <n v="412656"/>
    <n v="57520"/>
    <s v="Feb"/>
    <n v="2"/>
    <n v="2026"/>
    <s v="Weekday"/>
    <n v="0.16666666666666666"/>
    <n v="0.51893939393939392"/>
    <n v="6.0606060606060608E-2"/>
    <n v="3595"/>
    <s v="Hannover Cars"/>
  </r>
  <r>
    <s v="CUST_449"/>
    <x v="6"/>
    <x v="2"/>
    <s v="Saturday"/>
    <s v="Yes"/>
    <x v="5"/>
    <x v="5"/>
    <s v="Hamburg"/>
    <x v="4"/>
    <s v="ID.4"/>
    <s v="Diesel"/>
    <x v="0"/>
    <s v="36-50"/>
    <s v="Medium"/>
    <x v="0"/>
    <x v="1"/>
    <s v="Sales_19"/>
    <n v="316"/>
    <n v="130"/>
    <n v="87"/>
    <n v="22"/>
    <s v="16.92"/>
    <n v="25545"/>
    <s v="10.79"/>
    <n v="22560"/>
    <n v="561990"/>
    <n v="65670"/>
    <s v="Feb"/>
    <n v="2"/>
    <n v="2026"/>
    <s v="Weekend"/>
    <n v="0.25287356321839083"/>
    <n v="0.41139240506329117"/>
    <n v="6.9620253164556958E-2"/>
    <n v="2985"/>
    <s v="Elbe Drive"/>
  </r>
  <r>
    <s v="CUST_450"/>
    <x v="27"/>
    <x v="3"/>
    <s v="Sunday"/>
    <s v="Yes"/>
    <x v="2"/>
    <x v="2"/>
    <s v="Lower Saxony"/>
    <x v="1"/>
    <s v="Crossland"/>
    <s v="Electric"/>
    <x v="0"/>
    <s v="18-25"/>
    <s v="Medium"/>
    <x v="1"/>
    <x v="2"/>
    <s v="Sales_18"/>
    <n v="404"/>
    <n v="207"/>
    <n v="117"/>
    <n v="35"/>
    <s v="16.91"/>
    <n v="21339"/>
    <s v="7.24"/>
    <n v="19382"/>
    <n v="746865"/>
    <n v="68495"/>
    <s v="Feb"/>
    <n v="2"/>
    <n v="2026"/>
    <s v="Weekend"/>
    <n v="0.29914529914529914"/>
    <n v="0.51237623762376239"/>
    <n v="8.6633663366336627E-2"/>
    <n v="1957"/>
    <s v="Hannover Cars"/>
  </r>
  <r>
    <s v="CUST_451"/>
    <x v="0"/>
    <x v="0"/>
    <s v="Monday"/>
    <s v="No"/>
    <x v="8"/>
    <x v="8"/>
    <s v="Baden-WÃ¼rttemberg"/>
    <x v="3"/>
    <s v="E-Class"/>
    <s v="Diesel"/>
    <x v="1"/>
    <s v="18-25"/>
    <s v="Medium"/>
    <x v="0"/>
    <x v="0"/>
    <s v="Sales_17"/>
    <n v="175"/>
    <n v="95"/>
    <n v="73"/>
    <n v="22"/>
    <s v="23.16"/>
    <n v="60248"/>
    <s v="2.63"/>
    <n v="43192"/>
    <n v="1325456"/>
    <n v="375232"/>
    <s v="Feb"/>
    <n v="2"/>
    <n v="2026"/>
    <s v="Weekday"/>
    <n v="0.30136986301369861"/>
    <n v="0.54285714285714282"/>
    <n v="0.12571428571428572"/>
    <n v="17056"/>
    <s v="Stuttgart Auto Center"/>
  </r>
  <r>
    <s v="CUST_452"/>
    <x v="5"/>
    <x v="3"/>
    <s v="Saturday"/>
    <s v="Yes"/>
    <x v="5"/>
    <x v="5"/>
    <s v="Hamburg"/>
    <x v="1"/>
    <s v="Astra"/>
    <s v="Petrol"/>
    <x v="2"/>
    <s v="36-50"/>
    <s v="Medium"/>
    <x v="1"/>
    <x v="0"/>
    <s v="Sales_13"/>
    <n v="387"/>
    <n v="172"/>
    <n v="111"/>
    <n v="21"/>
    <s v="12.21"/>
    <n v="21565"/>
    <s v="13.96"/>
    <n v="19489"/>
    <n v="452865"/>
    <n v="43596"/>
    <s v="Feb"/>
    <n v="2"/>
    <n v="2026"/>
    <s v="Weekend"/>
    <n v="0.1891891891891892"/>
    <n v="0.44444444444444442"/>
    <n v="5.4263565891472867E-2"/>
    <n v="2076"/>
    <s v="Elbe Drive"/>
  </r>
  <r>
    <s v="CUST_453"/>
    <x v="2"/>
    <x v="2"/>
    <s v="Monday"/>
    <s v="No"/>
    <x v="6"/>
    <x v="6"/>
    <s v="Saxony"/>
    <x v="2"/>
    <s v="A3"/>
    <s v="Electric"/>
    <x v="2"/>
    <s v="36-50"/>
    <s v="Medium"/>
    <x v="1"/>
    <x v="0"/>
    <s v="Sales_12"/>
    <n v="291"/>
    <n v="165"/>
    <n v="128"/>
    <n v="30"/>
    <s v="18.18"/>
    <n v="45862"/>
    <s v="5.67"/>
    <n v="36335"/>
    <n v="1375860"/>
    <n v="285810"/>
    <s v="Feb"/>
    <n v="2"/>
    <n v="2026"/>
    <s v="Weekday"/>
    <n v="0.234375"/>
    <n v="0.5670103092783505"/>
    <n v="0.10309278350515463"/>
    <n v="9527"/>
    <s v="Leipzig Mobility"/>
  </r>
  <r>
    <s v="CUST_454"/>
    <x v="4"/>
    <x v="2"/>
    <s v="Wednesday"/>
    <s v="No"/>
    <x v="0"/>
    <x v="0"/>
    <s v="Hesse"/>
    <x v="0"/>
    <s v="X5"/>
    <s v="Electric"/>
    <x v="0"/>
    <s v="36-50"/>
    <s v="High"/>
    <x v="1"/>
    <x v="0"/>
    <s v="Sales_3"/>
    <n v="154"/>
    <n v="86"/>
    <n v="68"/>
    <n v="23"/>
    <s v="26.74"/>
    <n v="60213"/>
    <s v="4.46"/>
    <n v="45390"/>
    <n v="1384899"/>
    <n v="340929"/>
    <s v="Feb"/>
    <n v="2"/>
    <n v="2026"/>
    <s v="Weekday"/>
    <n v="0.33823529411764708"/>
    <n v="0.55844155844155841"/>
    <n v="0.14935064935064934"/>
    <n v="14823"/>
    <s v="Main Auto Hub"/>
  </r>
  <r>
    <s v="CUST_455"/>
    <x v="23"/>
    <x v="2"/>
    <s v="Tuesday"/>
    <s v="No"/>
    <x v="0"/>
    <x v="0"/>
    <s v="Hesse"/>
    <x v="2"/>
    <s v="A4"/>
    <s v="Electric"/>
    <x v="1"/>
    <s v="36-50"/>
    <s v="Medium"/>
    <x v="1"/>
    <x v="1"/>
    <s v="Sales_4"/>
    <n v="213"/>
    <n v="132"/>
    <n v="85"/>
    <n v="33"/>
    <s v="25.0"/>
    <n v="45152"/>
    <s v="3.27"/>
    <n v="35880"/>
    <n v="1490016"/>
    <n v="305976"/>
    <s v="Feb"/>
    <n v="2"/>
    <n v="2026"/>
    <s v="Weekday"/>
    <n v="0.38823529411764707"/>
    <n v="0.61971830985915488"/>
    <n v="0.15492957746478872"/>
    <n v="9272"/>
    <s v="Main Auto Hub"/>
  </r>
  <r>
    <s v="CUST_456"/>
    <x v="11"/>
    <x v="0"/>
    <s v="Wednesday"/>
    <s v="No"/>
    <x v="4"/>
    <x v="4"/>
    <s v="Berlin"/>
    <x v="3"/>
    <s v="GLC"/>
    <s v="Hybrid"/>
    <x v="0"/>
    <s v="18-25"/>
    <s v="Low"/>
    <x v="1"/>
    <x v="2"/>
    <s v="Sales_13"/>
    <n v="187"/>
    <n v="87"/>
    <n v="67"/>
    <n v="23"/>
    <s v="26.44"/>
    <n v="68566"/>
    <s v="4.19"/>
    <n v="49778"/>
    <n v="1577018"/>
    <n v="432124"/>
    <s v="Feb"/>
    <n v="2"/>
    <n v="2026"/>
    <s v="Weekday"/>
    <n v="0.34328358208955223"/>
    <n v="0.46524064171122997"/>
    <n v="0.12299465240641712"/>
    <n v="18788"/>
    <s v="Autohaus Berlin"/>
  </r>
  <r>
    <s v="CUST_457"/>
    <x v="2"/>
    <x v="2"/>
    <s v="Monday"/>
    <s v="No"/>
    <x v="5"/>
    <x v="5"/>
    <s v="Hamburg"/>
    <x v="2"/>
    <s v="e-tron"/>
    <s v="Diesel"/>
    <x v="0"/>
    <s v="18-25"/>
    <s v="Medium"/>
    <x v="0"/>
    <x v="1"/>
    <s v="Sales_13"/>
    <n v="293"/>
    <n v="135"/>
    <n v="88"/>
    <n v="36"/>
    <s v="26.67"/>
    <n v="49103"/>
    <s v="5.84"/>
    <n v="38017"/>
    <n v="1767708"/>
    <n v="399096"/>
    <s v="Feb"/>
    <n v="2"/>
    <n v="2026"/>
    <s v="Weekday"/>
    <n v="0.40909090909090912"/>
    <n v="0.46075085324232085"/>
    <n v="0.12286689419795221"/>
    <n v="11086"/>
    <s v="Elbe Drive"/>
  </r>
  <r>
    <s v="CUST_458"/>
    <x v="12"/>
    <x v="3"/>
    <s v="Thursday"/>
    <s v="No"/>
    <x v="7"/>
    <x v="7"/>
    <s v="Bavaria"/>
    <x v="1"/>
    <s v="Mokka"/>
    <s v="Hybrid"/>
    <x v="0"/>
    <s v="36-50"/>
    <s v="High"/>
    <x v="0"/>
    <x v="0"/>
    <s v="Sales_20"/>
    <n v="277"/>
    <n v="106"/>
    <n v="73"/>
    <n v="17"/>
    <s v="16.04"/>
    <n v="20458"/>
    <s v="8.23"/>
    <n v="18286"/>
    <n v="347786"/>
    <n v="36924"/>
    <s v="Feb"/>
    <n v="2"/>
    <n v="2026"/>
    <s v="Weekday"/>
    <n v="0.23287671232876711"/>
    <n v="0.38267148014440433"/>
    <n v="6.1371841155234655E-2"/>
    <n v="2172"/>
    <s v="Bavaria Motors"/>
  </r>
  <r>
    <s v="CUST_459"/>
    <x v="14"/>
    <x v="2"/>
    <s v="Friday"/>
    <s v="No"/>
    <x v="9"/>
    <x v="9"/>
    <s v="NRW"/>
    <x v="2"/>
    <s v="A3"/>
    <s v="Hybrid"/>
    <x v="2"/>
    <s v="26-35"/>
    <s v="Low"/>
    <x v="1"/>
    <x v="1"/>
    <s v="Sales_10"/>
    <n v="167"/>
    <n v="99"/>
    <n v="71"/>
    <n v="24"/>
    <s v="24.24"/>
    <n v="54118"/>
    <s v="4.45"/>
    <n v="43663"/>
    <n v="1298832"/>
    <n v="250920"/>
    <s v="Feb"/>
    <n v="2"/>
    <n v="2026"/>
    <s v="Weekday"/>
    <n v="0.3380281690140845"/>
    <n v="0.59281437125748504"/>
    <n v="0.1437125748502994"/>
    <n v="10455"/>
    <s v="Ruhr Auto Plaza"/>
  </r>
  <r>
    <s v="CUST_460"/>
    <x v="11"/>
    <x v="0"/>
    <s v="Wednesday"/>
    <s v="No"/>
    <x v="4"/>
    <x v="4"/>
    <s v="Berlin"/>
    <x v="3"/>
    <s v="E-Class"/>
    <s v="Petrol"/>
    <x v="1"/>
    <s v="36-50"/>
    <s v="High"/>
    <x v="0"/>
    <x v="1"/>
    <s v="Sales_10"/>
    <n v="289"/>
    <n v="167"/>
    <n v="117"/>
    <n v="50"/>
    <s v="29.94"/>
    <n v="50972"/>
    <s v="3.65"/>
    <n v="37734"/>
    <n v="2548600"/>
    <n v="661900"/>
    <s v="Feb"/>
    <n v="2"/>
    <n v="2026"/>
    <s v="Weekday"/>
    <n v="0.42735042735042733"/>
    <n v="0.57785467128027679"/>
    <n v="0.17301038062283736"/>
    <n v="13238"/>
    <s v="Autohaus Berlin"/>
  </r>
  <r>
    <s v="CUST_461"/>
    <x v="15"/>
    <x v="2"/>
    <s v="Thursday"/>
    <s v="No"/>
    <x v="5"/>
    <x v="5"/>
    <s v="Hamburg"/>
    <x v="3"/>
    <s v="GLE"/>
    <s v="Diesel"/>
    <x v="0"/>
    <s v="36-50"/>
    <s v="Low"/>
    <x v="0"/>
    <x v="0"/>
    <s v="Sales_3"/>
    <n v="251"/>
    <n v="120"/>
    <n v="95"/>
    <n v="29"/>
    <s v="24.17"/>
    <n v="69422"/>
    <s v="5.2"/>
    <n v="54607"/>
    <n v="2013238"/>
    <n v="429635"/>
    <s v="Feb"/>
    <n v="2"/>
    <n v="2026"/>
    <s v="Weekday"/>
    <n v="0.30526315789473685"/>
    <n v="0.47808764940239046"/>
    <n v="0.11553784860557768"/>
    <n v="14815"/>
    <s v="Elbe Drive"/>
  </r>
  <r>
    <s v="CUST_462"/>
    <x v="5"/>
    <x v="3"/>
    <s v="Saturday"/>
    <s v="Yes"/>
    <x v="9"/>
    <x v="9"/>
    <s v="NRW"/>
    <x v="0"/>
    <s v="5 Series"/>
    <s v="Petrol"/>
    <x v="1"/>
    <s v="50+"/>
    <s v="Low"/>
    <x v="0"/>
    <x v="2"/>
    <s v="Sales_8"/>
    <n v="232"/>
    <n v="132"/>
    <n v="105"/>
    <n v="36"/>
    <s v="27.27"/>
    <n v="52599"/>
    <s v="4.4"/>
    <n v="38305"/>
    <n v="1893564"/>
    <n v="514584"/>
    <s v="Feb"/>
    <n v="2"/>
    <n v="2026"/>
    <s v="Weekend"/>
    <n v="0.34285714285714286"/>
    <n v="0.56896551724137934"/>
    <n v="0.15517241379310345"/>
    <n v="14294"/>
    <s v="Ruhr Auto Plaza"/>
  </r>
  <r>
    <s v="CUST_463"/>
    <x v="19"/>
    <x v="1"/>
    <s v="Saturday"/>
    <s v="Yes"/>
    <x v="3"/>
    <x v="3"/>
    <s v="Saxony"/>
    <x v="1"/>
    <s v="Crossland"/>
    <s v="Electric"/>
    <x v="0"/>
    <s v="36-50"/>
    <s v="Low"/>
    <x v="0"/>
    <x v="2"/>
    <s v="Sales_18"/>
    <n v="224"/>
    <n v="111"/>
    <n v="68"/>
    <n v="17"/>
    <s v="15.32"/>
    <n v="21901"/>
    <s v="12.66"/>
    <n v="19975"/>
    <n v="372317"/>
    <n v="32742"/>
    <s v="Feb"/>
    <n v="2"/>
    <n v="2026"/>
    <s v="Weekend"/>
    <n v="0.25"/>
    <n v="0.4955357142857143"/>
    <n v="7.5892857142857137E-2"/>
    <n v="1926"/>
    <s v="Saxon Wheels"/>
  </r>
  <r>
    <s v="CUST_464"/>
    <x v="26"/>
    <x v="1"/>
    <s v="Friday"/>
    <s v="No"/>
    <x v="5"/>
    <x v="5"/>
    <s v="Hamburg"/>
    <x v="0"/>
    <s v="5 Series"/>
    <s v="Hybrid"/>
    <x v="1"/>
    <s v="18-25"/>
    <s v="Low"/>
    <x v="1"/>
    <x v="3"/>
    <s v="Sales_14"/>
    <n v="213"/>
    <n v="129"/>
    <n v="103"/>
    <n v="35"/>
    <s v="27.13"/>
    <n v="56061"/>
    <s v="2.82"/>
    <n v="41744"/>
    <n v="1962135"/>
    <n v="501095"/>
    <s v="Feb"/>
    <n v="2"/>
    <n v="2026"/>
    <s v="Weekday"/>
    <n v="0.33980582524271846"/>
    <n v="0.60563380281690138"/>
    <n v="0.16431924882629109"/>
    <n v="14317"/>
    <s v="Elbe Drive"/>
  </r>
  <r>
    <s v="CUST_465"/>
    <x v="23"/>
    <x v="2"/>
    <s v="Tuesday"/>
    <s v="No"/>
    <x v="1"/>
    <x v="1"/>
    <s v="NRW"/>
    <x v="0"/>
    <s v="i4"/>
    <s v="Electric"/>
    <x v="1"/>
    <s v="36-50"/>
    <s v="Low"/>
    <x v="1"/>
    <x v="3"/>
    <s v="Sales_3"/>
    <n v="261"/>
    <n v="118"/>
    <n v="82"/>
    <n v="34"/>
    <s v="28.81"/>
    <n v="65717"/>
    <s v="2.73"/>
    <n v="49592"/>
    <n v="2234378"/>
    <n v="548250"/>
    <s v="Feb"/>
    <n v="2"/>
    <n v="2026"/>
    <s v="Weekday"/>
    <n v="0.41463414634146339"/>
    <n v="0.45210727969348657"/>
    <n v="0.13026819923371646"/>
    <n v="16125"/>
    <s v="Rhein Auto Group"/>
  </r>
  <r>
    <s v="CUST_466"/>
    <x v="14"/>
    <x v="2"/>
    <s v="Friday"/>
    <s v="No"/>
    <x v="5"/>
    <x v="5"/>
    <s v="Hamburg"/>
    <x v="0"/>
    <s v="X3"/>
    <s v="Petrol"/>
    <x v="0"/>
    <s v="36-50"/>
    <s v="Low"/>
    <x v="1"/>
    <x v="3"/>
    <s v="Sales_8"/>
    <n v="270"/>
    <n v="145"/>
    <n v="111"/>
    <n v="42"/>
    <s v="28.97"/>
    <n v="64932"/>
    <s v="3.31"/>
    <n v="50293"/>
    <n v="2727144"/>
    <n v="614838"/>
    <s v="Feb"/>
    <n v="2"/>
    <n v="2026"/>
    <s v="Weekday"/>
    <n v="0.3783783783783784"/>
    <n v="0.53703703703703709"/>
    <n v="0.15555555555555556"/>
    <n v="14639"/>
    <s v="Elbe Drive"/>
  </r>
  <r>
    <s v="CUST_467"/>
    <x v="6"/>
    <x v="2"/>
    <s v="Saturday"/>
    <s v="Yes"/>
    <x v="2"/>
    <x v="2"/>
    <s v="Lower Saxony"/>
    <x v="1"/>
    <s v="Astra"/>
    <s v="Hybrid"/>
    <x v="2"/>
    <s v="36-50"/>
    <s v="Medium"/>
    <x v="0"/>
    <x v="2"/>
    <s v="Sales_11"/>
    <n v="396"/>
    <n v="205"/>
    <n v="135"/>
    <n v="41"/>
    <s v="20.0"/>
    <n v="22738"/>
    <s v="9.46"/>
    <n v="20900"/>
    <n v="932258"/>
    <n v="75358"/>
    <s v="Feb"/>
    <n v="2"/>
    <n v="2026"/>
    <s v="Weekend"/>
    <n v="0.3037037037037037"/>
    <n v="0.51767676767676762"/>
    <n v="0.10353535353535354"/>
    <n v="1838"/>
    <s v="Hannover Cars"/>
  </r>
  <r>
    <s v="CUST_468"/>
    <x v="1"/>
    <x v="1"/>
    <s v="Wednesday"/>
    <s v="No"/>
    <x v="7"/>
    <x v="7"/>
    <s v="Bavaria"/>
    <x v="1"/>
    <s v="Corsa"/>
    <s v="Diesel"/>
    <x v="2"/>
    <s v="18-25"/>
    <s v="High"/>
    <x v="1"/>
    <x v="2"/>
    <s v="Sales_18"/>
    <n v="399"/>
    <n v="157"/>
    <n v="96"/>
    <n v="29"/>
    <s v="18.47"/>
    <n v="25351"/>
    <s v="11.03"/>
    <n v="22966"/>
    <n v="735179"/>
    <n v="69165"/>
    <s v="Feb"/>
    <n v="2"/>
    <n v="2026"/>
    <s v="Weekday"/>
    <n v="0.30208333333333331"/>
    <n v="0.39348370927318294"/>
    <n v="7.2681704260651625E-2"/>
    <n v="2385"/>
    <s v="Bavaria Motors"/>
  </r>
  <r>
    <s v="CUST_469"/>
    <x v="11"/>
    <x v="0"/>
    <s v="Wednesday"/>
    <s v="No"/>
    <x v="7"/>
    <x v="7"/>
    <s v="Bavaria"/>
    <x v="4"/>
    <s v="ID.4"/>
    <s v="Hybrid"/>
    <x v="0"/>
    <s v="18-25"/>
    <s v="Medium"/>
    <x v="1"/>
    <x v="0"/>
    <s v="Sales_12"/>
    <n v="267"/>
    <n v="137"/>
    <n v="98"/>
    <n v="21"/>
    <s v="15.33"/>
    <n v="31449"/>
    <s v="8.54"/>
    <n v="28605"/>
    <n v="660429"/>
    <n v="59724"/>
    <s v="Feb"/>
    <n v="2"/>
    <n v="2026"/>
    <s v="Weekday"/>
    <n v="0.21428571428571427"/>
    <n v="0.51310861423220977"/>
    <n v="7.8651685393258425E-2"/>
    <n v="2844"/>
    <s v="Bavaria Motors"/>
  </r>
  <r>
    <s v="CUST_470"/>
    <x v="1"/>
    <x v="1"/>
    <s v="Wednesday"/>
    <s v="No"/>
    <x v="2"/>
    <x v="2"/>
    <s v="Lower Saxony"/>
    <x v="1"/>
    <s v="Grandland"/>
    <s v="Electric"/>
    <x v="0"/>
    <s v="36-50"/>
    <s v="Low"/>
    <x v="0"/>
    <x v="0"/>
    <s v="Sales_18"/>
    <n v="392"/>
    <n v="216"/>
    <n v="133"/>
    <n v="30"/>
    <s v="13.89"/>
    <n v="20174"/>
    <s v="12.82"/>
    <n v="18530"/>
    <n v="605220"/>
    <n v="49320"/>
    <s v="Feb"/>
    <n v="2"/>
    <n v="2026"/>
    <s v="Weekday"/>
    <n v="0.22556390977443608"/>
    <n v="0.55102040816326525"/>
    <n v="7.6530612244897961E-2"/>
    <n v="1644"/>
    <s v="Hannover Cars"/>
  </r>
  <r>
    <s v="CUST_471"/>
    <x v="2"/>
    <x v="2"/>
    <s v="Monday"/>
    <s v="No"/>
    <x v="9"/>
    <x v="9"/>
    <s v="NRW"/>
    <x v="3"/>
    <s v="EQE"/>
    <s v="Petrol"/>
    <x v="1"/>
    <s v="36-50"/>
    <s v="Medium"/>
    <x v="1"/>
    <x v="1"/>
    <s v="Sales_8"/>
    <n v="230"/>
    <n v="101"/>
    <n v="78"/>
    <n v="25"/>
    <s v="24.75"/>
    <n v="62952"/>
    <s v="3.47"/>
    <n v="47202"/>
    <n v="1573800"/>
    <n v="393750"/>
    <s v="Feb"/>
    <n v="2"/>
    <n v="2026"/>
    <s v="Weekday"/>
    <n v="0.32051282051282054"/>
    <n v="0.43913043478260871"/>
    <n v="0.10869565217391304"/>
    <n v="15750"/>
    <s v="Ruhr Auto Plaza"/>
  </r>
  <r>
    <s v="CUST_472"/>
    <x v="2"/>
    <x v="2"/>
    <s v="Monday"/>
    <s v="No"/>
    <x v="3"/>
    <x v="3"/>
    <s v="Saxony"/>
    <x v="4"/>
    <s v="T-Roc"/>
    <s v="Petrol"/>
    <x v="0"/>
    <s v="36-50"/>
    <s v="High"/>
    <x v="1"/>
    <x v="1"/>
    <s v="Sales_16"/>
    <n v="511"/>
    <n v="295"/>
    <n v="204"/>
    <n v="45"/>
    <s v="15.25"/>
    <n v="33897"/>
    <s v="6.5"/>
    <n v="29338"/>
    <n v="1525365"/>
    <n v="205155"/>
    <s v="Feb"/>
    <n v="2"/>
    <n v="2026"/>
    <s v="Weekday"/>
    <n v="0.22058823529411764"/>
    <n v="0.5772994129158513"/>
    <n v="8.8062622309197647E-2"/>
    <n v="4559"/>
    <s v="Saxon Wheels"/>
  </r>
  <r>
    <s v="CUST_473"/>
    <x v="13"/>
    <x v="0"/>
    <s v="Friday"/>
    <s v="No"/>
    <x v="4"/>
    <x v="4"/>
    <s v="Berlin"/>
    <x v="3"/>
    <s v="EQE"/>
    <s v="Electric"/>
    <x v="1"/>
    <s v="36-50"/>
    <s v="High"/>
    <x v="1"/>
    <x v="0"/>
    <s v="Sales_13"/>
    <n v="285"/>
    <n v="146"/>
    <n v="100"/>
    <n v="36"/>
    <s v="24.66"/>
    <n v="56808"/>
    <s v="5.69"/>
    <n v="44506"/>
    <n v="2045088"/>
    <n v="442872"/>
    <s v="Feb"/>
    <n v="2"/>
    <n v="2026"/>
    <s v="Weekday"/>
    <n v="0.36"/>
    <n v="0.512280701754386"/>
    <n v="0.12631578947368421"/>
    <n v="12302"/>
    <s v="Autohaus Berlin"/>
  </r>
  <r>
    <s v="CUST_474"/>
    <x v="25"/>
    <x v="3"/>
    <s v="Friday"/>
    <s v="No"/>
    <x v="2"/>
    <x v="2"/>
    <s v="Lower Saxony"/>
    <x v="1"/>
    <s v="Crossland"/>
    <s v="Petrol"/>
    <x v="0"/>
    <s v="26-35"/>
    <s v="Medium"/>
    <x v="0"/>
    <x v="0"/>
    <s v="Sales_18"/>
    <n v="356"/>
    <n v="169"/>
    <n v="95"/>
    <n v="26"/>
    <s v="15.38"/>
    <n v="20594"/>
    <s v="12.38"/>
    <n v="18639"/>
    <n v="535444"/>
    <n v="50830"/>
    <s v="Feb"/>
    <n v="2"/>
    <n v="2026"/>
    <s v="Weekday"/>
    <n v="0.27368421052631581"/>
    <n v="0.4747191011235955"/>
    <n v="7.3033707865168537E-2"/>
    <n v="1955"/>
    <s v="Hannover Cars"/>
  </r>
  <r>
    <s v="CUST_475"/>
    <x v="6"/>
    <x v="2"/>
    <s v="Saturday"/>
    <s v="Yes"/>
    <x v="8"/>
    <x v="8"/>
    <s v="Baden-WÃ¼rttemberg"/>
    <x v="4"/>
    <s v="T-Roc"/>
    <s v="Diesel"/>
    <x v="0"/>
    <s v="50+"/>
    <s v="Medium"/>
    <x v="1"/>
    <x v="0"/>
    <s v="Sales_18"/>
    <n v="308"/>
    <n v="145"/>
    <n v="102"/>
    <n v="23"/>
    <s v="15.86"/>
    <n v="31086"/>
    <s v="10.84"/>
    <n v="28097"/>
    <n v="714978"/>
    <n v="68747"/>
    <s v="Feb"/>
    <n v="2"/>
    <n v="2026"/>
    <s v="Weekend"/>
    <n v="0.22549019607843138"/>
    <n v="0.4707792207792208"/>
    <n v="7.4675324675324672E-2"/>
    <n v="2989"/>
    <s v="Stuttgart Auto Center"/>
  </r>
  <r>
    <s v="CUST_476"/>
    <x v="16"/>
    <x v="1"/>
    <s v="Tuesday"/>
    <s v="No"/>
    <x v="3"/>
    <x v="3"/>
    <s v="Saxony"/>
    <x v="1"/>
    <s v="Corsa"/>
    <s v="Hybrid"/>
    <x v="2"/>
    <s v="36-50"/>
    <s v="Low"/>
    <x v="1"/>
    <x v="0"/>
    <s v="Sales_13"/>
    <n v="252"/>
    <n v="123"/>
    <n v="79"/>
    <n v="14"/>
    <s v="11.38"/>
    <n v="22897"/>
    <s v="13.86"/>
    <n v="20686"/>
    <n v="320558"/>
    <n v="30954"/>
    <s v="Feb"/>
    <n v="2"/>
    <n v="2026"/>
    <s v="Weekday"/>
    <n v="0.17721518987341772"/>
    <n v="0.48809523809523808"/>
    <n v="5.5555555555555552E-2"/>
    <n v="2211"/>
    <s v="Saxon Wheels"/>
  </r>
  <r>
    <s v="CUST_477"/>
    <x v="23"/>
    <x v="2"/>
    <s v="Tuesday"/>
    <s v="No"/>
    <x v="3"/>
    <x v="3"/>
    <s v="Saxony"/>
    <x v="1"/>
    <s v="Corsa"/>
    <s v="Electric"/>
    <x v="2"/>
    <s v="50+"/>
    <s v="Medium"/>
    <x v="0"/>
    <x v="1"/>
    <s v="Sales_7"/>
    <n v="278"/>
    <n v="131"/>
    <n v="79"/>
    <n v="19"/>
    <s v="14.5"/>
    <n v="19407"/>
    <s v="13.38"/>
    <n v="17558"/>
    <n v="368733"/>
    <n v="35131"/>
    <s v="Feb"/>
    <n v="2"/>
    <n v="2026"/>
    <s v="Weekday"/>
    <n v="0.24050632911392406"/>
    <n v="0.47122302158273383"/>
    <n v="6.83453237410072E-2"/>
    <n v="1849"/>
    <s v="Saxon Wheels"/>
  </r>
  <r>
    <s v="CUST_478"/>
    <x v="11"/>
    <x v="0"/>
    <s v="Wednesday"/>
    <s v="No"/>
    <x v="1"/>
    <x v="1"/>
    <s v="NRW"/>
    <x v="3"/>
    <s v="C-Class"/>
    <s v="Hybrid"/>
    <x v="1"/>
    <s v="50+"/>
    <s v="High"/>
    <x v="1"/>
    <x v="2"/>
    <s v="Sales_2"/>
    <n v="270"/>
    <n v="159"/>
    <n v="120"/>
    <n v="40"/>
    <s v="25.16"/>
    <n v="62847"/>
    <s v="2.49"/>
    <n v="48416"/>
    <n v="2513880"/>
    <n v="577240"/>
    <s v="Feb"/>
    <n v="2"/>
    <n v="2026"/>
    <s v="Weekday"/>
    <n v="0.33333333333333331"/>
    <n v="0.58888888888888891"/>
    <n v="0.14814814814814814"/>
    <n v="14431"/>
    <s v="Rhein Auto Group"/>
  </r>
  <r>
    <s v="CUST_479"/>
    <x v="2"/>
    <x v="2"/>
    <s v="Monday"/>
    <s v="No"/>
    <x v="1"/>
    <x v="1"/>
    <s v="NRW"/>
    <x v="3"/>
    <s v="C-Class"/>
    <s v="Petrol"/>
    <x v="1"/>
    <s v="50+"/>
    <s v="Low"/>
    <x v="1"/>
    <x v="2"/>
    <s v="Sales_13"/>
    <n v="164"/>
    <n v="95"/>
    <n v="71"/>
    <n v="27"/>
    <s v="28.42"/>
    <n v="65969"/>
    <s v="2.7"/>
    <n v="49586"/>
    <n v="1781163"/>
    <n v="442341"/>
    <s v="Feb"/>
    <n v="2"/>
    <n v="2026"/>
    <s v="Weekday"/>
    <n v="0.38028169014084506"/>
    <n v="0.57926829268292679"/>
    <n v="0.16463414634146342"/>
    <n v="16383"/>
    <s v="Rhein Auto Group"/>
  </r>
  <r>
    <s v="CUST_480"/>
    <x v="7"/>
    <x v="3"/>
    <s v="Monday"/>
    <s v="No"/>
    <x v="9"/>
    <x v="9"/>
    <s v="NRW"/>
    <x v="0"/>
    <s v="i4"/>
    <s v="Petrol"/>
    <x v="1"/>
    <s v="50+"/>
    <s v="Medium"/>
    <x v="0"/>
    <x v="1"/>
    <s v="Sales_19"/>
    <n v="251"/>
    <n v="154"/>
    <n v="106"/>
    <n v="43"/>
    <s v="27.92"/>
    <n v="68824"/>
    <s v="3.91"/>
    <n v="52062"/>
    <n v="2959432"/>
    <n v="720766"/>
    <s v="Feb"/>
    <n v="2"/>
    <n v="2026"/>
    <s v="Weekday"/>
    <n v="0.40566037735849059"/>
    <n v="0.61354581673306774"/>
    <n v="0.17131474103585656"/>
    <n v="16762"/>
    <s v="Ruhr Auto Plaza"/>
  </r>
  <r>
    <s v="CUST_481"/>
    <x v="13"/>
    <x v="0"/>
    <s v="Friday"/>
    <s v="No"/>
    <x v="9"/>
    <x v="9"/>
    <s v="NRW"/>
    <x v="4"/>
    <s v="T-Roc"/>
    <s v="Hybrid"/>
    <x v="0"/>
    <s v="26-35"/>
    <s v="Medium"/>
    <x v="0"/>
    <x v="3"/>
    <s v="Sales_4"/>
    <n v="276"/>
    <n v="148"/>
    <n v="94"/>
    <n v="18"/>
    <s v="12.16"/>
    <n v="34236"/>
    <s v="9.49"/>
    <n v="31122"/>
    <n v="616248"/>
    <n v="56052"/>
    <s v="Feb"/>
    <n v="2"/>
    <n v="2026"/>
    <s v="Weekday"/>
    <n v="0.19148936170212766"/>
    <n v="0.53623188405797106"/>
    <n v="6.5217391304347824E-2"/>
    <n v="3114"/>
    <s v="Ruhr Auto Plaza"/>
  </r>
  <r>
    <s v="CUST_482"/>
    <x v="5"/>
    <x v="3"/>
    <s v="Saturday"/>
    <s v="Yes"/>
    <x v="8"/>
    <x v="8"/>
    <s v="Baden-WÃ¼rttemberg"/>
    <x v="1"/>
    <s v="Grandland"/>
    <s v="Hybrid"/>
    <x v="0"/>
    <s v="18-25"/>
    <s v="Low"/>
    <x v="0"/>
    <x v="1"/>
    <s v="Sales_18"/>
    <n v="399"/>
    <n v="215"/>
    <n v="120"/>
    <n v="35"/>
    <s v="16.28"/>
    <n v="25528"/>
    <s v="8.28"/>
    <n v="23330"/>
    <n v="893480"/>
    <n v="76930"/>
    <s v="Feb"/>
    <n v="2"/>
    <n v="2026"/>
    <s v="Weekend"/>
    <n v="0.29166666666666669"/>
    <n v="0.53884711779448624"/>
    <n v="8.771929824561403E-2"/>
    <n v="2198"/>
    <s v="Stuttgart Auto Center"/>
  </r>
  <r>
    <s v="CUST_483"/>
    <x v="21"/>
    <x v="0"/>
    <s v="Tuesday"/>
    <s v="No"/>
    <x v="8"/>
    <x v="8"/>
    <s v="Baden-WÃ¼rttemberg"/>
    <x v="2"/>
    <s v="Q5"/>
    <s v="Petrol"/>
    <x v="0"/>
    <s v="18-25"/>
    <s v="High"/>
    <x v="0"/>
    <x v="1"/>
    <s v="Sales_12"/>
    <n v="211"/>
    <n v="104"/>
    <n v="67"/>
    <n v="24"/>
    <s v="23.08"/>
    <n v="43738"/>
    <s v="6.07"/>
    <n v="32917"/>
    <n v="1049712"/>
    <n v="259704"/>
    <s v="Feb"/>
    <n v="2"/>
    <n v="2026"/>
    <s v="Weekday"/>
    <n v="0.35820895522388058"/>
    <n v="0.49289099526066349"/>
    <n v="0.11374407582938388"/>
    <n v="10821"/>
    <s v="Stuttgart Auto Center"/>
  </r>
  <r>
    <s v="CUST_484"/>
    <x v="10"/>
    <x v="1"/>
    <s v="Monday"/>
    <s v="No"/>
    <x v="6"/>
    <x v="6"/>
    <s v="Saxony"/>
    <x v="4"/>
    <s v="Golf"/>
    <s v="Hybrid"/>
    <x v="2"/>
    <s v="18-25"/>
    <s v="High"/>
    <x v="0"/>
    <x v="0"/>
    <s v="Sales_18"/>
    <n v="438"/>
    <n v="240"/>
    <n v="148"/>
    <n v="38"/>
    <s v="15.83"/>
    <n v="30931"/>
    <s v="8.67"/>
    <n v="27383"/>
    <n v="1175378"/>
    <n v="134824"/>
    <s v="Feb"/>
    <n v="2"/>
    <n v="2026"/>
    <s v="Weekday"/>
    <n v="0.25675675675675674"/>
    <n v="0.54794520547945202"/>
    <n v="8.6757990867579904E-2"/>
    <n v="3548"/>
    <s v="Leipzig Mobility"/>
  </r>
  <r>
    <s v="CUST_485"/>
    <x v="6"/>
    <x v="2"/>
    <s v="Saturday"/>
    <s v="Yes"/>
    <x v="6"/>
    <x v="6"/>
    <s v="Saxony"/>
    <x v="0"/>
    <s v="3 Series"/>
    <s v="Electric"/>
    <x v="1"/>
    <s v="50+"/>
    <s v="Low"/>
    <x v="0"/>
    <x v="0"/>
    <s v="Sales_5"/>
    <n v="249"/>
    <n v="132"/>
    <n v="99"/>
    <n v="32"/>
    <s v="24.24"/>
    <n v="63748"/>
    <s v="3.67"/>
    <n v="48728"/>
    <n v="2039936"/>
    <n v="480640"/>
    <s v="Feb"/>
    <n v="2"/>
    <n v="2026"/>
    <s v="Weekend"/>
    <n v="0.32323232323232326"/>
    <n v="0.53012048192771088"/>
    <n v="0.12851405622489959"/>
    <n v="15020"/>
    <s v="Leipzig Mobility"/>
  </r>
  <r>
    <s v="CUST_486"/>
    <x v="11"/>
    <x v="0"/>
    <s v="Wednesday"/>
    <s v="No"/>
    <x v="4"/>
    <x v="4"/>
    <s v="Berlin"/>
    <x v="2"/>
    <s v="Q5"/>
    <s v="Diesel"/>
    <x v="0"/>
    <s v="26-35"/>
    <s v="Low"/>
    <x v="0"/>
    <x v="2"/>
    <s v="Sales_12"/>
    <n v="244"/>
    <n v="117"/>
    <n v="87"/>
    <n v="34"/>
    <s v="29.06"/>
    <n v="49548"/>
    <s v="5.35"/>
    <n v="38263"/>
    <n v="1684632"/>
    <n v="383690"/>
    <s v="Feb"/>
    <n v="2"/>
    <n v="2026"/>
    <s v="Weekday"/>
    <n v="0.39080459770114945"/>
    <n v="0.47950819672131145"/>
    <n v="0.13934426229508196"/>
    <n v="11285"/>
    <s v="Autohaus Berlin"/>
  </r>
  <r>
    <s v="CUST_487"/>
    <x v="1"/>
    <x v="1"/>
    <s v="Wednesday"/>
    <s v="No"/>
    <x v="6"/>
    <x v="6"/>
    <s v="Saxony"/>
    <x v="0"/>
    <s v="5 Series"/>
    <s v="Electric"/>
    <x v="1"/>
    <s v="26-35"/>
    <s v="High"/>
    <x v="0"/>
    <x v="0"/>
    <s v="Sales_11"/>
    <n v="172"/>
    <n v="88"/>
    <n v="71"/>
    <n v="24"/>
    <s v="27.27"/>
    <n v="52153"/>
    <s v="3.25"/>
    <n v="37888"/>
    <n v="1251672"/>
    <n v="342360"/>
    <s v="Feb"/>
    <n v="2"/>
    <n v="2026"/>
    <s v="Weekday"/>
    <n v="0.3380281690140845"/>
    <n v="0.51162790697674421"/>
    <n v="0.13953488372093023"/>
    <n v="14265"/>
    <s v="Leipzig Mobility"/>
  </r>
  <r>
    <s v="CUST_488"/>
    <x v="4"/>
    <x v="2"/>
    <s v="Wednesday"/>
    <s v="No"/>
    <x v="9"/>
    <x v="9"/>
    <s v="NRW"/>
    <x v="1"/>
    <s v="Crossland"/>
    <s v="Hybrid"/>
    <x v="0"/>
    <s v="36-50"/>
    <s v="Medium"/>
    <x v="0"/>
    <x v="2"/>
    <s v="Sales_5"/>
    <n v="253"/>
    <n v="137"/>
    <n v="90"/>
    <n v="25"/>
    <s v="18.25"/>
    <n v="23606"/>
    <s v="9.21"/>
    <n v="21495"/>
    <n v="590150"/>
    <n v="52775"/>
    <s v="Feb"/>
    <n v="2"/>
    <n v="2026"/>
    <s v="Weekday"/>
    <n v="0.27777777777777779"/>
    <n v="0.54150197628458496"/>
    <n v="9.8814229249011856E-2"/>
    <n v="2111"/>
    <s v="Ruhr Auto Plaza"/>
  </r>
  <r>
    <s v="CUST_489"/>
    <x v="21"/>
    <x v="0"/>
    <s v="Tuesday"/>
    <s v="No"/>
    <x v="7"/>
    <x v="7"/>
    <s v="Bavaria"/>
    <x v="3"/>
    <s v="C-Class"/>
    <s v="Electric"/>
    <x v="1"/>
    <s v="50+"/>
    <s v="High"/>
    <x v="1"/>
    <x v="0"/>
    <s v="Sales_9"/>
    <n v="161"/>
    <n v="88"/>
    <n v="66"/>
    <n v="21"/>
    <s v="23.86"/>
    <n v="53429"/>
    <s v="5.44"/>
    <n v="38775"/>
    <n v="1122009"/>
    <n v="307734"/>
    <s v="Feb"/>
    <n v="2"/>
    <n v="2026"/>
    <s v="Weekday"/>
    <n v="0.31818181818181818"/>
    <n v="0.54658385093167705"/>
    <n v="0.13043478260869565"/>
    <n v="14654"/>
    <s v="Bavaria Motors"/>
  </r>
  <r>
    <s v="CUST_490"/>
    <x v="7"/>
    <x v="3"/>
    <s v="Monday"/>
    <s v="No"/>
    <x v="4"/>
    <x v="4"/>
    <s v="Berlin"/>
    <x v="0"/>
    <s v="X3"/>
    <s v="Petrol"/>
    <x v="0"/>
    <s v="36-50"/>
    <s v="Medium"/>
    <x v="0"/>
    <x v="0"/>
    <s v="Sales_13"/>
    <n v="178"/>
    <n v="84"/>
    <n v="57"/>
    <n v="23"/>
    <s v="27.38"/>
    <n v="52913"/>
    <s v="4.9"/>
    <n v="37801"/>
    <n v="1216999"/>
    <n v="347576"/>
    <s v="Feb"/>
    <n v="2"/>
    <n v="2026"/>
    <s v="Weekday"/>
    <n v="0.40350877192982454"/>
    <n v="0.47191011235955055"/>
    <n v="0.12921348314606743"/>
    <n v="15112"/>
    <s v="Autohaus Berlin"/>
  </r>
  <r>
    <s v="CUST_491"/>
    <x v="25"/>
    <x v="3"/>
    <s v="Friday"/>
    <s v="No"/>
    <x v="9"/>
    <x v="9"/>
    <s v="NRW"/>
    <x v="2"/>
    <s v="e-tron"/>
    <s v="Diesel"/>
    <x v="0"/>
    <s v="18-25"/>
    <s v="High"/>
    <x v="1"/>
    <x v="3"/>
    <s v="Sales_18"/>
    <n v="224"/>
    <n v="136"/>
    <n v="87"/>
    <n v="29"/>
    <s v="21.32"/>
    <n v="42572"/>
    <s v="5.86"/>
    <n v="32193"/>
    <n v="1234588"/>
    <n v="300991"/>
    <s v="Feb"/>
    <n v="2"/>
    <n v="2026"/>
    <s v="Weekday"/>
    <n v="0.33333333333333331"/>
    <n v="0.6071428571428571"/>
    <n v="0.12946428571428573"/>
    <n v="10379"/>
    <s v="Ruhr Auto Plaza"/>
  </r>
  <r>
    <s v="CUST_492"/>
    <x v="15"/>
    <x v="2"/>
    <s v="Thursday"/>
    <s v="No"/>
    <x v="5"/>
    <x v="5"/>
    <s v="Hamburg"/>
    <x v="2"/>
    <s v="Q5"/>
    <s v="Diesel"/>
    <x v="0"/>
    <s v="50+"/>
    <s v="High"/>
    <x v="0"/>
    <x v="3"/>
    <s v="Sales_15"/>
    <n v="220"/>
    <n v="103"/>
    <n v="71"/>
    <n v="21"/>
    <s v="20.39"/>
    <n v="55438"/>
    <s v="3.94"/>
    <n v="45084"/>
    <n v="1164198"/>
    <n v="217434"/>
    <s v="Feb"/>
    <n v="2"/>
    <n v="2026"/>
    <s v="Weekday"/>
    <n v="0.29577464788732394"/>
    <n v="0.4681818181818182"/>
    <n v="9.5454545454545459E-2"/>
    <n v="10354"/>
    <s v="Elbe Drive"/>
  </r>
  <r>
    <s v="CUST_493"/>
    <x v="27"/>
    <x v="3"/>
    <s v="Sunday"/>
    <s v="Yes"/>
    <x v="7"/>
    <x v="7"/>
    <s v="Bavaria"/>
    <x v="0"/>
    <s v="X5"/>
    <s v="Diesel"/>
    <x v="0"/>
    <s v="18-25"/>
    <s v="Medium"/>
    <x v="1"/>
    <x v="2"/>
    <s v="Sales_13"/>
    <n v="276"/>
    <n v="144"/>
    <n v="107"/>
    <n v="47"/>
    <s v="32.64"/>
    <n v="55080"/>
    <s v="4.9"/>
    <n v="42279"/>
    <n v="2588760"/>
    <n v="601647"/>
    <s v="Feb"/>
    <n v="2"/>
    <n v="2026"/>
    <s v="Weekend"/>
    <n v="0.43925233644859812"/>
    <n v="0.52173913043478259"/>
    <n v="0.17028985507246377"/>
    <n v="12801"/>
    <s v="Bavaria Motors"/>
  </r>
  <r>
    <s v="CUST_494"/>
    <x v="22"/>
    <x v="3"/>
    <s v="Tuesday"/>
    <s v="No"/>
    <x v="3"/>
    <x v="3"/>
    <s v="Saxony"/>
    <x v="2"/>
    <s v="A3"/>
    <s v="Electric"/>
    <x v="2"/>
    <s v="26-35"/>
    <s v="High"/>
    <x v="0"/>
    <x v="3"/>
    <s v="Sales_6"/>
    <n v="219"/>
    <n v="136"/>
    <n v="89"/>
    <n v="26"/>
    <s v="19.12"/>
    <n v="45027"/>
    <s v="6.6"/>
    <n v="33953"/>
    <n v="1170702"/>
    <n v="287924"/>
    <s v="Feb"/>
    <n v="2"/>
    <n v="2026"/>
    <s v="Weekday"/>
    <n v="0.29213483146067415"/>
    <n v="0.62100456621004563"/>
    <n v="0.11872146118721461"/>
    <n v="11074"/>
    <s v="Saxon Wheels"/>
  </r>
  <r>
    <s v="CUST_495"/>
    <x v="11"/>
    <x v="0"/>
    <s v="Wednesday"/>
    <s v="No"/>
    <x v="0"/>
    <x v="0"/>
    <s v="Hesse"/>
    <x v="1"/>
    <s v="Grandland"/>
    <s v="Electric"/>
    <x v="0"/>
    <s v="36-50"/>
    <s v="Low"/>
    <x v="0"/>
    <x v="2"/>
    <s v="Sales_19"/>
    <n v="259"/>
    <n v="117"/>
    <n v="77"/>
    <n v="23"/>
    <s v="19.66"/>
    <n v="20609"/>
    <s v="12.08"/>
    <n v="19119"/>
    <n v="474007"/>
    <n v="34270"/>
    <s v="Feb"/>
    <n v="2"/>
    <n v="2026"/>
    <s v="Weekday"/>
    <n v="0.29870129870129869"/>
    <n v="0.45173745173745172"/>
    <n v="8.8803088803088806E-2"/>
    <n v="1490"/>
    <s v="Main Auto Hub"/>
  </r>
  <r>
    <s v="CUST_496"/>
    <x v="12"/>
    <x v="3"/>
    <s v="Thursday"/>
    <s v="No"/>
    <x v="4"/>
    <x v="4"/>
    <s v="Berlin"/>
    <x v="1"/>
    <s v="Mokka"/>
    <s v="Hybrid"/>
    <x v="0"/>
    <s v="50+"/>
    <s v="High"/>
    <x v="0"/>
    <x v="2"/>
    <s v="Sales_1"/>
    <n v="281"/>
    <n v="155"/>
    <n v="102"/>
    <n v="33"/>
    <s v="21.29"/>
    <n v="20332"/>
    <s v="11.69"/>
    <n v="18717"/>
    <n v="670956"/>
    <n v="53295"/>
    <s v="Feb"/>
    <n v="2"/>
    <n v="2026"/>
    <s v="Weekday"/>
    <n v="0.3235294117647059"/>
    <n v="0.55160142348754448"/>
    <n v="0.11743772241992882"/>
    <n v="1615"/>
    <s v="Autohaus Berlin"/>
  </r>
  <r>
    <s v="CUST_497"/>
    <x v="26"/>
    <x v="1"/>
    <s v="Friday"/>
    <s v="No"/>
    <x v="4"/>
    <x v="4"/>
    <s v="Berlin"/>
    <x v="2"/>
    <s v="A3"/>
    <s v="Hybrid"/>
    <x v="2"/>
    <s v="18-25"/>
    <s v="High"/>
    <x v="0"/>
    <x v="1"/>
    <s v="Sales_14"/>
    <n v="173"/>
    <n v="104"/>
    <n v="78"/>
    <n v="25"/>
    <s v="24.04"/>
    <n v="42084"/>
    <s v="4.85"/>
    <n v="32127"/>
    <n v="1052100"/>
    <n v="248925"/>
    <s v="Feb"/>
    <n v="2"/>
    <n v="2026"/>
    <s v="Weekday"/>
    <n v="0.32051282051282054"/>
    <n v="0.60115606936416188"/>
    <n v="0.14450867052023122"/>
    <n v="9957"/>
    <s v="Autohaus Berlin"/>
  </r>
  <r>
    <s v="CUST_498"/>
    <x v="13"/>
    <x v="0"/>
    <s v="Friday"/>
    <s v="No"/>
    <x v="9"/>
    <x v="9"/>
    <s v="NRW"/>
    <x v="4"/>
    <s v="Golf"/>
    <s v="Electric"/>
    <x v="2"/>
    <s v="18-25"/>
    <s v="Low"/>
    <x v="1"/>
    <x v="0"/>
    <s v="Sales_10"/>
    <n v="279"/>
    <n v="119"/>
    <n v="84"/>
    <n v="14"/>
    <s v="11.76"/>
    <n v="26325"/>
    <s v="10.54"/>
    <n v="23332"/>
    <n v="368550"/>
    <n v="41902"/>
    <s v="Feb"/>
    <n v="2"/>
    <n v="2026"/>
    <s v="Weekday"/>
    <n v="0.16666666666666666"/>
    <n v="0.4265232974910394"/>
    <n v="5.0179211469534052E-2"/>
    <n v="2993"/>
    <s v="Ruhr Auto Plaza"/>
  </r>
  <r>
    <s v="CUST_499"/>
    <x v="8"/>
    <x v="3"/>
    <s v="Wednesday"/>
    <s v="No"/>
    <x v="9"/>
    <x v="9"/>
    <s v="NRW"/>
    <x v="0"/>
    <s v="X3"/>
    <s v="Petrol"/>
    <x v="0"/>
    <s v="50+"/>
    <s v="High"/>
    <x v="0"/>
    <x v="0"/>
    <s v="Sales_11"/>
    <n v="199"/>
    <n v="97"/>
    <n v="69"/>
    <n v="24"/>
    <s v="24.74"/>
    <n v="55860"/>
    <s v="2.05"/>
    <n v="42904"/>
    <n v="1340640"/>
    <n v="310944"/>
    <s v="Feb"/>
    <n v="2"/>
    <n v="2026"/>
    <s v="Weekday"/>
    <n v="0.34782608695652173"/>
    <n v="0.48743718592964824"/>
    <n v="0.12060301507537688"/>
    <n v="12956"/>
    <s v="Ruhr Auto Plaza"/>
  </r>
  <r>
    <s v="CUST_500"/>
    <x v="17"/>
    <x v="2"/>
    <s v="Sunday"/>
    <s v="Yes"/>
    <x v="6"/>
    <x v="6"/>
    <s v="Saxony"/>
    <x v="0"/>
    <s v="5 Series"/>
    <s v="Electric"/>
    <x v="1"/>
    <s v="18-25"/>
    <s v="Medium"/>
    <x v="0"/>
    <x v="1"/>
    <s v="Sales_4"/>
    <n v="228"/>
    <n v="129"/>
    <n v="88"/>
    <n v="37"/>
    <s v="28.68"/>
    <n v="65268"/>
    <s v="5.28"/>
    <n v="49492"/>
    <n v="2414916"/>
    <n v="583712"/>
    <s v="Feb"/>
    <n v="2"/>
    <n v="2026"/>
    <s v="Weekend"/>
    <n v="0.42045454545454547"/>
    <n v="0.56578947368421051"/>
    <n v="0.16228070175438597"/>
    <n v="15776"/>
    <s v="Leipzig Mobility"/>
  </r>
  <r>
    <s v="CUST_501"/>
    <x v="10"/>
    <x v="1"/>
    <s v="Monday"/>
    <s v="No"/>
    <x v="0"/>
    <x v="0"/>
    <s v="Hesse"/>
    <x v="3"/>
    <s v="GLC"/>
    <s v="Electric"/>
    <x v="0"/>
    <s v="36-50"/>
    <s v="Medium"/>
    <x v="1"/>
    <x v="0"/>
    <s v="Sales_15"/>
    <n v="218"/>
    <n v="98"/>
    <n v="70"/>
    <n v="20"/>
    <s v="20.41"/>
    <n v="59980"/>
    <s v="2.46"/>
    <n v="45831"/>
    <n v="1199600"/>
    <n v="282980"/>
    <s v="Feb"/>
    <n v="2"/>
    <n v="2026"/>
    <s v="Weekday"/>
    <n v="0.2857142857142857"/>
    <n v="0.44954128440366975"/>
    <n v="9.1743119266055051E-2"/>
    <n v="14149"/>
    <s v="Main Auto Hub"/>
  </r>
  <r>
    <s v="CUST_502"/>
    <x v="14"/>
    <x v="2"/>
    <s v="Friday"/>
    <s v="No"/>
    <x v="2"/>
    <x v="2"/>
    <s v="Lower Saxony"/>
    <x v="2"/>
    <s v="e-tron"/>
    <s v="Electric"/>
    <x v="0"/>
    <s v="26-35"/>
    <s v="Low"/>
    <x v="0"/>
    <x v="3"/>
    <s v="Sales_13"/>
    <n v="282"/>
    <n v="130"/>
    <n v="85"/>
    <n v="31"/>
    <s v="23.85"/>
    <n v="47717"/>
    <s v="5.45"/>
    <n v="36231"/>
    <n v="1479227"/>
    <n v="356066"/>
    <s v="Feb"/>
    <n v="2"/>
    <n v="2026"/>
    <s v="Weekday"/>
    <n v="0.36470588235294116"/>
    <n v="0.46099290780141844"/>
    <n v="0.1099290780141844"/>
    <n v="11486"/>
    <s v="Hannover Cars"/>
  </r>
  <r>
    <s v="CUST_503"/>
    <x v="8"/>
    <x v="3"/>
    <s v="Wednesday"/>
    <s v="No"/>
    <x v="0"/>
    <x v="0"/>
    <s v="Hesse"/>
    <x v="1"/>
    <s v="Grandland"/>
    <s v="Diesel"/>
    <x v="0"/>
    <s v="36-50"/>
    <s v="Medium"/>
    <x v="0"/>
    <x v="0"/>
    <s v="Sales_4"/>
    <n v="329"/>
    <n v="150"/>
    <n v="88"/>
    <n v="22"/>
    <s v="14.67"/>
    <n v="20487"/>
    <s v="12.6"/>
    <n v="19042"/>
    <n v="450714"/>
    <n v="31790"/>
    <s v="Feb"/>
    <n v="2"/>
    <n v="2026"/>
    <s v="Weekday"/>
    <n v="0.25"/>
    <n v="0.45592705167173253"/>
    <n v="6.6869300911854099E-2"/>
    <n v="1445"/>
    <s v="Main Auto Hub"/>
  </r>
  <r>
    <s v="CUST_504"/>
    <x v="15"/>
    <x v="2"/>
    <s v="Thursday"/>
    <s v="No"/>
    <x v="3"/>
    <x v="3"/>
    <s v="Saxony"/>
    <x v="2"/>
    <s v="A3"/>
    <s v="Hybrid"/>
    <x v="2"/>
    <s v="50+"/>
    <s v="Low"/>
    <x v="0"/>
    <x v="1"/>
    <s v="Sales_13"/>
    <n v="184"/>
    <n v="116"/>
    <n v="89"/>
    <n v="26"/>
    <s v="22.41"/>
    <n v="42677"/>
    <s v="5.72"/>
    <n v="34329"/>
    <n v="1109602"/>
    <n v="217048"/>
    <s v="Feb"/>
    <n v="2"/>
    <n v="2026"/>
    <s v="Weekday"/>
    <n v="0.29213483146067415"/>
    <n v="0.63043478260869568"/>
    <n v="0.14130434782608695"/>
    <n v="8348"/>
    <s v="Saxon Wheels"/>
  </r>
  <r>
    <s v="CUST_505"/>
    <x v="13"/>
    <x v="0"/>
    <s v="Friday"/>
    <s v="No"/>
    <x v="2"/>
    <x v="2"/>
    <s v="Lower Saxony"/>
    <x v="0"/>
    <s v="X3"/>
    <s v="Electric"/>
    <x v="0"/>
    <s v="18-25"/>
    <s v="Low"/>
    <x v="1"/>
    <x v="2"/>
    <s v="Sales_4"/>
    <n v="240"/>
    <n v="108"/>
    <n v="79"/>
    <n v="30"/>
    <s v="27.78"/>
    <n v="69157"/>
    <s v="3.91"/>
    <n v="51970"/>
    <n v="2074710"/>
    <n v="515610"/>
    <s v="Feb"/>
    <n v="2"/>
    <n v="2026"/>
    <s v="Weekday"/>
    <n v="0.379746835443038"/>
    <n v="0.45"/>
    <n v="0.125"/>
    <n v="17187"/>
    <s v="Hannover Cars"/>
  </r>
  <r>
    <s v="CUST_506"/>
    <x v="17"/>
    <x v="2"/>
    <s v="Sunday"/>
    <s v="Yes"/>
    <x v="9"/>
    <x v="9"/>
    <s v="NRW"/>
    <x v="3"/>
    <s v="C-Class"/>
    <s v="Electric"/>
    <x v="1"/>
    <s v="50+"/>
    <s v="High"/>
    <x v="1"/>
    <x v="0"/>
    <s v="Sales_5"/>
    <n v="212"/>
    <n v="105"/>
    <n v="69"/>
    <n v="22"/>
    <s v="20.95"/>
    <n v="63470"/>
    <s v="2.93"/>
    <n v="47728"/>
    <n v="1396340"/>
    <n v="346324"/>
    <s v="Feb"/>
    <n v="2"/>
    <n v="2026"/>
    <s v="Weekend"/>
    <n v="0.3188405797101449"/>
    <n v="0.49528301886792453"/>
    <n v="0.10377358490566038"/>
    <n v="15742"/>
    <s v="Ruhr Auto Plaza"/>
  </r>
  <r>
    <s v="CUST_507"/>
    <x v="16"/>
    <x v="1"/>
    <s v="Tuesday"/>
    <s v="No"/>
    <x v="3"/>
    <x v="3"/>
    <s v="Saxony"/>
    <x v="0"/>
    <s v="i4"/>
    <s v="Petrol"/>
    <x v="1"/>
    <s v="26-35"/>
    <s v="High"/>
    <x v="1"/>
    <x v="0"/>
    <s v="Sales_3"/>
    <n v="269"/>
    <n v="163"/>
    <n v="115"/>
    <n v="42"/>
    <s v="25.77"/>
    <n v="62464"/>
    <s v="2.56"/>
    <n v="44083"/>
    <n v="2623488"/>
    <n v="772002"/>
    <s v="Feb"/>
    <n v="2"/>
    <n v="2026"/>
    <s v="Weekday"/>
    <n v="0.36521739130434783"/>
    <n v="0.60594795539033453"/>
    <n v="0.15613382899628253"/>
    <n v="18381"/>
    <s v="Saxon Wheels"/>
  </r>
  <r>
    <s v="CUST_508"/>
    <x v="21"/>
    <x v="0"/>
    <s v="Tuesday"/>
    <s v="No"/>
    <x v="1"/>
    <x v="1"/>
    <s v="NRW"/>
    <x v="0"/>
    <s v="X3"/>
    <s v="Hybrid"/>
    <x v="0"/>
    <s v="50+"/>
    <s v="Medium"/>
    <x v="0"/>
    <x v="1"/>
    <s v="Sales_16"/>
    <n v="272"/>
    <n v="139"/>
    <n v="111"/>
    <n v="44"/>
    <s v="31.65"/>
    <n v="50630"/>
    <s v="4.46"/>
    <n v="39390"/>
    <n v="2227720"/>
    <n v="494560"/>
    <s v="Feb"/>
    <n v="2"/>
    <n v="2026"/>
    <s v="Weekday"/>
    <n v="0.3963963963963964"/>
    <n v="0.51102941176470584"/>
    <n v="0.16176470588235295"/>
    <n v="11240"/>
    <s v="Rhein Auto Group"/>
  </r>
  <r>
    <s v="CUST_509"/>
    <x v="14"/>
    <x v="2"/>
    <s v="Friday"/>
    <s v="No"/>
    <x v="1"/>
    <x v="1"/>
    <s v="NRW"/>
    <x v="3"/>
    <s v="GLE"/>
    <s v="Hybrid"/>
    <x v="0"/>
    <s v="50+"/>
    <s v="Medium"/>
    <x v="0"/>
    <x v="3"/>
    <s v="Sales_12"/>
    <n v="188"/>
    <n v="104"/>
    <n v="80"/>
    <n v="24"/>
    <s v="23.08"/>
    <n v="53459"/>
    <s v="4.97"/>
    <n v="40126"/>
    <n v="1283016"/>
    <n v="319992"/>
    <s v="Feb"/>
    <n v="2"/>
    <n v="2026"/>
    <s v="Weekday"/>
    <n v="0.3"/>
    <n v="0.55319148936170215"/>
    <n v="0.1276595744680851"/>
    <n v="13333"/>
    <s v="Rhein Auto Group"/>
  </r>
  <r>
    <s v="CUST_510"/>
    <x v="7"/>
    <x v="3"/>
    <s v="Monday"/>
    <s v="No"/>
    <x v="2"/>
    <x v="2"/>
    <s v="Lower Saxony"/>
    <x v="3"/>
    <s v="GLE"/>
    <s v="Electric"/>
    <x v="0"/>
    <s v="26-35"/>
    <s v="High"/>
    <x v="0"/>
    <x v="3"/>
    <s v="Sales_6"/>
    <n v="159"/>
    <n v="94"/>
    <n v="64"/>
    <n v="24"/>
    <s v="25.53"/>
    <n v="49025"/>
    <s v="5.87"/>
    <n v="35728"/>
    <n v="1176600"/>
    <n v="319128"/>
    <s v="Feb"/>
    <n v="2"/>
    <n v="2026"/>
    <s v="Weekday"/>
    <n v="0.375"/>
    <n v="0.5911949685534591"/>
    <n v="0.15094339622641509"/>
    <n v="13297"/>
    <s v="Hannover Cars"/>
  </r>
  <r>
    <s v="CUST_511"/>
    <x v="1"/>
    <x v="1"/>
    <s v="Wednesday"/>
    <s v="No"/>
    <x v="4"/>
    <x v="4"/>
    <s v="Berlin"/>
    <x v="1"/>
    <s v="Mokka"/>
    <s v="Electric"/>
    <x v="0"/>
    <s v="36-50"/>
    <s v="Low"/>
    <x v="1"/>
    <x v="2"/>
    <s v="Sales_13"/>
    <n v="241"/>
    <n v="121"/>
    <n v="69"/>
    <n v="22"/>
    <s v="18.18"/>
    <n v="23404"/>
    <s v="7.46"/>
    <n v="21059"/>
    <n v="514888"/>
    <n v="51590"/>
    <s v="Feb"/>
    <n v="2"/>
    <n v="2026"/>
    <s v="Weekday"/>
    <n v="0.3188405797101449"/>
    <n v="0.50207468879668049"/>
    <n v="9.1286307053941904E-2"/>
    <n v="2345"/>
    <s v="Autohaus Berlin"/>
  </r>
  <r>
    <s v="CUST_512"/>
    <x v="0"/>
    <x v="0"/>
    <s v="Monday"/>
    <s v="No"/>
    <x v="6"/>
    <x v="6"/>
    <s v="Saxony"/>
    <x v="3"/>
    <s v="EQE"/>
    <s v="Diesel"/>
    <x v="1"/>
    <s v="36-50"/>
    <s v="Medium"/>
    <x v="1"/>
    <x v="0"/>
    <s v="Sales_3"/>
    <n v="276"/>
    <n v="164"/>
    <n v="125"/>
    <n v="35"/>
    <s v="21.34"/>
    <n v="54622"/>
    <s v="5.65"/>
    <n v="39113"/>
    <n v="1911770"/>
    <n v="542815"/>
    <s v="Feb"/>
    <n v="2"/>
    <n v="2026"/>
    <s v="Weekday"/>
    <n v="0.28000000000000003"/>
    <n v="0.59420289855072461"/>
    <n v="0.12681159420289856"/>
    <n v="15509"/>
    <s v="Leipzig Mobility"/>
  </r>
  <r>
    <s v="CUST_513"/>
    <x v="9"/>
    <x v="0"/>
    <s v="Sunday"/>
    <s v="Yes"/>
    <x v="2"/>
    <x v="2"/>
    <s v="Lower Saxony"/>
    <x v="1"/>
    <s v="Corsa"/>
    <s v="Petrol"/>
    <x v="2"/>
    <s v="36-50"/>
    <s v="Low"/>
    <x v="1"/>
    <x v="1"/>
    <s v="Sales_15"/>
    <n v="330"/>
    <n v="147"/>
    <n v="95"/>
    <n v="24"/>
    <s v="16.33"/>
    <n v="24741"/>
    <s v="11.31"/>
    <n v="22692"/>
    <n v="593784"/>
    <n v="49176"/>
    <s v="Feb"/>
    <n v="2"/>
    <n v="2026"/>
    <s v="Weekend"/>
    <n v="0.25263157894736843"/>
    <n v="0.44545454545454544"/>
    <n v="7.2727272727272724E-2"/>
    <n v="2049"/>
    <s v="Hannover Cars"/>
  </r>
  <r>
    <s v="CUST_514"/>
    <x v="1"/>
    <x v="1"/>
    <s v="Wednesday"/>
    <s v="No"/>
    <x v="2"/>
    <x v="2"/>
    <s v="Lower Saxony"/>
    <x v="3"/>
    <s v="GLC"/>
    <s v="Diesel"/>
    <x v="0"/>
    <s v="26-35"/>
    <s v="High"/>
    <x v="0"/>
    <x v="0"/>
    <s v="Sales_5"/>
    <n v="252"/>
    <n v="140"/>
    <n v="108"/>
    <n v="30"/>
    <s v="21.43"/>
    <n v="54884"/>
    <s v="4.17"/>
    <n v="41001"/>
    <n v="1646520"/>
    <n v="416490"/>
    <s v="Feb"/>
    <n v="2"/>
    <n v="2026"/>
    <s v="Weekday"/>
    <n v="0.27777777777777779"/>
    <n v="0.55555555555555558"/>
    <n v="0.11904761904761904"/>
    <n v="13883"/>
    <s v="Hannover Cars"/>
  </r>
  <r>
    <s v="CUST_515"/>
    <x v="15"/>
    <x v="2"/>
    <s v="Thursday"/>
    <s v="No"/>
    <x v="4"/>
    <x v="4"/>
    <s v="Berlin"/>
    <x v="4"/>
    <s v="ID.4"/>
    <s v="Hybrid"/>
    <x v="0"/>
    <s v="50+"/>
    <s v="High"/>
    <x v="1"/>
    <x v="3"/>
    <s v="Sales_9"/>
    <n v="460"/>
    <n v="195"/>
    <n v="120"/>
    <n v="30"/>
    <s v="15.38"/>
    <n v="31403"/>
    <s v="9.53"/>
    <n v="28053"/>
    <n v="942090"/>
    <n v="100500"/>
    <s v="Feb"/>
    <n v="2"/>
    <n v="2026"/>
    <s v="Weekday"/>
    <n v="0.25"/>
    <n v="0.42391304347826086"/>
    <n v="6.5217391304347824E-2"/>
    <n v="3350"/>
    <s v="Autohaus Berlin"/>
  </r>
  <r>
    <s v="CUST_516"/>
    <x v="25"/>
    <x v="3"/>
    <s v="Friday"/>
    <s v="No"/>
    <x v="3"/>
    <x v="3"/>
    <s v="Saxony"/>
    <x v="3"/>
    <s v="C-Class"/>
    <s v="Diesel"/>
    <x v="1"/>
    <s v="26-35"/>
    <s v="Low"/>
    <x v="1"/>
    <x v="2"/>
    <s v="Sales_11"/>
    <n v="163"/>
    <n v="91"/>
    <n v="66"/>
    <n v="23"/>
    <s v="25.27"/>
    <n v="63218"/>
    <s v="2.84"/>
    <n v="46382"/>
    <n v="1454014"/>
    <n v="387228"/>
    <s v="Feb"/>
    <n v="2"/>
    <n v="2026"/>
    <s v="Weekday"/>
    <n v="0.34848484848484851"/>
    <n v="0.55828220858895705"/>
    <n v="0.1411042944785276"/>
    <n v="16836"/>
    <s v="Saxon Wheels"/>
  </r>
  <r>
    <s v="CUST_517"/>
    <x v="22"/>
    <x v="3"/>
    <s v="Tuesday"/>
    <s v="No"/>
    <x v="7"/>
    <x v="7"/>
    <s v="Bavaria"/>
    <x v="2"/>
    <s v="A3"/>
    <s v="Diesel"/>
    <x v="2"/>
    <s v="26-35"/>
    <s v="Medium"/>
    <x v="0"/>
    <x v="2"/>
    <s v="Sales_6"/>
    <n v="192"/>
    <n v="89"/>
    <n v="57"/>
    <n v="27"/>
    <s v="30.34"/>
    <n v="44783"/>
    <s v="3.87"/>
    <n v="35538"/>
    <n v="1209141"/>
    <n v="249615"/>
    <s v="Feb"/>
    <n v="2"/>
    <n v="2026"/>
    <s v="Weekday"/>
    <n v="0.47368421052631576"/>
    <n v="0.46354166666666669"/>
    <n v="0.140625"/>
    <n v="9245"/>
    <s v="Bavaria Motors"/>
  </r>
  <r>
    <s v="CUST_518"/>
    <x v="10"/>
    <x v="1"/>
    <s v="Monday"/>
    <s v="No"/>
    <x v="0"/>
    <x v="0"/>
    <s v="Hesse"/>
    <x v="4"/>
    <s v="Tiguan"/>
    <s v="Electric"/>
    <x v="0"/>
    <s v="26-35"/>
    <s v="Low"/>
    <x v="0"/>
    <x v="1"/>
    <s v="Sales_7"/>
    <n v="381"/>
    <n v="220"/>
    <n v="148"/>
    <n v="39"/>
    <s v="17.73"/>
    <n v="33712"/>
    <s v="10.53"/>
    <n v="30544"/>
    <n v="1314768"/>
    <n v="123552"/>
    <s v="Feb"/>
    <n v="2"/>
    <n v="2026"/>
    <s v="Weekday"/>
    <n v="0.26351351351351349"/>
    <n v="0.57742782152230976"/>
    <n v="0.10236220472440945"/>
    <n v="3168"/>
    <s v="Main Auto Hub"/>
  </r>
  <r>
    <s v="CUST_519"/>
    <x v="26"/>
    <x v="1"/>
    <s v="Friday"/>
    <s v="No"/>
    <x v="2"/>
    <x v="2"/>
    <s v="Lower Saxony"/>
    <x v="0"/>
    <s v="3 Series"/>
    <s v="Diesel"/>
    <x v="1"/>
    <s v="50+"/>
    <s v="High"/>
    <x v="1"/>
    <x v="0"/>
    <s v="Sales_5"/>
    <n v="140"/>
    <n v="82"/>
    <n v="66"/>
    <n v="22"/>
    <s v="26.83"/>
    <n v="65373"/>
    <s v="2.28"/>
    <n v="46722"/>
    <n v="1438206"/>
    <n v="410322"/>
    <s v="Feb"/>
    <n v="2"/>
    <n v="2026"/>
    <s v="Weekday"/>
    <n v="0.33333333333333331"/>
    <n v="0.58571428571428574"/>
    <n v="0.15714285714285714"/>
    <n v="18651"/>
    <s v="Hannover Cars"/>
  </r>
  <r>
    <s v="CUST_520"/>
    <x v="12"/>
    <x v="3"/>
    <s v="Thursday"/>
    <s v="No"/>
    <x v="1"/>
    <x v="1"/>
    <s v="NRW"/>
    <x v="3"/>
    <s v="E-Class"/>
    <s v="Diesel"/>
    <x v="1"/>
    <s v="50+"/>
    <s v="Low"/>
    <x v="1"/>
    <x v="3"/>
    <s v="Sales_15"/>
    <n v="187"/>
    <n v="92"/>
    <n v="73"/>
    <n v="21"/>
    <s v="22.83"/>
    <n v="54261"/>
    <s v="3.58"/>
    <n v="42200"/>
    <n v="1139481"/>
    <n v="253281"/>
    <s v="Feb"/>
    <n v="2"/>
    <n v="2026"/>
    <s v="Weekday"/>
    <n v="0.28767123287671231"/>
    <n v="0.49197860962566847"/>
    <n v="0.11229946524064172"/>
    <n v="12061"/>
    <s v="Rhein Auto Group"/>
  </r>
  <r>
    <s v="CUST_521"/>
    <x v="12"/>
    <x v="3"/>
    <s v="Thursday"/>
    <s v="No"/>
    <x v="2"/>
    <x v="2"/>
    <s v="Lower Saxony"/>
    <x v="1"/>
    <s v="Corsa"/>
    <s v="Hybrid"/>
    <x v="2"/>
    <s v="26-35"/>
    <s v="High"/>
    <x v="1"/>
    <x v="2"/>
    <s v="Sales_11"/>
    <n v="237"/>
    <n v="123"/>
    <n v="72"/>
    <n v="20"/>
    <s v="16.26"/>
    <n v="20909"/>
    <s v="12.98"/>
    <n v="19078"/>
    <n v="418180"/>
    <n v="36620"/>
    <s v="Feb"/>
    <n v="2"/>
    <n v="2026"/>
    <s v="Weekday"/>
    <n v="0.27777777777777779"/>
    <n v="0.51898734177215189"/>
    <n v="8.4388185654008435E-2"/>
    <n v="1831"/>
    <s v="Hannover Cars"/>
  </r>
  <r>
    <s v="CUST_522"/>
    <x v="5"/>
    <x v="3"/>
    <s v="Saturday"/>
    <s v="Yes"/>
    <x v="6"/>
    <x v="6"/>
    <s v="Saxony"/>
    <x v="0"/>
    <s v="X5"/>
    <s v="Hybrid"/>
    <x v="0"/>
    <s v="26-35"/>
    <s v="Low"/>
    <x v="1"/>
    <x v="2"/>
    <s v="Sales_12"/>
    <n v="228"/>
    <n v="136"/>
    <n v="110"/>
    <n v="38"/>
    <s v="27.94"/>
    <n v="67035"/>
    <s v="4.51"/>
    <n v="48840"/>
    <n v="2547330"/>
    <n v="691410"/>
    <s v="Feb"/>
    <n v="2"/>
    <n v="2026"/>
    <s v="Weekend"/>
    <n v="0.34545454545454546"/>
    <n v="0.59649122807017541"/>
    <n v="0.16666666666666666"/>
    <n v="18195"/>
    <s v="Leipzig Mobility"/>
  </r>
  <r>
    <s v="CUST_523"/>
    <x v="2"/>
    <x v="2"/>
    <s v="Monday"/>
    <s v="No"/>
    <x v="5"/>
    <x v="5"/>
    <s v="Hamburg"/>
    <x v="0"/>
    <s v="5 Series"/>
    <s v="Petrol"/>
    <x v="1"/>
    <s v="18-25"/>
    <s v="High"/>
    <x v="0"/>
    <x v="3"/>
    <s v="Sales_2"/>
    <n v="259"/>
    <n v="129"/>
    <n v="105"/>
    <n v="34"/>
    <s v="26.36"/>
    <n v="55888"/>
    <s v="3.87"/>
    <n v="40240"/>
    <n v="1900192"/>
    <n v="532032"/>
    <s v="Feb"/>
    <n v="2"/>
    <n v="2026"/>
    <s v="Weekday"/>
    <n v="0.32380952380952382"/>
    <n v="0.49806949806949807"/>
    <n v="0.13127413127413126"/>
    <n v="15648"/>
    <s v="Elbe Drive"/>
  </r>
  <r>
    <s v="CUST_524"/>
    <x v="3"/>
    <x v="1"/>
    <s v="Sunday"/>
    <s v="Yes"/>
    <x v="7"/>
    <x v="7"/>
    <s v="Bavaria"/>
    <x v="0"/>
    <s v="3 Series"/>
    <s v="Hybrid"/>
    <x v="1"/>
    <s v="18-25"/>
    <s v="Medium"/>
    <x v="1"/>
    <x v="0"/>
    <s v="Sales_16"/>
    <n v="237"/>
    <n v="119"/>
    <n v="83"/>
    <n v="33"/>
    <s v="27.73"/>
    <n v="57241"/>
    <s v="4.5"/>
    <n v="40209"/>
    <n v="1888953"/>
    <n v="562056"/>
    <s v="Feb"/>
    <n v="2"/>
    <n v="2026"/>
    <s v="Weekend"/>
    <n v="0.39759036144578314"/>
    <n v="0.50210970464135019"/>
    <n v="0.13924050632911392"/>
    <n v="17032"/>
    <s v="Bavaria Motors"/>
  </r>
  <r>
    <s v="CUST_525"/>
    <x v="6"/>
    <x v="2"/>
    <s v="Saturday"/>
    <s v="Yes"/>
    <x v="8"/>
    <x v="8"/>
    <s v="Baden-WÃ¼rttemberg"/>
    <x v="4"/>
    <s v="Golf"/>
    <s v="Hybrid"/>
    <x v="2"/>
    <s v="36-50"/>
    <s v="Low"/>
    <x v="1"/>
    <x v="3"/>
    <s v="Sales_2"/>
    <n v="350"/>
    <n v="170"/>
    <n v="99"/>
    <n v="22"/>
    <s v="12.94"/>
    <n v="27708"/>
    <s v="10.55"/>
    <n v="24336"/>
    <n v="609576"/>
    <n v="74184"/>
    <s v="Feb"/>
    <n v="2"/>
    <n v="2026"/>
    <s v="Weekend"/>
    <n v="0.22222222222222221"/>
    <n v="0.48571428571428571"/>
    <n v="6.2857142857142861E-2"/>
    <n v="3372"/>
    <s v="Stuttgart Auto Center"/>
  </r>
  <r>
    <s v="CUST_526"/>
    <x v="14"/>
    <x v="2"/>
    <s v="Friday"/>
    <s v="No"/>
    <x v="7"/>
    <x v="7"/>
    <s v="Bavaria"/>
    <x v="2"/>
    <s v="A3"/>
    <s v="Petrol"/>
    <x v="2"/>
    <s v="36-50"/>
    <s v="Medium"/>
    <x v="0"/>
    <x v="3"/>
    <s v="Sales_8"/>
    <n v="170"/>
    <n v="78"/>
    <n v="57"/>
    <n v="17"/>
    <s v="21.79"/>
    <n v="54634"/>
    <s v="4.0"/>
    <n v="42569"/>
    <n v="928778"/>
    <n v="205105"/>
    <s v="Feb"/>
    <n v="2"/>
    <n v="2026"/>
    <s v="Weekday"/>
    <n v="0.2982456140350877"/>
    <n v="0.45882352941176469"/>
    <n v="0.1"/>
    <n v="12065"/>
    <s v="Bavaria Motors"/>
  </r>
  <r>
    <s v="CUST_527"/>
    <x v="12"/>
    <x v="3"/>
    <s v="Thursday"/>
    <s v="No"/>
    <x v="0"/>
    <x v="0"/>
    <s v="Hesse"/>
    <x v="1"/>
    <s v="Astra"/>
    <s v="Petrol"/>
    <x v="2"/>
    <s v="36-50"/>
    <s v="High"/>
    <x v="0"/>
    <x v="0"/>
    <s v="Sales_15"/>
    <n v="426"/>
    <n v="189"/>
    <n v="108"/>
    <n v="27"/>
    <s v="14.29"/>
    <n v="22304"/>
    <s v="12.59"/>
    <n v="20735"/>
    <n v="602208"/>
    <n v="42363"/>
    <s v="Feb"/>
    <n v="2"/>
    <n v="2026"/>
    <s v="Weekday"/>
    <n v="0.25"/>
    <n v="0.44366197183098594"/>
    <n v="6.3380281690140844E-2"/>
    <n v="1569"/>
    <s v="Main Auto Hub"/>
  </r>
  <r>
    <s v="CUST_528"/>
    <x v="22"/>
    <x v="3"/>
    <s v="Tuesday"/>
    <s v="No"/>
    <x v="6"/>
    <x v="6"/>
    <s v="Saxony"/>
    <x v="2"/>
    <s v="Q3"/>
    <s v="Diesel"/>
    <x v="0"/>
    <s v="18-25"/>
    <s v="Low"/>
    <x v="1"/>
    <x v="1"/>
    <s v="Sales_14"/>
    <n v="311"/>
    <n v="164"/>
    <n v="107"/>
    <n v="40"/>
    <s v="24.39"/>
    <n v="52054"/>
    <s v="4.16"/>
    <n v="40393"/>
    <n v="2082160"/>
    <n v="466440"/>
    <s v="Feb"/>
    <n v="2"/>
    <n v="2026"/>
    <s v="Weekday"/>
    <n v="0.37383177570093457"/>
    <n v="0.52733118971061088"/>
    <n v="0.12861736334405144"/>
    <n v="11661"/>
    <s v="Leipzig Mobility"/>
  </r>
  <r>
    <s v="CUST_529"/>
    <x v="0"/>
    <x v="0"/>
    <s v="Monday"/>
    <s v="No"/>
    <x v="5"/>
    <x v="5"/>
    <s v="Hamburg"/>
    <x v="1"/>
    <s v="Corsa"/>
    <s v="Diesel"/>
    <x v="2"/>
    <s v="36-50"/>
    <s v="High"/>
    <x v="0"/>
    <x v="0"/>
    <s v="Sales_8"/>
    <n v="264"/>
    <n v="134"/>
    <n v="89"/>
    <n v="21"/>
    <s v="15.67"/>
    <n v="26285"/>
    <s v="10.31"/>
    <n v="23491"/>
    <n v="551985"/>
    <n v="58674"/>
    <s v="Feb"/>
    <n v="2"/>
    <n v="2026"/>
    <s v="Weekday"/>
    <n v="0.23595505617977527"/>
    <n v="0.50757575757575757"/>
    <n v="7.9545454545454544E-2"/>
    <n v="2794"/>
    <s v="Elbe Drive"/>
  </r>
  <r>
    <s v="CUST_530"/>
    <x v="4"/>
    <x v="2"/>
    <s v="Wednesday"/>
    <s v="No"/>
    <x v="7"/>
    <x v="7"/>
    <s v="Bavaria"/>
    <x v="1"/>
    <s v="Grandland"/>
    <s v="Electric"/>
    <x v="0"/>
    <s v="18-25"/>
    <s v="Low"/>
    <x v="1"/>
    <x v="2"/>
    <s v="Sales_10"/>
    <n v="373"/>
    <n v="152"/>
    <n v="89"/>
    <n v="31"/>
    <s v="20.39"/>
    <n v="22390"/>
    <s v="11.21"/>
    <n v="20613"/>
    <n v="694090"/>
    <n v="55087"/>
    <s v="Feb"/>
    <n v="2"/>
    <n v="2026"/>
    <s v="Weekday"/>
    <n v="0.34831460674157305"/>
    <n v="0.40750670241286863"/>
    <n v="8.3109919571045576E-2"/>
    <n v="1777"/>
    <s v="Bavaria Motors"/>
  </r>
  <r>
    <s v="CUST_531"/>
    <x v="7"/>
    <x v="3"/>
    <s v="Monday"/>
    <s v="No"/>
    <x v="2"/>
    <x v="2"/>
    <s v="Lower Saxony"/>
    <x v="4"/>
    <s v="Passat"/>
    <s v="Petrol"/>
    <x v="1"/>
    <s v="26-35"/>
    <s v="High"/>
    <x v="0"/>
    <x v="1"/>
    <s v="Sales_6"/>
    <n v="372"/>
    <n v="166"/>
    <n v="97"/>
    <n v="26"/>
    <s v="15.66"/>
    <n v="34297"/>
    <s v="9.11"/>
    <n v="30421"/>
    <n v="891722"/>
    <n v="100776"/>
    <s v="Feb"/>
    <n v="2"/>
    <n v="2026"/>
    <s v="Weekday"/>
    <n v="0.26804123711340205"/>
    <n v="0.44623655913978494"/>
    <n v="6.9892473118279563E-2"/>
    <n v="3876"/>
    <s v="Hannover Cars"/>
  </r>
  <r>
    <s v="CUST_532"/>
    <x v="1"/>
    <x v="1"/>
    <s v="Wednesday"/>
    <s v="No"/>
    <x v="9"/>
    <x v="9"/>
    <s v="NRW"/>
    <x v="2"/>
    <s v="Q5"/>
    <s v="Hybrid"/>
    <x v="0"/>
    <s v="18-25"/>
    <s v="Low"/>
    <x v="0"/>
    <x v="1"/>
    <s v="Sales_3"/>
    <n v="302"/>
    <n v="153"/>
    <n v="102"/>
    <n v="31"/>
    <s v="20.26"/>
    <n v="48027"/>
    <s v="4.9"/>
    <n v="36449"/>
    <n v="1488837"/>
    <n v="358918"/>
    <s v="Feb"/>
    <n v="2"/>
    <n v="2026"/>
    <s v="Weekday"/>
    <n v="0.30392156862745096"/>
    <n v="0.50662251655629142"/>
    <n v="0.10264900662251655"/>
    <n v="11578"/>
    <s v="Ruhr Auto Plaza"/>
  </r>
  <r>
    <s v="CUST_533"/>
    <x v="22"/>
    <x v="3"/>
    <s v="Tuesday"/>
    <s v="No"/>
    <x v="9"/>
    <x v="9"/>
    <s v="NRW"/>
    <x v="0"/>
    <s v="3 Series"/>
    <s v="Petrol"/>
    <x v="1"/>
    <s v="36-50"/>
    <s v="Low"/>
    <x v="0"/>
    <x v="2"/>
    <s v="Sales_18"/>
    <n v="262"/>
    <n v="145"/>
    <n v="112"/>
    <n v="46"/>
    <s v="31.72"/>
    <n v="64208"/>
    <s v="2.93"/>
    <n v="46555"/>
    <n v="2953568"/>
    <n v="812038"/>
    <s v="Feb"/>
    <n v="2"/>
    <n v="2026"/>
    <s v="Weekday"/>
    <n v="0.4107142857142857"/>
    <n v="0.55343511450381677"/>
    <n v="0.17557251908396945"/>
    <n v="17653"/>
    <s v="Ruhr Auto Plaza"/>
  </r>
  <r>
    <s v="CUST_534"/>
    <x v="5"/>
    <x v="3"/>
    <s v="Saturday"/>
    <s v="Yes"/>
    <x v="5"/>
    <x v="5"/>
    <s v="Hamburg"/>
    <x v="0"/>
    <s v="5 Series"/>
    <s v="Electric"/>
    <x v="1"/>
    <s v="26-35"/>
    <s v="Low"/>
    <x v="0"/>
    <x v="2"/>
    <s v="Sales_16"/>
    <n v="163"/>
    <n v="84"/>
    <n v="67"/>
    <n v="27"/>
    <s v="32.14"/>
    <n v="65003"/>
    <s v="2.25"/>
    <n v="48102"/>
    <n v="1755081"/>
    <n v="456327"/>
    <s v="Feb"/>
    <n v="2"/>
    <n v="2026"/>
    <s v="Weekend"/>
    <n v="0.40298507462686567"/>
    <n v="0.51533742331288346"/>
    <n v="0.16564417177914109"/>
    <n v="16901"/>
    <s v="Elbe Drive"/>
  </r>
  <r>
    <s v="CUST_535"/>
    <x v="21"/>
    <x v="0"/>
    <s v="Tuesday"/>
    <s v="No"/>
    <x v="5"/>
    <x v="5"/>
    <s v="Hamburg"/>
    <x v="2"/>
    <s v="Q3"/>
    <s v="Diesel"/>
    <x v="0"/>
    <s v="18-25"/>
    <s v="Medium"/>
    <x v="0"/>
    <x v="1"/>
    <s v="Sales_14"/>
    <n v="181"/>
    <n v="110"/>
    <n v="73"/>
    <n v="25"/>
    <s v="22.73"/>
    <n v="48013"/>
    <s v="5.03"/>
    <n v="37546"/>
    <n v="1200325"/>
    <n v="261675"/>
    <s v="Feb"/>
    <n v="2"/>
    <n v="2026"/>
    <s v="Weekday"/>
    <n v="0.34246575342465752"/>
    <n v="0.60773480662983426"/>
    <n v="0.13812154696132597"/>
    <n v="10467"/>
    <s v="Elbe Drive"/>
  </r>
  <r>
    <s v="CUST_536"/>
    <x v="22"/>
    <x v="3"/>
    <s v="Tuesday"/>
    <s v="No"/>
    <x v="8"/>
    <x v="8"/>
    <s v="Baden-WÃ¼rttemberg"/>
    <x v="1"/>
    <s v="Corsa"/>
    <s v="Electric"/>
    <x v="2"/>
    <s v="36-50"/>
    <s v="Medium"/>
    <x v="1"/>
    <x v="1"/>
    <s v="Sales_5"/>
    <n v="397"/>
    <n v="151"/>
    <n v="93"/>
    <n v="26"/>
    <s v="17.22"/>
    <n v="25927"/>
    <s v="12.07"/>
    <n v="23392"/>
    <n v="674102"/>
    <n v="65910"/>
    <s v="Feb"/>
    <n v="2"/>
    <n v="2026"/>
    <s v="Weekday"/>
    <n v="0.27956989247311825"/>
    <n v="0.38035264483627201"/>
    <n v="6.5491183879093195E-2"/>
    <n v="2535"/>
    <s v="Stuttgart Auto Center"/>
  </r>
  <r>
    <s v="CUST_537"/>
    <x v="20"/>
    <x v="0"/>
    <s v="Thursday"/>
    <s v="No"/>
    <x v="4"/>
    <x v="4"/>
    <s v="Berlin"/>
    <x v="4"/>
    <s v="T-Roc"/>
    <s v="Diesel"/>
    <x v="0"/>
    <s v="36-50"/>
    <s v="Low"/>
    <x v="1"/>
    <x v="1"/>
    <s v="Sales_5"/>
    <n v="464"/>
    <n v="235"/>
    <n v="157"/>
    <n v="37"/>
    <s v="15.74"/>
    <n v="34237"/>
    <s v="8.11"/>
    <n v="30952"/>
    <n v="1266769"/>
    <n v="121545"/>
    <s v="Feb"/>
    <n v="2"/>
    <n v="2026"/>
    <s v="Weekday"/>
    <n v="0.2356687898089172"/>
    <n v="0.50646551724137934"/>
    <n v="7.9741379310344834E-2"/>
    <n v="3285"/>
    <s v="Autohaus Berlin"/>
  </r>
  <r>
    <s v="CUST_538"/>
    <x v="25"/>
    <x v="3"/>
    <s v="Friday"/>
    <s v="No"/>
    <x v="8"/>
    <x v="8"/>
    <s v="Baden-WÃ¼rttemberg"/>
    <x v="0"/>
    <s v="X5"/>
    <s v="Diesel"/>
    <x v="0"/>
    <s v="50+"/>
    <s v="High"/>
    <x v="1"/>
    <x v="2"/>
    <s v="Sales_7"/>
    <n v="236"/>
    <n v="127"/>
    <n v="93"/>
    <n v="38"/>
    <s v="29.92"/>
    <n v="61392"/>
    <s v="5.74"/>
    <n v="43117"/>
    <n v="2332896"/>
    <n v="694450"/>
    <s v="Feb"/>
    <n v="2"/>
    <n v="2026"/>
    <s v="Weekday"/>
    <n v="0.40860215053763443"/>
    <n v="0.53813559322033899"/>
    <n v="0.16101694915254236"/>
    <n v="18275"/>
    <s v="Stuttgart Auto Center"/>
  </r>
  <r>
    <s v="CUST_539"/>
    <x v="10"/>
    <x v="1"/>
    <s v="Monday"/>
    <s v="No"/>
    <x v="6"/>
    <x v="6"/>
    <s v="Saxony"/>
    <x v="2"/>
    <s v="Q5"/>
    <s v="Diesel"/>
    <x v="0"/>
    <s v="18-25"/>
    <s v="Low"/>
    <x v="0"/>
    <x v="0"/>
    <s v="Sales_18"/>
    <n v="244"/>
    <n v="152"/>
    <n v="110"/>
    <n v="29"/>
    <s v="19.08"/>
    <n v="41788"/>
    <s v="5.38"/>
    <n v="33984"/>
    <n v="1211852"/>
    <n v="226316"/>
    <s v="Feb"/>
    <n v="2"/>
    <n v="2026"/>
    <s v="Weekday"/>
    <n v="0.26363636363636361"/>
    <n v="0.62295081967213117"/>
    <n v="0.11885245901639344"/>
    <n v="7804"/>
    <s v="Leipzig Mobility"/>
  </r>
  <r>
    <s v="CUST_540"/>
    <x v="1"/>
    <x v="1"/>
    <s v="Wednesday"/>
    <s v="No"/>
    <x v="3"/>
    <x v="3"/>
    <s v="Saxony"/>
    <x v="2"/>
    <s v="Q3"/>
    <s v="Electric"/>
    <x v="0"/>
    <s v="18-25"/>
    <s v="Low"/>
    <x v="1"/>
    <x v="0"/>
    <s v="Sales_12"/>
    <n v="190"/>
    <n v="115"/>
    <n v="83"/>
    <n v="24"/>
    <s v="20.87"/>
    <n v="47419"/>
    <s v="3.74"/>
    <n v="37632"/>
    <n v="1138056"/>
    <n v="234888"/>
    <s v="Feb"/>
    <n v="2"/>
    <n v="2026"/>
    <s v="Weekday"/>
    <n v="0.28915662650602408"/>
    <n v="0.60526315789473684"/>
    <n v="0.12631578947368421"/>
    <n v="9787"/>
    <s v="Saxon Wheels"/>
  </r>
  <r>
    <s v="CUST_541"/>
    <x v="4"/>
    <x v="2"/>
    <s v="Wednesday"/>
    <s v="No"/>
    <x v="9"/>
    <x v="9"/>
    <s v="NRW"/>
    <x v="4"/>
    <s v="Golf"/>
    <s v="Electric"/>
    <x v="2"/>
    <s v="18-25"/>
    <s v="Low"/>
    <x v="1"/>
    <x v="3"/>
    <s v="Sales_4"/>
    <n v="439"/>
    <n v="254"/>
    <n v="176"/>
    <n v="32"/>
    <s v="12.6"/>
    <n v="34402"/>
    <s v="8.41"/>
    <n v="30577"/>
    <n v="1100864"/>
    <n v="122400"/>
    <s v="Feb"/>
    <n v="2"/>
    <n v="2026"/>
    <s v="Weekday"/>
    <n v="0.18181818181818182"/>
    <n v="0.57858769931662868"/>
    <n v="7.289293849658314E-2"/>
    <n v="3825"/>
    <s v="Ruhr Auto Plaza"/>
  </r>
  <r>
    <s v="CUST_542"/>
    <x v="1"/>
    <x v="1"/>
    <s v="Wednesday"/>
    <s v="No"/>
    <x v="3"/>
    <x v="3"/>
    <s v="Saxony"/>
    <x v="4"/>
    <s v="Tiguan"/>
    <s v="Electric"/>
    <x v="0"/>
    <s v="50+"/>
    <s v="High"/>
    <x v="1"/>
    <x v="3"/>
    <s v="Sales_12"/>
    <n v="356"/>
    <n v="161"/>
    <n v="95"/>
    <n v="20"/>
    <s v="12.42"/>
    <n v="32745"/>
    <s v="6.73"/>
    <n v="29006"/>
    <n v="654900"/>
    <n v="74780"/>
    <s v="Feb"/>
    <n v="2"/>
    <n v="2026"/>
    <s v="Weekday"/>
    <n v="0.21052631578947367"/>
    <n v="0.45224719101123595"/>
    <n v="5.6179775280898875E-2"/>
    <n v="3739"/>
    <s v="Saxon Wheels"/>
  </r>
  <r>
    <s v="CUST_543"/>
    <x v="27"/>
    <x v="3"/>
    <s v="Sunday"/>
    <s v="Yes"/>
    <x v="0"/>
    <x v="0"/>
    <s v="Hesse"/>
    <x v="4"/>
    <s v="Passat"/>
    <s v="Electric"/>
    <x v="1"/>
    <s v="18-25"/>
    <s v="Medium"/>
    <x v="1"/>
    <x v="2"/>
    <s v="Sales_6"/>
    <n v="280"/>
    <n v="134"/>
    <n v="91"/>
    <n v="23"/>
    <s v="17.16"/>
    <n v="33305"/>
    <s v="6.83"/>
    <n v="29286"/>
    <n v="766015"/>
    <n v="92437"/>
    <s v="Feb"/>
    <n v="2"/>
    <n v="2026"/>
    <s v="Weekend"/>
    <n v="0.25274725274725274"/>
    <n v="0.47857142857142859"/>
    <n v="8.2142857142857142E-2"/>
    <n v="4019"/>
    <s v="Main Auto Hub"/>
  </r>
  <r>
    <s v="CUST_544"/>
    <x v="1"/>
    <x v="1"/>
    <s v="Wednesday"/>
    <s v="No"/>
    <x v="2"/>
    <x v="2"/>
    <s v="Lower Saxony"/>
    <x v="4"/>
    <s v="ID.4"/>
    <s v="Hybrid"/>
    <x v="0"/>
    <s v="18-25"/>
    <s v="Low"/>
    <x v="0"/>
    <x v="2"/>
    <s v="Sales_1"/>
    <n v="309"/>
    <n v="131"/>
    <n v="83"/>
    <n v="24"/>
    <s v="18.32"/>
    <n v="28142"/>
    <s v="9.69"/>
    <n v="24949"/>
    <n v="675408"/>
    <n v="76632"/>
    <s v="Feb"/>
    <n v="2"/>
    <n v="2026"/>
    <s v="Weekday"/>
    <n v="0.28915662650602408"/>
    <n v="0.42394822006472493"/>
    <n v="7.7669902912621352E-2"/>
    <n v="3193"/>
    <s v="Hannover Cars"/>
  </r>
  <r>
    <s v="CUST_545"/>
    <x v="25"/>
    <x v="3"/>
    <s v="Friday"/>
    <s v="No"/>
    <x v="7"/>
    <x v="7"/>
    <s v="Bavaria"/>
    <x v="3"/>
    <s v="EQE"/>
    <s v="Diesel"/>
    <x v="1"/>
    <s v="18-25"/>
    <s v="High"/>
    <x v="0"/>
    <x v="3"/>
    <s v="Sales_2"/>
    <n v="209"/>
    <n v="99"/>
    <n v="67"/>
    <n v="28"/>
    <s v="28.28"/>
    <n v="59374"/>
    <s v="4.1"/>
    <n v="44418"/>
    <n v="1662472"/>
    <n v="418768"/>
    <s v="Feb"/>
    <n v="2"/>
    <n v="2026"/>
    <s v="Weekday"/>
    <n v="0.41791044776119401"/>
    <n v="0.47368421052631576"/>
    <n v="0.13397129186602871"/>
    <n v="14956"/>
    <s v="Bavaria Motors"/>
  </r>
  <r>
    <s v="CUST_546"/>
    <x v="0"/>
    <x v="0"/>
    <s v="Monday"/>
    <s v="No"/>
    <x v="4"/>
    <x v="4"/>
    <s v="Berlin"/>
    <x v="3"/>
    <s v="GLE"/>
    <s v="Petrol"/>
    <x v="0"/>
    <s v="36-50"/>
    <s v="Medium"/>
    <x v="0"/>
    <x v="0"/>
    <s v="Sales_9"/>
    <n v="210"/>
    <n v="112"/>
    <n v="77"/>
    <n v="26"/>
    <s v="23.21"/>
    <n v="51037"/>
    <s v="4.97"/>
    <n v="36891"/>
    <n v="1326962"/>
    <n v="367796"/>
    <s v="Feb"/>
    <n v="2"/>
    <n v="2026"/>
    <s v="Weekday"/>
    <n v="0.33766233766233766"/>
    <n v="0.53333333333333333"/>
    <n v="0.12380952380952381"/>
    <n v="14146"/>
    <s v="Autohaus Berlin"/>
  </r>
  <r>
    <s v="CUST_547"/>
    <x v="27"/>
    <x v="3"/>
    <s v="Sunday"/>
    <s v="Yes"/>
    <x v="4"/>
    <x v="4"/>
    <s v="Berlin"/>
    <x v="1"/>
    <s v="Mokka"/>
    <s v="Hybrid"/>
    <x v="0"/>
    <s v="50+"/>
    <s v="Low"/>
    <x v="0"/>
    <x v="0"/>
    <s v="Sales_7"/>
    <n v="339"/>
    <n v="187"/>
    <n v="129"/>
    <n v="27"/>
    <s v="14.44"/>
    <n v="21420"/>
    <s v="8.99"/>
    <n v="19175"/>
    <n v="578340"/>
    <n v="60615"/>
    <s v="Feb"/>
    <n v="2"/>
    <n v="2026"/>
    <s v="Weekend"/>
    <n v="0.20930232558139536"/>
    <n v="0.55162241887905605"/>
    <n v="7.9646017699115043E-2"/>
    <n v="2245"/>
    <s v="Autohaus Berlin"/>
  </r>
  <r>
    <s v="CUST_548"/>
    <x v="4"/>
    <x v="2"/>
    <s v="Wednesday"/>
    <s v="No"/>
    <x v="2"/>
    <x v="2"/>
    <s v="Lower Saxony"/>
    <x v="1"/>
    <s v="Grandland"/>
    <s v="Diesel"/>
    <x v="0"/>
    <s v="18-25"/>
    <s v="Low"/>
    <x v="0"/>
    <x v="2"/>
    <s v="Sales_8"/>
    <n v="342"/>
    <n v="150"/>
    <n v="95"/>
    <n v="28"/>
    <s v="18.67"/>
    <n v="26015"/>
    <s v="9.9"/>
    <n v="24181"/>
    <n v="728420"/>
    <n v="51352"/>
    <s v="Feb"/>
    <n v="2"/>
    <n v="2026"/>
    <s v="Weekday"/>
    <n v="0.29473684210526313"/>
    <n v="0.43859649122807015"/>
    <n v="8.1871345029239762E-2"/>
    <n v="1834"/>
    <s v="Hannover Cars"/>
  </r>
  <r>
    <s v="CUST_549"/>
    <x v="16"/>
    <x v="1"/>
    <s v="Tuesday"/>
    <s v="No"/>
    <x v="3"/>
    <x v="3"/>
    <s v="Saxony"/>
    <x v="2"/>
    <s v="Q3"/>
    <s v="Diesel"/>
    <x v="0"/>
    <s v="36-50"/>
    <s v="Medium"/>
    <x v="0"/>
    <x v="0"/>
    <s v="Sales_13"/>
    <n v="161"/>
    <n v="82"/>
    <n v="61"/>
    <n v="16"/>
    <s v="19.51"/>
    <n v="46093"/>
    <s v="3.66"/>
    <n v="35149"/>
    <n v="737488"/>
    <n v="175104"/>
    <s v="Feb"/>
    <n v="2"/>
    <n v="2026"/>
    <s v="Weekday"/>
    <n v="0.26229508196721313"/>
    <n v="0.50931677018633537"/>
    <n v="9.9378881987577633E-2"/>
    <n v="10944"/>
    <s v="Saxon Wheels"/>
  </r>
  <r>
    <s v="CUST_550"/>
    <x v="20"/>
    <x v="0"/>
    <s v="Thursday"/>
    <s v="No"/>
    <x v="4"/>
    <x v="4"/>
    <s v="Berlin"/>
    <x v="4"/>
    <s v="T-Roc"/>
    <s v="Petrol"/>
    <x v="0"/>
    <s v="36-50"/>
    <s v="Medium"/>
    <x v="0"/>
    <x v="2"/>
    <s v="Sales_5"/>
    <n v="502"/>
    <n v="266"/>
    <n v="170"/>
    <n v="57"/>
    <s v="21.43"/>
    <n v="32713"/>
    <s v="7.48"/>
    <n v="29325"/>
    <n v="1864641"/>
    <n v="193116"/>
    <s v="Feb"/>
    <n v="2"/>
    <n v="2026"/>
    <s v="Weekday"/>
    <n v="0.3352941176470588"/>
    <n v="0.52988047808764938"/>
    <n v="0.11354581673306773"/>
    <n v="3388"/>
    <s v="Autohaus Berlin"/>
  </r>
  <r>
    <s v="CUST_551"/>
    <x v="18"/>
    <x v="0"/>
    <s v="Saturday"/>
    <s v="Yes"/>
    <x v="5"/>
    <x v="5"/>
    <s v="Hamburg"/>
    <x v="2"/>
    <s v="Q3"/>
    <s v="Diesel"/>
    <x v="0"/>
    <s v="36-50"/>
    <s v="High"/>
    <x v="1"/>
    <x v="1"/>
    <s v="Sales_5"/>
    <n v="196"/>
    <n v="119"/>
    <n v="82"/>
    <n v="27"/>
    <s v="22.69"/>
    <n v="46806"/>
    <s v="6.68"/>
    <n v="38029"/>
    <n v="1263762"/>
    <n v="236979"/>
    <s v="Feb"/>
    <n v="2"/>
    <n v="2026"/>
    <s v="Weekend"/>
    <n v="0.32926829268292684"/>
    <n v="0.6071428571428571"/>
    <n v="0.13775510204081631"/>
    <n v="8777"/>
    <s v="Elbe Drive"/>
  </r>
  <r>
    <s v="CUST_552"/>
    <x v="12"/>
    <x v="3"/>
    <s v="Thursday"/>
    <s v="No"/>
    <x v="7"/>
    <x v="7"/>
    <s v="Bavaria"/>
    <x v="3"/>
    <s v="GLC"/>
    <s v="Electric"/>
    <x v="0"/>
    <s v="36-50"/>
    <s v="High"/>
    <x v="1"/>
    <x v="0"/>
    <s v="Sales_13"/>
    <n v="283"/>
    <n v="132"/>
    <n v="99"/>
    <n v="33"/>
    <s v="25.0"/>
    <n v="61821"/>
    <s v="5.42"/>
    <n v="48361"/>
    <n v="2040093"/>
    <n v="444180"/>
    <s v="Feb"/>
    <n v="2"/>
    <n v="2026"/>
    <s v="Weekday"/>
    <n v="0.33333333333333331"/>
    <n v="0.46643109540636041"/>
    <n v="0.1166077738515901"/>
    <n v="13460"/>
    <s v="Bavaria Motors"/>
  </r>
  <r>
    <s v="CUST_553"/>
    <x v="19"/>
    <x v="1"/>
    <s v="Saturday"/>
    <s v="Yes"/>
    <x v="9"/>
    <x v="9"/>
    <s v="NRW"/>
    <x v="4"/>
    <s v="Tiguan"/>
    <s v="Petrol"/>
    <x v="0"/>
    <s v="26-35"/>
    <s v="High"/>
    <x v="1"/>
    <x v="2"/>
    <s v="Sales_15"/>
    <n v="519"/>
    <n v="298"/>
    <n v="195"/>
    <n v="48"/>
    <s v="16.11"/>
    <n v="33181"/>
    <s v="7.55"/>
    <n v="29799"/>
    <n v="1592688"/>
    <n v="162336"/>
    <s v="Feb"/>
    <n v="2"/>
    <n v="2026"/>
    <s v="Weekend"/>
    <n v="0.24615384615384617"/>
    <n v="0.5741811175337187"/>
    <n v="9.2485549132947972E-2"/>
    <n v="3382"/>
    <s v="Ruhr Auto Plaza"/>
  </r>
  <r>
    <s v="CUST_554"/>
    <x v="18"/>
    <x v="0"/>
    <s v="Saturday"/>
    <s v="Yes"/>
    <x v="8"/>
    <x v="8"/>
    <s v="Baden-WÃ¼rttemberg"/>
    <x v="4"/>
    <s v="Passat"/>
    <s v="Petrol"/>
    <x v="1"/>
    <s v="26-35"/>
    <s v="Low"/>
    <x v="0"/>
    <x v="2"/>
    <s v="Sales_3"/>
    <n v="438"/>
    <n v="231"/>
    <n v="160"/>
    <n v="50"/>
    <s v="21.65"/>
    <n v="27314"/>
    <s v="7.51"/>
    <n v="24226"/>
    <n v="1365700"/>
    <n v="154400"/>
    <s v="Feb"/>
    <n v="2"/>
    <n v="2026"/>
    <s v="Weekend"/>
    <n v="0.3125"/>
    <n v="0.5273972602739726"/>
    <n v="0.11415525114155251"/>
    <n v="3088"/>
    <s v="Stuttgart Auto Center"/>
  </r>
  <r>
    <s v="CUST_555"/>
    <x v="17"/>
    <x v="2"/>
    <s v="Sunday"/>
    <s v="Yes"/>
    <x v="9"/>
    <x v="9"/>
    <s v="NRW"/>
    <x v="4"/>
    <s v="Golf"/>
    <s v="Diesel"/>
    <x v="2"/>
    <s v="18-25"/>
    <s v="Low"/>
    <x v="1"/>
    <x v="0"/>
    <s v="Sales_3"/>
    <n v="396"/>
    <n v="224"/>
    <n v="135"/>
    <n v="28"/>
    <s v="12.5"/>
    <n v="29290"/>
    <s v="6.59"/>
    <n v="25378"/>
    <n v="820120"/>
    <n v="109536"/>
    <s v="Feb"/>
    <n v="2"/>
    <n v="2026"/>
    <s v="Weekend"/>
    <n v="0.2074074074074074"/>
    <n v="0.56565656565656564"/>
    <n v="7.0707070707070704E-2"/>
    <n v="3912"/>
    <s v="Ruhr Auto Plaza"/>
  </r>
  <r>
    <s v="CUST_556"/>
    <x v="3"/>
    <x v="1"/>
    <s v="Sunday"/>
    <s v="Yes"/>
    <x v="0"/>
    <x v="0"/>
    <s v="Hesse"/>
    <x v="2"/>
    <s v="e-tron"/>
    <s v="Hybrid"/>
    <x v="0"/>
    <s v="26-35"/>
    <s v="Low"/>
    <x v="1"/>
    <x v="0"/>
    <s v="Sales_8"/>
    <n v="316"/>
    <n v="183"/>
    <n v="125"/>
    <n v="36"/>
    <s v="19.67"/>
    <n v="52421"/>
    <s v="4.33"/>
    <n v="40779"/>
    <n v="1887156"/>
    <n v="419112"/>
    <s v="Feb"/>
    <n v="2"/>
    <n v="2026"/>
    <s v="Weekend"/>
    <n v="0.28799999999999998"/>
    <n v="0.57911392405063289"/>
    <n v="0.11392405063291139"/>
    <n v="11642"/>
    <s v="Main Auto Hub"/>
  </r>
  <r>
    <s v="CUST_557"/>
    <x v="0"/>
    <x v="0"/>
    <s v="Monday"/>
    <s v="No"/>
    <x v="3"/>
    <x v="3"/>
    <s v="Saxony"/>
    <x v="0"/>
    <s v="i4"/>
    <s v="Electric"/>
    <x v="1"/>
    <s v="36-50"/>
    <s v="Medium"/>
    <x v="0"/>
    <x v="3"/>
    <s v="Sales_1"/>
    <n v="194"/>
    <n v="89"/>
    <n v="72"/>
    <n v="22"/>
    <s v="24.72"/>
    <n v="66954"/>
    <s v="5.5"/>
    <n v="47676"/>
    <n v="1472988"/>
    <n v="424116"/>
    <s v="Feb"/>
    <n v="2"/>
    <n v="2026"/>
    <s v="Weekday"/>
    <n v="0.30555555555555558"/>
    <n v="0.45876288659793812"/>
    <n v="0.1134020618556701"/>
    <n v="19278"/>
    <s v="Saxon Wheels"/>
  </r>
  <r>
    <s v="CUST_558"/>
    <x v="26"/>
    <x v="1"/>
    <s v="Friday"/>
    <s v="No"/>
    <x v="1"/>
    <x v="1"/>
    <s v="NRW"/>
    <x v="3"/>
    <s v="C-Class"/>
    <s v="Electric"/>
    <x v="1"/>
    <s v="50+"/>
    <s v="Medium"/>
    <x v="0"/>
    <x v="3"/>
    <s v="Sales_13"/>
    <n v="186"/>
    <n v="102"/>
    <n v="73"/>
    <n v="24"/>
    <s v="23.53"/>
    <n v="66734"/>
    <s v="2.32"/>
    <n v="49427"/>
    <n v="1601616"/>
    <n v="415368"/>
    <s v="Feb"/>
    <n v="2"/>
    <n v="2026"/>
    <s v="Weekday"/>
    <n v="0.32876712328767121"/>
    <n v="0.54838709677419351"/>
    <n v="0.12903225806451613"/>
    <n v="17307"/>
    <s v="Rhein Auto Group"/>
  </r>
  <r>
    <s v="CUST_559"/>
    <x v="14"/>
    <x v="2"/>
    <s v="Friday"/>
    <s v="No"/>
    <x v="6"/>
    <x v="6"/>
    <s v="Saxony"/>
    <x v="1"/>
    <s v="Mokka"/>
    <s v="Electric"/>
    <x v="0"/>
    <s v="36-50"/>
    <s v="Medium"/>
    <x v="0"/>
    <x v="3"/>
    <s v="Sales_11"/>
    <n v="252"/>
    <n v="133"/>
    <n v="85"/>
    <n v="21"/>
    <s v="15.79"/>
    <n v="21468"/>
    <s v="8.84"/>
    <n v="19252"/>
    <n v="450828"/>
    <n v="46536"/>
    <s v="Feb"/>
    <n v="2"/>
    <n v="2026"/>
    <s v="Weekday"/>
    <n v="0.24705882352941178"/>
    <n v="0.52777777777777779"/>
    <n v="8.3333333333333329E-2"/>
    <n v="2216"/>
    <s v="Leipzig Mobility"/>
  </r>
  <r>
    <s v="CUST_560"/>
    <x v="22"/>
    <x v="3"/>
    <s v="Tuesday"/>
    <s v="No"/>
    <x v="9"/>
    <x v="9"/>
    <s v="NRW"/>
    <x v="3"/>
    <s v="EQE"/>
    <s v="Hybrid"/>
    <x v="1"/>
    <s v="50+"/>
    <s v="Medium"/>
    <x v="0"/>
    <x v="1"/>
    <s v="Sales_19"/>
    <n v="158"/>
    <n v="93"/>
    <n v="71"/>
    <n v="24"/>
    <s v="25.81"/>
    <n v="70602"/>
    <s v="2.07"/>
    <n v="51018"/>
    <n v="1694448"/>
    <n v="470016"/>
    <s v="Feb"/>
    <n v="2"/>
    <n v="2026"/>
    <s v="Weekday"/>
    <n v="0.3380281690140845"/>
    <n v="0.58860759493670889"/>
    <n v="0.15189873417721519"/>
    <n v="19584"/>
    <s v="Ruhr Auto Plaza"/>
  </r>
  <r>
    <s v="CUST_561"/>
    <x v="3"/>
    <x v="1"/>
    <s v="Sunday"/>
    <s v="Yes"/>
    <x v="0"/>
    <x v="0"/>
    <s v="Hesse"/>
    <x v="4"/>
    <s v="T-Roc"/>
    <s v="Petrol"/>
    <x v="0"/>
    <s v="26-35"/>
    <s v="Medium"/>
    <x v="0"/>
    <x v="2"/>
    <s v="Sales_8"/>
    <n v="489"/>
    <n v="239"/>
    <n v="144"/>
    <n v="44"/>
    <s v="18.41"/>
    <n v="26286"/>
    <s v="8.72"/>
    <n v="23326"/>
    <n v="1156584"/>
    <n v="130240"/>
    <s v="Feb"/>
    <n v="2"/>
    <n v="2026"/>
    <s v="Weekend"/>
    <n v="0.30555555555555558"/>
    <n v="0.4887525562372188"/>
    <n v="8.9979550102249492E-2"/>
    <n v="2960"/>
    <s v="Main Auto Hub"/>
  </r>
  <r>
    <s v="CUST_562"/>
    <x v="10"/>
    <x v="1"/>
    <s v="Monday"/>
    <s v="No"/>
    <x v="5"/>
    <x v="5"/>
    <s v="Hamburg"/>
    <x v="2"/>
    <s v="A4"/>
    <s v="Hybrid"/>
    <x v="1"/>
    <s v="18-25"/>
    <s v="Low"/>
    <x v="1"/>
    <x v="1"/>
    <s v="Sales_20"/>
    <n v="174"/>
    <n v="91"/>
    <n v="62"/>
    <n v="20"/>
    <s v="21.98"/>
    <n v="41750"/>
    <s v="3.28"/>
    <n v="33226"/>
    <n v="835000"/>
    <n v="170480"/>
    <s v="Feb"/>
    <n v="2"/>
    <n v="2026"/>
    <s v="Weekday"/>
    <n v="0.32258064516129031"/>
    <n v="0.52298850574712641"/>
    <n v="0.11494252873563218"/>
    <n v="8524"/>
    <s v="Elbe Drive"/>
  </r>
  <r>
    <s v="CUST_563"/>
    <x v="2"/>
    <x v="2"/>
    <s v="Monday"/>
    <s v="No"/>
    <x v="0"/>
    <x v="0"/>
    <s v="Hesse"/>
    <x v="0"/>
    <s v="X5"/>
    <s v="Hybrid"/>
    <x v="0"/>
    <s v="36-50"/>
    <s v="High"/>
    <x v="0"/>
    <x v="1"/>
    <s v="Sales_15"/>
    <n v="271"/>
    <n v="126"/>
    <n v="98"/>
    <n v="34"/>
    <s v="26.98"/>
    <n v="54562"/>
    <s v="4.82"/>
    <n v="40809"/>
    <n v="1855108"/>
    <n v="467602"/>
    <s v="Feb"/>
    <n v="2"/>
    <n v="2026"/>
    <s v="Weekday"/>
    <n v="0.34693877551020408"/>
    <n v="0.46494464944649444"/>
    <n v="0.12546125461254612"/>
    <n v="13753"/>
    <s v="Main Auto Hub"/>
  </r>
  <r>
    <s v="CUST_564"/>
    <x v="10"/>
    <x v="1"/>
    <s v="Monday"/>
    <s v="No"/>
    <x v="0"/>
    <x v="0"/>
    <s v="Hesse"/>
    <x v="3"/>
    <s v="GLC"/>
    <s v="Electric"/>
    <x v="0"/>
    <s v="26-35"/>
    <s v="High"/>
    <x v="0"/>
    <x v="2"/>
    <s v="Sales_6"/>
    <n v="224"/>
    <n v="106"/>
    <n v="74"/>
    <n v="28"/>
    <s v="26.42"/>
    <n v="68215"/>
    <s v="2.48"/>
    <n v="53185"/>
    <n v="1910020"/>
    <n v="420840"/>
    <s v="Feb"/>
    <n v="2"/>
    <n v="2026"/>
    <s v="Weekday"/>
    <n v="0.3783783783783784"/>
    <n v="0.4732142857142857"/>
    <n v="0.125"/>
    <n v="15030"/>
    <s v="Main Auto Hub"/>
  </r>
  <r>
    <s v="CUST_565"/>
    <x v="9"/>
    <x v="0"/>
    <s v="Sunday"/>
    <s v="Yes"/>
    <x v="7"/>
    <x v="7"/>
    <s v="Bavaria"/>
    <x v="2"/>
    <s v="A4"/>
    <s v="Electric"/>
    <x v="1"/>
    <s v="18-25"/>
    <s v="High"/>
    <x v="0"/>
    <x v="1"/>
    <s v="Sales_12"/>
    <n v="301"/>
    <n v="177"/>
    <n v="121"/>
    <n v="44"/>
    <s v="24.86"/>
    <n v="51661"/>
    <s v="4.09"/>
    <n v="41880"/>
    <n v="2273084"/>
    <n v="430364"/>
    <s v="Feb"/>
    <n v="2"/>
    <n v="2026"/>
    <s v="Weekend"/>
    <n v="0.36363636363636365"/>
    <n v="0.58803986710963452"/>
    <n v="0.1461794019933555"/>
    <n v="9781"/>
    <s v="Bavaria Motors"/>
  </r>
  <r>
    <s v="CUST_566"/>
    <x v="20"/>
    <x v="0"/>
    <s v="Thursday"/>
    <s v="No"/>
    <x v="1"/>
    <x v="1"/>
    <s v="NRW"/>
    <x v="2"/>
    <s v="e-tron"/>
    <s v="Electric"/>
    <x v="0"/>
    <s v="36-50"/>
    <s v="Low"/>
    <x v="1"/>
    <x v="2"/>
    <s v="Sales_16"/>
    <n v="307"/>
    <n v="188"/>
    <n v="134"/>
    <n v="50"/>
    <s v="26.6"/>
    <n v="54171"/>
    <s v="4.24"/>
    <n v="41835"/>
    <n v="2708550"/>
    <n v="616800"/>
    <s v="Feb"/>
    <n v="2"/>
    <n v="2026"/>
    <s v="Weekday"/>
    <n v="0.37313432835820898"/>
    <n v="0.6123778501628665"/>
    <n v="0.16286644951140064"/>
    <n v="12336"/>
    <s v="Rhein Auto Group"/>
  </r>
  <r>
    <s v="CUST_567"/>
    <x v="27"/>
    <x v="3"/>
    <s v="Sunday"/>
    <s v="Yes"/>
    <x v="5"/>
    <x v="5"/>
    <s v="Hamburg"/>
    <x v="0"/>
    <s v="X3"/>
    <s v="Electric"/>
    <x v="0"/>
    <s v="18-25"/>
    <s v="High"/>
    <x v="1"/>
    <x v="3"/>
    <s v="Sales_6"/>
    <n v="190"/>
    <n v="92"/>
    <n v="66"/>
    <n v="24"/>
    <s v="26.09"/>
    <n v="60727"/>
    <s v="5.55"/>
    <n v="42625"/>
    <n v="1457448"/>
    <n v="434448"/>
    <s v="Feb"/>
    <n v="2"/>
    <n v="2026"/>
    <s v="Weekend"/>
    <n v="0.36363636363636365"/>
    <n v="0.48421052631578948"/>
    <n v="0.12631578947368421"/>
    <n v="18102"/>
    <s v="Elbe Drive"/>
  </r>
  <r>
    <s v="CUST_568"/>
    <x v="18"/>
    <x v="0"/>
    <s v="Saturday"/>
    <s v="Yes"/>
    <x v="2"/>
    <x v="2"/>
    <s v="Lower Saxony"/>
    <x v="0"/>
    <s v="3 Series"/>
    <s v="Petrol"/>
    <x v="1"/>
    <s v="18-25"/>
    <s v="Medium"/>
    <x v="0"/>
    <x v="0"/>
    <s v="Sales_10"/>
    <n v="229"/>
    <n v="124"/>
    <n v="91"/>
    <n v="30"/>
    <s v="24.19"/>
    <n v="62066"/>
    <s v="5.38"/>
    <n v="47542"/>
    <n v="1861980"/>
    <n v="435720"/>
    <s v="Feb"/>
    <n v="2"/>
    <n v="2026"/>
    <s v="Weekend"/>
    <n v="0.32967032967032966"/>
    <n v="0.54148471615720528"/>
    <n v="0.13100436681222707"/>
    <n v="14524"/>
    <s v="Hannover Cars"/>
  </r>
  <r>
    <s v="CUST_569"/>
    <x v="7"/>
    <x v="3"/>
    <s v="Monday"/>
    <s v="No"/>
    <x v="9"/>
    <x v="9"/>
    <s v="NRW"/>
    <x v="4"/>
    <s v="Tiguan"/>
    <s v="Hybrid"/>
    <x v="0"/>
    <s v="18-25"/>
    <s v="Medium"/>
    <x v="0"/>
    <x v="3"/>
    <s v="Sales_15"/>
    <n v="452"/>
    <n v="223"/>
    <n v="132"/>
    <n v="27"/>
    <s v="12.11"/>
    <n v="26741"/>
    <s v="7.48"/>
    <n v="24066"/>
    <n v="722007"/>
    <n v="72225"/>
    <s v="Feb"/>
    <n v="2"/>
    <n v="2026"/>
    <s v="Weekday"/>
    <n v="0.20454545454545456"/>
    <n v="0.49336283185840707"/>
    <n v="5.9734513274336286E-2"/>
    <n v="2675"/>
    <s v="Ruhr Auto Plaza"/>
  </r>
  <r>
    <s v="CUST_570"/>
    <x v="13"/>
    <x v="0"/>
    <s v="Friday"/>
    <s v="No"/>
    <x v="7"/>
    <x v="7"/>
    <s v="Bavaria"/>
    <x v="3"/>
    <s v="E-Class"/>
    <s v="Petrol"/>
    <x v="1"/>
    <s v="50+"/>
    <s v="Low"/>
    <x v="1"/>
    <x v="3"/>
    <s v="Sales_1"/>
    <n v="229"/>
    <n v="100"/>
    <n v="77"/>
    <n v="25"/>
    <s v="25.0"/>
    <n v="71319"/>
    <s v="2.41"/>
    <n v="54460"/>
    <n v="1782975"/>
    <n v="421475"/>
    <s v="Feb"/>
    <n v="2"/>
    <n v="2026"/>
    <s v="Weekday"/>
    <n v="0.32467532467532467"/>
    <n v="0.4366812227074236"/>
    <n v="0.1091703056768559"/>
    <n v="16859"/>
    <s v="Bavaria Motors"/>
  </r>
  <r>
    <s v="CUST_571"/>
    <x v="20"/>
    <x v="0"/>
    <s v="Thursday"/>
    <s v="No"/>
    <x v="4"/>
    <x v="4"/>
    <s v="Berlin"/>
    <x v="2"/>
    <s v="Q3"/>
    <s v="Diesel"/>
    <x v="0"/>
    <s v="26-35"/>
    <s v="High"/>
    <x v="1"/>
    <x v="0"/>
    <s v="Sales_15"/>
    <n v="276"/>
    <n v="130"/>
    <n v="101"/>
    <n v="31"/>
    <s v="23.85"/>
    <n v="47508"/>
    <s v="4.97"/>
    <n v="36968"/>
    <n v="1472748"/>
    <n v="326740"/>
    <s v="Feb"/>
    <n v="2"/>
    <n v="2026"/>
    <s v="Weekday"/>
    <n v="0.30693069306930693"/>
    <n v="0.47101449275362317"/>
    <n v="0.11231884057971014"/>
    <n v="10540"/>
    <s v="Autohaus Berlin"/>
  </r>
  <r>
    <s v="CUST_572"/>
    <x v="21"/>
    <x v="0"/>
    <s v="Tuesday"/>
    <s v="No"/>
    <x v="6"/>
    <x v="6"/>
    <s v="Saxony"/>
    <x v="0"/>
    <s v="i4"/>
    <s v="Petrol"/>
    <x v="1"/>
    <s v="26-35"/>
    <s v="Medium"/>
    <x v="1"/>
    <x v="1"/>
    <s v="Sales_18"/>
    <n v="195"/>
    <n v="93"/>
    <n v="67"/>
    <n v="24"/>
    <s v="25.81"/>
    <n v="62436"/>
    <s v="5.58"/>
    <n v="43726"/>
    <n v="1498464"/>
    <n v="449040"/>
    <s v="Feb"/>
    <n v="2"/>
    <n v="2026"/>
    <s v="Weekday"/>
    <n v="0.35820895522388058"/>
    <n v="0.47692307692307695"/>
    <n v="0.12307692307692308"/>
    <n v="18710"/>
    <s v="Leipzig Mobility"/>
  </r>
  <r>
    <s v="CUST_573"/>
    <x v="21"/>
    <x v="0"/>
    <s v="Tuesday"/>
    <s v="No"/>
    <x v="7"/>
    <x v="7"/>
    <s v="Bavaria"/>
    <x v="0"/>
    <s v="X3"/>
    <s v="Petrol"/>
    <x v="0"/>
    <s v="50+"/>
    <s v="Low"/>
    <x v="1"/>
    <x v="1"/>
    <s v="Sales_8"/>
    <n v="186"/>
    <n v="103"/>
    <n v="73"/>
    <n v="30"/>
    <s v="29.13"/>
    <n v="53719"/>
    <s v="2.01"/>
    <n v="40660"/>
    <n v="1611570"/>
    <n v="391770"/>
    <s v="Feb"/>
    <n v="2"/>
    <n v="2026"/>
    <s v="Weekday"/>
    <n v="0.41095890410958902"/>
    <n v="0.55376344086021501"/>
    <n v="0.16129032258064516"/>
    <n v="13059"/>
    <s v="Bavaria Motors"/>
  </r>
  <r>
    <s v="CUST_574"/>
    <x v="11"/>
    <x v="0"/>
    <s v="Wednesday"/>
    <s v="No"/>
    <x v="7"/>
    <x v="7"/>
    <s v="Bavaria"/>
    <x v="4"/>
    <s v="Tiguan"/>
    <s v="Hybrid"/>
    <x v="0"/>
    <s v="26-35"/>
    <s v="Medium"/>
    <x v="1"/>
    <x v="2"/>
    <s v="Sales_4"/>
    <n v="296"/>
    <n v="127"/>
    <n v="90"/>
    <n v="23"/>
    <s v="18.11"/>
    <n v="33125"/>
    <s v="10.94"/>
    <n v="30132"/>
    <n v="761875"/>
    <n v="68839"/>
    <s v="Feb"/>
    <n v="2"/>
    <n v="2026"/>
    <s v="Weekday"/>
    <n v="0.25555555555555554"/>
    <n v="0.42905405405405406"/>
    <n v="7.77027027027027E-2"/>
    <n v="2993"/>
    <s v="Bavaria Motors"/>
  </r>
  <r>
    <s v="CUST_575"/>
    <x v="24"/>
    <x v="1"/>
    <s v="Thursday"/>
    <s v="No"/>
    <x v="5"/>
    <x v="5"/>
    <s v="Hamburg"/>
    <x v="2"/>
    <s v="Q3"/>
    <s v="Hybrid"/>
    <x v="0"/>
    <s v="50+"/>
    <s v="Low"/>
    <x v="1"/>
    <x v="0"/>
    <s v="Sales_2"/>
    <n v="284"/>
    <n v="158"/>
    <n v="119"/>
    <n v="36"/>
    <s v="22.78"/>
    <n v="42904"/>
    <s v="6.32"/>
    <n v="33608"/>
    <n v="1544544"/>
    <n v="334656"/>
    <s v="Feb"/>
    <n v="2"/>
    <n v="2026"/>
    <s v="Weekday"/>
    <n v="0.30252100840336132"/>
    <n v="0.55633802816901412"/>
    <n v="0.12676056338028169"/>
    <n v="9296"/>
    <s v="Elbe Drive"/>
  </r>
  <r>
    <s v="CUST_576"/>
    <x v="15"/>
    <x v="2"/>
    <s v="Thursday"/>
    <s v="No"/>
    <x v="7"/>
    <x v="7"/>
    <s v="Bavaria"/>
    <x v="1"/>
    <s v="Grandland"/>
    <s v="Petrol"/>
    <x v="0"/>
    <s v="36-50"/>
    <s v="High"/>
    <x v="1"/>
    <x v="3"/>
    <s v="Sales_2"/>
    <n v="309"/>
    <n v="142"/>
    <n v="81"/>
    <n v="24"/>
    <s v="16.9"/>
    <n v="19661"/>
    <s v="11.68"/>
    <n v="18237"/>
    <n v="471864"/>
    <n v="34176"/>
    <s v="Feb"/>
    <n v="2"/>
    <n v="2026"/>
    <s v="Weekday"/>
    <n v="0.29629629629629628"/>
    <n v="0.45954692556634302"/>
    <n v="7.7669902912621352E-2"/>
    <n v="1424"/>
    <s v="Bavaria Motors"/>
  </r>
  <r>
    <s v="CUST_577"/>
    <x v="8"/>
    <x v="3"/>
    <s v="Wednesday"/>
    <s v="No"/>
    <x v="3"/>
    <x v="3"/>
    <s v="Saxony"/>
    <x v="1"/>
    <s v="Corsa"/>
    <s v="Diesel"/>
    <x v="2"/>
    <s v="36-50"/>
    <s v="High"/>
    <x v="0"/>
    <x v="2"/>
    <s v="Sales_19"/>
    <n v="378"/>
    <n v="178"/>
    <n v="112"/>
    <n v="36"/>
    <s v="20.22"/>
    <n v="26267"/>
    <s v="12.4"/>
    <n v="24245"/>
    <n v="945612"/>
    <n v="72792"/>
    <s v="Feb"/>
    <n v="2"/>
    <n v="2026"/>
    <s v="Weekday"/>
    <n v="0.32142857142857145"/>
    <n v="0.47089947089947087"/>
    <n v="9.5238095238095233E-2"/>
    <n v="2022"/>
    <s v="Saxon Wheels"/>
  </r>
  <r>
    <s v="CUST_578"/>
    <x v="9"/>
    <x v="0"/>
    <s v="Sunday"/>
    <s v="Yes"/>
    <x v="7"/>
    <x v="7"/>
    <s v="Bavaria"/>
    <x v="4"/>
    <s v="ID.4"/>
    <s v="Electric"/>
    <x v="0"/>
    <s v="26-35"/>
    <s v="Low"/>
    <x v="0"/>
    <x v="0"/>
    <s v="Sales_4"/>
    <n v="346"/>
    <n v="195"/>
    <n v="127"/>
    <n v="33"/>
    <s v="16.92"/>
    <n v="32788"/>
    <s v="9.9"/>
    <n v="29702"/>
    <n v="1082004"/>
    <n v="101838"/>
    <s v="Feb"/>
    <n v="2"/>
    <n v="2026"/>
    <s v="Weekend"/>
    <n v="0.25984251968503935"/>
    <n v="0.56358381502890176"/>
    <n v="9.5375722543352595E-2"/>
    <n v="3086"/>
    <s v="Bavaria Motors"/>
  </r>
  <r>
    <s v="CUST_579"/>
    <x v="14"/>
    <x v="2"/>
    <s v="Friday"/>
    <s v="No"/>
    <x v="5"/>
    <x v="5"/>
    <s v="Hamburg"/>
    <x v="1"/>
    <s v="Grandland"/>
    <s v="Diesel"/>
    <x v="0"/>
    <s v="36-50"/>
    <s v="Medium"/>
    <x v="0"/>
    <x v="3"/>
    <s v="Sales_1"/>
    <n v="411"/>
    <n v="221"/>
    <n v="131"/>
    <n v="33"/>
    <s v="14.93"/>
    <n v="20778"/>
    <s v="9.09"/>
    <n v="18807"/>
    <n v="685674"/>
    <n v="65043"/>
    <s v="Feb"/>
    <n v="2"/>
    <n v="2026"/>
    <s v="Weekday"/>
    <n v="0.25190839694656486"/>
    <n v="0.53771289537712896"/>
    <n v="8.0291970802919707E-2"/>
    <n v="1971"/>
    <s v="Elbe Drive"/>
  </r>
  <r>
    <s v="CUST_580"/>
    <x v="18"/>
    <x v="0"/>
    <s v="Saturday"/>
    <s v="Yes"/>
    <x v="5"/>
    <x v="5"/>
    <s v="Hamburg"/>
    <x v="2"/>
    <s v="Q5"/>
    <s v="Petrol"/>
    <x v="0"/>
    <s v="50+"/>
    <s v="Medium"/>
    <x v="0"/>
    <x v="2"/>
    <s v="Sales_13"/>
    <n v="306"/>
    <n v="150"/>
    <n v="101"/>
    <n v="40"/>
    <s v="26.67"/>
    <n v="52973"/>
    <s v="6.81"/>
    <n v="40271"/>
    <n v="2118920"/>
    <n v="508080"/>
    <s v="Feb"/>
    <n v="2"/>
    <n v="2026"/>
    <s v="Weekend"/>
    <n v="0.39603960396039606"/>
    <n v="0.49019607843137253"/>
    <n v="0.13071895424836602"/>
    <n v="12702"/>
    <s v="Elbe Drive"/>
  </r>
  <r>
    <s v="CUST_581"/>
    <x v="8"/>
    <x v="3"/>
    <s v="Wednesday"/>
    <s v="No"/>
    <x v="7"/>
    <x v="7"/>
    <s v="Bavaria"/>
    <x v="3"/>
    <s v="GLC"/>
    <s v="Petrol"/>
    <x v="0"/>
    <s v="18-25"/>
    <s v="Low"/>
    <x v="0"/>
    <x v="0"/>
    <s v="Sales_13"/>
    <n v="222"/>
    <n v="120"/>
    <n v="84"/>
    <n v="32"/>
    <s v="26.67"/>
    <n v="63859"/>
    <s v="2.04"/>
    <n v="48399"/>
    <n v="2043488"/>
    <n v="494720"/>
    <s v="Feb"/>
    <n v="2"/>
    <n v="2026"/>
    <s v="Weekday"/>
    <n v="0.38095238095238093"/>
    <n v="0.54054054054054057"/>
    <n v="0.14414414414414414"/>
    <n v="15460"/>
    <s v="Bavaria Motors"/>
  </r>
  <r>
    <s v="CUST_582"/>
    <x v="10"/>
    <x v="1"/>
    <s v="Monday"/>
    <s v="No"/>
    <x v="0"/>
    <x v="0"/>
    <s v="Hesse"/>
    <x v="0"/>
    <s v="X5"/>
    <s v="Electric"/>
    <x v="0"/>
    <s v="36-50"/>
    <s v="Medium"/>
    <x v="0"/>
    <x v="1"/>
    <s v="Sales_7"/>
    <n v="214"/>
    <n v="113"/>
    <n v="77"/>
    <n v="32"/>
    <s v="28.32"/>
    <n v="62167"/>
    <s v="5.49"/>
    <n v="46255"/>
    <n v="1989344"/>
    <n v="509184"/>
    <s v="Feb"/>
    <n v="2"/>
    <n v="2026"/>
    <s v="Weekday"/>
    <n v="0.41558441558441561"/>
    <n v="0.5280373831775701"/>
    <n v="0.14953271028037382"/>
    <n v="15912"/>
    <s v="Main Auto Hub"/>
  </r>
  <r>
    <s v="CUST_583"/>
    <x v="10"/>
    <x v="1"/>
    <s v="Monday"/>
    <s v="No"/>
    <x v="3"/>
    <x v="3"/>
    <s v="Saxony"/>
    <x v="4"/>
    <s v="Passat"/>
    <s v="Electric"/>
    <x v="1"/>
    <s v="26-35"/>
    <s v="Medium"/>
    <x v="1"/>
    <x v="0"/>
    <s v="Sales_15"/>
    <n v="314"/>
    <n v="137"/>
    <n v="89"/>
    <n v="21"/>
    <s v="15.33"/>
    <n v="32739"/>
    <s v="7.52"/>
    <n v="28826"/>
    <n v="687519"/>
    <n v="82173"/>
    <s v="Feb"/>
    <n v="2"/>
    <n v="2026"/>
    <s v="Weekday"/>
    <n v="0.23595505617977527"/>
    <n v="0.43630573248407645"/>
    <n v="6.6878980891719744E-2"/>
    <n v="3913"/>
    <s v="Saxon Wheels"/>
  </r>
  <r>
    <s v="CUST_584"/>
    <x v="6"/>
    <x v="2"/>
    <s v="Saturday"/>
    <s v="Yes"/>
    <x v="2"/>
    <x v="2"/>
    <s v="Lower Saxony"/>
    <x v="1"/>
    <s v="Astra"/>
    <s v="Electric"/>
    <x v="2"/>
    <s v="36-50"/>
    <s v="High"/>
    <x v="0"/>
    <x v="1"/>
    <s v="Sales_12"/>
    <n v="248"/>
    <n v="102"/>
    <n v="60"/>
    <n v="18"/>
    <s v="17.65"/>
    <n v="20650"/>
    <s v="11.28"/>
    <n v="18408"/>
    <n v="371700"/>
    <n v="40356"/>
    <s v="Feb"/>
    <n v="2"/>
    <n v="2026"/>
    <s v="Weekend"/>
    <n v="0.3"/>
    <n v="0.41129032258064518"/>
    <n v="7.2580645161290328E-2"/>
    <n v="2242"/>
    <s v="Hannover Cars"/>
  </r>
  <r>
    <s v="CUST_585"/>
    <x v="20"/>
    <x v="0"/>
    <s v="Thursday"/>
    <s v="No"/>
    <x v="8"/>
    <x v="8"/>
    <s v="Baden-WÃ¼rttemberg"/>
    <x v="4"/>
    <s v="T-Roc"/>
    <s v="Electric"/>
    <x v="0"/>
    <s v="18-25"/>
    <s v="High"/>
    <x v="0"/>
    <x v="0"/>
    <s v="Sales_4"/>
    <n v="307"/>
    <n v="133"/>
    <n v="78"/>
    <n v="18"/>
    <s v="13.53"/>
    <n v="32984"/>
    <s v="10.25"/>
    <n v="28866"/>
    <n v="593712"/>
    <n v="74124"/>
    <s v="Feb"/>
    <n v="2"/>
    <n v="2026"/>
    <s v="Weekday"/>
    <n v="0.23076923076923078"/>
    <n v="0.43322475570032576"/>
    <n v="5.8631921824104233E-2"/>
    <n v="4118"/>
    <s v="Stuttgart Auto Center"/>
  </r>
  <r>
    <s v="CUST_586"/>
    <x v="13"/>
    <x v="0"/>
    <s v="Friday"/>
    <s v="No"/>
    <x v="7"/>
    <x v="7"/>
    <s v="Bavaria"/>
    <x v="2"/>
    <s v="A4"/>
    <s v="Diesel"/>
    <x v="1"/>
    <s v="18-25"/>
    <s v="Medium"/>
    <x v="0"/>
    <x v="1"/>
    <s v="Sales_1"/>
    <n v="272"/>
    <n v="170"/>
    <n v="121"/>
    <n v="42"/>
    <s v="24.71"/>
    <n v="53863"/>
    <s v="3.18"/>
    <n v="42007"/>
    <n v="2262246"/>
    <n v="497952"/>
    <s v="Feb"/>
    <n v="2"/>
    <n v="2026"/>
    <s v="Weekday"/>
    <n v="0.34710743801652894"/>
    <n v="0.625"/>
    <n v="0.15441176470588236"/>
    <n v="11856"/>
    <s v="Bavaria Motors"/>
  </r>
  <r>
    <s v="CUST_587"/>
    <x v="15"/>
    <x v="2"/>
    <s v="Thursday"/>
    <s v="No"/>
    <x v="1"/>
    <x v="1"/>
    <s v="NRW"/>
    <x v="0"/>
    <s v="X5"/>
    <s v="Hybrid"/>
    <x v="0"/>
    <s v="18-25"/>
    <s v="Medium"/>
    <x v="1"/>
    <x v="3"/>
    <s v="Sales_18"/>
    <n v="261"/>
    <n v="159"/>
    <n v="116"/>
    <n v="42"/>
    <s v="26.42"/>
    <n v="51944"/>
    <s v="3.27"/>
    <n v="37282"/>
    <n v="2181648"/>
    <n v="615804"/>
    <s v="Feb"/>
    <n v="2"/>
    <n v="2026"/>
    <s v="Weekday"/>
    <n v="0.36206896551724138"/>
    <n v="0.60919540229885061"/>
    <n v="0.16091954022988506"/>
    <n v="14662"/>
    <s v="Rhein Auto Group"/>
  </r>
  <r>
    <s v="CUST_588"/>
    <x v="25"/>
    <x v="3"/>
    <s v="Friday"/>
    <s v="No"/>
    <x v="5"/>
    <x v="5"/>
    <s v="Hamburg"/>
    <x v="4"/>
    <s v="T-Roc"/>
    <s v="Diesel"/>
    <x v="0"/>
    <s v="18-25"/>
    <s v="High"/>
    <x v="0"/>
    <x v="2"/>
    <s v="Sales_14"/>
    <n v="385"/>
    <n v="154"/>
    <n v="94"/>
    <n v="32"/>
    <s v="20.78"/>
    <n v="31257"/>
    <s v="8.53"/>
    <n v="28272"/>
    <n v="1000224"/>
    <n v="95520"/>
    <s v="Feb"/>
    <n v="2"/>
    <n v="2026"/>
    <s v="Weekday"/>
    <n v="0.34042553191489361"/>
    <n v="0.4"/>
    <n v="8.3116883116883117E-2"/>
    <n v="2985"/>
    <s v="Elbe Drive"/>
  </r>
  <r>
    <s v="CUST_589"/>
    <x v="26"/>
    <x v="1"/>
    <s v="Friday"/>
    <s v="No"/>
    <x v="5"/>
    <x v="5"/>
    <s v="Hamburg"/>
    <x v="4"/>
    <s v="Tiguan"/>
    <s v="Diesel"/>
    <x v="0"/>
    <s v="18-25"/>
    <s v="High"/>
    <x v="1"/>
    <x v="0"/>
    <s v="Sales_5"/>
    <n v="288"/>
    <n v="143"/>
    <n v="89"/>
    <n v="24"/>
    <s v="16.78"/>
    <n v="29990"/>
    <s v="8.14"/>
    <n v="26454"/>
    <n v="719760"/>
    <n v="84864"/>
    <s v="Feb"/>
    <n v="2"/>
    <n v="2026"/>
    <s v="Weekday"/>
    <n v="0.2696629213483146"/>
    <n v="0.49652777777777779"/>
    <n v="8.3333333333333329E-2"/>
    <n v="3536"/>
    <s v="Elbe Drive"/>
  </r>
  <r>
    <s v="CUST_590"/>
    <x v="15"/>
    <x v="2"/>
    <s v="Thursday"/>
    <s v="No"/>
    <x v="7"/>
    <x v="7"/>
    <s v="Bavaria"/>
    <x v="1"/>
    <s v="Corsa"/>
    <s v="Petrol"/>
    <x v="2"/>
    <s v="26-35"/>
    <s v="Medium"/>
    <x v="0"/>
    <x v="1"/>
    <s v="Sales_12"/>
    <n v="402"/>
    <n v="158"/>
    <n v="99"/>
    <n v="33"/>
    <s v="20.89"/>
    <n v="25375"/>
    <s v="8.64"/>
    <n v="22984"/>
    <n v="837375"/>
    <n v="78903"/>
    <s v="Feb"/>
    <n v="2"/>
    <n v="2026"/>
    <s v="Weekday"/>
    <n v="0.33333333333333331"/>
    <n v="0.39303482587064675"/>
    <n v="8.2089552238805971E-2"/>
    <n v="2391"/>
    <s v="Bavaria Motors"/>
  </r>
  <r>
    <s v="CUST_591"/>
    <x v="1"/>
    <x v="1"/>
    <s v="Wednesday"/>
    <s v="No"/>
    <x v="5"/>
    <x v="5"/>
    <s v="Hamburg"/>
    <x v="1"/>
    <s v="Crossland"/>
    <s v="Electric"/>
    <x v="0"/>
    <s v="36-50"/>
    <s v="High"/>
    <x v="1"/>
    <x v="3"/>
    <s v="Sales_19"/>
    <n v="299"/>
    <n v="158"/>
    <n v="102"/>
    <n v="22"/>
    <s v="13.92"/>
    <n v="21741"/>
    <s v="8.58"/>
    <n v="19864"/>
    <n v="478302"/>
    <n v="41294"/>
    <s v="Feb"/>
    <n v="2"/>
    <n v="2026"/>
    <s v="Weekday"/>
    <n v="0.21568627450980393"/>
    <n v="0.52842809364548493"/>
    <n v="7.3578595317725759E-2"/>
    <n v="1877"/>
    <s v="Elbe Drive"/>
  </r>
  <r>
    <s v="CUST_592"/>
    <x v="5"/>
    <x v="3"/>
    <s v="Saturday"/>
    <s v="Yes"/>
    <x v="5"/>
    <x v="5"/>
    <s v="Hamburg"/>
    <x v="1"/>
    <s v="Grandland"/>
    <s v="Electric"/>
    <x v="0"/>
    <s v="26-35"/>
    <s v="High"/>
    <x v="1"/>
    <x v="3"/>
    <s v="Sales_16"/>
    <n v="384"/>
    <n v="192"/>
    <n v="129"/>
    <n v="25"/>
    <s v="13.02"/>
    <n v="21864"/>
    <s v="10.79"/>
    <n v="19803"/>
    <n v="546600"/>
    <n v="51525"/>
    <s v="Feb"/>
    <n v="2"/>
    <n v="2026"/>
    <s v="Weekend"/>
    <n v="0.19379844961240311"/>
    <n v="0.5"/>
    <n v="6.5104166666666671E-2"/>
    <n v="2061"/>
    <s v="Elbe Drive"/>
  </r>
  <r>
    <s v="CUST_593"/>
    <x v="7"/>
    <x v="3"/>
    <s v="Monday"/>
    <s v="No"/>
    <x v="5"/>
    <x v="5"/>
    <s v="Hamburg"/>
    <x v="3"/>
    <s v="EQE"/>
    <s v="Electric"/>
    <x v="1"/>
    <s v="36-50"/>
    <s v="Low"/>
    <x v="0"/>
    <x v="1"/>
    <s v="Sales_15"/>
    <n v="216"/>
    <n v="121"/>
    <n v="88"/>
    <n v="34"/>
    <s v="28.1"/>
    <n v="58197"/>
    <s v="4.67"/>
    <n v="42973"/>
    <n v="1978698"/>
    <n v="517616"/>
    <s v="Feb"/>
    <n v="2"/>
    <n v="2026"/>
    <s v="Weekday"/>
    <n v="0.38636363636363635"/>
    <n v="0.56018518518518523"/>
    <n v="0.15740740740740741"/>
    <n v="15224"/>
    <s v="Elbe Drive"/>
  </r>
  <r>
    <s v="CUST_594"/>
    <x v="9"/>
    <x v="0"/>
    <s v="Sunday"/>
    <s v="Yes"/>
    <x v="7"/>
    <x v="7"/>
    <s v="Bavaria"/>
    <x v="1"/>
    <s v="Astra"/>
    <s v="Electric"/>
    <x v="2"/>
    <s v="18-25"/>
    <s v="High"/>
    <x v="1"/>
    <x v="1"/>
    <s v="Sales_16"/>
    <n v="276"/>
    <n v="120"/>
    <n v="74"/>
    <n v="22"/>
    <s v="18.33"/>
    <n v="25811"/>
    <s v="9.58"/>
    <n v="23465"/>
    <n v="567842"/>
    <n v="51612"/>
    <s v="Feb"/>
    <n v="2"/>
    <n v="2026"/>
    <s v="Weekend"/>
    <n v="0.29729729729729731"/>
    <n v="0.43478260869565216"/>
    <n v="7.9710144927536225E-2"/>
    <n v="2346"/>
    <s v="Bavaria Motors"/>
  </r>
  <r>
    <s v="CUST_595"/>
    <x v="2"/>
    <x v="2"/>
    <s v="Monday"/>
    <s v="No"/>
    <x v="0"/>
    <x v="0"/>
    <s v="Hesse"/>
    <x v="0"/>
    <s v="3 Series"/>
    <s v="Diesel"/>
    <x v="1"/>
    <s v="50+"/>
    <s v="Low"/>
    <x v="0"/>
    <x v="2"/>
    <s v="Sales_8"/>
    <n v="215"/>
    <n v="125"/>
    <n v="91"/>
    <n v="36"/>
    <s v="28.8"/>
    <n v="60443"/>
    <s v="5.25"/>
    <n v="43281"/>
    <n v="2175948"/>
    <n v="617832"/>
    <s v="Feb"/>
    <n v="2"/>
    <n v="2026"/>
    <s v="Weekday"/>
    <n v="0.39560439560439559"/>
    <n v="0.58139534883720934"/>
    <n v="0.16744186046511628"/>
    <n v="17162"/>
    <s v="Main Auto Hub"/>
  </r>
  <r>
    <s v="CUST_596"/>
    <x v="21"/>
    <x v="0"/>
    <s v="Tuesday"/>
    <s v="No"/>
    <x v="7"/>
    <x v="7"/>
    <s v="Bavaria"/>
    <x v="4"/>
    <s v="Golf"/>
    <s v="Petrol"/>
    <x v="2"/>
    <s v="26-35"/>
    <s v="High"/>
    <x v="1"/>
    <x v="0"/>
    <s v="Sales_10"/>
    <n v="410"/>
    <n v="228"/>
    <n v="137"/>
    <n v="32"/>
    <s v="14.04"/>
    <n v="31377"/>
    <s v="7.19"/>
    <n v="28307"/>
    <n v="1004064"/>
    <n v="98240"/>
    <s v="Feb"/>
    <n v="2"/>
    <n v="2026"/>
    <s v="Weekday"/>
    <n v="0.23357664233576642"/>
    <n v="0.55609756097560981"/>
    <n v="7.8048780487804878E-2"/>
    <n v="3070"/>
    <s v="Bavaria Motors"/>
  </r>
  <r>
    <s v="CUST_597"/>
    <x v="27"/>
    <x v="3"/>
    <s v="Sunday"/>
    <s v="Yes"/>
    <x v="3"/>
    <x v="3"/>
    <s v="Saxony"/>
    <x v="2"/>
    <s v="A3"/>
    <s v="Diesel"/>
    <x v="2"/>
    <s v="50+"/>
    <s v="Medium"/>
    <x v="0"/>
    <x v="2"/>
    <s v="Sales_12"/>
    <n v="183"/>
    <n v="94"/>
    <n v="70"/>
    <n v="24"/>
    <s v="25.53"/>
    <n v="40477"/>
    <s v="3.92"/>
    <n v="32884"/>
    <n v="971448"/>
    <n v="182232"/>
    <s v="Feb"/>
    <n v="2"/>
    <n v="2026"/>
    <s v="Weekend"/>
    <n v="0.34285714285714286"/>
    <n v="0.51366120218579236"/>
    <n v="0.13114754098360656"/>
    <n v="7593"/>
    <s v="Saxon Wheels"/>
  </r>
  <r>
    <s v="CUST_598"/>
    <x v="0"/>
    <x v="0"/>
    <s v="Monday"/>
    <s v="No"/>
    <x v="3"/>
    <x v="3"/>
    <s v="Saxony"/>
    <x v="4"/>
    <s v="T-Roc"/>
    <s v="Electric"/>
    <x v="0"/>
    <s v="36-50"/>
    <s v="Low"/>
    <x v="1"/>
    <x v="0"/>
    <s v="Sales_2"/>
    <n v="299"/>
    <n v="147"/>
    <n v="92"/>
    <n v="20"/>
    <s v="13.61"/>
    <n v="31938"/>
    <s v="6.4"/>
    <n v="28979"/>
    <n v="638760"/>
    <n v="59180"/>
    <s v="Feb"/>
    <n v="2"/>
    <n v="2026"/>
    <s v="Weekday"/>
    <n v="0.21739130434782608"/>
    <n v="0.49163879598662208"/>
    <n v="6.6889632107023408E-2"/>
    <n v="2959"/>
    <s v="Saxon Wheels"/>
  </r>
  <r>
    <s v="CUST_599"/>
    <x v="15"/>
    <x v="2"/>
    <s v="Thursday"/>
    <s v="No"/>
    <x v="2"/>
    <x v="2"/>
    <s v="Lower Saxony"/>
    <x v="0"/>
    <s v="X5"/>
    <s v="Petrol"/>
    <x v="0"/>
    <s v="36-50"/>
    <s v="Medium"/>
    <x v="0"/>
    <x v="3"/>
    <s v="Sales_15"/>
    <n v="205"/>
    <n v="119"/>
    <n v="86"/>
    <n v="29"/>
    <s v="24.37"/>
    <n v="64430"/>
    <s v="3.82"/>
    <n v="45508"/>
    <n v="1868470"/>
    <n v="548738"/>
    <s v="Feb"/>
    <n v="2"/>
    <n v="2026"/>
    <s v="Weekday"/>
    <n v="0.33720930232558138"/>
    <n v="0.58048780487804874"/>
    <n v="0.14146341463414633"/>
    <n v="18922"/>
    <s v="Hannover Cars"/>
  </r>
  <r>
    <s v="CUST_600"/>
    <x v="4"/>
    <x v="2"/>
    <s v="Wednesday"/>
    <s v="No"/>
    <x v="5"/>
    <x v="5"/>
    <s v="Hamburg"/>
    <x v="3"/>
    <s v="C-Class"/>
    <s v="Electric"/>
    <x v="1"/>
    <s v="26-35"/>
    <s v="Medium"/>
    <x v="1"/>
    <x v="1"/>
    <s v="Sales_12"/>
    <n v="182"/>
    <n v="95"/>
    <n v="65"/>
    <n v="25"/>
    <s v="26.32"/>
    <n v="72108"/>
    <s v="3.2"/>
    <n v="56122"/>
    <n v="1802700"/>
    <n v="399650"/>
    <s v="Feb"/>
    <n v="2"/>
    <n v="2026"/>
    <s v="Weekday"/>
    <n v="0.38461538461538464"/>
    <n v="0.52197802197802201"/>
    <n v="0.13736263736263737"/>
    <n v="15986"/>
    <s v="Elbe Drive"/>
  </r>
  <r>
    <s v="CUST_601"/>
    <x v="20"/>
    <x v="0"/>
    <s v="Thursday"/>
    <s v="No"/>
    <x v="2"/>
    <x v="2"/>
    <s v="Lower Saxony"/>
    <x v="4"/>
    <s v="Tiguan"/>
    <s v="Electric"/>
    <x v="0"/>
    <s v="26-35"/>
    <s v="Low"/>
    <x v="0"/>
    <x v="1"/>
    <s v="Sales_9"/>
    <n v="465"/>
    <n v="228"/>
    <n v="136"/>
    <n v="33"/>
    <s v="14.47"/>
    <n v="27303"/>
    <s v="11.64"/>
    <n v="24541"/>
    <n v="900999"/>
    <n v="91146"/>
    <s v="Feb"/>
    <n v="2"/>
    <n v="2026"/>
    <s v="Weekday"/>
    <n v="0.24264705882352941"/>
    <n v="0.49032258064516127"/>
    <n v="7.0967741935483872E-2"/>
    <n v="2762"/>
    <s v="Hannover Cars"/>
  </r>
  <r>
    <s v="CUST_602"/>
    <x v="7"/>
    <x v="3"/>
    <s v="Monday"/>
    <s v="No"/>
    <x v="8"/>
    <x v="8"/>
    <s v="Baden-WÃ¼rttemberg"/>
    <x v="1"/>
    <s v="Grandland"/>
    <s v="Petrol"/>
    <x v="0"/>
    <s v="50+"/>
    <s v="Medium"/>
    <x v="0"/>
    <x v="1"/>
    <s v="Sales_7"/>
    <n v="261"/>
    <n v="142"/>
    <n v="97"/>
    <n v="23"/>
    <s v="16.2"/>
    <n v="19025"/>
    <s v="13.59"/>
    <n v="17601"/>
    <n v="437575"/>
    <n v="32752"/>
    <s v="Feb"/>
    <n v="2"/>
    <n v="2026"/>
    <s v="Weekday"/>
    <n v="0.23711340206185566"/>
    <n v="0.54406130268199238"/>
    <n v="8.8122605363984668E-2"/>
    <n v="1424"/>
    <s v="Stuttgart Auto Center"/>
  </r>
  <r>
    <s v="CUST_603"/>
    <x v="16"/>
    <x v="1"/>
    <s v="Tuesday"/>
    <s v="No"/>
    <x v="1"/>
    <x v="1"/>
    <s v="NRW"/>
    <x v="3"/>
    <s v="EQE"/>
    <s v="Hybrid"/>
    <x v="1"/>
    <s v="36-50"/>
    <s v="Medium"/>
    <x v="1"/>
    <x v="0"/>
    <s v="Sales_16"/>
    <n v="244"/>
    <n v="120"/>
    <n v="79"/>
    <n v="28"/>
    <s v="23.33"/>
    <n v="54924"/>
    <s v="4.33"/>
    <n v="42804"/>
    <n v="1537872"/>
    <n v="339360"/>
    <s v="Feb"/>
    <n v="2"/>
    <n v="2026"/>
    <s v="Weekday"/>
    <n v="0.35443037974683544"/>
    <n v="0.49180327868852458"/>
    <n v="0.11475409836065574"/>
    <n v="12120"/>
    <s v="Rhein Auto Group"/>
  </r>
  <r>
    <s v="CUST_604"/>
    <x v="7"/>
    <x v="3"/>
    <s v="Monday"/>
    <s v="No"/>
    <x v="4"/>
    <x v="4"/>
    <s v="Berlin"/>
    <x v="1"/>
    <s v="Mokka"/>
    <s v="Hybrid"/>
    <x v="0"/>
    <s v="26-35"/>
    <s v="Low"/>
    <x v="0"/>
    <x v="2"/>
    <s v="Sales_13"/>
    <n v="369"/>
    <n v="195"/>
    <n v="109"/>
    <n v="37"/>
    <s v="18.97"/>
    <n v="22322"/>
    <s v="11.18"/>
    <n v="20056"/>
    <n v="825914"/>
    <n v="83842"/>
    <s v="Feb"/>
    <n v="2"/>
    <n v="2026"/>
    <s v="Weekday"/>
    <n v="0.33944954128440369"/>
    <n v="0.52845528455284552"/>
    <n v="0.1002710027100271"/>
    <n v="2266"/>
    <s v="Autohaus Berlin"/>
  </r>
  <r>
    <s v="CUST_605"/>
    <x v="22"/>
    <x v="3"/>
    <s v="Tuesday"/>
    <s v="No"/>
    <x v="7"/>
    <x v="7"/>
    <s v="Bavaria"/>
    <x v="2"/>
    <s v="Q5"/>
    <s v="Diesel"/>
    <x v="0"/>
    <s v="50+"/>
    <s v="Low"/>
    <x v="0"/>
    <x v="0"/>
    <s v="Sales_19"/>
    <n v="182"/>
    <n v="111"/>
    <n v="76"/>
    <n v="25"/>
    <s v="22.52"/>
    <n v="41758"/>
    <s v="5.13"/>
    <n v="33478"/>
    <n v="1043950"/>
    <n v="207000"/>
    <s v="Feb"/>
    <n v="2"/>
    <n v="2026"/>
    <s v="Weekday"/>
    <n v="0.32894736842105265"/>
    <n v="0.60989010989010994"/>
    <n v="0.13736263736263737"/>
    <n v="8280"/>
    <s v="Bavaria Motors"/>
  </r>
  <r>
    <s v="CUST_606"/>
    <x v="9"/>
    <x v="0"/>
    <s v="Sunday"/>
    <s v="Yes"/>
    <x v="7"/>
    <x v="7"/>
    <s v="Bavaria"/>
    <x v="2"/>
    <s v="A3"/>
    <s v="Hybrid"/>
    <x v="2"/>
    <s v="50+"/>
    <s v="High"/>
    <x v="1"/>
    <x v="0"/>
    <s v="Sales_11"/>
    <n v="160"/>
    <n v="79"/>
    <n v="59"/>
    <n v="16"/>
    <s v="20.25"/>
    <n v="40784"/>
    <s v="4.83"/>
    <n v="32624"/>
    <n v="652544"/>
    <n v="130560"/>
    <s v="Feb"/>
    <n v="2"/>
    <n v="2026"/>
    <s v="Weekend"/>
    <n v="0.2711864406779661"/>
    <n v="0.49375000000000002"/>
    <n v="0.1"/>
    <n v="8160"/>
    <s v="Bavaria Motors"/>
  </r>
  <r>
    <s v="CUST_607"/>
    <x v="14"/>
    <x v="2"/>
    <s v="Friday"/>
    <s v="No"/>
    <x v="3"/>
    <x v="3"/>
    <s v="Saxony"/>
    <x v="2"/>
    <s v="A4"/>
    <s v="Petrol"/>
    <x v="1"/>
    <s v="50+"/>
    <s v="Medium"/>
    <x v="1"/>
    <x v="2"/>
    <s v="Sales_6"/>
    <n v="171"/>
    <n v="101"/>
    <n v="72"/>
    <n v="25"/>
    <s v="24.75"/>
    <n v="52298"/>
    <s v="6.7"/>
    <n v="40337"/>
    <n v="1307450"/>
    <n v="299025"/>
    <s v="Feb"/>
    <n v="2"/>
    <n v="2026"/>
    <s v="Weekday"/>
    <n v="0.34722222222222221"/>
    <n v="0.59064327485380119"/>
    <n v="0.14619883040935672"/>
    <n v="11961"/>
    <s v="Saxon Wheels"/>
  </r>
  <r>
    <s v="CUST_608"/>
    <x v="16"/>
    <x v="1"/>
    <s v="Tuesday"/>
    <s v="No"/>
    <x v="8"/>
    <x v="8"/>
    <s v="Baden-WÃ¼rttemberg"/>
    <x v="4"/>
    <s v="T-Roc"/>
    <s v="Electric"/>
    <x v="0"/>
    <s v="18-25"/>
    <s v="Low"/>
    <x v="0"/>
    <x v="3"/>
    <s v="Sales_10"/>
    <n v="321"/>
    <n v="175"/>
    <n v="113"/>
    <n v="29"/>
    <s v="16.57"/>
    <n v="29874"/>
    <s v="10.03"/>
    <n v="25803"/>
    <n v="866346"/>
    <n v="118059"/>
    <s v="Feb"/>
    <n v="2"/>
    <n v="2026"/>
    <s v="Weekday"/>
    <n v="0.25663716814159293"/>
    <n v="0.54517133956386288"/>
    <n v="9.0342679127725853E-2"/>
    <n v="4071"/>
    <s v="Stuttgart Auto Center"/>
  </r>
  <r>
    <s v="CUST_609"/>
    <x v="13"/>
    <x v="0"/>
    <s v="Friday"/>
    <s v="No"/>
    <x v="6"/>
    <x v="6"/>
    <s v="Saxony"/>
    <x v="4"/>
    <s v="Passat"/>
    <s v="Hybrid"/>
    <x v="1"/>
    <s v="36-50"/>
    <s v="Low"/>
    <x v="0"/>
    <x v="1"/>
    <s v="Sales_7"/>
    <n v="291"/>
    <n v="132"/>
    <n v="81"/>
    <n v="19"/>
    <s v="14.39"/>
    <n v="28188"/>
    <s v="11.65"/>
    <n v="24881"/>
    <n v="535572"/>
    <n v="62833"/>
    <s v="Feb"/>
    <n v="2"/>
    <n v="2026"/>
    <s v="Weekday"/>
    <n v="0.23456790123456789"/>
    <n v="0.45360824742268041"/>
    <n v="6.5292096219931275E-2"/>
    <n v="3307"/>
    <s v="Leipzig Mobility"/>
  </r>
  <r>
    <s v="CUST_610"/>
    <x v="11"/>
    <x v="0"/>
    <s v="Wednesday"/>
    <s v="No"/>
    <x v="4"/>
    <x v="4"/>
    <s v="Berlin"/>
    <x v="4"/>
    <s v="ID.4"/>
    <s v="Petrol"/>
    <x v="0"/>
    <s v="50+"/>
    <s v="Medium"/>
    <x v="1"/>
    <x v="1"/>
    <s v="Sales_18"/>
    <n v="397"/>
    <n v="168"/>
    <n v="99"/>
    <n v="34"/>
    <s v="20.24"/>
    <n v="28870"/>
    <s v="10.64"/>
    <n v="25625"/>
    <n v="981580"/>
    <n v="110330"/>
    <s v="Feb"/>
    <n v="2"/>
    <n v="2026"/>
    <s v="Weekday"/>
    <n v="0.34343434343434343"/>
    <n v="0.42317380352644834"/>
    <n v="8.5642317380352648E-2"/>
    <n v="3245"/>
    <s v="Autohaus Berlin"/>
  </r>
  <r>
    <s v="CUST_611"/>
    <x v="13"/>
    <x v="0"/>
    <s v="Friday"/>
    <s v="No"/>
    <x v="3"/>
    <x v="3"/>
    <s v="Saxony"/>
    <x v="3"/>
    <s v="C-Class"/>
    <s v="Diesel"/>
    <x v="1"/>
    <s v="18-25"/>
    <s v="High"/>
    <x v="1"/>
    <x v="0"/>
    <s v="Sales_12"/>
    <n v="270"/>
    <n v="151"/>
    <n v="100"/>
    <n v="35"/>
    <s v="23.18"/>
    <n v="61059"/>
    <s v="4.34"/>
    <n v="47252"/>
    <n v="2137065"/>
    <n v="483245"/>
    <s v="Feb"/>
    <n v="2"/>
    <n v="2026"/>
    <s v="Weekday"/>
    <n v="0.35"/>
    <n v="0.55925925925925923"/>
    <n v="0.12962962962962962"/>
    <n v="13807"/>
    <s v="Saxon Wheels"/>
  </r>
  <r>
    <s v="CUST_612"/>
    <x v="8"/>
    <x v="3"/>
    <s v="Wednesday"/>
    <s v="No"/>
    <x v="3"/>
    <x v="3"/>
    <s v="Saxony"/>
    <x v="0"/>
    <s v="i4"/>
    <s v="Diesel"/>
    <x v="1"/>
    <s v="26-35"/>
    <s v="Low"/>
    <x v="0"/>
    <x v="0"/>
    <s v="Sales_2"/>
    <n v="235"/>
    <n v="125"/>
    <n v="102"/>
    <n v="34"/>
    <s v="27.2"/>
    <n v="54945"/>
    <s v="2.88"/>
    <n v="39978"/>
    <n v="1868130"/>
    <n v="508878"/>
    <s v="Feb"/>
    <n v="2"/>
    <n v="2026"/>
    <s v="Weekday"/>
    <n v="0.33333333333333331"/>
    <n v="0.53191489361702127"/>
    <n v="0.14468085106382977"/>
    <n v="14967"/>
    <s v="Saxon Wheels"/>
  </r>
  <r>
    <s v="CUST_613"/>
    <x v="21"/>
    <x v="0"/>
    <s v="Tuesday"/>
    <s v="No"/>
    <x v="8"/>
    <x v="8"/>
    <s v="Baden-WÃ¼rttemberg"/>
    <x v="4"/>
    <s v="Golf"/>
    <s v="Electric"/>
    <x v="2"/>
    <s v="36-50"/>
    <s v="Medium"/>
    <x v="0"/>
    <x v="3"/>
    <s v="Sales_14"/>
    <n v="398"/>
    <n v="217"/>
    <n v="145"/>
    <n v="35"/>
    <s v="16.13"/>
    <n v="26653"/>
    <s v="11.89"/>
    <n v="23843"/>
    <n v="932855"/>
    <n v="98350"/>
    <s v="Feb"/>
    <n v="2"/>
    <n v="2026"/>
    <s v="Weekday"/>
    <n v="0.2413793103448276"/>
    <n v="0.54522613065326631"/>
    <n v="8.7939698492462318E-2"/>
    <n v="2810"/>
    <s v="Stuttgart Auto Center"/>
  </r>
  <r>
    <s v="CUST_614"/>
    <x v="13"/>
    <x v="0"/>
    <s v="Friday"/>
    <s v="No"/>
    <x v="7"/>
    <x v="7"/>
    <s v="Bavaria"/>
    <x v="1"/>
    <s v="Grandland"/>
    <s v="Diesel"/>
    <x v="0"/>
    <s v="36-50"/>
    <s v="Medium"/>
    <x v="1"/>
    <x v="2"/>
    <s v="Sales_5"/>
    <n v="243"/>
    <n v="97"/>
    <n v="57"/>
    <n v="21"/>
    <s v="21.65"/>
    <n v="23932"/>
    <s v="7.54"/>
    <n v="21344"/>
    <n v="502572"/>
    <n v="54348"/>
    <s v="Feb"/>
    <n v="2"/>
    <n v="2026"/>
    <s v="Weekday"/>
    <n v="0.36842105263157893"/>
    <n v="0.3991769547325103"/>
    <n v="8.6419753086419748E-2"/>
    <n v="2588"/>
    <s v="Bavaria Motors"/>
  </r>
  <r>
    <s v="CUST_615"/>
    <x v="9"/>
    <x v="0"/>
    <s v="Sunday"/>
    <s v="Yes"/>
    <x v="2"/>
    <x v="2"/>
    <s v="Lower Saxony"/>
    <x v="1"/>
    <s v="Crossland"/>
    <s v="Electric"/>
    <x v="0"/>
    <s v="18-25"/>
    <s v="Medium"/>
    <x v="1"/>
    <x v="2"/>
    <s v="Sales_6"/>
    <n v="382"/>
    <n v="187"/>
    <n v="130"/>
    <n v="32"/>
    <s v="17.11"/>
    <n v="26980"/>
    <s v="8.91"/>
    <n v="24428"/>
    <n v="863360"/>
    <n v="81664"/>
    <s v="Feb"/>
    <n v="2"/>
    <n v="2026"/>
    <s v="Weekend"/>
    <n v="0.24615384615384617"/>
    <n v="0.48952879581151831"/>
    <n v="8.3769633507853408E-2"/>
    <n v="2552"/>
    <s v="Hannover Cars"/>
  </r>
  <r>
    <s v="CUST_616"/>
    <x v="22"/>
    <x v="3"/>
    <s v="Tuesday"/>
    <s v="No"/>
    <x v="8"/>
    <x v="8"/>
    <s v="Baden-WÃ¼rttemberg"/>
    <x v="0"/>
    <s v="X3"/>
    <s v="Electric"/>
    <x v="0"/>
    <s v="26-35"/>
    <s v="High"/>
    <x v="1"/>
    <x v="3"/>
    <s v="Sales_15"/>
    <n v="191"/>
    <n v="111"/>
    <n v="76"/>
    <n v="31"/>
    <s v="27.93"/>
    <n v="58937"/>
    <s v="4.31"/>
    <n v="41353"/>
    <n v="1827047"/>
    <n v="545104"/>
    <s v="Feb"/>
    <n v="2"/>
    <n v="2026"/>
    <s v="Weekday"/>
    <n v="0.40789473684210525"/>
    <n v="0.58115183246073299"/>
    <n v="0.16230366492146597"/>
    <n v="17584"/>
    <s v="Stuttgart Auto Center"/>
  </r>
  <r>
    <s v="CUST_617"/>
    <x v="27"/>
    <x v="3"/>
    <s v="Sunday"/>
    <s v="Yes"/>
    <x v="9"/>
    <x v="9"/>
    <s v="NRW"/>
    <x v="2"/>
    <s v="Q5"/>
    <s v="Hybrid"/>
    <x v="0"/>
    <s v="18-25"/>
    <s v="Low"/>
    <x v="1"/>
    <x v="1"/>
    <s v="Sales_10"/>
    <n v="306"/>
    <n v="173"/>
    <n v="115"/>
    <n v="36"/>
    <s v="20.81"/>
    <n v="41124"/>
    <s v="4.63"/>
    <n v="33183"/>
    <n v="1480464"/>
    <n v="285876"/>
    <s v="Feb"/>
    <n v="2"/>
    <n v="2026"/>
    <s v="Weekend"/>
    <n v="0.31304347826086959"/>
    <n v="0.565359477124183"/>
    <n v="0.11764705882352941"/>
    <n v="7941"/>
    <s v="Ruhr Auto Plaza"/>
  </r>
  <r>
    <s v="CUST_618"/>
    <x v="17"/>
    <x v="2"/>
    <s v="Sunday"/>
    <s v="Yes"/>
    <x v="4"/>
    <x v="4"/>
    <s v="Berlin"/>
    <x v="1"/>
    <s v="Mokka"/>
    <s v="Hybrid"/>
    <x v="0"/>
    <s v="36-50"/>
    <s v="Medium"/>
    <x v="1"/>
    <x v="3"/>
    <s v="Sales_11"/>
    <n v="303"/>
    <n v="121"/>
    <n v="79"/>
    <n v="17"/>
    <s v="14.05"/>
    <n v="23094"/>
    <s v="8.47"/>
    <n v="20669"/>
    <n v="392598"/>
    <n v="41225"/>
    <s v="Feb"/>
    <n v="2"/>
    <n v="2026"/>
    <s v="Weekend"/>
    <n v="0.21518987341772153"/>
    <n v="0.39933993399339934"/>
    <n v="5.6105610561056105E-2"/>
    <n v="2425"/>
    <s v="Autohaus Berlin"/>
  </r>
  <r>
    <s v="CUST_619"/>
    <x v="18"/>
    <x v="0"/>
    <s v="Saturday"/>
    <s v="Yes"/>
    <x v="1"/>
    <x v="1"/>
    <s v="NRW"/>
    <x v="1"/>
    <s v="Crossland"/>
    <s v="Electric"/>
    <x v="0"/>
    <s v="36-50"/>
    <s v="Low"/>
    <x v="0"/>
    <x v="2"/>
    <s v="Sales_17"/>
    <n v="280"/>
    <n v="109"/>
    <n v="66"/>
    <n v="21"/>
    <s v="19.27"/>
    <n v="26668"/>
    <s v="9.58"/>
    <n v="24333"/>
    <n v="560028"/>
    <n v="49035"/>
    <s v="Feb"/>
    <n v="2"/>
    <n v="2026"/>
    <s v="Weekend"/>
    <n v="0.31818181818181818"/>
    <n v="0.38928571428571429"/>
    <n v="7.4999999999999997E-2"/>
    <n v="2335"/>
    <s v="Rhein Auto Group"/>
  </r>
  <r>
    <s v="CUST_620"/>
    <x v="0"/>
    <x v="0"/>
    <s v="Monday"/>
    <s v="No"/>
    <x v="7"/>
    <x v="7"/>
    <s v="Bavaria"/>
    <x v="3"/>
    <s v="E-Class"/>
    <s v="Hybrid"/>
    <x v="1"/>
    <s v="36-50"/>
    <s v="High"/>
    <x v="1"/>
    <x v="0"/>
    <s v="Sales_7"/>
    <n v="216"/>
    <n v="121"/>
    <n v="94"/>
    <n v="27"/>
    <s v="22.31"/>
    <n v="53265"/>
    <s v="4.99"/>
    <n v="38619"/>
    <n v="1438155"/>
    <n v="395442"/>
    <s v="Feb"/>
    <n v="2"/>
    <n v="2026"/>
    <s v="Weekday"/>
    <n v="0.28723404255319152"/>
    <n v="0.56018518518518523"/>
    <n v="0.125"/>
    <n v="14646"/>
    <s v="Bavaria Motors"/>
  </r>
  <r>
    <s v="CUST_621"/>
    <x v="5"/>
    <x v="3"/>
    <s v="Saturday"/>
    <s v="Yes"/>
    <x v="8"/>
    <x v="8"/>
    <s v="Baden-WÃ¼rttemberg"/>
    <x v="3"/>
    <s v="GLC"/>
    <s v="Petrol"/>
    <x v="0"/>
    <s v="36-50"/>
    <s v="High"/>
    <x v="1"/>
    <x v="3"/>
    <s v="Sales_9"/>
    <n v="269"/>
    <n v="122"/>
    <n v="95"/>
    <n v="28"/>
    <s v="22.95"/>
    <n v="56561"/>
    <s v="4.42"/>
    <n v="43636"/>
    <n v="1583708"/>
    <n v="361900"/>
    <s v="Feb"/>
    <n v="2"/>
    <n v="2026"/>
    <s v="Weekend"/>
    <n v="0.29473684210526313"/>
    <n v="0.45353159851301117"/>
    <n v="0.10408921933085502"/>
    <n v="12925"/>
    <s v="Stuttgart Auto Center"/>
  </r>
  <r>
    <s v="CUST_622"/>
    <x v="20"/>
    <x v="0"/>
    <s v="Thursday"/>
    <s v="No"/>
    <x v="3"/>
    <x v="3"/>
    <s v="Saxony"/>
    <x v="4"/>
    <s v="ID.4"/>
    <s v="Electric"/>
    <x v="0"/>
    <s v="50+"/>
    <s v="Medium"/>
    <x v="0"/>
    <x v="1"/>
    <s v="Sales_9"/>
    <n v="517"/>
    <n v="227"/>
    <n v="158"/>
    <n v="36"/>
    <s v="15.86"/>
    <n v="25588"/>
    <s v="9.76"/>
    <n v="22490"/>
    <n v="921168"/>
    <n v="111528"/>
    <s v="Feb"/>
    <n v="2"/>
    <n v="2026"/>
    <s v="Weekday"/>
    <n v="0.22784810126582278"/>
    <n v="0.43907156673114117"/>
    <n v="6.9632495164410058E-2"/>
    <n v="3098"/>
    <s v="Saxon Wheels"/>
  </r>
  <r>
    <s v="CUST_623"/>
    <x v="20"/>
    <x v="0"/>
    <s v="Thursday"/>
    <s v="No"/>
    <x v="2"/>
    <x v="2"/>
    <s v="Lower Saxony"/>
    <x v="0"/>
    <s v="i4"/>
    <s v="Petrol"/>
    <x v="1"/>
    <s v="50+"/>
    <s v="Medium"/>
    <x v="1"/>
    <x v="3"/>
    <s v="Sales_11"/>
    <n v="247"/>
    <n v="143"/>
    <n v="113"/>
    <n v="39"/>
    <s v="27.27"/>
    <n v="66125"/>
    <s v="2.38"/>
    <n v="46700"/>
    <n v="2578875"/>
    <n v="757575"/>
    <s v="Feb"/>
    <n v="2"/>
    <n v="2026"/>
    <s v="Weekday"/>
    <n v="0.34513274336283184"/>
    <n v="0.57894736842105265"/>
    <n v="0.15789473684210525"/>
    <n v="19425"/>
    <s v="Hannover Cars"/>
  </r>
  <r>
    <s v="CUST_624"/>
    <x v="14"/>
    <x v="2"/>
    <s v="Friday"/>
    <s v="No"/>
    <x v="8"/>
    <x v="8"/>
    <s v="Baden-WÃ¼rttemberg"/>
    <x v="1"/>
    <s v="Mokka"/>
    <s v="Diesel"/>
    <x v="0"/>
    <s v="26-35"/>
    <s v="Medium"/>
    <x v="1"/>
    <x v="0"/>
    <s v="Sales_1"/>
    <n v="314"/>
    <n v="132"/>
    <n v="76"/>
    <n v="19"/>
    <s v="14.39"/>
    <n v="19653"/>
    <s v="12.11"/>
    <n v="18086"/>
    <n v="373407"/>
    <n v="29773"/>
    <s v="Feb"/>
    <n v="2"/>
    <n v="2026"/>
    <s v="Weekday"/>
    <n v="0.25"/>
    <n v="0.42038216560509556"/>
    <n v="6.0509554140127389E-2"/>
    <n v="1567"/>
    <s v="Stuttgart Auto Center"/>
  </r>
  <r>
    <s v="CUST_625"/>
    <x v="24"/>
    <x v="1"/>
    <s v="Thursday"/>
    <s v="No"/>
    <x v="9"/>
    <x v="9"/>
    <s v="NRW"/>
    <x v="3"/>
    <s v="GLC"/>
    <s v="Diesel"/>
    <x v="0"/>
    <s v="50+"/>
    <s v="Low"/>
    <x v="1"/>
    <x v="1"/>
    <s v="Sales_16"/>
    <n v="170"/>
    <n v="101"/>
    <n v="74"/>
    <n v="24"/>
    <s v="23.76"/>
    <n v="59150"/>
    <s v="2.58"/>
    <n v="42119"/>
    <n v="1419600"/>
    <n v="408744"/>
    <s v="Feb"/>
    <n v="2"/>
    <n v="2026"/>
    <s v="Weekday"/>
    <n v="0.32432432432432434"/>
    <n v="0.59411764705882353"/>
    <n v="0.14117647058823529"/>
    <n v="17031"/>
    <s v="Ruhr Auto Plaza"/>
  </r>
  <r>
    <s v="CUST_626"/>
    <x v="13"/>
    <x v="0"/>
    <s v="Friday"/>
    <s v="No"/>
    <x v="2"/>
    <x v="2"/>
    <s v="Lower Saxony"/>
    <x v="0"/>
    <s v="X5"/>
    <s v="Petrol"/>
    <x v="0"/>
    <s v="50+"/>
    <s v="Medium"/>
    <x v="0"/>
    <x v="3"/>
    <s v="Sales_17"/>
    <n v="214"/>
    <n v="100"/>
    <n v="72"/>
    <n v="27"/>
    <s v="27.0"/>
    <n v="57654"/>
    <s v="5.03"/>
    <n v="40605"/>
    <n v="1556658"/>
    <n v="460323"/>
    <s v="Feb"/>
    <n v="2"/>
    <n v="2026"/>
    <s v="Weekday"/>
    <n v="0.375"/>
    <n v="0.46728971962616822"/>
    <n v="0.12616822429906541"/>
    <n v="17049"/>
    <s v="Hannover Cars"/>
  </r>
  <r>
    <s v="CUST_627"/>
    <x v="6"/>
    <x v="2"/>
    <s v="Saturday"/>
    <s v="Yes"/>
    <x v="3"/>
    <x v="3"/>
    <s v="Saxony"/>
    <x v="1"/>
    <s v="Astra"/>
    <s v="Electric"/>
    <x v="2"/>
    <s v="26-35"/>
    <s v="Low"/>
    <x v="1"/>
    <x v="3"/>
    <s v="Sales_14"/>
    <n v="403"/>
    <n v="172"/>
    <n v="105"/>
    <n v="19"/>
    <s v="11.05"/>
    <n v="21573"/>
    <s v="7.28"/>
    <n v="20000"/>
    <n v="409887"/>
    <n v="29887"/>
    <s v="Feb"/>
    <n v="2"/>
    <n v="2026"/>
    <s v="Weekend"/>
    <n v="0.18095238095238095"/>
    <n v="0.42679900744416871"/>
    <n v="4.7146401985111663E-2"/>
    <n v="1573"/>
    <s v="Saxon Wheels"/>
  </r>
  <r>
    <s v="CUST_628"/>
    <x v="2"/>
    <x v="2"/>
    <s v="Monday"/>
    <s v="No"/>
    <x v="3"/>
    <x v="3"/>
    <s v="Saxony"/>
    <x v="2"/>
    <s v="e-tron"/>
    <s v="Diesel"/>
    <x v="0"/>
    <s v="18-25"/>
    <s v="Low"/>
    <x v="1"/>
    <x v="2"/>
    <s v="Sales_3"/>
    <n v="260"/>
    <n v="147"/>
    <n v="96"/>
    <n v="34"/>
    <s v="23.13"/>
    <n v="50039"/>
    <s v="3.55"/>
    <n v="40991"/>
    <n v="1701326"/>
    <n v="307632"/>
    <s v="Feb"/>
    <n v="2"/>
    <n v="2026"/>
    <s v="Weekday"/>
    <n v="0.35416666666666669"/>
    <n v="0.56538461538461537"/>
    <n v="0.13076923076923078"/>
    <n v="9048"/>
    <s v="Saxon Wheels"/>
  </r>
  <r>
    <s v="CUST_629"/>
    <x v="1"/>
    <x v="1"/>
    <s v="Wednesday"/>
    <s v="No"/>
    <x v="3"/>
    <x v="3"/>
    <s v="Saxony"/>
    <x v="3"/>
    <s v="EQE"/>
    <s v="Electric"/>
    <x v="1"/>
    <s v="26-35"/>
    <s v="High"/>
    <x v="1"/>
    <x v="0"/>
    <s v="Sales_15"/>
    <n v="160"/>
    <n v="89"/>
    <n v="66"/>
    <n v="20"/>
    <s v="22.47"/>
    <n v="67793"/>
    <s v="5.99"/>
    <n v="51713"/>
    <n v="1355860"/>
    <n v="321600"/>
    <s v="Feb"/>
    <n v="2"/>
    <n v="2026"/>
    <s v="Weekday"/>
    <n v="0.30303030303030304"/>
    <n v="0.55625000000000002"/>
    <n v="0.125"/>
    <n v="16080"/>
    <s v="Saxon Wheels"/>
  </r>
  <r>
    <s v="CUST_630"/>
    <x v="2"/>
    <x v="2"/>
    <s v="Monday"/>
    <s v="No"/>
    <x v="4"/>
    <x v="4"/>
    <s v="Berlin"/>
    <x v="4"/>
    <s v="Passat"/>
    <s v="Hybrid"/>
    <x v="1"/>
    <s v="18-25"/>
    <s v="Low"/>
    <x v="1"/>
    <x v="1"/>
    <s v="Sales_9"/>
    <n v="520"/>
    <n v="251"/>
    <n v="150"/>
    <n v="40"/>
    <s v="15.94"/>
    <n v="30744"/>
    <s v="9.37"/>
    <n v="26712"/>
    <n v="1229760"/>
    <n v="161280"/>
    <s v="Feb"/>
    <n v="2"/>
    <n v="2026"/>
    <s v="Weekday"/>
    <n v="0.26666666666666666"/>
    <n v="0.4826923076923077"/>
    <n v="7.6923076923076927E-2"/>
    <n v="4032"/>
    <s v="Autohaus Berlin"/>
  </r>
  <r>
    <s v="CUST_631"/>
    <x v="10"/>
    <x v="1"/>
    <s v="Monday"/>
    <s v="No"/>
    <x v="5"/>
    <x v="5"/>
    <s v="Hamburg"/>
    <x v="2"/>
    <s v="Q5"/>
    <s v="Electric"/>
    <x v="0"/>
    <s v="18-25"/>
    <s v="Medium"/>
    <x v="0"/>
    <x v="0"/>
    <s v="Sales_9"/>
    <n v="219"/>
    <n v="112"/>
    <n v="78"/>
    <n v="23"/>
    <s v="20.54"/>
    <n v="55225"/>
    <s v="4.35"/>
    <n v="41630"/>
    <n v="1270175"/>
    <n v="312685"/>
    <s v="Feb"/>
    <n v="2"/>
    <n v="2026"/>
    <s v="Weekday"/>
    <n v="0.29487179487179488"/>
    <n v="0.51141552511415522"/>
    <n v="0.1050228310502283"/>
    <n v="13595"/>
    <s v="Elbe Drive"/>
  </r>
  <r>
    <s v="CUST_632"/>
    <x v="11"/>
    <x v="0"/>
    <s v="Wednesday"/>
    <s v="No"/>
    <x v="1"/>
    <x v="1"/>
    <s v="NRW"/>
    <x v="4"/>
    <s v="ID.4"/>
    <s v="Hybrid"/>
    <x v="0"/>
    <s v="26-35"/>
    <s v="High"/>
    <x v="0"/>
    <x v="3"/>
    <s v="Sales_2"/>
    <n v="351"/>
    <n v="148"/>
    <n v="90"/>
    <n v="20"/>
    <s v="13.51"/>
    <n v="29085"/>
    <s v="10.89"/>
    <n v="26027"/>
    <n v="581700"/>
    <n v="61160"/>
    <s v="Feb"/>
    <n v="2"/>
    <n v="2026"/>
    <s v="Weekday"/>
    <n v="0.22222222222222221"/>
    <n v="0.42165242165242167"/>
    <n v="5.6980056980056981E-2"/>
    <n v="3058"/>
    <s v="Rhein Auto Group"/>
  </r>
  <r>
    <s v="CUST_633"/>
    <x v="11"/>
    <x v="0"/>
    <s v="Wednesday"/>
    <s v="No"/>
    <x v="1"/>
    <x v="1"/>
    <s v="NRW"/>
    <x v="2"/>
    <s v="A3"/>
    <s v="Petrol"/>
    <x v="2"/>
    <s v="18-25"/>
    <s v="Low"/>
    <x v="0"/>
    <x v="1"/>
    <s v="Sales_18"/>
    <n v="231"/>
    <n v="147"/>
    <n v="105"/>
    <n v="36"/>
    <s v="24.49"/>
    <n v="49212"/>
    <s v="5.99"/>
    <n v="37323"/>
    <n v="1771632"/>
    <n v="428004"/>
    <s v="Feb"/>
    <n v="2"/>
    <n v="2026"/>
    <s v="Weekday"/>
    <n v="0.34285714285714286"/>
    <n v="0.63636363636363635"/>
    <n v="0.15584415584415584"/>
    <n v="11889"/>
    <s v="Rhein Auto Group"/>
  </r>
  <r>
    <s v="CUST_634"/>
    <x v="4"/>
    <x v="2"/>
    <s v="Wednesday"/>
    <s v="No"/>
    <x v="5"/>
    <x v="5"/>
    <s v="Hamburg"/>
    <x v="1"/>
    <s v="Grandland"/>
    <s v="Hybrid"/>
    <x v="0"/>
    <s v="18-25"/>
    <s v="High"/>
    <x v="0"/>
    <x v="0"/>
    <s v="Sales_16"/>
    <n v="407"/>
    <n v="216"/>
    <n v="126"/>
    <n v="39"/>
    <s v="18.06"/>
    <n v="25567"/>
    <s v="7.66"/>
    <n v="23656"/>
    <n v="997113"/>
    <n v="74529"/>
    <s v="Feb"/>
    <n v="2"/>
    <n v="2026"/>
    <s v="Weekday"/>
    <n v="0.30952380952380953"/>
    <n v="0.53071253071253066"/>
    <n v="9.5823095823095825E-2"/>
    <n v="1911"/>
    <s v="Elbe Drive"/>
  </r>
  <r>
    <s v="CUST_635"/>
    <x v="7"/>
    <x v="3"/>
    <s v="Monday"/>
    <s v="No"/>
    <x v="8"/>
    <x v="8"/>
    <s v="Baden-WÃ¼rttemberg"/>
    <x v="3"/>
    <s v="GLC"/>
    <s v="Electric"/>
    <x v="0"/>
    <s v="26-35"/>
    <s v="High"/>
    <x v="1"/>
    <x v="0"/>
    <s v="Sales_10"/>
    <n v="240"/>
    <n v="120"/>
    <n v="95"/>
    <n v="31"/>
    <s v="25.83"/>
    <n v="53653"/>
    <s v="4.25"/>
    <n v="41568"/>
    <n v="1663243"/>
    <n v="374635"/>
    <s v="Feb"/>
    <n v="2"/>
    <n v="2026"/>
    <s v="Weekday"/>
    <n v="0.32631578947368423"/>
    <n v="0.5"/>
    <n v="0.12916666666666668"/>
    <n v="12085"/>
    <s v="Stuttgart Auto Center"/>
  </r>
  <r>
    <s v="CUST_636"/>
    <x v="16"/>
    <x v="1"/>
    <s v="Tuesday"/>
    <s v="No"/>
    <x v="8"/>
    <x v="8"/>
    <s v="Baden-WÃ¼rttemberg"/>
    <x v="3"/>
    <s v="EQE"/>
    <s v="Diesel"/>
    <x v="1"/>
    <s v="18-25"/>
    <s v="High"/>
    <x v="0"/>
    <x v="1"/>
    <s v="Sales_5"/>
    <n v="157"/>
    <n v="83"/>
    <n v="66"/>
    <n v="23"/>
    <s v="27.71"/>
    <n v="70229"/>
    <s v="4.43"/>
    <n v="50772"/>
    <n v="1615267"/>
    <n v="447511"/>
    <s v="Feb"/>
    <n v="2"/>
    <n v="2026"/>
    <s v="Weekday"/>
    <n v="0.34848484848484851"/>
    <n v="0.5286624203821656"/>
    <n v="0.1464968152866242"/>
    <n v="19457"/>
    <s v="Stuttgart Auto Center"/>
  </r>
  <r>
    <s v="CUST_637"/>
    <x v="4"/>
    <x v="2"/>
    <s v="Wednesday"/>
    <s v="No"/>
    <x v="2"/>
    <x v="2"/>
    <s v="Lower Saxony"/>
    <x v="2"/>
    <s v="A4"/>
    <s v="Petrol"/>
    <x v="1"/>
    <s v="18-25"/>
    <s v="High"/>
    <x v="0"/>
    <x v="3"/>
    <s v="Sales_15"/>
    <n v="224"/>
    <n v="132"/>
    <n v="101"/>
    <n v="30"/>
    <s v="22.73"/>
    <n v="52333"/>
    <s v="6.19"/>
    <n v="39378"/>
    <n v="1569990"/>
    <n v="388650"/>
    <s v="Feb"/>
    <n v="2"/>
    <n v="2026"/>
    <s v="Weekday"/>
    <n v="0.29702970297029702"/>
    <n v="0.5892857142857143"/>
    <n v="0.13392857142857142"/>
    <n v="12955"/>
    <s v="Hannover Cars"/>
  </r>
  <r>
    <s v="CUST_638"/>
    <x v="7"/>
    <x v="3"/>
    <s v="Monday"/>
    <s v="No"/>
    <x v="5"/>
    <x v="5"/>
    <s v="Hamburg"/>
    <x v="4"/>
    <s v="T-Roc"/>
    <s v="Hybrid"/>
    <x v="0"/>
    <s v="50+"/>
    <s v="Low"/>
    <x v="1"/>
    <x v="1"/>
    <s v="Sales_15"/>
    <n v="420"/>
    <n v="178"/>
    <n v="117"/>
    <n v="32"/>
    <s v="17.98"/>
    <n v="26100"/>
    <s v="6.85"/>
    <n v="23053"/>
    <n v="835200"/>
    <n v="97504"/>
    <s v="Feb"/>
    <n v="2"/>
    <n v="2026"/>
    <s v="Weekday"/>
    <n v="0.27350427350427353"/>
    <n v="0.4238095238095238"/>
    <n v="7.6190476190476197E-2"/>
    <n v="3047"/>
    <s v="Elbe Drive"/>
  </r>
  <r>
    <s v="CUST_639"/>
    <x v="26"/>
    <x v="1"/>
    <s v="Friday"/>
    <s v="No"/>
    <x v="0"/>
    <x v="0"/>
    <s v="Hesse"/>
    <x v="0"/>
    <s v="3 Series"/>
    <s v="Hybrid"/>
    <x v="1"/>
    <s v="36-50"/>
    <s v="Medium"/>
    <x v="0"/>
    <x v="1"/>
    <s v="Sales_7"/>
    <n v="276"/>
    <n v="124"/>
    <n v="90"/>
    <n v="38"/>
    <s v="30.65"/>
    <n v="50786"/>
    <s v="3.33"/>
    <n v="37519"/>
    <n v="1929868"/>
    <n v="504146"/>
    <s v="Feb"/>
    <n v="2"/>
    <n v="2026"/>
    <s v="Weekday"/>
    <n v="0.42222222222222222"/>
    <n v="0.44927536231884058"/>
    <n v="0.13768115942028986"/>
    <n v="13267"/>
    <s v="Main Auto Hub"/>
  </r>
  <r>
    <s v="CUST_640"/>
    <x v="19"/>
    <x v="1"/>
    <s v="Saturday"/>
    <s v="Yes"/>
    <x v="9"/>
    <x v="9"/>
    <s v="NRW"/>
    <x v="2"/>
    <s v="Q5"/>
    <s v="Electric"/>
    <x v="0"/>
    <s v="26-35"/>
    <s v="High"/>
    <x v="1"/>
    <x v="2"/>
    <s v="Sales_17"/>
    <n v="307"/>
    <n v="156"/>
    <n v="112"/>
    <n v="39"/>
    <s v="25.0"/>
    <n v="53535"/>
    <s v="6.06"/>
    <n v="41595"/>
    <n v="2087865"/>
    <n v="465660"/>
    <s v="Feb"/>
    <n v="2"/>
    <n v="2026"/>
    <s v="Weekend"/>
    <n v="0.3482142857142857"/>
    <n v="0.50814332247557004"/>
    <n v="0.12703583061889251"/>
    <n v="11940"/>
    <s v="Ruhr Auto Plaza"/>
  </r>
  <r>
    <s v="CUST_641"/>
    <x v="7"/>
    <x v="3"/>
    <s v="Monday"/>
    <s v="No"/>
    <x v="7"/>
    <x v="7"/>
    <s v="Bavaria"/>
    <x v="0"/>
    <s v="3 Series"/>
    <s v="Petrol"/>
    <x v="1"/>
    <s v="50+"/>
    <s v="Medium"/>
    <x v="0"/>
    <x v="2"/>
    <s v="Sales_20"/>
    <n v="250"/>
    <n v="149"/>
    <n v="101"/>
    <n v="47"/>
    <s v="31.54"/>
    <n v="55011"/>
    <s v="3.24"/>
    <n v="39573"/>
    <n v="2585517"/>
    <n v="725586"/>
    <s v="Feb"/>
    <n v="2"/>
    <n v="2026"/>
    <s v="Weekday"/>
    <n v="0.46534653465346537"/>
    <n v="0.59599999999999997"/>
    <n v="0.188"/>
    <n v="15438"/>
    <s v="Bavaria Motors"/>
  </r>
  <r>
    <s v="CUST_642"/>
    <x v="26"/>
    <x v="1"/>
    <s v="Friday"/>
    <s v="No"/>
    <x v="4"/>
    <x v="4"/>
    <s v="Berlin"/>
    <x v="1"/>
    <s v="Grandland"/>
    <s v="Diesel"/>
    <x v="0"/>
    <s v="18-25"/>
    <s v="High"/>
    <x v="1"/>
    <x v="1"/>
    <s v="Sales_3"/>
    <n v="235"/>
    <n v="120"/>
    <n v="70"/>
    <n v="20"/>
    <s v="16.67"/>
    <n v="25941"/>
    <s v="8.62"/>
    <n v="23625"/>
    <n v="518820"/>
    <n v="46320"/>
    <s v="Feb"/>
    <n v="2"/>
    <n v="2026"/>
    <s v="Weekday"/>
    <n v="0.2857142857142857"/>
    <n v="0.51063829787234039"/>
    <n v="8.5106382978723402E-2"/>
    <n v="2316"/>
    <s v="Autohaus Berlin"/>
  </r>
  <r>
    <s v="CUST_643"/>
    <x v="23"/>
    <x v="2"/>
    <s v="Tuesday"/>
    <s v="No"/>
    <x v="4"/>
    <x v="4"/>
    <s v="Berlin"/>
    <x v="2"/>
    <s v="e-tron"/>
    <s v="Hybrid"/>
    <x v="0"/>
    <s v="50+"/>
    <s v="Low"/>
    <x v="0"/>
    <x v="2"/>
    <s v="Sales_17"/>
    <n v="310"/>
    <n v="157"/>
    <n v="110"/>
    <n v="45"/>
    <s v="28.66"/>
    <n v="43194"/>
    <s v="6.2"/>
    <n v="32837"/>
    <n v="1943730"/>
    <n v="466065"/>
    <s v="Feb"/>
    <n v="2"/>
    <n v="2026"/>
    <s v="Weekday"/>
    <n v="0.40909090909090912"/>
    <n v="0.50645161290322582"/>
    <n v="0.14516129032258066"/>
    <n v="10357"/>
    <s v="Autohaus Berlin"/>
  </r>
  <r>
    <s v="CUST_644"/>
    <x v="2"/>
    <x v="2"/>
    <s v="Monday"/>
    <s v="No"/>
    <x v="9"/>
    <x v="9"/>
    <s v="NRW"/>
    <x v="1"/>
    <s v="Grandland"/>
    <s v="Electric"/>
    <x v="0"/>
    <s v="18-25"/>
    <s v="Low"/>
    <x v="1"/>
    <x v="2"/>
    <s v="Sales_12"/>
    <n v="317"/>
    <n v="142"/>
    <n v="95"/>
    <n v="27"/>
    <s v="19.01"/>
    <n v="24511"/>
    <s v="10.23"/>
    <n v="22398"/>
    <n v="661797"/>
    <n v="57051"/>
    <s v="Feb"/>
    <n v="2"/>
    <n v="2026"/>
    <s v="Weekday"/>
    <n v="0.28421052631578947"/>
    <n v="0.44794952681388012"/>
    <n v="8.5173501577287064E-2"/>
    <n v="2113"/>
    <s v="Ruhr Auto Plaza"/>
  </r>
  <r>
    <s v="CUST_645"/>
    <x v="20"/>
    <x v="0"/>
    <s v="Thursday"/>
    <s v="No"/>
    <x v="6"/>
    <x v="6"/>
    <s v="Saxony"/>
    <x v="3"/>
    <s v="GLE"/>
    <s v="Hybrid"/>
    <x v="0"/>
    <s v="18-25"/>
    <s v="High"/>
    <x v="1"/>
    <x v="3"/>
    <s v="Sales_5"/>
    <n v="269"/>
    <n v="136"/>
    <n v="95"/>
    <n v="33"/>
    <s v="24.26"/>
    <n v="66239"/>
    <s v="2.49"/>
    <n v="49701"/>
    <n v="2185887"/>
    <n v="545754"/>
    <s v="Feb"/>
    <n v="2"/>
    <n v="2026"/>
    <s v="Weekday"/>
    <n v="0.3473684210526316"/>
    <n v="0.50557620817843862"/>
    <n v="0.12267657992565056"/>
    <n v="16538"/>
    <s v="Leipzig Mobility"/>
  </r>
  <r>
    <s v="CUST_646"/>
    <x v="1"/>
    <x v="1"/>
    <s v="Wednesday"/>
    <s v="No"/>
    <x v="7"/>
    <x v="7"/>
    <s v="Bavaria"/>
    <x v="4"/>
    <s v="T-Roc"/>
    <s v="Hybrid"/>
    <x v="0"/>
    <s v="36-50"/>
    <s v="High"/>
    <x v="1"/>
    <x v="1"/>
    <s v="Sales_14"/>
    <n v="303"/>
    <n v="174"/>
    <n v="113"/>
    <n v="31"/>
    <s v="17.82"/>
    <n v="31355"/>
    <s v="9.44"/>
    <n v="27597"/>
    <n v="972005"/>
    <n v="116498"/>
    <s v="Feb"/>
    <n v="2"/>
    <n v="2026"/>
    <s v="Weekday"/>
    <n v="0.27433628318584069"/>
    <n v="0.57425742574257421"/>
    <n v="0.10231023102310231"/>
    <n v="3758"/>
    <s v="Bavaria Motors"/>
  </r>
  <r>
    <s v="CUST_647"/>
    <x v="11"/>
    <x v="0"/>
    <s v="Wednesday"/>
    <s v="No"/>
    <x v="9"/>
    <x v="9"/>
    <s v="NRW"/>
    <x v="3"/>
    <s v="GLE"/>
    <s v="Petrol"/>
    <x v="0"/>
    <s v="36-50"/>
    <s v="Medium"/>
    <x v="0"/>
    <x v="3"/>
    <s v="Sales_11"/>
    <n v="221"/>
    <n v="117"/>
    <n v="79"/>
    <n v="27"/>
    <s v="23.08"/>
    <n v="52471"/>
    <s v="2.69"/>
    <n v="40902"/>
    <n v="1416717"/>
    <n v="312363"/>
    <s v="Feb"/>
    <n v="2"/>
    <n v="2026"/>
    <s v="Weekday"/>
    <n v="0.34177215189873417"/>
    <n v="0.52941176470588236"/>
    <n v="0.12217194570135746"/>
    <n v="11569"/>
    <s v="Ruhr Auto Plaza"/>
  </r>
  <r>
    <s v="CUST_648"/>
    <x v="8"/>
    <x v="3"/>
    <s v="Wednesday"/>
    <s v="No"/>
    <x v="9"/>
    <x v="9"/>
    <s v="NRW"/>
    <x v="4"/>
    <s v="Passat"/>
    <s v="Electric"/>
    <x v="1"/>
    <s v="18-25"/>
    <s v="Low"/>
    <x v="1"/>
    <x v="1"/>
    <s v="Sales_2"/>
    <n v="345"/>
    <n v="186"/>
    <n v="111"/>
    <n v="31"/>
    <s v="16.67"/>
    <n v="32856"/>
    <s v="9.85"/>
    <n v="29092"/>
    <n v="1018536"/>
    <n v="116684"/>
    <s v="Feb"/>
    <n v="2"/>
    <n v="2026"/>
    <s v="Weekday"/>
    <n v="0.27927927927927926"/>
    <n v="0.53913043478260869"/>
    <n v="8.9855072463768115E-2"/>
    <n v="3764"/>
    <s v="Ruhr Auto Plaza"/>
  </r>
  <r>
    <s v="CUST_649"/>
    <x v="14"/>
    <x v="2"/>
    <s v="Friday"/>
    <s v="No"/>
    <x v="3"/>
    <x v="3"/>
    <s v="Saxony"/>
    <x v="1"/>
    <s v="Astra"/>
    <s v="Hybrid"/>
    <x v="2"/>
    <s v="36-50"/>
    <s v="High"/>
    <x v="0"/>
    <x v="2"/>
    <s v="Sales_17"/>
    <n v="226"/>
    <n v="91"/>
    <n v="62"/>
    <n v="15"/>
    <s v="16.48"/>
    <n v="25800"/>
    <s v="12.39"/>
    <n v="23215"/>
    <n v="387000"/>
    <n v="38775"/>
    <s v="Feb"/>
    <n v="2"/>
    <n v="2026"/>
    <s v="Weekday"/>
    <n v="0.24193548387096775"/>
    <n v="0.40265486725663718"/>
    <n v="6.637168141592921E-2"/>
    <n v="2585"/>
    <s v="Saxon Wheels"/>
  </r>
  <r>
    <s v="CUST_650"/>
    <x v="17"/>
    <x v="2"/>
    <s v="Sunday"/>
    <s v="Yes"/>
    <x v="3"/>
    <x v="3"/>
    <s v="Saxony"/>
    <x v="0"/>
    <s v="3 Series"/>
    <s v="Petrol"/>
    <x v="1"/>
    <s v="18-25"/>
    <s v="Low"/>
    <x v="1"/>
    <x v="3"/>
    <s v="Sales_1"/>
    <n v="233"/>
    <n v="134"/>
    <n v="94"/>
    <n v="31"/>
    <s v="23.13"/>
    <n v="55784"/>
    <s v="2.3"/>
    <n v="41952"/>
    <n v="1729304"/>
    <n v="428792"/>
    <s v="Feb"/>
    <n v="2"/>
    <n v="2026"/>
    <s v="Weekend"/>
    <n v="0.32978723404255317"/>
    <n v="0.57510729613733902"/>
    <n v="0.13304721030042918"/>
    <n v="13832"/>
    <s v="Saxon Wheels"/>
  </r>
  <r>
    <s v="CUST_651"/>
    <x v="22"/>
    <x v="3"/>
    <s v="Tuesday"/>
    <s v="No"/>
    <x v="7"/>
    <x v="7"/>
    <s v="Bavaria"/>
    <x v="4"/>
    <s v="T-Roc"/>
    <s v="Hybrid"/>
    <x v="0"/>
    <s v="50+"/>
    <s v="Medium"/>
    <x v="0"/>
    <x v="2"/>
    <s v="Sales_10"/>
    <n v="468"/>
    <n v="191"/>
    <n v="120"/>
    <n v="40"/>
    <s v="20.94"/>
    <n v="29470"/>
    <s v="9.13"/>
    <n v="26049"/>
    <n v="1178800"/>
    <n v="136840"/>
    <s v="Feb"/>
    <n v="2"/>
    <n v="2026"/>
    <s v="Weekday"/>
    <n v="0.33333333333333331"/>
    <n v="0.40811965811965811"/>
    <n v="8.5470085470085472E-2"/>
    <n v="3421"/>
    <s v="Bavaria Motors"/>
  </r>
  <r>
    <s v="CUST_652"/>
    <x v="23"/>
    <x v="2"/>
    <s v="Tuesday"/>
    <s v="No"/>
    <x v="4"/>
    <x v="4"/>
    <s v="Berlin"/>
    <x v="0"/>
    <s v="3 Series"/>
    <s v="Petrol"/>
    <x v="1"/>
    <s v="36-50"/>
    <s v="Medium"/>
    <x v="0"/>
    <x v="0"/>
    <s v="Sales_1"/>
    <n v="175"/>
    <n v="98"/>
    <n v="69"/>
    <n v="25"/>
    <s v="25.51"/>
    <n v="55943"/>
    <s v="5.96"/>
    <n v="42059"/>
    <n v="1398575"/>
    <n v="347100"/>
    <s v="Feb"/>
    <n v="2"/>
    <n v="2026"/>
    <s v="Weekday"/>
    <n v="0.36231884057971014"/>
    <n v="0.56000000000000005"/>
    <n v="0.14285714285714285"/>
    <n v="13884"/>
    <s v="Autohaus Berlin"/>
  </r>
  <r>
    <s v="CUST_653"/>
    <x v="15"/>
    <x v="2"/>
    <s v="Thursday"/>
    <s v="No"/>
    <x v="8"/>
    <x v="8"/>
    <s v="Baden-WÃ¼rttemberg"/>
    <x v="2"/>
    <s v="Q5"/>
    <s v="Diesel"/>
    <x v="0"/>
    <s v="50+"/>
    <s v="High"/>
    <x v="1"/>
    <x v="3"/>
    <s v="Sales_2"/>
    <n v="286"/>
    <n v="138"/>
    <n v="89"/>
    <n v="29"/>
    <s v="21.01"/>
    <n v="52375"/>
    <s v="3.88"/>
    <n v="39970"/>
    <n v="1518875"/>
    <n v="359745"/>
    <s v="Feb"/>
    <n v="2"/>
    <n v="2026"/>
    <s v="Weekday"/>
    <n v="0.3258426966292135"/>
    <n v="0.4825174825174825"/>
    <n v="0.10139860139860139"/>
    <n v="12405"/>
    <s v="Stuttgart Auto Center"/>
  </r>
  <r>
    <s v="CUST_654"/>
    <x v="3"/>
    <x v="1"/>
    <s v="Sunday"/>
    <s v="Yes"/>
    <x v="2"/>
    <x v="2"/>
    <s v="Lower Saxony"/>
    <x v="2"/>
    <s v="A4"/>
    <s v="Hybrid"/>
    <x v="1"/>
    <s v="18-25"/>
    <s v="Low"/>
    <x v="1"/>
    <x v="2"/>
    <s v="Sales_7"/>
    <n v="201"/>
    <n v="125"/>
    <n v="85"/>
    <n v="33"/>
    <s v="26.4"/>
    <n v="43885"/>
    <s v="3.91"/>
    <n v="33832"/>
    <n v="1448205"/>
    <n v="331749"/>
    <s v="Feb"/>
    <n v="2"/>
    <n v="2026"/>
    <s v="Weekend"/>
    <n v="0.38823529411764707"/>
    <n v="0.62189054726368154"/>
    <n v="0.16417910447761194"/>
    <n v="10053"/>
    <s v="Hannover Cars"/>
  </r>
  <r>
    <s v="CUST_655"/>
    <x v="27"/>
    <x v="3"/>
    <s v="Sunday"/>
    <s v="Yes"/>
    <x v="3"/>
    <x v="3"/>
    <s v="Saxony"/>
    <x v="4"/>
    <s v="ID.4"/>
    <s v="Electric"/>
    <x v="0"/>
    <s v="36-50"/>
    <s v="Medium"/>
    <x v="1"/>
    <x v="1"/>
    <s v="Sales_9"/>
    <n v="454"/>
    <n v="199"/>
    <n v="142"/>
    <n v="25"/>
    <s v="12.56"/>
    <n v="30242"/>
    <s v="11.66"/>
    <n v="26701"/>
    <n v="756050"/>
    <n v="88525"/>
    <s v="Feb"/>
    <n v="2"/>
    <n v="2026"/>
    <s v="Weekend"/>
    <n v="0.176056338028169"/>
    <n v="0.43832599118942733"/>
    <n v="5.5066079295154183E-2"/>
    <n v="3541"/>
    <s v="Saxon Wheels"/>
  </r>
  <r>
    <s v="CUST_656"/>
    <x v="25"/>
    <x v="3"/>
    <s v="Friday"/>
    <s v="No"/>
    <x v="8"/>
    <x v="8"/>
    <s v="Baden-WÃ¼rttemberg"/>
    <x v="3"/>
    <s v="C-Class"/>
    <s v="Electric"/>
    <x v="1"/>
    <s v="50+"/>
    <s v="Low"/>
    <x v="1"/>
    <x v="1"/>
    <s v="Sales_6"/>
    <n v="159"/>
    <n v="76"/>
    <n v="56"/>
    <n v="20"/>
    <s v="26.32"/>
    <n v="56789"/>
    <s v="4.61"/>
    <n v="41745"/>
    <n v="1135780"/>
    <n v="300880"/>
    <s v="Feb"/>
    <n v="2"/>
    <n v="2026"/>
    <s v="Weekday"/>
    <n v="0.35714285714285715"/>
    <n v="0.4779874213836478"/>
    <n v="0.12578616352201258"/>
    <n v="15044"/>
    <s v="Stuttgart Auto Center"/>
  </r>
  <r>
    <s v="CUST_657"/>
    <x v="11"/>
    <x v="0"/>
    <s v="Wednesday"/>
    <s v="No"/>
    <x v="6"/>
    <x v="6"/>
    <s v="Saxony"/>
    <x v="0"/>
    <s v="i4"/>
    <s v="Electric"/>
    <x v="1"/>
    <s v="36-50"/>
    <s v="Medium"/>
    <x v="1"/>
    <x v="2"/>
    <s v="Sales_12"/>
    <n v="275"/>
    <n v="132"/>
    <n v="99"/>
    <n v="37"/>
    <s v="28.03"/>
    <n v="62499"/>
    <s v="2.67"/>
    <n v="44375"/>
    <n v="2312463"/>
    <n v="670588"/>
    <s v="Feb"/>
    <n v="2"/>
    <n v="2026"/>
    <s v="Weekday"/>
    <n v="0.37373737373737376"/>
    <n v="0.48"/>
    <n v="0.13454545454545455"/>
    <n v="18124"/>
    <s v="Leipzig Mobility"/>
  </r>
  <r>
    <s v="CUST_658"/>
    <x v="6"/>
    <x v="2"/>
    <s v="Saturday"/>
    <s v="Yes"/>
    <x v="9"/>
    <x v="9"/>
    <s v="NRW"/>
    <x v="3"/>
    <s v="GLE"/>
    <s v="Hybrid"/>
    <x v="0"/>
    <s v="50+"/>
    <s v="High"/>
    <x v="1"/>
    <x v="0"/>
    <s v="Sales_1"/>
    <n v="233"/>
    <n v="119"/>
    <n v="79"/>
    <n v="26"/>
    <s v="21.85"/>
    <n v="72898"/>
    <s v="2.57"/>
    <n v="54235"/>
    <n v="1895348"/>
    <n v="485238"/>
    <s v="Feb"/>
    <n v="2"/>
    <n v="2026"/>
    <s v="Weekend"/>
    <n v="0.32911392405063289"/>
    <n v="0.51072961373390557"/>
    <n v="0.11158798283261803"/>
    <n v="18663"/>
    <s v="Ruhr Auto Plaza"/>
  </r>
  <r>
    <s v="CUST_659"/>
    <x v="2"/>
    <x v="2"/>
    <s v="Monday"/>
    <s v="No"/>
    <x v="0"/>
    <x v="0"/>
    <s v="Hesse"/>
    <x v="0"/>
    <s v="X5"/>
    <s v="Hybrid"/>
    <x v="0"/>
    <s v="18-25"/>
    <s v="Medium"/>
    <x v="1"/>
    <x v="3"/>
    <s v="Sales_12"/>
    <n v="221"/>
    <n v="132"/>
    <n v="101"/>
    <n v="36"/>
    <s v="27.27"/>
    <n v="67399"/>
    <s v="4.17"/>
    <n v="48761"/>
    <n v="2426364"/>
    <n v="670968"/>
    <s v="Feb"/>
    <n v="2"/>
    <n v="2026"/>
    <s v="Weekday"/>
    <n v="0.35643564356435642"/>
    <n v="0.59728506787330315"/>
    <n v="0.16289592760180996"/>
    <n v="18638"/>
    <s v="Main Auto Hub"/>
  </r>
  <r>
    <s v="CUST_660"/>
    <x v="22"/>
    <x v="3"/>
    <s v="Tuesday"/>
    <s v="No"/>
    <x v="9"/>
    <x v="9"/>
    <s v="NRW"/>
    <x v="2"/>
    <s v="A4"/>
    <s v="Petrol"/>
    <x v="1"/>
    <s v="18-25"/>
    <s v="Low"/>
    <x v="0"/>
    <x v="0"/>
    <s v="Sales_7"/>
    <n v="310"/>
    <n v="145"/>
    <n v="109"/>
    <n v="30"/>
    <s v="20.69"/>
    <n v="50810"/>
    <s v="5.05"/>
    <n v="40872"/>
    <n v="1524300"/>
    <n v="298140"/>
    <s v="Feb"/>
    <n v="2"/>
    <n v="2026"/>
    <s v="Weekday"/>
    <n v="0.27522935779816515"/>
    <n v="0.46774193548387094"/>
    <n v="9.6774193548387094E-2"/>
    <n v="9938"/>
    <s v="Ruhr Auto Plaza"/>
  </r>
  <r>
    <s v="CUST_661"/>
    <x v="4"/>
    <x v="2"/>
    <s v="Wednesday"/>
    <s v="No"/>
    <x v="5"/>
    <x v="5"/>
    <s v="Hamburg"/>
    <x v="2"/>
    <s v="Q3"/>
    <s v="Petrol"/>
    <x v="0"/>
    <s v="36-50"/>
    <s v="Medium"/>
    <x v="0"/>
    <x v="1"/>
    <s v="Sales_18"/>
    <n v="313"/>
    <n v="195"/>
    <n v="142"/>
    <n v="48"/>
    <s v="24.62"/>
    <n v="51974"/>
    <s v="4.65"/>
    <n v="42420"/>
    <n v="2494752"/>
    <n v="458592"/>
    <s v="Feb"/>
    <n v="2"/>
    <n v="2026"/>
    <s v="Weekday"/>
    <n v="0.3380281690140845"/>
    <n v="0.6230031948881789"/>
    <n v="0.15335463258785942"/>
    <n v="9554"/>
    <s v="Elbe Drive"/>
  </r>
  <r>
    <s v="CUST_662"/>
    <x v="20"/>
    <x v="0"/>
    <s v="Thursday"/>
    <s v="No"/>
    <x v="2"/>
    <x v="2"/>
    <s v="Lower Saxony"/>
    <x v="4"/>
    <s v="Tiguan"/>
    <s v="Diesel"/>
    <x v="0"/>
    <s v="50+"/>
    <s v="Medium"/>
    <x v="1"/>
    <x v="3"/>
    <s v="Sales_5"/>
    <n v="377"/>
    <n v="197"/>
    <n v="140"/>
    <n v="32"/>
    <s v="16.24"/>
    <n v="25862"/>
    <s v="10.11"/>
    <n v="22625"/>
    <n v="827584"/>
    <n v="103584"/>
    <s v="Feb"/>
    <n v="2"/>
    <n v="2026"/>
    <s v="Weekday"/>
    <n v="0.22857142857142856"/>
    <n v="0.52254641909814326"/>
    <n v="8.4880636604774531E-2"/>
    <n v="3237"/>
    <s v="Hannover Cars"/>
  </r>
  <r>
    <s v="CUST_663"/>
    <x v="21"/>
    <x v="0"/>
    <s v="Tuesday"/>
    <s v="No"/>
    <x v="4"/>
    <x v="4"/>
    <s v="Berlin"/>
    <x v="2"/>
    <s v="e-tron"/>
    <s v="Hybrid"/>
    <x v="0"/>
    <s v="26-35"/>
    <s v="High"/>
    <x v="1"/>
    <x v="0"/>
    <s v="Sales_16"/>
    <n v="318"/>
    <n v="195"/>
    <n v="141"/>
    <n v="43"/>
    <s v="22.05"/>
    <n v="45383"/>
    <s v="5.82"/>
    <n v="36488"/>
    <n v="1951469"/>
    <n v="382485"/>
    <s v="Feb"/>
    <n v="2"/>
    <n v="2026"/>
    <s v="Weekday"/>
    <n v="0.30496453900709219"/>
    <n v="0.6132075471698113"/>
    <n v="0.13522012578616352"/>
    <n v="8895"/>
    <s v="Autohaus Berlin"/>
  </r>
  <r>
    <s v="CUST_664"/>
    <x v="10"/>
    <x v="1"/>
    <s v="Monday"/>
    <s v="No"/>
    <x v="5"/>
    <x v="5"/>
    <s v="Hamburg"/>
    <x v="1"/>
    <s v="Crossland"/>
    <s v="Petrol"/>
    <x v="0"/>
    <s v="18-25"/>
    <s v="High"/>
    <x v="0"/>
    <x v="3"/>
    <s v="Sales_8"/>
    <n v="326"/>
    <n v="155"/>
    <n v="103"/>
    <n v="27"/>
    <s v="17.42"/>
    <n v="21269"/>
    <s v="12.2"/>
    <n v="19729"/>
    <n v="574263"/>
    <n v="41580"/>
    <s v="Feb"/>
    <n v="2"/>
    <n v="2026"/>
    <s v="Weekday"/>
    <n v="0.26213592233009708"/>
    <n v="0.47546012269938648"/>
    <n v="8.2822085889570546E-2"/>
    <n v="1540"/>
    <s v="Elbe Drive"/>
  </r>
  <r>
    <s v="CUST_665"/>
    <x v="19"/>
    <x v="1"/>
    <s v="Saturday"/>
    <s v="Yes"/>
    <x v="3"/>
    <x v="3"/>
    <s v="Saxony"/>
    <x v="3"/>
    <s v="EQE"/>
    <s v="Electric"/>
    <x v="1"/>
    <s v="18-25"/>
    <s v="Medium"/>
    <x v="0"/>
    <x v="1"/>
    <s v="Sales_16"/>
    <n v="172"/>
    <n v="101"/>
    <n v="73"/>
    <n v="25"/>
    <s v="24.75"/>
    <n v="67740"/>
    <s v="2.25"/>
    <n v="52008"/>
    <n v="1693500"/>
    <n v="393300"/>
    <s v="Feb"/>
    <n v="2"/>
    <n v="2026"/>
    <s v="Weekend"/>
    <n v="0.34246575342465752"/>
    <n v="0.58720930232558144"/>
    <n v="0.14534883720930233"/>
    <n v="15732"/>
    <s v="Saxon Wheels"/>
  </r>
  <r>
    <s v="CUST_666"/>
    <x v="13"/>
    <x v="0"/>
    <s v="Friday"/>
    <s v="No"/>
    <x v="0"/>
    <x v="0"/>
    <s v="Hesse"/>
    <x v="2"/>
    <s v="A4"/>
    <s v="Diesel"/>
    <x v="1"/>
    <s v="36-50"/>
    <s v="Low"/>
    <x v="0"/>
    <x v="0"/>
    <s v="Sales_9"/>
    <n v="270"/>
    <n v="141"/>
    <n v="105"/>
    <n v="29"/>
    <s v="20.57"/>
    <n v="47649"/>
    <s v="6.95"/>
    <n v="39031"/>
    <n v="1381821"/>
    <n v="249922"/>
    <s v="Feb"/>
    <n v="2"/>
    <n v="2026"/>
    <s v="Weekday"/>
    <n v="0.27619047619047621"/>
    <n v="0.52222222222222225"/>
    <n v="0.10740740740740741"/>
    <n v="8618"/>
    <s v="Main Auto Hub"/>
  </r>
  <r>
    <s v="CUST_667"/>
    <x v="9"/>
    <x v="0"/>
    <s v="Sunday"/>
    <s v="Yes"/>
    <x v="7"/>
    <x v="7"/>
    <s v="Bavaria"/>
    <x v="1"/>
    <s v="Grandland"/>
    <s v="Hybrid"/>
    <x v="0"/>
    <s v="50+"/>
    <s v="Medium"/>
    <x v="0"/>
    <x v="1"/>
    <s v="Sales_11"/>
    <n v="273"/>
    <n v="119"/>
    <n v="69"/>
    <n v="25"/>
    <s v="21.01"/>
    <n v="24046"/>
    <s v="10.67"/>
    <n v="22005"/>
    <n v="601150"/>
    <n v="51025"/>
    <s v="Feb"/>
    <n v="2"/>
    <n v="2026"/>
    <s v="Weekend"/>
    <n v="0.36231884057971014"/>
    <n v="0.4358974358974359"/>
    <n v="9.1575091575091569E-2"/>
    <n v="2041"/>
    <s v="Bavaria Motors"/>
  </r>
  <r>
    <s v="CUST_668"/>
    <x v="3"/>
    <x v="1"/>
    <s v="Sunday"/>
    <s v="Yes"/>
    <x v="1"/>
    <x v="1"/>
    <s v="NRW"/>
    <x v="0"/>
    <s v="5 Series"/>
    <s v="Electric"/>
    <x v="1"/>
    <s v="26-35"/>
    <s v="Medium"/>
    <x v="1"/>
    <x v="0"/>
    <s v="Sales_10"/>
    <n v="254"/>
    <n v="151"/>
    <n v="117"/>
    <n v="41"/>
    <s v="27.15"/>
    <n v="60590"/>
    <s v="5.27"/>
    <n v="43160"/>
    <n v="2484190"/>
    <n v="714630"/>
    <s v="Feb"/>
    <n v="2"/>
    <n v="2026"/>
    <s v="Weekend"/>
    <n v="0.3504273504273504"/>
    <n v="0.59448818897637801"/>
    <n v="0.16141732283464566"/>
    <n v="17430"/>
    <s v="Rhein Auto Group"/>
  </r>
  <r>
    <s v="CUST_669"/>
    <x v="13"/>
    <x v="0"/>
    <s v="Friday"/>
    <s v="No"/>
    <x v="4"/>
    <x v="4"/>
    <s v="Berlin"/>
    <x v="2"/>
    <s v="Q5"/>
    <s v="Hybrid"/>
    <x v="0"/>
    <s v="36-50"/>
    <s v="Medium"/>
    <x v="1"/>
    <x v="2"/>
    <s v="Sales_4"/>
    <n v="266"/>
    <n v="157"/>
    <n v="116"/>
    <n v="40"/>
    <s v="25.48"/>
    <n v="41211"/>
    <s v="3.78"/>
    <n v="32242"/>
    <n v="1648440"/>
    <n v="358760"/>
    <s v="Feb"/>
    <n v="2"/>
    <n v="2026"/>
    <s v="Weekday"/>
    <n v="0.34482758620689657"/>
    <n v="0.59022556390977443"/>
    <n v="0.15037593984962405"/>
    <n v="8969"/>
    <s v="Autohaus Berlin"/>
  </r>
  <r>
    <s v="CUST_670"/>
    <x v="24"/>
    <x v="1"/>
    <s v="Thursday"/>
    <s v="No"/>
    <x v="0"/>
    <x v="0"/>
    <s v="Hesse"/>
    <x v="2"/>
    <s v="Q5"/>
    <s v="Diesel"/>
    <x v="0"/>
    <s v="26-35"/>
    <s v="High"/>
    <x v="1"/>
    <x v="2"/>
    <s v="Sales_7"/>
    <n v="236"/>
    <n v="129"/>
    <n v="84"/>
    <n v="35"/>
    <s v="27.13"/>
    <n v="40829"/>
    <s v="6.08"/>
    <n v="32839"/>
    <n v="1429015"/>
    <n v="279650"/>
    <s v="Feb"/>
    <n v="2"/>
    <n v="2026"/>
    <s v="Weekday"/>
    <n v="0.41666666666666669"/>
    <n v="0.54661016949152541"/>
    <n v="0.14830508474576271"/>
    <n v="7990"/>
    <s v="Main Auto Hub"/>
  </r>
  <r>
    <s v="CUST_671"/>
    <x v="27"/>
    <x v="3"/>
    <s v="Sunday"/>
    <s v="Yes"/>
    <x v="4"/>
    <x v="4"/>
    <s v="Berlin"/>
    <x v="4"/>
    <s v="Passat"/>
    <s v="Hybrid"/>
    <x v="1"/>
    <s v="18-25"/>
    <s v="Medium"/>
    <x v="0"/>
    <x v="1"/>
    <s v="Sales_3"/>
    <n v="260"/>
    <n v="144"/>
    <n v="99"/>
    <n v="23"/>
    <s v="15.97"/>
    <n v="28486"/>
    <s v="11.88"/>
    <n v="25768"/>
    <n v="655178"/>
    <n v="62514"/>
    <s v="Feb"/>
    <n v="2"/>
    <n v="2026"/>
    <s v="Weekend"/>
    <n v="0.23232323232323232"/>
    <n v="0.55384615384615388"/>
    <n v="8.8461538461538466E-2"/>
    <n v="2718"/>
    <s v="Autohaus Berlin"/>
  </r>
  <r>
    <s v="CUST_672"/>
    <x v="2"/>
    <x v="2"/>
    <s v="Monday"/>
    <s v="No"/>
    <x v="5"/>
    <x v="5"/>
    <s v="Hamburg"/>
    <x v="4"/>
    <s v="Passat"/>
    <s v="Hybrid"/>
    <x v="1"/>
    <s v="18-25"/>
    <s v="Medium"/>
    <x v="0"/>
    <x v="0"/>
    <s v="Sales_6"/>
    <n v="392"/>
    <n v="174"/>
    <n v="123"/>
    <n v="31"/>
    <s v="17.82"/>
    <n v="27242"/>
    <s v="7.77"/>
    <n v="24040"/>
    <n v="844502"/>
    <n v="99262"/>
    <s v="Feb"/>
    <n v="2"/>
    <n v="2026"/>
    <s v="Weekday"/>
    <n v="0.25203252032520324"/>
    <n v="0.44387755102040816"/>
    <n v="7.9081632653061229E-2"/>
    <n v="3202"/>
    <s v="Elbe Drive"/>
  </r>
  <r>
    <s v="CUST_673"/>
    <x v="8"/>
    <x v="3"/>
    <s v="Wednesday"/>
    <s v="No"/>
    <x v="5"/>
    <x v="5"/>
    <s v="Hamburg"/>
    <x v="3"/>
    <s v="E-Class"/>
    <s v="Diesel"/>
    <x v="1"/>
    <s v="50+"/>
    <s v="Low"/>
    <x v="1"/>
    <x v="1"/>
    <s v="Sales_16"/>
    <n v="246"/>
    <n v="135"/>
    <n v="92"/>
    <n v="33"/>
    <s v="24.44"/>
    <n v="59785"/>
    <s v="4.68"/>
    <n v="42543"/>
    <n v="1972905"/>
    <n v="568986"/>
    <s v="Feb"/>
    <n v="2"/>
    <n v="2026"/>
    <s v="Weekday"/>
    <n v="0.35869565217391303"/>
    <n v="0.54878048780487809"/>
    <n v="0.13414634146341464"/>
    <n v="17242"/>
    <s v="Elbe Drive"/>
  </r>
  <r>
    <s v="CUST_674"/>
    <x v="13"/>
    <x v="0"/>
    <s v="Friday"/>
    <s v="No"/>
    <x v="5"/>
    <x v="5"/>
    <s v="Hamburg"/>
    <x v="0"/>
    <s v="5 Series"/>
    <s v="Petrol"/>
    <x v="1"/>
    <s v="26-35"/>
    <s v="Medium"/>
    <x v="1"/>
    <x v="2"/>
    <s v="Sales_5"/>
    <n v="267"/>
    <n v="143"/>
    <n v="111"/>
    <n v="43"/>
    <s v="30.07"/>
    <n v="66661"/>
    <s v="2.62"/>
    <n v="51964"/>
    <n v="2866423"/>
    <n v="631971"/>
    <s v="Feb"/>
    <n v="2"/>
    <n v="2026"/>
    <s v="Weekday"/>
    <n v="0.38738738738738737"/>
    <n v="0.53558052434456926"/>
    <n v="0.16104868913857678"/>
    <n v="14697"/>
    <s v="Elbe Drive"/>
  </r>
  <r>
    <s v="CUST_675"/>
    <x v="22"/>
    <x v="3"/>
    <s v="Tuesday"/>
    <s v="No"/>
    <x v="0"/>
    <x v="0"/>
    <s v="Hesse"/>
    <x v="3"/>
    <s v="GLC"/>
    <s v="Hybrid"/>
    <x v="0"/>
    <s v="36-50"/>
    <s v="Low"/>
    <x v="1"/>
    <x v="2"/>
    <s v="Sales_7"/>
    <n v="236"/>
    <n v="132"/>
    <n v="89"/>
    <n v="37"/>
    <s v="28.03"/>
    <n v="53970"/>
    <s v="3.3"/>
    <n v="42267"/>
    <n v="1996890"/>
    <n v="433011"/>
    <s v="Feb"/>
    <n v="2"/>
    <n v="2026"/>
    <s v="Weekday"/>
    <n v="0.4157303370786517"/>
    <n v="0.55932203389830504"/>
    <n v="0.15677966101694915"/>
    <n v="11703"/>
    <s v="Main Auto Hub"/>
  </r>
  <r>
    <s v="CUST_676"/>
    <x v="18"/>
    <x v="0"/>
    <s v="Saturday"/>
    <s v="Yes"/>
    <x v="5"/>
    <x v="5"/>
    <s v="Hamburg"/>
    <x v="4"/>
    <s v="Passat"/>
    <s v="Petrol"/>
    <x v="1"/>
    <s v="18-25"/>
    <s v="Medium"/>
    <x v="1"/>
    <x v="3"/>
    <s v="Sales_13"/>
    <n v="439"/>
    <n v="182"/>
    <n v="120"/>
    <n v="25"/>
    <s v="13.74"/>
    <n v="26041"/>
    <s v="9.16"/>
    <n v="23159"/>
    <n v="651025"/>
    <n v="72050"/>
    <s v="Feb"/>
    <n v="2"/>
    <n v="2026"/>
    <s v="Weekend"/>
    <n v="0.20833333333333334"/>
    <n v="0.4145785876993166"/>
    <n v="5.6947608200455579E-2"/>
    <n v="2882"/>
    <s v="Elbe Drive"/>
  </r>
  <r>
    <s v="CUST_677"/>
    <x v="15"/>
    <x v="2"/>
    <s v="Thursday"/>
    <s v="No"/>
    <x v="5"/>
    <x v="5"/>
    <s v="Hamburg"/>
    <x v="0"/>
    <s v="3 Series"/>
    <s v="Petrol"/>
    <x v="1"/>
    <s v="18-25"/>
    <s v="Medium"/>
    <x v="1"/>
    <x v="3"/>
    <s v="Sales_11"/>
    <n v="221"/>
    <n v="106"/>
    <n v="78"/>
    <n v="29"/>
    <s v="27.36"/>
    <n v="64906"/>
    <s v="4.93"/>
    <n v="49493"/>
    <n v="1882274"/>
    <n v="446977"/>
    <s v="Feb"/>
    <n v="2"/>
    <n v="2026"/>
    <s v="Weekday"/>
    <n v="0.37179487179487181"/>
    <n v="0.47963800904977377"/>
    <n v="0.13122171945701358"/>
    <n v="15413"/>
    <s v="Elbe Drive"/>
  </r>
  <r>
    <s v="CUST_678"/>
    <x v="5"/>
    <x v="3"/>
    <s v="Saturday"/>
    <s v="Yes"/>
    <x v="6"/>
    <x v="6"/>
    <s v="Saxony"/>
    <x v="2"/>
    <s v="A3"/>
    <s v="Hybrid"/>
    <x v="2"/>
    <s v="50+"/>
    <s v="Low"/>
    <x v="1"/>
    <x v="1"/>
    <s v="Sales_9"/>
    <n v="293"/>
    <n v="143"/>
    <n v="95"/>
    <n v="33"/>
    <s v="23.08"/>
    <n v="51297"/>
    <s v="6.29"/>
    <n v="39965"/>
    <n v="1692801"/>
    <n v="373956"/>
    <s v="Feb"/>
    <n v="2"/>
    <n v="2026"/>
    <s v="Weekend"/>
    <n v="0.3473684210526316"/>
    <n v="0.48805460750853241"/>
    <n v="0.11262798634812286"/>
    <n v="11332"/>
    <s v="Leipzig Mobility"/>
  </r>
  <r>
    <s v="CUST_679"/>
    <x v="3"/>
    <x v="1"/>
    <s v="Sunday"/>
    <s v="Yes"/>
    <x v="0"/>
    <x v="0"/>
    <s v="Hesse"/>
    <x v="1"/>
    <s v="Mokka"/>
    <s v="Electric"/>
    <x v="0"/>
    <s v="50+"/>
    <s v="Low"/>
    <x v="1"/>
    <x v="2"/>
    <s v="Sales_15"/>
    <n v="234"/>
    <n v="112"/>
    <n v="69"/>
    <n v="21"/>
    <s v="18.75"/>
    <n v="21467"/>
    <s v="10.59"/>
    <n v="19322"/>
    <n v="450807"/>
    <n v="45045"/>
    <s v="Feb"/>
    <n v="2"/>
    <n v="2026"/>
    <s v="Weekend"/>
    <n v="0.30434782608695654"/>
    <n v="0.47863247863247865"/>
    <n v="8.9743589743589744E-2"/>
    <n v="2145"/>
    <s v="Main Auto Hub"/>
  </r>
  <r>
    <s v="CUST_680"/>
    <x v="10"/>
    <x v="1"/>
    <s v="Monday"/>
    <s v="No"/>
    <x v="5"/>
    <x v="5"/>
    <s v="Hamburg"/>
    <x v="2"/>
    <s v="Q3"/>
    <s v="Hybrid"/>
    <x v="0"/>
    <s v="18-25"/>
    <s v="Low"/>
    <x v="0"/>
    <x v="2"/>
    <s v="Sales_5"/>
    <n v="174"/>
    <n v="87"/>
    <n v="63"/>
    <n v="23"/>
    <s v="26.44"/>
    <n v="43385"/>
    <s v="6.87"/>
    <n v="33979"/>
    <n v="997855"/>
    <n v="216338"/>
    <s v="Feb"/>
    <n v="2"/>
    <n v="2026"/>
    <s v="Weekday"/>
    <n v="0.36507936507936506"/>
    <n v="0.5"/>
    <n v="0.13218390804597702"/>
    <n v="9406"/>
    <s v="Elbe Drive"/>
  </r>
  <r>
    <s v="CUST_681"/>
    <x v="12"/>
    <x v="3"/>
    <s v="Thursday"/>
    <s v="No"/>
    <x v="3"/>
    <x v="3"/>
    <s v="Saxony"/>
    <x v="0"/>
    <s v="X5"/>
    <s v="Electric"/>
    <x v="0"/>
    <s v="36-50"/>
    <s v="Low"/>
    <x v="0"/>
    <x v="0"/>
    <s v="Sales_9"/>
    <n v="155"/>
    <n v="95"/>
    <n v="73"/>
    <n v="26"/>
    <s v="27.37"/>
    <n v="58373"/>
    <s v="4.79"/>
    <n v="42139"/>
    <n v="1517698"/>
    <n v="422084"/>
    <s v="Feb"/>
    <n v="2"/>
    <n v="2026"/>
    <s v="Weekday"/>
    <n v="0.35616438356164382"/>
    <n v="0.61290322580645162"/>
    <n v="0.16774193548387098"/>
    <n v="16234"/>
    <s v="Saxon Wheels"/>
  </r>
  <r>
    <s v="CUST_682"/>
    <x v="23"/>
    <x v="2"/>
    <s v="Tuesday"/>
    <s v="No"/>
    <x v="6"/>
    <x v="6"/>
    <s v="Saxony"/>
    <x v="2"/>
    <s v="e-tron"/>
    <s v="Electric"/>
    <x v="0"/>
    <s v="26-35"/>
    <s v="High"/>
    <x v="1"/>
    <x v="3"/>
    <s v="Sales_8"/>
    <n v="165"/>
    <n v="104"/>
    <n v="74"/>
    <n v="18"/>
    <s v="17.31"/>
    <n v="48878"/>
    <s v="5.1"/>
    <n v="38399"/>
    <n v="879804"/>
    <n v="188622"/>
    <s v="Feb"/>
    <n v="2"/>
    <n v="2026"/>
    <s v="Weekday"/>
    <n v="0.24324324324324326"/>
    <n v="0.63030303030303025"/>
    <n v="0.10909090909090909"/>
    <n v="10479"/>
    <s v="Leipzig Mobility"/>
  </r>
  <r>
    <s v="CUST_683"/>
    <x v="7"/>
    <x v="3"/>
    <s v="Monday"/>
    <s v="No"/>
    <x v="4"/>
    <x v="4"/>
    <s v="Berlin"/>
    <x v="4"/>
    <s v="Passat"/>
    <s v="Petrol"/>
    <x v="1"/>
    <s v="26-35"/>
    <s v="Low"/>
    <x v="1"/>
    <x v="3"/>
    <s v="Sales_20"/>
    <n v="502"/>
    <n v="279"/>
    <n v="197"/>
    <n v="39"/>
    <s v="13.98"/>
    <n v="28469"/>
    <s v="10.86"/>
    <n v="24707"/>
    <n v="1110291"/>
    <n v="146718"/>
    <s v="Feb"/>
    <n v="2"/>
    <n v="2026"/>
    <s v="Weekday"/>
    <n v="0.19796954314720813"/>
    <n v="0.55577689243027883"/>
    <n v="7.7689243027888447E-2"/>
    <n v="3762"/>
    <s v="Autohaus Berlin"/>
  </r>
  <r>
    <s v="CUST_684"/>
    <x v="18"/>
    <x v="0"/>
    <s v="Saturday"/>
    <s v="Yes"/>
    <x v="9"/>
    <x v="9"/>
    <s v="NRW"/>
    <x v="3"/>
    <s v="C-Class"/>
    <s v="Hybrid"/>
    <x v="1"/>
    <s v="26-35"/>
    <s v="High"/>
    <x v="0"/>
    <x v="3"/>
    <s v="Sales_5"/>
    <n v="231"/>
    <n v="103"/>
    <n v="75"/>
    <n v="22"/>
    <s v="21.36"/>
    <n v="54517"/>
    <s v="4.71"/>
    <n v="39151"/>
    <n v="1199374"/>
    <n v="338052"/>
    <s v="Feb"/>
    <n v="2"/>
    <n v="2026"/>
    <s v="Weekend"/>
    <n v="0.29333333333333333"/>
    <n v="0.44588744588744589"/>
    <n v="9.5238095238095233E-2"/>
    <n v="15366"/>
    <s v="Ruhr Auto Plaza"/>
  </r>
  <r>
    <s v="CUST_685"/>
    <x v="14"/>
    <x v="2"/>
    <s v="Friday"/>
    <s v="No"/>
    <x v="6"/>
    <x v="6"/>
    <s v="Saxony"/>
    <x v="4"/>
    <s v="Golf"/>
    <s v="Petrol"/>
    <x v="2"/>
    <s v="50+"/>
    <s v="High"/>
    <x v="0"/>
    <x v="1"/>
    <s v="Sales_14"/>
    <n v="464"/>
    <n v="185"/>
    <n v="122"/>
    <n v="32"/>
    <s v="17.3"/>
    <n v="26094"/>
    <s v="11.08"/>
    <n v="23025"/>
    <n v="835008"/>
    <n v="98208"/>
    <s v="Feb"/>
    <n v="2"/>
    <n v="2026"/>
    <s v="Weekday"/>
    <n v="0.26229508196721313"/>
    <n v="0.39870689655172414"/>
    <n v="6.8965517241379309E-2"/>
    <n v="3069"/>
    <s v="Leipzig Mobility"/>
  </r>
  <r>
    <s v="CUST_686"/>
    <x v="9"/>
    <x v="0"/>
    <s v="Sunday"/>
    <s v="Yes"/>
    <x v="8"/>
    <x v="8"/>
    <s v="Baden-WÃ¼rttemberg"/>
    <x v="2"/>
    <s v="A3"/>
    <s v="Diesel"/>
    <x v="2"/>
    <s v="18-25"/>
    <s v="Medium"/>
    <x v="1"/>
    <x v="3"/>
    <s v="Sales_4"/>
    <n v="256"/>
    <n v="140"/>
    <n v="106"/>
    <n v="33"/>
    <s v="23.57"/>
    <n v="50002"/>
    <s v="4.12"/>
    <n v="38037"/>
    <n v="1650066"/>
    <n v="394845"/>
    <s v="Feb"/>
    <n v="2"/>
    <n v="2026"/>
    <s v="Weekend"/>
    <n v="0.31132075471698112"/>
    <n v="0.546875"/>
    <n v="0.12890625"/>
    <n v="11965"/>
    <s v="Stuttgart Auto Center"/>
  </r>
  <r>
    <s v="CUST_687"/>
    <x v="15"/>
    <x v="2"/>
    <s v="Thursday"/>
    <s v="No"/>
    <x v="7"/>
    <x v="7"/>
    <s v="Bavaria"/>
    <x v="0"/>
    <s v="3 Series"/>
    <s v="Electric"/>
    <x v="1"/>
    <s v="18-25"/>
    <s v="Low"/>
    <x v="0"/>
    <x v="2"/>
    <s v="Sales_7"/>
    <n v="275"/>
    <n v="152"/>
    <n v="113"/>
    <n v="51"/>
    <s v="33.55"/>
    <n v="53074"/>
    <s v="5.15"/>
    <n v="37189"/>
    <n v="2706774"/>
    <n v="810135"/>
    <s v="Feb"/>
    <n v="2"/>
    <n v="2026"/>
    <s v="Weekday"/>
    <n v="0.45132743362831856"/>
    <n v="0.55272727272727273"/>
    <n v="0.18545454545454546"/>
    <n v="15885"/>
    <s v="Bavaria Motors"/>
  </r>
  <r>
    <s v="CUST_688"/>
    <x v="12"/>
    <x v="3"/>
    <s v="Thursday"/>
    <s v="No"/>
    <x v="4"/>
    <x v="4"/>
    <s v="Berlin"/>
    <x v="4"/>
    <s v="Golf"/>
    <s v="Petrol"/>
    <x v="2"/>
    <s v="36-50"/>
    <s v="High"/>
    <x v="1"/>
    <x v="0"/>
    <s v="Sales_18"/>
    <n v="373"/>
    <n v="156"/>
    <n v="108"/>
    <n v="23"/>
    <s v="14.74"/>
    <n v="34099"/>
    <s v="8.64"/>
    <n v="29640"/>
    <n v="784277"/>
    <n v="102557"/>
    <s v="Feb"/>
    <n v="2"/>
    <n v="2026"/>
    <s v="Weekday"/>
    <n v="0.21296296296296297"/>
    <n v="0.41823056300268097"/>
    <n v="6.1662198391420911E-2"/>
    <n v="4459"/>
    <s v="Autohaus Berlin"/>
  </r>
  <r>
    <s v="CUST_689"/>
    <x v="25"/>
    <x v="3"/>
    <s v="Friday"/>
    <s v="No"/>
    <x v="9"/>
    <x v="9"/>
    <s v="NRW"/>
    <x v="4"/>
    <s v="ID.4"/>
    <s v="Diesel"/>
    <x v="0"/>
    <s v="26-35"/>
    <s v="High"/>
    <x v="0"/>
    <x v="2"/>
    <s v="Sales_13"/>
    <n v="390"/>
    <n v="224"/>
    <n v="135"/>
    <n v="45"/>
    <s v="20.09"/>
    <n v="29371"/>
    <s v="6.73"/>
    <n v="26649"/>
    <n v="1321695"/>
    <n v="122490"/>
    <s v="Feb"/>
    <n v="2"/>
    <n v="2026"/>
    <s v="Weekday"/>
    <n v="0.33333333333333331"/>
    <n v="0.57435897435897432"/>
    <n v="0.11538461538461539"/>
    <n v="2722"/>
    <s v="Ruhr Auto Plaza"/>
  </r>
  <r>
    <s v="CUST_690"/>
    <x v="3"/>
    <x v="1"/>
    <s v="Sunday"/>
    <s v="Yes"/>
    <x v="5"/>
    <x v="5"/>
    <s v="Hamburg"/>
    <x v="1"/>
    <s v="Mokka"/>
    <s v="Diesel"/>
    <x v="0"/>
    <s v="18-25"/>
    <s v="High"/>
    <x v="0"/>
    <x v="2"/>
    <s v="Sales_18"/>
    <n v="386"/>
    <n v="169"/>
    <n v="112"/>
    <n v="33"/>
    <s v="19.53"/>
    <n v="20191"/>
    <s v="12.75"/>
    <n v="18360"/>
    <n v="666303"/>
    <n v="60423"/>
    <s v="Feb"/>
    <n v="2"/>
    <n v="2026"/>
    <s v="Weekend"/>
    <n v="0.29464285714285715"/>
    <n v="0.43782383419689119"/>
    <n v="8.549222797927461E-2"/>
    <n v="1831"/>
    <s v="Elbe Drive"/>
  </r>
  <r>
    <s v="CUST_691"/>
    <x v="1"/>
    <x v="1"/>
    <s v="Wednesday"/>
    <s v="No"/>
    <x v="1"/>
    <x v="1"/>
    <s v="NRW"/>
    <x v="3"/>
    <s v="GLE"/>
    <s v="Hybrid"/>
    <x v="0"/>
    <s v="36-50"/>
    <s v="Low"/>
    <x v="0"/>
    <x v="3"/>
    <s v="Sales_11"/>
    <n v="186"/>
    <n v="104"/>
    <n v="81"/>
    <n v="26"/>
    <s v="25.0"/>
    <n v="70364"/>
    <s v="4.95"/>
    <n v="52391"/>
    <n v="1829464"/>
    <n v="467298"/>
    <s v="Feb"/>
    <n v="2"/>
    <n v="2026"/>
    <s v="Weekday"/>
    <n v="0.32098765432098764"/>
    <n v="0.55913978494623651"/>
    <n v="0.13978494623655913"/>
    <n v="17973"/>
    <s v="Rhein Auto Group"/>
  </r>
  <r>
    <s v="CUST_692"/>
    <x v="25"/>
    <x v="3"/>
    <s v="Friday"/>
    <s v="No"/>
    <x v="5"/>
    <x v="5"/>
    <s v="Hamburg"/>
    <x v="0"/>
    <s v="X3"/>
    <s v="Diesel"/>
    <x v="0"/>
    <s v="36-50"/>
    <s v="Low"/>
    <x v="0"/>
    <x v="2"/>
    <s v="Sales_11"/>
    <n v="234"/>
    <n v="131"/>
    <n v="105"/>
    <n v="44"/>
    <s v="33.59"/>
    <n v="66044"/>
    <s v="3.76"/>
    <n v="50378"/>
    <n v="2905936"/>
    <n v="689304"/>
    <s v="Feb"/>
    <n v="2"/>
    <n v="2026"/>
    <s v="Weekday"/>
    <n v="0.41904761904761906"/>
    <n v="0.55982905982905984"/>
    <n v="0.18803418803418803"/>
    <n v="15666"/>
    <s v="Elbe Drive"/>
  </r>
  <r>
    <s v="CUST_693"/>
    <x v="10"/>
    <x v="1"/>
    <s v="Monday"/>
    <s v="No"/>
    <x v="8"/>
    <x v="8"/>
    <s v="Baden-WÃ¼rttemberg"/>
    <x v="1"/>
    <s v="Mokka"/>
    <s v="Hybrid"/>
    <x v="0"/>
    <s v="50+"/>
    <s v="High"/>
    <x v="1"/>
    <x v="2"/>
    <s v="Sales_19"/>
    <n v="261"/>
    <n v="130"/>
    <n v="80"/>
    <n v="23"/>
    <s v="17.69"/>
    <n v="21837"/>
    <s v="12.48"/>
    <n v="19679"/>
    <n v="502251"/>
    <n v="49634"/>
    <s v="Feb"/>
    <n v="2"/>
    <n v="2026"/>
    <s v="Weekday"/>
    <n v="0.28749999999999998"/>
    <n v="0.49808429118773945"/>
    <n v="8.8122605363984668E-2"/>
    <n v="2158"/>
    <s v="Stuttgart Auto Center"/>
  </r>
  <r>
    <s v="CUST_694"/>
    <x v="14"/>
    <x v="2"/>
    <s v="Friday"/>
    <s v="No"/>
    <x v="5"/>
    <x v="5"/>
    <s v="Hamburg"/>
    <x v="4"/>
    <s v="ID.4"/>
    <s v="Hybrid"/>
    <x v="0"/>
    <s v="26-35"/>
    <s v="Medium"/>
    <x v="0"/>
    <x v="2"/>
    <s v="Sales_5"/>
    <n v="343"/>
    <n v="173"/>
    <n v="117"/>
    <n v="32"/>
    <s v="18.5"/>
    <n v="28384"/>
    <s v="9.28"/>
    <n v="24524"/>
    <n v="908288"/>
    <n v="123520"/>
    <s v="Feb"/>
    <n v="2"/>
    <n v="2026"/>
    <s v="Weekday"/>
    <n v="0.27350427350427353"/>
    <n v="0.50437317784256563"/>
    <n v="9.3294460641399415E-2"/>
    <n v="3860"/>
    <s v="Elbe Drive"/>
  </r>
  <r>
    <s v="CUST_695"/>
    <x v="17"/>
    <x v="2"/>
    <s v="Sunday"/>
    <s v="Yes"/>
    <x v="9"/>
    <x v="9"/>
    <s v="NRW"/>
    <x v="3"/>
    <s v="C-Class"/>
    <s v="Hybrid"/>
    <x v="1"/>
    <s v="50+"/>
    <s v="High"/>
    <x v="1"/>
    <x v="1"/>
    <s v="Sales_2"/>
    <n v="215"/>
    <n v="109"/>
    <n v="80"/>
    <n v="24"/>
    <s v="22.02"/>
    <n v="70269"/>
    <s v="4.33"/>
    <n v="50811"/>
    <n v="1686456"/>
    <n v="466992"/>
    <s v="Feb"/>
    <n v="2"/>
    <n v="2026"/>
    <s v="Weekend"/>
    <n v="0.3"/>
    <n v="0.50697674418604655"/>
    <n v="0.11162790697674418"/>
    <n v="19458"/>
    <s v="Ruhr Auto Plaza"/>
  </r>
  <r>
    <s v="CUST_696"/>
    <x v="15"/>
    <x v="2"/>
    <s v="Thursday"/>
    <s v="No"/>
    <x v="0"/>
    <x v="0"/>
    <s v="Hesse"/>
    <x v="1"/>
    <s v="Astra"/>
    <s v="Hybrid"/>
    <x v="2"/>
    <s v="26-35"/>
    <s v="Low"/>
    <x v="1"/>
    <x v="0"/>
    <s v="Sales_3"/>
    <n v="245"/>
    <n v="118"/>
    <n v="78"/>
    <n v="18"/>
    <s v="15.25"/>
    <n v="24543"/>
    <s v="11.7"/>
    <n v="22450"/>
    <n v="441774"/>
    <n v="37674"/>
    <s v="Feb"/>
    <n v="2"/>
    <n v="2026"/>
    <s v="Weekday"/>
    <n v="0.23076923076923078"/>
    <n v="0.48163265306122449"/>
    <n v="7.3469387755102047E-2"/>
    <n v="2093"/>
    <s v="Main Auto Hub"/>
  </r>
  <r>
    <s v="CUST_697"/>
    <x v="19"/>
    <x v="1"/>
    <s v="Saturday"/>
    <s v="Yes"/>
    <x v="3"/>
    <x v="3"/>
    <s v="Saxony"/>
    <x v="0"/>
    <s v="3 Series"/>
    <s v="Hybrid"/>
    <x v="1"/>
    <s v="18-25"/>
    <s v="High"/>
    <x v="1"/>
    <x v="2"/>
    <s v="Sales_8"/>
    <n v="240"/>
    <n v="148"/>
    <n v="110"/>
    <n v="42"/>
    <s v="28.38"/>
    <n v="57998"/>
    <s v="3.74"/>
    <n v="42549"/>
    <n v="2435916"/>
    <n v="648858"/>
    <s v="Feb"/>
    <n v="2"/>
    <n v="2026"/>
    <s v="Weekend"/>
    <n v="0.38181818181818183"/>
    <n v="0.6166666666666667"/>
    <n v="0.17499999999999999"/>
    <n v="15449"/>
    <s v="Saxon Wheels"/>
  </r>
  <r>
    <s v="CUST_698"/>
    <x v="27"/>
    <x v="3"/>
    <s v="Sunday"/>
    <s v="Yes"/>
    <x v="7"/>
    <x v="7"/>
    <s v="Bavaria"/>
    <x v="4"/>
    <s v="Golf"/>
    <s v="Petrol"/>
    <x v="2"/>
    <s v="50+"/>
    <s v="Low"/>
    <x v="0"/>
    <x v="3"/>
    <s v="Sales_8"/>
    <n v="495"/>
    <n v="235"/>
    <n v="148"/>
    <n v="45"/>
    <s v="19.15"/>
    <n v="26639"/>
    <s v="6.62"/>
    <n v="23358"/>
    <n v="1198755"/>
    <n v="147645"/>
    <s v="Feb"/>
    <n v="2"/>
    <n v="2026"/>
    <s v="Weekend"/>
    <n v="0.30405405405405406"/>
    <n v="0.47474747474747475"/>
    <n v="9.0909090909090912E-2"/>
    <n v="3281"/>
    <s v="Bavaria Motors"/>
  </r>
  <r>
    <s v="CUST_699"/>
    <x v="2"/>
    <x v="2"/>
    <s v="Monday"/>
    <s v="No"/>
    <x v="6"/>
    <x v="6"/>
    <s v="Saxony"/>
    <x v="4"/>
    <s v="ID.4"/>
    <s v="Diesel"/>
    <x v="0"/>
    <s v="36-50"/>
    <s v="High"/>
    <x v="1"/>
    <x v="3"/>
    <s v="Sales_9"/>
    <n v="473"/>
    <n v="221"/>
    <n v="154"/>
    <n v="28"/>
    <s v="12.67"/>
    <n v="34356"/>
    <s v="6.18"/>
    <n v="29935"/>
    <n v="961968"/>
    <n v="123788"/>
    <s v="Feb"/>
    <n v="2"/>
    <n v="2026"/>
    <s v="Weekday"/>
    <n v="0.18181818181818182"/>
    <n v="0.46723044397463004"/>
    <n v="5.9196617336152217E-2"/>
    <n v="4421"/>
    <s v="Leipzig Mobility"/>
  </r>
  <r>
    <s v="CUST_700"/>
    <x v="4"/>
    <x v="2"/>
    <s v="Wednesday"/>
    <s v="No"/>
    <x v="5"/>
    <x v="5"/>
    <s v="Hamburg"/>
    <x v="1"/>
    <s v="Astra"/>
    <s v="Electric"/>
    <x v="2"/>
    <s v="26-35"/>
    <s v="Medium"/>
    <x v="1"/>
    <x v="0"/>
    <s v="Sales_6"/>
    <n v="272"/>
    <n v="120"/>
    <n v="71"/>
    <n v="19"/>
    <s v="15.83"/>
    <n v="24469"/>
    <s v="11.18"/>
    <n v="22149"/>
    <n v="464911"/>
    <n v="44080"/>
    <s v="Feb"/>
    <n v="2"/>
    <n v="2026"/>
    <s v="Weekday"/>
    <n v="0.26760563380281688"/>
    <n v="0.44117647058823528"/>
    <n v="6.985294117647059E-2"/>
    <n v="2320"/>
    <s v="Elbe Drive"/>
  </r>
  <r>
    <s v="CUST_701"/>
    <x v="7"/>
    <x v="3"/>
    <s v="Monday"/>
    <s v="No"/>
    <x v="9"/>
    <x v="9"/>
    <s v="NRW"/>
    <x v="2"/>
    <s v="e-tron"/>
    <s v="Electric"/>
    <x v="0"/>
    <s v="36-50"/>
    <s v="High"/>
    <x v="1"/>
    <x v="2"/>
    <s v="Sales_15"/>
    <n v="261"/>
    <n v="129"/>
    <n v="96"/>
    <n v="32"/>
    <s v="24.81"/>
    <n v="46079"/>
    <s v="3.83"/>
    <n v="36747"/>
    <n v="1474528"/>
    <n v="298624"/>
    <s v="Feb"/>
    <n v="2"/>
    <n v="2026"/>
    <s v="Weekday"/>
    <n v="0.33333333333333331"/>
    <n v="0.4942528735632184"/>
    <n v="0.12260536398467432"/>
    <n v="9332"/>
    <s v="Ruhr Auto Plaza"/>
  </r>
  <r>
    <s v="CUST_702"/>
    <x v="25"/>
    <x v="3"/>
    <s v="Friday"/>
    <s v="No"/>
    <x v="9"/>
    <x v="9"/>
    <s v="NRW"/>
    <x v="2"/>
    <s v="A3"/>
    <s v="Hybrid"/>
    <x v="2"/>
    <s v="36-50"/>
    <s v="Low"/>
    <x v="1"/>
    <x v="1"/>
    <s v="Sales_2"/>
    <n v="265"/>
    <n v="151"/>
    <n v="104"/>
    <n v="35"/>
    <s v="23.18"/>
    <n v="51544"/>
    <s v="5.29"/>
    <n v="39163"/>
    <n v="1804040"/>
    <n v="433335"/>
    <s v="Feb"/>
    <n v="2"/>
    <n v="2026"/>
    <s v="Weekday"/>
    <n v="0.33653846153846156"/>
    <n v="0.56981132075471697"/>
    <n v="0.13207547169811321"/>
    <n v="12381"/>
    <s v="Ruhr Auto Plaza"/>
  </r>
  <r>
    <s v="CUST_703"/>
    <x v="15"/>
    <x v="2"/>
    <s v="Thursday"/>
    <s v="No"/>
    <x v="1"/>
    <x v="1"/>
    <s v="NRW"/>
    <x v="2"/>
    <s v="Q3"/>
    <s v="Hybrid"/>
    <x v="0"/>
    <s v="36-50"/>
    <s v="High"/>
    <x v="0"/>
    <x v="2"/>
    <s v="Sales_13"/>
    <n v="254"/>
    <n v="154"/>
    <n v="107"/>
    <n v="39"/>
    <s v="25.32"/>
    <n v="42540"/>
    <s v="5.94"/>
    <n v="32509"/>
    <n v="1659060"/>
    <n v="391209"/>
    <s v="Feb"/>
    <n v="2"/>
    <n v="2026"/>
    <s v="Weekday"/>
    <n v="0.3644859813084112"/>
    <n v="0.60629921259842523"/>
    <n v="0.15354330708661418"/>
    <n v="10031"/>
    <s v="Rhein Auto Group"/>
  </r>
  <r>
    <s v="CUST_704"/>
    <x v="18"/>
    <x v="0"/>
    <s v="Saturday"/>
    <s v="Yes"/>
    <x v="3"/>
    <x v="3"/>
    <s v="Saxony"/>
    <x v="0"/>
    <s v="3 Series"/>
    <s v="Petrol"/>
    <x v="1"/>
    <s v="50+"/>
    <s v="High"/>
    <x v="0"/>
    <x v="3"/>
    <s v="Sales_14"/>
    <n v="258"/>
    <n v="149"/>
    <n v="104"/>
    <n v="37"/>
    <s v="24.83"/>
    <n v="65724"/>
    <s v="2.59"/>
    <n v="47720"/>
    <n v="2431788"/>
    <n v="666148"/>
    <s v="Feb"/>
    <n v="2"/>
    <n v="2026"/>
    <s v="Weekend"/>
    <n v="0.35576923076923078"/>
    <n v="0.57751937984496127"/>
    <n v="0.1434108527131783"/>
    <n v="18004"/>
    <s v="Saxon Wheels"/>
  </r>
  <r>
    <s v="CUST_705"/>
    <x v="23"/>
    <x v="2"/>
    <s v="Tuesday"/>
    <s v="No"/>
    <x v="4"/>
    <x v="4"/>
    <s v="Berlin"/>
    <x v="1"/>
    <s v="Corsa"/>
    <s v="Diesel"/>
    <x v="2"/>
    <s v="36-50"/>
    <s v="Medium"/>
    <x v="1"/>
    <x v="0"/>
    <s v="Sales_1"/>
    <n v="263"/>
    <n v="102"/>
    <n v="63"/>
    <n v="16"/>
    <s v="15.69"/>
    <n v="21692"/>
    <s v="9.18"/>
    <n v="20148"/>
    <n v="347072"/>
    <n v="24704"/>
    <s v="Feb"/>
    <n v="2"/>
    <n v="2026"/>
    <s v="Weekday"/>
    <n v="0.25396825396825395"/>
    <n v="0.38783269961977185"/>
    <n v="6.0836501901140684E-2"/>
    <n v="1544"/>
    <s v="Autohaus Berlin"/>
  </r>
  <r>
    <s v="CUST_706"/>
    <x v="1"/>
    <x v="1"/>
    <s v="Wednesday"/>
    <s v="No"/>
    <x v="0"/>
    <x v="0"/>
    <s v="Hesse"/>
    <x v="3"/>
    <s v="E-Class"/>
    <s v="Electric"/>
    <x v="1"/>
    <s v="36-50"/>
    <s v="Medium"/>
    <x v="0"/>
    <x v="1"/>
    <s v="Sales_20"/>
    <n v="166"/>
    <n v="82"/>
    <n v="58"/>
    <n v="19"/>
    <s v="23.17"/>
    <n v="66446"/>
    <s v="3.05"/>
    <n v="48507"/>
    <n v="1262474"/>
    <n v="340841"/>
    <s v="Feb"/>
    <n v="2"/>
    <n v="2026"/>
    <s v="Weekday"/>
    <n v="0.32758620689655171"/>
    <n v="0.49397590361445781"/>
    <n v="0.1144578313253012"/>
    <n v="17939"/>
    <s v="Main Auto Hub"/>
  </r>
  <r>
    <s v="CUST_707"/>
    <x v="9"/>
    <x v="0"/>
    <s v="Sunday"/>
    <s v="Yes"/>
    <x v="6"/>
    <x v="6"/>
    <s v="Saxony"/>
    <x v="1"/>
    <s v="Mokka"/>
    <s v="Hybrid"/>
    <x v="0"/>
    <s v="18-25"/>
    <s v="Low"/>
    <x v="1"/>
    <x v="0"/>
    <s v="Sales_2"/>
    <n v="338"/>
    <n v="167"/>
    <n v="113"/>
    <n v="17"/>
    <s v="10.18"/>
    <n v="20659"/>
    <s v="8.38"/>
    <n v="18850"/>
    <n v="351203"/>
    <n v="30753"/>
    <s v="Feb"/>
    <n v="2"/>
    <n v="2026"/>
    <s v="Weekend"/>
    <n v="0.15044247787610621"/>
    <n v="0.49408284023668642"/>
    <n v="5.0295857988165681E-2"/>
    <n v="1809"/>
    <s v="Leipzig Mobility"/>
  </r>
  <r>
    <s v="CUST_708"/>
    <x v="19"/>
    <x v="1"/>
    <s v="Saturday"/>
    <s v="Yes"/>
    <x v="9"/>
    <x v="9"/>
    <s v="NRW"/>
    <x v="2"/>
    <s v="Q3"/>
    <s v="Hybrid"/>
    <x v="0"/>
    <s v="36-50"/>
    <s v="High"/>
    <x v="1"/>
    <x v="3"/>
    <s v="Sales_1"/>
    <n v="301"/>
    <n v="174"/>
    <n v="130"/>
    <n v="31"/>
    <s v="17.82"/>
    <n v="42682"/>
    <s v="6.49"/>
    <n v="33100"/>
    <n v="1323142"/>
    <n v="297042"/>
    <s v="Feb"/>
    <n v="2"/>
    <n v="2026"/>
    <s v="Weekend"/>
    <n v="0.23846153846153847"/>
    <n v="0.57807308970099669"/>
    <n v="0.10299003322259136"/>
    <n v="9582"/>
    <s v="Ruhr Auto Plaza"/>
  </r>
  <r>
    <s v="CUST_709"/>
    <x v="21"/>
    <x v="0"/>
    <s v="Tuesday"/>
    <s v="No"/>
    <x v="3"/>
    <x v="3"/>
    <s v="Saxony"/>
    <x v="1"/>
    <s v="Mokka"/>
    <s v="Hybrid"/>
    <x v="0"/>
    <s v="50+"/>
    <s v="Low"/>
    <x v="1"/>
    <x v="3"/>
    <s v="Sales_9"/>
    <n v="267"/>
    <n v="101"/>
    <n v="56"/>
    <n v="15"/>
    <s v="14.85"/>
    <n v="24961"/>
    <s v="12.86"/>
    <n v="22531"/>
    <n v="374415"/>
    <n v="36450"/>
    <s v="Feb"/>
    <n v="2"/>
    <n v="2026"/>
    <s v="Weekday"/>
    <n v="0.26785714285714285"/>
    <n v="0.37827715355805241"/>
    <n v="5.6179775280898875E-2"/>
    <n v="2430"/>
    <s v="Saxon Wheels"/>
  </r>
  <r>
    <s v="CUST_710"/>
    <x v="10"/>
    <x v="1"/>
    <s v="Monday"/>
    <s v="No"/>
    <x v="0"/>
    <x v="0"/>
    <s v="Hesse"/>
    <x v="1"/>
    <s v="Grandland"/>
    <s v="Petrol"/>
    <x v="0"/>
    <s v="36-50"/>
    <s v="Low"/>
    <x v="0"/>
    <x v="1"/>
    <s v="Sales_9"/>
    <n v="238"/>
    <n v="93"/>
    <n v="57"/>
    <n v="16"/>
    <s v="17.2"/>
    <n v="22971"/>
    <s v="11.74"/>
    <n v="20816"/>
    <n v="367536"/>
    <n v="34480"/>
    <s v="Feb"/>
    <n v="2"/>
    <n v="2026"/>
    <s v="Weekday"/>
    <n v="0.2807017543859649"/>
    <n v="0.3907563025210084"/>
    <n v="6.7226890756302518E-2"/>
    <n v="2155"/>
    <s v="Main Auto Hub"/>
  </r>
  <r>
    <s v="CUST_711"/>
    <x v="0"/>
    <x v="0"/>
    <s v="Monday"/>
    <s v="No"/>
    <x v="3"/>
    <x v="3"/>
    <s v="Saxony"/>
    <x v="4"/>
    <s v="ID.4"/>
    <s v="Electric"/>
    <x v="0"/>
    <s v="50+"/>
    <s v="High"/>
    <x v="1"/>
    <x v="3"/>
    <s v="Sales_11"/>
    <n v="360"/>
    <n v="197"/>
    <n v="114"/>
    <n v="23"/>
    <s v="11.68"/>
    <n v="28418"/>
    <s v="7.55"/>
    <n v="24530"/>
    <n v="653614"/>
    <n v="89424"/>
    <s v="Feb"/>
    <n v="2"/>
    <n v="2026"/>
    <s v="Weekday"/>
    <n v="0.20175438596491227"/>
    <n v="0.54722222222222228"/>
    <n v="6.3888888888888884E-2"/>
    <n v="3888"/>
    <s v="Saxon Wheels"/>
  </r>
  <r>
    <s v="CUST_712"/>
    <x v="17"/>
    <x v="2"/>
    <s v="Sunday"/>
    <s v="Yes"/>
    <x v="2"/>
    <x v="2"/>
    <s v="Lower Saxony"/>
    <x v="4"/>
    <s v="Tiguan"/>
    <s v="Diesel"/>
    <x v="0"/>
    <s v="36-50"/>
    <s v="High"/>
    <x v="0"/>
    <x v="0"/>
    <s v="Sales_12"/>
    <n v="396"/>
    <n v="172"/>
    <n v="112"/>
    <n v="21"/>
    <s v="12.21"/>
    <n v="26270"/>
    <s v="6.62"/>
    <n v="23745"/>
    <n v="551670"/>
    <n v="53025"/>
    <s v="Feb"/>
    <n v="2"/>
    <n v="2026"/>
    <s v="Weekend"/>
    <n v="0.1875"/>
    <n v="0.43434343434343436"/>
    <n v="5.3030303030303032E-2"/>
    <n v="2525"/>
    <s v="Hannover Cars"/>
  </r>
  <r>
    <s v="CUST_713"/>
    <x v="10"/>
    <x v="1"/>
    <s v="Monday"/>
    <s v="No"/>
    <x v="8"/>
    <x v="8"/>
    <s v="Baden-WÃ¼rttemberg"/>
    <x v="2"/>
    <s v="Q5"/>
    <s v="Hybrid"/>
    <x v="0"/>
    <s v="26-35"/>
    <s v="Low"/>
    <x v="0"/>
    <x v="0"/>
    <s v="Sales_16"/>
    <n v="270"/>
    <n v="134"/>
    <n v="89"/>
    <n v="31"/>
    <s v="23.13"/>
    <n v="53582"/>
    <s v="3.36"/>
    <n v="42520"/>
    <n v="1661042"/>
    <n v="342922"/>
    <s v="Feb"/>
    <n v="2"/>
    <n v="2026"/>
    <s v="Weekday"/>
    <n v="0.34831460674157305"/>
    <n v="0.49629629629629629"/>
    <n v="0.11481481481481481"/>
    <n v="11062"/>
    <s v="Stuttgart Auto Center"/>
  </r>
  <r>
    <s v="CUST_714"/>
    <x v="13"/>
    <x v="0"/>
    <s v="Friday"/>
    <s v="No"/>
    <x v="1"/>
    <x v="1"/>
    <s v="NRW"/>
    <x v="3"/>
    <s v="GLC"/>
    <s v="Electric"/>
    <x v="0"/>
    <s v="50+"/>
    <s v="High"/>
    <x v="0"/>
    <x v="0"/>
    <s v="Sales_9"/>
    <n v="285"/>
    <n v="153"/>
    <n v="105"/>
    <n v="41"/>
    <s v="26.8"/>
    <n v="69717"/>
    <s v="4.9"/>
    <n v="51265"/>
    <n v="2858397"/>
    <n v="756532"/>
    <s v="Feb"/>
    <n v="2"/>
    <n v="2026"/>
    <s v="Weekday"/>
    <n v="0.39047619047619048"/>
    <n v="0.5368421052631579"/>
    <n v="0.14385964912280702"/>
    <n v="18452"/>
    <s v="Rhein Auto Group"/>
  </r>
  <r>
    <s v="CUST_715"/>
    <x v="16"/>
    <x v="1"/>
    <s v="Tuesday"/>
    <s v="No"/>
    <x v="6"/>
    <x v="6"/>
    <s v="Saxony"/>
    <x v="1"/>
    <s v="Mokka"/>
    <s v="Petrol"/>
    <x v="0"/>
    <s v="36-50"/>
    <s v="Medium"/>
    <x v="0"/>
    <x v="2"/>
    <s v="Sales_8"/>
    <n v="387"/>
    <n v="172"/>
    <n v="115"/>
    <n v="35"/>
    <s v="20.35"/>
    <n v="21184"/>
    <s v="12.7"/>
    <n v="19590"/>
    <n v="741440"/>
    <n v="55790"/>
    <s v="Feb"/>
    <n v="2"/>
    <n v="2026"/>
    <s v="Weekday"/>
    <n v="0.30434782608695654"/>
    <n v="0.44444444444444442"/>
    <n v="9.0439276485788117E-2"/>
    <n v="1594"/>
    <s v="Leipzig Mobility"/>
  </r>
  <r>
    <s v="CUST_716"/>
    <x v="9"/>
    <x v="0"/>
    <s v="Sunday"/>
    <s v="Yes"/>
    <x v="0"/>
    <x v="0"/>
    <s v="Hesse"/>
    <x v="2"/>
    <s v="e-tron"/>
    <s v="Petrol"/>
    <x v="0"/>
    <s v="26-35"/>
    <s v="High"/>
    <x v="0"/>
    <x v="0"/>
    <s v="Sales_12"/>
    <n v="162"/>
    <n v="97"/>
    <n v="68"/>
    <n v="22"/>
    <s v="22.68"/>
    <n v="42998"/>
    <s v="3.16"/>
    <n v="34055"/>
    <n v="945956"/>
    <n v="196746"/>
    <s v="Feb"/>
    <n v="2"/>
    <n v="2026"/>
    <s v="Weekend"/>
    <n v="0.3235294117647059"/>
    <n v="0.59876543209876543"/>
    <n v="0.13580246913580246"/>
    <n v="8943"/>
    <s v="Main Auto Hub"/>
  </r>
  <r>
    <s v="CUST_717"/>
    <x v="14"/>
    <x v="2"/>
    <s v="Friday"/>
    <s v="No"/>
    <x v="6"/>
    <x v="6"/>
    <s v="Saxony"/>
    <x v="1"/>
    <s v="Grandland"/>
    <s v="Diesel"/>
    <x v="0"/>
    <s v="50+"/>
    <s v="Low"/>
    <x v="1"/>
    <x v="3"/>
    <s v="Sales_4"/>
    <n v="290"/>
    <n v="118"/>
    <n v="78"/>
    <n v="18"/>
    <s v="15.25"/>
    <n v="20354"/>
    <s v="10.31"/>
    <n v="18814"/>
    <n v="366372"/>
    <n v="27720"/>
    <s v="Feb"/>
    <n v="2"/>
    <n v="2026"/>
    <s v="Weekday"/>
    <n v="0.23076923076923078"/>
    <n v="0.40689655172413791"/>
    <n v="6.2068965517241378E-2"/>
    <n v="1540"/>
    <s v="Leipzig Mobility"/>
  </r>
  <r>
    <s v="CUST_718"/>
    <x v="6"/>
    <x v="2"/>
    <s v="Saturday"/>
    <s v="Yes"/>
    <x v="6"/>
    <x v="6"/>
    <s v="Saxony"/>
    <x v="2"/>
    <s v="Q5"/>
    <s v="Hybrid"/>
    <x v="0"/>
    <s v="50+"/>
    <s v="Medium"/>
    <x v="1"/>
    <x v="0"/>
    <s v="Sales_16"/>
    <n v="185"/>
    <n v="115"/>
    <n v="74"/>
    <n v="20"/>
    <s v="17.39"/>
    <n v="53961"/>
    <s v="3.78"/>
    <n v="44171"/>
    <n v="1079220"/>
    <n v="195800"/>
    <s v="Feb"/>
    <n v="2"/>
    <n v="2026"/>
    <s v="Weekend"/>
    <n v="0.27027027027027029"/>
    <n v="0.6216216216216216"/>
    <n v="0.10810810810810811"/>
    <n v="9790"/>
    <s v="Leipzig Mobility"/>
  </r>
  <r>
    <s v="CUST_719"/>
    <x v="2"/>
    <x v="2"/>
    <s v="Monday"/>
    <s v="No"/>
    <x v="1"/>
    <x v="1"/>
    <s v="NRW"/>
    <x v="0"/>
    <s v="X3"/>
    <s v="Electric"/>
    <x v="0"/>
    <s v="18-25"/>
    <s v="Low"/>
    <x v="1"/>
    <x v="2"/>
    <s v="Sales_1"/>
    <n v="243"/>
    <n v="141"/>
    <n v="102"/>
    <n v="42"/>
    <s v="29.79"/>
    <n v="70047"/>
    <s v="2.57"/>
    <n v="54617"/>
    <n v="2941974"/>
    <n v="648060"/>
    <s v="Feb"/>
    <n v="2"/>
    <n v="2026"/>
    <s v="Weekday"/>
    <n v="0.41176470588235292"/>
    <n v="0.58024691358024694"/>
    <n v="0.1728395061728395"/>
    <n v="15430"/>
    <s v="Rhein Auto Group"/>
  </r>
  <r>
    <s v="CUST_720"/>
    <x v="24"/>
    <x v="1"/>
    <s v="Thursday"/>
    <s v="No"/>
    <x v="4"/>
    <x v="4"/>
    <s v="Berlin"/>
    <x v="3"/>
    <s v="C-Class"/>
    <s v="Electric"/>
    <x v="1"/>
    <s v="18-25"/>
    <s v="Low"/>
    <x v="1"/>
    <x v="0"/>
    <s v="Sales_15"/>
    <n v="168"/>
    <n v="85"/>
    <n v="62"/>
    <n v="19"/>
    <s v="22.35"/>
    <n v="58508"/>
    <s v="5.79"/>
    <n v="43036"/>
    <n v="1111652"/>
    <n v="293968"/>
    <s v="Feb"/>
    <n v="2"/>
    <n v="2026"/>
    <s v="Weekday"/>
    <n v="0.30645161290322581"/>
    <n v="0.50595238095238093"/>
    <n v="0.1130952380952381"/>
    <n v="15472"/>
    <s v="Autohaus Berlin"/>
  </r>
  <r>
    <s v="CUST_721"/>
    <x v="18"/>
    <x v="0"/>
    <s v="Saturday"/>
    <s v="Yes"/>
    <x v="7"/>
    <x v="7"/>
    <s v="Bavaria"/>
    <x v="1"/>
    <s v="Grandland"/>
    <s v="Petrol"/>
    <x v="0"/>
    <s v="50+"/>
    <s v="Medium"/>
    <x v="1"/>
    <x v="3"/>
    <s v="Sales_20"/>
    <n v="362"/>
    <n v="175"/>
    <n v="108"/>
    <n v="31"/>
    <s v="17.71"/>
    <n v="19230"/>
    <s v="13.24"/>
    <n v="17498"/>
    <n v="596130"/>
    <n v="53692"/>
    <s v="Feb"/>
    <n v="2"/>
    <n v="2026"/>
    <s v="Weekend"/>
    <n v="0.28703703703703703"/>
    <n v="0.48342541436464087"/>
    <n v="8.5635359116022103E-2"/>
    <n v="1732"/>
    <s v="Bavaria Motors"/>
  </r>
  <r>
    <s v="CUST_722"/>
    <x v="15"/>
    <x v="2"/>
    <s v="Thursday"/>
    <s v="No"/>
    <x v="5"/>
    <x v="5"/>
    <s v="Hamburg"/>
    <x v="2"/>
    <s v="e-tron"/>
    <s v="Electric"/>
    <x v="0"/>
    <s v="50+"/>
    <s v="Low"/>
    <x v="1"/>
    <x v="0"/>
    <s v="Sales_6"/>
    <n v="221"/>
    <n v="109"/>
    <n v="71"/>
    <n v="21"/>
    <s v="19.27"/>
    <n v="50331"/>
    <s v="6.92"/>
    <n v="40606"/>
    <n v="1056951"/>
    <n v="204225"/>
    <s v="Feb"/>
    <n v="2"/>
    <n v="2026"/>
    <s v="Weekday"/>
    <n v="0.29577464788732394"/>
    <n v="0.49321266968325794"/>
    <n v="9.5022624434389136E-2"/>
    <n v="9725"/>
    <s v="Elbe Drive"/>
  </r>
  <r>
    <s v="CUST_723"/>
    <x v="5"/>
    <x v="3"/>
    <s v="Saturday"/>
    <s v="Yes"/>
    <x v="4"/>
    <x v="4"/>
    <s v="Berlin"/>
    <x v="4"/>
    <s v="ID.4"/>
    <s v="Diesel"/>
    <x v="0"/>
    <s v="18-25"/>
    <s v="Low"/>
    <x v="0"/>
    <x v="2"/>
    <s v="Sales_15"/>
    <n v="303"/>
    <n v="138"/>
    <n v="97"/>
    <n v="31"/>
    <s v="22.46"/>
    <n v="28183"/>
    <s v="8.93"/>
    <n v="25116"/>
    <n v="873673"/>
    <n v="95077"/>
    <s v="Feb"/>
    <n v="2"/>
    <n v="2026"/>
    <s v="Weekend"/>
    <n v="0.31958762886597936"/>
    <n v="0.45544554455445546"/>
    <n v="0.10231023102310231"/>
    <n v="3067"/>
    <s v="Autohaus Berlin"/>
  </r>
  <r>
    <s v="CUST_724"/>
    <x v="24"/>
    <x v="1"/>
    <s v="Thursday"/>
    <s v="No"/>
    <x v="7"/>
    <x v="7"/>
    <s v="Bavaria"/>
    <x v="0"/>
    <s v="3 Series"/>
    <s v="Diesel"/>
    <x v="1"/>
    <s v="50+"/>
    <s v="Low"/>
    <x v="1"/>
    <x v="3"/>
    <s v="Sales_20"/>
    <n v="151"/>
    <n v="86"/>
    <n v="65"/>
    <n v="24"/>
    <s v="27.91"/>
    <n v="68457"/>
    <s v="2.56"/>
    <n v="49547"/>
    <n v="1642968"/>
    <n v="453840"/>
    <s v="Feb"/>
    <n v="2"/>
    <n v="2026"/>
    <s v="Weekday"/>
    <n v="0.36923076923076925"/>
    <n v="0.56953642384105962"/>
    <n v="0.15894039735099338"/>
    <n v="18910"/>
    <s v="Bavaria Motors"/>
  </r>
  <r>
    <s v="CUST_725"/>
    <x v="14"/>
    <x v="2"/>
    <s v="Friday"/>
    <s v="No"/>
    <x v="9"/>
    <x v="9"/>
    <s v="NRW"/>
    <x v="2"/>
    <s v="A4"/>
    <s v="Petrol"/>
    <x v="1"/>
    <s v="36-50"/>
    <s v="Medium"/>
    <x v="0"/>
    <x v="3"/>
    <s v="Sales_3"/>
    <n v="273"/>
    <n v="143"/>
    <n v="105"/>
    <n v="27"/>
    <s v="18.88"/>
    <n v="48715"/>
    <s v="3.65"/>
    <n v="37997"/>
    <n v="1315305"/>
    <n v="289386"/>
    <s v="Feb"/>
    <n v="2"/>
    <n v="2026"/>
    <s v="Weekday"/>
    <n v="0.25714285714285712"/>
    <n v="0.52380952380952384"/>
    <n v="9.8901098901098897E-2"/>
    <n v="10718"/>
    <s v="Ruhr Auto Plaza"/>
  </r>
  <r>
    <s v="CUST_726"/>
    <x v="20"/>
    <x v="0"/>
    <s v="Thursday"/>
    <s v="No"/>
    <x v="3"/>
    <x v="3"/>
    <s v="Saxony"/>
    <x v="4"/>
    <s v="Tiguan"/>
    <s v="Diesel"/>
    <x v="0"/>
    <s v="50+"/>
    <s v="High"/>
    <x v="0"/>
    <x v="3"/>
    <s v="Sales_14"/>
    <n v="460"/>
    <n v="227"/>
    <n v="154"/>
    <n v="30"/>
    <s v="13.22"/>
    <n v="31404"/>
    <s v="6.34"/>
    <n v="28208"/>
    <n v="942120"/>
    <n v="95880"/>
    <s v="Feb"/>
    <n v="2"/>
    <n v="2026"/>
    <s v="Weekday"/>
    <n v="0.19480519480519481"/>
    <n v="0.4934782608695652"/>
    <n v="6.5217391304347824E-2"/>
    <n v="3196"/>
    <s v="Saxon Wheels"/>
  </r>
  <r>
    <s v="CUST_727"/>
    <x v="16"/>
    <x v="1"/>
    <s v="Tuesday"/>
    <s v="No"/>
    <x v="3"/>
    <x v="3"/>
    <s v="Saxony"/>
    <x v="0"/>
    <s v="3 Series"/>
    <s v="Diesel"/>
    <x v="1"/>
    <s v="26-35"/>
    <s v="Low"/>
    <x v="0"/>
    <x v="2"/>
    <s v="Sales_1"/>
    <n v="190"/>
    <n v="103"/>
    <n v="79"/>
    <n v="29"/>
    <s v="28.16"/>
    <n v="64228"/>
    <s v="5.28"/>
    <n v="49923"/>
    <n v="1862612"/>
    <n v="414845"/>
    <s v="Feb"/>
    <n v="2"/>
    <n v="2026"/>
    <s v="Weekday"/>
    <n v="0.36708860759493672"/>
    <n v="0.54210526315789476"/>
    <n v="0.15263157894736842"/>
    <n v="14305"/>
    <s v="Saxon Wheels"/>
  </r>
  <r>
    <s v="CUST_728"/>
    <x v="5"/>
    <x v="3"/>
    <s v="Saturday"/>
    <s v="Yes"/>
    <x v="1"/>
    <x v="1"/>
    <s v="NRW"/>
    <x v="3"/>
    <s v="GLC"/>
    <s v="Hybrid"/>
    <x v="0"/>
    <s v="26-35"/>
    <s v="Medium"/>
    <x v="0"/>
    <x v="3"/>
    <s v="Sales_3"/>
    <n v="150"/>
    <n v="69"/>
    <n v="55"/>
    <n v="15"/>
    <s v="21.74"/>
    <n v="72798"/>
    <s v="2.21"/>
    <n v="53823"/>
    <n v="1091970"/>
    <n v="284625"/>
    <s v="Feb"/>
    <n v="2"/>
    <n v="2026"/>
    <s v="Weekend"/>
    <n v="0.27272727272727271"/>
    <n v="0.46"/>
    <n v="0.1"/>
    <n v="18975"/>
    <s v="Rhein Auto Group"/>
  </r>
  <r>
    <s v="CUST_729"/>
    <x v="20"/>
    <x v="0"/>
    <s v="Thursday"/>
    <s v="No"/>
    <x v="3"/>
    <x v="3"/>
    <s v="Saxony"/>
    <x v="2"/>
    <s v="e-tron"/>
    <s v="Hybrid"/>
    <x v="0"/>
    <s v="36-50"/>
    <s v="Medium"/>
    <x v="1"/>
    <x v="2"/>
    <s v="Sales_9"/>
    <n v="192"/>
    <n v="114"/>
    <n v="80"/>
    <n v="29"/>
    <s v="25.44"/>
    <n v="44417"/>
    <s v="4.44"/>
    <n v="35060"/>
    <n v="1288093"/>
    <n v="271353"/>
    <s v="Feb"/>
    <n v="2"/>
    <n v="2026"/>
    <s v="Weekday"/>
    <n v="0.36249999999999999"/>
    <n v="0.59375"/>
    <n v="0.15104166666666666"/>
    <n v="9357"/>
    <s v="Saxon Wheels"/>
  </r>
  <r>
    <s v="CUST_730"/>
    <x v="4"/>
    <x v="2"/>
    <s v="Wednesday"/>
    <s v="No"/>
    <x v="7"/>
    <x v="7"/>
    <s v="Bavaria"/>
    <x v="1"/>
    <s v="Astra"/>
    <s v="Electric"/>
    <x v="2"/>
    <s v="50+"/>
    <s v="Low"/>
    <x v="0"/>
    <x v="3"/>
    <s v="Sales_12"/>
    <n v="269"/>
    <n v="137"/>
    <n v="91"/>
    <n v="25"/>
    <s v="18.25"/>
    <n v="20969"/>
    <s v="9.03"/>
    <n v="19204"/>
    <n v="524225"/>
    <n v="44125"/>
    <s v="Feb"/>
    <n v="2"/>
    <n v="2026"/>
    <s v="Weekday"/>
    <n v="0.27472527472527475"/>
    <n v="0.50929368029739774"/>
    <n v="9.2936802973977689E-2"/>
    <n v="1765"/>
    <s v="Bavaria Motors"/>
  </r>
  <r>
    <s v="CUST_731"/>
    <x v="22"/>
    <x v="3"/>
    <s v="Tuesday"/>
    <s v="No"/>
    <x v="1"/>
    <x v="1"/>
    <s v="NRW"/>
    <x v="3"/>
    <s v="GLC"/>
    <s v="Electric"/>
    <x v="0"/>
    <s v="36-50"/>
    <s v="Low"/>
    <x v="0"/>
    <x v="0"/>
    <s v="Sales_9"/>
    <n v="199"/>
    <n v="116"/>
    <n v="91"/>
    <n v="31"/>
    <s v="26.72"/>
    <n v="53636"/>
    <s v="2.19"/>
    <n v="40400"/>
    <n v="1662716"/>
    <n v="410316"/>
    <s v="Feb"/>
    <n v="2"/>
    <n v="2026"/>
    <s v="Weekday"/>
    <n v="0.34065934065934067"/>
    <n v="0.58291457286432158"/>
    <n v="0.15577889447236182"/>
    <n v="13236"/>
    <s v="Rhein Auto Group"/>
  </r>
  <r>
    <s v="CUST_732"/>
    <x v="13"/>
    <x v="0"/>
    <s v="Friday"/>
    <s v="No"/>
    <x v="6"/>
    <x v="6"/>
    <s v="Saxony"/>
    <x v="3"/>
    <s v="C-Class"/>
    <s v="Petrol"/>
    <x v="1"/>
    <s v="36-50"/>
    <s v="Medium"/>
    <x v="1"/>
    <x v="2"/>
    <s v="Sales_12"/>
    <n v="250"/>
    <n v="143"/>
    <n v="105"/>
    <n v="35"/>
    <s v="24.48"/>
    <n v="67845"/>
    <s v="4.43"/>
    <n v="48236"/>
    <n v="2374575"/>
    <n v="686315"/>
    <s v="Feb"/>
    <n v="2"/>
    <n v="2026"/>
    <s v="Weekday"/>
    <n v="0.33333333333333331"/>
    <n v="0.57199999999999995"/>
    <n v="0.14000000000000001"/>
    <n v="19609"/>
    <s v="Leipzig Mobility"/>
  </r>
  <r>
    <s v="CUST_733"/>
    <x v="16"/>
    <x v="1"/>
    <s v="Tuesday"/>
    <s v="No"/>
    <x v="7"/>
    <x v="7"/>
    <s v="Bavaria"/>
    <x v="2"/>
    <s v="Q3"/>
    <s v="Petrol"/>
    <x v="0"/>
    <s v="50+"/>
    <s v="Low"/>
    <x v="0"/>
    <x v="1"/>
    <s v="Sales_18"/>
    <n v="187"/>
    <n v="99"/>
    <n v="72"/>
    <n v="27"/>
    <s v="27.27"/>
    <n v="48912"/>
    <s v="6.48"/>
    <n v="37055"/>
    <n v="1320624"/>
    <n v="320139"/>
    <s v="Feb"/>
    <n v="2"/>
    <n v="2026"/>
    <s v="Weekday"/>
    <n v="0.375"/>
    <n v="0.52941176470588236"/>
    <n v="0.14438502673796791"/>
    <n v="11857"/>
    <s v="Bavaria Motors"/>
  </r>
  <r>
    <s v="CUST_734"/>
    <x v="14"/>
    <x v="2"/>
    <s v="Friday"/>
    <s v="No"/>
    <x v="8"/>
    <x v="8"/>
    <s v="Baden-WÃ¼rttemberg"/>
    <x v="0"/>
    <s v="3 Series"/>
    <s v="Petrol"/>
    <x v="1"/>
    <s v="36-50"/>
    <s v="High"/>
    <x v="1"/>
    <x v="3"/>
    <s v="Sales_8"/>
    <n v="246"/>
    <n v="124"/>
    <n v="100"/>
    <n v="35"/>
    <s v="28.23"/>
    <n v="65341"/>
    <s v="5.22"/>
    <n v="47794"/>
    <n v="2286935"/>
    <n v="614145"/>
    <s v="Feb"/>
    <n v="2"/>
    <n v="2026"/>
    <s v="Weekday"/>
    <n v="0.35"/>
    <n v="0.50406504065040647"/>
    <n v="0.14227642276422764"/>
    <n v="17547"/>
    <s v="Stuttgart Auto Center"/>
  </r>
  <r>
    <s v="CUST_735"/>
    <x v="12"/>
    <x v="3"/>
    <s v="Thursday"/>
    <s v="No"/>
    <x v="6"/>
    <x v="6"/>
    <s v="Saxony"/>
    <x v="3"/>
    <s v="E-Class"/>
    <s v="Hybrid"/>
    <x v="1"/>
    <s v="36-50"/>
    <s v="Medium"/>
    <x v="0"/>
    <x v="2"/>
    <s v="Sales_7"/>
    <n v="183"/>
    <n v="83"/>
    <n v="56"/>
    <n v="22"/>
    <s v="26.51"/>
    <n v="60941"/>
    <s v="4.07"/>
    <n v="44705"/>
    <n v="1340702"/>
    <n v="357192"/>
    <s v="Feb"/>
    <n v="2"/>
    <n v="2026"/>
    <s v="Weekday"/>
    <n v="0.39285714285714285"/>
    <n v="0.45355191256830601"/>
    <n v="0.12021857923497267"/>
    <n v="16236"/>
    <s v="Leipzig Mobility"/>
  </r>
  <r>
    <s v="CUST_736"/>
    <x v="1"/>
    <x v="1"/>
    <s v="Wednesday"/>
    <s v="No"/>
    <x v="6"/>
    <x v="6"/>
    <s v="Saxony"/>
    <x v="2"/>
    <s v="e-tron"/>
    <s v="Hybrid"/>
    <x v="0"/>
    <s v="36-50"/>
    <s v="Low"/>
    <x v="0"/>
    <x v="3"/>
    <s v="Sales_15"/>
    <n v="289"/>
    <n v="137"/>
    <n v="87"/>
    <n v="31"/>
    <s v="22.63"/>
    <n v="47870"/>
    <s v="6.33"/>
    <n v="37525"/>
    <n v="1483970"/>
    <n v="320695"/>
    <s v="Feb"/>
    <n v="2"/>
    <n v="2026"/>
    <s v="Weekday"/>
    <n v="0.35632183908045978"/>
    <n v="0.47404844290657439"/>
    <n v="0.10726643598615918"/>
    <n v="10345"/>
    <s v="Leipzig Mobility"/>
  </r>
  <r>
    <s v="CUST_737"/>
    <x v="3"/>
    <x v="1"/>
    <s v="Sunday"/>
    <s v="Yes"/>
    <x v="7"/>
    <x v="7"/>
    <s v="Bavaria"/>
    <x v="0"/>
    <s v="3 Series"/>
    <s v="Hybrid"/>
    <x v="1"/>
    <s v="36-50"/>
    <s v="Medium"/>
    <x v="1"/>
    <x v="0"/>
    <s v="Sales_4"/>
    <n v="209"/>
    <n v="118"/>
    <n v="88"/>
    <n v="34"/>
    <s v="28.81"/>
    <n v="55907"/>
    <s v="5.43"/>
    <n v="42548"/>
    <n v="1900838"/>
    <n v="454206"/>
    <s v="Feb"/>
    <n v="2"/>
    <n v="2026"/>
    <s v="Weekend"/>
    <n v="0.38636363636363635"/>
    <n v="0.56459330143540665"/>
    <n v="0.16267942583732056"/>
    <n v="13359"/>
    <s v="Bavaria Motors"/>
  </r>
  <r>
    <s v="CUST_738"/>
    <x v="3"/>
    <x v="1"/>
    <s v="Sunday"/>
    <s v="Yes"/>
    <x v="1"/>
    <x v="1"/>
    <s v="NRW"/>
    <x v="4"/>
    <s v="Golf"/>
    <s v="Petrol"/>
    <x v="2"/>
    <s v="26-35"/>
    <s v="Low"/>
    <x v="1"/>
    <x v="1"/>
    <s v="Sales_14"/>
    <n v="509"/>
    <n v="247"/>
    <n v="163"/>
    <n v="46"/>
    <s v="18.62"/>
    <n v="34399"/>
    <s v="6.48"/>
    <n v="30388"/>
    <n v="1582354"/>
    <n v="184506"/>
    <s v="Feb"/>
    <n v="2"/>
    <n v="2026"/>
    <s v="Weekend"/>
    <n v="0.2822085889570552"/>
    <n v="0.48526522593320237"/>
    <n v="9.0373280943025547E-2"/>
    <n v="4011"/>
    <s v="Rhein Auto Group"/>
  </r>
  <r>
    <s v="CUST_739"/>
    <x v="26"/>
    <x v="1"/>
    <s v="Friday"/>
    <s v="No"/>
    <x v="2"/>
    <x v="2"/>
    <s v="Lower Saxony"/>
    <x v="4"/>
    <s v="T-Roc"/>
    <s v="Diesel"/>
    <x v="0"/>
    <s v="26-35"/>
    <s v="Medium"/>
    <x v="1"/>
    <x v="1"/>
    <s v="Sales_1"/>
    <n v="472"/>
    <n v="223"/>
    <n v="141"/>
    <n v="41"/>
    <s v="18.39"/>
    <n v="30712"/>
    <s v="7.54"/>
    <n v="27261"/>
    <n v="1259192"/>
    <n v="141491"/>
    <s v="Feb"/>
    <n v="2"/>
    <n v="2026"/>
    <s v="Weekday"/>
    <n v="0.29078014184397161"/>
    <n v="0.47245762711864409"/>
    <n v="8.6864406779661021E-2"/>
    <n v="3451"/>
    <s v="Hannover Cars"/>
  </r>
  <r>
    <s v="CUST_740"/>
    <x v="12"/>
    <x v="3"/>
    <s v="Thursday"/>
    <s v="No"/>
    <x v="1"/>
    <x v="1"/>
    <s v="NRW"/>
    <x v="3"/>
    <s v="E-Class"/>
    <s v="Petrol"/>
    <x v="1"/>
    <s v="50+"/>
    <s v="High"/>
    <x v="1"/>
    <x v="0"/>
    <s v="Sales_16"/>
    <n v="187"/>
    <n v="97"/>
    <n v="70"/>
    <n v="21"/>
    <s v="21.65"/>
    <n v="62487"/>
    <s v="2.16"/>
    <n v="45068"/>
    <n v="1312227"/>
    <n v="365799"/>
    <s v="Feb"/>
    <n v="2"/>
    <n v="2026"/>
    <s v="Weekday"/>
    <n v="0.3"/>
    <n v="0.51871657754010692"/>
    <n v="0.11229946524064172"/>
    <n v="17419"/>
    <s v="Rhein Auto Group"/>
  </r>
  <r>
    <s v="CUST_741"/>
    <x v="14"/>
    <x v="2"/>
    <s v="Friday"/>
    <s v="No"/>
    <x v="3"/>
    <x v="3"/>
    <s v="Saxony"/>
    <x v="4"/>
    <s v="Golf"/>
    <s v="Electric"/>
    <x v="2"/>
    <s v="36-50"/>
    <s v="Medium"/>
    <x v="1"/>
    <x v="1"/>
    <s v="Sales_16"/>
    <n v="468"/>
    <n v="193"/>
    <n v="138"/>
    <n v="27"/>
    <s v="13.99"/>
    <n v="29453"/>
    <s v="9.01"/>
    <n v="25848"/>
    <n v="795231"/>
    <n v="97335"/>
    <s v="Feb"/>
    <n v="2"/>
    <n v="2026"/>
    <s v="Weekday"/>
    <n v="0.19565217391304349"/>
    <n v="0.41239316239316237"/>
    <n v="5.7692307692307696E-2"/>
    <n v="3605"/>
    <s v="Saxon Wheels"/>
  </r>
  <r>
    <s v="CUST_742"/>
    <x v="20"/>
    <x v="0"/>
    <s v="Thursday"/>
    <s v="No"/>
    <x v="8"/>
    <x v="8"/>
    <s v="Baden-WÃ¼rttemberg"/>
    <x v="2"/>
    <s v="Q5"/>
    <s v="Hybrid"/>
    <x v="0"/>
    <s v="18-25"/>
    <s v="Low"/>
    <x v="1"/>
    <x v="0"/>
    <s v="Sales_15"/>
    <n v="247"/>
    <n v="154"/>
    <n v="120"/>
    <n v="29"/>
    <s v="18.83"/>
    <n v="43568"/>
    <s v="5.93"/>
    <n v="33187"/>
    <n v="1263472"/>
    <n v="301049"/>
    <s v="Feb"/>
    <n v="2"/>
    <n v="2026"/>
    <s v="Weekday"/>
    <n v="0.24166666666666667"/>
    <n v="0.62348178137651822"/>
    <n v="0.11740890688259109"/>
    <n v="10381"/>
    <s v="Stuttgart Auto Center"/>
  </r>
  <r>
    <s v="CUST_743"/>
    <x v="24"/>
    <x v="1"/>
    <s v="Thursday"/>
    <s v="No"/>
    <x v="3"/>
    <x v="3"/>
    <s v="Saxony"/>
    <x v="1"/>
    <s v="Mokka"/>
    <s v="Electric"/>
    <x v="0"/>
    <s v="26-35"/>
    <s v="Low"/>
    <x v="1"/>
    <x v="2"/>
    <s v="Sales_15"/>
    <n v="430"/>
    <n v="191"/>
    <n v="114"/>
    <n v="38"/>
    <s v="19.9"/>
    <n v="25206"/>
    <s v="11.22"/>
    <n v="22700"/>
    <n v="957828"/>
    <n v="95228"/>
    <s v="Feb"/>
    <n v="2"/>
    <n v="2026"/>
    <s v="Weekday"/>
    <n v="0.33333333333333331"/>
    <n v="0.44418604651162791"/>
    <n v="8.8372093023255813E-2"/>
    <n v="2506"/>
    <s v="Saxon Wheels"/>
  </r>
  <r>
    <s v="CUST_744"/>
    <x v="26"/>
    <x v="1"/>
    <s v="Friday"/>
    <s v="No"/>
    <x v="7"/>
    <x v="7"/>
    <s v="Bavaria"/>
    <x v="1"/>
    <s v="Corsa"/>
    <s v="Petrol"/>
    <x v="2"/>
    <s v="36-50"/>
    <s v="Medium"/>
    <x v="1"/>
    <x v="0"/>
    <s v="Sales_5"/>
    <n v="225"/>
    <n v="99"/>
    <n v="61"/>
    <n v="17"/>
    <s v="17.17"/>
    <n v="25131"/>
    <s v="10.12"/>
    <n v="22598"/>
    <n v="427227"/>
    <n v="43061"/>
    <s v="Feb"/>
    <n v="2"/>
    <n v="2026"/>
    <s v="Weekday"/>
    <n v="0.27868852459016391"/>
    <n v="0.44"/>
    <n v="7.5555555555555556E-2"/>
    <n v="2533"/>
    <s v="Bavaria Motors"/>
  </r>
  <r>
    <s v="CUST_745"/>
    <x v="16"/>
    <x v="1"/>
    <s v="Tuesday"/>
    <s v="No"/>
    <x v="4"/>
    <x v="4"/>
    <s v="Berlin"/>
    <x v="2"/>
    <s v="A3"/>
    <s v="Hybrid"/>
    <x v="2"/>
    <s v="18-25"/>
    <s v="Medium"/>
    <x v="1"/>
    <x v="2"/>
    <s v="Sales_19"/>
    <n v="209"/>
    <n v="102"/>
    <n v="69"/>
    <n v="29"/>
    <s v="28.43"/>
    <n v="40743"/>
    <s v="4.29"/>
    <n v="33317"/>
    <n v="1181547"/>
    <n v="215354"/>
    <s v="Feb"/>
    <n v="2"/>
    <n v="2026"/>
    <s v="Weekday"/>
    <n v="0.42028985507246375"/>
    <n v="0.48803827751196172"/>
    <n v="0.13875598086124402"/>
    <n v="7426"/>
    <s v="Autohaus Berlin"/>
  </r>
  <r>
    <s v="CUST_746"/>
    <x v="16"/>
    <x v="1"/>
    <s v="Tuesday"/>
    <s v="No"/>
    <x v="4"/>
    <x v="4"/>
    <s v="Berlin"/>
    <x v="4"/>
    <s v="Tiguan"/>
    <s v="Electric"/>
    <x v="0"/>
    <s v="18-25"/>
    <s v="Low"/>
    <x v="0"/>
    <x v="0"/>
    <s v="Sales_7"/>
    <n v="464"/>
    <n v="262"/>
    <n v="176"/>
    <n v="45"/>
    <s v="17.18"/>
    <n v="28190"/>
    <s v="11.0"/>
    <n v="24916"/>
    <n v="1268550"/>
    <n v="147330"/>
    <s v="Feb"/>
    <n v="2"/>
    <n v="2026"/>
    <s v="Weekday"/>
    <n v="0.25568181818181818"/>
    <n v="0.56465517241379315"/>
    <n v="9.6982758620689655E-2"/>
    <n v="3274"/>
    <s v="Autohaus Berlin"/>
  </r>
  <r>
    <s v="CUST_747"/>
    <x v="25"/>
    <x v="3"/>
    <s v="Friday"/>
    <s v="No"/>
    <x v="4"/>
    <x v="4"/>
    <s v="Berlin"/>
    <x v="2"/>
    <s v="Q5"/>
    <s v="Electric"/>
    <x v="0"/>
    <s v="26-35"/>
    <s v="High"/>
    <x v="0"/>
    <x v="0"/>
    <s v="Sales_7"/>
    <n v="290"/>
    <n v="145"/>
    <n v="102"/>
    <n v="33"/>
    <s v="22.76"/>
    <n v="52854"/>
    <s v="5.27"/>
    <n v="43205"/>
    <n v="1744182"/>
    <n v="318417"/>
    <s v="Feb"/>
    <n v="2"/>
    <n v="2026"/>
    <s v="Weekday"/>
    <n v="0.3235294117647059"/>
    <n v="0.5"/>
    <n v="0.11379310344827587"/>
    <n v="9649"/>
    <s v="Autohaus Berlin"/>
  </r>
  <r>
    <s v="CUST_748"/>
    <x v="27"/>
    <x v="3"/>
    <s v="Sunday"/>
    <s v="Yes"/>
    <x v="4"/>
    <x v="4"/>
    <s v="Berlin"/>
    <x v="1"/>
    <s v="Astra"/>
    <s v="Hybrid"/>
    <x v="2"/>
    <s v="18-25"/>
    <s v="Low"/>
    <x v="1"/>
    <x v="3"/>
    <s v="Sales_4"/>
    <n v="226"/>
    <n v="110"/>
    <n v="74"/>
    <n v="14"/>
    <s v="12.73"/>
    <n v="27064"/>
    <s v="9.28"/>
    <n v="24234"/>
    <n v="378896"/>
    <n v="39620"/>
    <s v="Feb"/>
    <n v="2"/>
    <n v="2026"/>
    <s v="Weekend"/>
    <n v="0.1891891891891892"/>
    <n v="0.48672566371681414"/>
    <n v="6.1946902654867256E-2"/>
    <n v="2830"/>
    <s v="Autohaus Berlin"/>
  </r>
  <r>
    <s v="CUST_749"/>
    <x v="9"/>
    <x v="0"/>
    <s v="Sunday"/>
    <s v="Yes"/>
    <x v="4"/>
    <x v="4"/>
    <s v="Berlin"/>
    <x v="4"/>
    <s v="T-Roc"/>
    <s v="Diesel"/>
    <x v="0"/>
    <s v="26-35"/>
    <s v="High"/>
    <x v="0"/>
    <x v="1"/>
    <s v="Sales_5"/>
    <n v="311"/>
    <n v="147"/>
    <n v="100"/>
    <n v="24"/>
    <s v="16.33"/>
    <n v="31817"/>
    <s v="11.37"/>
    <n v="27744"/>
    <n v="763608"/>
    <n v="97752"/>
    <s v="Feb"/>
    <n v="2"/>
    <n v="2026"/>
    <s v="Weekend"/>
    <n v="0.24"/>
    <n v="0.47266881028938906"/>
    <n v="7.7170418006430874E-2"/>
    <n v="4073"/>
    <s v="Autohaus Berlin"/>
  </r>
  <r>
    <s v="CUST_750"/>
    <x v="6"/>
    <x v="2"/>
    <s v="Saturday"/>
    <s v="Yes"/>
    <x v="3"/>
    <x v="3"/>
    <s v="Saxony"/>
    <x v="3"/>
    <s v="GLC"/>
    <s v="Electric"/>
    <x v="0"/>
    <s v="26-35"/>
    <s v="Medium"/>
    <x v="1"/>
    <x v="3"/>
    <s v="Sales_17"/>
    <n v="220"/>
    <n v="105"/>
    <n v="77"/>
    <n v="22"/>
    <s v="20.95"/>
    <n v="56533"/>
    <s v="3.03"/>
    <n v="43936"/>
    <n v="1243726"/>
    <n v="277134"/>
    <s v="Feb"/>
    <n v="2"/>
    <n v="2026"/>
    <s v="Weekend"/>
    <n v="0.2857142857142857"/>
    <n v="0.47727272727272729"/>
    <n v="0.1"/>
    <n v="12597"/>
    <s v="Saxon Wheels"/>
  </r>
  <r>
    <s v="CUST_751"/>
    <x v="10"/>
    <x v="1"/>
    <s v="Monday"/>
    <s v="No"/>
    <x v="4"/>
    <x v="4"/>
    <s v="Berlin"/>
    <x v="0"/>
    <s v="5 Series"/>
    <s v="Hybrid"/>
    <x v="1"/>
    <s v="36-50"/>
    <s v="Low"/>
    <x v="1"/>
    <x v="2"/>
    <s v="Sales_9"/>
    <n v="176"/>
    <n v="87"/>
    <n v="62"/>
    <n v="27"/>
    <s v="31.03"/>
    <n v="64409"/>
    <s v="3.82"/>
    <n v="50025"/>
    <n v="1739043"/>
    <n v="388368"/>
    <s v="Feb"/>
    <n v="2"/>
    <n v="2026"/>
    <s v="Weekday"/>
    <n v="0.43548387096774194"/>
    <n v="0.49431818181818182"/>
    <n v="0.15340909090909091"/>
    <n v="14384"/>
    <s v="Autohaus Berlin"/>
  </r>
  <r>
    <s v="CUST_752"/>
    <x v="19"/>
    <x v="1"/>
    <s v="Saturday"/>
    <s v="Yes"/>
    <x v="6"/>
    <x v="6"/>
    <s v="Saxony"/>
    <x v="4"/>
    <s v="Tiguan"/>
    <s v="Hybrid"/>
    <x v="0"/>
    <s v="26-35"/>
    <s v="Medium"/>
    <x v="1"/>
    <x v="2"/>
    <s v="Sales_1"/>
    <n v="495"/>
    <n v="286"/>
    <n v="178"/>
    <n v="47"/>
    <s v="16.43"/>
    <n v="26428"/>
    <s v="9.97"/>
    <n v="23546"/>
    <n v="1242116"/>
    <n v="135454"/>
    <s v="Feb"/>
    <n v="2"/>
    <n v="2026"/>
    <s v="Weekend"/>
    <n v="0.2640449438202247"/>
    <n v="0.57777777777777772"/>
    <n v="9.494949494949495E-2"/>
    <n v="2882"/>
    <s v="Leipzig Mobility"/>
  </r>
  <r>
    <s v="CUST_753"/>
    <x v="17"/>
    <x v="2"/>
    <s v="Sunday"/>
    <s v="Yes"/>
    <x v="5"/>
    <x v="5"/>
    <s v="Hamburg"/>
    <x v="4"/>
    <s v="Passat"/>
    <s v="Electric"/>
    <x v="1"/>
    <s v="50+"/>
    <s v="Low"/>
    <x v="1"/>
    <x v="1"/>
    <s v="Sales_13"/>
    <n v="300"/>
    <n v="122"/>
    <n v="81"/>
    <n v="19"/>
    <s v="15.57"/>
    <n v="31620"/>
    <s v="9.44"/>
    <n v="28522"/>
    <n v="600780"/>
    <n v="58862"/>
    <s v="Feb"/>
    <n v="2"/>
    <n v="2026"/>
    <s v="Weekend"/>
    <n v="0.23456790123456789"/>
    <n v="0.40666666666666668"/>
    <n v="6.3333333333333339E-2"/>
    <n v="3098"/>
    <s v="Elbe Drive"/>
  </r>
  <r>
    <s v="CUST_754"/>
    <x v="9"/>
    <x v="0"/>
    <s v="Sunday"/>
    <s v="Yes"/>
    <x v="2"/>
    <x v="2"/>
    <s v="Lower Saxony"/>
    <x v="4"/>
    <s v="Golf"/>
    <s v="Petrol"/>
    <x v="2"/>
    <s v="36-50"/>
    <s v="Low"/>
    <x v="1"/>
    <x v="0"/>
    <s v="Sales_19"/>
    <n v="329"/>
    <n v="167"/>
    <n v="97"/>
    <n v="24"/>
    <s v="14.37"/>
    <n v="26379"/>
    <s v="7.94"/>
    <n v="23477"/>
    <n v="633096"/>
    <n v="69648"/>
    <s v="Feb"/>
    <n v="2"/>
    <n v="2026"/>
    <s v="Weekend"/>
    <n v="0.24742268041237114"/>
    <n v="0.50759878419452886"/>
    <n v="7.29483282674772E-2"/>
    <n v="2902"/>
    <s v="Hannover Cars"/>
  </r>
  <r>
    <s v="CUST_755"/>
    <x v="23"/>
    <x v="2"/>
    <s v="Tuesday"/>
    <s v="No"/>
    <x v="7"/>
    <x v="7"/>
    <s v="Bavaria"/>
    <x v="0"/>
    <s v="5 Series"/>
    <s v="Petrol"/>
    <x v="1"/>
    <s v="36-50"/>
    <s v="Low"/>
    <x v="1"/>
    <x v="0"/>
    <s v="Sales_20"/>
    <n v="254"/>
    <n v="116"/>
    <n v="91"/>
    <n v="31"/>
    <s v="26.72"/>
    <n v="69001"/>
    <s v="2.63"/>
    <n v="49933"/>
    <n v="2139031"/>
    <n v="591108"/>
    <s v="Feb"/>
    <n v="2"/>
    <n v="2026"/>
    <s v="Weekday"/>
    <n v="0.34065934065934067"/>
    <n v="0.45669291338582679"/>
    <n v="0.12204724409448819"/>
    <n v="19068"/>
    <s v="Bavaria Motors"/>
  </r>
  <r>
    <s v="CUST_756"/>
    <x v="23"/>
    <x v="2"/>
    <s v="Tuesday"/>
    <s v="No"/>
    <x v="2"/>
    <x v="2"/>
    <s v="Lower Saxony"/>
    <x v="4"/>
    <s v="Golf"/>
    <s v="Electric"/>
    <x v="2"/>
    <s v="26-35"/>
    <s v="Medium"/>
    <x v="0"/>
    <x v="3"/>
    <s v="Sales_1"/>
    <n v="428"/>
    <n v="188"/>
    <n v="130"/>
    <n v="32"/>
    <s v="17.02"/>
    <n v="31184"/>
    <s v="11.62"/>
    <n v="26959"/>
    <n v="997888"/>
    <n v="135200"/>
    <s v="Feb"/>
    <n v="2"/>
    <n v="2026"/>
    <s v="Weekday"/>
    <n v="0.24615384615384617"/>
    <n v="0.43925233644859812"/>
    <n v="7.476635514018691E-2"/>
    <n v="4225"/>
    <s v="Hannover Cars"/>
  </r>
  <r>
    <s v="CUST_757"/>
    <x v="17"/>
    <x v="2"/>
    <s v="Sunday"/>
    <s v="Yes"/>
    <x v="9"/>
    <x v="9"/>
    <s v="NRW"/>
    <x v="4"/>
    <s v="T-Roc"/>
    <s v="Electric"/>
    <x v="0"/>
    <s v="18-25"/>
    <s v="High"/>
    <x v="1"/>
    <x v="1"/>
    <s v="Sales_10"/>
    <n v="381"/>
    <n v="178"/>
    <n v="124"/>
    <n v="22"/>
    <s v="12.36"/>
    <n v="28159"/>
    <s v="10.14"/>
    <n v="24735"/>
    <n v="619498"/>
    <n v="75328"/>
    <s v="Feb"/>
    <n v="2"/>
    <n v="2026"/>
    <s v="Weekend"/>
    <n v="0.17741935483870969"/>
    <n v="0.46719160104986879"/>
    <n v="5.774278215223097E-2"/>
    <n v="3424"/>
    <s v="Ruhr Auto Plaza"/>
  </r>
  <r>
    <s v="CUST_758"/>
    <x v="1"/>
    <x v="1"/>
    <s v="Wednesday"/>
    <s v="No"/>
    <x v="1"/>
    <x v="1"/>
    <s v="NRW"/>
    <x v="3"/>
    <s v="EQE"/>
    <s v="Petrol"/>
    <x v="1"/>
    <s v="50+"/>
    <s v="Low"/>
    <x v="0"/>
    <x v="2"/>
    <s v="Sales_10"/>
    <n v="261"/>
    <n v="133"/>
    <n v="91"/>
    <n v="37"/>
    <s v="27.82"/>
    <n v="58855"/>
    <s v="3.74"/>
    <n v="46406"/>
    <n v="2177635"/>
    <n v="460613"/>
    <s v="Feb"/>
    <n v="2"/>
    <n v="2026"/>
    <s v="Weekday"/>
    <n v="0.40659340659340659"/>
    <n v="0.50957854406130265"/>
    <n v="0.1417624521072797"/>
    <n v="12449"/>
    <s v="Rhein Auto Group"/>
  </r>
  <r>
    <s v="CUST_759"/>
    <x v="13"/>
    <x v="0"/>
    <s v="Friday"/>
    <s v="No"/>
    <x v="8"/>
    <x v="8"/>
    <s v="Baden-WÃ¼rttemberg"/>
    <x v="4"/>
    <s v="Passat"/>
    <s v="Petrol"/>
    <x v="1"/>
    <s v="50+"/>
    <s v="Low"/>
    <x v="1"/>
    <x v="1"/>
    <s v="Sales_17"/>
    <n v="283"/>
    <n v="118"/>
    <n v="81"/>
    <n v="21"/>
    <s v="17.8"/>
    <n v="33129"/>
    <s v="11.37"/>
    <n v="29958"/>
    <n v="695709"/>
    <n v="66591"/>
    <s v="Feb"/>
    <n v="2"/>
    <n v="2026"/>
    <s v="Weekday"/>
    <n v="0.25925925925925924"/>
    <n v="0.41696113074204949"/>
    <n v="7.4204946996466431E-2"/>
    <n v="3171"/>
    <s v="Stuttgart Auto Center"/>
  </r>
  <r>
    <s v="CUST_760"/>
    <x v="23"/>
    <x v="2"/>
    <s v="Tuesday"/>
    <s v="No"/>
    <x v="9"/>
    <x v="9"/>
    <s v="NRW"/>
    <x v="0"/>
    <s v="i4"/>
    <s v="Electric"/>
    <x v="1"/>
    <s v="50+"/>
    <s v="Low"/>
    <x v="1"/>
    <x v="1"/>
    <s v="Sales_8"/>
    <n v="179"/>
    <n v="81"/>
    <n v="56"/>
    <n v="20"/>
    <s v="24.69"/>
    <n v="55372"/>
    <s v="5.71"/>
    <n v="42011"/>
    <n v="1107440"/>
    <n v="267220"/>
    <s v="Feb"/>
    <n v="2"/>
    <n v="2026"/>
    <s v="Weekday"/>
    <n v="0.35714285714285715"/>
    <n v="0.45251396648044695"/>
    <n v="0.11173184357541899"/>
    <n v="13361"/>
    <s v="Ruhr Auto Plaza"/>
  </r>
  <r>
    <s v="CUST_761"/>
    <x v="3"/>
    <x v="1"/>
    <s v="Sunday"/>
    <s v="Yes"/>
    <x v="9"/>
    <x v="9"/>
    <s v="NRW"/>
    <x v="2"/>
    <s v="e-tron"/>
    <s v="Petrol"/>
    <x v="0"/>
    <s v="50+"/>
    <s v="Medium"/>
    <x v="1"/>
    <x v="1"/>
    <s v="Sales_2"/>
    <n v="242"/>
    <n v="151"/>
    <n v="98"/>
    <n v="32"/>
    <s v="21.19"/>
    <n v="53708"/>
    <s v="5.05"/>
    <n v="41279"/>
    <n v="1718656"/>
    <n v="397728"/>
    <s v="Feb"/>
    <n v="2"/>
    <n v="2026"/>
    <s v="Weekend"/>
    <n v="0.32653061224489793"/>
    <n v="0.62396694214876036"/>
    <n v="0.13223140495867769"/>
    <n v="12429"/>
    <s v="Ruhr Auto Plaza"/>
  </r>
  <r>
    <s v="CUST_762"/>
    <x v="1"/>
    <x v="1"/>
    <s v="Wednesday"/>
    <s v="No"/>
    <x v="6"/>
    <x v="6"/>
    <s v="Saxony"/>
    <x v="0"/>
    <s v="5 Series"/>
    <s v="Hybrid"/>
    <x v="1"/>
    <s v="26-35"/>
    <s v="Low"/>
    <x v="1"/>
    <x v="0"/>
    <s v="Sales_20"/>
    <n v="250"/>
    <n v="139"/>
    <n v="99"/>
    <n v="36"/>
    <s v="25.9"/>
    <n v="54822"/>
    <s v="5.53"/>
    <n v="40153"/>
    <n v="1973592"/>
    <n v="528084"/>
    <s v="Feb"/>
    <n v="2"/>
    <n v="2026"/>
    <s v="Weekday"/>
    <n v="0.36363636363636365"/>
    <n v="0.55600000000000005"/>
    <n v="0.14399999999999999"/>
    <n v="14669"/>
    <s v="Leipzig Mobility"/>
  </r>
  <r>
    <s v="CUST_763"/>
    <x v="9"/>
    <x v="0"/>
    <s v="Sunday"/>
    <s v="Yes"/>
    <x v="3"/>
    <x v="3"/>
    <s v="Saxony"/>
    <x v="2"/>
    <s v="Q5"/>
    <s v="Hybrid"/>
    <x v="0"/>
    <s v="36-50"/>
    <s v="Medium"/>
    <x v="0"/>
    <x v="2"/>
    <s v="Sales_11"/>
    <n v="274"/>
    <n v="150"/>
    <n v="103"/>
    <n v="39"/>
    <s v="26.0"/>
    <n v="48070"/>
    <s v="4.73"/>
    <n v="38500"/>
    <n v="1874730"/>
    <n v="373230"/>
    <s v="Feb"/>
    <n v="2"/>
    <n v="2026"/>
    <s v="Weekend"/>
    <n v="0.37864077669902912"/>
    <n v="0.54744525547445255"/>
    <n v="0.14233576642335766"/>
    <n v="9570"/>
    <s v="Saxon Wheels"/>
  </r>
  <r>
    <s v="CUST_764"/>
    <x v="21"/>
    <x v="0"/>
    <s v="Tuesday"/>
    <s v="No"/>
    <x v="4"/>
    <x v="4"/>
    <s v="Berlin"/>
    <x v="4"/>
    <s v="ID.4"/>
    <s v="Electric"/>
    <x v="0"/>
    <s v="26-35"/>
    <s v="Low"/>
    <x v="1"/>
    <x v="2"/>
    <s v="Sales_17"/>
    <n v="356"/>
    <n v="150"/>
    <n v="105"/>
    <n v="30"/>
    <s v="20.0"/>
    <n v="27017"/>
    <s v="8.81"/>
    <n v="23613"/>
    <n v="810510"/>
    <n v="102120"/>
    <s v="Feb"/>
    <n v="2"/>
    <n v="2026"/>
    <s v="Weekday"/>
    <n v="0.2857142857142857"/>
    <n v="0.42134831460674155"/>
    <n v="8.4269662921348312E-2"/>
    <n v="3404"/>
    <s v="Autohaus Berlin"/>
  </r>
  <r>
    <s v="CUST_765"/>
    <x v="2"/>
    <x v="2"/>
    <s v="Monday"/>
    <s v="No"/>
    <x v="6"/>
    <x v="6"/>
    <s v="Saxony"/>
    <x v="4"/>
    <s v="Tiguan"/>
    <s v="Diesel"/>
    <x v="0"/>
    <s v="18-25"/>
    <s v="Low"/>
    <x v="0"/>
    <x v="2"/>
    <s v="Sales_14"/>
    <n v="320"/>
    <n v="135"/>
    <n v="90"/>
    <n v="25"/>
    <s v="18.52"/>
    <n v="26191"/>
    <s v="6.69"/>
    <n v="22774"/>
    <n v="654775"/>
    <n v="85425"/>
    <s v="Feb"/>
    <n v="2"/>
    <n v="2026"/>
    <s v="Weekday"/>
    <n v="0.27777777777777779"/>
    <n v="0.421875"/>
    <n v="7.8125E-2"/>
    <n v="3417"/>
    <s v="Leipzig Mobility"/>
  </r>
  <r>
    <s v="CUST_766"/>
    <x v="17"/>
    <x v="2"/>
    <s v="Sunday"/>
    <s v="Yes"/>
    <x v="6"/>
    <x v="6"/>
    <s v="Saxony"/>
    <x v="1"/>
    <s v="Grandland"/>
    <s v="Petrol"/>
    <x v="0"/>
    <s v="18-25"/>
    <s v="Medium"/>
    <x v="1"/>
    <x v="1"/>
    <s v="Sales_9"/>
    <n v="381"/>
    <n v="147"/>
    <n v="90"/>
    <n v="18"/>
    <s v="12.24"/>
    <n v="25419"/>
    <s v="13.31"/>
    <n v="23106"/>
    <n v="457542"/>
    <n v="41634"/>
    <s v="Feb"/>
    <n v="2"/>
    <n v="2026"/>
    <s v="Weekend"/>
    <n v="0.2"/>
    <n v="0.38582677165354329"/>
    <n v="4.7244094488188976E-2"/>
    <n v="2313"/>
    <s v="Leipzig Mobility"/>
  </r>
  <r>
    <s v="CUST_767"/>
    <x v="11"/>
    <x v="0"/>
    <s v="Wednesday"/>
    <s v="No"/>
    <x v="8"/>
    <x v="8"/>
    <s v="Baden-WÃ¼rttemberg"/>
    <x v="1"/>
    <s v="Grandland"/>
    <s v="Electric"/>
    <x v="0"/>
    <s v="36-50"/>
    <s v="Medium"/>
    <x v="0"/>
    <x v="3"/>
    <s v="Sales_5"/>
    <n v="358"/>
    <n v="139"/>
    <n v="87"/>
    <n v="20"/>
    <s v="14.39"/>
    <n v="22738"/>
    <s v="7.58"/>
    <n v="20970"/>
    <n v="454760"/>
    <n v="35360"/>
    <s v="Feb"/>
    <n v="2"/>
    <n v="2026"/>
    <s v="Weekday"/>
    <n v="0.22988505747126436"/>
    <n v="0.38826815642458101"/>
    <n v="5.5865921787709494E-2"/>
    <n v="1768"/>
    <s v="Stuttgart Auto Center"/>
  </r>
  <r>
    <s v="CUST_768"/>
    <x v="16"/>
    <x v="1"/>
    <s v="Tuesday"/>
    <s v="No"/>
    <x v="2"/>
    <x v="2"/>
    <s v="Lower Saxony"/>
    <x v="3"/>
    <s v="GLE"/>
    <s v="Petrol"/>
    <x v="0"/>
    <s v="36-50"/>
    <s v="High"/>
    <x v="0"/>
    <x v="0"/>
    <s v="Sales_10"/>
    <n v="146"/>
    <n v="80"/>
    <n v="61"/>
    <n v="18"/>
    <s v="22.5"/>
    <n v="66297"/>
    <s v="4.68"/>
    <n v="50221"/>
    <n v="1193346"/>
    <n v="289368"/>
    <s v="Feb"/>
    <n v="2"/>
    <n v="2026"/>
    <s v="Weekday"/>
    <n v="0.29508196721311475"/>
    <n v="0.54794520547945202"/>
    <n v="0.12328767123287671"/>
    <n v="16076"/>
    <s v="Hannover Cars"/>
  </r>
  <r>
    <s v="CUST_769"/>
    <x v="9"/>
    <x v="0"/>
    <s v="Sunday"/>
    <s v="Yes"/>
    <x v="3"/>
    <x v="3"/>
    <s v="Saxony"/>
    <x v="3"/>
    <s v="EQE"/>
    <s v="Electric"/>
    <x v="1"/>
    <s v="18-25"/>
    <s v="High"/>
    <x v="1"/>
    <x v="0"/>
    <s v="Sales_17"/>
    <n v="224"/>
    <n v="100"/>
    <n v="76"/>
    <n v="21"/>
    <s v="21.0"/>
    <n v="57821"/>
    <s v="3.03"/>
    <n v="44111"/>
    <n v="1214241"/>
    <n v="287910"/>
    <s v="Feb"/>
    <n v="2"/>
    <n v="2026"/>
    <s v="Weekend"/>
    <n v="0.27631578947368424"/>
    <n v="0.44642857142857145"/>
    <n v="9.375E-2"/>
    <n v="13710"/>
    <s v="Saxon Wheels"/>
  </r>
  <r>
    <s v="CUST_770"/>
    <x v="21"/>
    <x v="0"/>
    <s v="Tuesday"/>
    <s v="No"/>
    <x v="8"/>
    <x v="8"/>
    <s v="Baden-WÃ¼rttemberg"/>
    <x v="4"/>
    <s v="Passat"/>
    <s v="Diesel"/>
    <x v="1"/>
    <s v="36-50"/>
    <s v="Medium"/>
    <x v="1"/>
    <x v="3"/>
    <s v="Sales_15"/>
    <n v="304"/>
    <n v="150"/>
    <n v="97"/>
    <n v="20"/>
    <s v="13.33"/>
    <n v="33735"/>
    <s v="7.58"/>
    <n v="29383"/>
    <n v="674700"/>
    <n v="87040"/>
    <s v="Feb"/>
    <n v="2"/>
    <n v="2026"/>
    <s v="Weekday"/>
    <n v="0.20618556701030927"/>
    <n v="0.49342105263157893"/>
    <n v="6.5789473684210523E-2"/>
    <n v="4352"/>
    <s v="Stuttgart Auto Center"/>
  </r>
  <r>
    <s v="CUST_771"/>
    <x v="25"/>
    <x v="3"/>
    <s v="Friday"/>
    <s v="No"/>
    <x v="3"/>
    <x v="3"/>
    <s v="Saxony"/>
    <x v="2"/>
    <s v="Q5"/>
    <s v="Electric"/>
    <x v="0"/>
    <s v="18-25"/>
    <s v="Medium"/>
    <x v="1"/>
    <x v="1"/>
    <s v="Sales_19"/>
    <n v="161"/>
    <n v="74"/>
    <n v="55"/>
    <n v="17"/>
    <s v="22.97"/>
    <n v="50434"/>
    <s v="3.69"/>
    <n v="40194"/>
    <n v="857378"/>
    <n v="174080"/>
    <s v="Feb"/>
    <n v="2"/>
    <n v="2026"/>
    <s v="Weekday"/>
    <n v="0.30909090909090908"/>
    <n v="0.45962732919254656"/>
    <n v="0.10559006211180125"/>
    <n v="10240"/>
    <s v="Saxon Wheels"/>
  </r>
  <r>
    <s v="CUST_772"/>
    <x v="9"/>
    <x v="0"/>
    <s v="Sunday"/>
    <s v="Yes"/>
    <x v="6"/>
    <x v="6"/>
    <s v="Saxony"/>
    <x v="1"/>
    <s v="Crossland"/>
    <s v="Electric"/>
    <x v="0"/>
    <s v="36-50"/>
    <s v="High"/>
    <x v="0"/>
    <x v="0"/>
    <s v="Sales_6"/>
    <n v="424"/>
    <n v="228"/>
    <n v="156"/>
    <n v="31"/>
    <s v="13.6"/>
    <n v="23450"/>
    <s v="10.93"/>
    <n v="21227"/>
    <n v="726950"/>
    <n v="68913"/>
    <s v="Feb"/>
    <n v="2"/>
    <n v="2026"/>
    <s v="Weekend"/>
    <n v="0.19871794871794871"/>
    <n v="0.53773584905660377"/>
    <n v="7.3113207547169809E-2"/>
    <n v="2223"/>
    <s v="Leipzig Mobility"/>
  </r>
  <r>
    <s v="CUST_773"/>
    <x v="25"/>
    <x v="3"/>
    <s v="Friday"/>
    <s v="No"/>
    <x v="6"/>
    <x v="6"/>
    <s v="Saxony"/>
    <x v="4"/>
    <s v="ID.4"/>
    <s v="Hybrid"/>
    <x v="0"/>
    <s v="36-50"/>
    <s v="Low"/>
    <x v="1"/>
    <x v="0"/>
    <s v="Sales_11"/>
    <n v="312"/>
    <n v="143"/>
    <n v="94"/>
    <n v="17"/>
    <s v="11.89"/>
    <n v="27601"/>
    <s v="7.55"/>
    <n v="24640"/>
    <n v="469217"/>
    <n v="50337"/>
    <s v="Feb"/>
    <n v="2"/>
    <n v="2026"/>
    <s v="Weekday"/>
    <n v="0.18085106382978725"/>
    <n v="0.45833333333333331"/>
    <n v="5.4487179487179488E-2"/>
    <n v="2961"/>
    <s v="Leipzig Mobility"/>
  </r>
  <r>
    <s v="CUST_774"/>
    <x v="16"/>
    <x v="1"/>
    <s v="Tuesday"/>
    <s v="No"/>
    <x v="0"/>
    <x v="0"/>
    <s v="Hesse"/>
    <x v="2"/>
    <s v="A4"/>
    <s v="Electric"/>
    <x v="1"/>
    <s v="36-50"/>
    <s v="High"/>
    <x v="1"/>
    <x v="2"/>
    <s v="Sales_9"/>
    <n v="211"/>
    <n v="107"/>
    <n v="69"/>
    <n v="27"/>
    <s v="25.23"/>
    <n v="44258"/>
    <s v="6.64"/>
    <n v="33621"/>
    <n v="1194966"/>
    <n v="287199"/>
    <s v="Feb"/>
    <n v="2"/>
    <n v="2026"/>
    <s v="Weekday"/>
    <n v="0.39130434782608697"/>
    <n v="0.50710900473933651"/>
    <n v="0.12796208530805686"/>
    <n v="10637"/>
    <s v="Main Auto Hub"/>
  </r>
  <r>
    <s v="CUST_775"/>
    <x v="25"/>
    <x v="3"/>
    <s v="Friday"/>
    <s v="No"/>
    <x v="9"/>
    <x v="9"/>
    <s v="NRW"/>
    <x v="0"/>
    <s v="X3"/>
    <s v="Hybrid"/>
    <x v="0"/>
    <s v="50+"/>
    <s v="Medium"/>
    <x v="1"/>
    <x v="2"/>
    <s v="Sales_5"/>
    <n v="259"/>
    <n v="128"/>
    <n v="103"/>
    <n v="39"/>
    <s v="30.47"/>
    <n v="59026"/>
    <s v="5.52"/>
    <n v="45365"/>
    <n v="2302014"/>
    <n v="532779"/>
    <s v="Feb"/>
    <n v="2"/>
    <n v="2026"/>
    <s v="Weekday"/>
    <n v="0.37864077669902912"/>
    <n v="0.49420849420849422"/>
    <n v="0.15057915057915058"/>
    <n v="13661"/>
    <s v="Ruhr Auto Plaza"/>
  </r>
  <r>
    <s v="CUST_776"/>
    <x v="18"/>
    <x v="0"/>
    <s v="Saturday"/>
    <s v="Yes"/>
    <x v="5"/>
    <x v="5"/>
    <s v="Hamburg"/>
    <x v="1"/>
    <s v="Mokka"/>
    <s v="Hybrid"/>
    <x v="0"/>
    <s v="18-25"/>
    <s v="Medium"/>
    <x v="1"/>
    <x v="1"/>
    <s v="Sales_10"/>
    <n v="259"/>
    <n v="126"/>
    <n v="84"/>
    <n v="19"/>
    <s v="15.08"/>
    <n v="23851"/>
    <s v="9.21"/>
    <n v="21328"/>
    <n v="453169"/>
    <n v="47937"/>
    <s v="Feb"/>
    <n v="2"/>
    <n v="2026"/>
    <s v="Weekend"/>
    <n v="0.22619047619047619"/>
    <n v="0.48648648648648651"/>
    <n v="7.3359073359073365E-2"/>
    <n v="2523"/>
    <s v="Elbe Drive"/>
  </r>
  <r>
    <s v="CUST_777"/>
    <x v="0"/>
    <x v="0"/>
    <s v="Monday"/>
    <s v="No"/>
    <x v="8"/>
    <x v="8"/>
    <s v="Baden-WÃ¼rttemberg"/>
    <x v="3"/>
    <s v="C-Class"/>
    <s v="Petrol"/>
    <x v="1"/>
    <s v="26-35"/>
    <s v="Low"/>
    <x v="0"/>
    <x v="3"/>
    <s v="Sales_7"/>
    <n v="148"/>
    <n v="71"/>
    <n v="47"/>
    <n v="18"/>
    <s v="25.35"/>
    <n v="56024"/>
    <s v="5.39"/>
    <n v="43799"/>
    <n v="1008432"/>
    <n v="220050"/>
    <s v="Feb"/>
    <n v="2"/>
    <n v="2026"/>
    <s v="Weekday"/>
    <n v="0.38297872340425532"/>
    <n v="0.47972972972972971"/>
    <n v="0.12162162162162163"/>
    <n v="12225"/>
    <s v="Stuttgart Auto Center"/>
  </r>
  <r>
    <s v="CUST_778"/>
    <x v="21"/>
    <x v="0"/>
    <s v="Tuesday"/>
    <s v="No"/>
    <x v="1"/>
    <x v="1"/>
    <s v="NRW"/>
    <x v="4"/>
    <s v="Passat"/>
    <s v="Hybrid"/>
    <x v="1"/>
    <s v="26-35"/>
    <s v="Medium"/>
    <x v="1"/>
    <x v="1"/>
    <s v="Sales_6"/>
    <n v="412"/>
    <n v="214"/>
    <n v="151"/>
    <n v="32"/>
    <s v="14.95"/>
    <n v="31963"/>
    <s v="11.17"/>
    <n v="28894"/>
    <n v="1022816"/>
    <n v="98208"/>
    <s v="Feb"/>
    <n v="2"/>
    <n v="2026"/>
    <s v="Weekday"/>
    <n v="0.2119205298013245"/>
    <n v="0.51941747572815533"/>
    <n v="7.7669902912621352E-2"/>
    <n v="3069"/>
    <s v="Rhein Auto Group"/>
  </r>
  <r>
    <s v="CUST_779"/>
    <x v="23"/>
    <x v="2"/>
    <s v="Tuesday"/>
    <s v="No"/>
    <x v="1"/>
    <x v="1"/>
    <s v="NRW"/>
    <x v="1"/>
    <s v="Grandland"/>
    <s v="Diesel"/>
    <x v="0"/>
    <s v="18-25"/>
    <s v="Medium"/>
    <x v="1"/>
    <x v="0"/>
    <s v="Sales_5"/>
    <n v="311"/>
    <n v="128"/>
    <n v="72"/>
    <n v="16"/>
    <s v="12.5"/>
    <n v="22050"/>
    <s v="13.65"/>
    <n v="20095"/>
    <n v="352800"/>
    <n v="31280"/>
    <s v="Feb"/>
    <n v="2"/>
    <n v="2026"/>
    <s v="Weekday"/>
    <n v="0.22222222222222221"/>
    <n v="0.41157556270096463"/>
    <n v="5.1446945337620578E-2"/>
    <n v="1955"/>
    <s v="Rhein Auto Group"/>
  </r>
  <r>
    <s v="CUST_780"/>
    <x v="18"/>
    <x v="0"/>
    <s v="Saturday"/>
    <s v="Yes"/>
    <x v="5"/>
    <x v="5"/>
    <s v="Hamburg"/>
    <x v="0"/>
    <s v="X3"/>
    <s v="Diesel"/>
    <x v="0"/>
    <s v="26-35"/>
    <s v="Low"/>
    <x v="1"/>
    <x v="3"/>
    <s v="Sales_11"/>
    <n v="269"/>
    <n v="129"/>
    <n v="96"/>
    <n v="31"/>
    <s v="24.03"/>
    <n v="53402"/>
    <s v="4.01"/>
    <n v="39197"/>
    <n v="1655462"/>
    <n v="440355"/>
    <s v="Feb"/>
    <n v="2"/>
    <n v="2026"/>
    <s v="Weekend"/>
    <n v="0.32291666666666669"/>
    <n v="0.4795539033457249"/>
    <n v="0.11524163568773234"/>
    <n v="14205"/>
    <s v="Elbe Drive"/>
  </r>
  <r>
    <s v="CUST_781"/>
    <x v="2"/>
    <x v="2"/>
    <s v="Monday"/>
    <s v="No"/>
    <x v="9"/>
    <x v="9"/>
    <s v="NRW"/>
    <x v="2"/>
    <s v="A4"/>
    <s v="Diesel"/>
    <x v="1"/>
    <s v="18-25"/>
    <s v="Low"/>
    <x v="0"/>
    <x v="2"/>
    <s v="Sales_4"/>
    <n v="274"/>
    <n v="145"/>
    <n v="111"/>
    <n v="35"/>
    <s v="24.14"/>
    <n v="51755"/>
    <s v="3.58"/>
    <n v="39685"/>
    <n v="1811425"/>
    <n v="422450"/>
    <s v="Feb"/>
    <n v="2"/>
    <n v="2026"/>
    <s v="Weekday"/>
    <n v="0.31531531531531531"/>
    <n v="0.52919708029197077"/>
    <n v="0.12773722627737227"/>
    <n v="12070"/>
    <s v="Ruhr Auto Plaza"/>
  </r>
  <r>
    <s v="CUST_782"/>
    <x v="11"/>
    <x v="0"/>
    <s v="Wednesday"/>
    <s v="No"/>
    <x v="9"/>
    <x v="9"/>
    <s v="NRW"/>
    <x v="4"/>
    <s v="T-Roc"/>
    <s v="Hybrid"/>
    <x v="0"/>
    <s v="26-35"/>
    <s v="High"/>
    <x v="1"/>
    <x v="0"/>
    <s v="Sales_16"/>
    <n v="431"/>
    <n v="224"/>
    <n v="131"/>
    <n v="28"/>
    <s v="12.5"/>
    <n v="32386"/>
    <s v="7.51"/>
    <n v="29054"/>
    <n v="906808"/>
    <n v="93296"/>
    <s v="Feb"/>
    <n v="2"/>
    <n v="2026"/>
    <s v="Weekday"/>
    <n v="0.21374045801526717"/>
    <n v="0.51972157772621808"/>
    <n v="6.4965197215777259E-2"/>
    <n v="3332"/>
    <s v="Ruhr Auto Plaza"/>
  </r>
  <r>
    <s v="CUST_783"/>
    <x v="23"/>
    <x v="2"/>
    <s v="Tuesday"/>
    <s v="No"/>
    <x v="3"/>
    <x v="3"/>
    <s v="Saxony"/>
    <x v="3"/>
    <s v="GLC"/>
    <s v="Petrol"/>
    <x v="0"/>
    <s v="26-35"/>
    <s v="High"/>
    <x v="0"/>
    <x v="0"/>
    <s v="Sales_1"/>
    <n v="257"/>
    <n v="147"/>
    <n v="100"/>
    <n v="33"/>
    <s v="22.45"/>
    <n v="60577"/>
    <s v="4.25"/>
    <n v="43892"/>
    <n v="1999041"/>
    <n v="550605"/>
    <s v="Feb"/>
    <n v="2"/>
    <n v="2026"/>
    <s v="Weekday"/>
    <n v="0.33"/>
    <n v="0.57198443579766534"/>
    <n v="0.12840466926070038"/>
    <n v="16685"/>
    <s v="Saxon Wheels"/>
  </r>
  <r>
    <s v="CUST_784"/>
    <x v="10"/>
    <x v="1"/>
    <s v="Monday"/>
    <s v="No"/>
    <x v="8"/>
    <x v="8"/>
    <s v="Baden-WÃ¼rttemberg"/>
    <x v="0"/>
    <s v="3 Series"/>
    <s v="Electric"/>
    <x v="1"/>
    <s v="18-25"/>
    <s v="Medium"/>
    <x v="1"/>
    <x v="3"/>
    <s v="Sales_6"/>
    <n v="160"/>
    <n v="86"/>
    <n v="58"/>
    <n v="25"/>
    <s v="29.07"/>
    <n v="60422"/>
    <s v="2.46"/>
    <n v="42756"/>
    <n v="1510550"/>
    <n v="441650"/>
    <s v="Feb"/>
    <n v="2"/>
    <n v="2026"/>
    <s v="Weekday"/>
    <n v="0.43103448275862066"/>
    <n v="0.53749999999999998"/>
    <n v="0.15625"/>
    <n v="17666"/>
    <s v="Stuttgart Auto Center"/>
  </r>
  <r>
    <s v="CUST_785"/>
    <x v="27"/>
    <x v="3"/>
    <s v="Sunday"/>
    <s v="Yes"/>
    <x v="2"/>
    <x v="2"/>
    <s v="Lower Saxony"/>
    <x v="2"/>
    <s v="A4"/>
    <s v="Petrol"/>
    <x v="1"/>
    <s v="36-50"/>
    <s v="High"/>
    <x v="1"/>
    <x v="2"/>
    <s v="Sales_4"/>
    <n v="306"/>
    <n v="164"/>
    <n v="122"/>
    <n v="42"/>
    <s v="25.61"/>
    <n v="45937"/>
    <s v="3.28"/>
    <n v="34903"/>
    <n v="1929354"/>
    <n v="463428"/>
    <s v="Feb"/>
    <n v="2"/>
    <n v="2026"/>
    <s v="Weekend"/>
    <n v="0.34426229508196721"/>
    <n v="0.53594771241830064"/>
    <n v="0.13725490196078433"/>
    <n v="11034"/>
    <s v="Hannover Cars"/>
  </r>
  <r>
    <s v="CUST_786"/>
    <x v="26"/>
    <x v="1"/>
    <s v="Friday"/>
    <s v="No"/>
    <x v="8"/>
    <x v="8"/>
    <s v="Baden-WÃ¼rttemberg"/>
    <x v="2"/>
    <s v="A4"/>
    <s v="Electric"/>
    <x v="1"/>
    <s v="36-50"/>
    <s v="Medium"/>
    <x v="1"/>
    <x v="2"/>
    <s v="Sales_3"/>
    <n v="198"/>
    <n v="103"/>
    <n v="78"/>
    <n v="27"/>
    <s v="26.21"/>
    <n v="47639"/>
    <s v="5.34"/>
    <n v="37716"/>
    <n v="1286253"/>
    <n v="267921"/>
    <s v="Feb"/>
    <n v="2"/>
    <n v="2026"/>
    <s v="Weekday"/>
    <n v="0.34615384615384615"/>
    <n v="0.52020202020202022"/>
    <n v="0.13636363636363635"/>
    <n v="9923"/>
    <s v="Stuttgart Auto Center"/>
  </r>
  <r>
    <s v="CUST_787"/>
    <x v="3"/>
    <x v="1"/>
    <s v="Sunday"/>
    <s v="Yes"/>
    <x v="3"/>
    <x v="3"/>
    <s v="Saxony"/>
    <x v="2"/>
    <s v="Q5"/>
    <s v="Diesel"/>
    <x v="0"/>
    <s v="18-25"/>
    <s v="Low"/>
    <x v="0"/>
    <x v="1"/>
    <s v="Sales_8"/>
    <n v="198"/>
    <n v="96"/>
    <n v="70"/>
    <n v="24"/>
    <s v="25.0"/>
    <n v="44612"/>
    <s v="4.92"/>
    <n v="34668"/>
    <n v="1070688"/>
    <n v="238656"/>
    <s v="Feb"/>
    <n v="2"/>
    <n v="2026"/>
    <s v="Weekend"/>
    <n v="0.34285714285714286"/>
    <n v="0.48484848484848486"/>
    <n v="0.12121212121212122"/>
    <n v="9944"/>
    <s v="Saxon Wheels"/>
  </r>
  <r>
    <s v="CUST_788"/>
    <x v="7"/>
    <x v="3"/>
    <s v="Monday"/>
    <s v="No"/>
    <x v="6"/>
    <x v="6"/>
    <s v="Saxony"/>
    <x v="4"/>
    <s v="Tiguan"/>
    <s v="Electric"/>
    <x v="0"/>
    <s v="26-35"/>
    <s v="Low"/>
    <x v="1"/>
    <x v="3"/>
    <s v="Sales_7"/>
    <n v="468"/>
    <n v="189"/>
    <n v="126"/>
    <n v="25"/>
    <s v="13.23"/>
    <n v="32228"/>
    <s v="8.58"/>
    <n v="28507"/>
    <n v="805700"/>
    <n v="93025"/>
    <s v="Feb"/>
    <n v="2"/>
    <n v="2026"/>
    <s v="Weekday"/>
    <n v="0.1984126984126984"/>
    <n v="0.40384615384615385"/>
    <n v="5.3418803418803416E-2"/>
    <n v="3721"/>
    <s v="Leipzig Mobility"/>
  </r>
  <r>
    <s v="CUST_789"/>
    <x v="1"/>
    <x v="1"/>
    <s v="Wednesday"/>
    <s v="No"/>
    <x v="0"/>
    <x v="0"/>
    <s v="Hesse"/>
    <x v="2"/>
    <s v="Q5"/>
    <s v="Diesel"/>
    <x v="0"/>
    <s v="50+"/>
    <s v="Medium"/>
    <x v="0"/>
    <x v="1"/>
    <s v="Sales_7"/>
    <n v="284"/>
    <n v="177"/>
    <n v="131"/>
    <n v="40"/>
    <s v="22.6"/>
    <n v="49502"/>
    <s v="6.82"/>
    <n v="38101"/>
    <n v="1980080"/>
    <n v="456040"/>
    <s v="Feb"/>
    <n v="2"/>
    <n v="2026"/>
    <s v="Weekday"/>
    <n v="0.30534351145038169"/>
    <n v="0.62323943661971826"/>
    <n v="0.14084507042253522"/>
    <n v="11401"/>
    <s v="Main Auto Hub"/>
  </r>
  <r>
    <s v="CUST_790"/>
    <x v="13"/>
    <x v="0"/>
    <s v="Friday"/>
    <s v="No"/>
    <x v="6"/>
    <x v="6"/>
    <s v="Saxony"/>
    <x v="0"/>
    <s v="i4"/>
    <s v="Hybrid"/>
    <x v="1"/>
    <s v="36-50"/>
    <s v="Low"/>
    <x v="1"/>
    <x v="3"/>
    <s v="Sales_3"/>
    <n v="171"/>
    <n v="87"/>
    <n v="70"/>
    <n v="23"/>
    <s v="26.44"/>
    <n v="63640"/>
    <s v="5.36"/>
    <n v="48399"/>
    <n v="1463720"/>
    <n v="350543"/>
    <s v="Feb"/>
    <n v="2"/>
    <n v="2026"/>
    <s v="Weekday"/>
    <n v="0.32857142857142857"/>
    <n v="0.50877192982456143"/>
    <n v="0.13450292397660818"/>
    <n v="15241"/>
    <s v="Leipzig Mobility"/>
  </r>
  <r>
    <s v="CUST_791"/>
    <x v="8"/>
    <x v="3"/>
    <s v="Wednesday"/>
    <s v="No"/>
    <x v="9"/>
    <x v="9"/>
    <s v="NRW"/>
    <x v="3"/>
    <s v="E-Class"/>
    <s v="Diesel"/>
    <x v="1"/>
    <s v="50+"/>
    <s v="Medium"/>
    <x v="1"/>
    <x v="3"/>
    <s v="Sales_11"/>
    <n v="290"/>
    <n v="162"/>
    <n v="117"/>
    <n v="40"/>
    <s v="24.69"/>
    <n v="58133"/>
    <s v="3.93"/>
    <n v="45749"/>
    <n v="2325320"/>
    <n v="495360"/>
    <s v="Feb"/>
    <n v="2"/>
    <n v="2026"/>
    <s v="Weekday"/>
    <n v="0.34188034188034189"/>
    <n v="0.55862068965517242"/>
    <n v="0.13793103448275862"/>
    <n v="12384"/>
    <s v="Ruhr Auto Plaza"/>
  </r>
  <r>
    <s v="CUST_792"/>
    <x v="22"/>
    <x v="3"/>
    <s v="Tuesday"/>
    <s v="No"/>
    <x v="4"/>
    <x v="4"/>
    <s v="Berlin"/>
    <x v="0"/>
    <s v="3 Series"/>
    <s v="Electric"/>
    <x v="1"/>
    <s v="26-35"/>
    <s v="High"/>
    <x v="1"/>
    <x v="0"/>
    <s v="Sales_18"/>
    <n v="261"/>
    <n v="133"/>
    <n v="101"/>
    <n v="35"/>
    <s v="26.32"/>
    <n v="49423"/>
    <s v="5.25"/>
    <n v="36291"/>
    <n v="1729805"/>
    <n v="459620"/>
    <s v="Feb"/>
    <n v="2"/>
    <n v="2026"/>
    <s v="Weekday"/>
    <n v="0.34653465346534651"/>
    <n v="0.50957854406130265"/>
    <n v="0.13409961685823754"/>
    <n v="13132"/>
    <s v="Autohaus Berlin"/>
  </r>
  <r>
    <s v="CUST_793"/>
    <x v="4"/>
    <x v="2"/>
    <s v="Wednesday"/>
    <s v="No"/>
    <x v="5"/>
    <x v="5"/>
    <s v="Hamburg"/>
    <x v="1"/>
    <s v="Grandland"/>
    <s v="Electric"/>
    <x v="0"/>
    <s v="26-35"/>
    <s v="High"/>
    <x v="1"/>
    <x v="3"/>
    <s v="Sales_7"/>
    <n v="333"/>
    <n v="127"/>
    <n v="83"/>
    <n v="16"/>
    <s v="12.6"/>
    <n v="21734"/>
    <s v="8.07"/>
    <n v="20032"/>
    <n v="347744"/>
    <n v="27232"/>
    <s v="Feb"/>
    <n v="2"/>
    <n v="2026"/>
    <s v="Weekday"/>
    <n v="0.19277108433734941"/>
    <n v="0.38138138138138139"/>
    <n v="4.8048048048048048E-2"/>
    <n v="1702"/>
    <s v="Elbe Drive"/>
  </r>
  <r>
    <s v="CUST_794"/>
    <x v="10"/>
    <x v="1"/>
    <s v="Monday"/>
    <s v="No"/>
    <x v="7"/>
    <x v="7"/>
    <s v="Bavaria"/>
    <x v="2"/>
    <s v="Q5"/>
    <s v="Diesel"/>
    <x v="0"/>
    <s v="36-50"/>
    <s v="High"/>
    <x v="0"/>
    <x v="1"/>
    <s v="Sales_2"/>
    <n v="292"/>
    <n v="159"/>
    <n v="121"/>
    <n v="45"/>
    <s v="28.3"/>
    <n v="43978"/>
    <s v="5.92"/>
    <n v="34138"/>
    <n v="1979010"/>
    <n v="442800"/>
    <s v="Feb"/>
    <n v="2"/>
    <n v="2026"/>
    <s v="Weekday"/>
    <n v="0.37190082644628097"/>
    <n v="0.54452054794520544"/>
    <n v="0.1541095890410959"/>
    <n v="9840"/>
    <s v="Bavaria Motors"/>
  </r>
  <r>
    <s v="CUST_795"/>
    <x v="4"/>
    <x v="2"/>
    <s v="Wednesday"/>
    <s v="No"/>
    <x v="7"/>
    <x v="7"/>
    <s v="Bavaria"/>
    <x v="2"/>
    <s v="A3"/>
    <s v="Petrol"/>
    <x v="2"/>
    <s v="36-50"/>
    <s v="Medium"/>
    <x v="1"/>
    <x v="2"/>
    <s v="Sales_16"/>
    <n v="189"/>
    <n v="116"/>
    <n v="78"/>
    <n v="29"/>
    <s v="25.0"/>
    <n v="49882"/>
    <s v="4.85"/>
    <n v="37576"/>
    <n v="1446578"/>
    <n v="356874"/>
    <s v="Feb"/>
    <n v="2"/>
    <n v="2026"/>
    <s v="Weekday"/>
    <n v="0.37179487179487181"/>
    <n v="0.61375661375661372"/>
    <n v="0.15343915343915343"/>
    <n v="12306"/>
    <s v="Bavaria Motors"/>
  </r>
  <r>
    <s v="CUST_796"/>
    <x v="15"/>
    <x v="2"/>
    <s v="Thursday"/>
    <s v="No"/>
    <x v="5"/>
    <x v="5"/>
    <s v="Hamburg"/>
    <x v="2"/>
    <s v="e-tron"/>
    <s v="Petrol"/>
    <x v="0"/>
    <s v="18-25"/>
    <s v="High"/>
    <x v="0"/>
    <x v="3"/>
    <s v="Sales_13"/>
    <n v="235"/>
    <n v="126"/>
    <n v="82"/>
    <n v="30"/>
    <s v="23.81"/>
    <n v="55480"/>
    <s v="3.57"/>
    <n v="44141"/>
    <n v="1664400"/>
    <n v="340170"/>
    <s v="Feb"/>
    <n v="2"/>
    <n v="2026"/>
    <s v="Weekday"/>
    <n v="0.36585365853658536"/>
    <n v="0.53617021276595744"/>
    <n v="0.1276595744680851"/>
    <n v="11339"/>
    <s v="Elbe Drive"/>
  </r>
  <r>
    <s v="CUST_797"/>
    <x v="13"/>
    <x v="0"/>
    <s v="Friday"/>
    <s v="No"/>
    <x v="8"/>
    <x v="8"/>
    <s v="Baden-WÃ¼rttemberg"/>
    <x v="2"/>
    <s v="e-tron"/>
    <s v="Hybrid"/>
    <x v="0"/>
    <s v="18-25"/>
    <s v="High"/>
    <x v="1"/>
    <x v="2"/>
    <s v="Sales_11"/>
    <n v="305"/>
    <n v="163"/>
    <n v="114"/>
    <n v="40"/>
    <s v="24.54"/>
    <n v="40850"/>
    <s v="6.03"/>
    <n v="33064"/>
    <n v="1634000"/>
    <n v="311440"/>
    <s v="Feb"/>
    <n v="2"/>
    <n v="2026"/>
    <s v="Weekday"/>
    <n v="0.35087719298245612"/>
    <n v="0.53442622950819674"/>
    <n v="0.13114754098360656"/>
    <n v="7786"/>
    <s v="Stuttgart Auto Center"/>
  </r>
  <r>
    <s v="CUST_798"/>
    <x v="8"/>
    <x v="3"/>
    <s v="Wednesday"/>
    <s v="No"/>
    <x v="5"/>
    <x v="5"/>
    <s v="Hamburg"/>
    <x v="0"/>
    <s v="X3"/>
    <s v="Diesel"/>
    <x v="0"/>
    <s v="36-50"/>
    <s v="High"/>
    <x v="0"/>
    <x v="0"/>
    <s v="Sales_8"/>
    <n v="164"/>
    <n v="85"/>
    <n v="61"/>
    <n v="22"/>
    <s v="25.88"/>
    <n v="53059"/>
    <s v="4.73"/>
    <n v="39699"/>
    <n v="1167298"/>
    <n v="293920"/>
    <s v="Feb"/>
    <n v="2"/>
    <n v="2026"/>
    <s v="Weekday"/>
    <n v="0.36065573770491804"/>
    <n v="0.51829268292682928"/>
    <n v="0.13414634146341464"/>
    <n v="13360"/>
    <s v="Elbe Drive"/>
  </r>
  <r>
    <s v="CUST_799"/>
    <x v="18"/>
    <x v="0"/>
    <s v="Saturday"/>
    <s v="Yes"/>
    <x v="9"/>
    <x v="9"/>
    <s v="NRW"/>
    <x v="0"/>
    <s v="X3"/>
    <s v="Petrol"/>
    <x v="0"/>
    <s v="50+"/>
    <s v="High"/>
    <x v="0"/>
    <x v="3"/>
    <s v="Sales_6"/>
    <n v="254"/>
    <n v="131"/>
    <n v="101"/>
    <n v="36"/>
    <s v="27.48"/>
    <n v="59116"/>
    <s v="4.04"/>
    <n v="41493"/>
    <n v="2128176"/>
    <n v="634428"/>
    <s v="Feb"/>
    <n v="2"/>
    <n v="2026"/>
    <s v="Weekend"/>
    <n v="0.35643564356435642"/>
    <n v="0.51574803149606296"/>
    <n v="0.14173228346456693"/>
    <n v="17623"/>
    <s v="Ruhr Auto Plaza"/>
  </r>
  <r>
    <s v="CUST_800"/>
    <x v="25"/>
    <x v="3"/>
    <s v="Friday"/>
    <s v="No"/>
    <x v="3"/>
    <x v="3"/>
    <s v="Saxony"/>
    <x v="3"/>
    <s v="GLC"/>
    <s v="Diesel"/>
    <x v="0"/>
    <s v="26-35"/>
    <s v="Low"/>
    <x v="0"/>
    <x v="2"/>
    <s v="Sales_3"/>
    <n v="233"/>
    <n v="131"/>
    <n v="94"/>
    <n v="34"/>
    <s v="25.95"/>
    <n v="57144"/>
    <s v="4.42"/>
    <n v="40682"/>
    <n v="1942896"/>
    <n v="559708"/>
    <s v="Feb"/>
    <n v="2"/>
    <n v="2026"/>
    <s v="Weekday"/>
    <n v="0.36170212765957449"/>
    <n v="0.5622317596566524"/>
    <n v="0.14592274678111589"/>
    <n v="16462"/>
    <s v="Saxon Wheels"/>
  </r>
  <r>
    <s v="CUST_801"/>
    <x v="2"/>
    <x v="2"/>
    <s v="Monday"/>
    <s v="No"/>
    <x v="2"/>
    <x v="2"/>
    <s v="Lower Saxony"/>
    <x v="3"/>
    <s v="E-Class"/>
    <s v="Diesel"/>
    <x v="1"/>
    <s v="26-35"/>
    <s v="High"/>
    <x v="1"/>
    <x v="0"/>
    <s v="Sales_20"/>
    <n v="203"/>
    <n v="114"/>
    <n v="80"/>
    <n v="25"/>
    <s v="21.93"/>
    <n v="68389"/>
    <s v="2.33"/>
    <n v="53474"/>
    <n v="1709725"/>
    <n v="372875"/>
    <s v="Feb"/>
    <n v="2"/>
    <n v="2026"/>
    <s v="Weekday"/>
    <n v="0.3125"/>
    <n v="0.56157635467980294"/>
    <n v="0.12315270935960591"/>
    <n v="14915"/>
    <s v="Hannover Cars"/>
  </r>
  <r>
    <s v="CUST_802"/>
    <x v="13"/>
    <x v="0"/>
    <s v="Friday"/>
    <s v="No"/>
    <x v="9"/>
    <x v="9"/>
    <s v="NRW"/>
    <x v="3"/>
    <s v="E-Class"/>
    <s v="Diesel"/>
    <x v="1"/>
    <s v="18-25"/>
    <s v="High"/>
    <x v="1"/>
    <x v="2"/>
    <s v="Sales_12"/>
    <n v="265"/>
    <n v="156"/>
    <n v="114"/>
    <n v="39"/>
    <s v="25.0"/>
    <n v="61744"/>
    <s v="2.56"/>
    <n v="45028"/>
    <n v="2408016"/>
    <n v="651924"/>
    <s v="Feb"/>
    <n v="2"/>
    <n v="2026"/>
    <s v="Weekday"/>
    <n v="0.34210526315789475"/>
    <n v="0.58867924528301885"/>
    <n v="0.14716981132075471"/>
    <n v="16716"/>
    <s v="Ruhr Auto Plaza"/>
  </r>
  <r>
    <s v="CUST_803"/>
    <x v="14"/>
    <x v="2"/>
    <s v="Friday"/>
    <s v="No"/>
    <x v="5"/>
    <x v="5"/>
    <s v="Hamburg"/>
    <x v="3"/>
    <s v="GLE"/>
    <s v="Electric"/>
    <x v="0"/>
    <s v="50+"/>
    <s v="High"/>
    <x v="1"/>
    <x v="2"/>
    <s v="Sales_16"/>
    <n v="185"/>
    <n v="94"/>
    <n v="65"/>
    <n v="29"/>
    <s v="30.85"/>
    <n v="59580"/>
    <s v="4.61"/>
    <n v="44146"/>
    <n v="1727820"/>
    <n v="447586"/>
    <s v="Feb"/>
    <n v="2"/>
    <n v="2026"/>
    <s v="Weekday"/>
    <n v="0.44615384615384618"/>
    <n v="0.50810810810810814"/>
    <n v="0.15675675675675677"/>
    <n v="15434"/>
    <s v="Elbe Drive"/>
  </r>
  <r>
    <s v="CUST_804"/>
    <x v="11"/>
    <x v="0"/>
    <s v="Wednesday"/>
    <s v="No"/>
    <x v="6"/>
    <x v="6"/>
    <s v="Saxony"/>
    <x v="1"/>
    <s v="Grandland"/>
    <s v="Diesel"/>
    <x v="0"/>
    <s v="50+"/>
    <s v="Low"/>
    <x v="0"/>
    <x v="2"/>
    <s v="Sales_12"/>
    <n v="401"/>
    <n v="163"/>
    <n v="111"/>
    <n v="32"/>
    <s v="19.63"/>
    <n v="19857"/>
    <s v="11.76"/>
    <n v="18005"/>
    <n v="635424"/>
    <n v="59264"/>
    <s v="Feb"/>
    <n v="2"/>
    <n v="2026"/>
    <s v="Weekday"/>
    <n v="0.28828828828828829"/>
    <n v="0.40648379052369077"/>
    <n v="7.9800498753117205E-2"/>
    <n v="1852"/>
    <s v="Leipzig Mobility"/>
  </r>
  <r>
    <s v="CUST_805"/>
    <x v="20"/>
    <x v="0"/>
    <s v="Thursday"/>
    <s v="No"/>
    <x v="1"/>
    <x v="1"/>
    <s v="NRW"/>
    <x v="0"/>
    <s v="5 Series"/>
    <s v="Hybrid"/>
    <x v="1"/>
    <s v="26-35"/>
    <s v="Medium"/>
    <x v="0"/>
    <x v="0"/>
    <s v="Sales_20"/>
    <n v="221"/>
    <n v="111"/>
    <n v="84"/>
    <n v="31"/>
    <s v="27.93"/>
    <n v="55184"/>
    <s v="2.06"/>
    <n v="42329"/>
    <n v="1710704"/>
    <n v="398505"/>
    <s v="Feb"/>
    <n v="2"/>
    <n v="2026"/>
    <s v="Weekday"/>
    <n v="0.36904761904761907"/>
    <n v="0.50226244343891402"/>
    <n v="0.14027149321266968"/>
    <n v="12855"/>
    <s v="Rhein Auto Group"/>
  </r>
  <r>
    <s v="CUST_806"/>
    <x v="14"/>
    <x v="2"/>
    <s v="Friday"/>
    <s v="No"/>
    <x v="4"/>
    <x v="4"/>
    <s v="Berlin"/>
    <x v="1"/>
    <s v="Mokka"/>
    <s v="Petrol"/>
    <x v="0"/>
    <s v="18-25"/>
    <s v="Low"/>
    <x v="0"/>
    <x v="3"/>
    <s v="Sales_15"/>
    <n v="308"/>
    <n v="125"/>
    <n v="86"/>
    <n v="20"/>
    <s v="16.0"/>
    <n v="21582"/>
    <s v="9.14"/>
    <n v="19372"/>
    <n v="431640"/>
    <n v="44200"/>
    <s v="Feb"/>
    <n v="2"/>
    <n v="2026"/>
    <s v="Weekday"/>
    <n v="0.23255813953488372"/>
    <n v="0.40584415584415584"/>
    <n v="6.4935064935064929E-2"/>
    <n v="2210"/>
    <s v="Autohaus Berlin"/>
  </r>
  <r>
    <s v="CUST_807"/>
    <x v="12"/>
    <x v="3"/>
    <s v="Thursday"/>
    <s v="No"/>
    <x v="1"/>
    <x v="1"/>
    <s v="NRW"/>
    <x v="2"/>
    <s v="A3"/>
    <s v="Electric"/>
    <x v="2"/>
    <s v="18-25"/>
    <s v="High"/>
    <x v="1"/>
    <x v="3"/>
    <s v="Sales_4"/>
    <n v="262"/>
    <n v="122"/>
    <n v="93"/>
    <n v="27"/>
    <s v="22.13"/>
    <n v="51063"/>
    <s v="5.94"/>
    <n v="40813"/>
    <n v="1378701"/>
    <n v="276750"/>
    <s v="Feb"/>
    <n v="2"/>
    <n v="2026"/>
    <s v="Weekday"/>
    <n v="0.29032258064516131"/>
    <n v="0.46564885496183206"/>
    <n v="0.10305343511450382"/>
    <n v="10250"/>
    <s v="Rhein Auto Group"/>
  </r>
  <r>
    <s v="CUST_808"/>
    <x v="17"/>
    <x v="2"/>
    <s v="Sunday"/>
    <s v="Yes"/>
    <x v="5"/>
    <x v="5"/>
    <s v="Hamburg"/>
    <x v="4"/>
    <s v="T-Roc"/>
    <s v="Diesel"/>
    <x v="0"/>
    <s v="36-50"/>
    <s v="Medium"/>
    <x v="1"/>
    <x v="0"/>
    <s v="Sales_11"/>
    <n v="391"/>
    <n v="159"/>
    <n v="112"/>
    <n v="19"/>
    <s v="11.95"/>
    <n v="30771"/>
    <s v="7.57"/>
    <n v="26558"/>
    <n v="584649"/>
    <n v="80047"/>
    <s v="Feb"/>
    <n v="2"/>
    <n v="2026"/>
    <s v="Weekend"/>
    <n v="0.16964285714285715"/>
    <n v="0.40664961636828645"/>
    <n v="4.859335038363171E-2"/>
    <n v="4213"/>
    <s v="Elbe Drive"/>
  </r>
  <r>
    <s v="CUST_809"/>
    <x v="13"/>
    <x v="0"/>
    <s v="Friday"/>
    <s v="No"/>
    <x v="6"/>
    <x v="6"/>
    <s v="Saxony"/>
    <x v="3"/>
    <s v="E-Class"/>
    <s v="Petrol"/>
    <x v="1"/>
    <s v="18-25"/>
    <s v="High"/>
    <x v="0"/>
    <x v="0"/>
    <s v="Sales_3"/>
    <n v="163"/>
    <n v="90"/>
    <n v="68"/>
    <n v="19"/>
    <s v="21.11"/>
    <n v="70657"/>
    <s v="2.99"/>
    <n v="50266"/>
    <n v="1342483"/>
    <n v="387429"/>
    <s v="Feb"/>
    <n v="2"/>
    <n v="2026"/>
    <s v="Weekday"/>
    <n v="0.27941176470588236"/>
    <n v="0.55214723926380371"/>
    <n v="0.1165644171779141"/>
    <n v="20391"/>
    <s v="Leipzig Mobility"/>
  </r>
  <r>
    <s v="CUST_810"/>
    <x v="20"/>
    <x v="0"/>
    <s v="Thursday"/>
    <s v="No"/>
    <x v="2"/>
    <x v="2"/>
    <s v="Lower Saxony"/>
    <x v="2"/>
    <s v="e-tron"/>
    <s v="Electric"/>
    <x v="0"/>
    <s v="50+"/>
    <s v="Medium"/>
    <x v="0"/>
    <x v="3"/>
    <s v="Sales_20"/>
    <n v="181"/>
    <n v="86"/>
    <n v="55"/>
    <n v="19"/>
    <s v="22.09"/>
    <n v="51881"/>
    <s v="6.87"/>
    <n v="41342"/>
    <n v="985739"/>
    <n v="200241"/>
    <s v="Feb"/>
    <n v="2"/>
    <n v="2026"/>
    <s v="Weekday"/>
    <n v="0.34545454545454546"/>
    <n v="0.47513812154696133"/>
    <n v="0.10497237569060773"/>
    <n v="10539"/>
    <s v="Hannover Cars"/>
  </r>
  <r>
    <s v="CUST_811"/>
    <x v="19"/>
    <x v="1"/>
    <s v="Saturday"/>
    <s v="Yes"/>
    <x v="1"/>
    <x v="1"/>
    <s v="NRW"/>
    <x v="2"/>
    <s v="A3"/>
    <s v="Diesel"/>
    <x v="2"/>
    <s v="18-25"/>
    <s v="Medium"/>
    <x v="0"/>
    <x v="0"/>
    <s v="Sales_6"/>
    <n v="249"/>
    <n v="144"/>
    <n v="103"/>
    <n v="33"/>
    <s v="22.92"/>
    <n v="41609"/>
    <s v="5.09"/>
    <n v="32306"/>
    <n v="1373097"/>
    <n v="306999"/>
    <s v="Feb"/>
    <n v="2"/>
    <n v="2026"/>
    <s v="Weekend"/>
    <n v="0.32038834951456313"/>
    <n v="0.57831325301204817"/>
    <n v="0.13253012048192772"/>
    <n v="9303"/>
    <s v="Rhein Auto Group"/>
  </r>
  <r>
    <s v="CUST_812"/>
    <x v="4"/>
    <x v="2"/>
    <s v="Wednesday"/>
    <s v="No"/>
    <x v="7"/>
    <x v="7"/>
    <s v="Bavaria"/>
    <x v="3"/>
    <s v="EQE"/>
    <s v="Electric"/>
    <x v="1"/>
    <s v="18-25"/>
    <s v="Low"/>
    <x v="0"/>
    <x v="1"/>
    <s v="Sales_5"/>
    <n v="273"/>
    <n v="156"/>
    <n v="109"/>
    <n v="43"/>
    <s v="27.56"/>
    <n v="69202"/>
    <s v="5.67"/>
    <n v="50912"/>
    <n v="2975686"/>
    <n v="786470"/>
    <s v="Feb"/>
    <n v="2"/>
    <n v="2026"/>
    <s v="Weekday"/>
    <n v="0.39449541284403672"/>
    <n v="0.5714285714285714"/>
    <n v="0.1575091575091575"/>
    <n v="18290"/>
    <s v="Bavaria Motors"/>
  </r>
  <r>
    <s v="CUST_813"/>
    <x v="1"/>
    <x v="1"/>
    <s v="Wednesday"/>
    <s v="No"/>
    <x v="5"/>
    <x v="5"/>
    <s v="Hamburg"/>
    <x v="3"/>
    <s v="GLC"/>
    <s v="Petrol"/>
    <x v="0"/>
    <s v="26-35"/>
    <s v="Low"/>
    <x v="1"/>
    <x v="2"/>
    <s v="Sales_20"/>
    <n v="183"/>
    <n v="102"/>
    <n v="71"/>
    <n v="27"/>
    <s v="26.47"/>
    <n v="49532"/>
    <s v="5.0"/>
    <n v="39092"/>
    <n v="1337364"/>
    <n v="281880"/>
    <s v="Feb"/>
    <n v="2"/>
    <n v="2026"/>
    <s v="Weekday"/>
    <n v="0.38028169014084506"/>
    <n v="0.55737704918032782"/>
    <n v="0.14754098360655737"/>
    <n v="10440"/>
    <s v="Elbe Drive"/>
  </r>
  <r>
    <s v="CUST_814"/>
    <x v="14"/>
    <x v="2"/>
    <s v="Friday"/>
    <s v="No"/>
    <x v="5"/>
    <x v="5"/>
    <s v="Hamburg"/>
    <x v="2"/>
    <s v="Q3"/>
    <s v="Hybrid"/>
    <x v="0"/>
    <s v="36-50"/>
    <s v="High"/>
    <x v="1"/>
    <x v="3"/>
    <s v="Sales_12"/>
    <n v="225"/>
    <n v="103"/>
    <n v="69"/>
    <n v="24"/>
    <s v="23.3"/>
    <n v="44349"/>
    <s v="4.3"/>
    <n v="33958"/>
    <n v="1064376"/>
    <n v="249384"/>
    <s v="Feb"/>
    <n v="2"/>
    <n v="2026"/>
    <s v="Weekday"/>
    <n v="0.34782608695652173"/>
    <n v="0.45777777777777778"/>
    <n v="0.10666666666666667"/>
    <n v="10391"/>
    <s v="Elbe Drive"/>
  </r>
  <r>
    <s v="CUST_815"/>
    <x v="7"/>
    <x v="3"/>
    <s v="Monday"/>
    <s v="No"/>
    <x v="3"/>
    <x v="3"/>
    <s v="Saxony"/>
    <x v="2"/>
    <s v="Q5"/>
    <s v="Hybrid"/>
    <x v="0"/>
    <s v="36-50"/>
    <s v="Low"/>
    <x v="1"/>
    <x v="3"/>
    <s v="Sales_17"/>
    <n v="250"/>
    <n v="142"/>
    <n v="101"/>
    <n v="31"/>
    <s v="21.83"/>
    <n v="49864"/>
    <s v="5.98"/>
    <n v="40347"/>
    <n v="1545784"/>
    <n v="295027"/>
    <s v="Feb"/>
    <n v="2"/>
    <n v="2026"/>
    <s v="Weekday"/>
    <n v="0.30693069306930693"/>
    <n v="0.56799999999999995"/>
    <n v="0.124"/>
    <n v="9517"/>
    <s v="Saxon Wheels"/>
  </r>
  <r>
    <s v="CUST_816"/>
    <x v="4"/>
    <x v="2"/>
    <s v="Wednesday"/>
    <s v="No"/>
    <x v="7"/>
    <x v="7"/>
    <s v="Bavaria"/>
    <x v="0"/>
    <s v="X5"/>
    <s v="Petrol"/>
    <x v="0"/>
    <s v="18-25"/>
    <s v="Medium"/>
    <x v="1"/>
    <x v="2"/>
    <s v="Sales_19"/>
    <n v="156"/>
    <n v="77"/>
    <n v="53"/>
    <n v="24"/>
    <s v="31.17"/>
    <n v="60532"/>
    <s v="3.63"/>
    <n v="43494"/>
    <n v="1452768"/>
    <n v="408912"/>
    <s v="Feb"/>
    <n v="2"/>
    <n v="2026"/>
    <s v="Weekday"/>
    <n v="0.45283018867924529"/>
    <n v="0.49358974358974361"/>
    <n v="0.15384615384615385"/>
    <n v="17038"/>
    <s v="Bavaria Motors"/>
  </r>
  <r>
    <s v="CUST_817"/>
    <x v="9"/>
    <x v="0"/>
    <s v="Sunday"/>
    <s v="Yes"/>
    <x v="3"/>
    <x v="3"/>
    <s v="Saxony"/>
    <x v="1"/>
    <s v="Astra"/>
    <s v="Petrol"/>
    <x v="2"/>
    <s v="36-50"/>
    <s v="Medium"/>
    <x v="0"/>
    <x v="2"/>
    <s v="Sales_5"/>
    <n v="228"/>
    <n v="93"/>
    <n v="58"/>
    <n v="19"/>
    <s v="20.43"/>
    <n v="21017"/>
    <s v="13.26"/>
    <n v="18730"/>
    <n v="399323"/>
    <n v="43453"/>
    <s v="Feb"/>
    <n v="2"/>
    <n v="2026"/>
    <s v="Weekend"/>
    <n v="0.32758620689655171"/>
    <n v="0.40789473684210525"/>
    <n v="8.3333333333333329E-2"/>
    <n v="2287"/>
    <s v="Saxon Wheels"/>
  </r>
  <r>
    <s v="CUST_818"/>
    <x v="24"/>
    <x v="1"/>
    <s v="Thursday"/>
    <s v="No"/>
    <x v="7"/>
    <x v="7"/>
    <s v="Bavaria"/>
    <x v="4"/>
    <s v="Golf"/>
    <s v="Electric"/>
    <x v="2"/>
    <s v="36-50"/>
    <s v="Low"/>
    <x v="1"/>
    <x v="0"/>
    <s v="Sales_17"/>
    <n v="332"/>
    <n v="182"/>
    <n v="125"/>
    <n v="31"/>
    <s v="17.03"/>
    <n v="33113"/>
    <s v="10.1"/>
    <n v="29948"/>
    <n v="1026503"/>
    <n v="98115"/>
    <s v="Feb"/>
    <n v="2"/>
    <n v="2026"/>
    <s v="Weekday"/>
    <n v="0.248"/>
    <n v="0.54819277108433739"/>
    <n v="9.337349397590361E-2"/>
    <n v="3165"/>
    <s v="Bavaria Motors"/>
  </r>
  <r>
    <s v="CUST_819"/>
    <x v="15"/>
    <x v="2"/>
    <s v="Thursday"/>
    <s v="No"/>
    <x v="4"/>
    <x v="4"/>
    <s v="Berlin"/>
    <x v="0"/>
    <s v="3 Series"/>
    <s v="Hybrid"/>
    <x v="1"/>
    <s v="50+"/>
    <s v="High"/>
    <x v="1"/>
    <x v="1"/>
    <s v="Sales_12"/>
    <n v="205"/>
    <n v="101"/>
    <n v="70"/>
    <n v="32"/>
    <s v="31.68"/>
    <n v="58191"/>
    <s v="5.17"/>
    <n v="42730"/>
    <n v="1862112"/>
    <n v="494752"/>
    <s v="Feb"/>
    <n v="2"/>
    <n v="2026"/>
    <s v="Weekday"/>
    <n v="0.45714285714285713"/>
    <n v="0.49268292682926829"/>
    <n v="0.15609756097560976"/>
    <n v="15461"/>
    <s v="Autohaus Berlin"/>
  </r>
  <r>
    <s v="CUST_820"/>
    <x v="17"/>
    <x v="2"/>
    <s v="Sunday"/>
    <s v="Yes"/>
    <x v="0"/>
    <x v="0"/>
    <s v="Hesse"/>
    <x v="1"/>
    <s v="Corsa"/>
    <s v="Hybrid"/>
    <x v="2"/>
    <s v="18-25"/>
    <s v="Low"/>
    <x v="1"/>
    <x v="1"/>
    <s v="Sales_17"/>
    <n v="359"/>
    <n v="166"/>
    <n v="99"/>
    <n v="24"/>
    <s v="14.46"/>
    <n v="25595"/>
    <s v="10.78"/>
    <n v="22983"/>
    <n v="614280"/>
    <n v="62688"/>
    <s v="Feb"/>
    <n v="2"/>
    <n v="2026"/>
    <s v="Weekend"/>
    <n v="0.24242424242424243"/>
    <n v="0.46239554317548748"/>
    <n v="6.6852367688022288E-2"/>
    <n v="2612"/>
    <s v="Main Auto Hub"/>
  </r>
  <r>
    <s v="CUST_821"/>
    <x v="24"/>
    <x v="1"/>
    <s v="Thursday"/>
    <s v="No"/>
    <x v="3"/>
    <x v="3"/>
    <s v="Saxony"/>
    <x v="4"/>
    <s v="T-Roc"/>
    <s v="Diesel"/>
    <x v="0"/>
    <s v="36-50"/>
    <s v="High"/>
    <x v="1"/>
    <x v="0"/>
    <s v="Sales_5"/>
    <n v="508"/>
    <n v="254"/>
    <n v="172"/>
    <n v="34"/>
    <s v="13.39"/>
    <n v="33578"/>
    <s v="6.39"/>
    <n v="29874"/>
    <n v="1141652"/>
    <n v="125936"/>
    <s v="Feb"/>
    <n v="2"/>
    <n v="2026"/>
    <s v="Weekday"/>
    <n v="0.19767441860465115"/>
    <n v="0.5"/>
    <n v="6.6929133858267723E-2"/>
    <n v="3704"/>
    <s v="Saxon Wheels"/>
  </r>
  <r>
    <s v="CUST_822"/>
    <x v="15"/>
    <x v="2"/>
    <s v="Thursday"/>
    <s v="No"/>
    <x v="0"/>
    <x v="0"/>
    <s v="Hesse"/>
    <x v="3"/>
    <s v="C-Class"/>
    <s v="Diesel"/>
    <x v="1"/>
    <s v="26-35"/>
    <s v="High"/>
    <x v="1"/>
    <x v="2"/>
    <s v="Sales_11"/>
    <n v="234"/>
    <n v="131"/>
    <n v="102"/>
    <n v="36"/>
    <s v="27.48"/>
    <n v="63355"/>
    <s v="3.97"/>
    <n v="47298"/>
    <n v="2280780"/>
    <n v="578052"/>
    <s v="Feb"/>
    <n v="2"/>
    <n v="2026"/>
    <s v="Weekday"/>
    <n v="0.35294117647058826"/>
    <n v="0.55982905982905984"/>
    <n v="0.15384615384615385"/>
    <n v="16057"/>
    <s v="Main Auto Hub"/>
  </r>
  <r>
    <s v="CUST_823"/>
    <x v="8"/>
    <x v="3"/>
    <s v="Wednesday"/>
    <s v="No"/>
    <x v="4"/>
    <x v="4"/>
    <s v="Berlin"/>
    <x v="0"/>
    <s v="X3"/>
    <s v="Hybrid"/>
    <x v="0"/>
    <s v="36-50"/>
    <s v="Low"/>
    <x v="0"/>
    <x v="3"/>
    <s v="Sales_17"/>
    <n v="199"/>
    <n v="91"/>
    <n v="70"/>
    <n v="26"/>
    <s v="28.57"/>
    <n v="53149"/>
    <s v="2.57"/>
    <n v="38420"/>
    <n v="1381874"/>
    <n v="382954"/>
    <s v="Feb"/>
    <n v="2"/>
    <n v="2026"/>
    <s v="Weekday"/>
    <n v="0.37142857142857144"/>
    <n v="0.457286432160804"/>
    <n v="0.1306532663316583"/>
    <n v="14729"/>
    <s v="Autohaus Berlin"/>
  </r>
  <r>
    <s v="CUST_824"/>
    <x v="12"/>
    <x v="3"/>
    <s v="Thursday"/>
    <s v="No"/>
    <x v="0"/>
    <x v="0"/>
    <s v="Hesse"/>
    <x v="1"/>
    <s v="Grandland"/>
    <s v="Hybrid"/>
    <x v="0"/>
    <s v="36-50"/>
    <s v="Medium"/>
    <x v="0"/>
    <x v="0"/>
    <s v="Sales_3"/>
    <n v="326"/>
    <n v="160"/>
    <n v="111"/>
    <n v="20"/>
    <s v="12.5"/>
    <n v="25348"/>
    <s v="7.78"/>
    <n v="22887"/>
    <n v="506960"/>
    <n v="49220"/>
    <s v="Feb"/>
    <n v="2"/>
    <n v="2026"/>
    <s v="Weekday"/>
    <n v="0.18018018018018017"/>
    <n v="0.49079754601226994"/>
    <n v="6.1349693251533742E-2"/>
    <n v="2461"/>
    <s v="Main Auto Hub"/>
  </r>
  <r>
    <s v="CUST_825"/>
    <x v="26"/>
    <x v="1"/>
    <s v="Friday"/>
    <s v="No"/>
    <x v="0"/>
    <x v="0"/>
    <s v="Hesse"/>
    <x v="4"/>
    <s v="Golf"/>
    <s v="Diesel"/>
    <x v="2"/>
    <s v="18-25"/>
    <s v="High"/>
    <x v="0"/>
    <x v="0"/>
    <s v="Sales_2"/>
    <n v="284"/>
    <n v="150"/>
    <n v="97"/>
    <n v="20"/>
    <s v="13.33"/>
    <n v="26716"/>
    <s v="7.47"/>
    <n v="23040"/>
    <n v="534320"/>
    <n v="73520"/>
    <s v="Feb"/>
    <n v="2"/>
    <n v="2026"/>
    <s v="Weekday"/>
    <n v="0.20618556701030927"/>
    <n v="0.528169014084507"/>
    <n v="7.0422535211267609E-2"/>
    <n v="3676"/>
    <s v="Main Auto Hub"/>
  </r>
  <r>
    <s v="CUST_826"/>
    <x v="19"/>
    <x v="1"/>
    <s v="Saturday"/>
    <s v="Yes"/>
    <x v="9"/>
    <x v="9"/>
    <s v="NRW"/>
    <x v="0"/>
    <s v="5 Series"/>
    <s v="Petrol"/>
    <x v="1"/>
    <s v="18-25"/>
    <s v="Low"/>
    <x v="0"/>
    <x v="3"/>
    <s v="Sales_18"/>
    <n v="235"/>
    <n v="116"/>
    <n v="89"/>
    <n v="27"/>
    <s v="23.28"/>
    <n v="62858"/>
    <s v="5.66"/>
    <n v="45679"/>
    <n v="1697166"/>
    <n v="463833"/>
    <s v="Feb"/>
    <n v="2"/>
    <n v="2026"/>
    <s v="Weekend"/>
    <n v="0.30337078651685395"/>
    <n v="0.49361702127659574"/>
    <n v="0.1148936170212766"/>
    <n v="17179"/>
    <s v="Ruhr Auto Plaza"/>
  </r>
  <r>
    <s v="CUST_827"/>
    <x v="5"/>
    <x v="3"/>
    <s v="Saturday"/>
    <s v="Yes"/>
    <x v="1"/>
    <x v="1"/>
    <s v="NRW"/>
    <x v="1"/>
    <s v="Crossland"/>
    <s v="Diesel"/>
    <x v="0"/>
    <s v="26-35"/>
    <s v="High"/>
    <x v="0"/>
    <x v="1"/>
    <s v="Sales_18"/>
    <n v="237"/>
    <n v="112"/>
    <n v="77"/>
    <n v="20"/>
    <s v="17.86"/>
    <n v="22740"/>
    <s v="9.89"/>
    <n v="20845"/>
    <n v="454800"/>
    <n v="37900"/>
    <s v="Feb"/>
    <n v="2"/>
    <n v="2026"/>
    <s v="Weekend"/>
    <n v="0.25974025974025972"/>
    <n v="0.47257383966244726"/>
    <n v="8.4388185654008435E-2"/>
    <n v="1895"/>
    <s v="Rhein Auto Group"/>
  </r>
  <r>
    <s v="CUST_828"/>
    <x v="19"/>
    <x v="1"/>
    <s v="Saturday"/>
    <s v="Yes"/>
    <x v="6"/>
    <x v="6"/>
    <s v="Saxony"/>
    <x v="0"/>
    <s v="X5"/>
    <s v="Diesel"/>
    <x v="0"/>
    <s v="18-25"/>
    <s v="High"/>
    <x v="0"/>
    <x v="2"/>
    <s v="Sales_12"/>
    <n v="244"/>
    <n v="110"/>
    <n v="86"/>
    <n v="35"/>
    <s v="31.82"/>
    <n v="51488"/>
    <s v="4.42"/>
    <n v="39688"/>
    <n v="1802080"/>
    <n v="413000"/>
    <s v="Feb"/>
    <n v="2"/>
    <n v="2026"/>
    <s v="Weekend"/>
    <n v="0.40697674418604651"/>
    <n v="0.45081967213114754"/>
    <n v="0.14344262295081966"/>
    <n v="11800"/>
    <s v="Leipzig Mobility"/>
  </r>
  <r>
    <s v="CUST_829"/>
    <x v="27"/>
    <x v="3"/>
    <s v="Sunday"/>
    <s v="Yes"/>
    <x v="0"/>
    <x v="0"/>
    <s v="Hesse"/>
    <x v="1"/>
    <s v="Corsa"/>
    <s v="Diesel"/>
    <x v="2"/>
    <s v="18-25"/>
    <s v="Medium"/>
    <x v="0"/>
    <x v="1"/>
    <s v="Sales_7"/>
    <n v="231"/>
    <n v="121"/>
    <n v="68"/>
    <n v="21"/>
    <s v="17.36"/>
    <n v="19959"/>
    <s v="11.26"/>
    <n v="17846"/>
    <n v="419139"/>
    <n v="44373"/>
    <s v="Feb"/>
    <n v="2"/>
    <n v="2026"/>
    <s v="Weekend"/>
    <n v="0.30882352941176472"/>
    <n v="0.52380952380952384"/>
    <n v="9.0909090909090912E-2"/>
    <n v="2113"/>
    <s v="Main Auto Hub"/>
  </r>
  <r>
    <s v="CUST_830"/>
    <x v="10"/>
    <x v="1"/>
    <s v="Monday"/>
    <s v="No"/>
    <x v="9"/>
    <x v="9"/>
    <s v="NRW"/>
    <x v="3"/>
    <s v="GLC"/>
    <s v="Diesel"/>
    <x v="0"/>
    <s v="36-50"/>
    <s v="Medium"/>
    <x v="1"/>
    <x v="0"/>
    <s v="Sales_15"/>
    <n v="213"/>
    <n v="111"/>
    <n v="85"/>
    <n v="22"/>
    <s v="19.82"/>
    <n v="61575"/>
    <s v="2.31"/>
    <n v="44880"/>
    <n v="1354650"/>
    <n v="367290"/>
    <s v="Feb"/>
    <n v="2"/>
    <n v="2026"/>
    <s v="Weekday"/>
    <n v="0.25882352941176473"/>
    <n v="0.52112676056338025"/>
    <n v="0.10328638497652583"/>
    <n v="16695"/>
    <s v="Ruhr Auto Plaza"/>
  </r>
  <r>
    <s v="CUST_831"/>
    <x v="9"/>
    <x v="0"/>
    <s v="Sunday"/>
    <s v="Yes"/>
    <x v="7"/>
    <x v="7"/>
    <s v="Bavaria"/>
    <x v="4"/>
    <s v="Passat"/>
    <s v="Diesel"/>
    <x v="1"/>
    <s v="18-25"/>
    <s v="Medium"/>
    <x v="0"/>
    <x v="2"/>
    <s v="Sales_17"/>
    <n v="471"/>
    <n v="232"/>
    <n v="150"/>
    <n v="50"/>
    <s v="21.55"/>
    <n v="31259"/>
    <s v="10.61"/>
    <n v="26962"/>
    <n v="1562950"/>
    <n v="214850"/>
    <s v="Feb"/>
    <n v="2"/>
    <n v="2026"/>
    <s v="Weekend"/>
    <n v="0.33333333333333331"/>
    <n v="0.49256900212314225"/>
    <n v="0.10615711252653928"/>
    <n v="4297"/>
    <s v="Bavaria Motors"/>
  </r>
  <r>
    <s v="CUST_832"/>
    <x v="10"/>
    <x v="1"/>
    <s v="Monday"/>
    <s v="No"/>
    <x v="0"/>
    <x v="0"/>
    <s v="Hesse"/>
    <x v="4"/>
    <s v="Golf"/>
    <s v="Diesel"/>
    <x v="2"/>
    <s v="18-25"/>
    <s v="Medium"/>
    <x v="1"/>
    <x v="1"/>
    <s v="Sales_11"/>
    <n v="293"/>
    <n v="135"/>
    <n v="90"/>
    <n v="20"/>
    <s v="14.81"/>
    <n v="27406"/>
    <s v="11.09"/>
    <n v="24853"/>
    <n v="548120"/>
    <n v="51060"/>
    <s v="Feb"/>
    <n v="2"/>
    <n v="2026"/>
    <s v="Weekday"/>
    <n v="0.22222222222222221"/>
    <n v="0.46075085324232085"/>
    <n v="6.8259385665529013E-2"/>
    <n v="2553"/>
    <s v="Main Auto Hub"/>
  </r>
  <r>
    <s v="CUST_833"/>
    <x v="4"/>
    <x v="2"/>
    <s v="Wednesday"/>
    <s v="No"/>
    <x v="6"/>
    <x v="6"/>
    <s v="Saxony"/>
    <x v="2"/>
    <s v="e-tron"/>
    <s v="Electric"/>
    <x v="0"/>
    <s v="50+"/>
    <s v="High"/>
    <x v="1"/>
    <x v="0"/>
    <s v="Sales_3"/>
    <n v="258"/>
    <n v="158"/>
    <n v="109"/>
    <n v="33"/>
    <s v="20.89"/>
    <n v="40947"/>
    <s v="6.62"/>
    <n v="32588"/>
    <n v="1351251"/>
    <n v="275847"/>
    <s v="Feb"/>
    <n v="2"/>
    <n v="2026"/>
    <s v="Weekday"/>
    <n v="0.30275229357798167"/>
    <n v="0.61240310077519378"/>
    <n v="0.12790697674418605"/>
    <n v="8359"/>
    <s v="Leipzig Mobility"/>
  </r>
  <r>
    <s v="CUST_834"/>
    <x v="16"/>
    <x v="1"/>
    <s v="Tuesday"/>
    <s v="No"/>
    <x v="7"/>
    <x v="7"/>
    <s v="Bavaria"/>
    <x v="1"/>
    <s v="Astra"/>
    <s v="Diesel"/>
    <x v="2"/>
    <s v="50+"/>
    <s v="High"/>
    <x v="1"/>
    <x v="2"/>
    <s v="Sales_14"/>
    <n v="393"/>
    <n v="169"/>
    <n v="100"/>
    <n v="31"/>
    <s v="18.34"/>
    <n v="24172"/>
    <s v="12.05"/>
    <n v="22142"/>
    <n v="749332"/>
    <n v="62930"/>
    <s v="Feb"/>
    <n v="2"/>
    <n v="2026"/>
    <s v="Weekday"/>
    <n v="0.31"/>
    <n v="0.43002544529262088"/>
    <n v="7.8880407124681931E-2"/>
    <n v="2030"/>
    <s v="Bavaria Motors"/>
  </r>
  <r>
    <s v="CUST_835"/>
    <x v="22"/>
    <x v="3"/>
    <s v="Tuesday"/>
    <s v="No"/>
    <x v="0"/>
    <x v="0"/>
    <s v="Hesse"/>
    <x v="2"/>
    <s v="e-tron"/>
    <s v="Diesel"/>
    <x v="0"/>
    <s v="18-25"/>
    <s v="Low"/>
    <x v="1"/>
    <x v="3"/>
    <s v="Sales_15"/>
    <n v="229"/>
    <n v="122"/>
    <n v="93"/>
    <n v="27"/>
    <s v="22.13"/>
    <n v="51377"/>
    <s v="6.7"/>
    <n v="40251"/>
    <n v="1387179"/>
    <n v="300402"/>
    <s v="Feb"/>
    <n v="2"/>
    <n v="2026"/>
    <s v="Weekday"/>
    <n v="0.29032258064516131"/>
    <n v="0.53275109170305679"/>
    <n v="0.11790393013100436"/>
    <n v="11126"/>
    <s v="Main Auto Hub"/>
  </r>
  <r>
    <s v="CUST_836"/>
    <x v="10"/>
    <x v="1"/>
    <s v="Monday"/>
    <s v="No"/>
    <x v="2"/>
    <x v="2"/>
    <s v="Lower Saxony"/>
    <x v="4"/>
    <s v="ID.4"/>
    <s v="Diesel"/>
    <x v="0"/>
    <s v="36-50"/>
    <s v="Low"/>
    <x v="1"/>
    <x v="0"/>
    <s v="Sales_5"/>
    <n v="353"/>
    <n v="149"/>
    <n v="95"/>
    <n v="19"/>
    <s v="12.75"/>
    <n v="26914"/>
    <s v="8.45"/>
    <n v="23729"/>
    <n v="511366"/>
    <n v="60515"/>
    <s v="Feb"/>
    <n v="2"/>
    <n v="2026"/>
    <s v="Weekday"/>
    <n v="0.2"/>
    <n v="0.42209631728045327"/>
    <n v="5.3824362606232294E-2"/>
    <n v="3185"/>
    <s v="Hannover Cars"/>
  </r>
  <r>
    <s v="CUST_837"/>
    <x v="9"/>
    <x v="0"/>
    <s v="Sunday"/>
    <s v="Yes"/>
    <x v="6"/>
    <x v="6"/>
    <s v="Saxony"/>
    <x v="3"/>
    <s v="C-Class"/>
    <s v="Petrol"/>
    <x v="1"/>
    <s v="18-25"/>
    <s v="Medium"/>
    <x v="0"/>
    <x v="1"/>
    <s v="Sales_2"/>
    <n v="154"/>
    <n v="77"/>
    <n v="56"/>
    <n v="18"/>
    <s v="23.38"/>
    <n v="51322"/>
    <s v="2.1"/>
    <n v="39162"/>
    <n v="923796"/>
    <n v="218880"/>
    <s v="Feb"/>
    <n v="2"/>
    <n v="2026"/>
    <s v="Weekend"/>
    <n v="0.32142857142857145"/>
    <n v="0.5"/>
    <n v="0.11688311688311688"/>
    <n v="12160"/>
    <s v="Leipzig Mobility"/>
  </r>
  <r>
    <s v="CUST_838"/>
    <x v="17"/>
    <x v="2"/>
    <s v="Sunday"/>
    <s v="Yes"/>
    <x v="3"/>
    <x v="3"/>
    <s v="Saxony"/>
    <x v="0"/>
    <s v="X3"/>
    <s v="Diesel"/>
    <x v="0"/>
    <s v="36-50"/>
    <s v="High"/>
    <x v="0"/>
    <x v="2"/>
    <s v="Sales_5"/>
    <n v="271"/>
    <n v="135"/>
    <n v="93"/>
    <n v="42"/>
    <s v="31.11"/>
    <n v="57106"/>
    <s v="3.19"/>
    <n v="42126"/>
    <n v="2398452"/>
    <n v="629160"/>
    <s v="Feb"/>
    <n v="2"/>
    <n v="2026"/>
    <s v="Weekend"/>
    <n v="0.45161290322580644"/>
    <n v="0.49815498154981552"/>
    <n v="0.15498154981549817"/>
    <n v="14980"/>
    <s v="Saxon Wheels"/>
  </r>
  <r>
    <s v="CUST_839"/>
    <x v="8"/>
    <x v="3"/>
    <s v="Wednesday"/>
    <s v="No"/>
    <x v="1"/>
    <x v="1"/>
    <s v="NRW"/>
    <x v="2"/>
    <s v="A4"/>
    <s v="Hybrid"/>
    <x v="1"/>
    <s v="36-50"/>
    <s v="High"/>
    <x v="0"/>
    <x v="3"/>
    <s v="Sales_9"/>
    <n v="218"/>
    <n v="112"/>
    <n v="73"/>
    <n v="24"/>
    <s v="21.43"/>
    <n v="46074"/>
    <s v="6.44"/>
    <n v="35948"/>
    <n v="1105776"/>
    <n v="243024"/>
    <s v="Feb"/>
    <n v="2"/>
    <n v="2026"/>
    <s v="Weekday"/>
    <n v="0.32876712328767121"/>
    <n v="0.51376146788990829"/>
    <n v="0.11009174311926606"/>
    <n v="10126"/>
    <s v="Rhein Auto Group"/>
  </r>
  <r>
    <s v="CUST_840"/>
    <x v="5"/>
    <x v="3"/>
    <s v="Saturday"/>
    <s v="Yes"/>
    <x v="4"/>
    <x v="4"/>
    <s v="Berlin"/>
    <x v="4"/>
    <s v="Passat"/>
    <s v="Diesel"/>
    <x v="1"/>
    <s v="18-25"/>
    <s v="High"/>
    <x v="0"/>
    <x v="0"/>
    <s v="Sales_5"/>
    <n v="461"/>
    <n v="208"/>
    <n v="134"/>
    <n v="36"/>
    <s v="17.31"/>
    <n v="26084"/>
    <s v="9.5"/>
    <n v="22639"/>
    <n v="939024"/>
    <n v="124020"/>
    <s v="Feb"/>
    <n v="2"/>
    <n v="2026"/>
    <s v="Weekend"/>
    <n v="0.26865671641791045"/>
    <n v="0.4511930585683297"/>
    <n v="7.8091106290672452E-2"/>
    <n v="3445"/>
    <s v="Autohaus Berlin"/>
  </r>
  <r>
    <s v="CUST_841"/>
    <x v="16"/>
    <x v="1"/>
    <s v="Tuesday"/>
    <s v="No"/>
    <x v="1"/>
    <x v="1"/>
    <s v="NRW"/>
    <x v="2"/>
    <s v="Q3"/>
    <s v="Electric"/>
    <x v="0"/>
    <s v="26-35"/>
    <s v="Low"/>
    <x v="0"/>
    <x v="3"/>
    <s v="Sales_17"/>
    <n v="246"/>
    <n v="134"/>
    <n v="100"/>
    <n v="30"/>
    <s v="22.39"/>
    <n v="44442"/>
    <s v="6.49"/>
    <n v="36390"/>
    <n v="1333260"/>
    <n v="241560"/>
    <s v="Feb"/>
    <n v="2"/>
    <n v="2026"/>
    <s v="Weekday"/>
    <n v="0.3"/>
    <n v="0.54471544715447151"/>
    <n v="0.12195121951219512"/>
    <n v="8052"/>
    <s v="Rhein Auto Group"/>
  </r>
  <r>
    <s v="CUST_842"/>
    <x v="22"/>
    <x v="3"/>
    <s v="Tuesday"/>
    <s v="No"/>
    <x v="1"/>
    <x v="1"/>
    <s v="NRW"/>
    <x v="0"/>
    <s v="3 Series"/>
    <s v="Diesel"/>
    <x v="1"/>
    <s v="18-25"/>
    <s v="Medium"/>
    <x v="0"/>
    <x v="3"/>
    <s v="Sales_4"/>
    <n v="141"/>
    <n v="75"/>
    <n v="54"/>
    <n v="19"/>
    <s v="25.33"/>
    <n v="62791"/>
    <s v="4.37"/>
    <n v="44393"/>
    <n v="1193029"/>
    <n v="349562"/>
    <s v="Feb"/>
    <n v="2"/>
    <n v="2026"/>
    <s v="Weekday"/>
    <n v="0.35185185185185186"/>
    <n v="0.53191489361702127"/>
    <n v="0.13475177304964539"/>
    <n v="18398"/>
    <s v="Rhein Auto Group"/>
  </r>
  <r>
    <s v="CUST_843"/>
    <x v="6"/>
    <x v="2"/>
    <s v="Saturday"/>
    <s v="Yes"/>
    <x v="2"/>
    <x v="2"/>
    <s v="Lower Saxony"/>
    <x v="0"/>
    <s v="X5"/>
    <s v="Hybrid"/>
    <x v="0"/>
    <s v="50+"/>
    <s v="Medium"/>
    <x v="0"/>
    <x v="0"/>
    <s v="Sales_17"/>
    <n v="223"/>
    <n v="124"/>
    <n v="97"/>
    <n v="29"/>
    <s v="23.39"/>
    <n v="50157"/>
    <s v="5.86"/>
    <n v="38045"/>
    <n v="1454553"/>
    <n v="351248"/>
    <s v="Feb"/>
    <n v="2"/>
    <n v="2026"/>
    <s v="Weekend"/>
    <n v="0.29896907216494845"/>
    <n v="0.55605381165919288"/>
    <n v="0.13004484304932734"/>
    <n v="12112"/>
    <s v="Hannover Cars"/>
  </r>
  <r>
    <s v="CUST_844"/>
    <x v="20"/>
    <x v="0"/>
    <s v="Thursday"/>
    <s v="No"/>
    <x v="3"/>
    <x v="3"/>
    <s v="Saxony"/>
    <x v="4"/>
    <s v="Tiguan"/>
    <s v="Hybrid"/>
    <x v="0"/>
    <s v="26-35"/>
    <s v="Low"/>
    <x v="1"/>
    <x v="2"/>
    <s v="Sales_16"/>
    <n v="444"/>
    <n v="234"/>
    <n v="168"/>
    <n v="41"/>
    <s v="17.52"/>
    <n v="33530"/>
    <s v="6.94"/>
    <n v="30480"/>
    <n v="1374730"/>
    <n v="125050"/>
    <s v="Feb"/>
    <n v="2"/>
    <n v="2026"/>
    <s v="Weekday"/>
    <n v="0.24404761904761904"/>
    <n v="0.52702702702702697"/>
    <n v="9.2342342342342343E-2"/>
    <n v="3050"/>
    <s v="Saxon Wheels"/>
  </r>
  <r>
    <s v="CUST_845"/>
    <x v="13"/>
    <x v="0"/>
    <s v="Friday"/>
    <s v="No"/>
    <x v="9"/>
    <x v="9"/>
    <s v="NRW"/>
    <x v="4"/>
    <s v="Golf"/>
    <s v="Diesel"/>
    <x v="2"/>
    <s v="18-25"/>
    <s v="Medium"/>
    <x v="1"/>
    <x v="3"/>
    <s v="Sales_16"/>
    <n v="307"/>
    <n v="141"/>
    <n v="90"/>
    <n v="21"/>
    <s v="14.89"/>
    <n v="27716"/>
    <s v="9.83"/>
    <n v="24110"/>
    <n v="582036"/>
    <n v="75726"/>
    <s v="Feb"/>
    <n v="2"/>
    <n v="2026"/>
    <s v="Weekday"/>
    <n v="0.23333333333333334"/>
    <n v="0.45928338762214982"/>
    <n v="6.8403908794788276E-2"/>
    <n v="3606"/>
    <s v="Ruhr Auto Plaza"/>
  </r>
  <r>
    <s v="CUST_846"/>
    <x v="15"/>
    <x v="2"/>
    <s v="Thursday"/>
    <s v="No"/>
    <x v="0"/>
    <x v="0"/>
    <s v="Hesse"/>
    <x v="3"/>
    <s v="C-Class"/>
    <s v="Diesel"/>
    <x v="1"/>
    <s v="18-25"/>
    <s v="Medium"/>
    <x v="1"/>
    <x v="0"/>
    <s v="Sales_3"/>
    <n v="176"/>
    <n v="86"/>
    <n v="68"/>
    <n v="18"/>
    <s v="20.93"/>
    <n v="50421"/>
    <s v="3.58"/>
    <n v="38511"/>
    <n v="907578"/>
    <n v="214380"/>
    <s v="Feb"/>
    <n v="2"/>
    <n v="2026"/>
    <s v="Weekday"/>
    <n v="0.26470588235294118"/>
    <n v="0.48863636363636365"/>
    <n v="0.10227272727272728"/>
    <n v="11910"/>
    <s v="Main Auto Hub"/>
  </r>
  <r>
    <s v="CUST_847"/>
    <x v="23"/>
    <x v="2"/>
    <s v="Tuesday"/>
    <s v="No"/>
    <x v="3"/>
    <x v="3"/>
    <s v="Saxony"/>
    <x v="2"/>
    <s v="A4"/>
    <s v="Electric"/>
    <x v="1"/>
    <s v="26-35"/>
    <s v="High"/>
    <x v="1"/>
    <x v="3"/>
    <s v="Sales_20"/>
    <n v="245"/>
    <n v="153"/>
    <n v="103"/>
    <n v="32"/>
    <s v="20.92"/>
    <n v="52521"/>
    <s v="4.01"/>
    <n v="40383"/>
    <n v="1680672"/>
    <n v="388416"/>
    <s v="Feb"/>
    <n v="2"/>
    <n v="2026"/>
    <s v="Weekday"/>
    <n v="0.31067961165048541"/>
    <n v="0.6244897959183674"/>
    <n v="0.1306122448979592"/>
    <n v="12138"/>
    <s v="Saxon Wheels"/>
  </r>
  <r>
    <s v="CUST_848"/>
    <x v="4"/>
    <x v="2"/>
    <s v="Wednesday"/>
    <s v="No"/>
    <x v="2"/>
    <x v="2"/>
    <s v="Lower Saxony"/>
    <x v="4"/>
    <s v="ID.4"/>
    <s v="Petrol"/>
    <x v="0"/>
    <s v="18-25"/>
    <s v="Low"/>
    <x v="0"/>
    <x v="2"/>
    <s v="Sales_2"/>
    <n v="432"/>
    <n v="210"/>
    <n v="132"/>
    <n v="41"/>
    <s v="19.52"/>
    <n v="32981"/>
    <s v="8.86"/>
    <n v="29147"/>
    <n v="1352221"/>
    <n v="157194"/>
    <s v="Feb"/>
    <n v="2"/>
    <n v="2026"/>
    <s v="Weekday"/>
    <n v="0.31060606060606061"/>
    <n v="0.4861111111111111"/>
    <n v="9.4907407407407413E-2"/>
    <n v="3834"/>
    <s v="Hannover Cars"/>
  </r>
  <r>
    <s v="CUST_849"/>
    <x v="18"/>
    <x v="0"/>
    <s v="Saturday"/>
    <s v="Yes"/>
    <x v="8"/>
    <x v="8"/>
    <s v="Baden-WÃ¼rttemberg"/>
    <x v="0"/>
    <s v="3 Series"/>
    <s v="Diesel"/>
    <x v="1"/>
    <s v="36-50"/>
    <s v="High"/>
    <x v="0"/>
    <x v="0"/>
    <s v="Sales_1"/>
    <n v="218"/>
    <n v="121"/>
    <n v="91"/>
    <n v="31"/>
    <s v="25.62"/>
    <n v="66879"/>
    <s v="2.14"/>
    <n v="47782"/>
    <n v="2073249"/>
    <n v="592007"/>
    <s v="Feb"/>
    <n v="2"/>
    <n v="2026"/>
    <s v="Weekend"/>
    <n v="0.34065934065934067"/>
    <n v="0.55504587155963303"/>
    <n v="0.14220183486238533"/>
    <n v="19097"/>
    <s v="Stuttgart Auto Center"/>
  </r>
  <r>
    <s v="CUST_850"/>
    <x v="8"/>
    <x v="3"/>
    <s v="Wednesday"/>
    <s v="No"/>
    <x v="7"/>
    <x v="7"/>
    <s v="Bavaria"/>
    <x v="1"/>
    <s v="Astra"/>
    <s v="Petrol"/>
    <x v="2"/>
    <s v="36-50"/>
    <s v="Low"/>
    <x v="0"/>
    <x v="3"/>
    <s v="Sales_16"/>
    <n v="320"/>
    <n v="144"/>
    <n v="98"/>
    <n v="23"/>
    <s v="15.97"/>
    <n v="24071"/>
    <s v="9.79"/>
    <n v="21623"/>
    <n v="553633"/>
    <n v="56304"/>
    <s v="Feb"/>
    <n v="2"/>
    <n v="2026"/>
    <s v="Weekday"/>
    <n v="0.23469387755102042"/>
    <n v="0.45"/>
    <n v="7.1874999999999994E-2"/>
    <n v="2448"/>
    <s v="Bavaria Motors"/>
  </r>
  <r>
    <s v="CUST_851"/>
    <x v="27"/>
    <x v="3"/>
    <s v="Sunday"/>
    <s v="Yes"/>
    <x v="9"/>
    <x v="9"/>
    <s v="NRW"/>
    <x v="2"/>
    <s v="A4"/>
    <s v="Hybrid"/>
    <x v="1"/>
    <s v="50+"/>
    <s v="Medium"/>
    <x v="0"/>
    <x v="3"/>
    <s v="Sales_18"/>
    <n v="169"/>
    <n v="104"/>
    <n v="75"/>
    <n v="22"/>
    <s v="21.15"/>
    <n v="42831"/>
    <s v="6.58"/>
    <n v="33981"/>
    <n v="942282"/>
    <n v="194700"/>
    <s v="Feb"/>
    <n v="2"/>
    <n v="2026"/>
    <s v="Weekend"/>
    <n v="0.29333333333333333"/>
    <n v="0.61538461538461542"/>
    <n v="0.13017751479289941"/>
    <n v="8850"/>
    <s v="Ruhr Auto Plaza"/>
  </r>
  <r>
    <s v="CUST_852"/>
    <x v="25"/>
    <x v="3"/>
    <s v="Friday"/>
    <s v="No"/>
    <x v="4"/>
    <x v="4"/>
    <s v="Berlin"/>
    <x v="4"/>
    <s v="Golf"/>
    <s v="Diesel"/>
    <x v="2"/>
    <s v="26-35"/>
    <s v="High"/>
    <x v="0"/>
    <x v="1"/>
    <s v="Sales_1"/>
    <n v="456"/>
    <n v="222"/>
    <n v="142"/>
    <n v="41"/>
    <s v="18.47"/>
    <n v="32394"/>
    <s v="8.49"/>
    <n v="29368"/>
    <n v="1328154"/>
    <n v="124066"/>
    <s v="Feb"/>
    <n v="2"/>
    <n v="2026"/>
    <s v="Weekday"/>
    <n v="0.28873239436619719"/>
    <n v="0.48684210526315791"/>
    <n v="8.9912280701754388E-2"/>
    <n v="3026"/>
    <s v="Autohaus Berlin"/>
  </r>
  <r>
    <s v="CUST_853"/>
    <x v="5"/>
    <x v="3"/>
    <s v="Saturday"/>
    <s v="Yes"/>
    <x v="8"/>
    <x v="8"/>
    <s v="Baden-WÃ¼rttemberg"/>
    <x v="1"/>
    <s v="Mokka"/>
    <s v="Diesel"/>
    <x v="0"/>
    <s v="26-35"/>
    <s v="High"/>
    <x v="0"/>
    <x v="3"/>
    <s v="Sales_6"/>
    <n v="376"/>
    <n v="209"/>
    <n v="135"/>
    <n v="35"/>
    <s v="16.75"/>
    <n v="25231"/>
    <s v="10.34"/>
    <n v="22725"/>
    <n v="883085"/>
    <n v="87710"/>
    <s v="Feb"/>
    <n v="2"/>
    <n v="2026"/>
    <s v="Weekend"/>
    <n v="0.25925925925925924"/>
    <n v="0.55585106382978722"/>
    <n v="9.3085106382978719E-2"/>
    <n v="2506"/>
    <s v="Stuttgart Auto Center"/>
  </r>
  <r>
    <s v="CUST_854"/>
    <x v="5"/>
    <x v="3"/>
    <s v="Saturday"/>
    <s v="Yes"/>
    <x v="6"/>
    <x v="6"/>
    <s v="Saxony"/>
    <x v="2"/>
    <s v="Q5"/>
    <s v="Diesel"/>
    <x v="0"/>
    <s v="50+"/>
    <s v="Medium"/>
    <x v="1"/>
    <x v="3"/>
    <s v="Sales_4"/>
    <n v="282"/>
    <n v="147"/>
    <n v="105"/>
    <n v="28"/>
    <s v="19.05"/>
    <n v="55741"/>
    <s v="3.7"/>
    <n v="42807"/>
    <n v="1560748"/>
    <n v="362152"/>
    <s v="Feb"/>
    <n v="2"/>
    <n v="2026"/>
    <s v="Weekend"/>
    <n v="0.26666666666666666"/>
    <n v="0.52127659574468088"/>
    <n v="9.9290780141843976E-2"/>
    <n v="12934"/>
    <s v="Leipzig Mobility"/>
  </r>
  <r>
    <s v="CUST_855"/>
    <x v="26"/>
    <x v="1"/>
    <s v="Friday"/>
    <s v="No"/>
    <x v="7"/>
    <x v="7"/>
    <s v="Bavaria"/>
    <x v="0"/>
    <s v="3 Series"/>
    <s v="Diesel"/>
    <x v="1"/>
    <s v="36-50"/>
    <s v="Medium"/>
    <x v="0"/>
    <x v="3"/>
    <s v="Sales_5"/>
    <n v="212"/>
    <n v="111"/>
    <n v="75"/>
    <n v="33"/>
    <s v="29.73"/>
    <n v="62438"/>
    <s v="2.88"/>
    <n v="47729"/>
    <n v="2060454"/>
    <n v="485397"/>
    <s v="Feb"/>
    <n v="2"/>
    <n v="2026"/>
    <s v="Weekday"/>
    <n v="0.44"/>
    <n v="0.52358490566037741"/>
    <n v="0.15566037735849056"/>
    <n v="14709"/>
    <s v="Bavaria Motors"/>
  </r>
  <r>
    <s v="CUST_856"/>
    <x v="19"/>
    <x v="1"/>
    <s v="Saturday"/>
    <s v="Yes"/>
    <x v="4"/>
    <x v="4"/>
    <s v="Berlin"/>
    <x v="1"/>
    <s v="Grandland"/>
    <s v="Diesel"/>
    <x v="0"/>
    <s v="18-25"/>
    <s v="Medium"/>
    <x v="1"/>
    <x v="3"/>
    <s v="Sales_18"/>
    <n v="307"/>
    <n v="139"/>
    <n v="89"/>
    <n v="20"/>
    <s v="14.39"/>
    <n v="24189"/>
    <s v="8.43"/>
    <n v="21798"/>
    <n v="483780"/>
    <n v="47820"/>
    <s v="Feb"/>
    <n v="2"/>
    <n v="2026"/>
    <s v="Weekend"/>
    <n v="0.2247191011235955"/>
    <n v="0.45276872964169379"/>
    <n v="6.5146579804560262E-2"/>
    <n v="2391"/>
    <s v="Autohaus Berlin"/>
  </r>
  <r>
    <s v="CUST_857"/>
    <x v="6"/>
    <x v="2"/>
    <s v="Saturday"/>
    <s v="Yes"/>
    <x v="6"/>
    <x v="6"/>
    <s v="Saxony"/>
    <x v="0"/>
    <s v="X3"/>
    <s v="Hybrid"/>
    <x v="0"/>
    <s v="50+"/>
    <s v="Medium"/>
    <x v="0"/>
    <x v="1"/>
    <s v="Sales_13"/>
    <n v="187"/>
    <n v="92"/>
    <n v="69"/>
    <n v="24"/>
    <s v="26.09"/>
    <n v="69040"/>
    <s v="2.35"/>
    <n v="52922"/>
    <n v="1656960"/>
    <n v="386832"/>
    <s v="Feb"/>
    <n v="2"/>
    <n v="2026"/>
    <s v="Weekend"/>
    <n v="0.34782608695652173"/>
    <n v="0.49197860962566847"/>
    <n v="0.12834224598930483"/>
    <n v="16118"/>
    <s v="Leipzig Mobility"/>
  </r>
  <r>
    <s v="CUST_858"/>
    <x v="10"/>
    <x v="1"/>
    <s v="Monday"/>
    <s v="No"/>
    <x v="1"/>
    <x v="1"/>
    <s v="NRW"/>
    <x v="3"/>
    <s v="C-Class"/>
    <s v="Diesel"/>
    <x v="1"/>
    <s v="26-35"/>
    <s v="Low"/>
    <x v="1"/>
    <x v="2"/>
    <s v="Sales_10"/>
    <n v="230"/>
    <n v="128"/>
    <n v="90"/>
    <n v="34"/>
    <s v="26.56"/>
    <n v="59599"/>
    <s v="2.62"/>
    <n v="46526"/>
    <n v="2026366"/>
    <n v="444482"/>
    <s v="Feb"/>
    <n v="2"/>
    <n v="2026"/>
    <s v="Weekday"/>
    <n v="0.37777777777777777"/>
    <n v="0.55652173913043479"/>
    <n v="0.14782608695652175"/>
    <n v="13073"/>
    <s v="Rhein Auto Group"/>
  </r>
  <r>
    <s v="CUST_859"/>
    <x v="12"/>
    <x v="3"/>
    <s v="Thursday"/>
    <s v="No"/>
    <x v="6"/>
    <x v="6"/>
    <s v="Saxony"/>
    <x v="4"/>
    <s v="Golf"/>
    <s v="Electric"/>
    <x v="2"/>
    <s v="26-35"/>
    <s v="Low"/>
    <x v="0"/>
    <x v="1"/>
    <s v="Sales_3"/>
    <n v="304"/>
    <n v="150"/>
    <n v="93"/>
    <n v="21"/>
    <s v="14.0"/>
    <n v="26099"/>
    <s v="10.0"/>
    <n v="22879"/>
    <n v="548079"/>
    <n v="67620"/>
    <s v="Feb"/>
    <n v="2"/>
    <n v="2026"/>
    <s v="Weekday"/>
    <n v="0.22580645161290322"/>
    <n v="0.49342105263157893"/>
    <n v="6.9078947368421059E-2"/>
    <n v="3220"/>
    <s v="Leipzig Mobility"/>
  </r>
  <r>
    <s v="CUST_860"/>
    <x v="25"/>
    <x v="3"/>
    <s v="Friday"/>
    <s v="No"/>
    <x v="3"/>
    <x v="3"/>
    <s v="Saxony"/>
    <x v="2"/>
    <s v="A3"/>
    <s v="Hybrid"/>
    <x v="2"/>
    <s v="36-50"/>
    <s v="High"/>
    <x v="0"/>
    <x v="2"/>
    <s v="Sales_4"/>
    <n v="248"/>
    <n v="116"/>
    <n v="87"/>
    <n v="26"/>
    <s v="22.41"/>
    <n v="45531"/>
    <s v="3.69"/>
    <n v="34585"/>
    <n v="1183806"/>
    <n v="284596"/>
    <s v="Feb"/>
    <n v="2"/>
    <n v="2026"/>
    <s v="Weekday"/>
    <n v="0.2988505747126437"/>
    <n v="0.46774193548387094"/>
    <n v="0.10483870967741936"/>
    <n v="10946"/>
    <s v="Saxon Wheels"/>
  </r>
  <r>
    <s v="CUST_861"/>
    <x v="12"/>
    <x v="3"/>
    <s v="Thursday"/>
    <s v="No"/>
    <x v="8"/>
    <x v="8"/>
    <s v="Baden-WÃ¼rttemberg"/>
    <x v="1"/>
    <s v="Corsa"/>
    <s v="Hybrid"/>
    <x v="2"/>
    <s v="26-35"/>
    <s v="High"/>
    <x v="1"/>
    <x v="3"/>
    <s v="Sales_5"/>
    <n v="249"/>
    <n v="113"/>
    <n v="74"/>
    <n v="16"/>
    <s v="14.16"/>
    <n v="19138"/>
    <s v="13.77"/>
    <n v="17283"/>
    <n v="306208"/>
    <n v="29680"/>
    <s v="Feb"/>
    <n v="2"/>
    <n v="2026"/>
    <s v="Weekday"/>
    <n v="0.21621621621621623"/>
    <n v="0.45381526104417669"/>
    <n v="6.4257028112449793E-2"/>
    <n v="1855"/>
    <s v="Stuttgart Auto Center"/>
  </r>
  <r>
    <s v="CUST_862"/>
    <x v="17"/>
    <x v="2"/>
    <s v="Sunday"/>
    <s v="Yes"/>
    <x v="1"/>
    <x v="1"/>
    <s v="NRW"/>
    <x v="3"/>
    <s v="GLC"/>
    <s v="Electric"/>
    <x v="0"/>
    <s v="26-35"/>
    <s v="Medium"/>
    <x v="0"/>
    <x v="3"/>
    <s v="Sales_10"/>
    <n v="170"/>
    <n v="90"/>
    <n v="59"/>
    <n v="21"/>
    <s v="23.33"/>
    <n v="65378"/>
    <s v="4.13"/>
    <n v="46648"/>
    <n v="1372938"/>
    <n v="393330"/>
    <s v="Feb"/>
    <n v="2"/>
    <n v="2026"/>
    <s v="Weekend"/>
    <n v="0.3559322033898305"/>
    <n v="0.52941176470588236"/>
    <n v="0.12352941176470589"/>
    <n v="18730"/>
    <s v="Rhein Auto Group"/>
  </r>
  <r>
    <s v="CUST_863"/>
    <x v="23"/>
    <x v="2"/>
    <s v="Tuesday"/>
    <s v="No"/>
    <x v="2"/>
    <x v="2"/>
    <s v="Lower Saxony"/>
    <x v="0"/>
    <s v="3 Series"/>
    <s v="Diesel"/>
    <x v="1"/>
    <s v="36-50"/>
    <s v="Low"/>
    <x v="1"/>
    <x v="2"/>
    <s v="Sales_5"/>
    <n v="218"/>
    <n v="124"/>
    <n v="89"/>
    <n v="34"/>
    <s v="27.42"/>
    <n v="67880"/>
    <s v="4.18"/>
    <n v="49964"/>
    <n v="2307920"/>
    <n v="609144"/>
    <s v="Feb"/>
    <n v="2"/>
    <n v="2026"/>
    <s v="Weekday"/>
    <n v="0.38202247191011235"/>
    <n v="0.56880733944954132"/>
    <n v="0.15596330275229359"/>
    <n v="17916"/>
    <s v="Hannover Cars"/>
  </r>
  <r>
    <s v="CUST_864"/>
    <x v="19"/>
    <x v="1"/>
    <s v="Saturday"/>
    <s v="Yes"/>
    <x v="5"/>
    <x v="5"/>
    <s v="Hamburg"/>
    <x v="1"/>
    <s v="Mokka"/>
    <s v="Hybrid"/>
    <x v="0"/>
    <s v="50+"/>
    <s v="Low"/>
    <x v="0"/>
    <x v="0"/>
    <s v="Sales_10"/>
    <n v="372"/>
    <n v="143"/>
    <n v="86"/>
    <n v="19"/>
    <s v="13.29"/>
    <n v="19444"/>
    <s v="12.26"/>
    <n v="18063"/>
    <n v="369436"/>
    <n v="26239"/>
    <s v="Feb"/>
    <n v="2"/>
    <n v="2026"/>
    <s v="Weekend"/>
    <n v="0.22093023255813954"/>
    <n v="0.38440860215053763"/>
    <n v="5.1075268817204304E-2"/>
    <n v="1381"/>
    <s v="Elbe Drive"/>
  </r>
  <r>
    <s v="CUST_865"/>
    <x v="15"/>
    <x v="2"/>
    <s v="Thursday"/>
    <s v="No"/>
    <x v="6"/>
    <x v="6"/>
    <s v="Saxony"/>
    <x v="4"/>
    <s v="Golf"/>
    <s v="Electric"/>
    <x v="2"/>
    <s v="18-25"/>
    <s v="High"/>
    <x v="0"/>
    <x v="3"/>
    <s v="Sales_7"/>
    <n v="339"/>
    <n v="165"/>
    <n v="115"/>
    <n v="26"/>
    <s v="15.76"/>
    <n v="29355"/>
    <s v="9.4"/>
    <n v="25669"/>
    <n v="763230"/>
    <n v="95836"/>
    <s v="Feb"/>
    <n v="2"/>
    <n v="2026"/>
    <s v="Weekday"/>
    <n v="0.22608695652173913"/>
    <n v="0.48672566371681414"/>
    <n v="7.6696165191740412E-2"/>
    <n v="3686"/>
    <s v="Leipzig Mobility"/>
  </r>
  <r>
    <s v="CUST_866"/>
    <x v="8"/>
    <x v="3"/>
    <s v="Wednesday"/>
    <s v="No"/>
    <x v="2"/>
    <x v="2"/>
    <s v="Lower Saxony"/>
    <x v="0"/>
    <s v="3 Series"/>
    <s v="Electric"/>
    <x v="1"/>
    <s v="50+"/>
    <s v="High"/>
    <x v="0"/>
    <x v="2"/>
    <s v="Sales_15"/>
    <n v="222"/>
    <n v="112"/>
    <n v="82"/>
    <n v="37"/>
    <s v="33.04"/>
    <n v="60224"/>
    <s v="5.86"/>
    <n v="42496"/>
    <n v="2228288"/>
    <n v="655936"/>
    <s v="Feb"/>
    <n v="2"/>
    <n v="2026"/>
    <s v="Weekday"/>
    <n v="0.45121951219512196"/>
    <n v="0.50450450450450446"/>
    <n v="0.16666666666666666"/>
    <n v="17728"/>
    <s v="Hannover Cars"/>
  </r>
  <r>
    <s v="CUST_867"/>
    <x v="2"/>
    <x v="2"/>
    <s v="Monday"/>
    <s v="No"/>
    <x v="6"/>
    <x v="6"/>
    <s v="Saxony"/>
    <x v="3"/>
    <s v="GLC"/>
    <s v="Petrol"/>
    <x v="0"/>
    <s v="26-35"/>
    <s v="Medium"/>
    <x v="0"/>
    <x v="0"/>
    <s v="Sales_6"/>
    <n v="159"/>
    <n v="83"/>
    <n v="64"/>
    <n v="17"/>
    <s v="20.48"/>
    <n v="64937"/>
    <s v="2.22"/>
    <n v="48809"/>
    <n v="1103929"/>
    <n v="274176"/>
    <s v="Feb"/>
    <n v="2"/>
    <n v="2026"/>
    <s v="Weekday"/>
    <n v="0.265625"/>
    <n v="0.5220125786163522"/>
    <n v="0.1069182389937107"/>
    <n v="16128"/>
    <s v="Leipzig Mobility"/>
  </r>
  <r>
    <s v="CUST_868"/>
    <x v="9"/>
    <x v="0"/>
    <s v="Sunday"/>
    <s v="Yes"/>
    <x v="4"/>
    <x v="4"/>
    <s v="Berlin"/>
    <x v="0"/>
    <s v="X3"/>
    <s v="Petrol"/>
    <x v="0"/>
    <s v="50+"/>
    <s v="High"/>
    <x v="0"/>
    <x v="2"/>
    <s v="Sales_17"/>
    <n v="232"/>
    <n v="132"/>
    <n v="107"/>
    <n v="39"/>
    <s v="29.55"/>
    <n v="61464"/>
    <s v="2.95"/>
    <n v="46395"/>
    <n v="2397096"/>
    <n v="587691"/>
    <s v="Feb"/>
    <n v="2"/>
    <n v="2026"/>
    <s v="Weekend"/>
    <n v="0.3644859813084112"/>
    <n v="0.56896551724137934"/>
    <n v="0.16810344827586207"/>
    <n v="15069"/>
    <s v="Autohaus Berlin"/>
  </r>
  <r>
    <s v="CUST_869"/>
    <x v="2"/>
    <x v="2"/>
    <s v="Monday"/>
    <s v="No"/>
    <x v="0"/>
    <x v="0"/>
    <s v="Hesse"/>
    <x v="0"/>
    <s v="X5"/>
    <s v="Petrol"/>
    <x v="0"/>
    <s v="18-25"/>
    <s v="High"/>
    <x v="0"/>
    <x v="2"/>
    <s v="Sales_16"/>
    <n v="228"/>
    <n v="117"/>
    <n v="89"/>
    <n v="38"/>
    <s v="32.48"/>
    <n v="63488"/>
    <s v="5.96"/>
    <n v="49220"/>
    <n v="2412544"/>
    <n v="542184"/>
    <s v="Feb"/>
    <n v="2"/>
    <n v="2026"/>
    <s v="Weekday"/>
    <n v="0.42696629213483145"/>
    <n v="0.51315789473684215"/>
    <n v="0.16666666666666666"/>
    <n v="14268"/>
    <s v="Main Auto Hub"/>
  </r>
  <r>
    <s v="CUST_870"/>
    <x v="23"/>
    <x v="2"/>
    <s v="Tuesday"/>
    <s v="No"/>
    <x v="8"/>
    <x v="8"/>
    <s v="Baden-WÃ¼rttemberg"/>
    <x v="2"/>
    <s v="e-tron"/>
    <s v="Electric"/>
    <x v="0"/>
    <s v="50+"/>
    <s v="High"/>
    <x v="1"/>
    <x v="3"/>
    <s v="Sales_17"/>
    <n v="234"/>
    <n v="123"/>
    <n v="78"/>
    <n v="28"/>
    <s v="22.76"/>
    <n v="53505"/>
    <s v="5.28"/>
    <n v="40944"/>
    <n v="1498140"/>
    <n v="351708"/>
    <s v="Feb"/>
    <n v="2"/>
    <n v="2026"/>
    <s v="Weekday"/>
    <n v="0.35897435897435898"/>
    <n v="0.52564102564102566"/>
    <n v="0.11965811965811966"/>
    <n v="12561"/>
    <s v="Stuttgart Auto Center"/>
  </r>
  <r>
    <s v="CUST_871"/>
    <x v="17"/>
    <x v="2"/>
    <s v="Sunday"/>
    <s v="Yes"/>
    <x v="8"/>
    <x v="8"/>
    <s v="Baden-WÃ¼rttemberg"/>
    <x v="1"/>
    <s v="Crossland"/>
    <s v="Electric"/>
    <x v="0"/>
    <s v="36-50"/>
    <s v="Low"/>
    <x v="0"/>
    <x v="3"/>
    <s v="Sales_2"/>
    <n v="355"/>
    <n v="187"/>
    <n v="116"/>
    <n v="25"/>
    <s v="13.37"/>
    <n v="24226"/>
    <s v="12.31"/>
    <n v="21630"/>
    <n v="605650"/>
    <n v="64900"/>
    <s v="Feb"/>
    <n v="2"/>
    <n v="2026"/>
    <s v="Weekend"/>
    <n v="0.21551724137931033"/>
    <n v="0.52676056338028165"/>
    <n v="7.0422535211267609E-2"/>
    <n v="2596"/>
    <s v="Stuttgart Auto Center"/>
  </r>
  <r>
    <s v="CUST_872"/>
    <x v="19"/>
    <x v="1"/>
    <s v="Saturday"/>
    <s v="Yes"/>
    <x v="5"/>
    <x v="5"/>
    <s v="Hamburg"/>
    <x v="3"/>
    <s v="EQE"/>
    <s v="Electric"/>
    <x v="1"/>
    <s v="18-25"/>
    <s v="Medium"/>
    <x v="1"/>
    <x v="0"/>
    <s v="Sales_19"/>
    <n v="204"/>
    <n v="112"/>
    <n v="83"/>
    <n v="28"/>
    <s v="25.0"/>
    <n v="60857"/>
    <s v="4.4"/>
    <n v="43534"/>
    <n v="1703996"/>
    <n v="485044"/>
    <s v="Feb"/>
    <n v="2"/>
    <n v="2026"/>
    <s v="Weekend"/>
    <n v="0.33734939759036142"/>
    <n v="0.5490196078431373"/>
    <n v="0.13725490196078433"/>
    <n v="17323"/>
    <s v="Elbe Drive"/>
  </r>
  <r>
    <s v="CUST_873"/>
    <x v="1"/>
    <x v="1"/>
    <s v="Wednesday"/>
    <s v="No"/>
    <x v="2"/>
    <x v="2"/>
    <s v="Lower Saxony"/>
    <x v="3"/>
    <s v="E-Class"/>
    <s v="Hybrid"/>
    <x v="1"/>
    <s v="26-35"/>
    <s v="Medium"/>
    <x v="0"/>
    <x v="2"/>
    <s v="Sales_10"/>
    <n v="173"/>
    <n v="98"/>
    <n v="77"/>
    <n v="26"/>
    <s v="26.53"/>
    <n v="56073"/>
    <s v="2.8"/>
    <n v="41764"/>
    <n v="1457898"/>
    <n v="372034"/>
    <s v="Feb"/>
    <n v="2"/>
    <n v="2026"/>
    <s v="Weekday"/>
    <n v="0.33766233766233766"/>
    <n v="0.56647398843930641"/>
    <n v="0.15028901734104047"/>
    <n v="14309"/>
    <s v="Hannover Cars"/>
  </r>
  <r>
    <s v="CUST_874"/>
    <x v="24"/>
    <x v="1"/>
    <s v="Thursday"/>
    <s v="No"/>
    <x v="4"/>
    <x v="4"/>
    <s v="Berlin"/>
    <x v="2"/>
    <s v="A3"/>
    <s v="Electric"/>
    <x v="2"/>
    <s v="26-35"/>
    <s v="Medium"/>
    <x v="0"/>
    <x v="3"/>
    <s v="Sales_10"/>
    <n v="229"/>
    <n v="107"/>
    <n v="79"/>
    <n v="23"/>
    <s v="21.5"/>
    <n v="53998"/>
    <s v="5.72"/>
    <n v="41020"/>
    <n v="1241954"/>
    <n v="298494"/>
    <s v="Feb"/>
    <n v="2"/>
    <n v="2026"/>
    <s v="Weekday"/>
    <n v="0.29113924050632911"/>
    <n v="0.46724890829694321"/>
    <n v="0.10043668122270742"/>
    <n v="12978"/>
    <s v="Autohaus Berlin"/>
  </r>
  <r>
    <s v="CUST_875"/>
    <x v="16"/>
    <x v="1"/>
    <s v="Tuesday"/>
    <s v="No"/>
    <x v="6"/>
    <x v="6"/>
    <s v="Saxony"/>
    <x v="1"/>
    <s v="Grandland"/>
    <s v="Electric"/>
    <x v="0"/>
    <s v="36-50"/>
    <s v="High"/>
    <x v="0"/>
    <x v="1"/>
    <s v="Sales_9"/>
    <n v="315"/>
    <n v="163"/>
    <n v="93"/>
    <n v="24"/>
    <s v="14.72"/>
    <n v="24079"/>
    <s v="11.02"/>
    <n v="22330"/>
    <n v="577896"/>
    <n v="41976"/>
    <s v="Feb"/>
    <n v="2"/>
    <n v="2026"/>
    <s v="Weekday"/>
    <n v="0.25806451612903225"/>
    <n v="0.51746031746031751"/>
    <n v="7.6190476190476197E-2"/>
    <n v="1749"/>
    <s v="Leipzig Mobility"/>
  </r>
  <r>
    <s v="CUST_876"/>
    <x v="3"/>
    <x v="1"/>
    <s v="Sunday"/>
    <s v="Yes"/>
    <x v="0"/>
    <x v="0"/>
    <s v="Hesse"/>
    <x v="3"/>
    <s v="EQE"/>
    <s v="Electric"/>
    <x v="1"/>
    <s v="36-50"/>
    <s v="Low"/>
    <x v="0"/>
    <x v="2"/>
    <s v="Sales_8"/>
    <n v="237"/>
    <n v="115"/>
    <n v="87"/>
    <n v="31"/>
    <s v="26.96"/>
    <n v="63014"/>
    <s v="2.03"/>
    <n v="48353"/>
    <n v="1953434"/>
    <n v="454491"/>
    <s v="Feb"/>
    <n v="2"/>
    <n v="2026"/>
    <s v="Weekend"/>
    <n v="0.35632183908045978"/>
    <n v="0.48523206751054854"/>
    <n v="0.13080168776371309"/>
    <n v="14661"/>
    <s v="Main Auto Hub"/>
  </r>
  <r>
    <s v="CUST_877"/>
    <x v="11"/>
    <x v="0"/>
    <s v="Wednesday"/>
    <s v="No"/>
    <x v="9"/>
    <x v="9"/>
    <s v="NRW"/>
    <x v="4"/>
    <s v="Tiguan"/>
    <s v="Electric"/>
    <x v="0"/>
    <s v="36-50"/>
    <s v="High"/>
    <x v="0"/>
    <x v="0"/>
    <s v="Sales_1"/>
    <n v="342"/>
    <n v="163"/>
    <n v="96"/>
    <n v="18"/>
    <s v="11.04"/>
    <n v="31681"/>
    <s v="10.11"/>
    <n v="27922"/>
    <n v="570258"/>
    <n v="67662"/>
    <s v="Feb"/>
    <n v="2"/>
    <n v="2026"/>
    <s v="Weekday"/>
    <n v="0.1875"/>
    <n v="0.47660818713450293"/>
    <n v="5.2631578947368418E-2"/>
    <n v="3759"/>
    <s v="Ruhr Auto Plaza"/>
  </r>
  <r>
    <s v="CUST_878"/>
    <x v="20"/>
    <x v="0"/>
    <s v="Thursday"/>
    <s v="No"/>
    <x v="1"/>
    <x v="1"/>
    <s v="NRW"/>
    <x v="4"/>
    <s v="Passat"/>
    <s v="Hybrid"/>
    <x v="1"/>
    <s v="18-25"/>
    <s v="High"/>
    <x v="0"/>
    <x v="2"/>
    <s v="Sales_9"/>
    <n v="376"/>
    <n v="210"/>
    <n v="131"/>
    <n v="40"/>
    <s v="19.05"/>
    <n v="28321"/>
    <s v="11.01"/>
    <n v="24581"/>
    <n v="1132840"/>
    <n v="149600"/>
    <s v="Feb"/>
    <n v="2"/>
    <n v="2026"/>
    <s v="Weekday"/>
    <n v="0.30534351145038169"/>
    <n v="0.55851063829787229"/>
    <n v="0.10638297872340426"/>
    <n v="3740"/>
    <s v="Rhein Auto Group"/>
  </r>
  <r>
    <s v="CUST_879"/>
    <x v="12"/>
    <x v="3"/>
    <s v="Thursday"/>
    <s v="No"/>
    <x v="9"/>
    <x v="9"/>
    <s v="NRW"/>
    <x v="4"/>
    <s v="ID.4"/>
    <s v="Diesel"/>
    <x v="0"/>
    <s v="50+"/>
    <s v="Medium"/>
    <x v="1"/>
    <x v="2"/>
    <s v="Sales_7"/>
    <n v="412"/>
    <n v="238"/>
    <n v="171"/>
    <n v="42"/>
    <s v="17.65"/>
    <n v="25810"/>
    <s v="10.57"/>
    <n v="23346"/>
    <n v="1084020"/>
    <n v="103488"/>
    <s v="Feb"/>
    <n v="2"/>
    <n v="2026"/>
    <s v="Weekday"/>
    <n v="0.24561403508771928"/>
    <n v="0.57766990291262132"/>
    <n v="0.10194174757281553"/>
    <n v="2464"/>
    <s v="Ruhr Auto Plaza"/>
  </r>
  <r>
    <s v="CUST_880"/>
    <x v="12"/>
    <x v="3"/>
    <s v="Thursday"/>
    <s v="No"/>
    <x v="6"/>
    <x v="6"/>
    <s v="Saxony"/>
    <x v="0"/>
    <s v="X5"/>
    <s v="Electric"/>
    <x v="0"/>
    <s v="36-50"/>
    <s v="Medium"/>
    <x v="1"/>
    <x v="2"/>
    <s v="Sales_20"/>
    <n v="174"/>
    <n v="81"/>
    <n v="55"/>
    <n v="22"/>
    <s v="27.16"/>
    <n v="67173"/>
    <s v="5.63"/>
    <n v="50767"/>
    <n v="1477806"/>
    <n v="360932"/>
    <s v="Feb"/>
    <n v="2"/>
    <n v="2026"/>
    <s v="Weekday"/>
    <n v="0.4"/>
    <n v="0.46551724137931033"/>
    <n v="0.12643678160919541"/>
    <n v="16406"/>
    <s v="Leipzig Mobility"/>
  </r>
  <r>
    <s v="CUST_881"/>
    <x v="1"/>
    <x v="1"/>
    <s v="Wednesday"/>
    <s v="No"/>
    <x v="4"/>
    <x v="4"/>
    <s v="Berlin"/>
    <x v="1"/>
    <s v="Corsa"/>
    <s v="Petrol"/>
    <x v="2"/>
    <s v="50+"/>
    <s v="High"/>
    <x v="1"/>
    <x v="1"/>
    <s v="Sales_18"/>
    <n v="307"/>
    <n v="149"/>
    <n v="101"/>
    <n v="27"/>
    <s v="18.12"/>
    <n v="20699"/>
    <s v="12.17"/>
    <n v="18947"/>
    <n v="558873"/>
    <n v="47304"/>
    <s v="Feb"/>
    <n v="2"/>
    <n v="2026"/>
    <s v="Weekday"/>
    <n v="0.26732673267326734"/>
    <n v="0.48534201954397393"/>
    <n v="8.7947882736156349E-2"/>
    <n v="1752"/>
    <s v="Autohaus Berlin"/>
  </r>
  <r>
    <s v="CUST_882"/>
    <x v="7"/>
    <x v="3"/>
    <s v="Monday"/>
    <s v="No"/>
    <x v="9"/>
    <x v="9"/>
    <s v="NRW"/>
    <x v="3"/>
    <s v="EQE"/>
    <s v="Hybrid"/>
    <x v="1"/>
    <s v="26-35"/>
    <s v="Medium"/>
    <x v="0"/>
    <x v="1"/>
    <s v="Sales_14"/>
    <n v="206"/>
    <n v="123"/>
    <n v="86"/>
    <n v="31"/>
    <s v="25.2"/>
    <n v="57985"/>
    <s v="2.3"/>
    <n v="42856"/>
    <n v="1797535"/>
    <n v="468999"/>
    <s v="Feb"/>
    <n v="2"/>
    <n v="2026"/>
    <s v="Weekday"/>
    <n v="0.36046511627906974"/>
    <n v="0.59708737864077666"/>
    <n v="0.15048543689320387"/>
    <n v="15129"/>
    <s v="Ruhr Auto Plaza"/>
  </r>
  <r>
    <s v="CUST_883"/>
    <x v="7"/>
    <x v="3"/>
    <s v="Monday"/>
    <s v="No"/>
    <x v="9"/>
    <x v="9"/>
    <s v="NRW"/>
    <x v="2"/>
    <s v="A4"/>
    <s v="Diesel"/>
    <x v="1"/>
    <s v="36-50"/>
    <s v="Medium"/>
    <x v="1"/>
    <x v="3"/>
    <s v="Sales_14"/>
    <n v="318"/>
    <n v="201"/>
    <n v="130"/>
    <n v="40"/>
    <s v="19.9"/>
    <n v="52804"/>
    <s v="3.88"/>
    <n v="42227"/>
    <n v="2112160"/>
    <n v="423080"/>
    <s v="Feb"/>
    <n v="2"/>
    <n v="2026"/>
    <s v="Weekday"/>
    <n v="0.30769230769230771"/>
    <n v="0.63207547169811318"/>
    <n v="0.12578616352201258"/>
    <n v="10577"/>
    <s v="Ruhr Auto Plaza"/>
  </r>
  <r>
    <s v="CUST_884"/>
    <x v="2"/>
    <x v="2"/>
    <s v="Monday"/>
    <s v="No"/>
    <x v="7"/>
    <x v="7"/>
    <s v="Bavaria"/>
    <x v="2"/>
    <s v="Q5"/>
    <s v="Diesel"/>
    <x v="0"/>
    <s v="36-50"/>
    <s v="High"/>
    <x v="0"/>
    <x v="1"/>
    <s v="Sales_20"/>
    <n v="213"/>
    <n v="113"/>
    <n v="83"/>
    <n v="31"/>
    <s v="27.43"/>
    <n v="53691"/>
    <s v="3.12"/>
    <n v="40609"/>
    <n v="1664421"/>
    <n v="405542"/>
    <s v="Feb"/>
    <n v="2"/>
    <n v="2026"/>
    <s v="Weekday"/>
    <n v="0.37349397590361444"/>
    <n v="0.53051643192488263"/>
    <n v="0.14553990610328638"/>
    <n v="13082"/>
    <s v="Bavaria Motors"/>
  </r>
  <r>
    <s v="CUST_885"/>
    <x v="12"/>
    <x v="3"/>
    <s v="Thursday"/>
    <s v="No"/>
    <x v="8"/>
    <x v="8"/>
    <s v="Baden-WÃ¼rttemberg"/>
    <x v="4"/>
    <s v="T-Roc"/>
    <s v="Hybrid"/>
    <x v="0"/>
    <s v="36-50"/>
    <s v="Medium"/>
    <x v="0"/>
    <x v="2"/>
    <s v="Sales_14"/>
    <n v="337"/>
    <n v="158"/>
    <n v="100"/>
    <n v="31"/>
    <s v="19.62"/>
    <n v="28688"/>
    <s v="6.41"/>
    <n v="25050"/>
    <n v="889328"/>
    <n v="112778"/>
    <s v="Feb"/>
    <n v="2"/>
    <n v="2026"/>
    <s v="Weekday"/>
    <n v="0.31"/>
    <n v="0.46884272997032639"/>
    <n v="9.1988130563798218E-2"/>
    <n v="3638"/>
    <s v="Stuttgart Auto Center"/>
  </r>
  <r>
    <s v="CUST_886"/>
    <x v="4"/>
    <x v="2"/>
    <s v="Wednesday"/>
    <s v="No"/>
    <x v="0"/>
    <x v="0"/>
    <s v="Hesse"/>
    <x v="1"/>
    <s v="Crossland"/>
    <s v="Diesel"/>
    <x v="0"/>
    <s v="36-50"/>
    <s v="Low"/>
    <x v="0"/>
    <x v="2"/>
    <s v="Sales_15"/>
    <n v="324"/>
    <n v="162"/>
    <n v="94"/>
    <n v="29"/>
    <s v="17.9"/>
    <n v="24409"/>
    <s v="12.32"/>
    <n v="22661"/>
    <n v="707861"/>
    <n v="50692"/>
    <s v="Feb"/>
    <n v="2"/>
    <n v="2026"/>
    <s v="Weekday"/>
    <n v="0.30851063829787234"/>
    <n v="0.5"/>
    <n v="8.9506172839506168E-2"/>
    <n v="1748"/>
    <s v="Main Auto Hub"/>
  </r>
  <r>
    <s v="CUST_887"/>
    <x v="9"/>
    <x v="0"/>
    <s v="Sunday"/>
    <s v="Yes"/>
    <x v="1"/>
    <x v="1"/>
    <s v="NRW"/>
    <x v="1"/>
    <s v="Mokka"/>
    <s v="Diesel"/>
    <x v="0"/>
    <s v="50+"/>
    <s v="Low"/>
    <x v="0"/>
    <x v="2"/>
    <s v="Sales_10"/>
    <n v="251"/>
    <n v="126"/>
    <n v="87"/>
    <n v="24"/>
    <s v="19.05"/>
    <n v="19982"/>
    <s v="11.9"/>
    <n v="17960"/>
    <n v="479568"/>
    <n v="48528"/>
    <s v="Feb"/>
    <n v="2"/>
    <n v="2026"/>
    <s v="Weekend"/>
    <n v="0.27586206896551724"/>
    <n v="0.50199203187250996"/>
    <n v="9.5617529880478086E-2"/>
    <n v="2022"/>
    <s v="Rhein Auto Group"/>
  </r>
  <r>
    <s v="CUST_888"/>
    <x v="6"/>
    <x v="2"/>
    <s v="Saturday"/>
    <s v="Yes"/>
    <x v="5"/>
    <x v="5"/>
    <s v="Hamburg"/>
    <x v="0"/>
    <s v="5 Series"/>
    <s v="Petrol"/>
    <x v="1"/>
    <s v="36-50"/>
    <s v="High"/>
    <x v="0"/>
    <x v="0"/>
    <s v="Sales_17"/>
    <n v="210"/>
    <n v="124"/>
    <n v="84"/>
    <n v="33"/>
    <s v="26.61"/>
    <n v="52103"/>
    <s v="2.16"/>
    <n v="39610"/>
    <n v="1719399"/>
    <n v="412269"/>
    <s v="Feb"/>
    <n v="2"/>
    <n v="2026"/>
    <s v="Weekend"/>
    <n v="0.39285714285714285"/>
    <n v="0.59047619047619049"/>
    <n v="0.15714285714285714"/>
    <n v="12493"/>
    <s v="Elbe Drive"/>
  </r>
  <r>
    <s v="CUST_889"/>
    <x v="23"/>
    <x v="2"/>
    <s v="Tuesday"/>
    <s v="No"/>
    <x v="4"/>
    <x v="4"/>
    <s v="Berlin"/>
    <x v="2"/>
    <s v="A4"/>
    <s v="Hybrid"/>
    <x v="1"/>
    <s v="36-50"/>
    <s v="Low"/>
    <x v="1"/>
    <x v="2"/>
    <s v="Sales_7"/>
    <n v="241"/>
    <n v="121"/>
    <n v="77"/>
    <n v="34"/>
    <s v="28.1"/>
    <n v="50224"/>
    <s v="5.46"/>
    <n v="38327"/>
    <n v="1707616"/>
    <n v="404498"/>
    <s v="Feb"/>
    <n v="2"/>
    <n v="2026"/>
    <s v="Weekday"/>
    <n v="0.44155844155844154"/>
    <n v="0.50207468879668049"/>
    <n v="0.14107883817427386"/>
    <n v="11897"/>
    <s v="Autohaus Berlin"/>
  </r>
  <r>
    <s v="CUST_890"/>
    <x v="26"/>
    <x v="1"/>
    <s v="Friday"/>
    <s v="No"/>
    <x v="5"/>
    <x v="5"/>
    <s v="Hamburg"/>
    <x v="1"/>
    <s v="Grandland"/>
    <s v="Electric"/>
    <x v="0"/>
    <s v="18-25"/>
    <s v="Medium"/>
    <x v="1"/>
    <x v="0"/>
    <s v="Sales_1"/>
    <n v="340"/>
    <n v="152"/>
    <n v="93"/>
    <n v="19"/>
    <s v="12.5"/>
    <n v="21024"/>
    <s v="7.98"/>
    <n v="18940"/>
    <n v="399456"/>
    <n v="39596"/>
    <s v="Feb"/>
    <n v="2"/>
    <n v="2026"/>
    <s v="Weekday"/>
    <n v="0.20430107526881722"/>
    <n v="0.44705882352941179"/>
    <n v="5.5882352941176473E-2"/>
    <n v="2084"/>
    <s v="Elbe Drive"/>
  </r>
  <r>
    <s v="CUST_891"/>
    <x v="14"/>
    <x v="2"/>
    <s v="Friday"/>
    <s v="No"/>
    <x v="0"/>
    <x v="0"/>
    <s v="Hesse"/>
    <x v="1"/>
    <s v="Corsa"/>
    <s v="Petrol"/>
    <x v="2"/>
    <s v="18-25"/>
    <s v="High"/>
    <x v="1"/>
    <x v="3"/>
    <s v="Sales_18"/>
    <n v="386"/>
    <n v="151"/>
    <n v="102"/>
    <n v="19"/>
    <s v="12.58"/>
    <n v="25212"/>
    <s v="11.4"/>
    <n v="22632"/>
    <n v="479028"/>
    <n v="49020"/>
    <s v="Feb"/>
    <n v="2"/>
    <n v="2026"/>
    <s v="Weekday"/>
    <n v="0.18627450980392157"/>
    <n v="0.39119170984455959"/>
    <n v="4.9222797927461141E-2"/>
    <n v="2580"/>
    <s v="Main Auto Hub"/>
  </r>
  <r>
    <s v="CUST_892"/>
    <x v="15"/>
    <x v="2"/>
    <s v="Thursday"/>
    <s v="No"/>
    <x v="7"/>
    <x v="7"/>
    <s v="Bavaria"/>
    <x v="3"/>
    <s v="E-Class"/>
    <s v="Petrol"/>
    <x v="1"/>
    <s v="36-50"/>
    <s v="Medium"/>
    <x v="0"/>
    <x v="1"/>
    <s v="Sales_10"/>
    <n v="221"/>
    <n v="122"/>
    <n v="88"/>
    <n v="36"/>
    <s v="29.51"/>
    <n v="53925"/>
    <s v="2.44"/>
    <n v="38634"/>
    <n v="1941300"/>
    <n v="550476"/>
    <s v="Feb"/>
    <n v="2"/>
    <n v="2026"/>
    <s v="Weekday"/>
    <n v="0.40909090909090912"/>
    <n v="0.55203619909502266"/>
    <n v="0.16289592760180996"/>
    <n v="15291"/>
    <s v="Bavaria Motors"/>
  </r>
  <r>
    <s v="CUST_893"/>
    <x v="24"/>
    <x v="1"/>
    <s v="Thursday"/>
    <s v="No"/>
    <x v="3"/>
    <x v="3"/>
    <s v="Saxony"/>
    <x v="4"/>
    <s v="Tiguan"/>
    <s v="Petrol"/>
    <x v="0"/>
    <s v="26-35"/>
    <s v="Low"/>
    <x v="0"/>
    <x v="1"/>
    <s v="Sales_6"/>
    <n v="430"/>
    <n v="232"/>
    <n v="161"/>
    <n v="33"/>
    <s v="14.22"/>
    <n v="25764"/>
    <s v="11.14"/>
    <n v="23158"/>
    <n v="850212"/>
    <n v="85998"/>
    <s v="Feb"/>
    <n v="2"/>
    <n v="2026"/>
    <s v="Weekday"/>
    <n v="0.20496894409937888"/>
    <n v="0.53953488372093028"/>
    <n v="7.6744186046511634E-2"/>
    <n v="2606"/>
    <s v="Saxon Wheels"/>
  </r>
  <r>
    <s v="CUST_894"/>
    <x v="4"/>
    <x v="2"/>
    <s v="Wednesday"/>
    <s v="No"/>
    <x v="0"/>
    <x v="0"/>
    <s v="Hesse"/>
    <x v="2"/>
    <s v="Q5"/>
    <s v="Diesel"/>
    <x v="0"/>
    <s v="26-35"/>
    <s v="Medium"/>
    <x v="0"/>
    <x v="1"/>
    <s v="Sales_14"/>
    <n v="205"/>
    <n v="107"/>
    <n v="72"/>
    <n v="26"/>
    <s v="24.3"/>
    <n v="50975"/>
    <s v="4.6"/>
    <n v="39216"/>
    <n v="1325350"/>
    <n v="305734"/>
    <s v="Feb"/>
    <n v="2"/>
    <n v="2026"/>
    <s v="Weekday"/>
    <n v="0.3611111111111111"/>
    <n v="0.52195121951219514"/>
    <n v="0.12682926829268293"/>
    <n v="11759"/>
    <s v="Main Auto Hub"/>
  </r>
  <r>
    <s v="CUST_895"/>
    <x v="10"/>
    <x v="1"/>
    <s v="Monday"/>
    <s v="No"/>
    <x v="3"/>
    <x v="3"/>
    <s v="Saxony"/>
    <x v="2"/>
    <s v="e-tron"/>
    <s v="Electric"/>
    <x v="0"/>
    <s v="26-35"/>
    <s v="Low"/>
    <x v="0"/>
    <x v="1"/>
    <s v="Sales_9"/>
    <n v="309"/>
    <n v="187"/>
    <n v="142"/>
    <n v="43"/>
    <s v="22.99"/>
    <n v="50296"/>
    <s v="5.9"/>
    <n v="40243"/>
    <n v="2162728"/>
    <n v="432279"/>
    <s v="Feb"/>
    <n v="2"/>
    <n v="2026"/>
    <s v="Weekday"/>
    <n v="0.30281690140845069"/>
    <n v="0.60517799352750812"/>
    <n v="0.13915857605177995"/>
    <n v="10053"/>
    <s v="Saxon Wheels"/>
  </r>
  <r>
    <s v="CUST_896"/>
    <x v="20"/>
    <x v="0"/>
    <s v="Thursday"/>
    <s v="No"/>
    <x v="6"/>
    <x v="6"/>
    <s v="Saxony"/>
    <x v="1"/>
    <s v="Mokka"/>
    <s v="Electric"/>
    <x v="0"/>
    <s v="26-35"/>
    <s v="Medium"/>
    <x v="0"/>
    <x v="0"/>
    <s v="Sales_16"/>
    <n v="290"/>
    <n v="145"/>
    <n v="83"/>
    <n v="21"/>
    <s v="14.48"/>
    <n v="22162"/>
    <s v="11.86"/>
    <n v="19829"/>
    <n v="465402"/>
    <n v="48993"/>
    <s v="Feb"/>
    <n v="2"/>
    <n v="2026"/>
    <s v="Weekday"/>
    <n v="0.25301204819277107"/>
    <n v="0.5"/>
    <n v="7.2413793103448282E-2"/>
    <n v="2333"/>
    <s v="Leipzig Mobility"/>
  </r>
  <r>
    <s v="CUST_897"/>
    <x v="16"/>
    <x v="1"/>
    <s v="Tuesday"/>
    <s v="No"/>
    <x v="5"/>
    <x v="5"/>
    <s v="Hamburg"/>
    <x v="0"/>
    <s v="5 Series"/>
    <s v="Petrol"/>
    <x v="1"/>
    <s v="50+"/>
    <s v="High"/>
    <x v="1"/>
    <x v="3"/>
    <s v="Sales_13"/>
    <n v="212"/>
    <n v="126"/>
    <n v="89"/>
    <n v="31"/>
    <s v="24.6"/>
    <n v="53329"/>
    <s v="3.6"/>
    <n v="38031"/>
    <n v="1653199"/>
    <n v="474238"/>
    <s v="Feb"/>
    <n v="2"/>
    <n v="2026"/>
    <s v="Weekday"/>
    <n v="0.34831460674157305"/>
    <n v="0.59433962264150941"/>
    <n v="0.14622641509433962"/>
    <n v="15298"/>
    <s v="Elbe Drive"/>
  </r>
  <r>
    <s v="CUST_898"/>
    <x v="23"/>
    <x v="2"/>
    <s v="Tuesday"/>
    <s v="No"/>
    <x v="4"/>
    <x v="4"/>
    <s v="Berlin"/>
    <x v="1"/>
    <s v="Crossland"/>
    <s v="Electric"/>
    <x v="0"/>
    <s v="50+"/>
    <s v="Medium"/>
    <x v="0"/>
    <x v="0"/>
    <s v="Sales_15"/>
    <n v="291"/>
    <n v="146"/>
    <n v="95"/>
    <n v="25"/>
    <s v="17.12"/>
    <n v="21069"/>
    <s v="7.44"/>
    <n v="19113"/>
    <n v="526725"/>
    <n v="48900"/>
    <s v="Feb"/>
    <n v="2"/>
    <n v="2026"/>
    <s v="Weekday"/>
    <n v="0.26315789473684209"/>
    <n v="0.50171821305841924"/>
    <n v="8.5910652920962199E-2"/>
    <n v="1956"/>
    <s v="Autohaus Berlin"/>
  </r>
  <r>
    <s v="CUST_899"/>
    <x v="18"/>
    <x v="0"/>
    <s v="Saturday"/>
    <s v="Yes"/>
    <x v="0"/>
    <x v="0"/>
    <s v="Hesse"/>
    <x v="3"/>
    <s v="EQE"/>
    <s v="Petrol"/>
    <x v="1"/>
    <s v="26-35"/>
    <s v="High"/>
    <x v="1"/>
    <x v="3"/>
    <s v="Sales_13"/>
    <n v="166"/>
    <n v="73"/>
    <n v="53"/>
    <n v="16"/>
    <s v="21.92"/>
    <n v="51617"/>
    <s v="3.8"/>
    <n v="39492"/>
    <n v="825872"/>
    <n v="194000"/>
    <s v="Feb"/>
    <n v="2"/>
    <n v="2026"/>
    <s v="Weekend"/>
    <n v="0.30188679245283018"/>
    <n v="0.43975903614457829"/>
    <n v="9.6385542168674704E-2"/>
    <n v="12125"/>
    <s v="Main Auto Hub"/>
  </r>
  <r>
    <s v="CUST_900"/>
    <x v="7"/>
    <x v="3"/>
    <s v="Monday"/>
    <s v="No"/>
    <x v="6"/>
    <x v="6"/>
    <s v="Saxony"/>
    <x v="4"/>
    <s v="ID.4"/>
    <s v="Hybrid"/>
    <x v="0"/>
    <s v="26-35"/>
    <s v="Medium"/>
    <x v="1"/>
    <x v="1"/>
    <s v="Sales_17"/>
    <n v="302"/>
    <n v="121"/>
    <n v="83"/>
    <n v="20"/>
    <s v="16.53"/>
    <n v="25986"/>
    <s v="8.14"/>
    <n v="23412"/>
    <n v="519720"/>
    <n v="51480"/>
    <s v="Feb"/>
    <n v="2"/>
    <n v="2026"/>
    <s v="Weekday"/>
    <n v="0.24096385542168675"/>
    <n v="0.40066225165562913"/>
    <n v="6.6225165562913912E-2"/>
    <n v="2574"/>
    <s v="Leipzig Mobility"/>
  </r>
  <r>
    <s v="CUST_901"/>
    <x v="22"/>
    <x v="3"/>
    <s v="Tuesday"/>
    <s v="No"/>
    <x v="8"/>
    <x v="8"/>
    <s v="Baden-WÃ¼rttemberg"/>
    <x v="4"/>
    <s v="Golf"/>
    <s v="Hybrid"/>
    <x v="2"/>
    <s v="50+"/>
    <s v="Medium"/>
    <x v="1"/>
    <x v="0"/>
    <s v="Sales_7"/>
    <n v="373"/>
    <n v="182"/>
    <n v="106"/>
    <n v="26"/>
    <s v="14.29"/>
    <n v="34603"/>
    <s v="6.98"/>
    <n v="30917"/>
    <n v="899678"/>
    <n v="95836"/>
    <s v="Feb"/>
    <n v="2"/>
    <n v="2026"/>
    <s v="Weekday"/>
    <n v="0.24528301886792453"/>
    <n v="0.48793565683646112"/>
    <n v="6.9705093833780166E-2"/>
    <n v="3686"/>
    <s v="Stuttgart Auto Center"/>
  </r>
  <r>
    <s v="CUST_902"/>
    <x v="12"/>
    <x v="3"/>
    <s v="Thursday"/>
    <s v="No"/>
    <x v="6"/>
    <x v="6"/>
    <s v="Saxony"/>
    <x v="1"/>
    <s v="Crossland"/>
    <s v="Electric"/>
    <x v="0"/>
    <s v="50+"/>
    <s v="High"/>
    <x v="0"/>
    <x v="3"/>
    <s v="Sales_10"/>
    <n v="304"/>
    <n v="147"/>
    <n v="92"/>
    <n v="17"/>
    <s v="11.56"/>
    <n v="24723"/>
    <s v="11.62"/>
    <n v="22733"/>
    <n v="420291"/>
    <n v="33830"/>
    <s v="Feb"/>
    <n v="2"/>
    <n v="2026"/>
    <s v="Weekday"/>
    <n v="0.18478260869565216"/>
    <n v="0.48355263157894735"/>
    <n v="5.5921052631578948E-2"/>
    <n v="1990"/>
    <s v="Leipzig Mobility"/>
  </r>
  <r>
    <s v="CUST_903"/>
    <x v="12"/>
    <x v="3"/>
    <s v="Thursday"/>
    <s v="No"/>
    <x v="3"/>
    <x v="3"/>
    <s v="Saxony"/>
    <x v="1"/>
    <s v="Astra"/>
    <s v="Electric"/>
    <x v="2"/>
    <s v="26-35"/>
    <s v="High"/>
    <x v="1"/>
    <x v="2"/>
    <s v="Sales_3"/>
    <n v="332"/>
    <n v="143"/>
    <n v="80"/>
    <n v="26"/>
    <s v="18.18"/>
    <n v="23834"/>
    <s v="8.36"/>
    <n v="21966"/>
    <n v="619684"/>
    <n v="48568"/>
    <s v="Feb"/>
    <n v="2"/>
    <n v="2026"/>
    <s v="Weekday"/>
    <n v="0.32500000000000001"/>
    <n v="0.43072289156626509"/>
    <n v="7.8313253012048195E-2"/>
    <n v="1868"/>
    <s v="Saxon Wheels"/>
  </r>
  <r>
    <s v="CUST_904"/>
    <x v="1"/>
    <x v="1"/>
    <s v="Wednesday"/>
    <s v="No"/>
    <x v="1"/>
    <x v="1"/>
    <s v="NRW"/>
    <x v="3"/>
    <s v="GLE"/>
    <s v="Petrol"/>
    <x v="0"/>
    <s v="18-25"/>
    <s v="High"/>
    <x v="1"/>
    <x v="3"/>
    <s v="Sales_9"/>
    <n v="288"/>
    <n v="157"/>
    <n v="116"/>
    <n v="37"/>
    <s v="23.57"/>
    <n v="70854"/>
    <s v="3.82"/>
    <n v="51218"/>
    <n v="2621598"/>
    <n v="726532"/>
    <s v="Feb"/>
    <n v="2"/>
    <n v="2026"/>
    <s v="Weekday"/>
    <n v="0.31896551724137934"/>
    <n v="0.54513888888888884"/>
    <n v="0.12847222222222221"/>
    <n v="19636"/>
    <s v="Rhein Auto Group"/>
  </r>
  <r>
    <s v="CUST_905"/>
    <x v="0"/>
    <x v="0"/>
    <s v="Monday"/>
    <s v="No"/>
    <x v="4"/>
    <x v="4"/>
    <s v="Berlin"/>
    <x v="2"/>
    <s v="Q3"/>
    <s v="Electric"/>
    <x v="0"/>
    <s v="50+"/>
    <s v="Medium"/>
    <x v="0"/>
    <x v="2"/>
    <s v="Sales_5"/>
    <n v="252"/>
    <n v="146"/>
    <n v="96"/>
    <n v="43"/>
    <s v="29.45"/>
    <n v="41020"/>
    <s v="4.47"/>
    <n v="30938"/>
    <n v="1763860"/>
    <n v="433526"/>
    <s v="Feb"/>
    <n v="2"/>
    <n v="2026"/>
    <s v="Weekday"/>
    <n v="0.44791666666666669"/>
    <n v="0.57936507936507942"/>
    <n v="0.17063492063492064"/>
    <n v="10082"/>
    <s v="Autohaus Berlin"/>
  </r>
  <r>
    <s v="CUST_906"/>
    <x v="18"/>
    <x v="0"/>
    <s v="Saturday"/>
    <s v="Yes"/>
    <x v="7"/>
    <x v="7"/>
    <s v="Bavaria"/>
    <x v="1"/>
    <s v="Mokka"/>
    <s v="Hybrid"/>
    <x v="0"/>
    <s v="36-50"/>
    <s v="High"/>
    <x v="1"/>
    <x v="1"/>
    <s v="Sales_14"/>
    <n v="325"/>
    <n v="170"/>
    <n v="112"/>
    <n v="31"/>
    <s v="18.24"/>
    <n v="25338"/>
    <s v="7.98"/>
    <n v="22861"/>
    <n v="785478"/>
    <n v="76787"/>
    <s v="Feb"/>
    <n v="2"/>
    <n v="2026"/>
    <s v="Weekend"/>
    <n v="0.2767857142857143"/>
    <n v="0.52307692307692311"/>
    <n v="9.5384615384615387E-2"/>
    <n v="2477"/>
    <s v="Bavaria Motors"/>
  </r>
  <r>
    <s v="CUST_907"/>
    <x v="2"/>
    <x v="2"/>
    <s v="Monday"/>
    <s v="No"/>
    <x v="4"/>
    <x v="4"/>
    <s v="Berlin"/>
    <x v="3"/>
    <s v="C-Class"/>
    <s v="Electric"/>
    <x v="1"/>
    <s v="36-50"/>
    <s v="High"/>
    <x v="0"/>
    <x v="3"/>
    <s v="Sales_9"/>
    <n v="180"/>
    <n v="95"/>
    <n v="74"/>
    <n v="25"/>
    <s v="26.32"/>
    <n v="67381"/>
    <s v="5.04"/>
    <n v="52648"/>
    <n v="1684525"/>
    <n v="368325"/>
    <s v="Feb"/>
    <n v="2"/>
    <n v="2026"/>
    <s v="Weekday"/>
    <n v="0.33783783783783783"/>
    <n v="0.52777777777777779"/>
    <n v="0.1388888888888889"/>
    <n v="14733"/>
    <s v="Autohaus Berlin"/>
  </r>
  <r>
    <s v="CUST_908"/>
    <x v="2"/>
    <x v="2"/>
    <s v="Monday"/>
    <s v="No"/>
    <x v="8"/>
    <x v="8"/>
    <s v="Baden-WÃ¼rttemberg"/>
    <x v="4"/>
    <s v="Tiguan"/>
    <s v="Electric"/>
    <x v="0"/>
    <s v="18-25"/>
    <s v="Low"/>
    <x v="1"/>
    <x v="3"/>
    <s v="Sales_16"/>
    <n v="398"/>
    <n v="186"/>
    <n v="114"/>
    <n v="31"/>
    <s v="16.67"/>
    <n v="29743"/>
    <s v="7.77"/>
    <n v="26950"/>
    <n v="922033"/>
    <n v="86583"/>
    <s v="Feb"/>
    <n v="2"/>
    <n v="2026"/>
    <s v="Weekday"/>
    <n v="0.27192982456140352"/>
    <n v="0.46733668341708545"/>
    <n v="7.7889447236180909E-2"/>
    <n v="2793"/>
    <s v="Stuttgart Auto Center"/>
  </r>
  <r>
    <s v="CUST_909"/>
    <x v="7"/>
    <x v="3"/>
    <s v="Monday"/>
    <s v="No"/>
    <x v="0"/>
    <x v="0"/>
    <s v="Hesse"/>
    <x v="1"/>
    <s v="Crossland"/>
    <s v="Petrol"/>
    <x v="0"/>
    <s v="36-50"/>
    <s v="Medium"/>
    <x v="0"/>
    <x v="1"/>
    <s v="Sales_18"/>
    <n v="350"/>
    <n v="183"/>
    <n v="117"/>
    <n v="31"/>
    <s v="16.94"/>
    <n v="23885"/>
    <s v="7.21"/>
    <n v="21734"/>
    <n v="740435"/>
    <n v="66681"/>
    <s v="Feb"/>
    <n v="2"/>
    <n v="2026"/>
    <s v="Weekday"/>
    <n v="0.26495726495726496"/>
    <n v="0.52285714285714291"/>
    <n v="8.8571428571428565E-2"/>
    <n v="2151"/>
    <s v="Main Auto Hub"/>
  </r>
  <r>
    <s v="CUST_910"/>
    <x v="23"/>
    <x v="2"/>
    <s v="Tuesday"/>
    <s v="No"/>
    <x v="2"/>
    <x v="2"/>
    <s v="Lower Saxony"/>
    <x v="1"/>
    <s v="Crossland"/>
    <s v="Hybrid"/>
    <x v="0"/>
    <s v="26-35"/>
    <s v="Medium"/>
    <x v="0"/>
    <x v="3"/>
    <s v="Sales_5"/>
    <n v="334"/>
    <n v="157"/>
    <n v="100"/>
    <n v="21"/>
    <s v="13.38"/>
    <n v="26560"/>
    <s v="9.65"/>
    <n v="24044"/>
    <n v="557760"/>
    <n v="52836"/>
    <s v="Feb"/>
    <n v="2"/>
    <n v="2026"/>
    <s v="Weekday"/>
    <n v="0.21"/>
    <n v="0.47005988023952094"/>
    <n v="6.2874251497005984E-2"/>
    <n v="2516"/>
    <s v="Hannover Cars"/>
  </r>
  <r>
    <s v="CUST_911"/>
    <x v="10"/>
    <x v="1"/>
    <s v="Monday"/>
    <s v="No"/>
    <x v="4"/>
    <x v="4"/>
    <s v="Berlin"/>
    <x v="4"/>
    <s v="Passat"/>
    <s v="Diesel"/>
    <x v="1"/>
    <s v="18-25"/>
    <s v="High"/>
    <x v="1"/>
    <x v="3"/>
    <s v="Sales_11"/>
    <n v="344"/>
    <n v="147"/>
    <n v="95"/>
    <n v="19"/>
    <s v="12.93"/>
    <n v="27980"/>
    <s v="6.35"/>
    <n v="25222"/>
    <n v="531620"/>
    <n v="52402"/>
    <s v="Feb"/>
    <n v="2"/>
    <n v="2026"/>
    <s v="Weekday"/>
    <n v="0.2"/>
    <n v="0.42732558139534882"/>
    <n v="5.5232558139534885E-2"/>
    <n v="2758"/>
    <s v="Autohaus Berlin"/>
  </r>
  <r>
    <s v="CUST_912"/>
    <x v="13"/>
    <x v="0"/>
    <s v="Friday"/>
    <s v="No"/>
    <x v="9"/>
    <x v="9"/>
    <s v="NRW"/>
    <x v="2"/>
    <s v="A3"/>
    <s v="Petrol"/>
    <x v="2"/>
    <s v="18-25"/>
    <s v="Medium"/>
    <x v="1"/>
    <x v="1"/>
    <s v="Sales_3"/>
    <n v="195"/>
    <n v="121"/>
    <n v="92"/>
    <n v="29"/>
    <s v="23.97"/>
    <n v="40960"/>
    <s v="4.31"/>
    <n v="32115"/>
    <n v="1187840"/>
    <n v="256505"/>
    <s v="Feb"/>
    <n v="2"/>
    <n v="2026"/>
    <s v="Weekday"/>
    <n v="0.31521739130434784"/>
    <n v="0.62051282051282053"/>
    <n v="0.14871794871794872"/>
    <n v="8845"/>
    <s v="Ruhr Auto Plaza"/>
  </r>
  <r>
    <s v="CUST_913"/>
    <x v="15"/>
    <x v="2"/>
    <s v="Thursday"/>
    <s v="No"/>
    <x v="3"/>
    <x v="3"/>
    <s v="Saxony"/>
    <x v="2"/>
    <s v="A4"/>
    <s v="Hybrid"/>
    <x v="1"/>
    <s v="26-35"/>
    <s v="Medium"/>
    <x v="1"/>
    <x v="2"/>
    <s v="Sales_3"/>
    <n v="254"/>
    <n v="160"/>
    <n v="110"/>
    <n v="40"/>
    <s v="25.0"/>
    <n v="45940"/>
    <s v="4.03"/>
    <n v="34657"/>
    <n v="1837600"/>
    <n v="451320"/>
    <s v="Feb"/>
    <n v="2"/>
    <n v="2026"/>
    <s v="Weekday"/>
    <n v="0.36363636363636365"/>
    <n v="0.62992125984251968"/>
    <n v="0.15748031496062992"/>
    <n v="11283"/>
    <s v="Saxon Wheels"/>
  </r>
  <r>
    <s v="CUST_914"/>
    <x v="5"/>
    <x v="3"/>
    <s v="Saturday"/>
    <s v="Yes"/>
    <x v="2"/>
    <x v="2"/>
    <s v="Lower Saxony"/>
    <x v="4"/>
    <s v="Golf"/>
    <s v="Electric"/>
    <x v="2"/>
    <s v="26-35"/>
    <s v="Low"/>
    <x v="0"/>
    <x v="2"/>
    <s v="Sales_7"/>
    <n v="446"/>
    <n v="253"/>
    <n v="149"/>
    <n v="45"/>
    <s v="17.79"/>
    <n v="31345"/>
    <s v="11.82"/>
    <n v="27864"/>
    <n v="1410525"/>
    <n v="156645"/>
    <s v="Feb"/>
    <n v="2"/>
    <n v="2026"/>
    <s v="Weekend"/>
    <n v="0.30201342281879195"/>
    <n v="0.56726457399103136"/>
    <n v="0.10089686098654709"/>
    <n v="3481"/>
    <s v="Hannover Cars"/>
  </r>
  <r>
    <s v="CUST_915"/>
    <x v="1"/>
    <x v="1"/>
    <s v="Wednesday"/>
    <s v="No"/>
    <x v="3"/>
    <x v="3"/>
    <s v="Saxony"/>
    <x v="3"/>
    <s v="EQE"/>
    <s v="Hybrid"/>
    <x v="1"/>
    <s v="26-35"/>
    <s v="Low"/>
    <x v="0"/>
    <x v="3"/>
    <s v="Sales_16"/>
    <n v="281"/>
    <n v="127"/>
    <n v="99"/>
    <n v="30"/>
    <s v="23.62"/>
    <n v="66821"/>
    <s v="5.25"/>
    <n v="51217"/>
    <n v="2004630"/>
    <n v="468120"/>
    <s v="Feb"/>
    <n v="2"/>
    <n v="2026"/>
    <s v="Weekday"/>
    <n v="0.30303030303030304"/>
    <n v="0.45195729537366547"/>
    <n v="0.10676156583629894"/>
    <n v="15604"/>
    <s v="Saxon Wheels"/>
  </r>
  <r>
    <s v="CUST_916"/>
    <x v="11"/>
    <x v="0"/>
    <s v="Wednesday"/>
    <s v="No"/>
    <x v="5"/>
    <x v="5"/>
    <s v="Hamburg"/>
    <x v="4"/>
    <s v="Tiguan"/>
    <s v="Hybrid"/>
    <x v="0"/>
    <s v="18-25"/>
    <s v="Medium"/>
    <x v="0"/>
    <x v="3"/>
    <s v="Sales_19"/>
    <n v="407"/>
    <n v="204"/>
    <n v="146"/>
    <n v="34"/>
    <s v="16.67"/>
    <n v="26534"/>
    <s v="11.15"/>
    <n v="22854"/>
    <n v="902156"/>
    <n v="125120"/>
    <s v="Feb"/>
    <n v="2"/>
    <n v="2026"/>
    <s v="Weekday"/>
    <n v="0.23287671232876711"/>
    <n v="0.50122850122850127"/>
    <n v="8.3538083538083535E-2"/>
    <n v="3680"/>
    <s v="Elbe Drive"/>
  </r>
  <r>
    <s v="CUST_917"/>
    <x v="19"/>
    <x v="1"/>
    <s v="Saturday"/>
    <s v="Yes"/>
    <x v="6"/>
    <x v="6"/>
    <s v="Saxony"/>
    <x v="2"/>
    <s v="Q5"/>
    <s v="Hybrid"/>
    <x v="0"/>
    <s v="50+"/>
    <s v="High"/>
    <x v="1"/>
    <x v="3"/>
    <s v="Sales_2"/>
    <n v="259"/>
    <n v="127"/>
    <n v="91"/>
    <n v="24"/>
    <s v="18.9"/>
    <n v="45768"/>
    <s v="5.73"/>
    <n v="36495"/>
    <n v="1098432"/>
    <n v="222552"/>
    <s v="Feb"/>
    <n v="2"/>
    <n v="2026"/>
    <s v="Weekend"/>
    <n v="0.26373626373626374"/>
    <n v="0.49034749034749037"/>
    <n v="9.2664092664092659E-2"/>
    <n v="9273"/>
    <s v="Leipzig Mobility"/>
  </r>
  <r>
    <s v="CUST_918"/>
    <x v="9"/>
    <x v="0"/>
    <s v="Sunday"/>
    <s v="Yes"/>
    <x v="8"/>
    <x v="8"/>
    <s v="Baden-WÃ¼rttemberg"/>
    <x v="0"/>
    <s v="X3"/>
    <s v="Petrol"/>
    <x v="0"/>
    <s v="36-50"/>
    <s v="Low"/>
    <x v="1"/>
    <x v="1"/>
    <s v="Sales_16"/>
    <n v="153"/>
    <n v="72"/>
    <n v="54"/>
    <n v="20"/>
    <s v="27.78"/>
    <n v="56220"/>
    <s v="2.56"/>
    <n v="40916"/>
    <n v="1124400"/>
    <n v="306080"/>
    <s v="Feb"/>
    <n v="2"/>
    <n v="2026"/>
    <s v="Weekend"/>
    <n v="0.37037037037037035"/>
    <n v="0.47058823529411764"/>
    <n v="0.13071895424836602"/>
    <n v="15304"/>
    <s v="Stuttgart Auto Center"/>
  </r>
  <r>
    <s v="CUST_919"/>
    <x v="25"/>
    <x v="3"/>
    <s v="Friday"/>
    <s v="No"/>
    <x v="9"/>
    <x v="9"/>
    <s v="NRW"/>
    <x v="0"/>
    <s v="i4"/>
    <s v="Hybrid"/>
    <x v="1"/>
    <s v="26-35"/>
    <s v="Low"/>
    <x v="1"/>
    <x v="1"/>
    <s v="Sales_11"/>
    <n v="190"/>
    <n v="116"/>
    <n v="85"/>
    <n v="33"/>
    <s v="28.45"/>
    <n v="58408"/>
    <s v="5.14"/>
    <n v="42155"/>
    <n v="1927464"/>
    <n v="536349"/>
    <s v="Feb"/>
    <n v="2"/>
    <n v="2026"/>
    <s v="Weekday"/>
    <n v="0.38823529411764707"/>
    <n v="0.61052631578947369"/>
    <n v="0.1736842105263158"/>
    <n v="16253"/>
    <s v="Ruhr Auto Plaza"/>
  </r>
  <r>
    <s v="CUST_920"/>
    <x v="2"/>
    <x v="2"/>
    <s v="Monday"/>
    <s v="No"/>
    <x v="0"/>
    <x v="0"/>
    <s v="Hesse"/>
    <x v="3"/>
    <s v="GLE"/>
    <s v="Diesel"/>
    <x v="0"/>
    <s v="36-50"/>
    <s v="High"/>
    <x v="1"/>
    <x v="2"/>
    <s v="Sales_5"/>
    <n v="279"/>
    <n v="160"/>
    <n v="122"/>
    <n v="46"/>
    <s v="28.75"/>
    <n v="72673"/>
    <s v="2.71"/>
    <n v="55888"/>
    <n v="3342958"/>
    <n v="772110"/>
    <s v="Feb"/>
    <n v="2"/>
    <n v="2026"/>
    <s v="Weekday"/>
    <n v="0.37704918032786883"/>
    <n v="0.57347670250896055"/>
    <n v="0.16487455197132617"/>
    <n v="16785"/>
    <s v="Main Auto Hub"/>
  </r>
  <r>
    <s v="CUST_921"/>
    <x v="1"/>
    <x v="1"/>
    <s v="Wednesday"/>
    <s v="No"/>
    <x v="1"/>
    <x v="1"/>
    <s v="NRW"/>
    <x v="1"/>
    <s v="Mokka"/>
    <s v="Hybrid"/>
    <x v="0"/>
    <s v="26-35"/>
    <s v="High"/>
    <x v="1"/>
    <x v="1"/>
    <s v="Sales_3"/>
    <n v="320"/>
    <n v="135"/>
    <n v="86"/>
    <n v="21"/>
    <s v="15.56"/>
    <n v="23155"/>
    <s v="10.4"/>
    <n v="21244"/>
    <n v="486255"/>
    <n v="40131"/>
    <s v="Feb"/>
    <n v="2"/>
    <n v="2026"/>
    <s v="Weekday"/>
    <n v="0.2441860465116279"/>
    <n v="0.421875"/>
    <n v="6.5625000000000003E-2"/>
    <n v="1911"/>
    <s v="Rhein Auto Group"/>
  </r>
  <r>
    <s v="CUST_922"/>
    <x v="0"/>
    <x v="0"/>
    <s v="Monday"/>
    <s v="No"/>
    <x v="7"/>
    <x v="7"/>
    <s v="Bavaria"/>
    <x v="4"/>
    <s v="Golf"/>
    <s v="Electric"/>
    <x v="2"/>
    <s v="26-35"/>
    <s v="Medium"/>
    <x v="1"/>
    <x v="3"/>
    <s v="Sales_11"/>
    <n v="465"/>
    <n v="252"/>
    <n v="155"/>
    <n v="37"/>
    <s v="14.68"/>
    <n v="28827"/>
    <s v="9.28"/>
    <n v="25168"/>
    <n v="1066599"/>
    <n v="135383"/>
    <s v="Feb"/>
    <n v="2"/>
    <n v="2026"/>
    <s v="Weekday"/>
    <n v="0.23870967741935484"/>
    <n v="0.54193548387096779"/>
    <n v="7.9569892473118284E-2"/>
    <n v="3659"/>
    <s v="Bavaria Motors"/>
  </r>
  <r>
    <s v="CUST_923"/>
    <x v="2"/>
    <x v="2"/>
    <s v="Monday"/>
    <s v="No"/>
    <x v="5"/>
    <x v="5"/>
    <s v="Hamburg"/>
    <x v="3"/>
    <s v="GLC"/>
    <s v="Petrol"/>
    <x v="0"/>
    <s v="26-35"/>
    <s v="High"/>
    <x v="0"/>
    <x v="0"/>
    <s v="Sales_15"/>
    <n v="225"/>
    <n v="131"/>
    <n v="101"/>
    <n v="29"/>
    <s v="22.14"/>
    <n v="64768"/>
    <s v="4.78"/>
    <n v="46503"/>
    <n v="1878272"/>
    <n v="529685"/>
    <s v="Feb"/>
    <n v="2"/>
    <n v="2026"/>
    <s v="Weekday"/>
    <n v="0.28712871287128711"/>
    <n v="0.5822222222222222"/>
    <n v="0.12888888888888889"/>
    <n v="18265"/>
    <s v="Elbe Drive"/>
  </r>
  <r>
    <s v="CUST_924"/>
    <x v="5"/>
    <x v="3"/>
    <s v="Saturday"/>
    <s v="Yes"/>
    <x v="9"/>
    <x v="9"/>
    <s v="NRW"/>
    <x v="3"/>
    <s v="GLC"/>
    <s v="Petrol"/>
    <x v="0"/>
    <s v="26-35"/>
    <s v="Medium"/>
    <x v="0"/>
    <x v="0"/>
    <s v="Sales_4"/>
    <n v="183"/>
    <n v="90"/>
    <n v="68"/>
    <n v="20"/>
    <s v="22.22"/>
    <n v="58644"/>
    <s v="4.65"/>
    <n v="41925"/>
    <n v="1172880"/>
    <n v="334380"/>
    <s v="Feb"/>
    <n v="2"/>
    <n v="2026"/>
    <s v="Weekend"/>
    <n v="0.29411764705882354"/>
    <n v="0.49180327868852458"/>
    <n v="0.10928961748633879"/>
    <n v="16719"/>
    <s v="Ruhr Auto Plaza"/>
  </r>
  <r>
    <s v="CUST_925"/>
    <x v="7"/>
    <x v="3"/>
    <s v="Monday"/>
    <s v="No"/>
    <x v="8"/>
    <x v="8"/>
    <s v="Baden-WÃ¼rttemberg"/>
    <x v="4"/>
    <s v="Passat"/>
    <s v="Hybrid"/>
    <x v="1"/>
    <s v="50+"/>
    <s v="Medium"/>
    <x v="1"/>
    <x v="2"/>
    <s v="Sales_2"/>
    <n v="396"/>
    <n v="199"/>
    <n v="125"/>
    <n v="40"/>
    <s v="20.1"/>
    <n v="32214"/>
    <s v="7.6"/>
    <n v="28917"/>
    <n v="1288560"/>
    <n v="131880"/>
    <s v="Feb"/>
    <n v="2"/>
    <n v="2026"/>
    <s v="Weekday"/>
    <n v="0.32"/>
    <n v="0.50252525252525249"/>
    <n v="0.10101010101010101"/>
    <n v="3297"/>
    <s v="Stuttgart Auto Center"/>
  </r>
  <r>
    <s v="CUST_926"/>
    <x v="18"/>
    <x v="0"/>
    <s v="Saturday"/>
    <s v="Yes"/>
    <x v="4"/>
    <x v="4"/>
    <s v="Berlin"/>
    <x v="4"/>
    <s v="T-Roc"/>
    <s v="Electric"/>
    <x v="0"/>
    <s v="50+"/>
    <s v="High"/>
    <x v="1"/>
    <x v="2"/>
    <s v="Sales_13"/>
    <n v="474"/>
    <n v="260"/>
    <n v="153"/>
    <n v="46"/>
    <s v="17.69"/>
    <n v="28346"/>
    <s v="6.14"/>
    <n v="24781"/>
    <n v="1303916"/>
    <n v="163990"/>
    <s v="Feb"/>
    <n v="2"/>
    <n v="2026"/>
    <s v="Weekend"/>
    <n v="0.30065359477124182"/>
    <n v="0.54852320675105481"/>
    <n v="9.7046413502109699E-2"/>
    <n v="3565"/>
    <s v="Autohaus Berlin"/>
  </r>
  <r>
    <s v="CUST_927"/>
    <x v="4"/>
    <x v="2"/>
    <s v="Wednesday"/>
    <s v="No"/>
    <x v="4"/>
    <x v="4"/>
    <s v="Berlin"/>
    <x v="1"/>
    <s v="Mokka"/>
    <s v="Petrol"/>
    <x v="0"/>
    <s v="50+"/>
    <s v="Medium"/>
    <x v="1"/>
    <x v="1"/>
    <s v="Sales_1"/>
    <n v="356"/>
    <n v="181"/>
    <n v="108"/>
    <n v="29"/>
    <s v="16.02"/>
    <n v="20068"/>
    <s v="10.7"/>
    <n v="18400"/>
    <n v="581972"/>
    <n v="48372"/>
    <s v="Feb"/>
    <n v="2"/>
    <n v="2026"/>
    <s v="Weekday"/>
    <n v="0.26851851851851855"/>
    <n v="0.5084269662921348"/>
    <n v="8.1460674157303375E-2"/>
    <n v="1668"/>
    <s v="Autohaus Berlin"/>
  </r>
  <r>
    <s v="CUST_928"/>
    <x v="14"/>
    <x v="2"/>
    <s v="Friday"/>
    <s v="No"/>
    <x v="5"/>
    <x v="5"/>
    <s v="Hamburg"/>
    <x v="3"/>
    <s v="E-Class"/>
    <s v="Hybrid"/>
    <x v="1"/>
    <s v="18-25"/>
    <s v="High"/>
    <x v="1"/>
    <x v="3"/>
    <s v="Sales_10"/>
    <n v="176"/>
    <n v="81"/>
    <n v="63"/>
    <n v="20"/>
    <s v="24.69"/>
    <n v="69492"/>
    <s v="2.37"/>
    <n v="50130"/>
    <n v="1389840"/>
    <n v="387240"/>
    <s v="Feb"/>
    <n v="2"/>
    <n v="2026"/>
    <s v="Weekday"/>
    <n v="0.31746031746031744"/>
    <n v="0.46022727272727271"/>
    <n v="0.11363636363636363"/>
    <n v="19362"/>
    <s v="Elbe Drive"/>
  </r>
  <r>
    <s v="CUST_929"/>
    <x v="3"/>
    <x v="1"/>
    <s v="Sunday"/>
    <s v="Yes"/>
    <x v="1"/>
    <x v="1"/>
    <s v="NRW"/>
    <x v="1"/>
    <s v="Grandland"/>
    <s v="Hybrid"/>
    <x v="0"/>
    <s v="26-35"/>
    <s v="High"/>
    <x v="0"/>
    <x v="3"/>
    <s v="Sales_4"/>
    <n v="370"/>
    <n v="175"/>
    <n v="108"/>
    <n v="31"/>
    <s v="17.71"/>
    <n v="23647"/>
    <s v="11.32"/>
    <n v="21472"/>
    <n v="733057"/>
    <n v="67425"/>
    <s v="Feb"/>
    <n v="2"/>
    <n v="2026"/>
    <s v="Weekend"/>
    <n v="0.28703703703703703"/>
    <n v="0.47297297297297297"/>
    <n v="8.3783783783783788E-2"/>
    <n v="2175"/>
    <s v="Rhein Auto Group"/>
  </r>
  <r>
    <s v="CUST_930"/>
    <x v="13"/>
    <x v="0"/>
    <s v="Friday"/>
    <s v="No"/>
    <x v="3"/>
    <x v="3"/>
    <s v="Saxony"/>
    <x v="4"/>
    <s v="Passat"/>
    <s v="Hybrid"/>
    <x v="1"/>
    <s v="50+"/>
    <s v="Medium"/>
    <x v="1"/>
    <x v="3"/>
    <s v="Sales_3"/>
    <n v="311"/>
    <n v="154"/>
    <n v="107"/>
    <n v="17"/>
    <s v="11.04"/>
    <n v="25800"/>
    <s v="10.87"/>
    <n v="22980"/>
    <n v="438600"/>
    <n v="47940"/>
    <s v="Feb"/>
    <n v="2"/>
    <n v="2026"/>
    <s v="Weekday"/>
    <n v="0.15887850467289719"/>
    <n v="0.49517684887459806"/>
    <n v="5.4662379421221867E-2"/>
    <n v="2820"/>
    <s v="Saxon Wheels"/>
  </r>
  <r>
    <s v="CUST_931"/>
    <x v="10"/>
    <x v="1"/>
    <s v="Monday"/>
    <s v="No"/>
    <x v="1"/>
    <x v="1"/>
    <s v="NRW"/>
    <x v="3"/>
    <s v="GLE"/>
    <s v="Hybrid"/>
    <x v="0"/>
    <s v="18-25"/>
    <s v="Medium"/>
    <x v="1"/>
    <x v="0"/>
    <s v="Sales_2"/>
    <n v="262"/>
    <n v="152"/>
    <n v="102"/>
    <n v="37"/>
    <s v="24.34"/>
    <n v="71133"/>
    <s v="2.45"/>
    <n v="51814"/>
    <n v="2631921"/>
    <n v="714803"/>
    <s v="Feb"/>
    <n v="2"/>
    <n v="2026"/>
    <s v="Weekday"/>
    <n v="0.36274509803921567"/>
    <n v="0.58015267175572516"/>
    <n v="0.14122137404580154"/>
    <n v="19319"/>
    <s v="Rhein Auto Group"/>
  </r>
  <r>
    <s v="CUST_932"/>
    <x v="8"/>
    <x v="3"/>
    <s v="Wednesday"/>
    <s v="No"/>
    <x v="4"/>
    <x v="4"/>
    <s v="Berlin"/>
    <x v="2"/>
    <s v="Q3"/>
    <s v="Petrol"/>
    <x v="0"/>
    <s v="36-50"/>
    <s v="Low"/>
    <x v="1"/>
    <x v="1"/>
    <s v="Sales_3"/>
    <n v="194"/>
    <n v="101"/>
    <n v="77"/>
    <n v="23"/>
    <s v="22.77"/>
    <n v="43958"/>
    <s v="4.69"/>
    <n v="33063"/>
    <n v="1011034"/>
    <n v="250585"/>
    <s v="Feb"/>
    <n v="2"/>
    <n v="2026"/>
    <s v="Weekday"/>
    <n v="0.29870129870129869"/>
    <n v="0.52061855670103097"/>
    <n v="0.11855670103092783"/>
    <n v="10895"/>
    <s v="Autohaus Berlin"/>
  </r>
  <r>
    <s v="CUST_933"/>
    <x v="13"/>
    <x v="0"/>
    <s v="Friday"/>
    <s v="No"/>
    <x v="5"/>
    <x v="5"/>
    <s v="Hamburg"/>
    <x v="4"/>
    <s v="Golf"/>
    <s v="Petrol"/>
    <x v="2"/>
    <s v="18-25"/>
    <s v="High"/>
    <x v="1"/>
    <x v="3"/>
    <s v="Sales_19"/>
    <n v="312"/>
    <n v="145"/>
    <n v="93"/>
    <n v="22"/>
    <s v="15.17"/>
    <n v="32632"/>
    <s v="8.38"/>
    <n v="28313"/>
    <n v="717904"/>
    <n v="95018"/>
    <s v="Feb"/>
    <n v="2"/>
    <n v="2026"/>
    <s v="Weekday"/>
    <n v="0.23655913978494625"/>
    <n v="0.46474358974358976"/>
    <n v="7.0512820512820512E-2"/>
    <n v="4319"/>
    <s v="Elbe Drive"/>
  </r>
  <r>
    <s v="CUST_934"/>
    <x v="14"/>
    <x v="2"/>
    <s v="Friday"/>
    <s v="No"/>
    <x v="3"/>
    <x v="3"/>
    <s v="Saxony"/>
    <x v="4"/>
    <s v="Tiguan"/>
    <s v="Diesel"/>
    <x v="0"/>
    <s v="36-50"/>
    <s v="Low"/>
    <x v="1"/>
    <x v="0"/>
    <s v="Sales_5"/>
    <n v="467"/>
    <n v="251"/>
    <n v="180"/>
    <n v="27"/>
    <s v="10.76"/>
    <n v="27578"/>
    <s v="8.53"/>
    <n v="24723"/>
    <n v="744606"/>
    <n v="77085"/>
    <s v="Feb"/>
    <n v="2"/>
    <n v="2026"/>
    <s v="Weekday"/>
    <n v="0.15"/>
    <n v="0.53747323340471087"/>
    <n v="5.7815845824411134E-2"/>
    <n v="2855"/>
    <s v="Saxon Wheels"/>
  </r>
  <r>
    <s v="CUST_935"/>
    <x v="0"/>
    <x v="0"/>
    <s v="Monday"/>
    <s v="No"/>
    <x v="9"/>
    <x v="9"/>
    <s v="NRW"/>
    <x v="2"/>
    <s v="A4"/>
    <s v="Diesel"/>
    <x v="1"/>
    <s v="50+"/>
    <s v="Medium"/>
    <x v="1"/>
    <x v="0"/>
    <s v="Sales_5"/>
    <n v="212"/>
    <n v="106"/>
    <n v="72"/>
    <n v="22"/>
    <s v="20.75"/>
    <n v="52638"/>
    <s v="6.68"/>
    <n v="41199"/>
    <n v="1158036"/>
    <n v="251658"/>
    <s v="Feb"/>
    <n v="2"/>
    <n v="2026"/>
    <s v="Weekday"/>
    <n v="0.30555555555555558"/>
    <n v="0.5"/>
    <n v="0.10377358490566038"/>
    <n v="11439"/>
    <s v="Ruhr Auto Plaza"/>
  </r>
  <r>
    <s v="CUST_936"/>
    <x v="12"/>
    <x v="3"/>
    <s v="Thursday"/>
    <s v="No"/>
    <x v="4"/>
    <x v="4"/>
    <s v="Berlin"/>
    <x v="3"/>
    <s v="C-Class"/>
    <s v="Diesel"/>
    <x v="1"/>
    <s v="36-50"/>
    <s v="Low"/>
    <x v="1"/>
    <x v="1"/>
    <s v="Sales_16"/>
    <n v="213"/>
    <n v="119"/>
    <n v="89"/>
    <n v="31"/>
    <s v="26.05"/>
    <n v="62639"/>
    <s v="3.04"/>
    <n v="48947"/>
    <n v="1941809"/>
    <n v="424452"/>
    <s v="Feb"/>
    <n v="2"/>
    <n v="2026"/>
    <s v="Weekday"/>
    <n v="0.34831460674157305"/>
    <n v="0.55868544600938963"/>
    <n v="0.14553990610328638"/>
    <n v="13692"/>
    <s v="Autohaus Berlin"/>
  </r>
  <r>
    <s v="CUST_937"/>
    <x v="10"/>
    <x v="1"/>
    <s v="Monday"/>
    <s v="No"/>
    <x v="1"/>
    <x v="1"/>
    <s v="NRW"/>
    <x v="0"/>
    <s v="3 Series"/>
    <s v="Hybrid"/>
    <x v="1"/>
    <s v="50+"/>
    <s v="Medium"/>
    <x v="1"/>
    <x v="2"/>
    <s v="Sales_13"/>
    <n v="152"/>
    <n v="86"/>
    <n v="62"/>
    <n v="25"/>
    <s v="29.07"/>
    <n v="57458"/>
    <s v="4.78"/>
    <n v="44303"/>
    <n v="1436450"/>
    <n v="328875"/>
    <s v="Feb"/>
    <n v="2"/>
    <n v="2026"/>
    <s v="Weekday"/>
    <n v="0.40322580645161288"/>
    <n v="0.56578947368421051"/>
    <n v="0.16447368421052633"/>
    <n v="13155"/>
    <s v="Rhein Auto Group"/>
  </r>
  <r>
    <s v="CUST_938"/>
    <x v="19"/>
    <x v="1"/>
    <s v="Saturday"/>
    <s v="Yes"/>
    <x v="3"/>
    <x v="3"/>
    <s v="Saxony"/>
    <x v="0"/>
    <s v="i4"/>
    <s v="Electric"/>
    <x v="1"/>
    <s v="36-50"/>
    <s v="Medium"/>
    <x v="0"/>
    <x v="3"/>
    <s v="Sales_14"/>
    <n v="148"/>
    <n v="87"/>
    <n v="65"/>
    <n v="21"/>
    <s v="24.14"/>
    <n v="54525"/>
    <s v="2.65"/>
    <n v="40138"/>
    <n v="1145025"/>
    <n v="302127"/>
    <s v="Feb"/>
    <n v="2"/>
    <n v="2026"/>
    <s v="Weekend"/>
    <n v="0.32307692307692309"/>
    <n v="0.58783783783783783"/>
    <n v="0.14189189189189189"/>
    <n v="14387"/>
    <s v="Saxon Wheels"/>
  </r>
  <r>
    <s v="CUST_939"/>
    <x v="0"/>
    <x v="0"/>
    <s v="Monday"/>
    <s v="No"/>
    <x v="1"/>
    <x v="1"/>
    <s v="NRW"/>
    <x v="0"/>
    <s v="X3"/>
    <s v="Diesel"/>
    <x v="0"/>
    <s v="36-50"/>
    <s v="Low"/>
    <x v="0"/>
    <x v="3"/>
    <s v="Sales_20"/>
    <n v="155"/>
    <n v="91"/>
    <n v="64"/>
    <n v="25"/>
    <s v="27.47"/>
    <n v="59077"/>
    <s v="3.52"/>
    <n v="43790"/>
    <n v="1476925"/>
    <n v="382175"/>
    <s v="Feb"/>
    <n v="2"/>
    <n v="2026"/>
    <s v="Weekday"/>
    <n v="0.390625"/>
    <n v="0.58709677419354833"/>
    <n v="0.16129032258064516"/>
    <n v="15287"/>
    <s v="Rhein Auto Group"/>
  </r>
  <r>
    <s v="CUST_940"/>
    <x v="0"/>
    <x v="0"/>
    <s v="Monday"/>
    <s v="No"/>
    <x v="7"/>
    <x v="7"/>
    <s v="Bavaria"/>
    <x v="4"/>
    <s v="T-Roc"/>
    <s v="Petrol"/>
    <x v="0"/>
    <s v="50+"/>
    <s v="Low"/>
    <x v="1"/>
    <x v="0"/>
    <s v="Sales_19"/>
    <n v="338"/>
    <n v="173"/>
    <n v="107"/>
    <n v="26"/>
    <s v="15.03"/>
    <n v="30265"/>
    <s v="11.03"/>
    <n v="27260"/>
    <n v="786890"/>
    <n v="78130"/>
    <s v="Feb"/>
    <n v="2"/>
    <n v="2026"/>
    <s v="Weekday"/>
    <n v="0.24299065420560748"/>
    <n v="0.51183431952662717"/>
    <n v="7.6923076923076927E-2"/>
    <n v="3005"/>
    <s v="Bavaria Motors"/>
  </r>
  <r>
    <s v="CUST_941"/>
    <x v="7"/>
    <x v="3"/>
    <s v="Monday"/>
    <s v="No"/>
    <x v="9"/>
    <x v="9"/>
    <s v="NRW"/>
    <x v="1"/>
    <s v="Grandland"/>
    <s v="Petrol"/>
    <x v="0"/>
    <s v="50+"/>
    <s v="Medium"/>
    <x v="1"/>
    <x v="2"/>
    <s v="Sales_18"/>
    <n v="401"/>
    <n v="186"/>
    <n v="124"/>
    <n v="33"/>
    <s v="17.74"/>
    <n v="20720"/>
    <s v="10.09"/>
    <n v="18491"/>
    <n v="683760"/>
    <n v="73557"/>
    <s v="Feb"/>
    <n v="2"/>
    <n v="2026"/>
    <s v="Weekday"/>
    <n v="0.2661290322580645"/>
    <n v="0.46384039900249374"/>
    <n v="8.2294264339152115E-2"/>
    <n v="2229"/>
    <s v="Ruhr Auto Plaza"/>
  </r>
  <r>
    <s v="CUST_942"/>
    <x v="1"/>
    <x v="1"/>
    <s v="Wednesday"/>
    <s v="No"/>
    <x v="4"/>
    <x v="4"/>
    <s v="Berlin"/>
    <x v="2"/>
    <s v="Q3"/>
    <s v="Electric"/>
    <x v="0"/>
    <s v="18-25"/>
    <s v="High"/>
    <x v="1"/>
    <x v="3"/>
    <s v="Sales_17"/>
    <n v="313"/>
    <n v="158"/>
    <n v="102"/>
    <n v="33"/>
    <s v="20.89"/>
    <n v="46089"/>
    <s v="4.63"/>
    <n v="37056"/>
    <n v="1520937"/>
    <n v="298089"/>
    <s v="Feb"/>
    <n v="2"/>
    <n v="2026"/>
    <s v="Weekday"/>
    <n v="0.3235294117647059"/>
    <n v="0.50479233226837061"/>
    <n v="0.10543130990415335"/>
    <n v="9033"/>
    <s v="Autohaus Berlin"/>
  </r>
  <r>
    <s v="CUST_943"/>
    <x v="21"/>
    <x v="0"/>
    <s v="Tuesday"/>
    <s v="No"/>
    <x v="5"/>
    <x v="5"/>
    <s v="Hamburg"/>
    <x v="2"/>
    <s v="e-tron"/>
    <s v="Diesel"/>
    <x v="0"/>
    <s v="36-50"/>
    <s v="Medium"/>
    <x v="1"/>
    <x v="2"/>
    <s v="Sales_19"/>
    <n v="224"/>
    <n v="120"/>
    <n v="93"/>
    <n v="31"/>
    <s v="25.83"/>
    <n v="47723"/>
    <s v="5.24"/>
    <n v="37331"/>
    <n v="1479413"/>
    <n v="322152"/>
    <s v="Feb"/>
    <n v="2"/>
    <n v="2026"/>
    <s v="Weekday"/>
    <n v="0.33333333333333331"/>
    <n v="0.5357142857142857"/>
    <n v="0.13839285714285715"/>
    <n v="10392"/>
    <s v="Elbe Drive"/>
  </r>
  <r>
    <s v="CUST_944"/>
    <x v="26"/>
    <x v="1"/>
    <s v="Friday"/>
    <s v="No"/>
    <x v="9"/>
    <x v="9"/>
    <s v="NRW"/>
    <x v="4"/>
    <s v="ID.4"/>
    <s v="Petrol"/>
    <x v="0"/>
    <s v="50+"/>
    <s v="High"/>
    <x v="0"/>
    <x v="2"/>
    <s v="Sales_2"/>
    <n v="339"/>
    <n v="166"/>
    <n v="111"/>
    <n v="32"/>
    <s v="19.28"/>
    <n v="31153"/>
    <s v="10.78"/>
    <n v="26987"/>
    <n v="996896"/>
    <n v="133312"/>
    <s v="Feb"/>
    <n v="2"/>
    <n v="2026"/>
    <s v="Weekday"/>
    <n v="0.28828828828828829"/>
    <n v="0.48967551622418881"/>
    <n v="9.4395280235988199E-2"/>
    <n v="4166"/>
    <s v="Ruhr Auto Plaza"/>
  </r>
  <r>
    <s v="CUST_945"/>
    <x v="15"/>
    <x v="2"/>
    <s v="Thursday"/>
    <s v="No"/>
    <x v="2"/>
    <x v="2"/>
    <s v="Lower Saxony"/>
    <x v="3"/>
    <s v="E-Class"/>
    <s v="Diesel"/>
    <x v="1"/>
    <s v="26-35"/>
    <s v="High"/>
    <x v="0"/>
    <x v="1"/>
    <s v="Sales_4"/>
    <n v="277"/>
    <n v="128"/>
    <n v="101"/>
    <n v="34"/>
    <s v="26.56"/>
    <n v="69026"/>
    <s v="5.45"/>
    <n v="50137"/>
    <n v="2346884"/>
    <n v="642226"/>
    <s v="Feb"/>
    <n v="2"/>
    <n v="2026"/>
    <s v="Weekday"/>
    <n v="0.33663366336633666"/>
    <n v="0.46209386281588449"/>
    <n v="0.12274368231046931"/>
    <n v="18889"/>
    <s v="Hannover Cars"/>
  </r>
  <r>
    <s v="CUST_946"/>
    <x v="18"/>
    <x v="0"/>
    <s v="Saturday"/>
    <s v="Yes"/>
    <x v="6"/>
    <x v="6"/>
    <s v="Saxony"/>
    <x v="0"/>
    <s v="X5"/>
    <s v="Petrol"/>
    <x v="0"/>
    <s v="36-50"/>
    <s v="Medium"/>
    <x v="0"/>
    <x v="0"/>
    <s v="Sales_13"/>
    <n v="167"/>
    <n v="95"/>
    <n v="70"/>
    <n v="22"/>
    <s v="23.16"/>
    <n v="54450"/>
    <s v="5.98"/>
    <n v="38462"/>
    <n v="1197900"/>
    <n v="351736"/>
    <s v="Feb"/>
    <n v="2"/>
    <n v="2026"/>
    <s v="Weekend"/>
    <n v="0.31428571428571428"/>
    <n v="0.56886227544910184"/>
    <n v="0.1317365269461078"/>
    <n v="15988"/>
    <s v="Leipzig Mobility"/>
  </r>
  <r>
    <s v="CUST_947"/>
    <x v="26"/>
    <x v="1"/>
    <s v="Friday"/>
    <s v="No"/>
    <x v="3"/>
    <x v="3"/>
    <s v="Saxony"/>
    <x v="2"/>
    <s v="e-tron"/>
    <s v="Electric"/>
    <x v="0"/>
    <s v="36-50"/>
    <s v="Medium"/>
    <x v="1"/>
    <x v="1"/>
    <s v="Sales_11"/>
    <n v="271"/>
    <n v="133"/>
    <n v="86"/>
    <n v="32"/>
    <s v="24.06"/>
    <n v="46305"/>
    <s v="4.89"/>
    <n v="37107"/>
    <n v="1481760"/>
    <n v="294336"/>
    <s v="Feb"/>
    <n v="2"/>
    <n v="2026"/>
    <s v="Weekday"/>
    <n v="0.37209302325581395"/>
    <n v="0.4907749077490775"/>
    <n v="0.11808118081180811"/>
    <n v="9198"/>
    <s v="Saxon Wheels"/>
  </r>
  <r>
    <s v="CUST_948"/>
    <x v="5"/>
    <x v="3"/>
    <s v="Saturday"/>
    <s v="Yes"/>
    <x v="1"/>
    <x v="1"/>
    <s v="NRW"/>
    <x v="1"/>
    <s v="Mokka"/>
    <s v="Electric"/>
    <x v="0"/>
    <s v="18-25"/>
    <s v="Medium"/>
    <x v="0"/>
    <x v="0"/>
    <s v="Sales_6"/>
    <n v="426"/>
    <n v="176"/>
    <n v="111"/>
    <n v="24"/>
    <s v="13.64"/>
    <n v="24054"/>
    <s v="12.35"/>
    <n v="21501"/>
    <n v="577296"/>
    <n v="61272"/>
    <s v="Feb"/>
    <n v="2"/>
    <n v="2026"/>
    <s v="Weekend"/>
    <n v="0.21621621621621623"/>
    <n v="0.41314553990610331"/>
    <n v="5.6338028169014086E-2"/>
    <n v="2553"/>
    <s v="Rhein Auto Group"/>
  </r>
  <r>
    <s v="CUST_949"/>
    <x v="2"/>
    <x v="2"/>
    <s v="Monday"/>
    <s v="No"/>
    <x v="2"/>
    <x v="2"/>
    <s v="Lower Saxony"/>
    <x v="2"/>
    <s v="e-tron"/>
    <s v="Hybrid"/>
    <x v="0"/>
    <s v="18-25"/>
    <s v="Low"/>
    <x v="1"/>
    <x v="0"/>
    <s v="Sales_11"/>
    <n v="302"/>
    <n v="153"/>
    <n v="102"/>
    <n v="33"/>
    <s v="21.57"/>
    <n v="43154"/>
    <s v="5.28"/>
    <n v="32893"/>
    <n v="1424082"/>
    <n v="338613"/>
    <s v="Feb"/>
    <n v="2"/>
    <n v="2026"/>
    <s v="Weekday"/>
    <n v="0.3235294117647059"/>
    <n v="0.50662251655629142"/>
    <n v="0.10927152317880795"/>
    <n v="10261"/>
    <s v="Hannover Cars"/>
  </r>
  <r>
    <s v="CUST_950"/>
    <x v="17"/>
    <x v="2"/>
    <s v="Sunday"/>
    <s v="Yes"/>
    <x v="7"/>
    <x v="7"/>
    <s v="Bavaria"/>
    <x v="1"/>
    <s v="Mokka"/>
    <s v="Electric"/>
    <x v="0"/>
    <s v="36-50"/>
    <s v="Medium"/>
    <x v="0"/>
    <x v="3"/>
    <s v="Sales_17"/>
    <n v="382"/>
    <n v="169"/>
    <n v="103"/>
    <n v="24"/>
    <s v="14.2"/>
    <n v="25613"/>
    <s v="7.62"/>
    <n v="23450"/>
    <n v="614712"/>
    <n v="51912"/>
    <s v="Feb"/>
    <n v="2"/>
    <n v="2026"/>
    <s v="Weekend"/>
    <n v="0.23300970873786409"/>
    <n v="0.44240837696335078"/>
    <n v="6.2827225130890049E-2"/>
    <n v="2163"/>
    <s v="Bavaria Motors"/>
  </r>
  <r>
    <s v="CUST_951"/>
    <x v="2"/>
    <x v="2"/>
    <s v="Monday"/>
    <s v="No"/>
    <x v="4"/>
    <x v="4"/>
    <s v="Berlin"/>
    <x v="4"/>
    <s v="Passat"/>
    <s v="Electric"/>
    <x v="1"/>
    <s v="18-25"/>
    <s v="High"/>
    <x v="1"/>
    <x v="3"/>
    <s v="Sales_6"/>
    <n v="293"/>
    <n v="166"/>
    <n v="102"/>
    <n v="27"/>
    <s v="16.27"/>
    <n v="27489"/>
    <s v="11.22"/>
    <n v="24745"/>
    <n v="742203"/>
    <n v="74088"/>
    <s v="Feb"/>
    <n v="2"/>
    <n v="2026"/>
    <s v="Weekday"/>
    <n v="0.26470588235294118"/>
    <n v="0.56655290102389078"/>
    <n v="9.2150170648464161E-2"/>
    <n v="2744"/>
    <s v="Autohaus Berlin"/>
  </r>
  <r>
    <s v="CUST_952"/>
    <x v="14"/>
    <x v="2"/>
    <s v="Friday"/>
    <s v="No"/>
    <x v="2"/>
    <x v="2"/>
    <s v="Lower Saxony"/>
    <x v="0"/>
    <s v="X3"/>
    <s v="Hybrid"/>
    <x v="0"/>
    <s v="50+"/>
    <s v="High"/>
    <x v="1"/>
    <x v="3"/>
    <s v="Sales_20"/>
    <n v="188"/>
    <n v="89"/>
    <n v="68"/>
    <n v="25"/>
    <s v="28.09"/>
    <n v="69436"/>
    <s v="2.86"/>
    <n v="49019"/>
    <n v="1735900"/>
    <n v="510425"/>
    <s v="Feb"/>
    <n v="2"/>
    <n v="2026"/>
    <s v="Weekday"/>
    <n v="0.36764705882352944"/>
    <n v="0.47340425531914893"/>
    <n v="0.13297872340425532"/>
    <n v="20417"/>
    <s v="Hannover Cars"/>
  </r>
  <r>
    <s v="CUST_953"/>
    <x v="7"/>
    <x v="3"/>
    <s v="Monday"/>
    <s v="No"/>
    <x v="8"/>
    <x v="8"/>
    <s v="Baden-WÃ¼rttemberg"/>
    <x v="1"/>
    <s v="Mokka"/>
    <s v="Petrol"/>
    <x v="0"/>
    <s v="36-50"/>
    <s v="High"/>
    <x v="1"/>
    <x v="0"/>
    <s v="Sales_11"/>
    <n v="335"/>
    <n v="146"/>
    <n v="93"/>
    <n v="19"/>
    <s v="13.01"/>
    <n v="27255"/>
    <s v="8.78"/>
    <n v="24963"/>
    <n v="517845"/>
    <n v="43548"/>
    <s v="Feb"/>
    <n v="2"/>
    <n v="2026"/>
    <s v="Weekday"/>
    <n v="0.20430107526881722"/>
    <n v="0.43582089552238806"/>
    <n v="5.6716417910447764E-2"/>
    <n v="2292"/>
    <s v="Stuttgart Auto Center"/>
  </r>
  <r>
    <s v="CUST_954"/>
    <x v="1"/>
    <x v="1"/>
    <s v="Wednesday"/>
    <s v="No"/>
    <x v="2"/>
    <x v="2"/>
    <s v="Lower Saxony"/>
    <x v="0"/>
    <s v="i4"/>
    <s v="Petrol"/>
    <x v="1"/>
    <s v="36-50"/>
    <s v="Low"/>
    <x v="1"/>
    <x v="2"/>
    <s v="Sales_2"/>
    <n v="210"/>
    <n v="122"/>
    <n v="86"/>
    <n v="38"/>
    <s v="31.15"/>
    <n v="68701"/>
    <s v="4.27"/>
    <n v="48987"/>
    <n v="2610638"/>
    <n v="749132"/>
    <s v="Feb"/>
    <n v="2"/>
    <n v="2026"/>
    <s v="Weekday"/>
    <n v="0.44186046511627908"/>
    <n v="0.580952380952381"/>
    <n v="0.18095238095238095"/>
    <n v="19714"/>
    <s v="Hannover Cars"/>
  </r>
  <r>
    <s v="CUST_955"/>
    <x v="23"/>
    <x v="2"/>
    <s v="Tuesday"/>
    <s v="No"/>
    <x v="9"/>
    <x v="9"/>
    <s v="NRW"/>
    <x v="4"/>
    <s v="Golf"/>
    <s v="Hybrid"/>
    <x v="2"/>
    <s v="36-50"/>
    <s v="High"/>
    <x v="1"/>
    <x v="2"/>
    <s v="Sales_2"/>
    <n v="308"/>
    <n v="147"/>
    <n v="85"/>
    <n v="24"/>
    <s v="16.33"/>
    <n v="27921"/>
    <s v="8.92"/>
    <n v="24679"/>
    <n v="670104"/>
    <n v="77808"/>
    <s v="Feb"/>
    <n v="2"/>
    <n v="2026"/>
    <s v="Weekday"/>
    <n v="0.28235294117647058"/>
    <n v="0.47727272727272729"/>
    <n v="7.792207792207792E-2"/>
    <n v="3242"/>
    <s v="Ruhr Auto Plaza"/>
  </r>
  <r>
    <s v="CUST_956"/>
    <x v="13"/>
    <x v="0"/>
    <s v="Friday"/>
    <s v="No"/>
    <x v="3"/>
    <x v="3"/>
    <s v="Saxony"/>
    <x v="3"/>
    <s v="C-Class"/>
    <s v="Electric"/>
    <x v="1"/>
    <s v="18-25"/>
    <s v="Medium"/>
    <x v="1"/>
    <x v="2"/>
    <s v="Sales_11"/>
    <n v="285"/>
    <n v="135"/>
    <n v="102"/>
    <n v="37"/>
    <s v="27.41"/>
    <n v="55745"/>
    <s v="5.41"/>
    <n v="42826"/>
    <n v="2062565"/>
    <n v="478003"/>
    <s v="Feb"/>
    <n v="2"/>
    <n v="2026"/>
    <s v="Weekday"/>
    <n v="0.36274509803921567"/>
    <n v="0.47368421052631576"/>
    <n v="0.12982456140350876"/>
    <n v="12919"/>
    <s v="Saxon Wheels"/>
  </r>
  <r>
    <s v="CUST_957"/>
    <x v="10"/>
    <x v="1"/>
    <s v="Monday"/>
    <s v="No"/>
    <x v="2"/>
    <x v="2"/>
    <s v="Lower Saxony"/>
    <x v="2"/>
    <s v="Q5"/>
    <s v="Petrol"/>
    <x v="0"/>
    <s v="18-25"/>
    <s v="High"/>
    <x v="1"/>
    <x v="2"/>
    <s v="Sales_2"/>
    <n v="314"/>
    <n v="193"/>
    <n v="138"/>
    <n v="50"/>
    <s v="25.91"/>
    <n v="53206"/>
    <s v="3.03"/>
    <n v="40394"/>
    <n v="2660300"/>
    <n v="640600"/>
    <s v="Feb"/>
    <n v="2"/>
    <n v="2026"/>
    <s v="Weekday"/>
    <n v="0.36231884057971014"/>
    <n v="0.61464968152866239"/>
    <n v="0.15923566878980891"/>
    <n v="12812"/>
    <s v="Hannover Cars"/>
  </r>
  <r>
    <s v="CUST_958"/>
    <x v="16"/>
    <x v="1"/>
    <s v="Tuesday"/>
    <s v="No"/>
    <x v="7"/>
    <x v="7"/>
    <s v="Bavaria"/>
    <x v="0"/>
    <s v="i4"/>
    <s v="Hybrid"/>
    <x v="1"/>
    <s v="26-35"/>
    <s v="High"/>
    <x v="0"/>
    <x v="3"/>
    <s v="Sales_9"/>
    <n v="230"/>
    <n v="112"/>
    <n v="80"/>
    <n v="32"/>
    <s v="28.57"/>
    <n v="55515"/>
    <s v="3.35"/>
    <n v="41796"/>
    <n v="1776480"/>
    <n v="439008"/>
    <s v="Feb"/>
    <n v="2"/>
    <n v="2026"/>
    <s v="Weekday"/>
    <n v="0.4"/>
    <n v="0.48695652173913045"/>
    <n v="0.1391304347826087"/>
    <n v="13719"/>
    <s v="Bavaria Motors"/>
  </r>
  <r>
    <s v="CUST_959"/>
    <x v="1"/>
    <x v="1"/>
    <s v="Wednesday"/>
    <s v="No"/>
    <x v="4"/>
    <x v="4"/>
    <s v="Berlin"/>
    <x v="3"/>
    <s v="C-Class"/>
    <s v="Petrol"/>
    <x v="1"/>
    <s v="36-50"/>
    <s v="Medium"/>
    <x v="1"/>
    <x v="3"/>
    <s v="Sales_16"/>
    <n v="172"/>
    <n v="94"/>
    <n v="72"/>
    <n v="21"/>
    <s v="22.34"/>
    <n v="54842"/>
    <s v="4.83"/>
    <n v="39846"/>
    <n v="1151682"/>
    <n v="314916"/>
    <s v="Feb"/>
    <n v="2"/>
    <n v="2026"/>
    <s v="Weekday"/>
    <n v="0.29166666666666669"/>
    <n v="0.54651162790697672"/>
    <n v="0.12209302325581395"/>
    <n v="14996"/>
    <s v="Autohaus Berlin"/>
  </r>
  <r>
    <s v="CUST_960"/>
    <x v="26"/>
    <x v="1"/>
    <s v="Friday"/>
    <s v="No"/>
    <x v="5"/>
    <x v="5"/>
    <s v="Hamburg"/>
    <x v="4"/>
    <s v="T-Roc"/>
    <s v="Petrol"/>
    <x v="0"/>
    <s v="50+"/>
    <s v="Medium"/>
    <x v="1"/>
    <x v="3"/>
    <s v="Sales_2"/>
    <n v="382"/>
    <n v="156"/>
    <n v="92"/>
    <n v="27"/>
    <s v="17.31"/>
    <n v="26809"/>
    <s v="10.8"/>
    <n v="24324"/>
    <n v="723843"/>
    <n v="67095"/>
    <s v="Feb"/>
    <n v="2"/>
    <n v="2026"/>
    <s v="Weekday"/>
    <n v="0.29347826086956524"/>
    <n v="0.40837696335078533"/>
    <n v="7.0680628272251314E-2"/>
    <n v="2485"/>
    <s v="Elbe Drive"/>
  </r>
  <r>
    <s v="CUST_961"/>
    <x v="17"/>
    <x v="2"/>
    <s v="Sunday"/>
    <s v="Yes"/>
    <x v="1"/>
    <x v="1"/>
    <s v="NRW"/>
    <x v="1"/>
    <s v="Astra"/>
    <s v="Petrol"/>
    <x v="2"/>
    <s v="18-25"/>
    <s v="Low"/>
    <x v="0"/>
    <x v="3"/>
    <s v="Sales_14"/>
    <n v="267"/>
    <n v="116"/>
    <n v="72"/>
    <n v="15"/>
    <s v="12.93"/>
    <n v="24758"/>
    <s v="7.24"/>
    <n v="22958"/>
    <n v="371370"/>
    <n v="27000"/>
    <s v="Feb"/>
    <n v="2"/>
    <n v="2026"/>
    <s v="Weekend"/>
    <n v="0.20833333333333334"/>
    <n v="0.43445692883895132"/>
    <n v="5.6179775280898875E-2"/>
    <n v="1800"/>
    <s v="Rhein Auto Group"/>
  </r>
  <r>
    <s v="CUST_962"/>
    <x v="9"/>
    <x v="0"/>
    <s v="Sunday"/>
    <s v="Yes"/>
    <x v="4"/>
    <x v="4"/>
    <s v="Berlin"/>
    <x v="1"/>
    <s v="Crossland"/>
    <s v="Electric"/>
    <x v="0"/>
    <s v="26-35"/>
    <s v="High"/>
    <x v="1"/>
    <x v="3"/>
    <s v="Sales_17"/>
    <n v="428"/>
    <n v="169"/>
    <n v="97"/>
    <n v="22"/>
    <s v="13.02"/>
    <n v="24818"/>
    <s v="12.99"/>
    <n v="22124"/>
    <n v="545996"/>
    <n v="59268"/>
    <s v="Feb"/>
    <n v="2"/>
    <n v="2026"/>
    <s v="Weekend"/>
    <n v="0.22680412371134021"/>
    <n v="0.39485981308411217"/>
    <n v="5.1401869158878503E-2"/>
    <n v="2694"/>
    <s v="Autohaus Berlin"/>
  </r>
  <r>
    <s v="CUST_963"/>
    <x v="26"/>
    <x v="1"/>
    <s v="Friday"/>
    <s v="No"/>
    <x v="9"/>
    <x v="9"/>
    <s v="NRW"/>
    <x v="0"/>
    <s v="X5"/>
    <s v="Electric"/>
    <x v="0"/>
    <s v="36-50"/>
    <s v="Medium"/>
    <x v="0"/>
    <x v="1"/>
    <s v="Sales_2"/>
    <n v="214"/>
    <n v="104"/>
    <n v="84"/>
    <n v="29"/>
    <s v="27.88"/>
    <n v="61382"/>
    <s v="5.23"/>
    <n v="44394"/>
    <n v="1780078"/>
    <n v="492652"/>
    <s v="Feb"/>
    <n v="2"/>
    <n v="2026"/>
    <s v="Weekday"/>
    <n v="0.34523809523809523"/>
    <n v="0.48598130841121495"/>
    <n v="0.13551401869158877"/>
    <n v="16988"/>
    <s v="Ruhr Auto Plaza"/>
  </r>
  <r>
    <s v="CUST_964"/>
    <x v="6"/>
    <x v="2"/>
    <s v="Saturday"/>
    <s v="Yes"/>
    <x v="8"/>
    <x v="8"/>
    <s v="Baden-WÃ¼rttemberg"/>
    <x v="3"/>
    <s v="EQE"/>
    <s v="Petrol"/>
    <x v="1"/>
    <s v="36-50"/>
    <s v="Medium"/>
    <x v="1"/>
    <x v="3"/>
    <s v="Sales_8"/>
    <n v="167"/>
    <n v="74"/>
    <n v="49"/>
    <n v="16"/>
    <s v="21.62"/>
    <n v="52416"/>
    <s v="3.6"/>
    <n v="37363"/>
    <n v="838656"/>
    <n v="240848"/>
    <s v="Feb"/>
    <n v="2"/>
    <n v="2026"/>
    <s v="Weekend"/>
    <n v="0.32653061224489793"/>
    <n v="0.44311377245508982"/>
    <n v="9.580838323353294E-2"/>
    <n v="15053"/>
    <s v="Stuttgart Auto Center"/>
  </r>
  <r>
    <s v="CUST_965"/>
    <x v="10"/>
    <x v="1"/>
    <s v="Monday"/>
    <s v="No"/>
    <x v="2"/>
    <x v="2"/>
    <s v="Lower Saxony"/>
    <x v="0"/>
    <s v="i4"/>
    <s v="Hybrid"/>
    <x v="1"/>
    <s v="18-25"/>
    <s v="Medium"/>
    <x v="0"/>
    <x v="3"/>
    <s v="Sales_8"/>
    <n v="162"/>
    <n v="92"/>
    <n v="63"/>
    <n v="26"/>
    <s v="28.26"/>
    <n v="51857"/>
    <s v="2.88"/>
    <n v="37930"/>
    <n v="1348282"/>
    <n v="362102"/>
    <s v="Feb"/>
    <n v="2"/>
    <n v="2026"/>
    <s v="Weekday"/>
    <n v="0.41269841269841268"/>
    <n v="0.5679012345679012"/>
    <n v="0.16049382716049382"/>
    <n v="13927"/>
    <s v="Hannover Cars"/>
  </r>
  <r>
    <s v="CUST_966"/>
    <x v="8"/>
    <x v="3"/>
    <s v="Wednesday"/>
    <s v="No"/>
    <x v="6"/>
    <x v="6"/>
    <s v="Saxony"/>
    <x v="1"/>
    <s v="Crossland"/>
    <s v="Petrol"/>
    <x v="0"/>
    <s v="26-35"/>
    <s v="Low"/>
    <x v="0"/>
    <x v="3"/>
    <s v="Sales_19"/>
    <n v="236"/>
    <n v="107"/>
    <n v="65"/>
    <n v="15"/>
    <s v="14.02"/>
    <n v="23524"/>
    <s v="12.58"/>
    <n v="21658"/>
    <n v="352860"/>
    <n v="27990"/>
    <s v="Feb"/>
    <n v="2"/>
    <n v="2026"/>
    <s v="Weekday"/>
    <n v="0.23076923076923078"/>
    <n v="0.45338983050847459"/>
    <n v="6.3559322033898302E-2"/>
    <n v="1866"/>
    <s v="Leipzig Mobility"/>
  </r>
  <r>
    <s v="CUST_967"/>
    <x v="23"/>
    <x v="2"/>
    <s v="Tuesday"/>
    <s v="No"/>
    <x v="8"/>
    <x v="8"/>
    <s v="Baden-WÃ¼rttemberg"/>
    <x v="0"/>
    <s v="5 Series"/>
    <s v="Petrol"/>
    <x v="1"/>
    <s v="50+"/>
    <s v="Low"/>
    <x v="0"/>
    <x v="0"/>
    <s v="Sales_5"/>
    <n v="262"/>
    <n v="157"/>
    <n v="109"/>
    <n v="46"/>
    <s v="29.3"/>
    <n v="60546"/>
    <s v="2.64"/>
    <n v="46965"/>
    <n v="2785116"/>
    <n v="624726"/>
    <s v="Feb"/>
    <n v="2"/>
    <n v="2026"/>
    <s v="Weekday"/>
    <n v="0.42201834862385323"/>
    <n v="0.5992366412213741"/>
    <n v="0.17557251908396945"/>
    <n v="13581"/>
    <s v="Stuttgart Auto Center"/>
  </r>
  <r>
    <s v="CUST_968"/>
    <x v="25"/>
    <x v="3"/>
    <s v="Friday"/>
    <s v="No"/>
    <x v="5"/>
    <x v="5"/>
    <s v="Hamburg"/>
    <x v="1"/>
    <s v="Mokka"/>
    <s v="Hybrid"/>
    <x v="0"/>
    <s v="26-35"/>
    <s v="Medium"/>
    <x v="0"/>
    <x v="1"/>
    <s v="Sales_16"/>
    <n v="366"/>
    <n v="202"/>
    <n v="126"/>
    <n v="38"/>
    <s v="18.81"/>
    <n v="20261"/>
    <s v="13.67"/>
    <n v="18748"/>
    <n v="769918"/>
    <n v="57494"/>
    <s v="Feb"/>
    <n v="2"/>
    <n v="2026"/>
    <s v="Weekday"/>
    <n v="0.30158730158730157"/>
    <n v="0.55191256830601088"/>
    <n v="0.10382513661202186"/>
    <n v="1513"/>
    <s v="Elbe Drive"/>
  </r>
  <r>
    <s v="CUST_969"/>
    <x v="5"/>
    <x v="3"/>
    <s v="Saturday"/>
    <s v="Yes"/>
    <x v="7"/>
    <x v="7"/>
    <s v="Bavaria"/>
    <x v="0"/>
    <s v="X5"/>
    <s v="Diesel"/>
    <x v="0"/>
    <s v="36-50"/>
    <s v="Low"/>
    <x v="0"/>
    <x v="1"/>
    <s v="Sales_13"/>
    <n v="208"/>
    <n v="111"/>
    <n v="81"/>
    <n v="36"/>
    <s v="32.43"/>
    <n v="68793"/>
    <s v="2.8"/>
    <n v="49242"/>
    <n v="2476548"/>
    <n v="703836"/>
    <s v="Feb"/>
    <n v="2"/>
    <n v="2026"/>
    <s v="Weekend"/>
    <n v="0.44444444444444442"/>
    <n v="0.53365384615384615"/>
    <n v="0.17307692307692307"/>
    <n v="19551"/>
    <s v="Bavaria Motors"/>
  </r>
  <r>
    <s v="CUST_970"/>
    <x v="25"/>
    <x v="3"/>
    <s v="Friday"/>
    <s v="No"/>
    <x v="1"/>
    <x v="1"/>
    <s v="NRW"/>
    <x v="2"/>
    <s v="Q3"/>
    <s v="Hybrid"/>
    <x v="0"/>
    <s v="36-50"/>
    <s v="Low"/>
    <x v="1"/>
    <x v="2"/>
    <s v="Sales_2"/>
    <n v="311"/>
    <n v="145"/>
    <n v="100"/>
    <n v="40"/>
    <s v="27.59"/>
    <n v="41493"/>
    <s v="4.66"/>
    <n v="33238"/>
    <n v="1659720"/>
    <n v="330200"/>
    <s v="Feb"/>
    <n v="2"/>
    <n v="2026"/>
    <s v="Weekday"/>
    <n v="0.4"/>
    <n v="0.4662379421221865"/>
    <n v="0.12861736334405144"/>
    <n v="8255"/>
    <s v="Rhein Auto Group"/>
  </r>
  <r>
    <s v="CUST_971"/>
    <x v="3"/>
    <x v="1"/>
    <s v="Sunday"/>
    <s v="Yes"/>
    <x v="8"/>
    <x v="8"/>
    <s v="Baden-WÃ¼rttemberg"/>
    <x v="3"/>
    <s v="GLE"/>
    <s v="Diesel"/>
    <x v="0"/>
    <s v="18-25"/>
    <s v="High"/>
    <x v="0"/>
    <x v="0"/>
    <s v="Sales_17"/>
    <n v="193"/>
    <n v="91"/>
    <n v="60"/>
    <n v="21"/>
    <s v="23.08"/>
    <n v="62088"/>
    <s v="3.22"/>
    <n v="44542"/>
    <n v="1303848"/>
    <n v="368466"/>
    <s v="Feb"/>
    <n v="2"/>
    <n v="2026"/>
    <s v="Weekend"/>
    <n v="0.35"/>
    <n v="0.47150259067357514"/>
    <n v="0.10880829015544041"/>
    <n v="17546"/>
    <s v="Stuttgart Auto Center"/>
  </r>
  <r>
    <s v="CUST_972"/>
    <x v="2"/>
    <x v="2"/>
    <s v="Monday"/>
    <s v="No"/>
    <x v="7"/>
    <x v="7"/>
    <s v="Bavaria"/>
    <x v="2"/>
    <s v="Q5"/>
    <s v="Diesel"/>
    <x v="0"/>
    <s v="36-50"/>
    <s v="High"/>
    <x v="1"/>
    <x v="3"/>
    <s v="Sales_19"/>
    <n v="301"/>
    <n v="152"/>
    <n v="98"/>
    <n v="36"/>
    <s v="23.68"/>
    <n v="42004"/>
    <s v="5.87"/>
    <n v="31852"/>
    <n v="1512144"/>
    <n v="365472"/>
    <s v="Feb"/>
    <n v="2"/>
    <n v="2026"/>
    <s v="Weekday"/>
    <n v="0.36734693877551022"/>
    <n v="0.50498338870431891"/>
    <n v="0.11960132890365449"/>
    <n v="10152"/>
    <s v="Bavaria Motors"/>
  </r>
  <r>
    <s v="CUST_973"/>
    <x v="5"/>
    <x v="3"/>
    <s v="Saturday"/>
    <s v="Yes"/>
    <x v="3"/>
    <x v="3"/>
    <s v="Saxony"/>
    <x v="1"/>
    <s v="Astra"/>
    <s v="Diesel"/>
    <x v="2"/>
    <s v="50+"/>
    <s v="Low"/>
    <x v="1"/>
    <x v="2"/>
    <s v="Sales_19"/>
    <n v="278"/>
    <n v="154"/>
    <n v="92"/>
    <n v="25"/>
    <s v="16.23"/>
    <n v="20236"/>
    <s v="12.42"/>
    <n v="18815"/>
    <n v="505900"/>
    <n v="35525"/>
    <s v="Feb"/>
    <n v="2"/>
    <n v="2026"/>
    <s v="Weekend"/>
    <n v="0.27173913043478259"/>
    <n v="0.5539568345323741"/>
    <n v="8.9928057553956831E-2"/>
    <n v="1421"/>
    <s v="Saxon Wheels"/>
  </r>
  <r>
    <s v="CUST_974"/>
    <x v="3"/>
    <x v="1"/>
    <s v="Sunday"/>
    <s v="Yes"/>
    <x v="9"/>
    <x v="9"/>
    <s v="NRW"/>
    <x v="4"/>
    <s v="Tiguan"/>
    <s v="Diesel"/>
    <x v="0"/>
    <s v="36-50"/>
    <s v="Medium"/>
    <x v="1"/>
    <x v="3"/>
    <s v="Sales_4"/>
    <n v="285"/>
    <n v="153"/>
    <n v="104"/>
    <n v="18"/>
    <s v="11.76"/>
    <n v="28832"/>
    <s v="7.89"/>
    <n v="26166"/>
    <n v="518976"/>
    <n v="47988"/>
    <s v="Feb"/>
    <n v="2"/>
    <n v="2026"/>
    <s v="Weekend"/>
    <n v="0.17307692307692307"/>
    <n v="0.5368421052631579"/>
    <n v="6.3157894736842107E-2"/>
    <n v="2666"/>
    <s v="Ruhr Auto Plaza"/>
  </r>
  <r>
    <s v="CUST_975"/>
    <x v="19"/>
    <x v="1"/>
    <s v="Saturday"/>
    <s v="Yes"/>
    <x v="7"/>
    <x v="7"/>
    <s v="Bavaria"/>
    <x v="3"/>
    <s v="GLE"/>
    <s v="Petrol"/>
    <x v="0"/>
    <s v="50+"/>
    <s v="Medium"/>
    <x v="1"/>
    <x v="0"/>
    <s v="Sales_3"/>
    <n v="146"/>
    <n v="80"/>
    <n v="54"/>
    <n v="18"/>
    <s v="22.5"/>
    <n v="51085"/>
    <s v="2.69"/>
    <n v="38008"/>
    <n v="919530"/>
    <n v="235386"/>
    <s v="Feb"/>
    <n v="2"/>
    <n v="2026"/>
    <s v="Weekend"/>
    <n v="0.33333333333333331"/>
    <n v="0.54794520547945202"/>
    <n v="0.12328767123287671"/>
    <n v="13077"/>
    <s v="Bavaria Motors"/>
  </r>
  <r>
    <s v="CUST_976"/>
    <x v="14"/>
    <x v="2"/>
    <s v="Friday"/>
    <s v="No"/>
    <x v="0"/>
    <x v="0"/>
    <s v="Hesse"/>
    <x v="2"/>
    <s v="A4"/>
    <s v="Electric"/>
    <x v="1"/>
    <s v="50+"/>
    <s v="Low"/>
    <x v="1"/>
    <x v="0"/>
    <s v="Sales_18"/>
    <n v="180"/>
    <n v="82"/>
    <n v="52"/>
    <n v="15"/>
    <s v="18.29"/>
    <n v="54750"/>
    <s v="3.54"/>
    <n v="42489"/>
    <n v="821250"/>
    <n v="183915"/>
    <s v="Feb"/>
    <n v="2"/>
    <n v="2026"/>
    <s v="Weekday"/>
    <n v="0.28846153846153844"/>
    <n v="0.45555555555555555"/>
    <n v="8.3333333333333329E-2"/>
    <n v="12261"/>
    <s v="Main Auto Hub"/>
  </r>
  <r>
    <s v="CUST_977"/>
    <x v="16"/>
    <x v="1"/>
    <s v="Tuesday"/>
    <s v="No"/>
    <x v="8"/>
    <x v="8"/>
    <s v="Baden-WÃ¼rttemberg"/>
    <x v="2"/>
    <s v="Q5"/>
    <s v="Electric"/>
    <x v="0"/>
    <s v="50+"/>
    <s v="High"/>
    <x v="1"/>
    <x v="2"/>
    <s v="Sales_11"/>
    <n v="188"/>
    <n v="104"/>
    <n v="69"/>
    <n v="26"/>
    <s v="25.0"/>
    <n v="53786"/>
    <s v="3.09"/>
    <n v="42880"/>
    <n v="1398436"/>
    <n v="283556"/>
    <s v="Feb"/>
    <n v="2"/>
    <n v="2026"/>
    <s v="Weekday"/>
    <n v="0.37681159420289856"/>
    <n v="0.55319148936170215"/>
    <n v="0.13829787234042554"/>
    <n v="10906"/>
    <s v="Stuttgart Auto Center"/>
  </r>
  <r>
    <s v="CUST_978"/>
    <x v="18"/>
    <x v="0"/>
    <s v="Saturday"/>
    <s v="Yes"/>
    <x v="6"/>
    <x v="6"/>
    <s v="Saxony"/>
    <x v="4"/>
    <s v="Golf"/>
    <s v="Petrol"/>
    <x v="2"/>
    <s v="36-50"/>
    <s v="Low"/>
    <x v="1"/>
    <x v="0"/>
    <s v="Sales_17"/>
    <n v="462"/>
    <n v="238"/>
    <n v="147"/>
    <n v="33"/>
    <s v="13.87"/>
    <n v="28127"/>
    <s v="8.96"/>
    <n v="24288"/>
    <n v="928191"/>
    <n v="126687"/>
    <s v="Feb"/>
    <n v="2"/>
    <n v="2026"/>
    <s v="Weekend"/>
    <n v="0.22448979591836735"/>
    <n v="0.51515151515151514"/>
    <n v="7.1428571428571425E-2"/>
    <n v="3839"/>
    <s v="Leipzig Mobility"/>
  </r>
  <r>
    <s v="CUST_979"/>
    <x v="22"/>
    <x v="3"/>
    <s v="Tuesday"/>
    <s v="No"/>
    <x v="5"/>
    <x v="5"/>
    <s v="Hamburg"/>
    <x v="0"/>
    <s v="5 Series"/>
    <s v="Hybrid"/>
    <x v="1"/>
    <s v="50+"/>
    <s v="High"/>
    <x v="0"/>
    <x v="0"/>
    <s v="Sales_8"/>
    <n v="199"/>
    <n v="112"/>
    <n v="86"/>
    <n v="29"/>
    <s v="25.89"/>
    <n v="60227"/>
    <s v="2.62"/>
    <n v="44056"/>
    <n v="1746583"/>
    <n v="468959"/>
    <s v="Feb"/>
    <n v="2"/>
    <n v="2026"/>
    <s v="Weekday"/>
    <n v="0.33720930232558138"/>
    <n v="0.56281407035175879"/>
    <n v="0.14572864321608039"/>
    <n v="16171"/>
    <s v="Elbe Drive"/>
  </r>
  <r>
    <s v="CUST_980"/>
    <x v="8"/>
    <x v="3"/>
    <s v="Wednesday"/>
    <s v="No"/>
    <x v="9"/>
    <x v="9"/>
    <s v="NRW"/>
    <x v="0"/>
    <s v="X5"/>
    <s v="Diesel"/>
    <x v="0"/>
    <s v="36-50"/>
    <s v="High"/>
    <x v="0"/>
    <x v="0"/>
    <s v="Sales_17"/>
    <n v="238"/>
    <n v="123"/>
    <n v="91"/>
    <n v="34"/>
    <s v="27.64"/>
    <n v="60020"/>
    <s v="5.13"/>
    <n v="44978"/>
    <n v="2040680"/>
    <n v="511428"/>
    <s v="Feb"/>
    <n v="2"/>
    <n v="2026"/>
    <s v="Weekday"/>
    <n v="0.37362637362637363"/>
    <n v="0.51680672268907568"/>
    <n v="0.14285714285714285"/>
    <n v="15042"/>
    <s v="Ruhr Auto Plaza"/>
  </r>
  <r>
    <s v="CUST_981"/>
    <x v="8"/>
    <x v="3"/>
    <s v="Wednesday"/>
    <s v="No"/>
    <x v="1"/>
    <x v="1"/>
    <s v="NRW"/>
    <x v="3"/>
    <s v="GLE"/>
    <s v="Electric"/>
    <x v="0"/>
    <s v="50+"/>
    <s v="Medium"/>
    <x v="1"/>
    <x v="3"/>
    <s v="Sales_7"/>
    <n v="254"/>
    <n v="146"/>
    <n v="98"/>
    <n v="34"/>
    <s v="23.29"/>
    <n v="70059"/>
    <s v="3.36"/>
    <n v="50114"/>
    <n v="2382006"/>
    <n v="678130"/>
    <s v="Feb"/>
    <n v="2"/>
    <n v="2026"/>
    <s v="Weekday"/>
    <n v="0.34693877551020408"/>
    <n v="0.57480314960629919"/>
    <n v="0.13385826771653545"/>
    <n v="19945"/>
    <s v="Rhein Auto Group"/>
  </r>
  <r>
    <s v="CUST_982"/>
    <x v="1"/>
    <x v="1"/>
    <s v="Wednesday"/>
    <s v="No"/>
    <x v="6"/>
    <x v="6"/>
    <s v="Saxony"/>
    <x v="3"/>
    <s v="EQE"/>
    <s v="Diesel"/>
    <x v="1"/>
    <s v="26-35"/>
    <s v="Medium"/>
    <x v="0"/>
    <x v="0"/>
    <s v="Sales_12"/>
    <n v="199"/>
    <n v="102"/>
    <n v="71"/>
    <n v="23"/>
    <s v="22.55"/>
    <n v="65628"/>
    <s v="2.34"/>
    <n v="50934"/>
    <n v="1509444"/>
    <n v="337962"/>
    <s v="Feb"/>
    <n v="2"/>
    <n v="2026"/>
    <s v="Weekday"/>
    <n v="0.323943661971831"/>
    <n v="0.51256281407035176"/>
    <n v="0.11557788944723618"/>
    <n v="14694"/>
    <s v="Leipzig Mobility"/>
  </r>
  <r>
    <s v="CUST_983"/>
    <x v="18"/>
    <x v="0"/>
    <s v="Saturday"/>
    <s v="Yes"/>
    <x v="7"/>
    <x v="7"/>
    <s v="Bavaria"/>
    <x v="4"/>
    <s v="Tiguan"/>
    <s v="Petrol"/>
    <x v="0"/>
    <s v="36-50"/>
    <s v="Low"/>
    <x v="0"/>
    <x v="1"/>
    <s v="Sales_2"/>
    <n v="499"/>
    <n v="268"/>
    <n v="163"/>
    <n v="54"/>
    <s v="20.15"/>
    <n v="27341"/>
    <s v="8.37"/>
    <n v="24608"/>
    <n v="1476414"/>
    <n v="147582"/>
    <s v="Feb"/>
    <n v="2"/>
    <n v="2026"/>
    <s v="Weekend"/>
    <n v="0.33128834355828218"/>
    <n v="0.53707414829659317"/>
    <n v="0.10821643286573146"/>
    <n v="2733"/>
    <s v="Bavaria Motors"/>
  </r>
  <r>
    <s v="CUST_984"/>
    <x v="11"/>
    <x v="0"/>
    <s v="Wednesday"/>
    <s v="No"/>
    <x v="3"/>
    <x v="3"/>
    <s v="Saxony"/>
    <x v="2"/>
    <s v="e-tron"/>
    <s v="Petrol"/>
    <x v="0"/>
    <s v="18-25"/>
    <s v="Low"/>
    <x v="1"/>
    <x v="2"/>
    <s v="Sales_10"/>
    <n v="183"/>
    <n v="108"/>
    <n v="83"/>
    <n v="25"/>
    <s v="23.15"/>
    <n v="43422"/>
    <s v="4.83"/>
    <n v="33980"/>
    <n v="1085550"/>
    <n v="236050"/>
    <s v="Feb"/>
    <n v="2"/>
    <n v="2026"/>
    <s v="Weekday"/>
    <n v="0.30120481927710846"/>
    <n v="0.5901639344262295"/>
    <n v="0.13661202185792351"/>
    <n v="9442"/>
    <s v="Saxon Wheels"/>
  </r>
  <r>
    <s v="CUST_985"/>
    <x v="21"/>
    <x v="0"/>
    <s v="Tuesday"/>
    <s v="No"/>
    <x v="2"/>
    <x v="2"/>
    <s v="Lower Saxony"/>
    <x v="2"/>
    <s v="A3"/>
    <s v="Diesel"/>
    <x v="2"/>
    <s v="26-35"/>
    <s v="Medium"/>
    <x v="0"/>
    <x v="0"/>
    <s v="Sales_8"/>
    <n v="207"/>
    <n v="112"/>
    <n v="74"/>
    <n v="22"/>
    <s v="19.64"/>
    <n v="45470"/>
    <s v="5.51"/>
    <n v="35780"/>
    <n v="1000340"/>
    <n v="213180"/>
    <s v="Feb"/>
    <n v="2"/>
    <n v="2026"/>
    <s v="Weekday"/>
    <n v="0.29729729729729731"/>
    <n v="0.54106280193236711"/>
    <n v="0.10628019323671498"/>
    <n v="9690"/>
    <s v="Hannover Cars"/>
  </r>
  <r>
    <s v="CUST_986"/>
    <x v="2"/>
    <x v="2"/>
    <s v="Monday"/>
    <s v="No"/>
    <x v="6"/>
    <x v="6"/>
    <s v="Saxony"/>
    <x v="3"/>
    <s v="EQE"/>
    <s v="Petrol"/>
    <x v="1"/>
    <s v="18-25"/>
    <s v="Low"/>
    <x v="0"/>
    <x v="0"/>
    <s v="Sales_3"/>
    <n v="249"/>
    <n v="139"/>
    <n v="109"/>
    <n v="32"/>
    <s v="23.02"/>
    <n v="66481"/>
    <s v="5.96"/>
    <n v="47975"/>
    <n v="2127392"/>
    <n v="592192"/>
    <s v="Feb"/>
    <n v="2"/>
    <n v="2026"/>
    <s v="Weekday"/>
    <n v="0.29357798165137616"/>
    <n v="0.55823293172690758"/>
    <n v="0.12851405622489959"/>
    <n v="18506"/>
    <s v="Leipzig Mobility"/>
  </r>
  <r>
    <s v="CUST_987"/>
    <x v="16"/>
    <x v="1"/>
    <s v="Tuesday"/>
    <s v="No"/>
    <x v="7"/>
    <x v="7"/>
    <s v="Bavaria"/>
    <x v="0"/>
    <s v="i4"/>
    <s v="Diesel"/>
    <x v="1"/>
    <s v="26-35"/>
    <s v="High"/>
    <x v="1"/>
    <x v="1"/>
    <s v="Sales_10"/>
    <n v="178"/>
    <n v="88"/>
    <n v="64"/>
    <n v="25"/>
    <s v="28.41"/>
    <n v="58245"/>
    <s v="2.97"/>
    <n v="44487"/>
    <n v="1456125"/>
    <n v="343950"/>
    <s v="Feb"/>
    <n v="2"/>
    <n v="2026"/>
    <s v="Weekday"/>
    <n v="0.390625"/>
    <n v="0.4943820224719101"/>
    <n v="0.1404494382022472"/>
    <n v="13758"/>
    <s v="Bavaria Motors"/>
  </r>
  <r>
    <s v="CUST_988"/>
    <x v="16"/>
    <x v="1"/>
    <s v="Tuesday"/>
    <s v="No"/>
    <x v="0"/>
    <x v="0"/>
    <s v="Hesse"/>
    <x v="4"/>
    <s v="Passat"/>
    <s v="Petrol"/>
    <x v="1"/>
    <s v="50+"/>
    <s v="High"/>
    <x v="1"/>
    <x v="0"/>
    <s v="Sales_15"/>
    <n v="291"/>
    <n v="146"/>
    <n v="104"/>
    <n v="16"/>
    <s v="10.96"/>
    <n v="29184"/>
    <s v="11.2"/>
    <n v="26512"/>
    <n v="466944"/>
    <n v="42752"/>
    <s v="Feb"/>
    <n v="2"/>
    <n v="2026"/>
    <s v="Weekday"/>
    <n v="0.15384615384615385"/>
    <n v="0.50171821305841924"/>
    <n v="5.4982817869415807E-2"/>
    <n v="2672"/>
    <s v="Main Auto Hub"/>
  </r>
  <r>
    <s v="CUST_989"/>
    <x v="7"/>
    <x v="3"/>
    <s v="Monday"/>
    <s v="No"/>
    <x v="3"/>
    <x v="3"/>
    <s v="Saxony"/>
    <x v="2"/>
    <s v="A3"/>
    <s v="Electric"/>
    <x v="2"/>
    <s v="18-25"/>
    <s v="Low"/>
    <x v="1"/>
    <x v="1"/>
    <s v="Sales_6"/>
    <n v="265"/>
    <n v="157"/>
    <n v="104"/>
    <n v="38"/>
    <s v="24.2"/>
    <n v="43039"/>
    <s v="4.77"/>
    <n v="35157"/>
    <n v="1635482"/>
    <n v="299516"/>
    <s v="Feb"/>
    <n v="2"/>
    <n v="2026"/>
    <s v="Weekday"/>
    <n v="0.36538461538461536"/>
    <n v="0.59245283018867922"/>
    <n v="0.14339622641509434"/>
    <n v="7882"/>
    <s v="Saxon Wheels"/>
  </r>
  <r>
    <s v="CUST_990"/>
    <x v="11"/>
    <x v="0"/>
    <s v="Wednesday"/>
    <s v="No"/>
    <x v="0"/>
    <x v="0"/>
    <s v="Hesse"/>
    <x v="0"/>
    <s v="i4"/>
    <s v="Hybrid"/>
    <x v="1"/>
    <s v="26-35"/>
    <s v="Medium"/>
    <x v="1"/>
    <x v="1"/>
    <s v="Sales_2"/>
    <n v="182"/>
    <n v="89"/>
    <n v="63"/>
    <n v="27"/>
    <s v="30.34"/>
    <n v="55307"/>
    <s v="3.25"/>
    <n v="42958"/>
    <n v="1493289"/>
    <n v="333423"/>
    <s v="Feb"/>
    <n v="2"/>
    <n v="2026"/>
    <s v="Weekday"/>
    <n v="0.42857142857142855"/>
    <n v="0.48901098901098899"/>
    <n v="0.14835164835164835"/>
    <n v="12349"/>
    <s v="Main Auto Hub"/>
  </r>
  <r>
    <s v="CUST_991"/>
    <x v="19"/>
    <x v="1"/>
    <s v="Saturday"/>
    <s v="Yes"/>
    <x v="8"/>
    <x v="8"/>
    <s v="Baden-WÃ¼rttemberg"/>
    <x v="4"/>
    <s v="ID.4"/>
    <s v="Electric"/>
    <x v="0"/>
    <s v="26-35"/>
    <s v="Medium"/>
    <x v="0"/>
    <x v="1"/>
    <s v="Sales_11"/>
    <n v="430"/>
    <n v="236"/>
    <n v="148"/>
    <n v="45"/>
    <s v="19.07"/>
    <n v="33511"/>
    <s v="8.01"/>
    <n v="29528"/>
    <n v="1507995"/>
    <n v="179235"/>
    <s v="Feb"/>
    <n v="2"/>
    <n v="2026"/>
    <s v="Weekend"/>
    <n v="0.30405405405405406"/>
    <n v="0.5488372093023256"/>
    <n v="0.10465116279069768"/>
    <n v="3983"/>
    <s v="Stuttgart Auto Center"/>
  </r>
  <r>
    <s v="CUST_992"/>
    <x v="21"/>
    <x v="0"/>
    <s v="Tuesday"/>
    <s v="No"/>
    <x v="6"/>
    <x v="6"/>
    <s v="Saxony"/>
    <x v="2"/>
    <s v="e-tron"/>
    <s v="Petrol"/>
    <x v="0"/>
    <s v="36-50"/>
    <s v="Medium"/>
    <x v="1"/>
    <x v="3"/>
    <s v="Sales_18"/>
    <n v="289"/>
    <n v="137"/>
    <n v="96"/>
    <n v="28"/>
    <s v="20.44"/>
    <n v="45912"/>
    <s v="3.0"/>
    <n v="35309"/>
    <n v="1285536"/>
    <n v="296884"/>
    <s v="Feb"/>
    <n v="2"/>
    <n v="2026"/>
    <s v="Weekday"/>
    <n v="0.29166666666666669"/>
    <n v="0.47404844290657439"/>
    <n v="9.6885813148788927E-2"/>
    <n v="10603"/>
    <s v="Leipzig Mobility"/>
  </r>
  <r>
    <s v="CUST_993"/>
    <x v="26"/>
    <x v="1"/>
    <s v="Friday"/>
    <s v="No"/>
    <x v="0"/>
    <x v="0"/>
    <s v="Hesse"/>
    <x v="2"/>
    <s v="Q3"/>
    <s v="Electric"/>
    <x v="0"/>
    <s v="18-25"/>
    <s v="Medium"/>
    <x v="0"/>
    <x v="1"/>
    <s v="Sales_13"/>
    <n v="160"/>
    <n v="98"/>
    <n v="75"/>
    <n v="22"/>
    <s v="22.45"/>
    <n v="41634"/>
    <s v="4.07"/>
    <n v="32454"/>
    <n v="915948"/>
    <n v="201960"/>
    <s v="Feb"/>
    <n v="2"/>
    <n v="2026"/>
    <s v="Weekday"/>
    <n v="0.29333333333333333"/>
    <n v="0.61250000000000004"/>
    <n v="0.13750000000000001"/>
    <n v="9180"/>
    <s v="Main Auto Hub"/>
  </r>
  <r>
    <s v="CUST_994"/>
    <x v="25"/>
    <x v="3"/>
    <s v="Friday"/>
    <s v="No"/>
    <x v="9"/>
    <x v="9"/>
    <s v="NRW"/>
    <x v="0"/>
    <s v="X3"/>
    <s v="Electric"/>
    <x v="0"/>
    <s v="18-25"/>
    <s v="High"/>
    <x v="1"/>
    <x v="1"/>
    <s v="Sales_5"/>
    <n v="149"/>
    <n v="77"/>
    <n v="58"/>
    <n v="22"/>
    <s v="28.57"/>
    <n v="53915"/>
    <s v="5.08"/>
    <n v="38855"/>
    <n v="1186130"/>
    <n v="331320"/>
    <s v="Feb"/>
    <n v="2"/>
    <n v="2026"/>
    <s v="Weekday"/>
    <n v="0.37931034482758619"/>
    <n v="0.51677852348993292"/>
    <n v="0.1476510067114094"/>
    <n v="15060"/>
    <s v="Ruhr Auto Plaza"/>
  </r>
  <r>
    <s v="CUST_995"/>
    <x v="27"/>
    <x v="3"/>
    <s v="Sunday"/>
    <s v="Yes"/>
    <x v="2"/>
    <x v="2"/>
    <s v="Lower Saxony"/>
    <x v="1"/>
    <s v="Corsa"/>
    <s v="Hybrid"/>
    <x v="2"/>
    <s v="26-35"/>
    <s v="Medium"/>
    <x v="1"/>
    <x v="0"/>
    <s v="Sales_14"/>
    <n v="261"/>
    <n v="137"/>
    <n v="89"/>
    <n v="20"/>
    <s v="14.6"/>
    <n v="24048"/>
    <s v="9.99"/>
    <n v="21867"/>
    <n v="480960"/>
    <n v="43620"/>
    <s v="Feb"/>
    <n v="2"/>
    <n v="2026"/>
    <s v="Weekend"/>
    <n v="0.2247191011235955"/>
    <n v="0.52490421455938696"/>
    <n v="7.662835249042145E-2"/>
    <n v="2181"/>
    <s v="Hannover Cars"/>
  </r>
  <r>
    <s v="CUST_996"/>
    <x v="14"/>
    <x v="2"/>
    <s v="Friday"/>
    <s v="No"/>
    <x v="0"/>
    <x v="0"/>
    <s v="Hesse"/>
    <x v="3"/>
    <s v="C-Class"/>
    <s v="Hybrid"/>
    <x v="1"/>
    <s v="18-25"/>
    <s v="High"/>
    <x v="0"/>
    <x v="2"/>
    <s v="Sales_19"/>
    <n v="195"/>
    <n v="90"/>
    <n v="63"/>
    <n v="24"/>
    <s v="26.67"/>
    <n v="68289"/>
    <s v="2.49"/>
    <n v="49053"/>
    <n v="1638936"/>
    <n v="461664"/>
    <s v="Feb"/>
    <n v="2"/>
    <n v="2026"/>
    <s v="Weekday"/>
    <n v="0.38095238095238093"/>
    <n v="0.46153846153846156"/>
    <n v="0.12307692307692308"/>
    <n v="19236"/>
    <s v="Main Auto Hub"/>
  </r>
  <r>
    <s v="CUST_997"/>
    <x v="17"/>
    <x v="2"/>
    <s v="Sunday"/>
    <s v="Yes"/>
    <x v="2"/>
    <x v="2"/>
    <s v="Lower Saxony"/>
    <x v="1"/>
    <s v="Crossland"/>
    <s v="Electric"/>
    <x v="0"/>
    <s v="50+"/>
    <s v="High"/>
    <x v="1"/>
    <x v="1"/>
    <s v="Sales_6"/>
    <n v="223"/>
    <n v="89"/>
    <n v="54"/>
    <n v="15"/>
    <s v="16.85"/>
    <n v="25083"/>
    <s v="13.35"/>
    <n v="22732"/>
    <n v="376245"/>
    <n v="35265"/>
    <s v="Feb"/>
    <n v="2"/>
    <n v="2026"/>
    <s v="Weekend"/>
    <n v="0.27777777777777779"/>
    <n v="0.3991031390134529"/>
    <n v="6.726457399103139E-2"/>
    <n v="2351"/>
    <s v="Hannover Cars"/>
  </r>
  <r>
    <s v="CUST_998"/>
    <x v="23"/>
    <x v="2"/>
    <s v="Tuesday"/>
    <s v="No"/>
    <x v="6"/>
    <x v="6"/>
    <s v="Saxony"/>
    <x v="4"/>
    <s v="Passat"/>
    <s v="Petrol"/>
    <x v="1"/>
    <s v="18-25"/>
    <s v="High"/>
    <x v="0"/>
    <x v="2"/>
    <s v="Sales_7"/>
    <n v="374"/>
    <n v="177"/>
    <n v="108"/>
    <n v="29"/>
    <s v="16.38"/>
    <n v="31022"/>
    <s v="11.47"/>
    <n v="27620"/>
    <n v="899638"/>
    <n v="98658"/>
    <s v="Feb"/>
    <n v="2"/>
    <n v="2026"/>
    <s v="Weekday"/>
    <n v="0.26851851851851855"/>
    <n v="0.4732620320855615"/>
    <n v="7.7540106951871662E-2"/>
    <n v="3402"/>
    <s v="Leipzig Mobility"/>
  </r>
  <r>
    <s v="CUST_999"/>
    <x v="15"/>
    <x v="2"/>
    <s v="Thursday"/>
    <s v="No"/>
    <x v="2"/>
    <x v="2"/>
    <s v="Lower Saxony"/>
    <x v="2"/>
    <s v="A3"/>
    <s v="Petrol"/>
    <x v="2"/>
    <s v="26-35"/>
    <s v="Medium"/>
    <x v="0"/>
    <x v="3"/>
    <s v="Sales_10"/>
    <n v="228"/>
    <n v="131"/>
    <n v="94"/>
    <n v="31"/>
    <s v="23.66"/>
    <n v="47066"/>
    <s v="6.91"/>
    <n v="36788"/>
    <n v="1459046"/>
    <n v="318618"/>
    <s v="Feb"/>
    <n v="2"/>
    <n v="2026"/>
    <s v="Weekday"/>
    <n v="0.32978723404255317"/>
    <n v="0.57456140350877194"/>
    <n v="0.13596491228070176"/>
    <n v="10278"/>
    <s v="Hannover Cars"/>
  </r>
  <r>
    <s v="CUST_1000"/>
    <x v="10"/>
    <x v="1"/>
    <s v="Monday"/>
    <s v="No"/>
    <x v="6"/>
    <x v="6"/>
    <s v="Saxony"/>
    <x v="3"/>
    <s v="E-Class"/>
    <s v="Petrol"/>
    <x v="1"/>
    <s v="18-25"/>
    <s v="Medium"/>
    <x v="0"/>
    <x v="0"/>
    <s v="Sales_20"/>
    <n v="230"/>
    <n v="108"/>
    <n v="78"/>
    <n v="26"/>
    <s v="24.07"/>
    <n v="56740"/>
    <s v="4.67"/>
    <n v="41642"/>
    <n v="1475240"/>
    <n v="392548"/>
    <s v="Feb"/>
    <n v="2"/>
    <n v="2026"/>
    <s v="Weekday"/>
    <n v="0.33333333333333331"/>
    <n v="0.46956521739130436"/>
    <n v="0.11304347826086956"/>
    <n v="15098"/>
    <s v="Leipzig Mobility"/>
  </r>
  <r>
    <s v="CUST_1001"/>
    <x v="5"/>
    <x v="3"/>
    <s v="Saturday"/>
    <s v="Yes"/>
    <x v="8"/>
    <x v="8"/>
    <s v="Baden-WÃ¼rttemberg"/>
    <x v="0"/>
    <s v="5 Series"/>
    <s v="Electric"/>
    <x v="1"/>
    <s v="18-25"/>
    <s v="High"/>
    <x v="1"/>
    <x v="1"/>
    <s v="Sales_17"/>
    <n v="220"/>
    <n v="104"/>
    <n v="83"/>
    <n v="28"/>
    <s v="26.92"/>
    <n v="66097"/>
    <s v="3.24"/>
    <n v="50216"/>
    <n v="1850716"/>
    <n v="444668"/>
    <s v="Feb"/>
    <n v="2"/>
    <n v="2026"/>
    <s v="Weekend"/>
    <n v="0.33734939759036142"/>
    <n v="0.47272727272727272"/>
    <n v="0.12727272727272726"/>
    <n v="15881"/>
    <s v="Stuttgart Auto Center"/>
  </r>
  <r>
    <s v="CUST_1002"/>
    <x v="18"/>
    <x v="0"/>
    <s v="Saturday"/>
    <s v="Yes"/>
    <x v="7"/>
    <x v="7"/>
    <s v="Bavaria"/>
    <x v="1"/>
    <s v="Astra"/>
    <s v="Diesel"/>
    <x v="2"/>
    <s v="26-35"/>
    <s v="Medium"/>
    <x v="0"/>
    <x v="2"/>
    <s v="Sales_12"/>
    <n v="321"/>
    <n v="146"/>
    <n v="99"/>
    <n v="32"/>
    <s v="21.92"/>
    <n v="23900"/>
    <s v="13.2"/>
    <n v="22045"/>
    <n v="764800"/>
    <n v="59360"/>
    <s v="Feb"/>
    <n v="2"/>
    <n v="2026"/>
    <s v="Weekend"/>
    <n v="0.32323232323232326"/>
    <n v="0.45482866043613707"/>
    <n v="9.9688473520249218E-2"/>
    <n v="1855"/>
    <s v="Bavaria Motors"/>
  </r>
  <r>
    <s v="CUST_1003"/>
    <x v="25"/>
    <x v="3"/>
    <s v="Friday"/>
    <s v="No"/>
    <x v="6"/>
    <x v="6"/>
    <s v="Saxony"/>
    <x v="2"/>
    <s v="Q5"/>
    <s v="Electric"/>
    <x v="0"/>
    <s v="26-35"/>
    <s v="Low"/>
    <x v="0"/>
    <x v="2"/>
    <s v="Sales_9"/>
    <n v="171"/>
    <n v="108"/>
    <n v="71"/>
    <n v="27"/>
    <s v="25.0"/>
    <n v="53405"/>
    <s v="4.84"/>
    <n v="43367"/>
    <n v="1441935"/>
    <n v="271026"/>
    <s v="Feb"/>
    <n v="2"/>
    <n v="2026"/>
    <s v="Weekday"/>
    <n v="0.38028169014084506"/>
    <n v="0.63157894736842102"/>
    <n v="0.15789473684210525"/>
    <n v="10038"/>
    <s v="Leipzig Mobility"/>
  </r>
  <r>
    <s v="CUST_1004"/>
    <x v="3"/>
    <x v="1"/>
    <s v="Sunday"/>
    <s v="Yes"/>
    <x v="6"/>
    <x v="6"/>
    <s v="Saxony"/>
    <x v="1"/>
    <s v="Astra"/>
    <s v="Diesel"/>
    <x v="2"/>
    <s v="26-35"/>
    <s v="Low"/>
    <x v="1"/>
    <x v="0"/>
    <s v="Sales_10"/>
    <n v="252"/>
    <n v="118"/>
    <n v="69"/>
    <n v="13"/>
    <s v="11.02"/>
    <n v="26835"/>
    <s v="8.65"/>
    <n v="24912"/>
    <n v="348855"/>
    <n v="24999"/>
    <s v="Feb"/>
    <n v="2"/>
    <n v="2026"/>
    <s v="Weekend"/>
    <n v="0.18840579710144928"/>
    <n v="0.46825396825396826"/>
    <n v="5.1587301587301584E-2"/>
    <n v="1923"/>
    <s v="Leipzig Mobility"/>
  </r>
  <r>
    <s v="CUST_1005"/>
    <x v="9"/>
    <x v="0"/>
    <s v="Sunday"/>
    <s v="Yes"/>
    <x v="6"/>
    <x v="6"/>
    <s v="Saxony"/>
    <x v="3"/>
    <s v="EQE"/>
    <s v="Diesel"/>
    <x v="1"/>
    <s v="18-25"/>
    <s v="Low"/>
    <x v="0"/>
    <x v="2"/>
    <s v="Sales_6"/>
    <n v="203"/>
    <n v="100"/>
    <n v="77"/>
    <n v="24"/>
    <s v="24.0"/>
    <n v="61157"/>
    <s v="5.91"/>
    <n v="45581"/>
    <n v="1467768"/>
    <n v="373824"/>
    <s v="Feb"/>
    <n v="2"/>
    <n v="2026"/>
    <s v="Weekend"/>
    <n v="0.31168831168831168"/>
    <n v="0.49261083743842365"/>
    <n v="0.11822660098522167"/>
    <n v="15576"/>
    <s v="Leipzig Mobility"/>
  </r>
  <r>
    <s v="CUST_1006"/>
    <x v="4"/>
    <x v="2"/>
    <s v="Wednesday"/>
    <s v="No"/>
    <x v="2"/>
    <x v="2"/>
    <s v="Lower Saxony"/>
    <x v="1"/>
    <s v="Grandland"/>
    <s v="Hybrid"/>
    <x v="0"/>
    <s v="36-50"/>
    <s v="High"/>
    <x v="0"/>
    <x v="1"/>
    <s v="Sales_15"/>
    <n v="360"/>
    <n v="171"/>
    <n v="119"/>
    <n v="30"/>
    <s v="17.54"/>
    <n v="22297"/>
    <s v="10.78"/>
    <n v="20577"/>
    <n v="668910"/>
    <n v="51600"/>
    <s v="Feb"/>
    <n v="2"/>
    <n v="2026"/>
    <s v="Weekday"/>
    <n v="0.25210084033613445"/>
    <n v="0.47499999999999998"/>
    <n v="8.3333333333333329E-2"/>
    <n v="1720"/>
    <s v="Hannover Cars"/>
  </r>
  <r>
    <s v="CUST_1007"/>
    <x v="20"/>
    <x v="0"/>
    <s v="Thursday"/>
    <s v="No"/>
    <x v="4"/>
    <x v="4"/>
    <s v="Berlin"/>
    <x v="4"/>
    <s v="Passat"/>
    <s v="Hybrid"/>
    <x v="1"/>
    <s v="36-50"/>
    <s v="Low"/>
    <x v="0"/>
    <x v="2"/>
    <s v="Sales_6"/>
    <n v="354"/>
    <n v="164"/>
    <n v="100"/>
    <n v="35"/>
    <s v="21.34"/>
    <n v="28014"/>
    <s v="7.2"/>
    <n v="24800"/>
    <n v="980490"/>
    <n v="112490"/>
    <s v="Feb"/>
    <n v="2"/>
    <n v="2026"/>
    <s v="Weekday"/>
    <n v="0.35"/>
    <n v="0.4632768361581921"/>
    <n v="9.8870056497175146E-2"/>
    <n v="3214"/>
    <s v="Autohaus Berlin"/>
  </r>
  <r>
    <s v="CUST_1008"/>
    <x v="26"/>
    <x v="1"/>
    <s v="Friday"/>
    <s v="No"/>
    <x v="1"/>
    <x v="1"/>
    <s v="NRW"/>
    <x v="1"/>
    <s v="Grandland"/>
    <s v="Petrol"/>
    <x v="0"/>
    <s v="50+"/>
    <s v="Low"/>
    <x v="0"/>
    <x v="3"/>
    <s v="Sales_8"/>
    <n v="384"/>
    <n v="181"/>
    <n v="117"/>
    <n v="33"/>
    <s v="18.23"/>
    <n v="25191"/>
    <s v="10.62"/>
    <n v="23369"/>
    <n v="831303"/>
    <n v="60126"/>
    <s v="Feb"/>
    <n v="2"/>
    <n v="2026"/>
    <s v="Weekday"/>
    <n v="0.28205128205128205"/>
    <n v="0.47135416666666669"/>
    <n v="8.59375E-2"/>
    <n v="1822"/>
    <s v="Rhein Auto Group"/>
  </r>
  <r>
    <s v="CUST_1009"/>
    <x v="13"/>
    <x v="0"/>
    <s v="Friday"/>
    <s v="No"/>
    <x v="0"/>
    <x v="0"/>
    <s v="Hesse"/>
    <x v="0"/>
    <s v="5 Series"/>
    <s v="Diesel"/>
    <x v="1"/>
    <s v="26-35"/>
    <s v="Low"/>
    <x v="0"/>
    <x v="2"/>
    <s v="Sales_19"/>
    <n v="158"/>
    <n v="80"/>
    <n v="59"/>
    <n v="22"/>
    <s v="27.5"/>
    <n v="51633"/>
    <s v="4.95"/>
    <n v="39365"/>
    <n v="1135926"/>
    <n v="269896"/>
    <s v="Feb"/>
    <n v="2"/>
    <n v="2026"/>
    <s v="Weekday"/>
    <n v="0.3728813559322034"/>
    <n v="0.50632911392405067"/>
    <n v="0.13924050632911392"/>
    <n v="12268"/>
    <s v="Main Auto Hub"/>
  </r>
  <r>
    <s v="CUST_1010"/>
    <x v="17"/>
    <x v="2"/>
    <s v="Sunday"/>
    <s v="Yes"/>
    <x v="0"/>
    <x v="0"/>
    <s v="Hesse"/>
    <x v="1"/>
    <s v="Crossland"/>
    <s v="Electric"/>
    <x v="0"/>
    <s v="26-35"/>
    <s v="Low"/>
    <x v="1"/>
    <x v="3"/>
    <s v="Sales_7"/>
    <n v="390"/>
    <n v="201"/>
    <n v="127"/>
    <n v="30"/>
    <s v="14.93"/>
    <n v="25287"/>
    <s v="11.77"/>
    <n v="22554"/>
    <n v="758610"/>
    <n v="81990"/>
    <s v="Feb"/>
    <n v="2"/>
    <n v="2026"/>
    <s v="Weekend"/>
    <n v="0.23622047244094488"/>
    <n v="0.51538461538461533"/>
    <n v="7.6923076923076927E-2"/>
    <n v="2733"/>
    <s v="Main Auto Hub"/>
  </r>
  <r>
    <s v="CUST_1011"/>
    <x v="26"/>
    <x v="1"/>
    <s v="Friday"/>
    <s v="No"/>
    <x v="3"/>
    <x v="3"/>
    <s v="Saxony"/>
    <x v="3"/>
    <s v="EQE"/>
    <s v="Electric"/>
    <x v="1"/>
    <s v="26-35"/>
    <s v="Medium"/>
    <x v="1"/>
    <x v="1"/>
    <s v="Sales_11"/>
    <n v="275"/>
    <n v="154"/>
    <n v="106"/>
    <n v="35"/>
    <s v="22.73"/>
    <n v="61214"/>
    <s v="4.4"/>
    <n v="46331"/>
    <n v="2142490"/>
    <n v="520905"/>
    <s v="Feb"/>
    <n v="2"/>
    <n v="2026"/>
    <s v="Weekday"/>
    <n v="0.330188679245283"/>
    <n v="0.56000000000000005"/>
    <n v="0.12727272727272726"/>
    <n v="14883"/>
    <s v="Saxon Wheels"/>
  </r>
  <r>
    <s v="CUST_1012"/>
    <x v="27"/>
    <x v="3"/>
    <s v="Sunday"/>
    <s v="Yes"/>
    <x v="5"/>
    <x v="5"/>
    <s v="Hamburg"/>
    <x v="2"/>
    <s v="A4"/>
    <s v="Diesel"/>
    <x v="1"/>
    <s v="50+"/>
    <s v="High"/>
    <x v="0"/>
    <x v="2"/>
    <s v="Sales_3"/>
    <n v="233"/>
    <n v="125"/>
    <n v="90"/>
    <n v="31"/>
    <s v="24.8"/>
    <n v="53831"/>
    <s v="6.59"/>
    <n v="40655"/>
    <n v="1668761"/>
    <n v="408456"/>
    <s v="Feb"/>
    <n v="2"/>
    <n v="2026"/>
    <s v="Weekend"/>
    <n v="0.34444444444444444"/>
    <n v="0.53648068669527893"/>
    <n v="0.13304721030042918"/>
    <n v="13176"/>
    <s v="Elbe Drive"/>
  </r>
  <r>
    <s v="CUST_1013"/>
    <x v="3"/>
    <x v="1"/>
    <s v="Sunday"/>
    <s v="Yes"/>
    <x v="4"/>
    <x v="4"/>
    <s v="Berlin"/>
    <x v="2"/>
    <s v="Q3"/>
    <s v="Electric"/>
    <x v="0"/>
    <s v="18-25"/>
    <s v="High"/>
    <x v="1"/>
    <x v="0"/>
    <s v="Sales_11"/>
    <n v="316"/>
    <n v="170"/>
    <n v="111"/>
    <n v="39"/>
    <s v="22.94"/>
    <n v="51350"/>
    <s v="3.26"/>
    <n v="39194"/>
    <n v="2002650"/>
    <n v="474084"/>
    <s v="Feb"/>
    <n v="2"/>
    <n v="2026"/>
    <s v="Weekend"/>
    <n v="0.35135135135135137"/>
    <n v="0.53797468354430378"/>
    <n v="0.12341772151898735"/>
    <n v="12156"/>
    <s v="Autohaus Berlin"/>
  </r>
  <r>
    <s v="CUST_1014"/>
    <x v="1"/>
    <x v="1"/>
    <s v="Wednesday"/>
    <s v="No"/>
    <x v="0"/>
    <x v="0"/>
    <s v="Hesse"/>
    <x v="0"/>
    <s v="5 Series"/>
    <s v="Hybrid"/>
    <x v="1"/>
    <s v="36-50"/>
    <s v="High"/>
    <x v="1"/>
    <x v="1"/>
    <s v="Sales_19"/>
    <n v="243"/>
    <n v="148"/>
    <n v="108"/>
    <n v="42"/>
    <s v="28.38"/>
    <n v="60222"/>
    <s v="4.07"/>
    <n v="44445"/>
    <n v="2529324"/>
    <n v="662634"/>
    <s v="Feb"/>
    <n v="2"/>
    <n v="2026"/>
    <s v="Weekday"/>
    <n v="0.3888888888888889"/>
    <n v="0.60905349794238683"/>
    <n v="0.1728395061728395"/>
    <n v="15777"/>
    <s v="Main Auto Hub"/>
  </r>
  <r>
    <s v="CUST_1015"/>
    <x v="14"/>
    <x v="2"/>
    <s v="Friday"/>
    <s v="No"/>
    <x v="9"/>
    <x v="9"/>
    <s v="NRW"/>
    <x v="1"/>
    <s v="Grandland"/>
    <s v="Diesel"/>
    <x v="0"/>
    <s v="18-25"/>
    <s v="Low"/>
    <x v="0"/>
    <x v="3"/>
    <s v="Sales_3"/>
    <n v="403"/>
    <n v="175"/>
    <n v="112"/>
    <n v="24"/>
    <s v="13.71"/>
    <n v="26487"/>
    <s v="10.06"/>
    <n v="23798"/>
    <n v="635688"/>
    <n v="64536"/>
    <s v="Feb"/>
    <n v="2"/>
    <n v="2026"/>
    <s v="Weekday"/>
    <n v="0.21428571428571427"/>
    <n v="0.43424317617866004"/>
    <n v="5.9553349875930521E-2"/>
    <n v="2689"/>
    <s v="Ruhr Auto Plaza"/>
  </r>
  <r>
    <s v="CUST_1016"/>
    <x v="12"/>
    <x v="3"/>
    <s v="Thursday"/>
    <s v="No"/>
    <x v="7"/>
    <x v="7"/>
    <s v="Bavaria"/>
    <x v="0"/>
    <s v="X3"/>
    <s v="Electric"/>
    <x v="0"/>
    <s v="18-25"/>
    <s v="High"/>
    <x v="1"/>
    <x v="2"/>
    <s v="Sales_8"/>
    <n v="262"/>
    <n v="128"/>
    <n v="104"/>
    <n v="42"/>
    <s v="32.81"/>
    <n v="57197"/>
    <s v="5.63"/>
    <n v="41384"/>
    <n v="2402274"/>
    <n v="664146"/>
    <s v="Feb"/>
    <n v="2"/>
    <n v="2026"/>
    <s v="Weekday"/>
    <n v="0.40384615384615385"/>
    <n v="0.48854961832061067"/>
    <n v="0.16030534351145037"/>
    <n v="15813"/>
    <s v="Bavaria Motors"/>
  </r>
  <r>
    <s v="CUST_1017"/>
    <x v="15"/>
    <x v="2"/>
    <s v="Thursday"/>
    <s v="No"/>
    <x v="6"/>
    <x v="6"/>
    <s v="Saxony"/>
    <x v="4"/>
    <s v="Golf"/>
    <s v="Diesel"/>
    <x v="2"/>
    <s v="18-25"/>
    <s v="Medium"/>
    <x v="1"/>
    <x v="1"/>
    <s v="Sales_12"/>
    <n v="343"/>
    <n v="157"/>
    <n v="94"/>
    <n v="22"/>
    <s v="14.01"/>
    <n v="34541"/>
    <s v="6.37"/>
    <n v="29778"/>
    <n v="759902"/>
    <n v="104786"/>
    <s v="Feb"/>
    <n v="2"/>
    <n v="2026"/>
    <s v="Weekday"/>
    <n v="0.23404255319148937"/>
    <n v="0.45772594752186591"/>
    <n v="6.4139941690962099E-2"/>
    <n v="4763"/>
    <s v="Leipzig Mobility"/>
  </r>
  <r>
    <s v="CUST_1018"/>
    <x v="6"/>
    <x v="2"/>
    <s v="Saturday"/>
    <s v="Yes"/>
    <x v="4"/>
    <x v="4"/>
    <s v="Berlin"/>
    <x v="3"/>
    <s v="EQE"/>
    <s v="Hybrid"/>
    <x v="1"/>
    <s v="18-25"/>
    <s v="Medium"/>
    <x v="1"/>
    <x v="0"/>
    <s v="Sales_8"/>
    <n v="240"/>
    <n v="107"/>
    <n v="81"/>
    <n v="27"/>
    <s v="25.23"/>
    <n v="69761"/>
    <s v="3.12"/>
    <n v="52282"/>
    <n v="1883547"/>
    <n v="471933"/>
    <s v="Feb"/>
    <n v="2"/>
    <n v="2026"/>
    <s v="Weekend"/>
    <n v="0.33333333333333331"/>
    <n v="0.44583333333333336"/>
    <n v="0.1125"/>
    <n v="17479"/>
    <s v="Autohaus Berlin"/>
  </r>
  <r>
    <s v="CUST_1019"/>
    <x v="10"/>
    <x v="1"/>
    <s v="Monday"/>
    <s v="No"/>
    <x v="0"/>
    <x v="0"/>
    <s v="Hesse"/>
    <x v="4"/>
    <s v="T-Roc"/>
    <s v="Petrol"/>
    <x v="0"/>
    <s v="36-50"/>
    <s v="Low"/>
    <x v="1"/>
    <x v="3"/>
    <s v="Sales_14"/>
    <n v="429"/>
    <n v="184"/>
    <n v="118"/>
    <n v="25"/>
    <s v="13.59"/>
    <n v="26941"/>
    <s v="10.92"/>
    <n v="23627"/>
    <n v="673525"/>
    <n v="82850"/>
    <s v="Feb"/>
    <n v="2"/>
    <n v="2026"/>
    <s v="Weekday"/>
    <n v="0.21186440677966101"/>
    <n v="0.42890442890442892"/>
    <n v="5.8275058275058272E-2"/>
    <n v="3314"/>
    <s v="Main Auto Hub"/>
  </r>
  <r>
    <s v="CUST_1020"/>
    <x v="13"/>
    <x v="0"/>
    <s v="Friday"/>
    <s v="No"/>
    <x v="4"/>
    <x v="4"/>
    <s v="Berlin"/>
    <x v="2"/>
    <s v="Q5"/>
    <s v="Electric"/>
    <x v="0"/>
    <s v="18-25"/>
    <s v="Low"/>
    <x v="1"/>
    <x v="0"/>
    <s v="Sales_20"/>
    <n v="233"/>
    <n v="138"/>
    <n v="106"/>
    <n v="33"/>
    <s v="23.91"/>
    <n v="44194"/>
    <s v="6.03"/>
    <n v="35171"/>
    <n v="1458402"/>
    <n v="297759"/>
    <s v="Feb"/>
    <n v="2"/>
    <n v="2026"/>
    <s v="Weekday"/>
    <n v="0.31132075471698112"/>
    <n v="0.59227467811158796"/>
    <n v="0.14163090128755365"/>
    <n v="9023"/>
    <s v="Autohaus Berlin"/>
  </r>
  <r>
    <s v="CUST_1021"/>
    <x v="18"/>
    <x v="0"/>
    <s v="Saturday"/>
    <s v="Yes"/>
    <x v="7"/>
    <x v="7"/>
    <s v="Bavaria"/>
    <x v="0"/>
    <s v="5 Series"/>
    <s v="Diesel"/>
    <x v="1"/>
    <s v="36-50"/>
    <s v="Medium"/>
    <x v="1"/>
    <x v="3"/>
    <s v="Sales_10"/>
    <n v="161"/>
    <n v="95"/>
    <n v="65"/>
    <n v="26"/>
    <s v="27.37"/>
    <n v="55435"/>
    <s v="2.65"/>
    <n v="42504"/>
    <n v="1441310"/>
    <n v="336206"/>
    <s v="Feb"/>
    <n v="2"/>
    <n v="2026"/>
    <s v="Weekend"/>
    <n v="0.4"/>
    <n v="0.59006211180124224"/>
    <n v="0.16149068322981366"/>
    <n v="12931"/>
    <s v="Bavaria Motors"/>
  </r>
  <r>
    <s v="CUST_1022"/>
    <x v="3"/>
    <x v="1"/>
    <s v="Sunday"/>
    <s v="Yes"/>
    <x v="2"/>
    <x v="2"/>
    <s v="Lower Saxony"/>
    <x v="1"/>
    <s v="Mokka"/>
    <s v="Petrol"/>
    <x v="0"/>
    <s v="50+"/>
    <s v="High"/>
    <x v="1"/>
    <x v="2"/>
    <s v="Sales_5"/>
    <n v="410"/>
    <n v="171"/>
    <n v="101"/>
    <n v="32"/>
    <s v="18.71"/>
    <n v="22008"/>
    <s v="11.2"/>
    <n v="19670"/>
    <n v="704256"/>
    <n v="74816"/>
    <s v="Feb"/>
    <n v="2"/>
    <n v="2026"/>
    <s v="Weekend"/>
    <n v="0.31683168316831684"/>
    <n v="0.4170731707317073"/>
    <n v="7.8048780487804878E-2"/>
    <n v="2338"/>
    <s v="Hannover Cars"/>
  </r>
  <r>
    <s v="CUST_1023"/>
    <x v="11"/>
    <x v="0"/>
    <s v="Wednesday"/>
    <s v="No"/>
    <x v="5"/>
    <x v="5"/>
    <s v="Hamburg"/>
    <x v="0"/>
    <s v="i4"/>
    <s v="Diesel"/>
    <x v="1"/>
    <s v="36-50"/>
    <s v="High"/>
    <x v="0"/>
    <x v="3"/>
    <s v="Sales_20"/>
    <n v="143"/>
    <n v="87"/>
    <n v="65"/>
    <n v="25"/>
    <s v="28.74"/>
    <n v="61868"/>
    <s v="3.25"/>
    <n v="46186"/>
    <n v="1546700"/>
    <n v="392050"/>
    <s v="Feb"/>
    <n v="2"/>
    <n v="2026"/>
    <s v="Weekday"/>
    <n v="0.38461538461538464"/>
    <n v="0.60839160839160844"/>
    <n v="0.17482517482517482"/>
    <n v="15682"/>
    <s v="Elbe Drive"/>
  </r>
  <r>
    <s v="CUST_1024"/>
    <x v="26"/>
    <x v="1"/>
    <s v="Friday"/>
    <s v="No"/>
    <x v="8"/>
    <x v="8"/>
    <s v="Baden-WÃ¼rttemberg"/>
    <x v="3"/>
    <s v="EQE"/>
    <s v="Diesel"/>
    <x v="1"/>
    <s v="36-50"/>
    <s v="Low"/>
    <x v="1"/>
    <x v="2"/>
    <s v="Sales_8"/>
    <n v="151"/>
    <n v="66"/>
    <n v="45"/>
    <n v="17"/>
    <s v="25.76"/>
    <n v="55390"/>
    <s v="5.11"/>
    <n v="40842"/>
    <n v="941630"/>
    <n v="247316"/>
    <s v="Feb"/>
    <n v="2"/>
    <n v="2026"/>
    <s v="Weekday"/>
    <n v="0.37777777777777777"/>
    <n v="0.4370860927152318"/>
    <n v="0.11258278145695365"/>
    <n v="14548"/>
    <s v="Stuttgart Auto Center"/>
  </r>
  <r>
    <s v="CUST_1025"/>
    <x v="6"/>
    <x v="2"/>
    <s v="Saturday"/>
    <s v="Yes"/>
    <x v="1"/>
    <x v="1"/>
    <s v="NRW"/>
    <x v="4"/>
    <s v="T-Roc"/>
    <s v="Hybrid"/>
    <x v="0"/>
    <s v="18-25"/>
    <s v="Low"/>
    <x v="1"/>
    <x v="3"/>
    <s v="Sales_7"/>
    <n v="318"/>
    <n v="153"/>
    <n v="105"/>
    <n v="24"/>
    <s v="15.69"/>
    <n v="27753"/>
    <s v="11.78"/>
    <n v="24180"/>
    <n v="666072"/>
    <n v="85752"/>
    <s v="Feb"/>
    <n v="2"/>
    <n v="2026"/>
    <s v="Weekend"/>
    <n v="0.22857142857142856"/>
    <n v="0.48113207547169812"/>
    <n v="7.5471698113207544E-2"/>
    <n v="3573"/>
    <s v="Rhein Auto Group"/>
  </r>
  <r>
    <s v="CUST_1026"/>
    <x v="27"/>
    <x v="3"/>
    <s v="Sunday"/>
    <s v="Yes"/>
    <x v="1"/>
    <x v="1"/>
    <s v="NRW"/>
    <x v="4"/>
    <s v="Golf"/>
    <s v="Electric"/>
    <x v="2"/>
    <s v="26-35"/>
    <s v="High"/>
    <x v="1"/>
    <x v="0"/>
    <s v="Sales_7"/>
    <n v="504"/>
    <n v="239"/>
    <n v="166"/>
    <n v="28"/>
    <s v="11.72"/>
    <n v="29228"/>
    <s v="6.35"/>
    <n v="26431"/>
    <n v="818384"/>
    <n v="78316"/>
    <s v="Feb"/>
    <n v="2"/>
    <n v="2026"/>
    <s v="Weekend"/>
    <n v="0.16867469879518071"/>
    <n v="0.47420634920634919"/>
    <n v="5.5555555555555552E-2"/>
    <n v="2797"/>
    <s v="Rhein Auto Group"/>
  </r>
  <r>
    <s v="CUST_1027"/>
    <x v="0"/>
    <x v="0"/>
    <s v="Monday"/>
    <s v="No"/>
    <x v="8"/>
    <x v="8"/>
    <s v="Baden-WÃ¼rttemberg"/>
    <x v="4"/>
    <s v="Tiguan"/>
    <s v="Electric"/>
    <x v="0"/>
    <s v="18-25"/>
    <s v="Medium"/>
    <x v="0"/>
    <x v="2"/>
    <s v="Sales_9"/>
    <n v="452"/>
    <n v="232"/>
    <n v="165"/>
    <n v="49"/>
    <s v="21.12"/>
    <n v="33594"/>
    <s v="6.16"/>
    <n v="29048"/>
    <n v="1646106"/>
    <n v="222754"/>
    <s v="Feb"/>
    <n v="2"/>
    <n v="2026"/>
    <s v="Weekday"/>
    <n v="0.29696969696969699"/>
    <n v="0.51327433628318586"/>
    <n v="0.1084070796460177"/>
    <n v="4546"/>
    <s v="Stuttgart Auto Center"/>
  </r>
  <r>
    <s v="CUST_1028"/>
    <x v="3"/>
    <x v="1"/>
    <s v="Sunday"/>
    <s v="Yes"/>
    <x v="7"/>
    <x v="7"/>
    <s v="Bavaria"/>
    <x v="4"/>
    <s v="T-Roc"/>
    <s v="Diesel"/>
    <x v="0"/>
    <s v="50+"/>
    <s v="High"/>
    <x v="0"/>
    <x v="1"/>
    <s v="Sales_4"/>
    <n v="495"/>
    <n v="283"/>
    <n v="188"/>
    <n v="52"/>
    <s v="18.37"/>
    <n v="31404"/>
    <s v="9.92"/>
    <n v="28342"/>
    <n v="1633008"/>
    <n v="159224"/>
    <s v="Feb"/>
    <n v="2"/>
    <n v="2026"/>
    <s v="Weekend"/>
    <n v="0.27659574468085107"/>
    <n v="0.57171717171717173"/>
    <n v="0.10505050505050505"/>
    <n v="3062"/>
    <s v="Bavaria Motors"/>
  </r>
  <r>
    <s v="CUST_1029"/>
    <x v="9"/>
    <x v="0"/>
    <s v="Sunday"/>
    <s v="Yes"/>
    <x v="9"/>
    <x v="9"/>
    <s v="NRW"/>
    <x v="4"/>
    <s v="ID.4"/>
    <s v="Hybrid"/>
    <x v="0"/>
    <s v="18-25"/>
    <s v="Low"/>
    <x v="1"/>
    <x v="2"/>
    <s v="Sales_4"/>
    <n v="396"/>
    <n v="213"/>
    <n v="127"/>
    <n v="31"/>
    <s v="14.55"/>
    <n v="31971"/>
    <s v="7.46"/>
    <n v="28243"/>
    <n v="991101"/>
    <n v="115568"/>
    <s v="Feb"/>
    <n v="2"/>
    <n v="2026"/>
    <s v="Weekend"/>
    <n v="0.24409448818897639"/>
    <n v="0.53787878787878785"/>
    <n v="7.8282828282828287E-2"/>
    <n v="3728"/>
    <s v="Ruhr Auto Plaza"/>
  </r>
  <r>
    <s v="CUST_1030"/>
    <x v="1"/>
    <x v="1"/>
    <s v="Wednesday"/>
    <s v="No"/>
    <x v="4"/>
    <x v="4"/>
    <s v="Berlin"/>
    <x v="4"/>
    <s v="Golf"/>
    <s v="Hybrid"/>
    <x v="2"/>
    <s v="36-50"/>
    <s v="Medium"/>
    <x v="1"/>
    <x v="2"/>
    <s v="Sales_11"/>
    <n v="435"/>
    <n v="177"/>
    <n v="108"/>
    <n v="31"/>
    <s v="17.51"/>
    <n v="34645"/>
    <s v="6.55"/>
    <n v="30788"/>
    <n v="1073995"/>
    <n v="119567"/>
    <s v="Feb"/>
    <n v="2"/>
    <n v="2026"/>
    <s v="Weekday"/>
    <n v="0.28703703703703703"/>
    <n v="0.40689655172413791"/>
    <n v="7.1264367816091953E-2"/>
    <n v="3857"/>
    <s v="Autohaus Berlin"/>
  </r>
  <r>
    <s v="CUST_1031"/>
    <x v="17"/>
    <x v="2"/>
    <s v="Sunday"/>
    <s v="Yes"/>
    <x v="7"/>
    <x v="7"/>
    <s v="Bavaria"/>
    <x v="0"/>
    <s v="X3"/>
    <s v="Hybrid"/>
    <x v="0"/>
    <s v="26-35"/>
    <s v="Low"/>
    <x v="0"/>
    <x v="3"/>
    <s v="Sales_4"/>
    <n v="202"/>
    <n v="116"/>
    <n v="83"/>
    <n v="35"/>
    <s v="30.17"/>
    <n v="58412"/>
    <s v="5.68"/>
    <n v="41112"/>
    <n v="2044420"/>
    <n v="605500"/>
    <s v="Feb"/>
    <n v="2"/>
    <n v="2026"/>
    <s v="Weekend"/>
    <n v="0.42168674698795183"/>
    <n v="0.57425742574257421"/>
    <n v="0.17326732673267325"/>
    <n v="17300"/>
    <s v="Bavaria Motors"/>
  </r>
  <r>
    <s v="CUST_1032"/>
    <x v="1"/>
    <x v="1"/>
    <s v="Wednesday"/>
    <s v="No"/>
    <x v="9"/>
    <x v="9"/>
    <s v="NRW"/>
    <x v="3"/>
    <s v="EQE"/>
    <s v="Petrol"/>
    <x v="1"/>
    <s v="50+"/>
    <s v="Medium"/>
    <x v="0"/>
    <x v="1"/>
    <s v="Sales_17"/>
    <n v="233"/>
    <n v="122"/>
    <n v="89"/>
    <n v="29"/>
    <s v="23.77"/>
    <n v="53700"/>
    <s v="4.02"/>
    <n v="41984"/>
    <n v="1557300"/>
    <n v="339764"/>
    <s v="Feb"/>
    <n v="2"/>
    <n v="2026"/>
    <s v="Weekday"/>
    <n v="0.3258426966292135"/>
    <n v="0.52360515021459231"/>
    <n v="0.12446351931330472"/>
    <n v="11716"/>
    <s v="Ruhr Auto Plaza"/>
  </r>
  <r>
    <s v="CUST_1033"/>
    <x v="23"/>
    <x v="2"/>
    <s v="Tuesday"/>
    <s v="No"/>
    <x v="4"/>
    <x v="4"/>
    <s v="Berlin"/>
    <x v="1"/>
    <s v="Grandland"/>
    <s v="Hybrid"/>
    <x v="0"/>
    <s v="26-35"/>
    <s v="Low"/>
    <x v="0"/>
    <x v="0"/>
    <s v="Sales_19"/>
    <n v="357"/>
    <n v="179"/>
    <n v="119"/>
    <n v="32"/>
    <s v="17.88"/>
    <n v="22402"/>
    <s v="11.33"/>
    <n v="20371"/>
    <n v="716864"/>
    <n v="64992"/>
    <s v="Feb"/>
    <n v="2"/>
    <n v="2026"/>
    <s v="Weekday"/>
    <n v="0.26890756302521007"/>
    <n v="0.50140056022408963"/>
    <n v="8.9635854341736695E-2"/>
    <n v="2031"/>
    <s v="Autohaus Berlin"/>
  </r>
  <r>
    <s v="CUST_1034"/>
    <x v="13"/>
    <x v="0"/>
    <s v="Friday"/>
    <s v="No"/>
    <x v="0"/>
    <x v="0"/>
    <s v="Hesse"/>
    <x v="2"/>
    <s v="A3"/>
    <s v="Electric"/>
    <x v="2"/>
    <s v="26-35"/>
    <s v="Low"/>
    <x v="0"/>
    <x v="0"/>
    <s v="Sales_4"/>
    <n v="242"/>
    <n v="136"/>
    <n v="99"/>
    <n v="30"/>
    <s v="22.06"/>
    <n v="53259"/>
    <s v="4.48"/>
    <n v="41925"/>
    <n v="1597770"/>
    <n v="340020"/>
    <s v="Feb"/>
    <n v="2"/>
    <n v="2026"/>
    <s v="Weekday"/>
    <n v="0.30303030303030304"/>
    <n v="0.56198347107438018"/>
    <n v="0.12396694214876033"/>
    <n v="11334"/>
    <s v="Main Auto Hub"/>
  </r>
  <r>
    <s v="CUST_1035"/>
    <x v="8"/>
    <x v="3"/>
    <s v="Wednesday"/>
    <s v="No"/>
    <x v="1"/>
    <x v="1"/>
    <s v="NRW"/>
    <x v="0"/>
    <s v="X3"/>
    <s v="Diesel"/>
    <x v="0"/>
    <s v="36-50"/>
    <s v="Medium"/>
    <x v="0"/>
    <x v="3"/>
    <s v="Sales_3"/>
    <n v="183"/>
    <n v="90"/>
    <n v="73"/>
    <n v="24"/>
    <s v="26.67"/>
    <n v="63145"/>
    <s v="5.67"/>
    <n v="47352"/>
    <n v="1515480"/>
    <n v="379032"/>
    <s v="Feb"/>
    <n v="2"/>
    <n v="2026"/>
    <s v="Weekday"/>
    <n v="0.32876712328767121"/>
    <n v="0.49180327868852458"/>
    <n v="0.13114754098360656"/>
    <n v="15793"/>
    <s v="Rhein Auto Group"/>
  </r>
  <r>
    <s v="CUST_1036"/>
    <x v="0"/>
    <x v="0"/>
    <s v="Monday"/>
    <s v="No"/>
    <x v="4"/>
    <x v="4"/>
    <s v="Berlin"/>
    <x v="3"/>
    <s v="E-Class"/>
    <s v="Petrol"/>
    <x v="1"/>
    <s v="36-50"/>
    <s v="Medium"/>
    <x v="1"/>
    <x v="1"/>
    <s v="Sales_6"/>
    <n v="270"/>
    <n v="145"/>
    <n v="96"/>
    <n v="37"/>
    <s v="25.52"/>
    <n v="65883"/>
    <s v="2.93"/>
    <n v="47030"/>
    <n v="2437671"/>
    <n v="697561"/>
    <s v="Feb"/>
    <n v="2"/>
    <n v="2026"/>
    <s v="Weekday"/>
    <n v="0.38541666666666669"/>
    <n v="0.53703703703703709"/>
    <n v="0.13703703703703704"/>
    <n v="18853"/>
    <s v="Autohaus Berlin"/>
  </r>
  <r>
    <s v="CUST_1037"/>
    <x v="0"/>
    <x v="0"/>
    <s v="Monday"/>
    <s v="No"/>
    <x v="4"/>
    <x v="4"/>
    <s v="Berlin"/>
    <x v="0"/>
    <s v="X3"/>
    <s v="Electric"/>
    <x v="0"/>
    <s v="18-25"/>
    <s v="Low"/>
    <x v="0"/>
    <x v="3"/>
    <s v="Sales_19"/>
    <n v="222"/>
    <n v="131"/>
    <n v="91"/>
    <n v="35"/>
    <s v="26.72"/>
    <n v="61928"/>
    <s v="5.61"/>
    <n v="44194"/>
    <n v="2167480"/>
    <n v="620690"/>
    <s v="Feb"/>
    <n v="2"/>
    <n v="2026"/>
    <s v="Weekday"/>
    <n v="0.38461538461538464"/>
    <n v="0.59009009009009006"/>
    <n v="0.15765765765765766"/>
    <n v="17734"/>
    <s v="Autohaus Berlin"/>
  </r>
  <r>
    <s v="CUST_1038"/>
    <x v="13"/>
    <x v="0"/>
    <s v="Friday"/>
    <s v="No"/>
    <x v="1"/>
    <x v="1"/>
    <s v="NRW"/>
    <x v="2"/>
    <s v="e-tron"/>
    <s v="Electric"/>
    <x v="0"/>
    <s v="18-25"/>
    <s v="High"/>
    <x v="0"/>
    <x v="2"/>
    <s v="Sales_12"/>
    <n v="206"/>
    <n v="97"/>
    <n v="68"/>
    <n v="28"/>
    <s v="28.87"/>
    <n v="42126"/>
    <s v="5.78"/>
    <n v="32237"/>
    <n v="1179528"/>
    <n v="276892"/>
    <s v="Feb"/>
    <n v="2"/>
    <n v="2026"/>
    <s v="Weekday"/>
    <n v="0.41176470588235292"/>
    <n v="0.470873786407767"/>
    <n v="0.13592233009708737"/>
    <n v="9889"/>
    <s v="Rhein Auto Group"/>
  </r>
  <r>
    <s v="CUST_1039"/>
    <x v="24"/>
    <x v="1"/>
    <s v="Thursday"/>
    <s v="No"/>
    <x v="4"/>
    <x v="4"/>
    <s v="Berlin"/>
    <x v="3"/>
    <s v="GLE"/>
    <s v="Electric"/>
    <x v="0"/>
    <s v="50+"/>
    <s v="High"/>
    <x v="0"/>
    <x v="3"/>
    <s v="Sales_5"/>
    <n v="247"/>
    <n v="112"/>
    <n v="85"/>
    <n v="27"/>
    <s v="24.11"/>
    <n v="56169"/>
    <s v="5.28"/>
    <n v="39920"/>
    <n v="1516563"/>
    <n v="438723"/>
    <s v="Feb"/>
    <n v="2"/>
    <n v="2026"/>
    <s v="Weekday"/>
    <n v="0.31764705882352939"/>
    <n v="0.45344129554655871"/>
    <n v="0.10931174089068826"/>
    <n v="16249"/>
    <s v="Autohaus Berlin"/>
  </r>
  <r>
    <s v="CUST_1040"/>
    <x v="4"/>
    <x v="2"/>
    <s v="Wednesday"/>
    <s v="No"/>
    <x v="0"/>
    <x v="0"/>
    <s v="Hesse"/>
    <x v="0"/>
    <s v="3 Series"/>
    <s v="Petrol"/>
    <x v="1"/>
    <s v="26-35"/>
    <s v="Medium"/>
    <x v="1"/>
    <x v="2"/>
    <s v="Sales_20"/>
    <n v="245"/>
    <n v="140"/>
    <n v="98"/>
    <n v="43"/>
    <s v="30.71"/>
    <n v="62923"/>
    <s v="4.11"/>
    <n v="46339"/>
    <n v="2705689"/>
    <n v="713112"/>
    <s v="Feb"/>
    <n v="2"/>
    <n v="2026"/>
    <s v="Weekday"/>
    <n v="0.43877551020408162"/>
    <n v="0.5714285714285714"/>
    <n v="0.17551020408163265"/>
    <n v="16584"/>
    <s v="Main Auto Hub"/>
  </r>
  <r>
    <s v="CUST_1041"/>
    <x v="10"/>
    <x v="1"/>
    <s v="Monday"/>
    <s v="No"/>
    <x v="2"/>
    <x v="2"/>
    <s v="Lower Saxony"/>
    <x v="2"/>
    <s v="A4"/>
    <s v="Diesel"/>
    <x v="1"/>
    <s v="50+"/>
    <s v="Low"/>
    <x v="1"/>
    <x v="1"/>
    <s v="Sales_14"/>
    <n v="160"/>
    <n v="99"/>
    <n v="69"/>
    <n v="24"/>
    <s v="24.24"/>
    <n v="42610"/>
    <s v="3.71"/>
    <n v="34831"/>
    <n v="1022640"/>
    <n v="186696"/>
    <s v="Feb"/>
    <n v="2"/>
    <n v="2026"/>
    <s v="Weekday"/>
    <n v="0.34782608695652173"/>
    <n v="0.61875000000000002"/>
    <n v="0.15"/>
    <n v="7779"/>
    <s v="Hannover Cars"/>
  </r>
  <r>
    <s v="CUST_1042"/>
    <x v="27"/>
    <x v="3"/>
    <s v="Sunday"/>
    <s v="Yes"/>
    <x v="3"/>
    <x v="3"/>
    <s v="Saxony"/>
    <x v="2"/>
    <s v="Q3"/>
    <s v="Petrol"/>
    <x v="0"/>
    <s v="18-25"/>
    <s v="Low"/>
    <x v="0"/>
    <x v="3"/>
    <s v="Sales_15"/>
    <n v="270"/>
    <n v="146"/>
    <n v="100"/>
    <n v="32"/>
    <s v="21.92"/>
    <n v="50930"/>
    <s v="3.88"/>
    <n v="39005"/>
    <n v="1629760"/>
    <n v="381600"/>
    <s v="Feb"/>
    <n v="2"/>
    <n v="2026"/>
    <s v="Weekend"/>
    <n v="0.32"/>
    <n v="0.54074074074074074"/>
    <n v="0.11851851851851852"/>
    <n v="11925"/>
    <s v="Saxon Wheels"/>
  </r>
  <r>
    <s v="CUST_1043"/>
    <x v="9"/>
    <x v="0"/>
    <s v="Sunday"/>
    <s v="Yes"/>
    <x v="8"/>
    <x v="8"/>
    <s v="Baden-WÃ¼rttemberg"/>
    <x v="1"/>
    <s v="Mokka"/>
    <s v="Petrol"/>
    <x v="0"/>
    <s v="50+"/>
    <s v="Low"/>
    <x v="1"/>
    <x v="3"/>
    <s v="Sales_7"/>
    <n v="247"/>
    <n v="106"/>
    <n v="71"/>
    <n v="13"/>
    <s v="12.26"/>
    <n v="20275"/>
    <s v="12.51"/>
    <n v="18526"/>
    <n v="263575"/>
    <n v="22737"/>
    <s v="Feb"/>
    <n v="2"/>
    <n v="2026"/>
    <s v="Weekend"/>
    <n v="0.18309859154929578"/>
    <n v="0.4291497975708502"/>
    <n v="5.2631578947368418E-2"/>
    <n v="1749"/>
    <s v="Stuttgart Auto Center"/>
  </r>
  <r>
    <s v="CUST_1044"/>
    <x v="9"/>
    <x v="0"/>
    <s v="Sunday"/>
    <s v="Yes"/>
    <x v="0"/>
    <x v="0"/>
    <s v="Hesse"/>
    <x v="0"/>
    <s v="5 Series"/>
    <s v="Hybrid"/>
    <x v="1"/>
    <s v="18-25"/>
    <s v="Low"/>
    <x v="1"/>
    <x v="2"/>
    <s v="Sales_11"/>
    <n v="271"/>
    <n v="144"/>
    <n v="111"/>
    <n v="42"/>
    <s v="29.17"/>
    <n v="51305"/>
    <s v="2.88"/>
    <n v="36995"/>
    <n v="2154810"/>
    <n v="601020"/>
    <s v="Feb"/>
    <n v="2"/>
    <n v="2026"/>
    <s v="Weekend"/>
    <n v="0.3783783783783784"/>
    <n v="0.53136531365313655"/>
    <n v="0.15498154981549817"/>
    <n v="14310"/>
    <s v="Main Auto Hub"/>
  </r>
  <r>
    <s v="CUST_1045"/>
    <x v="17"/>
    <x v="2"/>
    <s v="Sunday"/>
    <s v="Yes"/>
    <x v="8"/>
    <x v="8"/>
    <s v="Baden-WÃ¼rttemberg"/>
    <x v="2"/>
    <s v="A4"/>
    <s v="Petrol"/>
    <x v="1"/>
    <s v="36-50"/>
    <s v="Low"/>
    <x v="0"/>
    <x v="2"/>
    <s v="Sales_12"/>
    <n v="255"/>
    <n v="137"/>
    <n v="94"/>
    <n v="39"/>
    <s v="28.47"/>
    <n v="45072"/>
    <s v="4.0"/>
    <n v="36438"/>
    <n v="1757808"/>
    <n v="336726"/>
    <s v="Feb"/>
    <n v="2"/>
    <n v="2026"/>
    <s v="Weekend"/>
    <n v="0.41489361702127658"/>
    <n v="0.53725490196078429"/>
    <n v="0.15294117647058825"/>
    <n v="8634"/>
    <s v="Stuttgart Auto Center"/>
  </r>
  <r>
    <s v="CUST_1046"/>
    <x v="5"/>
    <x v="3"/>
    <s v="Saturday"/>
    <s v="Yes"/>
    <x v="9"/>
    <x v="9"/>
    <s v="NRW"/>
    <x v="3"/>
    <s v="C-Class"/>
    <s v="Electric"/>
    <x v="1"/>
    <s v="18-25"/>
    <s v="Medium"/>
    <x v="0"/>
    <x v="3"/>
    <s v="Sales_11"/>
    <n v="203"/>
    <n v="99"/>
    <n v="75"/>
    <n v="24"/>
    <s v="24.24"/>
    <n v="56352"/>
    <s v="3.21"/>
    <n v="41341"/>
    <n v="1352448"/>
    <n v="360264"/>
    <s v="Feb"/>
    <n v="2"/>
    <n v="2026"/>
    <s v="Weekend"/>
    <n v="0.32"/>
    <n v="0.48768472906403942"/>
    <n v="0.11822660098522167"/>
    <n v="15011"/>
    <s v="Ruhr Auto Plaza"/>
  </r>
  <r>
    <s v="CUST_1047"/>
    <x v="13"/>
    <x v="0"/>
    <s v="Friday"/>
    <s v="No"/>
    <x v="2"/>
    <x v="2"/>
    <s v="Lower Saxony"/>
    <x v="1"/>
    <s v="Mokka"/>
    <s v="Electric"/>
    <x v="0"/>
    <s v="36-50"/>
    <s v="Low"/>
    <x v="0"/>
    <x v="3"/>
    <s v="Sales_5"/>
    <n v="398"/>
    <n v="181"/>
    <n v="103"/>
    <n v="23"/>
    <s v="12.71"/>
    <n v="26234"/>
    <s v="11.33"/>
    <n v="24343"/>
    <n v="603382"/>
    <n v="43493"/>
    <s v="Feb"/>
    <n v="2"/>
    <n v="2026"/>
    <s v="Weekday"/>
    <n v="0.22330097087378642"/>
    <n v="0.45477386934673369"/>
    <n v="5.7788944723618091E-2"/>
    <n v="1891"/>
    <s v="Hannover Cars"/>
  </r>
  <r>
    <s v="CUST_1048"/>
    <x v="26"/>
    <x v="1"/>
    <s v="Friday"/>
    <s v="No"/>
    <x v="3"/>
    <x v="3"/>
    <s v="Saxony"/>
    <x v="3"/>
    <s v="GLE"/>
    <s v="Hybrid"/>
    <x v="0"/>
    <s v="18-25"/>
    <s v="Medium"/>
    <x v="0"/>
    <x v="0"/>
    <s v="Sales_10"/>
    <n v="181"/>
    <n v="97"/>
    <n v="65"/>
    <n v="23"/>
    <s v="23.71"/>
    <n v="51720"/>
    <s v="5.31"/>
    <n v="39323"/>
    <n v="1189560"/>
    <n v="285131"/>
    <s v="Feb"/>
    <n v="2"/>
    <n v="2026"/>
    <s v="Weekday"/>
    <n v="0.35384615384615387"/>
    <n v="0.53591160220994472"/>
    <n v="0.1270718232044199"/>
    <n v="12397"/>
    <s v="Saxon Wheels"/>
  </r>
  <r>
    <s v="CUST_1049"/>
    <x v="2"/>
    <x v="2"/>
    <s v="Monday"/>
    <s v="No"/>
    <x v="5"/>
    <x v="5"/>
    <s v="Hamburg"/>
    <x v="3"/>
    <s v="C-Class"/>
    <s v="Diesel"/>
    <x v="1"/>
    <s v="50+"/>
    <s v="High"/>
    <x v="0"/>
    <x v="0"/>
    <s v="Sales_5"/>
    <n v="186"/>
    <n v="95"/>
    <n v="67"/>
    <n v="22"/>
    <s v="23.16"/>
    <n v="67174"/>
    <s v="2.44"/>
    <n v="51223"/>
    <n v="1477828"/>
    <n v="350922"/>
    <s v="Feb"/>
    <n v="2"/>
    <n v="2026"/>
    <s v="Weekday"/>
    <n v="0.32835820895522388"/>
    <n v="0.510752688172043"/>
    <n v="0.11827956989247312"/>
    <n v="15951"/>
    <s v="Elbe Drive"/>
  </r>
  <r>
    <s v="CUST_1050"/>
    <x v="3"/>
    <x v="1"/>
    <s v="Sunday"/>
    <s v="Yes"/>
    <x v="5"/>
    <x v="5"/>
    <s v="Hamburg"/>
    <x v="0"/>
    <s v="i4"/>
    <s v="Electric"/>
    <x v="1"/>
    <s v="36-50"/>
    <s v="Low"/>
    <x v="1"/>
    <x v="2"/>
    <s v="Sales_20"/>
    <n v="186"/>
    <n v="110"/>
    <n v="89"/>
    <n v="35"/>
    <s v="31.82"/>
    <n v="66451"/>
    <s v="3.91"/>
    <n v="49057"/>
    <n v="2325785"/>
    <n v="608790"/>
    <s v="Feb"/>
    <n v="2"/>
    <n v="2026"/>
    <s v="Weekend"/>
    <n v="0.39325842696629215"/>
    <n v="0.59139784946236562"/>
    <n v="0.18817204301075269"/>
    <n v="17394"/>
    <s v="Elbe Drive"/>
  </r>
  <r>
    <s v="CUST_1051"/>
    <x v="5"/>
    <x v="3"/>
    <s v="Saturday"/>
    <s v="Yes"/>
    <x v="2"/>
    <x v="2"/>
    <s v="Lower Saxony"/>
    <x v="0"/>
    <s v="5 Series"/>
    <s v="Hybrid"/>
    <x v="1"/>
    <s v="50+"/>
    <s v="Medium"/>
    <x v="1"/>
    <x v="1"/>
    <s v="Sales_18"/>
    <n v="221"/>
    <n v="121"/>
    <n v="94"/>
    <n v="34"/>
    <s v="28.1"/>
    <n v="60904"/>
    <s v="4.25"/>
    <n v="44843"/>
    <n v="2070736"/>
    <n v="546074"/>
    <s v="Feb"/>
    <n v="2"/>
    <n v="2026"/>
    <s v="Weekend"/>
    <n v="0.36170212765957449"/>
    <n v="0.54751131221719462"/>
    <n v="0.15384615384615385"/>
    <n v="16061"/>
    <s v="Hannover Cars"/>
  </r>
  <r>
    <s v="CUST_1052"/>
    <x v="20"/>
    <x v="0"/>
    <s v="Thursday"/>
    <s v="No"/>
    <x v="6"/>
    <x v="6"/>
    <s v="Saxony"/>
    <x v="0"/>
    <s v="i4"/>
    <s v="Electric"/>
    <x v="1"/>
    <s v="50+"/>
    <s v="Medium"/>
    <x v="0"/>
    <x v="2"/>
    <s v="Sales_3"/>
    <n v="277"/>
    <n v="127"/>
    <n v="90"/>
    <n v="40"/>
    <s v="31.5"/>
    <n v="58555"/>
    <s v="4.88"/>
    <n v="41675"/>
    <n v="2342200"/>
    <n v="675200"/>
    <s v="Feb"/>
    <n v="2"/>
    <n v="2026"/>
    <s v="Weekday"/>
    <n v="0.44444444444444442"/>
    <n v="0.4584837545126354"/>
    <n v="0.1444043321299639"/>
    <n v="16880"/>
    <s v="Leipzig Mobility"/>
  </r>
  <r>
    <s v="CUST_1053"/>
    <x v="18"/>
    <x v="0"/>
    <s v="Saturday"/>
    <s v="Yes"/>
    <x v="9"/>
    <x v="9"/>
    <s v="NRW"/>
    <x v="4"/>
    <s v="ID.4"/>
    <s v="Petrol"/>
    <x v="0"/>
    <s v="26-35"/>
    <s v="Medium"/>
    <x v="1"/>
    <x v="1"/>
    <s v="Sales_18"/>
    <n v="505"/>
    <n v="206"/>
    <n v="143"/>
    <n v="31"/>
    <s v="15.05"/>
    <n v="33008"/>
    <s v="11.67"/>
    <n v="29193"/>
    <n v="1023248"/>
    <n v="118265"/>
    <s v="Feb"/>
    <n v="2"/>
    <n v="2026"/>
    <s v="Weekend"/>
    <n v="0.21678321678321677"/>
    <n v="0.40792079207920789"/>
    <n v="6.1386138613861385E-2"/>
    <n v="3815"/>
    <s v="Ruhr Auto Plaza"/>
  </r>
  <r>
    <s v="CUST_1054"/>
    <x v="13"/>
    <x v="0"/>
    <s v="Friday"/>
    <s v="No"/>
    <x v="0"/>
    <x v="0"/>
    <s v="Hesse"/>
    <x v="1"/>
    <s v="Astra"/>
    <s v="Diesel"/>
    <x v="2"/>
    <s v="26-35"/>
    <s v="Medium"/>
    <x v="0"/>
    <x v="0"/>
    <s v="Sales_10"/>
    <n v="404"/>
    <n v="167"/>
    <n v="104"/>
    <n v="24"/>
    <s v="14.37"/>
    <n v="20420"/>
    <s v="8.03"/>
    <n v="18637"/>
    <n v="490080"/>
    <n v="42792"/>
    <s v="Feb"/>
    <n v="2"/>
    <n v="2026"/>
    <s v="Weekday"/>
    <n v="0.23076923076923078"/>
    <n v="0.41336633663366334"/>
    <n v="5.9405940594059403E-2"/>
    <n v="1783"/>
    <s v="Main Auto Hub"/>
  </r>
  <r>
    <s v="CUST_1055"/>
    <x v="3"/>
    <x v="1"/>
    <s v="Sunday"/>
    <s v="Yes"/>
    <x v="1"/>
    <x v="1"/>
    <s v="NRW"/>
    <x v="0"/>
    <s v="X5"/>
    <s v="Hybrid"/>
    <x v="0"/>
    <s v="26-35"/>
    <s v="High"/>
    <x v="1"/>
    <x v="0"/>
    <s v="Sales_18"/>
    <n v="179"/>
    <n v="97"/>
    <n v="66"/>
    <n v="26"/>
    <s v="26.8"/>
    <n v="66350"/>
    <s v="2.26"/>
    <n v="48668"/>
    <n v="1725100"/>
    <n v="459732"/>
    <s v="Feb"/>
    <n v="2"/>
    <n v="2026"/>
    <s v="Weekend"/>
    <n v="0.39393939393939392"/>
    <n v="0.54189944134078216"/>
    <n v="0.14525139664804471"/>
    <n v="17682"/>
    <s v="Rhein Auto Group"/>
  </r>
  <r>
    <s v="CUST_1056"/>
    <x v="23"/>
    <x v="2"/>
    <s v="Tuesday"/>
    <s v="No"/>
    <x v="1"/>
    <x v="1"/>
    <s v="NRW"/>
    <x v="1"/>
    <s v="Mokka"/>
    <s v="Electric"/>
    <x v="0"/>
    <s v="50+"/>
    <s v="Low"/>
    <x v="0"/>
    <x v="1"/>
    <s v="Sales_6"/>
    <n v="305"/>
    <n v="132"/>
    <n v="83"/>
    <n v="25"/>
    <s v="18.94"/>
    <n v="24941"/>
    <s v="12.37"/>
    <n v="23084"/>
    <n v="623525"/>
    <n v="46425"/>
    <s v="Feb"/>
    <n v="2"/>
    <n v="2026"/>
    <s v="Weekday"/>
    <n v="0.30120481927710846"/>
    <n v="0.43278688524590164"/>
    <n v="8.1967213114754092E-2"/>
    <n v="1857"/>
    <s v="Rhein Auto Group"/>
  </r>
  <r>
    <s v="CUST_1057"/>
    <x v="16"/>
    <x v="1"/>
    <s v="Tuesday"/>
    <s v="No"/>
    <x v="1"/>
    <x v="1"/>
    <s v="NRW"/>
    <x v="4"/>
    <s v="Tiguan"/>
    <s v="Electric"/>
    <x v="0"/>
    <s v="50+"/>
    <s v="Low"/>
    <x v="0"/>
    <x v="2"/>
    <s v="Sales_16"/>
    <n v="312"/>
    <n v="145"/>
    <n v="103"/>
    <n v="32"/>
    <s v="22.07"/>
    <n v="26583"/>
    <s v="8.63"/>
    <n v="22900"/>
    <n v="850656"/>
    <n v="117856"/>
    <s v="Feb"/>
    <n v="2"/>
    <n v="2026"/>
    <s v="Weekday"/>
    <n v="0.31067961165048541"/>
    <n v="0.46474358974358976"/>
    <n v="0.10256410256410256"/>
    <n v="3683"/>
    <s v="Rhein Auto Group"/>
  </r>
  <r>
    <s v="CUST_1058"/>
    <x v="24"/>
    <x v="1"/>
    <s v="Thursday"/>
    <s v="No"/>
    <x v="9"/>
    <x v="9"/>
    <s v="NRW"/>
    <x v="2"/>
    <s v="e-tron"/>
    <s v="Hybrid"/>
    <x v="0"/>
    <s v="36-50"/>
    <s v="High"/>
    <x v="0"/>
    <x v="1"/>
    <s v="Sales_17"/>
    <n v="306"/>
    <n v="183"/>
    <n v="129"/>
    <n v="39"/>
    <s v="21.31"/>
    <n v="42248"/>
    <s v="6.81"/>
    <n v="33140"/>
    <n v="1647672"/>
    <n v="355212"/>
    <s v="Feb"/>
    <n v="2"/>
    <n v="2026"/>
    <s v="Weekday"/>
    <n v="0.30232558139534882"/>
    <n v="0.59803921568627449"/>
    <n v="0.12745098039215685"/>
    <n v="9108"/>
    <s v="Ruhr Auto Plaza"/>
  </r>
  <r>
    <s v="CUST_1059"/>
    <x v="8"/>
    <x v="3"/>
    <s v="Wednesday"/>
    <s v="No"/>
    <x v="0"/>
    <x v="0"/>
    <s v="Hesse"/>
    <x v="2"/>
    <s v="Q3"/>
    <s v="Hybrid"/>
    <x v="0"/>
    <s v="26-35"/>
    <s v="Low"/>
    <x v="1"/>
    <x v="2"/>
    <s v="Sales_16"/>
    <n v="236"/>
    <n v="131"/>
    <n v="94"/>
    <n v="30"/>
    <s v="22.9"/>
    <n v="52558"/>
    <s v="4.09"/>
    <n v="39748"/>
    <n v="1576740"/>
    <n v="384300"/>
    <s v="Feb"/>
    <n v="2"/>
    <n v="2026"/>
    <s v="Weekday"/>
    <n v="0.31914893617021278"/>
    <n v="0.55508474576271183"/>
    <n v="0.1271186440677966"/>
    <n v="12810"/>
    <s v="Main Auto Hub"/>
  </r>
  <r>
    <s v="CUST_1060"/>
    <x v="4"/>
    <x v="2"/>
    <s v="Wednesday"/>
    <s v="No"/>
    <x v="5"/>
    <x v="5"/>
    <s v="Hamburg"/>
    <x v="4"/>
    <s v="T-Roc"/>
    <s v="Electric"/>
    <x v="0"/>
    <s v="26-35"/>
    <s v="High"/>
    <x v="0"/>
    <x v="0"/>
    <s v="Sales_3"/>
    <n v="403"/>
    <n v="219"/>
    <n v="155"/>
    <n v="34"/>
    <s v="15.53"/>
    <n v="29513"/>
    <s v="6.24"/>
    <n v="26246"/>
    <n v="1003442"/>
    <n v="111078"/>
    <s v="Feb"/>
    <n v="2"/>
    <n v="2026"/>
    <s v="Weekday"/>
    <n v="0.21935483870967742"/>
    <n v="0.54342431761786603"/>
    <n v="8.4367245657568243E-2"/>
    <n v="3267"/>
    <s v="Elbe Drive"/>
  </r>
  <r>
    <s v="CUST_1061"/>
    <x v="8"/>
    <x v="3"/>
    <s v="Wednesday"/>
    <s v="No"/>
    <x v="3"/>
    <x v="3"/>
    <s v="Saxony"/>
    <x v="4"/>
    <s v="ID.4"/>
    <s v="Diesel"/>
    <x v="0"/>
    <s v="18-25"/>
    <s v="High"/>
    <x v="0"/>
    <x v="2"/>
    <s v="Sales_12"/>
    <n v="517"/>
    <n v="298"/>
    <n v="212"/>
    <n v="62"/>
    <s v="20.81"/>
    <n v="32943"/>
    <s v="8.12"/>
    <n v="29892"/>
    <n v="2042466"/>
    <n v="189162"/>
    <s v="Feb"/>
    <n v="2"/>
    <n v="2026"/>
    <s v="Weekday"/>
    <n v="0.29245283018867924"/>
    <n v="0.57640232108317213"/>
    <n v="0.11992263056092843"/>
    <n v="3051"/>
    <s v="Saxon Wheels"/>
  </r>
  <r>
    <s v="CUST_1062"/>
    <x v="13"/>
    <x v="0"/>
    <s v="Friday"/>
    <s v="No"/>
    <x v="1"/>
    <x v="1"/>
    <s v="NRW"/>
    <x v="4"/>
    <s v="Passat"/>
    <s v="Petrol"/>
    <x v="1"/>
    <s v="26-35"/>
    <s v="High"/>
    <x v="0"/>
    <x v="3"/>
    <s v="Sales_17"/>
    <n v="350"/>
    <n v="182"/>
    <n v="124"/>
    <n v="32"/>
    <s v="17.58"/>
    <n v="30216"/>
    <s v="10.07"/>
    <n v="26855"/>
    <n v="966912"/>
    <n v="107552"/>
    <s v="Feb"/>
    <n v="2"/>
    <n v="2026"/>
    <s v="Weekday"/>
    <n v="0.25806451612903225"/>
    <n v="0.52"/>
    <n v="9.1428571428571428E-2"/>
    <n v="3361"/>
    <s v="Rhein Auto Group"/>
  </r>
  <r>
    <s v="CUST_1063"/>
    <x v="9"/>
    <x v="0"/>
    <s v="Sunday"/>
    <s v="Yes"/>
    <x v="4"/>
    <x v="4"/>
    <s v="Berlin"/>
    <x v="4"/>
    <s v="ID.4"/>
    <s v="Diesel"/>
    <x v="0"/>
    <s v="50+"/>
    <s v="Low"/>
    <x v="1"/>
    <x v="0"/>
    <s v="Sales_11"/>
    <n v="424"/>
    <n v="222"/>
    <n v="145"/>
    <n v="28"/>
    <s v="12.61"/>
    <n v="28133"/>
    <s v="6.44"/>
    <n v="24971"/>
    <n v="787724"/>
    <n v="88536"/>
    <s v="Feb"/>
    <n v="2"/>
    <n v="2026"/>
    <s v="Weekend"/>
    <n v="0.19310344827586207"/>
    <n v="0.52358490566037741"/>
    <n v="6.6037735849056603E-2"/>
    <n v="3162"/>
    <s v="Autohaus Berlin"/>
  </r>
  <r>
    <s v="CUST_1064"/>
    <x v="13"/>
    <x v="0"/>
    <s v="Friday"/>
    <s v="No"/>
    <x v="7"/>
    <x v="7"/>
    <s v="Bavaria"/>
    <x v="3"/>
    <s v="GLC"/>
    <s v="Petrol"/>
    <x v="0"/>
    <s v="50+"/>
    <s v="Medium"/>
    <x v="0"/>
    <x v="0"/>
    <s v="Sales_7"/>
    <n v="194"/>
    <n v="85"/>
    <n v="57"/>
    <n v="21"/>
    <s v="24.71"/>
    <n v="66417"/>
    <s v="5.39"/>
    <n v="50502"/>
    <n v="1394757"/>
    <n v="334215"/>
    <s v="Feb"/>
    <n v="2"/>
    <n v="2026"/>
    <s v="Weekday"/>
    <n v="0.36842105263157893"/>
    <n v="0.43814432989690721"/>
    <n v="0.10824742268041238"/>
    <n v="15915"/>
    <s v="Bavaria Motors"/>
  </r>
  <r>
    <s v="CUST_1065"/>
    <x v="11"/>
    <x v="0"/>
    <s v="Wednesday"/>
    <s v="No"/>
    <x v="2"/>
    <x v="2"/>
    <s v="Lower Saxony"/>
    <x v="0"/>
    <s v="5 Series"/>
    <s v="Diesel"/>
    <x v="1"/>
    <s v="36-50"/>
    <s v="Medium"/>
    <x v="1"/>
    <x v="2"/>
    <s v="Sales_6"/>
    <n v="215"/>
    <n v="105"/>
    <n v="85"/>
    <n v="29"/>
    <s v="27.62"/>
    <n v="57941"/>
    <s v="4.01"/>
    <n v="41670"/>
    <n v="1680289"/>
    <n v="471859"/>
    <s v="Feb"/>
    <n v="2"/>
    <n v="2026"/>
    <s v="Weekday"/>
    <n v="0.3411764705882353"/>
    <n v="0.48837209302325579"/>
    <n v="0.13488372093023257"/>
    <n v="16271"/>
    <s v="Hannover Cars"/>
  </r>
  <r>
    <s v="CUST_1066"/>
    <x v="18"/>
    <x v="0"/>
    <s v="Saturday"/>
    <s v="Yes"/>
    <x v="1"/>
    <x v="1"/>
    <s v="NRW"/>
    <x v="2"/>
    <s v="A3"/>
    <s v="Hybrid"/>
    <x v="2"/>
    <s v="18-25"/>
    <s v="High"/>
    <x v="0"/>
    <x v="2"/>
    <s v="Sales_7"/>
    <n v="289"/>
    <n v="150"/>
    <n v="102"/>
    <n v="40"/>
    <s v="26.67"/>
    <n v="53086"/>
    <s v="5.11"/>
    <n v="40219"/>
    <n v="2123440"/>
    <n v="514680"/>
    <s v="Feb"/>
    <n v="2"/>
    <n v="2026"/>
    <s v="Weekend"/>
    <n v="0.39215686274509803"/>
    <n v="0.51903114186851207"/>
    <n v="0.13840830449826991"/>
    <n v="12867"/>
    <s v="Rhein Auto Group"/>
  </r>
  <r>
    <s v="CUST_1067"/>
    <x v="5"/>
    <x v="3"/>
    <s v="Saturday"/>
    <s v="Yes"/>
    <x v="3"/>
    <x v="3"/>
    <s v="Saxony"/>
    <x v="4"/>
    <s v="Golf"/>
    <s v="Diesel"/>
    <x v="2"/>
    <s v="18-25"/>
    <s v="High"/>
    <x v="0"/>
    <x v="2"/>
    <s v="Sales_16"/>
    <n v="434"/>
    <n v="188"/>
    <n v="114"/>
    <n v="34"/>
    <s v="18.09"/>
    <n v="28704"/>
    <s v="6.11"/>
    <n v="25237"/>
    <n v="975936"/>
    <n v="117878"/>
    <s v="Feb"/>
    <n v="2"/>
    <n v="2026"/>
    <s v="Weekend"/>
    <n v="0.2982456140350877"/>
    <n v="0.43317972350230416"/>
    <n v="7.8341013824884786E-2"/>
    <n v="3467"/>
    <s v="Saxon Wheels"/>
  </r>
  <r>
    <s v="CUST_1068"/>
    <x v="13"/>
    <x v="0"/>
    <s v="Friday"/>
    <s v="No"/>
    <x v="8"/>
    <x v="8"/>
    <s v="Baden-WÃ¼rttemberg"/>
    <x v="2"/>
    <s v="Q3"/>
    <s v="Electric"/>
    <x v="0"/>
    <s v="50+"/>
    <s v="Medium"/>
    <x v="1"/>
    <x v="0"/>
    <s v="Sales_4"/>
    <n v="240"/>
    <n v="126"/>
    <n v="82"/>
    <n v="25"/>
    <s v="19.84"/>
    <n v="45470"/>
    <s v="4.0"/>
    <n v="37038"/>
    <n v="1136750"/>
    <n v="210800"/>
    <s v="Feb"/>
    <n v="2"/>
    <n v="2026"/>
    <s v="Weekday"/>
    <n v="0.3048780487804878"/>
    <n v="0.52500000000000002"/>
    <n v="0.10416666666666667"/>
    <n v="8432"/>
    <s v="Stuttgart Auto Center"/>
  </r>
  <r>
    <s v="CUST_1069"/>
    <x v="16"/>
    <x v="1"/>
    <s v="Tuesday"/>
    <s v="No"/>
    <x v="7"/>
    <x v="7"/>
    <s v="Bavaria"/>
    <x v="3"/>
    <s v="E-Class"/>
    <s v="Electric"/>
    <x v="1"/>
    <s v="26-35"/>
    <s v="Low"/>
    <x v="0"/>
    <x v="2"/>
    <s v="Sales_12"/>
    <n v="214"/>
    <n v="119"/>
    <n v="78"/>
    <n v="34"/>
    <s v="28.57"/>
    <n v="56970"/>
    <s v="4.24"/>
    <n v="44639"/>
    <n v="1936980"/>
    <n v="419254"/>
    <s v="Feb"/>
    <n v="2"/>
    <n v="2026"/>
    <s v="Weekday"/>
    <n v="0.4358974358974359"/>
    <n v="0.55607476635514019"/>
    <n v="0.15887850467289719"/>
    <n v="12331"/>
    <s v="Bavaria Motors"/>
  </r>
  <r>
    <s v="CUST_1070"/>
    <x v="13"/>
    <x v="0"/>
    <s v="Friday"/>
    <s v="No"/>
    <x v="9"/>
    <x v="9"/>
    <s v="NRW"/>
    <x v="3"/>
    <s v="GLC"/>
    <s v="Diesel"/>
    <x v="0"/>
    <s v="50+"/>
    <s v="Low"/>
    <x v="0"/>
    <x v="1"/>
    <s v="Sales_5"/>
    <n v="253"/>
    <n v="121"/>
    <n v="92"/>
    <n v="31"/>
    <s v="25.62"/>
    <n v="71843"/>
    <s v="3.83"/>
    <n v="56151"/>
    <n v="2227133"/>
    <n v="486452"/>
    <s v="Feb"/>
    <n v="2"/>
    <n v="2026"/>
    <s v="Weekday"/>
    <n v="0.33695652173913043"/>
    <n v="0.47826086956521741"/>
    <n v="0.1225296442687747"/>
    <n v="15692"/>
    <s v="Ruhr Auto Plaza"/>
  </r>
  <r>
    <s v="CUST_1071"/>
    <x v="8"/>
    <x v="3"/>
    <s v="Wednesday"/>
    <s v="No"/>
    <x v="8"/>
    <x v="8"/>
    <s v="Baden-WÃ¼rttemberg"/>
    <x v="1"/>
    <s v="Astra"/>
    <s v="Petrol"/>
    <x v="2"/>
    <s v="26-35"/>
    <s v="Low"/>
    <x v="0"/>
    <x v="2"/>
    <s v="Sales_5"/>
    <n v="318"/>
    <n v="133"/>
    <n v="84"/>
    <n v="29"/>
    <s v="21.8"/>
    <n v="26283"/>
    <s v="7.91"/>
    <n v="23570"/>
    <n v="762207"/>
    <n v="78677"/>
    <s v="Feb"/>
    <n v="2"/>
    <n v="2026"/>
    <s v="Weekday"/>
    <n v="0.34523809523809523"/>
    <n v="0.41823899371069184"/>
    <n v="9.1194968553459113E-2"/>
    <n v="2713"/>
    <s v="Stuttgart Auto Center"/>
  </r>
  <r>
    <s v="CUST_1072"/>
    <x v="10"/>
    <x v="1"/>
    <s v="Monday"/>
    <s v="No"/>
    <x v="2"/>
    <x v="2"/>
    <s v="Lower Saxony"/>
    <x v="1"/>
    <s v="Grandland"/>
    <s v="Diesel"/>
    <x v="0"/>
    <s v="50+"/>
    <s v="Low"/>
    <x v="0"/>
    <x v="0"/>
    <s v="Sales_16"/>
    <n v="271"/>
    <n v="104"/>
    <n v="62"/>
    <n v="14"/>
    <s v="13.46"/>
    <n v="26200"/>
    <s v="10.34"/>
    <n v="23441"/>
    <n v="366800"/>
    <n v="38626"/>
    <s v="Feb"/>
    <n v="2"/>
    <n v="2026"/>
    <s v="Weekday"/>
    <n v="0.22580645161290322"/>
    <n v="0.3837638376383764"/>
    <n v="5.1660516605166053E-2"/>
    <n v="2759"/>
    <s v="Hannover Cars"/>
  </r>
  <r>
    <s v="CUST_1073"/>
    <x v="2"/>
    <x v="2"/>
    <s v="Monday"/>
    <s v="No"/>
    <x v="6"/>
    <x v="6"/>
    <s v="Saxony"/>
    <x v="2"/>
    <s v="Q3"/>
    <s v="Petrol"/>
    <x v="0"/>
    <s v="26-35"/>
    <s v="Medium"/>
    <x v="0"/>
    <x v="2"/>
    <s v="Sales_12"/>
    <n v="190"/>
    <n v="99"/>
    <n v="66"/>
    <n v="24"/>
    <s v="24.24"/>
    <n v="49280"/>
    <s v="6.18"/>
    <n v="38148"/>
    <n v="1182720"/>
    <n v="267168"/>
    <s v="Feb"/>
    <n v="2"/>
    <n v="2026"/>
    <s v="Weekday"/>
    <n v="0.36363636363636365"/>
    <n v="0.52105263157894732"/>
    <n v="0.12631578947368421"/>
    <n v="11132"/>
    <s v="Leipzig Mobility"/>
  </r>
  <r>
    <s v="CUST_1074"/>
    <x v="0"/>
    <x v="0"/>
    <s v="Monday"/>
    <s v="No"/>
    <x v="2"/>
    <x v="2"/>
    <s v="Lower Saxony"/>
    <x v="3"/>
    <s v="E-Class"/>
    <s v="Diesel"/>
    <x v="1"/>
    <s v="18-25"/>
    <s v="Low"/>
    <x v="1"/>
    <x v="0"/>
    <s v="Sales_16"/>
    <n v="283"/>
    <n v="149"/>
    <n v="115"/>
    <n v="34"/>
    <s v="22.82"/>
    <n v="53184"/>
    <s v="5.69"/>
    <n v="41901"/>
    <n v="1808256"/>
    <n v="383622"/>
    <s v="Feb"/>
    <n v="2"/>
    <n v="2026"/>
    <s v="Weekday"/>
    <n v="0.29565217391304349"/>
    <n v="0.52650176678445226"/>
    <n v="0.12014134275618374"/>
    <n v="11283"/>
    <s v="Hannover Cars"/>
  </r>
  <r>
    <s v="CUST_1075"/>
    <x v="1"/>
    <x v="1"/>
    <s v="Wednesday"/>
    <s v="No"/>
    <x v="4"/>
    <x v="4"/>
    <s v="Berlin"/>
    <x v="2"/>
    <s v="Q3"/>
    <s v="Petrol"/>
    <x v="0"/>
    <s v="18-25"/>
    <s v="Medium"/>
    <x v="0"/>
    <x v="1"/>
    <s v="Sales_14"/>
    <n v="291"/>
    <n v="139"/>
    <n v="105"/>
    <n v="35"/>
    <s v="25.18"/>
    <n v="51736"/>
    <s v="3.65"/>
    <n v="41809"/>
    <n v="1810760"/>
    <n v="347445"/>
    <s v="Feb"/>
    <n v="2"/>
    <n v="2026"/>
    <s v="Weekday"/>
    <n v="0.33333333333333331"/>
    <n v="0.47766323024054985"/>
    <n v="0.12027491408934708"/>
    <n v="9927"/>
    <s v="Autohaus Berlin"/>
  </r>
  <r>
    <s v="CUST_1076"/>
    <x v="4"/>
    <x v="2"/>
    <s v="Wednesday"/>
    <s v="No"/>
    <x v="2"/>
    <x v="2"/>
    <s v="Lower Saxony"/>
    <x v="4"/>
    <s v="Passat"/>
    <s v="Diesel"/>
    <x v="1"/>
    <s v="18-25"/>
    <s v="Low"/>
    <x v="0"/>
    <x v="3"/>
    <s v="Sales_6"/>
    <n v="326"/>
    <n v="182"/>
    <n v="112"/>
    <n v="26"/>
    <s v="14.29"/>
    <n v="34020"/>
    <s v="9.73"/>
    <n v="29897"/>
    <n v="884520"/>
    <n v="107198"/>
    <s v="Feb"/>
    <n v="2"/>
    <n v="2026"/>
    <s v="Weekday"/>
    <n v="0.23214285714285715"/>
    <n v="0.55828220858895705"/>
    <n v="7.9754601226993863E-2"/>
    <n v="4123"/>
    <s v="Hannover Cars"/>
  </r>
  <r>
    <s v="CUST_1077"/>
    <x v="26"/>
    <x v="1"/>
    <s v="Friday"/>
    <s v="No"/>
    <x v="9"/>
    <x v="9"/>
    <s v="NRW"/>
    <x v="1"/>
    <s v="Crossland"/>
    <s v="Diesel"/>
    <x v="0"/>
    <s v="26-35"/>
    <s v="Medium"/>
    <x v="1"/>
    <x v="1"/>
    <s v="Sales_12"/>
    <n v="397"/>
    <n v="190"/>
    <n v="107"/>
    <n v="28"/>
    <s v="14.74"/>
    <n v="21139"/>
    <s v="10.25"/>
    <n v="19119"/>
    <n v="591892"/>
    <n v="56560"/>
    <s v="Feb"/>
    <n v="2"/>
    <n v="2026"/>
    <s v="Weekday"/>
    <n v="0.26168224299065418"/>
    <n v="0.47858942065491183"/>
    <n v="7.0528967254408062E-2"/>
    <n v="2020"/>
    <s v="Ruhr Auto Plaza"/>
  </r>
  <r>
    <s v="CUST_1078"/>
    <x v="0"/>
    <x v="0"/>
    <s v="Monday"/>
    <s v="No"/>
    <x v="1"/>
    <x v="1"/>
    <s v="NRW"/>
    <x v="2"/>
    <s v="Q5"/>
    <s v="Petrol"/>
    <x v="0"/>
    <s v="26-35"/>
    <s v="Low"/>
    <x v="0"/>
    <x v="3"/>
    <s v="Sales_8"/>
    <n v="229"/>
    <n v="120"/>
    <n v="77"/>
    <n v="29"/>
    <s v="24.17"/>
    <n v="54554"/>
    <s v="5.62"/>
    <n v="43923"/>
    <n v="1582066"/>
    <n v="308299"/>
    <s v="Feb"/>
    <n v="2"/>
    <n v="2026"/>
    <s v="Weekday"/>
    <n v="0.37662337662337664"/>
    <n v="0.5240174672489083"/>
    <n v="0.12663755458515283"/>
    <n v="10631"/>
    <s v="Rhein Auto Group"/>
  </r>
  <r>
    <s v="CUST_1079"/>
    <x v="18"/>
    <x v="0"/>
    <s v="Saturday"/>
    <s v="Yes"/>
    <x v="5"/>
    <x v="5"/>
    <s v="Hamburg"/>
    <x v="4"/>
    <s v="ID.4"/>
    <s v="Electric"/>
    <x v="0"/>
    <s v="36-50"/>
    <s v="High"/>
    <x v="0"/>
    <x v="1"/>
    <s v="Sales_14"/>
    <n v="492"/>
    <n v="271"/>
    <n v="192"/>
    <n v="55"/>
    <s v="20.3"/>
    <n v="26843"/>
    <s v="11.74"/>
    <n v="23193"/>
    <n v="1476365"/>
    <n v="200750"/>
    <s v="Feb"/>
    <n v="2"/>
    <n v="2026"/>
    <s v="Weekend"/>
    <n v="0.28645833333333331"/>
    <n v="0.55081300813008127"/>
    <n v="0.11178861788617886"/>
    <n v="3650"/>
    <s v="Elbe Drive"/>
  </r>
  <r>
    <s v="CUST_1080"/>
    <x v="1"/>
    <x v="1"/>
    <s v="Wednesday"/>
    <s v="No"/>
    <x v="4"/>
    <x v="4"/>
    <s v="Berlin"/>
    <x v="0"/>
    <s v="5 Series"/>
    <s v="Diesel"/>
    <x v="1"/>
    <s v="26-35"/>
    <s v="Medium"/>
    <x v="1"/>
    <x v="1"/>
    <s v="Sales_13"/>
    <n v="192"/>
    <n v="92"/>
    <n v="63"/>
    <n v="29"/>
    <s v="31.52"/>
    <n v="56836"/>
    <s v="5.29"/>
    <n v="42081"/>
    <n v="1648244"/>
    <n v="427895"/>
    <s v="Feb"/>
    <n v="2"/>
    <n v="2026"/>
    <s v="Weekday"/>
    <n v="0.46031746031746029"/>
    <n v="0.47916666666666669"/>
    <n v="0.15104166666666666"/>
    <n v="14755"/>
    <s v="Autohaus Berlin"/>
  </r>
  <r>
    <s v="CUST_1081"/>
    <x v="9"/>
    <x v="0"/>
    <s v="Sunday"/>
    <s v="Yes"/>
    <x v="8"/>
    <x v="8"/>
    <s v="Baden-WÃ¼rttemberg"/>
    <x v="4"/>
    <s v="Passat"/>
    <s v="Petrol"/>
    <x v="1"/>
    <s v="50+"/>
    <s v="Low"/>
    <x v="0"/>
    <x v="2"/>
    <s v="Sales_15"/>
    <n v="491"/>
    <n v="281"/>
    <n v="182"/>
    <n v="52"/>
    <s v="18.51"/>
    <n v="29014"/>
    <s v="8.21"/>
    <n v="25757"/>
    <n v="1508728"/>
    <n v="169364"/>
    <s v="Feb"/>
    <n v="2"/>
    <n v="2026"/>
    <s v="Weekend"/>
    <n v="0.2857142857142857"/>
    <n v="0.57230142566191444"/>
    <n v="0.10590631364562118"/>
    <n v="3257"/>
    <s v="Stuttgart Auto Center"/>
  </r>
  <r>
    <s v="CUST_1082"/>
    <x v="18"/>
    <x v="0"/>
    <s v="Saturday"/>
    <s v="Yes"/>
    <x v="4"/>
    <x v="4"/>
    <s v="Berlin"/>
    <x v="3"/>
    <s v="E-Class"/>
    <s v="Petrol"/>
    <x v="1"/>
    <s v="18-25"/>
    <s v="Medium"/>
    <x v="1"/>
    <x v="1"/>
    <s v="Sales_19"/>
    <n v="252"/>
    <n v="127"/>
    <n v="86"/>
    <n v="30"/>
    <s v="23.62"/>
    <n v="51079"/>
    <s v="3.45"/>
    <n v="39613"/>
    <n v="1532370"/>
    <n v="343980"/>
    <s v="Feb"/>
    <n v="2"/>
    <n v="2026"/>
    <s v="Weekend"/>
    <n v="0.34883720930232559"/>
    <n v="0.50396825396825395"/>
    <n v="0.11904761904761904"/>
    <n v="11466"/>
    <s v="Autohaus Berlin"/>
  </r>
  <r>
    <s v="CUST_1083"/>
    <x v="18"/>
    <x v="0"/>
    <s v="Saturday"/>
    <s v="Yes"/>
    <x v="2"/>
    <x v="2"/>
    <s v="Lower Saxony"/>
    <x v="4"/>
    <s v="Tiguan"/>
    <s v="Diesel"/>
    <x v="0"/>
    <s v="36-50"/>
    <s v="Low"/>
    <x v="1"/>
    <x v="1"/>
    <s v="Sales_19"/>
    <n v="478"/>
    <n v="235"/>
    <n v="138"/>
    <n v="33"/>
    <s v="14.04"/>
    <n v="30513"/>
    <s v="6.84"/>
    <n v="26738"/>
    <n v="1006929"/>
    <n v="124575"/>
    <s v="Feb"/>
    <n v="2"/>
    <n v="2026"/>
    <s v="Weekend"/>
    <n v="0.2391304347826087"/>
    <n v="0.49163179916317989"/>
    <n v="6.903765690376569E-2"/>
    <n v="3775"/>
    <s v="Hannover Cars"/>
  </r>
  <r>
    <s v="CUST_1084"/>
    <x v="9"/>
    <x v="0"/>
    <s v="Sunday"/>
    <s v="Yes"/>
    <x v="5"/>
    <x v="5"/>
    <s v="Hamburg"/>
    <x v="2"/>
    <s v="A3"/>
    <s v="Petrol"/>
    <x v="2"/>
    <s v="50+"/>
    <s v="Low"/>
    <x v="1"/>
    <x v="2"/>
    <s v="Sales_10"/>
    <n v="206"/>
    <n v="106"/>
    <n v="69"/>
    <n v="27"/>
    <s v="25.47"/>
    <n v="40805"/>
    <s v="3.38"/>
    <n v="33373"/>
    <n v="1101735"/>
    <n v="200664"/>
    <s v="Feb"/>
    <n v="2"/>
    <n v="2026"/>
    <s v="Weekend"/>
    <n v="0.39130434782608697"/>
    <n v="0.5145631067961165"/>
    <n v="0.13106796116504854"/>
    <n v="7432"/>
    <s v="Elbe Drive"/>
  </r>
  <r>
    <s v="CUST_1085"/>
    <x v="1"/>
    <x v="1"/>
    <s v="Wednesday"/>
    <s v="No"/>
    <x v="5"/>
    <x v="5"/>
    <s v="Hamburg"/>
    <x v="4"/>
    <s v="ID.4"/>
    <s v="Hybrid"/>
    <x v="0"/>
    <s v="36-50"/>
    <s v="Medium"/>
    <x v="1"/>
    <x v="1"/>
    <s v="Sales_19"/>
    <n v="312"/>
    <n v="125"/>
    <n v="81"/>
    <n v="20"/>
    <s v="16.0"/>
    <n v="26608"/>
    <s v="9.52"/>
    <n v="24108"/>
    <n v="532160"/>
    <n v="50000"/>
    <s v="Feb"/>
    <n v="2"/>
    <n v="2026"/>
    <s v="Weekday"/>
    <n v="0.24691358024691357"/>
    <n v="0.40064102564102566"/>
    <n v="6.4102564102564097E-2"/>
    <n v="2500"/>
    <s v="Elbe Drive"/>
  </r>
  <r>
    <s v="CUST_1086"/>
    <x v="0"/>
    <x v="0"/>
    <s v="Monday"/>
    <s v="No"/>
    <x v="8"/>
    <x v="8"/>
    <s v="Baden-WÃ¼rttemberg"/>
    <x v="2"/>
    <s v="A3"/>
    <s v="Diesel"/>
    <x v="2"/>
    <s v="18-25"/>
    <s v="Low"/>
    <x v="0"/>
    <x v="0"/>
    <s v="Sales_7"/>
    <n v="284"/>
    <n v="139"/>
    <n v="100"/>
    <n v="34"/>
    <s v="24.46"/>
    <n v="46382"/>
    <s v="5.6"/>
    <n v="35229"/>
    <n v="1576988"/>
    <n v="379202"/>
    <s v="Feb"/>
    <n v="2"/>
    <n v="2026"/>
    <s v="Weekday"/>
    <n v="0.34"/>
    <n v="0.48943661971830987"/>
    <n v="0.11971830985915492"/>
    <n v="11153"/>
    <s v="Stuttgart Auto Center"/>
  </r>
  <r>
    <s v="CUST_1087"/>
    <x v="27"/>
    <x v="3"/>
    <s v="Sunday"/>
    <s v="Yes"/>
    <x v="7"/>
    <x v="7"/>
    <s v="Bavaria"/>
    <x v="3"/>
    <s v="GLC"/>
    <s v="Hybrid"/>
    <x v="0"/>
    <s v="50+"/>
    <s v="Medium"/>
    <x v="1"/>
    <x v="3"/>
    <s v="Sales_3"/>
    <n v="201"/>
    <n v="113"/>
    <n v="86"/>
    <n v="29"/>
    <s v="25.66"/>
    <n v="52677"/>
    <s v="4.67"/>
    <n v="38126"/>
    <n v="1527633"/>
    <n v="421979"/>
    <s v="Feb"/>
    <n v="2"/>
    <n v="2026"/>
    <s v="Weekend"/>
    <n v="0.33720930232558138"/>
    <n v="0.56218905472636815"/>
    <n v="0.14427860696517414"/>
    <n v="14551"/>
    <s v="Bavaria Motors"/>
  </r>
  <r>
    <s v="CUST_1088"/>
    <x v="23"/>
    <x v="2"/>
    <s v="Tuesday"/>
    <s v="No"/>
    <x v="9"/>
    <x v="9"/>
    <s v="NRW"/>
    <x v="2"/>
    <s v="Q5"/>
    <s v="Hybrid"/>
    <x v="0"/>
    <s v="26-35"/>
    <s v="Low"/>
    <x v="0"/>
    <x v="3"/>
    <s v="Sales_20"/>
    <n v="318"/>
    <n v="180"/>
    <n v="130"/>
    <n v="35"/>
    <s v="19.44"/>
    <n v="46314"/>
    <s v="6.1"/>
    <n v="37556"/>
    <n v="1620990"/>
    <n v="306530"/>
    <s v="Feb"/>
    <n v="2"/>
    <n v="2026"/>
    <s v="Weekday"/>
    <n v="0.26923076923076922"/>
    <n v="0.56603773584905659"/>
    <n v="0.11006289308176101"/>
    <n v="8758"/>
    <s v="Ruhr Auto Plaza"/>
  </r>
  <r>
    <s v="CUST_1089"/>
    <x v="18"/>
    <x v="0"/>
    <s v="Saturday"/>
    <s v="Yes"/>
    <x v="0"/>
    <x v="0"/>
    <s v="Hesse"/>
    <x v="0"/>
    <s v="X3"/>
    <s v="Petrol"/>
    <x v="0"/>
    <s v="26-35"/>
    <s v="Low"/>
    <x v="1"/>
    <x v="1"/>
    <s v="Sales_12"/>
    <n v="201"/>
    <n v="119"/>
    <n v="95"/>
    <n v="35"/>
    <s v="29.41"/>
    <n v="59666"/>
    <s v="4.82"/>
    <n v="45648"/>
    <n v="2088310"/>
    <n v="490630"/>
    <s v="Feb"/>
    <n v="2"/>
    <n v="2026"/>
    <s v="Weekend"/>
    <n v="0.36842105263157893"/>
    <n v="0.59203980099502485"/>
    <n v="0.17412935323383086"/>
    <n v="14018"/>
    <s v="Main Auto Hub"/>
  </r>
  <r>
    <s v="CUST_1090"/>
    <x v="21"/>
    <x v="0"/>
    <s v="Tuesday"/>
    <s v="No"/>
    <x v="2"/>
    <x v="2"/>
    <s v="Lower Saxony"/>
    <x v="3"/>
    <s v="C-Class"/>
    <s v="Diesel"/>
    <x v="1"/>
    <s v="18-25"/>
    <s v="High"/>
    <x v="0"/>
    <x v="3"/>
    <s v="Sales_6"/>
    <n v="259"/>
    <n v="146"/>
    <n v="101"/>
    <n v="34"/>
    <s v="23.29"/>
    <n v="65242"/>
    <s v="5.88"/>
    <n v="47492"/>
    <n v="2218228"/>
    <n v="603500"/>
    <s v="Feb"/>
    <n v="2"/>
    <n v="2026"/>
    <s v="Weekday"/>
    <n v="0.33663366336633666"/>
    <n v="0.56370656370656369"/>
    <n v="0.13127413127413126"/>
    <n v="17750"/>
    <s v="Hannover Cars"/>
  </r>
  <r>
    <s v="CUST_1091"/>
    <x v="9"/>
    <x v="0"/>
    <s v="Sunday"/>
    <s v="Yes"/>
    <x v="0"/>
    <x v="0"/>
    <s v="Hesse"/>
    <x v="2"/>
    <s v="A3"/>
    <s v="Diesel"/>
    <x v="2"/>
    <s v="26-35"/>
    <s v="Low"/>
    <x v="1"/>
    <x v="1"/>
    <s v="Sales_19"/>
    <n v="191"/>
    <n v="101"/>
    <n v="65"/>
    <n v="24"/>
    <s v="23.76"/>
    <n v="45303"/>
    <s v="4.18"/>
    <n v="34763"/>
    <n v="1087272"/>
    <n v="252960"/>
    <s v="Feb"/>
    <n v="2"/>
    <n v="2026"/>
    <s v="Weekend"/>
    <n v="0.36923076923076925"/>
    <n v="0.52879581151832455"/>
    <n v="0.1256544502617801"/>
    <n v="10540"/>
    <s v="Main Auto Hub"/>
  </r>
  <r>
    <s v="CUST_1092"/>
    <x v="5"/>
    <x v="3"/>
    <s v="Saturday"/>
    <s v="Yes"/>
    <x v="0"/>
    <x v="0"/>
    <s v="Hesse"/>
    <x v="0"/>
    <s v="3 Series"/>
    <s v="Electric"/>
    <x v="1"/>
    <s v="36-50"/>
    <s v="Low"/>
    <x v="0"/>
    <x v="3"/>
    <s v="Sales_6"/>
    <n v="173"/>
    <n v="102"/>
    <n v="73"/>
    <n v="27"/>
    <s v="26.47"/>
    <n v="66583"/>
    <s v="5.46"/>
    <n v="48163"/>
    <n v="1797741"/>
    <n v="497340"/>
    <s v="Feb"/>
    <n v="2"/>
    <n v="2026"/>
    <s v="Weekend"/>
    <n v="0.36986301369863012"/>
    <n v="0.58959537572254339"/>
    <n v="0.15606936416184972"/>
    <n v="18420"/>
    <s v="Main Auto Hub"/>
  </r>
  <r>
    <s v="CUST_1093"/>
    <x v="7"/>
    <x v="3"/>
    <s v="Monday"/>
    <s v="No"/>
    <x v="4"/>
    <x v="4"/>
    <s v="Berlin"/>
    <x v="2"/>
    <s v="e-tron"/>
    <s v="Hybrid"/>
    <x v="0"/>
    <s v="18-25"/>
    <s v="High"/>
    <x v="0"/>
    <x v="1"/>
    <s v="Sales_18"/>
    <n v="279"/>
    <n v="129"/>
    <n v="83"/>
    <n v="33"/>
    <s v="25.58"/>
    <n v="51049"/>
    <s v="5.52"/>
    <n v="39263"/>
    <n v="1684617"/>
    <n v="388938"/>
    <s v="Feb"/>
    <n v="2"/>
    <n v="2026"/>
    <s v="Weekday"/>
    <n v="0.39759036144578314"/>
    <n v="0.46236559139784944"/>
    <n v="0.11827956989247312"/>
    <n v="11786"/>
    <s v="Autohaus Berlin"/>
  </r>
  <r>
    <s v="CUST_1094"/>
    <x v="18"/>
    <x v="0"/>
    <s v="Saturday"/>
    <s v="Yes"/>
    <x v="2"/>
    <x v="2"/>
    <s v="Lower Saxony"/>
    <x v="4"/>
    <s v="Tiguan"/>
    <s v="Diesel"/>
    <x v="0"/>
    <s v="50+"/>
    <s v="Medium"/>
    <x v="0"/>
    <x v="2"/>
    <s v="Sales_8"/>
    <n v="320"/>
    <n v="149"/>
    <n v="100"/>
    <n v="25"/>
    <s v="16.78"/>
    <n v="30402"/>
    <s v="11.38"/>
    <n v="27653"/>
    <n v="760050"/>
    <n v="68725"/>
    <s v="Feb"/>
    <n v="2"/>
    <n v="2026"/>
    <s v="Weekend"/>
    <n v="0.25"/>
    <n v="0.46562500000000001"/>
    <n v="7.8125E-2"/>
    <n v="2749"/>
    <s v="Hannover Cars"/>
  </r>
  <r>
    <s v="CUST_1095"/>
    <x v="13"/>
    <x v="0"/>
    <s v="Friday"/>
    <s v="No"/>
    <x v="3"/>
    <x v="3"/>
    <s v="Saxony"/>
    <x v="1"/>
    <s v="Mokka"/>
    <s v="Electric"/>
    <x v="0"/>
    <s v="18-25"/>
    <s v="High"/>
    <x v="1"/>
    <x v="1"/>
    <s v="Sales_4"/>
    <n v="319"/>
    <n v="162"/>
    <n v="108"/>
    <n v="27"/>
    <s v="16.67"/>
    <n v="21347"/>
    <s v="13.2"/>
    <n v="19489"/>
    <n v="576369"/>
    <n v="50166"/>
    <s v="Feb"/>
    <n v="2"/>
    <n v="2026"/>
    <s v="Weekday"/>
    <n v="0.25"/>
    <n v="0.50783699059561127"/>
    <n v="8.4639498432601878E-2"/>
    <n v="1858"/>
    <s v="Saxon Wheels"/>
  </r>
  <r>
    <s v="CUST_1096"/>
    <x v="3"/>
    <x v="1"/>
    <s v="Sunday"/>
    <s v="Yes"/>
    <x v="6"/>
    <x v="6"/>
    <s v="Saxony"/>
    <x v="0"/>
    <s v="X5"/>
    <s v="Diesel"/>
    <x v="0"/>
    <s v="50+"/>
    <s v="Medium"/>
    <x v="1"/>
    <x v="1"/>
    <s v="Sales_17"/>
    <n v="167"/>
    <n v="83"/>
    <n v="66"/>
    <n v="22"/>
    <s v="26.51"/>
    <n v="66567"/>
    <s v="2.86"/>
    <n v="50672"/>
    <n v="1464474"/>
    <n v="349690"/>
    <s v="Feb"/>
    <n v="2"/>
    <n v="2026"/>
    <s v="Weekend"/>
    <n v="0.33333333333333331"/>
    <n v="0.49700598802395207"/>
    <n v="0.1317365269461078"/>
    <n v="15895"/>
    <s v="Leipzig Mobility"/>
  </r>
  <r>
    <s v="CUST_1097"/>
    <x v="12"/>
    <x v="3"/>
    <s v="Thursday"/>
    <s v="No"/>
    <x v="5"/>
    <x v="5"/>
    <s v="Hamburg"/>
    <x v="2"/>
    <s v="A3"/>
    <s v="Diesel"/>
    <x v="2"/>
    <s v="36-50"/>
    <s v="Low"/>
    <x v="0"/>
    <x v="2"/>
    <s v="Sales_6"/>
    <n v="286"/>
    <n v="171"/>
    <n v="119"/>
    <n v="50"/>
    <s v="29.24"/>
    <n v="40971"/>
    <s v="5.76"/>
    <n v="33413"/>
    <n v="2048550"/>
    <n v="377900"/>
    <s v="Feb"/>
    <n v="2"/>
    <n v="2026"/>
    <s v="Weekday"/>
    <n v="0.42016806722689076"/>
    <n v="0.59790209790209792"/>
    <n v="0.17482517482517482"/>
    <n v="7558"/>
    <s v="Elbe Drive"/>
  </r>
  <r>
    <s v="CUST_1098"/>
    <x v="5"/>
    <x v="3"/>
    <s v="Saturday"/>
    <s v="Yes"/>
    <x v="8"/>
    <x v="8"/>
    <s v="Baden-WÃ¼rttemberg"/>
    <x v="1"/>
    <s v="Grandland"/>
    <s v="Electric"/>
    <x v="0"/>
    <s v="50+"/>
    <s v="Low"/>
    <x v="0"/>
    <x v="3"/>
    <s v="Sales_12"/>
    <n v="417"/>
    <n v="217"/>
    <n v="142"/>
    <n v="39"/>
    <s v="17.97"/>
    <n v="23685"/>
    <s v="9.61"/>
    <n v="21931"/>
    <n v="923715"/>
    <n v="68406"/>
    <s v="Feb"/>
    <n v="2"/>
    <n v="2026"/>
    <s v="Weekend"/>
    <n v="0.27464788732394368"/>
    <n v="0.52038369304556353"/>
    <n v="9.3525179856115109E-2"/>
    <n v="1754"/>
    <s v="Stuttgart Auto Center"/>
  </r>
  <r>
    <s v="CUST_1099"/>
    <x v="6"/>
    <x v="2"/>
    <s v="Saturday"/>
    <s v="Yes"/>
    <x v="7"/>
    <x v="7"/>
    <s v="Bavaria"/>
    <x v="2"/>
    <s v="Q5"/>
    <s v="Petrol"/>
    <x v="0"/>
    <s v="36-50"/>
    <s v="Low"/>
    <x v="0"/>
    <x v="0"/>
    <s v="Sales_18"/>
    <n v="272"/>
    <n v="125"/>
    <n v="82"/>
    <n v="30"/>
    <s v="24.0"/>
    <n v="43458"/>
    <s v="6.23"/>
    <n v="34918"/>
    <n v="1303740"/>
    <n v="256200"/>
    <s v="Feb"/>
    <n v="2"/>
    <n v="2026"/>
    <s v="Weekend"/>
    <n v="0.36585365853658536"/>
    <n v="0.45955882352941174"/>
    <n v="0.11029411764705882"/>
    <n v="8540"/>
    <s v="Bavaria Motors"/>
  </r>
  <r>
    <s v="CUST_1100"/>
    <x v="21"/>
    <x v="0"/>
    <s v="Tuesday"/>
    <s v="No"/>
    <x v="5"/>
    <x v="5"/>
    <s v="Hamburg"/>
    <x v="3"/>
    <s v="EQE"/>
    <s v="Petrol"/>
    <x v="1"/>
    <s v="26-35"/>
    <s v="High"/>
    <x v="1"/>
    <x v="0"/>
    <s v="Sales_20"/>
    <n v="226"/>
    <n v="126"/>
    <n v="85"/>
    <n v="28"/>
    <s v="22.22"/>
    <n v="63600"/>
    <s v="4.11"/>
    <n v="47498"/>
    <n v="1780800"/>
    <n v="450856"/>
    <s v="Feb"/>
    <n v="2"/>
    <n v="2026"/>
    <s v="Weekday"/>
    <n v="0.32941176470588235"/>
    <n v="0.55752212389380529"/>
    <n v="0.12389380530973451"/>
    <n v="16102"/>
    <s v="Elbe Drive"/>
  </r>
  <r>
    <s v="CUST_1101"/>
    <x v="19"/>
    <x v="1"/>
    <s v="Saturday"/>
    <s v="Yes"/>
    <x v="9"/>
    <x v="9"/>
    <s v="NRW"/>
    <x v="3"/>
    <s v="GLC"/>
    <s v="Hybrid"/>
    <x v="0"/>
    <s v="36-50"/>
    <s v="Low"/>
    <x v="0"/>
    <x v="0"/>
    <s v="Sales_7"/>
    <n v="263"/>
    <n v="125"/>
    <n v="99"/>
    <n v="29"/>
    <s v="23.2"/>
    <n v="71564"/>
    <s v="4.44"/>
    <n v="51667"/>
    <n v="2075356"/>
    <n v="577013"/>
    <s v="Feb"/>
    <n v="2"/>
    <n v="2026"/>
    <s v="Weekend"/>
    <n v="0.29292929292929293"/>
    <n v="0.47528517110266161"/>
    <n v="0.11026615969581749"/>
    <n v="19897"/>
    <s v="Ruhr Auto Plaza"/>
  </r>
  <r>
    <s v="CUST_1102"/>
    <x v="11"/>
    <x v="0"/>
    <s v="Wednesday"/>
    <s v="No"/>
    <x v="1"/>
    <x v="1"/>
    <s v="NRW"/>
    <x v="2"/>
    <s v="Q3"/>
    <s v="Electric"/>
    <x v="0"/>
    <s v="50+"/>
    <s v="Medium"/>
    <x v="0"/>
    <x v="3"/>
    <s v="Sales_14"/>
    <n v="317"/>
    <n v="193"/>
    <n v="123"/>
    <n v="45"/>
    <s v="23.32"/>
    <n v="45511"/>
    <s v="5.76"/>
    <n v="37287"/>
    <n v="2047995"/>
    <n v="370080"/>
    <s v="Feb"/>
    <n v="2"/>
    <n v="2026"/>
    <s v="Weekday"/>
    <n v="0.36585365853658536"/>
    <n v="0.60883280757097791"/>
    <n v="0.14195583596214512"/>
    <n v="8224"/>
    <s v="Rhein Auto Group"/>
  </r>
  <r>
    <s v="CUST_1103"/>
    <x v="3"/>
    <x v="1"/>
    <s v="Sunday"/>
    <s v="Yes"/>
    <x v="2"/>
    <x v="2"/>
    <s v="Lower Saxony"/>
    <x v="4"/>
    <s v="Passat"/>
    <s v="Diesel"/>
    <x v="1"/>
    <s v="36-50"/>
    <s v="Low"/>
    <x v="0"/>
    <x v="3"/>
    <s v="Sales_7"/>
    <n v="262"/>
    <n v="147"/>
    <n v="102"/>
    <n v="24"/>
    <s v="16.33"/>
    <n v="26269"/>
    <s v="8.37"/>
    <n v="23690"/>
    <n v="630456"/>
    <n v="61896"/>
    <s v="Feb"/>
    <n v="2"/>
    <n v="2026"/>
    <s v="Weekend"/>
    <n v="0.23529411764705882"/>
    <n v="0.56106870229007633"/>
    <n v="9.1603053435114504E-2"/>
    <n v="2579"/>
    <s v="Hannover Cars"/>
  </r>
  <r>
    <s v="CUST_1104"/>
    <x v="26"/>
    <x v="1"/>
    <s v="Friday"/>
    <s v="No"/>
    <x v="6"/>
    <x v="6"/>
    <s v="Saxony"/>
    <x v="4"/>
    <s v="Passat"/>
    <s v="Hybrid"/>
    <x v="1"/>
    <s v="50+"/>
    <s v="High"/>
    <x v="1"/>
    <x v="1"/>
    <s v="Sales_8"/>
    <n v="492"/>
    <n v="218"/>
    <n v="126"/>
    <n v="28"/>
    <s v="12.84"/>
    <n v="30632"/>
    <s v="7.77"/>
    <n v="26980"/>
    <n v="857696"/>
    <n v="102256"/>
    <s v="Feb"/>
    <n v="2"/>
    <n v="2026"/>
    <s v="Weekday"/>
    <n v="0.22222222222222221"/>
    <n v="0.44308943089430897"/>
    <n v="5.6910569105691054E-2"/>
    <n v="3652"/>
    <s v="Leipzig Mobility"/>
  </r>
  <r>
    <s v="CUST_1105"/>
    <x v="6"/>
    <x v="2"/>
    <s v="Saturday"/>
    <s v="Yes"/>
    <x v="1"/>
    <x v="1"/>
    <s v="NRW"/>
    <x v="4"/>
    <s v="Passat"/>
    <s v="Electric"/>
    <x v="1"/>
    <s v="36-50"/>
    <s v="Low"/>
    <x v="1"/>
    <x v="3"/>
    <s v="Sales_20"/>
    <n v="385"/>
    <n v="175"/>
    <n v="118"/>
    <n v="22"/>
    <s v="12.57"/>
    <n v="30678"/>
    <s v="8.37"/>
    <n v="26542"/>
    <n v="674916"/>
    <n v="90992"/>
    <s v="Feb"/>
    <n v="2"/>
    <n v="2026"/>
    <s v="Weekend"/>
    <n v="0.1864406779661017"/>
    <n v="0.45454545454545453"/>
    <n v="5.7142857142857141E-2"/>
    <n v="4136"/>
    <s v="Rhein Auto Group"/>
  </r>
  <r>
    <s v="CUST_1106"/>
    <x v="11"/>
    <x v="0"/>
    <s v="Wednesday"/>
    <s v="No"/>
    <x v="5"/>
    <x v="5"/>
    <s v="Hamburg"/>
    <x v="2"/>
    <s v="e-tron"/>
    <s v="Electric"/>
    <x v="0"/>
    <s v="36-50"/>
    <s v="High"/>
    <x v="0"/>
    <x v="1"/>
    <s v="Sales_3"/>
    <n v="225"/>
    <n v="116"/>
    <n v="88"/>
    <n v="31"/>
    <s v="26.72"/>
    <n v="39756"/>
    <s v="6.26"/>
    <n v="31175"/>
    <n v="1232436"/>
    <n v="266011"/>
    <s v="Feb"/>
    <n v="2"/>
    <n v="2026"/>
    <s v="Weekday"/>
    <n v="0.35227272727272729"/>
    <n v="0.51555555555555554"/>
    <n v="0.13777777777777778"/>
    <n v="8581"/>
    <s v="Elbe Drive"/>
  </r>
  <r>
    <s v="CUST_1107"/>
    <x v="25"/>
    <x v="3"/>
    <s v="Friday"/>
    <s v="No"/>
    <x v="0"/>
    <x v="0"/>
    <s v="Hesse"/>
    <x v="4"/>
    <s v="Tiguan"/>
    <s v="Hybrid"/>
    <x v="0"/>
    <s v="18-25"/>
    <s v="Medium"/>
    <x v="1"/>
    <x v="3"/>
    <s v="Sales_7"/>
    <n v="338"/>
    <n v="192"/>
    <n v="130"/>
    <n v="26"/>
    <s v="13.54"/>
    <n v="31914"/>
    <s v="10.66"/>
    <n v="27573"/>
    <n v="829764"/>
    <n v="112866"/>
    <s v="Feb"/>
    <n v="2"/>
    <n v="2026"/>
    <s v="Weekday"/>
    <n v="0.2"/>
    <n v="0.56804733727810652"/>
    <n v="7.6923076923076927E-2"/>
    <n v="4341"/>
    <s v="Main Auto Hub"/>
  </r>
  <r>
    <s v="CUST_1108"/>
    <x v="12"/>
    <x v="3"/>
    <s v="Thursday"/>
    <s v="No"/>
    <x v="6"/>
    <x v="6"/>
    <s v="Saxony"/>
    <x v="3"/>
    <s v="GLE"/>
    <s v="Petrol"/>
    <x v="0"/>
    <s v="18-25"/>
    <s v="Low"/>
    <x v="0"/>
    <x v="0"/>
    <s v="Sales_2"/>
    <n v="184"/>
    <n v="110"/>
    <n v="84"/>
    <n v="26"/>
    <s v="23.64"/>
    <n v="57397"/>
    <s v="2.07"/>
    <n v="41402"/>
    <n v="1492322"/>
    <n v="415870"/>
    <s v="Feb"/>
    <n v="2"/>
    <n v="2026"/>
    <s v="Weekday"/>
    <n v="0.30952380952380953"/>
    <n v="0.59782608695652173"/>
    <n v="0.14130434782608695"/>
    <n v="15995"/>
    <s v="Leipzig Mobility"/>
  </r>
  <r>
    <s v="CUST_1109"/>
    <x v="14"/>
    <x v="2"/>
    <s v="Friday"/>
    <s v="No"/>
    <x v="8"/>
    <x v="8"/>
    <s v="Baden-WÃ¼rttemberg"/>
    <x v="4"/>
    <s v="Passat"/>
    <s v="Diesel"/>
    <x v="1"/>
    <s v="36-50"/>
    <s v="Medium"/>
    <x v="0"/>
    <x v="2"/>
    <s v="Sales_4"/>
    <n v="267"/>
    <n v="127"/>
    <n v="78"/>
    <n v="24"/>
    <s v="18.9"/>
    <n v="25679"/>
    <s v="10.17"/>
    <n v="22092"/>
    <n v="616296"/>
    <n v="86088"/>
    <s v="Feb"/>
    <n v="2"/>
    <n v="2026"/>
    <s v="Weekday"/>
    <n v="0.30769230769230771"/>
    <n v="0.47565543071161048"/>
    <n v="8.98876404494382E-2"/>
    <n v="3587"/>
    <s v="Stuttgart Auto Center"/>
  </r>
  <r>
    <s v="CUST_1110"/>
    <x v="12"/>
    <x v="3"/>
    <s v="Thursday"/>
    <s v="No"/>
    <x v="2"/>
    <x v="2"/>
    <s v="Lower Saxony"/>
    <x v="1"/>
    <s v="Grandland"/>
    <s v="Diesel"/>
    <x v="0"/>
    <s v="26-35"/>
    <s v="Medium"/>
    <x v="1"/>
    <x v="0"/>
    <s v="Sales_20"/>
    <n v="250"/>
    <n v="97"/>
    <n v="54"/>
    <n v="13"/>
    <s v="13.4"/>
    <n v="19545"/>
    <s v="12.78"/>
    <n v="17583"/>
    <n v="254085"/>
    <n v="25506"/>
    <s v="Feb"/>
    <n v="2"/>
    <n v="2026"/>
    <s v="Weekday"/>
    <n v="0.24074074074074073"/>
    <n v="0.38800000000000001"/>
    <n v="5.1999999999999998E-2"/>
    <n v="1962"/>
    <s v="Hannover Cars"/>
  </r>
  <r>
    <s v="CUST_1111"/>
    <x v="26"/>
    <x v="1"/>
    <s v="Friday"/>
    <s v="No"/>
    <x v="9"/>
    <x v="9"/>
    <s v="NRW"/>
    <x v="4"/>
    <s v="Golf"/>
    <s v="Electric"/>
    <x v="2"/>
    <s v="18-25"/>
    <s v="Low"/>
    <x v="0"/>
    <x v="1"/>
    <s v="Sales_6"/>
    <n v="367"/>
    <n v="195"/>
    <n v="123"/>
    <n v="33"/>
    <s v="16.92"/>
    <n v="34624"/>
    <s v="8.55"/>
    <n v="30755"/>
    <n v="1142592"/>
    <n v="127677"/>
    <s v="Feb"/>
    <n v="2"/>
    <n v="2026"/>
    <s v="Weekday"/>
    <n v="0.26829268292682928"/>
    <n v="0.53133514986376018"/>
    <n v="8.9918256130790186E-2"/>
    <n v="3869"/>
    <s v="Ruhr Auto Plaza"/>
  </r>
  <r>
    <s v="CUST_1112"/>
    <x v="27"/>
    <x v="3"/>
    <s v="Sunday"/>
    <s v="Yes"/>
    <x v="7"/>
    <x v="7"/>
    <s v="Bavaria"/>
    <x v="0"/>
    <s v="X3"/>
    <s v="Diesel"/>
    <x v="0"/>
    <s v="18-25"/>
    <s v="High"/>
    <x v="0"/>
    <x v="0"/>
    <s v="Sales_13"/>
    <n v="185"/>
    <n v="105"/>
    <n v="71"/>
    <n v="31"/>
    <s v="29.52"/>
    <n v="54730"/>
    <s v="2.0"/>
    <n v="41099"/>
    <n v="1696630"/>
    <n v="422561"/>
    <s v="Feb"/>
    <n v="2"/>
    <n v="2026"/>
    <s v="Weekend"/>
    <n v="0.43661971830985913"/>
    <n v="0.56756756756756754"/>
    <n v="0.16756756756756758"/>
    <n v="13631"/>
    <s v="Bavaria Motors"/>
  </r>
  <r>
    <s v="CUST_1113"/>
    <x v="5"/>
    <x v="3"/>
    <s v="Saturday"/>
    <s v="Yes"/>
    <x v="1"/>
    <x v="1"/>
    <s v="NRW"/>
    <x v="1"/>
    <s v="Crossland"/>
    <s v="Electric"/>
    <x v="0"/>
    <s v="18-25"/>
    <s v="High"/>
    <x v="1"/>
    <x v="3"/>
    <s v="Sales_16"/>
    <n v="420"/>
    <n v="202"/>
    <n v="125"/>
    <n v="32"/>
    <s v="15.84"/>
    <n v="26562"/>
    <s v="10.87"/>
    <n v="24675"/>
    <n v="849984"/>
    <n v="60384"/>
    <s v="Feb"/>
    <n v="2"/>
    <n v="2026"/>
    <s v="Weekend"/>
    <n v="0.25600000000000001"/>
    <n v="0.48095238095238096"/>
    <n v="7.6190476190476197E-2"/>
    <n v="1887"/>
    <s v="Rhein Auto Group"/>
  </r>
  <r>
    <s v="CUST_1114"/>
    <x v="13"/>
    <x v="0"/>
    <s v="Friday"/>
    <s v="No"/>
    <x v="5"/>
    <x v="5"/>
    <s v="Hamburg"/>
    <x v="0"/>
    <s v="3 Series"/>
    <s v="Electric"/>
    <x v="1"/>
    <s v="26-35"/>
    <s v="Medium"/>
    <x v="1"/>
    <x v="1"/>
    <s v="Sales_2"/>
    <n v="207"/>
    <n v="109"/>
    <n v="83"/>
    <n v="32"/>
    <s v="29.36"/>
    <n v="61835"/>
    <s v="2.92"/>
    <n v="44659"/>
    <n v="1978720"/>
    <n v="549632"/>
    <s v="Feb"/>
    <n v="2"/>
    <n v="2026"/>
    <s v="Weekday"/>
    <n v="0.38554216867469882"/>
    <n v="0.52657004830917875"/>
    <n v="0.15458937198067632"/>
    <n v="17176"/>
    <s v="Elbe Drive"/>
  </r>
  <r>
    <s v="CUST_1115"/>
    <x v="9"/>
    <x v="0"/>
    <s v="Sunday"/>
    <s v="Yes"/>
    <x v="6"/>
    <x v="6"/>
    <s v="Saxony"/>
    <x v="2"/>
    <s v="A3"/>
    <s v="Electric"/>
    <x v="2"/>
    <s v="50+"/>
    <s v="Low"/>
    <x v="1"/>
    <x v="1"/>
    <s v="Sales_10"/>
    <n v="218"/>
    <n v="135"/>
    <n v="91"/>
    <n v="31"/>
    <s v="22.96"/>
    <n v="48622"/>
    <s v="3.85"/>
    <n v="37790"/>
    <n v="1507282"/>
    <n v="335792"/>
    <s v="Feb"/>
    <n v="2"/>
    <n v="2026"/>
    <s v="Weekend"/>
    <n v="0.34065934065934067"/>
    <n v="0.61926605504587151"/>
    <n v="0.14220183486238533"/>
    <n v="10832"/>
    <s v="Leipzig Mobility"/>
  </r>
  <r>
    <s v="CUST_1116"/>
    <x v="21"/>
    <x v="0"/>
    <s v="Tuesday"/>
    <s v="No"/>
    <x v="9"/>
    <x v="9"/>
    <s v="NRW"/>
    <x v="0"/>
    <s v="X5"/>
    <s v="Petrol"/>
    <x v="0"/>
    <s v="26-35"/>
    <s v="High"/>
    <x v="0"/>
    <x v="2"/>
    <s v="Sales_16"/>
    <n v="252"/>
    <n v="128"/>
    <n v="97"/>
    <n v="38"/>
    <s v="29.69"/>
    <n v="64741"/>
    <s v="5.43"/>
    <n v="49778"/>
    <n v="2460158"/>
    <n v="568594"/>
    <s v="Feb"/>
    <n v="2"/>
    <n v="2026"/>
    <s v="Weekday"/>
    <n v="0.39175257731958762"/>
    <n v="0.50793650793650791"/>
    <n v="0.15079365079365079"/>
    <n v="14963"/>
    <s v="Ruhr Auto Plaza"/>
  </r>
  <r>
    <s v="CUST_1117"/>
    <x v="19"/>
    <x v="1"/>
    <s v="Saturday"/>
    <s v="Yes"/>
    <x v="3"/>
    <x v="3"/>
    <s v="Saxony"/>
    <x v="1"/>
    <s v="Grandland"/>
    <s v="Electric"/>
    <x v="0"/>
    <s v="26-35"/>
    <s v="High"/>
    <x v="1"/>
    <x v="0"/>
    <s v="Sales_3"/>
    <n v="324"/>
    <n v="131"/>
    <n v="90"/>
    <n v="13"/>
    <s v="9.92"/>
    <n v="24642"/>
    <s v="13.52"/>
    <n v="21980"/>
    <n v="320346"/>
    <n v="34606"/>
    <s v="Feb"/>
    <n v="2"/>
    <n v="2026"/>
    <s v="Weekend"/>
    <n v="0.14444444444444443"/>
    <n v="0.40432098765432101"/>
    <n v="4.0123456790123455E-2"/>
    <n v="2662"/>
    <s v="Saxon Wheels"/>
  </r>
  <r>
    <s v="CUST_1118"/>
    <x v="12"/>
    <x v="3"/>
    <s v="Thursday"/>
    <s v="No"/>
    <x v="6"/>
    <x v="6"/>
    <s v="Saxony"/>
    <x v="1"/>
    <s v="Mokka"/>
    <s v="Petrol"/>
    <x v="0"/>
    <s v="26-35"/>
    <s v="Low"/>
    <x v="1"/>
    <x v="3"/>
    <s v="Sales_13"/>
    <n v="398"/>
    <n v="193"/>
    <n v="134"/>
    <n v="25"/>
    <s v="12.95"/>
    <n v="24264"/>
    <s v="10.03"/>
    <n v="22137"/>
    <n v="606600"/>
    <n v="53175"/>
    <s v="Feb"/>
    <n v="2"/>
    <n v="2026"/>
    <s v="Weekday"/>
    <n v="0.18656716417910449"/>
    <n v="0.48492462311557788"/>
    <n v="6.2814070351758788E-2"/>
    <n v="2127"/>
    <s v="Leipzig Mobility"/>
  </r>
  <r>
    <s v="CUST_1119"/>
    <x v="22"/>
    <x v="3"/>
    <s v="Tuesday"/>
    <s v="No"/>
    <x v="2"/>
    <x v="2"/>
    <s v="Lower Saxony"/>
    <x v="3"/>
    <s v="GLC"/>
    <s v="Hybrid"/>
    <x v="0"/>
    <s v="18-25"/>
    <s v="Low"/>
    <x v="0"/>
    <x v="3"/>
    <s v="Sales_20"/>
    <n v="288"/>
    <n v="138"/>
    <n v="107"/>
    <n v="32"/>
    <s v="23.19"/>
    <n v="64503"/>
    <s v="3.73"/>
    <n v="46687"/>
    <n v="2064096"/>
    <n v="570112"/>
    <s v="Feb"/>
    <n v="2"/>
    <n v="2026"/>
    <s v="Weekday"/>
    <n v="0.29906542056074764"/>
    <n v="0.47916666666666669"/>
    <n v="0.1111111111111111"/>
    <n v="17816"/>
    <s v="Hannover Cars"/>
  </r>
  <r>
    <s v="CUST_1120"/>
    <x v="27"/>
    <x v="3"/>
    <s v="Sunday"/>
    <s v="Yes"/>
    <x v="3"/>
    <x v="3"/>
    <s v="Saxony"/>
    <x v="4"/>
    <s v="ID.4"/>
    <s v="Diesel"/>
    <x v="0"/>
    <s v="50+"/>
    <s v="Medium"/>
    <x v="0"/>
    <x v="3"/>
    <s v="Sales_10"/>
    <n v="439"/>
    <n v="225"/>
    <n v="140"/>
    <n v="29"/>
    <s v="12.89"/>
    <n v="30999"/>
    <s v="7.9"/>
    <n v="26696"/>
    <n v="898971"/>
    <n v="124787"/>
    <s v="Feb"/>
    <n v="2"/>
    <n v="2026"/>
    <s v="Weekend"/>
    <n v="0.20714285714285716"/>
    <n v="0.51252847380410027"/>
    <n v="6.6059225512528477E-2"/>
    <n v="4303"/>
    <s v="Saxon Wheels"/>
  </r>
  <r>
    <s v="CUST_1121"/>
    <x v="9"/>
    <x v="0"/>
    <s v="Sunday"/>
    <s v="Yes"/>
    <x v="1"/>
    <x v="1"/>
    <s v="NRW"/>
    <x v="1"/>
    <s v="Corsa"/>
    <s v="Diesel"/>
    <x v="2"/>
    <s v="26-35"/>
    <s v="High"/>
    <x v="1"/>
    <x v="3"/>
    <s v="Sales_17"/>
    <n v="422"/>
    <n v="198"/>
    <n v="132"/>
    <n v="29"/>
    <s v="14.65"/>
    <n v="24468"/>
    <s v="11.79"/>
    <n v="22383"/>
    <n v="709572"/>
    <n v="60465"/>
    <s v="Feb"/>
    <n v="2"/>
    <n v="2026"/>
    <s v="Weekend"/>
    <n v="0.2196969696969697"/>
    <n v="0.46919431279620855"/>
    <n v="6.8720379146919433E-2"/>
    <n v="2085"/>
    <s v="Rhein Auto Group"/>
  </r>
  <r>
    <s v="CUST_1122"/>
    <x v="0"/>
    <x v="0"/>
    <s v="Monday"/>
    <s v="No"/>
    <x v="8"/>
    <x v="8"/>
    <s v="Baden-WÃ¼rttemberg"/>
    <x v="1"/>
    <s v="Corsa"/>
    <s v="Electric"/>
    <x v="2"/>
    <s v="36-50"/>
    <s v="Low"/>
    <x v="1"/>
    <x v="2"/>
    <s v="Sales_8"/>
    <n v="230"/>
    <n v="112"/>
    <n v="77"/>
    <n v="21"/>
    <s v="18.75"/>
    <n v="19962"/>
    <s v="9.83"/>
    <n v="17893"/>
    <n v="419202"/>
    <n v="43449"/>
    <s v="Feb"/>
    <n v="2"/>
    <n v="2026"/>
    <s v="Weekday"/>
    <n v="0.27272727272727271"/>
    <n v="0.48695652173913045"/>
    <n v="9.1304347826086957E-2"/>
    <n v="2069"/>
    <s v="Stuttgart Auto Center"/>
  </r>
  <r>
    <s v="CUST_1123"/>
    <x v="23"/>
    <x v="2"/>
    <s v="Tuesday"/>
    <s v="No"/>
    <x v="3"/>
    <x v="3"/>
    <s v="Saxony"/>
    <x v="0"/>
    <s v="3 Series"/>
    <s v="Electric"/>
    <x v="1"/>
    <s v="18-25"/>
    <s v="Medium"/>
    <x v="0"/>
    <x v="3"/>
    <s v="Sales_10"/>
    <n v="261"/>
    <n v="141"/>
    <n v="104"/>
    <n v="37"/>
    <s v="26.24"/>
    <n v="60955"/>
    <s v="2.18"/>
    <n v="45091"/>
    <n v="2255335"/>
    <n v="586968"/>
    <s v="Feb"/>
    <n v="2"/>
    <n v="2026"/>
    <s v="Weekday"/>
    <n v="0.35576923076923078"/>
    <n v="0.54022988505747127"/>
    <n v="0.1417624521072797"/>
    <n v="15864"/>
    <s v="Saxon Wheels"/>
  </r>
  <r>
    <s v="CUST_1124"/>
    <x v="26"/>
    <x v="1"/>
    <s v="Friday"/>
    <s v="No"/>
    <x v="2"/>
    <x v="2"/>
    <s v="Lower Saxony"/>
    <x v="3"/>
    <s v="GLE"/>
    <s v="Diesel"/>
    <x v="0"/>
    <s v="36-50"/>
    <s v="Low"/>
    <x v="0"/>
    <x v="2"/>
    <s v="Sales_4"/>
    <n v="210"/>
    <n v="118"/>
    <n v="85"/>
    <n v="34"/>
    <s v="28.81"/>
    <n v="69375"/>
    <s v="4.35"/>
    <n v="50770"/>
    <n v="2358750"/>
    <n v="632570"/>
    <s v="Feb"/>
    <n v="2"/>
    <n v="2026"/>
    <s v="Weekday"/>
    <n v="0.4"/>
    <n v="0.56190476190476191"/>
    <n v="0.16190476190476191"/>
    <n v="18605"/>
    <s v="Hannover Cars"/>
  </r>
  <r>
    <s v="CUST_1125"/>
    <x v="1"/>
    <x v="1"/>
    <s v="Wednesday"/>
    <s v="No"/>
    <x v="8"/>
    <x v="8"/>
    <s v="Baden-WÃ¼rttemberg"/>
    <x v="4"/>
    <s v="ID.4"/>
    <s v="Electric"/>
    <x v="0"/>
    <s v="18-25"/>
    <s v="Medium"/>
    <x v="1"/>
    <x v="3"/>
    <s v="Sales_3"/>
    <n v="505"/>
    <n v="290"/>
    <n v="187"/>
    <n v="37"/>
    <s v="12.76"/>
    <n v="31160"/>
    <s v="8.02"/>
    <n v="28049"/>
    <n v="1152920"/>
    <n v="115107"/>
    <s v="Feb"/>
    <n v="2"/>
    <n v="2026"/>
    <s v="Weekday"/>
    <n v="0.19786096256684493"/>
    <n v="0.57425742574257421"/>
    <n v="7.3267326732673263E-2"/>
    <n v="3111"/>
    <s v="Stuttgart Auto Center"/>
  </r>
  <r>
    <s v="CUST_1126"/>
    <x v="9"/>
    <x v="0"/>
    <s v="Sunday"/>
    <s v="Yes"/>
    <x v="5"/>
    <x v="5"/>
    <s v="Hamburg"/>
    <x v="1"/>
    <s v="Corsa"/>
    <s v="Diesel"/>
    <x v="2"/>
    <s v="36-50"/>
    <s v="High"/>
    <x v="0"/>
    <x v="3"/>
    <s v="Sales_2"/>
    <n v="304"/>
    <n v="161"/>
    <n v="90"/>
    <n v="27"/>
    <s v="16.77"/>
    <n v="22969"/>
    <s v="8.5"/>
    <n v="20921"/>
    <n v="620163"/>
    <n v="55296"/>
    <s v="Feb"/>
    <n v="2"/>
    <n v="2026"/>
    <s v="Weekend"/>
    <n v="0.3"/>
    <n v="0.52960526315789469"/>
    <n v="8.8815789473684209E-2"/>
    <n v="2048"/>
    <s v="Elbe Drive"/>
  </r>
  <r>
    <s v="CUST_1127"/>
    <x v="6"/>
    <x v="2"/>
    <s v="Saturday"/>
    <s v="Yes"/>
    <x v="2"/>
    <x v="2"/>
    <s v="Lower Saxony"/>
    <x v="4"/>
    <s v="Golf"/>
    <s v="Diesel"/>
    <x v="2"/>
    <s v="18-25"/>
    <s v="Low"/>
    <x v="1"/>
    <x v="1"/>
    <s v="Sales_9"/>
    <n v="279"/>
    <n v="147"/>
    <n v="99"/>
    <n v="21"/>
    <s v="14.29"/>
    <n v="27387"/>
    <s v="8.22"/>
    <n v="24838"/>
    <n v="575127"/>
    <n v="53529"/>
    <s v="Feb"/>
    <n v="2"/>
    <n v="2026"/>
    <s v="Weekend"/>
    <n v="0.21212121212121213"/>
    <n v="0.5268817204301075"/>
    <n v="7.5268817204301078E-2"/>
    <n v="2549"/>
    <s v="Hannover Cars"/>
  </r>
  <r>
    <s v="CUST_1128"/>
    <x v="12"/>
    <x v="3"/>
    <s v="Thursday"/>
    <s v="No"/>
    <x v="2"/>
    <x v="2"/>
    <s v="Lower Saxony"/>
    <x v="0"/>
    <s v="X5"/>
    <s v="Electric"/>
    <x v="0"/>
    <s v="50+"/>
    <s v="High"/>
    <x v="1"/>
    <x v="0"/>
    <s v="Sales_16"/>
    <n v="188"/>
    <n v="93"/>
    <n v="74"/>
    <n v="25"/>
    <s v="26.88"/>
    <n v="61017"/>
    <s v="2.76"/>
    <n v="47110"/>
    <n v="1525425"/>
    <n v="347675"/>
    <s v="Feb"/>
    <n v="2"/>
    <n v="2026"/>
    <s v="Weekday"/>
    <n v="0.33783783783783783"/>
    <n v="0.49468085106382981"/>
    <n v="0.13297872340425532"/>
    <n v="13907"/>
    <s v="Hannover Cars"/>
  </r>
  <r>
    <s v="CUST_1129"/>
    <x v="24"/>
    <x v="1"/>
    <s v="Thursday"/>
    <s v="No"/>
    <x v="2"/>
    <x v="2"/>
    <s v="Lower Saxony"/>
    <x v="2"/>
    <s v="Q5"/>
    <s v="Hybrid"/>
    <x v="0"/>
    <s v="18-25"/>
    <s v="High"/>
    <x v="1"/>
    <x v="2"/>
    <s v="Sales_16"/>
    <n v="187"/>
    <n v="116"/>
    <n v="88"/>
    <n v="31"/>
    <s v="26.72"/>
    <n v="43018"/>
    <s v="5.35"/>
    <n v="33363"/>
    <n v="1333558"/>
    <n v="299305"/>
    <s v="Feb"/>
    <n v="2"/>
    <n v="2026"/>
    <s v="Weekday"/>
    <n v="0.35227272727272729"/>
    <n v="0.6203208556149733"/>
    <n v="0.16577540106951871"/>
    <n v="9655"/>
    <s v="Hannover Cars"/>
  </r>
  <r>
    <s v="CUST_1130"/>
    <x v="20"/>
    <x v="0"/>
    <s v="Thursday"/>
    <s v="No"/>
    <x v="3"/>
    <x v="3"/>
    <s v="Saxony"/>
    <x v="4"/>
    <s v="Tiguan"/>
    <s v="Electric"/>
    <x v="0"/>
    <s v="26-35"/>
    <s v="Medium"/>
    <x v="0"/>
    <x v="2"/>
    <s v="Sales_7"/>
    <n v="515"/>
    <n v="234"/>
    <n v="142"/>
    <n v="42"/>
    <s v="17.95"/>
    <n v="25607"/>
    <s v="10.09"/>
    <n v="22853"/>
    <n v="1075494"/>
    <n v="115668"/>
    <s v="Feb"/>
    <n v="2"/>
    <n v="2026"/>
    <s v="Weekday"/>
    <n v="0.29577464788732394"/>
    <n v="0.45436893203883494"/>
    <n v="8.155339805825243E-2"/>
    <n v="2754"/>
    <s v="Saxon Wheels"/>
  </r>
  <r>
    <s v="CUST_1131"/>
    <x v="7"/>
    <x v="3"/>
    <s v="Monday"/>
    <s v="No"/>
    <x v="4"/>
    <x v="4"/>
    <s v="Berlin"/>
    <x v="3"/>
    <s v="C-Class"/>
    <s v="Petrol"/>
    <x v="1"/>
    <s v="18-25"/>
    <s v="Low"/>
    <x v="0"/>
    <x v="3"/>
    <s v="Sales_4"/>
    <n v="223"/>
    <n v="110"/>
    <n v="82"/>
    <n v="26"/>
    <s v="23.64"/>
    <n v="61884"/>
    <s v="5.87"/>
    <n v="46748"/>
    <n v="1608984"/>
    <n v="393536"/>
    <s v="Feb"/>
    <n v="2"/>
    <n v="2026"/>
    <s v="Weekday"/>
    <n v="0.31707317073170732"/>
    <n v="0.49327354260089684"/>
    <n v="0.11659192825112108"/>
    <n v="15136"/>
    <s v="Autohaus Berlin"/>
  </r>
  <r>
    <s v="CUST_1132"/>
    <x v="15"/>
    <x v="2"/>
    <s v="Thursday"/>
    <s v="No"/>
    <x v="6"/>
    <x v="6"/>
    <s v="Saxony"/>
    <x v="0"/>
    <s v="3 Series"/>
    <s v="Diesel"/>
    <x v="1"/>
    <s v="18-25"/>
    <s v="Low"/>
    <x v="0"/>
    <x v="3"/>
    <s v="Sales_6"/>
    <n v="279"/>
    <n v="163"/>
    <n v="111"/>
    <n v="45"/>
    <s v="27.61"/>
    <n v="68359"/>
    <s v="3.44"/>
    <n v="52711"/>
    <n v="3076155"/>
    <n v="704160"/>
    <s v="Feb"/>
    <n v="2"/>
    <n v="2026"/>
    <s v="Weekday"/>
    <n v="0.40540540540540543"/>
    <n v="0.58422939068100355"/>
    <n v="0.16129032258064516"/>
    <n v="15648"/>
    <s v="Leipzig Mobility"/>
  </r>
  <r>
    <s v="CUST_1133"/>
    <x v="3"/>
    <x v="1"/>
    <s v="Sunday"/>
    <s v="Yes"/>
    <x v="9"/>
    <x v="9"/>
    <s v="NRW"/>
    <x v="2"/>
    <s v="e-tron"/>
    <s v="Diesel"/>
    <x v="0"/>
    <s v="36-50"/>
    <s v="Low"/>
    <x v="1"/>
    <x v="1"/>
    <s v="Sales_11"/>
    <n v="199"/>
    <n v="123"/>
    <n v="81"/>
    <n v="24"/>
    <s v="19.51"/>
    <n v="44084"/>
    <s v="3.24"/>
    <n v="34207"/>
    <n v="1058016"/>
    <n v="237048"/>
    <s v="Feb"/>
    <n v="2"/>
    <n v="2026"/>
    <s v="Weekend"/>
    <n v="0.29629629629629628"/>
    <n v="0.61809045226130654"/>
    <n v="0.12060301507537688"/>
    <n v="9877"/>
    <s v="Ruhr Auto Plaza"/>
  </r>
  <r>
    <s v="CUST_1134"/>
    <x v="20"/>
    <x v="0"/>
    <s v="Thursday"/>
    <s v="No"/>
    <x v="0"/>
    <x v="0"/>
    <s v="Hesse"/>
    <x v="1"/>
    <s v="Crossland"/>
    <s v="Hybrid"/>
    <x v="0"/>
    <s v="18-25"/>
    <s v="Low"/>
    <x v="0"/>
    <x v="1"/>
    <s v="Sales_9"/>
    <n v="427"/>
    <n v="179"/>
    <n v="120"/>
    <n v="31"/>
    <s v="17.32"/>
    <n v="22982"/>
    <s v="12.1"/>
    <n v="20714"/>
    <n v="712442"/>
    <n v="70308"/>
    <s v="Feb"/>
    <n v="2"/>
    <n v="2026"/>
    <s v="Weekday"/>
    <n v="0.25833333333333336"/>
    <n v="0.41920374707259955"/>
    <n v="7.2599531615925056E-2"/>
    <n v="2268"/>
    <s v="Main Auto Hub"/>
  </r>
  <r>
    <s v="CUST_1135"/>
    <x v="7"/>
    <x v="3"/>
    <s v="Monday"/>
    <s v="No"/>
    <x v="3"/>
    <x v="3"/>
    <s v="Saxony"/>
    <x v="3"/>
    <s v="EQE"/>
    <s v="Diesel"/>
    <x v="1"/>
    <s v="18-25"/>
    <s v="Low"/>
    <x v="1"/>
    <x v="0"/>
    <s v="Sales_5"/>
    <n v="225"/>
    <n v="112"/>
    <n v="77"/>
    <n v="24"/>
    <s v="21.43"/>
    <n v="63055"/>
    <s v="2.27"/>
    <n v="47972"/>
    <n v="1513320"/>
    <n v="361992"/>
    <s v="Feb"/>
    <n v="2"/>
    <n v="2026"/>
    <s v="Weekday"/>
    <n v="0.31168831168831168"/>
    <n v="0.49777777777777776"/>
    <n v="0.10666666666666667"/>
    <n v="15083"/>
    <s v="Saxon Wheels"/>
  </r>
  <r>
    <s v="CUST_1136"/>
    <x v="14"/>
    <x v="2"/>
    <s v="Friday"/>
    <s v="No"/>
    <x v="3"/>
    <x v="3"/>
    <s v="Saxony"/>
    <x v="3"/>
    <s v="GLC"/>
    <s v="Hybrid"/>
    <x v="0"/>
    <s v="26-35"/>
    <s v="Medium"/>
    <x v="0"/>
    <x v="1"/>
    <s v="Sales_9"/>
    <n v="228"/>
    <n v="119"/>
    <n v="90"/>
    <n v="32"/>
    <s v="26.89"/>
    <n v="59992"/>
    <s v="4.62"/>
    <n v="45382"/>
    <n v="1919744"/>
    <n v="467520"/>
    <s v="Feb"/>
    <n v="2"/>
    <n v="2026"/>
    <s v="Weekday"/>
    <n v="0.35555555555555557"/>
    <n v="0.52192982456140347"/>
    <n v="0.14035087719298245"/>
    <n v="14610"/>
    <s v="Saxon Wheels"/>
  </r>
  <r>
    <s v="CUST_1137"/>
    <x v="27"/>
    <x v="3"/>
    <s v="Sunday"/>
    <s v="Yes"/>
    <x v="7"/>
    <x v="7"/>
    <s v="Bavaria"/>
    <x v="3"/>
    <s v="E-Class"/>
    <s v="Hybrid"/>
    <x v="1"/>
    <s v="36-50"/>
    <s v="High"/>
    <x v="0"/>
    <x v="1"/>
    <s v="Sales_12"/>
    <n v="194"/>
    <n v="100"/>
    <n v="79"/>
    <n v="28"/>
    <s v="28.0"/>
    <n v="51812"/>
    <s v="5.1"/>
    <n v="37022"/>
    <n v="1450736"/>
    <n v="414120"/>
    <s v="Feb"/>
    <n v="2"/>
    <n v="2026"/>
    <s v="Weekend"/>
    <n v="0.35443037974683544"/>
    <n v="0.51546391752577314"/>
    <n v="0.14432989690721648"/>
    <n v="14790"/>
    <s v="Bavaria Motors"/>
  </r>
  <r>
    <s v="CUST_1138"/>
    <x v="10"/>
    <x v="1"/>
    <s v="Monday"/>
    <s v="No"/>
    <x v="8"/>
    <x v="8"/>
    <s v="Baden-WÃ¼rttemberg"/>
    <x v="0"/>
    <s v="3 Series"/>
    <s v="Petrol"/>
    <x v="1"/>
    <s v="36-50"/>
    <s v="High"/>
    <x v="0"/>
    <x v="0"/>
    <s v="Sales_16"/>
    <n v="276"/>
    <n v="145"/>
    <n v="112"/>
    <n v="37"/>
    <s v="25.52"/>
    <n v="55999"/>
    <s v="3.27"/>
    <n v="41644"/>
    <n v="2071963"/>
    <n v="531135"/>
    <s v="Feb"/>
    <n v="2"/>
    <n v="2026"/>
    <s v="Weekday"/>
    <n v="0.33035714285714285"/>
    <n v="0.52536231884057971"/>
    <n v="0.13405797101449277"/>
    <n v="14355"/>
    <s v="Stuttgart Auto Center"/>
  </r>
  <r>
    <s v="CUST_1139"/>
    <x v="22"/>
    <x v="3"/>
    <s v="Tuesday"/>
    <s v="No"/>
    <x v="8"/>
    <x v="8"/>
    <s v="Baden-WÃ¼rttemberg"/>
    <x v="4"/>
    <s v="T-Roc"/>
    <s v="Diesel"/>
    <x v="0"/>
    <s v="36-50"/>
    <s v="High"/>
    <x v="1"/>
    <x v="3"/>
    <s v="Sales_17"/>
    <n v="326"/>
    <n v="168"/>
    <n v="103"/>
    <n v="29"/>
    <s v="17.26"/>
    <n v="34792"/>
    <s v="7.88"/>
    <n v="31595"/>
    <n v="1008968"/>
    <n v="92713"/>
    <s v="Feb"/>
    <n v="2"/>
    <n v="2026"/>
    <s v="Weekday"/>
    <n v="0.28155339805825241"/>
    <n v="0.51533742331288346"/>
    <n v="8.8957055214723926E-2"/>
    <n v="3197"/>
    <s v="Stuttgart Auto Center"/>
  </r>
  <r>
    <s v="CUST_1140"/>
    <x v="12"/>
    <x v="3"/>
    <s v="Thursday"/>
    <s v="No"/>
    <x v="9"/>
    <x v="9"/>
    <s v="NRW"/>
    <x v="4"/>
    <s v="Passat"/>
    <s v="Electric"/>
    <x v="1"/>
    <s v="26-35"/>
    <s v="Medium"/>
    <x v="0"/>
    <x v="3"/>
    <s v="Sales_1"/>
    <n v="406"/>
    <n v="181"/>
    <n v="120"/>
    <n v="27"/>
    <s v="14.92"/>
    <n v="26487"/>
    <s v="8.75"/>
    <n v="23941"/>
    <n v="715149"/>
    <n v="68742"/>
    <s v="Feb"/>
    <n v="2"/>
    <n v="2026"/>
    <s v="Weekday"/>
    <n v="0.22500000000000001"/>
    <n v="0.44581280788177341"/>
    <n v="6.6502463054187194E-2"/>
    <n v="2546"/>
    <s v="Ruhr Auto Plaza"/>
  </r>
  <r>
    <s v="CUST_1141"/>
    <x v="2"/>
    <x v="2"/>
    <s v="Monday"/>
    <s v="No"/>
    <x v="7"/>
    <x v="7"/>
    <s v="Bavaria"/>
    <x v="2"/>
    <s v="A3"/>
    <s v="Diesel"/>
    <x v="2"/>
    <s v="18-25"/>
    <s v="High"/>
    <x v="0"/>
    <x v="0"/>
    <s v="Sales_15"/>
    <n v="181"/>
    <n v="110"/>
    <n v="72"/>
    <n v="26"/>
    <s v="23.64"/>
    <n v="50205"/>
    <s v="5.7"/>
    <n v="40069"/>
    <n v="1305330"/>
    <n v="263536"/>
    <s v="Feb"/>
    <n v="2"/>
    <n v="2026"/>
    <s v="Weekday"/>
    <n v="0.3611111111111111"/>
    <n v="0.60773480662983426"/>
    <n v="0.143646408839779"/>
    <n v="10136"/>
    <s v="Bavaria Motors"/>
  </r>
  <r>
    <s v="CUST_1142"/>
    <x v="21"/>
    <x v="0"/>
    <s v="Tuesday"/>
    <s v="No"/>
    <x v="7"/>
    <x v="7"/>
    <s v="Bavaria"/>
    <x v="4"/>
    <s v="Golf"/>
    <s v="Hybrid"/>
    <x v="2"/>
    <s v="26-35"/>
    <s v="High"/>
    <x v="1"/>
    <x v="0"/>
    <s v="Sales_2"/>
    <n v="325"/>
    <n v="166"/>
    <n v="114"/>
    <n v="25"/>
    <s v="15.06"/>
    <n v="32066"/>
    <s v="9.52"/>
    <n v="28924"/>
    <n v="801650"/>
    <n v="78550"/>
    <s v="Feb"/>
    <n v="2"/>
    <n v="2026"/>
    <s v="Weekday"/>
    <n v="0.21929824561403508"/>
    <n v="0.51076923076923075"/>
    <n v="7.6923076923076927E-2"/>
    <n v="3142"/>
    <s v="Bavaria Motors"/>
  </r>
  <r>
    <s v="CUST_1143"/>
    <x v="23"/>
    <x v="2"/>
    <s v="Tuesday"/>
    <s v="No"/>
    <x v="4"/>
    <x v="4"/>
    <s v="Berlin"/>
    <x v="3"/>
    <s v="GLC"/>
    <s v="Hybrid"/>
    <x v="0"/>
    <s v="36-50"/>
    <s v="High"/>
    <x v="1"/>
    <x v="1"/>
    <s v="Sales_17"/>
    <n v="229"/>
    <n v="102"/>
    <n v="77"/>
    <n v="29"/>
    <s v="28.43"/>
    <n v="68849"/>
    <s v="4.34"/>
    <n v="53415"/>
    <n v="1996621"/>
    <n v="447586"/>
    <s v="Feb"/>
    <n v="2"/>
    <n v="2026"/>
    <s v="Weekday"/>
    <n v="0.37662337662337664"/>
    <n v="0.44541484716157204"/>
    <n v="0.12663755458515283"/>
    <n v="15434"/>
    <s v="Autohaus Berlin"/>
  </r>
  <r>
    <s v="CUST_1144"/>
    <x v="15"/>
    <x v="2"/>
    <s v="Thursday"/>
    <s v="No"/>
    <x v="2"/>
    <x v="2"/>
    <s v="Lower Saxony"/>
    <x v="1"/>
    <s v="Grandland"/>
    <s v="Electric"/>
    <x v="0"/>
    <s v="18-25"/>
    <s v="Low"/>
    <x v="0"/>
    <x v="2"/>
    <s v="Sales_1"/>
    <n v="229"/>
    <n v="96"/>
    <n v="55"/>
    <n v="18"/>
    <s v="18.75"/>
    <n v="25389"/>
    <s v="9.86"/>
    <n v="22957"/>
    <n v="457002"/>
    <n v="43776"/>
    <s v="Feb"/>
    <n v="2"/>
    <n v="2026"/>
    <s v="Weekday"/>
    <n v="0.32727272727272727"/>
    <n v="0.41921397379912662"/>
    <n v="7.8602620087336247E-2"/>
    <n v="2432"/>
    <s v="Hannover Cars"/>
  </r>
  <r>
    <s v="CUST_1145"/>
    <x v="2"/>
    <x v="2"/>
    <s v="Monday"/>
    <s v="No"/>
    <x v="5"/>
    <x v="5"/>
    <s v="Hamburg"/>
    <x v="0"/>
    <s v="X3"/>
    <s v="Petrol"/>
    <x v="0"/>
    <s v="36-50"/>
    <s v="High"/>
    <x v="0"/>
    <x v="1"/>
    <s v="Sales_7"/>
    <n v="222"/>
    <n v="125"/>
    <n v="86"/>
    <n v="40"/>
    <s v="32.0"/>
    <n v="59539"/>
    <s v="4.97"/>
    <n v="41840"/>
    <n v="2381560"/>
    <n v="707960"/>
    <s v="Feb"/>
    <n v="2"/>
    <n v="2026"/>
    <s v="Weekday"/>
    <n v="0.46511627906976744"/>
    <n v="0.56306306306306309"/>
    <n v="0.18018018018018017"/>
    <n v="17699"/>
    <s v="Elbe Drive"/>
  </r>
  <r>
    <s v="CUST_1146"/>
    <x v="20"/>
    <x v="0"/>
    <s v="Thursday"/>
    <s v="No"/>
    <x v="4"/>
    <x v="4"/>
    <s v="Berlin"/>
    <x v="4"/>
    <s v="Tiguan"/>
    <s v="Electric"/>
    <x v="0"/>
    <s v="50+"/>
    <s v="High"/>
    <x v="1"/>
    <x v="3"/>
    <s v="Sales_17"/>
    <n v="369"/>
    <n v="176"/>
    <n v="109"/>
    <n v="27"/>
    <s v="15.34"/>
    <n v="31066"/>
    <s v="7.7"/>
    <n v="26800"/>
    <n v="838782"/>
    <n v="115182"/>
    <s v="Feb"/>
    <n v="2"/>
    <n v="2026"/>
    <s v="Weekday"/>
    <n v="0.24770642201834864"/>
    <n v="0.47696476964769646"/>
    <n v="7.3170731707317069E-2"/>
    <n v="4266"/>
    <s v="Autohaus Berlin"/>
  </r>
  <r>
    <s v="CUST_1147"/>
    <x v="20"/>
    <x v="0"/>
    <s v="Thursday"/>
    <s v="No"/>
    <x v="1"/>
    <x v="1"/>
    <s v="NRW"/>
    <x v="1"/>
    <s v="Crossland"/>
    <s v="Petrol"/>
    <x v="0"/>
    <s v="50+"/>
    <s v="High"/>
    <x v="1"/>
    <x v="0"/>
    <s v="Sales_14"/>
    <n v="316"/>
    <n v="164"/>
    <n v="100"/>
    <n v="19"/>
    <s v="11.59"/>
    <n v="21951"/>
    <s v="11.96"/>
    <n v="19973"/>
    <n v="417069"/>
    <n v="37582"/>
    <s v="Feb"/>
    <n v="2"/>
    <n v="2026"/>
    <s v="Weekday"/>
    <n v="0.19"/>
    <n v="0.51898734177215189"/>
    <n v="6.0126582278481014E-2"/>
    <n v="1978"/>
    <s v="Rhein Auto Group"/>
  </r>
  <r>
    <s v="CUST_1148"/>
    <x v="18"/>
    <x v="0"/>
    <s v="Saturday"/>
    <s v="Yes"/>
    <x v="1"/>
    <x v="1"/>
    <s v="NRW"/>
    <x v="0"/>
    <s v="X3"/>
    <s v="Electric"/>
    <x v="0"/>
    <s v="50+"/>
    <s v="Medium"/>
    <x v="0"/>
    <x v="0"/>
    <s v="Sales_12"/>
    <n v="151"/>
    <n v="71"/>
    <n v="55"/>
    <n v="18"/>
    <s v="25.35"/>
    <n v="54443"/>
    <s v="2.13"/>
    <n v="39818"/>
    <n v="979974"/>
    <n v="263250"/>
    <s v="Feb"/>
    <n v="2"/>
    <n v="2026"/>
    <s v="Weekend"/>
    <n v="0.32727272727272727"/>
    <n v="0.47019867549668876"/>
    <n v="0.11920529801324503"/>
    <n v="14625"/>
    <s v="Rhein Auto Group"/>
  </r>
  <r>
    <s v="CUST_1149"/>
    <x v="4"/>
    <x v="2"/>
    <s v="Wednesday"/>
    <s v="No"/>
    <x v="6"/>
    <x v="6"/>
    <s v="Saxony"/>
    <x v="0"/>
    <s v="5 Series"/>
    <s v="Electric"/>
    <x v="1"/>
    <s v="26-35"/>
    <s v="Medium"/>
    <x v="0"/>
    <x v="2"/>
    <s v="Sales_6"/>
    <n v="266"/>
    <n v="162"/>
    <n v="111"/>
    <n v="46"/>
    <s v="28.4"/>
    <n v="52279"/>
    <s v="3.41"/>
    <n v="36756"/>
    <n v="2404834"/>
    <n v="714058"/>
    <s v="Feb"/>
    <n v="2"/>
    <n v="2026"/>
    <s v="Weekday"/>
    <n v="0.4144144144144144"/>
    <n v="0.60902255639097747"/>
    <n v="0.17293233082706766"/>
    <n v="15523"/>
    <s v="Leipzig Mobility"/>
  </r>
  <r>
    <s v="CUST_1150"/>
    <x v="1"/>
    <x v="1"/>
    <s v="Wednesday"/>
    <s v="No"/>
    <x v="9"/>
    <x v="9"/>
    <s v="NRW"/>
    <x v="2"/>
    <s v="Q5"/>
    <s v="Electric"/>
    <x v="0"/>
    <s v="18-25"/>
    <s v="Low"/>
    <x v="0"/>
    <x v="1"/>
    <s v="Sales_12"/>
    <n v="233"/>
    <n v="120"/>
    <n v="91"/>
    <n v="27"/>
    <s v="22.5"/>
    <n v="43998"/>
    <s v="5.38"/>
    <n v="33512"/>
    <n v="1187946"/>
    <n v="283122"/>
    <s v="Feb"/>
    <n v="2"/>
    <n v="2026"/>
    <s v="Weekday"/>
    <n v="0.2967032967032967"/>
    <n v="0.51502145922746778"/>
    <n v="0.11587982832618025"/>
    <n v="10486"/>
    <s v="Ruhr Auto Plaza"/>
  </r>
  <r>
    <s v="CUST_1151"/>
    <x v="17"/>
    <x v="2"/>
    <s v="Sunday"/>
    <s v="Yes"/>
    <x v="5"/>
    <x v="5"/>
    <s v="Hamburg"/>
    <x v="2"/>
    <s v="e-tron"/>
    <s v="Diesel"/>
    <x v="0"/>
    <s v="36-50"/>
    <s v="Low"/>
    <x v="0"/>
    <x v="2"/>
    <s v="Sales_16"/>
    <n v="224"/>
    <n v="113"/>
    <n v="76"/>
    <n v="31"/>
    <s v="27.43"/>
    <n v="40372"/>
    <s v="6.13"/>
    <n v="31920"/>
    <n v="1251532"/>
    <n v="262012"/>
    <s v="Feb"/>
    <n v="2"/>
    <n v="2026"/>
    <s v="Weekend"/>
    <n v="0.40789473684210525"/>
    <n v="0.5044642857142857"/>
    <n v="0.13839285714285715"/>
    <n v="8452"/>
    <s v="Elbe Drive"/>
  </r>
  <r>
    <s v="CUST_1152"/>
    <x v="13"/>
    <x v="0"/>
    <s v="Friday"/>
    <s v="No"/>
    <x v="6"/>
    <x v="6"/>
    <s v="Saxony"/>
    <x v="2"/>
    <s v="Q3"/>
    <s v="Electric"/>
    <x v="0"/>
    <s v="50+"/>
    <s v="Medium"/>
    <x v="0"/>
    <x v="0"/>
    <s v="Sales_1"/>
    <n v="306"/>
    <n v="194"/>
    <n v="141"/>
    <n v="36"/>
    <s v="18.56"/>
    <n v="40905"/>
    <s v="5.25"/>
    <n v="31315"/>
    <n v="1472580"/>
    <n v="345240"/>
    <s v="Feb"/>
    <n v="2"/>
    <n v="2026"/>
    <s v="Weekday"/>
    <n v="0.25531914893617019"/>
    <n v="0.63398692810457513"/>
    <n v="0.11764705882352941"/>
    <n v="9590"/>
    <s v="Leipzig Mobility"/>
  </r>
  <r>
    <s v="CUST_1153"/>
    <x v="22"/>
    <x v="3"/>
    <s v="Tuesday"/>
    <s v="No"/>
    <x v="1"/>
    <x v="1"/>
    <s v="NRW"/>
    <x v="3"/>
    <s v="GLE"/>
    <s v="Hybrid"/>
    <x v="0"/>
    <s v="26-35"/>
    <s v="High"/>
    <x v="0"/>
    <x v="1"/>
    <s v="Sales_6"/>
    <n v="168"/>
    <n v="83"/>
    <n v="64"/>
    <n v="20"/>
    <s v="24.1"/>
    <n v="51596"/>
    <s v="5.29"/>
    <n v="39946"/>
    <n v="1031920"/>
    <n v="233000"/>
    <s v="Feb"/>
    <n v="2"/>
    <n v="2026"/>
    <s v="Weekday"/>
    <n v="0.3125"/>
    <n v="0.49404761904761907"/>
    <n v="0.11904761904761904"/>
    <n v="11650"/>
    <s v="Rhein Auto Group"/>
  </r>
  <r>
    <s v="CUST_1154"/>
    <x v="25"/>
    <x v="3"/>
    <s v="Friday"/>
    <s v="No"/>
    <x v="6"/>
    <x v="6"/>
    <s v="Saxony"/>
    <x v="3"/>
    <s v="GLC"/>
    <s v="Electric"/>
    <x v="0"/>
    <s v="26-35"/>
    <s v="Medium"/>
    <x v="1"/>
    <x v="0"/>
    <s v="Sales_15"/>
    <n v="233"/>
    <n v="117"/>
    <n v="88"/>
    <n v="27"/>
    <s v="23.08"/>
    <n v="60325"/>
    <s v="4.19"/>
    <n v="46153"/>
    <n v="1628775"/>
    <n v="382644"/>
    <s v="Feb"/>
    <n v="2"/>
    <n v="2026"/>
    <s v="Weekday"/>
    <n v="0.30681818181818182"/>
    <n v="0.50214592274678116"/>
    <n v="0.11587982832618025"/>
    <n v="14172"/>
    <s v="Leipzig Mobility"/>
  </r>
  <r>
    <s v="CUST_1155"/>
    <x v="19"/>
    <x v="1"/>
    <s v="Saturday"/>
    <s v="Yes"/>
    <x v="5"/>
    <x v="5"/>
    <s v="Hamburg"/>
    <x v="0"/>
    <s v="X5"/>
    <s v="Petrol"/>
    <x v="0"/>
    <s v="18-25"/>
    <s v="High"/>
    <x v="1"/>
    <x v="3"/>
    <s v="Sales_18"/>
    <n v="212"/>
    <n v="95"/>
    <n v="68"/>
    <n v="24"/>
    <s v="25.26"/>
    <n v="52992"/>
    <s v="5.94"/>
    <n v="40594"/>
    <n v="1271808"/>
    <n v="297552"/>
    <s v="Feb"/>
    <n v="2"/>
    <n v="2026"/>
    <s v="Weekend"/>
    <n v="0.35294117647058826"/>
    <n v="0.44811320754716982"/>
    <n v="0.11320754716981132"/>
    <n v="12398"/>
    <s v="Elbe Drive"/>
  </r>
  <r>
    <s v="CUST_1156"/>
    <x v="5"/>
    <x v="3"/>
    <s v="Saturday"/>
    <s v="Yes"/>
    <x v="5"/>
    <x v="5"/>
    <s v="Hamburg"/>
    <x v="3"/>
    <s v="C-Class"/>
    <s v="Petrol"/>
    <x v="1"/>
    <s v="50+"/>
    <s v="Medium"/>
    <x v="0"/>
    <x v="0"/>
    <s v="Sales_10"/>
    <n v="243"/>
    <n v="117"/>
    <n v="92"/>
    <n v="29"/>
    <s v="24.79"/>
    <n v="49173"/>
    <s v="5.79"/>
    <n v="36514"/>
    <n v="1426017"/>
    <n v="367111"/>
    <s v="Feb"/>
    <n v="2"/>
    <n v="2026"/>
    <s v="Weekend"/>
    <n v="0.31521739130434784"/>
    <n v="0.48148148148148145"/>
    <n v="0.11934156378600823"/>
    <n v="12659"/>
    <s v="Elbe Drive"/>
  </r>
  <r>
    <s v="CUST_1157"/>
    <x v="27"/>
    <x v="3"/>
    <s v="Sunday"/>
    <s v="Yes"/>
    <x v="5"/>
    <x v="5"/>
    <s v="Hamburg"/>
    <x v="1"/>
    <s v="Crossland"/>
    <s v="Hybrid"/>
    <x v="0"/>
    <s v="18-25"/>
    <s v="Low"/>
    <x v="1"/>
    <x v="2"/>
    <s v="Sales_5"/>
    <n v="414"/>
    <n v="178"/>
    <n v="115"/>
    <n v="31"/>
    <s v="17.42"/>
    <n v="24490"/>
    <s v="7.39"/>
    <n v="22567"/>
    <n v="759190"/>
    <n v="59613"/>
    <s v="Feb"/>
    <n v="2"/>
    <n v="2026"/>
    <s v="Weekend"/>
    <n v="0.26956521739130435"/>
    <n v="0.42995169082125606"/>
    <n v="7.4879227053140096E-2"/>
    <n v="1923"/>
    <s v="Elbe Drive"/>
  </r>
  <r>
    <s v="CUST_1158"/>
    <x v="14"/>
    <x v="2"/>
    <s v="Friday"/>
    <s v="No"/>
    <x v="4"/>
    <x v="4"/>
    <s v="Berlin"/>
    <x v="4"/>
    <s v="Passat"/>
    <s v="Electric"/>
    <x v="1"/>
    <s v="26-35"/>
    <s v="Medium"/>
    <x v="1"/>
    <x v="0"/>
    <s v="Sales_1"/>
    <n v="330"/>
    <n v="169"/>
    <n v="120"/>
    <n v="22"/>
    <s v="13.02"/>
    <n v="30231"/>
    <s v="11.9"/>
    <n v="26814"/>
    <n v="665082"/>
    <n v="75174"/>
    <s v="Feb"/>
    <n v="2"/>
    <n v="2026"/>
    <s v="Weekday"/>
    <n v="0.18333333333333332"/>
    <n v="0.51212121212121209"/>
    <n v="6.6666666666666666E-2"/>
    <n v="3417"/>
    <s v="Autohaus Berlin"/>
  </r>
  <r>
    <s v="CUST_1159"/>
    <x v="13"/>
    <x v="0"/>
    <s v="Friday"/>
    <s v="No"/>
    <x v="2"/>
    <x v="2"/>
    <s v="Lower Saxony"/>
    <x v="0"/>
    <s v="3 Series"/>
    <s v="Hybrid"/>
    <x v="1"/>
    <s v="36-50"/>
    <s v="High"/>
    <x v="1"/>
    <x v="2"/>
    <s v="Sales_20"/>
    <n v="220"/>
    <n v="100"/>
    <n v="76"/>
    <n v="32"/>
    <s v="32.0"/>
    <n v="61673"/>
    <s v="2.08"/>
    <n v="43277"/>
    <n v="1973536"/>
    <n v="588672"/>
    <s v="Feb"/>
    <n v="2"/>
    <n v="2026"/>
    <s v="Weekday"/>
    <n v="0.42105263157894735"/>
    <n v="0.45454545454545453"/>
    <n v="0.14545454545454545"/>
    <n v="18396"/>
    <s v="Hannover Cars"/>
  </r>
  <r>
    <s v="CUST_1160"/>
    <x v="9"/>
    <x v="0"/>
    <s v="Sunday"/>
    <s v="Yes"/>
    <x v="8"/>
    <x v="8"/>
    <s v="Baden-WÃ¼rttemberg"/>
    <x v="2"/>
    <s v="Q3"/>
    <s v="Electric"/>
    <x v="0"/>
    <s v="26-35"/>
    <s v="High"/>
    <x v="0"/>
    <x v="3"/>
    <s v="Sales_16"/>
    <n v="160"/>
    <n v="79"/>
    <n v="58"/>
    <n v="19"/>
    <s v="24.05"/>
    <n v="43676"/>
    <s v="6.55"/>
    <n v="33747"/>
    <n v="829844"/>
    <n v="188651"/>
    <s v="Feb"/>
    <n v="2"/>
    <n v="2026"/>
    <s v="Weekend"/>
    <n v="0.32758620689655171"/>
    <n v="0.49375000000000002"/>
    <n v="0.11874999999999999"/>
    <n v="9929"/>
    <s v="Stuttgart Auto Center"/>
  </r>
  <r>
    <s v="CUST_1161"/>
    <x v="14"/>
    <x v="2"/>
    <s v="Friday"/>
    <s v="No"/>
    <x v="4"/>
    <x v="4"/>
    <s v="Berlin"/>
    <x v="1"/>
    <s v="Grandland"/>
    <s v="Petrol"/>
    <x v="0"/>
    <s v="26-35"/>
    <s v="Medium"/>
    <x v="0"/>
    <x v="3"/>
    <s v="Sales_19"/>
    <n v="335"/>
    <n v="173"/>
    <n v="101"/>
    <n v="27"/>
    <s v="15.61"/>
    <n v="21416"/>
    <s v="8.91"/>
    <n v="19803"/>
    <n v="578232"/>
    <n v="43551"/>
    <s v="Feb"/>
    <n v="2"/>
    <n v="2026"/>
    <s v="Weekday"/>
    <n v="0.26732673267326734"/>
    <n v="0.5164179104477612"/>
    <n v="8.0597014925373134E-2"/>
    <n v="1613"/>
    <s v="Autohaus Berlin"/>
  </r>
  <r>
    <s v="CUST_1162"/>
    <x v="21"/>
    <x v="0"/>
    <s v="Tuesday"/>
    <s v="No"/>
    <x v="3"/>
    <x v="3"/>
    <s v="Saxony"/>
    <x v="1"/>
    <s v="Mokka"/>
    <s v="Hybrid"/>
    <x v="0"/>
    <s v="26-35"/>
    <s v="Medium"/>
    <x v="1"/>
    <x v="3"/>
    <s v="Sales_9"/>
    <n v="235"/>
    <n v="89"/>
    <n v="56"/>
    <n v="10"/>
    <s v="11.24"/>
    <n v="19851"/>
    <s v="11.93"/>
    <n v="18076"/>
    <n v="198510"/>
    <n v="17750"/>
    <s v="Feb"/>
    <n v="2"/>
    <n v="2026"/>
    <s v="Weekday"/>
    <n v="0.17857142857142858"/>
    <n v="0.37872340425531914"/>
    <n v="4.2553191489361701E-2"/>
    <n v="1775"/>
    <s v="Saxon Wheels"/>
  </r>
  <r>
    <s v="CUST_1163"/>
    <x v="0"/>
    <x v="0"/>
    <s v="Monday"/>
    <s v="No"/>
    <x v="6"/>
    <x v="6"/>
    <s v="Saxony"/>
    <x v="1"/>
    <s v="Corsa"/>
    <s v="Diesel"/>
    <x v="2"/>
    <s v="26-35"/>
    <s v="Medium"/>
    <x v="0"/>
    <x v="1"/>
    <s v="Sales_1"/>
    <n v="256"/>
    <n v="107"/>
    <n v="60"/>
    <n v="18"/>
    <s v="16.82"/>
    <n v="24813"/>
    <s v="9.33"/>
    <n v="22670"/>
    <n v="446634"/>
    <n v="38574"/>
    <s v="Feb"/>
    <n v="2"/>
    <n v="2026"/>
    <s v="Weekday"/>
    <n v="0.3"/>
    <n v="0.41796875"/>
    <n v="7.03125E-2"/>
    <n v="2143"/>
    <s v="Leipzig Mobility"/>
  </r>
  <r>
    <s v="CUST_1164"/>
    <x v="16"/>
    <x v="1"/>
    <s v="Tuesday"/>
    <s v="No"/>
    <x v="6"/>
    <x v="6"/>
    <s v="Saxony"/>
    <x v="0"/>
    <s v="5 Series"/>
    <s v="Electric"/>
    <x v="1"/>
    <s v="36-50"/>
    <s v="Low"/>
    <x v="1"/>
    <x v="2"/>
    <s v="Sales_15"/>
    <n v="239"/>
    <n v="108"/>
    <n v="80"/>
    <n v="32"/>
    <s v="29.63"/>
    <n v="65570"/>
    <s v="2.51"/>
    <n v="51094"/>
    <n v="2098240"/>
    <n v="463232"/>
    <s v="Feb"/>
    <n v="2"/>
    <n v="2026"/>
    <s v="Weekday"/>
    <n v="0.4"/>
    <n v="0.45188284518828453"/>
    <n v="0.13389121338912133"/>
    <n v="14476"/>
    <s v="Leipzig Mobility"/>
  </r>
  <r>
    <s v="CUST_1165"/>
    <x v="24"/>
    <x v="1"/>
    <s v="Thursday"/>
    <s v="No"/>
    <x v="6"/>
    <x v="6"/>
    <s v="Saxony"/>
    <x v="0"/>
    <s v="3 Series"/>
    <s v="Diesel"/>
    <x v="1"/>
    <s v="50+"/>
    <s v="High"/>
    <x v="1"/>
    <x v="2"/>
    <s v="Sales_9"/>
    <n v="160"/>
    <n v="93"/>
    <n v="75"/>
    <n v="28"/>
    <s v="30.11"/>
    <n v="51321"/>
    <s v="5.47"/>
    <n v="36419"/>
    <n v="1436988"/>
    <n v="417256"/>
    <s v="Feb"/>
    <n v="2"/>
    <n v="2026"/>
    <s v="Weekday"/>
    <n v="0.37333333333333335"/>
    <n v="0.58125000000000004"/>
    <n v="0.17499999999999999"/>
    <n v="14902"/>
    <s v="Leipzig Mobility"/>
  </r>
  <r>
    <s v="CUST_1166"/>
    <x v="6"/>
    <x v="2"/>
    <s v="Saturday"/>
    <s v="Yes"/>
    <x v="2"/>
    <x v="2"/>
    <s v="Lower Saxony"/>
    <x v="2"/>
    <s v="Q5"/>
    <s v="Petrol"/>
    <x v="0"/>
    <s v="18-25"/>
    <s v="Low"/>
    <x v="1"/>
    <x v="0"/>
    <s v="Sales_8"/>
    <n v="174"/>
    <n v="109"/>
    <n v="80"/>
    <n v="23"/>
    <s v="21.1"/>
    <n v="51088"/>
    <s v="3.19"/>
    <n v="41878"/>
    <n v="1175024"/>
    <n v="211830"/>
    <s v="Feb"/>
    <n v="2"/>
    <n v="2026"/>
    <s v="Weekend"/>
    <n v="0.28749999999999998"/>
    <n v="0.62643678160919536"/>
    <n v="0.13218390804597702"/>
    <n v="9210"/>
    <s v="Hannover Cars"/>
  </r>
  <r>
    <s v="CUST_1167"/>
    <x v="11"/>
    <x v="0"/>
    <s v="Wednesday"/>
    <s v="No"/>
    <x v="6"/>
    <x v="6"/>
    <s v="Saxony"/>
    <x v="4"/>
    <s v="Passat"/>
    <s v="Petrol"/>
    <x v="1"/>
    <s v="18-25"/>
    <s v="Low"/>
    <x v="0"/>
    <x v="3"/>
    <s v="Sales_1"/>
    <n v="464"/>
    <n v="222"/>
    <n v="152"/>
    <n v="34"/>
    <s v="15.32"/>
    <n v="29415"/>
    <s v="7.43"/>
    <n v="25712"/>
    <n v="1000110"/>
    <n v="125902"/>
    <s v="Feb"/>
    <n v="2"/>
    <n v="2026"/>
    <s v="Weekday"/>
    <n v="0.22368421052631579"/>
    <n v="0.47844827586206895"/>
    <n v="7.3275862068965511E-2"/>
    <n v="3703"/>
    <s v="Leipzig Mobility"/>
  </r>
  <r>
    <s v="CUST_1168"/>
    <x v="17"/>
    <x v="2"/>
    <s v="Sunday"/>
    <s v="Yes"/>
    <x v="3"/>
    <x v="3"/>
    <s v="Saxony"/>
    <x v="3"/>
    <s v="GLE"/>
    <s v="Hybrid"/>
    <x v="0"/>
    <s v="36-50"/>
    <s v="Low"/>
    <x v="1"/>
    <x v="1"/>
    <s v="Sales_1"/>
    <n v="279"/>
    <n v="127"/>
    <n v="83"/>
    <n v="30"/>
    <s v="23.62"/>
    <n v="65319"/>
    <s v="2.04"/>
    <n v="50558"/>
    <n v="1959570"/>
    <n v="442830"/>
    <s v="Feb"/>
    <n v="2"/>
    <n v="2026"/>
    <s v="Weekend"/>
    <n v="0.36144578313253012"/>
    <n v="0.45519713261648748"/>
    <n v="0.10752688172043011"/>
    <n v="14761"/>
    <s v="Saxon Wheels"/>
  </r>
  <r>
    <s v="CUST_1169"/>
    <x v="16"/>
    <x v="1"/>
    <s v="Tuesday"/>
    <s v="No"/>
    <x v="2"/>
    <x v="2"/>
    <s v="Lower Saxony"/>
    <x v="1"/>
    <s v="Astra"/>
    <s v="Hybrid"/>
    <x v="2"/>
    <s v="36-50"/>
    <s v="High"/>
    <x v="0"/>
    <x v="1"/>
    <s v="Sales_9"/>
    <n v="233"/>
    <n v="115"/>
    <n v="71"/>
    <n v="18"/>
    <s v="15.65"/>
    <n v="23948"/>
    <s v="8.0"/>
    <n v="22113"/>
    <n v="431064"/>
    <n v="33030"/>
    <s v="Feb"/>
    <n v="2"/>
    <n v="2026"/>
    <s v="Weekday"/>
    <n v="0.25352112676056338"/>
    <n v="0.49356223175965663"/>
    <n v="7.7253218884120178E-2"/>
    <n v="1835"/>
    <s v="Hannover Cars"/>
  </r>
  <r>
    <s v="CUST_1170"/>
    <x v="9"/>
    <x v="0"/>
    <s v="Sunday"/>
    <s v="Yes"/>
    <x v="8"/>
    <x v="8"/>
    <s v="Baden-WÃ¼rttemberg"/>
    <x v="4"/>
    <s v="Passat"/>
    <s v="Diesel"/>
    <x v="1"/>
    <s v="36-50"/>
    <s v="High"/>
    <x v="0"/>
    <x v="2"/>
    <s v="Sales_15"/>
    <n v="439"/>
    <n v="244"/>
    <n v="168"/>
    <n v="48"/>
    <s v="19.67"/>
    <n v="29180"/>
    <s v="9.63"/>
    <n v="25175"/>
    <n v="1400640"/>
    <n v="192240"/>
    <s v="Feb"/>
    <n v="2"/>
    <n v="2026"/>
    <s v="Weekend"/>
    <n v="0.2857142857142857"/>
    <n v="0.55580865603644647"/>
    <n v="0.10933940774487472"/>
    <n v="4005"/>
    <s v="Stuttgart Auto Center"/>
  </r>
  <r>
    <s v="CUST_1171"/>
    <x v="17"/>
    <x v="2"/>
    <s v="Sunday"/>
    <s v="Yes"/>
    <x v="7"/>
    <x v="7"/>
    <s v="Bavaria"/>
    <x v="3"/>
    <s v="GLC"/>
    <s v="Hybrid"/>
    <x v="0"/>
    <s v="36-50"/>
    <s v="High"/>
    <x v="1"/>
    <x v="0"/>
    <s v="Sales_3"/>
    <n v="162"/>
    <n v="88"/>
    <n v="61"/>
    <n v="20"/>
    <s v="22.73"/>
    <n v="54560"/>
    <s v="3.97"/>
    <n v="41645"/>
    <n v="1091200"/>
    <n v="258300"/>
    <s v="Feb"/>
    <n v="2"/>
    <n v="2026"/>
    <s v="Weekend"/>
    <n v="0.32786885245901637"/>
    <n v="0.54320987654320985"/>
    <n v="0.12345679012345678"/>
    <n v="12915"/>
    <s v="Bavaria Motors"/>
  </r>
  <r>
    <s v="CUST_1172"/>
    <x v="20"/>
    <x v="0"/>
    <s v="Thursday"/>
    <s v="No"/>
    <x v="0"/>
    <x v="0"/>
    <s v="Hesse"/>
    <x v="3"/>
    <s v="GLC"/>
    <s v="Electric"/>
    <x v="0"/>
    <s v="18-25"/>
    <s v="High"/>
    <x v="0"/>
    <x v="3"/>
    <s v="Sales_4"/>
    <n v="218"/>
    <n v="99"/>
    <n v="76"/>
    <n v="22"/>
    <s v="22.22"/>
    <n v="51428"/>
    <s v="2.78"/>
    <n v="37414"/>
    <n v="1131416"/>
    <n v="308308"/>
    <s v="Feb"/>
    <n v="2"/>
    <n v="2026"/>
    <s v="Weekday"/>
    <n v="0.28947368421052633"/>
    <n v="0.45412844036697247"/>
    <n v="0.10091743119266056"/>
    <n v="14014"/>
    <s v="Main Auto Hub"/>
  </r>
  <r>
    <s v="CUST_1173"/>
    <x v="26"/>
    <x v="1"/>
    <s v="Friday"/>
    <s v="No"/>
    <x v="8"/>
    <x v="8"/>
    <s v="Baden-WÃ¼rttemberg"/>
    <x v="2"/>
    <s v="A3"/>
    <s v="Petrol"/>
    <x v="2"/>
    <s v="50+"/>
    <s v="Medium"/>
    <x v="1"/>
    <x v="1"/>
    <s v="Sales_1"/>
    <n v="223"/>
    <n v="120"/>
    <n v="85"/>
    <n v="27"/>
    <s v="22.5"/>
    <n v="47756"/>
    <s v="3.59"/>
    <n v="38862"/>
    <n v="1289412"/>
    <n v="240138"/>
    <s v="Feb"/>
    <n v="2"/>
    <n v="2026"/>
    <s v="Weekday"/>
    <n v="0.31764705882352939"/>
    <n v="0.53811659192825112"/>
    <n v="0.1210762331838565"/>
    <n v="8894"/>
    <s v="Stuttgart Auto Center"/>
  </r>
  <r>
    <s v="CUST_1174"/>
    <x v="19"/>
    <x v="1"/>
    <s v="Saturday"/>
    <s v="Yes"/>
    <x v="4"/>
    <x v="4"/>
    <s v="Berlin"/>
    <x v="2"/>
    <s v="Q5"/>
    <s v="Hybrid"/>
    <x v="0"/>
    <s v="50+"/>
    <s v="Low"/>
    <x v="1"/>
    <x v="1"/>
    <s v="Sales_20"/>
    <n v="254"/>
    <n v="127"/>
    <n v="97"/>
    <n v="33"/>
    <s v="25.98"/>
    <n v="51934"/>
    <s v="5.81"/>
    <n v="39808"/>
    <n v="1713822"/>
    <n v="400158"/>
    <s v="Feb"/>
    <n v="2"/>
    <n v="2026"/>
    <s v="Weekend"/>
    <n v="0.34020618556701032"/>
    <n v="0.5"/>
    <n v="0.12992125984251968"/>
    <n v="12126"/>
    <s v="Autohaus Berlin"/>
  </r>
  <r>
    <s v="CUST_1175"/>
    <x v="26"/>
    <x v="1"/>
    <s v="Friday"/>
    <s v="No"/>
    <x v="8"/>
    <x v="8"/>
    <s v="Baden-WÃ¼rttemberg"/>
    <x v="3"/>
    <s v="E-Class"/>
    <s v="Petrol"/>
    <x v="1"/>
    <s v="26-35"/>
    <s v="High"/>
    <x v="0"/>
    <x v="2"/>
    <s v="Sales_6"/>
    <n v="192"/>
    <n v="97"/>
    <n v="66"/>
    <n v="26"/>
    <s v="26.8"/>
    <n v="63188"/>
    <s v="4.19"/>
    <n v="49309"/>
    <n v="1642888"/>
    <n v="360854"/>
    <s v="Feb"/>
    <n v="2"/>
    <n v="2026"/>
    <s v="Weekday"/>
    <n v="0.39393939393939392"/>
    <n v="0.50520833333333337"/>
    <n v="0.13541666666666666"/>
    <n v="13879"/>
    <s v="Stuttgart Auto Center"/>
  </r>
  <r>
    <s v="CUST_1176"/>
    <x v="13"/>
    <x v="0"/>
    <s v="Friday"/>
    <s v="No"/>
    <x v="5"/>
    <x v="5"/>
    <s v="Hamburg"/>
    <x v="1"/>
    <s v="Crossland"/>
    <s v="Hybrid"/>
    <x v="0"/>
    <s v="26-35"/>
    <s v="High"/>
    <x v="0"/>
    <x v="2"/>
    <s v="Sales_18"/>
    <n v="359"/>
    <n v="163"/>
    <n v="110"/>
    <n v="33"/>
    <s v="20.25"/>
    <n v="20600"/>
    <s v="9.92"/>
    <n v="18368"/>
    <n v="679800"/>
    <n v="73656"/>
    <s v="Feb"/>
    <n v="2"/>
    <n v="2026"/>
    <s v="Weekday"/>
    <n v="0.3"/>
    <n v="0.45403899721448465"/>
    <n v="9.1922005571030641E-2"/>
    <n v="2232"/>
    <s v="Elbe Drive"/>
  </r>
  <r>
    <s v="CUST_1177"/>
    <x v="26"/>
    <x v="1"/>
    <s v="Friday"/>
    <s v="No"/>
    <x v="6"/>
    <x v="6"/>
    <s v="Saxony"/>
    <x v="4"/>
    <s v="T-Roc"/>
    <s v="Petrol"/>
    <x v="0"/>
    <s v="50+"/>
    <s v="Low"/>
    <x v="0"/>
    <x v="3"/>
    <s v="Sales_12"/>
    <n v="413"/>
    <n v="173"/>
    <n v="122"/>
    <n v="24"/>
    <s v="13.87"/>
    <n v="28470"/>
    <s v="11.14"/>
    <n v="25536"/>
    <n v="683280"/>
    <n v="70416"/>
    <s v="Feb"/>
    <n v="2"/>
    <n v="2026"/>
    <s v="Weekday"/>
    <n v="0.19672131147540983"/>
    <n v="0.41888619854721548"/>
    <n v="5.8111380145278453E-2"/>
    <n v="2934"/>
    <s v="Leipzig Mobility"/>
  </r>
  <r>
    <s v="CUST_1178"/>
    <x v="10"/>
    <x v="1"/>
    <s v="Monday"/>
    <s v="No"/>
    <x v="9"/>
    <x v="9"/>
    <s v="NRW"/>
    <x v="4"/>
    <s v="ID.4"/>
    <s v="Petrol"/>
    <x v="0"/>
    <s v="36-50"/>
    <s v="Medium"/>
    <x v="1"/>
    <x v="2"/>
    <s v="Sales_20"/>
    <n v="305"/>
    <n v="134"/>
    <n v="79"/>
    <n v="20"/>
    <s v="14.93"/>
    <n v="34151"/>
    <s v="7.34"/>
    <n v="30281"/>
    <n v="683020"/>
    <n v="77400"/>
    <s v="Feb"/>
    <n v="2"/>
    <n v="2026"/>
    <s v="Weekday"/>
    <n v="0.25316455696202533"/>
    <n v="0.43934426229508194"/>
    <n v="6.5573770491803282E-2"/>
    <n v="3870"/>
    <s v="Ruhr Auto Plaza"/>
  </r>
  <r>
    <s v="CUST_1179"/>
    <x v="21"/>
    <x v="0"/>
    <s v="Tuesday"/>
    <s v="No"/>
    <x v="0"/>
    <x v="0"/>
    <s v="Hesse"/>
    <x v="2"/>
    <s v="Q3"/>
    <s v="Hybrid"/>
    <x v="0"/>
    <s v="18-25"/>
    <s v="Low"/>
    <x v="0"/>
    <x v="1"/>
    <s v="Sales_5"/>
    <n v="254"/>
    <n v="139"/>
    <n v="101"/>
    <n v="30"/>
    <s v="21.58"/>
    <n v="48416"/>
    <s v="4.6"/>
    <n v="37829"/>
    <n v="1452480"/>
    <n v="317610"/>
    <s v="Feb"/>
    <n v="2"/>
    <n v="2026"/>
    <s v="Weekday"/>
    <n v="0.29702970297029702"/>
    <n v="0.547244094488189"/>
    <n v="0.11811023622047244"/>
    <n v="10587"/>
    <s v="Main Auto Hub"/>
  </r>
  <r>
    <s v="CUST_1180"/>
    <x v="21"/>
    <x v="0"/>
    <s v="Tuesday"/>
    <s v="No"/>
    <x v="1"/>
    <x v="1"/>
    <s v="NRW"/>
    <x v="2"/>
    <s v="A4"/>
    <s v="Electric"/>
    <x v="1"/>
    <s v="50+"/>
    <s v="Medium"/>
    <x v="1"/>
    <x v="2"/>
    <s v="Sales_7"/>
    <n v="231"/>
    <n v="114"/>
    <n v="88"/>
    <n v="27"/>
    <s v="23.68"/>
    <n v="52875"/>
    <s v="6.71"/>
    <n v="40637"/>
    <n v="1427625"/>
    <n v="330426"/>
    <s v="Feb"/>
    <n v="2"/>
    <n v="2026"/>
    <s v="Weekday"/>
    <n v="0.30681818181818182"/>
    <n v="0.4935064935064935"/>
    <n v="0.11688311688311688"/>
    <n v="12238"/>
    <s v="Rhein Auto Group"/>
  </r>
  <r>
    <s v="CUST_1181"/>
    <x v="17"/>
    <x v="2"/>
    <s v="Sunday"/>
    <s v="Yes"/>
    <x v="9"/>
    <x v="9"/>
    <s v="NRW"/>
    <x v="0"/>
    <s v="i4"/>
    <s v="Petrol"/>
    <x v="1"/>
    <s v="26-35"/>
    <s v="High"/>
    <x v="1"/>
    <x v="3"/>
    <s v="Sales_20"/>
    <n v="142"/>
    <n v="66"/>
    <n v="49"/>
    <n v="15"/>
    <s v="22.73"/>
    <n v="62965"/>
    <s v="2.51"/>
    <n v="47274"/>
    <n v="944475"/>
    <n v="235365"/>
    <s v="Feb"/>
    <n v="2"/>
    <n v="2026"/>
    <s v="Weekend"/>
    <n v="0.30612244897959184"/>
    <n v="0.46478873239436619"/>
    <n v="0.10563380281690141"/>
    <n v="15691"/>
    <s v="Ruhr Auto Plaza"/>
  </r>
  <r>
    <s v="CUST_1182"/>
    <x v="7"/>
    <x v="3"/>
    <s v="Monday"/>
    <s v="No"/>
    <x v="1"/>
    <x v="1"/>
    <s v="NRW"/>
    <x v="3"/>
    <s v="GLE"/>
    <s v="Hybrid"/>
    <x v="0"/>
    <s v="36-50"/>
    <s v="Low"/>
    <x v="0"/>
    <x v="3"/>
    <s v="Sales_6"/>
    <n v="225"/>
    <n v="114"/>
    <n v="88"/>
    <n v="28"/>
    <s v="24.56"/>
    <n v="52084"/>
    <s v="4.58"/>
    <n v="37298"/>
    <n v="1458352"/>
    <n v="414008"/>
    <s v="Feb"/>
    <n v="2"/>
    <n v="2026"/>
    <s v="Weekday"/>
    <n v="0.31818181818181818"/>
    <n v="0.50666666666666671"/>
    <n v="0.12444444444444444"/>
    <n v="14786"/>
    <s v="Rhein Auto Group"/>
  </r>
  <r>
    <s v="CUST_1183"/>
    <x v="3"/>
    <x v="1"/>
    <s v="Sunday"/>
    <s v="Yes"/>
    <x v="9"/>
    <x v="9"/>
    <s v="NRW"/>
    <x v="1"/>
    <s v="Mokka"/>
    <s v="Diesel"/>
    <x v="0"/>
    <s v="50+"/>
    <s v="High"/>
    <x v="0"/>
    <x v="0"/>
    <s v="Sales_2"/>
    <n v="369"/>
    <n v="178"/>
    <n v="113"/>
    <n v="26"/>
    <s v="14.61"/>
    <n v="21114"/>
    <s v="13.51"/>
    <n v="19206"/>
    <n v="548964"/>
    <n v="49608"/>
    <s v="Feb"/>
    <n v="2"/>
    <n v="2026"/>
    <s v="Weekend"/>
    <n v="0.23008849557522124"/>
    <n v="0.4823848238482385"/>
    <n v="7.0460704607046065E-2"/>
    <n v="1908"/>
    <s v="Ruhr Auto Plaza"/>
  </r>
  <r>
    <s v="CUST_1184"/>
    <x v="0"/>
    <x v="0"/>
    <s v="Monday"/>
    <s v="No"/>
    <x v="5"/>
    <x v="5"/>
    <s v="Hamburg"/>
    <x v="0"/>
    <s v="i4"/>
    <s v="Electric"/>
    <x v="1"/>
    <s v="26-35"/>
    <s v="Medium"/>
    <x v="0"/>
    <x v="1"/>
    <s v="Sales_18"/>
    <n v="141"/>
    <n v="64"/>
    <n v="48"/>
    <n v="18"/>
    <s v="28.12"/>
    <n v="58279"/>
    <s v="5.15"/>
    <n v="41189"/>
    <n v="1049022"/>
    <n v="307620"/>
    <s v="Feb"/>
    <n v="2"/>
    <n v="2026"/>
    <s v="Weekday"/>
    <n v="0.375"/>
    <n v="0.45390070921985815"/>
    <n v="0.1276595744680851"/>
    <n v="17090"/>
    <s v="Elbe Drive"/>
  </r>
  <r>
    <s v="CUST_1185"/>
    <x v="0"/>
    <x v="0"/>
    <s v="Monday"/>
    <s v="No"/>
    <x v="3"/>
    <x v="3"/>
    <s v="Saxony"/>
    <x v="4"/>
    <s v="Tiguan"/>
    <s v="Diesel"/>
    <x v="0"/>
    <s v="18-25"/>
    <s v="High"/>
    <x v="0"/>
    <x v="1"/>
    <s v="Sales_16"/>
    <n v="458"/>
    <n v="203"/>
    <n v="126"/>
    <n v="30"/>
    <s v="14.78"/>
    <n v="31251"/>
    <s v="7.51"/>
    <n v="28029"/>
    <n v="937530"/>
    <n v="96660"/>
    <s v="Feb"/>
    <n v="2"/>
    <n v="2026"/>
    <s v="Weekday"/>
    <n v="0.23809523809523808"/>
    <n v="0.44323144104803491"/>
    <n v="6.5502183406113537E-2"/>
    <n v="3222"/>
    <s v="Saxon Wheels"/>
  </r>
  <r>
    <s v="CUST_1186"/>
    <x v="5"/>
    <x v="3"/>
    <s v="Saturday"/>
    <s v="Yes"/>
    <x v="5"/>
    <x v="5"/>
    <s v="Hamburg"/>
    <x v="1"/>
    <s v="Corsa"/>
    <s v="Diesel"/>
    <x v="2"/>
    <s v="50+"/>
    <s v="High"/>
    <x v="1"/>
    <x v="0"/>
    <s v="Sales_2"/>
    <n v="330"/>
    <n v="159"/>
    <n v="95"/>
    <n v="20"/>
    <s v="12.58"/>
    <n v="23099"/>
    <s v="13.23"/>
    <n v="21373"/>
    <n v="461980"/>
    <n v="34520"/>
    <s v="Feb"/>
    <n v="2"/>
    <n v="2026"/>
    <s v="Weekend"/>
    <n v="0.21052631578947367"/>
    <n v="0.48181818181818181"/>
    <n v="6.0606060606060608E-2"/>
    <n v="1726"/>
    <s v="Elbe Drive"/>
  </r>
  <r>
    <s v="CUST_1187"/>
    <x v="15"/>
    <x v="2"/>
    <s v="Thursday"/>
    <s v="No"/>
    <x v="5"/>
    <x v="5"/>
    <s v="Hamburg"/>
    <x v="2"/>
    <s v="e-tron"/>
    <s v="Hybrid"/>
    <x v="0"/>
    <s v="50+"/>
    <s v="Low"/>
    <x v="0"/>
    <x v="0"/>
    <s v="Sales_11"/>
    <n v="231"/>
    <n v="119"/>
    <n v="76"/>
    <n v="28"/>
    <s v="23.53"/>
    <n v="53738"/>
    <s v="5.21"/>
    <n v="44027"/>
    <n v="1504664"/>
    <n v="271908"/>
    <s v="Feb"/>
    <n v="2"/>
    <n v="2026"/>
    <s v="Weekday"/>
    <n v="0.36842105263157893"/>
    <n v="0.51515151515151514"/>
    <n v="0.12121212121212122"/>
    <n v="9711"/>
    <s v="Elbe Drive"/>
  </r>
  <r>
    <s v="CUST_1188"/>
    <x v="10"/>
    <x v="1"/>
    <s v="Monday"/>
    <s v="No"/>
    <x v="1"/>
    <x v="1"/>
    <s v="NRW"/>
    <x v="1"/>
    <s v="Grandland"/>
    <s v="Diesel"/>
    <x v="0"/>
    <s v="18-25"/>
    <s v="Medium"/>
    <x v="0"/>
    <x v="1"/>
    <s v="Sales_8"/>
    <n v="318"/>
    <n v="153"/>
    <n v="95"/>
    <n v="31"/>
    <s v="20.26"/>
    <n v="22989"/>
    <s v="8.7"/>
    <n v="20808"/>
    <n v="712659"/>
    <n v="67611"/>
    <s v="Feb"/>
    <n v="2"/>
    <n v="2026"/>
    <s v="Weekday"/>
    <n v="0.32631578947368423"/>
    <n v="0.48113207547169812"/>
    <n v="9.7484276729559755E-2"/>
    <n v="2181"/>
    <s v="Rhein Auto Group"/>
  </r>
  <r>
    <s v="CUST_1189"/>
    <x v="11"/>
    <x v="0"/>
    <s v="Wednesday"/>
    <s v="No"/>
    <x v="6"/>
    <x v="6"/>
    <s v="Saxony"/>
    <x v="2"/>
    <s v="A3"/>
    <s v="Petrol"/>
    <x v="2"/>
    <s v="36-50"/>
    <s v="High"/>
    <x v="0"/>
    <x v="3"/>
    <s v="Sales_9"/>
    <n v="285"/>
    <n v="177"/>
    <n v="125"/>
    <n v="41"/>
    <s v="23.16"/>
    <n v="50720"/>
    <s v="3.6"/>
    <n v="39856"/>
    <n v="2079520"/>
    <n v="445424"/>
    <s v="Feb"/>
    <n v="2"/>
    <n v="2026"/>
    <s v="Weekday"/>
    <n v="0.32800000000000001"/>
    <n v="0.62105263157894741"/>
    <n v="0.14385964912280702"/>
    <n v="10864"/>
    <s v="Leipzig Mobility"/>
  </r>
  <r>
    <s v="CUST_1190"/>
    <x v="6"/>
    <x v="2"/>
    <s v="Saturday"/>
    <s v="Yes"/>
    <x v="9"/>
    <x v="9"/>
    <s v="NRW"/>
    <x v="1"/>
    <s v="Crossland"/>
    <s v="Hybrid"/>
    <x v="0"/>
    <s v="18-25"/>
    <s v="Medium"/>
    <x v="1"/>
    <x v="0"/>
    <s v="Sales_19"/>
    <n v="370"/>
    <n v="203"/>
    <n v="122"/>
    <n v="29"/>
    <s v="14.29"/>
    <n v="23575"/>
    <s v="12.49"/>
    <n v="21246"/>
    <n v="683675"/>
    <n v="67541"/>
    <s v="Feb"/>
    <n v="2"/>
    <n v="2026"/>
    <s v="Weekend"/>
    <n v="0.23770491803278687"/>
    <n v="0.5486486486486486"/>
    <n v="7.8378378378378383E-2"/>
    <n v="2329"/>
    <s v="Ruhr Auto Plaza"/>
  </r>
  <r>
    <s v="CUST_1191"/>
    <x v="0"/>
    <x v="0"/>
    <s v="Monday"/>
    <s v="No"/>
    <x v="6"/>
    <x v="6"/>
    <s v="Saxony"/>
    <x v="1"/>
    <s v="Mokka"/>
    <s v="Diesel"/>
    <x v="0"/>
    <s v="36-50"/>
    <s v="Low"/>
    <x v="1"/>
    <x v="1"/>
    <s v="Sales_19"/>
    <n v="355"/>
    <n v="151"/>
    <n v="88"/>
    <n v="24"/>
    <s v="15.89"/>
    <n v="21798"/>
    <s v="9.2"/>
    <n v="19514"/>
    <n v="523152"/>
    <n v="54816"/>
    <s v="Feb"/>
    <n v="2"/>
    <n v="2026"/>
    <s v="Weekday"/>
    <n v="0.27272727272727271"/>
    <n v="0.42535211267605633"/>
    <n v="6.7605633802816895E-2"/>
    <n v="2284"/>
    <s v="Leipzig Mobility"/>
  </r>
  <r>
    <s v="CUST_1192"/>
    <x v="21"/>
    <x v="0"/>
    <s v="Tuesday"/>
    <s v="No"/>
    <x v="7"/>
    <x v="7"/>
    <s v="Bavaria"/>
    <x v="3"/>
    <s v="C-Class"/>
    <s v="Hybrid"/>
    <x v="1"/>
    <s v="50+"/>
    <s v="Medium"/>
    <x v="0"/>
    <x v="3"/>
    <s v="Sales_19"/>
    <n v="156"/>
    <n v="69"/>
    <n v="48"/>
    <n v="19"/>
    <s v="27.54"/>
    <n v="65055"/>
    <s v="2.81"/>
    <n v="47131"/>
    <n v="1236045"/>
    <n v="340556"/>
    <s v="Feb"/>
    <n v="2"/>
    <n v="2026"/>
    <s v="Weekday"/>
    <n v="0.39583333333333331"/>
    <n v="0.44230769230769229"/>
    <n v="0.12179487179487179"/>
    <n v="17924"/>
    <s v="Bavaria Motors"/>
  </r>
  <r>
    <s v="CUST_1193"/>
    <x v="22"/>
    <x v="3"/>
    <s v="Tuesday"/>
    <s v="No"/>
    <x v="7"/>
    <x v="7"/>
    <s v="Bavaria"/>
    <x v="4"/>
    <s v="T-Roc"/>
    <s v="Diesel"/>
    <x v="0"/>
    <s v="36-50"/>
    <s v="Low"/>
    <x v="1"/>
    <x v="1"/>
    <s v="Sales_15"/>
    <n v="345"/>
    <n v="172"/>
    <n v="117"/>
    <n v="34"/>
    <s v="19.77"/>
    <n v="26594"/>
    <s v="7.19"/>
    <n v="23480"/>
    <n v="904196"/>
    <n v="105876"/>
    <s v="Feb"/>
    <n v="2"/>
    <n v="2026"/>
    <s v="Weekday"/>
    <n v="0.29059829059829062"/>
    <n v="0.49855072463768119"/>
    <n v="9.8550724637681164E-2"/>
    <n v="3114"/>
    <s v="Bavaria Motors"/>
  </r>
  <r>
    <s v="CUST_1194"/>
    <x v="4"/>
    <x v="2"/>
    <s v="Wednesday"/>
    <s v="No"/>
    <x v="9"/>
    <x v="9"/>
    <s v="NRW"/>
    <x v="2"/>
    <s v="A4"/>
    <s v="Diesel"/>
    <x v="1"/>
    <s v="26-35"/>
    <s v="Low"/>
    <x v="1"/>
    <x v="2"/>
    <s v="Sales_20"/>
    <n v="281"/>
    <n v="160"/>
    <n v="110"/>
    <n v="41"/>
    <s v="25.62"/>
    <n v="42196"/>
    <s v="3.28"/>
    <n v="34261"/>
    <n v="1730036"/>
    <n v="325335"/>
    <s v="Feb"/>
    <n v="2"/>
    <n v="2026"/>
    <s v="Weekday"/>
    <n v="0.37272727272727274"/>
    <n v="0.56939501779359436"/>
    <n v="0.14590747330960854"/>
    <n v="7935"/>
    <s v="Ruhr Auto Plaza"/>
  </r>
  <r>
    <s v="CUST_1195"/>
    <x v="7"/>
    <x v="3"/>
    <s v="Monday"/>
    <s v="No"/>
    <x v="4"/>
    <x v="4"/>
    <s v="Berlin"/>
    <x v="2"/>
    <s v="e-tron"/>
    <s v="Electric"/>
    <x v="0"/>
    <s v="18-25"/>
    <s v="High"/>
    <x v="0"/>
    <x v="3"/>
    <s v="Sales_4"/>
    <n v="275"/>
    <n v="151"/>
    <n v="104"/>
    <n v="37"/>
    <s v="24.5"/>
    <n v="52642"/>
    <s v="6.14"/>
    <n v="41839"/>
    <n v="1947754"/>
    <n v="399711"/>
    <s v="Feb"/>
    <n v="2"/>
    <n v="2026"/>
    <s v="Weekday"/>
    <n v="0.35576923076923078"/>
    <n v="0.54909090909090907"/>
    <n v="0.13454545454545455"/>
    <n v="10803"/>
    <s v="Autohaus Berlin"/>
  </r>
  <r>
    <s v="CUST_1196"/>
    <x v="11"/>
    <x v="0"/>
    <s v="Wednesday"/>
    <s v="No"/>
    <x v="3"/>
    <x v="3"/>
    <s v="Saxony"/>
    <x v="3"/>
    <s v="EQE"/>
    <s v="Electric"/>
    <x v="1"/>
    <s v="26-35"/>
    <s v="High"/>
    <x v="0"/>
    <x v="1"/>
    <s v="Sales_16"/>
    <n v="164"/>
    <n v="97"/>
    <n v="66"/>
    <n v="23"/>
    <s v="23.71"/>
    <n v="62682"/>
    <s v="3.37"/>
    <n v="47984"/>
    <n v="1441686"/>
    <n v="338054"/>
    <s v="Feb"/>
    <n v="2"/>
    <n v="2026"/>
    <s v="Weekday"/>
    <n v="0.34848484848484851"/>
    <n v="0.59146341463414631"/>
    <n v="0.1402439024390244"/>
    <n v="14698"/>
    <s v="Saxon Wheels"/>
  </r>
  <r>
    <s v="CUST_1197"/>
    <x v="9"/>
    <x v="0"/>
    <s v="Sunday"/>
    <s v="Yes"/>
    <x v="0"/>
    <x v="0"/>
    <s v="Hesse"/>
    <x v="0"/>
    <s v="X3"/>
    <s v="Electric"/>
    <x v="0"/>
    <s v="26-35"/>
    <s v="High"/>
    <x v="1"/>
    <x v="1"/>
    <s v="Sales_17"/>
    <n v="242"/>
    <n v="115"/>
    <n v="83"/>
    <n v="29"/>
    <s v="25.22"/>
    <n v="58817"/>
    <s v="2.51"/>
    <n v="44545"/>
    <n v="1705693"/>
    <n v="413888"/>
    <s v="Feb"/>
    <n v="2"/>
    <n v="2026"/>
    <s v="Weekend"/>
    <n v="0.3493975903614458"/>
    <n v="0.47520661157024796"/>
    <n v="0.11983471074380166"/>
    <n v="14272"/>
    <s v="Main Auto Hub"/>
  </r>
  <r>
    <s v="CUST_1198"/>
    <x v="11"/>
    <x v="0"/>
    <s v="Wednesday"/>
    <s v="No"/>
    <x v="9"/>
    <x v="9"/>
    <s v="NRW"/>
    <x v="0"/>
    <s v="5 Series"/>
    <s v="Diesel"/>
    <x v="1"/>
    <s v="50+"/>
    <s v="Low"/>
    <x v="1"/>
    <x v="0"/>
    <s v="Sales_4"/>
    <n v="171"/>
    <n v="102"/>
    <n v="71"/>
    <n v="27"/>
    <s v="26.47"/>
    <n v="52717"/>
    <s v="5.75"/>
    <n v="39877"/>
    <n v="1423359"/>
    <n v="346680"/>
    <s v="Feb"/>
    <n v="2"/>
    <n v="2026"/>
    <s v="Weekday"/>
    <n v="0.38028169014084506"/>
    <n v="0.59649122807017541"/>
    <n v="0.15789473684210525"/>
    <n v="12840"/>
    <s v="Ruhr Auto Plaza"/>
  </r>
  <r>
    <s v="CUST_1199"/>
    <x v="27"/>
    <x v="3"/>
    <s v="Sunday"/>
    <s v="Yes"/>
    <x v="1"/>
    <x v="1"/>
    <s v="NRW"/>
    <x v="3"/>
    <s v="EQE"/>
    <s v="Electric"/>
    <x v="1"/>
    <s v="26-35"/>
    <s v="Medium"/>
    <x v="0"/>
    <x v="1"/>
    <s v="Sales_17"/>
    <n v="227"/>
    <n v="109"/>
    <n v="83"/>
    <n v="27"/>
    <s v="24.77"/>
    <n v="65341"/>
    <s v="4.92"/>
    <n v="46559"/>
    <n v="1764207"/>
    <n v="507114"/>
    <s v="Feb"/>
    <n v="2"/>
    <n v="2026"/>
    <s v="Weekend"/>
    <n v="0.3253012048192771"/>
    <n v="0.48017621145374451"/>
    <n v="0.11894273127753303"/>
    <n v="18782"/>
    <s v="Rhein Auto Group"/>
  </r>
  <r>
    <s v="CUST_1200"/>
    <x v="16"/>
    <x v="1"/>
    <s v="Tuesday"/>
    <s v="No"/>
    <x v="7"/>
    <x v="7"/>
    <s v="Bavaria"/>
    <x v="2"/>
    <s v="Q3"/>
    <s v="Hybrid"/>
    <x v="0"/>
    <s v="18-25"/>
    <s v="High"/>
    <x v="0"/>
    <x v="0"/>
    <s v="Sales_17"/>
    <n v="201"/>
    <n v="114"/>
    <n v="81"/>
    <n v="28"/>
    <s v="24.56"/>
    <n v="43455"/>
    <s v="6.33"/>
    <n v="32815"/>
    <n v="1216740"/>
    <n v="297920"/>
    <s v="Feb"/>
    <n v="2"/>
    <n v="2026"/>
    <s v="Weekday"/>
    <n v="0.34567901234567899"/>
    <n v="0.56716417910447758"/>
    <n v="0.13930348258706468"/>
    <n v="10640"/>
    <s v="Bavaria Motors"/>
  </r>
  <r>
    <s v="CUST_1201"/>
    <x v="22"/>
    <x v="3"/>
    <s v="Tuesday"/>
    <s v="No"/>
    <x v="5"/>
    <x v="5"/>
    <s v="Hamburg"/>
    <x v="4"/>
    <s v="Passat"/>
    <s v="Diesel"/>
    <x v="1"/>
    <s v="26-35"/>
    <s v="Low"/>
    <x v="1"/>
    <x v="1"/>
    <s v="Sales_2"/>
    <n v="390"/>
    <n v="216"/>
    <n v="137"/>
    <n v="36"/>
    <s v="16.67"/>
    <n v="26461"/>
    <s v="8.07"/>
    <n v="23136"/>
    <n v="952596"/>
    <n v="119700"/>
    <s v="Feb"/>
    <n v="2"/>
    <n v="2026"/>
    <s v="Weekday"/>
    <n v="0.26277372262773724"/>
    <n v="0.55384615384615388"/>
    <n v="9.2307692307692313E-2"/>
    <n v="3325"/>
    <s v="Elbe Drive"/>
  </r>
  <r>
    <s v="CUST_1202"/>
    <x v="26"/>
    <x v="1"/>
    <s v="Friday"/>
    <s v="No"/>
    <x v="2"/>
    <x v="2"/>
    <s v="Lower Saxony"/>
    <x v="0"/>
    <s v="X3"/>
    <s v="Hybrid"/>
    <x v="0"/>
    <s v="50+"/>
    <s v="Low"/>
    <x v="1"/>
    <x v="2"/>
    <s v="Sales_14"/>
    <n v="169"/>
    <n v="80"/>
    <n v="54"/>
    <n v="22"/>
    <s v="27.5"/>
    <n v="66979"/>
    <s v="5.99"/>
    <n v="50823"/>
    <n v="1473538"/>
    <n v="355432"/>
    <s v="Feb"/>
    <n v="2"/>
    <n v="2026"/>
    <s v="Weekday"/>
    <n v="0.40740740740740738"/>
    <n v="0.47337278106508873"/>
    <n v="0.13017751479289941"/>
    <n v="16156"/>
    <s v="Hannover Cars"/>
  </r>
  <r>
    <s v="CUST_1203"/>
    <x v="10"/>
    <x v="1"/>
    <s v="Monday"/>
    <s v="No"/>
    <x v="5"/>
    <x v="5"/>
    <s v="Hamburg"/>
    <x v="2"/>
    <s v="e-tron"/>
    <s v="Diesel"/>
    <x v="0"/>
    <s v="26-35"/>
    <s v="High"/>
    <x v="1"/>
    <x v="2"/>
    <s v="Sales_7"/>
    <n v="240"/>
    <n v="121"/>
    <n v="79"/>
    <n v="29"/>
    <s v="23.97"/>
    <n v="46606"/>
    <s v="3.57"/>
    <n v="36033"/>
    <n v="1351574"/>
    <n v="306617"/>
    <s v="Feb"/>
    <n v="2"/>
    <n v="2026"/>
    <s v="Weekday"/>
    <n v="0.36708860759493672"/>
    <n v="0.50416666666666665"/>
    <n v="0.12083333333333333"/>
    <n v="10573"/>
    <s v="Elbe Drive"/>
  </r>
  <r>
    <s v="CUST_1204"/>
    <x v="4"/>
    <x v="2"/>
    <s v="Wednesday"/>
    <s v="No"/>
    <x v="7"/>
    <x v="7"/>
    <s v="Bavaria"/>
    <x v="1"/>
    <s v="Corsa"/>
    <s v="Electric"/>
    <x v="2"/>
    <s v="26-35"/>
    <s v="Medium"/>
    <x v="0"/>
    <x v="1"/>
    <s v="Sales_6"/>
    <n v="316"/>
    <n v="135"/>
    <n v="89"/>
    <n v="26"/>
    <s v="19.26"/>
    <n v="23935"/>
    <s v="13.03"/>
    <n v="21791"/>
    <n v="622310"/>
    <n v="55744"/>
    <s v="Feb"/>
    <n v="2"/>
    <n v="2026"/>
    <s v="Weekday"/>
    <n v="0.29213483146067415"/>
    <n v="0.42721518987341772"/>
    <n v="8.2278481012658222E-2"/>
    <n v="2144"/>
    <s v="Bavaria Motors"/>
  </r>
  <r>
    <s v="CUST_1205"/>
    <x v="27"/>
    <x v="3"/>
    <s v="Sunday"/>
    <s v="Yes"/>
    <x v="6"/>
    <x v="6"/>
    <s v="Saxony"/>
    <x v="3"/>
    <s v="GLC"/>
    <s v="Electric"/>
    <x v="0"/>
    <s v="18-25"/>
    <s v="High"/>
    <x v="0"/>
    <x v="0"/>
    <s v="Sales_9"/>
    <n v="268"/>
    <n v="126"/>
    <n v="89"/>
    <n v="25"/>
    <s v="19.84"/>
    <n v="71086"/>
    <s v="4.09"/>
    <n v="55852"/>
    <n v="1777150"/>
    <n v="380850"/>
    <s v="Feb"/>
    <n v="2"/>
    <n v="2026"/>
    <s v="Weekend"/>
    <n v="0.2808988764044944"/>
    <n v="0.47014925373134331"/>
    <n v="9.3283582089552244E-2"/>
    <n v="15234"/>
    <s v="Leipzig Mobility"/>
  </r>
  <r>
    <s v="CUST_1206"/>
    <x v="16"/>
    <x v="1"/>
    <s v="Tuesday"/>
    <s v="No"/>
    <x v="6"/>
    <x v="6"/>
    <s v="Saxony"/>
    <x v="1"/>
    <s v="Grandland"/>
    <s v="Diesel"/>
    <x v="0"/>
    <s v="50+"/>
    <s v="Medium"/>
    <x v="0"/>
    <x v="3"/>
    <s v="Sales_13"/>
    <n v="309"/>
    <n v="169"/>
    <n v="106"/>
    <n v="20"/>
    <s v="11.83"/>
    <n v="21978"/>
    <s v="13.37"/>
    <n v="20347"/>
    <n v="439560"/>
    <n v="32620"/>
    <s v="Feb"/>
    <n v="2"/>
    <n v="2026"/>
    <s v="Weekday"/>
    <n v="0.18867924528301888"/>
    <n v="0.54692556634304212"/>
    <n v="6.4724919093851127E-2"/>
    <n v="1631"/>
    <s v="Leipzig Mobility"/>
  </r>
  <r>
    <s v="CUST_1207"/>
    <x v="7"/>
    <x v="3"/>
    <s v="Monday"/>
    <s v="No"/>
    <x v="8"/>
    <x v="8"/>
    <s v="Baden-WÃ¼rttemberg"/>
    <x v="1"/>
    <s v="Crossland"/>
    <s v="Petrol"/>
    <x v="0"/>
    <s v="50+"/>
    <s v="Low"/>
    <x v="1"/>
    <x v="2"/>
    <s v="Sales_9"/>
    <n v="408"/>
    <n v="183"/>
    <n v="120"/>
    <n v="31"/>
    <s v="16.94"/>
    <n v="20901"/>
    <s v="12.78"/>
    <n v="19127"/>
    <n v="647931"/>
    <n v="54994"/>
    <s v="Feb"/>
    <n v="2"/>
    <n v="2026"/>
    <s v="Weekday"/>
    <n v="0.25833333333333336"/>
    <n v="0.4485294117647059"/>
    <n v="7.5980392156862739E-2"/>
    <n v="1774"/>
    <s v="Stuttgart Auto Center"/>
  </r>
  <r>
    <s v="CUST_1208"/>
    <x v="18"/>
    <x v="0"/>
    <s v="Saturday"/>
    <s v="Yes"/>
    <x v="1"/>
    <x v="1"/>
    <s v="NRW"/>
    <x v="0"/>
    <s v="i4"/>
    <s v="Petrol"/>
    <x v="1"/>
    <s v="26-35"/>
    <s v="High"/>
    <x v="0"/>
    <x v="2"/>
    <s v="Sales_7"/>
    <n v="215"/>
    <n v="132"/>
    <n v="104"/>
    <n v="42"/>
    <s v="31.82"/>
    <n v="51260"/>
    <s v="3.46"/>
    <n v="37922"/>
    <n v="2152920"/>
    <n v="560196"/>
    <s v="Feb"/>
    <n v="2"/>
    <n v="2026"/>
    <s v="Weekend"/>
    <n v="0.40384615384615385"/>
    <n v="0.61395348837209307"/>
    <n v="0.19534883720930232"/>
    <n v="13338"/>
    <s v="Rhein Auto Group"/>
  </r>
  <r>
    <s v="CUST_1209"/>
    <x v="15"/>
    <x v="2"/>
    <s v="Thursday"/>
    <s v="No"/>
    <x v="7"/>
    <x v="7"/>
    <s v="Bavaria"/>
    <x v="0"/>
    <s v="X3"/>
    <s v="Hybrid"/>
    <x v="0"/>
    <s v="50+"/>
    <s v="Low"/>
    <x v="0"/>
    <x v="0"/>
    <s v="Sales_9"/>
    <n v="278"/>
    <n v="167"/>
    <n v="132"/>
    <n v="44"/>
    <s v="26.35"/>
    <n v="56757"/>
    <s v="5.14"/>
    <n v="41427"/>
    <n v="2497308"/>
    <n v="674520"/>
    <s v="Feb"/>
    <n v="2"/>
    <n v="2026"/>
    <s v="Weekday"/>
    <n v="0.33333333333333331"/>
    <n v="0.60071942446043169"/>
    <n v="0.15827338129496402"/>
    <n v="15330"/>
    <s v="Bavaria Motors"/>
  </r>
  <r>
    <s v="CUST_1210"/>
    <x v="18"/>
    <x v="0"/>
    <s v="Saturday"/>
    <s v="Yes"/>
    <x v="2"/>
    <x v="2"/>
    <s v="Lower Saxony"/>
    <x v="0"/>
    <s v="i4"/>
    <s v="Petrol"/>
    <x v="1"/>
    <s v="26-35"/>
    <s v="Medium"/>
    <x v="1"/>
    <x v="0"/>
    <s v="Sales_11"/>
    <n v="205"/>
    <n v="120"/>
    <n v="87"/>
    <n v="31"/>
    <s v="25.83"/>
    <n v="52300"/>
    <s v="3.95"/>
    <n v="37488"/>
    <n v="1621300"/>
    <n v="459172"/>
    <s v="Feb"/>
    <n v="2"/>
    <n v="2026"/>
    <s v="Weekend"/>
    <n v="0.35632183908045978"/>
    <n v="0.58536585365853655"/>
    <n v="0.15121951219512195"/>
    <n v="14812"/>
    <s v="Hannover Cars"/>
  </r>
  <r>
    <s v="CUST_1211"/>
    <x v="6"/>
    <x v="2"/>
    <s v="Saturday"/>
    <s v="Yes"/>
    <x v="0"/>
    <x v="0"/>
    <s v="Hesse"/>
    <x v="3"/>
    <s v="GLC"/>
    <s v="Hybrid"/>
    <x v="0"/>
    <s v="26-35"/>
    <s v="Low"/>
    <x v="1"/>
    <x v="3"/>
    <s v="Sales_1"/>
    <n v="201"/>
    <n v="111"/>
    <n v="80"/>
    <n v="24"/>
    <s v="21.62"/>
    <n v="62048"/>
    <s v="2.08"/>
    <n v="44679"/>
    <n v="1489152"/>
    <n v="416856"/>
    <s v="Feb"/>
    <n v="2"/>
    <n v="2026"/>
    <s v="Weekend"/>
    <n v="0.3"/>
    <n v="0.55223880597014929"/>
    <n v="0.11940298507462686"/>
    <n v="17369"/>
    <s v="Main Auto Hub"/>
  </r>
  <r>
    <s v="CUST_1212"/>
    <x v="27"/>
    <x v="3"/>
    <s v="Sunday"/>
    <s v="Yes"/>
    <x v="6"/>
    <x v="6"/>
    <s v="Saxony"/>
    <x v="3"/>
    <s v="C-Class"/>
    <s v="Electric"/>
    <x v="1"/>
    <s v="36-50"/>
    <s v="Medium"/>
    <x v="1"/>
    <x v="0"/>
    <s v="Sales_3"/>
    <n v="285"/>
    <n v="157"/>
    <n v="112"/>
    <n v="32"/>
    <s v="20.38"/>
    <n v="53298"/>
    <s v="2.84"/>
    <n v="39648"/>
    <n v="1705536"/>
    <n v="436800"/>
    <s v="Feb"/>
    <n v="2"/>
    <n v="2026"/>
    <s v="Weekend"/>
    <n v="0.2857142857142857"/>
    <n v="0.55087719298245619"/>
    <n v="0.11228070175438597"/>
    <n v="13650"/>
    <s v="Leipzig Mobility"/>
  </r>
  <r>
    <s v="CUST_1213"/>
    <x v="17"/>
    <x v="2"/>
    <s v="Sunday"/>
    <s v="Yes"/>
    <x v="7"/>
    <x v="7"/>
    <s v="Bavaria"/>
    <x v="2"/>
    <s v="A4"/>
    <s v="Diesel"/>
    <x v="1"/>
    <s v="36-50"/>
    <s v="High"/>
    <x v="0"/>
    <x v="1"/>
    <s v="Sales_15"/>
    <n v="184"/>
    <n v="100"/>
    <n v="72"/>
    <n v="26"/>
    <s v="26.0"/>
    <n v="48564"/>
    <s v="6.75"/>
    <n v="39490"/>
    <n v="1262664"/>
    <n v="235924"/>
    <s v="Feb"/>
    <n v="2"/>
    <n v="2026"/>
    <s v="Weekend"/>
    <n v="0.3611111111111111"/>
    <n v="0.54347826086956519"/>
    <n v="0.14130434782608695"/>
    <n v="9074"/>
    <s v="Bavaria Motors"/>
  </r>
  <r>
    <s v="CUST_1214"/>
    <x v="26"/>
    <x v="1"/>
    <s v="Friday"/>
    <s v="No"/>
    <x v="6"/>
    <x v="6"/>
    <s v="Saxony"/>
    <x v="3"/>
    <s v="E-Class"/>
    <s v="Hybrid"/>
    <x v="1"/>
    <s v="26-35"/>
    <s v="Low"/>
    <x v="0"/>
    <x v="0"/>
    <s v="Sales_2"/>
    <n v="256"/>
    <n v="124"/>
    <n v="86"/>
    <n v="28"/>
    <s v="22.58"/>
    <n v="65021"/>
    <s v="5.84"/>
    <n v="47666"/>
    <n v="1820588"/>
    <n v="485940"/>
    <s v="Feb"/>
    <n v="2"/>
    <n v="2026"/>
    <s v="Weekday"/>
    <n v="0.32558139534883723"/>
    <n v="0.484375"/>
    <n v="0.109375"/>
    <n v="17355"/>
    <s v="Leipzig Mobility"/>
  </r>
  <r>
    <s v="CUST_1215"/>
    <x v="7"/>
    <x v="3"/>
    <s v="Monday"/>
    <s v="No"/>
    <x v="3"/>
    <x v="3"/>
    <s v="Saxony"/>
    <x v="0"/>
    <s v="i4"/>
    <s v="Petrol"/>
    <x v="1"/>
    <s v="50+"/>
    <s v="Medium"/>
    <x v="0"/>
    <x v="3"/>
    <s v="Sales_3"/>
    <n v="151"/>
    <n v="85"/>
    <n v="62"/>
    <n v="23"/>
    <s v="27.06"/>
    <n v="64694"/>
    <s v="3.13"/>
    <n v="48630"/>
    <n v="1487962"/>
    <n v="369472"/>
    <s v="Feb"/>
    <n v="2"/>
    <n v="2026"/>
    <s v="Weekday"/>
    <n v="0.37096774193548387"/>
    <n v="0.5629139072847682"/>
    <n v="0.15231788079470199"/>
    <n v="16064"/>
    <s v="Saxon Wheels"/>
  </r>
  <r>
    <s v="CUST_1216"/>
    <x v="7"/>
    <x v="3"/>
    <s v="Monday"/>
    <s v="No"/>
    <x v="8"/>
    <x v="8"/>
    <s v="Baden-WÃ¼rttemberg"/>
    <x v="1"/>
    <s v="Crossland"/>
    <s v="Electric"/>
    <x v="0"/>
    <s v="36-50"/>
    <s v="Low"/>
    <x v="0"/>
    <x v="1"/>
    <s v="Sales_10"/>
    <n v="367"/>
    <n v="197"/>
    <n v="115"/>
    <n v="31"/>
    <s v="15.74"/>
    <n v="19853"/>
    <s v="11.81"/>
    <n v="17995"/>
    <n v="615443"/>
    <n v="57598"/>
    <s v="Feb"/>
    <n v="2"/>
    <n v="2026"/>
    <s v="Weekday"/>
    <n v="0.26956521739130435"/>
    <n v="0.53678474114441421"/>
    <n v="8.4468664850136238E-2"/>
    <n v="1858"/>
    <s v="Stuttgart Auto Center"/>
  </r>
  <r>
    <s v="CUST_1217"/>
    <x v="14"/>
    <x v="2"/>
    <s v="Friday"/>
    <s v="No"/>
    <x v="2"/>
    <x v="2"/>
    <s v="Lower Saxony"/>
    <x v="4"/>
    <s v="Golf"/>
    <s v="Petrol"/>
    <x v="2"/>
    <s v="50+"/>
    <s v="Low"/>
    <x v="0"/>
    <x v="1"/>
    <s v="Sales_8"/>
    <n v="326"/>
    <n v="146"/>
    <n v="88"/>
    <n v="22"/>
    <s v="15.07"/>
    <n v="31672"/>
    <s v="9.47"/>
    <n v="28434"/>
    <n v="696784"/>
    <n v="71236"/>
    <s v="Feb"/>
    <n v="2"/>
    <n v="2026"/>
    <s v="Weekday"/>
    <n v="0.25"/>
    <n v="0.44785276073619634"/>
    <n v="6.7484662576687116E-2"/>
    <n v="3238"/>
    <s v="Hannover Cars"/>
  </r>
  <r>
    <s v="CUST_1218"/>
    <x v="11"/>
    <x v="0"/>
    <s v="Wednesday"/>
    <s v="No"/>
    <x v="3"/>
    <x v="3"/>
    <s v="Saxony"/>
    <x v="4"/>
    <s v="Tiguan"/>
    <s v="Petrol"/>
    <x v="0"/>
    <s v="18-25"/>
    <s v="Medium"/>
    <x v="1"/>
    <x v="0"/>
    <s v="Sales_20"/>
    <n v="331"/>
    <n v="174"/>
    <n v="118"/>
    <n v="24"/>
    <s v="13.79"/>
    <n v="32859"/>
    <s v="9.71"/>
    <n v="28891"/>
    <n v="788616"/>
    <n v="95232"/>
    <s v="Feb"/>
    <n v="2"/>
    <n v="2026"/>
    <s v="Weekday"/>
    <n v="0.20338983050847459"/>
    <n v="0.52567975830815705"/>
    <n v="7.2507552870090641E-2"/>
    <n v="3968"/>
    <s v="Saxon Wheels"/>
  </r>
  <r>
    <s v="CUST_1219"/>
    <x v="13"/>
    <x v="0"/>
    <s v="Friday"/>
    <s v="No"/>
    <x v="0"/>
    <x v="0"/>
    <s v="Hesse"/>
    <x v="4"/>
    <s v="T-Roc"/>
    <s v="Petrol"/>
    <x v="0"/>
    <s v="36-50"/>
    <s v="Medium"/>
    <x v="0"/>
    <x v="3"/>
    <s v="Sales_15"/>
    <n v="506"/>
    <n v="235"/>
    <n v="154"/>
    <n v="37"/>
    <s v="15.74"/>
    <n v="26609"/>
    <s v="7.58"/>
    <n v="24086"/>
    <n v="984533"/>
    <n v="93351"/>
    <s v="Feb"/>
    <n v="2"/>
    <n v="2026"/>
    <s v="Weekday"/>
    <n v="0.24025974025974026"/>
    <n v="0.46442687747035571"/>
    <n v="7.3122529644268769E-2"/>
    <n v="2523"/>
    <s v="Main Auto Hub"/>
  </r>
  <r>
    <s v="CUST_1220"/>
    <x v="3"/>
    <x v="1"/>
    <s v="Sunday"/>
    <s v="Yes"/>
    <x v="7"/>
    <x v="7"/>
    <s v="Bavaria"/>
    <x v="0"/>
    <s v="i4"/>
    <s v="Petrol"/>
    <x v="1"/>
    <s v="26-35"/>
    <s v="Medium"/>
    <x v="1"/>
    <x v="3"/>
    <s v="Sales_11"/>
    <n v="198"/>
    <n v="121"/>
    <n v="97"/>
    <n v="30"/>
    <s v="24.79"/>
    <n v="63991"/>
    <s v="4.92"/>
    <n v="47228"/>
    <n v="1919730"/>
    <n v="502890"/>
    <s v="Feb"/>
    <n v="2"/>
    <n v="2026"/>
    <s v="Weekend"/>
    <n v="0.30927835051546393"/>
    <n v="0.61111111111111116"/>
    <n v="0.15151515151515152"/>
    <n v="16763"/>
    <s v="Bavaria Motors"/>
  </r>
  <r>
    <s v="CUST_1221"/>
    <x v="6"/>
    <x v="2"/>
    <s v="Saturday"/>
    <s v="Yes"/>
    <x v="1"/>
    <x v="1"/>
    <s v="NRW"/>
    <x v="0"/>
    <s v="5 Series"/>
    <s v="Electric"/>
    <x v="1"/>
    <s v="18-25"/>
    <s v="Medium"/>
    <x v="0"/>
    <x v="1"/>
    <s v="Sales_14"/>
    <n v="272"/>
    <n v="145"/>
    <n v="101"/>
    <n v="40"/>
    <s v="27.59"/>
    <n v="58763"/>
    <s v="2.56"/>
    <n v="42424"/>
    <n v="2350520"/>
    <n v="653560"/>
    <s v="Feb"/>
    <n v="2"/>
    <n v="2026"/>
    <s v="Weekend"/>
    <n v="0.39603960396039606"/>
    <n v="0.53308823529411764"/>
    <n v="0.14705882352941177"/>
    <n v="16339"/>
    <s v="Rhein Auto Group"/>
  </r>
  <r>
    <s v="CUST_1222"/>
    <x v="11"/>
    <x v="0"/>
    <s v="Wednesday"/>
    <s v="No"/>
    <x v="0"/>
    <x v="0"/>
    <s v="Hesse"/>
    <x v="2"/>
    <s v="A3"/>
    <s v="Petrol"/>
    <x v="2"/>
    <s v="26-35"/>
    <s v="Medium"/>
    <x v="1"/>
    <x v="2"/>
    <s v="Sales_2"/>
    <n v="276"/>
    <n v="129"/>
    <n v="91"/>
    <n v="30"/>
    <s v="23.26"/>
    <n v="55253"/>
    <s v="3.98"/>
    <n v="44963"/>
    <n v="1657590"/>
    <n v="308700"/>
    <s v="Feb"/>
    <n v="2"/>
    <n v="2026"/>
    <s v="Weekday"/>
    <n v="0.32967032967032966"/>
    <n v="0.46739130434782611"/>
    <n v="0.10869565217391304"/>
    <n v="10290"/>
    <s v="Main Auto Hub"/>
  </r>
  <r>
    <s v="CUST_1223"/>
    <x v="8"/>
    <x v="3"/>
    <s v="Wednesday"/>
    <s v="No"/>
    <x v="4"/>
    <x v="4"/>
    <s v="Berlin"/>
    <x v="2"/>
    <s v="e-tron"/>
    <s v="Petrol"/>
    <x v="0"/>
    <s v="26-35"/>
    <s v="Low"/>
    <x v="1"/>
    <x v="1"/>
    <s v="Sales_4"/>
    <n v="210"/>
    <n v="113"/>
    <n v="76"/>
    <n v="28"/>
    <s v="24.78"/>
    <n v="49363"/>
    <s v="6.7"/>
    <n v="38411"/>
    <n v="1382164"/>
    <n v="306656"/>
    <s v="Feb"/>
    <n v="2"/>
    <n v="2026"/>
    <s v="Weekday"/>
    <n v="0.36842105263157893"/>
    <n v="0.53809523809523807"/>
    <n v="0.13333333333333333"/>
    <n v="10952"/>
    <s v="Autohaus Berlin"/>
  </r>
  <r>
    <s v="CUST_1224"/>
    <x v="26"/>
    <x v="1"/>
    <s v="Friday"/>
    <s v="No"/>
    <x v="3"/>
    <x v="3"/>
    <s v="Saxony"/>
    <x v="2"/>
    <s v="Q3"/>
    <s v="Petrol"/>
    <x v="0"/>
    <s v="18-25"/>
    <s v="Medium"/>
    <x v="1"/>
    <x v="0"/>
    <s v="Sales_14"/>
    <n v="258"/>
    <n v="159"/>
    <n v="119"/>
    <n v="33"/>
    <s v="20.75"/>
    <n v="44262"/>
    <s v="5.12"/>
    <n v="35998"/>
    <n v="1460646"/>
    <n v="272712"/>
    <s v="Feb"/>
    <n v="2"/>
    <n v="2026"/>
    <s v="Weekday"/>
    <n v="0.27731092436974791"/>
    <n v="0.61627906976744184"/>
    <n v="0.12790697674418605"/>
    <n v="8264"/>
    <s v="Saxon Wheels"/>
  </r>
  <r>
    <s v="CUST_1225"/>
    <x v="15"/>
    <x v="2"/>
    <s v="Thursday"/>
    <s v="No"/>
    <x v="9"/>
    <x v="9"/>
    <s v="NRW"/>
    <x v="4"/>
    <s v="T-Roc"/>
    <s v="Diesel"/>
    <x v="0"/>
    <s v="18-25"/>
    <s v="Medium"/>
    <x v="1"/>
    <x v="1"/>
    <s v="Sales_4"/>
    <n v="391"/>
    <n v="203"/>
    <n v="144"/>
    <n v="35"/>
    <s v="17.24"/>
    <n v="33312"/>
    <s v="6.74"/>
    <n v="29775"/>
    <n v="1165920"/>
    <n v="123795"/>
    <s v="Feb"/>
    <n v="2"/>
    <n v="2026"/>
    <s v="Weekday"/>
    <n v="0.24305555555555555"/>
    <n v="0.51918158567774941"/>
    <n v="8.9514066496163683E-2"/>
    <n v="3537"/>
    <s v="Ruhr Auto Plaza"/>
  </r>
  <r>
    <s v="CUST_1226"/>
    <x v="25"/>
    <x v="3"/>
    <s v="Friday"/>
    <s v="No"/>
    <x v="2"/>
    <x v="2"/>
    <s v="Lower Saxony"/>
    <x v="2"/>
    <s v="Q3"/>
    <s v="Diesel"/>
    <x v="0"/>
    <s v="36-50"/>
    <s v="High"/>
    <x v="0"/>
    <x v="3"/>
    <s v="Sales_10"/>
    <n v="289"/>
    <n v="154"/>
    <n v="109"/>
    <n v="35"/>
    <s v="22.73"/>
    <n v="41583"/>
    <s v="5.7"/>
    <n v="32053"/>
    <n v="1455405"/>
    <n v="333550"/>
    <s v="Feb"/>
    <n v="2"/>
    <n v="2026"/>
    <s v="Weekday"/>
    <n v="0.32110091743119268"/>
    <n v="0.53287197231833905"/>
    <n v="0.12110726643598616"/>
    <n v="9530"/>
    <s v="Hannover Cars"/>
  </r>
  <r>
    <s v="CUST_1227"/>
    <x v="26"/>
    <x v="1"/>
    <s v="Friday"/>
    <s v="No"/>
    <x v="9"/>
    <x v="9"/>
    <s v="NRW"/>
    <x v="2"/>
    <s v="e-tron"/>
    <s v="Diesel"/>
    <x v="0"/>
    <s v="18-25"/>
    <s v="Medium"/>
    <x v="0"/>
    <x v="2"/>
    <s v="Sales_15"/>
    <n v="289"/>
    <n v="138"/>
    <n v="92"/>
    <n v="33"/>
    <s v="23.91"/>
    <n v="44317"/>
    <s v="5.24"/>
    <n v="34166"/>
    <n v="1462461"/>
    <n v="334983"/>
    <s v="Feb"/>
    <n v="2"/>
    <n v="2026"/>
    <s v="Weekday"/>
    <n v="0.35869565217391303"/>
    <n v="0.47750865051903113"/>
    <n v="0.11418685121107267"/>
    <n v="10151"/>
    <s v="Ruhr Auto Plaza"/>
  </r>
  <r>
    <s v="CUST_1228"/>
    <x v="8"/>
    <x v="3"/>
    <s v="Wednesday"/>
    <s v="No"/>
    <x v="1"/>
    <x v="1"/>
    <s v="NRW"/>
    <x v="4"/>
    <s v="Tiguan"/>
    <s v="Hybrid"/>
    <x v="0"/>
    <s v="50+"/>
    <s v="Low"/>
    <x v="0"/>
    <x v="2"/>
    <s v="Sales_1"/>
    <n v="490"/>
    <n v="277"/>
    <n v="177"/>
    <n v="49"/>
    <s v="17.69"/>
    <n v="30328"/>
    <s v="9.07"/>
    <n v="26089"/>
    <n v="1486072"/>
    <n v="207711"/>
    <s v="Feb"/>
    <n v="2"/>
    <n v="2026"/>
    <s v="Weekday"/>
    <n v="0.2768361581920904"/>
    <n v="0.5653061224489796"/>
    <n v="0.1"/>
    <n v="4239"/>
    <s v="Rhein Auto Group"/>
  </r>
  <r>
    <s v="CUST_1229"/>
    <x v="22"/>
    <x v="3"/>
    <s v="Tuesday"/>
    <s v="No"/>
    <x v="7"/>
    <x v="7"/>
    <s v="Bavaria"/>
    <x v="2"/>
    <s v="A4"/>
    <s v="Electric"/>
    <x v="1"/>
    <s v="50+"/>
    <s v="Low"/>
    <x v="1"/>
    <x v="2"/>
    <s v="Sales_14"/>
    <n v="258"/>
    <n v="158"/>
    <n v="120"/>
    <n v="43"/>
    <s v="27.22"/>
    <n v="51071"/>
    <s v="6.87"/>
    <n v="40087"/>
    <n v="2196053"/>
    <n v="472312"/>
    <s v="Feb"/>
    <n v="2"/>
    <n v="2026"/>
    <s v="Weekday"/>
    <n v="0.35833333333333334"/>
    <n v="0.61240310077519378"/>
    <n v="0.16666666666666666"/>
    <n v="10984"/>
    <s v="Bavaria Motors"/>
  </r>
  <r>
    <s v="CUST_1230"/>
    <x v="5"/>
    <x v="3"/>
    <s v="Saturday"/>
    <s v="Yes"/>
    <x v="4"/>
    <x v="4"/>
    <s v="Berlin"/>
    <x v="4"/>
    <s v="T-Roc"/>
    <s v="Electric"/>
    <x v="0"/>
    <s v="26-35"/>
    <s v="High"/>
    <x v="1"/>
    <x v="2"/>
    <s v="Sales_19"/>
    <n v="438"/>
    <n v="252"/>
    <n v="167"/>
    <n v="49"/>
    <s v="19.44"/>
    <n v="33170"/>
    <s v="6.83"/>
    <n v="29250"/>
    <n v="1625330"/>
    <n v="192080"/>
    <s v="Feb"/>
    <n v="2"/>
    <n v="2026"/>
    <s v="Weekend"/>
    <n v="0.29341317365269459"/>
    <n v="0.57534246575342463"/>
    <n v="0.11187214611872145"/>
    <n v="3920"/>
    <s v="Autohaus Berlin"/>
  </r>
  <r>
    <s v="CUST_1231"/>
    <x v="5"/>
    <x v="3"/>
    <s v="Saturday"/>
    <s v="Yes"/>
    <x v="8"/>
    <x v="8"/>
    <s v="Baden-WÃ¼rttemberg"/>
    <x v="3"/>
    <s v="EQE"/>
    <s v="Hybrid"/>
    <x v="1"/>
    <s v="36-50"/>
    <s v="High"/>
    <x v="1"/>
    <x v="2"/>
    <s v="Sales_9"/>
    <n v="283"/>
    <n v="142"/>
    <n v="111"/>
    <n v="36"/>
    <s v="25.35"/>
    <n v="62986"/>
    <s v="3.47"/>
    <n v="48206"/>
    <n v="2267496"/>
    <n v="532080"/>
    <s v="Feb"/>
    <n v="2"/>
    <n v="2026"/>
    <s v="Weekend"/>
    <n v="0.32432432432432434"/>
    <n v="0.50176678445229683"/>
    <n v="0.12720848056537101"/>
    <n v="14780"/>
    <s v="Stuttgart Auto Center"/>
  </r>
  <r>
    <s v="CUST_1232"/>
    <x v="9"/>
    <x v="0"/>
    <s v="Sunday"/>
    <s v="Yes"/>
    <x v="5"/>
    <x v="5"/>
    <s v="Hamburg"/>
    <x v="3"/>
    <s v="GLE"/>
    <s v="Hybrid"/>
    <x v="0"/>
    <s v="26-35"/>
    <s v="Medium"/>
    <x v="0"/>
    <x v="0"/>
    <s v="Sales_11"/>
    <n v="267"/>
    <n v="121"/>
    <n v="87"/>
    <n v="31"/>
    <s v="25.62"/>
    <n v="54526"/>
    <s v="3.4"/>
    <n v="41488"/>
    <n v="1690306"/>
    <n v="404178"/>
    <s v="Feb"/>
    <n v="2"/>
    <n v="2026"/>
    <s v="Weekend"/>
    <n v="0.35632183908045978"/>
    <n v="0.45318352059925093"/>
    <n v="0.11610486891385768"/>
    <n v="13038"/>
    <s v="Elbe Drive"/>
  </r>
  <r>
    <s v="CUST_1233"/>
    <x v="9"/>
    <x v="0"/>
    <s v="Sunday"/>
    <s v="Yes"/>
    <x v="7"/>
    <x v="7"/>
    <s v="Bavaria"/>
    <x v="2"/>
    <s v="A3"/>
    <s v="Diesel"/>
    <x v="2"/>
    <s v="50+"/>
    <s v="Medium"/>
    <x v="1"/>
    <x v="3"/>
    <s v="Sales_6"/>
    <n v="174"/>
    <n v="101"/>
    <n v="72"/>
    <n v="22"/>
    <s v="21.78"/>
    <n v="40154"/>
    <s v="5.28"/>
    <n v="30793"/>
    <n v="883388"/>
    <n v="205942"/>
    <s v="Feb"/>
    <n v="2"/>
    <n v="2026"/>
    <s v="Weekend"/>
    <n v="0.30555555555555558"/>
    <n v="0.58045977011494254"/>
    <n v="0.12643678160919541"/>
    <n v="9361"/>
    <s v="Bavaria Motors"/>
  </r>
  <r>
    <s v="CUST_1234"/>
    <x v="20"/>
    <x v="0"/>
    <s v="Thursday"/>
    <s v="No"/>
    <x v="9"/>
    <x v="9"/>
    <s v="NRW"/>
    <x v="3"/>
    <s v="E-Class"/>
    <s v="Electric"/>
    <x v="1"/>
    <s v="26-35"/>
    <s v="Low"/>
    <x v="0"/>
    <x v="0"/>
    <s v="Sales_4"/>
    <n v="150"/>
    <n v="82"/>
    <n v="61"/>
    <n v="20"/>
    <s v="24.39"/>
    <n v="70500"/>
    <s v="3.15"/>
    <n v="53197"/>
    <n v="1410000"/>
    <n v="346060"/>
    <s v="Feb"/>
    <n v="2"/>
    <n v="2026"/>
    <s v="Weekday"/>
    <n v="0.32786885245901637"/>
    <n v="0.54666666666666663"/>
    <n v="0.13333333333333333"/>
    <n v="17303"/>
    <s v="Ruhr Auto Plaza"/>
  </r>
  <r>
    <s v="CUST_1235"/>
    <x v="10"/>
    <x v="1"/>
    <s v="Monday"/>
    <s v="No"/>
    <x v="0"/>
    <x v="0"/>
    <s v="Hesse"/>
    <x v="4"/>
    <s v="ID.4"/>
    <s v="Diesel"/>
    <x v="0"/>
    <s v="36-50"/>
    <s v="Low"/>
    <x v="1"/>
    <x v="0"/>
    <s v="Sales_4"/>
    <n v="420"/>
    <n v="235"/>
    <n v="166"/>
    <n v="29"/>
    <s v="12.34"/>
    <n v="29498"/>
    <s v="7.37"/>
    <n v="26787"/>
    <n v="855442"/>
    <n v="78619"/>
    <s v="Feb"/>
    <n v="2"/>
    <n v="2026"/>
    <s v="Weekday"/>
    <n v="0.1746987951807229"/>
    <n v="0.55952380952380953"/>
    <n v="6.9047619047619052E-2"/>
    <n v="2711"/>
    <s v="Main Auto Hub"/>
  </r>
  <r>
    <s v="CUST_1236"/>
    <x v="17"/>
    <x v="2"/>
    <s v="Sunday"/>
    <s v="Yes"/>
    <x v="6"/>
    <x v="6"/>
    <s v="Saxony"/>
    <x v="3"/>
    <s v="C-Class"/>
    <s v="Electric"/>
    <x v="1"/>
    <s v="18-25"/>
    <s v="High"/>
    <x v="0"/>
    <x v="3"/>
    <s v="Sales_6"/>
    <n v="180"/>
    <n v="89"/>
    <n v="63"/>
    <n v="19"/>
    <s v="21.35"/>
    <n v="54488"/>
    <s v="5.56"/>
    <n v="39666"/>
    <n v="1035272"/>
    <n v="281618"/>
    <s v="Feb"/>
    <n v="2"/>
    <n v="2026"/>
    <s v="Weekend"/>
    <n v="0.30158730158730157"/>
    <n v="0.49444444444444446"/>
    <n v="0.10555555555555556"/>
    <n v="14822"/>
    <s v="Leipzig Mobility"/>
  </r>
  <r>
    <s v="CUST_1237"/>
    <x v="26"/>
    <x v="1"/>
    <s v="Friday"/>
    <s v="No"/>
    <x v="2"/>
    <x v="2"/>
    <s v="Lower Saxony"/>
    <x v="1"/>
    <s v="Mokka"/>
    <s v="Hybrid"/>
    <x v="0"/>
    <s v="50+"/>
    <s v="Low"/>
    <x v="0"/>
    <x v="3"/>
    <s v="Sales_1"/>
    <n v="334"/>
    <n v="156"/>
    <n v="91"/>
    <n v="21"/>
    <s v="13.46"/>
    <n v="26103"/>
    <s v="11.03"/>
    <n v="23444"/>
    <n v="548163"/>
    <n v="55839"/>
    <s v="Feb"/>
    <n v="2"/>
    <n v="2026"/>
    <s v="Weekday"/>
    <n v="0.23076923076923078"/>
    <n v="0.46706586826347307"/>
    <n v="6.2874251497005984E-2"/>
    <n v="2659"/>
    <s v="Hannover Cars"/>
  </r>
  <r>
    <s v="CUST_1238"/>
    <x v="1"/>
    <x v="1"/>
    <s v="Wednesday"/>
    <s v="No"/>
    <x v="7"/>
    <x v="7"/>
    <s v="Bavaria"/>
    <x v="0"/>
    <s v="X3"/>
    <s v="Hybrid"/>
    <x v="0"/>
    <s v="50+"/>
    <s v="High"/>
    <x v="1"/>
    <x v="0"/>
    <s v="Sales_16"/>
    <n v="271"/>
    <n v="132"/>
    <n v="103"/>
    <n v="34"/>
    <s v="25.76"/>
    <n v="61234"/>
    <s v="3.04"/>
    <n v="44989"/>
    <n v="2081956"/>
    <n v="552330"/>
    <s v="Feb"/>
    <n v="2"/>
    <n v="2026"/>
    <s v="Weekday"/>
    <n v="0.3300970873786408"/>
    <n v="0.4870848708487085"/>
    <n v="0.12546125461254612"/>
    <n v="16245"/>
    <s v="Bavaria Motors"/>
  </r>
  <r>
    <s v="CUST_1239"/>
    <x v="0"/>
    <x v="0"/>
    <s v="Monday"/>
    <s v="No"/>
    <x v="2"/>
    <x v="2"/>
    <s v="Lower Saxony"/>
    <x v="3"/>
    <s v="EQE"/>
    <s v="Diesel"/>
    <x v="1"/>
    <s v="50+"/>
    <s v="Medium"/>
    <x v="1"/>
    <x v="1"/>
    <s v="Sales_11"/>
    <n v="150"/>
    <n v="82"/>
    <n v="60"/>
    <n v="19"/>
    <s v="23.17"/>
    <n v="70152"/>
    <s v="2.99"/>
    <n v="51204"/>
    <n v="1332888"/>
    <n v="360012"/>
    <s v="Feb"/>
    <n v="2"/>
    <n v="2026"/>
    <s v="Weekday"/>
    <n v="0.31666666666666665"/>
    <n v="0.54666666666666663"/>
    <n v="0.12666666666666668"/>
    <n v="18948"/>
    <s v="Hannover Cars"/>
  </r>
  <r>
    <s v="CUST_1240"/>
    <x v="15"/>
    <x v="2"/>
    <s v="Thursday"/>
    <s v="No"/>
    <x v="7"/>
    <x v="7"/>
    <s v="Bavaria"/>
    <x v="2"/>
    <s v="Q3"/>
    <s v="Diesel"/>
    <x v="0"/>
    <s v="36-50"/>
    <s v="Low"/>
    <x v="0"/>
    <x v="3"/>
    <s v="Sales_13"/>
    <n v="168"/>
    <n v="93"/>
    <n v="61"/>
    <n v="22"/>
    <s v="23.66"/>
    <n v="43085"/>
    <s v="6.99"/>
    <n v="35216"/>
    <n v="947870"/>
    <n v="173118"/>
    <s v="Feb"/>
    <n v="2"/>
    <n v="2026"/>
    <s v="Weekday"/>
    <n v="0.36065573770491804"/>
    <n v="0.5535714285714286"/>
    <n v="0.13095238095238096"/>
    <n v="7869"/>
    <s v="Bavaria Motors"/>
  </r>
  <r>
    <s v="CUST_1241"/>
    <x v="14"/>
    <x v="2"/>
    <s v="Friday"/>
    <s v="No"/>
    <x v="3"/>
    <x v="3"/>
    <s v="Saxony"/>
    <x v="2"/>
    <s v="Q5"/>
    <s v="Diesel"/>
    <x v="0"/>
    <s v="50+"/>
    <s v="High"/>
    <x v="1"/>
    <x v="0"/>
    <s v="Sales_4"/>
    <n v="259"/>
    <n v="134"/>
    <n v="89"/>
    <n v="23"/>
    <s v="17.16"/>
    <n v="41723"/>
    <s v="6.87"/>
    <n v="33561"/>
    <n v="959629"/>
    <n v="187726"/>
    <s v="Feb"/>
    <n v="2"/>
    <n v="2026"/>
    <s v="Weekday"/>
    <n v="0.25842696629213485"/>
    <n v="0.51737451737451734"/>
    <n v="8.8803088803088806E-2"/>
    <n v="8162"/>
    <s v="Saxon Wheels"/>
  </r>
  <r>
    <s v="CUST_1242"/>
    <x v="4"/>
    <x v="2"/>
    <s v="Wednesday"/>
    <s v="No"/>
    <x v="2"/>
    <x v="2"/>
    <s v="Lower Saxony"/>
    <x v="3"/>
    <s v="E-Class"/>
    <s v="Diesel"/>
    <x v="1"/>
    <s v="50+"/>
    <s v="Low"/>
    <x v="0"/>
    <x v="1"/>
    <s v="Sales_19"/>
    <n v="191"/>
    <n v="89"/>
    <n v="63"/>
    <n v="25"/>
    <s v="28.09"/>
    <n v="70461"/>
    <s v="5.45"/>
    <n v="51752"/>
    <n v="1761525"/>
    <n v="467725"/>
    <s v="Feb"/>
    <n v="2"/>
    <n v="2026"/>
    <s v="Weekday"/>
    <n v="0.3968253968253968"/>
    <n v="0.46596858638743455"/>
    <n v="0.13089005235602094"/>
    <n v="18709"/>
    <s v="Hannover Cars"/>
  </r>
  <r>
    <s v="CUST_1243"/>
    <x v="27"/>
    <x v="3"/>
    <s v="Sunday"/>
    <s v="Yes"/>
    <x v="9"/>
    <x v="9"/>
    <s v="NRW"/>
    <x v="4"/>
    <s v="ID.4"/>
    <s v="Electric"/>
    <x v="0"/>
    <s v="36-50"/>
    <s v="High"/>
    <x v="0"/>
    <x v="0"/>
    <s v="Sales_11"/>
    <n v="307"/>
    <n v="158"/>
    <n v="93"/>
    <n v="21"/>
    <s v="13.29"/>
    <n v="27580"/>
    <s v="7.36"/>
    <n v="24634"/>
    <n v="579180"/>
    <n v="61866"/>
    <s v="Feb"/>
    <n v="2"/>
    <n v="2026"/>
    <s v="Weekend"/>
    <n v="0.22580645161290322"/>
    <n v="0.51465798045602607"/>
    <n v="6.8403908794788276E-2"/>
    <n v="2946"/>
    <s v="Ruhr Auto Plaza"/>
  </r>
  <r>
    <s v="CUST_1244"/>
    <x v="3"/>
    <x v="1"/>
    <s v="Sunday"/>
    <s v="Yes"/>
    <x v="2"/>
    <x v="2"/>
    <s v="Lower Saxony"/>
    <x v="0"/>
    <s v="3 Series"/>
    <s v="Electric"/>
    <x v="1"/>
    <s v="18-25"/>
    <s v="Low"/>
    <x v="1"/>
    <x v="0"/>
    <s v="Sales_18"/>
    <n v="216"/>
    <n v="99"/>
    <n v="77"/>
    <n v="23"/>
    <s v="23.23"/>
    <n v="49729"/>
    <s v="4.79"/>
    <n v="35249"/>
    <n v="1143767"/>
    <n v="333040"/>
    <s v="Feb"/>
    <n v="2"/>
    <n v="2026"/>
    <s v="Weekend"/>
    <n v="0.29870129870129869"/>
    <n v="0.45833333333333331"/>
    <n v="0.10648148148148148"/>
    <n v="14480"/>
    <s v="Hannover Cars"/>
  </r>
  <r>
    <s v="CUST_1245"/>
    <x v="4"/>
    <x v="2"/>
    <s v="Wednesday"/>
    <s v="No"/>
    <x v="9"/>
    <x v="9"/>
    <s v="NRW"/>
    <x v="2"/>
    <s v="e-tron"/>
    <s v="Electric"/>
    <x v="0"/>
    <s v="26-35"/>
    <s v="Low"/>
    <x v="1"/>
    <x v="2"/>
    <s v="Sales_13"/>
    <n v="179"/>
    <n v="107"/>
    <n v="68"/>
    <n v="28"/>
    <s v="26.17"/>
    <n v="42294"/>
    <s v="5.71"/>
    <n v="31818"/>
    <n v="1184232"/>
    <n v="293328"/>
    <s v="Feb"/>
    <n v="2"/>
    <n v="2026"/>
    <s v="Weekday"/>
    <n v="0.41176470588235292"/>
    <n v="0.5977653631284916"/>
    <n v="0.15642458100558659"/>
    <n v="10476"/>
    <s v="Ruhr Auto Plaza"/>
  </r>
  <r>
    <s v="CUST_1246"/>
    <x v="19"/>
    <x v="1"/>
    <s v="Saturday"/>
    <s v="Yes"/>
    <x v="9"/>
    <x v="9"/>
    <s v="NRW"/>
    <x v="3"/>
    <s v="GLE"/>
    <s v="Petrol"/>
    <x v="0"/>
    <s v="26-35"/>
    <s v="High"/>
    <x v="0"/>
    <x v="1"/>
    <s v="Sales_9"/>
    <n v="177"/>
    <n v="95"/>
    <n v="71"/>
    <n v="23"/>
    <s v="24.21"/>
    <n v="69763"/>
    <s v="4.19"/>
    <n v="51198"/>
    <n v="1604549"/>
    <n v="426995"/>
    <s v="Feb"/>
    <n v="2"/>
    <n v="2026"/>
    <s v="Weekend"/>
    <n v="0.323943661971831"/>
    <n v="0.53672316384180796"/>
    <n v="0.12994350282485875"/>
    <n v="18565"/>
    <s v="Ruhr Auto Plaza"/>
  </r>
  <r>
    <s v="CUST_1247"/>
    <x v="20"/>
    <x v="0"/>
    <s v="Thursday"/>
    <s v="No"/>
    <x v="7"/>
    <x v="7"/>
    <s v="Bavaria"/>
    <x v="2"/>
    <s v="Q3"/>
    <s v="Petrol"/>
    <x v="0"/>
    <s v="26-35"/>
    <s v="High"/>
    <x v="0"/>
    <x v="0"/>
    <s v="Sales_19"/>
    <n v="239"/>
    <n v="115"/>
    <n v="74"/>
    <n v="30"/>
    <s v="26.09"/>
    <n v="46225"/>
    <s v="6.05"/>
    <n v="36665"/>
    <n v="1386750"/>
    <n v="286800"/>
    <s v="Feb"/>
    <n v="2"/>
    <n v="2026"/>
    <s v="Weekday"/>
    <n v="0.40540540540540543"/>
    <n v="0.48117154811715479"/>
    <n v="0.12552301255230125"/>
    <n v="9560"/>
    <s v="Bavaria Motors"/>
  </r>
  <r>
    <s v="CUST_1248"/>
    <x v="17"/>
    <x v="2"/>
    <s v="Sunday"/>
    <s v="Yes"/>
    <x v="8"/>
    <x v="8"/>
    <s v="Baden-WÃ¼rttemberg"/>
    <x v="4"/>
    <s v="Tiguan"/>
    <s v="Petrol"/>
    <x v="0"/>
    <s v="50+"/>
    <s v="Medium"/>
    <x v="0"/>
    <x v="2"/>
    <s v="Sales_17"/>
    <n v="432"/>
    <n v="180"/>
    <n v="129"/>
    <n v="35"/>
    <s v="19.44"/>
    <n v="28875"/>
    <s v="10.78"/>
    <n v="26063"/>
    <n v="1010625"/>
    <n v="98420"/>
    <s v="Feb"/>
    <n v="2"/>
    <n v="2026"/>
    <s v="Weekend"/>
    <n v="0.27131782945736432"/>
    <n v="0.41666666666666669"/>
    <n v="8.1018518518518517E-2"/>
    <n v="2812"/>
    <s v="Stuttgart Auto Center"/>
  </r>
  <r>
    <s v="CUST_1249"/>
    <x v="13"/>
    <x v="0"/>
    <s v="Friday"/>
    <s v="No"/>
    <x v="3"/>
    <x v="3"/>
    <s v="Saxony"/>
    <x v="0"/>
    <s v="5 Series"/>
    <s v="Petrol"/>
    <x v="1"/>
    <s v="50+"/>
    <s v="Medium"/>
    <x v="0"/>
    <x v="1"/>
    <s v="Sales_19"/>
    <n v="169"/>
    <n v="103"/>
    <n v="76"/>
    <n v="30"/>
    <s v="29.13"/>
    <n v="57891"/>
    <s v="5.4"/>
    <n v="41996"/>
    <n v="1736730"/>
    <n v="476850"/>
    <s v="Feb"/>
    <n v="2"/>
    <n v="2026"/>
    <s v="Weekday"/>
    <n v="0.39473684210526316"/>
    <n v="0.60946745562130178"/>
    <n v="0.17751479289940827"/>
    <n v="15895"/>
    <s v="Saxon Wheels"/>
  </r>
  <r>
    <s v="CUST_1250"/>
    <x v="15"/>
    <x v="2"/>
    <s v="Thursday"/>
    <s v="No"/>
    <x v="6"/>
    <x v="6"/>
    <s v="Saxony"/>
    <x v="0"/>
    <s v="i4"/>
    <s v="Petrol"/>
    <x v="1"/>
    <s v="18-25"/>
    <s v="Low"/>
    <x v="0"/>
    <x v="0"/>
    <s v="Sales_17"/>
    <n v="141"/>
    <n v="68"/>
    <n v="51"/>
    <n v="16"/>
    <s v="23.53"/>
    <n v="51967"/>
    <s v="5.02"/>
    <n v="38461"/>
    <n v="831472"/>
    <n v="216096"/>
    <s v="Feb"/>
    <n v="2"/>
    <n v="2026"/>
    <s v="Weekday"/>
    <n v="0.31372549019607843"/>
    <n v="0.48226950354609927"/>
    <n v="0.11347517730496454"/>
    <n v="13506"/>
    <s v="Leipzig Mobility"/>
  </r>
  <r>
    <s v="CUST_1251"/>
    <x v="19"/>
    <x v="1"/>
    <s v="Saturday"/>
    <s v="Yes"/>
    <x v="1"/>
    <x v="1"/>
    <s v="NRW"/>
    <x v="1"/>
    <s v="Corsa"/>
    <s v="Diesel"/>
    <x v="2"/>
    <s v="18-25"/>
    <s v="Low"/>
    <x v="0"/>
    <x v="3"/>
    <s v="Sales_6"/>
    <n v="367"/>
    <n v="143"/>
    <n v="99"/>
    <n v="22"/>
    <s v="15.38"/>
    <n v="23964"/>
    <s v="11.92"/>
    <n v="21771"/>
    <n v="527208"/>
    <n v="48246"/>
    <s v="Feb"/>
    <n v="2"/>
    <n v="2026"/>
    <s v="Weekend"/>
    <n v="0.22222222222222221"/>
    <n v="0.38964577656675747"/>
    <n v="5.9945504087193457E-2"/>
    <n v="2193"/>
    <s v="Rhein Auto Group"/>
  </r>
  <r>
    <s v="CUST_1252"/>
    <x v="6"/>
    <x v="2"/>
    <s v="Saturday"/>
    <s v="Yes"/>
    <x v="0"/>
    <x v="0"/>
    <s v="Hesse"/>
    <x v="0"/>
    <s v="i4"/>
    <s v="Hybrid"/>
    <x v="1"/>
    <s v="26-35"/>
    <s v="High"/>
    <x v="0"/>
    <x v="2"/>
    <s v="Sales_12"/>
    <n v="214"/>
    <n v="104"/>
    <n v="75"/>
    <n v="33"/>
    <s v="31.73"/>
    <n v="57133"/>
    <s v="3.29"/>
    <n v="40099"/>
    <n v="1885389"/>
    <n v="562122"/>
    <s v="Feb"/>
    <n v="2"/>
    <n v="2026"/>
    <s v="Weekend"/>
    <n v="0.44"/>
    <n v="0.48598130841121495"/>
    <n v="0.1542056074766355"/>
    <n v="17034"/>
    <s v="Main Auto Hub"/>
  </r>
  <r>
    <s v="CUST_1253"/>
    <x v="11"/>
    <x v="0"/>
    <s v="Wednesday"/>
    <s v="No"/>
    <x v="4"/>
    <x v="4"/>
    <s v="Berlin"/>
    <x v="2"/>
    <s v="A4"/>
    <s v="Diesel"/>
    <x v="1"/>
    <s v="18-25"/>
    <s v="Medium"/>
    <x v="1"/>
    <x v="1"/>
    <s v="Sales_1"/>
    <n v="250"/>
    <n v="130"/>
    <n v="91"/>
    <n v="33"/>
    <s v="25.38"/>
    <n v="49243"/>
    <s v="5.91"/>
    <n v="37471"/>
    <n v="1625019"/>
    <n v="388476"/>
    <s v="Feb"/>
    <n v="2"/>
    <n v="2026"/>
    <s v="Weekday"/>
    <n v="0.36263736263736263"/>
    <n v="0.52"/>
    <n v="0.13200000000000001"/>
    <n v="11772"/>
    <s v="Autohaus Berlin"/>
  </r>
  <r>
    <s v="CUST_1254"/>
    <x v="4"/>
    <x v="2"/>
    <s v="Wednesday"/>
    <s v="No"/>
    <x v="7"/>
    <x v="7"/>
    <s v="Bavaria"/>
    <x v="2"/>
    <s v="Q3"/>
    <s v="Petrol"/>
    <x v="0"/>
    <s v="36-50"/>
    <s v="Low"/>
    <x v="1"/>
    <x v="1"/>
    <s v="Sales_13"/>
    <n v="251"/>
    <n v="158"/>
    <n v="112"/>
    <n v="42"/>
    <s v="26.58"/>
    <n v="46109"/>
    <s v="4.39"/>
    <n v="34763"/>
    <n v="1936578"/>
    <n v="476532"/>
    <s v="Feb"/>
    <n v="2"/>
    <n v="2026"/>
    <s v="Weekday"/>
    <n v="0.375"/>
    <n v="0.62948207171314741"/>
    <n v="0.16733067729083664"/>
    <n v="11346"/>
    <s v="Bavaria Motors"/>
  </r>
  <r>
    <s v="CUST_1255"/>
    <x v="10"/>
    <x v="1"/>
    <s v="Monday"/>
    <s v="No"/>
    <x v="5"/>
    <x v="5"/>
    <s v="Hamburg"/>
    <x v="2"/>
    <s v="A4"/>
    <s v="Hybrid"/>
    <x v="1"/>
    <s v="50+"/>
    <s v="Low"/>
    <x v="1"/>
    <x v="3"/>
    <s v="Sales_5"/>
    <n v="201"/>
    <n v="117"/>
    <n v="83"/>
    <n v="28"/>
    <s v="23.93"/>
    <n v="42368"/>
    <s v="3.87"/>
    <n v="34650"/>
    <n v="1186304"/>
    <n v="216104"/>
    <s v="Feb"/>
    <n v="2"/>
    <n v="2026"/>
    <s v="Weekday"/>
    <n v="0.33734939759036142"/>
    <n v="0.58208955223880599"/>
    <n v="0.13930348258706468"/>
    <n v="7718"/>
    <s v="Elbe Drive"/>
  </r>
  <r>
    <s v="CUST_1256"/>
    <x v="25"/>
    <x v="3"/>
    <s v="Friday"/>
    <s v="No"/>
    <x v="9"/>
    <x v="9"/>
    <s v="NRW"/>
    <x v="4"/>
    <s v="Tiguan"/>
    <s v="Electric"/>
    <x v="0"/>
    <s v="18-25"/>
    <s v="High"/>
    <x v="0"/>
    <x v="3"/>
    <s v="Sales_19"/>
    <n v="399"/>
    <n v="197"/>
    <n v="118"/>
    <n v="27"/>
    <s v="13.71"/>
    <n v="30333"/>
    <s v="11.94"/>
    <n v="26092"/>
    <n v="818991"/>
    <n v="114507"/>
    <s v="Feb"/>
    <n v="2"/>
    <n v="2026"/>
    <s v="Weekday"/>
    <n v="0.2288135593220339"/>
    <n v="0.49373433583959897"/>
    <n v="6.7669172932330823E-2"/>
    <n v="4241"/>
    <s v="Ruhr Auto Plaza"/>
  </r>
  <r>
    <s v="CUST_1257"/>
    <x v="17"/>
    <x v="2"/>
    <s v="Sunday"/>
    <s v="Yes"/>
    <x v="1"/>
    <x v="1"/>
    <s v="NRW"/>
    <x v="3"/>
    <s v="GLE"/>
    <s v="Hybrid"/>
    <x v="0"/>
    <s v="50+"/>
    <s v="High"/>
    <x v="1"/>
    <x v="2"/>
    <s v="Sales_20"/>
    <n v="220"/>
    <n v="129"/>
    <n v="97"/>
    <n v="33"/>
    <s v="25.58"/>
    <n v="51329"/>
    <s v="2.7"/>
    <n v="37260"/>
    <n v="1693857"/>
    <n v="464277"/>
    <s v="Feb"/>
    <n v="2"/>
    <n v="2026"/>
    <s v="Weekend"/>
    <n v="0.34020618556701032"/>
    <n v="0.58636363636363631"/>
    <n v="0.15"/>
    <n v="14069"/>
    <s v="Rhein Auto Group"/>
  </r>
  <r>
    <s v="CUST_1258"/>
    <x v="9"/>
    <x v="0"/>
    <s v="Sunday"/>
    <s v="Yes"/>
    <x v="7"/>
    <x v="7"/>
    <s v="Bavaria"/>
    <x v="0"/>
    <s v="X3"/>
    <s v="Electric"/>
    <x v="0"/>
    <s v="26-35"/>
    <s v="Low"/>
    <x v="0"/>
    <x v="1"/>
    <s v="Sales_3"/>
    <n v="157"/>
    <n v="79"/>
    <n v="54"/>
    <n v="24"/>
    <s v="30.38"/>
    <n v="53155"/>
    <s v="5.85"/>
    <n v="41279"/>
    <n v="1275720"/>
    <n v="285024"/>
    <s v="Feb"/>
    <n v="2"/>
    <n v="2026"/>
    <s v="Weekend"/>
    <n v="0.44444444444444442"/>
    <n v="0.50318471337579618"/>
    <n v="0.15286624203821655"/>
    <n v="11876"/>
    <s v="Bavaria Motors"/>
  </r>
  <r>
    <s v="CUST_1259"/>
    <x v="4"/>
    <x v="2"/>
    <s v="Wednesday"/>
    <s v="No"/>
    <x v="1"/>
    <x v="1"/>
    <s v="NRW"/>
    <x v="3"/>
    <s v="GLE"/>
    <s v="Petrol"/>
    <x v="0"/>
    <s v="26-35"/>
    <s v="Medium"/>
    <x v="0"/>
    <x v="1"/>
    <s v="Sales_17"/>
    <n v="205"/>
    <n v="112"/>
    <n v="85"/>
    <n v="28"/>
    <s v="25.0"/>
    <n v="68097"/>
    <s v="4.72"/>
    <n v="49468"/>
    <n v="1906716"/>
    <n v="521612"/>
    <s v="Feb"/>
    <n v="2"/>
    <n v="2026"/>
    <s v="Weekday"/>
    <n v="0.32941176470588235"/>
    <n v="0.54634146341463419"/>
    <n v="0.13658536585365855"/>
    <n v="18629"/>
    <s v="Rhein Auto Group"/>
  </r>
  <r>
    <s v="CUST_1260"/>
    <x v="2"/>
    <x v="2"/>
    <s v="Monday"/>
    <s v="No"/>
    <x v="5"/>
    <x v="5"/>
    <s v="Hamburg"/>
    <x v="1"/>
    <s v="Mokka"/>
    <s v="Diesel"/>
    <x v="0"/>
    <s v="50+"/>
    <s v="Low"/>
    <x v="0"/>
    <x v="0"/>
    <s v="Sales_8"/>
    <n v="243"/>
    <n v="106"/>
    <n v="62"/>
    <n v="14"/>
    <s v="13.21"/>
    <n v="21534"/>
    <s v="13.89"/>
    <n v="19842"/>
    <n v="301476"/>
    <n v="23688"/>
    <s v="Feb"/>
    <n v="2"/>
    <n v="2026"/>
    <s v="Weekday"/>
    <n v="0.22580645161290322"/>
    <n v="0.43621399176954734"/>
    <n v="5.7613168724279837E-2"/>
    <n v="1692"/>
    <s v="Elbe Drive"/>
  </r>
  <r>
    <s v="CUST_1261"/>
    <x v="0"/>
    <x v="0"/>
    <s v="Monday"/>
    <s v="No"/>
    <x v="8"/>
    <x v="8"/>
    <s v="Baden-WÃ¼rttemberg"/>
    <x v="3"/>
    <s v="EQE"/>
    <s v="Electric"/>
    <x v="1"/>
    <s v="26-35"/>
    <s v="Medium"/>
    <x v="0"/>
    <x v="1"/>
    <s v="Sales_6"/>
    <n v="202"/>
    <n v="106"/>
    <n v="83"/>
    <n v="26"/>
    <s v="24.53"/>
    <n v="54286"/>
    <s v="3.31"/>
    <n v="41754"/>
    <n v="1411436"/>
    <n v="325832"/>
    <s v="Feb"/>
    <n v="2"/>
    <n v="2026"/>
    <s v="Weekday"/>
    <n v="0.31325301204819278"/>
    <n v="0.52475247524752477"/>
    <n v="0.12871287128712872"/>
    <n v="12532"/>
    <s v="Stuttgart Auto Center"/>
  </r>
  <r>
    <s v="CUST_1262"/>
    <x v="20"/>
    <x v="0"/>
    <s v="Thursday"/>
    <s v="No"/>
    <x v="1"/>
    <x v="1"/>
    <s v="NRW"/>
    <x v="2"/>
    <s v="A3"/>
    <s v="Electric"/>
    <x v="2"/>
    <s v="18-25"/>
    <s v="High"/>
    <x v="0"/>
    <x v="3"/>
    <s v="Sales_11"/>
    <n v="183"/>
    <n v="84"/>
    <n v="55"/>
    <n v="17"/>
    <s v="20.24"/>
    <n v="48836"/>
    <s v="3.29"/>
    <n v="38085"/>
    <n v="830212"/>
    <n v="182767"/>
    <s v="Feb"/>
    <n v="2"/>
    <n v="2026"/>
    <s v="Weekday"/>
    <n v="0.30909090909090908"/>
    <n v="0.45901639344262296"/>
    <n v="9.2896174863387984E-2"/>
    <n v="10751"/>
    <s v="Rhein Auto Group"/>
  </r>
  <r>
    <s v="CUST_1263"/>
    <x v="8"/>
    <x v="3"/>
    <s v="Wednesday"/>
    <s v="No"/>
    <x v="6"/>
    <x v="6"/>
    <s v="Saxony"/>
    <x v="0"/>
    <s v="X5"/>
    <s v="Petrol"/>
    <x v="0"/>
    <s v="50+"/>
    <s v="Low"/>
    <x v="1"/>
    <x v="0"/>
    <s v="Sales_10"/>
    <n v="169"/>
    <n v="87"/>
    <n v="65"/>
    <n v="22"/>
    <s v="25.29"/>
    <n v="68043"/>
    <s v="2.47"/>
    <n v="47975"/>
    <n v="1496946"/>
    <n v="441496"/>
    <s v="Feb"/>
    <n v="2"/>
    <n v="2026"/>
    <s v="Weekday"/>
    <n v="0.33846153846153848"/>
    <n v="0.51479289940828399"/>
    <n v="0.13017751479289941"/>
    <n v="20068"/>
    <s v="Leipzig Mobility"/>
  </r>
  <r>
    <s v="CUST_1264"/>
    <x v="20"/>
    <x v="0"/>
    <s v="Thursday"/>
    <s v="No"/>
    <x v="9"/>
    <x v="9"/>
    <s v="NRW"/>
    <x v="4"/>
    <s v="Passat"/>
    <s v="Diesel"/>
    <x v="1"/>
    <s v="26-35"/>
    <s v="High"/>
    <x v="1"/>
    <x v="1"/>
    <s v="Sales_18"/>
    <n v="502"/>
    <n v="208"/>
    <n v="128"/>
    <n v="33"/>
    <s v="15.87"/>
    <n v="30741"/>
    <s v="7.82"/>
    <n v="27470"/>
    <n v="1014453"/>
    <n v="107943"/>
    <s v="Feb"/>
    <n v="2"/>
    <n v="2026"/>
    <s v="Weekday"/>
    <n v="0.2578125"/>
    <n v="0.41434262948207173"/>
    <n v="6.5737051792828682E-2"/>
    <n v="3271"/>
    <s v="Ruhr Auto Plaza"/>
  </r>
  <r>
    <s v="CUST_1265"/>
    <x v="10"/>
    <x v="1"/>
    <s v="Monday"/>
    <s v="No"/>
    <x v="4"/>
    <x v="4"/>
    <s v="Berlin"/>
    <x v="2"/>
    <s v="A3"/>
    <s v="Electric"/>
    <x v="2"/>
    <s v="26-35"/>
    <s v="High"/>
    <x v="1"/>
    <x v="0"/>
    <s v="Sales_3"/>
    <n v="243"/>
    <n v="134"/>
    <n v="92"/>
    <n v="28"/>
    <s v="20.9"/>
    <n v="49965"/>
    <s v="3.82"/>
    <n v="38721"/>
    <n v="1399020"/>
    <n v="314832"/>
    <s v="Feb"/>
    <n v="2"/>
    <n v="2026"/>
    <s v="Weekday"/>
    <n v="0.30434782608695654"/>
    <n v="0.55144032921810704"/>
    <n v="0.11522633744855967"/>
    <n v="11244"/>
    <s v="Autohaus Berlin"/>
  </r>
  <r>
    <s v="CUST_1266"/>
    <x v="4"/>
    <x v="2"/>
    <s v="Wednesday"/>
    <s v="No"/>
    <x v="2"/>
    <x v="2"/>
    <s v="Lower Saxony"/>
    <x v="0"/>
    <s v="X3"/>
    <s v="Electric"/>
    <x v="0"/>
    <s v="36-50"/>
    <s v="High"/>
    <x v="0"/>
    <x v="2"/>
    <s v="Sales_17"/>
    <n v="277"/>
    <n v="132"/>
    <n v="99"/>
    <n v="41"/>
    <s v="31.06"/>
    <n v="59359"/>
    <s v="3.97"/>
    <n v="45860"/>
    <n v="2433719"/>
    <n v="553459"/>
    <s v="Feb"/>
    <n v="2"/>
    <n v="2026"/>
    <s v="Weekday"/>
    <n v="0.41414141414141414"/>
    <n v="0.47653429602888087"/>
    <n v="0.14801444043321299"/>
    <n v="13499"/>
    <s v="Hannover Cars"/>
  </r>
  <r>
    <s v="CUST_1267"/>
    <x v="19"/>
    <x v="1"/>
    <s v="Saturday"/>
    <s v="Yes"/>
    <x v="3"/>
    <x v="3"/>
    <s v="Saxony"/>
    <x v="0"/>
    <s v="X5"/>
    <s v="Electric"/>
    <x v="0"/>
    <s v="50+"/>
    <s v="Medium"/>
    <x v="1"/>
    <x v="2"/>
    <s v="Sales_1"/>
    <n v="202"/>
    <n v="117"/>
    <n v="83"/>
    <n v="35"/>
    <s v="29.91"/>
    <n v="61268"/>
    <s v="3.81"/>
    <n v="42993"/>
    <n v="2144380"/>
    <n v="639625"/>
    <s v="Feb"/>
    <n v="2"/>
    <n v="2026"/>
    <s v="Weekend"/>
    <n v="0.42168674698795183"/>
    <n v="0.57920792079207917"/>
    <n v="0.17326732673267325"/>
    <n v="18275"/>
    <s v="Saxon Wheels"/>
  </r>
  <r>
    <s v="CUST_1268"/>
    <x v="4"/>
    <x v="2"/>
    <s v="Wednesday"/>
    <s v="No"/>
    <x v="2"/>
    <x v="2"/>
    <s v="Lower Saxony"/>
    <x v="4"/>
    <s v="Golf"/>
    <s v="Hybrid"/>
    <x v="2"/>
    <s v="18-25"/>
    <s v="Low"/>
    <x v="0"/>
    <x v="3"/>
    <s v="Sales_11"/>
    <n v="346"/>
    <n v="161"/>
    <n v="114"/>
    <n v="26"/>
    <s v="16.15"/>
    <n v="32786"/>
    <s v="6.91"/>
    <n v="28851"/>
    <n v="852436"/>
    <n v="102310"/>
    <s v="Feb"/>
    <n v="2"/>
    <n v="2026"/>
    <s v="Weekday"/>
    <n v="0.22807017543859648"/>
    <n v="0.46531791907514453"/>
    <n v="7.5144508670520235E-2"/>
    <n v="3935"/>
    <s v="Hannover Cars"/>
  </r>
  <r>
    <s v="CUST_1269"/>
    <x v="14"/>
    <x v="2"/>
    <s v="Friday"/>
    <s v="No"/>
    <x v="9"/>
    <x v="9"/>
    <s v="NRW"/>
    <x v="3"/>
    <s v="EQE"/>
    <s v="Hybrid"/>
    <x v="1"/>
    <s v="50+"/>
    <s v="High"/>
    <x v="0"/>
    <x v="1"/>
    <s v="Sales_5"/>
    <n v="262"/>
    <n v="135"/>
    <n v="94"/>
    <n v="33"/>
    <s v="24.44"/>
    <n v="64814"/>
    <s v="4.44"/>
    <n v="50904"/>
    <n v="2138862"/>
    <n v="459030"/>
    <s v="Feb"/>
    <n v="2"/>
    <n v="2026"/>
    <s v="Weekday"/>
    <n v="0.35106382978723405"/>
    <n v="0.51526717557251911"/>
    <n v="0.12595419847328243"/>
    <n v="13910"/>
    <s v="Ruhr Auto Plaza"/>
  </r>
  <r>
    <s v="CUST_1270"/>
    <x v="22"/>
    <x v="3"/>
    <s v="Tuesday"/>
    <s v="No"/>
    <x v="9"/>
    <x v="9"/>
    <s v="NRW"/>
    <x v="0"/>
    <s v="i4"/>
    <s v="Hybrid"/>
    <x v="1"/>
    <s v="26-35"/>
    <s v="Medium"/>
    <x v="1"/>
    <x v="0"/>
    <s v="Sales_6"/>
    <n v="234"/>
    <n v="119"/>
    <n v="95"/>
    <n v="28"/>
    <s v="23.53"/>
    <n v="61352"/>
    <s v="3.09"/>
    <n v="44170"/>
    <n v="1717856"/>
    <n v="481096"/>
    <s v="Feb"/>
    <n v="2"/>
    <n v="2026"/>
    <s v="Weekday"/>
    <n v="0.29473684210526313"/>
    <n v="0.50854700854700852"/>
    <n v="0.11965811965811966"/>
    <n v="17182"/>
    <s v="Ruhr Auto Plaza"/>
  </r>
  <r>
    <s v="CUST_1271"/>
    <x v="15"/>
    <x v="2"/>
    <s v="Thursday"/>
    <s v="No"/>
    <x v="9"/>
    <x v="9"/>
    <s v="NRW"/>
    <x v="2"/>
    <s v="Q3"/>
    <s v="Petrol"/>
    <x v="0"/>
    <s v="36-50"/>
    <s v="Medium"/>
    <x v="1"/>
    <x v="2"/>
    <s v="Sales_9"/>
    <n v="265"/>
    <n v="158"/>
    <n v="111"/>
    <n v="41"/>
    <s v="25.95"/>
    <n v="42918"/>
    <s v="4.91"/>
    <n v="34475"/>
    <n v="1759638"/>
    <n v="346163"/>
    <s v="Feb"/>
    <n v="2"/>
    <n v="2026"/>
    <s v="Weekday"/>
    <n v="0.36936936936936937"/>
    <n v="0.5962264150943396"/>
    <n v="0.15471698113207547"/>
    <n v="8443"/>
    <s v="Ruhr Auto Plaza"/>
  </r>
  <r>
    <s v="CUST_1272"/>
    <x v="24"/>
    <x v="1"/>
    <s v="Thursday"/>
    <s v="No"/>
    <x v="2"/>
    <x v="2"/>
    <s v="Lower Saxony"/>
    <x v="3"/>
    <s v="C-Class"/>
    <s v="Petrol"/>
    <x v="1"/>
    <s v="26-35"/>
    <s v="High"/>
    <x v="1"/>
    <x v="3"/>
    <s v="Sales_7"/>
    <n v="272"/>
    <n v="119"/>
    <n v="80"/>
    <n v="28"/>
    <s v="23.53"/>
    <n v="57178"/>
    <s v="2.38"/>
    <n v="40839"/>
    <n v="1600984"/>
    <n v="457492"/>
    <s v="Feb"/>
    <n v="2"/>
    <n v="2026"/>
    <s v="Weekday"/>
    <n v="0.35"/>
    <n v="0.4375"/>
    <n v="0.10294117647058823"/>
    <n v="16339"/>
    <s v="Hannover Cars"/>
  </r>
  <r>
    <s v="CUST_1273"/>
    <x v="27"/>
    <x v="3"/>
    <s v="Sunday"/>
    <s v="Yes"/>
    <x v="3"/>
    <x v="3"/>
    <s v="Saxony"/>
    <x v="0"/>
    <s v="3 Series"/>
    <s v="Diesel"/>
    <x v="1"/>
    <s v="36-50"/>
    <s v="High"/>
    <x v="1"/>
    <x v="0"/>
    <s v="Sales_10"/>
    <n v="160"/>
    <n v="80"/>
    <n v="59"/>
    <n v="20"/>
    <s v="25.0"/>
    <n v="61372"/>
    <s v="2.9"/>
    <n v="44721"/>
    <n v="1227440"/>
    <n v="333020"/>
    <s v="Feb"/>
    <n v="2"/>
    <n v="2026"/>
    <s v="Weekend"/>
    <n v="0.33898305084745761"/>
    <n v="0.5"/>
    <n v="0.125"/>
    <n v="16651"/>
    <s v="Saxon Wheels"/>
  </r>
  <r>
    <s v="CUST_1274"/>
    <x v="27"/>
    <x v="3"/>
    <s v="Sunday"/>
    <s v="Yes"/>
    <x v="5"/>
    <x v="5"/>
    <s v="Hamburg"/>
    <x v="2"/>
    <s v="A4"/>
    <s v="Petrol"/>
    <x v="1"/>
    <s v="50+"/>
    <s v="Medium"/>
    <x v="0"/>
    <x v="1"/>
    <s v="Sales_4"/>
    <n v="281"/>
    <n v="166"/>
    <n v="119"/>
    <n v="44"/>
    <s v="26.51"/>
    <n v="43454"/>
    <s v="3.41"/>
    <n v="34823"/>
    <n v="1911976"/>
    <n v="379764"/>
    <s v="Feb"/>
    <n v="2"/>
    <n v="2026"/>
    <s v="Weekend"/>
    <n v="0.36974789915966388"/>
    <n v="0.59074733096085408"/>
    <n v="0.15658362989323843"/>
    <n v="8631"/>
    <s v="Elbe Drive"/>
  </r>
  <r>
    <s v="CUST_1275"/>
    <x v="0"/>
    <x v="0"/>
    <s v="Monday"/>
    <s v="No"/>
    <x v="0"/>
    <x v="0"/>
    <s v="Hesse"/>
    <x v="0"/>
    <s v="5 Series"/>
    <s v="Electric"/>
    <x v="1"/>
    <s v="36-50"/>
    <s v="Low"/>
    <x v="1"/>
    <x v="3"/>
    <s v="Sales_4"/>
    <n v="184"/>
    <n v="112"/>
    <n v="86"/>
    <n v="27"/>
    <s v="24.11"/>
    <n v="54677"/>
    <s v="4.53"/>
    <n v="40179"/>
    <n v="1476279"/>
    <n v="391446"/>
    <s v="Feb"/>
    <n v="2"/>
    <n v="2026"/>
    <s v="Weekday"/>
    <n v="0.31395348837209303"/>
    <n v="0.60869565217391308"/>
    <n v="0.14673913043478262"/>
    <n v="14498"/>
    <s v="Main Auto Hub"/>
  </r>
  <r>
    <s v="CUST_1276"/>
    <x v="15"/>
    <x v="2"/>
    <s v="Thursday"/>
    <s v="No"/>
    <x v="6"/>
    <x v="6"/>
    <s v="Saxony"/>
    <x v="2"/>
    <s v="Q3"/>
    <s v="Petrol"/>
    <x v="0"/>
    <s v="50+"/>
    <s v="Medium"/>
    <x v="0"/>
    <x v="3"/>
    <s v="Sales_18"/>
    <n v="209"/>
    <n v="132"/>
    <n v="89"/>
    <n v="28"/>
    <s v="21.21"/>
    <n v="42077"/>
    <s v="6.82"/>
    <n v="32125"/>
    <n v="1178156"/>
    <n v="278656"/>
    <s v="Feb"/>
    <n v="2"/>
    <n v="2026"/>
    <s v="Weekday"/>
    <n v="0.3146067415730337"/>
    <n v="0.63157894736842102"/>
    <n v="0.13397129186602871"/>
    <n v="9952"/>
    <s v="Leipzig Mobility"/>
  </r>
  <r>
    <s v="CUST_1277"/>
    <x v="20"/>
    <x v="0"/>
    <s v="Thursday"/>
    <s v="No"/>
    <x v="0"/>
    <x v="0"/>
    <s v="Hesse"/>
    <x v="0"/>
    <s v="X3"/>
    <s v="Diesel"/>
    <x v="0"/>
    <s v="36-50"/>
    <s v="High"/>
    <x v="1"/>
    <x v="1"/>
    <s v="Sales_15"/>
    <n v="262"/>
    <n v="138"/>
    <n v="104"/>
    <n v="41"/>
    <s v="29.71"/>
    <n v="59693"/>
    <s v="4.01"/>
    <n v="46355"/>
    <n v="2447413"/>
    <n v="546858"/>
    <s v="Feb"/>
    <n v="2"/>
    <n v="2026"/>
    <s v="Weekday"/>
    <n v="0.39423076923076922"/>
    <n v="0.52671755725190839"/>
    <n v="0.15648854961832062"/>
    <n v="13338"/>
    <s v="Main Auto Hub"/>
  </r>
  <r>
    <s v="CUST_1278"/>
    <x v="12"/>
    <x v="3"/>
    <s v="Thursday"/>
    <s v="No"/>
    <x v="8"/>
    <x v="8"/>
    <s v="Baden-WÃ¼rttemberg"/>
    <x v="2"/>
    <s v="A4"/>
    <s v="Petrol"/>
    <x v="1"/>
    <s v="18-25"/>
    <s v="Medium"/>
    <x v="1"/>
    <x v="2"/>
    <s v="Sales_18"/>
    <n v="217"/>
    <n v="115"/>
    <n v="89"/>
    <n v="30"/>
    <s v="26.09"/>
    <n v="40001"/>
    <s v="4.96"/>
    <n v="30993"/>
    <n v="1200030"/>
    <n v="270240"/>
    <s v="Feb"/>
    <n v="2"/>
    <n v="2026"/>
    <s v="Weekday"/>
    <n v="0.33707865168539325"/>
    <n v="0.52995391705069128"/>
    <n v="0.13824884792626729"/>
    <n v="9008"/>
    <s v="Stuttgart Auto Center"/>
  </r>
  <r>
    <s v="CUST_1279"/>
    <x v="27"/>
    <x v="3"/>
    <s v="Sunday"/>
    <s v="Yes"/>
    <x v="9"/>
    <x v="9"/>
    <s v="NRW"/>
    <x v="1"/>
    <s v="Astra"/>
    <s v="Hybrid"/>
    <x v="2"/>
    <s v="18-25"/>
    <s v="Low"/>
    <x v="1"/>
    <x v="0"/>
    <s v="Sales_5"/>
    <n v="427"/>
    <n v="179"/>
    <n v="118"/>
    <n v="19"/>
    <s v="10.61"/>
    <n v="23029"/>
    <s v="10.03"/>
    <n v="21185"/>
    <n v="437551"/>
    <n v="35036"/>
    <s v="Feb"/>
    <n v="2"/>
    <n v="2026"/>
    <s v="Weekend"/>
    <n v="0.16101694915254236"/>
    <n v="0.41920374707259955"/>
    <n v="4.449648711943794E-2"/>
    <n v="1844"/>
    <s v="Ruhr Auto Plaza"/>
  </r>
  <r>
    <s v="CUST_1280"/>
    <x v="10"/>
    <x v="1"/>
    <s v="Monday"/>
    <s v="No"/>
    <x v="8"/>
    <x v="8"/>
    <s v="Baden-WÃ¼rttemberg"/>
    <x v="1"/>
    <s v="Corsa"/>
    <s v="Hybrid"/>
    <x v="2"/>
    <s v="50+"/>
    <s v="Low"/>
    <x v="1"/>
    <x v="0"/>
    <s v="Sales_8"/>
    <n v="233"/>
    <n v="102"/>
    <n v="67"/>
    <n v="15"/>
    <s v="14.71"/>
    <n v="19952"/>
    <s v="12.06"/>
    <n v="18251"/>
    <n v="299280"/>
    <n v="25515"/>
    <s v="Feb"/>
    <n v="2"/>
    <n v="2026"/>
    <s v="Weekday"/>
    <n v="0.22388059701492538"/>
    <n v="0.43776824034334766"/>
    <n v="6.4377682403433473E-2"/>
    <n v="1701"/>
    <s v="Stuttgart Auto Center"/>
  </r>
  <r>
    <s v="CUST_1281"/>
    <x v="11"/>
    <x v="0"/>
    <s v="Wednesday"/>
    <s v="No"/>
    <x v="1"/>
    <x v="1"/>
    <s v="NRW"/>
    <x v="1"/>
    <s v="Crossland"/>
    <s v="Hybrid"/>
    <x v="0"/>
    <s v="26-35"/>
    <s v="High"/>
    <x v="1"/>
    <x v="1"/>
    <s v="Sales_1"/>
    <n v="314"/>
    <n v="170"/>
    <n v="108"/>
    <n v="25"/>
    <s v="14.71"/>
    <n v="20052"/>
    <s v="10.56"/>
    <n v="18094"/>
    <n v="501300"/>
    <n v="48950"/>
    <s v="Feb"/>
    <n v="2"/>
    <n v="2026"/>
    <s v="Weekday"/>
    <n v="0.23148148148148148"/>
    <n v="0.54140127388535031"/>
    <n v="7.9617834394904455E-2"/>
    <n v="1958"/>
    <s v="Rhein Auto Group"/>
  </r>
  <r>
    <s v="CUST_1282"/>
    <x v="10"/>
    <x v="1"/>
    <s v="Monday"/>
    <s v="No"/>
    <x v="5"/>
    <x v="5"/>
    <s v="Hamburg"/>
    <x v="2"/>
    <s v="A4"/>
    <s v="Hybrid"/>
    <x v="1"/>
    <s v="36-50"/>
    <s v="Low"/>
    <x v="0"/>
    <x v="1"/>
    <s v="Sales_10"/>
    <n v="293"/>
    <n v="136"/>
    <n v="91"/>
    <n v="37"/>
    <s v="27.21"/>
    <n v="46490"/>
    <s v="4.72"/>
    <n v="35962"/>
    <n v="1720130"/>
    <n v="389536"/>
    <s v="Feb"/>
    <n v="2"/>
    <n v="2026"/>
    <s v="Weekday"/>
    <n v="0.40659340659340659"/>
    <n v="0.46416382252559729"/>
    <n v="0.12627986348122866"/>
    <n v="10528"/>
    <s v="Elbe Drive"/>
  </r>
  <r>
    <s v="CUST_1283"/>
    <x v="25"/>
    <x v="3"/>
    <s v="Friday"/>
    <s v="No"/>
    <x v="3"/>
    <x v="3"/>
    <s v="Saxony"/>
    <x v="1"/>
    <s v="Grandland"/>
    <s v="Petrol"/>
    <x v="0"/>
    <s v="50+"/>
    <s v="Medium"/>
    <x v="1"/>
    <x v="2"/>
    <s v="Sales_9"/>
    <n v="242"/>
    <n v="99"/>
    <n v="63"/>
    <n v="15"/>
    <s v="15.15"/>
    <n v="26844"/>
    <s v="7.01"/>
    <n v="24577"/>
    <n v="402660"/>
    <n v="34005"/>
    <s v="Feb"/>
    <n v="2"/>
    <n v="2026"/>
    <s v="Weekday"/>
    <n v="0.23809523809523808"/>
    <n v="0.40909090909090912"/>
    <n v="6.1983471074380167E-2"/>
    <n v="2267"/>
    <s v="Saxon Wheels"/>
  </r>
  <r>
    <s v="CUST_1284"/>
    <x v="2"/>
    <x v="2"/>
    <s v="Monday"/>
    <s v="No"/>
    <x v="7"/>
    <x v="7"/>
    <s v="Bavaria"/>
    <x v="1"/>
    <s v="Grandland"/>
    <s v="Petrol"/>
    <x v="0"/>
    <s v="18-25"/>
    <s v="High"/>
    <x v="1"/>
    <x v="2"/>
    <s v="Sales_20"/>
    <n v="337"/>
    <n v="152"/>
    <n v="102"/>
    <n v="30"/>
    <s v="19.74"/>
    <n v="21660"/>
    <s v="7.74"/>
    <n v="19991"/>
    <n v="649800"/>
    <n v="50070"/>
    <s v="Feb"/>
    <n v="2"/>
    <n v="2026"/>
    <s v="Weekday"/>
    <n v="0.29411764705882354"/>
    <n v="0.45103857566765576"/>
    <n v="8.9020771513353122E-2"/>
    <n v="1669"/>
    <s v="Bavaria Motors"/>
  </r>
  <r>
    <s v="CUST_1285"/>
    <x v="13"/>
    <x v="0"/>
    <s v="Friday"/>
    <s v="No"/>
    <x v="9"/>
    <x v="9"/>
    <s v="NRW"/>
    <x v="3"/>
    <s v="E-Class"/>
    <s v="Petrol"/>
    <x v="1"/>
    <s v="18-25"/>
    <s v="Medium"/>
    <x v="0"/>
    <x v="1"/>
    <s v="Sales_1"/>
    <n v="268"/>
    <n v="120"/>
    <n v="94"/>
    <n v="32"/>
    <s v="26.67"/>
    <n v="53848"/>
    <s v="5.89"/>
    <n v="39356"/>
    <n v="1723136"/>
    <n v="463744"/>
    <s v="Feb"/>
    <n v="2"/>
    <n v="2026"/>
    <s v="Weekday"/>
    <n v="0.34042553191489361"/>
    <n v="0.44776119402985076"/>
    <n v="0.11940298507462686"/>
    <n v="14492"/>
    <s v="Ruhr Auto Plaza"/>
  </r>
  <r>
    <s v="CUST_1286"/>
    <x v="4"/>
    <x v="2"/>
    <s v="Wednesday"/>
    <s v="No"/>
    <x v="3"/>
    <x v="3"/>
    <s v="Saxony"/>
    <x v="3"/>
    <s v="GLC"/>
    <s v="Hybrid"/>
    <x v="0"/>
    <s v="26-35"/>
    <s v="Medium"/>
    <x v="1"/>
    <x v="0"/>
    <s v="Sales_16"/>
    <n v="167"/>
    <n v="94"/>
    <n v="70"/>
    <n v="20"/>
    <s v="21.28"/>
    <n v="64166"/>
    <s v="4.3"/>
    <n v="47218"/>
    <n v="1283320"/>
    <n v="338960"/>
    <s v="Feb"/>
    <n v="2"/>
    <n v="2026"/>
    <s v="Weekday"/>
    <n v="0.2857142857142857"/>
    <n v="0.56287425149700598"/>
    <n v="0.11976047904191617"/>
    <n v="16948"/>
    <s v="Saxon Wheels"/>
  </r>
  <r>
    <s v="CUST_1287"/>
    <x v="19"/>
    <x v="1"/>
    <s v="Saturday"/>
    <s v="Yes"/>
    <x v="3"/>
    <x v="3"/>
    <s v="Saxony"/>
    <x v="1"/>
    <s v="Astra"/>
    <s v="Petrol"/>
    <x v="2"/>
    <s v="50+"/>
    <s v="Low"/>
    <x v="1"/>
    <x v="3"/>
    <s v="Sales_9"/>
    <n v="418"/>
    <n v="195"/>
    <n v="110"/>
    <n v="22"/>
    <s v="11.28"/>
    <n v="25119"/>
    <s v="10.31"/>
    <n v="22470"/>
    <n v="552618"/>
    <n v="58278"/>
    <s v="Feb"/>
    <n v="2"/>
    <n v="2026"/>
    <s v="Weekend"/>
    <n v="0.2"/>
    <n v="0.46650717703349281"/>
    <n v="5.2631578947368418E-2"/>
    <n v="2649"/>
    <s v="Saxon Wheels"/>
  </r>
  <r>
    <s v="CUST_1288"/>
    <x v="8"/>
    <x v="3"/>
    <s v="Wednesday"/>
    <s v="No"/>
    <x v="7"/>
    <x v="7"/>
    <s v="Bavaria"/>
    <x v="1"/>
    <s v="Mokka"/>
    <s v="Diesel"/>
    <x v="0"/>
    <s v="50+"/>
    <s v="Medium"/>
    <x v="1"/>
    <x v="2"/>
    <s v="Sales_11"/>
    <n v="321"/>
    <n v="132"/>
    <n v="80"/>
    <n v="29"/>
    <s v="21.97"/>
    <n v="25406"/>
    <s v="9.72"/>
    <n v="23306"/>
    <n v="736774"/>
    <n v="60900"/>
    <s v="Feb"/>
    <n v="2"/>
    <n v="2026"/>
    <s v="Weekday"/>
    <n v="0.36249999999999999"/>
    <n v="0.41121495327102803"/>
    <n v="9.0342679127725853E-2"/>
    <n v="2100"/>
    <s v="Bavaria Motors"/>
  </r>
  <r>
    <s v="CUST_1289"/>
    <x v="10"/>
    <x v="1"/>
    <s v="Monday"/>
    <s v="No"/>
    <x v="4"/>
    <x v="4"/>
    <s v="Berlin"/>
    <x v="3"/>
    <s v="C-Class"/>
    <s v="Petrol"/>
    <x v="1"/>
    <s v="26-35"/>
    <s v="Medium"/>
    <x v="0"/>
    <x v="0"/>
    <s v="Sales_15"/>
    <n v="179"/>
    <n v="86"/>
    <n v="61"/>
    <n v="23"/>
    <s v="26.74"/>
    <n v="65445"/>
    <s v="2.51"/>
    <n v="50700"/>
    <n v="1505235"/>
    <n v="339135"/>
    <s v="Feb"/>
    <n v="2"/>
    <n v="2026"/>
    <s v="Weekday"/>
    <n v="0.37704918032786883"/>
    <n v="0.48044692737430167"/>
    <n v="0.12849162011173185"/>
    <n v="14745"/>
    <s v="Autohaus Berlin"/>
  </r>
  <r>
    <s v="CUST_1290"/>
    <x v="21"/>
    <x v="0"/>
    <s v="Tuesday"/>
    <s v="No"/>
    <x v="4"/>
    <x v="4"/>
    <s v="Berlin"/>
    <x v="1"/>
    <s v="Astra"/>
    <s v="Hybrid"/>
    <x v="2"/>
    <s v="26-35"/>
    <s v="Low"/>
    <x v="1"/>
    <x v="0"/>
    <s v="Sales_5"/>
    <n v="346"/>
    <n v="135"/>
    <n v="85"/>
    <n v="21"/>
    <s v="15.56"/>
    <n v="20363"/>
    <s v="7.68"/>
    <n v="18483"/>
    <n v="427623"/>
    <n v="39480"/>
    <s v="Feb"/>
    <n v="2"/>
    <n v="2026"/>
    <s v="Weekday"/>
    <n v="0.24705882352941178"/>
    <n v="0.39017341040462428"/>
    <n v="6.0693641618497107E-2"/>
    <n v="1880"/>
    <s v="Autohaus Berlin"/>
  </r>
  <r>
    <s v="CUST_1291"/>
    <x v="27"/>
    <x v="3"/>
    <s v="Sunday"/>
    <s v="Yes"/>
    <x v="6"/>
    <x v="6"/>
    <s v="Saxony"/>
    <x v="3"/>
    <s v="E-Class"/>
    <s v="Electric"/>
    <x v="1"/>
    <s v="26-35"/>
    <s v="High"/>
    <x v="1"/>
    <x v="3"/>
    <s v="Sales_9"/>
    <n v="245"/>
    <n v="134"/>
    <n v="103"/>
    <n v="29"/>
    <s v="21.64"/>
    <n v="57144"/>
    <s v="5.01"/>
    <n v="44788"/>
    <n v="1657176"/>
    <n v="358324"/>
    <s v="Feb"/>
    <n v="2"/>
    <n v="2026"/>
    <s v="Weekend"/>
    <n v="0.28155339805825241"/>
    <n v="0.54693877551020409"/>
    <n v="0.11836734693877551"/>
    <n v="12356"/>
    <s v="Leipzig Mobility"/>
  </r>
  <r>
    <s v="CUST_1292"/>
    <x v="7"/>
    <x v="3"/>
    <s v="Monday"/>
    <s v="No"/>
    <x v="8"/>
    <x v="8"/>
    <s v="Baden-WÃ¼rttemberg"/>
    <x v="1"/>
    <s v="Astra"/>
    <s v="Electric"/>
    <x v="2"/>
    <s v="50+"/>
    <s v="High"/>
    <x v="0"/>
    <x v="2"/>
    <s v="Sales_11"/>
    <n v="310"/>
    <n v="135"/>
    <n v="91"/>
    <n v="25"/>
    <s v="18.52"/>
    <n v="25623"/>
    <s v="11.78"/>
    <n v="22939"/>
    <n v="640575"/>
    <n v="67100"/>
    <s v="Feb"/>
    <n v="2"/>
    <n v="2026"/>
    <s v="Weekday"/>
    <n v="0.27472527472527475"/>
    <n v="0.43548387096774194"/>
    <n v="8.0645161290322578E-2"/>
    <n v="2684"/>
    <s v="Stuttgart Auto Center"/>
  </r>
  <r>
    <s v="CUST_1293"/>
    <x v="9"/>
    <x v="0"/>
    <s v="Sunday"/>
    <s v="Yes"/>
    <x v="1"/>
    <x v="1"/>
    <s v="NRW"/>
    <x v="0"/>
    <s v="3 Series"/>
    <s v="Diesel"/>
    <x v="1"/>
    <s v="36-50"/>
    <s v="Low"/>
    <x v="0"/>
    <x v="2"/>
    <s v="Sales_14"/>
    <n v="239"/>
    <n v="133"/>
    <n v="92"/>
    <n v="39"/>
    <s v="29.32"/>
    <n v="52875"/>
    <s v="2.91"/>
    <n v="39737"/>
    <n v="2062125"/>
    <n v="512382"/>
    <s v="Feb"/>
    <n v="2"/>
    <n v="2026"/>
    <s v="Weekend"/>
    <n v="0.42391304347826086"/>
    <n v="0.55648535564853552"/>
    <n v="0.16317991631799164"/>
    <n v="13138"/>
    <s v="Rhein Auto Group"/>
  </r>
  <r>
    <s v="CUST_1294"/>
    <x v="12"/>
    <x v="3"/>
    <s v="Thursday"/>
    <s v="No"/>
    <x v="2"/>
    <x v="2"/>
    <s v="Lower Saxony"/>
    <x v="2"/>
    <s v="e-tron"/>
    <s v="Petrol"/>
    <x v="0"/>
    <s v="50+"/>
    <s v="High"/>
    <x v="0"/>
    <x v="1"/>
    <s v="Sales_13"/>
    <n v="240"/>
    <n v="126"/>
    <n v="85"/>
    <n v="27"/>
    <s v="21.43"/>
    <n v="41601"/>
    <s v="6.18"/>
    <n v="31370"/>
    <n v="1123227"/>
    <n v="276237"/>
    <s v="Feb"/>
    <n v="2"/>
    <n v="2026"/>
    <s v="Weekday"/>
    <n v="0.31764705882352939"/>
    <n v="0.52500000000000002"/>
    <n v="0.1125"/>
    <n v="10231"/>
    <s v="Hannover Cars"/>
  </r>
  <r>
    <s v="CUST_1295"/>
    <x v="16"/>
    <x v="1"/>
    <s v="Tuesday"/>
    <s v="No"/>
    <x v="8"/>
    <x v="8"/>
    <s v="Baden-WÃ¼rttemberg"/>
    <x v="3"/>
    <s v="GLC"/>
    <s v="Electric"/>
    <x v="0"/>
    <s v="50+"/>
    <s v="Low"/>
    <x v="0"/>
    <x v="0"/>
    <s v="Sales_12"/>
    <n v="185"/>
    <n v="83"/>
    <n v="61"/>
    <n v="21"/>
    <s v="25.3"/>
    <n v="60816"/>
    <s v="5.69"/>
    <n v="45695"/>
    <n v="1277136"/>
    <n v="317541"/>
    <s v="Feb"/>
    <n v="2"/>
    <n v="2026"/>
    <s v="Weekday"/>
    <n v="0.34426229508196721"/>
    <n v="0.44864864864864867"/>
    <n v="0.11351351351351352"/>
    <n v="15121"/>
    <s v="Stuttgart Auto Center"/>
  </r>
  <r>
    <s v="CUST_1296"/>
    <x v="16"/>
    <x v="1"/>
    <s v="Tuesday"/>
    <s v="No"/>
    <x v="7"/>
    <x v="7"/>
    <s v="Bavaria"/>
    <x v="2"/>
    <s v="Q5"/>
    <s v="Petrol"/>
    <x v="0"/>
    <s v="50+"/>
    <s v="Medium"/>
    <x v="1"/>
    <x v="1"/>
    <s v="Sales_4"/>
    <n v="307"/>
    <n v="179"/>
    <n v="127"/>
    <n v="41"/>
    <s v="22.91"/>
    <n v="41103"/>
    <s v="6.69"/>
    <n v="33590"/>
    <n v="1685223"/>
    <n v="308033"/>
    <s v="Feb"/>
    <n v="2"/>
    <n v="2026"/>
    <s v="Weekday"/>
    <n v="0.32283464566929132"/>
    <n v="0.58306188925081437"/>
    <n v="0.13355048859934854"/>
    <n v="7513"/>
    <s v="Bavaria Motors"/>
  </r>
  <r>
    <s v="CUST_1297"/>
    <x v="26"/>
    <x v="1"/>
    <s v="Friday"/>
    <s v="No"/>
    <x v="5"/>
    <x v="5"/>
    <s v="Hamburg"/>
    <x v="4"/>
    <s v="Golf"/>
    <s v="Petrol"/>
    <x v="2"/>
    <s v="36-50"/>
    <s v="Low"/>
    <x v="0"/>
    <x v="3"/>
    <s v="Sales_8"/>
    <n v="427"/>
    <n v="236"/>
    <n v="163"/>
    <n v="34"/>
    <s v="14.41"/>
    <n v="25635"/>
    <s v="9.41"/>
    <n v="23211"/>
    <n v="871590"/>
    <n v="82416"/>
    <s v="Feb"/>
    <n v="2"/>
    <n v="2026"/>
    <s v="Weekday"/>
    <n v="0.20858895705521471"/>
    <n v="0.5526932084309133"/>
    <n v="7.9625292740046844E-2"/>
    <n v="2424"/>
    <s v="Elbe Drive"/>
  </r>
  <r>
    <s v="CUST_1298"/>
    <x v="1"/>
    <x v="1"/>
    <s v="Wednesday"/>
    <s v="No"/>
    <x v="0"/>
    <x v="0"/>
    <s v="Hesse"/>
    <x v="4"/>
    <s v="Tiguan"/>
    <s v="Petrol"/>
    <x v="0"/>
    <s v="50+"/>
    <s v="High"/>
    <x v="1"/>
    <x v="2"/>
    <s v="Sales_5"/>
    <n v="393"/>
    <n v="215"/>
    <n v="152"/>
    <n v="34"/>
    <s v="15.81"/>
    <n v="27877"/>
    <s v="6.78"/>
    <n v="24870"/>
    <n v="947818"/>
    <n v="102238"/>
    <s v="Feb"/>
    <n v="2"/>
    <n v="2026"/>
    <s v="Weekday"/>
    <n v="0.22368421052631579"/>
    <n v="0.54707379134860046"/>
    <n v="8.6513994910941472E-2"/>
    <n v="3007"/>
    <s v="Main Auto Hub"/>
  </r>
  <r>
    <s v="CUST_1299"/>
    <x v="27"/>
    <x v="3"/>
    <s v="Sunday"/>
    <s v="Yes"/>
    <x v="0"/>
    <x v="0"/>
    <s v="Hesse"/>
    <x v="1"/>
    <s v="Crossland"/>
    <s v="Diesel"/>
    <x v="0"/>
    <s v="50+"/>
    <s v="High"/>
    <x v="0"/>
    <x v="3"/>
    <s v="Sales_1"/>
    <n v="377"/>
    <n v="179"/>
    <n v="107"/>
    <n v="28"/>
    <s v="15.64"/>
    <n v="22792"/>
    <s v="7.21"/>
    <n v="20344"/>
    <n v="638176"/>
    <n v="68544"/>
    <s v="Feb"/>
    <n v="2"/>
    <n v="2026"/>
    <s v="Weekend"/>
    <n v="0.26168224299065418"/>
    <n v="0.47480106100795755"/>
    <n v="7.4270557029177717E-2"/>
    <n v="2448"/>
    <s v="Main Auto Hub"/>
  </r>
  <r>
    <s v="CUST_1300"/>
    <x v="14"/>
    <x v="2"/>
    <s v="Friday"/>
    <s v="No"/>
    <x v="7"/>
    <x v="7"/>
    <s v="Bavaria"/>
    <x v="3"/>
    <s v="E-Class"/>
    <s v="Electric"/>
    <x v="1"/>
    <s v="36-50"/>
    <s v="High"/>
    <x v="0"/>
    <x v="1"/>
    <s v="Sales_18"/>
    <n v="226"/>
    <n v="112"/>
    <n v="85"/>
    <n v="30"/>
    <s v="26.79"/>
    <n v="62457"/>
    <s v="4.07"/>
    <n v="47966"/>
    <n v="1873710"/>
    <n v="434730"/>
    <s v="Feb"/>
    <n v="2"/>
    <n v="2026"/>
    <s v="Weekday"/>
    <n v="0.35294117647058826"/>
    <n v="0.49557522123893805"/>
    <n v="0.13274336283185842"/>
    <n v="14491"/>
    <s v="Bavaria Motors"/>
  </r>
  <r>
    <s v="CUST_1301"/>
    <x v="7"/>
    <x v="3"/>
    <s v="Monday"/>
    <s v="No"/>
    <x v="1"/>
    <x v="1"/>
    <s v="NRW"/>
    <x v="2"/>
    <s v="Q3"/>
    <s v="Hybrid"/>
    <x v="0"/>
    <s v="36-50"/>
    <s v="Low"/>
    <x v="0"/>
    <x v="2"/>
    <s v="Sales_1"/>
    <n v="188"/>
    <n v="95"/>
    <n v="71"/>
    <n v="26"/>
    <s v="27.37"/>
    <n v="47635"/>
    <s v="6.74"/>
    <n v="36563"/>
    <n v="1238510"/>
    <n v="287872"/>
    <s v="Feb"/>
    <n v="2"/>
    <n v="2026"/>
    <s v="Weekday"/>
    <n v="0.36619718309859156"/>
    <n v="0.50531914893617025"/>
    <n v="0.13829787234042554"/>
    <n v="11072"/>
    <s v="Rhein Auto Group"/>
  </r>
  <r>
    <s v="CUST_1302"/>
    <x v="14"/>
    <x v="2"/>
    <s v="Friday"/>
    <s v="No"/>
    <x v="7"/>
    <x v="7"/>
    <s v="Bavaria"/>
    <x v="4"/>
    <s v="Tiguan"/>
    <s v="Diesel"/>
    <x v="0"/>
    <s v="36-50"/>
    <s v="High"/>
    <x v="0"/>
    <x v="1"/>
    <s v="Sales_18"/>
    <n v="289"/>
    <n v="153"/>
    <n v="91"/>
    <n v="29"/>
    <s v="18.95"/>
    <n v="32538"/>
    <s v="9.22"/>
    <n v="29078"/>
    <n v="943602"/>
    <n v="100340"/>
    <s v="Feb"/>
    <n v="2"/>
    <n v="2026"/>
    <s v="Weekday"/>
    <n v="0.31868131868131866"/>
    <n v="0.52941176470588236"/>
    <n v="0.10034602076124567"/>
    <n v="3460"/>
    <s v="Bavaria Motors"/>
  </r>
  <r>
    <s v="CUST_1303"/>
    <x v="0"/>
    <x v="0"/>
    <s v="Monday"/>
    <s v="No"/>
    <x v="9"/>
    <x v="9"/>
    <s v="NRW"/>
    <x v="4"/>
    <s v="Passat"/>
    <s v="Diesel"/>
    <x v="1"/>
    <s v="36-50"/>
    <s v="Low"/>
    <x v="0"/>
    <x v="3"/>
    <s v="Sales_1"/>
    <n v="325"/>
    <n v="152"/>
    <n v="95"/>
    <n v="21"/>
    <s v="13.82"/>
    <n v="32167"/>
    <s v="11.27"/>
    <n v="29169"/>
    <n v="675507"/>
    <n v="62958"/>
    <s v="Feb"/>
    <n v="2"/>
    <n v="2026"/>
    <s v="Weekday"/>
    <n v="0.22105263157894736"/>
    <n v="0.46769230769230768"/>
    <n v="6.4615384615384616E-2"/>
    <n v="2998"/>
    <s v="Ruhr Auto Plaza"/>
  </r>
  <r>
    <s v="CUST_1304"/>
    <x v="2"/>
    <x v="2"/>
    <s v="Monday"/>
    <s v="No"/>
    <x v="1"/>
    <x v="1"/>
    <s v="NRW"/>
    <x v="1"/>
    <s v="Mokka"/>
    <s v="Diesel"/>
    <x v="0"/>
    <s v="36-50"/>
    <s v="Medium"/>
    <x v="0"/>
    <x v="0"/>
    <s v="Sales_5"/>
    <n v="304"/>
    <n v="145"/>
    <n v="98"/>
    <n v="22"/>
    <s v="15.17"/>
    <n v="21445"/>
    <s v="13.86"/>
    <n v="19107"/>
    <n v="471790"/>
    <n v="51436"/>
    <s v="Feb"/>
    <n v="2"/>
    <n v="2026"/>
    <s v="Weekday"/>
    <n v="0.22448979591836735"/>
    <n v="0.47697368421052633"/>
    <n v="7.2368421052631582E-2"/>
    <n v="2338"/>
    <s v="Rhein Auto Group"/>
  </r>
  <r>
    <s v="CUST_1305"/>
    <x v="25"/>
    <x v="3"/>
    <s v="Friday"/>
    <s v="No"/>
    <x v="3"/>
    <x v="3"/>
    <s v="Saxony"/>
    <x v="4"/>
    <s v="Tiguan"/>
    <s v="Hybrid"/>
    <x v="0"/>
    <s v="50+"/>
    <s v="Medium"/>
    <x v="0"/>
    <x v="3"/>
    <s v="Sales_5"/>
    <n v="376"/>
    <n v="205"/>
    <n v="120"/>
    <n v="31"/>
    <s v="15.12"/>
    <n v="28612"/>
    <s v="10.52"/>
    <n v="25346"/>
    <n v="886972"/>
    <n v="101246"/>
    <s v="Feb"/>
    <n v="2"/>
    <n v="2026"/>
    <s v="Weekday"/>
    <n v="0.25833333333333336"/>
    <n v="0.54521276595744683"/>
    <n v="8.2446808510638292E-2"/>
    <n v="3266"/>
    <s v="Saxon Wheels"/>
  </r>
  <r>
    <s v="CUST_1306"/>
    <x v="22"/>
    <x v="3"/>
    <s v="Tuesday"/>
    <s v="No"/>
    <x v="1"/>
    <x v="1"/>
    <s v="NRW"/>
    <x v="2"/>
    <s v="Q5"/>
    <s v="Hybrid"/>
    <x v="0"/>
    <s v="26-35"/>
    <s v="Medium"/>
    <x v="0"/>
    <x v="2"/>
    <s v="Sales_10"/>
    <n v="284"/>
    <n v="144"/>
    <n v="96"/>
    <n v="37"/>
    <s v="25.69"/>
    <n v="51973"/>
    <s v="6.49"/>
    <n v="40293"/>
    <n v="1923001"/>
    <n v="432160"/>
    <s v="Feb"/>
    <n v="2"/>
    <n v="2026"/>
    <s v="Weekday"/>
    <n v="0.38541666666666669"/>
    <n v="0.50704225352112675"/>
    <n v="0.13028169014084506"/>
    <n v="11680"/>
    <s v="Rhein Auto Group"/>
  </r>
  <r>
    <s v="CUST_1307"/>
    <x v="8"/>
    <x v="3"/>
    <s v="Wednesday"/>
    <s v="No"/>
    <x v="8"/>
    <x v="8"/>
    <s v="Baden-WÃ¼rttemberg"/>
    <x v="2"/>
    <s v="A3"/>
    <s v="Electric"/>
    <x v="2"/>
    <s v="18-25"/>
    <s v="Low"/>
    <x v="1"/>
    <x v="2"/>
    <s v="Sales_1"/>
    <n v="253"/>
    <n v="139"/>
    <n v="99"/>
    <n v="36"/>
    <s v="25.9"/>
    <n v="51169"/>
    <s v="4.7"/>
    <n v="40574"/>
    <n v="1842084"/>
    <n v="381420"/>
    <s v="Feb"/>
    <n v="2"/>
    <n v="2026"/>
    <s v="Weekday"/>
    <n v="0.36363636363636365"/>
    <n v="0.54940711462450598"/>
    <n v="0.14229249011857709"/>
    <n v="10595"/>
    <s v="Stuttgart Auto Center"/>
  </r>
  <r>
    <s v="CUST_1308"/>
    <x v="3"/>
    <x v="1"/>
    <s v="Sunday"/>
    <s v="Yes"/>
    <x v="6"/>
    <x v="6"/>
    <s v="Saxony"/>
    <x v="1"/>
    <s v="Mokka"/>
    <s v="Electric"/>
    <x v="0"/>
    <s v="18-25"/>
    <s v="Low"/>
    <x v="0"/>
    <x v="1"/>
    <s v="Sales_14"/>
    <n v="406"/>
    <n v="178"/>
    <n v="100"/>
    <n v="28"/>
    <s v="15.73"/>
    <n v="24589"/>
    <s v="12.65"/>
    <n v="22042"/>
    <n v="688492"/>
    <n v="71316"/>
    <s v="Feb"/>
    <n v="2"/>
    <n v="2026"/>
    <s v="Weekend"/>
    <n v="0.28000000000000003"/>
    <n v="0.43842364532019706"/>
    <n v="6.8965517241379309E-2"/>
    <n v="2547"/>
    <s v="Leipzig Mobility"/>
  </r>
  <r>
    <s v="CUST_1309"/>
    <x v="27"/>
    <x v="3"/>
    <s v="Sunday"/>
    <s v="Yes"/>
    <x v="3"/>
    <x v="3"/>
    <s v="Saxony"/>
    <x v="2"/>
    <s v="e-tron"/>
    <s v="Petrol"/>
    <x v="0"/>
    <s v="36-50"/>
    <s v="Low"/>
    <x v="1"/>
    <x v="0"/>
    <s v="Sales_20"/>
    <n v="198"/>
    <n v="116"/>
    <n v="81"/>
    <n v="24"/>
    <s v="20.69"/>
    <n v="39531"/>
    <s v="5.99"/>
    <n v="30968"/>
    <n v="948744"/>
    <n v="205512"/>
    <s v="Feb"/>
    <n v="2"/>
    <n v="2026"/>
    <s v="Weekend"/>
    <n v="0.29629629629629628"/>
    <n v="0.58585858585858586"/>
    <n v="0.12121212121212122"/>
    <n v="8563"/>
    <s v="Saxon Wheels"/>
  </r>
  <r>
    <s v="CUST_1310"/>
    <x v="16"/>
    <x v="1"/>
    <s v="Tuesday"/>
    <s v="No"/>
    <x v="9"/>
    <x v="9"/>
    <s v="NRW"/>
    <x v="2"/>
    <s v="A4"/>
    <s v="Diesel"/>
    <x v="1"/>
    <s v="36-50"/>
    <s v="High"/>
    <x v="1"/>
    <x v="0"/>
    <s v="Sales_19"/>
    <n v="288"/>
    <n v="142"/>
    <n v="94"/>
    <n v="31"/>
    <s v="21.83"/>
    <n v="48251"/>
    <s v="3.84"/>
    <n v="36357"/>
    <n v="1495781"/>
    <n v="368714"/>
    <s v="Feb"/>
    <n v="2"/>
    <n v="2026"/>
    <s v="Weekday"/>
    <n v="0.32978723404255317"/>
    <n v="0.49305555555555558"/>
    <n v="0.1076388888888889"/>
    <n v="11894"/>
    <s v="Ruhr Auto Plaza"/>
  </r>
  <r>
    <s v="CUST_1311"/>
    <x v="17"/>
    <x v="2"/>
    <s v="Sunday"/>
    <s v="Yes"/>
    <x v="5"/>
    <x v="5"/>
    <s v="Hamburg"/>
    <x v="1"/>
    <s v="Mokka"/>
    <s v="Electric"/>
    <x v="0"/>
    <s v="26-35"/>
    <s v="High"/>
    <x v="1"/>
    <x v="2"/>
    <s v="Sales_12"/>
    <n v="336"/>
    <n v="181"/>
    <n v="105"/>
    <n v="29"/>
    <s v="16.02"/>
    <n v="22639"/>
    <s v="8.2"/>
    <n v="20158"/>
    <n v="656531"/>
    <n v="71949"/>
    <s v="Feb"/>
    <n v="2"/>
    <n v="2026"/>
    <s v="Weekend"/>
    <n v="0.27619047619047621"/>
    <n v="0.53869047619047616"/>
    <n v="8.6309523809523808E-2"/>
    <n v="2481"/>
    <s v="Elbe Drive"/>
  </r>
  <r>
    <s v="CUST_1312"/>
    <x v="14"/>
    <x v="2"/>
    <s v="Friday"/>
    <s v="No"/>
    <x v="9"/>
    <x v="9"/>
    <s v="NRW"/>
    <x v="1"/>
    <s v="Astra"/>
    <s v="Diesel"/>
    <x v="2"/>
    <s v="50+"/>
    <s v="Medium"/>
    <x v="0"/>
    <x v="0"/>
    <s v="Sales_5"/>
    <n v="412"/>
    <n v="194"/>
    <n v="122"/>
    <n v="23"/>
    <s v="11.86"/>
    <n v="22302"/>
    <s v="8.46"/>
    <n v="19945"/>
    <n v="512946"/>
    <n v="54211"/>
    <s v="Feb"/>
    <n v="2"/>
    <n v="2026"/>
    <s v="Weekday"/>
    <n v="0.18852459016393441"/>
    <n v="0.470873786407767"/>
    <n v="5.5825242718446605E-2"/>
    <n v="2357"/>
    <s v="Ruhr Auto Plaza"/>
  </r>
  <r>
    <s v="CUST_1313"/>
    <x v="18"/>
    <x v="0"/>
    <s v="Saturday"/>
    <s v="Yes"/>
    <x v="8"/>
    <x v="8"/>
    <s v="Baden-WÃ¼rttemberg"/>
    <x v="3"/>
    <s v="E-Class"/>
    <s v="Electric"/>
    <x v="1"/>
    <s v="36-50"/>
    <s v="Low"/>
    <x v="0"/>
    <x v="1"/>
    <s v="Sales_4"/>
    <n v="166"/>
    <n v="96"/>
    <n v="70"/>
    <n v="25"/>
    <s v="26.04"/>
    <n v="72392"/>
    <s v="2.58"/>
    <n v="52336"/>
    <n v="1809800"/>
    <n v="501400"/>
    <s v="Feb"/>
    <n v="2"/>
    <n v="2026"/>
    <s v="Weekend"/>
    <n v="0.35714285714285715"/>
    <n v="0.57831325301204817"/>
    <n v="0.15060240963855423"/>
    <n v="20056"/>
    <s v="Stuttgart Auto Center"/>
  </r>
  <r>
    <s v="CUST_1314"/>
    <x v="26"/>
    <x v="1"/>
    <s v="Friday"/>
    <s v="No"/>
    <x v="5"/>
    <x v="5"/>
    <s v="Hamburg"/>
    <x v="3"/>
    <s v="E-Class"/>
    <s v="Diesel"/>
    <x v="1"/>
    <s v="18-25"/>
    <s v="Low"/>
    <x v="0"/>
    <x v="3"/>
    <s v="Sales_5"/>
    <n v="190"/>
    <n v="108"/>
    <n v="74"/>
    <n v="29"/>
    <s v="26.85"/>
    <n v="68236"/>
    <s v="5.46"/>
    <n v="51830"/>
    <n v="1978844"/>
    <n v="475774"/>
    <s v="Feb"/>
    <n v="2"/>
    <n v="2026"/>
    <s v="Weekday"/>
    <n v="0.39189189189189189"/>
    <n v="0.56842105263157894"/>
    <n v="0.15263157894736842"/>
    <n v="16406"/>
    <s v="Elbe Drive"/>
  </r>
  <r>
    <s v="CUST_1315"/>
    <x v="12"/>
    <x v="3"/>
    <s v="Thursday"/>
    <s v="No"/>
    <x v="4"/>
    <x v="4"/>
    <s v="Berlin"/>
    <x v="4"/>
    <s v="Tiguan"/>
    <s v="Diesel"/>
    <x v="0"/>
    <s v="36-50"/>
    <s v="Medium"/>
    <x v="1"/>
    <x v="3"/>
    <s v="Sales_7"/>
    <n v="349"/>
    <n v="161"/>
    <n v="98"/>
    <n v="24"/>
    <s v="14.91"/>
    <n v="28679"/>
    <s v="10.88"/>
    <n v="24719"/>
    <n v="688296"/>
    <n v="95040"/>
    <s v="Feb"/>
    <n v="2"/>
    <n v="2026"/>
    <s v="Weekday"/>
    <n v="0.24489795918367346"/>
    <n v="0.46131805157593125"/>
    <n v="6.8767908309455589E-2"/>
    <n v="3960"/>
    <s v="Autohaus Berlin"/>
  </r>
  <r>
    <s v="CUST_1316"/>
    <x v="20"/>
    <x v="0"/>
    <s v="Thursday"/>
    <s v="No"/>
    <x v="5"/>
    <x v="5"/>
    <s v="Hamburg"/>
    <x v="3"/>
    <s v="GLE"/>
    <s v="Electric"/>
    <x v="0"/>
    <s v="36-50"/>
    <s v="Medium"/>
    <x v="0"/>
    <x v="1"/>
    <s v="Sales_14"/>
    <n v="263"/>
    <n v="144"/>
    <n v="104"/>
    <n v="42"/>
    <s v="29.17"/>
    <n v="65330"/>
    <s v="5.1"/>
    <n v="49135"/>
    <n v="2743860"/>
    <n v="680190"/>
    <s v="Feb"/>
    <n v="2"/>
    <n v="2026"/>
    <s v="Weekday"/>
    <n v="0.40384615384615385"/>
    <n v="0.54752851711026618"/>
    <n v="0.1596958174904943"/>
    <n v="16195"/>
    <s v="Elbe Drive"/>
  </r>
  <r>
    <s v="CUST_1317"/>
    <x v="5"/>
    <x v="3"/>
    <s v="Saturday"/>
    <s v="Yes"/>
    <x v="5"/>
    <x v="5"/>
    <s v="Hamburg"/>
    <x v="1"/>
    <s v="Astra"/>
    <s v="Diesel"/>
    <x v="2"/>
    <s v="18-25"/>
    <s v="Medium"/>
    <x v="1"/>
    <x v="1"/>
    <s v="Sales_17"/>
    <n v="404"/>
    <n v="175"/>
    <n v="111"/>
    <n v="33"/>
    <s v="18.86"/>
    <n v="19539"/>
    <s v="11.97"/>
    <n v="17954"/>
    <n v="644787"/>
    <n v="52305"/>
    <s v="Feb"/>
    <n v="2"/>
    <n v="2026"/>
    <s v="Weekend"/>
    <n v="0.29729729729729731"/>
    <n v="0.43316831683168316"/>
    <n v="8.1683168316831686E-2"/>
    <n v="1585"/>
    <s v="Elbe Drive"/>
  </r>
  <r>
    <s v="CUST_1318"/>
    <x v="24"/>
    <x v="1"/>
    <s v="Thursday"/>
    <s v="No"/>
    <x v="5"/>
    <x v="5"/>
    <s v="Hamburg"/>
    <x v="4"/>
    <s v="T-Roc"/>
    <s v="Diesel"/>
    <x v="0"/>
    <s v="36-50"/>
    <s v="Low"/>
    <x v="1"/>
    <x v="3"/>
    <s v="Sales_18"/>
    <n v="394"/>
    <n v="214"/>
    <n v="146"/>
    <n v="37"/>
    <s v="17.29"/>
    <n v="28187"/>
    <s v="7.74"/>
    <n v="24572"/>
    <n v="1042919"/>
    <n v="133755"/>
    <s v="Feb"/>
    <n v="2"/>
    <n v="2026"/>
    <s v="Weekday"/>
    <n v="0.25342465753424659"/>
    <n v="0.54314720812182737"/>
    <n v="9.3908629441624369E-2"/>
    <n v="3615"/>
    <s v="Elbe Drive"/>
  </r>
  <r>
    <s v="CUST_1319"/>
    <x v="3"/>
    <x v="1"/>
    <s v="Sunday"/>
    <s v="Yes"/>
    <x v="4"/>
    <x v="4"/>
    <s v="Berlin"/>
    <x v="4"/>
    <s v="Golf"/>
    <s v="Hybrid"/>
    <x v="2"/>
    <s v="36-50"/>
    <s v="Medium"/>
    <x v="1"/>
    <x v="1"/>
    <s v="Sales_1"/>
    <n v="334"/>
    <n v="174"/>
    <n v="121"/>
    <n v="32"/>
    <s v="18.39"/>
    <n v="28847"/>
    <s v="6.05"/>
    <n v="24829"/>
    <n v="923104"/>
    <n v="128576"/>
    <s v="Feb"/>
    <n v="2"/>
    <n v="2026"/>
    <s v="Weekend"/>
    <n v="0.26446280991735538"/>
    <n v="0.52095808383233533"/>
    <n v="9.580838323353294E-2"/>
    <n v="4018"/>
    <s v="Autohaus Berlin"/>
  </r>
  <r>
    <s v="CUST_1320"/>
    <x v="18"/>
    <x v="0"/>
    <s v="Saturday"/>
    <s v="Yes"/>
    <x v="8"/>
    <x v="8"/>
    <s v="Baden-WÃ¼rttemberg"/>
    <x v="4"/>
    <s v="ID.4"/>
    <s v="Electric"/>
    <x v="0"/>
    <s v="18-25"/>
    <s v="High"/>
    <x v="0"/>
    <x v="0"/>
    <s v="Sales_5"/>
    <n v="267"/>
    <n v="120"/>
    <n v="78"/>
    <n v="19"/>
    <s v="15.83"/>
    <n v="29719"/>
    <s v="10.67"/>
    <n v="27030"/>
    <n v="564661"/>
    <n v="51091"/>
    <s v="Feb"/>
    <n v="2"/>
    <n v="2026"/>
    <s v="Weekend"/>
    <n v="0.24358974358974358"/>
    <n v="0.449438202247191"/>
    <n v="7.116104868913857E-2"/>
    <n v="2689"/>
    <s v="Stuttgart Auto Center"/>
  </r>
  <r>
    <s v="CUST_1321"/>
    <x v="23"/>
    <x v="2"/>
    <s v="Tuesday"/>
    <s v="No"/>
    <x v="6"/>
    <x v="6"/>
    <s v="Saxony"/>
    <x v="0"/>
    <s v="X5"/>
    <s v="Hybrid"/>
    <x v="0"/>
    <s v="26-35"/>
    <s v="High"/>
    <x v="1"/>
    <x v="1"/>
    <s v="Sales_2"/>
    <n v="219"/>
    <n v="106"/>
    <n v="73"/>
    <n v="30"/>
    <s v="28.3"/>
    <n v="61236"/>
    <s v="4.3"/>
    <n v="43938"/>
    <n v="1837080"/>
    <n v="518940"/>
    <s v="Feb"/>
    <n v="2"/>
    <n v="2026"/>
    <s v="Weekday"/>
    <n v="0.41095890410958902"/>
    <n v="0.48401826484018262"/>
    <n v="0.13698630136986301"/>
    <n v="17298"/>
    <s v="Leipzig Mobility"/>
  </r>
  <r>
    <s v="CUST_1322"/>
    <x v="20"/>
    <x v="0"/>
    <s v="Thursday"/>
    <s v="No"/>
    <x v="4"/>
    <x v="4"/>
    <s v="Berlin"/>
    <x v="0"/>
    <s v="X3"/>
    <s v="Electric"/>
    <x v="0"/>
    <s v="18-25"/>
    <s v="Low"/>
    <x v="0"/>
    <x v="1"/>
    <s v="Sales_2"/>
    <n v="152"/>
    <n v="91"/>
    <n v="69"/>
    <n v="29"/>
    <s v="31.87"/>
    <n v="57398"/>
    <s v="4.68"/>
    <n v="40647"/>
    <n v="1664542"/>
    <n v="485779"/>
    <s v="Feb"/>
    <n v="2"/>
    <n v="2026"/>
    <s v="Weekday"/>
    <n v="0.42028985507246375"/>
    <n v="0.59868421052631582"/>
    <n v="0.19078947368421054"/>
    <n v="16751"/>
    <s v="Autohaus Berlin"/>
  </r>
  <r>
    <s v="CUST_1323"/>
    <x v="7"/>
    <x v="3"/>
    <s v="Monday"/>
    <s v="No"/>
    <x v="2"/>
    <x v="2"/>
    <s v="Lower Saxony"/>
    <x v="1"/>
    <s v="Mokka"/>
    <s v="Petrol"/>
    <x v="0"/>
    <s v="36-50"/>
    <s v="High"/>
    <x v="0"/>
    <x v="0"/>
    <s v="Sales_2"/>
    <n v="226"/>
    <n v="87"/>
    <n v="59"/>
    <n v="11"/>
    <s v="12.64"/>
    <n v="23026"/>
    <s v="10.64"/>
    <n v="20991"/>
    <n v="253286"/>
    <n v="22385"/>
    <s v="Feb"/>
    <n v="2"/>
    <n v="2026"/>
    <s v="Weekday"/>
    <n v="0.1864406779661017"/>
    <n v="0.38495575221238937"/>
    <n v="4.8672566371681415E-2"/>
    <n v="2035"/>
    <s v="Hannover Cars"/>
  </r>
  <r>
    <s v="CUST_1324"/>
    <x v="0"/>
    <x v="0"/>
    <s v="Monday"/>
    <s v="No"/>
    <x v="2"/>
    <x v="2"/>
    <s v="Lower Saxony"/>
    <x v="0"/>
    <s v="i4"/>
    <s v="Diesel"/>
    <x v="1"/>
    <s v="18-25"/>
    <s v="Low"/>
    <x v="1"/>
    <x v="2"/>
    <s v="Sales_13"/>
    <n v="216"/>
    <n v="128"/>
    <n v="102"/>
    <n v="40"/>
    <s v="31.25"/>
    <n v="54908"/>
    <s v="5.96"/>
    <n v="42184"/>
    <n v="2196320"/>
    <n v="508960"/>
    <s v="Feb"/>
    <n v="2"/>
    <n v="2026"/>
    <s v="Weekday"/>
    <n v="0.39215686274509803"/>
    <n v="0.59259259259259256"/>
    <n v="0.18518518518518517"/>
    <n v="12724"/>
    <s v="Hannover Cars"/>
  </r>
  <r>
    <s v="CUST_1325"/>
    <x v="23"/>
    <x v="2"/>
    <s v="Tuesday"/>
    <s v="No"/>
    <x v="9"/>
    <x v="9"/>
    <s v="NRW"/>
    <x v="0"/>
    <s v="3 Series"/>
    <s v="Diesel"/>
    <x v="1"/>
    <s v="36-50"/>
    <s v="High"/>
    <x v="0"/>
    <x v="0"/>
    <s v="Sales_5"/>
    <n v="199"/>
    <n v="102"/>
    <n v="77"/>
    <n v="26"/>
    <s v="25.49"/>
    <n v="51989"/>
    <s v="4.26"/>
    <n v="38076"/>
    <n v="1351714"/>
    <n v="361738"/>
    <s v="Feb"/>
    <n v="2"/>
    <n v="2026"/>
    <s v="Weekday"/>
    <n v="0.33766233766233766"/>
    <n v="0.51256281407035176"/>
    <n v="0.1306532663316583"/>
    <n v="13913"/>
    <s v="Ruhr Auto Plaza"/>
  </r>
  <r>
    <s v="CUST_1326"/>
    <x v="16"/>
    <x v="1"/>
    <s v="Tuesday"/>
    <s v="No"/>
    <x v="8"/>
    <x v="8"/>
    <s v="Baden-WÃ¼rttemberg"/>
    <x v="4"/>
    <s v="Tiguan"/>
    <s v="Electric"/>
    <x v="0"/>
    <s v="50+"/>
    <s v="Medium"/>
    <x v="1"/>
    <x v="1"/>
    <s v="Sales_17"/>
    <n v="296"/>
    <n v="161"/>
    <n v="103"/>
    <n v="26"/>
    <s v="16.15"/>
    <n v="27721"/>
    <s v="11.94"/>
    <n v="24477"/>
    <n v="720746"/>
    <n v="84344"/>
    <s v="Feb"/>
    <n v="2"/>
    <n v="2026"/>
    <s v="Weekday"/>
    <n v="0.25242718446601942"/>
    <n v="0.54391891891891897"/>
    <n v="8.7837837837837843E-2"/>
    <n v="3244"/>
    <s v="Stuttgart Auto Center"/>
  </r>
  <r>
    <s v="CUST_1327"/>
    <x v="3"/>
    <x v="1"/>
    <s v="Sunday"/>
    <s v="Yes"/>
    <x v="1"/>
    <x v="1"/>
    <s v="NRW"/>
    <x v="4"/>
    <s v="ID.4"/>
    <s v="Diesel"/>
    <x v="0"/>
    <s v="50+"/>
    <s v="Low"/>
    <x v="0"/>
    <x v="2"/>
    <s v="Sales_7"/>
    <n v="469"/>
    <n v="205"/>
    <n v="132"/>
    <n v="39"/>
    <s v="19.02"/>
    <n v="32427"/>
    <s v="6.88"/>
    <n v="28756"/>
    <n v="1264653"/>
    <n v="143169"/>
    <s v="Feb"/>
    <n v="2"/>
    <n v="2026"/>
    <s v="Weekend"/>
    <n v="0.29545454545454547"/>
    <n v="0.43710021321961623"/>
    <n v="8.3155650319829424E-2"/>
    <n v="3671"/>
    <s v="Rhein Auto Group"/>
  </r>
  <r>
    <s v="CUST_1328"/>
    <x v="13"/>
    <x v="0"/>
    <s v="Friday"/>
    <s v="No"/>
    <x v="8"/>
    <x v="8"/>
    <s v="Baden-WÃ¼rttemberg"/>
    <x v="2"/>
    <s v="e-tron"/>
    <s v="Electric"/>
    <x v="0"/>
    <s v="26-35"/>
    <s v="Medium"/>
    <x v="0"/>
    <x v="2"/>
    <s v="Sales_7"/>
    <n v="301"/>
    <n v="181"/>
    <n v="135"/>
    <n v="49"/>
    <s v="27.07"/>
    <n v="49740"/>
    <s v="4.15"/>
    <n v="39127"/>
    <n v="2437260"/>
    <n v="520037"/>
    <s v="Feb"/>
    <n v="2"/>
    <n v="2026"/>
    <s v="Weekday"/>
    <n v="0.36296296296296299"/>
    <n v="0.6013289036544851"/>
    <n v="0.16279069767441862"/>
    <n v="10613"/>
    <s v="Stuttgart Auto Center"/>
  </r>
  <r>
    <s v="CUST_1329"/>
    <x v="4"/>
    <x v="2"/>
    <s v="Wednesday"/>
    <s v="No"/>
    <x v="2"/>
    <x v="2"/>
    <s v="Lower Saxony"/>
    <x v="1"/>
    <s v="Crossland"/>
    <s v="Diesel"/>
    <x v="0"/>
    <s v="26-35"/>
    <s v="Low"/>
    <x v="0"/>
    <x v="0"/>
    <s v="Sales_9"/>
    <n v="392"/>
    <n v="180"/>
    <n v="120"/>
    <n v="23"/>
    <s v="12.78"/>
    <n v="20527"/>
    <s v="8.2"/>
    <n v="18414"/>
    <n v="472121"/>
    <n v="48599"/>
    <s v="Feb"/>
    <n v="2"/>
    <n v="2026"/>
    <s v="Weekday"/>
    <n v="0.19166666666666668"/>
    <n v="0.45918367346938777"/>
    <n v="5.8673469387755105E-2"/>
    <n v="2113"/>
    <s v="Hannover Cars"/>
  </r>
  <r>
    <s v="CUST_1330"/>
    <x v="26"/>
    <x v="1"/>
    <s v="Friday"/>
    <s v="No"/>
    <x v="4"/>
    <x v="4"/>
    <s v="Berlin"/>
    <x v="1"/>
    <s v="Corsa"/>
    <s v="Petrol"/>
    <x v="2"/>
    <s v="36-50"/>
    <s v="High"/>
    <x v="1"/>
    <x v="2"/>
    <s v="Sales_5"/>
    <n v="409"/>
    <n v="179"/>
    <n v="101"/>
    <n v="33"/>
    <s v="18.44"/>
    <n v="26599"/>
    <s v="9.7"/>
    <n v="24093"/>
    <n v="877767"/>
    <n v="82698"/>
    <s v="Feb"/>
    <n v="2"/>
    <n v="2026"/>
    <s v="Weekday"/>
    <n v="0.32673267326732675"/>
    <n v="0.43765281173594134"/>
    <n v="8.0684596577017112E-2"/>
    <n v="2506"/>
    <s v="Autohaus Berlin"/>
  </r>
  <r>
    <s v="CUST_1331"/>
    <x v="6"/>
    <x v="2"/>
    <s v="Saturday"/>
    <s v="Yes"/>
    <x v="2"/>
    <x v="2"/>
    <s v="Lower Saxony"/>
    <x v="3"/>
    <s v="C-Class"/>
    <s v="Electric"/>
    <x v="1"/>
    <s v="50+"/>
    <s v="Medium"/>
    <x v="1"/>
    <x v="3"/>
    <s v="Sales_3"/>
    <n v="231"/>
    <n v="107"/>
    <n v="74"/>
    <n v="23"/>
    <s v="21.5"/>
    <n v="57377"/>
    <s v="4.64"/>
    <n v="45200"/>
    <n v="1319671"/>
    <n v="280071"/>
    <s v="Feb"/>
    <n v="2"/>
    <n v="2026"/>
    <s v="Weekend"/>
    <n v="0.3108108108108108"/>
    <n v="0.46320346320346323"/>
    <n v="9.9567099567099568E-2"/>
    <n v="12177"/>
    <s v="Hannover Cars"/>
  </r>
  <r>
    <s v="CUST_1332"/>
    <x v="5"/>
    <x v="3"/>
    <s v="Saturday"/>
    <s v="Yes"/>
    <x v="3"/>
    <x v="3"/>
    <s v="Saxony"/>
    <x v="3"/>
    <s v="GLC"/>
    <s v="Petrol"/>
    <x v="0"/>
    <s v="26-35"/>
    <s v="Low"/>
    <x v="0"/>
    <x v="1"/>
    <s v="Sales_5"/>
    <n v="157"/>
    <n v="78"/>
    <n v="62"/>
    <n v="18"/>
    <s v="23.08"/>
    <n v="53187"/>
    <s v="2.96"/>
    <n v="42016"/>
    <n v="957366"/>
    <n v="201078"/>
    <s v="Feb"/>
    <n v="2"/>
    <n v="2026"/>
    <s v="Weekend"/>
    <n v="0.29032258064516131"/>
    <n v="0.49681528662420382"/>
    <n v="0.11464968152866242"/>
    <n v="11171"/>
    <s v="Saxon Wheels"/>
  </r>
  <r>
    <s v="CUST_1333"/>
    <x v="11"/>
    <x v="0"/>
    <s v="Wednesday"/>
    <s v="No"/>
    <x v="7"/>
    <x v="7"/>
    <s v="Bavaria"/>
    <x v="0"/>
    <s v="3 Series"/>
    <s v="Hybrid"/>
    <x v="1"/>
    <s v="18-25"/>
    <s v="Medium"/>
    <x v="1"/>
    <x v="0"/>
    <s v="Sales_2"/>
    <n v="159"/>
    <n v="72"/>
    <n v="51"/>
    <n v="19"/>
    <s v="26.39"/>
    <n v="59773"/>
    <s v="2.14"/>
    <n v="43450"/>
    <n v="1135687"/>
    <n v="310137"/>
    <s v="Feb"/>
    <n v="2"/>
    <n v="2026"/>
    <s v="Weekday"/>
    <n v="0.37254901960784315"/>
    <n v="0.45283018867924529"/>
    <n v="0.11949685534591195"/>
    <n v="16323"/>
    <s v="Bavaria Motors"/>
  </r>
  <r>
    <s v="CUST_1334"/>
    <x v="19"/>
    <x v="1"/>
    <s v="Saturday"/>
    <s v="Yes"/>
    <x v="4"/>
    <x v="4"/>
    <s v="Berlin"/>
    <x v="2"/>
    <s v="Q3"/>
    <s v="Diesel"/>
    <x v="0"/>
    <s v="36-50"/>
    <s v="High"/>
    <x v="1"/>
    <x v="3"/>
    <s v="Sales_18"/>
    <n v="217"/>
    <n v="122"/>
    <n v="91"/>
    <n v="25"/>
    <s v="20.49"/>
    <n v="49672"/>
    <s v="3.66"/>
    <n v="39027"/>
    <n v="1241800"/>
    <n v="266125"/>
    <s v="Feb"/>
    <n v="2"/>
    <n v="2026"/>
    <s v="Weekend"/>
    <n v="0.27472527472527475"/>
    <n v="0.56221198156682028"/>
    <n v="0.1152073732718894"/>
    <n v="10645"/>
    <s v="Autohaus Berlin"/>
  </r>
  <r>
    <s v="CUST_1335"/>
    <x v="15"/>
    <x v="2"/>
    <s v="Thursday"/>
    <s v="No"/>
    <x v="6"/>
    <x v="6"/>
    <s v="Saxony"/>
    <x v="2"/>
    <s v="Q3"/>
    <s v="Hybrid"/>
    <x v="0"/>
    <s v="36-50"/>
    <s v="Low"/>
    <x v="0"/>
    <x v="1"/>
    <s v="Sales_15"/>
    <n v="205"/>
    <n v="123"/>
    <n v="93"/>
    <n v="30"/>
    <s v="24.39"/>
    <n v="50276"/>
    <s v="6.35"/>
    <n v="38592"/>
    <n v="1508280"/>
    <n v="350520"/>
    <s v="Feb"/>
    <n v="2"/>
    <n v="2026"/>
    <s v="Weekday"/>
    <n v="0.32258064516129031"/>
    <n v="0.6"/>
    <n v="0.14634146341463414"/>
    <n v="11684"/>
    <s v="Leipzig Mobility"/>
  </r>
  <r>
    <s v="CUST_1336"/>
    <x v="7"/>
    <x v="3"/>
    <s v="Monday"/>
    <s v="No"/>
    <x v="7"/>
    <x v="7"/>
    <s v="Bavaria"/>
    <x v="3"/>
    <s v="E-Class"/>
    <s v="Petrol"/>
    <x v="1"/>
    <s v="26-35"/>
    <s v="High"/>
    <x v="1"/>
    <x v="0"/>
    <s v="Sales_11"/>
    <n v="243"/>
    <n v="122"/>
    <n v="92"/>
    <n v="32"/>
    <s v="26.23"/>
    <n v="63180"/>
    <s v="5.98"/>
    <n v="46958"/>
    <n v="2021760"/>
    <n v="519104"/>
    <s v="Feb"/>
    <n v="2"/>
    <n v="2026"/>
    <s v="Weekday"/>
    <n v="0.34782608695652173"/>
    <n v="0.50205761316872433"/>
    <n v="0.13168724279835392"/>
    <n v="16222"/>
    <s v="Bavaria Motors"/>
  </r>
  <r>
    <s v="CUST_1337"/>
    <x v="3"/>
    <x v="1"/>
    <s v="Sunday"/>
    <s v="Yes"/>
    <x v="1"/>
    <x v="1"/>
    <s v="NRW"/>
    <x v="2"/>
    <s v="Q5"/>
    <s v="Diesel"/>
    <x v="0"/>
    <s v="26-35"/>
    <s v="Low"/>
    <x v="0"/>
    <x v="2"/>
    <s v="Sales_8"/>
    <n v="247"/>
    <n v="137"/>
    <n v="88"/>
    <n v="32"/>
    <s v="23.36"/>
    <n v="47551"/>
    <s v="3.22"/>
    <n v="36488"/>
    <n v="1521632"/>
    <n v="354016"/>
    <s v="Feb"/>
    <n v="2"/>
    <n v="2026"/>
    <s v="Weekend"/>
    <n v="0.36363636363636365"/>
    <n v="0.55465587044534415"/>
    <n v="0.12955465587044535"/>
    <n v="11063"/>
    <s v="Rhein Auto Group"/>
  </r>
  <r>
    <s v="CUST_1338"/>
    <x v="2"/>
    <x v="2"/>
    <s v="Monday"/>
    <s v="No"/>
    <x v="1"/>
    <x v="1"/>
    <s v="NRW"/>
    <x v="3"/>
    <s v="E-Class"/>
    <s v="Hybrid"/>
    <x v="1"/>
    <s v="50+"/>
    <s v="Low"/>
    <x v="0"/>
    <x v="1"/>
    <s v="Sales_4"/>
    <n v="166"/>
    <n v="80"/>
    <n v="54"/>
    <n v="22"/>
    <s v="27.5"/>
    <n v="59293"/>
    <s v="5.63"/>
    <n v="45467"/>
    <n v="1304446"/>
    <n v="304172"/>
    <s v="Feb"/>
    <n v="2"/>
    <n v="2026"/>
    <s v="Weekday"/>
    <n v="0.40740740740740738"/>
    <n v="0.48192771084337349"/>
    <n v="0.13253012048192772"/>
    <n v="13826"/>
    <s v="Rhein Auto Group"/>
  </r>
  <r>
    <s v="CUST_1339"/>
    <x v="18"/>
    <x v="0"/>
    <s v="Saturday"/>
    <s v="Yes"/>
    <x v="7"/>
    <x v="7"/>
    <s v="Bavaria"/>
    <x v="4"/>
    <s v="Passat"/>
    <s v="Diesel"/>
    <x v="1"/>
    <s v="36-50"/>
    <s v="Medium"/>
    <x v="1"/>
    <x v="1"/>
    <s v="Sales_20"/>
    <n v="381"/>
    <n v="159"/>
    <n v="100"/>
    <n v="26"/>
    <s v="16.35"/>
    <n v="28742"/>
    <s v="11.69"/>
    <n v="26123"/>
    <n v="747292"/>
    <n v="68094"/>
    <s v="Feb"/>
    <n v="2"/>
    <n v="2026"/>
    <s v="Weekend"/>
    <n v="0.26"/>
    <n v="0.41732283464566927"/>
    <n v="6.8241469816272965E-2"/>
    <n v="2619"/>
    <s v="Bavaria Motors"/>
  </r>
  <r>
    <s v="CUST_1340"/>
    <x v="9"/>
    <x v="0"/>
    <s v="Sunday"/>
    <s v="Yes"/>
    <x v="4"/>
    <x v="4"/>
    <s v="Berlin"/>
    <x v="0"/>
    <s v="i4"/>
    <s v="Diesel"/>
    <x v="1"/>
    <s v="26-35"/>
    <s v="Medium"/>
    <x v="1"/>
    <x v="3"/>
    <s v="Sales_13"/>
    <n v="192"/>
    <n v="107"/>
    <n v="73"/>
    <n v="31"/>
    <s v="28.97"/>
    <n v="61765"/>
    <s v="4.69"/>
    <n v="48005"/>
    <n v="1914715"/>
    <n v="426560"/>
    <s v="Feb"/>
    <n v="2"/>
    <n v="2026"/>
    <s v="Weekend"/>
    <n v="0.42465753424657532"/>
    <n v="0.55729166666666663"/>
    <n v="0.16145833333333334"/>
    <n v="13760"/>
    <s v="Autohaus Berlin"/>
  </r>
  <r>
    <s v="CUST_1341"/>
    <x v="15"/>
    <x v="2"/>
    <s v="Thursday"/>
    <s v="No"/>
    <x v="8"/>
    <x v="8"/>
    <s v="Baden-WÃ¼rttemberg"/>
    <x v="3"/>
    <s v="C-Class"/>
    <s v="Hybrid"/>
    <x v="1"/>
    <s v="18-25"/>
    <s v="Medium"/>
    <x v="0"/>
    <x v="3"/>
    <s v="Sales_19"/>
    <n v="199"/>
    <n v="93"/>
    <n v="63"/>
    <n v="21"/>
    <s v="22.58"/>
    <n v="54070"/>
    <s v="3.85"/>
    <n v="40610"/>
    <n v="1135470"/>
    <n v="282660"/>
    <s v="Feb"/>
    <n v="2"/>
    <n v="2026"/>
    <s v="Weekday"/>
    <n v="0.33333333333333331"/>
    <n v="0.46733668341708545"/>
    <n v="0.10552763819095477"/>
    <n v="13460"/>
    <s v="Stuttgart Auto Center"/>
  </r>
  <r>
    <s v="CUST_1342"/>
    <x v="12"/>
    <x v="3"/>
    <s v="Thursday"/>
    <s v="No"/>
    <x v="7"/>
    <x v="7"/>
    <s v="Bavaria"/>
    <x v="3"/>
    <s v="GLE"/>
    <s v="Electric"/>
    <x v="0"/>
    <s v="26-35"/>
    <s v="Medium"/>
    <x v="0"/>
    <x v="2"/>
    <s v="Sales_13"/>
    <n v="189"/>
    <n v="90"/>
    <n v="70"/>
    <n v="28"/>
    <s v="31.11"/>
    <n v="59284"/>
    <s v="3.65"/>
    <n v="44977"/>
    <n v="1659952"/>
    <n v="400596"/>
    <s v="Feb"/>
    <n v="2"/>
    <n v="2026"/>
    <s v="Weekday"/>
    <n v="0.4"/>
    <n v="0.47619047619047616"/>
    <n v="0.14814814814814814"/>
    <n v="14307"/>
    <s v="Bavaria Motors"/>
  </r>
  <r>
    <s v="CUST_1343"/>
    <x v="22"/>
    <x v="3"/>
    <s v="Tuesday"/>
    <s v="No"/>
    <x v="2"/>
    <x v="2"/>
    <s v="Lower Saxony"/>
    <x v="0"/>
    <s v="3 Series"/>
    <s v="Electric"/>
    <x v="1"/>
    <s v="50+"/>
    <s v="High"/>
    <x v="0"/>
    <x v="2"/>
    <s v="Sales_2"/>
    <n v="256"/>
    <n v="156"/>
    <n v="120"/>
    <n v="47"/>
    <s v="30.13"/>
    <n v="62437"/>
    <s v="5.43"/>
    <n v="43836"/>
    <n v="2934539"/>
    <n v="874247"/>
    <s v="Feb"/>
    <n v="2"/>
    <n v="2026"/>
    <s v="Weekday"/>
    <n v="0.39166666666666666"/>
    <n v="0.609375"/>
    <n v="0.18359375"/>
    <n v="18601"/>
    <s v="Hannover Cars"/>
  </r>
  <r>
    <s v="CUST_1344"/>
    <x v="0"/>
    <x v="0"/>
    <s v="Monday"/>
    <s v="No"/>
    <x v="4"/>
    <x v="4"/>
    <s v="Berlin"/>
    <x v="3"/>
    <s v="E-Class"/>
    <s v="Hybrid"/>
    <x v="1"/>
    <s v="36-50"/>
    <s v="High"/>
    <x v="0"/>
    <x v="1"/>
    <s v="Sales_19"/>
    <n v="245"/>
    <n v="118"/>
    <n v="86"/>
    <n v="33"/>
    <s v="27.97"/>
    <n v="49832"/>
    <s v="5.41"/>
    <n v="36994"/>
    <n v="1644456"/>
    <n v="423654"/>
    <s v="Feb"/>
    <n v="2"/>
    <n v="2026"/>
    <s v="Weekday"/>
    <n v="0.38372093023255816"/>
    <n v="0.48163265306122449"/>
    <n v="0.13469387755102041"/>
    <n v="12838"/>
    <s v="Autohaus Berlin"/>
  </r>
  <r>
    <s v="CUST_1345"/>
    <x v="22"/>
    <x v="3"/>
    <s v="Tuesday"/>
    <s v="No"/>
    <x v="2"/>
    <x v="2"/>
    <s v="Lower Saxony"/>
    <x v="3"/>
    <s v="C-Class"/>
    <s v="Electric"/>
    <x v="1"/>
    <s v="36-50"/>
    <s v="Low"/>
    <x v="1"/>
    <x v="0"/>
    <s v="Sales_1"/>
    <n v="243"/>
    <n v="115"/>
    <n v="83"/>
    <n v="28"/>
    <s v="24.35"/>
    <n v="68524"/>
    <s v="5.12"/>
    <n v="51648"/>
    <n v="1918672"/>
    <n v="472528"/>
    <s v="Feb"/>
    <n v="2"/>
    <n v="2026"/>
    <s v="Weekday"/>
    <n v="0.33734939759036142"/>
    <n v="0.47325102880658437"/>
    <n v="0.11522633744855967"/>
    <n v="16876"/>
    <s v="Hannover Cars"/>
  </r>
  <r>
    <s v="CUST_1346"/>
    <x v="5"/>
    <x v="3"/>
    <s v="Saturday"/>
    <s v="Yes"/>
    <x v="5"/>
    <x v="5"/>
    <s v="Hamburg"/>
    <x v="0"/>
    <s v="i4"/>
    <s v="Electric"/>
    <x v="1"/>
    <s v="50+"/>
    <s v="Medium"/>
    <x v="0"/>
    <x v="3"/>
    <s v="Sales_9"/>
    <n v="173"/>
    <n v="106"/>
    <n v="72"/>
    <n v="30"/>
    <s v="28.3"/>
    <n v="60041"/>
    <s v="2.22"/>
    <n v="46456"/>
    <n v="1801230"/>
    <n v="407550"/>
    <s v="Feb"/>
    <n v="2"/>
    <n v="2026"/>
    <s v="Weekend"/>
    <n v="0.41666666666666669"/>
    <n v="0.61271676300578037"/>
    <n v="0.17341040462427745"/>
    <n v="13585"/>
    <s v="Elbe Drive"/>
  </r>
  <r>
    <s v="CUST_1347"/>
    <x v="23"/>
    <x v="2"/>
    <s v="Tuesday"/>
    <s v="No"/>
    <x v="3"/>
    <x v="3"/>
    <s v="Saxony"/>
    <x v="0"/>
    <s v="X3"/>
    <s v="Hybrid"/>
    <x v="0"/>
    <s v="50+"/>
    <s v="Medium"/>
    <x v="0"/>
    <x v="2"/>
    <s v="Sales_6"/>
    <n v="141"/>
    <n v="79"/>
    <n v="54"/>
    <n v="23"/>
    <s v="29.11"/>
    <n v="57809"/>
    <s v="3.92"/>
    <n v="41337"/>
    <n v="1329607"/>
    <n v="378856"/>
    <s v="Feb"/>
    <n v="2"/>
    <n v="2026"/>
    <s v="Weekday"/>
    <n v="0.42592592592592593"/>
    <n v="0.56028368794326244"/>
    <n v="0.16312056737588654"/>
    <n v="16472"/>
    <s v="Saxon Wheels"/>
  </r>
  <r>
    <s v="CUST_1348"/>
    <x v="17"/>
    <x v="2"/>
    <s v="Sunday"/>
    <s v="Yes"/>
    <x v="5"/>
    <x v="5"/>
    <s v="Hamburg"/>
    <x v="2"/>
    <s v="A4"/>
    <s v="Petrol"/>
    <x v="1"/>
    <s v="36-50"/>
    <s v="Low"/>
    <x v="1"/>
    <x v="3"/>
    <s v="Sales_13"/>
    <n v="263"/>
    <n v="156"/>
    <n v="108"/>
    <n v="31"/>
    <s v="19.87"/>
    <n v="46253"/>
    <s v="5.79"/>
    <n v="37261"/>
    <n v="1433843"/>
    <n v="278752"/>
    <s v="Feb"/>
    <n v="2"/>
    <n v="2026"/>
    <s v="Weekend"/>
    <n v="0.28703703703703703"/>
    <n v="0.59315589353612164"/>
    <n v="0.11787072243346007"/>
    <n v="8992"/>
    <s v="Elbe Drive"/>
  </r>
  <r>
    <s v="CUST_1349"/>
    <x v="5"/>
    <x v="3"/>
    <s v="Saturday"/>
    <s v="Yes"/>
    <x v="6"/>
    <x v="6"/>
    <s v="Saxony"/>
    <x v="4"/>
    <s v="T-Roc"/>
    <s v="Hybrid"/>
    <x v="0"/>
    <s v="36-50"/>
    <s v="Low"/>
    <x v="0"/>
    <x v="0"/>
    <s v="Sales_6"/>
    <n v="412"/>
    <n v="237"/>
    <n v="160"/>
    <n v="28"/>
    <s v="11.81"/>
    <n v="32709"/>
    <s v="10.21"/>
    <n v="29595"/>
    <n v="915852"/>
    <n v="87192"/>
    <s v="Feb"/>
    <n v="2"/>
    <n v="2026"/>
    <s v="Weekend"/>
    <n v="0.17499999999999999"/>
    <n v="0.57524271844660191"/>
    <n v="6.7961165048543687E-2"/>
    <n v="3114"/>
    <s v="Leipzig Mobility"/>
  </r>
  <r>
    <s v="CUST_1350"/>
    <x v="2"/>
    <x v="2"/>
    <s v="Monday"/>
    <s v="No"/>
    <x v="5"/>
    <x v="5"/>
    <s v="Hamburg"/>
    <x v="2"/>
    <s v="A3"/>
    <s v="Diesel"/>
    <x v="2"/>
    <s v="18-25"/>
    <s v="Medium"/>
    <x v="1"/>
    <x v="2"/>
    <s v="Sales_19"/>
    <n v="203"/>
    <n v="102"/>
    <n v="66"/>
    <n v="28"/>
    <s v="27.45"/>
    <n v="49311"/>
    <s v="5.11"/>
    <n v="37176"/>
    <n v="1380708"/>
    <n v="339780"/>
    <s v="Feb"/>
    <n v="2"/>
    <n v="2026"/>
    <s v="Weekday"/>
    <n v="0.42424242424242425"/>
    <n v="0.50246305418719217"/>
    <n v="0.13793103448275862"/>
    <n v="12135"/>
    <s v="Elbe Drive"/>
  </r>
  <r>
    <s v="CUST_1351"/>
    <x v="25"/>
    <x v="3"/>
    <s v="Friday"/>
    <s v="No"/>
    <x v="1"/>
    <x v="1"/>
    <s v="NRW"/>
    <x v="4"/>
    <s v="Golf"/>
    <s v="Hybrid"/>
    <x v="2"/>
    <s v="36-50"/>
    <s v="Medium"/>
    <x v="0"/>
    <x v="1"/>
    <s v="Sales_4"/>
    <n v="432"/>
    <n v="191"/>
    <n v="124"/>
    <n v="37"/>
    <s v="19.37"/>
    <n v="29179"/>
    <s v="9.57"/>
    <n v="25290"/>
    <n v="1079623"/>
    <n v="143893"/>
    <s v="Feb"/>
    <n v="2"/>
    <n v="2026"/>
    <s v="Weekday"/>
    <n v="0.29838709677419356"/>
    <n v="0.44212962962962965"/>
    <n v="8.5648148148148154E-2"/>
    <n v="3889"/>
    <s v="Rhein Auto Group"/>
  </r>
  <r>
    <s v="CUST_1352"/>
    <x v="8"/>
    <x v="3"/>
    <s v="Wednesday"/>
    <s v="No"/>
    <x v="0"/>
    <x v="0"/>
    <s v="Hesse"/>
    <x v="1"/>
    <s v="Grandland"/>
    <s v="Electric"/>
    <x v="0"/>
    <s v="26-35"/>
    <s v="Medium"/>
    <x v="0"/>
    <x v="0"/>
    <s v="Sales_15"/>
    <n v="343"/>
    <n v="142"/>
    <n v="94"/>
    <n v="18"/>
    <s v="12.68"/>
    <n v="21475"/>
    <s v="7.49"/>
    <n v="19849"/>
    <n v="386550"/>
    <n v="29268"/>
    <s v="Feb"/>
    <n v="2"/>
    <n v="2026"/>
    <s v="Weekday"/>
    <n v="0.19148936170212766"/>
    <n v="0.4139941690962099"/>
    <n v="5.2478134110787174E-2"/>
    <n v="1626"/>
    <s v="Main Auto Hub"/>
  </r>
  <r>
    <s v="CUST_1353"/>
    <x v="23"/>
    <x v="2"/>
    <s v="Tuesday"/>
    <s v="No"/>
    <x v="4"/>
    <x v="4"/>
    <s v="Berlin"/>
    <x v="1"/>
    <s v="Grandland"/>
    <s v="Petrol"/>
    <x v="0"/>
    <s v="26-35"/>
    <s v="Low"/>
    <x v="0"/>
    <x v="0"/>
    <s v="Sales_7"/>
    <n v="355"/>
    <n v="158"/>
    <n v="108"/>
    <n v="23"/>
    <s v="14.56"/>
    <n v="21082"/>
    <s v="7.95"/>
    <n v="19550"/>
    <n v="484886"/>
    <n v="35236"/>
    <s v="Feb"/>
    <n v="2"/>
    <n v="2026"/>
    <s v="Weekday"/>
    <n v="0.21296296296296297"/>
    <n v="0.44507042253521129"/>
    <n v="6.4788732394366194E-2"/>
    <n v="1532"/>
    <s v="Autohaus Berlin"/>
  </r>
  <r>
    <s v="CUST_1354"/>
    <x v="10"/>
    <x v="1"/>
    <s v="Monday"/>
    <s v="No"/>
    <x v="1"/>
    <x v="1"/>
    <s v="NRW"/>
    <x v="4"/>
    <s v="T-Roc"/>
    <s v="Electric"/>
    <x v="0"/>
    <s v="26-35"/>
    <s v="Low"/>
    <x v="1"/>
    <x v="1"/>
    <s v="Sales_2"/>
    <n v="501"/>
    <n v="255"/>
    <n v="148"/>
    <n v="44"/>
    <s v="17.25"/>
    <n v="27097"/>
    <s v="9.67"/>
    <n v="24551"/>
    <n v="1192268"/>
    <n v="112024"/>
    <s v="Feb"/>
    <n v="2"/>
    <n v="2026"/>
    <s v="Weekday"/>
    <n v="0.29729729729729731"/>
    <n v="0.50898203592814373"/>
    <n v="8.7824351297405193E-2"/>
    <n v="2546"/>
    <s v="Rhein Auto Group"/>
  </r>
  <r>
    <s v="CUST_1355"/>
    <x v="13"/>
    <x v="0"/>
    <s v="Friday"/>
    <s v="No"/>
    <x v="1"/>
    <x v="1"/>
    <s v="NRW"/>
    <x v="3"/>
    <s v="EQE"/>
    <s v="Petrol"/>
    <x v="1"/>
    <s v="18-25"/>
    <s v="Low"/>
    <x v="0"/>
    <x v="1"/>
    <s v="Sales_20"/>
    <n v="168"/>
    <n v="91"/>
    <n v="63"/>
    <n v="25"/>
    <s v="27.47"/>
    <n v="66405"/>
    <s v="5.72"/>
    <n v="50597"/>
    <n v="1660125"/>
    <n v="395200"/>
    <s v="Feb"/>
    <n v="2"/>
    <n v="2026"/>
    <s v="Weekday"/>
    <n v="0.3968253968253968"/>
    <n v="0.54166666666666663"/>
    <n v="0.14880952380952381"/>
    <n v="15808"/>
    <s v="Rhein Auto Group"/>
  </r>
  <r>
    <s v="CUST_1356"/>
    <x v="24"/>
    <x v="1"/>
    <s v="Thursday"/>
    <s v="No"/>
    <x v="0"/>
    <x v="0"/>
    <s v="Hesse"/>
    <x v="0"/>
    <s v="X3"/>
    <s v="Diesel"/>
    <x v="0"/>
    <s v="50+"/>
    <s v="Medium"/>
    <x v="0"/>
    <x v="1"/>
    <s v="Sales_15"/>
    <n v="278"/>
    <n v="131"/>
    <n v="91"/>
    <n v="38"/>
    <s v="29.01"/>
    <n v="57029"/>
    <s v="3.16"/>
    <n v="42396"/>
    <n v="2167102"/>
    <n v="556054"/>
    <s v="Feb"/>
    <n v="2"/>
    <n v="2026"/>
    <s v="Weekday"/>
    <n v="0.4175824175824176"/>
    <n v="0.47122302158273383"/>
    <n v="0.1366906474820144"/>
    <n v="14633"/>
    <s v="Main Auto Hub"/>
  </r>
  <r>
    <s v="CUST_1357"/>
    <x v="7"/>
    <x v="3"/>
    <s v="Monday"/>
    <s v="No"/>
    <x v="0"/>
    <x v="0"/>
    <s v="Hesse"/>
    <x v="3"/>
    <s v="C-Class"/>
    <s v="Diesel"/>
    <x v="1"/>
    <s v="26-35"/>
    <s v="Medium"/>
    <x v="1"/>
    <x v="1"/>
    <s v="Sales_19"/>
    <n v="188"/>
    <n v="102"/>
    <n v="70"/>
    <n v="23"/>
    <s v="22.55"/>
    <n v="71757"/>
    <s v="3.11"/>
    <n v="51151"/>
    <n v="1650411"/>
    <n v="473938"/>
    <s v="Feb"/>
    <n v="2"/>
    <n v="2026"/>
    <s v="Weekday"/>
    <n v="0.32857142857142857"/>
    <n v="0.54255319148936165"/>
    <n v="0.12234042553191489"/>
    <n v="20606"/>
    <s v="Main Auto Hub"/>
  </r>
  <r>
    <s v="CUST_1358"/>
    <x v="3"/>
    <x v="1"/>
    <s v="Sunday"/>
    <s v="Yes"/>
    <x v="0"/>
    <x v="0"/>
    <s v="Hesse"/>
    <x v="2"/>
    <s v="e-tron"/>
    <s v="Diesel"/>
    <x v="0"/>
    <s v="50+"/>
    <s v="Low"/>
    <x v="1"/>
    <x v="2"/>
    <s v="Sales_6"/>
    <n v="165"/>
    <n v="77"/>
    <n v="58"/>
    <n v="20"/>
    <s v="25.97"/>
    <n v="44319"/>
    <s v="3.69"/>
    <n v="35813"/>
    <n v="886380"/>
    <n v="170120"/>
    <s v="Feb"/>
    <n v="2"/>
    <n v="2026"/>
    <s v="Weekend"/>
    <n v="0.34482758620689657"/>
    <n v="0.46666666666666667"/>
    <n v="0.12121212121212122"/>
    <n v="8506"/>
    <s v="Main Auto Hub"/>
  </r>
  <r>
    <s v="CUST_1359"/>
    <x v="2"/>
    <x v="2"/>
    <s v="Monday"/>
    <s v="No"/>
    <x v="4"/>
    <x v="4"/>
    <s v="Berlin"/>
    <x v="4"/>
    <s v="ID.4"/>
    <s v="Electric"/>
    <x v="0"/>
    <s v="26-35"/>
    <s v="Medium"/>
    <x v="1"/>
    <x v="3"/>
    <s v="Sales_5"/>
    <n v="335"/>
    <n v="166"/>
    <n v="109"/>
    <n v="25"/>
    <s v="15.06"/>
    <n v="26897"/>
    <s v="10.04"/>
    <n v="23977"/>
    <n v="672425"/>
    <n v="73000"/>
    <s v="Feb"/>
    <n v="2"/>
    <n v="2026"/>
    <s v="Weekday"/>
    <n v="0.22935779816513763"/>
    <n v="0.4955223880597015"/>
    <n v="7.4626865671641784E-2"/>
    <n v="2920"/>
    <s v="Autohaus Berlin"/>
  </r>
  <r>
    <s v="CUST_1360"/>
    <x v="8"/>
    <x v="3"/>
    <s v="Wednesday"/>
    <s v="No"/>
    <x v="8"/>
    <x v="8"/>
    <s v="Baden-WÃ¼rttemberg"/>
    <x v="4"/>
    <s v="Tiguan"/>
    <s v="Electric"/>
    <x v="0"/>
    <s v="50+"/>
    <s v="High"/>
    <x v="0"/>
    <x v="3"/>
    <s v="Sales_14"/>
    <n v="338"/>
    <n v="142"/>
    <n v="83"/>
    <n v="22"/>
    <s v="15.49"/>
    <n v="32584"/>
    <s v="11.38"/>
    <n v="28236"/>
    <n v="716848"/>
    <n v="95656"/>
    <s v="Feb"/>
    <n v="2"/>
    <n v="2026"/>
    <s v="Weekday"/>
    <n v="0.26506024096385544"/>
    <n v="0.42011834319526625"/>
    <n v="6.5088757396449703E-2"/>
    <n v="4348"/>
    <s v="Stuttgart Auto Center"/>
  </r>
  <r>
    <s v="CUST_1361"/>
    <x v="24"/>
    <x v="1"/>
    <s v="Thursday"/>
    <s v="No"/>
    <x v="7"/>
    <x v="7"/>
    <s v="Bavaria"/>
    <x v="1"/>
    <s v="Mokka"/>
    <s v="Hybrid"/>
    <x v="0"/>
    <s v="18-25"/>
    <s v="High"/>
    <x v="1"/>
    <x v="2"/>
    <s v="Sales_18"/>
    <n v="409"/>
    <n v="224"/>
    <n v="132"/>
    <n v="49"/>
    <s v="21.88"/>
    <n v="26027"/>
    <s v="8.04"/>
    <n v="23832"/>
    <n v="1275323"/>
    <n v="107555"/>
    <s v="Feb"/>
    <n v="2"/>
    <n v="2026"/>
    <s v="Weekday"/>
    <n v="0.37121212121212122"/>
    <n v="0.5476772616136919"/>
    <n v="0.11980440097799511"/>
    <n v="2195"/>
    <s v="Bavaria Motors"/>
  </r>
  <r>
    <s v="CUST_1362"/>
    <x v="10"/>
    <x v="1"/>
    <s v="Monday"/>
    <s v="No"/>
    <x v="3"/>
    <x v="3"/>
    <s v="Saxony"/>
    <x v="2"/>
    <s v="e-tron"/>
    <s v="Petrol"/>
    <x v="0"/>
    <s v="36-50"/>
    <s v="Low"/>
    <x v="1"/>
    <x v="0"/>
    <s v="Sales_20"/>
    <n v="312"/>
    <n v="161"/>
    <n v="114"/>
    <n v="33"/>
    <s v="20.5"/>
    <n v="55246"/>
    <s v="3.13"/>
    <n v="41817"/>
    <n v="1823118"/>
    <n v="443157"/>
    <s v="Feb"/>
    <n v="2"/>
    <n v="2026"/>
    <s v="Weekday"/>
    <n v="0.28947368421052633"/>
    <n v="0.51602564102564108"/>
    <n v="0.10576923076923077"/>
    <n v="13429"/>
    <s v="Saxon Wheels"/>
  </r>
  <r>
    <s v="CUST_1363"/>
    <x v="3"/>
    <x v="1"/>
    <s v="Sunday"/>
    <s v="Yes"/>
    <x v="9"/>
    <x v="9"/>
    <s v="NRW"/>
    <x v="1"/>
    <s v="Corsa"/>
    <s v="Hybrid"/>
    <x v="2"/>
    <s v="36-50"/>
    <s v="Medium"/>
    <x v="1"/>
    <x v="3"/>
    <s v="Sales_9"/>
    <n v="280"/>
    <n v="118"/>
    <n v="80"/>
    <n v="15"/>
    <s v="12.71"/>
    <n v="24909"/>
    <s v="11.85"/>
    <n v="23014"/>
    <n v="373635"/>
    <n v="28425"/>
    <s v="Feb"/>
    <n v="2"/>
    <n v="2026"/>
    <s v="Weekend"/>
    <n v="0.1875"/>
    <n v="0.42142857142857143"/>
    <n v="5.3571428571428568E-2"/>
    <n v="1895"/>
    <s v="Ruhr Auto Plaza"/>
  </r>
  <r>
    <s v="CUST_1364"/>
    <x v="18"/>
    <x v="0"/>
    <s v="Saturday"/>
    <s v="Yes"/>
    <x v="6"/>
    <x v="6"/>
    <s v="Saxony"/>
    <x v="1"/>
    <s v="Corsa"/>
    <s v="Petrol"/>
    <x v="2"/>
    <s v="18-25"/>
    <s v="Low"/>
    <x v="1"/>
    <x v="3"/>
    <s v="Sales_5"/>
    <n v="354"/>
    <n v="193"/>
    <n v="121"/>
    <n v="25"/>
    <s v="12.95"/>
    <n v="24115"/>
    <s v="8.77"/>
    <n v="22182"/>
    <n v="602875"/>
    <n v="48325"/>
    <s v="Feb"/>
    <n v="2"/>
    <n v="2026"/>
    <s v="Weekend"/>
    <n v="0.20661157024793389"/>
    <n v="0.54519774011299438"/>
    <n v="7.0621468926553674E-2"/>
    <n v="1933"/>
    <s v="Leipzig Mobility"/>
  </r>
  <r>
    <s v="CUST_1365"/>
    <x v="7"/>
    <x v="3"/>
    <s v="Monday"/>
    <s v="No"/>
    <x v="3"/>
    <x v="3"/>
    <s v="Saxony"/>
    <x v="3"/>
    <s v="EQE"/>
    <s v="Electric"/>
    <x v="1"/>
    <s v="36-50"/>
    <s v="Low"/>
    <x v="1"/>
    <x v="3"/>
    <s v="Sales_14"/>
    <n v="163"/>
    <n v="89"/>
    <n v="65"/>
    <n v="20"/>
    <s v="22.47"/>
    <n v="51225"/>
    <s v="5.17"/>
    <n v="39612"/>
    <n v="1024500"/>
    <n v="232260"/>
    <s v="Feb"/>
    <n v="2"/>
    <n v="2026"/>
    <s v="Weekday"/>
    <n v="0.30769230769230771"/>
    <n v="0.54601226993865026"/>
    <n v="0.12269938650306748"/>
    <n v="11613"/>
    <s v="Saxon Wheels"/>
  </r>
  <r>
    <s v="CUST_1366"/>
    <x v="20"/>
    <x v="0"/>
    <s v="Thursday"/>
    <s v="No"/>
    <x v="3"/>
    <x v="3"/>
    <s v="Saxony"/>
    <x v="1"/>
    <s v="Crossland"/>
    <s v="Diesel"/>
    <x v="0"/>
    <s v="50+"/>
    <s v="Low"/>
    <x v="1"/>
    <x v="2"/>
    <s v="Sales_8"/>
    <n v="289"/>
    <n v="158"/>
    <n v="101"/>
    <n v="25"/>
    <s v="15.82"/>
    <n v="25038"/>
    <s v="11.66"/>
    <n v="22895"/>
    <n v="625950"/>
    <n v="53575"/>
    <s v="Feb"/>
    <n v="2"/>
    <n v="2026"/>
    <s v="Weekday"/>
    <n v="0.24752475247524752"/>
    <n v="0.54671280276816614"/>
    <n v="8.6505190311418678E-2"/>
    <n v="2143"/>
    <s v="Saxon Wheels"/>
  </r>
  <r>
    <s v="CUST_1367"/>
    <x v="12"/>
    <x v="3"/>
    <s v="Thursday"/>
    <s v="No"/>
    <x v="5"/>
    <x v="5"/>
    <s v="Hamburg"/>
    <x v="4"/>
    <s v="ID.4"/>
    <s v="Electric"/>
    <x v="0"/>
    <s v="18-25"/>
    <s v="High"/>
    <x v="1"/>
    <x v="2"/>
    <s v="Sales_1"/>
    <n v="370"/>
    <n v="192"/>
    <n v="126"/>
    <n v="32"/>
    <s v="16.67"/>
    <n v="33125"/>
    <s v="7.88"/>
    <n v="29300"/>
    <n v="1060000"/>
    <n v="122400"/>
    <s v="Feb"/>
    <n v="2"/>
    <n v="2026"/>
    <s v="Weekday"/>
    <n v="0.25396825396825395"/>
    <n v="0.51891891891891895"/>
    <n v="8.6486486486486491E-2"/>
    <n v="3825"/>
    <s v="Elbe Drive"/>
  </r>
  <r>
    <s v="CUST_1368"/>
    <x v="26"/>
    <x v="1"/>
    <s v="Friday"/>
    <s v="No"/>
    <x v="2"/>
    <x v="2"/>
    <s v="Lower Saxony"/>
    <x v="3"/>
    <s v="GLC"/>
    <s v="Electric"/>
    <x v="0"/>
    <s v="36-50"/>
    <s v="Medium"/>
    <x v="1"/>
    <x v="3"/>
    <s v="Sales_5"/>
    <n v="227"/>
    <n v="107"/>
    <n v="80"/>
    <n v="26"/>
    <s v="24.3"/>
    <n v="60316"/>
    <s v="4.26"/>
    <n v="47172"/>
    <n v="1568216"/>
    <n v="341744"/>
    <s v="Feb"/>
    <n v="2"/>
    <n v="2026"/>
    <s v="Weekday"/>
    <n v="0.32500000000000001"/>
    <n v="0.47136563876651982"/>
    <n v="0.11453744493392071"/>
    <n v="13144"/>
    <s v="Hannover Cars"/>
  </r>
  <r>
    <s v="CUST_1369"/>
    <x v="16"/>
    <x v="1"/>
    <s v="Tuesday"/>
    <s v="No"/>
    <x v="4"/>
    <x v="4"/>
    <s v="Berlin"/>
    <x v="1"/>
    <s v="Crossland"/>
    <s v="Hybrid"/>
    <x v="0"/>
    <s v="18-25"/>
    <s v="Low"/>
    <x v="1"/>
    <x v="2"/>
    <s v="Sales_1"/>
    <n v="338"/>
    <n v="172"/>
    <n v="100"/>
    <n v="32"/>
    <s v="18.6"/>
    <n v="20946"/>
    <s v="13.84"/>
    <n v="18761"/>
    <n v="670272"/>
    <n v="69920"/>
    <s v="Feb"/>
    <n v="2"/>
    <n v="2026"/>
    <s v="Weekday"/>
    <n v="0.32"/>
    <n v="0.50887573964497046"/>
    <n v="9.4674556213017749E-2"/>
    <n v="2185"/>
    <s v="Autohaus Berlin"/>
  </r>
  <r>
    <s v="CUST_1370"/>
    <x v="4"/>
    <x v="2"/>
    <s v="Wednesday"/>
    <s v="No"/>
    <x v="5"/>
    <x v="5"/>
    <s v="Hamburg"/>
    <x v="1"/>
    <s v="Corsa"/>
    <s v="Electric"/>
    <x v="2"/>
    <s v="26-35"/>
    <s v="High"/>
    <x v="1"/>
    <x v="0"/>
    <s v="Sales_20"/>
    <n v="295"/>
    <n v="140"/>
    <n v="94"/>
    <n v="19"/>
    <s v="13.57"/>
    <n v="23644"/>
    <s v="13.14"/>
    <n v="21428"/>
    <n v="449236"/>
    <n v="42104"/>
    <s v="Feb"/>
    <n v="2"/>
    <n v="2026"/>
    <s v="Weekday"/>
    <n v="0.20212765957446807"/>
    <n v="0.47457627118644069"/>
    <n v="6.4406779661016947E-2"/>
    <n v="2216"/>
    <s v="Elbe Drive"/>
  </r>
  <r>
    <s v="CUST_1371"/>
    <x v="27"/>
    <x v="3"/>
    <s v="Sunday"/>
    <s v="Yes"/>
    <x v="4"/>
    <x v="4"/>
    <s v="Berlin"/>
    <x v="4"/>
    <s v="Passat"/>
    <s v="Hybrid"/>
    <x v="1"/>
    <s v="18-25"/>
    <s v="High"/>
    <x v="0"/>
    <x v="0"/>
    <s v="Sales_11"/>
    <n v="489"/>
    <n v="275"/>
    <n v="163"/>
    <n v="46"/>
    <s v="16.73"/>
    <n v="31174"/>
    <s v="6.24"/>
    <n v="28203"/>
    <n v="1434004"/>
    <n v="136666"/>
    <s v="Feb"/>
    <n v="2"/>
    <n v="2026"/>
    <s v="Weekend"/>
    <n v="0.2822085889570552"/>
    <n v="0.56237218813905931"/>
    <n v="9.4069529652351741E-2"/>
    <n v="2971"/>
    <s v="Autohaus Berlin"/>
  </r>
  <r>
    <s v="CUST_1372"/>
    <x v="27"/>
    <x v="3"/>
    <s v="Sunday"/>
    <s v="Yes"/>
    <x v="4"/>
    <x v="4"/>
    <s v="Berlin"/>
    <x v="0"/>
    <s v="5 Series"/>
    <s v="Petrol"/>
    <x v="1"/>
    <s v="18-25"/>
    <s v="Low"/>
    <x v="1"/>
    <x v="1"/>
    <s v="Sales_4"/>
    <n v="174"/>
    <n v="80"/>
    <n v="63"/>
    <n v="24"/>
    <s v="30.0"/>
    <n v="57637"/>
    <s v="5.7"/>
    <n v="41697"/>
    <n v="1383288"/>
    <n v="382560"/>
    <s v="Feb"/>
    <n v="2"/>
    <n v="2026"/>
    <s v="Weekend"/>
    <n v="0.38095238095238093"/>
    <n v="0.45977011494252873"/>
    <n v="0.13793103448275862"/>
    <n v="15940"/>
    <s v="Autohaus Berlin"/>
  </r>
  <r>
    <s v="CUST_1373"/>
    <x v="14"/>
    <x v="2"/>
    <s v="Friday"/>
    <s v="No"/>
    <x v="3"/>
    <x v="3"/>
    <s v="Saxony"/>
    <x v="3"/>
    <s v="GLE"/>
    <s v="Hybrid"/>
    <x v="0"/>
    <s v="50+"/>
    <s v="Medium"/>
    <x v="1"/>
    <x v="3"/>
    <s v="Sales_13"/>
    <n v="289"/>
    <n v="146"/>
    <n v="110"/>
    <n v="36"/>
    <s v="24.66"/>
    <n v="58566"/>
    <s v="4.14"/>
    <n v="42387"/>
    <n v="2108376"/>
    <n v="582444"/>
    <s v="Feb"/>
    <n v="2"/>
    <n v="2026"/>
    <s v="Weekday"/>
    <n v="0.32727272727272727"/>
    <n v="0.50519031141868509"/>
    <n v="0.1245674740484429"/>
    <n v="16179"/>
    <s v="Saxon Wheels"/>
  </r>
  <r>
    <s v="CUST_1374"/>
    <x v="15"/>
    <x v="2"/>
    <s v="Thursday"/>
    <s v="No"/>
    <x v="5"/>
    <x v="5"/>
    <s v="Hamburg"/>
    <x v="0"/>
    <s v="X3"/>
    <s v="Electric"/>
    <x v="0"/>
    <s v="50+"/>
    <s v="High"/>
    <x v="0"/>
    <x v="0"/>
    <s v="Sales_20"/>
    <n v="269"/>
    <n v="152"/>
    <n v="112"/>
    <n v="39"/>
    <s v="25.66"/>
    <n v="55282"/>
    <s v="2.98"/>
    <n v="40977"/>
    <n v="2155998"/>
    <n v="557895"/>
    <s v="Feb"/>
    <n v="2"/>
    <n v="2026"/>
    <s v="Weekday"/>
    <n v="0.3482142857142857"/>
    <n v="0.56505576208178443"/>
    <n v="0.1449814126394052"/>
    <n v="14305"/>
    <s v="Elbe Drive"/>
  </r>
  <r>
    <s v="CUST_1375"/>
    <x v="2"/>
    <x v="2"/>
    <s v="Monday"/>
    <s v="No"/>
    <x v="5"/>
    <x v="5"/>
    <s v="Hamburg"/>
    <x v="0"/>
    <s v="5 Series"/>
    <s v="Petrol"/>
    <x v="1"/>
    <s v="26-35"/>
    <s v="Medium"/>
    <x v="1"/>
    <x v="1"/>
    <s v="Sales_17"/>
    <n v="182"/>
    <n v="104"/>
    <n v="73"/>
    <n v="30"/>
    <s v="28.85"/>
    <n v="57476"/>
    <s v="4.84"/>
    <n v="44021"/>
    <n v="1724280"/>
    <n v="403650"/>
    <s v="Feb"/>
    <n v="2"/>
    <n v="2026"/>
    <s v="Weekday"/>
    <n v="0.41095890410958902"/>
    <n v="0.5714285714285714"/>
    <n v="0.16483516483516483"/>
    <n v="13455"/>
    <s v="Elbe Drive"/>
  </r>
  <r>
    <s v="CUST_1376"/>
    <x v="10"/>
    <x v="1"/>
    <s v="Monday"/>
    <s v="No"/>
    <x v="6"/>
    <x v="6"/>
    <s v="Saxony"/>
    <x v="0"/>
    <s v="5 Series"/>
    <s v="Electric"/>
    <x v="1"/>
    <s v="36-50"/>
    <s v="Low"/>
    <x v="0"/>
    <x v="2"/>
    <s v="Sales_9"/>
    <n v="220"/>
    <n v="109"/>
    <n v="87"/>
    <n v="35"/>
    <s v="32.11"/>
    <n v="54414"/>
    <s v="4.7"/>
    <n v="42253"/>
    <n v="1904490"/>
    <n v="425635"/>
    <s v="Feb"/>
    <n v="2"/>
    <n v="2026"/>
    <s v="Weekday"/>
    <n v="0.40229885057471265"/>
    <n v="0.49545454545454548"/>
    <n v="0.15909090909090909"/>
    <n v="12161"/>
    <s v="Leipzig Mobility"/>
  </r>
  <r>
    <s v="CUST_1377"/>
    <x v="2"/>
    <x v="2"/>
    <s v="Monday"/>
    <s v="No"/>
    <x v="6"/>
    <x v="6"/>
    <s v="Saxony"/>
    <x v="4"/>
    <s v="ID.4"/>
    <s v="Petrol"/>
    <x v="0"/>
    <s v="36-50"/>
    <s v="Low"/>
    <x v="0"/>
    <x v="1"/>
    <s v="Sales_6"/>
    <n v="447"/>
    <n v="248"/>
    <n v="172"/>
    <n v="47"/>
    <s v="18.95"/>
    <n v="29400"/>
    <s v="8.6"/>
    <n v="26007"/>
    <n v="1381800"/>
    <n v="159471"/>
    <s v="Feb"/>
    <n v="2"/>
    <n v="2026"/>
    <s v="Weekday"/>
    <n v="0.27325581395348836"/>
    <n v="0.55480984340044748"/>
    <n v="0.10514541387024609"/>
    <n v="3393"/>
    <s v="Leipzig Mobility"/>
  </r>
  <r>
    <s v="CUST_1378"/>
    <x v="3"/>
    <x v="1"/>
    <s v="Sunday"/>
    <s v="Yes"/>
    <x v="2"/>
    <x v="2"/>
    <s v="Lower Saxony"/>
    <x v="1"/>
    <s v="Mokka"/>
    <s v="Hybrid"/>
    <x v="0"/>
    <s v="18-25"/>
    <s v="Low"/>
    <x v="1"/>
    <x v="2"/>
    <s v="Sales_11"/>
    <n v="347"/>
    <n v="183"/>
    <n v="103"/>
    <n v="36"/>
    <s v="19.67"/>
    <n v="22581"/>
    <s v="11.34"/>
    <n v="20173"/>
    <n v="812916"/>
    <n v="86688"/>
    <s v="Feb"/>
    <n v="2"/>
    <n v="2026"/>
    <s v="Weekend"/>
    <n v="0.34951456310679613"/>
    <n v="0.52737752161383289"/>
    <n v="0.1037463976945245"/>
    <n v="2408"/>
    <s v="Hannover Cars"/>
  </r>
  <r>
    <s v="CUST_1379"/>
    <x v="9"/>
    <x v="0"/>
    <s v="Sunday"/>
    <s v="Yes"/>
    <x v="6"/>
    <x v="6"/>
    <s v="Saxony"/>
    <x v="2"/>
    <s v="Q5"/>
    <s v="Petrol"/>
    <x v="0"/>
    <s v="26-35"/>
    <s v="Medium"/>
    <x v="0"/>
    <x v="0"/>
    <s v="Sales_17"/>
    <n v="289"/>
    <n v="184"/>
    <n v="131"/>
    <n v="34"/>
    <s v="18.48"/>
    <n v="52163"/>
    <s v="4.98"/>
    <n v="42237"/>
    <n v="1773542"/>
    <n v="337484"/>
    <s v="Feb"/>
    <n v="2"/>
    <n v="2026"/>
    <s v="Weekend"/>
    <n v="0.25954198473282442"/>
    <n v="0.63667820069204151"/>
    <n v="0.11764705882352941"/>
    <n v="9926"/>
    <s v="Leipzig Mobility"/>
  </r>
  <r>
    <s v="CUST_1380"/>
    <x v="26"/>
    <x v="1"/>
    <s v="Friday"/>
    <s v="No"/>
    <x v="3"/>
    <x v="3"/>
    <s v="Saxony"/>
    <x v="1"/>
    <s v="Astra"/>
    <s v="Petrol"/>
    <x v="2"/>
    <s v="36-50"/>
    <s v="Low"/>
    <x v="1"/>
    <x v="1"/>
    <s v="Sales_16"/>
    <n v="260"/>
    <n v="103"/>
    <n v="59"/>
    <n v="13"/>
    <s v="12.62"/>
    <n v="24796"/>
    <s v="9.81"/>
    <n v="22282"/>
    <n v="322348"/>
    <n v="32682"/>
    <s v="Feb"/>
    <n v="2"/>
    <n v="2026"/>
    <s v="Weekday"/>
    <n v="0.22033898305084745"/>
    <n v="0.39615384615384613"/>
    <n v="0.05"/>
    <n v="2514"/>
    <s v="Saxon Wheels"/>
  </r>
  <r>
    <s v="CUST_1381"/>
    <x v="18"/>
    <x v="0"/>
    <s v="Saturday"/>
    <s v="Yes"/>
    <x v="9"/>
    <x v="9"/>
    <s v="NRW"/>
    <x v="4"/>
    <s v="Tiguan"/>
    <s v="Electric"/>
    <x v="0"/>
    <s v="26-35"/>
    <s v="Low"/>
    <x v="0"/>
    <x v="1"/>
    <s v="Sales_16"/>
    <n v="519"/>
    <n v="257"/>
    <n v="169"/>
    <n v="44"/>
    <s v="17.12"/>
    <n v="30281"/>
    <s v="6.82"/>
    <n v="26624"/>
    <n v="1332364"/>
    <n v="160908"/>
    <s v="Feb"/>
    <n v="2"/>
    <n v="2026"/>
    <s v="Weekend"/>
    <n v="0.26035502958579881"/>
    <n v="0.4951830443159923"/>
    <n v="8.477842003853564E-2"/>
    <n v="3657"/>
    <s v="Ruhr Auto Plaza"/>
  </r>
  <r>
    <s v="CUST_1382"/>
    <x v="3"/>
    <x v="1"/>
    <s v="Sunday"/>
    <s v="Yes"/>
    <x v="6"/>
    <x v="6"/>
    <s v="Saxony"/>
    <x v="3"/>
    <s v="GLE"/>
    <s v="Hybrid"/>
    <x v="0"/>
    <s v="36-50"/>
    <s v="Low"/>
    <x v="1"/>
    <x v="0"/>
    <s v="Sales_7"/>
    <n v="278"/>
    <n v="126"/>
    <n v="86"/>
    <n v="28"/>
    <s v="22.22"/>
    <n v="66708"/>
    <s v="4.64"/>
    <n v="49590"/>
    <n v="1867824"/>
    <n v="479304"/>
    <s v="Feb"/>
    <n v="2"/>
    <n v="2026"/>
    <s v="Weekend"/>
    <n v="0.32558139534883723"/>
    <n v="0.45323741007194246"/>
    <n v="0.10071942446043165"/>
    <n v="17118"/>
    <s v="Leipzig Mobility"/>
  </r>
  <r>
    <s v="CUST_1383"/>
    <x v="15"/>
    <x v="2"/>
    <s v="Thursday"/>
    <s v="No"/>
    <x v="2"/>
    <x v="2"/>
    <s v="Lower Saxony"/>
    <x v="0"/>
    <s v="i4"/>
    <s v="Electric"/>
    <x v="1"/>
    <s v="18-25"/>
    <s v="Medium"/>
    <x v="0"/>
    <x v="0"/>
    <s v="Sales_20"/>
    <n v="227"/>
    <n v="104"/>
    <n v="72"/>
    <n v="29"/>
    <s v="27.88"/>
    <n v="68212"/>
    <s v="2.42"/>
    <n v="49233"/>
    <n v="1978148"/>
    <n v="550391"/>
    <s v="Feb"/>
    <n v="2"/>
    <n v="2026"/>
    <s v="Weekday"/>
    <n v="0.40277777777777779"/>
    <n v="0.45814977973568283"/>
    <n v="0.1277533039647577"/>
    <n v="18979"/>
    <s v="Hannover Cars"/>
  </r>
  <r>
    <s v="CUST_1384"/>
    <x v="3"/>
    <x v="1"/>
    <s v="Sunday"/>
    <s v="Yes"/>
    <x v="8"/>
    <x v="8"/>
    <s v="Baden-WÃ¼rttemberg"/>
    <x v="4"/>
    <s v="Golf"/>
    <s v="Diesel"/>
    <x v="2"/>
    <s v="50+"/>
    <s v="High"/>
    <x v="1"/>
    <x v="3"/>
    <s v="Sales_3"/>
    <n v="318"/>
    <n v="138"/>
    <n v="91"/>
    <n v="21"/>
    <s v="15.22"/>
    <n v="30738"/>
    <s v="8.33"/>
    <n v="27029"/>
    <n v="645498"/>
    <n v="77889"/>
    <s v="Feb"/>
    <n v="2"/>
    <n v="2026"/>
    <s v="Weekend"/>
    <n v="0.23076923076923078"/>
    <n v="0.43396226415094341"/>
    <n v="6.6037735849056603E-2"/>
    <n v="3709"/>
    <s v="Stuttgart Auto Center"/>
  </r>
  <r>
    <s v="CUST_1385"/>
    <x v="2"/>
    <x v="2"/>
    <s v="Monday"/>
    <s v="No"/>
    <x v="3"/>
    <x v="3"/>
    <s v="Saxony"/>
    <x v="2"/>
    <s v="A3"/>
    <s v="Hybrid"/>
    <x v="2"/>
    <s v="50+"/>
    <s v="Medium"/>
    <x v="0"/>
    <x v="2"/>
    <s v="Sales_4"/>
    <n v="303"/>
    <n v="168"/>
    <n v="120"/>
    <n v="43"/>
    <s v="25.6"/>
    <n v="41087"/>
    <s v="3.35"/>
    <n v="31912"/>
    <n v="1766741"/>
    <n v="394525"/>
    <s v="Feb"/>
    <n v="2"/>
    <n v="2026"/>
    <s v="Weekday"/>
    <n v="0.35833333333333334"/>
    <n v="0.5544554455445545"/>
    <n v="0.14191419141914191"/>
    <n v="9175"/>
    <s v="Saxon Wheels"/>
  </r>
  <r>
    <s v="CUST_1386"/>
    <x v="17"/>
    <x v="2"/>
    <s v="Sunday"/>
    <s v="Yes"/>
    <x v="5"/>
    <x v="5"/>
    <s v="Hamburg"/>
    <x v="3"/>
    <s v="EQE"/>
    <s v="Electric"/>
    <x v="1"/>
    <s v="26-35"/>
    <s v="Medium"/>
    <x v="0"/>
    <x v="0"/>
    <s v="Sales_15"/>
    <n v="243"/>
    <n v="107"/>
    <n v="82"/>
    <n v="28"/>
    <s v="26.17"/>
    <n v="66951"/>
    <s v="4.87"/>
    <n v="49138"/>
    <n v="1874628"/>
    <n v="498764"/>
    <s v="Feb"/>
    <n v="2"/>
    <n v="2026"/>
    <s v="Weekend"/>
    <n v="0.34146341463414637"/>
    <n v="0.44032921810699588"/>
    <n v="0.11522633744855967"/>
    <n v="17813"/>
    <s v="Elbe Drive"/>
  </r>
  <r>
    <s v="CUST_1387"/>
    <x v="5"/>
    <x v="3"/>
    <s v="Saturday"/>
    <s v="Yes"/>
    <x v="5"/>
    <x v="5"/>
    <s v="Hamburg"/>
    <x v="4"/>
    <s v="T-Roc"/>
    <s v="Hybrid"/>
    <x v="0"/>
    <s v="18-25"/>
    <s v="Low"/>
    <x v="0"/>
    <x v="0"/>
    <s v="Sales_9"/>
    <n v="459"/>
    <n v="205"/>
    <n v="125"/>
    <n v="26"/>
    <s v="12.68"/>
    <n v="27347"/>
    <s v="6.28"/>
    <n v="23525"/>
    <n v="711022"/>
    <n v="99372"/>
    <s v="Feb"/>
    <n v="2"/>
    <n v="2026"/>
    <s v="Weekend"/>
    <n v="0.20799999999999999"/>
    <n v="0.44662309368191722"/>
    <n v="5.6644880174291937E-2"/>
    <n v="3822"/>
    <s v="Elbe Drive"/>
  </r>
  <r>
    <s v="CUST_1388"/>
    <x v="27"/>
    <x v="3"/>
    <s v="Sunday"/>
    <s v="Yes"/>
    <x v="4"/>
    <x v="4"/>
    <s v="Berlin"/>
    <x v="2"/>
    <s v="A4"/>
    <s v="Hybrid"/>
    <x v="1"/>
    <s v="26-35"/>
    <s v="Low"/>
    <x v="0"/>
    <x v="1"/>
    <s v="Sales_10"/>
    <n v="243"/>
    <n v="116"/>
    <n v="80"/>
    <n v="28"/>
    <s v="24.14"/>
    <n v="53949"/>
    <s v="3.57"/>
    <n v="43963"/>
    <n v="1510572"/>
    <n v="279608"/>
    <s v="Feb"/>
    <n v="2"/>
    <n v="2026"/>
    <s v="Weekend"/>
    <n v="0.35"/>
    <n v="0.47736625514403291"/>
    <n v="0.11522633744855967"/>
    <n v="9986"/>
    <s v="Autohaus Berlin"/>
  </r>
  <r>
    <s v="CUST_1389"/>
    <x v="13"/>
    <x v="0"/>
    <s v="Friday"/>
    <s v="No"/>
    <x v="7"/>
    <x v="7"/>
    <s v="Bavaria"/>
    <x v="2"/>
    <s v="Q3"/>
    <s v="Petrol"/>
    <x v="0"/>
    <s v="50+"/>
    <s v="Medium"/>
    <x v="1"/>
    <x v="2"/>
    <s v="Sales_8"/>
    <n v="161"/>
    <n v="87"/>
    <n v="67"/>
    <n v="25"/>
    <s v="28.74"/>
    <n v="41368"/>
    <s v="5.5"/>
    <n v="32135"/>
    <n v="1034200"/>
    <n v="230825"/>
    <s v="Feb"/>
    <n v="2"/>
    <n v="2026"/>
    <s v="Weekday"/>
    <n v="0.37313432835820898"/>
    <n v="0.54037267080745344"/>
    <n v="0.15527950310559005"/>
    <n v="9233"/>
    <s v="Bavaria Motors"/>
  </r>
  <r>
    <s v="CUST_1390"/>
    <x v="23"/>
    <x v="2"/>
    <s v="Tuesday"/>
    <s v="No"/>
    <x v="9"/>
    <x v="9"/>
    <s v="NRW"/>
    <x v="1"/>
    <s v="Corsa"/>
    <s v="Hybrid"/>
    <x v="2"/>
    <s v="18-25"/>
    <s v="High"/>
    <x v="0"/>
    <x v="2"/>
    <s v="Sales_7"/>
    <n v="276"/>
    <n v="106"/>
    <n v="66"/>
    <n v="21"/>
    <s v="19.81"/>
    <n v="21961"/>
    <s v="12.92"/>
    <n v="20052"/>
    <n v="461181"/>
    <n v="40089"/>
    <s v="Feb"/>
    <n v="2"/>
    <n v="2026"/>
    <s v="Weekday"/>
    <n v="0.31818181818181818"/>
    <n v="0.38405797101449274"/>
    <n v="7.6086956521739135E-2"/>
    <n v="1909"/>
    <s v="Ruhr Auto Plaza"/>
  </r>
  <r>
    <s v="CUST_1391"/>
    <x v="22"/>
    <x v="3"/>
    <s v="Tuesday"/>
    <s v="No"/>
    <x v="0"/>
    <x v="0"/>
    <s v="Hesse"/>
    <x v="1"/>
    <s v="Mokka"/>
    <s v="Hybrid"/>
    <x v="0"/>
    <s v="26-35"/>
    <s v="Low"/>
    <x v="1"/>
    <x v="1"/>
    <s v="Sales_6"/>
    <n v="290"/>
    <n v="152"/>
    <n v="104"/>
    <n v="21"/>
    <s v="13.82"/>
    <n v="20412"/>
    <s v="9.07"/>
    <n v="18577"/>
    <n v="428652"/>
    <n v="38535"/>
    <s v="Feb"/>
    <n v="2"/>
    <n v="2026"/>
    <s v="Weekday"/>
    <n v="0.20192307692307693"/>
    <n v="0.52413793103448281"/>
    <n v="7.2413793103448282E-2"/>
    <n v="1835"/>
    <s v="Main Auto Hub"/>
  </r>
  <r>
    <s v="CUST_1392"/>
    <x v="8"/>
    <x v="3"/>
    <s v="Wednesday"/>
    <s v="No"/>
    <x v="7"/>
    <x v="7"/>
    <s v="Bavaria"/>
    <x v="0"/>
    <s v="i4"/>
    <s v="Diesel"/>
    <x v="1"/>
    <s v="50+"/>
    <s v="Low"/>
    <x v="0"/>
    <x v="2"/>
    <s v="Sales_1"/>
    <n v="167"/>
    <n v="76"/>
    <n v="56"/>
    <n v="25"/>
    <s v="32.89"/>
    <n v="65029"/>
    <s v="5.46"/>
    <n v="46443"/>
    <n v="1625725"/>
    <n v="464650"/>
    <s v="Feb"/>
    <n v="2"/>
    <n v="2026"/>
    <s v="Weekday"/>
    <n v="0.44642857142857145"/>
    <n v="0.45508982035928142"/>
    <n v="0.1497005988023952"/>
    <n v="18586"/>
    <s v="Bavaria Motors"/>
  </r>
  <r>
    <s v="CUST_1393"/>
    <x v="0"/>
    <x v="0"/>
    <s v="Monday"/>
    <s v="No"/>
    <x v="5"/>
    <x v="5"/>
    <s v="Hamburg"/>
    <x v="2"/>
    <s v="Q3"/>
    <s v="Diesel"/>
    <x v="0"/>
    <s v="36-50"/>
    <s v="Medium"/>
    <x v="0"/>
    <x v="3"/>
    <s v="Sales_12"/>
    <n v="164"/>
    <n v="104"/>
    <n v="75"/>
    <n v="24"/>
    <s v="23.08"/>
    <n v="50394"/>
    <s v="6.52"/>
    <n v="40954"/>
    <n v="1209456"/>
    <n v="226560"/>
    <s v="Feb"/>
    <n v="2"/>
    <n v="2026"/>
    <s v="Weekday"/>
    <n v="0.32"/>
    <n v="0.63414634146341464"/>
    <n v="0.14634146341463414"/>
    <n v="9440"/>
    <s v="Elbe Drive"/>
  </r>
  <r>
    <s v="CUST_1394"/>
    <x v="21"/>
    <x v="0"/>
    <s v="Tuesday"/>
    <s v="No"/>
    <x v="1"/>
    <x v="1"/>
    <s v="NRW"/>
    <x v="4"/>
    <s v="Tiguan"/>
    <s v="Hybrid"/>
    <x v="0"/>
    <s v="36-50"/>
    <s v="Low"/>
    <x v="1"/>
    <x v="0"/>
    <s v="Sales_16"/>
    <n v="312"/>
    <n v="130"/>
    <n v="78"/>
    <n v="20"/>
    <s v="15.38"/>
    <n v="33518"/>
    <s v="11.39"/>
    <n v="29055"/>
    <n v="670360"/>
    <n v="89260"/>
    <s v="Feb"/>
    <n v="2"/>
    <n v="2026"/>
    <s v="Weekday"/>
    <n v="0.25641025641025639"/>
    <n v="0.41666666666666669"/>
    <n v="6.4102564102564097E-2"/>
    <n v="4463"/>
    <s v="Rhein Auto Group"/>
  </r>
  <r>
    <s v="CUST_1395"/>
    <x v="1"/>
    <x v="1"/>
    <s v="Wednesday"/>
    <s v="No"/>
    <x v="1"/>
    <x v="1"/>
    <s v="NRW"/>
    <x v="4"/>
    <s v="Passat"/>
    <s v="Petrol"/>
    <x v="1"/>
    <s v="18-25"/>
    <s v="Medium"/>
    <x v="1"/>
    <x v="2"/>
    <s v="Sales_12"/>
    <n v="404"/>
    <n v="194"/>
    <n v="118"/>
    <n v="32"/>
    <s v="16.49"/>
    <n v="28823"/>
    <s v="11.58"/>
    <n v="25632"/>
    <n v="922336"/>
    <n v="102112"/>
    <s v="Feb"/>
    <n v="2"/>
    <n v="2026"/>
    <s v="Weekday"/>
    <n v="0.2711864406779661"/>
    <n v="0.48019801980198018"/>
    <n v="7.9207920792079209E-2"/>
    <n v="3191"/>
    <s v="Rhein Auto Group"/>
  </r>
  <r>
    <s v="CUST_1396"/>
    <x v="8"/>
    <x v="3"/>
    <s v="Wednesday"/>
    <s v="No"/>
    <x v="8"/>
    <x v="8"/>
    <s v="Baden-WÃ¼rttemberg"/>
    <x v="0"/>
    <s v="3 Series"/>
    <s v="Petrol"/>
    <x v="1"/>
    <s v="50+"/>
    <s v="Low"/>
    <x v="0"/>
    <x v="0"/>
    <s v="Sales_8"/>
    <n v="221"/>
    <n v="119"/>
    <n v="88"/>
    <n v="32"/>
    <s v="26.89"/>
    <n v="52629"/>
    <s v="5.23"/>
    <n v="38872"/>
    <n v="1684128"/>
    <n v="440224"/>
    <s v="Feb"/>
    <n v="2"/>
    <n v="2026"/>
    <s v="Weekday"/>
    <n v="0.36363636363636365"/>
    <n v="0.53846153846153844"/>
    <n v="0.14479638009049775"/>
    <n v="13757"/>
    <s v="Stuttgart Auto Center"/>
  </r>
  <r>
    <s v="CUST_1397"/>
    <x v="25"/>
    <x v="3"/>
    <s v="Friday"/>
    <s v="No"/>
    <x v="2"/>
    <x v="2"/>
    <s v="Lower Saxony"/>
    <x v="4"/>
    <s v="T-Roc"/>
    <s v="Electric"/>
    <x v="0"/>
    <s v="50+"/>
    <s v="Medium"/>
    <x v="0"/>
    <x v="3"/>
    <s v="Sales_6"/>
    <n v="324"/>
    <n v="185"/>
    <n v="122"/>
    <n v="27"/>
    <s v="14.59"/>
    <n v="34242"/>
    <s v="7.82"/>
    <n v="29516"/>
    <n v="924534"/>
    <n v="127602"/>
    <s v="Feb"/>
    <n v="2"/>
    <n v="2026"/>
    <s v="Weekday"/>
    <n v="0.22131147540983606"/>
    <n v="0.57098765432098764"/>
    <n v="8.3333333333333329E-2"/>
    <n v="4726"/>
    <s v="Hannover Cars"/>
  </r>
  <r>
    <s v="CUST_1398"/>
    <x v="18"/>
    <x v="0"/>
    <s v="Saturday"/>
    <s v="Yes"/>
    <x v="1"/>
    <x v="1"/>
    <s v="NRW"/>
    <x v="1"/>
    <s v="Mokka"/>
    <s v="Petrol"/>
    <x v="0"/>
    <s v="26-35"/>
    <s v="Medium"/>
    <x v="0"/>
    <x v="3"/>
    <s v="Sales_13"/>
    <n v="394"/>
    <n v="216"/>
    <n v="131"/>
    <n v="33"/>
    <s v="15.28"/>
    <n v="22678"/>
    <s v="7.52"/>
    <n v="20574"/>
    <n v="748374"/>
    <n v="69432"/>
    <s v="Feb"/>
    <n v="2"/>
    <n v="2026"/>
    <s v="Weekend"/>
    <n v="0.25190839694656486"/>
    <n v="0.54822335025380708"/>
    <n v="8.3756345177664976E-2"/>
    <n v="2104"/>
    <s v="Rhein Auto Group"/>
  </r>
  <r>
    <s v="CUST_1399"/>
    <x v="26"/>
    <x v="1"/>
    <s v="Friday"/>
    <s v="No"/>
    <x v="7"/>
    <x v="7"/>
    <s v="Bavaria"/>
    <x v="1"/>
    <s v="Grandland"/>
    <s v="Diesel"/>
    <x v="0"/>
    <s v="50+"/>
    <s v="Medium"/>
    <x v="0"/>
    <x v="1"/>
    <s v="Sales_12"/>
    <n v="420"/>
    <n v="221"/>
    <n v="125"/>
    <n v="39"/>
    <s v="17.65"/>
    <n v="19464"/>
    <s v="12.42"/>
    <n v="17920"/>
    <n v="759096"/>
    <n v="60216"/>
    <s v="Feb"/>
    <n v="2"/>
    <n v="2026"/>
    <s v="Weekday"/>
    <n v="0.312"/>
    <n v="0.52619047619047621"/>
    <n v="9.285714285714286E-2"/>
    <n v="1544"/>
    <s v="Bavaria Motors"/>
  </r>
  <r>
    <s v="CUST_1400"/>
    <x v="0"/>
    <x v="0"/>
    <s v="Monday"/>
    <s v="No"/>
    <x v="1"/>
    <x v="1"/>
    <s v="NRW"/>
    <x v="3"/>
    <s v="C-Class"/>
    <s v="Diesel"/>
    <x v="1"/>
    <s v="26-35"/>
    <s v="Low"/>
    <x v="0"/>
    <x v="1"/>
    <s v="Sales_5"/>
    <n v="234"/>
    <n v="110"/>
    <n v="81"/>
    <n v="30"/>
    <s v="27.27"/>
    <n v="52625"/>
    <s v="3.41"/>
    <n v="38655"/>
    <n v="1578750"/>
    <n v="419100"/>
    <s v="Feb"/>
    <n v="2"/>
    <n v="2026"/>
    <s v="Weekday"/>
    <n v="0.37037037037037035"/>
    <n v="0.47008547008547008"/>
    <n v="0.12820512820512819"/>
    <n v="13970"/>
    <s v="Rhein Auto Group"/>
  </r>
  <r>
    <s v="CUST_1401"/>
    <x v="11"/>
    <x v="0"/>
    <s v="Wednesday"/>
    <s v="No"/>
    <x v="1"/>
    <x v="1"/>
    <s v="NRW"/>
    <x v="2"/>
    <s v="A4"/>
    <s v="Petrol"/>
    <x v="1"/>
    <s v="36-50"/>
    <s v="Medium"/>
    <x v="0"/>
    <x v="0"/>
    <s v="Sales_20"/>
    <n v="182"/>
    <n v="89"/>
    <n v="58"/>
    <n v="18"/>
    <s v="20.22"/>
    <n v="53785"/>
    <s v="6.44"/>
    <n v="40940"/>
    <n v="968130"/>
    <n v="231210"/>
    <s v="Feb"/>
    <n v="2"/>
    <n v="2026"/>
    <s v="Weekday"/>
    <n v="0.31034482758620691"/>
    <n v="0.48901098901098899"/>
    <n v="9.8901098901098897E-2"/>
    <n v="12845"/>
    <s v="Rhein Auto Group"/>
  </r>
  <r>
    <s v="CUST_1402"/>
    <x v="20"/>
    <x v="0"/>
    <s v="Thursday"/>
    <s v="No"/>
    <x v="2"/>
    <x v="2"/>
    <s v="Lower Saxony"/>
    <x v="4"/>
    <s v="Golf"/>
    <s v="Hybrid"/>
    <x v="2"/>
    <s v="26-35"/>
    <s v="High"/>
    <x v="1"/>
    <x v="0"/>
    <s v="Sales_16"/>
    <n v="403"/>
    <n v="164"/>
    <n v="111"/>
    <n v="26"/>
    <s v="15.85"/>
    <n v="33291"/>
    <s v="8.71"/>
    <n v="30077"/>
    <n v="865566"/>
    <n v="83564"/>
    <s v="Feb"/>
    <n v="2"/>
    <n v="2026"/>
    <s v="Weekday"/>
    <n v="0.23423423423423423"/>
    <n v="0.40694789081885857"/>
    <n v="6.4516129032258063E-2"/>
    <n v="3214"/>
    <s v="Hannover Cars"/>
  </r>
  <r>
    <s v="CUST_1403"/>
    <x v="8"/>
    <x v="3"/>
    <s v="Wednesday"/>
    <s v="No"/>
    <x v="6"/>
    <x v="6"/>
    <s v="Saxony"/>
    <x v="0"/>
    <s v="i4"/>
    <s v="Diesel"/>
    <x v="1"/>
    <s v="36-50"/>
    <s v="High"/>
    <x v="0"/>
    <x v="2"/>
    <s v="Sales_16"/>
    <n v="191"/>
    <n v="117"/>
    <n v="86"/>
    <n v="36"/>
    <s v="30.77"/>
    <n v="65058"/>
    <s v="3.02"/>
    <n v="47097"/>
    <n v="2342088"/>
    <n v="646596"/>
    <s v="Feb"/>
    <n v="2"/>
    <n v="2026"/>
    <s v="Weekday"/>
    <n v="0.41860465116279072"/>
    <n v="0.61256544502617805"/>
    <n v="0.18848167539267016"/>
    <n v="17961"/>
    <s v="Leipzig Mobility"/>
  </r>
  <r>
    <s v="CUST_1404"/>
    <x v="17"/>
    <x v="2"/>
    <s v="Sunday"/>
    <s v="Yes"/>
    <x v="2"/>
    <x v="2"/>
    <s v="Lower Saxony"/>
    <x v="1"/>
    <s v="Astra"/>
    <s v="Diesel"/>
    <x v="2"/>
    <s v="18-25"/>
    <s v="Low"/>
    <x v="1"/>
    <x v="0"/>
    <s v="Sales_2"/>
    <n v="323"/>
    <n v="135"/>
    <n v="86"/>
    <n v="16"/>
    <s v="11.85"/>
    <n v="22660"/>
    <s v="11.65"/>
    <n v="21001"/>
    <n v="362560"/>
    <n v="26544"/>
    <s v="Feb"/>
    <n v="2"/>
    <n v="2026"/>
    <s v="Weekend"/>
    <n v="0.18604651162790697"/>
    <n v="0.41795665634674922"/>
    <n v="4.9535603715170282E-2"/>
    <n v="1659"/>
    <s v="Hannover Cars"/>
  </r>
  <r>
    <s v="CUST_1405"/>
    <x v="26"/>
    <x v="1"/>
    <s v="Friday"/>
    <s v="No"/>
    <x v="3"/>
    <x v="3"/>
    <s v="Saxony"/>
    <x v="1"/>
    <s v="Grandland"/>
    <s v="Electric"/>
    <x v="0"/>
    <s v="26-35"/>
    <s v="Medium"/>
    <x v="0"/>
    <x v="0"/>
    <s v="Sales_4"/>
    <n v="295"/>
    <n v="121"/>
    <n v="80"/>
    <n v="19"/>
    <s v="15.7"/>
    <n v="25238"/>
    <s v="8.47"/>
    <n v="23318"/>
    <n v="479522"/>
    <n v="36480"/>
    <s v="Feb"/>
    <n v="2"/>
    <n v="2026"/>
    <s v="Weekday"/>
    <n v="0.23749999999999999"/>
    <n v="0.4101694915254237"/>
    <n v="6.4406779661016947E-2"/>
    <n v="1920"/>
    <s v="Saxon Wheels"/>
  </r>
  <r>
    <s v="CUST_1406"/>
    <x v="27"/>
    <x v="3"/>
    <s v="Sunday"/>
    <s v="Yes"/>
    <x v="2"/>
    <x v="2"/>
    <s v="Lower Saxony"/>
    <x v="4"/>
    <s v="Tiguan"/>
    <s v="Electric"/>
    <x v="0"/>
    <s v="26-35"/>
    <s v="Medium"/>
    <x v="1"/>
    <x v="1"/>
    <s v="Sales_15"/>
    <n v="507"/>
    <n v="259"/>
    <n v="177"/>
    <n v="35"/>
    <s v="13.51"/>
    <n v="33999"/>
    <s v="8.25"/>
    <n v="29266"/>
    <n v="1189965"/>
    <n v="165655"/>
    <s v="Feb"/>
    <n v="2"/>
    <n v="2026"/>
    <s v="Weekend"/>
    <n v="0.19774011299435029"/>
    <n v="0.51084812623274167"/>
    <n v="6.9033530571992116E-2"/>
    <n v="4733"/>
    <s v="Hannover Cars"/>
  </r>
  <r>
    <s v="CUST_1407"/>
    <x v="24"/>
    <x v="1"/>
    <s v="Thursday"/>
    <s v="No"/>
    <x v="0"/>
    <x v="0"/>
    <s v="Hesse"/>
    <x v="0"/>
    <s v="X5"/>
    <s v="Diesel"/>
    <x v="0"/>
    <s v="36-50"/>
    <s v="High"/>
    <x v="0"/>
    <x v="2"/>
    <s v="Sales_2"/>
    <n v="195"/>
    <n v="117"/>
    <n v="90"/>
    <n v="34"/>
    <s v="29.06"/>
    <n v="55269"/>
    <s v="2.18"/>
    <n v="40747"/>
    <n v="1879146"/>
    <n v="493748"/>
    <s v="Feb"/>
    <n v="2"/>
    <n v="2026"/>
    <s v="Weekday"/>
    <n v="0.37777777777777777"/>
    <n v="0.6"/>
    <n v="0.17435897435897435"/>
    <n v="14522"/>
    <s v="Main Auto Hub"/>
  </r>
  <r>
    <s v="CUST_1408"/>
    <x v="0"/>
    <x v="0"/>
    <s v="Monday"/>
    <s v="No"/>
    <x v="9"/>
    <x v="9"/>
    <s v="NRW"/>
    <x v="4"/>
    <s v="Passat"/>
    <s v="Petrol"/>
    <x v="1"/>
    <s v="36-50"/>
    <s v="High"/>
    <x v="0"/>
    <x v="3"/>
    <s v="Sales_18"/>
    <n v="427"/>
    <n v="171"/>
    <n v="104"/>
    <n v="24"/>
    <s v="14.04"/>
    <n v="31363"/>
    <s v="6.49"/>
    <n v="27288"/>
    <n v="752712"/>
    <n v="97800"/>
    <s v="Feb"/>
    <n v="2"/>
    <n v="2026"/>
    <s v="Weekday"/>
    <n v="0.23076923076923078"/>
    <n v="0.40046838407494145"/>
    <n v="5.6206088992974239E-2"/>
    <n v="4075"/>
    <s v="Ruhr Auto Plaza"/>
  </r>
  <r>
    <s v="CUST_1409"/>
    <x v="11"/>
    <x v="0"/>
    <s v="Wednesday"/>
    <s v="No"/>
    <x v="6"/>
    <x v="6"/>
    <s v="Saxony"/>
    <x v="4"/>
    <s v="Golf"/>
    <s v="Petrol"/>
    <x v="2"/>
    <s v="26-35"/>
    <s v="High"/>
    <x v="0"/>
    <x v="1"/>
    <s v="Sales_3"/>
    <n v="267"/>
    <n v="153"/>
    <n v="96"/>
    <n v="23"/>
    <s v="15.03"/>
    <n v="28172"/>
    <s v="9.32"/>
    <n v="25539"/>
    <n v="647956"/>
    <n v="60559"/>
    <s v="Feb"/>
    <n v="2"/>
    <n v="2026"/>
    <s v="Weekday"/>
    <n v="0.23958333333333334"/>
    <n v="0.5730337078651685"/>
    <n v="8.6142322097378279E-2"/>
    <n v="2633"/>
    <s v="Leipzig Mobility"/>
  </r>
  <r>
    <s v="CUST_1410"/>
    <x v="23"/>
    <x v="2"/>
    <s v="Tuesday"/>
    <s v="No"/>
    <x v="1"/>
    <x v="1"/>
    <s v="NRW"/>
    <x v="1"/>
    <s v="Astra"/>
    <s v="Petrol"/>
    <x v="2"/>
    <s v="50+"/>
    <s v="High"/>
    <x v="1"/>
    <x v="3"/>
    <s v="Sales_4"/>
    <n v="316"/>
    <n v="142"/>
    <n v="97"/>
    <n v="20"/>
    <s v="14.08"/>
    <n v="24740"/>
    <s v="12.72"/>
    <n v="22057"/>
    <n v="494800"/>
    <n v="53660"/>
    <s v="Feb"/>
    <n v="2"/>
    <n v="2026"/>
    <s v="Weekday"/>
    <n v="0.20618556701030927"/>
    <n v="0.44936708860759494"/>
    <n v="6.3291139240506333E-2"/>
    <n v="2683"/>
    <s v="Rhein Auto Group"/>
  </r>
  <r>
    <s v="CUST_1411"/>
    <x v="14"/>
    <x v="2"/>
    <s v="Friday"/>
    <s v="No"/>
    <x v="8"/>
    <x v="8"/>
    <s v="Baden-WÃ¼rttemberg"/>
    <x v="0"/>
    <s v="5 Series"/>
    <s v="Electric"/>
    <x v="1"/>
    <s v="18-25"/>
    <s v="Medium"/>
    <x v="1"/>
    <x v="2"/>
    <s v="Sales_14"/>
    <n v="205"/>
    <n v="97"/>
    <n v="71"/>
    <n v="30"/>
    <s v="30.93"/>
    <n v="53717"/>
    <s v="3.77"/>
    <n v="38270"/>
    <n v="1611510"/>
    <n v="463410"/>
    <s v="Feb"/>
    <n v="2"/>
    <n v="2026"/>
    <s v="Weekday"/>
    <n v="0.42253521126760563"/>
    <n v="0.47317073170731705"/>
    <n v="0.14634146341463414"/>
    <n v="15447"/>
    <s v="Stuttgart Auto Center"/>
  </r>
  <r>
    <s v="CUST_1412"/>
    <x v="6"/>
    <x v="2"/>
    <s v="Saturday"/>
    <s v="Yes"/>
    <x v="0"/>
    <x v="0"/>
    <s v="Hesse"/>
    <x v="0"/>
    <s v="X5"/>
    <s v="Electric"/>
    <x v="0"/>
    <s v="36-50"/>
    <s v="High"/>
    <x v="1"/>
    <x v="1"/>
    <s v="Sales_16"/>
    <n v="270"/>
    <n v="153"/>
    <n v="107"/>
    <n v="44"/>
    <s v="28.76"/>
    <n v="52904"/>
    <s v="4.42"/>
    <n v="38651"/>
    <n v="2327776"/>
    <n v="627132"/>
    <s v="Feb"/>
    <n v="2"/>
    <n v="2026"/>
    <s v="Weekend"/>
    <n v="0.41121495327102803"/>
    <n v="0.56666666666666665"/>
    <n v="0.16296296296296298"/>
    <n v="14253"/>
    <s v="Main Auto Hub"/>
  </r>
  <r>
    <s v="CUST_1413"/>
    <x v="5"/>
    <x v="3"/>
    <s v="Saturday"/>
    <s v="Yes"/>
    <x v="3"/>
    <x v="3"/>
    <s v="Saxony"/>
    <x v="2"/>
    <s v="e-tron"/>
    <s v="Diesel"/>
    <x v="0"/>
    <s v="50+"/>
    <s v="Medium"/>
    <x v="0"/>
    <x v="2"/>
    <s v="Sales_20"/>
    <n v="268"/>
    <n v="157"/>
    <n v="101"/>
    <n v="43"/>
    <s v="27.39"/>
    <n v="45731"/>
    <s v="6.97"/>
    <n v="36976"/>
    <n v="1966433"/>
    <n v="376465"/>
    <s v="Feb"/>
    <n v="2"/>
    <n v="2026"/>
    <s v="Weekend"/>
    <n v="0.42574257425742573"/>
    <n v="0.58582089552238803"/>
    <n v="0.16044776119402984"/>
    <n v="8755"/>
    <s v="Saxon Wheels"/>
  </r>
  <r>
    <s v="CUST_1414"/>
    <x v="17"/>
    <x v="2"/>
    <s v="Sunday"/>
    <s v="Yes"/>
    <x v="1"/>
    <x v="1"/>
    <s v="NRW"/>
    <x v="3"/>
    <s v="E-Class"/>
    <s v="Electric"/>
    <x v="1"/>
    <s v="26-35"/>
    <s v="Low"/>
    <x v="0"/>
    <x v="2"/>
    <s v="Sales_15"/>
    <n v="213"/>
    <n v="121"/>
    <n v="95"/>
    <n v="37"/>
    <s v="30.58"/>
    <n v="59924"/>
    <s v="5.77"/>
    <n v="43175"/>
    <n v="2217188"/>
    <n v="619713"/>
    <s v="Feb"/>
    <n v="2"/>
    <n v="2026"/>
    <s v="Weekend"/>
    <n v="0.38947368421052631"/>
    <n v="0.568075117370892"/>
    <n v="0.17370892018779344"/>
    <n v="16749"/>
    <s v="Rhein Auto Group"/>
  </r>
  <r>
    <s v="CUST_1415"/>
    <x v="15"/>
    <x v="2"/>
    <s v="Thursday"/>
    <s v="No"/>
    <x v="5"/>
    <x v="5"/>
    <s v="Hamburg"/>
    <x v="0"/>
    <s v="X5"/>
    <s v="Electric"/>
    <x v="0"/>
    <s v="50+"/>
    <s v="High"/>
    <x v="1"/>
    <x v="0"/>
    <s v="Sales_5"/>
    <n v="252"/>
    <n v="146"/>
    <n v="105"/>
    <n v="36"/>
    <s v="24.66"/>
    <n v="60837"/>
    <s v="2.29"/>
    <n v="42740"/>
    <n v="2190132"/>
    <n v="651492"/>
    <s v="Feb"/>
    <n v="2"/>
    <n v="2026"/>
    <s v="Weekday"/>
    <n v="0.34285714285714286"/>
    <n v="0.57936507936507942"/>
    <n v="0.14285714285714285"/>
    <n v="18097"/>
    <s v="Elbe Drive"/>
  </r>
  <r>
    <s v="CUST_1416"/>
    <x v="4"/>
    <x v="2"/>
    <s v="Wednesday"/>
    <s v="No"/>
    <x v="2"/>
    <x v="2"/>
    <s v="Lower Saxony"/>
    <x v="2"/>
    <s v="Q3"/>
    <s v="Hybrid"/>
    <x v="0"/>
    <s v="26-35"/>
    <s v="Medium"/>
    <x v="0"/>
    <x v="1"/>
    <s v="Sales_8"/>
    <n v="240"/>
    <n v="144"/>
    <n v="109"/>
    <n v="36"/>
    <s v="25.0"/>
    <n v="41979"/>
    <s v="5.02"/>
    <n v="32352"/>
    <n v="1511244"/>
    <n v="346572"/>
    <s v="Feb"/>
    <n v="2"/>
    <n v="2026"/>
    <s v="Weekday"/>
    <n v="0.33027522935779818"/>
    <n v="0.6"/>
    <n v="0.15"/>
    <n v="9627"/>
    <s v="Hannover Cars"/>
  </r>
  <r>
    <s v="CUST_1417"/>
    <x v="22"/>
    <x v="3"/>
    <s v="Tuesday"/>
    <s v="No"/>
    <x v="6"/>
    <x v="6"/>
    <s v="Saxony"/>
    <x v="4"/>
    <s v="T-Roc"/>
    <s v="Petrol"/>
    <x v="0"/>
    <s v="50+"/>
    <s v="High"/>
    <x v="1"/>
    <x v="2"/>
    <s v="Sales_19"/>
    <n v="368"/>
    <n v="170"/>
    <n v="119"/>
    <n v="30"/>
    <s v="17.65"/>
    <n v="28869"/>
    <s v="9.97"/>
    <n v="26113"/>
    <n v="866070"/>
    <n v="82680"/>
    <s v="Feb"/>
    <n v="2"/>
    <n v="2026"/>
    <s v="Weekday"/>
    <n v="0.25210084033613445"/>
    <n v="0.46195652173913043"/>
    <n v="8.1521739130434784E-2"/>
    <n v="2756"/>
    <s v="Leipzig Mobility"/>
  </r>
  <r>
    <s v="CUST_1418"/>
    <x v="19"/>
    <x v="1"/>
    <s v="Saturday"/>
    <s v="Yes"/>
    <x v="1"/>
    <x v="1"/>
    <s v="NRW"/>
    <x v="3"/>
    <s v="GLE"/>
    <s v="Hybrid"/>
    <x v="0"/>
    <s v="50+"/>
    <s v="Medium"/>
    <x v="0"/>
    <x v="3"/>
    <s v="Sales_16"/>
    <n v="211"/>
    <n v="123"/>
    <n v="84"/>
    <n v="31"/>
    <s v="25.2"/>
    <n v="70345"/>
    <s v="5.17"/>
    <n v="55358"/>
    <n v="2180695"/>
    <n v="464597"/>
    <s v="Feb"/>
    <n v="2"/>
    <n v="2026"/>
    <s v="Weekend"/>
    <n v="0.36904761904761907"/>
    <n v="0.58293838862559244"/>
    <n v="0.14691943127962084"/>
    <n v="14987"/>
    <s v="Rhein Auto Group"/>
  </r>
  <r>
    <s v="CUST_1419"/>
    <x v="1"/>
    <x v="1"/>
    <s v="Wednesday"/>
    <s v="No"/>
    <x v="2"/>
    <x v="2"/>
    <s v="Lower Saxony"/>
    <x v="4"/>
    <s v="Passat"/>
    <s v="Hybrid"/>
    <x v="1"/>
    <s v="18-25"/>
    <s v="High"/>
    <x v="1"/>
    <x v="2"/>
    <s v="Sales_3"/>
    <n v="487"/>
    <n v="230"/>
    <n v="158"/>
    <n v="44"/>
    <s v="19.13"/>
    <n v="26183"/>
    <s v="9.91"/>
    <n v="23096"/>
    <n v="1152052"/>
    <n v="135828"/>
    <s v="Feb"/>
    <n v="2"/>
    <n v="2026"/>
    <s v="Weekday"/>
    <n v="0.27848101265822783"/>
    <n v="0.47227926078028748"/>
    <n v="9.034907597535935E-2"/>
    <n v="3087"/>
    <s v="Hannover Cars"/>
  </r>
  <r>
    <s v="CUST_1420"/>
    <x v="9"/>
    <x v="0"/>
    <s v="Sunday"/>
    <s v="Yes"/>
    <x v="9"/>
    <x v="9"/>
    <s v="NRW"/>
    <x v="3"/>
    <s v="EQE"/>
    <s v="Diesel"/>
    <x v="1"/>
    <s v="50+"/>
    <s v="Low"/>
    <x v="1"/>
    <x v="1"/>
    <s v="Sales_19"/>
    <n v="157"/>
    <n v="76"/>
    <n v="59"/>
    <n v="18"/>
    <s v="23.68"/>
    <n v="61032"/>
    <s v="2.32"/>
    <n v="46122"/>
    <n v="1098576"/>
    <n v="268380"/>
    <s v="Feb"/>
    <n v="2"/>
    <n v="2026"/>
    <s v="Weekend"/>
    <n v="0.30508474576271188"/>
    <n v="0.48407643312101911"/>
    <n v="0.11464968152866242"/>
    <n v="14910"/>
    <s v="Ruhr Auto Plaza"/>
  </r>
  <r>
    <s v="CUST_1421"/>
    <x v="1"/>
    <x v="1"/>
    <s v="Wednesday"/>
    <s v="No"/>
    <x v="4"/>
    <x v="4"/>
    <s v="Berlin"/>
    <x v="4"/>
    <s v="Passat"/>
    <s v="Hybrid"/>
    <x v="1"/>
    <s v="26-35"/>
    <s v="Medium"/>
    <x v="0"/>
    <x v="1"/>
    <s v="Sales_13"/>
    <n v="368"/>
    <n v="177"/>
    <n v="113"/>
    <n v="32"/>
    <s v="18.08"/>
    <n v="31955"/>
    <s v="7.78"/>
    <n v="27507"/>
    <n v="1022560"/>
    <n v="142336"/>
    <s v="Feb"/>
    <n v="2"/>
    <n v="2026"/>
    <s v="Weekday"/>
    <n v="0.2831858407079646"/>
    <n v="0.48097826086956524"/>
    <n v="8.6956521739130432E-2"/>
    <n v="4448"/>
    <s v="Autohaus Berlin"/>
  </r>
  <r>
    <s v="CUST_1422"/>
    <x v="1"/>
    <x v="1"/>
    <s v="Wednesday"/>
    <s v="No"/>
    <x v="9"/>
    <x v="9"/>
    <s v="NRW"/>
    <x v="1"/>
    <s v="Astra"/>
    <s v="Electric"/>
    <x v="2"/>
    <s v="18-25"/>
    <s v="High"/>
    <x v="0"/>
    <x v="1"/>
    <s v="Sales_4"/>
    <n v="294"/>
    <n v="143"/>
    <n v="88"/>
    <n v="25"/>
    <s v="17.48"/>
    <n v="25550"/>
    <s v="12.1"/>
    <n v="22872"/>
    <n v="638750"/>
    <n v="66950"/>
    <s v="Feb"/>
    <n v="2"/>
    <n v="2026"/>
    <s v="Weekday"/>
    <n v="0.28409090909090912"/>
    <n v="0.48639455782312924"/>
    <n v="8.5034013605442174E-2"/>
    <n v="2678"/>
    <s v="Ruhr Auto Plaza"/>
  </r>
  <r>
    <s v="CUST_1423"/>
    <x v="12"/>
    <x v="3"/>
    <s v="Thursday"/>
    <s v="No"/>
    <x v="3"/>
    <x v="3"/>
    <s v="Saxony"/>
    <x v="1"/>
    <s v="Grandland"/>
    <s v="Diesel"/>
    <x v="0"/>
    <s v="26-35"/>
    <s v="Low"/>
    <x v="1"/>
    <x v="2"/>
    <s v="Sales_7"/>
    <n v="225"/>
    <n v="90"/>
    <n v="55"/>
    <n v="14"/>
    <s v="15.56"/>
    <n v="21616"/>
    <s v="7.27"/>
    <n v="19728"/>
    <n v="302624"/>
    <n v="26432"/>
    <s v="Feb"/>
    <n v="2"/>
    <n v="2026"/>
    <s v="Weekday"/>
    <n v="0.25454545454545452"/>
    <n v="0.4"/>
    <n v="6.222222222222222E-2"/>
    <n v="1888"/>
    <s v="Saxon Wheels"/>
  </r>
  <r>
    <s v="CUST_1424"/>
    <x v="26"/>
    <x v="1"/>
    <s v="Friday"/>
    <s v="No"/>
    <x v="0"/>
    <x v="0"/>
    <s v="Hesse"/>
    <x v="1"/>
    <s v="Crossland"/>
    <s v="Electric"/>
    <x v="0"/>
    <s v="36-50"/>
    <s v="High"/>
    <x v="0"/>
    <x v="3"/>
    <s v="Sales_17"/>
    <n v="426"/>
    <n v="201"/>
    <n v="117"/>
    <n v="26"/>
    <s v="12.94"/>
    <n v="23771"/>
    <s v="11.07"/>
    <n v="21230"/>
    <n v="618046"/>
    <n v="66066"/>
    <s v="Feb"/>
    <n v="2"/>
    <n v="2026"/>
    <s v="Weekday"/>
    <n v="0.22222222222222221"/>
    <n v="0.47183098591549294"/>
    <n v="6.1032863849765258E-2"/>
    <n v="2541"/>
    <s v="Main Auto Hub"/>
  </r>
  <r>
    <s v="CUST_1425"/>
    <x v="3"/>
    <x v="1"/>
    <s v="Sunday"/>
    <s v="Yes"/>
    <x v="9"/>
    <x v="9"/>
    <s v="NRW"/>
    <x v="3"/>
    <s v="GLC"/>
    <s v="Electric"/>
    <x v="0"/>
    <s v="50+"/>
    <s v="Low"/>
    <x v="0"/>
    <x v="2"/>
    <s v="Sales_20"/>
    <n v="194"/>
    <n v="107"/>
    <n v="75"/>
    <n v="29"/>
    <s v="27.1"/>
    <n v="61739"/>
    <s v="4.08"/>
    <n v="47578"/>
    <n v="1790431"/>
    <n v="410669"/>
    <s v="Feb"/>
    <n v="2"/>
    <n v="2026"/>
    <s v="Weekend"/>
    <n v="0.38666666666666666"/>
    <n v="0.55154639175257736"/>
    <n v="0.14948453608247422"/>
    <n v="14161"/>
    <s v="Ruhr Auto Plaza"/>
  </r>
  <r>
    <s v="CUST_1426"/>
    <x v="1"/>
    <x v="1"/>
    <s v="Wednesday"/>
    <s v="No"/>
    <x v="8"/>
    <x v="8"/>
    <s v="Baden-WÃ¼rttemberg"/>
    <x v="0"/>
    <s v="5 Series"/>
    <s v="Petrol"/>
    <x v="1"/>
    <s v="50+"/>
    <s v="Medium"/>
    <x v="0"/>
    <x v="0"/>
    <s v="Sales_12"/>
    <n v="141"/>
    <n v="68"/>
    <n v="54"/>
    <n v="18"/>
    <s v="26.47"/>
    <n v="51488"/>
    <s v="5.68"/>
    <n v="39955"/>
    <n v="926784"/>
    <n v="207594"/>
    <s v="Feb"/>
    <n v="2"/>
    <n v="2026"/>
    <s v="Weekday"/>
    <n v="0.33333333333333331"/>
    <n v="0.48226950354609927"/>
    <n v="0.1276595744680851"/>
    <n v="11533"/>
    <s v="Stuttgart Auto Center"/>
  </r>
  <r>
    <s v="CUST_1427"/>
    <x v="12"/>
    <x v="3"/>
    <s v="Thursday"/>
    <s v="No"/>
    <x v="1"/>
    <x v="1"/>
    <s v="NRW"/>
    <x v="1"/>
    <s v="Astra"/>
    <s v="Petrol"/>
    <x v="2"/>
    <s v="26-35"/>
    <s v="Low"/>
    <x v="1"/>
    <x v="1"/>
    <s v="Sales_11"/>
    <n v="225"/>
    <n v="107"/>
    <n v="67"/>
    <n v="19"/>
    <s v="17.76"/>
    <n v="21257"/>
    <s v="7.04"/>
    <n v="19333"/>
    <n v="403883"/>
    <n v="36556"/>
    <s v="Feb"/>
    <n v="2"/>
    <n v="2026"/>
    <s v="Weekday"/>
    <n v="0.28358208955223879"/>
    <n v="0.47555555555555556"/>
    <n v="8.4444444444444447E-2"/>
    <n v="1924"/>
    <s v="Rhein Auto Group"/>
  </r>
  <r>
    <s v="CUST_1428"/>
    <x v="25"/>
    <x v="3"/>
    <s v="Friday"/>
    <s v="No"/>
    <x v="4"/>
    <x v="4"/>
    <s v="Berlin"/>
    <x v="2"/>
    <s v="A3"/>
    <s v="Petrol"/>
    <x v="2"/>
    <s v="26-35"/>
    <s v="High"/>
    <x v="0"/>
    <x v="0"/>
    <s v="Sales_4"/>
    <n v="279"/>
    <n v="148"/>
    <n v="102"/>
    <n v="34"/>
    <s v="22.97"/>
    <n v="44460"/>
    <s v="6.35"/>
    <n v="35173"/>
    <n v="1511640"/>
    <n v="315758"/>
    <s v="Feb"/>
    <n v="2"/>
    <n v="2026"/>
    <s v="Weekday"/>
    <n v="0.33333333333333331"/>
    <n v="0.53046594982078854"/>
    <n v="0.12186379928315412"/>
    <n v="9287"/>
    <s v="Autohaus Berlin"/>
  </r>
  <r>
    <s v="CUST_1429"/>
    <x v="6"/>
    <x v="2"/>
    <s v="Saturday"/>
    <s v="Yes"/>
    <x v="1"/>
    <x v="1"/>
    <s v="NRW"/>
    <x v="4"/>
    <s v="Passat"/>
    <s v="Hybrid"/>
    <x v="1"/>
    <s v="50+"/>
    <s v="Medium"/>
    <x v="0"/>
    <x v="1"/>
    <s v="Sales_12"/>
    <n v="466"/>
    <n v="266"/>
    <n v="170"/>
    <n v="45"/>
    <s v="16.92"/>
    <n v="34542"/>
    <s v="6.05"/>
    <n v="30904"/>
    <n v="1554390"/>
    <n v="163710"/>
    <s v="Feb"/>
    <n v="2"/>
    <n v="2026"/>
    <s v="Weekend"/>
    <n v="0.26470588235294118"/>
    <n v="0.57081545064377681"/>
    <n v="9.6566523605150209E-2"/>
    <n v="3638"/>
    <s v="Rhein Auto Group"/>
  </r>
  <r>
    <s v="CUST_1430"/>
    <x v="25"/>
    <x v="3"/>
    <s v="Friday"/>
    <s v="No"/>
    <x v="4"/>
    <x v="4"/>
    <s v="Berlin"/>
    <x v="4"/>
    <s v="Golf"/>
    <s v="Electric"/>
    <x v="2"/>
    <s v="26-35"/>
    <s v="Low"/>
    <x v="0"/>
    <x v="2"/>
    <s v="Sales_4"/>
    <n v="519"/>
    <n v="288"/>
    <n v="191"/>
    <n v="61"/>
    <s v="21.18"/>
    <n v="26555"/>
    <s v="11.35"/>
    <n v="23830"/>
    <n v="1619855"/>
    <n v="166225"/>
    <s v="Feb"/>
    <n v="2"/>
    <n v="2026"/>
    <s v="Weekday"/>
    <n v="0.3193717277486911"/>
    <n v="0.55491329479768781"/>
    <n v="0.11753371868978806"/>
    <n v="2725"/>
    <s v="Autohaus Berlin"/>
  </r>
  <r>
    <s v="CUST_1431"/>
    <x v="14"/>
    <x v="2"/>
    <s v="Friday"/>
    <s v="No"/>
    <x v="3"/>
    <x v="3"/>
    <s v="Saxony"/>
    <x v="0"/>
    <s v="i4"/>
    <s v="Electric"/>
    <x v="1"/>
    <s v="18-25"/>
    <s v="High"/>
    <x v="1"/>
    <x v="0"/>
    <s v="Sales_7"/>
    <n v="197"/>
    <n v="119"/>
    <n v="83"/>
    <n v="32"/>
    <s v="26.89"/>
    <n v="69599"/>
    <s v="2.93"/>
    <n v="51290"/>
    <n v="2227168"/>
    <n v="585888"/>
    <s v="Feb"/>
    <n v="2"/>
    <n v="2026"/>
    <s v="Weekday"/>
    <n v="0.38554216867469882"/>
    <n v="0.60406091370558379"/>
    <n v="0.16243654822335024"/>
    <n v="18309"/>
    <s v="Saxon Wheels"/>
  </r>
  <r>
    <s v="CUST_1432"/>
    <x v="0"/>
    <x v="0"/>
    <s v="Monday"/>
    <s v="No"/>
    <x v="3"/>
    <x v="3"/>
    <s v="Saxony"/>
    <x v="3"/>
    <s v="GLE"/>
    <s v="Hybrid"/>
    <x v="0"/>
    <s v="26-35"/>
    <s v="Low"/>
    <x v="1"/>
    <x v="0"/>
    <s v="Sales_12"/>
    <n v="236"/>
    <n v="123"/>
    <n v="84"/>
    <n v="27"/>
    <s v="21.95"/>
    <n v="53228"/>
    <s v="4.79"/>
    <n v="40368"/>
    <n v="1437156"/>
    <n v="347220"/>
    <s v="Feb"/>
    <n v="2"/>
    <n v="2026"/>
    <s v="Weekday"/>
    <n v="0.32142857142857145"/>
    <n v="0.52118644067796616"/>
    <n v="0.11440677966101695"/>
    <n v="12860"/>
    <s v="Saxon Wheels"/>
  </r>
  <r>
    <s v="CUST_1433"/>
    <x v="3"/>
    <x v="1"/>
    <s v="Sunday"/>
    <s v="Yes"/>
    <x v="8"/>
    <x v="8"/>
    <s v="Baden-WÃ¼rttemberg"/>
    <x v="1"/>
    <s v="Corsa"/>
    <s v="Electric"/>
    <x v="2"/>
    <s v="26-35"/>
    <s v="High"/>
    <x v="0"/>
    <x v="3"/>
    <s v="Sales_12"/>
    <n v="281"/>
    <n v="141"/>
    <n v="96"/>
    <n v="22"/>
    <s v="15.6"/>
    <n v="22361"/>
    <s v="10.64"/>
    <n v="20718"/>
    <n v="491942"/>
    <n v="36146"/>
    <s v="Feb"/>
    <n v="2"/>
    <n v="2026"/>
    <s v="Weekend"/>
    <n v="0.22916666666666666"/>
    <n v="0.50177935943060503"/>
    <n v="7.8291814946619215E-2"/>
    <n v="1643"/>
    <s v="Stuttgart Auto Center"/>
  </r>
  <r>
    <s v="CUST_1434"/>
    <x v="4"/>
    <x v="2"/>
    <s v="Wednesday"/>
    <s v="No"/>
    <x v="7"/>
    <x v="7"/>
    <s v="Bavaria"/>
    <x v="0"/>
    <s v="3 Series"/>
    <s v="Hybrid"/>
    <x v="1"/>
    <s v="36-50"/>
    <s v="Low"/>
    <x v="0"/>
    <x v="0"/>
    <s v="Sales_13"/>
    <n v="232"/>
    <n v="104"/>
    <n v="84"/>
    <n v="31"/>
    <s v="29.81"/>
    <n v="50307"/>
    <s v="3.54"/>
    <n v="38592"/>
    <n v="1559517"/>
    <n v="363165"/>
    <s v="Feb"/>
    <n v="2"/>
    <n v="2026"/>
    <s v="Weekday"/>
    <n v="0.36904761904761907"/>
    <n v="0.44827586206896552"/>
    <n v="0.1336206896551724"/>
    <n v="11715"/>
    <s v="Bavaria Motors"/>
  </r>
  <r>
    <s v="CUST_1435"/>
    <x v="26"/>
    <x v="1"/>
    <s v="Friday"/>
    <s v="No"/>
    <x v="2"/>
    <x v="2"/>
    <s v="Lower Saxony"/>
    <x v="2"/>
    <s v="Q5"/>
    <s v="Electric"/>
    <x v="0"/>
    <s v="50+"/>
    <s v="Medium"/>
    <x v="0"/>
    <x v="3"/>
    <s v="Sales_1"/>
    <n v="201"/>
    <n v="127"/>
    <n v="86"/>
    <n v="26"/>
    <s v="20.47"/>
    <n v="40606"/>
    <s v="3.48"/>
    <n v="31610"/>
    <n v="1055756"/>
    <n v="233896"/>
    <s v="Feb"/>
    <n v="2"/>
    <n v="2026"/>
    <s v="Weekday"/>
    <n v="0.30232558139534882"/>
    <n v="0.63184079601990051"/>
    <n v="0.12935323383084577"/>
    <n v="8996"/>
    <s v="Hannover Cars"/>
  </r>
  <r>
    <s v="CUST_1436"/>
    <x v="19"/>
    <x v="1"/>
    <s v="Saturday"/>
    <s v="Yes"/>
    <x v="7"/>
    <x v="7"/>
    <s v="Bavaria"/>
    <x v="1"/>
    <s v="Astra"/>
    <s v="Electric"/>
    <x v="2"/>
    <s v="50+"/>
    <s v="Low"/>
    <x v="1"/>
    <x v="3"/>
    <s v="Sales_18"/>
    <n v="361"/>
    <n v="154"/>
    <n v="91"/>
    <n v="27"/>
    <s v="17.53"/>
    <n v="24399"/>
    <s v="8.81"/>
    <n v="22113"/>
    <n v="658773"/>
    <n v="61722"/>
    <s v="Feb"/>
    <n v="2"/>
    <n v="2026"/>
    <s v="Weekend"/>
    <n v="0.2967032967032967"/>
    <n v="0.4265927977839335"/>
    <n v="7.4792243767313013E-2"/>
    <n v="2286"/>
    <s v="Bavaria Motors"/>
  </r>
  <r>
    <s v="CUST_1437"/>
    <x v="14"/>
    <x v="2"/>
    <s v="Friday"/>
    <s v="No"/>
    <x v="7"/>
    <x v="7"/>
    <s v="Bavaria"/>
    <x v="1"/>
    <s v="Astra"/>
    <s v="Petrol"/>
    <x v="2"/>
    <s v="50+"/>
    <s v="Medium"/>
    <x v="0"/>
    <x v="0"/>
    <s v="Sales_1"/>
    <n v="377"/>
    <n v="188"/>
    <n v="108"/>
    <n v="33"/>
    <s v="17.55"/>
    <n v="25118"/>
    <s v="9.19"/>
    <n v="23031"/>
    <n v="828894"/>
    <n v="68871"/>
    <s v="Feb"/>
    <n v="2"/>
    <n v="2026"/>
    <s v="Weekday"/>
    <n v="0.30555555555555558"/>
    <n v="0.49867374005305037"/>
    <n v="8.7533156498673742E-2"/>
    <n v="2087"/>
    <s v="Bavaria Motors"/>
  </r>
  <r>
    <s v="CUST_1438"/>
    <x v="22"/>
    <x v="3"/>
    <s v="Tuesday"/>
    <s v="No"/>
    <x v="4"/>
    <x v="4"/>
    <s v="Berlin"/>
    <x v="1"/>
    <s v="Crossland"/>
    <s v="Hybrid"/>
    <x v="0"/>
    <s v="50+"/>
    <s v="Low"/>
    <x v="0"/>
    <x v="1"/>
    <s v="Sales_12"/>
    <n v="355"/>
    <n v="151"/>
    <n v="87"/>
    <n v="26"/>
    <s v="17.22"/>
    <n v="26295"/>
    <s v="9.77"/>
    <n v="23958"/>
    <n v="683670"/>
    <n v="60762"/>
    <s v="Feb"/>
    <n v="2"/>
    <n v="2026"/>
    <s v="Weekday"/>
    <n v="0.2988505747126437"/>
    <n v="0.42535211267605633"/>
    <n v="7.3239436619718309E-2"/>
    <n v="2337"/>
    <s v="Autohaus Berlin"/>
  </r>
  <r>
    <s v="CUST_1439"/>
    <x v="27"/>
    <x v="3"/>
    <s v="Sunday"/>
    <s v="Yes"/>
    <x v="1"/>
    <x v="1"/>
    <s v="NRW"/>
    <x v="0"/>
    <s v="5 Series"/>
    <s v="Petrol"/>
    <x v="1"/>
    <s v="36-50"/>
    <s v="High"/>
    <x v="1"/>
    <x v="2"/>
    <s v="Sales_19"/>
    <n v="178"/>
    <n v="90"/>
    <n v="69"/>
    <n v="27"/>
    <s v="30.0"/>
    <n v="67729"/>
    <s v="3.72"/>
    <n v="47712"/>
    <n v="1828683"/>
    <n v="540459"/>
    <s v="Feb"/>
    <n v="2"/>
    <n v="2026"/>
    <s v="Weekend"/>
    <n v="0.39130434782608697"/>
    <n v="0.5056179775280899"/>
    <n v="0.15168539325842698"/>
    <n v="20017"/>
    <s v="Rhein Auto Group"/>
  </r>
  <r>
    <s v="CUST_1440"/>
    <x v="12"/>
    <x v="3"/>
    <s v="Thursday"/>
    <s v="No"/>
    <x v="5"/>
    <x v="5"/>
    <s v="Hamburg"/>
    <x v="0"/>
    <s v="5 Series"/>
    <s v="Diesel"/>
    <x v="1"/>
    <s v="26-35"/>
    <s v="High"/>
    <x v="1"/>
    <x v="2"/>
    <s v="Sales_8"/>
    <n v="223"/>
    <n v="131"/>
    <n v="92"/>
    <n v="38"/>
    <s v="29.01"/>
    <n v="61063"/>
    <s v="2.89"/>
    <n v="43640"/>
    <n v="2320394"/>
    <n v="662074"/>
    <s v="Feb"/>
    <n v="2"/>
    <n v="2026"/>
    <s v="Weekday"/>
    <n v="0.41304347826086957"/>
    <n v="0.58744394618834084"/>
    <n v="0.17040358744394618"/>
    <n v="17423"/>
    <s v="Elbe Drive"/>
  </r>
  <r>
    <s v="CUST_1441"/>
    <x v="12"/>
    <x v="3"/>
    <s v="Thursday"/>
    <s v="No"/>
    <x v="2"/>
    <x v="2"/>
    <s v="Lower Saxony"/>
    <x v="4"/>
    <s v="ID.4"/>
    <s v="Electric"/>
    <x v="0"/>
    <s v="18-25"/>
    <s v="Medium"/>
    <x v="0"/>
    <x v="0"/>
    <s v="Sales_15"/>
    <n v="491"/>
    <n v="241"/>
    <n v="141"/>
    <n v="40"/>
    <s v="16.6"/>
    <n v="31353"/>
    <s v="9.87"/>
    <n v="27378"/>
    <n v="1254120"/>
    <n v="159000"/>
    <s v="Feb"/>
    <n v="2"/>
    <n v="2026"/>
    <s v="Weekday"/>
    <n v="0.28368794326241137"/>
    <n v="0.49083503054989819"/>
    <n v="8.1466395112016296E-2"/>
    <n v="3975"/>
    <s v="Hannover Cars"/>
  </r>
  <r>
    <s v="CUST_1442"/>
    <x v="11"/>
    <x v="0"/>
    <s v="Wednesday"/>
    <s v="No"/>
    <x v="4"/>
    <x v="4"/>
    <s v="Berlin"/>
    <x v="2"/>
    <s v="A4"/>
    <s v="Hybrid"/>
    <x v="1"/>
    <s v="26-35"/>
    <s v="Low"/>
    <x v="0"/>
    <x v="3"/>
    <s v="Sales_12"/>
    <n v="236"/>
    <n v="147"/>
    <n v="95"/>
    <n v="32"/>
    <s v="21.77"/>
    <n v="46172"/>
    <s v="3.23"/>
    <n v="35658"/>
    <n v="1477504"/>
    <n v="336448"/>
    <s v="Feb"/>
    <n v="2"/>
    <n v="2026"/>
    <s v="Weekday"/>
    <n v="0.33684210526315789"/>
    <n v="0.6228813559322034"/>
    <n v="0.13559322033898305"/>
    <n v="10514"/>
    <s v="Autohaus Berlin"/>
  </r>
  <r>
    <s v="CUST_1443"/>
    <x v="3"/>
    <x v="1"/>
    <s v="Sunday"/>
    <s v="Yes"/>
    <x v="5"/>
    <x v="5"/>
    <s v="Hamburg"/>
    <x v="3"/>
    <s v="GLE"/>
    <s v="Diesel"/>
    <x v="0"/>
    <s v="18-25"/>
    <s v="Low"/>
    <x v="0"/>
    <x v="2"/>
    <s v="Sales_6"/>
    <n v="165"/>
    <n v="92"/>
    <n v="71"/>
    <n v="26"/>
    <s v="28.26"/>
    <n v="67680"/>
    <s v="3.64"/>
    <n v="50019"/>
    <n v="1759680"/>
    <n v="459186"/>
    <s v="Feb"/>
    <n v="2"/>
    <n v="2026"/>
    <s v="Weekend"/>
    <n v="0.36619718309859156"/>
    <n v="0.55757575757575761"/>
    <n v="0.15757575757575756"/>
    <n v="17661"/>
    <s v="Elbe Drive"/>
  </r>
  <r>
    <s v="CUST_1444"/>
    <x v="25"/>
    <x v="3"/>
    <s v="Friday"/>
    <s v="No"/>
    <x v="2"/>
    <x v="2"/>
    <s v="Lower Saxony"/>
    <x v="2"/>
    <s v="A3"/>
    <s v="Hybrid"/>
    <x v="2"/>
    <s v="26-35"/>
    <s v="High"/>
    <x v="1"/>
    <x v="1"/>
    <s v="Sales_4"/>
    <n v="224"/>
    <n v="119"/>
    <n v="92"/>
    <n v="29"/>
    <s v="24.37"/>
    <n v="42842"/>
    <s v="6.46"/>
    <n v="33264"/>
    <n v="1242418"/>
    <n v="277762"/>
    <s v="Feb"/>
    <n v="2"/>
    <n v="2026"/>
    <s v="Weekday"/>
    <n v="0.31521739130434784"/>
    <n v="0.53125"/>
    <n v="0.12946428571428573"/>
    <n v="9578"/>
    <s v="Hannover Cars"/>
  </r>
  <r>
    <s v="CUST_1445"/>
    <x v="23"/>
    <x v="2"/>
    <s v="Tuesday"/>
    <s v="No"/>
    <x v="9"/>
    <x v="9"/>
    <s v="NRW"/>
    <x v="0"/>
    <s v="5 Series"/>
    <s v="Electric"/>
    <x v="1"/>
    <s v="26-35"/>
    <s v="High"/>
    <x v="1"/>
    <x v="0"/>
    <s v="Sales_20"/>
    <n v="178"/>
    <n v="88"/>
    <n v="71"/>
    <n v="23"/>
    <s v="26.14"/>
    <n v="62841"/>
    <s v="2.47"/>
    <n v="47015"/>
    <n v="1445343"/>
    <n v="363998"/>
    <s v="Feb"/>
    <n v="2"/>
    <n v="2026"/>
    <s v="Weekday"/>
    <n v="0.323943661971831"/>
    <n v="0.4943820224719101"/>
    <n v="0.12921348314606743"/>
    <n v="15826"/>
    <s v="Ruhr Auto Plaza"/>
  </r>
  <r>
    <s v="CUST_1446"/>
    <x v="11"/>
    <x v="0"/>
    <s v="Wednesday"/>
    <s v="No"/>
    <x v="9"/>
    <x v="9"/>
    <s v="NRW"/>
    <x v="0"/>
    <s v="i4"/>
    <s v="Diesel"/>
    <x v="1"/>
    <s v="50+"/>
    <s v="High"/>
    <x v="1"/>
    <x v="0"/>
    <s v="Sales_13"/>
    <n v="278"/>
    <n v="152"/>
    <n v="118"/>
    <n v="37"/>
    <s v="24.34"/>
    <n v="55557"/>
    <s v="4.79"/>
    <n v="39391"/>
    <n v="2055609"/>
    <n v="598142"/>
    <s v="Feb"/>
    <n v="2"/>
    <n v="2026"/>
    <s v="Weekday"/>
    <n v="0.3135593220338983"/>
    <n v="0.5467625899280576"/>
    <n v="0.13309352517985612"/>
    <n v="16166"/>
    <s v="Ruhr Auto Plaza"/>
  </r>
  <r>
    <s v="CUST_1447"/>
    <x v="15"/>
    <x v="2"/>
    <s v="Thursday"/>
    <s v="No"/>
    <x v="0"/>
    <x v="0"/>
    <s v="Hesse"/>
    <x v="1"/>
    <s v="Astra"/>
    <s v="Hybrid"/>
    <x v="2"/>
    <s v="18-25"/>
    <s v="High"/>
    <x v="0"/>
    <x v="0"/>
    <s v="Sales_18"/>
    <n v="255"/>
    <n v="120"/>
    <n v="83"/>
    <n v="17"/>
    <s v="14.17"/>
    <n v="22734"/>
    <s v="13.32"/>
    <n v="20236"/>
    <n v="386478"/>
    <n v="42466"/>
    <s v="Feb"/>
    <n v="2"/>
    <n v="2026"/>
    <s v="Weekday"/>
    <n v="0.20481927710843373"/>
    <n v="0.47058823529411764"/>
    <n v="6.6666666666666666E-2"/>
    <n v="2498"/>
    <s v="Main Auto Hub"/>
  </r>
  <r>
    <s v="CUST_1448"/>
    <x v="26"/>
    <x v="1"/>
    <s v="Friday"/>
    <s v="No"/>
    <x v="0"/>
    <x v="0"/>
    <s v="Hesse"/>
    <x v="3"/>
    <s v="E-Class"/>
    <s v="Hybrid"/>
    <x v="1"/>
    <s v="50+"/>
    <s v="Medium"/>
    <x v="0"/>
    <x v="3"/>
    <s v="Sales_20"/>
    <n v="149"/>
    <n v="72"/>
    <n v="51"/>
    <n v="19"/>
    <s v="26.39"/>
    <n v="51406"/>
    <s v="5.2"/>
    <n v="37949"/>
    <n v="976714"/>
    <n v="255683"/>
    <s v="Feb"/>
    <n v="2"/>
    <n v="2026"/>
    <s v="Weekday"/>
    <n v="0.37254901960784315"/>
    <n v="0.48322147651006714"/>
    <n v="0.12751677852348994"/>
    <n v="13457"/>
    <s v="Main Auto Hub"/>
  </r>
  <r>
    <s v="CUST_1449"/>
    <x v="4"/>
    <x v="2"/>
    <s v="Wednesday"/>
    <s v="No"/>
    <x v="2"/>
    <x v="2"/>
    <s v="Lower Saxony"/>
    <x v="2"/>
    <s v="Q5"/>
    <s v="Diesel"/>
    <x v="0"/>
    <s v="36-50"/>
    <s v="High"/>
    <x v="0"/>
    <x v="2"/>
    <s v="Sales_3"/>
    <n v="176"/>
    <n v="107"/>
    <n v="77"/>
    <n v="27"/>
    <s v="25.23"/>
    <n v="41966"/>
    <s v="4.12"/>
    <n v="33247"/>
    <n v="1133082"/>
    <n v="235413"/>
    <s v="Feb"/>
    <n v="2"/>
    <n v="2026"/>
    <s v="Weekday"/>
    <n v="0.35064935064935066"/>
    <n v="0.60795454545454541"/>
    <n v="0.15340909090909091"/>
    <n v="8719"/>
    <s v="Hannover Cars"/>
  </r>
  <r>
    <s v="CUST_1450"/>
    <x v="13"/>
    <x v="0"/>
    <s v="Friday"/>
    <s v="No"/>
    <x v="7"/>
    <x v="7"/>
    <s v="Bavaria"/>
    <x v="4"/>
    <s v="Golf"/>
    <s v="Diesel"/>
    <x v="2"/>
    <s v="18-25"/>
    <s v="Medium"/>
    <x v="0"/>
    <x v="0"/>
    <s v="Sales_5"/>
    <n v="301"/>
    <n v="158"/>
    <n v="100"/>
    <n v="24"/>
    <s v="15.19"/>
    <n v="30338"/>
    <s v="9.63"/>
    <n v="26679"/>
    <n v="728112"/>
    <n v="87816"/>
    <s v="Feb"/>
    <n v="2"/>
    <n v="2026"/>
    <s v="Weekday"/>
    <n v="0.24"/>
    <n v="0.52491694352159468"/>
    <n v="7.9734219269102985E-2"/>
    <n v="3659"/>
    <s v="Bavaria Motors"/>
  </r>
  <r>
    <s v="CUST_1451"/>
    <x v="14"/>
    <x v="2"/>
    <s v="Friday"/>
    <s v="No"/>
    <x v="1"/>
    <x v="1"/>
    <s v="NRW"/>
    <x v="1"/>
    <s v="Astra"/>
    <s v="Diesel"/>
    <x v="2"/>
    <s v="36-50"/>
    <s v="Medium"/>
    <x v="1"/>
    <x v="1"/>
    <s v="Sales_18"/>
    <n v="341"/>
    <n v="129"/>
    <n v="87"/>
    <n v="23"/>
    <s v="17.83"/>
    <n v="25799"/>
    <s v="12.92"/>
    <n v="23245"/>
    <n v="593377"/>
    <n v="58742"/>
    <s v="Feb"/>
    <n v="2"/>
    <n v="2026"/>
    <s v="Weekday"/>
    <n v="0.26436781609195403"/>
    <n v="0.3782991202346041"/>
    <n v="6.7448680351906154E-2"/>
    <n v="2554"/>
    <s v="Rhein Auto Group"/>
  </r>
  <r>
    <s v="CUST_1452"/>
    <x v="4"/>
    <x v="2"/>
    <s v="Wednesday"/>
    <s v="No"/>
    <x v="5"/>
    <x v="5"/>
    <s v="Hamburg"/>
    <x v="2"/>
    <s v="A3"/>
    <s v="Diesel"/>
    <x v="2"/>
    <s v="50+"/>
    <s v="Low"/>
    <x v="1"/>
    <x v="1"/>
    <s v="Sales_6"/>
    <n v="253"/>
    <n v="121"/>
    <n v="89"/>
    <n v="26"/>
    <s v="21.49"/>
    <n v="41598"/>
    <s v="6.4"/>
    <n v="31841"/>
    <n v="1081548"/>
    <n v="253682"/>
    <s v="Feb"/>
    <n v="2"/>
    <n v="2026"/>
    <s v="Weekday"/>
    <n v="0.29213483146067415"/>
    <n v="0.47826086956521741"/>
    <n v="0.10276679841897234"/>
    <n v="9757"/>
    <s v="Elbe Drive"/>
  </r>
  <r>
    <s v="CUST_1453"/>
    <x v="21"/>
    <x v="0"/>
    <s v="Tuesday"/>
    <s v="No"/>
    <x v="4"/>
    <x v="4"/>
    <s v="Berlin"/>
    <x v="0"/>
    <s v="i4"/>
    <s v="Petrol"/>
    <x v="1"/>
    <s v="50+"/>
    <s v="Low"/>
    <x v="0"/>
    <x v="0"/>
    <s v="Sales_2"/>
    <n v="196"/>
    <n v="96"/>
    <n v="71"/>
    <n v="27"/>
    <s v="28.12"/>
    <n v="68215"/>
    <s v="5.11"/>
    <n v="51300"/>
    <n v="1841805"/>
    <n v="456705"/>
    <s v="Feb"/>
    <n v="2"/>
    <n v="2026"/>
    <s v="Weekday"/>
    <n v="0.38028169014084506"/>
    <n v="0.48979591836734693"/>
    <n v="0.13775510204081631"/>
    <n v="16915"/>
    <s v="Autohaus Berlin"/>
  </r>
  <r>
    <s v="CUST_1454"/>
    <x v="13"/>
    <x v="0"/>
    <s v="Friday"/>
    <s v="No"/>
    <x v="7"/>
    <x v="7"/>
    <s v="Bavaria"/>
    <x v="3"/>
    <s v="GLE"/>
    <s v="Hybrid"/>
    <x v="0"/>
    <s v="36-50"/>
    <s v="Low"/>
    <x v="0"/>
    <x v="0"/>
    <s v="Sales_14"/>
    <n v="283"/>
    <n v="152"/>
    <n v="103"/>
    <n v="39"/>
    <s v="25.66"/>
    <n v="61678"/>
    <s v="5.39"/>
    <n v="45302"/>
    <n v="2405442"/>
    <n v="638664"/>
    <s v="Feb"/>
    <n v="2"/>
    <n v="2026"/>
    <s v="Weekday"/>
    <n v="0.37864077669902912"/>
    <n v="0.53710247349823326"/>
    <n v="0.13780918727915195"/>
    <n v="16376"/>
    <s v="Bavaria Motors"/>
  </r>
  <r>
    <s v="CUST_1455"/>
    <x v="19"/>
    <x v="1"/>
    <s v="Saturday"/>
    <s v="Yes"/>
    <x v="8"/>
    <x v="8"/>
    <s v="Baden-WÃ¼rttemberg"/>
    <x v="1"/>
    <s v="Grandland"/>
    <s v="Electric"/>
    <x v="0"/>
    <s v="26-35"/>
    <s v="High"/>
    <x v="0"/>
    <x v="2"/>
    <s v="Sales_10"/>
    <n v="328"/>
    <n v="135"/>
    <n v="93"/>
    <n v="28"/>
    <s v="20.74"/>
    <n v="20336"/>
    <s v="7.92"/>
    <n v="18601"/>
    <n v="569408"/>
    <n v="48580"/>
    <s v="Feb"/>
    <n v="2"/>
    <n v="2026"/>
    <s v="Weekend"/>
    <n v="0.30107526881720431"/>
    <n v="0.41158536585365851"/>
    <n v="8.5365853658536592E-2"/>
    <n v="1735"/>
    <s v="Stuttgart Auto Center"/>
  </r>
  <r>
    <s v="CUST_1456"/>
    <x v="25"/>
    <x v="3"/>
    <s v="Friday"/>
    <s v="No"/>
    <x v="5"/>
    <x v="5"/>
    <s v="Hamburg"/>
    <x v="2"/>
    <s v="Q3"/>
    <s v="Diesel"/>
    <x v="0"/>
    <s v="18-25"/>
    <s v="Medium"/>
    <x v="0"/>
    <x v="2"/>
    <s v="Sales_1"/>
    <n v="225"/>
    <n v="111"/>
    <n v="82"/>
    <n v="28"/>
    <s v="25.23"/>
    <n v="41150"/>
    <s v="6.61"/>
    <n v="31870"/>
    <n v="1152200"/>
    <n v="259840"/>
    <s v="Feb"/>
    <n v="2"/>
    <n v="2026"/>
    <s v="Weekday"/>
    <n v="0.34146341463414637"/>
    <n v="0.49333333333333335"/>
    <n v="0.12444444444444444"/>
    <n v="9280"/>
    <s v="Elbe Drive"/>
  </r>
  <r>
    <s v="CUST_1457"/>
    <x v="23"/>
    <x v="2"/>
    <s v="Tuesday"/>
    <s v="No"/>
    <x v="2"/>
    <x v="2"/>
    <s v="Lower Saxony"/>
    <x v="0"/>
    <s v="X5"/>
    <s v="Petrol"/>
    <x v="0"/>
    <s v="36-50"/>
    <s v="Low"/>
    <x v="0"/>
    <x v="2"/>
    <s v="Sales_7"/>
    <n v="189"/>
    <n v="108"/>
    <n v="84"/>
    <n v="33"/>
    <s v="30.56"/>
    <n v="68096"/>
    <s v="2.61"/>
    <n v="51426"/>
    <n v="2247168"/>
    <n v="550110"/>
    <s v="Feb"/>
    <n v="2"/>
    <n v="2026"/>
    <s v="Weekday"/>
    <n v="0.39285714285714285"/>
    <n v="0.5714285714285714"/>
    <n v="0.17460317460317459"/>
    <n v="16670"/>
    <s v="Hannover Cars"/>
  </r>
  <r>
    <s v="CUST_1458"/>
    <x v="0"/>
    <x v="0"/>
    <s v="Monday"/>
    <s v="No"/>
    <x v="8"/>
    <x v="8"/>
    <s v="Baden-WÃ¼rttemberg"/>
    <x v="3"/>
    <s v="GLE"/>
    <s v="Petrol"/>
    <x v="0"/>
    <s v="36-50"/>
    <s v="High"/>
    <x v="0"/>
    <x v="0"/>
    <s v="Sales_14"/>
    <n v="182"/>
    <n v="103"/>
    <n v="68"/>
    <n v="24"/>
    <s v="23.3"/>
    <n v="55507"/>
    <s v="5.28"/>
    <n v="40039"/>
    <n v="1332168"/>
    <n v="371232"/>
    <s v="Feb"/>
    <n v="2"/>
    <n v="2026"/>
    <s v="Weekday"/>
    <n v="0.35294117647058826"/>
    <n v="0.56593406593406592"/>
    <n v="0.13186813186813187"/>
    <n v="15468"/>
    <s v="Stuttgart Auto Center"/>
  </r>
  <r>
    <s v="CUST_1459"/>
    <x v="11"/>
    <x v="0"/>
    <s v="Wednesday"/>
    <s v="No"/>
    <x v="4"/>
    <x v="4"/>
    <s v="Berlin"/>
    <x v="0"/>
    <s v="5 Series"/>
    <s v="Hybrid"/>
    <x v="1"/>
    <s v="36-50"/>
    <s v="High"/>
    <x v="1"/>
    <x v="2"/>
    <s v="Sales_3"/>
    <n v="156"/>
    <n v="88"/>
    <n v="62"/>
    <n v="25"/>
    <s v="28.41"/>
    <n v="60602"/>
    <s v="2.78"/>
    <n v="42690"/>
    <n v="1515050"/>
    <n v="447800"/>
    <s v="Feb"/>
    <n v="2"/>
    <n v="2026"/>
    <s v="Weekday"/>
    <n v="0.40322580645161288"/>
    <n v="0.5641025641025641"/>
    <n v="0.16025641025641027"/>
    <n v="17912"/>
    <s v="Autohaus Berlin"/>
  </r>
  <r>
    <s v="CUST_1460"/>
    <x v="10"/>
    <x v="1"/>
    <s v="Monday"/>
    <s v="No"/>
    <x v="7"/>
    <x v="7"/>
    <s v="Bavaria"/>
    <x v="2"/>
    <s v="e-tron"/>
    <s v="Diesel"/>
    <x v="0"/>
    <s v="36-50"/>
    <s v="Low"/>
    <x v="0"/>
    <x v="3"/>
    <s v="Sales_2"/>
    <n v="191"/>
    <n v="120"/>
    <n v="82"/>
    <n v="31"/>
    <s v="25.83"/>
    <n v="45673"/>
    <s v="5.6"/>
    <n v="34841"/>
    <n v="1415863"/>
    <n v="335792"/>
    <s v="Feb"/>
    <n v="2"/>
    <n v="2026"/>
    <s v="Weekday"/>
    <n v="0.37804878048780488"/>
    <n v="0.62827225130890052"/>
    <n v="0.16230366492146597"/>
    <n v="10832"/>
    <s v="Bavaria Motors"/>
  </r>
  <r>
    <s v="CUST_1461"/>
    <x v="10"/>
    <x v="1"/>
    <s v="Monday"/>
    <s v="No"/>
    <x v="8"/>
    <x v="8"/>
    <s v="Baden-WÃ¼rttemberg"/>
    <x v="1"/>
    <s v="Mokka"/>
    <s v="Diesel"/>
    <x v="0"/>
    <s v="18-25"/>
    <s v="Low"/>
    <x v="1"/>
    <x v="1"/>
    <s v="Sales_7"/>
    <n v="354"/>
    <n v="179"/>
    <n v="108"/>
    <n v="27"/>
    <s v="15.08"/>
    <n v="21499"/>
    <s v="13.63"/>
    <n v="19953"/>
    <n v="580473"/>
    <n v="41742"/>
    <s v="Feb"/>
    <n v="2"/>
    <n v="2026"/>
    <s v="Weekday"/>
    <n v="0.25"/>
    <n v="0.50564971751412424"/>
    <n v="7.6271186440677971E-2"/>
    <n v="1546"/>
    <s v="Stuttgart Auto Center"/>
  </r>
  <r>
    <s v="CUST_1462"/>
    <x v="18"/>
    <x v="0"/>
    <s v="Saturday"/>
    <s v="Yes"/>
    <x v="6"/>
    <x v="6"/>
    <s v="Saxony"/>
    <x v="4"/>
    <s v="ID.4"/>
    <s v="Diesel"/>
    <x v="0"/>
    <s v="50+"/>
    <s v="High"/>
    <x v="0"/>
    <x v="1"/>
    <s v="Sales_17"/>
    <n v="299"/>
    <n v="147"/>
    <n v="100"/>
    <n v="22"/>
    <s v="14.97"/>
    <n v="27033"/>
    <s v="7.44"/>
    <n v="23954"/>
    <n v="594726"/>
    <n v="67738"/>
    <s v="Feb"/>
    <n v="2"/>
    <n v="2026"/>
    <s v="Weekend"/>
    <n v="0.22"/>
    <n v="0.49163879598662208"/>
    <n v="7.3578595317725759E-2"/>
    <n v="3079"/>
    <s v="Leipzig Mobility"/>
  </r>
  <r>
    <s v="CUST_1463"/>
    <x v="1"/>
    <x v="1"/>
    <s v="Wednesday"/>
    <s v="No"/>
    <x v="6"/>
    <x v="6"/>
    <s v="Saxony"/>
    <x v="1"/>
    <s v="Grandland"/>
    <s v="Diesel"/>
    <x v="0"/>
    <s v="36-50"/>
    <s v="Low"/>
    <x v="0"/>
    <x v="1"/>
    <s v="Sales_13"/>
    <n v="391"/>
    <n v="218"/>
    <n v="139"/>
    <n v="37"/>
    <s v="16.97"/>
    <n v="22770"/>
    <s v="10.62"/>
    <n v="20839"/>
    <n v="842490"/>
    <n v="71447"/>
    <s v="Feb"/>
    <n v="2"/>
    <n v="2026"/>
    <s v="Weekday"/>
    <n v="0.26618705035971224"/>
    <n v="0.55754475703324813"/>
    <n v="9.4629156010230184E-2"/>
    <n v="1931"/>
    <s v="Leipzig Mobility"/>
  </r>
  <r>
    <s v="CUST_1464"/>
    <x v="15"/>
    <x v="2"/>
    <s v="Thursday"/>
    <s v="No"/>
    <x v="4"/>
    <x v="4"/>
    <s v="Berlin"/>
    <x v="1"/>
    <s v="Grandland"/>
    <s v="Hybrid"/>
    <x v="0"/>
    <s v="26-35"/>
    <s v="High"/>
    <x v="0"/>
    <x v="0"/>
    <s v="Sales_6"/>
    <n v="308"/>
    <n v="119"/>
    <n v="74"/>
    <n v="21"/>
    <s v="17.65"/>
    <n v="21656"/>
    <s v="10.99"/>
    <n v="20138"/>
    <n v="454776"/>
    <n v="31878"/>
    <s v="Feb"/>
    <n v="2"/>
    <n v="2026"/>
    <s v="Weekday"/>
    <n v="0.28378378378378377"/>
    <n v="0.38636363636363635"/>
    <n v="6.8181818181818177E-2"/>
    <n v="1518"/>
    <s v="Autohaus Berlin"/>
  </r>
  <r>
    <s v="CUST_1465"/>
    <x v="16"/>
    <x v="1"/>
    <s v="Tuesday"/>
    <s v="No"/>
    <x v="6"/>
    <x v="6"/>
    <s v="Saxony"/>
    <x v="4"/>
    <s v="Tiguan"/>
    <s v="Diesel"/>
    <x v="0"/>
    <s v="26-35"/>
    <s v="Low"/>
    <x v="0"/>
    <x v="1"/>
    <s v="Sales_11"/>
    <n v="441"/>
    <n v="234"/>
    <n v="152"/>
    <n v="33"/>
    <s v="14.1"/>
    <n v="31546"/>
    <s v="10.41"/>
    <n v="27525"/>
    <n v="1041018"/>
    <n v="132693"/>
    <s v="Feb"/>
    <n v="2"/>
    <n v="2026"/>
    <s v="Weekday"/>
    <n v="0.21710526315789475"/>
    <n v="0.53061224489795922"/>
    <n v="7.4829931972789115E-2"/>
    <n v="4021"/>
    <s v="Leipzig Mobility"/>
  </r>
  <r>
    <s v="CUST_1466"/>
    <x v="23"/>
    <x v="2"/>
    <s v="Tuesday"/>
    <s v="No"/>
    <x v="2"/>
    <x v="2"/>
    <s v="Lower Saxony"/>
    <x v="1"/>
    <s v="Astra"/>
    <s v="Petrol"/>
    <x v="2"/>
    <s v="26-35"/>
    <s v="High"/>
    <x v="1"/>
    <x v="3"/>
    <s v="Sales_19"/>
    <n v="325"/>
    <n v="158"/>
    <n v="91"/>
    <n v="19"/>
    <s v="12.03"/>
    <n v="24518"/>
    <s v="12.61"/>
    <n v="22429"/>
    <n v="465842"/>
    <n v="39691"/>
    <s v="Feb"/>
    <n v="2"/>
    <n v="2026"/>
    <s v="Weekday"/>
    <n v="0.2087912087912088"/>
    <n v="0.48615384615384616"/>
    <n v="5.8461538461538461E-2"/>
    <n v="2089"/>
    <s v="Hannover Cars"/>
  </r>
  <r>
    <s v="CUST_1467"/>
    <x v="5"/>
    <x v="3"/>
    <s v="Saturday"/>
    <s v="Yes"/>
    <x v="1"/>
    <x v="1"/>
    <s v="NRW"/>
    <x v="2"/>
    <s v="e-tron"/>
    <s v="Diesel"/>
    <x v="0"/>
    <s v="18-25"/>
    <s v="Medium"/>
    <x v="0"/>
    <x v="2"/>
    <s v="Sales_17"/>
    <n v="193"/>
    <n v="101"/>
    <n v="69"/>
    <n v="26"/>
    <s v="25.74"/>
    <n v="45247"/>
    <s v="3.53"/>
    <n v="35293"/>
    <n v="1176422"/>
    <n v="258804"/>
    <s v="Feb"/>
    <n v="2"/>
    <n v="2026"/>
    <s v="Weekend"/>
    <n v="0.37681159420289856"/>
    <n v="0.52331606217616577"/>
    <n v="0.13471502590673576"/>
    <n v="9954"/>
    <s v="Rhein Auto Group"/>
  </r>
  <r>
    <s v="CUST_1468"/>
    <x v="12"/>
    <x v="3"/>
    <s v="Thursday"/>
    <s v="No"/>
    <x v="6"/>
    <x v="6"/>
    <s v="Saxony"/>
    <x v="0"/>
    <s v="X3"/>
    <s v="Diesel"/>
    <x v="0"/>
    <s v="18-25"/>
    <s v="Low"/>
    <x v="1"/>
    <x v="1"/>
    <s v="Sales_15"/>
    <n v="199"/>
    <n v="109"/>
    <n v="77"/>
    <n v="29"/>
    <s v="26.61"/>
    <n v="59273"/>
    <s v="5.35"/>
    <n v="41890"/>
    <n v="1718917"/>
    <n v="504107"/>
    <s v="Feb"/>
    <n v="2"/>
    <n v="2026"/>
    <s v="Weekday"/>
    <n v="0.37662337662337664"/>
    <n v="0.54773869346733672"/>
    <n v="0.14572864321608039"/>
    <n v="17383"/>
    <s v="Leipzig Mobility"/>
  </r>
  <r>
    <s v="CUST_1469"/>
    <x v="8"/>
    <x v="3"/>
    <s v="Wednesday"/>
    <s v="No"/>
    <x v="5"/>
    <x v="5"/>
    <s v="Hamburg"/>
    <x v="4"/>
    <s v="Golf"/>
    <s v="Electric"/>
    <x v="2"/>
    <s v="26-35"/>
    <s v="Medium"/>
    <x v="0"/>
    <x v="3"/>
    <s v="Sales_16"/>
    <n v="473"/>
    <n v="266"/>
    <n v="161"/>
    <n v="49"/>
    <s v="18.42"/>
    <n v="25906"/>
    <s v="11.71"/>
    <n v="23376"/>
    <n v="1269394"/>
    <n v="123970"/>
    <s v="Feb"/>
    <n v="2"/>
    <n v="2026"/>
    <s v="Weekday"/>
    <n v="0.30434782608695654"/>
    <n v="0.56236786469344613"/>
    <n v="0.10359408033826638"/>
    <n v="2530"/>
    <s v="Elbe Drive"/>
  </r>
  <r>
    <s v="CUST_1470"/>
    <x v="25"/>
    <x v="3"/>
    <s v="Friday"/>
    <s v="No"/>
    <x v="7"/>
    <x v="7"/>
    <s v="Bavaria"/>
    <x v="3"/>
    <s v="C-Class"/>
    <s v="Diesel"/>
    <x v="1"/>
    <s v="18-25"/>
    <s v="High"/>
    <x v="0"/>
    <x v="1"/>
    <s v="Sales_19"/>
    <n v="264"/>
    <n v="152"/>
    <n v="113"/>
    <n v="46"/>
    <s v="30.26"/>
    <n v="49800"/>
    <s v="5.17"/>
    <n v="36227"/>
    <n v="2290800"/>
    <n v="624358"/>
    <s v="Feb"/>
    <n v="2"/>
    <n v="2026"/>
    <s v="Weekday"/>
    <n v="0.40707964601769914"/>
    <n v="0.5757575757575758"/>
    <n v="0.17424242424242425"/>
    <n v="13573"/>
    <s v="Bavaria Motors"/>
  </r>
  <r>
    <s v="CUST_1471"/>
    <x v="14"/>
    <x v="2"/>
    <s v="Friday"/>
    <s v="No"/>
    <x v="1"/>
    <x v="1"/>
    <s v="NRW"/>
    <x v="1"/>
    <s v="Grandland"/>
    <s v="Petrol"/>
    <x v="0"/>
    <s v="36-50"/>
    <s v="Low"/>
    <x v="1"/>
    <x v="1"/>
    <s v="Sales_10"/>
    <n v="405"/>
    <n v="197"/>
    <n v="120"/>
    <n v="29"/>
    <s v="14.72"/>
    <n v="21315"/>
    <s v="10.45"/>
    <n v="19115"/>
    <n v="618135"/>
    <n v="63800"/>
    <s v="Feb"/>
    <n v="2"/>
    <n v="2026"/>
    <s v="Weekday"/>
    <n v="0.24166666666666667"/>
    <n v="0.48641975308641977"/>
    <n v="7.160493827160494E-2"/>
    <n v="2200"/>
    <s v="Rhein Auto Group"/>
  </r>
  <r>
    <s v="CUST_1472"/>
    <x v="7"/>
    <x v="3"/>
    <s v="Monday"/>
    <s v="No"/>
    <x v="5"/>
    <x v="5"/>
    <s v="Hamburg"/>
    <x v="1"/>
    <s v="Grandland"/>
    <s v="Hybrid"/>
    <x v="0"/>
    <s v="36-50"/>
    <s v="High"/>
    <x v="0"/>
    <x v="2"/>
    <s v="Sales_12"/>
    <n v="292"/>
    <n v="131"/>
    <n v="88"/>
    <n v="25"/>
    <s v="19.08"/>
    <n v="25487"/>
    <s v="11.81"/>
    <n v="22766"/>
    <n v="637175"/>
    <n v="68025"/>
    <s v="Feb"/>
    <n v="2"/>
    <n v="2026"/>
    <s v="Weekday"/>
    <n v="0.28409090909090912"/>
    <n v="0.44863013698630139"/>
    <n v="8.5616438356164379E-2"/>
    <n v="2721"/>
    <s v="Elbe Drive"/>
  </r>
  <r>
    <s v="CUST_1473"/>
    <x v="18"/>
    <x v="0"/>
    <s v="Saturday"/>
    <s v="Yes"/>
    <x v="9"/>
    <x v="9"/>
    <s v="NRW"/>
    <x v="4"/>
    <s v="T-Roc"/>
    <s v="Hybrid"/>
    <x v="0"/>
    <s v="36-50"/>
    <s v="Medium"/>
    <x v="1"/>
    <x v="0"/>
    <s v="Sales_10"/>
    <n v="477"/>
    <n v="272"/>
    <n v="158"/>
    <n v="39"/>
    <s v="14.34"/>
    <n v="27806"/>
    <s v="8.42"/>
    <n v="25248"/>
    <n v="1084434"/>
    <n v="99762"/>
    <s v="Feb"/>
    <n v="2"/>
    <n v="2026"/>
    <s v="Weekend"/>
    <n v="0.24683544303797469"/>
    <n v="0.57023060796645697"/>
    <n v="8.1761006289308172E-2"/>
    <n v="2558"/>
    <s v="Ruhr Auto Plaza"/>
  </r>
  <r>
    <s v="CUST_1474"/>
    <x v="20"/>
    <x v="0"/>
    <s v="Thursday"/>
    <s v="No"/>
    <x v="4"/>
    <x v="4"/>
    <s v="Berlin"/>
    <x v="4"/>
    <s v="ID.4"/>
    <s v="Petrol"/>
    <x v="0"/>
    <s v="18-25"/>
    <s v="Medium"/>
    <x v="1"/>
    <x v="3"/>
    <s v="Sales_16"/>
    <n v="262"/>
    <n v="108"/>
    <n v="77"/>
    <n v="18"/>
    <s v="16.67"/>
    <n v="32393"/>
    <s v="10.05"/>
    <n v="29180"/>
    <n v="583074"/>
    <n v="57834"/>
    <s v="Feb"/>
    <n v="2"/>
    <n v="2026"/>
    <s v="Weekday"/>
    <n v="0.23376623376623376"/>
    <n v="0.41221374045801529"/>
    <n v="6.8702290076335881E-2"/>
    <n v="3213"/>
    <s v="Autohaus Berlin"/>
  </r>
  <r>
    <s v="CUST_1475"/>
    <x v="0"/>
    <x v="0"/>
    <s v="Monday"/>
    <s v="No"/>
    <x v="3"/>
    <x v="3"/>
    <s v="Saxony"/>
    <x v="1"/>
    <s v="Grandland"/>
    <s v="Diesel"/>
    <x v="0"/>
    <s v="50+"/>
    <s v="Low"/>
    <x v="1"/>
    <x v="2"/>
    <s v="Sales_1"/>
    <n v="414"/>
    <n v="158"/>
    <n v="99"/>
    <n v="29"/>
    <s v="18.35"/>
    <n v="23983"/>
    <s v="12.33"/>
    <n v="21500"/>
    <n v="695507"/>
    <n v="72007"/>
    <s v="Feb"/>
    <n v="2"/>
    <n v="2026"/>
    <s v="Weekday"/>
    <n v="0.29292929292929293"/>
    <n v="0.38164251207729466"/>
    <n v="7.0048309178743967E-2"/>
    <n v="2483"/>
    <s v="Saxon Wheels"/>
  </r>
  <r>
    <s v="CUST_1476"/>
    <x v="24"/>
    <x v="1"/>
    <s v="Thursday"/>
    <s v="No"/>
    <x v="0"/>
    <x v="0"/>
    <s v="Hesse"/>
    <x v="0"/>
    <s v="5 Series"/>
    <s v="Hybrid"/>
    <x v="1"/>
    <s v="26-35"/>
    <s v="Medium"/>
    <x v="0"/>
    <x v="2"/>
    <s v="Sales_2"/>
    <n v="220"/>
    <n v="103"/>
    <n v="73"/>
    <n v="33"/>
    <s v="32.04"/>
    <n v="66112"/>
    <s v="4.35"/>
    <n v="49546"/>
    <n v="2181696"/>
    <n v="546678"/>
    <s v="Feb"/>
    <n v="2"/>
    <n v="2026"/>
    <s v="Weekday"/>
    <n v="0.45205479452054792"/>
    <n v="0.4681818181818182"/>
    <n v="0.15"/>
    <n v="16566"/>
    <s v="Main Auto Hub"/>
  </r>
  <r>
    <s v="CUST_1477"/>
    <x v="13"/>
    <x v="0"/>
    <s v="Friday"/>
    <s v="No"/>
    <x v="9"/>
    <x v="9"/>
    <s v="NRW"/>
    <x v="2"/>
    <s v="e-tron"/>
    <s v="Electric"/>
    <x v="0"/>
    <s v="26-35"/>
    <s v="Low"/>
    <x v="1"/>
    <x v="0"/>
    <s v="Sales_6"/>
    <n v="291"/>
    <n v="180"/>
    <n v="124"/>
    <n v="32"/>
    <s v="17.78"/>
    <n v="51949"/>
    <s v="5.72"/>
    <n v="42046"/>
    <n v="1662368"/>
    <n v="316896"/>
    <s v="Feb"/>
    <n v="2"/>
    <n v="2026"/>
    <s v="Weekday"/>
    <n v="0.25806451612903225"/>
    <n v="0.61855670103092786"/>
    <n v="0.10996563573883161"/>
    <n v="9903"/>
    <s v="Ruhr Auto Plaza"/>
  </r>
  <r>
    <s v="CUST_1478"/>
    <x v="13"/>
    <x v="0"/>
    <s v="Friday"/>
    <s v="No"/>
    <x v="6"/>
    <x v="6"/>
    <s v="Saxony"/>
    <x v="2"/>
    <s v="Q5"/>
    <s v="Hybrid"/>
    <x v="0"/>
    <s v="26-35"/>
    <s v="High"/>
    <x v="0"/>
    <x v="0"/>
    <s v="Sales_20"/>
    <n v="162"/>
    <n v="86"/>
    <n v="61"/>
    <n v="17"/>
    <s v="19.77"/>
    <n v="43340"/>
    <s v="5.56"/>
    <n v="34749"/>
    <n v="736780"/>
    <n v="146047"/>
    <s v="Feb"/>
    <n v="2"/>
    <n v="2026"/>
    <s v="Weekday"/>
    <n v="0.27868852459016391"/>
    <n v="0.53086419753086422"/>
    <n v="0.10493827160493827"/>
    <n v="8591"/>
    <s v="Leipzig Mobility"/>
  </r>
  <r>
    <s v="CUST_1479"/>
    <x v="18"/>
    <x v="0"/>
    <s v="Saturday"/>
    <s v="Yes"/>
    <x v="5"/>
    <x v="5"/>
    <s v="Hamburg"/>
    <x v="2"/>
    <s v="A3"/>
    <s v="Diesel"/>
    <x v="2"/>
    <s v="26-35"/>
    <s v="Low"/>
    <x v="0"/>
    <x v="0"/>
    <s v="Sales_7"/>
    <n v="248"/>
    <n v="127"/>
    <n v="89"/>
    <n v="28"/>
    <s v="22.05"/>
    <n v="45104"/>
    <s v="3.26"/>
    <n v="36481"/>
    <n v="1262912"/>
    <n v="241444"/>
    <s v="Feb"/>
    <n v="2"/>
    <n v="2026"/>
    <s v="Weekend"/>
    <n v="0.3146067415730337"/>
    <n v="0.51209677419354838"/>
    <n v="0.11290322580645161"/>
    <n v="8623"/>
    <s v="Elbe Drive"/>
  </r>
  <r>
    <s v="CUST_1480"/>
    <x v="19"/>
    <x v="1"/>
    <s v="Saturday"/>
    <s v="Yes"/>
    <x v="1"/>
    <x v="1"/>
    <s v="NRW"/>
    <x v="0"/>
    <s v="i4"/>
    <s v="Electric"/>
    <x v="1"/>
    <s v="50+"/>
    <s v="Low"/>
    <x v="0"/>
    <x v="0"/>
    <s v="Sales_19"/>
    <n v="268"/>
    <n v="159"/>
    <n v="115"/>
    <n v="42"/>
    <s v="26.42"/>
    <n v="67032"/>
    <s v="5.89"/>
    <n v="47771"/>
    <n v="2815344"/>
    <n v="808962"/>
    <s v="Feb"/>
    <n v="2"/>
    <n v="2026"/>
    <s v="Weekend"/>
    <n v="0.36521739130434783"/>
    <n v="0.59328358208955223"/>
    <n v="0.15671641791044777"/>
    <n v="19261"/>
    <s v="Rhein Auto Group"/>
  </r>
  <r>
    <s v="CUST_1481"/>
    <x v="15"/>
    <x v="2"/>
    <s v="Thursday"/>
    <s v="No"/>
    <x v="0"/>
    <x v="0"/>
    <s v="Hesse"/>
    <x v="3"/>
    <s v="EQE"/>
    <s v="Hybrid"/>
    <x v="1"/>
    <s v="50+"/>
    <s v="Medium"/>
    <x v="1"/>
    <x v="1"/>
    <s v="Sales_1"/>
    <n v="240"/>
    <n v="132"/>
    <n v="87"/>
    <n v="35"/>
    <s v="26.52"/>
    <n v="71155"/>
    <s v="3.8"/>
    <n v="51488"/>
    <n v="2490425"/>
    <n v="688345"/>
    <s v="Feb"/>
    <n v="2"/>
    <n v="2026"/>
    <s v="Weekday"/>
    <n v="0.40229885057471265"/>
    <n v="0.55000000000000004"/>
    <n v="0.14583333333333334"/>
    <n v="19667"/>
    <s v="Main Auto Hub"/>
  </r>
  <r>
    <s v="CUST_1482"/>
    <x v="10"/>
    <x v="1"/>
    <s v="Monday"/>
    <s v="No"/>
    <x v="6"/>
    <x v="6"/>
    <s v="Saxony"/>
    <x v="1"/>
    <s v="Mokka"/>
    <s v="Hybrid"/>
    <x v="0"/>
    <s v="18-25"/>
    <s v="Low"/>
    <x v="1"/>
    <x v="2"/>
    <s v="Sales_11"/>
    <n v="401"/>
    <n v="152"/>
    <n v="100"/>
    <n v="26"/>
    <s v="17.11"/>
    <n v="26470"/>
    <s v="9.6"/>
    <n v="23872"/>
    <n v="688220"/>
    <n v="67548"/>
    <s v="Feb"/>
    <n v="2"/>
    <n v="2026"/>
    <s v="Weekday"/>
    <n v="0.26"/>
    <n v="0.37905236907730672"/>
    <n v="6.4837905236907731E-2"/>
    <n v="2598"/>
    <s v="Leipzig Mobility"/>
  </r>
  <r>
    <s v="CUST_1483"/>
    <x v="16"/>
    <x v="1"/>
    <s v="Tuesday"/>
    <s v="No"/>
    <x v="4"/>
    <x v="4"/>
    <s v="Berlin"/>
    <x v="0"/>
    <s v="5 Series"/>
    <s v="Petrol"/>
    <x v="1"/>
    <s v="36-50"/>
    <s v="Medium"/>
    <x v="1"/>
    <x v="2"/>
    <s v="Sales_3"/>
    <n v="186"/>
    <n v="105"/>
    <n v="84"/>
    <n v="35"/>
    <s v="33.33"/>
    <n v="58162"/>
    <s v="2.03"/>
    <n v="45185"/>
    <n v="2035670"/>
    <n v="454195"/>
    <s v="Feb"/>
    <n v="2"/>
    <n v="2026"/>
    <s v="Weekday"/>
    <n v="0.41666666666666669"/>
    <n v="0.56451612903225812"/>
    <n v="0.18817204301075269"/>
    <n v="12977"/>
    <s v="Autohaus Berlin"/>
  </r>
  <r>
    <s v="CUST_1484"/>
    <x v="14"/>
    <x v="2"/>
    <s v="Friday"/>
    <s v="No"/>
    <x v="0"/>
    <x v="0"/>
    <s v="Hesse"/>
    <x v="1"/>
    <s v="Grandland"/>
    <s v="Petrol"/>
    <x v="0"/>
    <s v="18-25"/>
    <s v="Medium"/>
    <x v="0"/>
    <x v="3"/>
    <s v="Sales_1"/>
    <n v="241"/>
    <n v="116"/>
    <n v="71"/>
    <n v="17"/>
    <s v="14.66"/>
    <n v="20586"/>
    <s v="9.24"/>
    <n v="18401"/>
    <n v="349962"/>
    <n v="37145"/>
    <s v="Feb"/>
    <n v="2"/>
    <n v="2026"/>
    <s v="Weekday"/>
    <n v="0.23943661971830985"/>
    <n v="0.48132780082987553"/>
    <n v="7.0539419087136929E-2"/>
    <n v="2185"/>
    <s v="Main Auto Hub"/>
  </r>
  <r>
    <s v="CUST_1485"/>
    <x v="14"/>
    <x v="2"/>
    <s v="Friday"/>
    <s v="No"/>
    <x v="6"/>
    <x v="6"/>
    <s v="Saxony"/>
    <x v="4"/>
    <s v="Passat"/>
    <s v="Petrol"/>
    <x v="1"/>
    <s v="26-35"/>
    <s v="Low"/>
    <x v="1"/>
    <x v="1"/>
    <s v="Sales_1"/>
    <n v="505"/>
    <n v="268"/>
    <n v="171"/>
    <n v="41"/>
    <s v="15.3"/>
    <n v="33117"/>
    <s v="8.66"/>
    <n v="30070"/>
    <n v="1357797"/>
    <n v="124927"/>
    <s v="Feb"/>
    <n v="2"/>
    <n v="2026"/>
    <s v="Weekday"/>
    <n v="0.23976608187134502"/>
    <n v="0.53069306930693072"/>
    <n v="8.1188118811881191E-2"/>
    <n v="3047"/>
    <s v="Leipzig Mobility"/>
  </r>
  <r>
    <s v="CUST_1486"/>
    <x v="0"/>
    <x v="0"/>
    <s v="Monday"/>
    <s v="No"/>
    <x v="3"/>
    <x v="3"/>
    <s v="Saxony"/>
    <x v="4"/>
    <s v="Passat"/>
    <s v="Diesel"/>
    <x v="1"/>
    <s v="26-35"/>
    <s v="Low"/>
    <x v="0"/>
    <x v="2"/>
    <s v="Sales_20"/>
    <n v="322"/>
    <n v="183"/>
    <n v="116"/>
    <n v="30"/>
    <s v="16.39"/>
    <n v="27023"/>
    <s v="11.5"/>
    <n v="23298"/>
    <n v="810690"/>
    <n v="111750"/>
    <s v="Feb"/>
    <n v="2"/>
    <n v="2026"/>
    <s v="Weekday"/>
    <n v="0.25862068965517243"/>
    <n v="0.56832298136645965"/>
    <n v="9.3167701863354033E-2"/>
    <n v="3725"/>
    <s v="Saxon Wheels"/>
  </r>
  <r>
    <s v="CUST_1487"/>
    <x v="15"/>
    <x v="2"/>
    <s v="Thursday"/>
    <s v="No"/>
    <x v="4"/>
    <x v="4"/>
    <s v="Berlin"/>
    <x v="1"/>
    <s v="Grandland"/>
    <s v="Diesel"/>
    <x v="0"/>
    <s v="50+"/>
    <s v="Medium"/>
    <x v="1"/>
    <x v="3"/>
    <s v="Sales_16"/>
    <n v="422"/>
    <n v="202"/>
    <n v="119"/>
    <n v="37"/>
    <s v="18.32"/>
    <n v="25423"/>
    <s v="12.83"/>
    <n v="23073"/>
    <n v="940651"/>
    <n v="86950"/>
    <s v="Feb"/>
    <n v="2"/>
    <n v="2026"/>
    <s v="Weekday"/>
    <n v="0.31092436974789917"/>
    <n v="0.47867298578199052"/>
    <n v="8.7677725118483416E-2"/>
    <n v="2350"/>
    <s v="Autohaus Berlin"/>
  </r>
  <r>
    <s v="CUST_1488"/>
    <x v="23"/>
    <x v="2"/>
    <s v="Tuesday"/>
    <s v="No"/>
    <x v="1"/>
    <x v="1"/>
    <s v="NRW"/>
    <x v="3"/>
    <s v="EQE"/>
    <s v="Petrol"/>
    <x v="1"/>
    <s v="18-25"/>
    <s v="High"/>
    <x v="1"/>
    <x v="3"/>
    <s v="Sales_10"/>
    <n v="185"/>
    <n v="99"/>
    <n v="68"/>
    <n v="22"/>
    <s v="22.22"/>
    <n v="64568"/>
    <s v="4.63"/>
    <n v="48665"/>
    <n v="1420496"/>
    <n v="349866"/>
    <s v="Feb"/>
    <n v="2"/>
    <n v="2026"/>
    <s v="Weekday"/>
    <n v="0.3235294117647059"/>
    <n v="0.53513513513513511"/>
    <n v="0.11891891891891893"/>
    <n v="15903"/>
    <s v="Rhein Auto Group"/>
  </r>
  <r>
    <s v="CUST_1489"/>
    <x v="8"/>
    <x v="3"/>
    <s v="Wednesday"/>
    <s v="No"/>
    <x v="2"/>
    <x v="2"/>
    <s v="Lower Saxony"/>
    <x v="3"/>
    <s v="C-Class"/>
    <s v="Hybrid"/>
    <x v="1"/>
    <s v="50+"/>
    <s v="Low"/>
    <x v="1"/>
    <x v="2"/>
    <s v="Sales_6"/>
    <n v="172"/>
    <n v="87"/>
    <n v="62"/>
    <n v="22"/>
    <s v="25.29"/>
    <n v="51089"/>
    <s v="3.19"/>
    <n v="36472"/>
    <n v="1123958"/>
    <n v="321574"/>
    <s v="Feb"/>
    <n v="2"/>
    <n v="2026"/>
    <s v="Weekday"/>
    <n v="0.35483870967741937"/>
    <n v="0.5058139534883721"/>
    <n v="0.12790697674418605"/>
    <n v="14617"/>
    <s v="Hannover Cars"/>
  </r>
  <r>
    <s v="CUST_1490"/>
    <x v="22"/>
    <x v="3"/>
    <s v="Tuesday"/>
    <s v="No"/>
    <x v="7"/>
    <x v="7"/>
    <s v="Bavaria"/>
    <x v="1"/>
    <s v="Astra"/>
    <s v="Hybrid"/>
    <x v="2"/>
    <s v="36-50"/>
    <s v="High"/>
    <x v="0"/>
    <x v="2"/>
    <s v="Sales_17"/>
    <n v="295"/>
    <n v="130"/>
    <n v="82"/>
    <n v="29"/>
    <s v="22.31"/>
    <n v="21628"/>
    <s v="10.6"/>
    <n v="19843"/>
    <n v="627212"/>
    <n v="51765"/>
    <s v="Feb"/>
    <n v="2"/>
    <n v="2026"/>
    <s v="Weekday"/>
    <n v="0.35365853658536583"/>
    <n v="0.44067796610169491"/>
    <n v="9.8305084745762716E-2"/>
    <n v="1785"/>
    <s v="Bavaria Motors"/>
  </r>
  <r>
    <s v="CUST_1491"/>
    <x v="7"/>
    <x v="3"/>
    <s v="Monday"/>
    <s v="No"/>
    <x v="6"/>
    <x v="6"/>
    <s v="Saxony"/>
    <x v="0"/>
    <s v="X5"/>
    <s v="Hybrid"/>
    <x v="0"/>
    <s v="26-35"/>
    <s v="High"/>
    <x v="1"/>
    <x v="3"/>
    <s v="Sales_14"/>
    <n v="244"/>
    <n v="146"/>
    <n v="113"/>
    <n v="40"/>
    <s v="27.4"/>
    <n v="58598"/>
    <s v="3.38"/>
    <n v="42363"/>
    <n v="2343920"/>
    <n v="649400"/>
    <s v="Feb"/>
    <n v="2"/>
    <n v="2026"/>
    <s v="Weekday"/>
    <n v="0.35398230088495575"/>
    <n v="0.59836065573770492"/>
    <n v="0.16393442622950818"/>
    <n v="16235"/>
    <s v="Leipzig Mobility"/>
  </r>
  <r>
    <s v="CUST_1492"/>
    <x v="6"/>
    <x v="2"/>
    <s v="Saturday"/>
    <s v="Yes"/>
    <x v="5"/>
    <x v="5"/>
    <s v="Hamburg"/>
    <x v="3"/>
    <s v="GLE"/>
    <s v="Hybrid"/>
    <x v="0"/>
    <s v="18-25"/>
    <s v="Medium"/>
    <x v="0"/>
    <x v="3"/>
    <s v="Sales_19"/>
    <n v="164"/>
    <n v="82"/>
    <n v="62"/>
    <n v="20"/>
    <s v="24.39"/>
    <n v="53778"/>
    <s v="4.87"/>
    <n v="41190"/>
    <n v="1075560"/>
    <n v="251760"/>
    <s v="Feb"/>
    <n v="2"/>
    <n v="2026"/>
    <s v="Weekend"/>
    <n v="0.32258064516129031"/>
    <n v="0.5"/>
    <n v="0.12195121951219512"/>
    <n v="12588"/>
    <s v="Elbe Drive"/>
  </r>
  <r>
    <s v="CUST_1493"/>
    <x v="17"/>
    <x v="2"/>
    <s v="Sunday"/>
    <s v="Yes"/>
    <x v="5"/>
    <x v="5"/>
    <s v="Hamburg"/>
    <x v="0"/>
    <s v="X5"/>
    <s v="Hybrid"/>
    <x v="0"/>
    <s v="50+"/>
    <s v="Low"/>
    <x v="0"/>
    <x v="0"/>
    <s v="Sales_7"/>
    <n v="172"/>
    <n v="82"/>
    <n v="56"/>
    <n v="22"/>
    <s v="26.83"/>
    <n v="52634"/>
    <s v="4.48"/>
    <n v="40237"/>
    <n v="1157948"/>
    <n v="272734"/>
    <s v="Feb"/>
    <n v="2"/>
    <n v="2026"/>
    <s v="Weekend"/>
    <n v="0.39285714285714285"/>
    <n v="0.47674418604651164"/>
    <n v="0.12790697674418605"/>
    <n v="12397"/>
    <s v="Elbe Drive"/>
  </r>
  <r>
    <s v="CUST_1494"/>
    <x v="14"/>
    <x v="2"/>
    <s v="Friday"/>
    <s v="No"/>
    <x v="7"/>
    <x v="7"/>
    <s v="Bavaria"/>
    <x v="3"/>
    <s v="GLE"/>
    <s v="Hybrid"/>
    <x v="0"/>
    <s v="18-25"/>
    <s v="Low"/>
    <x v="1"/>
    <x v="0"/>
    <s v="Sales_8"/>
    <n v="222"/>
    <n v="126"/>
    <n v="95"/>
    <n v="34"/>
    <s v="26.98"/>
    <n v="54421"/>
    <s v="2.12"/>
    <n v="41853"/>
    <n v="1850314"/>
    <n v="427312"/>
    <s v="Feb"/>
    <n v="2"/>
    <n v="2026"/>
    <s v="Weekday"/>
    <n v="0.35789473684210527"/>
    <n v="0.56756756756756754"/>
    <n v="0.15315315315315314"/>
    <n v="12568"/>
    <s v="Bavaria Motors"/>
  </r>
  <r>
    <s v="CUST_1495"/>
    <x v="23"/>
    <x v="2"/>
    <s v="Tuesday"/>
    <s v="No"/>
    <x v="2"/>
    <x v="2"/>
    <s v="Lower Saxony"/>
    <x v="0"/>
    <s v="i4"/>
    <s v="Petrol"/>
    <x v="1"/>
    <s v="18-25"/>
    <s v="High"/>
    <x v="1"/>
    <x v="0"/>
    <s v="Sales_16"/>
    <n v="207"/>
    <n v="103"/>
    <n v="75"/>
    <n v="26"/>
    <s v="25.24"/>
    <n v="55088"/>
    <s v="2.2"/>
    <n v="39045"/>
    <n v="1432288"/>
    <n v="417118"/>
    <s v="Feb"/>
    <n v="2"/>
    <n v="2026"/>
    <s v="Weekday"/>
    <n v="0.34666666666666668"/>
    <n v="0.49758454106280192"/>
    <n v="0.12560386473429952"/>
    <n v="16043"/>
    <s v="Hannover Cars"/>
  </r>
  <r>
    <s v="CUST_1496"/>
    <x v="15"/>
    <x v="2"/>
    <s v="Thursday"/>
    <s v="No"/>
    <x v="6"/>
    <x v="6"/>
    <s v="Saxony"/>
    <x v="1"/>
    <s v="Grandland"/>
    <s v="Hybrid"/>
    <x v="0"/>
    <s v="50+"/>
    <s v="High"/>
    <x v="1"/>
    <x v="1"/>
    <s v="Sales_5"/>
    <n v="313"/>
    <n v="142"/>
    <n v="83"/>
    <n v="25"/>
    <s v="17.61"/>
    <n v="26680"/>
    <s v="8.76"/>
    <n v="24141"/>
    <n v="667000"/>
    <n v="63475"/>
    <s v="Feb"/>
    <n v="2"/>
    <n v="2026"/>
    <s v="Weekday"/>
    <n v="0.30120481927710846"/>
    <n v="0.45367412140575081"/>
    <n v="7.9872204472843447E-2"/>
    <n v="2539"/>
    <s v="Leipzig Mobility"/>
  </r>
  <r>
    <s v="CUST_1497"/>
    <x v="2"/>
    <x v="2"/>
    <s v="Monday"/>
    <s v="No"/>
    <x v="2"/>
    <x v="2"/>
    <s v="Lower Saxony"/>
    <x v="0"/>
    <s v="X5"/>
    <s v="Hybrid"/>
    <x v="0"/>
    <s v="18-25"/>
    <s v="Low"/>
    <x v="1"/>
    <x v="2"/>
    <s v="Sales_11"/>
    <n v="268"/>
    <n v="164"/>
    <n v="132"/>
    <n v="50"/>
    <s v="30.49"/>
    <n v="61066"/>
    <s v="3.82"/>
    <n v="43217"/>
    <n v="3053300"/>
    <n v="892450"/>
    <s v="Feb"/>
    <n v="2"/>
    <n v="2026"/>
    <s v="Weekday"/>
    <n v="0.37878787878787878"/>
    <n v="0.61194029850746268"/>
    <n v="0.18656716417910449"/>
    <n v="17849"/>
    <s v="Hannover Cars"/>
  </r>
  <r>
    <s v="CUST_1498"/>
    <x v="5"/>
    <x v="3"/>
    <s v="Saturday"/>
    <s v="Yes"/>
    <x v="7"/>
    <x v="7"/>
    <s v="Bavaria"/>
    <x v="2"/>
    <s v="Q3"/>
    <s v="Electric"/>
    <x v="0"/>
    <s v="50+"/>
    <s v="Medium"/>
    <x v="0"/>
    <x v="0"/>
    <s v="Sales_7"/>
    <n v="187"/>
    <n v="115"/>
    <n v="87"/>
    <n v="25"/>
    <s v="21.74"/>
    <n v="46118"/>
    <s v="5.32"/>
    <n v="37007"/>
    <n v="1152950"/>
    <n v="227775"/>
    <s v="Feb"/>
    <n v="2"/>
    <n v="2026"/>
    <s v="Weekend"/>
    <n v="0.28735632183908044"/>
    <n v="0.61497326203208558"/>
    <n v="0.13368983957219252"/>
    <n v="9111"/>
    <s v="Bavaria Motors"/>
  </r>
  <r>
    <s v="CUST_1499"/>
    <x v="20"/>
    <x v="0"/>
    <s v="Thursday"/>
    <s v="No"/>
    <x v="2"/>
    <x v="2"/>
    <s v="Lower Saxony"/>
    <x v="3"/>
    <s v="C-Class"/>
    <s v="Diesel"/>
    <x v="1"/>
    <s v="18-25"/>
    <s v="High"/>
    <x v="0"/>
    <x v="0"/>
    <s v="Sales_19"/>
    <n v="201"/>
    <n v="93"/>
    <n v="66"/>
    <n v="21"/>
    <s v="22.58"/>
    <n v="52563"/>
    <s v="4.95"/>
    <n v="37934"/>
    <n v="1103823"/>
    <n v="307209"/>
    <s v="Feb"/>
    <n v="2"/>
    <n v="2026"/>
    <s v="Weekday"/>
    <n v="0.31818181818181818"/>
    <n v="0.46268656716417911"/>
    <n v="0.1044776119402985"/>
    <n v="14629"/>
    <s v="Hannover Cars"/>
  </r>
  <r>
    <s v="CUST_1500"/>
    <x v="18"/>
    <x v="0"/>
    <s v="Saturday"/>
    <s v="Yes"/>
    <x v="9"/>
    <x v="9"/>
    <s v="NRW"/>
    <x v="0"/>
    <s v="X5"/>
    <s v="Petrol"/>
    <x v="0"/>
    <s v="50+"/>
    <s v="Medium"/>
    <x v="0"/>
    <x v="3"/>
    <s v="Sales_15"/>
    <n v="252"/>
    <n v="119"/>
    <n v="96"/>
    <n v="27"/>
    <s v="22.69"/>
    <n v="61443"/>
    <s v="2.38"/>
    <n v="44463"/>
    <n v="1658961"/>
    <n v="458460"/>
    <s v="Feb"/>
    <n v="2"/>
    <n v="2026"/>
    <s v="Weekend"/>
    <n v="0.28125"/>
    <n v="0.47222222222222221"/>
    <n v="0.10714285714285714"/>
    <n v="16980"/>
    <s v="Ruhr Auto Plaza"/>
  </r>
  <r>
    <s v="CUST_1501"/>
    <x v="24"/>
    <x v="1"/>
    <s v="Thursday"/>
    <s v="No"/>
    <x v="5"/>
    <x v="5"/>
    <s v="Hamburg"/>
    <x v="2"/>
    <s v="Q3"/>
    <s v="Diesel"/>
    <x v="0"/>
    <s v="36-50"/>
    <s v="Medium"/>
    <x v="1"/>
    <x v="2"/>
    <s v="Sales_16"/>
    <n v="235"/>
    <n v="120"/>
    <n v="82"/>
    <n v="32"/>
    <s v="26.67"/>
    <n v="44994"/>
    <s v="6.54"/>
    <n v="34183"/>
    <n v="1439808"/>
    <n v="345952"/>
    <s v="Feb"/>
    <n v="2"/>
    <n v="2026"/>
    <s v="Weekday"/>
    <n v="0.3902439024390244"/>
    <n v="0.51063829787234039"/>
    <n v="0.13617021276595745"/>
    <n v="10811"/>
    <s v="Elbe Drive"/>
  </r>
  <r>
    <s v="CUST_1502"/>
    <x v="11"/>
    <x v="0"/>
    <s v="Wednesday"/>
    <s v="No"/>
    <x v="5"/>
    <x v="5"/>
    <s v="Hamburg"/>
    <x v="4"/>
    <s v="T-Roc"/>
    <s v="Hybrid"/>
    <x v="0"/>
    <s v="36-50"/>
    <s v="Medium"/>
    <x v="0"/>
    <x v="2"/>
    <s v="Sales_11"/>
    <n v="460"/>
    <n v="215"/>
    <n v="124"/>
    <n v="41"/>
    <s v="19.07"/>
    <n v="30927"/>
    <s v="11.25"/>
    <n v="27036"/>
    <n v="1268007"/>
    <n v="159531"/>
    <s v="Feb"/>
    <n v="2"/>
    <n v="2026"/>
    <s v="Weekday"/>
    <n v="0.33064516129032256"/>
    <n v="0.46739130434782611"/>
    <n v="8.9130434782608695E-2"/>
    <n v="3891"/>
    <s v="Elbe Drive"/>
  </r>
  <r>
    <s v="CUST_1503"/>
    <x v="13"/>
    <x v="0"/>
    <s v="Friday"/>
    <s v="No"/>
    <x v="1"/>
    <x v="1"/>
    <s v="NRW"/>
    <x v="1"/>
    <s v="Crossland"/>
    <s v="Diesel"/>
    <x v="0"/>
    <s v="26-35"/>
    <s v="Medium"/>
    <x v="1"/>
    <x v="2"/>
    <s v="Sales_14"/>
    <n v="422"/>
    <n v="225"/>
    <n v="151"/>
    <n v="46"/>
    <s v="20.44"/>
    <n v="19173"/>
    <s v="13.13"/>
    <n v="17127"/>
    <n v="881958"/>
    <n v="94116"/>
    <s v="Feb"/>
    <n v="2"/>
    <n v="2026"/>
    <s v="Weekday"/>
    <n v="0.30463576158940397"/>
    <n v="0.53317535545023698"/>
    <n v="0.10900473933649289"/>
    <n v="2046"/>
    <s v="Rhein Auto Group"/>
  </r>
  <r>
    <s v="CUST_1504"/>
    <x v="8"/>
    <x v="3"/>
    <s v="Wednesday"/>
    <s v="No"/>
    <x v="2"/>
    <x v="2"/>
    <s v="Lower Saxony"/>
    <x v="2"/>
    <s v="A4"/>
    <s v="Diesel"/>
    <x v="1"/>
    <s v="36-50"/>
    <s v="High"/>
    <x v="1"/>
    <x v="1"/>
    <s v="Sales_11"/>
    <n v="244"/>
    <n v="113"/>
    <n v="85"/>
    <n v="25"/>
    <s v="22.12"/>
    <n v="54592"/>
    <s v="4.76"/>
    <n v="42143"/>
    <n v="1364800"/>
    <n v="311225"/>
    <s v="Feb"/>
    <n v="2"/>
    <n v="2026"/>
    <s v="Weekday"/>
    <n v="0.29411764705882354"/>
    <n v="0.46311475409836067"/>
    <n v="0.10245901639344263"/>
    <n v="12449"/>
    <s v="Hannover Cars"/>
  </r>
  <r>
    <s v="CUST_1505"/>
    <x v="22"/>
    <x v="3"/>
    <s v="Tuesday"/>
    <s v="No"/>
    <x v="1"/>
    <x v="1"/>
    <s v="NRW"/>
    <x v="2"/>
    <s v="Q3"/>
    <s v="Petrol"/>
    <x v="0"/>
    <s v="26-35"/>
    <s v="Low"/>
    <x v="0"/>
    <x v="1"/>
    <s v="Sales_9"/>
    <n v="199"/>
    <n v="99"/>
    <n v="65"/>
    <n v="26"/>
    <s v="26.26"/>
    <n v="43400"/>
    <s v="4.36"/>
    <n v="34451"/>
    <n v="1128400"/>
    <n v="232674"/>
    <s v="Feb"/>
    <n v="2"/>
    <n v="2026"/>
    <s v="Weekday"/>
    <n v="0.4"/>
    <n v="0.49748743718592964"/>
    <n v="0.1306532663316583"/>
    <n v="8949"/>
    <s v="Rhein Auto Group"/>
  </r>
  <r>
    <s v="CUST_1506"/>
    <x v="2"/>
    <x v="2"/>
    <s v="Monday"/>
    <s v="No"/>
    <x v="8"/>
    <x v="8"/>
    <s v="Baden-WÃ¼rttemberg"/>
    <x v="4"/>
    <s v="Golf"/>
    <s v="Hybrid"/>
    <x v="2"/>
    <s v="26-35"/>
    <s v="High"/>
    <x v="0"/>
    <x v="1"/>
    <s v="Sales_8"/>
    <n v="429"/>
    <n v="194"/>
    <n v="117"/>
    <n v="37"/>
    <s v="19.07"/>
    <n v="34772"/>
    <s v="7.48"/>
    <n v="30358"/>
    <n v="1286564"/>
    <n v="163318"/>
    <s v="Feb"/>
    <n v="2"/>
    <n v="2026"/>
    <s v="Weekday"/>
    <n v="0.31623931623931623"/>
    <n v="0.45221445221445222"/>
    <n v="8.6247086247086241E-2"/>
    <n v="4414"/>
    <s v="Stuttgart Auto Center"/>
  </r>
  <r>
    <s v="CUST_1507"/>
    <x v="0"/>
    <x v="0"/>
    <s v="Monday"/>
    <s v="No"/>
    <x v="4"/>
    <x v="4"/>
    <s v="Berlin"/>
    <x v="3"/>
    <s v="GLC"/>
    <s v="Hybrid"/>
    <x v="0"/>
    <s v="50+"/>
    <s v="Medium"/>
    <x v="1"/>
    <x v="3"/>
    <s v="Sales_17"/>
    <n v="277"/>
    <n v="123"/>
    <n v="95"/>
    <n v="31"/>
    <s v="25.2"/>
    <n v="62328"/>
    <s v="2.35"/>
    <n v="45600"/>
    <n v="1932168"/>
    <n v="518568"/>
    <s v="Feb"/>
    <n v="2"/>
    <n v="2026"/>
    <s v="Weekday"/>
    <n v="0.32631578947368423"/>
    <n v="0.44404332129963897"/>
    <n v="0.11191335740072202"/>
    <n v="16728"/>
    <s v="Autohaus Berlin"/>
  </r>
  <r>
    <s v="CUST_1508"/>
    <x v="14"/>
    <x v="2"/>
    <s v="Friday"/>
    <s v="No"/>
    <x v="2"/>
    <x v="2"/>
    <s v="Lower Saxony"/>
    <x v="2"/>
    <s v="e-tron"/>
    <s v="Petrol"/>
    <x v="0"/>
    <s v="26-35"/>
    <s v="Medium"/>
    <x v="0"/>
    <x v="0"/>
    <s v="Sales_17"/>
    <n v="294"/>
    <n v="164"/>
    <n v="107"/>
    <n v="37"/>
    <s v="22.56"/>
    <n v="49050"/>
    <s v="5.14"/>
    <n v="38754"/>
    <n v="1814850"/>
    <n v="380952"/>
    <s v="Feb"/>
    <n v="2"/>
    <n v="2026"/>
    <s v="Weekday"/>
    <n v="0.34579439252336447"/>
    <n v="0.55782312925170063"/>
    <n v="0.12585034013605442"/>
    <n v="10296"/>
    <s v="Hannover Cars"/>
  </r>
  <r>
    <s v="CUST_1509"/>
    <x v="16"/>
    <x v="1"/>
    <s v="Tuesday"/>
    <s v="No"/>
    <x v="6"/>
    <x v="6"/>
    <s v="Saxony"/>
    <x v="3"/>
    <s v="EQE"/>
    <s v="Electric"/>
    <x v="1"/>
    <s v="18-25"/>
    <s v="Low"/>
    <x v="1"/>
    <x v="3"/>
    <s v="Sales_2"/>
    <n v="202"/>
    <n v="118"/>
    <n v="86"/>
    <n v="29"/>
    <s v="24.58"/>
    <n v="69480"/>
    <s v="4.0"/>
    <n v="51581"/>
    <n v="2014920"/>
    <n v="519071"/>
    <s v="Feb"/>
    <n v="2"/>
    <n v="2026"/>
    <s v="Weekday"/>
    <n v="0.33720930232558138"/>
    <n v="0.58415841584158412"/>
    <n v="0.14356435643564355"/>
    <n v="17899"/>
    <s v="Leipzig Mobility"/>
  </r>
  <r>
    <s v="CUST_1510"/>
    <x v="10"/>
    <x v="1"/>
    <s v="Monday"/>
    <s v="No"/>
    <x v="7"/>
    <x v="7"/>
    <s v="Bavaria"/>
    <x v="4"/>
    <s v="Golf"/>
    <s v="Petrol"/>
    <x v="2"/>
    <s v="50+"/>
    <s v="Medium"/>
    <x v="0"/>
    <x v="0"/>
    <s v="Sales_5"/>
    <n v="287"/>
    <n v="151"/>
    <n v="96"/>
    <n v="24"/>
    <s v="15.89"/>
    <n v="29161"/>
    <s v="6.84"/>
    <n v="25173"/>
    <n v="699864"/>
    <n v="95712"/>
    <s v="Feb"/>
    <n v="2"/>
    <n v="2026"/>
    <s v="Weekday"/>
    <n v="0.25"/>
    <n v="0.52613240418118468"/>
    <n v="8.3623693379790948E-2"/>
    <n v="3988"/>
    <s v="Bavaria Motors"/>
  </r>
  <r>
    <s v="CUST_1511"/>
    <x v="23"/>
    <x v="2"/>
    <s v="Tuesday"/>
    <s v="No"/>
    <x v="1"/>
    <x v="1"/>
    <s v="NRW"/>
    <x v="0"/>
    <s v="i4"/>
    <s v="Diesel"/>
    <x v="1"/>
    <s v="36-50"/>
    <s v="High"/>
    <x v="0"/>
    <x v="2"/>
    <s v="Sales_17"/>
    <n v="164"/>
    <n v="82"/>
    <n v="56"/>
    <n v="26"/>
    <s v="31.71"/>
    <n v="59210"/>
    <s v="2.41"/>
    <n v="43700"/>
    <n v="1539460"/>
    <n v="403260"/>
    <s v="Feb"/>
    <n v="2"/>
    <n v="2026"/>
    <s v="Weekday"/>
    <n v="0.4642857142857143"/>
    <n v="0.5"/>
    <n v="0.15853658536585366"/>
    <n v="15510"/>
    <s v="Rhein Auto Group"/>
  </r>
  <r>
    <s v="CUST_1512"/>
    <x v="15"/>
    <x v="2"/>
    <s v="Thursday"/>
    <s v="No"/>
    <x v="9"/>
    <x v="9"/>
    <s v="NRW"/>
    <x v="0"/>
    <s v="X5"/>
    <s v="Hybrid"/>
    <x v="0"/>
    <s v="18-25"/>
    <s v="High"/>
    <x v="1"/>
    <x v="3"/>
    <s v="Sales_18"/>
    <n v="171"/>
    <n v="104"/>
    <n v="78"/>
    <n v="24"/>
    <s v="23.08"/>
    <n v="57534"/>
    <s v="4.61"/>
    <n v="42905"/>
    <n v="1380816"/>
    <n v="351096"/>
    <s v="Feb"/>
    <n v="2"/>
    <n v="2026"/>
    <s v="Weekday"/>
    <n v="0.30769230769230771"/>
    <n v="0.60818713450292394"/>
    <n v="0.14035087719298245"/>
    <n v="14629"/>
    <s v="Ruhr Auto Plaza"/>
  </r>
  <r>
    <s v="CUST_1513"/>
    <x v="12"/>
    <x v="3"/>
    <s v="Thursday"/>
    <s v="No"/>
    <x v="7"/>
    <x v="7"/>
    <s v="Bavaria"/>
    <x v="0"/>
    <s v="X5"/>
    <s v="Diesel"/>
    <x v="0"/>
    <s v="18-25"/>
    <s v="Medium"/>
    <x v="1"/>
    <x v="2"/>
    <s v="Sales_11"/>
    <n v="247"/>
    <n v="121"/>
    <n v="94"/>
    <n v="40"/>
    <s v="33.06"/>
    <n v="64346"/>
    <s v="3.55"/>
    <n v="45874"/>
    <n v="2573840"/>
    <n v="738880"/>
    <s v="Feb"/>
    <n v="2"/>
    <n v="2026"/>
    <s v="Weekday"/>
    <n v="0.42553191489361702"/>
    <n v="0.48987854251012147"/>
    <n v="0.16194331983805668"/>
    <n v="18472"/>
    <s v="Bavaria Motors"/>
  </r>
  <r>
    <s v="CUST_1514"/>
    <x v="25"/>
    <x v="3"/>
    <s v="Friday"/>
    <s v="No"/>
    <x v="3"/>
    <x v="3"/>
    <s v="Saxony"/>
    <x v="2"/>
    <s v="A3"/>
    <s v="Electric"/>
    <x v="2"/>
    <s v="50+"/>
    <s v="Low"/>
    <x v="0"/>
    <x v="0"/>
    <s v="Sales_10"/>
    <n v="164"/>
    <n v="104"/>
    <n v="75"/>
    <n v="20"/>
    <s v="19.23"/>
    <n v="44267"/>
    <s v="3.43"/>
    <n v="33787"/>
    <n v="885340"/>
    <n v="209600"/>
    <s v="Feb"/>
    <n v="2"/>
    <n v="2026"/>
    <s v="Weekday"/>
    <n v="0.26666666666666666"/>
    <n v="0.63414634146341464"/>
    <n v="0.12195121951219512"/>
    <n v="10480"/>
    <s v="Saxon Wheels"/>
  </r>
  <r>
    <s v="CUST_1515"/>
    <x v="15"/>
    <x v="2"/>
    <s v="Thursday"/>
    <s v="No"/>
    <x v="9"/>
    <x v="9"/>
    <s v="NRW"/>
    <x v="0"/>
    <s v="3 Series"/>
    <s v="Petrol"/>
    <x v="1"/>
    <s v="36-50"/>
    <s v="Medium"/>
    <x v="1"/>
    <x v="1"/>
    <s v="Sales_15"/>
    <n v="188"/>
    <n v="92"/>
    <n v="69"/>
    <n v="24"/>
    <s v="26.09"/>
    <n v="53961"/>
    <s v="3.95"/>
    <n v="38187"/>
    <n v="1295064"/>
    <n v="378576"/>
    <s v="Feb"/>
    <n v="2"/>
    <n v="2026"/>
    <s v="Weekday"/>
    <n v="0.34782608695652173"/>
    <n v="0.48936170212765956"/>
    <n v="0.1276595744680851"/>
    <n v="15774"/>
    <s v="Ruhr Auto Plaza"/>
  </r>
  <r>
    <s v="CUST_1516"/>
    <x v="6"/>
    <x v="2"/>
    <s v="Saturday"/>
    <s v="Yes"/>
    <x v="2"/>
    <x v="2"/>
    <s v="Lower Saxony"/>
    <x v="4"/>
    <s v="Tiguan"/>
    <s v="Hybrid"/>
    <x v="0"/>
    <s v="26-35"/>
    <s v="High"/>
    <x v="0"/>
    <x v="1"/>
    <s v="Sales_19"/>
    <n v="441"/>
    <n v="188"/>
    <n v="126"/>
    <n v="32"/>
    <s v="17.02"/>
    <n v="33648"/>
    <s v="9.84"/>
    <n v="30068"/>
    <n v="1076736"/>
    <n v="114560"/>
    <s v="Feb"/>
    <n v="2"/>
    <n v="2026"/>
    <s v="Weekend"/>
    <n v="0.25396825396825395"/>
    <n v="0.42630385487528344"/>
    <n v="7.2562358276643993E-2"/>
    <n v="3580"/>
    <s v="Hannover Cars"/>
  </r>
  <r>
    <s v="CUST_1517"/>
    <x v="23"/>
    <x v="2"/>
    <s v="Tuesday"/>
    <s v="No"/>
    <x v="2"/>
    <x v="2"/>
    <s v="Lower Saxony"/>
    <x v="0"/>
    <s v="X5"/>
    <s v="Diesel"/>
    <x v="0"/>
    <s v="26-35"/>
    <s v="High"/>
    <x v="0"/>
    <x v="1"/>
    <s v="Sales_17"/>
    <n v="168"/>
    <n v="95"/>
    <n v="74"/>
    <n v="28"/>
    <s v="29.47"/>
    <n v="69016"/>
    <s v="2.46"/>
    <n v="53779"/>
    <n v="1932448"/>
    <n v="426636"/>
    <s v="Feb"/>
    <n v="2"/>
    <n v="2026"/>
    <s v="Weekday"/>
    <n v="0.3783783783783784"/>
    <n v="0.56547619047619047"/>
    <n v="0.16666666666666666"/>
    <n v="15237"/>
    <s v="Hannover Cars"/>
  </r>
  <r>
    <s v="CUST_1518"/>
    <x v="25"/>
    <x v="3"/>
    <s v="Friday"/>
    <s v="No"/>
    <x v="4"/>
    <x v="4"/>
    <s v="Berlin"/>
    <x v="3"/>
    <s v="E-Class"/>
    <s v="Diesel"/>
    <x v="1"/>
    <s v="50+"/>
    <s v="High"/>
    <x v="0"/>
    <x v="2"/>
    <s v="Sales_15"/>
    <n v="273"/>
    <n v="143"/>
    <n v="98"/>
    <n v="43"/>
    <s v="30.07"/>
    <n v="69010"/>
    <s v="5.44"/>
    <n v="54193"/>
    <n v="2967430"/>
    <n v="637131"/>
    <s v="Feb"/>
    <n v="2"/>
    <n v="2026"/>
    <s v="Weekday"/>
    <n v="0.43877551020408162"/>
    <n v="0.52380952380952384"/>
    <n v="0.1575091575091575"/>
    <n v="14817"/>
    <s v="Autohaus Berlin"/>
  </r>
  <r>
    <s v="CUST_1519"/>
    <x v="8"/>
    <x v="3"/>
    <s v="Wednesday"/>
    <s v="No"/>
    <x v="4"/>
    <x v="4"/>
    <s v="Berlin"/>
    <x v="4"/>
    <s v="Golf"/>
    <s v="Hybrid"/>
    <x v="2"/>
    <s v="18-25"/>
    <s v="Medium"/>
    <x v="0"/>
    <x v="0"/>
    <s v="Sales_7"/>
    <n v="422"/>
    <n v="236"/>
    <n v="169"/>
    <n v="38"/>
    <s v="16.1"/>
    <n v="32714"/>
    <s v="6.6"/>
    <n v="29428"/>
    <n v="1243132"/>
    <n v="124868"/>
    <s v="Feb"/>
    <n v="2"/>
    <n v="2026"/>
    <s v="Weekday"/>
    <n v="0.22485207100591717"/>
    <n v="0.55924170616113744"/>
    <n v="9.004739336492891E-2"/>
    <n v="3286"/>
    <s v="Autohaus Berlin"/>
  </r>
  <r>
    <s v="CUST_1520"/>
    <x v="4"/>
    <x v="2"/>
    <s v="Wednesday"/>
    <s v="No"/>
    <x v="1"/>
    <x v="1"/>
    <s v="NRW"/>
    <x v="1"/>
    <s v="Astra"/>
    <s v="Diesel"/>
    <x v="2"/>
    <s v="26-35"/>
    <s v="High"/>
    <x v="0"/>
    <x v="3"/>
    <s v="Sales_1"/>
    <n v="405"/>
    <n v="209"/>
    <n v="118"/>
    <n v="36"/>
    <s v="17.22"/>
    <n v="24445"/>
    <s v="10.9"/>
    <n v="21761"/>
    <n v="880020"/>
    <n v="96624"/>
    <s v="Feb"/>
    <n v="2"/>
    <n v="2026"/>
    <s v="Weekday"/>
    <n v="0.30508474576271188"/>
    <n v="0.51604938271604939"/>
    <n v="8.8888888888888892E-2"/>
    <n v="2684"/>
    <s v="Rhein Auto Group"/>
  </r>
  <r>
    <s v="CUST_1521"/>
    <x v="8"/>
    <x v="3"/>
    <s v="Wednesday"/>
    <s v="No"/>
    <x v="2"/>
    <x v="2"/>
    <s v="Lower Saxony"/>
    <x v="2"/>
    <s v="A3"/>
    <s v="Hybrid"/>
    <x v="2"/>
    <s v="26-35"/>
    <s v="High"/>
    <x v="1"/>
    <x v="1"/>
    <s v="Sales_6"/>
    <n v="209"/>
    <n v="126"/>
    <n v="97"/>
    <n v="28"/>
    <s v="22.22"/>
    <n v="42359"/>
    <s v="3.28"/>
    <n v="33973"/>
    <n v="1186052"/>
    <n v="234808"/>
    <s v="Feb"/>
    <n v="2"/>
    <n v="2026"/>
    <s v="Weekday"/>
    <n v="0.28865979381443296"/>
    <n v="0.60287081339712922"/>
    <n v="0.13397129186602871"/>
    <n v="8386"/>
    <s v="Hannover Cars"/>
  </r>
  <r>
    <s v="CUST_1522"/>
    <x v="7"/>
    <x v="3"/>
    <s v="Monday"/>
    <s v="No"/>
    <x v="8"/>
    <x v="8"/>
    <s v="Baden-WÃ¼rttemberg"/>
    <x v="4"/>
    <s v="ID.4"/>
    <s v="Hybrid"/>
    <x v="0"/>
    <s v="50+"/>
    <s v="Medium"/>
    <x v="1"/>
    <x v="2"/>
    <s v="Sales_1"/>
    <n v="499"/>
    <n v="263"/>
    <n v="164"/>
    <n v="48"/>
    <s v="18.25"/>
    <n v="34328"/>
    <s v="8.24"/>
    <n v="30981"/>
    <n v="1647744"/>
    <n v="160656"/>
    <s v="Feb"/>
    <n v="2"/>
    <n v="2026"/>
    <s v="Weekday"/>
    <n v="0.29268292682926828"/>
    <n v="0.52705410821643284"/>
    <n v="9.6192384769539077E-2"/>
    <n v="3347"/>
    <s v="Stuttgart Auto Center"/>
  </r>
  <r>
    <s v="CUST_1523"/>
    <x v="6"/>
    <x v="2"/>
    <s v="Saturday"/>
    <s v="Yes"/>
    <x v="7"/>
    <x v="7"/>
    <s v="Bavaria"/>
    <x v="0"/>
    <s v="X5"/>
    <s v="Electric"/>
    <x v="0"/>
    <s v="26-35"/>
    <s v="Medium"/>
    <x v="1"/>
    <x v="0"/>
    <s v="Sales_3"/>
    <n v="160"/>
    <n v="74"/>
    <n v="54"/>
    <n v="19"/>
    <s v="25.68"/>
    <n v="68823"/>
    <s v="3.59"/>
    <n v="53134"/>
    <n v="1307637"/>
    <n v="298091"/>
    <s v="Feb"/>
    <n v="2"/>
    <n v="2026"/>
    <s v="Weekend"/>
    <n v="0.35185185185185186"/>
    <n v="0.46250000000000002"/>
    <n v="0.11874999999999999"/>
    <n v="15689"/>
    <s v="Bavaria Motors"/>
  </r>
  <r>
    <s v="CUST_1524"/>
    <x v="2"/>
    <x v="2"/>
    <s v="Monday"/>
    <s v="No"/>
    <x v="5"/>
    <x v="5"/>
    <s v="Hamburg"/>
    <x v="3"/>
    <s v="GLE"/>
    <s v="Diesel"/>
    <x v="0"/>
    <s v="36-50"/>
    <s v="Medium"/>
    <x v="1"/>
    <x v="0"/>
    <s v="Sales_13"/>
    <n v="242"/>
    <n v="118"/>
    <n v="78"/>
    <n v="25"/>
    <s v="21.19"/>
    <n v="52336"/>
    <s v="3.57"/>
    <n v="37516"/>
    <n v="1308400"/>
    <n v="370500"/>
    <s v="Feb"/>
    <n v="2"/>
    <n v="2026"/>
    <s v="Weekday"/>
    <n v="0.32051282051282054"/>
    <n v="0.48760330578512395"/>
    <n v="0.10330578512396695"/>
    <n v="14820"/>
    <s v="Elbe Drive"/>
  </r>
  <r>
    <s v="CUST_1525"/>
    <x v="0"/>
    <x v="0"/>
    <s v="Monday"/>
    <s v="No"/>
    <x v="6"/>
    <x v="6"/>
    <s v="Saxony"/>
    <x v="2"/>
    <s v="A3"/>
    <s v="Diesel"/>
    <x v="2"/>
    <s v="26-35"/>
    <s v="Low"/>
    <x v="1"/>
    <x v="0"/>
    <s v="Sales_10"/>
    <n v="203"/>
    <n v="122"/>
    <n v="94"/>
    <n v="26"/>
    <s v="21.31"/>
    <n v="49221"/>
    <s v="3.37"/>
    <n v="39177"/>
    <n v="1279746"/>
    <n v="261144"/>
    <s v="Feb"/>
    <n v="2"/>
    <n v="2026"/>
    <s v="Weekday"/>
    <n v="0.27659574468085107"/>
    <n v="0.60098522167487689"/>
    <n v="0.12807881773399016"/>
    <n v="10044"/>
    <s v="Leipzig Mobility"/>
  </r>
  <r>
    <s v="CUST_1526"/>
    <x v="19"/>
    <x v="1"/>
    <s v="Saturday"/>
    <s v="Yes"/>
    <x v="1"/>
    <x v="1"/>
    <s v="NRW"/>
    <x v="2"/>
    <s v="e-tron"/>
    <s v="Hybrid"/>
    <x v="0"/>
    <s v="26-35"/>
    <s v="High"/>
    <x v="1"/>
    <x v="0"/>
    <s v="Sales_18"/>
    <n v="191"/>
    <n v="92"/>
    <n v="66"/>
    <n v="18"/>
    <s v="19.57"/>
    <n v="49291"/>
    <s v="5.1"/>
    <n v="37304"/>
    <n v="887238"/>
    <n v="215766"/>
    <s v="Feb"/>
    <n v="2"/>
    <n v="2026"/>
    <s v="Weekend"/>
    <n v="0.27272727272727271"/>
    <n v="0.48167539267015708"/>
    <n v="9.4240837696335081E-2"/>
    <n v="11987"/>
    <s v="Rhein Auto Group"/>
  </r>
  <r>
    <s v="CUST_1527"/>
    <x v="3"/>
    <x v="1"/>
    <s v="Sunday"/>
    <s v="Yes"/>
    <x v="0"/>
    <x v="0"/>
    <s v="Hesse"/>
    <x v="2"/>
    <s v="A4"/>
    <s v="Electric"/>
    <x v="1"/>
    <s v="18-25"/>
    <s v="High"/>
    <x v="0"/>
    <x v="0"/>
    <s v="Sales_10"/>
    <n v="245"/>
    <n v="151"/>
    <n v="106"/>
    <n v="33"/>
    <s v="21.85"/>
    <n v="47005"/>
    <s v="4.85"/>
    <n v="35781"/>
    <n v="1551165"/>
    <n v="370392"/>
    <s v="Feb"/>
    <n v="2"/>
    <n v="2026"/>
    <s v="Weekend"/>
    <n v="0.31132075471698112"/>
    <n v="0.61632653061224485"/>
    <n v="0.13469387755102041"/>
    <n v="11224"/>
    <s v="Main Auto Hub"/>
  </r>
  <r>
    <s v="CUST_1528"/>
    <x v="2"/>
    <x v="2"/>
    <s v="Monday"/>
    <s v="No"/>
    <x v="3"/>
    <x v="3"/>
    <s v="Saxony"/>
    <x v="4"/>
    <s v="T-Roc"/>
    <s v="Diesel"/>
    <x v="0"/>
    <s v="26-35"/>
    <s v="Low"/>
    <x v="1"/>
    <x v="0"/>
    <s v="Sales_16"/>
    <n v="333"/>
    <n v="145"/>
    <n v="101"/>
    <n v="16"/>
    <s v="11.03"/>
    <n v="32320"/>
    <s v="11.67"/>
    <n v="28395"/>
    <n v="517120"/>
    <n v="62800"/>
    <s v="Feb"/>
    <n v="2"/>
    <n v="2026"/>
    <s v="Weekday"/>
    <n v="0.15841584158415842"/>
    <n v="0.43543543543543545"/>
    <n v="4.8048048048048048E-2"/>
    <n v="3925"/>
    <s v="Saxon Wheels"/>
  </r>
  <r>
    <s v="CUST_1529"/>
    <x v="6"/>
    <x v="2"/>
    <s v="Saturday"/>
    <s v="Yes"/>
    <x v="6"/>
    <x v="6"/>
    <s v="Saxony"/>
    <x v="1"/>
    <s v="Grandland"/>
    <s v="Diesel"/>
    <x v="0"/>
    <s v="50+"/>
    <s v="Low"/>
    <x v="1"/>
    <x v="1"/>
    <s v="Sales_6"/>
    <n v="365"/>
    <n v="146"/>
    <n v="92"/>
    <n v="23"/>
    <s v="15.75"/>
    <n v="27085"/>
    <s v="8.85"/>
    <n v="25042"/>
    <n v="622955"/>
    <n v="46989"/>
    <s v="Feb"/>
    <n v="2"/>
    <n v="2026"/>
    <s v="Weekend"/>
    <n v="0.25"/>
    <n v="0.4"/>
    <n v="6.3013698630136991E-2"/>
    <n v="2043"/>
    <s v="Leipzig Mobility"/>
  </r>
  <r>
    <s v="CUST_1530"/>
    <x v="13"/>
    <x v="0"/>
    <s v="Friday"/>
    <s v="No"/>
    <x v="9"/>
    <x v="9"/>
    <s v="NRW"/>
    <x v="3"/>
    <s v="E-Class"/>
    <s v="Diesel"/>
    <x v="1"/>
    <s v="36-50"/>
    <s v="High"/>
    <x v="0"/>
    <x v="0"/>
    <s v="Sales_7"/>
    <n v="146"/>
    <n v="78"/>
    <n v="60"/>
    <n v="17"/>
    <s v="21.79"/>
    <n v="64854"/>
    <s v="5.04"/>
    <n v="50715"/>
    <n v="1102518"/>
    <n v="240363"/>
    <s v="Feb"/>
    <n v="2"/>
    <n v="2026"/>
    <s v="Weekday"/>
    <n v="0.28333333333333333"/>
    <n v="0.53424657534246578"/>
    <n v="0.11643835616438356"/>
    <n v="14139"/>
    <s v="Ruhr Auto Plaza"/>
  </r>
  <r>
    <s v="CUST_1531"/>
    <x v="20"/>
    <x v="0"/>
    <s v="Thursday"/>
    <s v="No"/>
    <x v="7"/>
    <x v="7"/>
    <s v="Bavaria"/>
    <x v="0"/>
    <s v="5 Series"/>
    <s v="Diesel"/>
    <x v="1"/>
    <s v="26-35"/>
    <s v="Medium"/>
    <x v="0"/>
    <x v="3"/>
    <s v="Sales_18"/>
    <n v="148"/>
    <n v="81"/>
    <n v="61"/>
    <n v="24"/>
    <s v="29.63"/>
    <n v="54219"/>
    <s v="5.03"/>
    <n v="41726"/>
    <n v="1301256"/>
    <n v="299832"/>
    <s v="Feb"/>
    <n v="2"/>
    <n v="2026"/>
    <s v="Weekday"/>
    <n v="0.39344262295081966"/>
    <n v="0.54729729729729726"/>
    <n v="0.16216216216216217"/>
    <n v="12493"/>
    <s v="Bavaria Motors"/>
  </r>
  <r>
    <s v="CUST_1532"/>
    <x v="21"/>
    <x v="0"/>
    <s v="Tuesday"/>
    <s v="No"/>
    <x v="2"/>
    <x v="2"/>
    <s v="Lower Saxony"/>
    <x v="3"/>
    <s v="EQE"/>
    <s v="Electric"/>
    <x v="1"/>
    <s v="50+"/>
    <s v="Low"/>
    <x v="1"/>
    <x v="0"/>
    <s v="Sales_16"/>
    <n v="270"/>
    <n v="131"/>
    <n v="90"/>
    <n v="32"/>
    <s v="24.43"/>
    <n v="69055"/>
    <s v="4.93"/>
    <n v="54372"/>
    <n v="2209760"/>
    <n v="469856"/>
    <s v="Feb"/>
    <n v="2"/>
    <n v="2026"/>
    <s v="Weekday"/>
    <n v="0.35555555555555557"/>
    <n v="0.48518518518518516"/>
    <n v="0.11851851851851852"/>
    <n v="14683"/>
    <s v="Hannover Cars"/>
  </r>
  <r>
    <s v="CUST_1533"/>
    <x v="7"/>
    <x v="3"/>
    <s v="Monday"/>
    <s v="No"/>
    <x v="4"/>
    <x v="4"/>
    <s v="Berlin"/>
    <x v="0"/>
    <s v="i4"/>
    <s v="Petrol"/>
    <x v="1"/>
    <s v="36-50"/>
    <s v="Medium"/>
    <x v="1"/>
    <x v="0"/>
    <s v="Sales_13"/>
    <n v="169"/>
    <n v="84"/>
    <n v="63"/>
    <n v="24"/>
    <s v="28.57"/>
    <n v="51598"/>
    <s v="2.39"/>
    <n v="39190"/>
    <n v="1238352"/>
    <n v="297792"/>
    <s v="Feb"/>
    <n v="2"/>
    <n v="2026"/>
    <s v="Weekday"/>
    <n v="0.38095238095238093"/>
    <n v="0.49704142011834318"/>
    <n v="0.14201183431952663"/>
    <n v="12408"/>
    <s v="Autohaus Berlin"/>
  </r>
  <r>
    <s v="CUST_1534"/>
    <x v="22"/>
    <x v="3"/>
    <s v="Tuesday"/>
    <s v="No"/>
    <x v="6"/>
    <x v="6"/>
    <s v="Saxony"/>
    <x v="4"/>
    <s v="Golf"/>
    <s v="Petrol"/>
    <x v="2"/>
    <s v="50+"/>
    <s v="High"/>
    <x v="1"/>
    <x v="2"/>
    <s v="Sales_18"/>
    <n v="329"/>
    <n v="132"/>
    <n v="81"/>
    <n v="23"/>
    <s v="17.42"/>
    <n v="29133"/>
    <s v="8.39"/>
    <n v="25528"/>
    <n v="670059"/>
    <n v="82915"/>
    <s v="Feb"/>
    <n v="2"/>
    <n v="2026"/>
    <s v="Weekday"/>
    <n v="0.2839506172839506"/>
    <n v="0.40121580547112462"/>
    <n v="6.9908814589665649E-2"/>
    <n v="3605"/>
    <s v="Leipzig Mobility"/>
  </r>
  <r>
    <s v="CUST_1535"/>
    <x v="17"/>
    <x v="2"/>
    <s v="Sunday"/>
    <s v="Yes"/>
    <x v="4"/>
    <x v="4"/>
    <s v="Berlin"/>
    <x v="4"/>
    <s v="Passat"/>
    <s v="Electric"/>
    <x v="1"/>
    <s v="18-25"/>
    <s v="High"/>
    <x v="1"/>
    <x v="0"/>
    <s v="Sales_2"/>
    <n v="430"/>
    <n v="205"/>
    <n v="138"/>
    <n v="26"/>
    <s v="12.68"/>
    <n v="33696"/>
    <s v="6.09"/>
    <n v="30352"/>
    <n v="876096"/>
    <n v="86944"/>
    <s v="Feb"/>
    <n v="2"/>
    <n v="2026"/>
    <s v="Weekend"/>
    <n v="0.18840579710144928"/>
    <n v="0.47674418604651164"/>
    <n v="6.0465116279069767E-2"/>
    <n v="3344"/>
    <s v="Autohaus Berlin"/>
  </r>
  <r>
    <s v="CUST_1536"/>
    <x v="22"/>
    <x v="3"/>
    <s v="Tuesday"/>
    <s v="No"/>
    <x v="4"/>
    <x v="4"/>
    <s v="Berlin"/>
    <x v="4"/>
    <s v="Golf"/>
    <s v="Hybrid"/>
    <x v="2"/>
    <s v="50+"/>
    <s v="High"/>
    <x v="1"/>
    <x v="1"/>
    <s v="Sales_18"/>
    <n v="328"/>
    <n v="180"/>
    <n v="127"/>
    <n v="30"/>
    <s v="16.67"/>
    <n v="33624"/>
    <s v="11.51"/>
    <n v="29601"/>
    <n v="1008720"/>
    <n v="120690"/>
    <s v="Feb"/>
    <n v="2"/>
    <n v="2026"/>
    <s v="Weekday"/>
    <n v="0.23622047244094488"/>
    <n v="0.54878048780487809"/>
    <n v="9.1463414634146339E-2"/>
    <n v="4023"/>
    <s v="Autohaus Berlin"/>
  </r>
  <r>
    <s v="CUST_1537"/>
    <x v="21"/>
    <x v="0"/>
    <s v="Tuesday"/>
    <s v="No"/>
    <x v="4"/>
    <x v="4"/>
    <s v="Berlin"/>
    <x v="0"/>
    <s v="i4"/>
    <s v="Petrol"/>
    <x v="1"/>
    <s v="50+"/>
    <s v="Low"/>
    <x v="0"/>
    <x v="0"/>
    <s v="Sales_19"/>
    <n v="274"/>
    <n v="141"/>
    <n v="106"/>
    <n v="43"/>
    <s v="30.5"/>
    <n v="55489"/>
    <s v="5.8"/>
    <n v="40683"/>
    <n v="2386027"/>
    <n v="636658"/>
    <s v="Feb"/>
    <n v="2"/>
    <n v="2026"/>
    <s v="Weekday"/>
    <n v="0.40566037735849059"/>
    <n v="0.51459854014598538"/>
    <n v="0.15693430656934307"/>
    <n v="14806"/>
    <s v="Autohaus Berlin"/>
  </r>
  <r>
    <s v="CUST_1538"/>
    <x v="17"/>
    <x v="2"/>
    <s v="Sunday"/>
    <s v="Yes"/>
    <x v="5"/>
    <x v="5"/>
    <s v="Hamburg"/>
    <x v="4"/>
    <s v="T-Roc"/>
    <s v="Hybrid"/>
    <x v="0"/>
    <s v="26-35"/>
    <s v="Low"/>
    <x v="0"/>
    <x v="1"/>
    <s v="Sales_3"/>
    <n v="375"/>
    <n v="201"/>
    <n v="126"/>
    <n v="33"/>
    <s v="16.42"/>
    <n v="27062"/>
    <s v="9.37"/>
    <n v="24136"/>
    <n v="893046"/>
    <n v="96558"/>
    <s v="Feb"/>
    <n v="2"/>
    <n v="2026"/>
    <s v="Weekend"/>
    <n v="0.26190476190476192"/>
    <n v="0.53600000000000003"/>
    <n v="8.7999999999999995E-2"/>
    <n v="2926"/>
    <s v="Elbe Drive"/>
  </r>
  <r>
    <s v="CUST_1539"/>
    <x v="22"/>
    <x v="3"/>
    <s v="Tuesday"/>
    <s v="No"/>
    <x v="2"/>
    <x v="2"/>
    <s v="Lower Saxony"/>
    <x v="0"/>
    <s v="X3"/>
    <s v="Electric"/>
    <x v="0"/>
    <s v="36-50"/>
    <s v="Medium"/>
    <x v="0"/>
    <x v="2"/>
    <s v="Sales_18"/>
    <n v="160"/>
    <n v="89"/>
    <n v="62"/>
    <n v="28"/>
    <s v="31.46"/>
    <n v="65515"/>
    <s v="3.27"/>
    <n v="49611"/>
    <n v="1834420"/>
    <n v="445312"/>
    <s v="Feb"/>
    <n v="2"/>
    <n v="2026"/>
    <s v="Weekday"/>
    <n v="0.45161290322580644"/>
    <n v="0.55625000000000002"/>
    <n v="0.17499999999999999"/>
    <n v="15904"/>
    <s v="Hannover Cars"/>
  </r>
  <r>
    <s v="CUST_1540"/>
    <x v="13"/>
    <x v="0"/>
    <s v="Friday"/>
    <s v="No"/>
    <x v="8"/>
    <x v="8"/>
    <s v="Baden-WÃ¼rttemberg"/>
    <x v="4"/>
    <s v="Golf"/>
    <s v="Electric"/>
    <x v="2"/>
    <s v="50+"/>
    <s v="Low"/>
    <x v="0"/>
    <x v="1"/>
    <s v="Sales_3"/>
    <n v="497"/>
    <n v="216"/>
    <n v="137"/>
    <n v="41"/>
    <s v="18.98"/>
    <n v="26132"/>
    <s v="6.67"/>
    <n v="23461"/>
    <n v="1071412"/>
    <n v="109511"/>
    <s v="Feb"/>
    <n v="2"/>
    <n v="2026"/>
    <s v="Weekday"/>
    <n v="0.29927007299270075"/>
    <n v="0.43460764587525152"/>
    <n v="8.249496981891348E-2"/>
    <n v="2671"/>
    <s v="Stuttgart Auto Center"/>
  </r>
  <r>
    <s v="CUST_1541"/>
    <x v="15"/>
    <x v="2"/>
    <s v="Thursday"/>
    <s v="No"/>
    <x v="7"/>
    <x v="7"/>
    <s v="Bavaria"/>
    <x v="3"/>
    <s v="GLE"/>
    <s v="Petrol"/>
    <x v="0"/>
    <s v="36-50"/>
    <s v="Low"/>
    <x v="1"/>
    <x v="3"/>
    <s v="Sales_16"/>
    <n v="152"/>
    <n v="74"/>
    <n v="51"/>
    <n v="17"/>
    <s v="22.97"/>
    <n v="64160"/>
    <s v="3.47"/>
    <n v="49824"/>
    <n v="1090720"/>
    <n v="243712"/>
    <s v="Feb"/>
    <n v="2"/>
    <n v="2026"/>
    <s v="Weekday"/>
    <n v="0.33333333333333331"/>
    <n v="0.48684210526315791"/>
    <n v="0.1118421052631579"/>
    <n v="14336"/>
    <s v="Bavaria Motors"/>
  </r>
  <r>
    <s v="CUST_1542"/>
    <x v="17"/>
    <x v="2"/>
    <s v="Sunday"/>
    <s v="Yes"/>
    <x v="9"/>
    <x v="9"/>
    <s v="NRW"/>
    <x v="1"/>
    <s v="Astra"/>
    <s v="Petrol"/>
    <x v="2"/>
    <s v="18-25"/>
    <s v="Low"/>
    <x v="0"/>
    <x v="2"/>
    <s v="Sales_18"/>
    <n v="338"/>
    <n v="172"/>
    <n v="119"/>
    <n v="26"/>
    <s v="15.12"/>
    <n v="22392"/>
    <s v="13.82"/>
    <n v="20119"/>
    <n v="582192"/>
    <n v="59098"/>
    <s v="Feb"/>
    <n v="2"/>
    <n v="2026"/>
    <s v="Weekend"/>
    <n v="0.21848739495798319"/>
    <n v="0.50887573964497046"/>
    <n v="7.6923076923076927E-2"/>
    <n v="2273"/>
    <s v="Ruhr Auto Plaza"/>
  </r>
  <r>
    <s v="CUST_1543"/>
    <x v="3"/>
    <x v="1"/>
    <s v="Sunday"/>
    <s v="Yes"/>
    <x v="5"/>
    <x v="5"/>
    <s v="Hamburg"/>
    <x v="4"/>
    <s v="Tiguan"/>
    <s v="Petrol"/>
    <x v="0"/>
    <s v="26-35"/>
    <s v="Medium"/>
    <x v="0"/>
    <x v="3"/>
    <s v="Sales_9"/>
    <n v="370"/>
    <n v="167"/>
    <n v="106"/>
    <n v="24"/>
    <s v="14.37"/>
    <n v="34092"/>
    <s v="8.06"/>
    <n v="30598"/>
    <n v="818208"/>
    <n v="83856"/>
    <s v="Feb"/>
    <n v="2"/>
    <n v="2026"/>
    <s v="Weekend"/>
    <n v="0.22641509433962265"/>
    <n v="0.45135135135135135"/>
    <n v="6.4864864864864868E-2"/>
    <n v="3494"/>
    <s v="Elbe Drive"/>
  </r>
  <r>
    <s v="CUST_1544"/>
    <x v="19"/>
    <x v="1"/>
    <s v="Saturday"/>
    <s v="Yes"/>
    <x v="5"/>
    <x v="5"/>
    <s v="Hamburg"/>
    <x v="0"/>
    <s v="3 Series"/>
    <s v="Petrol"/>
    <x v="1"/>
    <s v="18-25"/>
    <s v="Medium"/>
    <x v="0"/>
    <x v="2"/>
    <s v="Sales_6"/>
    <n v="254"/>
    <n v="153"/>
    <n v="106"/>
    <n v="49"/>
    <s v="32.03"/>
    <n v="55918"/>
    <s v="2.17"/>
    <n v="40102"/>
    <n v="2739982"/>
    <n v="774984"/>
    <s v="Feb"/>
    <n v="2"/>
    <n v="2026"/>
    <s v="Weekend"/>
    <n v="0.46226415094339623"/>
    <n v="0.60236220472440949"/>
    <n v="0.19291338582677164"/>
    <n v="15816"/>
    <s v="Elbe Drive"/>
  </r>
  <r>
    <s v="CUST_1545"/>
    <x v="20"/>
    <x v="0"/>
    <s v="Thursday"/>
    <s v="No"/>
    <x v="8"/>
    <x v="8"/>
    <s v="Baden-WÃ¼rttemberg"/>
    <x v="3"/>
    <s v="EQE"/>
    <s v="Electric"/>
    <x v="1"/>
    <s v="18-25"/>
    <s v="Medium"/>
    <x v="1"/>
    <x v="0"/>
    <s v="Sales_12"/>
    <n v="158"/>
    <n v="90"/>
    <n v="60"/>
    <n v="19"/>
    <s v="21.11"/>
    <n v="68644"/>
    <s v="4.43"/>
    <n v="50514"/>
    <n v="1304236"/>
    <n v="344470"/>
    <s v="Feb"/>
    <n v="2"/>
    <n v="2026"/>
    <s v="Weekday"/>
    <n v="0.31666666666666665"/>
    <n v="0.569620253164557"/>
    <n v="0.12025316455696203"/>
    <n v="18130"/>
    <s v="Stuttgart Auto Center"/>
  </r>
  <r>
    <s v="CUST_1546"/>
    <x v="19"/>
    <x v="1"/>
    <s v="Saturday"/>
    <s v="Yes"/>
    <x v="6"/>
    <x v="6"/>
    <s v="Saxony"/>
    <x v="4"/>
    <s v="Passat"/>
    <s v="Hybrid"/>
    <x v="1"/>
    <s v="26-35"/>
    <s v="Medium"/>
    <x v="0"/>
    <x v="2"/>
    <s v="Sales_3"/>
    <n v="372"/>
    <n v="164"/>
    <n v="102"/>
    <n v="26"/>
    <s v="15.85"/>
    <n v="34046"/>
    <s v="10.34"/>
    <n v="29677"/>
    <n v="885196"/>
    <n v="113594"/>
    <s v="Feb"/>
    <n v="2"/>
    <n v="2026"/>
    <s v="Weekend"/>
    <n v="0.25490196078431371"/>
    <n v="0.44086021505376344"/>
    <n v="6.9892473118279563E-2"/>
    <n v="4369"/>
    <s v="Leipzig Mobility"/>
  </r>
  <r>
    <s v="CUST_1547"/>
    <x v="9"/>
    <x v="0"/>
    <s v="Sunday"/>
    <s v="Yes"/>
    <x v="8"/>
    <x v="8"/>
    <s v="Baden-WÃ¼rttemberg"/>
    <x v="3"/>
    <s v="GLC"/>
    <s v="Petrol"/>
    <x v="0"/>
    <s v="50+"/>
    <s v="Low"/>
    <x v="1"/>
    <x v="0"/>
    <s v="Sales_14"/>
    <n v="212"/>
    <n v="110"/>
    <n v="75"/>
    <n v="27"/>
    <s v="24.55"/>
    <n v="67306"/>
    <s v="3.66"/>
    <n v="52489"/>
    <n v="1817262"/>
    <n v="400059"/>
    <s v="Feb"/>
    <n v="2"/>
    <n v="2026"/>
    <s v="Weekend"/>
    <n v="0.36"/>
    <n v="0.51886792452830188"/>
    <n v="0.12735849056603774"/>
    <n v="14817"/>
    <s v="Stuttgart Auto Center"/>
  </r>
  <r>
    <s v="CUST_1548"/>
    <x v="11"/>
    <x v="0"/>
    <s v="Wednesday"/>
    <s v="No"/>
    <x v="5"/>
    <x v="5"/>
    <s v="Hamburg"/>
    <x v="0"/>
    <s v="X5"/>
    <s v="Hybrid"/>
    <x v="0"/>
    <s v="36-50"/>
    <s v="Low"/>
    <x v="0"/>
    <x v="2"/>
    <s v="Sales_18"/>
    <n v="198"/>
    <n v="111"/>
    <n v="76"/>
    <n v="37"/>
    <s v="33.33"/>
    <n v="63654"/>
    <s v="2.44"/>
    <n v="44636"/>
    <n v="2355198"/>
    <n v="703666"/>
    <s v="Feb"/>
    <n v="2"/>
    <n v="2026"/>
    <s v="Weekday"/>
    <n v="0.48684210526315791"/>
    <n v="0.56060606060606055"/>
    <n v="0.18686868686868688"/>
    <n v="19018"/>
    <s v="Elbe Drive"/>
  </r>
  <r>
    <s v="CUST_1549"/>
    <x v="3"/>
    <x v="1"/>
    <s v="Sunday"/>
    <s v="Yes"/>
    <x v="4"/>
    <x v="4"/>
    <s v="Berlin"/>
    <x v="0"/>
    <s v="5 Series"/>
    <s v="Electric"/>
    <x v="1"/>
    <s v="36-50"/>
    <s v="High"/>
    <x v="0"/>
    <x v="3"/>
    <s v="Sales_6"/>
    <n v="166"/>
    <n v="80"/>
    <n v="56"/>
    <n v="22"/>
    <s v="27.5"/>
    <n v="61625"/>
    <s v="2.76"/>
    <n v="44589"/>
    <n v="1355750"/>
    <n v="374792"/>
    <s v="Feb"/>
    <n v="2"/>
    <n v="2026"/>
    <s v="Weekend"/>
    <n v="0.39285714285714285"/>
    <n v="0.48192771084337349"/>
    <n v="0.13253012048192772"/>
    <n v="17036"/>
    <s v="Autohaus Berlin"/>
  </r>
  <r>
    <s v="CUST_1550"/>
    <x v="5"/>
    <x v="3"/>
    <s v="Saturday"/>
    <s v="Yes"/>
    <x v="9"/>
    <x v="9"/>
    <s v="NRW"/>
    <x v="2"/>
    <s v="e-tron"/>
    <s v="Electric"/>
    <x v="0"/>
    <s v="50+"/>
    <s v="Low"/>
    <x v="1"/>
    <x v="2"/>
    <s v="Sales_9"/>
    <n v="199"/>
    <n v="112"/>
    <n v="72"/>
    <n v="23"/>
    <s v="20.54"/>
    <n v="46880"/>
    <s v="5.46"/>
    <n v="38276"/>
    <n v="1078240"/>
    <n v="197892"/>
    <s v="Feb"/>
    <n v="2"/>
    <n v="2026"/>
    <s v="Weekend"/>
    <n v="0.31944444444444442"/>
    <n v="0.56281407035175879"/>
    <n v="0.11557788944723618"/>
    <n v="8604"/>
    <s v="Ruhr Auto Plaza"/>
  </r>
  <r>
    <s v="CUST_1551"/>
    <x v="14"/>
    <x v="2"/>
    <s v="Friday"/>
    <s v="No"/>
    <x v="9"/>
    <x v="9"/>
    <s v="NRW"/>
    <x v="1"/>
    <s v="Grandland"/>
    <s v="Diesel"/>
    <x v="0"/>
    <s v="18-25"/>
    <s v="High"/>
    <x v="1"/>
    <x v="0"/>
    <s v="Sales_5"/>
    <n v="287"/>
    <n v="127"/>
    <n v="87"/>
    <n v="16"/>
    <s v="12.6"/>
    <n v="26028"/>
    <s v="8.5"/>
    <n v="23494"/>
    <n v="416448"/>
    <n v="40544"/>
    <s v="Feb"/>
    <n v="2"/>
    <n v="2026"/>
    <s v="Weekday"/>
    <n v="0.18390804597701149"/>
    <n v="0.4425087108013937"/>
    <n v="5.5749128919860627E-2"/>
    <n v="2534"/>
    <s v="Ruhr Auto Plaza"/>
  </r>
  <r>
    <s v="CUST_1552"/>
    <x v="1"/>
    <x v="1"/>
    <s v="Wednesday"/>
    <s v="No"/>
    <x v="2"/>
    <x v="2"/>
    <s v="Lower Saxony"/>
    <x v="3"/>
    <s v="C-Class"/>
    <s v="Hybrid"/>
    <x v="1"/>
    <s v="26-35"/>
    <s v="High"/>
    <x v="0"/>
    <x v="0"/>
    <s v="Sales_16"/>
    <n v="200"/>
    <n v="90"/>
    <n v="62"/>
    <n v="20"/>
    <s v="22.22"/>
    <n v="60600"/>
    <s v="5.99"/>
    <n v="43948"/>
    <n v="1212000"/>
    <n v="333040"/>
    <s v="Feb"/>
    <n v="2"/>
    <n v="2026"/>
    <s v="Weekday"/>
    <n v="0.32258064516129031"/>
    <n v="0.45"/>
    <n v="0.1"/>
    <n v="16652"/>
    <s v="Hannover Cars"/>
  </r>
  <r>
    <s v="CUST_1553"/>
    <x v="3"/>
    <x v="1"/>
    <s v="Sunday"/>
    <s v="Yes"/>
    <x v="1"/>
    <x v="1"/>
    <s v="NRW"/>
    <x v="0"/>
    <s v="3 Series"/>
    <s v="Hybrid"/>
    <x v="1"/>
    <s v="50+"/>
    <s v="Low"/>
    <x v="1"/>
    <x v="1"/>
    <s v="Sales_18"/>
    <n v="278"/>
    <n v="147"/>
    <n v="115"/>
    <n v="39"/>
    <s v="26.53"/>
    <n v="53810"/>
    <s v="2.1"/>
    <n v="39115"/>
    <n v="2098590"/>
    <n v="573105"/>
    <s v="Feb"/>
    <n v="2"/>
    <n v="2026"/>
    <s v="Weekend"/>
    <n v="0.33913043478260868"/>
    <n v="0.52877697841726623"/>
    <n v="0.14028776978417265"/>
    <n v="14695"/>
    <s v="Rhein Auto Group"/>
  </r>
  <r>
    <s v="CUST_1554"/>
    <x v="20"/>
    <x v="0"/>
    <s v="Thursday"/>
    <s v="No"/>
    <x v="1"/>
    <x v="1"/>
    <s v="NRW"/>
    <x v="4"/>
    <s v="ID.4"/>
    <s v="Petrol"/>
    <x v="0"/>
    <s v="36-50"/>
    <s v="High"/>
    <x v="1"/>
    <x v="0"/>
    <s v="Sales_17"/>
    <n v="340"/>
    <n v="143"/>
    <n v="89"/>
    <n v="19"/>
    <s v="13.29"/>
    <n v="33908"/>
    <s v="6.35"/>
    <n v="29339"/>
    <n v="644252"/>
    <n v="86811"/>
    <s v="Feb"/>
    <n v="2"/>
    <n v="2026"/>
    <s v="Weekday"/>
    <n v="0.21348314606741572"/>
    <n v="0.42058823529411765"/>
    <n v="5.5882352941176473E-2"/>
    <n v="4569"/>
    <s v="Rhein Auto Group"/>
  </r>
  <r>
    <s v="CUST_1555"/>
    <x v="15"/>
    <x v="2"/>
    <s v="Thursday"/>
    <s v="No"/>
    <x v="9"/>
    <x v="9"/>
    <s v="NRW"/>
    <x v="4"/>
    <s v="Golf"/>
    <s v="Electric"/>
    <x v="2"/>
    <s v="50+"/>
    <s v="High"/>
    <x v="0"/>
    <x v="2"/>
    <s v="Sales_15"/>
    <n v="498"/>
    <n v="229"/>
    <n v="158"/>
    <n v="37"/>
    <s v="16.16"/>
    <n v="33284"/>
    <s v="6.41"/>
    <n v="29189"/>
    <n v="1231508"/>
    <n v="151515"/>
    <s v="Feb"/>
    <n v="2"/>
    <n v="2026"/>
    <s v="Weekday"/>
    <n v="0.23417721518987342"/>
    <n v="0.45983935742971888"/>
    <n v="7.4297188755020074E-2"/>
    <n v="4095"/>
    <s v="Ruhr Auto Plaza"/>
  </r>
  <r>
    <s v="CUST_1556"/>
    <x v="14"/>
    <x v="2"/>
    <s v="Friday"/>
    <s v="No"/>
    <x v="0"/>
    <x v="0"/>
    <s v="Hesse"/>
    <x v="4"/>
    <s v="Golf"/>
    <s v="Diesel"/>
    <x v="2"/>
    <s v="50+"/>
    <s v="Low"/>
    <x v="1"/>
    <x v="2"/>
    <s v="Sales_15"/>
    <n v="449"/>
    <n v="204"/>
    <n v="118"/>
    <n v="34"/>
    <s v="16.67"/>
    <n v="32020"/>
    <s v="8.46"/>
    <n v="27560"/>
    <n v="1088680"/>
    <n v="151640"/>
    <s v="Feb"/>
    <n v="2"/>
    <n v="2026"/>
    <s v="Weekday"/>
    <n v="0.28813559322033899"/>
    <n v="0.45434298440979953"/>
    <n v="7.5723830734966593E-2"/>
    <n v="4460"/>
    <s v="Main Auto Hub"/>
  </r>
  <r>
    <s v="CUST_1557"/>
    <x v="7"/>
    <x v="3"/>
    <s v="Monday"/>
    <s v="No"/>
    <x v="9"/>
    <x v="9"/>
    <s v="NRW"/>
    <x v="4"/>
    <s v="Golf"/>
    <s v="Diesel"/>
    <x v="2"/>
    <s v="36-50"/>
    <s v="Medium"/>
    <x v="1"/>
    <x v="1"/>
    <s v="Sales_14"/>
    <n v="414"/>
    <n v="166"/>
    <n v="101"/>
    <n v="24"/>
    <s v="14.46"/>
    <n v="27681"/>
    <s v="10.42"/>
    <n v="25075"/>
    <n v="664344"/>
    <n v="62544"/>
    <s v="Feb"/>
    <n v="2"/>
    <n v="2026"/>
    <s v="Weekday"/>
    <n v="0.23762376237623761"/>
    <n v="0.40096618357487923"/>
    <n v="5.7971014492753624E-2"/>
    <n v="2606"/>
    <s v="Ruhr Auto Plaza"/>
  </r>
  <r>
    <s v="CUST_1558"/>
    <x v="18"/>
    <x v="0"/>
    <s v="Saturday"/>
    <s v="Yes"/>
    <x v="8"/>
    <x v="8"/>
    <s v="Baden-WÃ¼rttemberg"/>
    <x v="4"/>
    <s v="Golf"/>
    <s v="Electric"/>
    <x v="2"/>
    <s v="50+"/>
    <s v="Medium"/>
    <x v="1"/>
    <x v="1"/>
    <s v="Sales_7"/>
    <n v="504"/>
    <n v="215"/>
    <n v="151"/>
    <n v="31"/>
    <s v="14.42"/>
    <n v="26316"/>
    <s v="7.44"/>
    <n v="23622"/>
    <n v="815796"/>
    <n v="83514"/>
    <s v="Feb"/>
    <n v="2"/>
    <n v="2026"/>
    <s v="Weekend"/>
    <n v="0.20529801324503311"/>
    <n v="0.42658730158730157"/>
    <n v="6.1507936507936505E-2"/>
    <n v="2694"/>
    <s v="Stuttgart Auto Center"/>
  </r>
  <r>
    <s v="CUST_1559"/>
    <x v="26"/>
    <x v="1"/>
    <s v="Friday"/>
    <s v="No"/>
    <x v="6"/>
    <x v="6"/>
    <s v="Saxony"/>
    <x v="3"/>
    <s v="E-Class"/>
    <s v="Diesel"/>
    <x v="1"/>
    <s v="26-35"/>
    <s v="High"/>
    <x v="0"/>
    <x v="3"/>
    <s v="Sales_1"/>
    <n v="179"/>
    <n v="86"/>
    <n v="67"/>
    <n v="18"/>
    <s v="20.93"/>
    <n v="50867"/>
    <s v="3.58"/>
    <n v="38762"/>
    <n v="915606"/>
    <n v="217890"/>
    <s v="Feb"/>
    <n v="2"/>
    <n v="2026"/>
    <s v="Weekday"/>
    <n v="0.26865671641791045"/>
    <n v="0.48044692737430167"/>
    <n v="0.1005586592178771"/>
    <n v="12105"/>
    <s v="Leipzig Mobility"/>
  </r>
  <r>
    <s v="CUST_1560"/>
    <x v="3"/>
    <x v="1"/>
    <s v="Sunday"/>
    <s v="Yes"/>
    <x v="5"/>
    <x v="5"/>
    <s v="Hamburg"/>
    <x v="4"/>
    <s v="Golf"/>
    <s v="Hybrid"/>
    <x v="2"/>
    <s v="26-35"/>
    <s v="Low"/>
    <x v="1"/>
    <x v="1"/>
    <s v="Sales_10"/>
    <n v="419"/>
    <n v="221"/>
    <n v="148"/>
    <n v="34"/>
    <s v="15.38"/>
    <n v="31531"/>
    <s v="8.66"/>
    <n v="28295"/>
    <n v="1072054"/>
    <n v="110024"/>
    <s v="Feb"/>
    <n v="2"/>
    <n v="2026"/>
    <s v="Weekend"/>
    <n v="0.22972972972972974"/>
    <n v="0.52744630071599041"/>
    <n v="8.1145584725536998E-2"/>
    <n v="3236"/>
    <s v="Elbe Drive"/>
  </r>
  <r>
    <s v="CUST_1561"/>
    <x v="8"/>
    <x v="3"/>
    <s v="Wednesday"/>
    <s v="No"/>
    <x v="9"/>
    <x v="9"/>
    <s v="NRW"/>
    <x v="3"/>
    <s v="GLE"/>
    <s v="Hybrid"/>
    <x v="0"/>
    <s v="26-35"/>
    <s v="Low"/>
    <x v="1"/>
    <x v="1"/>
    <s v="Sales_5"/>
    <n v="201"/>
    <n v="105"/>
    <n v="76"/>
    <n v="25"/>
    <s v="23.81"/>
    <n v="53899"/>
    <s v="3.7"/>
    <n v="40199"/>
    <n v="1347475"/>
    <n v="342500"/>
    <s v="Feb"/>
    <n v="2"/>
    <n v="2026"/>
    <s v="Weekday"/>
    <n v="0.32894736842105265"/>
    <n v="0.52238805970149249"/>
    <n v="0.12437810945273632"/>
    <n v="13700"/>
    <s v="Ruhr Auto Plaza"/>
  </r>
  <r>
    <s v="CUST_1562"/>
    <x v="2"/>
    <x v="2"/>
    <s v="Monday"/>
    <s v="No"/>
    <x v="1"/>
    <x v="1"/>
    <s v="NRW"/>
    <x v="1"/>
    <s v="Corsa"/>
    <s v="Diesel"/>
    <x v="2"/>
    <s v="50+"/>
    <s v="High"/>
    <x v="0"/>
    <x v="1"/>
    <s v="Sales_19"/>
    <n v="360"/>
    <n v="144"/>
    <n v="80"/>
    <n v="26"/>
    <s v="18.06"/>
    <n v="27110"/>
    <s v="7.77"/>
    <n v="24713"/>
    <n v="704860"/>
    <n v="62322"/>
    <s v="Feb"/>
    <n v="2"/>
    <n v="2026"/>
    <s v="Weekday"/>
    <n v="0.32500000000000001"/>
    <n v="0.4"/>
    <n v="7.2222222222222215E-2"/>
    <n v="2397"/>
    <s v="Rhein Auto Group"/>
  </r>
  <r>
    <s v="CUST_1563"/>
    <x v="5"/>
    <x v="3"/>
    <s v="Saturday"/>
    <s v="Yes"/>
    <x v="2"/>
    <x v="2"/>
    <s v="Lower Saxony"/>
    <x v="1"/>
    <s v="Mokka"/>
    <s v="Hybrid"/>
    <x v="0"/>
    <s v="18-25"/>
    <s v="Low"/>
    <x v="0"/>
    <x v="2"/>
    <s v="Sales_5"/>
    <n v="296"/>
    <n v="138"/>
    <n v="84"/>
    <n v="25"/>
    <s v="18.12"/>
    <n v="21292"/>
    <s v="12.92"/>
    <n v="19221"/>
    <n v="532300"/>
    <n v="51775"/>
    <s v="Feb"/>
    <n v="2"/>
    <n v="2026"/>
    <s v="Weekend"/>
    <n v="0.29761904761904762"/>
    <n v="0.46621621621621623"/>
    <n v="8.4459459459459457E-2"/>
    <n v="2071"/>
    <s v="Hannover Cars"/>
  </r>
  <r>
    <s v="CUST_1564"/>
    <x v="20"/>
    <x v="0"/>
    <s v="Thursday"/>
    <s v="No"/>
    <x v="1"/>
    <x v="1"/>
    <s v="NRW"/>
    <x v="1"/>
    <s v="Grandland"/>
    <s v="Hybrid"/>
    <x v="0"/>
    <s v="26-35"/>
    <s v="High"/>
    <x v="0"/>
    <x v="0"/>
    <s v="Sales_9"/>
    <n v="299"/>
    <n v="138"/>
    <n v="85"/>
    <n v="22"/>
    <s v="15.94"/>
    <n v="25632"/>
    <s v="11.08"/>
    <n v="23509"/>
    <n v="563904"/>
    <n v="46706"/>
    <s v="Feb"/>
    <n v="2"/>
    <n v="2026"/>
    <s v="Weekday"/>
    <n v="0.25882352941176473"/>
    <n v="0.46153846153846156"/>
    <n v="7.3578595317725759E-2"/>
    <n v="2123"/>
    <s v="Rhein Auto Group"/>
  </r>
  <r>
    <s v="CUST_1565"/>
    <x v="3"/>
    <x v="1"/>
    <s v="Sunday"/>
    <s v="Yes"/>
    <x v="6"/>
    <x v="6"/>
    <s v="Saxony"/>
    <x v="1"/>
    <s v="Crossland"/>
    <s v="Petrol"/>
    <x v="0"/>
    <s v="50+"/>
    <s v="Low"/>
    <x v="1"/>
    <x v="2"/>
    <s v="Sales_10"/>
    <n v="401"/>
    <n v="209"/>
    <n v="129"/>
    <n v="33"/>
    <s v="15.79"/>
    <n v="26438"/>
    <s v="10.52"/>
    <n v="23792"/>
    <n v="872454"/>
    <n v="87318"/>
    <s v="Feb"/>
    <n v="2"/>
    <n v="2026"/>
    <s v="Weekend"/>
    <n v="0.2558139534883721"/>
    <n v="0.52119700748129671"/>
    <n v="8.2294264339152115E-2"/>
    <n v="2646"/>
    <s v="Leipzig Mobility"/>
  </r>
  <r>
    <s v="CUST_1566"/>
    <x v="26"/>
    <x v="1"/>
    <s v="Friday"/>
    <s v="No"/>
    <x v="2"/>
    <x v="2"/>
    <s v="Lower Saxony"/>
    <x v="0"/>
    <s v="i4"/>
    <s v="Hybrid"/>
    <x v="1"/>
    <s v="50+"/>
    <s v="Low"/>
    <x v="1"/>
    <x v="0"/>
    <s v="Sales_16"/>
    <n v="144"/>
    <n v="67"/>
    <n v="46"/>
    <n v="16"/>
    <s v="23.88"/>
    <n v="53564"/>
    <s v="3.71"/>
    <n v="40778"/>
    <n v="857024"/>
    <n v="204576"/>
    <s v="Feb"/>
    <n v="2"/>
    <n v="2026"/>
    <s v="Weekday"/>
    <n v="0.34782608695652173"/>
    <n v="0.46527777777777779"/>
    <n v="0.1111111111111111"/>
    <n v="12786"/>
    <s v="Hannover Cars"/>
  </r>
  <r>
    <s v="CUST_1567"/>
    <x v="24"/>
    <x v="1"/>
    <s v="Thursday"/>
    <s v="No"/>
    <x v="7"/>
    <x v="7"/>
    <s v="Bavaria"/>
    <x v="4"/>
    <s v="ID.4"/>
    <s v="Electric"/>
    <x v="0"/>
    <s v="18-25"/>
    <s v="Medium"/>
    <x v="0"/>
    <x v="2"/>
    <s v="Sales_8"/>
    <n v="295"/>
    <n v="157"/>
    <n v="92"/>
    <n v="36"/>
    <s v="22.93"/>
    <n v="26895"/>
    <s v="9.78"/>
    <n v="24439"/>
    <n v="968220"/>
    <n v="88416"/>
    <s v="Feb"/>
    <n v="2"/>
    <n v="2026"/>
    <s v="Weekday"/>
    <n v="0.39130434782608697"/>
    <n v="0.53220338983050852"/>
    <n v="0.12203389830508475"/>
    <n v="2456"/>
    <s v="Bavaria Motors"/>
  </r>
  <r>
    <s v="CUST_1568"/>
    <x v="10"/>
    <x v="1"/>
    <s v="Monday"/>
    <s v="No"/>
    <x v="1"/>
    <x v="1"/>
    <s v="NRW"/>
    <x v="2"/>
    <s v="A3"/>
    <s v="Diesel"/>
    <x v="2"/>
    <s v="18-25"/>
    <s v="Medium"/>
    <x v="1"/>
    <x v="1"/>
    <s v="Sales_15"/>
    <n v="228"/>
    <n v="120"/>
    <n v="92"/>
    <n v="27"/>
    <s v="22.5"/>
    <n v="52989"/>
    <s v="5.05"/>
    <n v="41113"/>
    <n v="1430703"/>
    <n v="320652"/>
    <s v="Feb"/>
    <n v="2"/>
    <n v="2026"/>
    <s v="Weekday"/>
    <n v="0.29347826086956524"/>
    <n v="0.52631578947368418"/>
    <n v="0.11842105263157894"/>
    <n v="11876"/>
    <s v="Rhein Auto Group"/>
  </r>
  <r>
    <s v="CUST_1569"/>
    <x v="15"/>
    <x v="2"/>
    <s v="Thursday"/>
    <s v="No"/>
    <x v="8"/>
    <x v="8"/>
    <s v="Baden-WÃ¼rttemberg"/>
    <x v="4"/>
    <s v="T-Roc"/>
    <s v="Hybrid"/>
    <x v="0"/>
    <s v="50+"/>
    <s v="Medium"/>
    <x v="1"/>
    <x v="2"/>
    <s v="Sales_9"/>
    <n v="471"/>
    <n v="205"/>
    <n v="119"/>
    <n v="43"/>
    <s v="20.98"/>
    <n v="28141"/>
    <s v="10.21"/>
    <n v="24317"/>
    <n v="1210063"/>
    <n v="164432"/>
    <s v="Feb"/>
    <n v="2"/>
    <n v="2026"/>
    <s v="Weekday"/>
    <n v="0.36134453781512604"/>
    <n v="0.43524416135881105"/>
    <n v="9.1295116772823773E-2"/>
    <n v="3824"/>
    <s v="Stuttgart Auto Center"/>
  </r>
  <r>
    <s v="CUST_1570"/>
    <x v="12"/>
    <x v="3"/>
    <s v="Thursday"/>
    <s v="No"/>
    <x v="7"/>
    <x v="7"/>
    <s v="Bavaria"/>
    <x v="0"/>
    <s v="X3"/>
    <s v="Hybrid"/>
    <x v="0"/>
    <s v="26-35"/>
    <s v="Medium"/>
    <x v="0"/>
    <x v="1"/>
    <s v="Sales_13"/>
    <n v="145"/>
    <n v="66"/>
    <n v="49"/>
    <n v="21"/>
    <s v="31.82"/>
    <n v="66212"/>
    <s v="3.98"/>
    <n v="50371"/>
    <n v="1390452"/>
    <n v="332661"/>
    <s v="Feb"/>
    <n v="2"/>
    <n v="2026"/>
    <s v="Weekday"/>
    <n v="0.42857142857142855"/>
    <n v="0.45517241379310347"/>
    <n v="0.14482758620689656"/>
    <n v="15841"/>
    <s v="Bavaria Motors"/>
  </r>
  <r>
    <s v="CUST_1571"/>
    <x v="24"/>
    <x v="1"/>
    <s v="Thursday"/>
    <s v="No"/>
    <x v="5"/>
    <x v="5"/>
    <s v="Hamburg"/>
    <x v="1"/>
    <s v="Crossland"/>
    <s v="Diesel"/>
    <x v="0"/>
    <s v="50+"/>
    <s v="High"/>
    <x v="1"/>
    <x v="3"/>
    <s v="Sales_7"/>
    <n v="350"/>
    <n v="150"/>
    <n v="84"/>
    <n v="24"/>
    <s v="16.0"/>
    <n v="20786"/>
    <s v="9.95"/>
    <n v="19275"/>
    <n v="498864"/>
    <n v="36264"/>
    <s v="Feb"/>
    <n v="2"/>
    <n v="2026"/>
    <s v="Weekday"/>
    <n v="0.2857142857142857"/>
    <n v="0.42857142857142855"/>
    <n v="6.8571428571428575E-2"/>
    <n v="1511"/>
    <s v="Elbe Drive"/>
  </r>
  <r>
    <s v="CUST_1572"/>
    <x v="20"/>
    <x v="0"/>
    <s v="Thursday"/>
    <s v="No"/>
    <x v="0"/>
    <x v="0"/>
    <s v="Hesse"/>
    <x v="4"/>
    <s v="T-Roc"/>
    <s v="Electric"/>
    <x v="0"/>
    <s v="36-50"/>
    <s v="Low"/>
    <x v="0"/>
    <x v="3"/>
    <s v="Sales_1"/>
    <n v="345"/>
    <n v="146"/>
    <n v="98"/>
    <n v="22"/>
    <s v="15.07"/>
    <n v="25748"/>
    <s v="8.12"/>
    <n v="22588"/>
    <n v="566456"/>
    <n v="69520"/>
    <s v="Feb"/>
    <n v="2"/>
    <n v="2026"/>
    <s v="Weekday"/>
    <n v="0.22448979591836735"/>
    <n v="0.42318840579710143"/>
    <n v="6.3768115942028983E-2"/>
    <n v="3160"/>
    <s v="Main Auto Hub"/>
  </r>
  <r>
    <s v="CUST_1573"/>
    <x v="22"/>
    <x v="3"/>
    <s v="Tuesday"/>
    <s v="No"/>
    <x v="0"/>
    <x v="0"/>
    <s v="Hesse"/>
    <x v="2"/>
    <s v="A3"/>
    <s v="Petrol"/>
    <x v="2"/>
    <s v="18-25"/>
    <s v="High"/>
    <x v="0"/>
    <x v="0"/>
    <s v="Sales_18"/>
    <n v="271"/>
    <n v="124"/>
    <n v="93"/>
    <n v="24"/>
    <s v="19.35"/>
    <n v="41411"/>
    <s v="4.85"/>
    <n v="33497"/>
    <n v="993864"/>
    <n v="189936"/>
    <s v="Feb"/>
    <n v="2"/>
    <n v="2026"/>
    <s v="Weekday"/>
    <n v="0.25806451612903225"/>
    <n v="0.45756457564575648"/>
    <n v="8.8560885608856083E-2"/>
    <n v="7914"/>
    <s v="Main Auto Hub"/>
  </r>
  <r>
    <s v="CUST_1574"/>
    <x v="21"/>
    <x v="0"/>
    <s v="Tuesday"/>
    <s v="No"/>
    <x v="3"/>
    <x v="3"/>
    <s v="Saxony"/>
    <x v="2"/>
    <s v="A3"/>
    <s v="Diesel"/>
    <x v="2"/>
    <s v="36-50"/>
    <s v="Medium"/>
    <x v="0"/>
    <x v="0"/>
    <s v="Sales_20"/>
    <n v="172"/>
    <n v="83"/>
    <n v="53"/>
    <n v="19"/>
    <s v="22.89"/>
    <n v="49022"/>
    <s v="5.48"/>
    <n v="37619"/>
    <n v="931418"/>
    <n v="216657"/>
    <s v="Feb"/>
    <n v="2"/>
    <n v="2026"/>
    <s v="Weekday"/>
    <n v="0.35849056603773582"/>
    <n v="0.48255813953488375"/>
    <n v="0.11046511627906977"/>
    <n v="11403"/>
    <s v="Saxon Wheels"/>
  </r>
  <r>
    <s v="CUST_1575"/>
    <x v="18"/>
    <x v="0"/>
    <s v="Saturday"/>
    <s v="Yes"/>
    <x v="5"/>
    <x v="5"/>
    <s v="Hamburg"/>
    <x v="4"/>
    <s v="Passat"/>
    <s v="Diesel"/>
    <x v="1"/>
    <s v="50+"/>
    <s v="Medium"/>
    <x v="1"/>
    <x v="2"/>
    <s v="Sales_9"/>
    <n v="494"/>
    <n v="207"/>
    <n v="144"/>
    <n v="42"/>
    <s v="20.29"/>
    <n v="27372"/>
    <s v="10.7"/>
    <n v="24594"/>
    <n v="1149624"/>
    <n v="116676"/>
    <s v="Feb"/>
    <n v="2"/>
    <n v="2026"/>
    <s v="Weekend"/>
    <n v="0.29166666666666669"/>
    <n v="0.41902834008097167"/>
    <n v="8.5020242914979755E-2"/>
    <n v="2778"/>
    <s v="Elbe Drive"/>
  </r>
  <r>
    <s v="CUST_1576"/>
    <x v="4"/>
    <x v="2"/>
    <s v="Wednesday"/>
    <s v="No"/>
    <x v="8"/>
    <x v="8"/>
    <s v="Baden-WÃ¼rttemberg"/>
    <x v="3"/>
    <s v="GLE"/>
    <s v="Diesel"/>
    <x v="0"/>
    <s v="36-50"/>
    <s v="High"/>
    <x v="0"/>
    <x v="0"/>
    <s v="Sales_14"/>
    <n v="267"/>
    <n v="137"/>
    <n v="99"/>
    <n v="36"/>
    <s v="26.28"/>
    <n v="63124"/>
    <s v="5.05"/>
    <n v="47097"/>
    <n v="2272464"/>
    <n v="576972"/>
    <s v="Feb"/>
    <n v="2"/>
    <n v="2026"/>
    <s v="Weekday"/>
    <n v="0.36363636363636365"/>
    <n v="0.51310861423220977"/>
    <n v="0.1348314606741573"/>
    <n v="16027"/>
    <s v="Stuttgart Auto Center"/>
  </r>
  <r>
    <s v="CUST_1577"/>
    <x v="9"/>
    <x v="0"/>
    <s v="Sunday"/>
    <s v="Yes"/>
    <x v="5"/>
    <x v="5"/>
    <s v="Hamburg"/>
    <x v="4"/>
    <s v="Passat"/>
    <s v="Hybrid"/>
    <x v="1"/>
    <s v="50+"/>
    <s v="Medium"/>
    <x v="0"/>
    <x v="3"/>
    <s v="Sales_3"/>
    <n v="329"/>
    <n v="172"/>
    <n v="101"/>
    <n v="31"/>
    <s v="18.02"/>
    <n v="30355"/>
    <s v="10.66"/>
    <n v="26400"/>
    <n v="941005"/>
    <n v="122605"/>
    <s v="Feb"/>
    <n v="2"/>
    <n v="2026"/>
    <s v="Weekend"/>
    <n v="0.30693069306930693"/>
    <n v="0.52279635258358659"/>
    <n v="9.4224924012158054E-2"/>
    <n v="3955"/>
    <s v="Elbe Drive"/>
  </r>
  <r>
    <s v="CUST_1578"/>
    <x v="17"/>
    <x v="2"/>
    <s v="Sunday"/>
    <s v="Yes"/>
    <x v="6"/>
    <x v="6"/>
    <s v="Saxony"/>
    <x v="1"/>
    <s v="Corsa"/>
    <s v="Diesel"/>
    <x v="2"/>
    <s v="18-25"/>
    <s v="Medium"/>
    <x v="0"/>
    <x v="3"/>
    <s v="Sales_13"/>
    <n v="404"/>
    <n v="216"/>
    <n v="129"/>
    <n v="31"/>
    <s v="14.35"/>
    <n v="22631"/>
    <s v="11.52"/>
    <n v="20186"/>
    <n v="701561"/>
    <n v="75795"/>
    <s v="Feb"/>
    <n v="2"/>
    <n v="2026"/>
    <s v="Weekend"/>
    <n v="0.24031007751937986"/>
    <n v="0.53465346534653468"/>
    <n v="7.6732673267326731E-2"/>
    <n v="2445"/>
    <s v="Leipzig Mobility"/>
  </r>
  <r>
    <s v="CUST_1579"/>
    <x v="1"/>
    <x v="1"/>
    <s v="Wednesday"/>
    <s v="No"/>
    <x v="1"/>
    <x v="1"/>
    <s v="NRW"/>
    <x v="0"/>
    <s v="3 Series"/>
    <s v="Hybrid"/>
    <x v="1"/>
    <s v="26-35"/>
    <s v="Medium"/>
    <x v="1"/>
    <x v="0"/>
    <s v="Sales_20"/>
    <n v="146"/>
    <n v="80"/>
    <n v="62"/>
    <n v="21"/>
    <s v="26.25"/>
    <n v="60062"/>
    <s v="5.17"/>
    <n v="45746"/>
    <n v="1261302"/>
    <n v="300636"/>
    <s v="Feb"/>
    <n v="2"/>
    <n v="2026"/>
    <s v="Weekday"/>
    <n v="0.33870967741935482"/>
    <n v="0.54794520547945202"/>
    <n v="0.14383561643835616"/>
    <n v="14316"/>
    <s v="Rhein Auto Group"/>
  </r>
  <r>
    <s v="CUST_1580"/>
    <x v="23"/>
    <x v="2"/>
    <s v="Tuesday"/>
    <s v="No"/>
    <x v="0"/>
    <x v="0"/>
    <s v="Hesse"/>
    <x v="4"/>
    <s v="Tiguan"/>
    <s v="Diesel"/>
    <x v="0"/>
    <s v="36-50"/>
    <s v="Low"/>
    <x v="0"/>
    <x v="0"/>
    <s v="Sales_3"/>
    <n v="274"/>
    <n v="117"/>
    <n v="68"/>
    <n v="14"/>
    <s v="11.97"/>
    <n v="28752"/>
    <s v="8.9"/>
    <n v="26149"/>
    <n v="402528"/>
    <n v="36442"/>
    <s v="Feb"/>
    <n v="2"/>
    <n v="2026"/>
    <s v="Weekday"/>
    <n v="0.20588235294117646"/>
    <n v="0.42700729927007297"/>
    <n v="5.1094890510948905E-2"/>
    <n v="2603"/>
    <s v="Main Auto Hub"/>
  </r>
  <r>
    <s v="CUST_1581"/>
    <x v="21"/>
    <x v="0"/>
    <s v="Tuesday"/>
    <s v="No"/>
    <x v="4"/>
    <x v="4"/>
    <s v="Berlin"/>
    <x v="2"/>
    <s v="A4"/>
    <s v="Hybrid"/>
    <x v="1"/>
    <s v="36-50"/>
    <s v="Medium"/>
    <x v="1"/>
    <x v="3"/>
    <s v="Sales_16"/>
    <n v="162"/>
    <n v="98"/>
    <n v="75"/>
    <n v="24"/>
    <s v="24.49"/>
    <n v="48234"/>
    <s v="5.99"/>
    <n v="39185"/>
    <n v="1157616"/>
    <n v="217176"/>
    <s v="Feb"/>
    <n v="2"/>
    <n v="2026"/>
    <s v="Weekday"/>
    <n v="0.32"/>
    <n v="0.60493827160493829"/>
    <n v="0.14814814814814814"/>
    <n v="9049"/>
    <s v="Autohaus Berlin"/>
  </r>
  <r>
    <s v="CUST_1582"/>
    <x v="4"/>
    <x v="2"/>
    <s v="Wednesday"/>
    <s v="No"/>
    <x v="8"/>
    <x v="8"/>
    <s v="Baden-WÃ¼rttemberg"/>
    <x v="3"/>
    <s v="EQE"/>
    <s v="Diesel"/>
    <x v="1"/>
    <s v="18-25"/>
    <s v="High"/>
    <x v="0"/>
    <x v="2"/>
    <s v="Sales_10"/>
    <n v="167"/>
    <n v="74"/>
    <n v="49"/>
    <n v="20"/>
    <s v="27.03"/>
    <n v="59963"/>
    <s v="4.85"/>
    <n v="43385"/>
    <n v="1199260"/>
    <n v="331560"/>
    <s v="Feb"/>
    <n v="2"/>
    <n v="2026"/>
    <s v="Weekday"/>
    <n v="0.40816326530612246"/>
    <n v="0.44311377245508982"/>
    <n v="0.11976047904191617"/>
    <n v="16578"/>
    <s v="Stuttgart Auto Center"/>
  </r>
  <r>
    <s v="CUST_1583"/>
    <x v="5"/>
    <x v="3"/>
    <s v="Saturday"/>
    <s v="Yes"/>
    <x v="7"/>
    <x v="7"/>
    <s v="Bavaria"/>
    <x v="4"/>
    <s v="Passat"/>
    <s v="Diesel"/>
    <x v="1"/>
    <s v="18-25"/>
    <s v="Low"/>
    <x v="0"/>
    <x v="1"/>
    <s v="Sales_1"/>
    <n v="301"/>
    <n v="148"/>
    <n v="104"/>
    <n v="30"/>
    <s v="20.27"/>
    <n v="24776"/>
    <s v="11.79"/>
    <n v="22071"/>
    <n v="743280"/>
    <n v="81150"/>
    <s v="Feb"/>
    <n v="2"/>
    <n v="2026"/>
    <s v="Weekend"/>
    <n v="0.28846153846153844"/>
    <n v="0.49169435215946844"/>
    <n v="9.9667774086378738E-2"/>
    <n v="2705"/>
    <s v="Bavaria Motors"/>
  </r>
  <r>
    <s v="CUST_1584"/>
    <x v="5"/>
    <x v="3"/>
    <s v="Saturday"/>
    <s v="Yes"/>
    <x v="4"/>
    <x v="4"/>
    <s v="Berlin"/>
    <x v="3"/>
    <s v="GLC"/>
    <s v="Petrol"/>
    <x v="0"/>
    <s v="50+"/>
    <s v="Low"/>
    <x v="0"/>
    <x v="1"/>
    <s v="Sales_2"/>
    <n v="181"/>
    <n v="80"/>
    <n v="56"/>
    <n v="22"/>
    <s v="27.5"/>
    <n v="64951"/>
    <s v="4.5"/>
    <n v="49956"/>
    <n v="1428922"/>
    <n v="329890"/>
    <s v="Feb"/>
    <n v="2"/>
    <n v="2026"/>
    <s v="Weekend"/>
    <n v="0.39285714285714285"/>
    <n v="0.44198895027624308"/>
    <n v="0.12154696132596685"/>
    <n v="14995"/>
    <s v="Autohaus Berlin"/>
  </r>
  <r>
    <s v="CUST_1585"/>
    <x v="21"/>
    <x v="0"/>
    <s v="Tuesday"/>
    <s v="No"/>
    <x v="2"/>
    <x v="2"/>
    <s v="Lower Saxony"/>
    <x v="2"/>
    <s v="A4"/>
    <s v="Petrol"/>
    <x v="1"/>
    <s v="36-50"/>
    <s v="Medium"/>
    <x v="1"/>
    <x v="3"/>
    <s v="Sales_6"/>
    <n v="303"/>
    <n v="150"/>
    <n v="99"/>
    <n v="30"/>
    <s v="20.0"/>
    <n v="40295"/>
    <s v="6.84"/>
    <n v="32602"/>
    <n v="1208850"/>
    <n v="230790"/>
    <s v="Feb"/>
    <n v="2"/>
    <n v="2026"/>
    <s v="Weekday"/>
    <n v="0.30303030303030304"/>
    <n v="0.49504950495049505"/>
    <n v="9.9009900990099015E-2"/>
    <n v="7693"/>
    <s v="Hannover Cars"/>
  </r>
  <r>
    <s v="CUST_1586"/>
    <x v="13"/>
    <x v="0"/>
    <s v="Friday"/>
    <s v="No"/>
    <x v="2"/>
    <x v="2"/>
    <s v="Lower Saxony"/>
    <x v="1"/>
    <s v="Astra"/>
    <s v="Diesel"/>
    <x v="2"/>
    <s v="36-50"/>
    <s v="Medium"/>
    <x v="0"/>
    <x v="3"/>
    <s v="Sales_14"/>
    <n v="395"/>
    <n v="183"/>
    <n v="113"/>
    <n v="27"/>
    <s v="14.75"/>
    <n v="25452"/>
    <s v="9.15"/>
    <n v="23125"/>
    <n v="687204"/>
    <n v="62829"/>
    <s v="Feb"/>
    <n v="2"/>
    <n v="2026"/>
    <s v="Weekday"/>
    <n v="0.23893805309734514"/>
    <n v="0.46329113924050636"/>
    <n v="6.8354430379746839E-2"/>
    <n v="2327"/>
    <s v="Hannover Cars"/>
  </r>
  <r>
    <s v="CUST_1587"/>
    <x v="8"/>
    <x v="3"/>
    <s v="Wednesday"/>
    <s v="No"/>
    <x v="2"/>
    <x v="2"/>
    <s v="Lower Saxony"/>
    <x v="0"/>
    <s v="3 Series"/>
    <s v="Diesel"/>
    <x v="1"/>
    <s v="50+"/>
    <s v="Medium"/>
    <x v="0"/>
    <x v="2"/>
    <s v="Sales_14"/>
    <n v="208"/>
    <n v="95"/>
    <n v="72"/>
    <n v="30"/>
    <s v="31.58"/>
    <n v="63996"/>
    <s v="2.89"/>
    <n v="47170"/>
    <n v="1919880"/>
    <n v="504780"/>
    <s v="Feb"/>
    <n v="2"/>
    <n v="2026"/>
    <s v="Weekday"/>
    <n v="0.41666666666666669"/>
    <n v="0.45673076923076922"/>
    <n v="0.14423076923076922"/>
    <n v="16826"/>
    <s v="Hannover Cars"/>
  </r>
  <r>
    <s v="CUST_1588"/>
    <x v="0"/>
    <x v="0"/>
    <s v="Monday"/>
    <s v="No"/>
    <x v="8"/>
    <x v="8"/>
    <s v="Baden-WÃ¼rttemberg"/>
    <x v="1"/>
    <s v="Corsa"/>
    <s v="Petrol"/>
    <x v="2"/>
    <s v="26-35"/>
    <s v="Medium"/>
    <x v="1"/>
    <x v="2"/>
    <s v="Sales_20"/>
    <n v="280"/>
    <n v="147"/>
    <n v="91"/>
    <n v="28"/>
    <s v="19.05"/>
    <n v="25170"/>
    <s v="12.46"/>
    <n v="23394"/>
    <n v="704760"/>
    <n v="49728"/>
    <s v="Feb"/>
    <n v="2"/>
    <n v="2026"/>
    <s v="Weekday"/>
    <n v="0.30769230769230771"/>
    <n v="0.52500000000000002"/>
    <n v="0.1"/>
    <n v="1776"/>
    <s v="Stuttgart Auto Center"/>
  </r>
  <r>
    <s v="CUST_1589"/>
    <x v="17"/>
    <x v="2"/>
    <s v="Sunday"/>
    <s v="Yes"/>
    <x v="0"/>
    <x v="0"/>
    <s v="Hesse"/>
    <x v="3"/>
    <s v="E-Class"/>
    <s v="Hybrid"/>
    <x v="1"/>
    <s v="36-50"/>
    <s v="Low"/>
    <x v="1"/>
    <x v="3"/>
    <s v="Sales_4"/>
    <n v="235"/>
    <n v="112"/>
    <n v="86"/>
    <n v="26"/>
    <s v="23.21"/>
    <n v="69658"/>
    <s v="4.18"/>
    <n v="54374"/>
    <n v="1811108"/>
    <n v="397384"/>
    <s v="Feb"/>
    <n v="2"/>
    <n v="2026"/>
    <s v="Weekend"/>
    <n v="0.30232558139534882"/>
    <n v="0.47659574468085109"/>
    <n v="0.11063829787234042"/>
    <n v="15284"/>
    <s v="Main Auto Hub"/>
  </r>
  <r>
    <s v="CUST_1590"/>
    <x v="9"/>
    <x v="0"/>
    <s v="Sunday"/>
    <s v="Yes"/>
    <x v="9"/>
    <x v="9"/>
    <s v="NRW"/>
    <x v="3"/>
    <s v="C-Class"/>
    <s v="Petrol"/>
    <x v="1"/>
    <s v="18-25"/>
    <s v="Medium"/>
    <x v="1"/>
    <x v="1"/>
    <s v="Sales_17"/>
    <n v="278"/>
    <n v="132"/>
    <n v="101"/>
    <n v="30"/>
    <s v="22.73"/>
    <n v="56205"/>
    <s v="5.21"/>
    <n v="41636"/>
    <n v="1686150"/>
    <n v="437070"/>
    <s v="Feb"/>
    <n v="2"/>
    <n v="2026"/>
    <s v="Weekend"/>
    <n v="0.29702970297029702"/>
    <n v="0.47482014388489208"/>
    <n v="0.1079136690647482"/>
    <n v="14569"/>
    <s v="Ruhr Auto Plaza"/>
  </r>
  <r>
    <s v="CUST_1591"/>
    <x v="25"/>
    <x v="3"/>
    <s v="Friday"/>
    <s v="No"/>
    <x v="3"/>
    <x v="3"/>
    <s v="Saxony"/>
    <x v="1"/>
    <s v="Mokka"/>
    <s v="Hybrid"/>
    <x v="0"/>
    <s v="36-50"/>
    <s v="Low"/>
    <x v="0"/>
    <x v="0"/>
    <s v="Sales_20"/>
    <n v="406"/>
    <n v="185"/>
    <n v="125"/>
    <n v="26"/>
    <s v="14.05"/>
    <n v="22098"/>
    <s v="13.68"/>
    <n v="19783"/>
    <n v="574548"/>
    <n v="60190"/>
    <s v="Feb"/>
    <n v="2"/>
    <n v="2026"/>
    <s v="Weekday"/>
    <n v="0.20799999999999999"/>
    <n v="0.45566502463054187"/>
    <n v="6.4039408866995079E-2"/>
    <n v="2315"/>
    <s v="Saxon Wheels"/>
  </r>
  <r>
    <s v="CUST_1592"/>
    <x v="26"/>
    <x v="1"/>
    <s v="Friday"/>
    <s v="No"/>
    <x v="1"/>
    <x v="1"/>
    <s v="NRW"/>
    <x v="3"/>
    <s v="E-Class"/>
    <s v="Diesel"/>
    <x v="1"/>
    <s v="18-25"/>
    <s v="High"/>
    <x v="1"/>
    <x v="1"/>
    <s v="Sales_11"/>
    <n v="271"/>
    <n v="131"/>
    <n v="97"/>
    <n v="32"/>
    <s v="24.43"/>
    <n v="62300"/>
    <s v="2.0"/>
    <n v="47649"/>
    <n v="1993600"/>
    <n v="468832"/>
    <s v="Feb"/>
    <n v="2"/>
    <n v="2026"/>
    <s v="Weekday"/>
    <n v="0.32989690721649484"/>
    <n v="0.48339483394833949"/>
    <n v="0.11808118081180811"/>
    <n v="14651"/>
    <s v="Rhein Auto Group"/>
  </r>
  <r>
    <s v="CUST_1593"/>
    <x v="27"/>
    <x v="3"/>
    <s v="Sunday"/>
    <s v="Yes"/>
    <x v="1"/>
    <x v="1"/>
    <s v="NRW"/>
    <x v="1"/>
    <s v="Grandland"/>
    <s v="Diesel"/>
    <x v="0"/>
    <s v="50+"/>
    <s v="Medium"/>
    <x v="1"/>
    <x v="1"/>
    <s v="Sales_19"/>
    <n v="381"/>
    <n v="204"/>
    <n v="141"/>
    <n v="31"/>
    <s v="15.2"/>
    <n v="25192"/>
    <s v="9.62"/>
    <n v="22440"/>
    <n v="780952"/>
    <n v="85312"/>
    <s v="Feb"/>
    <n v="2"/>
    <n v="2026"/>
    <s v="Weekend"/>
    <n v="0.21985815602836881"/>
    <n v="0.53543307086614178"/>
    <n v="8.1364829396325458E-2"/>
    <n v="2752"/>
    <s v="Rhein Auto Group"/>
  </r>
  <r>
    <s v="CUST_1594"/>
    <x v="5"/>
    <x v="3"/>
    <s v="Saturday"/>
    <s v="Yes"/>
    <x v="0"/>
    <x v="0"/>
    <s v="Hesse"/>
    <x v="4"/>
    <s v="Tiguan"/>
    <s v="Petrol"/>
    <x v="0"/>
    <s v="50+"/>
    <s v="High"/>
    <x v="1"/>
    <x v="1"/>
    <s v="Sales_19"/>
    <n v="287"/>
    <n v="117"/>
    <n v="83"/>
    <n v="16"/>
    <s v="13.68"/>
    <n v="26668"/>
    <s v="10.79"/>
    <n v="23016"/>
    <n v="426688"/>
    <n v="58432"/>
    <s v="Feb"/>
    <n v="2"/>
    <n v="2026"/>
    <s v="Weekend"/>
    <n v="0.19277108433734941"/>
    <n v="0.40766550522648082"/>
    <n v="5.5749128919860627E-2"/>
    <n v="3652"/>
    <s v="Main Auto Hub"/>
  </r>
  <r>
    <s v="CUST_1595"/>
    <x v="15"/>
    <x v="2"/>
    <s v="Thursday"/>
    <s v="No"/>
    <x v="5"/>
    <x v="5"/>
    <s v="Hamburg"/>
    <x v="1"/>
    <s v="Corsa"/>
    <s v="Diesel"/>
    <x v="2"/>
    <s v="26-35"/>
    <s v="Low"/>
    <x v="1"/>
    <x v="2"/>
    <s v="Sales_11"/>
    <n v="290"/>
    <n v="142"/>
    <n v="93"/>
    <n v="26"/>
    <s v="18.31"/>
    <n v="24253"/>
    <s v="7.92"/>
    <n v="21618"/>
    <n v="630578"/>
    <n v="68510"/>
    <s v="Feb"/>
    <n v="2"/>
    <n v="2026"/>
    <s v="Weekday"/>
    <n v="0.27956989247311825"/>
    <n v="0.48965517241379308"/>
    <n v="8.9655172413793102E-2"/>
    <n v="2635"/>
    <s v="Elbe Drive"/>
  </r>
  <r>
    <s v="CUST_1596"/>
    <x v="19"/>
    <x v="1"/>
    <s v="Saturday"/>
    <s v="Yes"/>
    <x v="0"/>
    <x v="0"/>
    <s v="Hesse"/>
    <x v="1"/>
    <s v="Corsa"/>
    <s v="Electric"/>
    <x v="2"/>
    <s v="50+"/>
    <s v="Medium"/>
    <x v="1"/>
    <x v="3"/>
    <s v="Sales_20"/>
    <n v="365"/>
    <n v="180"/>
    <n v="114"/>
    <n v="27"/>
    <s v="15.0"/>
    <n v="26033"/>
    <s v="7.99"/>
    <n v="23419"/>
    <n v="702891"/>
    <n v="70578"/>
    <s v="Feb"/>
    <n v="2"/>
    <n v="2026"/>
    <s v="Weekend"/>
    <n v="0.23684210526315788"/>
    <n v="0.49315068493150682"/>
    <n v="7.3972602739726029E-2"/>
    <n v="2614"/>
    <s v="Main Auto Hub"/>
  </r>
  <r>
    <s v="CUST_1597"/>
    <x v="9"/>
    <x v="0"/>
    <s v="Sunday"/>
    <s v="Yes"/>
    <x v="7"/>
    <x v="7"/>
    <s v="Bavaria"/>
    <x v="2"/>
    <s v="Q5"/>
    <s v="Diesel"/>
    <x v="0"/>
    <s v="50+"/>
    <s v="Medium"/>
    <x v="1"/>
    <x v="3"/>
    <s v="Sales_10"/>
    <n v="281"/>
    <n v="163"/>
    <n v="111"/>
    <n v="40"/>
    <s v="24.54"/>
    <n v="54001"/>
    <s v="3.81"/>
    <n v="41092"/>
    <n v="2160040"/>
    <n v="516360"/>
    <s v="Feb"/>
    <n v="2"/>
    <n v="2026"/>
    <s v="Weekend"/>
    <n v="0.36036036036036034"/>
    <n v="0.58007117437722422"/>
    <n v="0.14234875444839859"/>
    <n v="12909"/>
    <s v="Bavaria Motors"/>
  </r>
  <r>
    <s v="CUST_1598"/>
    <x v="8"/>
    <x v="3"/>
    <s v="Wednesday"/>
    <s v="No"/>
    <x v="2"/>
    <x v="2"/>
    <s v="Lower Saxony"/>
    <x v="3"/>
    <s v="EQE"/>
    <s v="Diesel"/>
    <x v="1"/>
    <s v="26-35"/>
    <s v="High"/>
    <x v="0"/>
    <x v="1"/>
    <s v="Sales_17"/>
    <n v="192"/>
    <n v="106"/>
    <n v="80"/>
    <n v="26"/>
    <s v="24.53"/>
    <n v="66996"/>
    <s v="2.86"/>
    <n v="48283"/>
    <n v="1741896"/>
    <n v="486538"/>
    <s v="Feb"/>
    <n v="2"/>
    <n v="2026"/>
    <s v="Weekday"/>
    <n v="0.32500000000000001"/>
    <n v="0.55208333333333337"/>
    <n v="0.13541666666666666"/>
    <n v="18713"/>
    <s v="Hannover Cars"/>
  </r>
  <r>
    <s v="CUST_1599"/>
    <x v="16"/>
    <x v="1"/>
    <s v="Tuesday"/>
    <s v="No"/>
    <x v="3"/>
    <x v="3"/>
    <s v="Saxony"/>
    <x v="4"/>
    <s v="Golf"/>
    <s v="Hybrid"/>
    <x v="2"/>
    <s v="36-50"/>
    <s v="High"/>
    <x v="0"/>
    <x v="3"/>
    <s v="Sales_5"/>
    <n v="440"/>
    <n v="231"/>
    <n v="148"/>
    <n v="28"/>
    <s v="12.12"/>
    <n v="32474"/>
    <s v="7.48"/>
    <n v="29422"/>
    <n v="909272"/>
    <n v="85456"/>
    <s v="Feb"/>
    <n v="2"/>
    <n v="2026"/>
    <s v="Weekday"/>
    <n v="0.1891891891891892"/>
    <n v="0.52500000000000002"/>
    <n v="6.363636363636363E-2"/>
    <n v="3052"/>
    <s v="Saxon Wheels"/>
  </r>
  <r>
    <s v="CUST_1600"/>
    <x v="0"/>
    <x v="0"/>
    <s v="Monday"/>
    <s v="No"/>
    <x v="8"/>
    <x v="8"/>
    <s v="Baden-WÃ¼rttemberg"/>
    <x v="0"/>
    <s v="i4"/>
    <s v="Diesel"/>
    <x v="1"/>
    <s v="50+"/>
    <s v="Medium"/>
    <x v="1"/>
    <x v="2"/>
    <s v="Sales_1"/>
    <n v="247"/>
    <n v="145"/>
    <n v="99"/>
    <n v="45"/>
    <s v="31.03"/>
    <n v="51481"/>
    <s v="2.65"/>
    <n v="36482"/>
    <n v="2316645"/>
    <n v="674955"/>
    <s v="Feb"/>
    <n v="2"/>
    <n v="2026"/>
    <s v="Weekday"/>
    <n v="0.45454545454545453"/>
    <n v="0.58704453441295545"/>
    <n v="0.18218623481781376"/>
    <n v="14999"/>
    <s v="Stuttgart Auto Center"/>
  </r>
  <r>
    <s v="CUST_1601"/>
    <x v="9"/>
    <x v="0"/>
    <s v="Sunday"/>
    <s v="Yes"/>
    <x v="2"/>
    <x v="2"/>
    <s v="Lower Saxony"/>
    <x v="3"/>
    <s v="C-Class"/>
    <s v="Hybrid"/>
    <x v="1"/>
    <s v="18-25"/>
    <s v="High"/>
    <x v="0"/>
    <x v="1"/>
    <s v="Sales_1"/>
    <n v="263"/>
    <n v="144"/>
    <n v="113"/>
    <n v="35"/>
    <s v="24.31"/>
    <n v="58643"/>
    <s v="3.45"/>
    <n v="42575"/>
    <n v="2052505"/>
    <n v="562380"/>
    <s v="Feb"/>
    <n v="2"/>
    <n v="2026"/>
    <s v="Weekend"/>
    <n v="0.30973451327433627"/>
    <n v="0.54752851711026618"/>
    <n v="0.13307984790874525"/>
    <n v="16068"/>
    <s v="Hannover Cars"/>
  </r>
  <r>
    <s v="CUST_1602"/>
    <x v="22"/>
    <x v="3"/>
    <s v="Tuesday"/>
    <s v="No"/>
    <x v="5"/>
    <x v="5"/>
    <s v="Hamburg"/>
    <x v="1"/>
    <s v="Grandland"/>
    <s v="Electric"/>
    <x v="0"/>
    <s v="18-25"/>
    <s v="Low"/>
    <x v="0"/>
    <x v="1"/>
    <s v="Sales_12"/>
    <n v="224"/>
    <n v="121"/>
    <n v="71"/>
    <n v="22"/>
    <s v="18.18"/>
    <n v="26785"/>
    <s v="7.82"/>
    <n v="24569"/>
    <n v="589270"/>
    <n v="48752"/>
    <s v="Feb"/>
    <n v="2"/>
    <n v="2026"/>
    <s v="Weekday"/>
    <n v="0.30985915492957744"/>
    <n v="0.5401785714285714"/>
    <n v="9.8214285714285712E-2"/>
    <n v="2216"/>
    <s v="Elbe Drive"/>
  </r>
  <r>
    <s v="CUST_1603"/>
    <x v="14"/>
    <x v="2"/>
    <s v="Friday"/>
    <s v="No"/>
    <x v="1"/>
    <x v="1"/>
    <s v="NRW"/>
    <x v="1"/>
    <s v="Astra"/>
    <s v="Electric"/>
    <x v="2"/>
    <s v="50+"/>
    <s v="Low"/>
    <x v="1"/>
    <x v="0"/>
    <s v="Sales_20"/>
    <n v="220"/>
    <n v="91"/>
    <n v="54"/>
    <n v="12"/>
    <s v="13.19"/>
    <n v="23906"/>
    <s v="11.54"/>
    <n v="22119"/>
    <n v="286872"/>
    <n v="21444"/>
    <s v="Feb"/>
    <n v="2"/>
    <n v="2026"/>
    <s v="Weekday"/>
    <n v="0.22222222222222221"/>
    <n v="0.41363636363636364"/>
    <n v="5.4545454545454543E-2"/>
    <n v="1787"/>
    <s v="Rhein Auto Group"/>
  </r>
  <r>
    <s v="CUST_1604"/>
    <x v="6"/>
    <x v="2"/>
    <s v="Saturday"/>
    <s v="Yes"/>
    <x v="2"/>
    <x v="2"/>
    <s v="Lower Saxony"/>
    <x v="1"/>
    <s v="Astra"/>
    <s v="Hybrid"/>
    <x v="2"/>
    <s v="18-25"/>
    <s v="High"/>
    <x v="0"/>
    <x v="2"/>
    <s v="Sales_3"/>
    <n v="415"/>
    <n v="170"/>
    <n v="99"/>
    <n v="35"/>
    <s v="20.59"/>
    <n v="25200"/>
    <s v="13.59"/>
    <n v="22822"/>
    <n v="882000"/>
    <n v="83230"/>
    <s v="Feb"/>
    <n v="2"/>
    <n v="2026"/>
    <s v="Weekend"/>
    <n v="0.35353535353535354"/>
    <n v="0.40963855421686746"/>
    <n v="8.4337349397590355E-2"/>
    <n v="2378"/>
    <s v="Hannover Cars"/>
  </r>
  <r>
    <s v="CUST_1605"/>
    <x v="17"/>
    <x v="2"/>
    <s v="Sunday"/>
    <s v="Yes"/>
    <x v="8"/>
    <x v="8"/>
    <s v="Baden-WÃ¼rttemberg"/>
    <x v="4"/>
    <s v="Golf"/>
    <s v="Diesel"/>
    <x v="2"/>
    <s v="18-25"/>
    <s v="High"/>
    <x v="1"/>
    <x v="3"/>
    <s v="Sales_3"/>
    <n v="483"/>
    <n v="197"/>
    <n v="129"/>
    <n v="28"/>
    <s v="14.21"/>
    <n v="27246"/>
    <s v="8.56"/>
    <n v="24465"/>
    <n v="762888"/>
    <n v="77868"/>
    <s v="Feb"/>
    <n v="2"/>
    <n v="2026"/>
    <s v="Weekend"/>
    <n v="0.21705426356589147"/>
    <n v="0.40786749482401657"/>
    <n v="5.7971014492753624E-2"/>
    <n v="2781"/>
    <s v="Stuttgart Auto Center"/>
  </r>
  <r>
    <s v="CUST_1606"/>
    <x v="1"/>
    <x v="1"/>
    <s v="Wednesday"/>
    <s v="No"/>
    <x v="0"/>
    <x v="0"/>
    <s v="Hesse"/>
    <x v="3"/>
    <s v="GLC"/>
    <s v="Electric"/>
    <x v="0"/>
    <s v="50+"/>
    <s v="Medium"/>
    <x v="0"/>
    <x v="2"/>
    <s v="Sales_20"/>
    <n v="188"/>
    <n v="112"/>
    <n v="85"/>
    <n v="31"/>
    <s v="27.68"/>
    <n v="61415"/>
    <s v="5.35"/>
    <n v="48082"/>
    <n v="1903865"/>
    <n v="413323"/>
    <s v="Feb"/>
    <n v="2"/>
    <n v="2026"/>
    <s v="Weekday"/>
    <n v="0.36470588235294116"/>
    <n v="0.5957446808510638"/>
    <n v="0.16489361702127658"/>
    <n v="13333"/>
    <s v="Main Auto Hub"/>
  </r>
  <r>
    <s v="CUST_1607"/>
    <x v="9"/>
    <x v="0"/>
    <s v="Sunday"/>
    <s v="Yes"/>
    <x v="7"/>
    <x v="7"/>
    <s v="Bavaria"/>
    <x v="1"/>
    <s v="Crossland"/>
    <s v="Hybrid"/>
    <x v="0"/>
    <s v="18-25"/>
    <s v="Low"/>
    <x v="0"/>
    <x v="1"/>
    <s v="Sales_15"/>
    <n v="255"/>
    <n v="140"/>
    <n v="82"/>
    <n v="28"/>
    <s v="20.0"/>
    <n v="26127"/>
    <s v="10.91"/>
    <n v="23286"/>
    <n v="731556"/>
    <n v="79548"/>
    <s v="Feb"/>
    <n v="2"/>
    <n v="2026"/>
    <s v="Weekend"/>
    <n v="0.34146341463414637"/>
    <n v="0.5490196078431373"/>
    <n v="0.10980392156862745"/>
    <n v="2841"/>
    <s v="Bavaria Motors"/>
  </r>
  <r>
    <s v="CUST_1608"/>
    <x v="23"/>
    <x v="2"/>
    <s v="Tuesday"/>
    <s v="No"/>
    <x v="5"/>
    <x v="5"/>
    <s v="Hamburg"/>
    <x v="0"/>
    <s v="5 Series"/>
    <s v="Diesel"/>
    <x v="1"/>
    <s v="36-50"/>
    <s v="High"/>
    <x v="1"/>
    <x v="1"/>
    <s v="Sales_20"/>
    <n v="201"/>
    <n v="99"/>
    <n v="67"/>
    <n v="31"/>
    <s v="31.31"/>
    <n v="62855"/>
    <s v="3.32"/>
    <n v="48045"/>
    <n v="1948505"/>
    <n v="459110"/>
    <s v="Feb"/>
    <n v="2"/>
    <n v="2026"/>
    <s v="Weekday"/>
    <n v="0.46268656716417911"/>
    <n v="0.4925373134328358"/>
    <n v="0.15422885572139303"/>
    <n v="14810"/>
    <s v="Elbe Drive"/>
  </r>
  <r>
    <s v="CUST_1609"/>
    <x v="9"/>
    <x v="0"/>
    <s v="Sunday"/>
    <s v="Yes"/>
    <x v="8"/>
    <x v="8"/>
    <s v="Baden-WÃ¼rttemberg"/>
    <x v="0"/>
    <s v="X3"/>
    <s v="Hybrid"/>
    <x v="0"/>
    <s v="18-25"/>
    <s v="Medium"/>
    <x v="1"/>
    <x v="0"/>
    <s v="Sales_20"/>
    <n v="245"/>
    <n v="120"/>
    <n v="88"/>
    <n v="33"/>
    <s v="27.5"/>
    <n v="60565"/>
    <s v="2.02"/>
    <n v="46016"/>
    <n v="1998645"/>
    <n v="480117"/>
    <s v="Feb"/>
    <n v="2"/>
    <n v="2026"/>
    <s v="Weekend"/>
    <n v="0.375"/>
    <n v="0.48979591836734693"/>
    <n v="0.13469387755102041"/>
    <n v="14549"/>
    <s v="Stuttgart Auto Center"/>
  </r>
  <r>
    <s v="CUST_1610"/>
    <x v="16"/>
    <x v="1"/>
    <s v="Tuesday"/>
    <s v="No"/>
    <x v="5"/>
    <x v="5"/>
    <s v="Hamburg"/>
    <x v="2"/>
    <s v="Q3"/>
    <s v="Diesel"/>
    <x v="0"/>
    <s v="50+"/>
    <s v="High"/>
    <x v="0"/>
    <x v="1"/>
    <s v="Sales_8"/>
    <n v="172"/>
    <n v="106"/>
    <n v="77"/>
    <n v="27"/>
    <s v="25.47"/>
    <n v="46070"/>
    <s v="3.59"/>
    <n v="36662"/>
    <n v="1243890"/>
    <n v="254016"/>
    <s v="Feb"/>
    <n v="2"/>
    <n v="2026"/>
    <s v="Weekday"/>
    <n v="0.35064935064935066"/>
    <n v="0.61627906976744184"/>
    <n v="0.15697674418604651"/>
    <n v="9408"/>
    <s v="Elbe Drive"/>
  </r>
  <r>
    <s v="CUST_1611"/>
    <x v="10"/>
    <x v="1"/>
    <s v="Monday"/>
    <s v="No"/>
    <x v="5"/>
    <x v="5"/>
    <s v="Hamburg"/>
    <x v="1"/>
    <s v="Mokka"/>
    <s v="Petrol"/>
    <x v="0"/>
    <s v="18-25"/>
    <s v="Low"/>
    <x v="0"/>
    <x v="2"/>
    <s v="Sales_6"/>
    <n v="246"/>
    <n v="132"/>
    <n v="75"/>
    <n v="29"/>
    <s v="21.97"/>
    <n v="26520"/>
    <s v="10.57"/>
    <n v="23692"/>
    <n v="769080"/>
    <n v="82012"/>
    <s v="Feb"/>
    <n v="2"/>
    <n v="2026"/>
    <s v="Weekday"/>
    <n v="0.38666666666666666"/>
    <n v="0.53658536585365857"/>
    <n v="0.11788617886178862"/>
    <n v="2828"/>
    <s v="Elbe Drive"/>
  </r>
  <r>
    <s v="CUST_1612"/>
    <x v="15"/>
    <x v="2"/>
    <s v="Thursday"/>
    <s v="No"/>
    <x v="1"/>
    <x v="1"/>
    <s v="NRW"/>
    <x v="0"/>
    <s v="X3"/>
    <s v="Electric"/>
    <x v="0"/>
    <s v="26-35"/>
    <s v="High"/>
    <x v="1"/>
    <x v="1"/>
    <s v="Sales_5"/>
    <n v="179"/>
    <n v="87"/>
    <n v="65"/>
    <n v="25"/>
    <s v="28.74"/>
    <n v="53076"/>
    <s v="2.13"/>
    <n v="37175"/>
    <n v="1326900"/>
    <n v="397525"/>
    <s v="Feb"/>
    <n v="2"/>
    <n v="2026"/>
    <s v="Weekday"/>
    <n v="0.38461538461538464"/>
    <n v="0.48603351955307261"/>
    <n v="0.13966480446927373"/>
    <n v="15901"/>
    <s v="Rhein Auto Group"/>
  </r>
  <r>
    <s v="CUST_1613"/>
    <x v="19"/>
    <x v="1"/>
    <s v="Saturday"/>
    <s v="Yes"/>
    <x v="5"/>
    <x v="5"/>
    <s v="Hamburg"/>
    <x v="4"/>
    <s v="ID.4"/>
    <s v="Diesel"/>
    <x v="0"/>
    <s v="50+"/>
    <s v="High"/>
    <x v="0"/>
    <x v="2"/>
    <s v="Sales_9"/>
    <n v="323"/>
    <n v="143"/>
    <n v="85"/>
    <n v="25"/>
    <s v="17.48"/>
    <n v="27452"/>
    <s v="9.42"/>
    <n v="24360"/>
    <n v="686300"/>
    <n v="77300"/>
    <s v="Feb"/>
    <n v="2"/>
    <n v="2026"/>
    <s v="Weekend"/>
    <n v="0.29411764705882354"/>
    <n v="0.44272445820433437"/>
    <n v="7.7399380804953566E-2"/>
    <n v="3092"/>
    <s v="Elbe Drive"/>
  </r>
  <r>
    <s v="CUST_1614"/>
    <x v="15"/>
    <x v="2"/>
    <s v="Thursday"/>
    <s v="No"/>
    <x v="0"/>
    <x v="0"/>
    <s v="Hesse"/>
    <x v="4"/>
    <s v="ID.4"/>
    <s v="Diesel"/>
    <x v="0"/>
    <s v="50+"/>
    <s v="Low"/>
    <x v="0"/>
    <x v="0"/>
    <s v="Sales_6"/>
    <n v="459"/>
    <n v="252"/>
    <n v="146"/>
    <n v="38"/>
    <s v="15.08"/>
    <n v="34278"/>
    <s v="7.76"/>
    <n v="29699"/>
    <n v="1302564"/>
    <n v="174002"/>
    <s v="Feb"/>
    <n v="2"/>
    <n v="2026"/>
    <s v="Weekday"/>
    <n v="0.26027397260273971"/>
    <n v="0.5490196078431373"/>
    <n v="8.2788671023965144E-2"/>
    <n v="4579"/>
    <s v="Main Auto Hub"/>
  </r>
  <r>
    <s v="CUST_1615"/>
    <x v="8"/>
    <x v="3"/>
    <s v="Wednesday"/>
    <s v="No"/>
    <x v="5"/>
    <x v="5"/>
    <s v="Hamburg"/>
    <x v="1"/>
    <s v="Mokka"/>
    <s v="Diesel"/>
    <x v="0"/>
    <s v="18-25"/>
    <s v="High"/>
    <x v="0"/>
    <x v="0"/>
    <s v="Sales_6"/>
    <n v="270"/>
    <n v="133"/>
    <n v="85"/>
    <n v="20"/>
    <s v="15.04"/>
    <n v="25843"/>
    <s v="8.61"/>
    <n v="23344"/>
    <n v="516860"/>
    <n v="49980"/>
    <s v="Feb"/>
    <n v="2"/>
    <n v="2026"/>
    <s v="Weekday"/>
    <n v="0.23529411764705882"/>
    <n v="0.49259259259259258"/>
    <n v="7.407407407407407E-2"/>
    <n v="2499"/>
    <s v="Elbe Drive"/>
  </r>
  <r>
    <s v="CUST_1616"/>
    <x v="12"/>
    <x v="3"/>
    <s v="Thursday"/>
    <s v="No"/>
    <x v="1"/>
    <x v="1"/>
    <s v="NRW"/>
    <x v="4"/>
    <s v="Passat"/>
    <s v="Petrol"/>
    <x v="1"/>
    <s v="26-35"/>
    <s v="Low"/>
    <x v="1"/>
    <x v="1"/>
    <s v="Sales_14"/>
    <n v="443"/>
    <n v="201"/>
    <n v="140"/>
    <n v="37"/>
    <s v="18.41"/>
    <n v="31682"/>
    <s v="7.09"/>
    <n v="28587"/>
    <n v="1172234"/>
    <n v="114515"/>
    <s v="Feb"/>
    <n v="2"/>
    <n v="2026"/>
    <s v="Weekday"/>
    <n v="0.26428571428571429"/>
    <n v="0.45372460496613998"/>
    <n v="8.35214446952596E-2"/>
    <n v="3095"/>
    <s v="Rhein Auto Group"/>
  </r>
  <r>
    <s v="CUST_1617"/>
    <x v="16"/>
    <x v="1"/>
    <s v="Tuesday"/>
    <s v="No"/>
    <x v="4"/>
    <x v="4"/>
    <s v="Berlin"/>
    <x v="3"/>
    <s v="GLE"/>
    <s v="Diesel"/>
    <x v="0"/>
    <s v="18-25"/>
    <s v="High"/>
    <x v="0"/>
    <x v="2"/>
    <s v="Sales_8"/>
    <n v="193"/>
    <n v="85"/>
    <n v="61"/>
    <n v="27"/>
    <s v="31.76"/>
    <n v="61520"/>
    <s v="2.42"/>
    <n v="45301"/>
    <n v="1661040"/>
    <n v="437913"/>
    <s v="Feb"/>
    <n v="2"/>
    <n v="2026"/>
    <s v="Weekday"/>
    <n v="0.44262295081967212"/>
    <n v="0.44041450777202074"/>
    <n v="0.13989637305699482"/>
    <n v="16219"/>
    <s v="Autohaus Berlin"/>
  </r>
  <r>
    <s v="CUST_1618"/>
    <x v="9"/>
    <x v="0"/>
    <s v="Sunday"/>
    <s v="Yes"/>
    <x v="9"/>
    <x v="9"/>
    <s v="NRW"/>
    <x v="0"/>
    <s v="X5"/>
    <s v="Petrol"/>
    <x v="0"/>
    <s v="26-35"/>
    <s v="High"/>
    <x v="1"/>
    <x v="2"/>
    <s v="Sales_1"/>
    <n v="258"/>
    <n v="123"/>
    <n v="91"/>
    <n v="36"/>
    <s v="29.27"/>
    <n v="64515"/>
    <s v="4.61"/>
    <n v="47578"/>
    <n v="2322540"/>
    <n v="609732"/>
    <s v="Feb"/>
    <n v="2"/>
    <n v="2026"/>
    <s v="Weekend"/>
    <n v="0.39560439560439559"/>
    <n v="0.47674418604651164"/>
    <n v="0.13953488372093023"/>
    <n v="16937"/>
    <s v="Ruhr Auto Plaza"/>
  </r>
  <r>
    <s v="CUST_1619"/>
    <x v="23"/>
    <x v="2"/>
    <s v="Tuesday"/>
    <s v="No"/>
    <x v="8"/>
    <x v="8"/>
    <s v="Baden-WÃ¼rttemberg"/>
    <x v="2"/>
    <s v="Q3"/>
    <s v="Diesel"/>
    <x v="0"/>
    <s v="50+"/>
    <s v="Medium"/>
    <x v="1"/>
    <x v="3"/>
    <s v="Sales_2"/>
    <n v="232"/>
    <n v="135"/>
    <n v="101"/>
    <n v="31"/>
    <s v="22.96"/>
    <n v="54619"/>
    <s v="4.65"/>
    <n v="41046"/>
    <n v="1693189"/>
    <n v="420763"/>
    <s v="Feb"/>
    <n v="2"/>
    <n v="2026"/>
    <s v="Weekday"/>
    <n v="0.30693069306930693"/>
    <n v="0.5818965517241379"/>
    <n v="0.1336206896551724"/>
    <n v="13573"/>
    <s v="Stuttgart Auto Center"/>
  </r>
  <r>
    <s v="CUST_1620"/>
    <x v="14"/>
    <x v="2"/>
    <s v="Friday"/>
    <s v="No"/>
    <x v="9"/>
    <x v="9"/>
    <s v="NRW"/>
    <x v="0"/>
    <s v="X3"/>
    <s v="Hybrid"/>
    <x v="0"/>
    <s v="18-25"/>
    <s v="High"/>
    <x v="0"/>
    <x v="1"/>
    <s v="Sales_13"/>
    <n v="152"/>
    <n v="82"/>
    <n v="65"/>
    <n v="24"/>
    <s v="29.27"/>
    <n v="62144"/>
    <s v="5.17"/>
    <n v="47861"/>
    <n v="1491456"/>
    <n v="342792"/>
    <s v="Feb"/>
    <n v="2"/>
    <n v="2026"/>
    <s v="Weekday"/>
    <n v="0.36923076923076925"/>
    <n v="0.53947368421052633"/>
    <n v="0.15789473684210525"/>
    <n v="14283"/>
    <s v="Ruhr Auto Plaza"/>
  </r>
  <r>
    <s v="CUST_1621"/>
    <x v="6"/>
    <x v="2"/>
    <s v="Saturday"/>
    <s v="Yes"/>
    <x v="9"/>
    <x v="9"/>
    <s v="NRW"/>
    <x v="3"/>
    <s v="E-Class"/>
    <s v="Petrol"/>
    <x v="1"/>
    <s v="18-25"/>
    <s v="Low"/>
    <x v="0"/>
    <x v="2"/>
    <s v="Sales_13"/>
    <n v="205"/>
    <n v="118"/>
    <n v="90"/>
    <n v="31"/>
    <s v="26.27"/>
    <n v="62732"/>
    <s v="2.28"/>
    <n v="48871"/>
    <n v="1944692"/>
    <n v="429691"/>
    <s v="Feb"/>
    <n v="2"/>
    <n v="2026"/>
    <s v="Weekend"/>
    <n v="0.34444444444444444"/>
    <n v="0.57560975609756093"/>
    <n v="0.15121951219512195"/>
    <n v="13861"/>
    <s v="Ruhr Auto Plaza"/>
  </r>
  <r>
    <s v="CUST_1622"/>
    <x v="23"/>
    <x v="2"/>
    <s v="Tuesday"/>
    <s v="No"/>
    <x v="4"/>
    <x v="4"/>
    <s v="Berlin"/>
    <x v="1"/>
    <s v="Astra"/>
    <s v="Electric"/>
    <x v="2"/>
    <s v="26-35"/>
    <s v="Medium"/>
    <x v="1"/>
    <x v="2"/>
    <s v="Sales_10"/>
    <n v="358"/>
    <n v="182"/>
    <n v="122"/>
    <n v="33"/>
    <s v="18.13"/>
    <n v="21144"/>
    <s v="7.54"/>
    <n v="19274"/>
    <n v="697752"/>
    <n v="61710"/>
    <s v="Feb"/>
    <n v="2"/>
    <n v="2026"/>
    <s v="Weekday"/>
    <n v="0.27049180327868855"/>
    <n v="0.50837988826815639"/>
    <n v="9.217877094972067E-2"/>
    <n v="1870"/>
    <s v="Autohaus Berlin"/>
  </r>
  <r>
    <s v="CUST_1623"/>
    <x v="5"/>
    <x v="3"/>
    <s v="Saturday"/>
    <s v="Yes"/>
    <x v="1"/>
    <x v="1"/>
    <s v="NRW"/>
    <x v="3"/>
    <s v="GLE"/>
    <s v="Hybrid"/>
    <x v="0"/>
    <s v="50+"/>
    <s v="Medium"/>
    <x v="1"/>
    <x v="2"/>
    <s v="Sales_11"/>
    <n v="170"/>
    <n v="98"/>
    <n v="66"/>
    <n v="26"/>
    <s v="26.53"/>
    <n v="58430"/>
    <s v="2.86"/>
    <n v="43986"/>
    <n v="1519180"/>
    <n v="375544"/>
    <s v="Feb"/>
    <n v="2"/>
    <n v="2026"/>
    <s v="Weekend"/>
    <n v="0.39393939393939392"/>
    <n v="0.57647058823529407"/>
    <n v="0.15294117647058825"/>
    <n v="14444"/>
    <s v="Rhein Auto Group"/>
  </r>
  <r>
    <s v="CUST_1624"/>
    <x v="15"/>
    <x v="2"/>
    <s v="Thursday"/>
    <s v="No"/>
    <x v="5"/>
    <x v="5"/>
    <s v="Hamburg"/>
    <x v="1"/>
    <s v="Mokka"/>
    <s v="Petrol"/>
    <x v="0"/>
    <s v="50+"/>
    <s v="High"/>
    <x v="0"/>
    <x v="2"/>
    <s v="Sales_14"/>
    <n v="277"/>
    <n v="113"/>
    <n v="64"/>
    <n v="22"/>
    <s v="19.47"/>
    <n v="20920"/>
    <s v="13.35"/>
    <n v="18753"/>
    <n v="460240"/>
    <n v="47674"/>
    <s v="Feb"/>
    <n v="2"/>
    <n v="2026"/>
    <s v="Weekday"/>
    <n v="0.34375"/>
    <n v="0.40794223826714804"/>
    <n v="7.9422382671480149E-2"/>
    <n v="2167"/>
    <s v="Elbe Drive"/>
  </r>
  <r>
    <s v="CUST_1625"/>
    <x v="0"/>
    <x v="0"/>
    <s v="Monday"/>
    <s v="No"/>
    <x v="2"/>
    <x v="2"/>
    <s v="Lower Saxony"/>
    <x v="3"/>
    <s v="GLC"/>
    <s v="Petrol"/>
    <x v="0"/>
    <s v="50+"/>
    <s v="High"/>
    <x v="1"/>
    <x v="1"/>
    <s v="Sales_8"/>
    <n v="185"/>
    <n v="108"/>
    <n v="74"/>
    <n v="29"/>
    <s v="26.85"/>
    <n v="50388"/>
    <s v="5.74"/>
    <n v="37934"/>
    <n v="1461252"/>
    <n v="361166"/>
    <s v="Feb"/>
    <n v="2"/>
    <n v="2026"/>
    <s v="Weekday"/>
    <n v="0.39189189189189189"/>
    <n v="0.58378378378378382"/>
    <n v="0.15675675675675677"/>
    <n v="12454"/>
    <s v="Hannover Cars"/>
  </r>
  <r>
    <s v="CUST_1626"/>
    <x v="7"/>
    <x v="3"/>
    <s v="Monday"/>
    <s v="No"/>
    <x v="1"/>
    <x v="1"/>
    <s v="NRW"/>
    <x v="3"/>
    <s v="EQE"/>
    <s v="Petrol"/>
    <x v="1"/>
    <s v="36-50"/>
    <s v="High"/>
    <x v="0"/>
    <x v="2"/>
    <s v="Sales_9"/>
    <n v="263"/>
    <n v="155"/>
    <n v="113"/>
    <n v="44"/>
    <s v="28.39"/>
    <n v="59483"/>
    <s v="4.22"/>
    <n v="43298"/>
    <n v="2617252"/>
    <n v="712140"/>
    <s v="Feb"/>
    <n v="2"/>
    <n v="2026"/>
    <s v="Weekday"/>
    <n v="0.38938053097345132"/>
    <n v="0.58935361216730042"/>
    <n v="0.16730038022813687"/>
    <n v="16185"/>
    <s v="Rhein Auto Group"/>
  </r>
  <r>
    <s v="CUST_1627"/>
    <x v="24"/>
    <x v="1"/>
    <s v="Thursday"/>
    <s v="No"/>
    <x v="9"/>
    <x v="9"/>
    <s v="NRW"/>
    <x v="4"/>
    <s v="Golf"/>
    <s v="Hybrid"/>
    <x v="2"/>
    <s v="36-50"/>
    <s v="Low"/>
    <x v="1"/>
    <x v="3"/>
    <s v="Sales_1"/>
    <n v="327"/>
    <n v="182"/>
    <n v="115"/>
    <n v="23"/>
    <s v="12.64"/>
    <n v="34125"/>
    <s v="7.97"/>
    <n v="30474"/>
    <n v="784875"/>
    <n v="83973"/>
    <s v="Feb"/>
    <n v="2"/>
    <n v="2026"/>
    <s v="Weekday"/>
    <n v="0.2"/>
    <n v="0.55657492354740057"/>
    <n v="7.0336391437308868E-2"/>
    <n v="3651"/>
    <s v="Ruhr Auto Plaza"/>
  </r>
  <r>
    <s v="CUST_1628"/>
    <x v="9"/>
    <x v="0"/>
    <s v="Sunday"/>
    <s v="Yes"/>
    <x v="4"/>
    <x v="4"/>
    <s v="Berlin"/>
    <x v="2"/>
    <s v="A4"/>
    <s v="Petrol"/>
    <x v="1"/>
    <s v="18-25"/>
    <s v="Low"/>
    <x v="0"/>
    <x v="2"/>
    <s v="Sales_20"/>
    <n v="250"/>
    <n v="124"/>
    <n v="91"/>
    <n v="36"/>
    <s v="29.03"/>
    <n v="46505"/>
    <s v="6.41"/>
    <n v="35020"/>
    <n v="1674180"/>
    <n v="413460"/>
    <s v="Feb"/>
    <n v="2"/>
    <n v="2026"/>
    <s v="Weekend"/>
    <n v="0.39560439560439559"/>
    <n v="0.496"/>
    <n v="0.14399999999999999"/>
    <n v="11485"/>
    <s v="Autohaus Berlin"/>
  </r>
  <r>
    <s v="CUST_1629"/>
    <x v="7"/>
    <x v="3"/>
    <s v="Monday"/>
    <s v="No"/>
    <x v="4"/>
    <x v="4"/>
    <s v="Berlin"/>
    <x v="1"/>
    <s v="Astra"/>
    <s v="Electric"/>
    <x v="2"/>
    <s v="26-35"/>
    <s v="High"/>
    <x v="0"/>
    <x v="3"/>
    <s v="Sales_19"/>
    <n v="416"/>
    <n v="170"/>
    <n v="116"/>
    <n v="25"/>
    <s v="14.71"/>
    <n v="19629"/>
    <s v="11.01"/>
    <n v="17706"/>
    <n v="490725"/>
    <n v="48075"/>
    <s v="Feb"/>
    <n v="2"/>
    <n v="2026"/>
    <s v="Weekday"/>
    <n v="0.21551724137931033"/>
    <n v="0.40865384615384615"/>
    <n v="6.0096153846153848E-2"/>
    <n v="1923"/>
    <s v="Autohaus Berlin"/>
  </r>
  <r>
    <s v="CUST_1630"/>
    <x v="27"/>
    <x v="3"/>
    <s v="Sunday"/>
    <s v="Yes"/>
    <x v="5"/>
    <x v="5"/>
    <s v="Hamburg"/>
    <x v="1"/>
    <s v="Astra"/>
    <s v="Electric"/>
    <x v="2"/>
    <s v="18-25"/>
    <s v="Low"/>
    <x v="1"/>
    <x v="1"/>
    <s v="Sales_1"/>
    <n v="425"/>
    <n v="228"/>
    <n v="151"/>
    <n v="36"/>
    <s v="15.79"/>
    <n v="26533"/>
    <s v="9.14"/>
    <n v="24003"/>
    <n v="955188"/>
    <n v="91080"/>
    <s v="Feb"/>
    <n v="2"/>
    <n v="2026"/>
    <s v="Weekend"/>
    <n v="0.23841059602649006"/>
    <n v="0.53647058823529414"/>
    <n v="8.4705882352941173E-2"/>
    <n v="2530"/>
    <s v="Elbe Drive"/>
  </r>
  <r>
    <s v="CUST_1631"/>
    <x v="21"/>
    <x v="0"/>
    <s v="Tuesday"/>
    <s v="No"/>
    <x v="6"/>
    <x v="6"/>
    <s v="Saxony"/>
    <x v="4"/>
    <s v="ID.4"/>
    <s v="Petrol"/>
    <x v="0"/>
    <s v="50+"/>
    <s v="High"/>
    <x v="1"/>
    <x v="1"/>
    <s v="Sales_3"/>
    <n v="285"/>
    <n v="141"/>
    <n v="89"/>
    <n v="22"/>
    <s v="15.6"/>
    <n v="25336"/>
    <s v="9.65"/>
    <n v="22354"/>
    <n v="557392"/>
    <n v="65604"/>
    <s v="Feb"/>
    <n v="2"/>
    <n v="2026"/>
    <s v="Weekday"/>
    <n v="0.24719101123595505"/>
    <n v="0.49473684210526314"/>
    <n v="7.7192982456140355E-2"/>
    <n v="2982"/>
    <s v="Leipzig Mobility"/>
  </r>
  <r>
    <s v="CUST_1632"/>
    <x v="0"/>
    <x v="0"/>
    <s v="Monday"/>
    <s v="No"/>
    <x v="5"/>
    <x v="5"/>
    <s v="Hamburg"/>
    <x v="0"/>
    <s v="i4"/>
    <s v="Hybrid"/>
    <x v="1"/>
    <s v="18-25"/>
    <s v="Low"/>
    <x v="1"/>
    <x v="0"/>
    <s v="Sales_15"/>
    <n v="216"/>
    <n v="106"/>
    <n v="82"/>
    <n v="28"/>
    <s v="26.42"/>
    <n v="63893"/>
    <s v="3.32"/>
    <n v="45719"/>
    <n v="1789004"/>
    <n v="508872"/>
    <s v="Feb"/>
    <n v="2"/>
    <n v="2026"/>
    <s v="Weekday"/>
    <n v="0.34146341463414637"/>
    <n v="0.49074074074074076"/>
    <n v="0.12962962962962962"/>
    <n v="18174"/>
    <s v="Elbe Drive"/>
  </r>
  <r>
    <s v="CUST_1633"/>
    <x v="25"/>
    <x v="3"/>
    <s v="Friday"/>
    <s v="No"/>
    <x v="9"/>
    <x v="9"/>
    <s v="NRW"/>
    <x v="4"/>
    <s v="ID.4"/>
    <s v="Petrol"/>
    <x v="0"/>
    <s v="36-50"/>
    <s v="Low"/>
    <x v="0"/>
    <x v="2"/>
    <s v="Sales_11"/>
    <n v="428"/>
    <n v="216"/>
    <n v="132"/>
    <n v="42"/>
    <s v="19.44"/>
    <n v="35258"/>
    <s v="6.91"/>
    <n v="31212"/>
    <n v="1480836"/>
    <n v="169932"/>
    <s v="Feb"/>
    <n v="2"/>
    <n v="2026"/>
    <s v="Weekday"/>
    <n v="0.31818181818181818"/>
    <n v="0.50467289719626163"/>
    <n v="9.8130841121495324E-2"/>
    <n v="4046"/>
    <s v="Ruhr Auto Plaza"/>
  </r>
  <r>
    <s v="CUST_1634"/>
    <x v="1"/>
    <x v="1"/>
    <s v="Wednesday"/>
    <s v="No"/>
    <x v="0"/>
    <x v="0"/>
    <s v="Hesse"/>
    <x v="1"/>
    <s v="Grandland"/>
    <s v="Petrol"/>
    <x v="0"/>
    <s v="26-35"/>
    <s v="Medium"/>
    <x v="0"/>
    <x v="1"/>
    <s v="Sales_9"/>
    <n v="343"/>
    <n v="162"/>
    <n v="100"/>
    <n v="23"/>
    <s v="14.2"/>
    <n v="22306"/>
    <s v="7.17"/>
    <n v="20368"/>
    <n v="513038"/>
    <n v="44574"/>
    <s v="Feb"/>
    <n v="2"/>
    <n v="2026"/>
    <s v="Weekday"/>
    <n v="0.23"/>
    <n v="0.47230320699708456"/>
    <n v="6.7055393586005832E-2"/>
    <n v="1938"/>
    <s v="Main Auto Hub"/>
  </r>
  <r>
    <s v="CUST_1635"/>
    <x v="4"/>
    <x v="2"/>
    <s v="Wednesday"/>
    <s v="No"/>
    <x v="1"/>
    <x v="1"/>
    <s v="NRW"/>
    <x v="4"/>
    <s v="ID.4"/>
    <s v="Hybrid"/>
    <x v="0"/>
    <s v="36-50"/>
    <s v="High"/>
    <x v="0"/>
    <x v="2"/>
    <s v="Sales_10"/>
    <n v="443"/>
    <n v="195"/>
    <n v="132"/>
    <n v="35"/>
    <s v="17.95"/>
    <n v="31874"/>
    <s v="7.37"/>
    <n v="28593"/>
    <n v="1115590"/>
    <n v="114835"/>
    <s v="Feb"/>
    <n v="2"/>
    <n v="2026"/>
    <s v="Weekday"/>
    <n v="0.26515151515151514"/>
    <n v="0.44018058690744921"/>
    <n v="7.900677200902935E-2"/>
    <n v="3281"/>
    <s v="Rhein Auto Group"/>
  </r>
  <r>
    <s v="CUST_1636"/>
    <x v="20"/>
    <x v="0"/>
    <s v="Thursday"/>
    <s v="No"/>
    <x v="4"/>
    <x v="4"/>
    <s v="Berlin"/>
    <x v="0"/>
    <s v="5 Series"/>
    <s v="Petrol"/>
    <x v="1"/>
    <s v="50+"/>
    <s v="Medium"/>
    <x v="0"/>
    <x v="0"/>
    <s v="Sales_9"/>
    <n v="233"/>
    <n v="136"/>
    <n v="104"/>
    <n v="35"/>
    <s v="25.74"/>
    <n v="67100"/>
    <s v="5.08"/>
    <n v="51052"/>
    <n v="2348500"/>
    <n v="561680"/>
    <s v="Feb"/>
    <n v="2"/>
    <n v="2026"/>
    <s v="Weekday"/>
    <n v="0.33653846153846156"/>
    <n v="0.58369098712446355"/>
    <n v="0.15021459227467812"/>
    <n v="16048"/>
    <s v="Autohaus Berlin"/>
  </r>
  <r>
    <s v="CUST_1637"/>
    <x v="14"/>
    <x v="2"/>
    <s v="Friday"/>
    <s v="No"/>
    <x v="9"/>
    <x v="9"/>
    <s v="NRW"/>
    <x v="0"/>
    <s v="i4"/>
    <s v="Electric"/>
    <x v="1"/>
    <s v="50+"/>
    <s v="Low"/>
    <x v="0"/>
    <x v="1"/>
    <s v="Sales_19"/>
    <n v="194"/>
    <n v="112"/>
    <n v="86"/>
    <n v="32"/>
    <s v="28.57"/>
    <n v="52404"/>
    <s v="4.85"/>
    <n v="36959"/>
    <n v="1676928"/>
    <n v="494240"/>
    <s v="Feb"/>
    <n v="2"/>
    <n v="2026"/>
    <s v="Weekday"/>
    <n v="0.37209302325581395"/>
    <n v="0.57731958762886593"/>
    <n v="0.16494845360824742"/>
    <n v="15445"/>
    <s v="Ruhr Auto Plaza"/>
  </r>
  <r>
    <s v="CUST_1638"/>
    <x v="16"/>
    <x v="1"/>
    <s v="Tuesday"/>
    <s v="No"/>
    <x v="6"/>
    <x v="6"/>
    <s v="Saxony"/>
    <x v="0"/>
    <s v="X3"/>
    <s v="Hybrid"/>
    <x v="0"/>
    <s v="36-50"/>
    <s v="High"/>
    <x v="1"/>
    <x v="1"/>
    <s v="Sales_1"/>
    <n v="160"/>
    <n v="93"/>
    <n v="67"/>
    <n v="25"/>
    <s v="26.88"/>
    <n v="56986"/>
    <s v="3.22"/>
    <n v="41722"/>
    <n v="1424650"/>
    <n v="381600"/>
    <s v="Feb"/>
    <n v="2"/>
    <n v="2026"/>
    <s v="Weekday"/>
    <n v="0.37313432835820898"/>
    <n v="0.58125000000000004"/>
    <n v="0.15625"/>
    <n v="15264"/>
    <s v="Leipzig Mobility"/>
  </r>
  <r>
    <s v="CUST_1639"/>
    <x v="17"/>
    <x v="2"/>
    <s v="Sunday"/>
    <s v="Yes"/>
    <x v="4"/>
    <x v="4"/>
    <s v="Berlin"/>
    <x v="3"/>
    <s v="EQE"/>
    <s v="Diesel"/>
    <x v="1"/>
    <s v="50+"/>
    <s v="Low"/>
    <x v="0"/>
    <x v="0"/>
    <s v="Sales_17"/>
    <n v="153"/>
    <n v="91"/>
    <n v="62"/>
    <n v="22"/>
    <s v="24.18"/>
    <n v="50782"/>
    <s v="4.12"/>
    <n v="36338"/>
    <n v="1117204"/>
    <n v="317768"/>
    <s v="Feb"/>
    <n v="2"/>
    <n v="2026"/>
    <s v="Weekend"/>
    <n v="0.35483870967741937"/>
    <n v="0.59477124183006536"/>
    <n v="0.1437908496732026"/>
    <n v="14444"/>
    <s v="Autohaus Berlin"/>
  </r>
  <r>
    <s v="CUST_1640"/>
    <x v="15"/>
    <x v="2"/>
    <s v="Thursday"/>
    <s v="No"/>
    <x v="2"/>
    <x v="2"/>
    <s v="Lower Saxony"/>
    <x v="1"/>
    <s v="Astra"/>
    <s v="Diesel"/>
    <x v="2"/>
    <s v="18-25"/>
    <s v="Medium"/>
    <x v="0"/>
    <x v="3"/>
    <s v="Sales_17"/>
    <n v="429"/>
    <n v="203"/>
    <n v="139"/>
    <n v="28"/>
    <s v="13.79"/>
    <n v="22930"/>
    <s v="13.55"/>
    <n v="21321"/>
    <n v="642040"/>
    <n v="45052"/>
    <s v="Feb"/>
    <n v="2"/>
    <n v="2026"/>
    <s v="Weekday"/>
    <n v="0.20143884892086331"/>
    <n v="0.47319347319347321"/>
    <n v="6.5268065268065265E-2"/>
    <n v="1609"/>
    <s v="Hannover Cars"/>
  </r>
  <r>
    <s v="CUST_1641"/>
    <x v="14"/>
    <x v="2"/>
    <s v="Friday"/>
    <s v="No"/>
    <x v="5"/>
    <x v="5"/>
    <s v="Hamburg"/>
    <x v="4"/>
    <s v="T-Roc"/>
    <s v="Electric"/>
    <x v="0"/>
    <s v="36-50"/>
    <s v="Low"/>
    <x v="1"/>
    <x v="3"/>
    <s v="Sales_1"/>
    <n v="399"/>
    <n v="181"/>
    <n v="114"/>
    <n v="24"/>
    <s v="13.26"/>
    <n v="32780"/>
    <s v="7.84"/>
    <n v="29436"/>
    <n v="786720"/>
    <n v="80256"/>
    <s v="Feb"/>
    <n v="2"/>
    <n v="2026"/>
    <s v="Weekday"/>
    <n v="0.21052631578947367"/>
    <n v="0.45363408521303256"/>
    <n v="6.0150375939849621E-2"/>
    <n v="3344"/>
    <s v="Elbe Drive"/>
  </r>
  <r>
    <s v="CUST_1642"/>
    <x v="0"/>
    <x v="0"/>
    <s v="Monday"/>
    <s v="No"/>
    <x v="0"/>
    <x v="0"/>
    <s v="Hesse"/>
    <x v="1"/>
    <s v="Mokka"/>
    <s v="Hybrid"/>
    <x v="0"/>
    <s v="50+"/>
    <s v="Medium"/>
    <x v="0"/>
    <x v="0"/>
    <s v="Sales_6"/>
    <n v="351"/>
    <n v="187"/>
    <n v="126"/>
    <n v="30"/>
    <s v="16.04"/>
    <n v="22304"/>
    <s v="12.89"/>
    <n v="20501"/>
    <n v="669120"/>
    <n v="54090"/>
    <s v="Feb"/>
    <n v="2"/>
    <n v="2026"/>
    <s v="Weekday"/>
    <n v="0.23809523809523808"/>
    <n v="0.53276353276353272"/>
    <n v="8.5470085470085472E-2"/>
    <n v="1803"/>
    <s v="Main Auto Hub"/>
  </r>
  <r>
    <s v="CUST_1643"/>
    <x v="15"/>
    <x v="2"/>
    <s v="Thursday"/>
    <s v="No"/>
    <x v="9"/>
    <x v="9"/>
    <s v="NRW"/>
    <x v="1"/>
    <s v="Mokka"/>
    <s v="Hybrid"/>
    <x v="0"/>
    <s v="36-50"/>
    <s v="High"/>
    <x v="1"/>
    <x v="2"/>
    <s v="Sales_11"/>
    <n v="293"/>
    <n v="135"/>
    <n v="79"/>
    <n v="23"/>
    <s v="17.04"/>
    <n v="22753"/>
    <s v="7.69"/>
    <n v="21063"/>
    <n v="523319"/>
    <n v="38870"/>
    <s v="Feb"/>
    <n v="2"/>
    <n v="2026"/>
    <s v="Weekday"/>
    <n v="0.29113924050632911"/>
    <n v="0.46075085324232085"/>
    <n v="7.8498293515358364E-2"/>
    <n v="1690"/>
    <s v="Ruhr Auto Plaza"/>
  </r>
  <r>
    <s v="CUST_1644"/>
    <x v="11"/>
    <x v="0"/>
    <s v="Wednesday"/>
    <s v="No"/>
    <x v="7"/>
    <x v="7"/>
    <s v="Bavaria"/>
    <x v="3"/>
    <s v="GLC"/>
    <s v="Hybrid"/>
    <x v="0"/>
    <s v="50+"/>
    <s v="High"/>
    <x v="0"/>
    <x v="2"/>
    <s v="Sales_9"/>
    <n v="167"/>
    <n v="83"/>
    <n v="65"/>
    <n v="25"/>
    <s v="30.12"/>
    <n v="64188"/>
    <s v="3.81"/>
    <n v="48707"/>
    <n v="1604700"/>
    <n v="387025"/>
    <s v="Feb"/>
    <n v="2"/>
    <n v="2026"/>
    <s v="Weekday"/>
    <n v="0.38461538461538464"/>
    <n v="0.49700598802395207"/>
    <n v="0.1497005988023952"/>
    <n v="15481"/>
    <s v="Bavaria Motors"/>
  </r>
  <r>
    <s v="CUST_1645"/>
    <x v="20"/>
    <x v="0"/>
    <s v="Thursday"/>
    <s v="No"/>
    <x v="6"/>
    <x v="6"/>
    <s v="Saxony"/>
    <x v="4"/>
    <s v="Passat"/>
    <s v="Diesel"/>
    <x v="1"/>
    <s v="26-35"/>
    <s v="Low"/>
    <x v="0"/>
    <x v="2"/>
    <s v="Sales_12"/>
    <n v="404"/>
    <n v="204"/>
    <n v="129"/>
    <n v="42"/>
    <s v="20.59"/>
    <n v="28715"/>
    <s v="10.2"/>
    <n v="25415"/>
    <n v="1206030"/>
    <n v="138600"/>
    <s v="Feb"/>
    <n v="2"/>
    <n v="2026"/>
    <s v="Weekday"/>
    <n v="0.32558139534883723"/>
    <n v="0.50495049504950495"/>
    <n v="0.10396039603960396"/>
    <n v="3300"/>
    <s v="Leipzig Mobility"/>
  </r>
  <r>
    <s v="CUST_1646"/>
    <x v="6"/>
    <x v="2"/>
    <s v="Saturday"/>
    <s v="Yes"/>
    <x v="3"/>
    <x v="3"/>
    <s v="Saxony"/>
    <x v="4"/>
    <s v="T-Roc"/>
    <s v="Hybrid"/>
    <x v="0"/>
    <s v="36-50"/>
    <s v="Low"/>
    <x v="1"/>
    <x v="1"/>
    <s v="Sales_20"/>
    <n v="376"/>
    <n v="154"/>
    <n v="109"/>
    <n v="21"/>
    <s v="13.64"/>
    <n v="34878"/>
    <s v="7.44"/>
    <n v="31331"/>
    <n v="732438"/>
    <n v="74487"/>
    <s v="Feb"/>
    <n v="2"/>
    <n v="2026"/>
    <s v="Weekend"/>
    <n v="0.19266055045871561"/>
    <n v="0.40957446808510639"/>
    <n v="5.5851063829787231E-2"/>
    <n v="3547"/>
    <s v="Saxon Wheels"/>
  </r>
  <r>
    <s v="CUST_1647"/>
    <x v="13"/>
    <x v="0"/>
    <s v="Friday"/>
    <s v="No"/>
    <x v="1"/>
    <x v="1"/>
    <s v="NRW"/>
    <x v="0"/>
    <s v="5 Series"/>
    <s v="Petrol"/>
    <x v="1"/>
    <s v="26-35"/>
    <s v="High"/>
    <x v="1"/>
    <x v="3"/>
    <s v="Sales_6"/>
    <n v="231"/>
    <n v="136"/>
    <n v="93"/>
    <n v="33"/>
    <s v="24.26"/>
    <n v="62139"/>
    <s v="2.14"/>
    <n v="48456"/>
    <n v="2050587"/>
    <n v="451539"/>
    <s v="Feb"/>
    <n v="2"/>
    <n v="2026"/>
    <s v="Weekday"/>
    <n v="0.35483870967741937"/>
    <n v="0.58874458874458879"/>
    <n v="0.14285714285714285"/>
    <n v="13683"/>
    <s v="Rhein Auto Group"/>
  </r>
  <r>
    <s v="CUST_1648"/>
    <x v="7"/>
    <x v="3"/>
    <s v="Monday"/>
    <s v="No"/>
    <x v="5"/>
    <x v="5"/>
    <s v="Hamburg"/>
    <x v="1"/>
    <s v="Crossland"/>
    <s v="Diesel"/>
    <x v="0"/>
    <s v="50+"/>
    <s v="Medium"/>
    <x v="0"/>
    <x v="2"/>
    <s v="Sales_10"/>
    <n v="411"/>
    <n v="168"/>
    <n v="108"/>
    <n v="33"/>
    <s v="19.64"/>
    <n v="23658"/>
    <s v="13.08"/>
    <n v="21567"/>
    <n v="780714"/>
    <n v="69003"/>
    <s v="Feb"/>
    <n v="2"/>
    <n v="2026"/>
    <s v="Weekday"/>
    <n v="0.30555555555555558"/>
    <n v="0.40875912408759124"/>
    <n v="8.0291970802919707E-2"/>
    <n v="2091"/>
    <s v="Elbe Drive"/>
  </r>
  <r>
    <s v="CUST_1649"/>
    <x v="4"/>
    <x v="2"/>
    <s v="Wednesday"/>
    <s v="No"/>
    <x v="8"/>
    <x v="8"/>
    <s v="Baden-WÃ¼rttemberg"/>
    <x v="3"/>
    <s v="C-Class"/>
    <s v="Hybrid"/>
    <x v="1"/>
    <s v="36-50"/>
    <s v="High"/>
    <x v="1"/>
    <x v="2"/>
    <s v="Sales_16"/>
    <n v="152"/>
    <n v="71"/>
    <n v="54"/>
    <n v="19"/>
    <s v="26.76"/>
    <n v="71133"/>
    <s v="3.66"/>
    <n v="52445"/>
    <n v="1351527"/>
    <n v="355072"/>
    <s v="Feb"/>
    <n v="2"/>
    <n v="2026"/>
    <s v="Weekday"/>
    <n v="0.35185185185185186"/>
    <n v="0.46710526315789475"/>
    <n v="0.125"/>
    <n v="18688"/>
    <s v="Stuttgart Auto Center"/>
  </r>
  <r>
    <s v="CUST_1650"/>
    <x v="22"/>
    <x v="3"/>
    <s v="Tuesday"/>
    <s v="No"/>
    <x v="4"/>
    <x v="4"/>
    <s v="Berlin"/>
    <x v="1"/>
    <s v="Mokka"/>
    <s v="Petrol"/>
    <x v="0"/>
    <s v="50+"/>
    <s v="Low"/>
    <x v="1"/>
    <x v="2"/>
    <s v="Sales_4"/>
    <n v="321"/>
    <n v="130"/>
    <n v="73"/>
    <n v="23"/>
    <s v="17.69"/>
    <n v="21672"/>
    <s v="10.56"/>
    <n v="19310"/>
    <n v="498456"/>
    <n v="54326"/>
    <s v="Feb"/>
    <n v="2"/>
    <n v="2026"/>
    <s v="Weekday"/>
    <n v="0.31506849315068491"/>
    <n v="0.40498442367601245"/>
    <n v="7.1651090342679122E-2"/>
    <n v="2362"/>
    <s v="Autohaus Berlin"/>
  </r>
  <r>
    <s v="CUST_1651"/>
    <x v="4"/>
    <x v="2"/>
    <s v="Wednesday"/>
    <s v="No"/>
    <x v="9"/>
    <x v="9"/>
    <s v="NRW"/>
    <x v="4"/>
    <s v="Passat"/>
    <s v="Electric"/>
    <x v="1"/>
    <s v="36-50"/>
    <s v="High"/>
    <x v="0"/>
    <x v="0"/>
    <s v="Sales_1"/>
    <n v="288"/>
    <n v="121"/>
    <n v="74"/>
    <n v="18"/>
    <s v="14.88"/>
    <n v="31822"/>
    <s v="8.62"/>
    <n v="27450"/>
    <n v="572796"/>
    <n v="78696"/>
    <s v="Feb"/>
    <n v="2"/>
    <n v="2026"/>
    <s v="Weekday"/>
    <n v="0.24324324324324326"/>
    <n v="0.4201388888888889"/>
    <n v="6.25E-2"/>
    <n v="4372"/>
    <s v="Ruhr Auto Plaza"/>
  </r>
  <r>
    <s v="CUST_1652"/>
    <x v="22"/>
    <x v="3"/>
    <s v="Tuesday"/>
    <s v="No"/>
    <x v="8"/>
    <x v="8"/>
    <s v="Baden-WÃ¼rttemberg"/>
    <x v="1"/>
    <s v="Crossland"/>
    <s v="Diesel"/>
    <x v="0"/>
    <s v="18-25"/>
    <s v="High"/>
    <x v="0"/>
    <x v="1"/>
    <s v="Sales_5"/>
    <n v="321"/>
    <n v="171"/>
    <n v="110"/>
    <n v="30"/>
    <s v="17.54"/>
    <n v="20288"/>
    <s v="11.46"/>
    <n v="18824"/>
    <n v="608640"/>
    <n v="43920"/>
    <s v="Feb"/>
    <n v="2"/>
    <n v="2026"/>
    <s v="Weekday"/>
    <n v="0.27272727272727271"/>
    <n v="0.53271028037383172"/>
    <n v="9.3457943925233641E-2"/>
    <n v="1464"/>
    <s v="Stuttgart Auto Center"/>
  </r>
  <r>
    <s v="CUST_1653"/>
    <x v="17"/>
    <x v="2"/>
    <s v="Sunday"/>
    <s v="Yes"/>
    <x v="1"/>
    <x v="1"/>
    <s v="NRW"/>
    <x v="3"/>
    <s v="GLE"/>
    <s v="Diesel"/>
    <x v="0"/>
    <s v="50+"/>
    <s v="Low"/>
    <x v="1"/>
    <x v="1"/>
    <s v="Sales_2"/>
    <n v="287"/>
    <n v="141"/>
    <n v="100"/>
    <n v="35"/>
    <s v="24.82"/>
    <n v="69904"/>
    <s v="3.77"/>
    <n v="51310"/>
    <n v="2446640"/>
    <n v="650790"/>
    <s v="Feb"/>
    <n v="2"/>
    <n v="2026"/>
    <s v="Weekend"/>
    <n v="0.35"/>
    <n v="0.49128919860627179"/>
    <n v="0.12195121951219512"/>
    <n v="18594"/>
    <s v="Rhein Auto Group"/>
  </r>
  <r>
    <s v="CUST_1654"/>
    <x v="0"/>
    <x v="0"/>
    <s v="Monday"/>
    <s v="No"/>
    <x v="4"/>
    <x v="4"/>
    <s v="Berlin"/>
    <x v="3"/>
    <s v="GLC"/>
    <s v="Hybrid"/>
    <x v="0"/>
    <s v="50+"/>
    <s v="Low"/>
    <x v="1"/>
    <x v="1"/>
    <s v="Sales_8"/>
    <n v="268"/>
    <n v="154"/>
    <n v="117"/>
    <n v="40"/>
    <s v="25.97"/>
    <n v="65161"/>
    <s v="3.06"/>
    <n v="47717"/>
    <n v="2606440"/>
    <n v="697760"/>
    <s v="Feb"/>
    <n v="2"/>
    <n v="2026"/>
    <s v="Weekday"/>
    <n v="0.34188034188034189"/>
    <n v="0.57462686567164178"/>
    <n v="0.14925373134328357"/>
    <n v="17444"/>
    <s v="Autohaus Berlin"/>
  </r>
  <r>
    <s v="CUST_1655"/>
    <x v="0"/>
    <x v="0"/>
    <s v="Monday"/>
    <s v="No"/>
    <x v="1"/>
    <x v="1"/>
    <s v="NRW"/>
    <x v="2"/>
    <s v="e-tron"/>
    <s v="Hybrid"/>
    <x v="0"/>
    <s v="26-35"/>
    <s v="High"/>
    <x v="1"/>
    <x v="3"/>
    <s v="Sales_1"/>
    <n v="256"/>
    <n v="123"/>
    <n v="90"/>
    <n v="26"/>
    <s v="21.14"/>
    <n v="47551"/>
    <s v="5.58"/>
    <n v="38086"/>
    <n v="1236326"/>
    <n v="246090"/>
    <s v="Feb"/>
    <n v="2"/>
    <n v="2026"/>
    <s v="Weekday"/>
    <n v="0.28888888888888886"/>
    <n v="0.48046875"/>
    <n v="0.1015625"/>
    <n v="9465"/>
    <s v="Rhein Auto Group"/>
  </r>
  <r>
    <s v="CUST_1656"/>
    <x v="21"/>
    <x v="0"/>
    <s v="Tuesday"/>
    <s v="No"/>
    <x v="4"/>
    <x v="4"/>
    <s v="Berlin"/>
    <x v="0"/>
    <s v="5 Series"/>
    <s v="Hybrid"/>
    <x v="1"/>
    <s v="26-35"/>
    <s v="Low"/>
    <x v="0"/>
    <x v="1"/>
    <s v="Sales_18"/>
    <n v="257"/>
    <n v="159"/>
    <n v="112"/>
    <n v="50"/>
    <s v="31.45"/>
    <n v="68091"/>
    <s v="4.9"/>
    <n v="50419"/>
    <n v="3404550"/>
    <n v="883600"/>
    <s v="Feb"/>
    <n v="2"/>
    <n v="2026"/>
    <s v="Weekday"/>
    <n v="0.44642857142857145"/>
    <n v="0.61867704280155644"/>
    <n v="0.19455252918287938"/>
    <n v="17672"/>
    <s v="Autohaus Berlin"/>
  </r>
  <r>
    <s v="CUST_1657"/>
    <x v="23"/>
    <x v="2"/>
    <s v="Tuesday"/>
    <s v="No"/>
    <x v="7"/>
    <x v="7"/>
    <s v="Bavaria"/>
    <x v="0"/>
    <s v="3 Series"/>
    <s v="Hybrid"/>
    <x v="1"/>
    <s v="26-35"/>
    <s v="Low"/>
    <x v="0"/>
    <x v="2"/>
    <s v="Sales_16"/>
    <n v="248"/>
    <n v="119"/>
    <n v="81"/>
    <n v="40"/>
    <s v="33.61"/>
    <n v="69141"/>
    <s v="3.35"/>
    <n v="51981"/>
    <n v="2765640"/>
    <n v="686400"/>
    <s v="Feb"/>
    <n v="2"/>
    <n v="2026"/>
    <s v="Weekday"/>
    <n v="0.49382716049382713"/>
    <n v="0.47983870967741937"/>
    <n v="0.16129032258064516"/>
    <n v="17160"/>
    <s v="Bavaria Motors"/>
  </r>
  <r>
    <s v="CUST_1658"/>
    <x v="25"/>
    <x v="3"/>
    <s v="Friday"/>
    <s v="No"/>
    <x v="7"/>
    <x v="7"/>
    <s v="Bavaria"/>
    <x v="2"/>
    <s v="e-tron"/>
    <s v="Petrol"/>
    <x v="0"/>
    <s v="36-50"/>
    <s v="Medium"/>
    <x v="1"/>
    <x v="2"/>
    <s v="Sales_17"/>
    <n v="299"/>
    <n v="177"/>
    <n v="135"/>
    <n v="50"/>
    <s v="28.25"/>
    <n v="54446"/>
    <s v="3.41"/>
    <n v="42154"/>
    <n v="2722300"/>
    <n v="614600"/>
    <s v="Feb"/>
    <n v="2"/>
    <n v="2026"/>
    <s v="Weekday"/>
    <n v="0.37037037037037035"/>
    <n v="0.59197324414715724"/>
    <n v="0.16722408026755853"/>
    <n v="12292"/>
    <s v="Bavaria Motors"/>
  </r>
  <r>
    <s v="CUST_1659"/>
    <x v="5"/>
    <x v="3"/>
    <s v="Saturday"/>
    <s v="Yes"/>
    <x v="0"/>
    <x v="0"/>
    <s v="Hesse"/>
    <x v="4"/>
    <s v="Passat"/>
    <s v="Electric"/>
    <x v="1"/>
    <s v="50+"/>
    <s v="High"/>
    <x v="0"/>
    <x v="2"/>
    <s v="Sales_18"/>
    <n v="504"/>
    <n v="236"/>
    <n v="165"/>
    <n v="46"/>
    <s v="19.49"/>
    <n v="28670"/>
    <s v="6.07"/>
    <n v="24993"/>
    <n v="1318820"/>
    <n v="169142"/>
    <s v="Feb"/>
    <n v="2"/>
    <n v="2026"/>
    <s v="Weekend"/>
    <n v="0.27878787878787881"/>
    <n v="0.46825396825396826"/>
    <n v="9.1269841269841265E-2"/>
    <n v="3677"/>
    <s v="Main Auto Hub"/>
  </r>
  <r>
    <s v="CUST_1660"/>
    <x v="9"/>
    <x v="0"/>
    <s v="Sunday"/>
    <s v="Yes"/>
    <x v="9"/>
    <x v="9"/>
    <s v="NRW"/>
    <x v="0"/>
    <s v="X3"/>
    <s v="Petrol"/>
    <x v="0"/>
    <s v="18-25"/>
    <s v="Low"/>
    <x v="0"/>
    <x v="1"/>
    <s v="Sales_7"/>
    <n v="145"/>
    <n v="88"/>
    <n v="69"/>
    <n v="23"/>
    <s v="26.14"/>
    <n v="62721"/>
    <s v="3.61"/>
    <n v="45611"/>
    <n v="1442583"/>
    <n v="393530"/>
    <s v="Feb"/>
    <n v="2"/>
    <n v="2026"/>
    <s v="Weekend"/>
    <n v="0.33333333333333331"/>
    <n v="0.60689655172413792"/>
    <n v="0.15862068965517243"/>
    <n v="17110"/>
    <s v="Ruhr Auto Plaza"/>
  </r>
  <r>
    <s v="CUST_1661"/>
    <x v="21"/>
    <x v="0"/>
    <s v="Tuesday"/>
    <s v="No"/>
    <x v="0"/>
    <x v="0"/>
    <s v="Hesse"/>
    <x v="1"/>
    <s v="Crossland"/>
    <s v="Electric"/>
    <x v="0"/>
    <s v="50+"/>
    <s v="Low"/>
    <x v="0"/>
    <x v="3"/>
    <s v="Sales_7"/>
    <n v="280"/>
    <n v="123"/>
    <n v="84"/>
    <n v="20"/>
    <s v="16.26"/>
    <n v="26173"/>
    <s v="8.38"/>
    <n v="23546"/>
    <n v="523460"/>
    <n v="52540"/>
    <s v="Feb"/>
    <n v="2"/>
    <n v="2026"/>
    <s v="Weekday"/>
    <n v="0.23809523809523808"/>
    <n v="0.43928571428571428"/>
    <n v="7.1428571428571425E-2"/>
    <n v="2627"/>
    <s v="Main Auto Hub"/>
  </r>
  <r>
    <s v="CUST_1662"/>
    <x v="27"/>
    <x v="3"/>
    <s v="Sunday"/>
    <s v="Yes"/>
    <x v="5"/>
    <x v="5"/>
    <s v="Hamburg"/>
    <x v="4"/>
    <s v="Tiguan"/>
    <s v="Electric"/>
    <x v="0"/>
    <s v="26-35"/>
    <s v="Medium"/>
    <x v="0"/>
    <x v="3"/>
    <s v="Sales_12"/>
    <n v="459"/>
    <n v="202"/>
    <n v="137"/>
    <n v="31"/>
    <s v="15.35"/>
    <n v="33585"/>
    <s v="7.41"/>
    <n v="29446"/>
    <n v="1041135"/>
    <n v="128309"/>
    <s v="Feb"/>
    <n v="2"/>
    <n v="2026"/>
    <s v="Weekend"/>
    <n v="0.22627737226277372"/>
    <n v="0.44008714596949888"/>
    <n v="6.7538126361655779E-2"/>
    <n v="4139"/>
    <s v="Elbe Drive"/>
  </r>
  <r>
    <s v="CUST_1663"/>
    <x v="9"/>
    <x v="0"/>
    <s v="Sunday"/>
    <s v="Yes"/>
    <x v="1"/>
    <x v="1"/>
    <s v="NRW"/>
    <x v="4"/>
    <s v="Tiguan"/>
    <s v="Petrol"/>
    <x v="0"/>
    <s v="18-25"/>
    <s v="High"/>
    <x v="0"/>
    <x v="1"/>
    <s v="Sales_11"/>
    <n v="270"/>
    <n v="129"/>
    <n v="84"/>
    <n v="25"/>
    <s v="19.38"/>
    <n v="31591"/>
    <s v="10.57"/>
    <n v="27364"/>
    <n v="789775"/>
    <n v="105675"/>
    <s v="Feb"/>
    <n v="2"/>
    <n v="2026"/>
    <s v="Weekend"/>
    <n v="0.29761904761904762"/>
    <n v="0.4777777777777778"/>
    <n v="9.2592592592592587E-2"/>
    <n v="4227"/>
    <s v="Rhein Auto Group"/>
  </r>
  <r>
    <s v="CUST_1664"/>
    <x v="6"/>
    <x v="2"/>
    <s v="Saturday"/>
    <s v="Yes"/>
    <x v="8"/>
    <x v="8"/>
    <s v="Baden-WÃ¼rttemberg"/>
    <x v="3"/>
    <s v="E-Class"/>
    <s v="Hybrid"/>
    <x v="1"/>
    <s v="26-35"/>
    <s v="Low"/>
    <x v="1"/>
    <x v="0"/>
    <s v="Sales_2"/>
    <n v="263"/>
    <n v="134"/>
    <n v="102"/>
    <n v="31"/>
    <s v="23.13"/>
    <n v="61838"/>
    <s v="2.56"/>
    <n v="45511"/>
    <n v="1916978"/>
    <n v="506137"/>
    <s v="Feb"/>
    <n v="2"/>
    <n v="2026"/>
    <s v="Weekend"/>
    <n v="0.30392156862745096"/>
    <n v="0.50950570342205326"/>
    <n v="0.11787072243346007"/>
    <n v="16327"/>
    <s v="Stuttgart Auto Center"/>
  </r>
  <r>
    <s v="CUST_1665"/>
    <x v="13"/>
    <x v="0"/>
    <s v="Friday"/>
    <s v="No"/>
    <x v="4"/>
    <x v="4"/>
    <s v="Berlin"/>
    <x v="3"/>
    <s v="EQE"/>
    <s v="Electric"/>
    <x v="1"/>
    <s v="18-25"/>
    <s v="Low"/>
    <x v="0"/>
    <x v="2"/>
    <s v="Sales_3"/>
    <n v="159"/>
    <n v="85"/>
    <n v="64"/>
    <n v="26"/>
    <s v="30.59"/>
    <n v="68264"/>
    <s v="3.8"/>
    <n v="51112"/>
    <n v="1774864"/>
    <n v="445952"/>
    <s v="Feb"/>
    <n v="2"/>
    <n v="2026"/>
    <s v="Weekday"/>
    <n v="0.40625"/>
    <n v="0.53459119496855345"/>
    <n v="0.16352201257861634"/>
    <n v="17152"/>
    <s v="Autohaus Berlin"/>
  </r>
  <r>
    <s v="CUST_1666"/>
    <x v="8"/>
    <x v="3"/>
    <s v="Wednesday"/>
    <s v="No"/>
    <x v="7"/>
    <x v="7"/>
    <s v="Bavaria"/>
    <x v="0"/>
    <s v="i4"/>
    <s v="Diesel"/>
    <x v="1"/>
    <s v="36-50"/>
    <s v="High"/>
    <x v="0"/>
    <x v="0"/>
    <s v="Sales_13"/>
    <n v="269"/>
    <n v="158"/>
    <n v="115"/>
    <n v="44"/>
    <s v="27.85"/>
    <n v="54757"/>
    <s v="5.43"/>
    <n v="38471"/>
    <n v="2409308"/>
    <n v="716584"/>
    <s v="Feb"/>
    <n v="2"/>
    <n v="2026"/>
    <s v="Weekday"/>
    <n v="0.38260869565217392"/>
    <n v="0.58736059479553904"/>
    <n v="0.16356877323420074"/>
    <n v="16286"/>
    <s v="Bavaria Motors"/>
  </r>
  <r>
    <s v="CUST_1667"/>
    <x v="10"/>
    <x v="1"/>
    <s v="Monday"/>
    <s v="No"/>
    <x v="1"/>
    <x v="1"/>
    <s v="NRW"/>
    <x v="0"/>
    <s v="i4"/>
    <s v="Petrol"/>
    <x v="1"/>
    <s v="26-35"/>
    <s v="High"/>
    <x v="0"/>
    <x v="1"/>
    <s v="Sales_11"/>
    <n v="172"/>
    <n v="86"/>
    <n v="61"/>
    <n v="26"/>
    <s v="30.23"/>
    <n v="54219"/>
    <s v="4.62"/>
    <n v="41972"/>
    <n v="1409694"/>
    <n v="318422"/>
    <s v="Feb"/>
    <n v="2"/>
    <n v="2026"/>
    <s v="Weekday"/>
    <n v="0.42622950819672129"/>
    <n v="0.5"/>
    <n v="0.15116279069767441"/>
    <n v="12247"/>
    <s v="Rhein Auto Group"/>
  </r>
  <r>
    <s v="CUST_1668"/>
    <x v="26"/>
    <x v="1"/>
    <s v="Friday"/>
    <s v="No"/>
    <x v="3"/>
    <x v="3"/>
    <s v="Saxony"/>
    <x v="3"/>
    <s v="GLC"/>
    <s v="Petrol"/>
    <x v="0"/>
    <s v="50+"/>
    <s v="High"/>
    <x v="1"/>
    <x v="1"/>
    <s v="Sales_2"/>
    <n v="237"/>
    <n v="138"/>
    <n v="109"/>
    <n v="31"/>
    <s v="22.46"/>
    <n v="58453"/>
    <s v="5.56"/>
    <n v="44911"/>
    <n v="1812043"/>
    <n v="419802"/>
    <s v="Feb"/>
    <n v="2"/>
    <n v="2026"/>
    <s v="Weekday"/>
    <n v="0.28440366972477066"/>
    <n v="0.58227848101265822"/>
    <n v="0.13080168776371309"/>
    <n v="13542"/>
    <s v="Saxon Wheels"/>
  </r>
  <r>
    <s v="CUST_1669"/>
    <x v="8"/>
    <x v="3"/>
    <s v="Wednesday"/>
    <s v="No"/>
    <x v="2"/>
    <x v="2"/>
    <s v="Lower Saxony"/>
    <x v="3"/>
    <s v="E-Class"/>
    <s v="Hybrid"/>
    <x v="1"/>
    <s v="36-50"/>
    <s v="Medium"/>
    <x v="0"/>
    <x v="2"/>
    <s v="Sales_2"/>
    <n v="182"/>
    <n v="107"/>
    <n v="72"/>
    <n v="29"/>
    <s v="27.1"/>
    <n v="52015"/>
    <s v="4.78"/>
    <n v="38910"/>
    <n v="1508435"/>
    <n v="380045"/>
    <s v="Feb"/>
    <n v="2"/>
    <n v="2026"/>
    <s v="Weekday"/>
    <n v="0.40277777777777779"/>
    <n v="0.58791208791208793"/>
    <n v="0.15934065934065933"/>
    <n v="13105"/>
    <s v="Hannover Cars"/>
  </r>
  <r>
    <s v="CUST_1670"/>
    <x v="13"/>
    <x v="0"/>
    <s v="Friday"/>
    <s v="No"/>
    <x v="7"/>
    <x v="7"/>
    <s v="Bavaria"/>
    <x v="4"/>
    <s v="Tiguan"/>
    <s v="Diesel"/>
    <x v="0"/>
    <s v="50+"/>
    <s v="Low"/>
    <x v="1"/>
    <x v="1"/>
    <s v="Sales_12"/>
    <n v="509"/>
    <n v="218"/>
    <n v="143"/>
    <n v="35"/>
    <s v="16.06"/>
    <n v="25500"/>
    <s v="10.95"/>
    <n v="22282"/>
    <n v="892500"/>
    <n v="112630"/>
    <s v="Feb"/>
    <n v="2"/>
    <n v="2026"/>
    <s v="Weekday"/>
    <n v="0.24475524475524477"/>
    <n v="0.42829076620825146"/>
    <n v="6.8762278978389005E-2"/>
    <n v="3218"/>
    <s v="Bavaria Motors"/>
  </r>
  <r>
    <s v="CUST_1671"/>
    <x v="7"/>
    <x v="3"/>
    <s v="Monday"/>
    <s v="No"/>
    <x v="7"/>
    <x v="7"/>
    <s v="Bavaria"/>
    <x v="1"/>
    <s v="Crossland"/>
    <s v="Electric"/>
    <x v="0"/>
    <s v="50+"/>
    <s v="Low"/>
    <x v="1"/>
    <x v="2"/>
    <s v="Sales_6"/>
    <n v="420"/>
    <n v="206"/>
    <n v="134"/>
    <n v="45"/>
    <s v="21.84"/>
    <n v="23385"/>
    <s v="11.51"/>
    <n v="20922"/>
    <n v="1052325"/>
    <n v="110835"/>
    <s v="Feb"/>
    <n v="2"/>
    <n v="2026"/>
    <s v="Weekday"/>
    <n v="0.33582089552238809"/>
    <n v="0.49047619047619045"/>
    <n v="0.10714285714285714"/>
    <n v="2463"/>
    <s v="Bavaria Motors"/>
  </r>
  <r>
    <s v="CUST_1672"/>
    <x v="7"/>
    <x v="3"/>
    <s v="Monday"/>
    <s v="No"/>
    <x v="7"/>
    <x v="7"/>
    <s v="Bavaria"/>
    <x v="1"/>
    <s v="Crossland"/>
    <s v="Hybrid"/>
    <x v="0"/>
    <s v="26-35"/>
    <s v="High"/>
    <x v="1"/>
    <x v="0"/>
    <s v="Sales_7"/>
    <n v="294"/>
    <n v="122"/>
    <n v="84"/>
    <n v="22"/>
    <s v="18.03"/>
    <n v="21118"/>
    <s v="9.01"/>
    <n v="18795"/>
    <n v="464596"/>
    <n v="51106"/>
    <s v="Feb"/>
    <n v="2"/>
    <n v="2026"/>
    <s v="Weekday"/>
    <n v="0.26190476190476192"/>
    <n v="0.41496598639455784"/>
    <n v="7.4829931972789115E-2"/>
    <n v="2323"/>
    <s v="Bavaria Motors"/>
  </r>
  <r>
    <s v="CUST_1673"/>
    <x v="19"/>
    <x v="1"/>
    <s v="Saturday"/>
    <s v="Yes"/>
    <x v="3"/>
    <x v="3"/>
    <s v="Saxony"/>
    <x v="4"/>
    <s v="ID.4"/>
    <s v="Hybrid"/>
    <x v="0"/>
    <s v="26-35"/>
    <s v="Low"/>
    <x v="0"/>
    <x v="1"/>
    <s v="Sales_3"/>
    <n v="369"/>
    <n v="159"/>
    <n v="101"/>
    <n v="28"/>
    <s v="17.61"/>
    <n v="25961"/>
    <s v="8.49"/>
    <n v="22409"/>
    <n v="726908"/>
    <n v="99456"/>
    <s v="Feb"/>
    <n v="2"/>
    <n v="2026"/>
    <s v="Weekend"/>
    <n v="0.27722772277227725"/>
    <n v="0.43089430894308944"/>
    <n v="7.5880758807588072E-2"/>
    <n v="3552"/>
    <s v="Saxon Wheels"/>
  </r>
  <r>
    <s v="CUST_1674"/>
    <x v="12"/>
    <x v="3"/>
    <s v="Thursday"/>
    <s v="No"/>
    <x v="7"/>
    <x v="7"/>
    <s v="Bavaria"/>
    <x v="3"/>
    <s v="EQE"/>
    <s v="Hybrid"/>
    <x v="1"/>
    <s v="26-35"/>
    <s v="Low"/>
    <x v="1"/>
    <x v="1"/>
    <s v="Sales_12"/>
    <n v="283"/>
    <n v="149"/>
    <n v="100"/>
    <n v="39"/>
    <s v="26.17"/>
    <n v="59529"/>
    <s v="2.08"/>
    <n v="42946"/>
    <n v="2321631"/>
    <n v="646737"/>
    <s v="Feb"/>
    <n v="2"/>
    <n v="2026"/>
    <s v="Weekday"/>
    <n v="0.39"/>
    <n v="0.52650176678445226"/>
    <n v="0.13780918727915195"/>
    <n v="16583"/>
    <s v="Bavaria Motors"/>
  </r>
  <r>
    <s v="CUST_1675"/>
    <x v="5"/>
    <x v="3"/>
    <s v="Saturday"/>
    <s v="Yes"/>
    <x v="6"/>
    <x v="6"/>
    <s v="Saxony"/>
    <x v="0"/>
    <s v="X5"/>
    <s v="Diesel"/>
    <x v="0"/>
    <s v="26-35"/>
    <s v="Medium"/>
    <x v="1"/>
    <x v="2"/>
    <s v="Sales_7"/>
    <n v="254"/>
    <n v="115"/>
    <n v="92"/>
    <n v="31"/>
    <s v="26.96"/>
    <n v="55427"/>
    <s v="5.67"/>
    <n v="39727"/>
    <n v="1718237"/>
    <n v="486700"/>
    <s v="Feb"/>
    <n v="2"/>
    <n v="2026"/>
    <s v="Weekend"/>
    <n v="0.33695652173913043"/>
    <n v="0.452755905511811"/>
    <n v="0.12204724409448819"/>
    <n v="15700"/>
    <s v="Leipzig Mobility"/>
  </r>
  <r>
    <s v="CUST_1676"/>
    <x v="4"/>
    <x v="2"/>
    <s v="Wednesday"/>
    <s v="No"/>
    <x v="1"/>
    <x v="1"/>
    <s v="NRW"/>
    <x v="0"/>
    <s v="i4"/>
    <s v="Petrol"/>
    <x v="1"/>
    <s v="18-25"/>
    <s v="Medium"/>
    <x v="0"/>
    <x v="3"/>
    <s v="Sales_2"/>
    <n v="237"/>
    <n v="134"/>
    <n v="104"/>
    <n v="34"/>
    <s v="25.37"/>
    <n v="55078"/>
    <s v="3.15"/>
    <n v="41745"/>
    <n v="1872652"/>
    <n v="453322"/>
    <s v="Feb"/>
    <n v="2"/>
    <n v="2026"/>
    <s v="Weekday"/>
    <n v="0.32692307692307693"/>
    <n v="0.56540084388185652"/>
    <n v="0.14345991561181434"/>
    <n v="13333"/>
    <s v="Rhein Auto Group"/>
  </r>
  <r>
    <s v="CUST_1677"/>
    <x v="8"/>
    <x v="3"/>
    <s v="Wednesday"/>
    <s v="No"/>
    <x v="3"/>
    <x v="3"/>
    <s v="Saxony"/>
    <x v="0"/>
    <s v="5 Series"/>
    <s v="Electric"/>
    <x v="1"/>
    <s v="36-50"/>
    <s v="High"/>
    <x v="1"/>
    <x v="0"/>
    <s v="Sales_10"/>
    <n v="177"/>
    <n v="98"/>
    <n v="69"/>
    <n v="25"/>
    <s v="25.51"/>
    <n v="53109"/>
    <s v="5.18"/>
    <n v="39795"/>
    <n v="1327725"/>
    <n v="332850"/>
    <s v="Feb"/>
    <n v="2"/>
    <n v="2026"/>
    <s v="Weekday"/>
    <n v="0.36231884057971014"/>
    <n v="0.5536723163841808"/>
    <n v="0.14124293785310735"/>
    <n v="13314"/>
    <s v="Saxon Wheels"/>
  </r>
  <r>
    <s v="CUST_1678"/>
    <x v="3"/>
    <x v="1"/>
    <s v="Sunday"/>
    <s v="Yes"/>
    <x v="1"/>
    <x v="1"/>
    <s v="NRW"/>
    <x v="1"/>
    <s v="Grandland"/>
    <s v="Petrol"/>
    <x v="0"/>
    <s v="26-35"/>
    <s v="Low"/>
    <x v="0"/>
    <x v="3"/>
    <s v="Sales_4"/>
    <n v="263"/>
    <n v="142"/>
    <n v="86"/>
    <n v="20"/>
    <s v="14.08"/>
    <n v="24381"/>
    <s v="8.23"/>
    <n v="22164"/>
    <n v="487620"/>
    <n v="44340"/>
    <s v="Feb"/>
    <n v="2"/>
    <n v="2026"/>
    <s v="Weekend"/>
    <n v="0.23255813953488372"/>
    <n v="0.53992395437262353"/>
    <n v="7.6045627376425853E-2"/>
    <n v="2217"/>
    <s v="Rhein Auto Group"/>
  </r>
  <r>
    <s v="CUST_1679"/>
    <x v="0"/>
    <x v="0"/>
    <s v="Monday"/>
    <s v="No"/>
    <x v="2"/>
    <x v="2"/>
    <s v="Lower Saxony"/>
    <x v="1"/>
    <s v="Mokka"/>
    <s v="Diesel"/>
    <x v="0"/>
    <s v="26-35"/>
    <s v="Medium"/>
    <x v="1"/>
    <x v="2"/>
    <s v="Sales_12"/>
    <n v="382"/>
    <n v="175"/>
    <n v="116"/>
    <n v="31"/>
    <s v="17.71"/>
    <n v="22259"/>
    <s v="10.64"/>
    <n v="20359"/>
    <n v="690029"/>
    <n v="58900"/>
    <s v="Feb"/>
    <n v="2"/>
    <n v="2026"/>
    <s v="Weekday"/>
    <n v="0.26724137931034481"/>
    <n v="0.45811518324607331"/>
    <n v="8.1151832460732987E-2"/>
    <n v="1900"/>
    <s v="Hannover Cars"/>
  </r>
  <r>
    <s v="CUST_1680"/>
    <x v="22"/>
    <x v="3"/>
    <s v="Tuesday"/>
    <s v="No"/>
    <x v="3"/>
    <x v="3"/>
    <s v="Saxony"/>
    <x v="2"/>
    <s v="e-tron"/>
    <s v="Petrol"/>
    <x v="0"/>
    <s v="50+"/>
    <s v="High"/>
    <x v="0"/>
    <x v="0"/>
    <s v="Sales_6"/>
    <n v="187"/>
    <n v="113"/>
    <n v="85"/>
    <n v="25"/>
    <s v="22.12"/>
    <n v="46661"/>
    <s v="3.0"/>
    <n v="35463"/>
    <n v="1166525"/>
    <n v="279950"/>
    <s v="Feb"/>
    <n v="2"/>
    <n v="2026"/>
    <s v="Weekday"/>
    <n v="0.29411764705882354"/>
    <n v="0.60427807486631013"/>
    <n v="0.13368983957219252"/>
    <n v="11198"/>
    <s v="Saxon Wheels"/>
  </r>
  <r>
    <s v="CUST_1681"/>
    <x v="3"/>
    <x v="1"/>
    <s v="Sunday"/>
    <s v="Yes"/>
    <x v="6"/>
    <x v="6"/>
    <s v="Saxony"/>
    <x v="4"/>
    <s v="Passat"/>
    <s v="Hybrid"/>
    <x v="1"/>
    <s v="50+"/>
    <s v="High"/>
    <x v="1"/>
    <x v="0"/>
    <s v="Sales_14"/>
    <n v="445"/>
    <n v="228"/>
    <n v="139"/>
    <n v="28"/>
    <s v="12.28"/>
    <n v="33004"/>
    <s v="10.4"/>
    <n v="28790"/>
    <n v="924112"/>
    <n v="117992"/>
    <s v="Feb"/>
    <n v="2"/>
    <n v="2026"/>
    <s v="Weekend"/>
    <n v="0.20143884892086331"/>
    <n v="0.51235955056179772"/>
    <n v="6.2921348314606745E-2"/>
    <n v="4214"/>
    <s v="Leipzig Mobility"/>
  </r>
  <r>
    <s v="CUST_1682"/>
    <x v="10"/>
    <x v="1"/>
    <s v="Monday"/>
    <s v="No"/>
    <x v="4"/>
    <x v="4"/>
    <s v="Berlin"/>
    <x v="4"/>
    <s v="Golf"/>
    <s v="Diesel"/>
    <x v="2"/>
    <s v="36-50"/>
    <s v="Low"/>
    <x v="0"/>
    <x v="2"/>
    <s v="Sales_2"/>
    <n v="447"/>
    <n v="218"/>
    <n v="153"/>
    <n v="45"/>
    <s v="20.64"/>
    <n v="26303"/>
    <s v="6.75"/>
    <n v="23028"/>
    <n v="1183635"/>
    <n v="147375"/>
    <s v="Feb"/>
    <n v="2"/>
    <n v="2026"/>
    <s v="Weekday"/>
    <n v="0.29411764705882354"/>
    <n v="0.48769574944071586"/>
    <n v="0.10067114093959731"/>
    <n v="3275"/>
    <s v="Autohaus Berlin"/>
  </r>
  <r>
    <s v="CUST_1683"/>
    <x v="5"/>
    <x v="3"/>
    <s v="Saturday"/>
    <s v="Yes"/>
    <x v="9"/>
    <x v="9"/>
    <s v="NRW"/>
    <x v="1"/>
    <s v="Corsa"/>
    <s v="Hybrid"/>
    <x v="2"/>
    <s v="18-25"/>
    <s v="High"/>
    <x v="1"/>
    <x v="3"/>
    <s v="Sales_14"/>
    <n v="301"/>
    <n v="153"/>
    <n v="89"/>
    <n v="17"/>
    <s v="11.11"/>
    <n v="26130"/>
    <s v="8.8"/>
    <n v="23365"/>
    <n v="444210"/>
    <n v="47005"/>
    <s v="Feb"/>
    <n v="2"/>
    <n v="2026"/>
    <s v="Weekend"/>
    <n v="0.19101123595505617"/>
    <n v="0.50830564784053156"/>
    <n v="5.647840531561462E-2"/>
    <n v="2765"/>
    <s v="Ruhr Auto Plaza"/>
  </r>
  <r>
    <s v="CUST_1684"/>
    <x v="3"/>
    <x v="1"/>
    <s v="Sunday"/>
    <s v="Yes"/>
    <x v="7"/>
    <x v="7"/>
    <s v="Bavaria"/>
    <x v="1"/>
    <s v="Mokka"/>
    <s v="Diesel"/>
    <x v="0"/>
    <s v="26-35"/>
    <s v="Medium"/>
    <x v="0"/>
    <x v="0"/>
    <s v="Sales_9"/>
    <n v="370"/>
    <n v="188"/>
    <n v="118"/>
    <n v="27"/>
    <s v="14.36"/>
    <n v="20305"/>
    <s v="11.31"/>
    <n v="18101"/>
    <n v="548235"/>
    <n v="59508"/>
    <s v="Feb"/>
    <n v="2"/>
    <n v="2026"/>
    <s v="Weekend"/>
    <n v="0.2288135593220339"/>
    <n v="0.50810810810810814"/>
    <n v="7.2972972972972977E-2"/>
    <n v="2204"/>
    <s v="Bavaria Motors"/>
  </r>
  <r>
    <s v="CUST_1685"/>
    <x v="24"/>
    <x v="1"/>
    <s v="Thursday"/>
    <s v="No"/>
    <x v="4"/>
    <x v="4"/>
    <s v="Berlin"/>
    <x v="1"/>
    <s v="Corsa"/>
    <s v="Hybrid"/>
    <x v="2"/>
    <s v="36-50"/>
    <s v="Medium"/>
    <x v="1"/>
    <x v="0"/>
    <s v="Sales_18"/>
    <n v="276"/>
    <n v="109"/>
    <n v="72"/>
    <n v="17"/>
    <s v="15.6"/>
    <n v="19359"/>
    <s v="13.94"/>
    <n v="17787"/>
    <n v="329103"/>
    <n v="26724"/>
    <s v="Feb"/>
    <n v="2"/>
    <n v="2026"/>
    <s v="Weekday"/>
    <n v="0.2361111111111111"/>
    <n v="0.39492753623188404"/>
    <n v="6.1594202898550728E-2"/>
    <n v="1572"/>
    <s v="Autohaus Berlin"/>
  </r>
  <r>
    <s v="CUST_1686"/>
    <x v="26"/>
    <x v="1"/>
    <s v="Friday"/>
    <s v="No"/>
    <x v="4"/>
    <x v="4"/>
    <s v="Berlin"/>
    <x v="1"/>
    <s v="Mokka"/>
    <s v="Hybrid"/>
    <x v="0"/>
    <s v="26-35"/>
    <s v="High"/>
    <x v="0"/>
    <x v="2"/>
    <s v="Sales_20"/>
    <n v="405"/>
    <n v="225"/>
    <n v="144"/>
    <n v="43"/>
    <s v="19.11"/>
    <n v="24776"/>
    <s v="12.69"/>
    <n v="22220"/>
    <n v="1065368"/>
    <n v="109908"/>
    <s v="Feb"/>
    <n v="2"/>
    <n v="2026"/>
    <s v="Weekday"/>
    <n v="0.2986111111111111"/>
    <n v="0.55555555555555558"/>
    <n v="0.10617283950617284"/>
    <n v="2556"/>
    <s v="Autohaus Berlin"/>
  </r>
  <r>
    <s v="CUST_1687"/>
    <x v="3"/>
    <x v="1"/>
    <s v="Sunday"/>
    <s v="Yes"/>
    <x v="1"/>
    <x v="1"/>
    <s v="NRW"/>
    <x v="0"/>
    <s v="5 Series"/>
    <s v="Hybrid"/>
    <x v="1"/>
    <s v="36-50"/>
    <s v="Medium"/>
    <x v="1"/>
    <x v="3"/>
    <s v="Sales_9"/>
    <n v="223"/>
    <n v="125"/>
    <n v="85"/>
    <n v="33"/>
    <s v="26.4"/>
    <n v="67788"/>
    <s v="5.01"/>
    <n v="48288"/>
    <n v="2237004"/>
    <n v="643500"/>
    <s v="Feb"/>
    <n v="2"/>
    <n v="2026"/>
    <s v="Weekend"/>
    <n v="0.38823529411764707"/>
    <n v="0.5605381165919282"/>
    <n v="0.14798206278026907"/>
    <n v="19500"/>
    <s v="Rhein Auto Group"/>
  </r>
  <r>
    <s v="CUST_1688"/>
    <x v="13"/>
    <x v="0"/>
    <s v="Friday"/>
    <s v="No"/>
    <x v="7"/>
    <x v="7"/>
    <s v="Bavaria"/>
    <x v="2"/>
    <s v="e-tron"/>
    <s v="Petrol"/>
    <x v="0"/>
    <s v="26-35"/>
    <s v="High"/>
    <x v="1"/>
    <x v="3"/>
    <s v="Sales_11"/>
    <n v="227"/>
    <n v="119"/>
    <n v="89"/>
    <n v="29"/>
    <s v="24.37"/>
    <n v="47917"/>
    <s v="3.94"/>
    <n v="38128"/>
    <n v="1389593"/>
    <n v="283881"/>
    <s v="Feb"/>
    <n v="2"/>
    <n v="2026"/>
    <s v="Weekday"/>
    <n v="0.3258426966292135"/>
    <n v="0.52422907488986781"/>
    <n v="0.1277533039647577"/>
    <n v="9789"/>
    <s v="Bavaria Motors"/>
  </r>
  <r>
    <s v="CUST_1689"/>
    <x v="12"/>
    <x v="3"/>
    <s v="Thursday"/>
    <s v="No"/>
    <x v="5"/>
    <x v="5"/>
    <s v="Hamburg"/>
    <x v="0"/>
    <s v="X5"/>
    <s v="Hybrid"/>
    <x v="0"/>
    <s v="18-25"/>
    <s v="Low"/>
    <x v="0"/>
    <x v="3"/>
    <s v="Sales_4"/>
    <n v="203"/>
    <n v="91"/>
    <n v="68"/>
    <n v="26"/>
    <s v="28.57"/>
    <n v="61898"/>
    <s v="5.67"/>
    <n v="44339"/>
    <n v="1609348"/>
    <n v="456534"/>
    <s v="Feb"/>
    <n v="2"/>
    <n v="2026"/>
    <s v="Weekday"/>
    <n v="0.38235294117647056"/>
    <n v="0.44827586206896552"/>
    <n v="0.12807881773399016"/>
    <n v="17559"/>
    <s v="Elbe Drive"/>
  </r>
  <r>
    <s v="CUST_1690"/>
    <x v="2"/>
    <x v="2"/>
    <s v="Monday"/>
    <s v="No"/>
    <x v="7"/>
    <x v="7"/>
    <s v="Bavaria"/>
    <x v="4"/>
    <s v="ID.4"/>
    <s v="Diesel"/>
    <x v="0"/>
    <s v="18-25"/>
    <s v="Medium"/>
    <x v="1"/>
    <x v="3"/>
    <s v="Sales_11"/>
    <n v="481"/>
    <n v="217"/>
    <n v="126"/>
    <n v="35"/>
    <s v="16.13"/>
    <n v="28548"/>
    <s v="6.86"/>
    <n v="25566"/>
    <n v="999180"/>
    <n v="104370"/>
    <s v="Feb"/>
    <n v="2"/>
    <n v="2026"/>
    <s v="Weekday"/>
    <n v="0.27777777777777779"/>
    <n v="0.45114345114345117"/>
    <n v="7.2765072765072769E-2"/>
    <n v="2982"/>
    <s v="Bavaria Motors"/>
  </r>
  <r>
    <s v="CUST_1691"/>
    <x v="6"/>
    <x v="2"/>
    <s v="Saturday"/>
    <s v="Yes"/>
    <x v="1"/>
    <x v="1"/>
    <s v="NRW"/>
    <x v="0"/>
    <s v="i4"/>
    <s v="Petrol"/>
    <x v="1"/>
    <s v="18-25"/>
    <s v="Medium"/>
    <x v="0"/>
    <x v="0"/>
    <s v="Sales_17"/>
    <n v="186"/>
    <n v="93"/>
    <n v="66"/>
    <n v="27"/>
    <s v="29.03"/>
    <n v="63541"/>
    <s v="5.58"/>
    <n v="49494"/>
    <n v="1715607"/>
    <n v="379269"/>
    <s v="Feb"/>
    <n v="2"/>
    <n v="2026"/>
    <s v="Weekend"/>
    <n v="0.40909090909090912"/>
    <n v="0.5"/>
    <n v="0.14516129032258066"/>
    <n v="14047"/>
    <s v="Rhein Auto Group"/>
  </r>
  <r>
    <s v="CUST_1692"/>
    <x v="0"/>
    <x v="0"/>
    <s v="Monday"/>
    <s v="No"/>
    <x v="9"/>
    <x v="9"/>
    <s v="NRW"/>
    <x v="1"/>
    <s v="Corsa"/>
    <s v="Diesel"/>
    <x v="2"/>
    <s v="36-50"/>
    <s v="High"/>
    <x v="0"/>
    <x v="2"/>
    <s v="Sales_2"/>
    <n v="307"/>
    <n v="167"/>
    <n v="106"/>
    <n v="27"/>
    <s v="16.17"/>
    <n v="19856"/>
    <s v="11.59"/>
    <n v="17698"/>
    <n v="536112"/>
    <n v="58266"/>
    <s v="Feb"/>
    <n v="2"/>
    <n v="2026"/>
    <s v="Weekday"/>
    <n v="0.25471698113207547"/>
    <n v="0.5439739413680782"/>
    <n v="8.7947882736156349E-2"/>
    <n v="2158"/>
    <s v="Ruhr Auto Plaza"/>
  </r>
  <r>
    <s v="CUST_1693"/>
    <x v="3"/>
    <x v="1"/>
    <s v="Sunday"/>
    <s v="Yes"/>
    <x v="3"/>
    <x v="3"/>
    <s v="Saxony"/>
    <x v="2"/>
    <s v="A3"/>
    <s v="Hybrid"/>
    <x v="2"/>
    <s v="50+"/>
    <s v="Low"/>
    <x v="0"/>
    <x v="2"/>
    <s v="Sales_19"/>
    <n v="190"/>
    <n v="102"/>
    <n v="65"/>
    <n v="26"/>
    <s v="25.49"/>
    <n v="52368"/>
    <s v="4.42"/>
    <n v="39361"/>
    <n v="1361568"/>
    <n v="338182"/>
    <s v="Feb"/>
    <n v="2"/>
    <n v="2026"/>
    <s v="Weekend"/>
    <n v="0.4"/>
    <n v="0.5368421052631579"/>
    <n v="0.1368421052631579"/>
    <n v="13007"/>
    <s v="Saxon Wheels"/>
  </r>
  <r>
    <s v="CUST_1694"/>
    <x v="18"/>
    <x v="0"/>
    <s v="Saturday"/>
    <s v="Yes"/>
    <x v="0"/>
    <x v="0"/>
    <s v="Hesse"/>
    <x v="4"/>
    <s v="Passat"/>
    <s v="Electric"/>
    <x v="1"/>
    <s v="18-25"/>
    <s v="High"/>
    <x v="0"/>
    <x v="1"/>
    <s v="Sales_15"/>
    <n v="434"/>
    <n v="210"/>
    <n v="143"/>
    <n v="33"/>
    <s v="15.71"/>
    <n v="25324"/>
    <s v="10.47"/>
    <n v="22705"/>
    <n v="835692"/>
    <n v="86427"/>
    <s v="Feb"/>
    <n v="2"/>
    <n v="2026"/>
    <s v="Weekend"/>
    <n v="0.23076923076923078"/>
    <n v="0.4838709677419355"/>
    <n v="7.6036866359447008E-2"/>
    <n v="2619"/>
    <s v="Main Auto Hub"/>
  </r>
  <r>
    <s v="CUST_1695"/>
    <x v="13"/>
    <x v="0"/>
    <s v="Friday"/>
    <s v="No"/>
    <x v="1"/>
    <x v="1"/>
    <s v="NRW"/>
    <x v="4"/>
    <s v="T-Roc"/>
    <s v="Hybrid"/>
    <x v="0"/>
    <s v="18-25"/>
    <s v="Medium"/>
    <x v="0"/>
    <x v="1"/>
    <s v="Sales_11"/>
    <n v="267"/>
    <n v="125"/>
    <n v="80"/>
    <n v="23"/>
    <s v="18.4"/>
    <n v="28633"/>
    <s v="7.62"/>
    <n v="25882"/>
    <n v="658559"/>
    <n v="63273"/>
    <s v="Feb"/>
    <n v="2"/>
    <n v="2026"/>
    <s v="Weekday"/>
    <n v="0.28749999999999998"/>
    <n v="0.46816479400749061"/>
    <n v="8.6142322097378279E-2"/>
    <n v="2751"/>
    <s v="Rhein Auto Group"/>
  </r>
  <r>
    <s v="CUST_1696"/>
    <x v="22"/>
    <x v="3"/>
    <s v="Tuesday"/>
    <s v="No"/>
    <x v="2"/>
    <x v="2"/>
    <s v="Lower Saxony"/>
    <x v="3"/>
    <s v="C-Class"/>
    <s v="Electric"/>
    <x v="1"/>
    <s v="50+"/>
    <s v="Low"/>
    <x v="0"/>
    <x v="2"/>
    <s v="Sales_14"/>
    <n v="287"/>
    <n v="156"/>
    <n v="108"/>
    <n v="43"/>
    <s v="27.56"/>
    <n v="69755"/>
    <s v="3.12"/>
    <n v="50704"/>
    <n v="2999465"/>
    <n v="819193"/>
    <s v="Feb"/>
    <n v="2"/>
    <n v="2026"/>
    <s v="Weekday"/>
    <n v="0.39814814814814814"/>
    <n v="0.54355400696864109"/>
    <n v="0.14982578397212543"/>
    <n v="19051"/>
    <s v="Hannover Cars"/>
  </r>
  <r>
    <s v="CUST_1697"/>
    <x v="26"/>
    <x v="1"/>
    <s v="Friday"/>
    <s v="No"/>
    <x v="7"/>
    <x v="7"/>
    <s v="Bavaria"/>
    <x v="4"/>
    <s v="ID.4"/>
    <s v="Hybrid"/>
    <x v="0"/>
    <s v="50+"/>
    <s v="High"/>
    <x v="0"/>
    <x v="2"/>
    <s v="Sales_1"/>
    <n v="308"/>
    <n v="150"/>
    <n v="102"/>
    <n v="30"/>
    <s v="20.0"/>
    <n v="25439"/>
    <s v="10.58"/>
    <n v="22192"/>
    <n v="763170"/>
    <n v="97410"/>
    <s v="Feb"/>
    <n v="2"/>
    <n v="2026"/>
    <s v="Weekday"/>
    <n v="0.29411764705882354"/>
    <n v="0.48701298701298701"/>
    <n v="9.7402597402597407E-2"/>
    <n v="3247"/>
    <s v="Bavaria Motors"/>
  </r>
  <r>
    <s v="CUST_1698"/>
    <x v="8"/>
    <x v="3"/>
    <s v="Wednesday"/>
    <s v="No"/>
    <x v="1"/>
    <x v="1"/>
    <s v="NRW"/>
    <x v="1"/>
    <s v="Mokka"/>
    <s v="Hybrid"/>
    <x v="0"/>
    <s v="50+"/>
    <s v="Low"/>
    <x v="0"/>
    <x v="1"/>
    <s v="Sales_20"/>
    <n v="253"/>
    <n v="140"/>
    <n v="88"/>
    <n v="26"/>
    <s v="18.57"/>
    <n v="22066"/>
    <s v="12.66"/>
    <n v="19742"/>
    <n v="573716"/>
    <n v="60424"/>
    <s v="Feb"/>
    <n v="2"/>
    <n v="2026"/>
    <s v="Weekday"/>
    <n v="0.29545454545454547"/>
    <n v="0.55335968379446643"/>
    <n v="0.10276679841897234"/>
    <n v="2324"/>
    <s v="Rhein Auto Group"/>
  </r>
  <r>
    <s v="CUST_1699"/>
    <x v="23"/>
    <x v="2"/>
    <s v="Tuesday"/>
    <s v="No"/>
    <x v="4"/>
    <x v="4"/>
    <s v="Berlin"/>
    <x v="2"/>
    <s v="Q5"/>
    <s v="Petrol"/>
    <x v="0"/>
    <s v="50+"/>
    <s v="Low"/>
    <x v="0"/>
    <x v="1"/>
    <s v="Sales_18"/>
    <n v="266"/>
    <n v="131"/>
    <n v="83"/>
    <n v="36"/>
    <s v="27.48"/>
    <n v="44638"/>
    <s v="6.53"/>
    <n v="34760"/>
    <n v="1606968"/>
    <n v="355608"/>
    <s v="Feb"/>
    <n v="2"/>
    <n v="2026"/>
    <s v="Weekday"/>
    <n v="0.43373493975903615"/>
    <n v="0.4924812030075188"/>
    <n v="0.13533834586466165"/>
    <n v="9878"/>
    <s v="Autohaus Berlin"/>
  </r>
  <r>
    <s v="CUST_1700"/>
    <x v="0"/>
    <x v="0"/>
    <s v="Monday"/>
    <s v="No"/>
    <x v="4"/>
    <x v="4"/>
    <s v="Berlin"/>
    <x v="1"/>
    <s v="Corsa"/>
    <s v="Petrol"/>
    <x v="2"/>
    <s v="50+"/>
    <s v="Medium"/>
    <x v="1"/>
    <x v="0"/>
    <s v="Sales_19"/>
    <n v="339"/>
    <n v="138"/>
    <n v="96"/>
    <n v="23"/>
    <s v="16.67"/>
    <n v="20642"/>
    <s v="8.7"/>
    <n v="19129"/>
    <n v="474766"/>
    <n v="34799"/>
    <s v="Feb"/>
    <n v="2"/>
    <n v="2026"/>
    <s v="Weekday"/>
    <n v="0.23958333333333334"/>
    <n v="0.40707964601769914"/>
    <n v="6.7846607669616518E-2"/>
    <n v="1513"/>
    <s v="Autohaus Berlin"/>
  </r>
  <r>
    <s v="CUST_1701"/>
    <x v="16"/>
    <x v="1"/>
    <s v="Tuesday"/>
    <s v="No"/>
    <x v="3"/>
    <x v="3"/>
    <s v="Saxony"/>
    <x v="0"/>
    <s v="i4"/>
    <s v="Petrol"/>
    <x v="1"/>
    <s v="26-35"/>
    <s v="Low"/>
    <x v="1"/>
    <x v="3"/>
    <s v="Sales_20"/>
    <n v="251"/>
    <n v="153"/>
    <n v="107"/>
    <n v="37"/>
    <s v="24.18"/>
    <n v="65834"/>
    <s v="3.58"/>
    <n v="50492"/>
    <n v="2435858"/>
    <n v="567654"/>
    <s v="Feb"/>
    <n v="2"/>
    <n v="2026"/>
    <s v="Weekday"/>
    <n v="0.34579439252336447"/>
    <n v="0.60956175298804782"/>
    <n v="0.14741035856573706"/>
    <n v="15342"/>
    <s v="Saxon Wheels"/>
  </r>
  <r>
    <s v="CUST_1702"/>
    <x v="26"/>
    <x v="1"/>
    <s v="Friday"/>
    <s v="No"/>
    <x v="8"/>
    <x v="8"/>
    <s v="Baden-WÃ¼rttemberg"/>
    <x v="3"/>
    <s v="E-Class"/>
    <s v="Petrol"/>
    <x v="1"/>
    <s v="26-35"/>
    <s v="Low"/>
    <x v="0"/>
    <x v="0"/>
    <s v="Sales_12"/>
    <n v="267"/>
    <n v="140"/>
    <n v="92"/>
    <n v="36"/>
    <s v="25.71"/>
    <n v="63251"/>
    <s v="4.28"/>
    <n v="49501"/>
    <n v="2277036"/>
    <n v="495000"/>
    <s v="Feb"/>
    <n v="2"/>
    <n v="2026"/>
    <s v="Weekday"/>
    <n v="0.39130434782608697"/>
    <n v="0.52434456928838946"/>
    <n v="0.1348314606741573"/>
    <n v="13750"/>
    <s v="Stuttgart Auto Center"/>
  </r>
  <r>
    <s v="CUST_1703"/>
    <x v="24"/>
    <x v="1"/>
    <s v="Thursday"/>
    <s v="No"/>
    <x v="9"/>
    <x v="9"/>
    <s v="NRW"/>
    <x v="1"/>
    <s v="Astra"/>
    <s v="Petrol"/>
    <x v="2"/>
    <s v="50+"/>
    <s v="Medium"/>
    <x v="0"/>
    <x v="3"/>
    <s v="Sales_13"/>
    <n v="366"/>
    <n v="162"/>
    <n v="96"/>
    <n v="21"/>
    <s v="12.96"/>
    <n v="22291"/>
    <s v="7.37"/>
    <n v="19902"/>
    <n v="468111"/>
    <n v="50169"/>
    <s v="Feb"/>
    <n v="2"/>
    <n v="2026"/>
    <s v="Weekday"/>
    <n v="0.21875"/>
    <n v="0.44262295081967212"/>
    <n v="5.737704918032787E-2"/>
    <n v="2389"/>
    <s v="Ruhr Auto Plaza"/>
  </r>
  <r>
    <s v="CUST_1704"/>
    <x v="6"/>
    <x v="2"/>
    <s v="Saturday"/>
    <s v="Yes"/>
    <x v="7"/>
    <x v="7"/>
    <s v="Bavaria"/>
    <x v="2"/>
    <s v="Q5"/>
    <s v="Diesel"/>
    <x v="0"/>
    <s v="50+"/>
    <s v="Medium"/>
    <x v="1"/>
    <x v="3"/>
    <s v="Sales_14"/>
    <n v="294"/>
    <n v="153"/>
    <n v="115"/>
    <n v="32"/>
    <s v="20.92"/>
    <n v="49841"/>
    <s v="5.78"/>
    <n v="37555"/>
    <n v="1594912"/>
    <n v="393152"/>
    <s v="Feb"/>
    <n v="2"/>
    <n v="2026"/>
    <s v="Weekend"/>
    <n v="0.27826086956521739"/>
    <n v="0.52040816326530615"/>
    <n v="0.10884353741496598"/>
    <n v="12286"/>
    <s v="Bavaria Motors"/>
  </r>
  <r>
    <s v="CUST_1705"/>
    <x v="6"/>
    <x v="2"/>
    <s v="Saturday"/>
    <s v="Yes"/>
    <x v="8"/>
    <x v="8"/>
    <s v="Baden-WÃ¼rttemberg"/>
    <x v="3"/>
    <s v="GLC"/>
    <s v="Hybrid"/>
    <x v="0"/>
    <s v="18-25"/>
    <s v="Medium"/>
    <x v="0"/>
    <x v="1"/>
    <s v="Sales_1"/>
    <n v="275"/>
    <n v="141"/>
    <n v="104"/>
    <n v="34"/>
    <s v="24.11"/>
    <n v="66295"/>
    <s v="2.7"/>
    <n v="49985"/>
    <n v="2254030"/>
    <n v="554540"/>
    <s v="Feb"/>
    <n v="2"/>
    <n v="2026"/>
    <s v="Weekend"/>
    <n v="0.32692307692307693"/>
    <n v="0.5127272727272727"/>
    <n v="0.12363636363636364"/>
    <n v="16310"/>
    <s v="Stuttgart Auto Center"/>
  </r>
  <r>
    <s v="CUST_1706"/>
    <x v="5"/>
    <x v="3"/>
    <s v="Saturday"/>
    <s v="Yes"/>
    <x v="8"/>
    <x v="8"/>
    <s v="Baden-WÃ¼rttemberg"/>
    <x v="4"/>
    <s v="ID.4"/>
    <s v="Hybrid"/>
    <x v="0"/>
    <s v="26-35"/>
    <s v="Low"/>
    <x v="1"/>
    <x v="2"/>
    <s v="Sales_16"/>
    <n v="277"/>
    <n v="118"/>
    <n v="82"/>
    <n v="22"/>
    <s v="18.64"/>
    <n v="30379"/>
    <s v="8.8"/>
    <n v="27467"/>
    <n v="668338"/>
    <n v="64064"/>
    <s v="Feb"/>
    <n v="2"/>
    <n v="2026"/>
    <s v="Weekend"/>
    <n v="0.26829268292682928"/>
    <n v="0.4259927797833935"/>
    <n v="7.9422382671480149E-2"/>
    <n v="2912"/>
    <s v="Stuttgart Auto Center"/>
  </r>
  <r>
    <s v="CUST_1707"/>
    <x v="5"/>
    <x v="3"/>
    <s v="Saturday"/>
    <s v="Yes"/>
    <x v="1"/>
    <x v="1"/>
    <s v="NRW"/>
    <x v="2"/>
    <s v="A3"/>
    <s v="Petrol"/>
    <x v="2"/>
    <s v="50+"/>
    <s v="Low"/>
    <x v="1"/>
    <x v="0"/>
    <s v="Sales_6"/>
    <n v="245"/>
    <n v="154"/>
    <n v="108"/>
    <n v="33"/>
    <s v="21.43"/>
    <n v="51890"/>
    <s v="4.67"/>
    <n v="41193"/>
    <n v="1712370"/>
    <n v="353001"/>
    <s v="Feb"/>
    <n v="2"/>
    <n v="2026"/>
    <s v="Weekend"/>
    <n v="0.30555555555555558"/>
    <n v="0.62857142857142856"/>
    <n v="0.13469387755102041"/>
    <n v="10697"/>
    <s v="Rhein Auto Group"/>
  </r>
  <r>
    <s v="CUST_1708"/>
    <x v="8"/>
    <x v="3"/>
    <s v="Wednesday"/>
    <s v="No"/>
    <x v="7"/>
    <x v="7"/>
    <s v="Bavaria"/>
    <x v="2"/>
    <s v="e-tron"/>
    <s v="Diesel"/>
    <x v="0"/>
    <s v="26-35"/>
    <s v="Low"/>
    <x v="0"/>
    <x v="1"/>
    <s v="Sales_14"/>
    <n v="188"/>
    <n v="92"/>
    <n v="68"/>
    <n v="26"/>
    <s v="28.26"/>
    <n v="49664"/>
    <s v="3.69"/>
    <n v="39762"/>
    <n v="1291264"/>
    <n v="257452"/>
    <s v="Feb"/>
    <n v="2"/>
    <n v="2026"/>
    <s v="Weekday"/>
    <n v="0.38235294117647056"/>
    <n v="0.48936170212765956"/>
    <n v="0.13829787234042554"/>
    <n v="9902"/>
    <s v="Bavaria Motors"/>
  </r>
  <r>
    <s v="CUST_1709"/>
    <x v="5"/>
    <x v="3"/>
    <s v="Saturday"/>
    <s v="Yes"/>
    <x v="0"/>
    <x v="0"/>
    <s v="Hesse"/>
    <x v="1"/>
    <s v="Astra"/>
    <s v="Petrol"/>
    <x v="2"/>
    <s v="18-25"/>
    <s v="High"/>
    <x v="0"/>
    <x v="1"/>
    <s v="Sales_9"/>
    <n v="277"/>
    <n v="111"/>
    <n v="63"/>
    <n v="16"/>
    <s v="14.41"/>
    <n v="20793"/>
    <s v="12.91"/>
    <n v="18857"/>
    <n v="332688"/>
    <n v="30976"/>
    <s v="Feb"/>
    <n v="2"/>
    <n v="2026"/>
    <s v="Weekend"/>
    <n v="0.25396825396825395"/>
    <n v="0.4007220216606498"/>
    <n v="5.7761732851985562E-2"/>
    <n v="1936"/>
    <s v="Main Auto Hub"/>
  </r>
  <r>
    <s v="CUST_1710"/>
    <x v="4"/>
    <x v="2"/>
    <s v="Wednesday"/>
    <s v="No"/>
    <x v="0"/>
    <x v="0"/>
    <s v="Hesse"/>
    <x v="4"/>
    <s v="ID.4"/>
    <s v="Hybrid"/>
    <x v="0"/>
    <s v="50+"/>
    <s v="Low"/>
    <x v="0"/>
    <x v="3"/>
    <s v="Sales_11"/>
    <n v="477"/>
    <n v="201"/>
    <n v="128"/>
    <n v="27"/>
    <s v="13.43"/>
    <n v="26554"/>
    <s v="6.09"/>
    <n v="23818"/>
    <n v="716958"/>
    <n v="73872"/>
    <s v="Feb"/>
    <n v="2"/>
    <n v="2026"/>
    <s v="Weekday"/>
    <n v="0.2109375"/>
    <n v="0.42138364779874216"/>
    <n v="5.6603773584905662E-2"/>
    <n v="2736"/>
    <s v="Main Auto Hub"/>
  </r>
  <r>
    <s v="CUST_1711"/>
    <x v="12"/>
    <x v="3"/>
    <s v="Thursday"/>
    <s v="No"/>
    <x v="2"/>
    <x v="2"/>
    <s v="Lower Saxony"/>
    <x v="2"/>
    <s v="A3"/>
    <s v="Petrol"/>
    <x v="2"/>
    <s v="18-25"/>
    <s v="High"/>
    <x v="0"/>
    <x v="1"/>
    <s v="Sales_16"/>
    <n v="304"/>
    <n v="142"/>
    <n v="95"/>
    <n v="33"/>
    <s v="23.24"/>
    <n v="41018"/>
    <s v="3.36"/>
    <n v="31275"/>
    <n v="1353594"/>
    <n v="321519"/>
    <s v="Feb"/>
    <n v="2"/>
    <n v="2026"/>
    <s v="Weekday"/>
    <n v="0.3473684210526316"/>
    <n v="0.46710526315789475"/>
    <n v="0.10855263157894737"/>
    <n v="9743"/>
    <s v="Hannover Cars"/>
  </r>
  <r>
    <s v="CUST_1712"/>
    <x v="23"/>
    <x v="2"/>
    <s v="Tuesday"/>
    <s v="No"/>
    <x v="6"/>
    <x v="6"/>
    <s v="Saxony"/>
    <x v="1"/>
    <s v="Grandland"/>
    <s v="Hybrid"/>
    <x v="0"/>
    <s v="18-25"/>
    <s v="Low"/>
    <x v="0"/>
    <x v="0"/>
    <s v="Sales_3"/>
    <n v="246"/>
    <n v="101"/>
    <n v="59"/>
    <n v="16"/>
    <s v="15.84"/>
    <n v="21957"/>
    <s v="7.83"/>
    <n v="19706"/>
    <n v="351312"/>
    <n v="36016"/>
    <s v="Feb"/>
    <n v="2"/>
    <n v="2026"/>
    <s v="Weekday"/>
    <n v="0.2711864406779661"/>
    <n v="0.41056910569105692"/>
    <n v="6.5040650406504072E-2"/>
    <n v="2251"/>
    <s v="Leipzig Mobility"/>
  </r>
  <r>
    <s v="CUST_1713"/>
    <x v="26"/>
    <x v="1"/>
    <s v="Friday"/>
    <s v="No"/>
    <x v="6"/>
    <x v="6"/>
    <s v="Saxony"/>
    <x v="4"/>
    <s v="Tiguan"/>
    <s v="Diesel"/>
    <x v="0"/>
    <s v="26-35"/>
    <s v="Medium"/>
    <x v="1"/>
    <x v="3"/>
    <s v="Sales_12"/>
    <n v="452"/>
    <n v="188"/>
    <n v="134"/>
    <n v="25"/>
    <s v="13.3"/>
    <n v="31405"/>
    <s v="8.76"/>
    <n v="27522"/>
    <n v="785125"/>
    <n v="97075"/>
    <s v="Feb"/>
    <n v="2"/>
    <n v="2026"/>
    <s v="Weekday"/>
    <n v="0.18656716417910449"/>
    <n v="0.41592920353982299"/>
    <n v="5.5309734513274339E-2"/>
    <n v="3883"/>
    <s v="Leipzig Mobility"/>
  </r>
  <r>
    <s v="CUST_1714"/>
    <x v="12"/>
    <x v="3"/>
    <s v="Thursday"/>
    <s v="No"/>
    <x v="0"/>
    <x v="0"/>
    <s v="Hesse"/>
    <x v="0"/>
    <s v="3 Series"/>
    <s v="Electric"/>
    <x v="1"/>
    <s v="18-25"/>
    <s v="Low"/>
    <x v="1"/>
    <x v="1"/>
    <s v="Sales_3"/>
    <n v="168"/>
    <n v="82"/>
    <n v="57"/>
    <n v="23"/>
    <s v="28.05"/>
    <n v="64979"/>
    <s v="4.16"/>
    <n v="47436"/>
    <n v="1494517"/>
    <n v="403489"/>
    <s v="Feb"/>
    <n v="2"/>
    <n v="2026"/>
    <s v="Weekday"/>
    <n v="0.40350877192982454"/>
    <n v="0.48809523809523808"/>
    <n v="0.13690476190476192"/>
    <n v="17543"/>
    <s v="Main Auto Hub"/>
  </r>
  <r>
    <s v="CUST_1715"/>
    <x v="17"/>
    <x v="2"/>
    <s v="Sunday"/>
    <s v="Yes"/>
    <x v="8"/>
    <x v="8"/>
    <s v="Baden-WÃ¼rttemberg"/>
    <x v="0"/>
    <s v="X5"/>
    <s v="Petrol"/>
    <x v="0"/>
    <s v="26-35"/>
    <s v="High"/>
    <x v="0"/>
    <x v="3"/>
    <s v="Sales_2"/>
    <n v="238"/>
    <n v="142"/>
    <n v="98"/>
    <n v="40"/>
    <s v="28.17"/>
    <n v="58831"/>
    <s v="4.14"/>
    <n v="43935"/>
    <n v="2353240"/>
    <n v="595840"/>
    <s v="Feb"/>
    <n v="2"/>
    <n v="2026"/>
    <s v="Weekend"/>
    <n v="0.40816326530612246"/>
    <n v="0.59663865546218486"/>
    <n v="0.16806722689075632"/>
    <n v="14896"/>
    <s v="Stuttgart Auto Center"/>
  </r>
  <r>
    <s v="CUST_1716"/>
    <x v="11"/>
    <x v="0"/>
    <s v="Wednesday"/>
    <s v="No"/>
    <x v="9"/>
    <x v="9"/>
    <s v="NRW"/>
    <x v="4"/>
    <s v="Golf"/>
    <s v="Hybrid"/>
    <x v="2"/>
    <s v="50+"/>
    <s v="Low"/>
    <x v="1"/>
    <x v="1"/>
    <s v="Sales_3"/>
    <n v="432"/>
    <n v="179"/>
    <n v="111"/>
    <n v="27"/>
    <s v="15.08"/>
    <n v="31919"/>
    <s v="9.74"/>
    <n v="28094"/>
    <n v="861813"/>
    <n v="103275"/>
    <s v="Feb"/>
    <n v="2"/>
    <n v="2026"/>
    <s v="Weekday"/>
    <n v="0.24324324324324326"/>
    <n v="0.41435185185185186"/>
    <n v="6.25E-2"/>
    <n v="3825"/>
    <s v="Ruhr Auto Plaza"/>
  </r>
  <r>
    <s v="CUST_1717"/>
    <x v="4"/>
    <x v="2"/>
    <s v="Wednesday"/>
    <s v="No"/>
    <x v="2"/>
    <x v="2"/>
    <s v="Lower Saxony"/>
    <x v="0"/>
    <s v="5 Series"/>
    <s v="Petrol"/>
    <x v="1"/>
    <s v="26-35"/>
    <s v="Low"/>
    <x v="0"/>
    <x v="3"/>
    <s v="Sales_15"/>
    <n v="152"/>
    <n v="92"/>
    <n v="69"/>
    <n v="26"/>
    <s v="28.26"/>
    <n v="56959"/>
    <s v="3.05"/>
    <n v="44200"/>
    <n v="1480934"/>
    <n v="331734"/>
    <s v="Feb"/>
    <n v="2"/>
    <n v="2026"/>
    <s v="Weekday"/>
    <n v="0.37681159420289856"/>
    <n v="0.60526315789473684"/>
    <n v="0.17105263157894737"/>
    <n v="12759"/>
    <s v="Hannover Cars"/>
  </r>
  <r>
    <s v="CUST_1718"/>
    <x v="26"/>
    <x v="1"/>
    <s v="Friday"/>
    <s v="No"/>
    <x v="7"/>
    <x v="7"/>
    <s v="Bavaria"/>
    <x v="1"/>
    <s v="Crossland"/>
    <s v="Petrol"/>
    <x v="0"/>
    <s v="26-35"/>
    <s v="Medium"/>
    <x v="1"/>
    <x v="2"/>
    <s v="Sales_12"/>
    <n v="311"/>
    <n v="121"/>
    <n v="76"/>
    <n v="26"/>
    <s v="21.49"/>
    <n v="24589"/>
    <s v="13.63"/>
    <n v="22518"/>
    <n v="639314"/>
    <n v="53846"/>
    <s v="Feb"/>
    <n v="2"/>
    <n v="2026"/>
    <s v="Weekday"/>
    <n v="0.34210526315789475"/>
    <n v="0.38906752411575563"/>
    <n v="8.3601286173633438E-2"/>
    <n v="2071"/>
    <s v="Bavaria Motors"/>
  </r>
  <r>
    <s v="CUST_1719"/>
    <x v="19"/>
    <x v="1"/>
    <s v="Saturday"/>
    <s v="Yes"/>
    <x v="5"/>
    <x v="5"/>
    <s v="Hamburg"/>
    <x v="3"/>
    <s v="EQE"/>
    <s v="Hybrid"/>
    <x v="1"/>
    <s v="36-50"/>
    <s v="Medium"/>
    <x v="0"/>
    <x v="1"/>
    <s v="Sales_20"/>
    <n v="216"/>
    <n v="125"/>
    <n v="93"/>
    <n v="35"/>
    <s v="28.0"/>
    <n v="70622"/>
    <s v="2.06"/>
    <n v="54528"/>
    <n v="2471770"/>
    <n v="563290"/>
    <s v="Feb"/>
    <n v="2"/>
    <n v="2026"/>
    <s v="Weekend"/>
    <n v="0.37634408602150538"/>
    <n v="0.57870370370370372"/>
    <n v="0.16203703703703703"/>
    <n v="16094"/>
    <s v="Elbe Drive"/>
  </r>
  <r>
    <s v="CUST_1720"/>
    <x v="9"/>
    <x v="0"/>
    <s v="Sunday"/>
    <s v="Yes"/>
    <x v="7"/>
    <x v="7"/>
    <s v="Bavaria"/>
    <x v="1"/>
    <s v="Grandland"/>
    <s v="Hybrid"/>
    <x v="0"/>
    <s v="36-50"/>
    <s v="High"/>
    <x v="0"/>
    <x v="0"/>
    <s v="Sales_17"/>
    <n v="224"/>
    <n v="95"/>
    <n v="59"/>
    <n v="17"/>
    <s v="17.89"/>
    <n v="23690"/>
    <s v="9.57"/>
    <n v="21740"/>
    <n v="402730"/>
    <n v="33150"/>
    <s v="Feb"/>
    <n v="2"/>
    <n v="2026"/>
    <s v="Weekend"/>
    <n v="0.28813559322033899"/>
    <n v="0.42410714285714285"/>
    <n v="7.5892857142857137E-2"/>
    <n v="1950"/>
    <s v="Bavaria Motors"/>
  </r>
  <r>
    <s v="CUST_1721"/>
    <x v="17"/>
    <x v="2"/>
    <s v="Sunday"/>
    <s v="Yes"/>
    <x v="3"/>
    <x v="3"/>
    <s v="Saxony"/>
    <x v="2"/>
    <s v="A4"/>
    <s v="Hybrid"/>
    <x v="1"/>
    <s v="36-50"/>
    <s v="High"/>
    <x v="1"/>
    <x v="1"/>
    <s v="Sales_12"/>
    <n v="280"/>
    <n v="138"/>
    <n v="92"/>
    <n v="32"/>
    <s v="23.19"/>
    <n v="47533"/>
    <s v="5.55"/>
    <n v="37471"/>
    <n v="1521056"/>
    <n v="321984"/>
    <s v="Feb"/>
    <n v="2"/>
    <n v="2026"/>
    <s v="Weekend"/>
    <n v="0.34782608695652173"/>
    <n v="0.49285714285714288"/>
    <n v="0.11428571428571428"/>
    <n v="10062"/>
    <s v="Saxon Wheels"/>
  </r>
  <r>
    <s v="CUST_1722"/>
    <x v="6"/>
    <x v="2"/>
    <s v="Saturday"/>
    <s v="Yes"/>
    <x v="0"/>
    <x v="0"/>
    <s v="Hesse"/>
    <x v="2"/>
    <s v="Q3"/>
    <s v="Diesel"/>
    <x v="0"/>
    <s v="18-25"/>
    <s v="High"/>
    <x v="0"/>
    <x v="0"/>
    <s v="Sales_19"/>
    <n v="197"/>
    <n v="107"/>
    <n v="69"/>
    <n v="20"/>
    <s v="18.69"/>
    <n v="46448"/>
    <s v="3.86"/>
    <n v="37896"/>
    <n v="928960"/>
    <n v="171040"/>
    <s v="Feb"/>
    <n v="2"/>
    <n v="2026"/>
    <s v="Weekend"/>
    <n v="0.28985507246376813"/>
    <n v="0.54314720812182737"/>
    <n v="0.10152284263959391"/>
    <n v="8552"/>
    <s v="Main Auto Hub"/>
  </r>
  <r>
    <s v="CUST_1723"/>
    <x v="27"/>
    <x v="3"/>
    <s v="Sunday"/>
    <s v="Yes"/>
    <x v="8"/>
    <x v="8"/>
    <s v="Baden-WÃ¼rttemberg"/>
    <x v="3"/>
    <s v="GLC"/>
    <s v="Petrol"/>
    <x v="0"/>
    <s v="50+"/>
    <s v="Low"/>
    <x v="0"/>
    <x v="0"/>
    <s v="Sales_11"/>
    <n v="200"/>
    <n v="109"/>
    <n v="81"/>
    <n v="29"/>
    <s v="26.61"/>
    <n v="49648"/>
    <s v="5.39"/>
    <n v="35422"/>
    <n v="1439792"/>
    <n v="412554"/>
    <s v="Feb"/>
    <n v="2"/>
    <n v="2026"/>
    <s v="Weekend"/>
    <n v="0.35802469135802467"/>
    <n v="0.54500000000000004"/>
    <n v="0.14499999999999999"/>
    <n v="14226"/>
    <s v="Stuttgart Auto Center"/>
  </r>
  <r>
    <s v="CUST_1724"/>
    <x v="15"/>
    <x v="2"/>
    <s v="Thursday"/>
    <s v="No"/>
    <x v="3"/>
    <x v="3"/>
    <s v="Saxony"/>
    <x v="1"/>
    <s v="Corsa"/>
    <s v="Petrol"/>
    <x v="2"/>
    <s v="18-25"/>
    <s v="Low"/>
    <x v="0"/>
    <x v="0"/>
    <s v="Sales_20"/>
    <n v="389"/>
    <n v="194"/>
    <n v="109"/>
    <n v="24"/>
    <s v="12.37"/>
    <n v="21126"/>
    <s v="9.83"/>
    <n v="19620"/>
    <n v="507024"/>
    <n v="36144"/>
    <s v="Feb"/>
    <n v="2"/>
    <n v="2026"/>
    <s v="Weekday"/>
    <n v="0.22018348623853212"/>
    <n v="0.49871465295629819"/>
    <n v="6.1696658097686374E-2"/>
    <n v="1506"/>
    <s v="Saxon Wheels"/>
  </r>
  <r>
    <s v="CUST_1725"/>
    <x v="1"/>
    <x v="1"/>
    <s v="Wednesday"/>
    <s v="No"/>
    <x v="3"/>
    <x v="3"/>
    <s v="Saxony"/>
    <x v="2"/>
    <s v="A3"/>
    <s v="Hybrid"/>
    <x v="2"/>
    <s v="36-50"/>
    <s v="Low"/>
    <x v="1"/>
    <x v="0"/>
    <s v="Sales_15"/>
    <n v="230"/>
    <n v="115"/>
    <n v="78"/>
    <n v="24"/>
    <s v="20.87"/>
    <n v="41269"/>
    <s v="3.44"/>
    <n v="31469"/>
    <n v="990456"/>
    <n v="235200"/>
    <s v="Feb"/>
    <n v="2"/>
    <n v="2026"/>
    <s v="Weekday"/>
    <n v="0.30769230769230771"/>
    <n v="0.5"/>
    <n v="0.10434782608695652"/>
    <n v="9800"/>
    <s v="Saxon Wheels"/>
  </r>
  <r>
    <s v="CUST_1726"/>
    <x v="17"/>
    <x v="2"/>
    <s v="Sunday"/>
    <s v="Yes"/>
    <x v="3"/>
    <x v="3"/>
    <s v="Saxony"/>
    <x v="3"/>
    <s v="E-Class"/>
    <s v="Petrol"/>
    <x v="1"/>
    <s v="18-25"/>
    <s v="Medium"/>
    <x v="1"/>
    <x v="0"/>
    <s v="Sales_19"/>
    <n v="261"/>
    <n v="133"/>
    <n v="92"/>
    <n v="29"/>
    <s v="21.8"/>
    <n v="64264"/>
    <s v="2.31"/>
    <n v="48732"/>
    <n v="1863656"/>
    <n v="450428"/>
    <s v="Feb"/>
    <n v="2"/>
    <n v="2026"/>
    <s v="Weekend"/>
    <n v="0.31521739130434784"/>
    <n v="0.50957854406130265"/>
    <n v="0.1111111111111111"/>
    <n v="15532"/>
    <s v="Saxon Wheels"/>
  </r>
  <r>
    <s v="CUST_1727"/>
    <x v="19"/>
    <x v="1"/>
    <s v="Saturday"/>
    <s v="Yes"/>
    <x v="4"/>
    <x v="4"/>
    <s v="Berlin"/>
    <x v="3"/>
    <s v="EQE"/>
    <s v="Diesel"/>
    <x v="1"/>
    <s v="50+"/>
    <s v="Low"/>
    <x v="1"/>
    <x v="1"/>
    <s v="Sales_5"/>
    <n v="193"/>
    <n v="105"/>
    <n v="72"/>
    <n v="29"/>
    <s v="27.62"/>
    <n v="69331"/>
    <s v="4.78"/>
    <n v="54462"/>
    <n v="2010599"/>
    <n v="431201"/>
    <s v="Feb"/>
    <n v="2"/>
    <n v="2026"/>
    <s v="Weekend"/>
    <n v="0.40277777777777779"/>
    <n v="0.54404145077720212"/>
    <n v="0.15025906735751296"/>
    <n v="14869"/>
    <s v="Autohaus Berlin"/>
  </r>
  <r>
    <s v="CUST_1728"/>
    <x v="17"/>
    <x v="2"/>
    <s v="Sunday"/>
    <s v="Yes"/>
    <x v="6"/>
    <x v="6"/>
    <s v="Saxony"/>
    <x v="3"/>
    <s v="EQE"/>
    <s v="Petrol"/>
    <x v="1"/>
    <s v="18-25"/>
    <s v="Low"/>
    <x v="1"/>
    <x v="2"/>
    <s v="Sales_19"/>
    <n v="146"/>
    <n v="87"/>
    <n v="61"/>
    <n v="21"/>
    <s v="24.14"/>
    <n v="58228"/>
    <s v="3.33"/>
    <n v="41616"/>
    <n v="1222788"/>
    <n v="348852"/>
    <s v="Feb"/>
    <n v="2"/>
    <n v="2026"/>
    <s v="Weekend"/>
    <n v="0.34426229508196721"/>
    <n v="0.59589041095890416"/>
    <n v="0.14383561643835616"/>
    <n v="16612"/>
    <s v="Leipzig Mobility"/>
  </r>
  <r>
    <s v="CUST_1729"/>
    <x v="11"/>
    <x v="0"/>
    <s v="Wednesday"/>
    <s v="No"/>
    <x v="7"/>
    <x v="7"/>
    <s v="Bavaria"/>
    <x v="2"/>
    <s v="e-tron"/>
    <s v="Petrol"/>
    <x v="0"/>
    <s v="18-25"/>
    <s v="Low"/>
    <x v="1"/>
    <x v="0"/>
    <s v="Sales_19"/>
    <n v="229"/>
    <n v="118"/>
    <n v="77"/>
    <n v="26"/>
    <s v="22.03"/>
    <n v="40960"/>
    <s v="4.87"/>
    <n v="32658"/>
    <n v="1064960"/>
    <n v="215852"/>
    <s v="Feb"/>
    <n v="2"/>
    <n v="2026"/>
    <s v="Weekday"/>
    <n v="0.33766233766233766"/>
    <n v="0.51528384279475981"/>
    <n v="0.11353711790393013"/>
    <n v="8302"/>
    <s v="Bavaria Motors"/>
  </r>
  <r>
    <s v="CUST_1730"/>
    <x v="14"/>
    <x v="2"/>
    <s v="Friday"/>
    <s v="No"/>
    <x v="9"/>
    <x v="9"/>
    <s v="NRW"/>
    <x v="0"/>
    <s v="5 Series"/>
    <s v="Hybrid"/>
    <x v="1"/>
    <s v="50+"/>
    <s v="Low"/>
    <x v="0"/>
    <x v="1"/>
    <s v="Sales_17"/>
    <n v="208"/>
    <n v="115"/>
    <n v="85"/>
    <n v="30"/>
    <s v="26.09"/>
    <n v="53639"/>
    <s v="2.91"/>
    <n v="41126"/>
    <n v="1609170"/>
    <n v="375390"/>
    <s v="Feb"/>
    <n v="2"/>
    <n v="2026"/>
    <s v="Weekday"/>
    <n v="0.35294117647058826"/>
    <n v="0.55288461538461542"/>
    <n v="0.14423076923076922"/>
    <n v="12513"/>
    <s v="Ruhr Auto Plaza"/>
  </r>
  <r>
    <s v="CUST_1731"/>
    <x v="8"/>
    <x v="3"/>
    <s v="Wednesday"/>
    <s v="No"/>
    <x v="8"/>
    <x v="8"/>
    <s v="Baden-WÃ¼rttemberg"/>
    <x v="4"/>
    <s v="Tiguan"/>
    <s v="Diesel"/>
    <x v="0"/>
    <s v="18-25"/>
    <s v="Medium"/>
    <x v="0"/>
    <x v="3"/>
    <s v="Sales_10"/>
    <n v="424"/>
    <n v="225"/>
    <n v="156"/>
    <n v="33"/>
    <s v="14.67"/>
    <n v="26896"/>
    <s v="8.99"/>
    <n v="23829"/>
    <n v="887568"/>
    <n v="101211"/>
    <s v="Feb"/>
    <n v="2"/>
    <n v="2026"/>
    <s v="Weekday"/>
    <n v="0.21153846153846154"/>
    <n v="0.53066037735849059"/>
    <n v="7.783018867924528E-2"/>
    <n v="3067"/>
    <s v="Stuttgart Auto Center"/>
  </r>
  <r>
    <s v="CUST_1732"/>
    <x v="19"/>
    <x v="1"/>
    <s v="Saturday"/>
    <s v="Yes"/>
    <x v="9"/>
    <x v="9"/>
    <s v="NRW"/>
    <x v="0"/>
    <s v="5 Series"/>
    <s v="Electric"/>
    <x v="1"/>
    <s v="26-35"/>
    <s v="High"/>
    <x v="1"/>
    <x v="1"/>
    <s v="Sales_15"/>
    <n v="151"/>
    <n v="85"/>
    <n v="60"/>
    <n v="22"/>
    <s v="25.88"/>
    <n v="63892"/>
    <s v="2.01"/>
    <n v="49556"/>
    <n v="1405624"/>
    <n v="315392"/>
    <s v="Feb"/>
    <n v="2"/>
    <n v="2026"/>
    <s v="Weekend"/>
    <n v="0.36666666666666664"/>
    <n v="0.5629139072847682"/>
    <n v="0.14569536423841059"/>
    <n v="14336"/>
    <s v="Ruhr Auto Plaza"/>
  </r>
  <r>
    <s v="CUST_1733"/>
    <x v="8"/>
    <x v="3"/>
    <s v="Wednesday"/>
    <s v="No"/>
    <x v="3"/>
    <x v="3"/>
    <s v="Saxony"/>
    <x v="0"/>
    <s v="3 Series"/>
    <s v="Hybrid"/>
    <x v="1"/>
    <s v="36-50"/>
    <s v="Low"/>
    <x v="0"/>
    <x v="0"/>
    <s v="Sales_10"/>
    <n v="192"/>
    <n v="88"/>
    <n v="70"/>
    <n v="24"/>
    <s v="27.27"/>
    <n v="66168"/>
    <s v="5.82"/>
    <n v="46593"/>
    <n v="1588032"/>
    <n v="469800"/>
    <s v="Feb"/>
    <n v="2"/>
    <n v="2026"/>
    <s v="Weekday"/>
    <n v="0.34285714285714286"/>
    <n v="0.45833333333333331"/>
    <n v="0.125"/>
    <n v="19575"/>
    <s v="Saxon Wheels"/>
  </r>
  <r>
    <s v="CUST_1734"/>
    <x v="26"/>
    <x v="1"/>
    <s v="Friday"/>
    <s v="No"/>
    <x v="6"/>
    <x v="6"/>
    <s v="Saxony"/>
    <x v="0"/>
    <s v="3 Series"/>
    <s v="Diesel"/>
    <x v="1"/>
    <s v="26-35"/>
    <s v="Low"/>
    <x v="1"/>
    <x v="1"/>
    <s v="Sales_11"/>
    <n v="253"/>
    <n v="116"/>
    <n v="86"/>
    <n v="30"/>
    <s v="25.86"/>
    <n v="64602"/>
    <s v="5.48"/>
    <n v="45527"/>
    <n v="1938060"/>
    <n v="572250"/>
    <s v="Feb"/>
    <n v="2"/>
    <n v="2026"/>
    <s v="Weekday"/>
    <n v="0.34883720930232559"/>
    <n v="0.45849802371541504"/>
    <n v="0.11857707509881422"/>
    <n v="19075"/>
    <s v="Leipzig Mobility"/>
  </r>
  <r>
    <s v="CUST_1735"/>
    <x v="22"/>
    <x v="3"/>
    <s v="Tuesday"/>
    <s v="No"/>
    <x v="2"/>
    <x v="2"/>
    <s v="Lower Saxony"/>
    <x v="1"/>
    <s v="Grandland"/>
    <s v="Petrol"/>
    <x v="0"/>
    <s v="18-25"/>
    <s v="Low"/>
    <x v="0"/>
    <x v="0"/>
    <s v="Sales_12"/>
    <n v="411"/>
    <n v="222"/>
    <n v="151"/>
    <n v="32"/>
    <s v="14.41"/>
    <n v="20680"/>
    <s v="11.84"/>
    <n v="18570"/>
    <n v="661760"/>
    <n v="67520"/>
    <s v="Feb"/>
    <n v="2"/>
    <n v="2026"/>
    <s v="Weekday"/>
    <n v="0.2119205298013245"/>
    <n v="0.54014598540145986"/>
    <n v="7.785888077858881E-2"/>
    <n v="2110"/>
    <s v="Hannover Cars"/>
  </r>
  <r>
    <s v="CUST_1736"/>
    <x v="0"/>
    <x v="0"/>
    <s v="Monday"/>
    <s v="No"/>
    <x v="0"/>
    <x v="0"/>
    <s v="Hesse"/>
    <x v="4"/>
    <s v="Tiguan"/>
    <s v="Electric"/>
    <x v="0"/>
    <s v="18-25"/>
    <s v="Medium"/>
    <x v="1"/>
    <x v="0"/>
    <s v="Sales_1"/>
    <n v="321"/>
    <n v="183"/>
    <n v="108"/>
    <n v="27"/>
    <s v="14.75"/>
    <n v="25058"/>
    <s v="11.73"/>
    <n v="21647"/>
    <n v="676566"/>
    <n v="92097"/>
    <s v="Feb"/>
    <n v="2"/>
    <n v="2026"/>
    <s v="Weekday"/>
    <n v="0.25"/>
    <n v="0.57009345794392519"/>
    <n v="8.4112149532710276E-2"/>
    <n v="3411"/>
    <s v="Main Auto Hub"/>
  </r>
  <r>
    <s v="CUST_1737"/>
    <x v="27"/>
    <x v="3"/>
    <s v="Sunday"/>
    <s v="Yes"/>
    <x v="2"/>
    <x v="2"/>
    <s v="Lower Saxony"/>
    <x v="3"/>
    <s v="GLC"/>
    <s v="Electric"/>
    <x v="0"/>
    <s v="18-25"/>
    <s v="High"/>
    <x v="0"/>
    <x v="0"/>
    <s v="Sales_19"/>
    <n v="222"/>
    <n v="100"/>
    <n v="77"/>
    <n v="22"/>
    <s v="22.0"/>
    <n v="68638"/>
    <s v="2.7"/>
    <n v="50246"/>
    <n v="1510036"/>
    <n v="404624"/>
    <s v="Feb"/>
    <n v="2"/>
    <n v="2026"/>
    <s v="Weekend"/>
    <n v="0.2857142857142857"/>
    <n v="0.45045045045045046"/>
    <n v="9.90990990990991E-2"/>
    <n v="18392"/>
    <s v="Hannover Cars"/>
  </r>
  <r>
    <s v="CUST_1738"/>
    <x v="23"/>
    <x v="2"/>
    <s v="Tuesday"/>
    <s v="No"/>
    <x v="3"/>
    <x v="3"/>
    <s v="Saxony"/>
    <x v="0"/>
    <s v="i4"/>
    <s v="Hybrid"/>
    <x v="1"/>
    <s v="36-50"/>
    <s v="High"/>
    <x v="0"/>
    <x v="0"/>
    <s v="Sales_18"/>
    <n v="247"/>
    <n v="145"/>
    <n v="110"/>
    <n v="38"/>
    <s v="26.21"/>
    <n v="54676"/>
    <s v="5.79"/>
    <n v="39378"/>
    <n v="2077688"/>
    <n v="581324"/>
    <s v="Feb"/>
    <n v="2"/>
    <n v="2026"/>
    <s v="Weekday"/>
    <n v="0.34545454545454546"/>
    <n v="0.58704453441295545"/>
    <n v="0.15384615384615385"/>
    <n v="15298"/>
    <s v="Saxon Wheels"/>
  </r>
  <r>
    <s v="CUST_1739"/>
    <x v="6"/>
    <x v="2"/>
    <s v="Saturday"/>
    <s v="Yes"/>
    <x v="3"/>
    <x v="3"/>
    <s v="Saxony"/>
    <x v="1"/>
    <s v="Crossland"/>
    <s v="Petrol"/>
    <x v="0"/>
    <s v="36-50"/>
    <s v="Low"/>
    <x v="1"/>
    <x v="1"/>
    <s v="Sales_1"/>
    <n v="234"/>
    <n v="117"/>
    <n v="81"/>
    <n v="15"/>
    <s v="12.82"/>
    <n v="20552"/>
    <s v="9.22"/>
    <n v="18819"/>
    <n v="308280"/>
    <n v="25995"/>
    <s v="Feb"/>
    <n v="2"/>
    <n v="2026"/>
    <s v="Weekend"/>
    <n v="0.18518518518518517"/>
    <n v="0.5"/>
    <n v="6.4102564102564097E-2"/>
    <n v="1733"/>
    <s v="Saxon Wheels"/>
  </r>
  <r>
    <s v="CUST_1740"/>
    <x v="0"/>
    <x v="0"/>
    <s v="Monday"/>
    <s v="No"/>
    <x v="0"/>
    <x v="0"/>
    <s v="Hesse"/>
    <x v="0"/>
    <s v="i4"/>
    <s v="Electric"/>
    <x v="1"/>
    <s v="18-25"/>
    <s v="Low"/>
    <x v="0"/>
    <x v="0"/>
    <s v="Sales_2"/>
    <n v="215"/>
    <n v="97"/>
    <n v="66"/>
    <n v="23"/>
    <s v="23.71"/>
    <n v="64011"/>
    <s v="2.27"/>
    <n v="49808"/>
    <n v="1472253"/>
    <n v="326669"/>
    <s v="Feb"/>
    <n v="2"/>
    <n v="2026"/>
    <s v="Weekday"/>
    <n v="0.34848484848484851"/>
    <n v="0.4511627906976744"/>
    <n v="0.10697674418604651"/>
    <n v="14203"/>
    <s v="Main Auto Hub"/>
  </r>
  <r>
    <s v="CUST_1741"/>
    <x v="8"/>
    <x v="3"/>
    <s v="Wednesday"/>
    <s v="No"/>
    <x v="3"/>
    <x v="3"/>
    <s v="Saxony"/>
    <x v="3"/>
    <s v="E-Class"/>
    <s v="Electric"/>
    <x v="1"/>
    <s v="26-35"/>
    <s v="High"/>
    <x v="1"/>
    <x v="2"/>
    <s v="Sales_1"/>
    <n v="238"/>
    <n v="140"/>
    <n v="111"/>
    <n v="36"/>
    <s v="25.71"/>
    <n v="56251"/>
    <s v="2.34"/>
    <n v="40513"/>
    <n v="2025036"/>
    <n v="566568"/>
    <s v="Feb"/>
    <n v="2"/>
    <n v="2026"/>
    <s v="Weekday"/>
    <n v="0.32432432432432434"/>
    <n v="0.58823529411764708"/>
    <n v="0.15126050420168066"/>
    <n v="15738"/>
    <s v="Saxon Wheels"/>
  </r>
  <r>
    <s v="CUST_1742"/>
    <x v="11"/>
    <x v="0"/>
    <s v="Wednesday"/>
    <s v="No"/>
    <x v="4"/>
    <x v="4"/>
    <s v="Berlin"/>
    <x v="2"/>
    <s v="Q5"/>
    <s v="Electric"/>
    <x v="0"/>
    <s v="50+"/>
    <s v="Medium"/>
    <x v="0"/>
    <x v="3"/>
    <s v="Sales_12"/>
    <n v="217"/>
    <n v="137"/>
    <n v="91"/>
    <n v="33"/>
    <s v="24.09"/>
    <n v="40997"/>
    <s v="3.24"/>
    <n v="33119"/>
    <n v="1352901"/>
    <n v="259974"/>
    <s v="Feb"/>
    <n v="2"/>
    <n v="2026"/>
    <s v="Weekday"/>
    <n v="0.36263736263736263"/>
    <n v="0.63133640552995396"/>
    <n v="0.15207373271889402"/>
    <n v="7878"/>
    <s v="Autohaus Berlin"/>
  </r>
  <r>
    <s v="CUST_1743"/>
    <x v="11"/>
    <x v="0"/>
    <s v="Wednesday"/>
    <s v="No"/>
    <x v="1"/>
    <x v="1"/>
    <s v="NRW"/>
    <x v="0"/>
    <s v="i4"/>
    <s v="Hybrid"/>
    <x v="1"/>
    <s v="26-35"/>
    <s v="High"/>
    <x v="0"/>
    <x v="0"/>
    <s v="Sales_3"/>
    <n v="185"/>
    <n v="97"/>
    <n v="78"/>
    <n v="26"/>
    <s v="26.8"/>
    <n v="64907"/>
    <s v="4.07"/>
    <n v="48432"/>
    <n v="1687582"/>
    <n v="428350"/>
    <s v="Feb"/>
    <n v="2"/>
    <n v="2026"/>
    <s v="Weekday"/>
    <n v="0.33333333333333331"/>
    <n v="0.5243243243243243"/>
    <n v="0.14054054054054055"/>
    <n v="16475"/>
    <s v="Rhein Auto Group"/>
  </r>
  <r>
    <s v="CUST_1744"/>
    <x v="5"/>
    <x v="3"/>
    <s v="Saturday"/>
    <s v="Yes"/>
    <x v="5"/>
    <x v="5"/>
    <s v="Hamburg"/>
    <x v="0"/>
    <s v="3 Series"/>
    <s v="Diesel"/>
    <x v="1"/>
    <s v="50+"/>
    <s v="Low"/>
    <x v="0"/>
    <x v="0"/>
    <s v="Sales_16"/>
    <n v="221"/>
    <n v="105"/>
    <n v="80"/>
    <n v="27"/>
    <s v="25.71"/>
    <n v="54153"/>
    <s v="3.62"/>
    <n v="41827"/>
    <n v="1462131"/>
    <n v="332802"/>
    <s v="Feb"/>
    <n v="2"/>
    <n v="2026"/>
    <s v="Weekend"/>
    <n v="0.33750000000000002"/>
    <n v="0.47511312217194568"/>
    <n v="0.12217194570135746"/>
    <n v="12326"/>
    <s v="Elbe Drive"/>
  </r>
  <r>
    <s v="CUST_1745"/>
    <x v="0"/>
    <x v="0"/>
    <s v="Monday"/>
    <s v="No"/>
    <x v="3"/>
    <x v="3"/>
    <s v="Saxony"/>
    <x v="0"/>
    <s v="5 Series"/>
    <s v="Diesel"/>
    <x v="1"/>
    <s v="18-25"/>
    <s v="Medium"/>
    <x v="0"/>
    <x v="1"/>
    <s v="Sales_7"/>
    <n v="215"/>
    <n v="123"/>
    <n v="86"/>
    <n v="33"/>
    <s v="26.83"/>
    <n v="57438"/>
    <s v="3.03"/>
    <n v="43403"/>
    <n v="1895454"/>
    <n v="463155"/>
    <s v="Feb"/>
    <n v="2"/>
    <n v="2026"/>
    <s v="Weekday"/>
    <n v="0.38372093023255816"/>
    <n v="0.5720930232558139"/>
    <n v="0.15348837209302327"/>
    <n v="14035"/>
    <s v="Saxon Wheels"/>
  </r>
  <r>
    <s v="CUST_1746"/>
    <x v="25"/>
    <x v="3"/>
    <s v="Friday"/>
    <s v="No"/>
    <x v="7"/>
    <x v="7"/>
    <s v="Bavaria"/>
    <x v="1"/>
    <s v="Astra"/>
    <s v="Petrol"/>
    <x v="2"/>
    <s v="18-25"/>
    <s v="High"/>
    <x v="0"/>
    <x v="0"/>
    <s v="Sales_14"/>
    <n v="291"/>
    <n v="124"/>
    <n v="72"/>
    <n v="22"/>
    <s v="17.74"/>
    <n v="22584"/>
    <s v="9.4"/>
    <n v="20536"/>
    <n v="496848"/>
    <n v="45056"/>
    <s v="Feb"/>
    <n v="2"/>
    <n v="2026"/>
    <s v="Weekday"/>
    <n v="0.30555555555555558"/>
    <n v="0.42611683848797249"/>
    <n v="7.560137457044673E-2"/>
    <n v="2048"/>
    <s v="Bavaria Motors"/>
  </r>
  <r>
    <s v="CUST_1747"/>
    <x v="24"/>
    <x v="1"/>
    <s v="Thursday"/>
    <s v="No"/>
    <x v="2"/>
    <x v="2"/>
    <s v="Lower Saxony"/>
    <x v="2"/>
    <s v="A3"/>
    <s v="Petrol"/>
    <x v="2"/>
    <s v="50+"/>
    <s v="High"/>
    <x v="1"/>
    <x v="0"/>
    <s v="Sales_2"/>
    <n v="278"/>
    <n v="140"/>
    <n v="90"/>
    <n v="27"/>
    <s v="19.29"/>
    <n v="47218"/>
    <s v="6.64"/>
    <n v="38568"/>
    <n v="1274886"/>
    <n v="233550"/>
    <s v="Feb"/>
    <n v="2"/>
    <n v="2026"/>
    <s v="Weekday"/>
    <n v="0.3"/>
    <n v="0.50359712230215825"/>
    <n v="9.7122302158273388E-2"/>
    <n v="8650"/>
    <s v="Hannover Cars"/>
  </r>
  <r>
    <s v="CUST_1748"/>
    <x v="23"/>
    <x v="2"/>
    <s v="Tuesday"/>
    <s v="No"/>
    <x v="5"/>
    <x v="5"/>
    <s v="Hamburg"/>
    <x v="1"/>
    <s v="Mokka"/>
    <s v="Hybrid"/>
    <x v="0"/>
    <s v="26-35"/>
    <s v="Low"/>
    <x v="1"/>
    <x v="3"/>
    <s v="Sales_14"/>
    <n v="237"/>
    <n v="95"/>
    <n v="60"/>
    <n v="16"/>
    <s v="16.84"/>
    <n v="22426"/>
    <s v="13.94"/>
    <n v="20616"/>
    <n v="358816"/>
    <n v="28960"/>
    <s v="Feb"/>
    <n v="2"/>
    <n v="2026"/>
    <s v="Weekday"/>
    <n v="0.26666666666666666"/>
    <n v="0.40084388185654007"/>
    <n v="6.7510548523206745E-2"/>
    <n v="1810"/>
    <s v="Elbe Drive"/>
  </r>
  <r>
    <s v="CUST_1749"/>
    <x v="2"/>
    <x v="2"/>
    <s v="Monday"/>
    <s v="No"/>
    <x v="9"/>
    <x v="9"/>
    <s v="NRW"/>
    <x v="4"/>
    <s v="Tiguan"/>
    <s v="Electric"/>
    <x v="0"/>
    <s v="18-25"/>
    <s v="High"/>
    <x v="1"/>
    <x v="1"/>
    <s v="Sales_16"/>
    <n v="379"/>
    <n v="212"/>
    <n v="152"/>
    <n v="31"/>
    <s v="14.62"/>
    <n v="25422"/>
    <s v="9.92"/>
    <n v="22967"/>
    <n v="788082"/>
    <n v="76105"/>
    <s v="Feb"/>
    <n v="2"/>
    <n v="2026"/>
    <s v="Weekday"/>
    <n v="0.20394736842105263"/>
    <n v="0.55936675461741425"/>
    <n v="8.1794195250659632E-2"/>
    <n v="2455"/>
    <s v="Ruhr Auto Plaza"/>
  </r>
  <r>
    <s v="CUST_1750"/>
    <x v="25"/>
    <x v="3"/>
    <s v="Friday"/>
    <s v="No"/>
    <x v="7"/>
    <x v="7"/>
    <s v="Bavaria"/>
    <x v="4"/>
    <s v="T-Roc"/>
    <s v="Petrol"/>
    <x v="0"/>
    <s v="36-50"/>
    <s v="Medium"/>
    <x v="1"/>
    <x v="2"/>
    <s v="Sales_20"/>
    <n v="334"/>
    <n v="154"/>
    <n v="89"/>
    <n v="31"/>
    <s v="20.13"/>
    <n v="30970"/>
    <s v="10.26"/>
    <n v="27368"/>
    <n v="960070"/>
    <n v="111662"/>
    <s v="Feb"/>
    <n v="2"/>
    <n v="2026"/>
    <s v="Weekday"/>
    <n v="0.34831460674157305"/>
    <n v="0.46107784431137727"/>
    <n v="9.2814371257485026E-2"/>
    <n v="3602"/>
    <s v="Bavaria Motors"/>
  </r>
  <r>
    <s v="CUST_1751"/>
    <x v="22"/>
    <x v="3"/>
    <s v="Tuesday"/>
    <s v="No"/>
    <x v="9"/>
    <x v="9"/>
    <s v="NRW"/>
    <x v="4"/>
    <s v="ID.4"/>
    <s v="Diesel"/>
    <x v="0"/>
    <s v="26-35"/>
    <s v="Low"/>
    <x v="0"/>
    <x v="0"/>
    <s v="Sales_17"/>
    <n v="321"/>
    <n v="164"/>
    <n v="99"/>
    <n v="24"/>
    <s v="14.63"/>
    <n v="29409"/>
    <s v="6.6"/>
    <n v="26049"/>
    <n v="705816"/>
    <n v="80640"/>
    <s v="Feb"/>
    <n v="2"/>
    <n v="2026"/>
    <s v="Weekday"/>
    <n v="0.24242424242424243"/>
    <n v="0.5109034267912772"/>
    <n v="7.476635514018691E-2"/>
    <n v="3360"/>
    <s v="Ruhr Auto Plaza"/>
  </r>
  <r>
    <s v="CUST_1752"/>
    <x v="4"/>
    <x v="2"/>
    <s v="Wednesday"/>
    <s v="No"/>
    <x v="0"/>
    <x v="0"/>
    <s v="Hesse"/>
    <x v="1"/>
    <s v="Mokka"/>
    <s v="Diesel"/>
    <x v="0"/>
    <s v="50+"/>
    <s v="High"/>
    <x v="0"/>
    <x v="0"/>
    <s v="Sales_7"/>
    <n v="255"/>
    <n v="126"/>
    <n v="79"/>
    <n v="21"/>
    <s v="16.67"/>
    <n v="20555"/>
    <s v="10.47"/>
    <n v="18671"/>
    <n v="431655"/>
    <n v="39564"/>
    <s v="Feb"/>
    <n v="2"/>
    <n v="2026"/>
    <s v="Weekday"/>
    <n v="0.26582278481012656"/>
    <n v="0.49411764705882355"/>
    <n v="8.2352941176470587E-2"/>
    <n v="1884"/>
    <s v="Main Auto Hub"/>
  </r>
  <r>
    <s v="CUST_1753"/>
    <x v="3"/>
    <x v="1"/>
    <s v="Sunday"/>
    <s v="Yes"/>
    <x v="1"/>
    <x v="1"/>
    <s v="NRW"/>
    <x v="3"/>
    <s v="GLE"/>
    <s v="Hybrid"/>
    <x v="0"/>
    <s v="26-35"/>
    <s v="Low"/>
    <x v="1"/>
    <x v="1"/>
    <s v="Sales_11"/>
    <n v="242"/>
    <n v="133"/>
    <n v="98"/>
    <n v="35"/>
    <s v="26.32"/>
    <n v="62269"/>
    <s v="5.1"/>
    <n v="45427"/>
    <n v="2179415"/>
    <n v="589470"/>
    <s v="Feb"/>
    <n v="2"/>
    <n v="2026"/>
    <s v="Weekend"/>
    <n v="0.35714285714285715"/>
    <n v="0.54958677685950408"/>
    <n v="0.14462809917355371"/>
    <n v="16842"/>
    <s v="Rhein Auto Group"/>
  </r>
  <r>
    <s v="CUST_1754"/>
    <x v="20"/>
    <x v="0"/>
    <s v="Thursday"/>
    <s v="No"/>
    <x v="3"/>
    <x v="3"/>
    <s v="Saxony"/>
    <x v="4"/>
    <s v="Tiguan"/>
    <s v="Electric"/>
    <x v="0"/>
    <s v="36-50"/>
    <s v="High"/>
    <x v="1"/>
    <x v="2"/>
    <s v="Sales_3"/>
    <n v="424"/>
    <n v="212"/>
    <n v="142"/>
    <n v="42"/>
    <s v="19.81"/>
    <n v="34250"/>
    <s v="9.78"/>
    <n v="31083"/>
    <n v="1438500"/>
    <n v="133014"/>
    <s v="Feb"/>
    <n v="2"/>
    <n v="2026"/>
    <s v="Weekday"/>
    <n v="0.29577464788732394"/>
    <n v="0.5"/>
    <n v="9.9056603773584911E-2"/>
    <n v="3167"/>
    <s v="Saxon Wheels"/>
  </r>
  <r>
    <s v="CUST_1755"/>
    <x v="2"/>
    <x v="2"/>
    <s v="Monday"/>
    <s v="No"/>
    <x v="8"/>
    <x v="8"/>
    <s v="Baden-WÃ¼rttemberg"/>
    <x v="0"/>
    <s v="3 Series"/>
    <s v="Hybrid"/>
    <x v="1"/>
    <s v="18-25"/>
    <s v="High"/>
    <x v="0"/>
    <x v="2"/>
    <s v="Sales_13"/>
    <n v="278"/>
    <n v="153"/>
    <n v="125"/>
    <n v="51"/>
    <s v="33.33"/>
    <n v="51661"/>
    <s v="3.67"/>
    <n v="39051"/>
    <n v="2634711"/>
    <n v="643110"/>
    <s v="Feb"/>
    <n v="2"/>
    <n v="2026"/>
    <s v="Weekday"/>
    <n v="0.40799999999999997"/>
    <n v="0.55035971223021585"/>
    <n v="0.18345323741007194"/>
    <n v="12610"/>
    <s v="Stuttgart Auto Center"/>
  </r>
  <r>
    <s v="CUST_1756"/>
    <x v="15"/>
    <x v="2"/>
    <s v="Thursday"/>
    <s v="No"/>
    <x v="9"/>
    <x v="9"/>
    <s v="NRW"/>
    <x v="3"/>
    <s v="GLE"/>
    <s v="Petrol"/>
    <x v="0"/>
    <s v="18-25"/>
    <s v="Low"/>
    <x v="0"/>
    <x v="0"/>
    <s v="Sales_6"/>
    <n v="177"/>
    <n v="97"/>
    <n v="66"/>
    <n v="24"/>
    <s v="24.74"/>
    <n v="72570"/>
    <s v="3.04"/>
    <n v="54761"/>
    <n v="1741680"/>
    <n v="427416"/>
    <s v="Feb"/>
    <n v="2"/>
    <n v="2026"/>
    <s v="Weekday"/>
    <n v="0.36363636363636365"/>
    <n v="0.54802259887005644"/>
    <n v="0.13559322033898305"/>
    <n v="17809"/>
    <s v="Ruhr Auto Plaza"/>
  </r>
  <r>
    <s v="CUST_1757"/>
    <x v="17"/>
    <x v="2"/>
    <s v="Sunday"/>
    <s v="Yes"/>
    <x v="3"/>
    <x v="3"/>
    <s v="Saxony"/>
    <x v="1"/>
    <s v="Astra"/>
    <s v="Diesel"/>
    <x v="2"/>
    <s v="50+"/>
    <s v="High"/>
    <x v="0"/>
    <x v="1"/>
    <s v="Sales_10"/>
    <n v="313"/>
    <n v="123"/>
    <n v="82"/>
    <n v="18"/>
    <s v="14.63"/>
    <n v="19973"/>
    <s v="9.44"/>
    <n v="18149"/>
    <n v="359514"/>
    <n v="32832"/>
    <s v="Feb"/>
    <n v="2"/>
    <n v="2026"/>
    <s v="Weekend"/>
    <n v="0.21951219512195122"/>
    <n v="0.39297124600638977"/>
    <n v="5.7507987220447282E-2"/>
    <n v="1824"/>
    <s v="Saxon Wheels"/>
  </r>
  <r>
    <s v="CUST_1758"/>
    <x v="4"/>
    <x v="2"/>
    <s v="Wednesday"/>
    <s v="No"/>
    <x v="1"/>
    <x v="1"/>
    <s v="NRW"/>
    <x v="0"/>
    <s v="X5"/>
    <s v="Petrol"/>
    <x v="0"/>
    <s v="18-25"/>
    <s v="High"/>
    <x v="0"/>
    <x v="0"/>
    <s v="Sales_19"/>
    <n v="145"/>
    <n v="85"/>
    <n v="67"/>
    <n v="24"/>
    <s v="28.24"/>
    <n v="51386"/>
    <s v="5.97"/>
    <n v="35971"/>
    <n v="1233264"/>
    <n v="369960"/>
    <s v="Feb"/>
    <n v="2"/>
    <n v="2026"/>
    <s v="Weekday"/>
    <n v="0.35820895522388058"/>
    <n v="0.58620689655172409"/>
    <n v="0.16551724137931034"/>
    <n v="15415"/>
    <s v="Rhein Auto Group"/>
  </r>
  <r>
    <s v="CUST_1759"/>
    <x v="25"/>
    <x v="3"/>
    <s v="Friday"/>
    <s v="No"/>
    <x v="4"/>
    <x v="4"/>
    <s v="Berlin"/>
    <x v="4"/>
    <s v="Tiguan"/>
    <s v="Diesel"/>
    <x v="0"/>
    <s v="18-25"/>
    <s v="High"/>
    <x v="1"/>
    <x v="1"/>
    <s v="Sales_15"/>
    <n v="470"/>
    <n v="236"/>
    <n v="149"/>
    <n v="42"/>
    <s v="17.8"/>
    <n v="28123"/>
    <s v="9.92"/>
    <n v="25453"/>
    <n v="1181166"/>
    <n v="112140"/>
    <s v="Feb"/>
    <n v="2"/>
    <n v="2026"/>
    <s v="Weekday"/>
    <n v="0.28187919463087246"/>
    <n v="0.50212765957446803"/>
    <n v="8.9361702127659579E-2"/>
    <n v="2670"/>
    <s v="Autohaus Berlin"/>
  </r>
  <r>
    <s v="CUST_1760"/>
    <x v="2"/>
    <x v="2"/>
    <s v="Monday"/>
    <s v="No"/>
    <x v="2"/>
    <x v="2"/>
    <s v="Lower Saxony"/>
    <x v="3"/>
    <s v="C-Class"/>
    <s v="Petrol"/>
    <x v="1"/>
    <s v="50+"/>
    <s v="High"/>
    <x v="0"/>
    <x v="3"/>
    <s v="Sales_16"/>
    <n v="211"/>
    <n v="103"/>
    <n v="81"/>
    <n v="27"/>
    <s v="26.21"/>
    <n v="64021"/>
    <s v="4.45"/>
    <n v="48818"/>
    <n v="1728567"/>
    <n v="410481"/>
    <s v="Feb"/>
    <n v="2"/>
    <n v="2026"/>
    <s v="Weekday"/>
    <n v="0.33333333333333331"/>
    <n v="0.4881516587677725"/>
    <n v="0.12796208530805686"/>
    <n v="15203"/>
    <s v="Hannover Cars"/>
  </r>
  <r>
    <s v="CUST_1761"/>
    <x v="16"/>
    <x v="1"/>
    <s v="Tuesday"/>
    <s v="No"/>
    <x v="2"/>
    <x v="2"/>
    <s v="Lower Saxony"/>
    <x v="3"/>
    <s v="GLC"/>
    <s v="Hybrid"/>
    <x v="0"/>
    <s v="50+"/>
    <s v="Medium"/>
    <x v="0"/>
    <x v="2"/>
    <s v="Sales_13"/>
    <n v="231"/>
    <n v="131"/>
    <n v="93"/>
    <n v="39"/>
    <s v="29.77"/>
    <n v="60527"/>
    <s v="3.46"/>
    <n v="47221"/>
    <n v="2360553"/>
    <n v="518934"/>
    <s v="Feb"/>
    <n v="2"/>
    <n v="2026"/>
    <s v="Weekday"/>
    <n v="0.41935483870967744"/>
    <n v="0.5670995670995671"/>
    <n v="0.16883116883116883"/>
    <n v="13306"/>
    <s v="Hannover Cars"/>
  </r>
  <r>
    <s v="CUST_1762"/>
    <x v="10"/>
    <x v="1"/>
    <s v="Monday"/>
    <s v="No"/>
    <x v="8"/>
    <x v="8"/>
    <s v="Baden-WÃ¼rttemberg"/>
    <x v="2"/>
    <s v="e-tron"/>
    <s v="Hybrid"/>
    <x v="0"/>
    <s v="36-50"/>
    <s v="Low"/>
    <x v="1"/>
    <x v="3"/>
    <s v="Sales_7"/>
    <n v="212"/>
    <n v="125"/>
    <n v="89"/>
    <n v="25"/>
    <s v="20.0"/>
    <n v="39846"/>
    <s v="5.95"/>
    <n v="30229"/>
    <n v="996150"/>
    <n v="240425"/>
    <s v="Feb"/>
    <n v="2"/>
    <n v="2026"/>
    <s v="Weekday"/>
    <n v="0.2808988764044944"/>
    <n v="0.589622641509434"/>
    <n v="0.11792452830188679"/>
    <n v="9617"/>
    <s v="Stuttgart Auto Center"/>
  </r>
  <r>
    <s v="CUST_1763"/>
    <x v="3"/>
    <x v="1"/>
    <s v="Sunday"/>
    <s v="Yes"/>
    <x v="4"/>
    <x v="4"/>
    <s v="Berlin"/>
    <x v="1"/>
    <s v="Mokka"/>
    <s v="Hybrid"/>
    <x v="0"/>
    <s v="36-50"/>
    <s v="Low"/>
    <x v="1"/>
    <x v="2"/>
    <s v="Sales_7"/>
    <n v="370"/>
    <n v="175"/>
    <n v="101"/>
    <n v="29"/>
    <s v="16.57"/>
    <n v="22440"/>
    <s v="10.42"/>
    <n v="20033"/>
    <n v="650760"/>
    <n v="69803"/>
    <s v="Feb"/>
    <n v="2"/>
    <n v="2026"/>
    <s v="Weekend"/>
    <n v="0.28712871287128711"/>
    <n v="0.47297297297297297"/>
    <n v="7.8378378378378383E-2"/>
    <n v="2407"/>
    <s v="Autohaus Berlin"/>
  </r>
  <r>
    <s v="CUST_1764"/>
    <x v="1"/>
    <x v="1"/>
    <s v="Wednesday"/>
    <s v="No"/>
    <x v="5"/>
    <x v="5"/>
    <s v="Hamburg"/>
    <x v="4"/>
    <s v="Tiguan"/>
    <s v="Petrol"/>
    <x v="0"/>
    <s v="50+"/>
    <s v="High"/>
    <x v="0"/>
    <x v="3"/>
    <s v="Sales_18"/>
    <n v="348"/>
    <n v="182"/>
    <n v="121"/>
    <n v="33"/>
    <s v="18.13"/>
    <n v="29069"/>
    <s v="7.83"/>
    <n v="25109"/>
    <n v="959277"/>
    <n v="130680"/>
    <s v="Feb"/>
    <n v="2"/>
    <n v="2026"/>
    <s v="Weekday"/>
    <n v="0.27272727272727271"/>
    <n v="0.52298850574712641"/>
    <n v="9.4827586206896547E-2"/>
    <n v="3960"/>
    <s v="Elbe Drive"/>
  </r>
  <r>
    <s v="CUST_1765"/>
    <x v="13"/>
    <x v="0"/>
    <s v="Friday"/>
    <s v="No"/>
    <x v="9"/>
    <x v="9"/>
    <s v="NRW"/>
    <x v="2"/>
    <s v="A3"/>
    <s v="Electric"/>
    <x v="2"/>
    <s v="26-35"/>
    <s v="Low"/>
    <x v="1"/>
    <x v="0"/>
    <s v="Sales_6"/>
    <n v="233"/>
    <n v="125"/>
    <n v="92"/>
    <n v="27"/>
    <s v="21.6"/>
    <n v="45223"/>
    <s v="4.22"/>
    <n v="36145"/>
    <n v="1221021"/>
    <n v="245106"/>
    <s v="Feb"/>
    <n v="2"/>
    <n v="2026"/>
    <s v="Weekday"/>
    <n v="0.29347826086956524"/>
    <n v="0.53648068669527893"/>
    <n v="0.11587982832618025"/>
    <n v="9078"/>
    <s v="Ruhr Auto Plaza"/>
  </r>
  <r>
    <s v="CUST_1766"/>
    <x v="20"/>
    <x v="0"/>
    <s v="Thursday"/>
    <s v="No"/>
    <x v="0"/>
    <x v="0"/>
    <s v="Hesse"/>
    <x v="3"/>
    <s v="GLE"/>
    <s v="Hybrid"/>
    <x v="0"/>
    <s v="26-35"/>
    <s v="Medium"/>
    <x v="0"/>
    <x v="3"/>
    <s v="Sales_11"/>
    <n v="211"/>
    <n v="124"/>
    <n v="86"/>
    <n v="32"/>
    <s v="25.81"/>
    <n v="53682"/>
    <s v="5.17"/>
    <n v="40792"/>
    <n v="1717824"/>
    <n v="412480"/>
    <s v="Feb"/>
    <n v="2"/>
    <n v="2026"/>
    <s v="Weekday"/>
    <n v="0.37209302325581395"/>
    <n v="0.58767772511848337"/>
    <n v="0.15165876777251186"/>
    <n v="12890"/>
    <s v="Main Auto Hub"/>
  </r>
  <r>
    <s v="CUST_1767"/>
    <x v="13"/>
    <x v="0"/>
    <s v="Friday"/>
    <s v="No"/>
    <x v="4"/>
    <x v="4"/>
    <s v="Berlin"/>
    <x v="4"/>
    <s v="T-Roc"/>
    <s v="Petrol"/>
    <x v="0"/>
    <s v="26-35"/>
    <s v="Low"/>
    <x v="0"/>
    <x v="1"/>
    <s v="Sales_20"/>
    <n v="326"/>
    <n v="166"/>
    <n v="112"/>
    <n v="32"/>
    <s v="19.28"/>
    <n v="31031"/>
    <s v="10.53"/>
    <n v="27816"/>
    <n v="992992"/>
    <n v="102880"/>
    <s v="Feb"/>
    <n v="2"/>
    <n v="2026"/>
    <s v="Weekday"/>
    <n v="0.2857142857142857"/>
    <n v="0.50920245398773001"/>
    <n v="9.815950920245399E-2"/>
    <n v="3215"/>
    <s v="Autohaus Berlin"/>
  </r>
  <r>
    <s v="CUST_1768"/>
    <x v="0"/>
    <x v="0"/>
    <s v="Monday"/>
    <s v="No"/>
    <x v="5"/>
    <x v="5"/>
    <s v="Hamburg"/>
    <x v="0"/>
    <s v="X5"/>
    <s v="Hybrid"/>
    <x v="0"/>
    <s v="36-50"/>
    <s v="High"/>
    <x v="1"/>
    <x v="0"/>
    <s v="Sales_4"/>
    <n v="161"/>
    <n v="97"/>
    <n v="72"/>
    <n v="25"/>
    <s v="25.77"/>
    <n v="67079"/>
    <s v="5.19"/>
    <n v="49390"/>
    <n v="1676975"/>
    <n v="442225"/>
    <s v="Feb"/>
    <n v="2"/>
    <n v="2026"/>
    <s v="Weekday"/>
    <n v="0.34722222222222221"/>
    <n v="0.60248447204968947"/>
    <n v="0.15527950310559005"/>
    <n v="17689"/>
    <s v="Elbe Drive"/>
  </r>
  <r>
    <s v="CUST_1769"/>
    <x v="16"/>
    <x v="1"/>
    <s v="Tuesday"/>
    <s v="No"/>
    <x v="2"/>
    <x v="2"/>
    <s v="Lower Saxony"/>
    <x v="3"/>
    <s v="E-Class"/>
    <s v="Hybrid"/>
    <x v="1"/>
    <s v="36-50"/>
    <s v="Medium"/>
    <x v="0"/>
    <x v="1"/>
    <s v="Sales_1"/>
    <n v="175"/>
    <n v="84"/>
    <n v="64"/>
    <n v="22"/>
    <s v="26.19"/>
    <n v="52650"/>
    <s v="2.17"/>
    <n v="40840"/>
    <n v="1158300"/>
    <n v="259820"/>
    <s v="Feb"/>
    <n v="2"/>
    <n v="2026"/>
    <s v="Weekday"/>
    <n v="0.34375"/>
    <n v="0.48"/>
    <n v="0.12571428571428572"/>
    <n v="11810"/>
    <s v="Hannover Cars"/>
  </r>
  <r>
    <s v="CUST_1770"/>
    <x v="25"/>
    <x v="3"/>
    <s v="Friday"/>
    <s v="No"/>
    <x v="2"/>
    <x v="2"/>
    <s v="Lower Saxony"/>
    <x v="1"/>
    <s v="Corsa"/>
    <s v="Petrol"/>
    <x v="2"/>
    <s v="26-35"/>
    <s v="Low"/>
    <x v="0"/>
    <x v="2"/>
    <s v="Sales_2"/>
    <n v="249"/>
    <n v="111"/>
    <n v="68"/>
    <n v="19"/>
    <s v="17.12"/>
    <n v="25080"/>
    <s v="7.13"/>
    <n v="23043"/>
    <n v="476520"/>
    <n v="38703"/>
    <s v="Feb"/>
    <n v="2"/>
    <n v="2026"/>
    <s v="Weekday"/>
    <n v="0.27941176470588236"/>
    <n v="0.44578313253012047"/>
    <n v="7.6305220883534142E-2"/>
    <n v="2037"/>
    <s v="Hannover Cars"/>
  </r>
  <r>
    <s v="CUST_1771"/>
    <x v="27"/>
    <x v="3"/>
    <s v="Sunday"/>
    <s v="Yes"/>
    <x v="2"/>
    <x v="2"/>
    <s v="Lower Saxony"/>
    <x v="0"/>
    <s v="X5"/>
    <s v="Hybrid"/>
    <x v="0"/>
    <s v="50+"/>
    <s v="Low"/>
    <x v="1"/>
    <x v="1"/>
    <s v="Sales_5"/>
    <n v="248"/>
    <n v="127"/>
    <n v="98"/>
    <n v="34"/>
    <s v="26.77"/>
    <n v="63589"/>
    <s v="3.7"/>
    <n v="49362"/>
    <n v="2162026"/>
    <n v="483718"/>
    <s v="Feb"/>
    <n v="2"/>
    <n v="2026"/>
    <s v="Weekend"/>
    <n v="0.34693877551020408"/>
    <n v="0.51209677419354838"/>
    <n v="0.13709677419354838"/>
    <n v="14227"/>
    <s v="Hannover Cars"/>
  </r>
  <r>
    <s v="CUST_1772"/>
    <x v="3"/>
    <x v="1"/>
    <s v="Sunday"/>
    <s v="Yes"/>
    <x v="7"/>
    <x v="7"/>
    <s v="Bavaria"/>
    <x v="1"/>
    <s v="Corsa"/>
    <s v="Hybrid"/>
    <x v="2"/>
    <s v="50+"/>
    <s v="Medium"/>
    <x v="1"/>
    <x v="1"/>
    <s v="Sales_7"/>
    <n v="414"/>
    <n v="213"/>
    <n v="129"/>
    <n v="39"/>
    <s v="18.31"/>
    <n v="25492"/>
    <s v="7.96"/>
    <n v="23633"/>
    <n v="994188"/>
    <n v="72501"/>
    <s v="Feb"/>
    <n v="2"/>
    <n v="2026"/>
    <s v="Weekend"/>
    <n v="0.30232558139534882"/>
    <n v="0.51449275362318836"/>
    <n v="9.420289855072464E-2"/>
    <n v="1859"/>
    <s v="Bavaria Motors"/>
  </r>
  <r>
    <s v="CUST_1773"/>
    <x v="25"/>
    <x v="3"/>
    <s v="Friday"/>
    <s v="No"/>
    <x v="5"/>
    <x v="5"/>
    <s v="Hamburg"/>
    <x v="4"/>
    <s v="ID.4"/>
    <s v="Hybrid"/>
    <x v="0"/>
    <s v="18-25"/>
    <s v="High"/>
    <x v="1"/>
    <x v="0"/>
    <s v="Sales_18"/>
    <n v="296"/>
    <n v="162"/>
    <n v="104"/>
    <n v="23"/>
    <s v="14.2"/>
    <n v="30052"/>
    <s v="11.66"/>
    <n v="26261"/>
    <n v="691196"/>
    <n v="87193"/>
    <s v="Feb"/>
    <n v="2"/>
    <n v="2026"/>
    <s v="Weekday"/>
    <n v="0.22115384615384615"/>
    <n v="0.54729729729729726"/>
    <n v="7.77027027027027E-2"/>
    <n v="3791"/>
    <s v="Elbe Drive"/>
  </r>
  <r>
    <s v="CUST_1774"/>
    <x v="23"/>
    <x v="2"/>
    <s v="Tuesday"/>
    <s v="No"/>
    <x v="5"/>
    <x v="5"/>
    <s v="Hamburg"/>
    <x v="3"/>
    <s v="EQE"/>
    <s v="Petrol"/>
    <x v="1"/>
    <s v="18-25"/>
    <s v="High"/>
    <x v="1"/>
    <x v="2"/>
    <s v="Sales_15"/>
    <n v="191"/>
    <n v="84"/>
    <n v="60"/>
    <n v="21"/>
    <s v="25.0"/>
    <n v="54169"/>
    <s v="3.16"/>
    <n v="42062"/>
    <n v="1137549"/>
    <n v="254247"/>
    <s v="Feb"/>
    <n v="2"/>
    <n v="2026"/>
    <s v="Weekday"/>
    <n v="0.35"/>
    <n v="0.43979057591623039"/>
    <n v="0.1099476439790576"/>
    <n v="12107"/>
    <s v="Elbe Drive"/>
  </r>
  <r>
    <s v="CUST_1775"/>
    <x v="11"/>
    <x v="0"/>
    <s v="Wednesday"/>
    <s v="No"/>
    <x v="2"/>
    <x v="2"/>
    <s v="Lower Saxony"/>
    <x v="4"/>
    <s v="ID.4"/>
    <s v="Hybrid"/>
    <x v="0"/>
    <s v="18-25"/>
    <s v="Medium"/>
    <x v="1"/>
    <x v="2"/>
    <s v="Sales_14"/>
    <n v="480"/>
    <n v="249"/>
    <n v="176"/>
    <n v="50"/>
    <s v="20.08"/>
    <n v="32613"/>
    <s v="10.55"/>
    <n v="29549"/>
    <n v="1630650"/>
    <n v="153200"/>
    <s v="Feb"/>
    <n v="2"/>
    <n v="2026"/>
    <s v="Weekday"/>
    <n v="0.28409090909090912"/>
    <n v="0.51875000000000004"/>
    <n v="0.10416666666666667"/>
    <n v="3064"/>
    <s v="Hannover Cars"/>
  </r>
  <r>
    <s v="CUST_1776"/>
    <x v="17"/>
    <x v="2"/>
    <s v="Sunday"/>
    <s v="Yes"/>
    <x v="0"/>
    <x v="0"/>
    <s v="Hesse"/>
    <x v="3"/>
    <s v="GLC"/>
    <s v="Hybrid"/>
    <x v="0"/>
    <s v="18-25"/>
    <s v="High"/>
    <x v="1"/>
    <x v="1"/>
    <s v="Sales_5"/>
    <n v="235"/>
    <n v="134"/>
    <n v="94"/>
    <n v="35"/>
    <s v="26.12"/>
    <n v="51733"/>
    <s v="3.33"/>
    <n v="37192"/>
    <n v="1810655"/>
    <n v="508935"/>
    <s v="Feb"/>
    <n v="2"/>
    <n v="2026"/>
    <s v="Weekend"/>
    <n v="0.37234042553191488"/>
    <n v="0.57021276595744685"/>
    <n v="0.14893617021276595"/>
    <n v="14541"/>
    <s v="Main Auto Hub"/>
  </r>
  <r>
    <s v="CUST_1777"/>
    <x v="3"/>
    <x v="1"/>
    <s v="Sunday"/>
    <s v="Yes"/>
    <x v="7"/>
    <x v="7"/>
    <s v="Bavaria"/>
    <x v="3"/>
    <s v="GLC"/>
    <s v="Petrol"/>
    <x v="0"/>
    <s v="36-50"/>
    <s v="High"/>
    <x v="1"/>
    <x v="3"/>
    <s v="Sales_5"/>
    <n v="253"/>
    <n v="143"/>
    <n v="94"/>
    <n v="33"/>
    <s v="23.08"/>
    <n v="69674"/>
    <s v="2.96"/>
    <n v="54370"/>
    <n v="2299242"/>
    <n v="505032"/>
    <s v="Feb"/>
    <n v="2"/>
    <n v="2026"/>
    <s v="Weekend"/>
    <n v="0.35106382978723405"/>
    <n v="0.56521739130434778"/>
    <n v="0.13043478260869565"/>
    <n v="15304"/>
    <s v="Bavaria Motors"/>
  </r>
  <r>
    <s v="CUST_1778"/>
    <x v="1"/>
    <x v="1"/>
    <s v="Wednesday"/>
    <s v="No"/>
    <x v="8"/>
    <x v="8"/>
    <s v="Baden-WÃ¼rttemberg"/>
    <x v="2"/>
    <s v="A3"/>
    <s v="Electric"/>
    <x v="2"/>
    <s v="26-35"/>
    <s v="Low"/>
    <x v="1"/>
    <x v="2"/>
    <s v="Sales_13"/>
    <n v="298"/>
    <n v="141"/>
    <n v="106"/>
    <n v="33"/>
    <s v="23.4"/>
    <n v="46215"/>
    <s v="6.44"/>
    <n v="37844"/>
    <n v="1525095"/>
    <n v="276243"/>
    <s v="Feb"/>
    <n v="2"/>
    <n v="2026"/>
    <s v="Weekday"/>
    <n v="0.31132075471698112"/>
    <n v="0.47315436241610737"/>
    <n v="0.11073825503355705"/>
    <n v="8371"/>
    <s v="Stuttgart Auto Center"/>
  </r>
  <r>
    <s v="CUST_1779"/>
    <x v="15"/>
    <x v="2"/>
    <s v="Thursday"/>
    <s v="No"/>
    <x v="1"/>
    <x v="1"/>
    <s v="NRW"/>
    <x v="4"/>
    <s v="Golf"/>
    <s v="Electric"/>
    <x v="2"/>
    <s v="18-25"/>
    <s v="Medium"/>
    <x v="0"/>
    <x v="1"/>
    <s v="Sales_20"/>
    <n v="477"/>
    <n v="237"/>
    <n v="160"/>
    <n v="39"/>
    <s v="16.46"/>
    <n v="28639"/>
    <s v="6.69"/>
    <n v="24788"/>
    <n v="1116921"/>
    <n v="150189"/>
    <s v="Feb"/>
    <n v="2"/>
    <n v="2026"/>
    <s v="Weekday"/>
    <n v="0.24374999999999999"/>
    <n v="0.49685534591194969"/>
    <n v="8.1761006289308172E-2"/>
    <n v="3851"/>
    <s v="Rhein Auto Group"/>
  </r>
  <r>
    <s v="CUST_1780"/>
    <x v="6"/>
    <x v="2"/>
    <s v="Saturday"/>
    <s v="Yes"/>
    <x v="8"/>
    <x v="8"/>
    <s v="Baden-WÃ¼rttemberg"/>
    <x v="2"/>
    <s v="A4"/>
    <s v="Diesel"/>
    <x v="1"/>
    <s v="26-35"/>
    <s v="Medium"/>
    <x v="0"/>
    <x v="1"/>
    <s v="Sales_11"/>
    <n v="175"/>
    <n v="87"/>
    <n v="65"/>
    <n v="22"/>
    <s v="25.29"/>
    <n v="44746"/>
    <s v="5.9"/>
    <n v="36414"/>
    <n v="984412"/>
    <n v="183304"/>
    <s v="Feb"/>
    <n v="2"/>
    <n v="2026"/>
    <s v="Weekend"/>
    <n v="0.33846153846153848"/>
    <n v="0.49714285714285716"/>
    <n v="0.12571428571428572"/>
    <n v="8332"/>
    <s v="Stuttgart Auto Center"/>
  </r>
  <r>
    <s v="CUST_1781"/>
    <x v="10"/>
    <x v="1"/>
    <s v="Monday"/>
    <s v="No"/>
    <x v="8"/>
    <x v="8"/>
    <s v="Baden-WÃ¼rttemberg"/>
    <x v="4"/>
    <s v="ID.4"/>
    <s v="Diesel"/>
    <x v="0"/>
    <s v="18-25"/>
    <s v="High"/>
    <x v="0"/>
    <x v="0"/>
    <s v="Sales_13"/>
    <n v="468"/>
    <n v="269"/>
    <n v="193"/>
    <n v="36"/>
    <s v="13.38"/>
    <n v="34341"/>
    <s v="8.62"/>
    <n v="30622"/>
    <n v="1236276"/>
    <n v="133884"/>
    <s v="Feb"/>
    <n v="2"/>
    <n v="2026"/>
    <s v="Weekday"/>
    <n v="0.18652849740932642"/>
    <n v="0.57478632478632474"/>
    <n v="7.6923076923076927E-2"/>
    <n v="3719"/>
    <s v="Stuttgart Auto Center"/>
  </r>
  <r>
    <s v="CUST_1782"/>
    <x v="13"/>
    <x v="0"/>
    <s v="Friday"/>
    <s v="No"/>
    <x v="6"/>
    <x v="6"/>
    <s v="Saxony"/>
    <x v="1"/>
    <s v="Grandland"/>
    <s v="Hybrid"/>
    <x v="0"/>
    <s v="18-25"/>
    <s v="Medium"/>
    <x v="0"/>
    <x v="3"/>
    <s v="Sales_8"/>
    <n v="236"/>
    <n v="109"/>
    <n v="65"/>
    <n v="16"/>
    <s v="14.68"/>
    <n v="22821"/>
    <s v="12.99"/>
    <n v="20341"/>
    <n v="365136"/>
    <n v="39680"/>
    <s v="Feb"/>
    <n v="2"/>
    <n v="2026"/>
    <s v="Weekday"/>
    <n v="0.24615384615384617"/>
    <n v="0.46186440677966101"/>
    <n v="6.7796610169491525E-2"/>
    <n v="2480"/>
    <s v="Leipzig Mobility"/>
  </r>
  <r>
    <s v="CUST_1783"/>
    <x v="5"/>
    <x v="3"/>
    <s v="Saturday"/>
    <s v="Yes"/>
    <x v="4"/>
    <x v="4"/>
    <s v="Berlin"/>
    <x v="1"/>
    <s v="Astra"/>
    <s v="Electric"/>
    <x v="2"/>
    <s v="36-50"/>
    <s v="High"/>
    <x v="0"/>
    <x v="3"/>
    <s v="Sales_3"/>
    <n v="226"/>
    <n v="117"/>
    <n v="73"/>
    <n v="17"/>
    <s v="14.53"/>
    <n v="20662"/>
    <s v="12.0"/>
    <n v="18749"/>
    <n v="351254"/>
    <n v="32521"/>
    <s v="Feb"/>
    <n v="2"/>
    <n v="2026"/>
    <s v="Weekend"/>
    <n v="0.23287671232876711"/>
    <n v="0.51769911504424782"/>
    <n v="7.5221238938053103E-2"/>
    <n v="1913"/>
    <s v="Autohaus Berlin"/>
  </r>
  <r>
    <s v="CUST_1784"/>
    <x v="27"/>
    <x v="3"/>
    <s v="Sunday"/>
    <s v="Yes"/>
    <x v="9"/>
    <x v="9"/>
    <s v="NRW"/>
    <x v="3"/>
    <s v="GLC"/>
    <s v="Electric"/>
    <x v="0"/>
    <s v="18-25"/>
    <s v="Low"/>
    <x v="1"/>
    <x v="3"/>
    <s v="Sales_2"/>
    <n v="227"/>
    <n v="130"/>
    <n v="103"/>
    <n v="31"/>
    <s v="23.85"/>
    <n v="57779"/>
    <s v="2.89"/>
    <n v="42799"/>
    <n v="1791149"/>
    <n v="464380"/>
    <s v="Feb"/>
    <n v="2"/>
    <n v="2026"/>
    <s v="Weekend"/>
    <n v="0.30097087378640774"/>
    <n v="0.57268722466960353"/>
    <n v="0.13656387665198239"/>
    <n v="14980"/>
    <s v="Ruhr Auto Plaza"/>
  </r>
  <r>
    <s v="CUST_1785"/>
    <x v="0"/>
    <x v="0"/>
    <s v="Monday"/>
    <s v="No"/>
    <x v="3"/>
    <x v="3"/>
    <s v="Saxony"/>
    <x v="1"/>
    <s v="Mokka"/>
    <s v="Petrol"/>
    <x v="0"/>
    <s v="50+"/>
    <s v="Low"/>
    <x v="0"/>
    <x v="2"/>
    <s v="Sales_10"/>
    <n v="295"/>
    <n v="116"/>
    <n v="76"/>
    <n v="24"/>
    <s v="20.69"/>
    <n v="22450"/>
    <s v="12.31"/>
    <n v="20809"/>
    <n v="538800"/>
    <n v="39384"/>
    <s v="Feb"/>
    <n v="2"/>
    <n v="2026"/>
    <s v="Weekday"/>
    <n v="0.31578947368421051"/>
    <n v="0.39322033898305087"/>
    <n v="8.1355932203389825E-2"/>
    <n v="1641"/>
    <s v="Saxon Wheels"/>
  </r>
  <r>
    <s v="CUST_1786"/>
    <x v="23"/>
    <x v="2"/>
    <s v="Tuesday"/>
    <s v="No"/>
    <x v="0"/>
    <x v="0"/>
    <s v="Hesse"/>
    <x v="4"/>
    <s v="Passat"/>
    <s v="Petrol"/>
    <x v="1"/>
    <s v="50+"/>
    <s v="Low"/>
    <x v="1"/>
    <x v="2"/>
    <s v="Sales_9"/>
    <n v="438"/>
    <n v="192"/>
    <n v="133"/>
    <n v="39"/>
    <s v="20.31"/>
    <n v="26763"/>
    <s v="8.75"/>
    <n v="23697"/>
    <n v="1043757"/>
    <n v="119574"/>
    <s v="Feb"/>
    <n v="2"/>
    <n v="2026"/>
    <s v="Weekday"/>
    <n v="0.2932330827067669"/>
    <n v="0.43835616438356162"/>
    <n v="8.9041095890410954E-2"/>
    <n v="3066"/>
    <s v="Main Auto Hub"/>
  </r>
  <r>
    <s v="CUST_1787"/>
    <x v="18"/>
    <x v="0"/>
    <s v="Saturday"/>
    <s v="Yes"/>
    <x v="2"/>
    <x v="2"/>
    <s v="Lower Saxony"/>
    <x v="1"/>
    <s v="Astra"/>
    <s v="Petrol"/>
    <x v="2"/>
    <s v="50+"/>
    <s v="High"/>
    <x v="1"/>
    <x v="1"/>
    <s v="Sales_2"/>
    <n v="247"/>
    <n v="99"/>
    <n v="67"/>
    <n v="14"/>
    <s v="14.14"/>
    <n v="22462"/>
    <s v="11.05"/>
    <n v="20138"/>
    <n v="314468"/>
    <n v="32536"/>
    <s v="Feb"/>
    <n v="2"/>
    <n v="2026"/>
    <s v="Weekend"/>
    <n v="0.20895522388059701"/>
    <n v="0.40080971659919029"/>
    <n v="5.6680161943319839E-2"/>
    <n v="2324"/>
    <s v="Hannover Cars"/>
  </r>
  <r>
    <s v="CUST_1788"/>
    <x v="5"/>
    <x v="3"/>
    <s v="Saturday"/>
    <s v="Yes"/>
    <x v="4"/>
    <x v="4"/>
    <s v="Berlin"/>
    <x v="1"/>
    <s v="Crossland"/>
    <s v="Petrol"/>
    <x v="0"/>
    <s v="50+"/>
    <s v="Low"/>
    <x v="1"/>
    <x v="0"/>
    <s v="Sales_6"/>
    <n v="348"/>
    <n v="146"/>
    <n v="88"/>
    <n v="22"/>
    <s v="15.07"/>
    <n v="23266"/>
    <s v="8.51"/>
    <n v="21060"/>
    <n v="511852"/>
    <n v="48532"/>
    <s v="Feb"/>
    <n v="2"/>
    <n v="2026"/>
    <s v="Weekend"/>
    <n v="0.25"/>
    <n v="0.41954022988505746"/>
    <n v="6.3218390804597707E-2"/>
    <n v="2206"/>
    <s v="Autohaus Berlin"/>
  </r>
  <r>
    <s v="CUST_1789"/>
    <x v="22"/>
    <x v="3"/>
    <s v="Tuesday"/>
    <s v="No"/>
    <x v="5"/>
    <x v="5"/>
    <s v="Hamburg"/>
    <x v="2"/>
    <s v="Q3"/>
    <s v="Hybrid"/>
    <x v="0"/>
    <s v="50+"/>
    <s v="Medium"/>
    <x v="1"/>
    <x v="1"/>
    <s v="Sales_17"/>
    <n v="278"/>
    <n v="155"/>
    <n v="118"/>
    <n v="39"/>
    <s v="25.16"/>
    <n v="47102"/>
    <s v="4.16"/>
    <n v="36162"/>
    <n v="1836978"/>
    <n v="426660"/>
    <s v="Feb"/>
    <n v="2"/>
    <n v="2026"/>
    <s v="Weekday"/>
    <n v="0.33050847457627119"/>
    <n v="0.55755395683453235"/>
    <n v="0.14028776978417265"/>
    <n v="10940"/>
    <s v="Elbe Drive"/>
  </r>
  <r>
    <s v="CUST_1790"/>
    <x v="15"/>
    <x v="2"/>
    <s v="Thursday"/>
    <s v="No"/>
    <x v="8"/>
    <x v="8"/>
    <s v="Baden-WÃ¼rttemberg"/>
    <x v="0"/>
    <s v="X5"/>
    <s v="Diesel"/>
    <x v="0"/>
    <s v="50+"/>
    <s v="Medium"/>
    <x v="0"/>
    <x v="1"/>
    <s v="Sales_8"/>
    <n v="266"/>
    <n v="156"/>
    <n v="111"/>
    <n v="49"/>
    <s v="31.41"/>
    <n v="57652"/>
    <s v="5.32"/>
    <n v="43881"/>
    <n v="2824948"/>
    <n v="674779"/>
    <s v="Feb"/>
    <n v="2"/>
    <n v="2026"/>
    <s v="Weekday"/>
    <n v="0.44144144144144143"/>
    <n v="0.5864661654135338"/>
    <n v="0.18421052631578946"/>
    <n v="13771"/>
    <s v="Stuttgart Auto Center"/>
  </r>
  <r>
    <s v="CUST_1791"/>
    <x v="23"/>
    <x v="2"/>
    <s v="Tuesday"/>
    <s v="No"/>
    <x v="9"/>
    <x v="9"/>
    <s v="NRW"/>
    <x v="4"/>
    <s v="Golf"/>
    <s v="Electric"/>
    <x v="2"/>
    <s v="26-35"/>
    <s v="Low"/>
    <x v="1"/>
    <x v="1"/>
    <s v="Sales_6"/>
    <n v="423"/>
    <n v="195"/>
    <n v="125"/>
    <n v="32"/>
    <s v="16.41"/>
    <n v="27798"/>
    <s v="11.09"/>
    <n v="25097"/>
    <n v="889536"/>
    <n v="86432"/>
    <s v="Feb"/>
    <n v="2"/>
    <n v="2026"/>
    <s v="Weekday"/>
    <n v="0.25600000000000001"/>
    <n v="0.46099290780141844"/>
    <n v="7.5650118203309691E-2"/>
    <n v="2701"/>
    <s v="Ruhr Auto Plaza"/>
  </r>
  <r>
    <s v="CUST_1792"/>
    <x v="10"/>
    <x v="1"/>
    <s v="Monday"/>
    <s v="No"/>
    <x v="3"/>
    <x v="3"/>
    <s v="Saxony"/>
    <x v="2"/>
    <s v="Q5"/>
    <s v="Hybrid"/>
    <x v="0"/>
    <s v="50+"/>
    <s v="Low"/>
    <x v="1"/>
    <x v="1"/>
    <s v="Sales_15"/>
    <n v="278"/>
    <n v="169"/>
    <n v="127"/>
    <n v="37"/>
    <s v="21.89"/>
    <n v="54022"/>
    <s v="5.05"/>
    <n v="43339"/>
    <n v="1998814"/>
    <n v="395271"/>
    <s v="Feb"/>
    <n v="2"/>
    <n v="2026"/>
    <s v="Weekday"/>
    <n v="0.29133858267716534"/>
    <n v="0.6079136690647482"/>
    <n v="0.13309352517985612"/>
    <n v="10683"/>
    <s v="Saxon Wheels"/>
  </r>
  <r>
    <s v="CUST_1793"/>
    <x v="24"/>
    <x v="1"/>
    <s v="Thursday"/>
    <s v="No"/>
    <x v="5"/>
    <x v="5"/>
    <s v="Hamburg"/>
    <x v="0"/>
    <s v="3 Series"/>
    <s v="Hybrid"/>
    <x v="1"/>
    <s v="50+"/>
    <s v="Medium"/>
    <x v="0"/>
    <x v="2"/>
    <s v="Sales_5"/>
    <n v="170"/>
    <n v="95"/>
    <n v="69"/>
    <n v="30"/>
    <s v="31.58"/>
    <n v="59157"/>
    <s v="2.38"/>
    <n v="44434"/>
    <n v="1774710"/>
    <n v="441690"/>
    <s v="Feb"/>
    <n v="2"/>
    <n v="2026"/>
    <s v="Weekday"/>
    <n v="0.43478260869565216"/>
    <n v="0.55882352941176472"/>
    <n v="0.17647058823529413"/>
    <n v="14723"/>
    <s v="Elbe Drive"/>
  </r>
  <r>
    <s v="CUST_1794"/>
    <x v="23"/>
    <x v="2"/>
    <s v="Tuesday"/>
    <s v="No"/>
    <x v="7"/>
    <x v="7"/>
    <s v="Bavaria"/>
    <x v="4"/>
    <s v="T-Roc"/>
    <s v="Electric"/>
    <x v="0"/>
    <s v="18-25"/>
    <s v="High"/>
    <x v="1"/>
    <x v="3"/>
    <s v="Sales_9"/>
    <n v="514"/>
    <n v="226"/>
    <n v="159"/>
    <n v="37"/>
    <s v="16.37"/>
    <n v="27504"/>
    <s v="8.24"/>
    <n v="23703"/>
    <n v="1017648"/>
    <n v="140637"/>
    <s v="Feb"/>
    <n v="2"/>
    <n v="2026"/>
    <s v="Weekday"/>
    <n v="0.23270440251572327"/>
    <n v="0.43968871595330739"/>
    <n v="7.1984435797665364E-2"/>
    <n v="3801"/>
    <s v="Bavaria Motors"/>
  </r>
  <r>
    <s v="CUST_1795"/>
    <x v="2"/>
    <x v="2"/>
    <s v="Monday"/>
    <s v="No"/>
    <x v="1"/>
    <x v="1"/>
    <s v="NRW"/>
    <x v="3"/>
    <s v="EQE"/>
    <s v="Hybrid"/>
    <x v="1"/>
    <s v="50+"/>
    <s v="Medium"/>
    <x v="0"/>
    <x v="2"/>
    <s v="Sales_10"/>
    <n v="148"/>
    <n v="85"/>
    <n v="60"/>
    <n v="25"/>
    <s v="29.41"/>
    <n v="52731"/>
    <s v="4.32"/>
    <n v="38285"/>
    <n v="1318275"/>
    <n v="361150"/>
    <s v="Feb"/>
    <n v="2"/>
    <n v="2026"/>
    <s v="Weekday"/>
    <n v="0.41666666666666669"/>
    <n v="0.57432432432432434"/>
    <n v="0.16891891891891891"/>
    <n v="14446"/>
    <s v="Rhein Auto Group"/>
  </r>
  <r>
    <s v="CUST_1796"/>
    <x v="21"/>
    <x v="0"/>
    <s v="Tuesday"/>
    <s v="No"/>
    <x v="9"/>
    <x v="9"/>
    <s v="NRW"/>
    <x v="1"/>
    <s v="Corsa"/>
    <s v="Diesel"/>
    <x v="2"/>
    <s v="50+"/>
    <s v="Low"/>
    <x v="0"/>
    <x v="2"/>
    <s v="Sales_20"/>
    <n v="310"/>
    <n v="157"/>
    <n v="106"/>
    <n v="24"/>
    <s v="15.29"/>
    <n v="23415"/>
    <s v="10.44"/>
    <n v="21481"/>
    <n v="561960"/>
    <n v="46416"/>
    <s v="Feb"/>
    <n v="2"/>
    <n v="2026"/>
    <s v="Weekday"/>
    <n v="0.22641509433962265"/>
    <n v="0.50645161290322582"/>
    <n v="7.7419354838709681E-2"/>
    <n v="1934"/>
    <s v="Ruhr Auto Plaza"/>
  </r>
  <r>
    <s v="CUST_1797"/>
    <x v="8"/>
    <x v="3"/>
    <s v="Wednesday"/>
    <s v="No"/>
    <x v="9"/>
    <x v="9"/>
    <s v="NRW"/>
    <x v="2"/>
    <s v="Q5"/>
    <s v="Diesel"/>
    <x v="0"/>
    <s v="50+"/>
    <s v="Medium"/>
    <x v="0"/>
    <x v="0"/>
    <s v="Sales_7"/>
    <n v="165"/>
    <n v="87"/>
    <n v="59"/>
    <n v="16"/>
    <s v="18.39"/>
    <n v="40569"/>
    <s v="6.7"/>
    <n v="32853"/>
    <n v="649104"/>
    <n v="123456"/>
    <s v="Feb"/>
    <n v="2"/>
    <n v="2026"/>
    <s v="Weekday"/>
    <n v="0.2711864406779661"/>
    <n v="0.52727272727272723"/>
    <n v="9.696969696969697E-2"/>
    <n v="7716"/>
    <s v="Ruhr Auto Plaza"/>
  </r>
  <r>
    <s v="CUST_1798"/>
    <x v="22"/>
    <x v="3"/>
    <s v="Tuesday"/>
    <s v="No"/>
    <x v="1"/>
    <x v="1"/>
    <s v="NRW"/>
    <x v="0"/>
    <s v="3 Series"/>
    <s v="Electric"/>
    <x v="1"/>
    <s v="36-50"/>
    <s v="High"/>
    <x v="0"/>
    <x v="0"/>
    <s v="Sales_6"/>
    <n v="224"/>
    <n v="125"/>
    <n v="89"/>
    <n v="32"/>
    <s v="25.6"/>
    <n v="52856"/>
    <s v="5.15"/>
    <n v="37401"/>
    <n v="1691392"/>
    <n v="494560"/>
    <s v="Feb"/>
    <n v="2"/>
    <n v="2026"/>
    <s v="Weekday"/>
    <n v="0.3595505617977528"/>
    <n v="0.5580357142857143"/>
    <n v="0.14285714285714285"/>
    <n v="15455"/>
    <s v="Rhein Auto Group"/>
  </r>
  <r>
    <s v="CUST_1799"/>
    <x v="3"/>
    <x v="1"/>
    <s v="Sunday"/>
    <s v="Yes"/>
    <x v="7"/>
    <x v="7"/>
    <s v="Bavaria"/>
    <x v="1"/>
    <s v="Corsa"/>
    <s v="Petrol"/>
    <x v="2"/>
    <s v="36-50"/>
    <s v="Low"/>
    <x v="1"/>
    <x v="3"/>
    <s v="Sales_1"/>
    <n v="411"/>
    <n v="198"/>
    <n v="134"/>
    <n v="34"/>
    <s v="17.17"/>
    <n v="25139"/>
    <s v="11.91"/>
    <n v="23133"/>
    <n v="854726"/>
    <n v="68204"/>
    <s v="Feb"/>
    <n v="2"/>
    <n v="2026"/>
    <s v="Weekend"/>
    <n v="0.2537313432835821"/>
    <n v="0.48175182481751827"/>
    <n v="8.2725060827250604E-2"/>
    <n v="2006"/>
    <s v="Bavaria Motors"/>
  </r>
  <r>
    <s v="CUST_1800"/>
    <x v="7"/>
    <x v="3"/>
    <s v="Monday"/>
    <s v="No"/>
    <x v="3"/>
    <x v="3"/>
    <s v="Saxony"/>
    <x v="1"/>
    <s v="Astra"/>
    <s v="Diesel"/>
    <x v="2"/>
    <s v="36-50"/>
    <s v="Low"/>
    <x v="1"/>
    <x v="0"/>
    <s v="Sales_3"/>
    <n v="421"/>
    <n v="161"/>
    <n v="103"/>
    <n v="24"/>
    <s v="14.91"/>
    <n v="21054"/>
    <s v="13.36"/>
    <n v="19416"/>
    <n v="505296"/>
    <n v="39312"/>
    <s v="Feb"/>
    <n v="2"/>
    <n v="2026"/>
    <s v="Weekday"/>
    <n v="0.23300970873786409"/>
    <n v="0.38242280285035629"/>
    <n v="5.7007125890736345E-2"/>
    <n v="1638"/>
    <s v="Saxon Wheels"/>
  </r>
  <r>
    <s v="CUST_1801"/>
    <x v="15"/>
    <x v="2"/>
    <s v="Thursday"/>
    <s v="No"/>
    <x v="3"/>
    <x v="3"/>
    <s v="Saxony"/>
    <x v="2"/>
    <s v="Q5"/>
    <s v="Electric"/>
    <x v="0"/>
    <s v="26-35"/>
    <s v="Low"/>
    <x v="0"/>
    <x v="1"/>
    <s v="Sales_3"/>
    <n v="178"/>
    <n v="97"/>
    <n v="73"/>
    <n v="22"/>
    <s v="22.68"/>
    <n v="42706"/>
    <s v="6.99"/>
    <n v="34191"/>
    <n v="939532"/>
    <n v="187330"/>
    <s v="Feb"/>
    <n v="2"/>
    <n v="2026"/>
    <s v="Weekday"/>
    <n v="0.30136986301369861"/>
    <n v="0.5449438202247191"/>
    <n v="0.12359550561797752"/>
    <n v="8515"/>
    <s v="Saxon Wheels"/>
  </r>
  <r>
    <s v="CUST_1802"/>
    <x v="27"/>
    <x v="3"/>
    <s v="Sunday"/>
    <s v="Yes"/>
    <x v="9"/>
    <x v="9"/>
    <s v="NRW"/>
    <x v="1"/>
    <s v="Crossland"/>
    <s v="Electric"/>
    <x v="0"/>
    <s v="36-50"/>
    <s v="Medium"/>
    <x v="0"/>
    <x v="3"/>
    <s v="Sales_13"/>
    <n v="404"/>
    <n v="166"/>
    <n v="97"/>
    <n v="22"/>
    <s v="13.25"/>
    <n v="27100"/>
    <s v="8.9"/>
    <n v="24690"/>
    <n v="596200"/>
    <n v="53020"/>
    <s v="Feb"/>
    <n v="2"/>
    <n v="2026"/>
    <s v="Weekend"/>
    <n v="0.22680412371134021"/>
    <n v="0.41089108910891087"/>
    <n v="5.4455445544554455E-2"/>
    <n v="2410"/>
    <s v="Ruhr Auto Plaza"/>
  </r>
  <r>
    <s v="CUST_1803"/>
    <x v="1"/>
    <x v="1"/>
    <s v="Wednesday"/>
    <s v="No"/>
    <x v="2"/>
    <x v="2"/>
    <s v="Lower Saxony"/>
    <x v="1"/>
    <s v="Grandland"/>
    <s v="Diesel"/>
    <x v="0"/>
    <s v="36-50"/>
    <s v="High"/>
    <x v="0"/>
    <x v="2"/>
    <s v="Sales_15"/>
    <n v="235"/>
    <n v="94"/>
    <n v="58"/>
    <n v="17"/>
    <s v="18.09"/>
    <n v="21316"/>
    <s v="11.1"/>
    <n v="19286"/>
    <n v="362372"/>
    <n v="34510"/>
    <s v="Feb"/>
    <n v="2"/>
    <n v="2026"/>
    <s v="Weekday"/>
    <n v="0.29310344827586204"/>
    <n v="0.4"/>
    <n v="7.2340425531914887E-2"/>
    <n v="2030"/>
    <s v="Hannover Cars"/>
  </r>
  <r>
    <s v="CUST_1804"/>
    <x v="19"/>
    <x v="1"/>
    <s v="Saturday"/>
    <s v="Yes"/>
    <x v="3"/>
    <x v="3"/>
    <s v="Saxony"/>
    <x v="1"/>
    <s v="Crossland"/>
    <s v="Electric"/>
    <x v="0"/>
    <s v="26-35"/>
    <s v="Low"/>
    <x v="0"/>
    <x v="0"/>
    <s v="Sales_17"/>
    <n v="273"/>
    <n v="137"/>
    <n v="77"/>
    <n v="16"/>
    <s v="11.68"/>
    <n v="21607"/>
    <s v="8.39"/>
    <n v="19326"/>
    <n v="345712"/>
    <n v="36496"/>
    <s v="Feb"/>
    <n v="2"/>
    <n v="2026"/>
    <s v="Weekend"/>
    <n v="0.20779220779220781"/>
    <n v="0.50183150183150182"/>
    <n v="5.8608058608058608E-2"/>
    <n v="2281"/>
    <s v="Saxon Wheels"/>
  </r>
  <r>
    <s v="CUST_1805"/>
    <x v="21"/>
    <x v="0"/>
    <s v="Tuesday"/>
    <s v="No"/>
    <x v="4"/>
    <x v="4"/>
    <s v="Berlin"/>
    <x v="4"/>
    <s v="Golf"/>
    <s v="Diesel"/>
    <x v="2"/>
    <s v="36-50"/>
    <s v="High"/>
    <x v="0"/>
    <x v="3"/>
    <s v="Sales_2"/>
    <n v="505"/>
    <n v="223"/>
    <n v="159"/>
    <n v="34"/>
    <s v="15.25"/>
    <n v="29940"/>
    <s v="10.24"/>
    <n v="27021"/>
    <n v="1017960"/>
    <n v="99246"/>
    <s v="Feb"/>
    <n v="2"/>
    <n v="2026"/>
    <s v="Weekday"/>
    <n v="0.21383647798742139"/>
    <n v="0.44158415841584159"/>
    <n v="6.7326732673267331E-2"/>
    <n v="2919"/>
    <s v="Autohaus Berlin"/>
  </r>
  <r>
    <s v="CUST_1806"/>
    <x v="17"/>
    <x v="2"/>
    <s v="Sunday"/>
    <s v="Yes"/>
    <x v="1"/>
    <x v="1"/>
    <s v="NRW"/>
    <x v="3"/>
    <s v="C-Class"/>
    <s v="Electric"/>
    <x v="1"/>
    <s v="36-50"/>
    <s v="Low"/>
    <x v="1"/>
    <x v="1"/>
    <s v="Sales_5"/>
    <n v="151"/>
    <n v="77"/>
    <n v="59"/>
    <n v="21"/>
    <s v="27.27"/>
    <n v="55112"/>
    <s v="2.95"/>
    <n v="41027"/>
    <n v="1157352"/>
    <n v="295785"/>
    <s v="Feb"/>
    <n v="2"/>
    <n v="2026"/>
    <s v="Weekend"/>
    <n v="0.3559322033898305"/>
    <n v="0.50993377483443714"/>
    <n v="0.13907284768211919"/>
    <n v="14085"/>
    <s v="Rhein Auto Group"/>
  </r>
  <r>
    <s v="CUST_1807"/>
    <x v="14"/>
    <x v="2"/>
    <s v="Friday"/>
    <s v="No"/>
    <x v="0"/>
    <x v="0"/>
    <s v="Hesse"/>
    <x v="3"/>
    <s v="C-Class"/>
    <s v="Hybrid"/>
    <x v="1"/>
    <s v="26-35"/>
    <s v="Medium"/>
    <x v="1"/>
    <x v="1"/>
    <s v="Sales_12"/>
    <n v="192"/>
    <n v="108"/>
    <n v="75"/>
    <n v="29"/>
    <s v="26.85"/>
    <n v="69517"/>
    <s v="3.52"/>
    <n v="52510"/>
    <n v="2015993"/>
    <n v="493203"/>
    <s v="Feb"/>
    <n v="2"/>
    <n v="2026"/>
    <s v="Weekday"/>
    <n v="0.38666666666666666"/>
    <n v="0.5625"/>
    <n v="0.15104166666666666"/>
    <n v="17007"/>
    <s v="Main Auto Hub"/>
  </r>
  <r>
    <s v="CUST_1808"/>
    <x v="24"/>
    <x v="1"/>
    <s v="Thursday"/>
    <s v="No"/>
    <x v="2"/>
    <x v="2"/>
    <s v="Lower Saxony"/>
    <x v="4"/>
    <s v="T-Roc"/>
    <s v="Hybrid"/>
    <x v="0"/>
    <s v="36-50"/>
    <s v="Medium"/>
    <x v="0"/>
    <x v="0"/>
    <s v="Sales_6"/>
    <n v="351"/>
    <n v="196"/>
    <n v="133"/>
    <n v="28"/>
    <s v="14.29"/>
    <n v="32690"/>
    <s v="8.37"/>
    <n v="28677"/>
    <n v="915320"/>
    <n v="112364"/>
    <s v="Feb"/>
    <n v="2"/>
    <n v="2026"/>
    <s v="Weekday"/>
    <n v="0.21052631578947367"/>
    <n v="0.55840455840455838"/>
    <n v="7.9772079772079771E-2"/>
    <n v="4013"/>
    <s v="Hannover Cars"/>
  </r>
  <r>
    <s v="CUST_1809"/>
    <x v="20"/>
    <x v="0"/>
    <s v="Thursday"/>
    <s v="No"/>
    <x v="8"/>
    <x v="8"/>
    <s v="Baden-WÃ¼rttemberg"/>
    <x v="0"/>
    <s v="X3"/>
    <s v="Hybrid"/>
    <x v="0"/>
    <s v="50+"/>
    <s v="High"/>
    <x v="0"/>
    <x v="0"/>
    <s v="Sales_18"/>
    <n v="250"/>
    <n v="151"/>
    <n v="114"/>
    <n v="41"/>
    <s v="27.15"/>
    <n v="57170"/>
    <s v="3.63"/>
    <n v="43881"/>
    <n v="2343970"/>
    <n v="544849"/>
    <s v="Feb"/>
    <n v="2"/>
    <n v="2026"/>
    <s v="Weekday"/>
    <n v="0.35964912280701755"/>
    <n v="0.60399999999999998"/>
    <n v="0.16400000000000001"/>
    <n v="13289"/>
    <s v="Stuttgart Auto Center"/>
  </r>
  <r>
    <s v="CUST_1810"/>
    <x v="19"/>
    <x v="1"/>
    <s v="Saturday"/>
    <s v="Yes"/>
    <x v="6"/>
    <x v="6"/>
    <s v="Saxony"/>
    <x v="1"/>
    <s v="Grandland"/>
    <s v="Hybrid"/>
    <x v="0"/>
    <s v="18-25"/>
    <s v="Low"/>
    <x v="1"/>
    <x v="1"/>
    <s v="Sales_4"/>
    <n v="366"/>
    <n v="156"/>
    <n v="103"/>
    <n v="22"/>
    <s v="14.1"/>
    <n v="24553"/>
    <s v="11.32"/>
    <n v="21877"/>
    <n v="540166"/>
    <n v="58872"/>
    <s v="Feb"/>
    <n v="2"/>
    <n v="2026"/>
    <s v="Weekend"/>
    <n v="0.21359223300970873"/>
    <n v="0.42622950819672129"/>
    <n v="6.0109289617486336E-2"/>
    <n v="2676"/>
    <s v="Leipzig Mobility"/>
  </r>
  <r>
    <s v="CUST_1811"/>
    <x v="10"/>
    <x v="1"/>
    <s v="Monday"/>
    <s v="No"/>
    <x v="9"/>
    <x v="9"/>
    <s v="NRW"/>
    <x v="4"/>
    <s v="Tiguan"/>
    <s v="Petrol"/>
    <x v="0"/>
    <s v="36-50"/>
    <s v="Medium"/>
    <x v="1"/>
    <x v="3"/>
    <s v="Sales_16"/>
    <n v="435"/>
    <n v="180"/>
    <n v="108"/>
    <n v="23"/>
    <s v="12.78"/>
    <n v="31362"/>
    <s v="10.18"/>
    <n v="27940"/>
    <n v="721326"/>
    <n v="78706"/>
    <s v="Feb"/>
    <n v="2"/>
    <n v="2026"/>
    <s v="Weekday"/>
    <n v="0.21296296296296297"/>
    <n v="0.41379310344827586"/>
    <n v="5.2873563218390804E-2"/>
    <n v="3422"/>
    <s v="Ruhr Auto Plaza"/>
  </r>
  <r>
    <s v="CUST_1812"/>
    <x v="6"/>
    <x v="2"/>
    <s v="Saturday"/>
    <s v="Yes"/>
    <x v="9"/>
    <x v="9"/>
    <s v="NRW"/>
    <x v="0"/>
    <s v="3 Series"/>
    <s v="Electric"/>
    <x v="1"/>
    <s v="50+"/>
    <s v="Medium"/>
    <x v="1"/>
    <x v="2"/>
    <s v="Sales_4"/>
    <n v="148"/>
    <n v="84"/>
    <n v="65"/>
    <n v="25"/>
    <s v="29.76"/>
    <n v="53835"/>
    <s v="5.64"/>
    <n v="39400"/>
    <n v="1345875"/>
    <n v="360875"/>
    <s v="Feb"/>
    <n v="2"/>
    <n v="2026"/>
    <s v="Weekend"/>
    <n v="0.38461538461538464"/>
    <n v="0.56756756756756754"/>
    <n v="0.16891891891891891"/>
    <n v="14435"/>
    <s v="Ruhr Auto Plaza"/>
  </r>
  <r>
    <s v="CUST_1813"/>
    <x v="23"/>
    <x v="2"/>
    <s v="Tuesday"/>
    <s v="No"/>
    <x v="3"/>
    <x v="3"/>
    <s v="Saxony"/>
    <x v="3"/>
    <s v="E-Class"/>
    <s v="Petrol"/>
    <x v="1"/>
    <s v="50+"/>
    <s v="High"/>
    <x v="0"/>
    <x v="1"/>
    <s v="Sales_17"/>
    <n v="234"/>
    <n v="133"/>
    <n v="89"/>
    <n v="31"/>
    <s v="23.31"/>
    <n v="72902"/>
    <s v="2.07"/>
    <n v="55028"/>
    <n v="2259962"/>
    <n v="554094"/>
    <s v="Feb"/>
    <n v="2"/>
    <n v="2026"/>
    <s v="Weekday"/>
    <n v="0.34831460674157305"/>
    <n v="0.56837606837606836"/>
    <n v="0.13247863247863248"/>
    <n v="17874"/>
    <s v="Saxon Wheels"/>
  </r>
  <r>
    <s v="CUST_1814"/>
    <x v="15"/>
    <x v="2"/>
    <s v="Thursday"/>
    <s v="No"/>
    <x v="4"/>
    <x v="4"/>
    <s v="Berlin"/>
    <x v="1"/>
    <s v="Grandland"/>
    <s v="Hybrid"/>
    <x v="0"/>
    <s v="26-35"/>
    <s v="Medium"/>
    <x v="0"/>
    <x v="1"/>
    <s v="Sales_2"/>
    <n v="402"/>
    <n v="224"/>
    <n v="133"/>
    <n v="39"/>
    <s v="17.41"/>
    <n v="21889"/>
    <s v="8.12"/>
    <n v="20039"/>
    <n v="853671"/>
    <n v="72150"/>
    <s v="Feb"/>
    <n v="2"/>
    <n v="2026"/>
    <s v="Weekday"/>
    <n v="0.2932330827067669"/>
    <n v="0.55721393034825872"/>
    <n v="9.7014925373134331E-2"/>
    <n v="1850"/>
    <s v="Autohaus Berlin"/>
  </r>
  <r>
    <s v="CUST_1815"/>
    <x v="18"/>
    <x v="0"/>
    <s v="Saturday"/>
    <s v="Yes"/>
    <x v="0"/>
    <x v="0"/>
    <s v="Hesse"/>
    <x v="0"/>
    <s v="i4"/>
    <s v="Electric"/>
    <x v="1"/>
    <s v="18-25"/>
    <s v="Low"/>
    <x v="0"/>
    <x v="0"/>
    <s v="Sales_12"/>
    <n v="154"/>
    <n v="88"/>
    <n v="69"/>
    <n v="23"/>
    <s v="26.14"/>
    <n v="63859"/>
    <s v="3.82"/>
    <n v="47997"/>
    <n v="1468757"/>
    <n v="364826"/>
    <s v="Feb"/>
    <n v="2"/>
    <n v="2026"/>
    <s v="Weekend"/>
    <n v="0.33333333333333331"/>
    <n v="0.5714285714285714"/>
    <n v="0.14935064935064934"/>
    <n v="15862"/>
    <s v="Main Auto Hub"/>
  </r>
  <r>
    <s v="CUST_1816"/>
    <x v="26"/>
    <x v="1"/>
    <s v="Friday"/>
    <s v="No"/>
    <x v="0"/>
    <x v="0"/>
    <s v="Hesse"/>
    <x v="4"/>
    <s v="Golf"/>
    <s v="Electric"/>
    <x v="2"/>
    <s v="18-25"/>
    <s v="Low"/>
    <x v="1"/>
    <x v="2"/>
    <s v="Sales_10"/>
    <n v="399"/>
    <n v="208"/>
    <n v="132"/>
    <n v="38"/>
    <s v="18.27"/>
    <n v="27928"/>
    <s v="6.72"/>
    <n v="24391"/>
    <n v="1061264"/>
    <n v="134406"/>
    <s v="Feb"/>
    <n v="2"/>
    <n v="2026"/>
    <s v="Weekday"/>
    <n v="0.2878787878787879"/>
    <n v="0.52130325814536338"/>
    <n v="9.5238095238095233E-2"/>
    <n v="3537"/>
    <s v="Main Auto Hub"/>
  </r>
  <r>
    <s v="CUST_1817"/>
    <x v="14"/>
    <x v="2"/>
    <s v="Friday"/>
    <s v="No"/>
    <x v="2"/>
    <x v="2"/>
    <s v="Lower Saxony"/>
    <x v="2"/>
    <s v="e-tron"/>
    <s v="Diesel"/>
    <x v="0"/>
    <s v="36-50"/>
    <s v="High"/>
    <x v="0"/>
    <x v="3"/>
    <s v="Sales_7"/>
    <n v="320"/>
    <n v="154"/>
    <n v="116"/>
    <n v="33"/>
    <s v="21.43"/>
    <n v="53881"/>
    <s v="3.03"/>
    <n v="40672"/>
    <n v="1778073"/>
    <n v="435897"/>
    <s v="Feb"/>
    <n v="2"/>
    <n v="2026"/>
    <s v="Weekday"/>
    <n v="0.28448275862068967"/>
    <n v="0.48125000000000001"/>
    <n v="0.10312499999999999"/>
    <n v="13209"/>
    <s v="Hannover Cars"/>
  </r>
  <r>
    <s v="CUST_1818"/>
    <x v="22"/>
    <x v="3"/>
    <s v="Tuesday"/>
    <s v="No"/>
    <x v="1"/>
    <x v="1"/>
    <s v="NRW"/>
    <x v="2"/>
    <s v="e-tron"/>
    <s v="Diesel"/>
    <x v="0"/>
    <s v="36-50"/>
    <s v="Medium"/>
    <x v="1"/>
    <x v="2"/>
    <s v="Sales_18"/>
    <n v="225"/>
    <n v="116"/>
    <n v="84"/>
    <n v="29"/>
    <s v="25.0"/>
    <n v="49082"/>
    <s v="5.64"/>
    <n v="37458"/>
    <n v="1423378"/>
    <n v="337096"/>
    <s v="Feb"/>
    <n v="2"/>
    <n v="2026"/>
    <s v="Weekday"/>
    <n v="0.34523809523809523"/>
    <n v="0.51555555555555554"/>
    <n v="0.12888888888888889"/>
    <n v="11624"/>
    <s v="Rhein Auto Group"/>
  </r>
  <r>
    <s v="CUST_1819"/>
    <x v="21"/>
    <x v="0"/>
    <s v="Tuesday"/>
    <s v="No"/>
    <x v="8"/>
    <x v="8"/>
    <s v="Baden-WÃ¼rttemberg"/>
    <x v="2"/>
    <s v="Q3"/>
    <s v="Electric"/>
    <x v="0"/>
    <s v="18-25"/>
    <s v="Medium"/>
    <x v="1"/>
    <x v="2"/>
    <s v="Sales_14"/>
    <n v="285"/>
    <n v="159"/>
    <n v="106"/>
    <n v="38"/>
    <s v="23.9"/>
    <n v="45763"/>
    <s v="3.56"/>
    <n v="34673"/>
    <n v="1738994"/>
    <n v="421420"/>
    <s v="Feb"/>
    <n v="2"/>
    <n v="2026"/>
    <s v="Weekday"/>
    <n v="0.35849056603773582"/>
    <n v="0.55789473684210522"/>
    <n v="0.13333333333333333"/>
    <n v="11090"/>
    <s v="Stuttgart Auto Center"/>
  </r>
  <r>
    <s v="CUST_1820"/>
    <x v="12"/>
    <x v="3"/>
    <s v="Thursday"/>
    <s v="No"/>
    <x v="0"/>
    <x v="0"/>
    <s v="Hesse"/>
    <x v="4"/>
    <s v="Tiguan"/>
    <s v="Hybrid"/>
    <x v="0"/>
    <s v="18-25"/>
    <s v="High"/>
    <x v="1"/>
    <x v="0"/>
    <s v="Sales_8"/>
    <n v="519"/>
    <n v="267"/>
    <n v="164"/>
    <n v="36"/>
    <s v="13.48"/>
    <n v="29772"/>
    <s v="9.95"/>
    <n v="25695"/>
    <n v="1071792"/>
    <n v="146772"/>
    <s v="Feb"/>
    <n v="2"/>
    <n v="2026"/>
    <s v="Weekday"/>
    <n v="0.21951219512195122"/>
    <n v="0.51445086705202314"/>
    <n v="6.9364161849710976E-2"/>
    <n v="4077"/>
    <s v="Main Auto Hub"/>
  </r>
  <r>
    <s v="CUST_1821"/>
    <x v="9"/>
    <x v="0"/>
    <s v="Sunday"/>
    <s v="Yes"/>
    <x v="6"/>
    <x v="6"/>
    <s v="Saxony"/>
    <x v="2"/>
    <s v="Q5"/>
    <s v="Electric"/>
    <x v="0"/>
    <s v="26-35"/>
    <s v="High"/>
    <x v="0"/>
    <x v="2"/>
    <s v="Sales_1"/>
    <n v="247"/>
    <n v="152"/>
    <n v="106"/>
    <n v="41"/>
    <s v="26.97"/>
    <n v="48213"/>
    <s v="4.63"/>
    <n v="37150"/>
    <n v="1976733"/>
    <n v="453583"/>
    <s v="Feb"/>
    <n v="2"/>
    <n v="2026"/>
    <s v="Weekend"/>
    <n v="0.3867924528301887"/>
    <n v="0.61538461538461542"/>
    <n v="0.16599190283400811"/>
    <n v="11063"/>
    <s v="Leipzig Mobility"/>
  </r>
  <r>
    <s v="CUST_1822"/>
    <x v="10"/>
    <x v="1"/>
    <s v="Monday"/>
    <s v="No"/>
    <x v="4"/>
    <x v="4"/>
    <s v="Berlin"/>
    <x v="4"/>
    <s v="Golf"/>
    <s v="Petrol"/>
    <x v="2"/>
    <s v="50+"/>
    <s v="Medium"/>
    <x v="0"/>
    <x v="1"/>
    <s v="Sales_16"/>
    <n v="484"/>
    <n v="246"/>
    <n v="150"/>
    <n v="50"/>
    <s v="20.33"/>
    <n v="28836"/>
    <s v="11.47"/>
    <n v="25128"/>
    <n v="1441800"/>
    <n v="185400"/>
    <s v="Feb"/>
    <n v="2"/>
    <n v="2026"/>
    <s v="Weekday"/>
    <n v="0.33333333333333331"/>
    <n v="0.50826446280991733"/>
    <n v="0.10330578512396695"/>
    <n v="3708"/>
    <s v="Autohaus Berlin"/>
  </r>
  <r>
    <s v="CUST_1823"/>
    <x v="19"/>
    <x v="1"/>
    <s v="Saturday"/>
    <s v="Yes"/>
    <x v="8"/>
    <x v="8"/>
    <s v="Baden-WÃ¼rttemberg"/>
    <x v="1"/>
    <s v="Corsa"/>
    <s v="Diesel"/>
    <x v="2"/>
    <s v="36-50"/>
    <s v="Medium"/>
    <x v="0"/>
    <x v="1"/>
    <s v="Sales_4"/>
    <n v="351"/>
    <n v="162"/>
    <n v="101"/>
    <n v="28"/>
    <s v="17.28"/>
    <n v="23412"/>
    <s v="13.15"/>
    <n v="21310"/>
    <n v="655536"/>
    <n v="58856"/>
    <s v="Feb"/>
    <n v="2"/>
    <n v="2026"/>
    <s v="Weekend"/>
    <n v="0.27722772277227725"/>
    <n v="0.46153846153846156"/>
    <n v="7.9772079772079771E-2"/>
    <n v="2102"/>
    <s v="Stuttgart Auto Center"/>
  </r>
  <r>
    <s v="CUST_1824"/>
    <x v="17"/>
    <x v="2"/>
    <s v="Sunday"/>
    <s v="Yes"/>
    <x v="0"/>
    <x v="0"/>
    <s v="Hesse"/>
    <x v="2"/>
    <s v="e-tron"/>
    <s v="Petrol"/>
    <x v="0"/>
    <s v="50+"/>
    <s v="Medium"/>
    <x v="1"/>
    <x v="1"/>
    <s v="Sales_10"/>
    <n v="160"/>
    <n v="94"/>
    <n v="65"/>
    <n v="22"/>
    <s v="23.4"/>
    <n v="40260"/>
    <s v="4.87"/>
    <n v="30704"/>
    <n v="885720"/>
    <n v="210232"/>
    <s v="Feb"/>
    <n v="2"/>
    <n v="2026"/>
    <s v="Weekend"/>
    <n v="0.33846153846153848"/>
    <n v="0.58750000000000002"/>
    <n v="0.13750000000000001"/>
    <n v="9556"/>
    <s v="Main Auto Hub"/>
  </r>
  <r>
    <s v="CUST_1825"/>
    <x v="1"/>
    <x v="1"/>
    <s v="Wednesday"/>
    <s v="No"/>
    <x v="5"/>
    <x v="5"/>
    <s v="Hamburg"/>
    <x v="3"/>
    <s v="GLC"/>
    <s v="Petrol"/>
    <x v="0"/>
    <s v="36-50"/>
    <s v="High"/>
    <x v="0"/>
    <x v="0"/>
    <s v="Sales_5"/>
    <n v="237"/>
    <n v="120"/>
    <n v="93"/>
    <n v="30"/>
    <s v="25.0"/>
    <n v="67017"/>
    <s v="2.56"/>
    <n v="49978"/>
    <n v="2010510"/>
    <n v="511170"/>
    <s v="Feb"/>
    <n v="2"/>
    <n v="2026"/>
    <s v="Weekday"/>
    <n v="0.32258064516129031"/>
    <n v="0.50632911392405067"/>
    <n v="0.12658227848101267"/>
    <n v="17039"/>
    <s v="Elbe Drive"/>
  </r>
  <r>
    <s v="CUST_1826"/>
    <x v="4"/>
    <x v="2"/>
    <s v="Wednesday"/>
    <s v="No"/>
    <x v="3"/>
    <x v="3"/>
    <s v="Saxony"/>
    <x v="3"/>
    <s v="E-Class"/>
    <s v="Hybrid"/>
    <x v="1"/>
    <s v="50+"/>
    <s v="High"/>
    <x v="1"/>
    <x v="1"/>
    <s v="Sales_13"/>
    <n v="234"/>
    <n v="110"/>
    <n v="82"/>
    <n v="27"/>
    <s v="24.55"/>
    <n v="55490"/>
    <s v="3.7"/>
    <n v="42262"/>
    <n v="1498230"/>
    <n v="357156"/>
    <s v="Feb"/>
    <n v="2"/>
    <n v="2026"/>
    <s v="Weekday"/>
    <n v="0.32926829268292684"/>
    <n v="0.47008547008547008"/>
    <n v="0.11538461538461539"/>
    <n v="13228"/>
    <s v="Saxon Wheels"/>
  </r>
  <r>
    <s v="CUST_1827"/>
    <x v="23"/>
    <x v="2"/>
    <s v="Tuesday"/>
    <s v="No"/>
    <x v="8"/>
    <x v="8"/>
    <s v="Baden-WÃ¼rttemberg"/>
    <x v="2"/>
    <s v="A3"/>
    <s v="Electric"/>
    <x v="2"/>
    <s v="36-50"/>
    <s v="High"/>
    <x v="1"/>
    <x v="1"/>
    <s v="Sales_10"/>
    <n v="217"/>
    <n v="103"/>
    <n v="73"/>
    <n v="27"/>
    <s v="26.21"/>
    <n v="47564"/>
    <s v="3.03"/>
    <n v="36964"/>
    <n v="1284228"/>
    <n v="286200"/>
    <s v="Feb"/>
    <n v="2"/>
    <n v="2026"/>
    <s v="Weekday"/>
    <n v="0.36986301369863012"/>
    <n v="0.47465437788018433"/>
    <n v="0.12442396313364056"/>
    <n v="10600"/>
    <s v="Stuttgart Auto Center"/>
  </r>
  <r>
    <s v="CUST_1828"/>
    <x v="24"/>
    <x v="1"/>
    <s v="Thursday"/>
    <s v="No"/>
    <x v="5"/>
    <x v="5"/>
    <s v="Hamburg"/>
    <x v="1"/>
    <s v="Corsa"/>
    <s v="Electric"/>
    <x v="2"/>
    <s v="36-50"/>
    <s v="High"/>
    <x v="1"/>
    <x v="3"/>
    <s v="Sales_16"/>
    <n v="340"/>
    <n v="186"/>
    <n v="107"/>
    <n v="33"/>
    <s v="17.74"/>
    <n v="22771"/>
    <s v="11.47"/>
    <n v="20285"/>
    <n v="751443"/>
    <n v="82038"/>
    <s v="Feb"/>
    <n v="2"/>
    <n v="2026"/>
    <s v="Weekday"/>
    <n v="0.30841121495327101"/>
    <n v="0.54705882352941182"/>
    <n v="9.7058823529411767E-2"/>
    <n v="2486"/>
    <s v="Elbe Drive"/>
  </r>
  <r>
    <s v="CUST_1829"/>
    <x v="25"/>
    <x v="3"/>
    <s v="Friday"/>
    <s v="No"/>
    <x v="1"/>
    <x v="1"/>
    <s v="NRW"/>
    <x v="2"/>
    <s v="A3"/>
    <s v="Petrol"/>
    <x v="2"/>
    <s v="26-35"/>
    <s v="Low"/>
    <x v="1"/>
    <x v="0"/>
    <s v="Sales_17"/>
    <n v="278"/>
    <n v="128"/>
    <n v="91"/>
    <n v="28"/>
    <s v="21.88"/>
    <n v="43534"/>
    <s v="5.71"/>
    <n v="34843"/>
    <n v="1218952"/>
    <n v="243348"/>
    <s v="Feb"/>
    <n v="2"/>
    <n v="2026"/>
    <s v="Weekday"/>
    <n v="0.30769230769230771"/>
    <n v="0.46043165467625902"/>
    <n v="0.10071942446043165"/>
    <n v="8691"/>
    <s v="Rhein Auto Group"/>
  </r>
  <r>
    <s v="CUST_1830"/>
    <x v="4"/>
    <x v="2"/>
    <s v="Wednesday"/>
    <s v="No"/>
    <x v="5"/>
    <x v="5"/>
    <s v="Hamburg"/>
    <x v="2"/>
    <s v="Q3"/>
    <s v="Diesel"/>
    <x v="0"/>
    <s v="26-35"/>
    <s v="High"/>
    <x v="1"/>
    <x v="3"/>
    <s v="Sales_15"/>
    <n v="236"/>
    <n v="115"/>
    <n v="89"/>
    <n v="25"/>
    <s v="21.74"/>
    <n v="41547"/>
    <s v="6.85"/>
    <n v="34051"/>
    <n v="1038675"/>
    <n v="187400"/>
    <s v="Feb"/>
    <n v="2"/>
    <n v="2026"/>
    <s v="Weekday"/>
    <n v="0.2808988764044944"/>
    <n v="0.48728813559322032"/>
    <n v="0.1059322033898305"/>
    <n v="7496"/>
    <s v="Elbe Drive"/>
  </r>
  <r>
    <s v="CUST_1831"/>
    <x v="15"/>
    <x v="2"/>
    <s v="Thursday"/>
    <s v="No"/>
    <x v="5"/>
    <x v="5"/>
    <s v="Hamburg"/>
    <x v="0"/>
    <s v="X5"/>
    <s v="Diesel"/>
    <x v="0"/>
    <s v="18-25"/>
    <s v="High"/>
    <x v="1"/>
    <x v="0"/>
    <s v="Sales_2"/>
    <n v="152"/>
    <n v="80"/>
    <n v="57"/>
    <n v="20"/>
    <s v="25.0"/>
    <n v="63205"/>
    <s v="2.76"/>
    <n v="48709"/>
    <n v="1264100"/>
    <n v="289920"/>
    <s v="Feb"/>
    <n v="2"/>
    <n v="2026"/>
    <s v="Weekday"/>
    <n v="0.35087719298245612"/>
    <n v="0.52631578947368418"/>
    <n v="0.13157894736842105"/>
    <n v="14496"/>
    <s v="Elbe Drive"/>
  </r>
  <r>
    <s v="CUST_1832"/>
    <x v="12"/>
    <x v="3"/>
    <s v="Thursday"/>
    <s v="No"/>
    <x v="3"/>
    <x v="3"/>
    <s v="Saxony"/>
    <x v="0"/>
    <s v="3 Series"/>
    <s v="Petrol"/>
    <x v="1"/>
    <s v="50+"/>
    <s v="High"/>
    <x v="1"/>
    <x v="1"/>
    <s v="Sales_18"/>
    <n v="197"/>
    <n v="97"/>
    <n v="77"/>
    <n v="25"/>
    <s v="25.77"/>
    <n v="66746"/>
    <s v="6.0"/>
    <n v="47894"/>
    <n v="1668650"/>
    <n v="471300"/>
    <s v="Feb"/>
    <n v="2"/>
    <n v="2026"/>
    <s v="Weekday"/>
    <n v="0.32467532467532467"/>
    <n v="0.49238578680203043"/>
    <n v="0.12690355329949238"/>
    <n v="18852"/>
    <s v="Saxon Wheels"/>
  </r>
  <r>
    <s v="CUST_1833"/>
    <x v="17"/>
    <x v="2"/>
    <s v="Sunday"/>
    <s v="Yes"/>
    <x v="2"/>
    <x v="2"/>
    <s v="Lower Saxony"/>
    <x v="4"/>
    <s v="ID.4"/>
    <s v="Hybrid"/>
    <x v="0"/>
    <s v="50+"/>
    <s v="Low"/>
    <x v="1"/>
    <x v="1"/>
    <s v="Sales_12"/>
    <n v="472"/>
    <n v="195"/>
    <n v="119"/>
    <n v="30"/>
    <s v="15.38"/>
    <n v="31985"/>
    <s v="8.66"/>
    <n v="28779"/>
    <n v="959550"/>
    <n v="96180"/>
    <s v="Feb"/>
    <n v="2"/>
    <n v="2026"/>
    <s v="Weekend"/>
    <n v="0.25210084033613445"/>
    <n v="0.41313559322033899"/>
    <n v="6.3559322033898302E-2"/>
    <n v="3206"/>
    <s v="Hannover Cars"/>
  </r>
  <r>
    <s v="CUST_1834"/>
    <x v="23"/>
    <x v="2"/>
    <s v="Tuesday"/>
    <s v="No"/>
    <x v="5"/>
    <x v="5"/>
    <s v="Hamburg"/>
    <x v="4"/>
    <s v="Golf"/>
    <s v="Diesel"/>
    <x v="2"/>
    <s v="50+"/>
    <s v="Low"/>
    <x v="0"/>
    <x v="3"/>
    <s v="Sales_15"/>
    <n v="430"/>
    <n v="175"/>
    <n v="115"/>
    <n v="31"/>
    <s v="17.71"/>
    <n v="25780"/>
    <s v="11.17"/>
    <n v="23264"/>
    <n v="799180"/>
    <n v="77996"/>
    <s v="Feb"/>
    <n v="2"/>
    <n v="2026"/>
    <s v="Weekday"/>
    <n v="0.26956521739130435"/>
    <n v="0.40697674418604651"/>
    <n v="7.2093023255813959E-2"/>
    <n v="2516"/>
    <s v="Elbe Drive"/>
  </r>
  <r>
    <s v="CUST_1835"/>
    <x v="19"/>
    <x v="1"/>
    <s v="Saturday"/>
    <s v="Yes"/>
    <x v="2"/>
    <x v="2"/>
    <s v="Lower Saxony"/>
    <x v="2"/>
    <s v="Q5"/>
    <s v="Hybrid"/>
    <x v="0"/>
    <s v="36-50"/>
    <s v="Medium"/>
    <x v="1"/>
    <x v="0"/>
    <s v="Sales_2"/>
    <n v="285"/>
    <n v="163"/>
    <n v="125"/>
    <n v="31"/>
    <s v="19.02"/>
    <n v="49811"/>
    <s v="4.09"/>
    <n v="38620"/>
    <n v="1544141"/>
    <n v="346921"/>
    <s v="Feb"/>
    <n v="2"/>
    <n v="2026"/>
    <s v="Weekend"/>
    <n v="0.248"/>
    <n v="0.57192982456140351"/>
    <n v="0.10877192982456141"/>
    <n v="11191"/>
    <s v="Hannover Cars"/>
  </r>
  <r>
    <s v="CUST_1836"/>
    <x v="21"/>
    <x v="0"/>
    <s v="Tuesday"/>
    <s v="No"/>
    <x v="6"/>
    <x v="6"/>
    <s v="Saxony"/>
    <x v="2"/>
    <s v="Q5"/>
    <s v="Diesel"/>
    <x v="0"/>
    <s v="50+"/>
    <s v="Medium"/>
    <x v="0"/>
    <x v="0"/>
    <s v="Sales_3"/>
    <n v="191"/>
    <n v="94"/>
    <n v="69"/>
    <n v="20"/>
    <s v="21.28"/>
    <n v="55437"/>
    <s v="3.43"/>
    <n v="43985"/>
    <n v="1108740"/>
    <n v="229040"/>
    <s v="Feb"/>
    <n v="2"/>
    <n v="2026"/>
    <s v="Weekday"/>
    <n v="0.28985507246376813"/>
    <n v="0.49214659685863876"/>
    <n v="0.10471204188481675"/>
    <n v="11452"/>
    <s v="Leipzig Mobility"/>
  </r>
  <r>
    <s v="CUST_1837"/>
    <x v="4"/>
    <x v="2"/>
    <s v="Wednesday"/>
    <s v="No"/>
    <x v="8"/>
    <x v="8"/>
    <s v="Baden-WÃ¼rttemberg"/>
    <x v="2"/>
    <s v="A4"/>
    <s v="Hybrid"/>
    <x v="1"/>
    <s v="18-25"/>
    <s v="Medium"/>
    <x v="1"/>
    <x v="1"/>
    <s v="Sales_8"/>
    <n v="223"/>
    <n v="114"/>
    <n v="87"/>
    <n v="27"/>
    <s v="23.68"/>
    <n v="51337"/>
    <s v="5.73"/>
    <n v="39602"/>
    <n v="1386099"/>
    <n v="316845"/>
    <s v="Feb"/>
    <n v="2"/>
    <n v="2026"/>
    <s v="Weekday"/>
    <n v="0.31034482758620691"/>
    <n v="0.5112107623318386"/>
    <n v="0.1210762331838565"/>
    <n v="11735"/>
    <s v="Stuttgart Auto Center"/>
  </r>
  <r>
    <s v="CUST_1838"/>
    <x v="22"/>
    <x v="3"/>
    <s v="Tuesday"/>
    <s v="No"/>
    <x v="4"/>
    <x v="4"/>
    <s v="Berlin"/>
    <x v="2"/>
    <s v="e-tron"/>
    <s v="Hybrid"/>
    <x v="0"/>
    <s v="26-35"/>
    <s v="Low"/>
    <x v="1"/>
    <x v="1"/>
    <s v="Sales_20"/>
    <n v="205"/>
    <n v="107"/>
    <n v="82"/>
    <n v="24"/>
    <s v="22.43"/>
    <n v="50574"/>
    <s v="5.83"/>
    <n v="40732"/>
    <n v="1213776"/>
    <n v="236208"/>
    <s v="Feb"/>
    <n v="2"/>
    <n v="2026"/>
    <s v="Weekday"/>
    <n v="0.29268292682926828"/>
    <n v="0.52195121951219514"/>
    <n v="0.11707317073170732"/>
    <n v="9842"/>
    <s v="Autohaus Berlin"/>
  </r>
  <r>
    <s v="CUST_1839"/>
    <x v="15"/>
    <x v="2"/>
    <s v="Thursday"/>
    <s v="No"/>
    <x v="9"/>
    <x v="9"/>
    <s v="NRW"/>
    <x v="1"/>
    <s v="Crossland"/>
    <s v="Electric"/>
    <x v="0"/>
    <s v="18-25"/>
    <s v="Low"/>
    <x v="1"/>
    <x v="1"/>
    <s v="Sales_8"/>
    <n v="420"/>
    <n v="204"/>
    <n v="118"/>
    <n v="31"/>
    <s v="15.2"/>
    <n v="26209"/>
    <s v="7.42"/>
    <n v="23828"/>
    <n v="812479"/>
    <n v="73811"/>
    <s v="Feb"/>
    <n v="2"/>
    <n v="2026"/>
    <s v="Weekday"/>
    <n v="0.26271186440677968"/>
    <n v="0.48571428571428571"/>
    <n v="7.3809523809523811E-2"/>
    <n v="2381"/>
    <s v="Ruhr Auto Plaza"/>
  </r>
  <r>
    <s v="CUST_1840"/>
    <x v="3"/>
    <x v="1"/>
    <s v="Sunday"/>
    <s v="Yes"/>
    <x v="0"/>
    <x v="0"/>
    <s v="Hesse"/>
    <x v="0"/>
    <s v="X3"/>
    <s v="Hybrid"/>
    <x v="0"/>
    <s v="50+"/>
    <s v="Low"/>
    <x v="0"/>
    <x v="0"/>
    <s v="Sales_6"/>
    <n v="258"/>
    <n v="151"/>
    <n v="108"/>
    <n v="41"/>
    <s v="27.15"/>
    <n v="60869"/>
    <s v="3.89"/>
    <n v="46851"/>
    <n v="2495629"/>
    <n v="574738"/>
    <s v="Feb"/>
    <n v="2"/>
    <n v="2026"/>
    <s v="Weekend"/>
    <n v="0.37962962962962965"/>
    <n v="0.5852713178294574"/>
    <n v="0.15891472868217055"/>
    <n v="14018"/>
    <s v="Main Auto Hub"/>
  </r>
  <r>
    <s v="CUST_1841"/>
    <x v="24"/>
    <x v="1"/>
    <s v="Thursday"/>
    <s v="No"/>
    <x v="8"/>
    <x v="8"/>
    <s v="Baden-WÃ¼rttemberg"/>
    <x v="3"/>
    <s v="E-Class"/>
    <s v="Hybrid"/>
    <x v="1"/>
    <s v="26-35"/>
    <s v="High"/>
    <x v="1"/>
    <x v="1"/>
    <s v="Sales_9"/>
    <n v="148"/>
    <n v="74"/>
    <n v="57"/>
    <n v="19"/>
    <s v="25.68"/>
    <n v="62276"/>
    <s v="4.15"/>
    <n v="46699"/>
    <n v="1183244"/>
    <n v="295963"/>
    <s v="Feb"/>
    <n v="2"/>
    <n v="2026"/>
    <s v="Weekday"/>
    <n v="0.33333333333333331"/>
    <n v="0.5"/>
    <n v="0.12837837837837837"/>
    <n v="15577"/>
    <s v="Stuttgart Auto Center"/>
  </r>
  <r>
    <s v="CUST_1842"/>
    <x v="18"/>
    <x v="0"/>
    <s v="Saturday"/>
    <s v="Yes"/>
    <x v="4"/>
    <x v="4"/>
    <s v="Berlin"/>
    <x v="4"/>
    <s v="Passat"/>
    <s v="Hybrid"/>
    <x v="1"/>
    <s v="26-35"/>
    <s v="Low"/>
    <x v="0"/>
    <x v="1"/>
    <s v="Sales_9"/>
    <n v="390"/>
    <n v="166"/>
    <n v="101"/>
    <n v="32"/>
    <s v="19.28"/>
    <n v="32766"/>
    <s v="6.23"/>
    <n v="28260"/>
    <n v="1048512"/>
    <n v="144192"/>
    <s v="Feb"/>
    <n v="2"/>
    <n v="2026"/>
    <s v="Weekend"/>
    <n v="0.31683168316831684"/>
    <n v="0.42564102564102563"/>
    <n v="8.2051282051282051E-2"/>
    <n v="4506"/>
    <s v="Autohaus Berlin"/>
  </r>
  <r>
    <s v="CUST_1843"/>
    <x v="26"/>
    <x v="1"/>
    <s v="Friday"/>
    <s v="No"/>
    <x v="6"/>
    <x v="6"/>
    <s v="Saxony"/>
    <x v="2"/>
    <s v="e-tron"/>
    <s v="Hybrid"/>
    <x v="0"/>
    <s v="50+"/>
    <s v="Medium"/>
    <x v="0"/>
    <x v="0"/>
    <s v="Sales_4"/>
    <n v="288"/>
    <n v="147"/>
    <n v="104"/>
    <n v="30"/>
    <s v="20.41"/>
    <n v="53589"/>
    <s v="4.14"/>
    <n v="42036"/>
    <n v="1607670"/>
    <n v="346590"/>
    <s v="Feb"/>
    <n v="2"/>
    <n v="2026"/>
    <s v="Weekday"/>
    <n v="0.28846153846153844"/>
    <n v="0.51041666666666663"/>
    <n v="0.10416666666666667"/>
    <n v="11553"/>
    <s v="Leipzig Mobility"/>
  </r>
  <r>
    <s v="CUST_1844"/>
    <x v="4"/>
    <x v="2"/>
    <s v="Wednesday"/>
    <s v="No"/>
    <x v="3"/>
    <x v="3"/>
    <s v="Saxony"/>
    <x v="0"/>
    <s v="X3"/>
    <s v="Electric"/>
    <x v="0"/>
    <s v="50+"/>
    <s v="Low"/>
    <x v="0"/>
    <x v="1"/>
    <s v="Sales_9"/>
    <n v="181"/>
    <n v="85"/>
    <n v="68"/>
    <n v="24"/>
    <s v="28.24"/>
    <n v="59955"/>
    <s v="2.03"/>
    <n v="45373"/>
    <n v="1438920"/>
    <n v="349968"/>
    <s v="Feb"/>
    <n v="2"/>
    <n v="2026"/>
    <s v="Weekday"/>
    <n v="0.35294117647058826"/>
    <n v="0.46961325966850831"/>
    <n v="0.13259668508287292"/>
    <n v="14582"/>
    <s v="Saxon Wheels"/>
  </r>
  <r>
    <s v="CUST_1845"/>
    <x v="20"/>
    <x v="0"/>
    <s v="Thursday"/>
    <s v="No"/>
    <x v="5"/>
    <x v="5"/>
    <s v="Hamburg"/>
    <x v="0"/>
    <s v="5 Series"/>
    <s v="Diesel"/>
    <x v="1"/>
    <s v="50+"/>
    <s v="Low"/>
    <x v="1"/>
    <x v="1"/>
    <s v="Sales_2"/>
    <n v="253"/>
    <n v="131"/>
    <n v="93"/>
    <n v="40"/>
    <s v="30.53"/>
    <n v="58847"/>
    <s v="5.83"/>
    <n v="41512"/>
    <n v="2353880"/>
    <n v="693400"/>
    <s v="Feb"/>
    <n v="2"/>
    <n v="2026"/>
    <s v="Weekday"/>
    <n v="0.43010752688172044"/>
    <n v="0.51778656126482214"/>
    <n v="0.15810276679841898"/>
    <n v="17335"/>
    <s v="Elbe Drive"/>
  </r>
  <r>
    <s v="CUST_1846"/>
    <x v="22"/>
    <x v="3"/>
    <s v="Tuesday"/>
    <s v="No"/>
    <x v="1"/>
    <x v="1"/>
    <s v="NRW"/>
    <x v="0"/>
    <s v="i4"/>
    <s v="Petrol"/>
    <x v="1"/>
    <s v="18-25"/>
    <s v="Low"/>
    <x v="0"/>
    <x v="3"/>
    <s v="Sales_1"/>
    <n v="231"/>
    <n v="112"/>
    <n v="80"/>
    <n v="29"/>
    <s v="25.89"/>
    <n v="58265"/>
    <s v="2.92"/>
    <n v="45210"/>
    <n v="1689685"/>
    <n v="378595"/>
    <s v="Feb"/>
    <n v="2"/>
    <n v="2026"/>
    <s v="Weekday"/>
    <n v="0.36249999999999999"/>
    <n v="0.48484848484848486"/>
    <n v="0.12554112554112554"/>
    <n v="13055"/>
    <s v="Rhein Auto Group"/>
  </r>
  <r>
    <s v="CUST_1847"/>
    <x v="6"/>
    <x v="2"/>
    <s v="Saturday"/>
    <s v="Yes"/>
    <x v="3"/>
    <x v="3"/>
    <s v="Saxony"/>
    <x v="4"/>
    <s v="Passat"/>
    <s v="Hybrid"/>
    <x v="1"/>
    <s v="18-25"/>
    <s v="Medium"/>
    <x v="1"/>
    <x v="0"/>
    <s v="Sales_1"/>
    <n v="394"/>
    <n v="195"/>
    <n v="114"/>
    <n v="29"/>
    <s v="14.87"/>
    <n v="28469"/>
    <s v="9.09"/>
    <n v="24577"/>
    <n v="825601"/>
    <n v="112868"/>
    <s v="Feb"/>
    <n v="2"/>
    <n v="2026"/>
    <s v="Weekend"/>
    <n v="0.25438596491228072"/>
    <n v="0.49492385786802029"/>
    <n v="7.3604060913705582E-2"/>
    <n v="3892"/>
    <s v="Saxon Wheels"/>
  </r>
  <r>
    <s v="CUST_1848"/>
    <x v="24"/>
    <x v="1"/>
    <s v="Thursday"/>
    <s v="No"/>
    <x v="1"/>
    <x v="1"/>
    <s v="NRW"/>
    <x v="4"/>
    <s v="Passat"/>
    <s v="Diesel"/>
    <x v="1"/>
    <s v="50+"/>
    <s v="Medium"/>
    <x v="1"/>
    <x v="0"/>
    <s v="Sales_12"/>
    <n v="298"/>
    <n v="126"/>
    <n v="76"/>
    <n v="16"/>
    <s v="12.7"/>
    <n v="26319"/>
    <s v="10.1"/>
    <n v="22856"/>
    <n v="421104"/>
    <n v="55408"/>
    <s v="Feb"/>
    <n v="2"/>
    <n v="2026"/>
    <s v="Weekday"/>
    <n v="0.21052631578947367"/>
    <n v="0.42281879194630873"/>
    <n v="5.3691275167785234E-2"/>
    <n v="3463"/>
    <s v="Rhein Auto Group"/>
  </r>
  <r>
    <s v="CUST_1849"/>
    <x v="24"/>
    <x v="1"/>
    <s v="Thursday"/>
    <s v="No"/>
    <x v="4"/>
    <x v="4"/>
    <s v="Berlin"/>
    <x v="1"/>
    <s v="Corsa"/>
    <s v="Petrol"/>
    <x v="2"/>
    <s v="36-50"/>
    <s v="Medium"/>
    <x v="0"/>
    <x v="3"/>
    <s v="Sales_20"/>
    <n v="430"/>
    <n v="189"/>
    <n v="109"/>
    <n v="31"/>
    <s v="16.4"/>
    <n v="20624"/>
    <s v="12.91"/>
    <n v="18532"/>
    <n v="639344"/>
    <n v="64852"/>
    <s v="Feb"/>
    <n v="2"/>
    <n v="2026"/>
    <s v="Weekday"/>
    <n v="0.28440366972477066"/>
    <n v="0.43953488372093025"/>
    <n v="7.2093023255813959E-2"/>
    <n v="2092"/>
    <s v="Autohaus Berlin"/>
  </r>
  <r>
    <s v="CUST_1850"/>
    <x v="5"/>
    <x v="3"/>
    <s v="Saturday"/>
    <s v="Yes"/>
    <x v="6"/>
    <x v="6"/>
    <s v="Saxony"/>
    <x v="4"/>
    <s v="Tiguan"/>
    <s v="Hybrid"/>
    <x v="0"/>
    <s v="50+"/>
    <s v="Medium"/>
    <x v="1"/>
    <x v="0"/>
    <s v="Sales_4"/>
    <n v="459"/>
    <n v="223"/>
    <n v="135"/>
    <n v="28"/>
    <s v="12.56"/>
    <n v="31562"/>
    <s v="7.19"/>
    <n v="28717"/>
    <n v="883736"/>
    <n v="79660"/>
    <s v="Feb"/>
    <n v="2"/>
    <n v="2026"/>
    <s v="Weekend"/>
    <n v="0.2074074074074074"/>
    <n v="0.48583877995642699"/>
    <n v="6.1002178649237473E-2"/>
    <n v="2845"/>
    <s v="Leipzig Mobility"/>
  </r>
  <r>
    <s v="CUST_1851"/>
    <x v="13"/>
    <x v="0"/>
    <s v="Friday"/>
    <s v="No"/>
    <x v="3"/>
    <x v="3"/>
    <s v="Saxony"/>
    <x v="0"/>
    <s v="i4"/>
    <s v="Hybrid"/>
    <x v="1"/>
    <s v="18-25"/>
    <s v="High"/>
    <x v="1"/>
    <x v="2"/>
    <s v="Sales_9"/>
    <n v="222"/>
    <n v="107"/>
    <n v="82"/>
    <n v="30"/>
    <s v="28.04"/>
    <n v="58009"/>
    <s v="4.36"/>
    <n v="44249"/>
    <n v="1740270"/>
    <n v="412800"/>
    <s v="Feb"/>
    <n v="2"/>
    <n v="2026"/>
    <s v="Weekday"/>
    <n v="0.36585365853658536"/>
    <n v="0.481981981981982"/>
    <n v="0.13513513513513514"/>
    <n v="13760"/>
    <s v="Saxon Wheels"/>
  </r>
  <r>
    <s v="CUST_1852"/>
    <x v="5"/>
    <x v="3"/>
    <s v="Saturday"/>
    <s v="Yes"/>
    <x v="1"/>
    <x v="1"/>
    <s v="NRW"/>
    <x v="3"/>
    <s v="GLE"/>
    <s v="Electric"/>
    <x v="0"/>
    <s v="18-25"/>
    <s v="High"/>
    <x v="1"/>
    <x v="2"/>
    <s v="Sales_15"/>
    <n v="244"/>
    <n v="109"/>
    <n v="75"/>
    <n v="29"/>
    <s v="26.61"/>
    <n v="61271"/>
    <s v="2.1"/>
    <n v="47951"/>
    <n v="1776859"/>
    <n v="386280"/>
    <s v="Feb"/>
    <n v="2"/>
    <n v="2026"/>
    <s v="Weekend"/>
    <n v="0.38666666666666666"/>
    <n v="0.44672131147540983"/>
    <n v="0.11885245901639344"/>
    <n v="13320"/>
    <s v="Rhein Auto Group"/>
  </r>
  <r>
    <s v="CUST_1853"/>
    <x v="19"/>
    <x v="1"/>
    <s v="Saturday"/>
    <s v="Yes"/>
    <x v="8"/>
    <x v="8"/>
    <s v="Baden-WÃ¼rttemberg"/>
    <x v="0"/>
    <s v="X5"/>
    <s v="Petrol"/>
    <x v="0"/>
    <s v="36-50"/>
    <s v="Medium"/>
    <x v="0"/>
    <x v="1"/>
    <s v="Sales_9"/>
    <n v="258"/>
    <n v="138"/>
    <n v="101"/>
    <n v="41"/>
    <s v="29.71"/>
    <n v="67547"/>
    <s v="3.87"/>
    <n v="50277"/>
    <n v="2769427"/>
    <n v="708070"/>
    <s v="Feb"/>
    <n v="2"/>
    <n v="2026"/>
    <s v="Weekend"/>
    <n v="0.40594059405940597"/>
    <n v="0.53488372093023251"/>
    <n v="0.15891472868217055"/>
    <n v="17270"/>
    <s v="Stuttgart Auto Center"/>
  </r>
  <r>
    <s v="CUST_1854"/>
    <x v="16"/>
    <x v="1"/>
    <s v="Tuesday"/>
    <s v="No"/>
    <x v="0"/>
    <x v="0"/>
    <s v="Hesse"/>
    <x v="1"/>
    <s v="Mokka"/>
    <s v="Electric"/>
    <x v="0"/>
    <s v="18-25"/>
    <s v="Low"/>
    <x v="1"/>
    <x v="0"/>
    <s v="Sales_5"/>
    <n v="246"/>
    <n v="130"/>
    <n v="90"/>
    <n v="14"/>
    <s v="10.77"/>
    <n v="22121"/>
    <s v="10.87"/>
    <n v="19964"/>
    <n v="309694"/>
    <n v="30198"/>
    <s v="Feb"/>
    <n v="2"/>
    <n v="2026"/>
    <s v="Weekday"/>
    <n v="0.15555555555555556"/>
    <n v="0.52845528455284552"/>
    <n v="5.6910569105691054E-2"/>
    <n v="2157"/>
    <s v="Main Auto Hub"/>
  </r>
  <r>
    <s v="CUST_1855"/>
    <x v="24"/>
    <x v="1"/>
    <s v="Thursday"/>
    <s v="No"/>
    <x v="3"/>
    <x v="3"/>
    <s v="Saxony"/>
    <x v="0"/>
    <s v="i4"/>
    <s v="Electric"/>
    <x v="1"/>
    <s v="36-50"/>
    <s v="Low"/>
    <x v="1"/>
    <x v="1"/>
    <s v="Sales_18"/>
    <n v="199"/>
    <n v="107"/>
    <n v="81"/>
    <n v="29"/>
    <s v="27.1"/>
    <n v="51246"/>
    <s v="4.51"/>
    <n v="35908"/>
    <n v="1486134"/>
    <n v="444802"/>
    <s v="Feb"/>
    <n v="2"/>
    <n v="2026"/>
    <s v="Weekday"/>
    <n v="0.35802469135802467"/>
    <n v="0.53768844221105527"/>
    <n v="0.14572864321608039"/>
    <n v="15338"/>
    <s v="Saxon Wheels"/>
  </r>
  <r>
    <s v="CUST_1856"/>
    <x v="19"/>
    <x v="1"/>
    <s v="Saturday"/>
    <s v="Yes"/>
    <x v="6"/>
    <x v="6"/>
    <s v="Saxony"/>
    <x v="0"/>
    <s v="i4"/>
    <s v="Hybrid"/>
    <x v="1"/>
    <s v="26-35"/>
    <s v="High"/>
    <x v="0"/>
    <x v="1"/>
    <s v="Sales_3"/>
    <n v="210"/>
    <n v="95"/>
    <n v="76"/>
    <n v="26"/>
    <s v="27.37"/>
    <n v="57822"/>
    <s v="2.39"/>
    <n v="42476"/>
    <n v="1503372"/>
    <n v="398996"/>
    <s v="Feb"/>
    <n v="2"/>
    <n v="2026"/>
    <s v="Weekend"/>
    <n v="0.34210526315789475"/>
    <n v="0.45238095238095238"/>
    <n v="0.12380952380952381"/>
    <n v="15346"/>
    <s v="Leipzig Mobility"/>
  </r>
  <r>
    <s v="CUST_1857"/>
    <x v="25"/>
    <x v="3"/>
    <s v="Friday"/>
    <s v="No"/>
    <x v="0"/>
    <x v="0"/>
    <s v="Hesse"/>
    <x v="1"/>
    <s v="Mokka"/>
    <s v="Diesel"/>
    <x v="0"/>
    <s v="50+"/>
    <s v="High"/>
    <x v="0"/>
    <x v="0"/>
    <s v="Sales_15"/>
    <n v="381"/>
    <n v="197"/>
    <n v="135"/>
    <n v="31"/>
    <s v="15.74"/>
    <n v="26514"/>
    <s v="9.5"/>
    <n v="23601"/>
    <n v="821934"/>
    <n v="90303"/>
    <s v="Feb"/>
    <n v="2"/>
    <n v="2026"/>
    <s v="Weekday"/>
    <n v="0.22962962962962963"/>
    <n v="0.51706036745406825"/>
    <n v="8.1364829396325458E-2"/>
    <n v="2913"/>
    <s v="Main Auto Hub"/>
  </r>
  <r>
    <s v="CUST_1858"/>
    <x v="17"/>
    <x v="2"/>
    <s v="Sunday"/>
    <s v="Yes"/>
    <x v="5"/>
    <x v="5"/>
    <s v="Hamburg"/>
    <x v="1"/>
    <s v="Astra"/>
    <s v="Petrol"/>
    <x v="2"/>
    <s v="26-35"/>
    <s v="Low"/>
    <x v="0"/>
    <x v="3"/>
    <s v="Sales_14"/>
    <n v="305"/>
    <n v="141"/>
    <n v="82"/>
    <n v="21"/>
    <s v="14.89"/>
    <n v="25744"/>
    <s v="9.09"/>
    <n v="23423"/>
    <n v="540624"/>
    <n v="48741"/>
    <s v="Feb"/>
    <n v="2"/>
    <n v="2026"/>
    <s v="Weekend"/>
    <n v="0.25609756097560976"/>
    <n v="0.46229508196721314"/>
    <n v="6.8852459016393447E-2"/>
    <n v="2321"/>
    <s v="Elbe Drive"/>
  </r>
  <r>
    <s v="CUST_1859"/>
    <x v="10"/>
    <x v="1"/>
    <s v="Monday"/>
    <s v="No"/>
    <x v="0"/>
    <x v="0"/>
    <s v="Hesse"/>
    <x v="4"/>
    <s v="Passat"/>
    <s v="Petrol"/>
    <x v="1"/>
    <s v="36-50"/>
    <s v="Low"/>
    <x v="1"/>
    <x v="3"/>
    <s v="Sales_9"/>
    <n v="405"/>
    <n v="208"/>
    <n v="146"/>
    <n v="29"/>
    <s v="13.94"/>
    <n v="32038"/>
    <s v="8.89"/>
    <n v="28979"/>
    <n v="929102"/>
    <n v="88711"/>
    <s v="Feb"/>
    <n v="2"/>
    <n v="2026"/>
    <s v="Weekday"/>
    <n v="0.19863013698630136"/>
    <n v="0.51358024691358029"/>
    <n v="7.160493827160494E-2"/>
    <n v="3059"/>
    <s v="Main Auto Hub"/>
  </r>
  <r>
    <s v="CUST_1860"/>
    <x v="10"/>
    <x v="1"/>
    <s v="Monday"/>
    <s v="No"/>
    <x v="0"/>
    <x v="0"/>
    <s v="Hesse"/>
    <x v="1"/>
    <s v="Astra"/>
    <s v="Hybrid"/>
    <x v="2"/>
    <s v="50+"/>
    <s v="Medium"/>
    <x v="0"/>
    <x v="3"/>
    <s v="Sales_7"/>
    <n v="342"/>
    <n v="143"/>
    <n v="90"/>
    <n v="24"/>
    <s v="16.78"/>
    <n v="22125"/>
    <s v="9.81"/>
    <n v="20336"/>
    <n v="531000"/>
    <n v="42936"/>
    <s v="Feb"/>
    <n v="2"/>
    <n v="2026"/>
    <s v="Weekday"/>
    <n v="0.26666666666666666"/>
    <n v="0.41812865497076024"/>
    <n v="7.0175438596491224E-2"/>
    <n v="1789"/>
    <s v="Main Auto Hub"/>
  </r>
  <r>
    <s v="CUST_1861"/>
    <x v="25"/>
    <x v="3"/>
    <s v="Friday"/>
    <s v="No"/>
    <x v="3"/>
    <x v="3"/>
    <s v="Saxony"/>
    <x v="3"/>
    <s v="GLE"/>
    <s v="Electric"/>
    <x v="0"/>
    <s v="50+"/>
    <s v="Medium"/>
    <x v="1"/>
    <x v="2"/>
    <s v="Sales_12"/>
    <n v="157"/>
    <n v="91"/>
    <n v="70"/>
    <n v="24"/>
    <s v="26.37"/>
    <n v="65393"/>
    <s v="3.86"/>
    <n v="49558"/>
    <n v="1569432"/>
    <n v="380040"/>
    <s v="Feb"/>
    <n v="2"/>
    <n v="2026"/>
    <s v="Weekday"/>
    <n v="0.34285714285714286"/>
    <n v="0.57961783439490444"/>
    <n v="0.15286624203821655"/>
    <n v="15835"/>
    <s v="Saxon Wheels"/>
  </r>
  <r>
    <s v="CUST_1862"/>
    <x v="21"/>
    <x v="0"/>
    <s v="Tuesday"/>
    <s v="No"/>
    <x v="1"/>
    <x v="1"/>
    <s v="NRW"/>
    <x v="4"/>
    <s v="Golf"/>
    <s v="Hybrid"/>
    <x v="2"/>
    <s v="26-35"/>
    <s v="Low"/>
    <x v="1"/>
    <x v="2"/>
    <s v="Sales_20"/>
    <n v="360"/>
    <n v="190"/>
    <n v="132"/>
    <n v="31"/>
    <s v="16.32"/>
    <n v="33326"/>
    <s v="6.18"/>
    <n v="29356"/>
    <n v="1033106"/>
    <n v="123070"/>
    <s v="Feb"/>
    <n v="2"/>
    <n v="2026"/>
    <s v="Weekday"/>
    <n v="0.23484848484848486"/>
    <n v="0.52777777777777779"/>
    <n v="8.611111111111111E-2"/>
    <n v="3970"/>
    <s v="Rhein Auto Group"/>
  </r>
  <r>
    <s v="CUST_1863"/>
    <x v="16"/>
    <x v="1"/>
    <s v="Tuesday"/>
    <s v="No"/>
    <x v="9"/>
    <x v="9"/>
    <s v="NRW"/>
    <x v="4"/>
    <s v="Golf"/>
    <s v="Electric"/>
    <x v="2"/>
    <s v="26-35"/>
    <s v="High"/>
    <x v="0"/>
    <x v="1"/>
    <s v="Sales_10"/>
    <n v="421"/>
    <n v="228"/>
    <n v="152"/>
    <n v="41"/>
    <s v="17.98"/>
    <n v="26622"/>
    <s v="11.07"/>
    <n v="23535"/>
    <n v="1091502"/>
    <n v="126567"/>
    <s v="Feb"/>
    <n v="2"/>
    <n v="2026"/>
    <s v="Weekday"/>
    <n v="0.26973684210526316"/>
    <n v="0.54156769596199528"/>
    <n v="9.7387173396674589E-2"/>
    <n v="3087"/>
    <s v="Ruhr Auto Plaza"/>
  </r>
  <r>
    <s v="CUST_1864"/>
    <x v="12"/>
    <x v="3"/>
    <s v="Thursday"/>
    <s v="No"/>
    <x v="3"/>
    <x v="3"/>
    <s v="Saxony"/>
    <x v="2"/>
    <s v="A3"/>
    <s v="Petrol"/>
    <x v="2"/>
    <s v="18-25"/>
    <s v="Medium"/>
    <x v="1"/>
    <x v="1"/>
    <s v="Sales_3"/>
    <n v="272"/>
    <n v="134"/>
    <n v="89"/>
    <n v="30"/>
    <s v="22.39"/>
    <n v="41213"/>
    <s v="6.37"/>
    <n v="32047"/>
    <n v="1236390"/>
    <n v="274980"/>
    <s v="Feb"/>
    <n v="2"/>
    <n v="2026"/>
    <s v="Weekday"/>
    <n v="0.33707865168539325"/>
    <n v="0.49264705882352944"/>
    <n v="0.11029411764705882"/>
    <n v="9166"/>
    <s v="Saxon Wheels"/>
  </r>
  <r>
    <s v="CUST_1865"/>
    <x v="19"/>
    <x v="1"/>
    <s v="Saturday"/>
    <s v="Yes"/>
    <x v="5"/>
    <x v="5"/>
    <s v="Hamburg"/>
    <x v="4"/>
    <s v="T-Roc"/>
    <s v="Petrol"/>
    <x v="0"/>
    <s v="36-50"/>
    <s v="Low"/>
    <x v="1"/>
    <x v="0"/>
    <s v="Sales_2"/>
    <n v="430"/>
    <n v="190"/>
    <n v="124"/>
    <n v="29"/>
    <s v="15.26"/>
    <n v="30589"/>
    <s v="7.24"/>
    <n v="27280"/>
    <n v="887081"/>
    <n v="95961"/>
    <s v="Feb"/>
    <n v="2"/>
    <n v="2026"/>
    <s v="Weekend"/>
    <n v="0.23387096774193547"/>
    <n v="0.44186046511627908"/>
    <n v="6.7441860465116285E-2"/>
    <n v="3309"/>
    <s v="Elbe Drive"/>
  </r>
  <r>
    <s v="CUST_1866"/>
    <x v="16"/>
    <x v="1"/>
    <s v="Tuesday"/>
    <s v="No"/>
    <x v="7"/>
    <x v="7"/>
    <s v="Bavaria"/>
    <x v="0"/>
    <s v="i4"/>
    <s v="Diesel"/>
    <x v="1"/>
    <s v="18-25"/>
    <s v="High"/>
    <x v="0"/>
    <x v="1"/>
    <s v="Sales_20"/>
    <n v="208"/>
    <n v="126"/>
    <n v="98"/>
    <n v="41"/>
    <s v="32.54"/>
    <n v="53372"/>
    <s v="4.84"/>
    <n v="38769"/>
    <n v="2188252"/>
    <n v="598723"/>
    <s v="Feb"/>
    <n v="2"/>
    <n v="2026"/>
    <s v="Weekday"/>
    <n v="0.41836734693877553"/>
    <n v="0.60576923076923073"/>
    <n v="0.19711538461538461"/>
    <n v="14603"/>
    <s v="Bavaria Motors"/>
  </r>
  <r>
    <s v="CUST_1867"/>
    <x v="27"/>
    <x v="3"/>
    <s v="Sunday"/>
    <s v="Yes"/>
    <x v="7"/>
    <x v="7"/>
    <s v="Bavaria"/>
    <x v="1"/>
    <s v="Crossland"/>
    <s v="Hybrid"/>
    <x v="0"/>
    <s v="18-25"/>
    <s v="Medium"/>
    <x v="0"/>
    <x v="1"/>
    <s v="Sales_6"/>
    <n v="386"/>
    <n v="214"/>
    <n v="140"/>
    <n v="41"/>
    <s v="19.16"/>
    <n v="23401"/>
    <s v="12.0"/>
    <n v="21576"/>
    <n v="959441"/>
    <n v="74825"/>
    <s v="Feb"/>
    <n v="2"/>
    <n v="2026"/>
    <s v="Weekend"/>
    <n v="0.29285714285714287"/>
    <n v="0.55440414507772018"/>
    <n v="0.10621761658031088"/>
    <n v="1825"/>
    <s v="Bavaria Motors"/>
  </r>
  <r>
    <s v="CUST_1868"/>
    <x v="27"/>
    <x v="3"/>
    <s v="Sunday"/>
    <s v="Yes"/>
    <x v="7"/>
    <x v="7"/>
    <s v="Bavaria"/>
    <x v="4"/>
    <s v="ID.4"/>
    <s v="Electric"/>
    <x v="0"/>
    <s v="50+"/>
    <s v="Medium"/>
    <x v="1"/>
    <x v="1"/>
    <s v="Sales_18"/>
    <n v="270"/>
    <n v="123"/>
    <n v="86"/>
    <n v="19"/>
    <s v="15.45"/>
    <n v="32303"/>
    <s v="10.11"/>
    <n v="29325"/>
    <n v="613757"/>
    <n v="56582"/>
    <s v="Feb"/>
    <n v="2"/>
    <n v="2026"/>
    <s v="Weekend"/>
    <n v="0.22093023255813954"/>
    <n v="0.45555555555555555"/>
    <n v="7.0370370370370375E-2"/>
    <n v="2978"/>
    <s v="Bavaria Motors"/>
  </r>
  <r>
    <s v="CUST_1869"/>
    <x v="21"/>
    <x v="0"/>
    <s v="Tuesday"/>
    <s v="No"/>
    <x v="2"/>
    <x v="2"/>
    <s v="Lower Saxony"/>
    <x v="0"/>
    <s v="i4"/>
    <s v="Hybrid"/>
    <x v="1"/>
    <s v="26-35"/>
    <s v="Low"/>
    <x v="0"/>
    <x v="2"/>
    <s v="Sales_2"/>
    <n v="263"/>
    <n v="159"/>
    <n v="109"/>
    <n v="48"/>
    <s v="30.19"/>
    <n v="61482"/>
    <s v="3.56"/>
    <n v="47748"/>
    <n v="2951136"/>
    <n v="659232"/>
    <s v="Feb"/>
    <n v="2"/>
    <n v="2026"/>
    <s v="Weekday"/>
    <n v="0.44036697247706424"/>
    <n v="0.6045627376425855"/>
    <n v="0.18250950570342206"/>
    <n v="13734"/>
    <s v="Hannover Cars"/>
  </r>
  <r>
    <s v="CUST_1870"/>
    <x v="12"/>
    <x v="3"/>
    <s v="Thursday"/>
    <s v="No"/>
    <x v="2"/>
    <x v="2"/>
    <s v="Lower Saxony"/>
    <x v="3"/>
    <s v="EQE"/>
    <s v="Electric"/>
    <x v="1"/>
    <s v="36-50"/>
    <s v="Low"/>
    <x v="0"/>
    <x v="3"/>
    <s v="Sales_1"/>
    <n v="257"/>
    <n v="141"/>
    <n v="100"/>
    <n v="37"/>
    <s v="26.24"/>
    <n v="55262"/>
    <s v="4.59"/>
    <n v="42437"/>
    <n v="2044694"/>
    <n v="474525"/>
    <s v="Feb"/>
    <n v="2"/>
    <n v="2026"/>
    <s v="Weekday"/>
    <n v="0.37"/>
    <n v="0.54863813229571989"/>
    <n v="0.14396887159533073"/>
    <n v="12825"/>
    <s v="Hannover Cars"/>
  </r>
  <r>
    <s v="CUST_1871"/>
    <x v="2"/>
    <x v="2"/>
    <s v="Monday"/>
    <s v="No"/>
    <x v="3"/>
    <x v="3"/>
    <s v="Saxony"/>
    <x v="3"/>
    <s v="GLC"/>
    <s v="Hybrid"/>
    <x v="0"/>
    <s v="50+"/>
    <s v="Medium"/>
    <x v="1"/>
    <x v="3"/>
    <s v="Sales_2"/>
    <n v="275"/>
    <n v="160"/>
    <n v="118"/>
    <n v="36"/>
    <s v="22.5"/>
    <n v="58426"/>
    <s v="2.22"/>
    <n v="42067"/>
    <n v="2103336"/>
    <n v="588924"/>
    <s v="Feb"/>
    <n v="2"/>
    <n v="2026"/>
    <s v="Weekday"/>
    <n v="0.30508474576271188"/>
    <n v="0.58181818181818179"/>
    <n v="0.13090909090909092"/>
    <n v="16359"/>
    <s v="Saxon Wheels"/>
  </r>
  <r>
    <s v="CUST_1872"/>
    <x v="11"/>
    <x v="0"/>
    <s v="Wednesday"/>
    <s v="No"/>
    <x v="4"/>
    <x v="4"/>
    <s v="Berlin"/>
    <x v="3"/>
    <s v="C-Class"/>
    <s v="Electric"/>
    <x v="1"/>
    <s v="18-25"/>
    <s v="Medium"/>
    <x v="0"/>
    <x v="1"/>
    <s v="Sales_14"/>
    <n v="239"/>
    <n v="142"/>
    <n v="101"/>
    <n v="37"/>
    <s v="26.06"/>
    <n v="53590"/>
    <s v="2.61"/>
    <n v="40245"/>
    <n v="1982830"/>
    <n v="493765"/>
    <s v="Feb"/>
    <n v="2"/>
    <n v="2026"/>
    <s v="Weekday"/>
    <n v="0.36633663366336633"/>
    <n v="0.59414225941422594"/>
    <n v="0.15481171548117154"/>
    <n v="13345"/>
    <s v="Autohaus Berlin"/>
  </r>
  <r>
    <s v="CUST_1873"/>
    <x v="2"/>
    <x v="2"/>
    <s v="Monday"/>
    <s v="No"/>
    <x v="4"/>
    <x v="4"/>
    <s v="Berlin"/>
    <x v="0"/>
    <s v="i4"/>
    <s v="Diesel"/>
    <x v="1"/>
    <s v="18-25"/>
    <s v="Medium"/>
    <x v="1"/>
    <x v="0"/>
    <s v="Sales_19"/>
    <n v="178"/>
    <n v="107"/>
    <n v="81"/>
    <n v="29"/>
    <s v="27.1"/>
    <n v="57788"/>
    <s v="2.71"/>
    <n v="40500"/>
    <n v="1675852"/>
    <n v="501352"/>
    <s v="Feb"/>
    <n v="2"/>
    <n v="2026"/>
    <s v="Weekday"/>
    <n v="0.35802469135802467"/>
    <n v="0.601123595505618"/>
    <n v="0.16292134831460675"/>
    <n v="17288"/>
    <s v="Autohaus Berlin"/>
  </r>
  <r>
    <s v="CUST_1874"/>
    <x v="23"/>
    <x v="2"/>
    <s v="Tuesday"/>
    <s v="No"/>
    <x v="7"/>
    <x v="7"/>
    <s v="Bavaria"/>
    <x v="2"/>
    <s v="Q5"/>
    <s v="Petrol"/>
    <x v="0"/>
    <s v="36-50"/>
    <s v="Medium"/>
    <x v="0"/>
    <x v="0"/>
    <s v="Sales_14"/>
    <n v="271"/>
    <n v="127"/>
    <n v="92"/>
    <n v="29"/>
    <s v="22.83"/>
    <n v="52204"/>
    <s v="6.62"/>
    <n v="42475"/>
    <n v="1513916"/>
    <n v="282141"/>
    <s v="Feb"/>
    <n v="2"/>
    <n v="2026"/>
    <s v="Weekday"/>
    <n v="0.31521739130434784"/>
    <n v="0.46863468634686345"/>
    <n v="0.1070110701107011"/>
    <n v="9729"/>
    <s v="Bavaria Motors"/>
  </r>
  <r>
    <s v="CUST_1875"/>
    <x v="19"/>
    <x v="1"/>
    <s v="Saturday"/>
    <s v="Yes"/>
    <x v="7"/>
    <x v="7"/>
    <s v="Bavaria"/>
    <x v="2"/>
    <s v="Q3"/>
    <s v="Diesel"/>
    <x v="0"/>
    <s v="50+"/>
    <s v="High"/>
    <x v="1"/>
    <x v="2"/>
    <s v="Sales_4"/>
    <n v="269"/>
    <n v="141"/>
    <n v="95"/>
    <n v="38"/>
    <s v="26.95"/>
    <n v="50901"/>
    <s v="6.91"/>
    <n v="40249"/>
    <n v="1934238"/>
    <n v="404776"/>
    <s v="Feb"/>
    <n v="2"/>
    <n v="2026"/>
    <s v="Weekend"/>
    <n v="0.4"/>
    <n v="0.52416356877323422"/>
    <n v="0.14126394052044611"/>
    <n v="10652"/>
    <s v="Bavaria Motors"/>
  </r>
  <r>
    <s v="CUST_1876"/>
    <x v="17"/>
    <x v="2"/>
    <s v="Sunday"/>
    <s v="Yes"/>
    <x v="2"/>
    <x v="2"/>
    <s v="Lower Saxony"/>
    <x v="2"/>
    <s v="Q5"/>
    <s v="Diesel"/>
    <x v="0"/>
    <s v="50+"/>
    <s v="Medium"/>
    <x v="0"/>
    <x v="1"/>
    <s v="Sales_5"/>
    <n v="294"/>
    <n v="141"/>
    <n v="108"/>
    <n v="34"/>
    <s v="24.11"/>
    <n v="44907"/>
    <s v="4.29"/>
    <n v="36098"/>
    <n v="1526838"/>
    <n v="299506"/>
    <s v="Feb"/>
    <n v="2"/>
    <n v="2026"/>
    <s v="Weekend"/>
    <n v="0.31481481481481483"/>
    <n v="0.47959183673469385"/>
    <n v="0.11564625850340136"/>
    <n v="8809"/>
    <s v="Hannover Cars"/>
  </r>
  <r>
    <s v="CUST_1877"/>
    <x v="21"/>
    <x v="0"/>
    <s v="Tuesday"/>
    <s v="No"/>
    <x v="2"/>
    <x v="2"/>
    <s v="Lower Saxony"/>
    <x v="4"/>
    <s v="ID.4"/>
    <s v="Electric"/>
    <x v="0"/>
    <s v="18-25"/>
    <s v="High"/>
    <x v="1"/>
    <x v="1"/>
    <s v="Sales_7"/>
    <n v="335"/>
    <n v="192"/>
    <n v="124"/>
    <n v="31"/>
    <s v="16.15"/>
    <n v="34178"/>
    <s v="8.0"/>
    <n v="30650"/>
    <n v="1059518"/>
    <n v="109368"/>
    <s v="Feb"/>
    <n v="2"/>
    <n v="2026"/>
    <s v="Weekday"/>
    <n v="0.25"/>
    <n v="0.57313432835820899"/>
    <n v="9.2537313432835819E-2"/>
    <n v="3528"/>
    <s v="Hannover Cars"/>
  </r>
  <r>
    <s v="CUST_1878"/>
    <x v="24"/>
    <x v="1"/>
    <s v="Thursday"/>
    <s v="No"/>
    <x v="1"/>
    <x v="1"/>
    <s v="NRW"/>
    <x v="3"/>
    <s v="E-Class"/>
    <s v="Petrol"/>
    <x v="1"/>
    <s v="36-50"/>
    <s v="Low"/>
    <x v="1"/>
    <x v="2"/>
    <s v="Sales_12"/>
    <n v="210"/>
    <n v="111"/>
    <n v="77"/>
    <n v="29"/>
    <s v="26.13"/>
    <n v="65487"/>
    <s v="3.84"/>
    <n v="49759"/>
    <n v="1899123"/>
    <n v="456112"/>
    <s v="Feb"/>
    <n v="2"/>
    <n v="2026"/>
    <s v="Weekday"/>
    <n v="0.37662337662337664"/>
    <n v="0.52857142857142858"/>
    <n v="0.1380952380952381"/>
    <n v="15728"/>
    <s v="Rhein Auto Group"/>
  </r>
  <r>
    <s v="CUST_1879"/>
    <x v="13"/>
    <x v="0"/>
    <s v="Friday"/>
    <s v="No"/>
    <x v="7"/>
    <x v="7"/>
    <s v="Bavaria"/>
    <x v="0"/>
    <s v="5 Series"/>
    <s v="Electric"/>
    <x v="1"/>
    <s v="36-50"/>
    <s v="Medium"/>
    <x v="0"/>
    <x v="2"/>
    <s v="Sales_4"/>
    <n v="197"/>
    <n v="118"/>
    <n v="93"/>
    <n v="40"/>
    <s v="33.9"/>
    <n v="66584"/>
    <s v="3.54"/>
    <n v="49235"/>
    <n v="2663360"/>
    <n v="693960"/>
    <s v="Feb"/>
    <n v="2"/>
    <n v="2026"/>
    <s v="Weekday"/>
    <n v="0.43010752688172044"/>
    <n v="0.59898477157360408"/>
    <n v="0.20304568527918782"/>
    <n v="17349"/>
    <s v="Bavaria Motors"/>
  </r>
  <r>
    <s v="CUST_1880"/>
    <x v="25"/>
    <x v="3"/>
    <s v="Friday"/>
    <s v="No"/>
    <x v="5"/>
    <x v="5"/>
    <s v="Hamburg"/>
    <x v="3"/>
    <s v="GLC"/>
    <s v="Electric"/>
    <x v="0"/>
    <s v="50+"/>
    <s v="Low"/>
    <x v="1"/>
    <x v="2"/>
    <s v="Sales_1"/>
    <n v="208"/>
    <n v="123"/>
    <n v="86"/>
    <n v="35"/>
    <s v="28.46"/>
    <n v="67373"/>
    <s v="5.04"/>
    <n v="50762"/>
    <n v="2358055"/>
    <n v="581385"/>
    <s v="Feb"/>
    <n v="2"/>
    <n v="2026"/>
    <s v="Weekday"/>
    <n v="0.40697674418604651"/>
    <n v="0.59134615384615385"/>
    <n v="0.16826923076923078"/>
    <n v="16611"/>
    <s v="Elbe Drive"/>
  </r>
  <r>
    <s v="CUST_1881"/>
    <x v="12"/>
    <x v="3"/>
    <s v="Thursday"/>
    <s v="No"/>
    <x v="5"/>
    <x v="5"/>
    <s v="Hamburg"/>
    <x v="4"/>
    <s v="Golf"/>
    <s v="Electric"/>
    <x v="2"/>
    <s v="50+"/>
    <s v="Medium"/>
    <x v="0"/>
    <x v="2"/>
    <s v="Sales_17"/>
    <n v="378"/>
    <n v="165"/>
    <n v="100"/>
    <n v="37"/>
    <s v="22.42"/>
    <n v="31994"/>
    <s v="11.81"/>
    <n v="28289"/>
    <n v="1183778"/>
    <n v="137085"/>
    <s v="Feb"/>
    <n v="2"/>
    <n v="2026"/>
    <s v="Weekday"/>
    <n v="0.37"/>
    <n v="0.43650793650793651"/>
    <n v="9.7883597883597878E-2"/>
    <n v="3705"/>
    <s v="Elbe Drive"/>
  </r>
  <r>
    <s v="CUST_1882"/>
    <x v="21"/>
    <x v="0"/>
    <s v="Tuesday"/>
    <s v="No"/>
    <x v="6"/>
    <x v="6"/>
    <s v="Saxony"/>
    <x v="1"/>
    <s v="Corsa"/>
    <s v="Petrol"/>
    <x v="2"/>
    <s v="36-50"/>
    <s v="Medium"/>
    <x v="0"/>
    <x v="3"/>
    <s v="Sales_4"/>
    <n v="274"/>
    <n v="109"/>
    <n v="70"/>
    <n v="13"/>
    <s v="11.93"/>
    <n v="26689"/>
    <s v="10.53"/>
    <n v="24742"/>
    <n v="346957"/>
    <n v="25311"/>
    <s v="Feb"/>
    <n v="2"/>
    <n v="2026"/>
    <s v="Weekday"/>
    <n v="0.18571428571428572"/>
    <n v="0.3978102189781022"/>
    <n v="4.7445255474452552E-2"/>
    <n v="1947"/>
    <s v="Leipzig Mobility"/>
  </r>
  <r>
    <s v="CUST_1883"/>
    <x v="21"/>
    <x v="0"/>
    <s v="Tuesday"/>
    <s v="No"/>
    <x v="5"/>
    <x v="5"/>
    <s v="Hamburg"/>
    <x v="4"/>
    <s v="T-Roc"/>
    <s v="Electric"/>
    <x v="0"/>
    <s v="36-50"/>
    <s v="Medium"/>
    <x v="0"/>
    <x v="3"/>
    <s v="Sales_14"/>
    <n v="359"/>
    <n v="206"/>
    <n v="132"/>
    <n v="31"/>
    <s v="15.05"/>
    <n v="30381"/>
    <s v="8.46"/>
    <n v="26491"/>
    <n v="941811"/>
    <n v="120590"/>
    <s v="Feb"/>
    <n v="2"/>
    <n v="2026"/>
    <s v="Weekday"/>
    <n v="0.23484848484848486"/>
    <n v="0.57381615598885793"/>
    <n v="8.6350974930362118E-2"/>
    <n v="3890"/>
    <s v="Elbe Drive"/>
  </r>
  <r>
    <s v="CUST_1884"/>
    <x v="22"/>
    <x v="3"/>
    <s v="Tuesday"/>
    <s v="No"/>
    <x v="0"/>
    <x v="0"/>
    <s v="Hesse"/>
    <x v="0"/>
    <s v="X5"/>
    <s v="Petrol"/>
    <x v="0"/>
    <s v="36-50"/>
    <s v="Medium"/>
    <x v="1"/>
    <x v="3"/>
    <s v="Sales_2"/>
    <n v="205"/>
    <n v="99"/>
    <n v="69"/>
    <n v="27"/>
    <s v="27.27"/>
    <n v="53860"/>
    <s v="2.77"/>
    <n v="40973"/>
    <n v="1454220"/>
    <n v="347949"/>
    <s v="Feb"/>
    <n v="2"/>
    <n v="2026"/>
    <s v="Weekday"/>
    <n v="0.39130434782608697"/>
    <n v="0.48292682926829267"/>
    <n v="0.13170731707317074"/>
    <n v="12887"/>
    <s v="Main Auto Hub"/>
  </r>
  <r>
    <s v="CUST_1885"/>
    <x v="16"/>
    <x v="1"/>
    <s v="Tuesday"/>
    <s v="No"/>
    <x v="7"/>
    <x v="7"/>
    <s v="Bavaria"/>
    <x v="4"/>
    <s v="ID.4"/>
    <s v="Hybrid"/>
    <x v="0"/>
    <s v="26-35"/>
    <s v="High"/>
    <x v="1"/>
    <x v="0"/>
    <s v="Sales_2"/>
    <n v="422"/>
    <n v="170"/>
    <n v="111"/>
    <n v="30"/>
    <s v="17.65"/>
    <n v="34153"/>
    <s v="8.81"/>
    <n v="29662"/>
    <n v="1024590"/>
    <n v="134730"/>
    <s v="Feb"/>
    <n v="2"/>
    <n v="2026"/>
    <s v="Weekday"/>
    <n v="0.27027027027027029"/>
    <n v="0.40284360189573459"/>
    <n v="7.1090047393364927E-2"/>
    <n v="4491"/>
    <s v="Bavaria Motors"/>
  </r>
  <r>
    <s v="CUST_1886"/>
    <x v="17"/>
    <x v="2"/>
    <s v="Sunday"/>
    <s v="Yes"/>
    <x v="1"/>
    <x v="1"/>
    <s v="NRW"/>
    <x v="2"/>
    <s v="Q5"/>
    <s v="Hybrid"/>
    <x v="0"/>
    <s v="50+"/>
    <s v="High"/>
    <x v="1"/>
    <x v="3"/>
    <s v="Sales_6"/>
    <n v="216"/>
    <n v="130"/>
    <n v="89"/>
    <n v="28"/>
    <s v="21.54"/>
    <n v="42131"/>
    <s v="5.19"/>
    <n v="31952"/>
    <n v="1179668"/>
    <n v="285012"/>
    <s v="Feb"/>
    <n v="2"/>
    <n v="2026"/>
    <s v="Weekend"/>
    <n v="0.3146067415730337"/>
    <n v="0.60185185185185186"/>
    <n v="0.12962962962962962"/>
    <n v="10179"/>
    <s v="Rhein Auto Group"/>
  </r>
  <r>
    <s v="CUST_1887"/>
    <x v="22"/>
    <x v="3"/>
    <s v="Tuesday"/>
    <s v="No"/>
    <x v="6"/>
    <x v="6"/>
    <s v="Saxony"/>
    <x v="2"/>
    <s v="A3"/>
    <s v="Electric"/>
    <x v="2"/>
    <s v="18-25"/>
    <s v="Medium"/>
    <x v="0"/>
    <x v="3"/>
    <s v="Sales_5"/>
    <n v="301"/>
    <n v="191"/>
    <n v="148"/>
    <n v="43"/>
    <s v="22.51"/>
    <n v="43735"/>
    <s v="3.94"/>
    <n v="34195"/>
    <n v="1880605"/>
    <n v="410220"/>
    <s v="Feb"/>
    <n v="2"/>
    <n v="2026"/>
    <s v="Weekday"/>
    <n v="0.29054054054054052"/>
    <n v="0.63455149501661134"/>
    <n v="0.14285714285714285"/>
    <n v="9540"/>
    <s v="Leipzig Mobility"/>
  </r>
  <r>
    <s v="CUST_1888"/>
    <x v="27"/>
    <x v="3"/>
    <s v="Sunday"/>
    <s v="Yes"/>
    <x v="9"/>
    <x v="9"/>
    <s v="NRW"/>
    <x v="4"/>
    <s v="ID.4"/>
    <s v="Electric"/>
    <x v="0"/>
    <s v="50+"/>
    <s v="Low"/>
    <x v="1"/>
    <x v="0"/>
    <s v="Sales_6"/>
    <n v="474"/>
    <n v="230"/>
    <n v="151"/>
    <n v="25"/>
    <s v="10.87"/>
    <n v="35312"/>
    <s v="6.36"/>
    <n v="31190"/>
    <n v="882800"/>
    <n v="103050"/>
    <s v="Feb"/>
    <n v="2"/>
    <n v="2026"/>
    <s v="Weekend"/>
    <n v="0.16556291390728478"/>
    <n v="0.48523206751054854"/>
    <n v="5.2742616033755275E-2"/>
    <n v="4122"/>
    <s v="Ruhr Auto Plaza"/>
  </r>
  <r>
    <s v="CUST_1889"/>
    <x v="18"/>
    <x v="0"/>
    <s v="Saturday"/>
    <s v="Yes"/>
    <x v="9"/>
    <x v="9"/>
    <s v="NRW"/>
    <x v="0"/>
    <s v="X5"/>
    <s v="Petrol"/>
    <x v="0"/>
    <s v="50+"/>
    <s v="Low"/>
    <x v="0"/>
    <x v="3"/>
    <s v="Sales_2"/>
    <n v="248"/>
    <n v="129"/>
    <n v="91"/>
    <n v="33"/>
    <s v="25.58"/>
    <n v="51558"/>
    <s v="2.53"/>
    <n v="40138"/>
    <n v="1701414"/>
    <n v="376860"/>
    <s v="Feb"/>
    <n v="2"/>
    <n v="2026"/>
    <s v="Weekend"/>
    <n v="0.36263736263736263"/>
    <n v="0.52016129032258063"/>
    <n v="0.13306451612903225"/>
    <n v="11420"/>
    <s v="Ruhr Auto Plaza"/>
  </r>
  <r>
    <s v="CUST_1890"/>
    <x v="20"/>
    <x v="0"/>
    <s v="Thursday"/>
    <s v="No"/>
    <x v="5"/>
    <x v="5"/>
    <s v="Hamburg"/>
    <x v="3"/>
    <s v="EQE"/>
    <s v="Hybrid"/>
    <x v="1"/>
    <s v="26-35"/>
    <s v="Medium"/>
    <x v="1"/>
    <x v="2"/>
    <s v="Sales_20"/>
    <n v="260"/>
    <n v="137"/>
    <n v="93"/>
    <n v="40"/>
    <s v="29.2"/>
    <n v="57847"/>
    <s v="2.98"/>
    <n v="42073"/>
    <n v="2313880"/>
    <n v="630960"/>
    <s v="Feb"/>
    <n v="2"/>
    <n v="2026"/>
    <s v="Weekday"/>
    <n v="0.43010752688172044"/>
    <n v="0.52692307692307694"/>
    <n v="0.15384615384615385"/>
    <n v="15774"/>
    <s v="Elbe Drive"/>
  </r>
  <r>
    <s v="CUST_1891"/>
    <x v="0"/>
    <x v="0"/>
    <s v="Monday"/>
    <s v="No"/>
    <x v="5"/>
    <x v="5"/>
    <s v="Hamburg"/>
    <x v="0"/>
    <s v="5 Series"/>
    <s v="Petrol"/>
    <x v="1"/>
    <s v="26-35"/>
    <s v="High"/>
    <x v="1"/>
    <x v="3"/>
    <s v="Sales_19"/>
    <n v="257"/>
    <n v="119"/>
    <n v="94"/>
    <n v="33"/>
    <s v="27.73"/>
    <n v="69731"/>
    <s v="2.36"/>
    <n v="50362"/>
    <n v="2301123"/>
    <n v="639177"/>
    <s v="Feb"/>
    <n v="2"/>
    <n v="2026"/>
    <s v="Weekday"/>
    <n v="0.35106382978723405"/>
    <n v="0.46303501945525294"/>
    <n v="0.12840466926070038"/>
    <n v="19369"/>
    <s v="Elbe Drive"/>
  </r>
  <r>
    <s v="CUST_1892"/>
    <x v="6"/>
    <x v="2"/>
    <s v="Saturday"/>
    <s v="Yes"/>
    <x v="8"/>
    <x v="8"/>
    <s v="Baden-WÃ¼rttemberg"/>
    <x v="1"/>
    <s v="Crossland"/>
    <s v="Electric"/>
    <x v="0"/>
    <s v="36-50"/>
    <s v="Low"/>
    <x v="1"/>
    <x v="1"/>
    <s v="Sales_11"/>
    <n v="345"/>
    <n v="186"/>
    <n v="108"/>
    <n v="29"/>
    <s v="15.59"/>
    <n v="24581"/>
    <s v="13.71"/>
    <n v="21964"/>
    <n v="712849"/>
    <n v="75893"/>
    <s v="Feb"/>
    <n v="2"/>
    <n v="2026"/>
    <s v="Weekend"/>
    <n v="0.26851851851851855"/>
    <n v="0.53913043478260869"/>
    <n v="8.4057971014492749E-2"/>
    <n v="2617"/>
    <s v="Stuttgart Auto Center"/>
  </r>
  <r>
    <s v="CUST_1893"/>
    <x v="14"/>
    <x v="2"/>
    <s v="Friday"/>
    <s v="No"/>
    <x v="5"/>
    <x v="5"/>
    <s v="Hamburg"/>
    <x v="4"/>
    <s v="ID.4"/>
    <s v="Petrol"/>
    <x v="0"/>
    <s v="36-50"/>
    <s v="Low"/>
    <x v="0"/>
    <x v="2"/>
    <s v="Sales_20"/>
    <n v="456"/>
    <n v="230"/>
    <n v="151"/>
    <n v="43"/>
    <s v="18.7"/>
    <n v="32875"/>
    <s v="7.76"/>
    <n v="28992"/>
    <n v="1413625"/>
    <n v="166969"/>
    <s v="Feb"/>
    <n v="2"/>
    <n v="2026"/>
    <s v="Weekday"/>
    <n v="0.28476821192052981"/>
    <n v="0.50438596491228072"/>
    <n v="9.4298245614035089E-2"/>
    <n v="3883"/>
    <s v="Elbe Drive"/>
  </r>
  <r>
    <s v="CUST_1894"/>
    <x v="21"/>
    <x v="0"/>
    <s v="Tuesday"/>
    <s v="No"/>
    <x v="0"/>
    <x v="0"/>
    <s v="Hesse"/>
    <x v="0"/>
    <s v="i4"/>
    <s v="Petrol"/>
    <x v="1"/>
    <s v="26-35"/>
    <s v="Low"/>
    <x v="1"/>
    <x v="2"/>
    <s v="Sales_8"/>
    <n v="262"/>
    <n v="133"/>
    <n v="91"/>
    <n v="40"/>
    <s v="30.08"/>
    <n v="50393"/>
    <s v="3.39"/>
    <n v="37122"/>
    <n v="2015720"/>
    <n v="530840"/>
    <s v="Feb"/>
    <n v="2"/>
    <n v="2026"/>
    <s v="Weekday"/>
    <n v="0.43956043956043955"/>
    <n v="0.50763358778625955"/>
    <n v="0.15267175572519084"/>
    <n v="13271"/>
    <s v="Main Auto Hub"/>
  </r>
  <r>
    <s v="CUST_1895"/>
    <x v="3"/>
    <x v="1"/>
    <s v="Sunday"/>
    <s v="Yes"/>
    <x v="8"/>
    <x v="8"/>
    <s v="Baden-WÃ¼rttemberg"/>
    <x v="1"/>
    <s v="Astra"/>
    <s v="Diesel"/>
    <x v="2"/>
    <s v="18-25"/>
    <s v="High"/>
    <x v="0"/>
    <x v="0"/>
    <s v="Sales_13"/>
    <n v="348"/>
    <n v="164"/>
    <n v="113"/>
    <n v="27"/>
    <s v="16.46"/>
    <n v="21314"/>
    <s v="7.14"/>
    <n v="18973"/>
    <n v="575478"/>
    <n v="63207"/>
    <s v="Feb"/>
    <n v="2"/>
    <n v="2026"/>
    <s v="Weekend"/>
    <n v="0.23893805309734514"/>
    <n v="0.47126436781609193"/>
    <n v="7.7586206896551727E-2"/>
    <n v="2341"/>
    <s v="Stuttgart Auto Center"/>
  </r>
  <r>
    <s v="CUST_1896"/>
    <x v="1"/>
    <x v="1"/>
    <s v="Wednesday"/>
    <s v="No"/>
    <x v="4"/>
    <x v="4"/>
    <s v="Berlin"/>
    <x v="2"/>
    <s v="A4"/>
    <s v="Diesel"/>
    <x v="1"/>
    <s v="26-35"/>
    <s v="Medium"/>
    <x v="0"/>
    <x v="0"/>
    <s v="Sales_2"/>
    <n v="260"/>
    <n v="123"/>
    <n v="90"/>
    <n v="29"/>
    <s v="23.58"/>
    <n v="52022"/>
    <s v="3.63"/>
    <n v="41705"/>
    <n v="1508638"/>
    <n v="299193"/>
    <s v="Feb"/>
    <n v="2"/>
    <n v="2026"/>
    <s v="Weekday"/>
    <n v="0.32222222222222224"/>
    <n v="0.47307692307692306"/>
    <n v="0.11153846153846154"/>
    <n v="10317"/>
    <s v="Autohaus Berlin"/>
  </r>
  <r>
    <s v="CUST_1897"/>
    <x v="25"/>
    <x v="3"/>
    <s v="Friday"/>
    <s v="No"/>
    <x v="8"/>
    <x v="8"/>
    <s v="Baden-WÃ¼rttemberg"/>
    <x v="3"/>
    <s v="E-Class"/>
    <s v="Hybrid"/>
    <x v="1"/>
    <s v="18-25"/>
    <s v="Low"/>
    <x v="0"/>
    <x v="3"/>
    <s v="Sales_15"/>
    <n v="229"/>
    <n v="133"/>
    <n v="90"/>
    <n v="36"/>
    <s v="27.07"/>
    <n v="68481"/>
    <s v="3.65"/>
    <n v="50385"/>
    <n v="2465316"/>
    <n v="651456"/>
    <s v="Feb"/>
    <n v="2"/>
    <n v="2026"/>
    <s v="Weekday"/>
    <n v="0.4"/>
    <n v="0.58078602620087338"/>
    <n v="0.15720524017467249"/>
    <n v="18096"/>
    <s v="Stuttgart Auto Center"/>
  </r>
  <r>
    <s v="CUST_1898"/>
    <x v="26"/>
    <x v="1"/>
    <s v="Friday"/>
    <s v="No"/>
    <x v="3"/>
    <x v="3"/>
    <s v="Saxony"/>
    <x v="4"/>
    <s v="Golf"/>
    <s v="Hybrid"/>
    <x v="2"/>
    <s v="26-35"/>
    <s v="High"/>
    <x v="1"/>
    <x v="2"/>
    <s v="Sales_10"/>
    <n v="454"/>
    <n v="228"/>
    <n v="151"/>
    <n v="41"/>
    <s v="17.98"/>
    <n v="31803"/>
    <s v="11.56"/>
    <n v="28151"/>
    <n v="1303923"/>
    <n v="149732"/>
    <s v="Feb"/>
    <n v="2"/>
    <n v="2026"/>
    <s v="Weekday"/>
    <n v="0.27152317880794702"/>
    <n v="0.50220264317180618"/>
    <n v="9.0308370044052858E-2"/>
    <n v="3652"/>
    <s v="Saxon Wheels"/>
  </r>
  <r>
    <s v="CUST_1899"/>
    <x v="21"/>
    <x v="0"/>
    <s v="Tuesday"/>
    <s v="No"/>
    <x v="1"/>
    <x v="1"/>
    <s v="NRW"/>
    <x v="1"/>
    <s v="Astra"/>
    <s v="Petrol"/>
    <x v="2"/>
    <s v="26-35"/>
    <s v="High"/>
    <x v="0"/>
    <x v="3"/>
    <s v="Sales_12"/>
    <n v="236"/>
    <n v="101"/>
    <n v="61"/>
    <n v="14"/>
    <s v="13.86"/>
    <n v="25877"/>
    <s v="7.52"/>
    <n v="24036"/>
    <n v="362278"/>
    <n v="25774"/>
    <s v="Feb"/>
    <n v="2"/>
    <n v="2026"/>
    <s v="Weekday"/>
    <n v="0.22950819672131148"/>
    <n v="0.42796610169491528"/>
    <n v="5.9322033898305086E-2"/>
    <n v="1841"/>
    <s v="Rhein Auto Group"/>
  </r>
  <r>
    <s v="CUST_1900"/>
    <x v="10"/>
    <x v="1"/>
    <s v="Monday"/>
    <s v="No"/>
    <x v="2"/>
    <x v="2"/>
    <s v="Lower Saxony"/>
    <x v="1"/>
    <s v="Grandland"/>
    <s v="Electric"/>
    <x v="0"/>
    <s v="26-35"/>
    <s v="High"/>
    <x v="1"/>
    <x v="0"/>
    <s v="Sales_10"/>
    <n v="372"/>
    <n v="151"/>
    <n v="101"/>
    <n v="18"/>
    <s v="11.92"/>
    <n v="21626"/>
    <s v="10.97"/>
    <n v="19881"/>
    <n v="389268"/>
    <n v="31410"/>
    <s v="Feb"/>
    <n v="2"/>
    <n v="2026"/>
    <s v="Weekday"/>
    <n v="0.17821782178217821"/>
    <n v="0.40591397849462363"/>
    <n v="4.8387096774193547E-2"/>
    <n v="1745"/>
    <s v="Hannover Cars"/>
  </r>
  <r>
    <s v="CUST_1901"/>
    <x v="9"/>
    <x v="0"/>
    <s v="Sunday"/>
    <s v="Yes"/>
    <x v="4"/>
    <x v="4"/>
    <s v="Berlin"/>
    <x v="2"/>
    <s v="e-tron"/>
    <s v="Electric"/>
    <x v="0"/>
    <s v="36-50"/>
    <s v="Medium"/>
    <x v="1"/>
    <x v="3"/>
    <s v="Sales_13"/>
    <n v="207"/>
    <n v="115"/>
    <n v="87"/>
    <n v="25"/>
    <s v="21.74"/>
    <n v="45078"/>
    <s v="5.42"/>
    <n v="35125"/>
    <n v="1126950"/>
    <n v="248825"/>
    <s v="Feb"/>
    <n v="2"/>
    <n v="2026"/>
    <s v="Weekend"/>
    <n v="0.28735632183908044"/>
    <n v="0.55555555555555558"/>
    <n v="0.12077294685990338"/>
    <n v="9953"/>
    <s v="Autohaus Berlin"/>
  </r>
  <r>
    <s v="CUST_1902"/>
    <x v="7"/>
    <x v="3"/>
    <s v="Monday"/>
    <s v="No"/>
    <x v="9"/>
    <x v="9"/>
    <s v="NRW"/>
    <x v="4"/>
    <s v="T-Roc"/>
    <s v="Petrol"/>
    <x v="0"/>
    <s v="50+"/>
    <s v="High"/>
    <x v="1"/>
    <x v="3"/>
    <s v="Sales_8"/>
    <n v="333"/>
    <n v="166"/>
    <n v="106"/>
    <n v="24"/>
    <s v="14.46"/>
    <n v="31818"/>
    <s v="8.49"/>
    <n v="28938"/>
    <n v="763632"/>
    <n v="69120"/>
    <s v="Feb"/>
    <n v="2"/>
    <n v="2026"/>
    <s v="Weekday"/>
    <n v="0.22641509433962265"/>
    <n v="0.49849849849849848"/>
    <n v="7.2072072072072071E-2"/>
    <n v="2880"/>
    <s v="Ruhr Auto Plaza"/>
  </r>
  <r>
    <s v="CUST_1903"/>
    <x v="1"/>
    <x v="1"/>
    <s v="Wednesday"/>
    <s v="No"/>
    <x v="6"/>
    <x v="6"/>
    <s v="Saxony"/>
    <x v="3"/>
    <s v="GLE"/>
    <s v="Diesel"/>
    <x v="0"/>
    <s v="26-35"/>
    <s v="Medium"/>
    <x v="0"/>
    <x v="0"/>
    <s v="Sales_4"/>
    <n v="170"/>
    <n v="94"/>
    <n v="64"/>
    <n v="22"/>
    <s v="23.4"/>
    <n v="72162"/>
    <s v="3.75"/>
    <n v="52082"/>
    <n v="1587564"/>
    <n v="441760"/>
    <s v="Feb"/>
    <n v="2"/>
    <n v="2026"/>
    <s v="Weekday"/>
    <n v="0.34375"/>
    <n v="0.55294117647058827"/>
    <n v="0.12941176470588237"/>
    <n v="20080"/>
    <s v="Leipzig Mobility"/>
  </r>
  <r>
    <s v="CUST_1904"/>
    <x v="18"/>
    <x v="0"/>
    <s v="Saturday"/>
    <s v="Yes"/>
    <x v="6"/>
    <x v="6"/>
    <s v="Saxony"/>
    <x v="2"/>
    <s v="A3"/>
    <s v="Hybrid"/>
    <x v="2"/>
    <s v="50+"/>
    <s v="High"/>
    <x v="0"/>
    <x v="3"/>
    <s v="Sales_2"/>
    <n v="313"/>
    <n v="169"/>
    <n v="118"/>
    <n v="34"/>
    <s v="20.12"/>
    <n v="52654"/>
    <s v="3.77"/>
    <n v="41588"/>
    <n v="1790236"/>
    <n v="376244"/>
    <s v="Feb"/>
    <n v="2"/>
    <n v="2026"/>
    <s v="Weekend"/>
    <n v="0.28813559322033899"/>
    <n v="0.53993610223642174"/>
    <n v="0.10862619808306709"/>
    <n v="11066"/>
    <s v="Leipzig Mobility"/>
  </r>
  <r>
    <s v="CUST_1905"/>
    <x v="15"/>
    <x v="2"/>
    <s v="Thursday"/>
    <s v="No"/>
    <x v="3"/>
    <x v="3"/>
    <s v="Saxony"/>
    <x v="4"/>
    <s v="Passat"/>
    <s v="Electric"/>
    <x v="1"/>
    <s v="18-25"/>
    <s v="Medium"/>
    <x v="1"/>
    <x v="0"/>
    <s v="Sales_16"/>
    <n v="411"/>
    <n v="183"/>
    <n v="127"/>
    <n v="22"/>
    <s v="12.02"/>
    <n v="26807"/>
    <s v="11.39"/>
    <n v="23453"/>
    <n v="589754"/>
    <n v="73788"/>
    <s v="Feb"/>
    <n v="2"/>
    <n v="2026"/>
    <s v="Weekday"/>
    <n v="0.17322834645669291"/>
    <n v="0.44525547445255476"/>
    <n v="5.3527980535279802E-2"/>
    <n v="3354"/>
    <s v="Saxon Wheels"/>
  </r>
  <r>
    <s v="CUST_1906"/>
    <x v="1"/>
    <x v="1"/>
    <s v="Wednesday"/>
    <s v="No"/>
    <x v="6"/>
    <x v="6"/>
    <s v="Saxony"/>
    <x v="1"/>
    <s v="Grandland"/>
    <s v="Electric"/>
    <x v="0"/>
    <s v="50+"/>
    <s v="Medium"/>
    <x v="1"/>
    <x v="0"/>
    <s v="Sales_2"/>
    <n v="384"/>
    <n v="201"/>
    <n v="122"/>
    <n v="30"/>
    <s v="14.93"/>
    <n v="20062"/>
    <s v="13.65"/>
    <n v="18519"/>
    <n v="601860"/>
    <n v="46290"/>
    <s v="Feb"/>
    <n v="2"/>
    <n v="2026"/>
    <s v="Weekday"/>
    <n v="0.24590163934426229"/>
    <n v="0.5234375"/>
    <n v="7.8125E-2"/>
    <n v="1543"/>
    <s v="Leipzig Mobility"/>
  </r>
  <r>
    <s v="CUST_1907"/>
    <x v="20"/>
    <x v="0"/>
    <s v="Thursday"/>
    <s v="No"/>
    <x v="8"/>
    <x v="8"/>
    <s v="Baden-WÃ¼rttemberg"/>
    <x v="2"/>
    <s v="Q3"/>
    <s v="Diesel"/>
    <x v="0"/>
    <s v="26-35"/>
    <s v="High"/>
    <x v="1"/>
    <x v="0"/>
    <s v="Sales_3"/>
    <n v="269"/>
    <n v="127"/>
    <n v="82"/>
    <n v="24"/>
    <s v="18.9"/>
    <n v="49756"/>
    <s v="3.68"/>
    <n v="39103"/>
    <n v="1194144"/>
    <n v="255672"/>
    <s v="Feb"/>
    <n v="2"/>
    <n v="2026"/>
    <s v="Weekday"/>
    <n v="0.29268292682926828"/>
    <n v="0.47211895910780671"/>
    <n v="8.9219330855018583E-2"/>
    <n v="10653"/>
    <s v="Stuttgart Auto Center"/>
  </r>
  <r>
    <s v="CUST_1908"/>
    <x v="2"/>
    <x v="2"/>
    <s v="Monday"/>
    <s v="No"/>
    <x v="9"/>
    <x v="9"/>
    <s v="NRW"/>
    <x v="4"/>
    <s v="T-Roc"/>
    <s v="Hybrid"/>
    <x v="0"/>
    <s v="18-25"/>
    <s v="High"/>
    <x v="0"/>
    <x v="2"/>
    <s v="Sales_19"/>
    <n v="293"/>
    <n v="148"/>
    <n v="99"/>
    <n v="30"/>
    <s v="20.27"/>
    <n v="31162"/>
    <s v="11.94"/>
    <n v="27747"/>
    <n v="934860"/>
    <n v="102450"/>
    <s v="Feb"/>
    <n v="2"/>
    <n v="2026"/>
    <s v="Weekday"/>
    <n v="0.30303030303030304"/>
    <n v="0.50511945392491464"/>
    <n v="0.10238907849829351"/>
    <n v="3415"/>
    <s v="Ruhr Auto Plaza"/>
  </r>
  <r>
    <s v="CUST_1909"/>
    <x v="22"/>
    <x v="3"/>
    <s v="Tuesday"/>
    <s v="No"/>
    <x v="0"/>
    <x v="0"/>
    <s v="Hesse"/>
    <x v="2"/>
    <s v="Q5"/>
    <s v="Hybrid"/>
    <x v="0"/>
    <s v="26-35"/>
    <s v="Medium"/>
    <x v="0"/>
    <x v="0"/>
    <s v="Sales_17"/>
    <n v="194"/>
    <n v="119"/>
    <n v="90"/>
    <n v="27"/>
    <s v="22.69"/>
    <n v="49326"/>
    <s v="6.8"/>
    <n v="37132"/>
    <n v="1331802"/>
    <n v="329238"/>
    <s v="Feb"/>
    <n v="2"/>
    <n v="2026"/>
    <s v="Weekday"/>
    <n v="0.3"/>
    <n v="0.61340206185567014"/>
    <n v="0.13917525773195877"/>
    <n v="12194"/>
    <s v="Main Auto Hub"/>
  </r>
  <r>
    <s v="CUST_1910"/>
    <x v="14"/>
    <x v="2"/>
    <s v="Friday"/>
    <s v="No"/>
    <x v="3"/>
    <x v="3"/>
    <s v="Saxony"/>
    <x v="0"/>
    <s v="X3"/>
    <s v="Diesel"/>
    <x v="0"/>
    <s v="26-35"/>
    <s v="Low"/>
    <x v="1"/>
    <x v="1"/>
    <s v="Sales_19"/>
    <n v="261"/>
    <n v="123"/>
    <n v="94"/>
    <n v="33"/>
    <s v="26.83"/>
    <n v="68218"/>
    <s v="5.18"/>
    <n v="50930"/>
    <n v="2251194"/>
    <n v="570504"/>
    <s v="Feb"/>
    <n v="2"/>
    <n v="2026"/>
    <s v="Weekday"/>
    <n v="0.35106382978723405"/>
    <n v="0.47126436781609193"/>
    <n v="0.12643678160919541"/>
    <n v="17288"/>
    <s v="Saxon Wheels"/>
  </r>
  <r>
    <s v="CUST_1911"/>
    <x v="6"/>
    <x v="2"/>
    <s v="Saturday"/>
    <s v="Yes"/>
    <x v="4"/>
    <x v="4"/>
    <s v="Berlin"/>
    <x v="2"/>
    <s v="Q3"/>
    <s v="Electric"/>
    <x v="0"/>
    <s v="26-35"/>
    <s v="Low"/>
    <x v="0"/>
    <x v="1"/>
    <s v="Sales_4"/>
    <n v="234"/>
    <n v="134"/>
    <n v="98"/>
    <n v="32"/>
    <s v="23.88"/>
    <n v="48154"/>
    <s v="3.84"/>
    <n v="38835"/>
    <n v="1540928"/>
    <n v="298208"/>
    <s v="Feb"/>
    <n v="2"/>
    <n v="2026"/>
    <s v="Weekend"/>
    <n v="0.32653061224489793"/>
    <n v="0.57264957264957261"/>
    <n v="0.13675213675213677"/>
    <n v="9319"/>
    <s v="Autohaus Berlin"/>
  </r>
  <r>
    <s v="CUST_1912"/>
    <x v="25"/>
    <x v="3"/>
    <s v="Friday"/>
    <s v="No"/>
    <x v="7"/>
    <x v="7"/>
    <s v="Bavaria"/>
    <x v="3"/>
    <s v="GLC"/>
    <s v="Diesel"/>
    <x v="0"/>
    <s v="36-50"/>
    <s v="High"/>
    <x v="1"/>
    <x v="3"/>
    <s v="Sales_2"/>
    <n v="234"/>
    <n v="117"/>
    <n v="78"/>
    <n v="31"/>
    <s v="26.5"/>
    <n v="50749"/>
    <s v="5.24"/>
    <n v="39064"/>
    <n v="1573219"/>
    <n v="362235"/>
    <s v="Feb"/>
    <n v="2"/>
    <n v="2026"/>
    <s v="Weekday"/>
    <n v="0.39743589743589741"/>
    <n v="0.5"/>
    <n v="0.13247863247863248"/>
    <n v="11685"/>
    <s v="Bavaria Motors"/>
  </r>
  <r>
    <s v="CUST_1913"/>
    <x v="3"/>
    <x v="1"/>
    <s v="Sunday"/>
    <s v="Yes"/>
    <x v="8"/>
    <x v="8"/>
    <s v="Baden-WÃ¼rttemberg"/>
    <x v="0"/>
    <s v="5 Series"/>
    <s v="Hybrid"/>
    <x v="1"/>
    <s v="36-50"/>
    <s v="Medium"/>
    <x v="0"/>
    <x v="0"/>
    <s v="Sales_11"/>
    <n v="194"/>
    <n v="103"/>
    <n v="72"/>
    <n v="26"/>
    <s v="25.24"/>
    <n v="51479"/>
    <s v="2.09"/>
    <n v="39621"/>
    <n v="1338454"/>
    <n v="308308"/>
    <s v="Feb"/>
    <n v="2"/>
    <n v="2026"/>
    <s v="Weekend"/>
    <n v="0.3611111111111111"/>
    <n v="0.53092783505154639"/>
    <n v="0.13402061855670103"/>
    <n v="11858"/>
    <s v="Stuttgart Auto Center"/>
  </r>
  <r>
    <s v="CUST_1914"/>
    <x v="12"/>
    <x v="3"/>
    <s v="Thursday"/>
    <s v="No"/>
    <x v="1"/>
    <x v="1"/>
    <s v="NRW"/>
    <x v="1"/>
    <s v="Crossland"/>
    <s v="Electric"/>
    <x v="0"/>
    <s v="36-50"/>
    <s v="Low"/>
    <x v="1"/>
    <x v="3"/>
    <s v="Sales_7"/>
    <n v="346"/>
    <n v="176"/>
    <n v="98"/>
    <n v="28"/>
    <s v="15.91"/>
    <n v="22688"/>
    <s v="11.65"/>
    <n v="20379"/>
    <n v="635264"/>
    <n v="64652"/>
    <s v="Feb"/>
    <n v="2"/>
    <n v="2026"/>
    <s v="Weekday"/>
    <n v="0.2857142857142857"/>
    <n v="0.50867052023121384"/>
    <n v="8.0924855491329481E-2"/>
    <n v="2309"/>
    <s v="Rhein Auto Group"/>
  </r>
  <r>
    <s v="CUST_1915"/>
    <x v="3"/>
    <x v="1"/>
    <s v="Sunday"/>
    <s v="Yes"/>
    <x v="1"/>
    <x v="1"/>
    <s v="NRW"/>
    <x v="3"/>
    <s v="C-Class"/>
    <s v="Hybrid"/>
    <x v="1"/>
    <s v="26-35"/>
    <s v="Low"/>
    <x v="0"/>
    <x v="2"/>
    <s v="Sales_11"/>
    <n v="194"/>
    <n v="105"/>
    <n v="70"/>
    <n v="30"/>
    <s v="28.57"/>
    <n v="70169"/>
    <s v="2.63"/>
    <n v="52353"/>
    <n v="2105070"/>
    <n v="534480"/>
    <s v="Feb"/>
    <n v="2"/>
    <n v="2026"/>
    <s v="Weekend"/>
    <n v="0.42857142857142855"/>
    <n v="0.54123711340206182"/>
    <n v="0.15463917525773196"/>
    <n v="17816"/>
    <s v="Rhein Auto Group"/>
  </r>
  <r>
    <s v="CUST_1916"/>
    <x v="18"/>
    <x v="0"/>
    <s v="Saturday"/>
    <s v="Yes"/>
    <x v="8"/>
    <x v="8"/>
    <s v="Baden-WÃ¼rttemberg"/>
    <x v="1"/>
    <s v="Grandland"/>
    <s v="Diesel"/>
    <x v="0"/>
    <s v="50+"/>
    <s v="Low"/>
    <x v="0"/>
    <x v="1"/>
    <s v="Sales_1"/>
    <n v="348"/>
    <n v="140"/>
    <n v="90"/>
    <n v="25"/>
    <s v="17.86"/>
    <n v="25484"/>
    <s v="7.84"/>
    <n v="22701"/>
    <n v="637100"/>
    <n v="69575"/>
    <s v="Feb"/>
    <n v="2"/>
    <n v="2026"/>
    <s v="Weekend"/>
    <n v="0.27777777777777779"/>
    <n v="0.40229885057471265"/>
    <n v="7.183908045977011E-2"/>
    <n v="2783"/>
    <s v="Stuttgart Auto Center"/>
  </r>
  <r>
    <s v="CUST_1917"/>
    <x v="4"/>
    <x v="2"/>
    <s v="Wednesday"/>
    <s v="No"/>
    <x v="7"/>
    <x v="7"/>
    <s v="Bavaria"/>
    <x v="3"/>
    <s v="GLE"/>
    <s v="Hybrid"/>
    <x v="0"/>
    <s v="26-35"/>
    <s v="Low"/>
    <x v="1"/>
    <x v="1"/>
    <s v="Sales_13"/>
    <n v="221"/>
    <n v="125"/>
    <n v="90"/>
    <n v="31"/>
    <s v="24.8"/>
    <n v="62345"/>
    <s v="4.29"/>
    <n v="46355"/>
    <n v="1932695"/>
    <n v="495690"/>
    <s v="Feb"/>
    <n v="2"/>
    <n v="2026"/>
    <s v="Weekday"/>
    <n v="0.34444444444444444"/>
    <n v="0.56561085972850678"/>
    <n v="0.14027149321266968"/>
    <n v="15990"/>
    <s v="Bavaria Motors"/>
  </r>
  <r>
    <s v="CUST_1918"/>
    <x v="20"/>
    <x v="0"/>
    <s v="Thursday"/>
    <s v="No"/>
    <x v="1"/>
    <x v="1"/>
    <s v="NRW"/>
    <x v="2"/>
    <s v="A3"/>
    <s v="Hybrid"/>
    <x v="2"/>
    <s v="36-50"/>
    <s v="Low"/>
    <x v="0"/>
    <x v="3"/>
    <s v="Sales_8"/>
    <n v="288"/>
    <n v="162"/>
    <n v="109"/>
    <n v="34"/>
    <s v="20.99"/>
    <n v="50969"/>
    <s v="4.58"/>
    <n v="41149"/>
    <n v="1732946"/>
    <n v="333880"/>
    <s v="Feb"/>
    <n v="2"/>
    <n v="2026"/>
    <s v="Weekday"/>
    <n v="0.31192660550458717"/>
    <n v="0.5625"/>
    <n v="0.11805555555555555"/>
    <n v="9820"/>
    <s v="Rhein Auto Group"/>
  </r>
  <r>
    <s v="CUST_1919"/>
    <x v="4"/>
    <x v="2"/>
    <s v="Wednesday"/>
    <s v="No"/>
    <x v="3"/>
    <x v="3"/>
    <s v="Saxony"/>
    <x v="3"/>
    <s v="EQE"/>
    <s v="Diesel"/>
    <x v="1"/>
    <s v="50+"/>
    <s v="Low"/>
    <x v="0"/>
    <x v="0"/>
    <s v="Sales_8"/>
    <n v="197"/>
    <n v="108"/>
    <n v="79"/>
    <n v="27"/>
    <s v="25.0"/>
    <n v="56737"/>
    <s v="5.08"/>
    <n v="44038"/>
    <n v="1531899"/>
    <n v="342873"/>
    <s v="Feb"/>
    <n v="2"/>
    <n v="2026"/>
    <s v="Weekday"/>
    <n v="0.34177215189873417"/>
    <n v="0.54822335025380708"/>
    <n v="0.13705583756345177"/>
    <n v="12699"/>
    <s v="Saxon Wheels"/>
  </r>
  <r>
    <s v="CUST_1920"/>
    <x v="21"/>
    <x v="0"/>
    <s v="Tuesday"/>
    <s v="No"/>
    <x v="4"/>
    <x v="4"/>
    <s v="Berlin"/>
    <x v="1"/>
    <s v="Mokka"/>
    <s v="Petrol"/>
    <x v="0"/>
    <s v="26-35"/>
    <s v="Medium"/>
    <x v="0"/>
    <x v="1"/>
    <s v="Sales_9"/>
    <n v="237"/>
    <n v="130"/>
    <n v="87"/>
    <n v="21"/>
    <s v="16.15"/>
    <n v="23136"/>
    <s v="9.09"/>
    <n v="20722"/>
    <n v="485856"/>
    <n v="50694"/>
    <s v="Feb"/>
    <n v="2"/>
    <n v="2026"/>
    <s v="Weekday"/>
    <n v="0.2413793103448276"/>
    <n v="0.54852320675105481"/>
    <n v="8.8607594936708861E-2"/>
    <n v="2414"/>
    <s v="Autohaus Berlin"/>
  </r>
  <r>
    <s v="CUST_1921"/>
    <x v="5"/>
    <x v="3"/>
    <s v="Saturday"/>
    <s v="Yes"/>
    <x v="1"/>
    <x v="1"/>
    <s v="NRW"/>
    <x v="1"/>
    <s v="Grandland"/>
    <s v="Hybrid"/>
    <x v="0"/>
    <s v="26-35"/>
    <s v="Medium"/>
    <x v="0"/>
    <x v="1"/>
    <s v="Sales_12"/>
    <n v="337"/>
    <n v="133"/>
    <n v="92"/>
    <n v="25"/>
    <s v="18.8"/>
    <n v="22156"/>
    <s v="11.81"/>
    <n v="19958"/>
    <n v="553900"/>
    <n v="54950"/>
    <s v="Feb"/>
    <n v="2"/>
    <n v="2026"/>
    <s v="Weekend"/>
    <n v="0.27173913043478259"/>
    <n v="0.39465875370919884"/>
    <n v="7.418397626112759E-2"/>
    <n v="2198"/>
    <s v="Rhein Auto Group"/>
  </r>
  <r>
    <s v="CUST_1922"/>
    <x v="13"/>
    <x v="0"/>
    <s v="Friday"/>
    <s v="No"/>
    <x v="2"/>
    <x v="2"/>
    <s v="Lower Saxony"/>
    <x v="2"/>
    <s v="Q5"/>
    <s v="Diesel"/>
    <x v="0"/>
    <s v="50+"/>
    <s v="Low"/>
    <x v="1"/>
    <x v="0"/>
    <s v="Sales_12"/>
    <n v="180"/>
    <n v="110"/>
    <n v="76"/>
    <n v="23"/>
    <s v="20.91"/>
    <n v="50859"/>
    <s v="4.3"/>
    <n v="38990"/>
    <n v="1169757"/>
    <n v="272987"/>
    <s v="Feb"/>
    <n v="2"/>
    <n v="2026"/>
    <s v="Weekday"/>
    <n v="0.30263157894736842"/>
    <n v="0.61111111111111116"/>
    <n v="0.12777777777777777"/>
    <n v="11869"/>
    <s v="Hannover Cars"/>
  </r>
  <r>
    <s v="CUST_1923"/>
    <x v="2"/>
    <x v="2"/>
    <s v="Monday"/>
    <s v="No"/>
    <x v="6"/>
    <x v="6"/>
    <s v="Saxony"/>
    <x v="1"/>
    <s v="Mokka"/>
    <s v="Electric"/>
    <x v="0"/>
    <s v="36-50"/>
    <s v="Medium"/>
    <x v="1"/>
    <x v="0"/>
    <s v="Sales_18"/>
    <n v="350"/>
    <n v="192"/>
    <n v="132"/>
    <n v="22"/>
    <s v="11.46"/>
    <n v="24970"/>
    <s v="11.37"/>
    <n v="22708"/>
    <n v="549340"/>
    <n v="49764"/>
    <s v="Feb"/>
    <n v="2"/>
    <n v="2026"/>
    <s v="Weekday"/>
    <n v="0.16666666666666666"/>
    <n v="0.5485714285714286"/>
    <n v="6.2857142857142861E-2"/>
    <n v="2262"/>
    <s v="Leipzig Mobility"/>
  </r>
  <r>
    <s v="CUST_1924"/>
    <x v="3"/>
    <x v="1"/>
    <s v="Sunday"/>
    <s v="Yes"/>
    <x v="0"/>
    <x v="0"/>
    <s v="Hesse"/>
    <x v="3"/>
    <s v="C-Class"/>
    <s v="Petrol"/>
    <x v="1"/>
    <s v="36-50"/>
    <s v="Low"/>
    <x v="1"/>
    <x v="1"/>
    <s v="Sales_11"/>
    <n v="260"/>
    <n v="120"/>
    <n v="93"/>
    <n v="28"/>
    <s v="23.33"/>
    <n v="56750"/>
    <s v="2.47"/>
    <n v="42812"/>
    <n v="1589000"/>
    <n v="390264"/>
    <s v="Feb"/>
    <n v="2"/>
    <n v="2026"/>
    <s v="Weekend"/>
    <n v="0.30107526881720431"/>
    <n v="0.46153846153846156"/>
    <n v="0.1076923076923077"/>
    <n v="13938"/>
    <s v="Main Auto Hub"/>
  </r>
  <r>
    <s v="CUST_1925"/>
    <x v="18"/>
    <x v="0"/>
    <s v="Saturday"/>
    <s v="Yes"/>
    <x v="5"/>
    <x v="5"/>
    <s v="Hamburg"/>
    <x v="1"/>
    <s v="Mokka"/>
    <s v="Hybrid"/>
    <x v="0"/>
    <s v="26-35"/>
    <s v="Low"/>
    <x v="0"/>
    <x v="3"/>
    <s v="Sales_13"/>
    <n v="297"/>
    <n v="151"/>
    <n v="87"/>
    <n v="21"/>
    <s v="13.91"/>
    <n v="21074"/>
    <s v="13.5"/>
    <n v="19440"/>
    <n v="442554"/>
    <n v="34314"/>
    <s v="Feb"/>
    <n v="2"/>
    <n v="2026"/>
    <s v="Weekend"/>
    <n v="0.2413793103448276"/>
    <n v="0.50841750841750843"/>
    <n v="7.0707070707070704E-2"/>
    <n v="1634"/>
    <s v="Elbe Drive"/>
  </r>
  <r>
    <s v="CUST_1926"/>
    <x v="27"/>
    <x v="3"/>
    <s v="Sunday"/>
    <s v="Yes"/>
    <x v="6"/>
    <x v="6"/>
    <s v="Saxony"/>
    <x v="3"/>
    <s v="E-Class"/>
    <s v="Diesel"/>
    <x v="1"/>
    <s v="26-35"/>
    <s v="Medium"/>
    <x v="1"/>
    <x v="0"/>
    <s v="Sales_11"/>
    <n v="219"/>
    <n v="103"/>
    <n v="74"/>
    <n v="20"/>
    <s v="19.42"/>
    <n v="69546"/>
    <s v="3.69"/>
    <n v="51892"/>
    <n v="1390920"/>
    <n v="353080"/>
    <s v="Feb"/>
    <n v="2"/>
    <n v="2026"/>
    <s v="Weekend"/>
    <n v="0.27027027027027029"/>
    <n v="0.47031963470319632"/>
    <n v="9.1324200913242004E-2"/>
    <n v="17654"/>
    <s v="Leipzig Mobility"/>
  </r>
  <r>
    <s v="CUST_1927"/>
    <x v="0"/>
    <x v="0"/>
    <s v="Monday"/>
    <s v="No"/>
    <x v="7"/>
    <x v="7"/>
    <s v="Bavaria"/>
    <x v="0"/>
    <s v="5 Series"/>
    <s v="Diesel"/>
    <x v="1"/>
    <s v="18-25"/>
    <s v="High"/>
    <x v="0"/>
    <x v="2"/>
    <s v="Sales_11"/>
    <n v="272"/>
    <n v="165"/>
    <n v="113"/>
    <n v="56"/>
    <s v="33.94"/>
    <n v="58532"/>
    <s v="4.74"/>
    <n v="44764"/>
    <n v="3277792"/>
    <n v="771008"/>
    <s v="Feb"/>
    <n v="2"/>
    <n v="2026"/>
    <s v="Weekday"/>
    <n v="0.49557522123893805"/>
    <n v="0.60661764705882348"/>
    <n v="0.20588235294117646"/>
    <n v="13768"/>
    <s v="Bavaria Motors"/>
  </r>
  <r>
    <s v="CUST_1928"/>
    <x v="20"/>
    <x v="0"/>
    <s v="Thursday"/>
    <s v="No"/>
    <x v="2"/>
    <x v="2"/>
    <s v="Lower Saxony"/>
    <x v="0"/>
    <s v="3 Series"/>
    <s v="Diesel"/>
    <x v="1"/>
    <s v="18-25"/>
    <s v="High"/>
    <x v="0"/>
    <x v="3"/>
    <s v="Sales_19"/>
    <n v="212"/>
    <n v="106"/>
    <n v="77"/>
    <n v="28"/>
    <s v="26.42"/>
    <n v="51627"/>
    <s v="5.87"/>
    <n v="36317"/>
    <n v="1445556"/>
    <n v="428680"/>
    <s v="Feb"/>
    <n v="2"/>
    <n v="2026"/>
    <s v="Weekday"/>
    <n v="0.36363636363636365"/>
    <n v="0.5"/>
    <n v="0.13207547169811321"/>
    <n v="15310"/>
    <s v="Hannover Cars"/>
  </r>
  <r>
    <s v="CUST_1929"/>
    <x v="7"/>
    <x v="3"/>
    <s v="Monday"/>
    <s v="No"/>
    <x v="8"/>
    <x v="8"/>
    <s v="Baden-WÃ¼rttemberg"/>
    <x v="0"/>
    <s v="3 Series"/>
    <s v="Electric"/>
    <x v="1"/>
    <s v="26-35"/>
    <s v="Medium"/>
    <x v="1"/>
    <x v="2"/>
    <s v="Sales_4"/>
    <n v="240"/>
    <n v="128"/>
    <n v="100"/>
    <n v="37"/>
    <s v="28.91"/>
    <n v="50680"/>
    <s v="5.28"/>
    <n v="35672"/>
    <n v="1875160"/>
    <n v="555296"/>
    <s v="Feb"/>
    <n v="2"/>
    <n v="2026"/>
    <s v="Weekday"/>
    <n v="0.37"/>
    <n v="0.53333333333333333"/>
    <n v="0.15416666666666667"/>
    <n v="15008"/>
    <s v="Stuttgart Auto Center"/>
  </r>
  <r>
    <s v="CUST_1930"/>
    <x v="7"/>
    <x v="3"/>
    <s v="Monday"/>
    <s v="No"/>
    <x v="9"/>
    <x v="9"/>
    <s v="NRW"/>
    <x v="4"/>
    <s v="Golf"/>
    <s v="Hybrid"/>
    <x v="2"/>
    <s v="18-25"/>
    <s v="Medium"/>
    <x v="0"/>
    <x v="0"/>
    <s v="Sales_3"/>
    <n v="317"/>
    <n v="146"/>
    <n v="103"/>
    <n v="17"/>
    <s v="11.64"/>
    <n v="29183"/>
    <s v="8.36"/>
    <n v="25891"/>
    <n v="496111"/>
    <n v="55964"/>
    <s v="Feb"/>
    <n v="2"/>
    <n v="2026"/>
    <s v="Weekday"/>
    <n v="0.1650485436893204"/>
    <n v="0.4605678233438486"/>
    <n v="5.362776025236593E-2"/>
    <n v="3292"/>
    <s v="Ruhr Auto Plaza"/>
  </r>
  <r>
    <s v="CUST_1931"/>
    <x v="19"/>
    <x v="1"/>
    <s v="Saturday"/>
    <s v="Yes"/>
    <x v="3"/>
    <x v="3"/>
    <s v="Saxony"/>
    <x v="3"/>
    <s v="GLE"/>
    <s v="Hybrid"/>
    <x v="0"/>
    <s v="18-25"/>
    <s v="High"/>
    <x v="1"/>
    <x v="0"/>
    <s v="Sales_1"/>
    <n v="211"/>
    <n v="108"/>
    <n v="78"/>
    <n v="22"/>
    <s v="20.37"/>
    <n v="65235"/>
    <s v="5.79"/>
    <n v="46934"/>
    <n v="1435170"/>
    <n v="402622"/>
    <s v="Feb"/>
    <n v="2"/>
    <n v="2026"/>
    <s v="Weekend"/>
    <n v="0.28205128205128205"/>
    <n v="0.51184834123222744"/>
    <n v="0.10426540284360189"/>
    <n v="18301"/>
    <s v="Saxon Wheels"/>
  </r>
  <r>
    <s v="CUST_1932"/>
    <x v="15"/>
    <x v="2"/>
    <s v="Thursday"/>
    <s v="No"/>
    <x v="1"/>
    <x v="1"/>
    <s v="NRW"/>
    <x v="0"/>
    <s v="X5"/>
    <s v="Diesel"/>
    <x v="0"/>
    <s v="50+"/>
    <s v="Low"/>
    <x v="1"/>
    <x v="2"/>
    <s v="Sales_3"/>
    <n v="218"/>
    <n v="130"/>
    <n v="100"/>
    <n v="38"/>
    <s v="29.23"/>
    <n v="62330"/>
    <s v="4.2"/>
    <n v="48224"/>
    <n v="2368540"/>
    <n v="536028"/>
    <s v="Feb"/>
    <n v="2"/>
    <n v="2026"/>
    <s v="Weekday"/>
    <n v="0.38"/>
    <n v="0.59633027522935778"/>
    <n v="0.1743119266055046"/>
    <n v="14106"/>
    <s v="Rhein Auto Group"/>
  </r>
  <r>
    <s v="CUST_1933"/>
    <x v="21"/>
    <x v="0"/>
    <s v="Tuesday"/>
    <s v="No"/>
    <x v="6"/>
    <x v="6"/>
    <s v="Saxony"/>
    <x v="4"/>
    <s v="Passat"/>
    <s v="Hybrid"/>
    <x v="1"/>
    <s v="26-35"/>
    <s v="Low"/>
    <x v="0"/>
    <x v="2"/>
    <s v="Sales_3"/>
    <n v="273"/>
    <n v="139"/>
    <n v="97"/>
    <n v="27"/>
    <s v="19.42"/>
    <n v="29406"/>
    <s v="7.85"/>
    <n v="26668"/>
    <n v="793962"/>
    <n v="73926"/>
    <s v="Feb"/>
    <n v="2"/>
    <n v="2026"/>
    <s v="Weekday"/>
    <n v="0.27835051546391754"/>
    <n v="0.50915750915750912"/>
    <n v="9.8901098901098897E-2"/>
    <n v="2738"/>
    <s v="Leipzig Mobility"/>
  </r>
  <r>
    <s v="CUST_1934"/>
    <x v="16"/>
    <x v="1"/>
    <s v="Tuesday"/>
    <s v="No"/>
    <x v="7"/>
    <x v="7"/>
    <s v="Bavaria"/>
    <x v="0"/>
    <s v="i4"/>
    <s v="Diesel"/>
    <x v="1"/>
    <s v="18-25"/>
    <s v="High"/>
    <x v="1"/>
    <x v="0"/>
    <s v="Sales_19"/>
    <n v="212"/>
    <n v="111"/>
    <n v="84"/>
    <n v="33"/>
    <s v="29.73"/>
    <n v="58733"/>
    <s v="4.79"/>
    <n v="42577"/>
    <n v="1938189"/>
    <n v="533148"/>
    <s v="Feb"/>
    <n v="2"/>
    <n v="2026"/>
    <s v="Weekday"/>
    <n v="0.39285714285714285"/>
    <n v="0.52358490566037741"/>
    <n v="0.15566037735849056"/>
    <n v="16156"/>
    <s v="Bavaria Motors"/>
  </r>
  <r>
    <s v="CUST_1935"/>
    <x v="17"/>
    <x v="2"/>
    <s v="Sunday"/>
    <s v="Yes"/>
    <x v="8"/>
    <x v="8"/>
    <s v="Baden-WÃ¼rttemberg"/>
    <x v="3"/>
    <s v="C-Class"/>
    <s v="Hybrid"/>
    <x v="1"/>
    <s v="50+"/>
    <s v="Medium"/>
    <x v="1"/>
    <x v="1"/>
    <s v="Sales_11"/>
    <n v="147"/>
    <n v="70"/>
    <n v="53"/>
    <n v="18"/>
    <s v="25.71"/>
    <n v="59415"/>
    <s v="4.04"/>
    <n v="45440"/>
    <n v="1069470"/>
    <n v="251550"/>
    <s v="Feb"/>
    <n v="2"/>
    <n v="2026"/>
    <s v="Weekend"/>
    <n v="0.33962264150943394"/>
    <n v="0.47619047619047616"/>
    <n v="0.12244897959183673"/>
    <n v="13975"/>
    <s v="Stuttgart Auto Center"/>
  </r>
  <r>
    <s v="CUST_1936"/>
    <x v="2"/>
    <x v="2"/>
    <s v="Monday"/>
    <s v="No"/>
    <x v="3"/>
    <x v="3"/>
    <s v="Saxony"/>
    <x v="3"/>
    <s v="GLC"/>
    <s v="Petrol"/>
    <x v="0"/>
    <s v="26-35"/>
    <s v="Medium"/>
    <x v="0"/>
    <x v="3"/>
    <s v="Sales_14"/>
    <n v="187"/>
    <n v="84"/>
    <n v="66"/>
    <n v="20"/>
    <s v="23.81"/>
    <n v="52655"/>
    <s v="3.74"/>
    <n v="40287"/>
    <n v="1053100"/>
    <n v="247360"/>
    <s v="Feb"/>
    <n v="2"/>
    <n v="2026"/>
    <s v="Weekday"/>
    <n v="0.30303030303030304"/>
    <n v="0.44919786096256686"/>
    <n v="0.10695187165775401"/>
    <n v="12368"/>
    <s v="Saxon Wheels"/>
  </r>
  <r>
    <s v="CUST_1937"/>
    <x v="26"/>
    <x v="1"/>
    <s v="Friday"/>
    <s v="No"/>
    <x v="4"/>
    <x v="4"/>
    <s v="Berlin"/>
    <x v="2"/>
    <s v="Q3"/>
    <s v="Electric"/>
    <x v="0"/>
    <s v="36-50"/>
    <s v="Low"/>
    <x v="1"/>
    <x v="1"/>
    <s v="Sales_18"/>
    <n v="258"/>
    <n v="155"/>
    <n v="117"/>
    <n v="36"/>
    <s v="23.23"/>
    <n v="51443"/>
    <s v="5.06"/>
    <n v="39274"/>
    <n v="1851948"/>
    <n v="438084"/>
    <s v="Feb"/>
    <n v="2"/>
    <n v="2026"/>
    <s v="Weekday"/>
    <n v="0.30769230769230771"/>
    <n v="0.60077519379844957"/>
    <n v="0.13953488372093023"/>
    <n v="12169"/>
    <s v="Autohaus Berlin"/>
  </r>
  <r>
    <s v="CUST_1938"/>
    <x v="8"/>
    <x v="3"/>
    <s v="Wednesday"/>
    <s v="No"/>
    <x v="2"/>
    <x v="2"/>
    <s v="Lower Saxony"/>
    <x v="0"/>
    <s v="X5"/>
    <s v="Diesel"/>
    <x v="0"/>
    <s v="26-35"/>
    <s v="Medium"/>
    <x v="0"/>
    <x v="3"/>
    <s v="Sales_14"/>
    <n v="147"/>
    <n v="81"/>
    <n v="61"/>
    <n v="21"/>
    <s v="25.93"/>
    <n v="57388"/>
    <s v="5.13"/>
    <n v="44172"/>
    <n v="1205148"/>
    <n v="277536"/>
    <s v="Feb"/>
    <n v="2"/>
    <n v="2026"/>
    <s v="Weekday"/>
    <n v="0.34426229508196721"/>
    <n v="0.55102040816326525"/>
    <n v="0.14285714285714285"/>
    <n v="13216"/>
    <s v="Hannover Cars"/>
  </r>
  <r>
    <s v="CUST_1939"/>
    <x v="8"/>
    <x v="3"/>
    <s v="Wednesday"/>
    <s v="No"/>
    <x v="6"/>
    <x v="6"/>
    <s v="Saxony"/>
    <x v="1"/>
    <s v="Astra"/>
    <s v="Electric"/>
    <x v="2"/>
    <s v="18-25"/>
    <s v="Medium"/>
    <x v="0"/>
    <x v="1"/>
    <s v="Sales_2"/>
    <n v="255"/>
    <n v="102"/>
    <n v="61"/>
    <n v="16"/>
    <s v="15.69"/>
    <n v="23899"/>
    <s v="11.3"/>
    <n v="22192"/>
    <n v="382384"/>
    <n v="27312"/>
    <s v="Feb"/>
    <n v="2"/>
    <n v="2026"/>
    <s v="Weekday"/>
    <n v="0.26229508196721313"/>
    <n v="0.4"/>
    <n v="6.2745098039215685E-2"/>
    <n v="1707"/>
    <s v="Leipzig Mobility"/>
  </r>
  <r>
    <s v="CUST_1940"/>
    <x v="25"/>
    <x v="3"/>
    <s v="Friday"/>
    <s v="No"/>
    <x v="2"/>
    <x v="2"/>
    <s v="Lower Saxony"/>
    <x v="3"/>
    <s v="EQE"/>
    <s v="Electric"/>
    <x v="1"/>
    <s v="50+"/>
    <s v="Medium"/>
    <x v="1"/>
    <x v="2"/>
    <s v="Sales_19"/>
    <n v="227"/>
    <n v="128"/>
    <n v="90"/>
    <n v="34"/>
    <s v="26.56"/>
    <n v="52199"/>
    <s v="2.6"/>
    <n v="38526"/>
    <n v="1774766"/>
    <n v="464882"/>
    <s v="Feb"/>
    <n v="2"/>
    <n v="2026"/>
    <s v="Weekday"/>
    <n v="0.37777777777777777"/>
    <n v="0.56387665198237891"/>
    <n v="0.14977973568281938"/>
    <n v="13673"/>
    <s v="Hannover Cars"/>
  </r>
  <r>
    <s v="CUST_1941"/>
    <x v="2"/>
    <x v="2"/>
    <s v="Monday"/>
    <s v="No"/>
    <x v="7"/>
    <x v="7"/>
    <s v="Bavaria"/>
    <x v="1"/>
    <s v="Mokka"/>
    <s v="Electric"/>
    <x v="0"/>
    <s v="36-50"/>
    <s v="Medium"/>
    <x v="1"/>
    <x v="2"/>
    <s v="Sales_12"/>
    <n v="372"/>
    <n v="171"/>
    <n v="110"/>
    <n v="33"/>
    <s v="19.3"/>
    <n v="23894"/>
    <s v="7.65"/>
    <n v="21485"/>
    <n v="788502"/>
    <n v="79497"/>
    <s v="Feb"/>
    <n v="2"/>
    <n v="2026"/>
    <s v="Weekday"/>
    <n v="0.3"/>
    <n v="0.45967741935483869"/>
    <n v="8.8709677419354843E-2"/>
    <n v="2409"/>
    <s v="Bavaria Motors"/>
  </r>
  <r>
    <s v="CUST_1942"/>
    <x v="23"/>
    <x v="2"/>
    <s v="Tuesday"/>
    <s v="No"/>
    <x v="5"/>
    <x v="5"/>
    <s v="Hamburg"/>
    <x v="0"/>
    <s v="i4"/>
    <s v="Petrol"/>
    <x v="1"/>
    <s v="18-25"/>
    <s v="High"/>
    <x v="0"/>
    <x v="0"/>
    <s v="Sales_17"/>
    <n v="160"/>
    <n v="84"/>
    <n v="67"/>
    <n v="22"/>
    <s v="26.19"/>
    <n v="50480"/>
    <s v="3.31"/>
    <n v="38462"/>
    <n v="1110560"/>
    <n v="264396"/>
    <s v="Feb"/>
    <n v="2"/>
    <n v="2026"/>
    <s v="Weekday"/>
    <n v="0.32835820895522388"/>
    <n v="0.52500000000000002"/>
    <n v="0.13750000000000001"/>
    <n v="12018"/>
    <s v="Elbe Drive"/>
  </r>
  <r>
    <s v="CUST_1943"/>
    <x v="10"/>
    <x v="1"/>
    <s v="Monday"/>
    <s v="No"/>
    <x v="2"/>
    <x v="2"/>
    <s v="Lower Saxony"/>
    <x v="0"/>
    <s v="i4"/>
    <s v="Petrol"/>
    <x v="1"/>
    <s v="50+"/>
    <s v="Medium"/>
    <x v="0"/>
    <x v="1"/>
    <s v="Sales_9"/>
    <n v="188"/>
    <n v="103"/>
    <n v="78"/>
    <n v="30"/>
    <s v="29.13"/>
    <n v="64852"/>
    <s v="5.98"/>
    <n v="49330"/>
    <n v="1945560"/>
    <n v="465660"/>
    <s v="Feb"/>
    <n v="2"/>
    <n v="2026"/>
    <s v="Weekday"/>
    <n v="0.38461538461538464"/>
    <n v="0.5478723404255319"/>
    <n v="0.15957446808510639"/>
    <n v="15522"/>
    <s v="Hannover Cars"/>
  </r>
  <r>
    <s v="CUST_1944"/>
    <x v="0"/>
    <x v="0"/>
    <s v="Monday"/>
    <s v="No"/>
    <x v="9"/>
    <x v="9"/>
    <s v="NRW"/>
    <x v="2"/>
    <s v="A4"/>
    <s v="Diesel"/>
    <x v="1"/>
    <s v="18-25"/>
    <s v="Low"/>
    <x v="0"/>
    <x v="2"/>
    <s v="Sales_15"/>
    <n v="204"/>
    <n v="97"/>
    <n v="75"/>
    <n v="24"/>
    <s v="24.74"/>
    <n v="53431"/>
    <s v="4.89"/>
    <n v="43759"/>
    <n v="1282344"/>
    <n v="232128"/>
    <s v="Feb"/>
    <n v="2"/>
    <n v="2026"/>
    <s v="Weekday"/>
    <n v="0.32"/>
    <n v="0.47549019607843135"/>
    <n v="0.11764705882352941"/>
    <n v="9672"/>
    <s v="Ruhr Auto Plaza"/>
  </r>
  <r>
    <s v="CUST_1945"/>
    <x v="25"/>
    <x v="3"/>
    <s v="Friday"/>
    <s v="No"/>
    <x v="7"/>
    <x v="7"/>
    <s v="Bavaria"/>
    <x v="3"/>
    <s v="E-Class"/>
    <s v="Diesel"/>
    <x v="1"/>
    <s v="50+"/>
    <s v="Low"/>
    <x v="1"/>
    <x v="1"/>
    <s v="Sales_20"/>
    <n v="185"/>
    <n v="104"/>
    <n v="73"/>
    <n v="27"/>
    <s v="25.96"/>
    <n v="52012"/>
    <s v="5.77"/>
    <n v="39678"/>
    <n v="1404324"/>
    <n v="333018"/>
    <s v="Feb"/>
    <n v="2"/>
    <n v="2026"/>
    <s v="Weekday"/>
    <n v="0.36986301369863012"/>
    <n v="0.56216216216216219"/>
    <n v="0.14594594594594595"/>
    <n v="12334"/>
    <s v="Bavaria Motors"/>
  </r>
  <r>
    <s v="CUST_1946"/>
    <x v="4"/>
    <x v="2"/>
    <s v="Wednesday"/>
    <s v="No"/>
    <x v="0"/>
    <x v="0"/>
    <s v="Hesse"/>
    <x v="2"/>
    <s v="Q5"/>
    <s v="Hybrid"/>
    <x v="0"/>
    <s v="36-50"/>
    <s v="Low"/>
    <x v="0"/>
    <x v="2"/>
    <s v="Sales_10"/>
    <n v="241"/>
    <n v="146"/>
    <n v="110"/>
    <n v="40"/>
    <s v="27.4"/>
    <n v="48352"/>
    <s v="5.04"/>
    <n v="38064"/>
    <n v="1934080"/>
    <n v="411520"/>
    <s v="Feb"/>
    <n v="2"/>
    <n v="2026"/>
    <s v="Weekday"/>
    <n v="0.36363636363636365"/>
    <n v="0.60580912863070535"/>
    <n v="0.16597510373443983"/>
    <n v="10288"/>
    <s v="Main Auto Hub"/>
  </r>
  <r>
    <s v="CUST_1947"/>
    <x v="11"/>
    <x v="0"/>
    <s v="Wednesday"/>
    <s v="No"/>
    <x v="7"/>
    <x v="7"/>
    <s v="Bavaria"/>
    <x v="3"/>
    <s v="GLC"/>
    <s v="Electric"/>
    <x v="0"/>
    <s v="18-25"/>
    <s v="Medium"/>
    <x v="1"/>
    <x v="0"/>
    <s v="Sales_4"/>
    <n v="215"/>
    <n v="115"/>
    <n v="82"/>
    <n v="26"/>
    <s v="22.61"/>
    <n v="53050"/>
    <s v="5.36"/>
    <n v="38546"/>
    <n v="1379300"/>
    <n v="377104"/>
    <s v="Feb"/>
    <n v="2"/>
    <n v="2026"/>
    <s v="Weekday"/>
    <n v="0.31707317073170732"/>
    <n v="0.53488372093023251"/>
    <n v="0.12093023255813953"/>
    <n v="14504"/>
    <s v="Bavaria Motors"/>
  </r>
  <r>
    <s v="CUST_1948"/>
    <x v="17"/>
    <x v="2"/>
    <s v="Sunday"/>
    <s v="Yes"/>
    <x v="7"/>
    <x v="7"/>
    <s v="Bavaria"/>
    <x v="2"/>
    <s v="A4"/>
    <s v="Petrol"/>
    <x v="1"/>
    <s v="26-35"/>
    <s v="Medium"/>
    <x v="1"/>
    <x v="1"/>
    <s v="Sales_17"/>
    <n v="236"/>
    <n v="136"/>
    <n v="104"/>
    <n v="33"/>
    <s v="24.26"/>
    <n v="51172"/>
    <s v="3.23"/>
    <n v="41887"/>
    <n v="1688676"/>
    <n v="306405"/>
    <s v="Feb"/>
    <n v="2"/>
    <n v="2026"/>
    <s v="Weekend"/>
    <n v="0.31730769230769229"/>
    <n v="0.57627118644067798"/>
    <n v="0.13983050847457626"/>
    <n v="9285"/>
    <s v="Bavaria Motors"/>
  </r>
  <r>
    <s v="CUST_1949"/>
    <x v="16"/>
    <x v="1"/>
    <s v="Tuesday"/>
    <s v="No"/>
    <x v="5"/>
    <x v="5"/>
    <s v="Hamburg"/>
    <x v="4"/>
    <s v="Golf"/>
    <s v="Hybrid"/>
    <x v="2"/>
    <s v="50+"/>
    <s v="Medium"/>
    <x v="0"/>
    <x v="3"/>
    <s v="Sales_7"/>
    <n v="455"/>
    <n v="233"/>
    <n v="163"/>
    <n v="39"/>
    <s v="16.74"/>
    <n v="27939"/>
    <s v="9.73"/>
    <n v="24752"/>
    <n v="1089621"/>
    <n v="124293"/>
    <s v="Feb"/>
    <n v="2"/>
    <n v="2026"/>
    <s v="Weekday"/>
    <n v="0.2392638036809816"/>
    <n v="0.51208791208791204"/>
    <n v="8.5714285714285715E-2"/>
    <n v="3187"/>
    <s v="Elbe Drive"/>
  </r>
  <r>
    <s v="CUST_1950"/>
    <x v="16"/>
    <x v="1"/>
    <s v="Tuesday"/>
    <s v="No"/>
    <x v="1"/>
    <x v="1"/>
    <s v="NRW"/>
    <x v="0"/>
    <s v="i4"/>
    <s v="Diesel"/>
    <x v="1"/>
    <s v="36-50"/>
    <s v="High"/>
    <x v="1"/>
    <x v="3"/>
    <s v="Sales_1"/>
    <n v="261"/>
    <n v="146"/>
    <n v="113"/>
    <n v="37"/>
    <s v="25.34"/>
    <n v="58263"/>
    <s v="2.11"/>
    <n v="43178"/>
    <n v="2155731"/>
    <n v="558145"/>
    <s v="Feb"/>
    <n v="2"/>
    <n v="2026"/>
    <s v="Weekday"/>
    <n v="0.32743362831858408"/>
    <n v="0.55938697318007657"/>
    <n v="0.1417624521072797"/>
    <n v="15085"/>
    <s v="Rhein Auto Group"/>
  </r>
  <r>
    <s v="CUST_1951"/>
    <x v="11"/>
    <x v="0"/>
    <s v="Wednesday"/>
    <s v="No"/>
    <x v="2"/>
    <x v="2"/>
    <s v="Lower Saxony"/>
    <x v="3"/>
    <s v="EQE"/>
    <s v="Electric"/>
    <x v="1"/>
    <s v="18-25"/>
    <s v="Low"/>
    <x v="1"/>
    <x v="3"/>
    <s v="Sales_12"/>
    <n v="179"/>
    <n v="91"/>
    <n v="71"/>
    <n v="21"/>
    <s v="23.08"/>
    <n v="68547"/>
    <s v="5.84"/>
    <n v="53254"/>
    <n v="1439487"/>
    <n v="321153"/>
    <s v="Feb"/>
    <n v="2"/>
    <n v="2026"/>
    <s v="Weekday"/>
    <n v="0.29577464788732394"/>
    <n v="0.50837988826815639"/>
    <n v="0.11731843575418995"/>
    <n v="15293"/>
    <s v="Hannover Cars"/>
  </r>
  <r>
    <s v="CUST_1952"/>
    <x v="15"/>
    <x v="2"/>
    <s v="Thursday"/>
    <s v="No"/>
    <x v="2"/>
    <x v="2"/>
    <s v="Lower Saxony"/>
    <x v="2"/>
    <s v="e-tron"/>
    <s v="Diesel"/>
    <x v="0"/>
    <s v="18-25"/>
    <s v="Medium"/>
    <x v="0"/>
    <x v="0"/>
    <s v="Sales_18"/>
    <n v="167"/>
    <n v="90"/>
    <n v="67"/>
    <n v="19"/>
    <s v="21.11"/>
    <n v="48259"/>
    <s v="4.18"/>
    <n v="37308"/>
    <n v="916921"/>
    <n v="208069"/>
    <s v="Feb"/>
    <n v="2"/>
    <n v="2026"/>
    <s v="Weekday"/>
    <n v="0.28358208955223879"/>
    <n v="0.53892215568862278"/>
    <n v="0.11377245508982035"/>
    <n v="10951"/>
    <s v="Hannover Cars"/>
  </r>
  <r>
    <s v="CUST_1953"/>
    <x v="24"/>
    <x v="1"/>
    <s v="Thursday"/>
    <s v="No"/>
    <x v="3"/>
    <x v="3"/>
    <s v="Saxony"/>
    <x v="2"/>
    <s v="Q3"/>
    <s v="Hybrid"/>
    <x v="0"/>
    <s v="26-35"/>
    <s v="High"/>
    <x v="0"/>
    <x v="1"/>
    <s v="Sales_11"/>
    <n v="179"/>
    <n v="98"/>
    <n v="70"/>
    <n v="23"/>
    <s v="23.47"/>
    <n v="52748"/>
    <s v="5.18"/>
    <n v="42622"/>
    <n v="1213204"/>
    <n v="232898"/>
    <s v="Feb"/>
    <n v="2"/>
    <n v="2026"/>
    <s v="Weekday"/>
    <n v="0.32857142857142857"/>
    <n v="0.54748603351955305"/>
    <n v="0.12849162011173185"/>
    <n v="10126"/>
    <s v="Saxon Wheels"/>
  </r>
  <r>
    <s v="CUST_1954"/>
    <x v="24"/>
    <x v="1"/>
    <s v="Thursday"/>
    <s v="No"/>
    <x v="8"/>
    <x v="8"/>
    <s v="Baden-WÃ¼rttemberg"/>
    <x v="3"/>
    <s v="EQE"/>
    <s v="Diesel"/>
    <x v="1"/>
    <s v="26-35"/>
    <s v="Medium"/>
    <x v="0"/>
    <x v="2"/>
    <s v="Sales_15"/>
    <n v="197"/>
    <n v="89"/>
    <n v="59"/>
    <n v="26"/>
    <s v="29.21"/>
    <n v="55736"/>
    <s v="2.18"/>
    <n v="43234"/>
    <n v="1449136"/>
    <n v="325052"/>
    <s v="Feb"/>
    <n v="2"/>
    <n v="2026"/>
    <s v="Weekday"/>
    <n v="0.44067796610169491"/>
    <n v="0.45177664974619292"/>
    <n v="0.13197969543147209"/>
    <n v="12502"/>
    <s v="Stuttgart Auto Center"/>
  </r>
  <r>
    <s v="CUST_1955"/>
    <x v="15"/>
    <x v="2"/>
    <s v="Thursday"/>
    <s v="No"/>
    <x v="8"/>
    <x v="8"/>
    <s v="Baden-WÃ¼rttemberg"/>
    <x v="3"/>
    <s v="C-Class"/>
    <s v="Diesel"/>
    <x v="1"/>
    <s v="26-35"/>
    <s v="High"/>
    <x v="1"/>
    <x v="2"/>
    <s v="Sales_18"/>
    <n v="158"/>
    <n v="85"/>
    <n v="57"/>
    <n v="24"/>
    <s v="28.24"/>
    <n v="50773"/>
    <s v="3.5"/>
    <n v="36525"/>
    <n v="1218552"/>
    <n v="341952"/>
    <s v="Feb"/>
    <n v="2"/>
    <n v="2026"/>
    <s v="Weekday"/>
    <n v="0.42105263157894735"/>
    <n v="0.53797468354430378"/>
    <n v="0.15189873417721519"/>
    <n v="14248"/>
    <s v="Stuttgart Auto Center"/>
  </r>
  <r>
    <s v="CUST_1956"/>
    <x v="17"/>
    <x v="2"/>
    <s v="Sunday"/>
    <s v="Yes"/>
    <x v="9"/>
    <x v="9"/>
    <s v="NRW"/>
    <x v="2"/>
    <s v="Q3"/>
    <s v="Electric"/>
    <x v="0"/>
    <s v="18-25"/>
    <s v="Medium"/>
    <x v="0"/>
    <x v="1"/>
    <s v="Sales_1"/>
    <n v="254"/>
    <n v="121"/>
    <n v="84"/>
    <n v="28"/>
    <s v="23.14"/>
    <n v="42216"/>
    <s v="4.42"/>
    <n v="34282"/>
    <n v="1182048"/>
    <n v="222152"/>
    <s v="Feb"/>
    <n v="2"/>
    <n v="2026"/>
    <s v="Weekend"/>
    <n v="0.33333333333333331"/>
    <n v="0.4763779527559055"/>
    <n v="0.11023622047244094"/>
    <n v="7934"/>
    <s v="Ruhr Auto Plaza"/>
  </r>
  <r>
    <s v="CUST_1957"/>
    <x v="0"/>
    <x v="0"/>
    <s v="Monday"/>
    <s v="No"/>
    <x v="7"/>
    <x v="7"/>
    <s v="Bavaria"/>
    <x v="2"/>
    <s v="A3"/>
    <s v="Petrol"/>
    <x v="2"/>
    <s v="18-25"/>
    <s v="Low"/>
    <x v="1"/>
    <x v="1"/>
    <s v="Sales_14"/>
    <n v="317"/>
    <n v="196"/>
    <n v="141"/>
    <n v="49"/>
    <s v="25.0"/>
    <n v="51656"/>
    <s v="4.97"/>
    <n v="41700"/>
    <n v="2531144"/>
    <n v="487844"/>
    <s v="Feb"/>
    <n v="2"/>
    <n v="2026"/>
    <s v="Weekday"/>
    <n v="0.3475177304964539"/>
    <n v="0.6182965299684543"/>
    <n v="0.15457413249211358"/>
    <n v="9956"/>
    <s v="Bavaria Motors"/>
  </r>
  <r>
    <s v="CUST_1958"/>
    <x v="18"/>
    <x v="0"/>
    <s v="Saturday"/>
    <s v="Yes"/>
    <x v="0"/>
    <x v="0"/>
    <s v="Hesse"/>
    <x v="4"/>
    <s v="Golf"/>
    <s v="Petrol"/>
    <x v="2"/>
    <s v="18-25"/>
    <s v="Low"/>
    <x v="0"/>
    <x v="1"/>
    <s v="Sales_5"/>
    <n v="269"/>
    <n v="122"/>
    <n v="71"/>
    <n v="19"/>
    <s v="15.57"/>
    <n v="30724"/>
    <s v="11.84"/>
    <n v="27853"/>
    <n v="583756"/>
    <n v="54549"/>
    <s v="Feb"/>
    <n v="2"/>
    <n v="2026"/>
    <s v="Weekend"/>
    <n v="0.26760563380281688"/>
    <n v="0.45353159851301117"/>
    <n v="7.0631970260223054E-2"/>
    <n v="2871"/>
    <s v="Main Auto Hub"/>
  </r>
  <r>
    <s v="CUST_1959"/>
    <x v="17"/>
    <x v="2"/>
    <s v="Sunday"/>
    <s v="Yes"/>
    <x v="6"/>
    <x v="6"/>
    <s v="Saxony"/>
    <x v="3"/>
    <s v="GLE"/>
    <s v="Hybrid"/>
    <x v="0"/>
    <s v="36-50"/>
    <s v="Low"/>
    <x v="0"/>
    <x v="0"/>
    <s v="Sales_4"/>
    <n v="151"/>
    <n v="88"/>
    <n v="62"/>
    <n v="21"/>
    <s v="23.86"/>
    <n v="52745"/>
    <s v="2.71"/>
    <n v="40327"/>
    <n v="1107645"/>
    <n v="260778"/>
    <s v="Feb"/>
    <n v="2"/>
    <n v="2026"/>
    <s v="Weekend"/>
    <n v="0.33870967741935482"/>
    <n v="0.58278145695364236"/>
    <n v="0.13907284768211919"/>
    <n v="12418"/>
    <s v="Leipzig Mobility"/>
  </r>
  <r>
    <s v="CUST_1960"/>
    <x v="9"/>
    <x v="0"/>
    <s v="Sunday"/>
    <s v="Yes"/>
    <x v="6"/>
    <x v="6"/>
    <s v="Saxony"/>
    <x v="2"/>
    <s v="Q3"/>
    <s v="Electric"/>
    <x v="0"/>
    <s v="50+"/>
    <s v="Low"/>
    <x v="1"/>
    <x v="0"/>
    <s v="Sales_6"/>
    <n v="295"/>
    <n v="139"/>
    <n v="94"/>
    <n v="24"/>
    <s v="17.27"/>
    <n v="41721"/>
    <s v="6.05"/>
    <n v="33107"/>
    <n v="1001304"/>
    <n v="206736"/>
    <s v="Feb"/>
    <n v="2"/>
    <n v="2026"/>
    <s v="Weekend"/>
    <n v="0.25531914893617019"/>
    <n v="0.47118644067796611"/>
    <n v="8.1355932203389825E-2"/>
    <n v="8614"/>
    <s v="Leipzig Mobility"/>
  </r>
  <r>
    <s v="CUST_1961"/>
    <x v="25"/>
    <x v="3"/>
    <s v="Friday"/>
    <s v="No"/>
    <x v="3"/>
    <x v="3"/>
    <s v="Saxony"/>
    <x v="4"/>
    <s v="ID.4"/>
    <s v="Diesel"/>
    <x v="0"/>
    <s v="18-25"/>
    <s v="High"/>
    <x v="0"/>
    <x v="2"/>
    <s v="Sales_2"/>
    <n v="480"/>
    <n v="193"/>
    <n v="136"/>
    <n v="40"/>
    <s v="20.73"/>
    <n v="32595"/>
    <s v="9.95"/>
    <n v="29123"/>
    <n v="1303800"/>
    <n v="138880"/>
    <s v="Feb"/>
    <n v="2"/>
    <n v="2026"/>
    <s v="Weekday"/>
    <n v="0.29411764705882354"/>
    <n v="0.40208333333333335"/>
    <n v="8.3333333333333329E-2"/>
    <n v="3472"/>
    <s v="Saxon Wheels"/>
  </r>
  <r>
    <s v="CUST_1962"/>
    <x v="15"/>
    <x v="2"/>
    <s v="Thursday"/>
    <s v="No"/>
    <x v="7"/>
    <x v="7"/>
    <s v="Bavaria"/>
    <x v="2"/>
    <s v="A3"/>
    <s v="Petrol"/>
    <x v="2"/>
    <s v="36-50"/>
    <s v="High"/>
    <x v="0"/>
    <x v="2"/>
    <s v="Sales_6"/>
    <n v="168"/>
    <n v="94"/>
    <n v="68"/>
    <n v="25"/>
    <s v="26.6"/>
    <n v="43828"/>
    <s v="5.64"/>
    <n v="34890"/>
    <n v="1095700"/>
    <n v="223450"/>
    <s v="Feb"/>
    <n v="2"/>
    <n v="2026"/>
    <s v="Weekday"/>
    <n v="0.36764705882352944"/>
    <n v="0.55952380952380953"/>
    <n v="0.14880952380952381"/>
    <n v="8938"/>
    <s v="Bavaria Motors"/>
  </r>
  <r>
    <s v="CUST_1963"/>
    <x v="12"/>
    <x v="3"/>
    <s v="Thursday"/>
    <s v="No"/>
    <x v="1"/>
    <x v="1"/>
    <s v="NRW"/>
    <x v="2"/>
    <s v="A3"/>
    <s v="Hybrid"/>
    <x v="2"/>
    <s v="36-50"/>
    <s v="Low"/>
    <x v="0"/>
    <x v="2"/>
    <s v="Sales_14"/>
    <n v="185"/>
    <n v="90"/>
    <n v="67"/>
    <n v="25"/>
    <s v="27.78"/>
    <n v="50660"/>
    <s v="4.16"/>
    <n v="39405"/>
    <n v="1266500"/>
    <n v="281375"/>
    <s v="Feb"/>
    <n v="2"/>
    <n v="2026"/>
    <s v="Weekday"/>
    <n v="0.37313432835820898"/>
    <n v="0.48648648648648651"/>
    <n v="0.13513513513513514"/>
    <n v="11255"/>
    <s v="Rhein Auto Group"/>
  </r>
  <r>
    <s v="CUST_1964"/>
    <x v="25"/>
    <x v="3"/>
    <s v="Friday"/>
    <s v="No"/>
    <x v="5"/>
    <x v="5"/>
    <s v="Hamburg"/>
    <x v="4"/>
    <s v="Golf"/>
    <s v="Hybrid"/>
    <x v="2"/>
    <s v="26-35"/>
    <s v="High"/>
    <x v="1"/>
    <x v="1"/>
    <s v="Sales_1"/>
    <n v="275"/>
    <n v="121"/>
    <n v="84"/>
    <n v="20"/>
    <s v="16.53"/>
    <n v="28178"/>
    <s v="6.83"/>
    <n v="25432"/>
    <n v="563560"/>
    <n v="54920"/>
    <s v="Feb"/>
    <n v="2"/>
    <n v="2026"/>
    <s v="Weekday"/>
    <n v="0.23809523809523808"/>
    <n v="0.44"/>
    <n v="7.2727272727272724E-2"/>
    <n v="2746"/>
    <s v="Elbe Drive"/>
  </r>
  <r>
    <s v="CUST_1965"/>
    <x v="12"/>
    <x v="3"/>
    <s v="Thursday"/>
    <s v="No"/>
    <x v="0"/>
    <x v="0"/>
    <s v="Hesse"/>
    <x v="2"/>
    <s v="A4"/>
    <s v="Electric"/>
    <x v="1"/>
    <s v="36-50"/>
    <s v="Medium"/>
    <x v="0"/>
    <x v="3"/>
    <s v="Sales_10"/>
    <n v="263"/>
    <n v="166"/>
    <n v="126"/>
    <n v="38"/>
    <s v="22.89"/>
    <n v="49479"/>
    <s v="4.74"/>
    <n v="39090"/>
    <n v="1880202"/>
    <n v="394782"/>
    <s v="Feb"/>
    <n v="2"/>
    <n v="2026"/>
    <s v="Weekday"/>
    <n v="0.30158730158730157"/>
    <n v="0.63117870722433456"/>
    <n v="0.14448669201520911"/>
    <n v="10389"/>
    <s v="Main Auto Hub"/>
  </r>
  <r>
    <s v="CUST_1966"/>
    <x v="24"/>
    <x v="1"/>
    <s v="Thursday"/>
    <s v="No"/>
    <x v="9"/>
    <x v="9"/>
    <s v="NRW"/>
    <x v="0"/>
    <s v="X5"/>
    <s v="Electric"/>
    <x v="0"/>
    <s v="50+"/>
    <s v="High"/>
    <x v="1"/>
    <x v="0"/>
    <s v="Sales_20"/>
    <n v="278"/>
    <n v="152"/>
    <n v="106"/>
    <n v="36"/>
    <s v="23.68"/>
    <n v="59352"/>
    <s v="3.08"/>
    <n v="42645"/>
    <n v="2136672"/>
    <n v="601452"/>
    <s v="Feb"/>
    <n v="2"/>
    <n v="2026"/>
    <s v="Weekday"/>
    <n v="0.33962264150943394"/>
    <n v="0.5467625899280576"/>
    <n v="0.12949640287769784"/>
    <n v="16707"/>
    <s v="Ruhr Auto Plaza"/>
  </r>
  <r>
    <s v="CUST_1967"/>
    <x v="22"/>
    <x v="3"/>
    <s v="Tuesday"/>
    <s v="No"/>
    <x v="5"/>
    <x v="5"/>
    <s v="Hamburg"/>
    <x v="0"/>
    <s v="X5"/>
    <s v="Electric"/>
    <x v="0"/>
    <s v="36-50"/>
    <s v="Low"/>
    <x v="1"/>
    <x v="3"/>
    <s v="Sales_11"/>
    <n v="180"/>
    <n v="93"/>
    <n v="64"/>
    <n v="23"/>
    <s v="24.73"/>
    <n v="62058"/>
    <s v="4.24"/>
    <n v="47640"/>
    <n v="1427334"/>
    <n v="331614"/>
    <s v="Feb"/>
    <n v="2"/>
    <n v="2026"/>
    <s v="Weekday"/>
    <n v="0.359375"/>
    <n v="0.51666666666666672"/>
    <n v="0.12777777777777777"/>
    <n v="14418"/>
    <s v="Elbe Drive"/>
  </r>
  <r>
    <s v="CUST_1968"/>
    <x v="8"/>
    <x v="3"/>
    <s v="Wednesday"/>
    <s v="No"/>
    <x v="3"/>
    <x v="3"/>
    <s v="Saxony"/>
    <x v="3"/>
    <s v="EQE"/>
    <s v="Petrol"/>
    <x v="1"/>
    <s v="36-50"/>
    <s v="High"/>
    <x v="1"/>
    <x v="1"/>
    <s v="Sales_9"/>
    <n v="219"/>
    <n v="122"/>
    <n v="80"/>
    <n v="27"/>
    <s v="22.13"/>
    <n v="56617"/>
    <s v="4.29"/>
    <n v="42555"/>
    <n v="1528659"/>
    <n v="379674"/>
    <s v="Feb"/>
    <n v="2"/>
    <n v="2026"/>
    <s v="Weekday"/>
    <n v="0.33750000000000002"/>
    <n v="0.55707762557077622"/>
    <n v="0.12328767123287671"/>
    <n v="14062"/>
    <s v="Saxon Wheels"/>
  </r>
  <r>
    <s v="CUST_1969"/>
    <x v="18"/>
    <x v="0"/>
    <s v="Saturday"/>
    <s v="Yes"/>
    <x v="4"/>
    <x v="4"/>
    <s v="Berlin"/>
    <x v="1"/>
    <s v="Grandland"/>
    <s v="Hybrid"/>
    <x v="0"/>
    <s v="36-50"/>
    <s v="Medium"/>
    <x v="1"/>
    <x v="2"/>
    <s v="Sales_13"/>
    <n v="259"/>
    <n v="125"/>
    <n v="77"/>
    <n v="24"/>
    <s v="19.2"/>
    <n v="24248"/>
    <s v="10.09"/>
    <n v="21915"/>
    <n v="581952"/>
    <n v="55992"/>
    <s v="Feb"/>
    <n v="2"/>
    <n v="2026"/>
    <s v="Weekend"/>
    <n v="0.31168831168831168"/>
    <n v="0.4826254826254826"/>
    <n v="9.2664092664092659E-2"/>
    <n v="2333"/>
    <s v="Autohaus Berlin"/>
  </r>
  <r>
    <s v="CUST_1970"/>
    <x v="23"/>
    <x v="2"/>
    <s v="Tuesday"/>
    <s v="No"/>
    <x v="0"/>
    <x v="0"/>
    <s v="Hesse"/>
    <x v="3"/>
    <s v="GLE"/>
    <s v="Electric"/>
    <x v="0"/>
    <s v="18-25"/>
    <s v="High"/>
    <x v="1"/>
    <x v="3"/>
    <s v="Sales_11"/>
    <n v="219"/>
    <n v="102"/>
    <n v="72"/>
    <n v="25"/>
    <s v="24.51"/>
    <n v="54394"/>
    <s v="5.98"/>
    <n v="42209"/>
    <n v="1359850"/>
    <n v="304625"/>
    <s v="Feb"/>
    <n v="2"/>
    <n v="2026"/>
    <s v="Weekday"/>
    <n v="0.34722222222222221"/>
    <n v="0.46575342465753422"/>
    <n v="0.11415525114155251"/>
    <n v="12185"/>
    <s v="Main Auto Hub"/>
  </r>
  <r>
    <s v="CUST_1971"/>
    <x v="7"/>
    <x v="3"/>
    <s v="Monday"/>
    <s v="No"/>
    <x v="0"/>
    <x v="0"/>
    <s v="Hesse"/>
    <x v="4"/>
    <s v="Tiguan"/>
    <s v="Petrol"/>
    <x v="0"/>
    <s v="26-35"/>
    <s v="High"/>
    <x v="0"/>
    <x v="1"/>
    <s v="Sales_6"/>
    <n v="452"/>
    <n v="235"/>
    <n v="149"/>
    <n v="37"/>
    <s v="15.74"/>
    <n v="26896"/>
    <s v="9.81"/>
    <n v="24174"/>
    <n v="995152"/>
    <n v="100714"/>
    <s v="Feb"/>
    <n v="2"/>
    <n v="2026"/>
    <s v="Weekday"/>
    <n v="0.24832214765100671"/>
    <n v="0.51991150442477874"/>
    <n v="8.185840707964602E-2"/>
    <n v="2722"/>
    <s v="Main Auto Hub"/>
  </r>
  <r>
    <s v="CUST_1972"/>
    <x v="10"/>
    <x v="1"/>
    <s v="Monday"/>
    <s v="No"/>
    <x v="6"/>
    <x v="6"/>
    <s v="Saxony"/>
    <x v="1"/>
    <s v="Crossland"/>
    <s v="Hybrid"/>
    <x v="0"/>
    <s v="26-35"/>
    <s v="High"/>
    <x v="1"/>
    <x v="0"/>
    <s v="Sales_15"/>
    <n v="226"/>
    <n v="125"/>
    <n v="80"/>
    <n v="15"/>
    <s v="12.0"/>
    <n v="22598"/>
    <s v="7.38"/>
    <n v="20226"/>
    <n v="338970"/>
    <n v="35580"/>
    <s v="Feb"/>
    <n v="2"/>
    <n v="2026"/>
    <s v="Weekday"/>
    <n v="0.1875"/>
    <n v="0.55309734513274333"/>
    <n v="6.637168141592921E-2"/>
    <n v="2372"/>
    <s v="Leipzig Mobility"/>
  </r>
  <r>
    <s v="CUST_1973"/>
    <x v="25"/>
    <x v="3"/>
    <s v="Friday"/>
    <s v="No"/>
    <x v="2"/>
    <x v="2"/>
    <s v="Lower Saxony"/>
    <x v="0"/>
    <s v="X5"/>
    <s v="Petrol"/>
    <x v="0"/>
    <s v="18-25"/>
    <s v="Low"/>
    <x v="1"/>
    <x v="3"/>
    <s v="Sales_4"/>
    <n v="236"/>
    <n v="114"/>
    <n v="82"/>
    <n v="28"/>
    <s v="24.56"/>
    <n v="50346"/>
    <s v="4.2"/>
    <n v="35761"/>
    <n v="1409688"/>
    <n v="408380"/>
    <s v="Feb"/>
    <n v="2"/>
    <n v="2026"/>
    <s v="Weekday"/>
    <n v="0.34146341463414637"/>
    <n v="0.48305084745762711"/>
    <n v="0.11864406779661017"/>
    <n v="14585"/>
    <s v="Hannover Cars"/>
  </r>
  <r>
    <s v="CUST_1974"/>
    <x v="15"/>
    <x v="2"/>
    <s v="Thursday"/>
    <s v="No"/>
    <x v="6"/>
    <x v="6"/>
    <s v="Saxony"/>
    <x v="1"/>
    <s v="Astra"/>
    <s v="Electric"/>
    <x v="2"/>
    <s v="36-50"/>
    <s v="Medium"/>
    <x v="0"/>
    <x v="3"/>
    <s v="Sales_1"/>
    <n v="239"/>
    <n v="124"/>
    <n v="79"/>
    <n v="20"/>
    <s v="16.13"/>
    <n v="26760"/>
    <s v="9.79"/>
    <n v="24164"/>
    <n v="535200"/>
    <n v="51920"/>
    <s v="Feb"/>
    <n v="2"/>
    <n v="2026"/>
    <s v="Weekday"/>
    <n v="0.25316455696202533"/>
    <n v="0.51882845188284521"/>
    <n v="8.3682008368200833E-2"/>
    <n v="2596"/>
    <s v="Leipzig Mobility"/>
  </r>
  <r>
    <s v="CUST_1975"/>
    <x v="7"/>
    <x v="3"/>
    <s v="Monday"/>
    <s v="No"/>
    <x v="2"/>
    <x v="2"/>
    <s v="Lower Saxony"/>
    <x v="2"/>
    <s v="A4"/>
    <s v="Petrol"/>
    <x v="1"/>
    <s v="36-50"/>
    <s v="Low"/>
    <x v="1"/>
    <x v="2"/>
    <s v="Sales_13"/>
    <n v="167"/>
    <n v="99"/>
    <n v="70"/>
    <n v="23"/>
    <s v="23.23"/>
    <n v="53660"/>
    <s v="5.41"/>
    <n v="43694"/>
    <n v="1234180"/>
    <n v="229218"/>
    <s v="Feb"/>
    <n v="2"/>
    <n v="2026"/>
    <s v="Weekday"/>
    <n v="0.32857142857142857"/>
    <n v="0.59281437125748504"/>
    <n v="0.1377245508982036"/>
    <n v="9966"/>
    <s v="Hannover Cars"/>
  </r>
  <r>
    <s v="CUST_1976"/>
    <x v="5"/>
    <x v="3"/>
    <s v="Saturday"/>
    <s v="Yes"/>
    <x v="1"/>
    <x v="1"/>
    <s v="NRW"/>
    <x v="1"/>
    <s v="Corsa"/>
    <s v="Electric"/>
    <x v="2"/>
    <s v="50+"/>
    <s v="High"/>
    <x v="0"/>
    <x v="3"/>
    <s v="Sales_13"/>
    <n v="361"/>
    <n v="142"/>
    <n v="97"/>
    <n v="21"/>
    <s v="14.79"/>
    <n v="19430"/>
    <s v="12.3"/>
    <n v="17545"/>
    <n v="408030"/>
    <n v="39585"/>
    <s v="Feb"/>
    <n v="2"/>
    <n v="2026"/>
    <s v="Weekend"/>
    <n v="0.21649484536082475"/>
    <n v="0.39335180055401664"/>
    <n v="5.817174515235457E-2"/>
    <n v="1885"/>
    <s v="Rhein Auto Group"/>
  </r>
  <r>
    <s v="CUST_1977"/>
    <x v="1"/>
    <x v="1"/>
    <s v="Wednesday"/>
    <s v="No"/>
    <x v="9"/>
    <x v="9"/>
    <s v="NRW"/>
    <x v="1"/>
    <s v="Corsa"/>
    <s v="Petrol"/>
    <x v="2"/>
    <s v="36-50"/>
    <s v="Low"/>
    <x v="1"/>
    <x v="3"/>
    <s v="Sales_15"/>
    <n v="390"/>
    <n v="153"/>
    <n v="101"/>
    <n v="16"/>
    <s v="10.46"/>
    <n v="22592"/>
    <s v="13.53"/>
    <n v="20350"/>
    <n v="361472"/>
    <n v="35872"/>
    <s v="Feb"/>
    <n v="2"/>
    <n v="2026"/>
    <s v="Weekday"/>
    <n v="0.15841584158415842"/>
    <n v="0.3923076923076923"/>
    <n v="4.1025641025641026E-2"/>
    <n v="2242"/>
    <s v="Ruhr Auto Plaza"/>
  </r>
  <r>
    <s v="CUST_1978"/>
    <x v="18"/>
    <x v="0"/>
    <s v="Saturday"/>
    <s v="Yes"/>
    <x v="5"/>
    <x v="5"/>
    <s v="Hamburg"/>
    <x v="0"/>
    <s v="5 Series"/>
    <s v="Petrol"/>
    <x v="1"/>
    <s v="36-50"/>
    <s v="Low"/>
    <x v="0"/>
    <x v="0"/>
    <s v="Sales_6"/>
    <n v="171"/>
    <n v="104"/>
    <n v="84"/>
    <n v="30"/>
    <s v="28.85"/>
    <n v="51678"/>
    <s v="5.62"/>
    <n v="38846"/>
    <n v="1550340"/>
    <n v="384960"/>
    <s v="Feb"/>
    <n v="2"/>
    <n v="2026"/>
    <s v="Weekend"/>
    <n v="0.35714285714285715"/>
    <n v="0.60818713450292394"/>
    <n v="0.17543859649122806"/>
    <n v="12832"/>
    <s v="Elbe Drive"/>
  </r>
  <r>
    <s v="CUST_1979"/>
    <x v="8"/>
    <x v="3"/>
    <s v="Wednesday"/>
    <s v="No"/>
    <x v="0"/>
    <x v="0"/>
    <s v="Hesse"/>
    <x v="1"/>
    <s v="Mokka"/>
    <s v="Hybrid"/>
    <x v="0"/>
    <s v="50+"/>
    <s v="Medium"/>
    <x v="0"/>
    <x v="1"/>
    <s v="Sales_17"/>
    <n v="313"/>
    <n v="148"/>
    <n v="92"/>
    <n v="22"/>
    <s v="14.86"/>
    <n v="25576"/>
    <s v="12.07"/>
    <n v="23478"/>
    <n v="562672"/>
    <n v="46156"/>
    <s v="Feb"/>
    <n v="2"/>
    <n v="2026"/>
    <s v="Weekday"/>
    <n v="0.2391304347826087"/>
    <n v="0.47284345047923321"/>
    <n v="7.0287539936102233E-2"/>
    <n v="2098"/>
    <s v="Main Auto Hub"/>
  </r>
  <r>
    <s v="CUST_1980"/>
    <x v="10"/>
    <x v="1"/>
    <s v="Monday"/>
    <s v="No"/>
    <x v="4"/>
    <x v="4"/>
    <s v="Berlin"/>
    <x v="4"/>
    <s v="Tiguan"/>
    <s v="Petrol"/>
    <x v="0"/>
    <s v="26-35"/>
    <s v="Low"/>
    <x v="1"/>
    <x v="1"/>
    <s v="Sales_8"/>
    <n v="455"/>
    <n v="192"/>
    <n v="127"/>
    <n v="32"/>
    <s v="16.67"/>
    <n v="29391"/>
    <s v="8.73"/>
    <n v="25855"/>
    <n v="940512"/>
    <n v="113152"/>
    <s v="Feb"/>
    <n v="2"/>
    <n v="2026"/>
    <s v="Weekday"/>
    <n v="0.25196850393700787"/>
    <n v="0.42197802197802198"/>
    <n v="7.032967032967033E-2"/>
    <n v="3536"/>
    <s v="Autohaus Berlin"/>
  </r>
  <r>
    <s v="CUST_1981"/>
    <x v="10"/>
    <x v="1"/>
    <s v="Monday"/>
    <s v="No"/>
    <x v="0"/>
    <x v="0"/>
    <s v="Hesse"/>
    <x v="2"/>
    <s v="Q3"/>
    <s v="Hybrid"/>
    <x v="0"/>
    <s v="18-25"/>
    <s v="High"/>
    <x v="0"/>
    <x v="2"/>
    <s v="Sales_10"/>
    <n v="294"/>
    <n v="139"/>
    <n v="108"/>
    <n v="33"/>
    <s v="23.74"/>
    <n v="45704"/>
    <s v="4.77"/>
    <n v="35737"/>
    <n v="1508232"/>
    <n v="328911"/>
    <s v="Feb"/>
    <n v="2"/>
    <n v="2026"/>
    <s v="Weekday"/>
    <n v="0.30555555555555558"/>
    <n v="0.47278911564625853"/>
    <n v="0.11224489795918367"/>
    <n v="9967"/>
    <s v="Main Auto Hub"/>
  </r>
  <r>
    <s v="CUST_1982"/>
    <x v="19"/>
    <x v="1"/>
    <s v="Saturday"/>
    <s v="Yes"/>
    <x v="4"/>
    <x v="4"/>
    <s v="Berlin"/>
    <x v="2"/>
    <s v="e-tron"/>
    <s v="Petrol"/>
    <x v="0"/>
    <s v="18-25"/>
    <s v="Low"/>
    <x v="0"/>
    <x v="0"/>
    <s v="Sales_16"/>
    <n v="300"/>
    <n v="165"/>
    <n v="117"/>
    <n v="39"/>
    <s v="23.64"/>
    <n v="40434"/>
    <s v="6.61"/>
    <n v="30424"/>
    <n v="1576926"/>
    <n v="390390"/>
    <s v="Feb"/>
    <n v="2"/>
    <n v="2026"/>
    <s v="Weekend"/>
    <n v="0.33333333333333331"/>
    <n v="0.55000000000000004"/>
    <n v="0.13"/>
    <n v="10010"/>
    <s v="Autohaus Berlin"/>
  </r>
  <r>
    <s v="CUST_1983"/>
    <x v="11"/>
    <x v="0"/>
    <s v="Wednesday"/>
    <s v="No"/>
    <x v="2"/>
    <x v="2"/>
    <s v="Lower Saxony"/>
    <x v="0"/>
    <s v="5 Series"/>
    <s v="Electric"/>
    <x v="1"/>
    <s v="50+"/>
    <s v="Medium"/>
    <x v="0"/>
    <x v="3"/>
    <s v="Sales_4"/>
    <n v="144"/>
    <n v="89"/>
    <n v="72"/>
    <n v="23"/>
    <s v="25.84"/>
    <n v="55019"/>
    <s v="5.02"/>
    <n v="40925"/>
    <n v="1265437"/>
    <n v="324162"/>
    <s v="Feb"/>
    <n v="2"/>
    <n v="2026"/>
    <s v="Weekday"/>
    <n v="0.31944444444444442"/>
    <n v="0.61805555555555558"/>
    <n v="0.15972222222222221"/>
    <n v="14094"/>
    <s v="Hannover Cars"/>
  </r>
  <r>
    <s v="CUST_1984"/>
    <x v="23"/>
    <x v="2"/>
    <s v="Tuesday"/>
    <s v="No"/>
    <x v="3"/>
    <x v="3"/>
    <s v="Saxony"/>
    <x v="4"/>
    <s v="Passat"/>
    <s v="Electric"/>
    <x v="1"/>
    <s v="50+"/>
    <s v="High"/>
    <x v="0"/>
    <x v="2"/>
    <s v="Sales_17"/>
    <n v="377"/>
    <n v="194"/>
    <n v="130"/>
    <n v="31"/>
    <s v="15.98"/>
    <n v="31670"/>
    <s v="6.91"/>
    <n v="27617"/>
    <n v="981770"/>
    <n v="125643"/>
    <s v="Feb"/>
    <n v="2"/>
    <n v="2026"/>
    <s v="Weekday"/>
    <n v="0.23846153846153847"/>
    <n v="0.51458885941644561"/>
    <n v="8.2228116710875335E-2"/>
    <n v="4053"/>
    <s v="Saxon Wheels"/>
  </r>
  <r>
    <s v="CUST_1985"/>
    <x v="15"/>
    <x v="2"/>
    <s v="Thursday"/>
    <s v="No"/>
    <x v="4"/>
    <x v="4"/>
    <s v="Berlin"/>
    <x v="2"/>
    <s v="A4"/>
    <s v="Electric"/>
    <x v="1"/>
    <s v="26-35"/>
    <s v="Low"/>
    <x v="0"/>
    <x v="1"/>
    <s v="Sales_1"/>
    <n v="248"/>
    <n v="120"/>
    <n v="82"/>
    <n v="28"/>
    <s v="23.33"/>
    <n v="43766"/>
    <s v="6.32"/>
    <n v="33313"/>
    <n v="1225448"/>
    <n v="292684"/>
    <s v="Feb"/>
    <n v="2"/>
    <n v="2026"/>
    <s v="Weekday"/>
    <n v="0.34146341463414637"/>
    <n v="0.4838709677419355"/>
    <n v="0.11290322580645161"/>
    <n v="10453"/>
    <s v="Autohaus Berlin"/>
  </r>
  <r>
    <s v="CUST_1986"/>
    <x v="1"/>
    <x v="1"/>
    <s v="Wednesday"/>
    <s v="No"/>
    <x v="4"/>
    <x v="4"/>
    <s v="Berlin"/>
    <x v="2"/>
    <s v="e-tron"/>
    <s v="Diesel"/>
    <x v="0"/>
    <s v="50+"/>
    <s v="Low"/>
    <x v="0"/>
    <x v="1"/>
    <s v="Sales_7"/>
    <n v="196"/>
    <n v="113"/>
    <n v="77"/>
    <n v="29"/>
    <s v="25.66"/>
    <n v="48540"/>
    <s v="6.38"/>
    <n v="38966"/>
    <n v="1407660"/>
    <n v="277646"/>
    <s v="Feb"/>
    <n v="2"/>
    <n v="2026"/>
    <s v="Weekday"/>
    <n v="0.37662337662337664"/>
    <n v="0.57653061224489799"/>
    <n v="0.14795918367346939"/>
    <n v="9574"/>
    <s v="Autohaus Berlin"/>
  </r>
  <r>
    <s v="CUST_1987"/>
    <x v="26"/>
    <x v="1"/>
    <s v="Friday"/>
    <s v="No"/>
    <x v="8"/>
    <x v="8"/>
    <s v="Baden-WÃ¼rttemberg"/>
    <x v="2"/>
    <s v="A4"/>
    <s v="Diesel"/>
    <x v="1"/>
    <s v="36-50"/>
    <s v="High"/>
    <x v="0"/>
    <x v="2"/>
    <s v="Sales_6"/>
    <n v="281"/>
    <n v="156"/>
    <n v="116"/>
    <n v="40"/>
    <s v="25.64"/>
    <n v="46277"/>
    <s v="6.26"/>
    <n v="35392"/>
    <n v="1851080"/>
    <n v="435400"/>
    <s v="Feb"/>
    <n v="2"/>
    <n v="2026"/>
    <s v="Weekday"/>
    <n v="0.34482758620689657"/>
    <n v="0.55516014234875444"/>
    <n v="0.14234875444839859"/>
    <n v="10885"/>
    <s v="Stuttgart Auto Center"/>
  </r>
  <r>
    <s v="CUST_1988"/>
    <x v="16"/>
    <x v="1"/>
    <s v="Tuesday"/>
    <s v="No"/>
    <x v="8"/>
    <x v="8"/>
    <s v="Baden-WÃ¼rttemberg"/>
    <x v="3"/>
    <s v="GLE"/>
    <s v="Electric"/>
    <x v="0"/>
    <s v="50+"/>
    <s v="High"/>
    <x v="1"/>
    <x v="3"/>
    <s v="Sales_14"/>
    <n v="264"/>
    <n v="150"/>
    <n v="115"/>
    <n v="35"/>
    <s v="23.33"/>
    <n v="55524"/>
    <s v="2.26"/>
    <n v="42614"/>
    <n v="1943340"/>
    <n v="451850"/>
    <s v="Feb"/>
    <n v="2"/>
    <n v="2026"/>
    <s v="Weekday"/>
    <n v="0.30434782608695654"/>
    <n v="0.56818181818181823"/>
    <n v="0.13257575757575757"/>
    <n v="12910"/>
    <s v="Stuttgart Auto Center"/>
  </r>
  <r>
    <s v="CUST_1989"/>
    <x v="23"/>
    <x v="2"/>
    <s v="Tuesday"/>
    <s v="No"/>
    <x v="3"/>
    <x v="3"/>
    <s v="Saxony"/>
    <x v="1"/>
    <s v="Corsa"/>
    <s v="Petrol"/>
    <x v="2"/>
    <s v="50+"/>
    <s v="Low"/>
    <x v="0"/>
    <x v="3"/>
    <s v="Sales_6"/>
    <n v="375"/>
    <n v="160"/>
    <n v="94"/>
    <n v="20"/>
    <s v="12.5"/>
    <n v="22315"/>
    <s v="8.37"/>
    <n v="20584"/>
    <n v="446300"/>
    <n v="34620"/>
    <s v="Feb"/>
    <n v="2"/>
    <n v="2026"/>
    <s v="Weekday"/>
    <n v="0.21276595744680851"/>
    <n v="0.42666666666666669"/>
    <n v="5.3333333333333337E-2"/>
    <n v="1731"/>
    <s v="Saxon Wheels"/>
  </r>
  <r>
    <s v="CUST_1990"/>
    <x v="24"/>
    <x v="1"/>
    <s v="Thursday"/>
    <s v="No"/>
    <x v="2"/>
    <x v="2"/>
    <s v="Lower Saxony"/>
    <x v="2"/>
    <s v="A4"/>
    <s v="Diesel"/>
    <x v="1"/>
    <s v="26-35"/>
    <s v="Low"/>
    <x v="0"/>
    <x v="3"/>
    <s v="Sales_13"/>
    <n v="217"/>
    <n v="111"/>
    <n v="75"/>
    <n v="23"/>
    <s v="20.72"/>
    <n v="40294"/>
    <s v="5.24"/>
    <n v="32195"/>
    <n v="926762"/>
    <n v="186277"/>
    <s v="Feb"/>
    <n v="2"/>
    <n v="2026"/>
    <s v="Weekday"/>
    <n v="0.30666666666666664"/>
    <n v="0.51152073732718895"/>
    <n v="0.10599078341013825"/>
    <n v="8099"/>
    <s v="Hannover Cars"/>
  </r>
  <r>
    <s v="CUST_1991"/>
    <x v="9"/>
    <x v="0"/>
    <s v="Sunday"/>
    <s v="Yes"/>
    <x v="7"/>
    <x v="7"/>
    <s v="Bavaria"/>
    <x v="2"/>
    <s v="Q5"/>
    <s v="Electric"/>
    <x v="0"/>
    <s v="26-35"/>
    <s v="Low"/>
    <x v="1"/>
    <x v="3"/>
    <s v="Sales_20"/>
    <n v="319"/>
    <n v="164"/>
    <n v="122"/>
    <n v="34"/>
    <s v="20.73"/>
    <n v="41130"/>
    <s v="3.8"/>
    <n v="33429"/>
    <n v="1398420"/>
    <n v="261834"/>
    <s v="Feb"/>
    <n v="2"/>
    <n v="2026"/>
    <s v="Weekend"/>
    <n v="0.27868852459016391"/>
    <n v="0.51410658307210033"/>
    <n v="0.10658307210031348"/>
    <n v="7701"/>
    <s v="Bavaria Motors"/>
  </r>
  <r>
    <s v="CUST_1992"/>
    <x v="16"/>
    <x v="1"/>
    <s v="Tuesday"/>
    <s v="No"/>
    <x v="7"/>
    <x v="7"/>
    <s v="Bavaria"/>
    <x v="4"/>
    <s v="Passat"/>
    <s v="Electric"/>
    <x v="1"/>
    <s v="36-50"/>
    <s v="Medium"/>
    <x v="1"/>
    <x v="3"/>
    <s v="Sales_1"/>
    <n v="465"/>
    <n v="193"/>
    <n v="114"/>
    <n v="36"/>
    <s v="18.65"/>
    <n v="31106"/>
    <s v="8.54"/>
    <n v="27951"/>
    <n v="1119816"/>
    <n v="113580"/>
    <s v="Feb"/>
    <n v="2"/>
    <n v="2026"/>
    <s v="Weekday"/>
    <n v="0.31578947368421051"/>
    <n v="0.4150537634408602"/>
    <n v="7.7419354838709681E-2"/>
    <n v="3155"/>
    <s v="Bavaria Motors"/>
  </r>
  <r>
    <s v="CUST_1993"/>
    <x v="15"/>
    <x v="2"/>
    <s v="Thursday"/>
    <s v="No"/>
    <x v="2"/>
    <x v="2"/>
    <s v="Lower Saxony"/>
    <x v="3"/>
    <s v="GLE"/>
    <s v="Hybrid"/>
    <x v="0"/>
    <s v="26-35"/>
    <s v="High"/>
    <x v="1"/>
    <x v="0"/>
    <s v="Sales_5"/>
    <n v="267"/>
    <n v="136"/>
    <n v="103"/>
    <n v="29"/>
    <s v="21.32"/>
    <n v="59591"/>
    <s v="4.89"/>
    <n v="42851"/>
    <n v="1728139"/>
    <n v="485460"/>
    <s v="Feb"/>
    <n v="2"/>
    <n v="2026"/>
    <s v="Weekday"/>
    <n v="0.28155339805825241"/>
    <n v="0.50936329588014984"/>
    <n v="0.10861423220973783"/>
    <n v="16740"/>
    <s v="Hannover Cars"/>
  </r>
  <r>
    <s v="CUST_1994"/>
    <x v="7"/>
    <x v="3"/>
    <s v="Monday"/>
    <s v="No"/>
    <x v="3"/>
    <x v="3"/>
    <s v="Saxony"/>
    <x v="1"/>
    <s v="Mokka"/>
    <s v="Diesel"/>
    <x v="0"/>
    <s v="36-50"/>
    <s v="Medium"/>
    <x v="1"/>
    <x v="3"/>
    <s v="Sales_9"/>
    <n v="376"/>
    <n v="165"/>
    <n v="93"/>
    <n v="26"/>
    <s v="15.76"/>
    <n v="26565"/>
    <s v="8.23"/>
    <n v="23717"/>
    <n v="690690"/>
    <n v="74048"/>
    <s v="Feb"/>
    <n v="2"/>
    <n v="2026"/>
    <s v="Weekday"/>
    <n v="0.27956989247311825"/>
    <n v="0.43882978723404253"/>
    <n v="6.9148936170212769E-2"/>
    <n v="2848"/>
    <s v="Saxon Wheels"/>
  </r>
  <r>
    <s v="CUST_1995"/>
    <x v="10"/>
    <x v="1"/>
    <s v="Monday"/>
    <s v="No"/>
    <x v="7"/>
    <x v="7"/>
    <s v="Bavaria"/>
    <x v="0"/>
    <s v="X5"/>
    <s v="Electric"/>
    <x v="0"/>
    <s v="26-35"/>
    <s v="High"/>
    <x v="1"/>
    <x v="3"/>
    <s v="Sales_1"/>
    <n v="206"/>
    <n v="123"/>
    <n v="97"/>
    <n v="36"/>
    <s v="29.27"/>
    <n v="57536"/>
    <s v="5.82"/>
    <n v="41734"/>
    <n v="2071296"/>
    <n v="568872"/>
    <s v="Feb"/>
    <n v="2"/>
    <n v="2026"/>
    <s v="Weekday"/>
    <n v="0.37113402061855671"/>
    <n v="0.59708737864077666"/>
    <n v="0.17475728155339806"/>
    <n v="15802"/>
    <s v="Bavaria Motors"/>
  </r>
  <r>
    <s v="CUST_1996"/>
    <x v="8"/>
    <x v="3"/>
    <s v="Wednesday"/>
    <s v="No"/>
    <x v="4"/>
    <x v="4"/>
    <s v="Berlin"/>
    <x v="3"/>
    <s v="E-Class"/>
    <s v="Electric"/>
    <x v="1"/>
    <s v="26-35"/>
    <s v="High"/>
    <x v="0"/>
    <x v="2"/>
    <s v="Sales_19"/>
    <n v="259"/>
    <n v="143"/>
    <n v="94"/>
    <n v="46"/>
    <s v="32.17"/>
    <n v="56726"/>
    <s v="4.03"/>
    <n v="43122"/>
    <n v="2609396"/>
    <n v="625784"/>
    <s v="Feb"/>
    <n v="2"/>
    <n v="2026"/>
    <s v="Weekday"/>
    <n v="0.48936170212765956"/>
    <n v="0.55212355212355213"/>
    <n v="0.17760617760617761"/>
    <n v="13604"/>
    <s v="Autohaus Berlin"/>
  </r>
  <r>
    <s v="CUST_1997"/>
    <x v="9"/>
    <x v="0"/>
    <s v="Sunday"/>
    <s v="Yes"/>
    <x v="0"/>
    <x v="0"/>
    <s v="Hesse"/>
    <x v="4"/>
    <s v="ID.4"/>
    <s v="Petrol"/>
    <x v="0"/>
    <s v="36-50"/>
    <s v="Low"/>
    <x v="0"/>
    <x v="1"/>
    <s v="Sales_2"/>
    <n v="436"/>
    <n v="235"/>
    <n v="151"/>
    <n v="36"/>
    <s v="15.32"/>
    <n v="26568"/>
    <s v="11.81"/>
    <n v="23229"/>
    <n v="956448"/>
    <n v="120204"/>
    <s v="Feb"/>
    <n v="2"/>
    <n v="2026"/>
    <s v="Weekend"/>
    <n v="0.23841059602649006"/>
    <n v="0.53899082568807344"/>
    <n v="8.2568807339449546E-2"/>
    <n v="3339"/>
    <s v="Main Auto Hub"/>
  </r>
  <r>
    <s v="CUST_1998"/>
    <x v="25"/>
    <x v="3"/>
    <s v="Friday"/>
    <s v="No"/>
    <x v="9"/>
    <x v="9"/>
    <s v="NRW"/>
    <x v="3"/>
    <s v="E-Class"/>
    <s v="Hybrid"/>
    <x v="1"/>
    <s v="50+"/>
    <s v="High"/>
    <x v="0"/>
    <x v="3"/>
    <s v="Sales_6"/>
    <n v="289"/>
    <n v="136"/>
    <n v="90"/>
    <n v="33"/>
    <s v="24.26"/>
    <n v="62081"/>
    <s v="3.46"/>
    <n v="47004"/>
    <n v="2048673"/>
    <n v="497541"/>
    <s v="Feb"/>
    <n v="2"/>
    <n v="2026"/>
    <s v="Weekday"/>
    <n v="0.36666666666666664"/>
    <n v="0.47058823529411764"/>
    <n v="0.11418685121107267"/>
    <n v="15077"/>
    <s v="Ruhr Auto Plaza"/>
  </r>
  <r>
    <s v="CUST_1999"/>
    <x v="0"/>
    <x v="0"/>
    <s v="Monday"/>
    <s v="No"/>
    <x v="9"/>
    <x v="9"/>
    <s v="NRW"/>
    <x v="0"/>
    <s v="X5"/>
    <s v="Petrol"/>
    <x v="0"/>
    <s v="50+"/>
    <s v="High"/>
    <x v="1"/>
    <x v="3"/>
    <s v="Sales_16"/>
    <n v="251"/>
    <n v="128"/>
    <n v="95"/>
    <n v="32"/>
    <s v="25.0"/>
    <n v="64961"/>
    <s v="2.36"/>
    <n v="48132"/>
    <n v="2078752"/>
    <n v="538528"/>
    <s v="Feb"/>
    <n v="2"/>
    <n v="2026"/>
    <s v="Weekday"/>
    <n v="0.33684210526315789"/>
    <n v="0.50996015936254979"/>
    <n v="0.12749003984063745"/>
    <n v="16829"/>
    <s v="Ruhr Auto Plaza"/>
  </r>
  <r>
    <s v="CUST_2000"/>
    <x v="8"/>
    <x v="3"/>
    <s v="Wednesday"/>
    <s v="No"/>
    <x v="2"/>
    <x v="2"/>
    <s v="Lower Saxony"/>
    <x v="0"/>
    <s v="X3"/>
    <s v="Petrol"/>
    <x v="0"/>
    <s v="36-50"/>
    <s v="High"/>
    <x v="1"/>
    <x v="2"/>
    <s v="Sales_2"/>
    <n v="209"/>
    <n v="117"/>
    <n v="88"/>
    <n v="34"/>
    <s v="29.06"/>
    <n v="61662"/>
    <s v="4.36"/>
    <n v="44162"/>
    <n v="2096508"/>
    <n v="595000"/>
    <s v="Feb"/>
    <n v="2"/>
    <n v="2026"/>
    <s v="Weekday"/>
    <n v="0.38636363636363635"/>
    <n v="0.55980861244019142"/>
    <n v="0.16267942583732056"/>
    <n v="17500"/>
    <s v="Hannover Cars"/>
  </r>
  <r>
    <s v="CUST_2001"/>
    <x v="22"/>
    <x v="3"/>
    <s v="Tuesday"/>
    <s v="No"/>
    <x v="1"/>
    <x v="1"/>
    <s v="NRW"/>
    <x v="3"/>
    <s v="E-Class"/>
    <s v="Hybrid"/>
    <x v="1"/>
    <s v="36-50"/>
    <s v="Medium"/>
    <x v="0"/>
    <x v="0"/>
    <s v="Sales_12"/>
    <n v="254"/>
    <n v="139"/>
    <n v="107"/>
    <n v="31"/>
    <s v="22.3"/>
    <n v="56210"/>
    <s v="4.07"/>
    <n v="41724"/>
    <n v="1742510"/>
    <n v="449066"/>
    <s v="Feb"/>
    <n v="2"/>
    <n v="2026"/>
    <s v="Weekday"/>
    <n v="0.28971962616822428"/>
    <n v="0.547244094488189"/>
    <n v="0.12204724409448819"/>
    <n v="14486"/>
    <s v="Rhein Auto Group"/>
  </r>
  <r>
    <s v="CUST_2002"/>
    <x v="13"/>
    <x v="0"/>
    <s v="Friday"/>
    <s v="No"/>
    <x v="4"/>
    <x v="4"/>
    <s v="Berlin"/>
    <x v="0"/>
    <s v="i4"/>
    <s v="Petrol"/>
    <x v="1"/>
    <s v="26-35"/>
    <s v="Medium"/>
    <x v="1"/>
    <x v="2"/>
    <s v="Sales_5"/>
    <n v="173"/>
    <n v="101"/>
    <n v="70"/>
    <n v="30"/>
    <s v="29.7"/>
    <n v="65562"/>
    <s v="4.11"/>
    <n v="49342"/>
    <n v="1966860"/>
    <n v="486600"/>
    <s v="Feb"/>
    <n v="2"/>
    <n v="2026"/>
    <s v="Weekday"/>
    <n v="0.42857142857142855"/>
    <n v="0.58381502890173409"/>
    <n v="0.17341040462427745"/>
    <n v="16220"/>
    <s v="Autohaus Berlin"/>
  </r>
  <r>
    <s v="CUST_2003"/>
    <x v="10"/>
    <x v="1"/>
    <s v="Monday"/>
    <s v="No"/>
    <x v="1"/>
    <x v="1"/>
    <s v="NRW"/>
    <x v="1"/>
    <s v="Astra"/>
    <s v="Hybrid"/>
    <x v="2"/>
    <s v="18-25"/>
    <s v="Medium"/>
    <x v="0"/>
    <x v="3"/>
    <s v="Sales_5"/>
    <n v="318"/>
    <n v="152"/>
    <n v="94"/>
    <n v="28"/>
    <s v="18.42"/>
    <n v="26492"/>
    <s v="8.2"/>
    <n v="23837"/>
    <n v="741776"/>
    <n v="74340"/>
    <s v="Feb"/>
    <n v="2"/>
    <n v="2026"/>
    <s v="Weekday"/>
    <n v="0.2978723404255319"/>
    <n v="0.4779874213836478"/>
    <n v="8.8050314465408799E-2"/>
    <n v="2655"/>
    <s v="Rhein Auto Group"/>
  </r>
  <r>
    <s v="CUST_2004"/>
    <x v="8"/>
    <x v="3"/>
    <s v="Wednesday"/>
    <s v="No"/>
    <x v="6"/>
    <x v="6"/>
    <s v="Saxony"/>
    <x v="1"/>
    <s v="Grandland"/>
    <s v="Hybrid"/>
    <x v="0"/>
    <s v="18-25"/>
    <s v="Low"/>
    <x v="0"/>
    <x v="2"/>
    <s v="Sales_14"/>
    <n v="421"/>
    <n v="161"/>
    <n v="106"/>
    <n v="32"/>
    <s v="19.88"/>
    <n v="27004"/>
    <s v="7.94"/>
    <n v="24448"/>
    <n v="864128"/>
    <n v="81792"/>
    <s v="Feb"/>
    <n v="2"/>
    <n v="2026"/>
    <s v="Weekday"/>
    <n v="0.30188679245283018"/>
    <n v="0.38242280285035629"/>
    <n v="7.6009501187648459E-2"/>
    <n v="2556"/>
    <s v="Leipzig Mobility"/>
  </r>
  <r>
    <s v="CUST_2005"/>
    <x v="22"/>
    <x v="3"/>
    <s v="Tuesday"/>
    <s v="No"/>
    <x v="6"/>
    <x v="6"/>
    <s v="Saxony"/>
    <x v="3"/>
    <s v="EQE"/>
    <s v="Petrol"/>
    <x v="1"/>
    <s v="50+"/>
    <s v="Low"/>
    <x v="0"/>
    <x v="1"/>
    <s v="Sales_17"/>
    <n v="259"/>
    <n v="125"/>
    <n v="83"/>
    <n v="30"/>
    <s v="24.0"/>
    <n v="56917"/>
    <s v="3.94"/>
    <n v="43038"/>
    <n v="1707510"/>
    <n v="416370"/>
    <s v="Feb"/>
    <n v="2"/>
    <n v="2026"/>
    <s v="Weekday"/>
    <n v="0.36144578313253012"/>
    <n v="0.4826254826254826"/>
    <n v="0.11583011583011583"/>
    <n v="13879"/>
    <s v="Leipzig Mobility"/>
  </r>
  <r>
    <s v="CUST_2006"/>
    <x v="18"/>
    <x v="0"/>
    <s v="Saturday"/>
    <s v="Yes"/>
    <x v="5"/>
    <x v="5"/>
    <s v="Hamburg"/>
    <x v="3"/>
    <s v="C-Class"/>
    <s v="Electric"/>
    <x v="1"/>
    <s v="26-35"/>
    <s v="Medium"/>
    <x v="1"/>
    <x v="3"/>
    <s v="Sales_3"/>
    <n v="148"/>
    <n v="71"/>
    <n v="54"/>
    <n v="18"/>
    <s v="25.35"/>
    <n v="58408"/>
    <s v="3.09"/>
    <n v="43889"/>
    <n v="1051344"/>
    <n v="261342"/>
    <s v="Feb"/>
    <n v="2"/>
    <n v="2026"/>
    <s v="Weekend"/>
    <n v="0.33333333333333331"/>
    <n v="0.47972972972972971"/>
    <n v="0.12162162162162163"/>
    <n v="14519"/>
    <s v="Elbe Drive"/>
  </r>
  <r>
    <s v="CUST_2007"/>
    <x v="9"/>
    <x v="0"/>
    <s v="Sunday"/>
    <s v="Yes"/>
    <x v="3"/>
    <x v="3"/>
    <s v="Saxony"/>
    <x v="1"/>
    <s v="Astra"/>
    <s v="Hybrid"/>
    <x v="2"/>
    <s v="26-35"/>
    <s v="Low"/>
    <x v="0"/>
    <x v="3"/>
    <s v="Sales_10"/>
    <n v="319"/>
    <n v="135"/>
    <n v="79"/>
    <n v="22"/>
    <s v="16.3"/>
    <n v="26368"/>
    <s v="7.56"/>
    <n v="24061"/>
    <n v="580096"/>
    <n v="50754"/>
    <s v="Feb"/>
    <n v="2"/>
    <n v="2026"/>
    <s v="Weekend"/>
    <n v="0.27848101265822783"/>
    <n v="0.42319749216300939"/>
    <n v="6.8965517241379309E-2"/>
    <n v="2307"/>
    <s v="Saxon Wheels"/>
  </r>
  <r>
    <s v="CUST_2008"/>
    <x v="1"/>
    <x v="1"/>
    <s v="Wednesday"/>
    <s v="No"/>
    <x v="5"/>
    <x v="5"/>
    <s v="Hamburg"/>
    <x v="3"/>
    <s v="C-Class"/>
    <s v="Petrol"/>
    <x v="1"/>
    <s v="36-50"/>
    <s v="Medium"/>
    <x v="1"/>
    <x v="0"/>
    <s v="Sales_11"/>
    <n v="166"/>
    <n v="96"/>
    <n v="66"/>
    <n v="21"/>
    <s v="21.88"/>
    <n v="67324"/>
    <s v="4.09"/>
    <n v="53050"/>
    <n v="1413804"/>
    <n v="299754"/>
    <s v="Feb"/>
    <n v="2"/>
    <n v="2026"/>
    <s v="Weekday"/>
    <n v="0.31818181818181818"/>
    <n v="0.57831325301204817"/>
    <n v="0.12650602409638553"/>
    <n v="14274"/>
    <s v="Elbe Drive"/>
  </r>
  <r>
    <s v="CUST_2009"/>
    <x v="8"/>
    <x v="3"/>
    <s v="Wednesday"/>
    <s v="No"/>
    <x v="8"/>
    <x v="8"/>
    <s v="Baden-WÃ¼rttemberg"/>
    <x v="0"/>
    <s v="3 Series"/>
    <s v="Petrol"/>
    <x v="1"/>
    <s v="26-35"/>
    <s v="High"/>
    <x v="0"/>
    <x v="2"/>
    <s v="Sales_10"/>
    <n v="267"/>
    <n v="150"/>
    <n v="117"/>
    <n v="48"/>
    <s v="32.0"/>
    <n v="66371"/>
    <s v="4.11"/>
    <n v="47081"/>
    <n v="3185808"/>
    <n v="925920"/>
    <s v="Feb"/>
    <n v="2"/>
    <n v="2026"/>
    <s v="Weekday"/>
    <n v="0.41025641025641024"/>
    <n v="0.5617977528089888"/>
    <n v="0.1797752808988764"/>
    <n v="19290"/>
    <s v="Stuttgart Auto Center"/>
  </r>
  <r>
    <s v="CUST_2010"/>
    <x v="4"/>
    <x v="2"/>
    <s v="Wednesday"/>
    <s v="No"/>
    <x v="9"/>
    <x v="9"/>
    <s v="NRW"/>
    <x v="3"/>
    <s v="GLC"/>
    <s v="Petrol"/>
    <x v="0"/>
    <s v="36-50"/>
    <s v="Medium"/>
    <x v="1"/>
    <x v="2"/>
    <s v="Sales_18"/>
    <n v="182"/>
    <n v="94"/>
    <n v="64"/>
    <n v="22"/>
    <s v="23.4"/>
    <n v="51232"/>
    <s v="4.84"/>
    <n v="38389"/>
    <n v="1127104"/>
    <n v="282546"/>
    <s v="Feb"/>
    <n v="2"/>
    <n v="2026"/>
    <s v="Weekday"/>
    <n v="0.34375"/>
    <n v="0.51648351648351654"/>
    <n v="0.12087912087912088"/>
    <n v="12843"/>
    <s v="Ruhr Auto Plaza"/>
  </r>
  <r>
    <s v="CUST_2011"/>
    <x v="5"/>
    <x v="3"/>
    <s v="Saturday"/>
    <s v="Yes"/>
    <x v="3"/>
    <x v="3"/>
    <s v="Saxony"/>
    <x v="4"/>
    <s v="Passat"/>
    <s v="Diesel"/>
    <x v="1"/>
    <s v="26-35"/>
    <s v="Medium"/>
    <x v="1"/>
    <x v="0"/>
    <s v="Sales_9"/>
    <n v="348"/>
    <n v="150"/>
    <n v="100"/>
    <n v="19"/>
    <s v="12.67"/>
    <n v="28641"/>
    <s v="6.34"/>
    <n v="25448"/>
    <n v="544179"/>
    <n v="60667"/>
    <s v="Feb"/>
    <n v="2"/>
    <n v="2026"/>
    <s v="Weekend"/>
    <n v="0.19"/>
    <n v="0.43103448275862066"/>
    <n v="5.459770114942529E-2"/>
    <n v="3193"/>
    <s v="Saxon Wheels"/>
  </r>
  <r>
    <s v="CUST_2012"/>
    <x v="19"/>
    <x v="1"/>
    <s v="Saturday"/>
    <s v="Yes"/>
    <x v="7"/>
    <x v="7"/>
    <s v="Bavaria"/>
    <x v="4"/>
    <s v="Golf"/>
    <s v="Electric"/>
    <x v="2"/>
    <s v="36-50"/>
    <s v="Medium"/>
    <x v="0"/>
    <x v="2"/>
    <s v="Sales_2"/>
    <n v="380"/>
    <n v="176"/>
    <n v="112"/>
    <n v="39"/>
    <s v="22.16"/>
    <n v="33050"/>
    <s v="8.41"/>
    <n v="28770"/>
    <n v="1288950"/>
    <n v="166920"/>
    <s v="Feb"/>
    <n v="2"/>
    <n v="2026"/>
    <s v="Weekend"/>
    <n v="0.3482142857142857"/>
    <n v="0.4631578947368421"/>
    <n v="0.10263157894736842"/>
    <n v="4280"/>
    <s v="Bavaria Motors"/>
  </r>
  <r>
    <s v="CUST_2013"/>
    <x v="14"/>
    <x v="2"/>
    <s v="Friday"/>
    <s v="No"/>
    <x v="0"/>
    <x v="0"/>
    <s v="Hesse"/>
    <x v="2"/>
    <s v="e-tron"/>
    <s v="Hybrid"/>
    <x v="0"/>
    <s v="18-25"/>
    <s v="Medium"/>
    <x v="1"/>
    <x v="1"/>
    <s v="Sales_3"/>
    <n v="212"/>
    <n v="122"/>
    <n v="85"/>
    <n v="27"/>
    <s v="22.13"/>
    <n v="53662"/>
    <s v="6.41"/>
    <n v="42697"/>
    <n v="1448874"/>
    <n v="296055"/>
    <s v="Feb"/>
    <n v="2"/>
    <n v="2026"/>
    <s v="Weekday"/>
    <n v="0.31764705882352939"/>
    <n v="0.57547169811320753"/>
    <n v="0.12735849056603774"/>
    <n v="10965"/>
    <s v="Main Auto Hub"/>
  </r>
  <r>
    <s v="CUST_2014"/>
    <x v="13"/>
    <x v="0"/>
    <s v="Friday"/>
    <s v="No"/>
    <x v="2"/>
    <x v="2"/>
    <s v="Lower Saxony"/>
    <x v="4"/>
    <s v="Tiguan"/>
    <s v="Petrol"/>
    <x v="0"/>
    <s v="26-35"/>
    <s v="Low"/>
    <x v="1"/>
    <x v="0"/>
    <s v="Sales_6"/>
    <n v="280"/>
    <n v="119"/>
    <n v="74"/>
    <n v="18"/>
    <s v="15.13"/>
    <n v="26706"/>
    <s v="9.64"/>
    <n v="24106"/>
    <n v="480708"/>
    <n v="46800"/>
    <s v="Feb"/>
    <n v="2"/>
    <n v="2026"/>
    <s v="Weekday"/>
    <n v="0.24324324324324326"/>
    <n v="0.42499999999999999"/>
    <n v="6.4285714285714279E-2"/>
    <n v="2600"/>
    <s v="Hannover Cars"/>
  </r>
  <r>
    <s v="CUST_2015"/>
    <x v="18"/>
    <x v="0"/>
    <s v="Saturday"/>
    <s v="Yes"/>
    <x v="7"/>
    <x v="7"/>
    <s v="Bavaria"/>
    <x v="2"/>
    <s v="e-tron"/>
    <s v="Electric"/>
    <x v="0"/>
    <s v="18-25"/>
    <s v="High"/>
    <x v="1"/>
    <x v="2"/>
    <s v="Sales_2"/>
    <n v="238"/>
    <n v="132"/>
    <n v="101"/>
    <n v="33"/>
    <s v="25.0"/>
    <n v="54074"/>
    <s v="6.35"/>
    <n v="43413"/>
    <n v="1784442"/>
    <n v="351813"/>
    <s v="Feb"/>
    <n v="2"/>
    <n v="2026"/>
    <s v="Weekend"/>
    <n v="0.32673267326732675"/>
    <n v="0.55462184873949583"/>
    <n v="0.13865546218487396"/>
    <n v="10661"/>
    <s v="Bavaria Motors"/>
  </r>
  <r>
    <s v="CUST_2016"/>
    <x v="13"/>
    <x v="0"/>
    <s v="Friday"/>
    <s v="No"/>
    <x v="8"/>
    <x v="8"/>
    <s v="Baden-WÃ¼rttemberg"/>
    <x v="3"/>
    <s v="E-Class"/>
    <s v="Petrol"/>
    <x v="1"/>
    <s v="50+"/>
    <s v="Low"/>
    <x v="0"/>
    <x v="2"/>
    <s v="Sales_8"/>
    <n v="203"/>
    <n v="96"/>
    <n v="73"/>
    <n v="28"/>
    <s v="29.17"/>
    <n v="54206"/>
    <s v="4.57"/>
    <n v="40547"/>
    <n v="1517768"/>
    <n v="382452"/>
    <s v="Feb"/>
    <n v="2"/>
    <n v="2026"/>
    <s v="Weekday"/>
    <n v="0.38356164383561642"/>
    <n v="0.47290640394088668"/>
    <n v="0.13793103448275862"/>
    <n v="13659"/>
    <s v="Stuttgart Auto Center"/>
  </r>
  <r>
    <s v="CUST_2017"/>
    <x v="14"/>
    <x v="2"/>
    <s v="Friday"/>
    <s v="No"/>
    <x v="5"/>
    <x v="5"/>
    <s v="Hamburg"/>
    <x v="3"/>
    <s v="E-Class"/>
    <s v="Hybrid"/>
    <x v="1"/>
    <s v="36-50"/>
    <s v="Low"/>
    <x v="1"/>
    <x v="3"/>
    <s v="Sales_4"/>
    <n v="188"/>
    <n v="106"/>
    <n v="79"/>
    <n v="24"/>
    <s v="22.64"/>
    <n v="67077"/>
    <s v="4.49"/>
    <n v="51448"/>
    <n v="1609848"/>
    <n v="375096"/>
    <s v="Feb"/>
    <n v="2"/>
    <n v="2026"/>
    <s v="Weekday"/>
    <n v="0.30379746835443039"/>
    <n v="0.56382978723404253"/>
    <n v="0.1276595744680851"/>
    <n v="15629"/>
    <s v="Elbe Drive"/>
  </r>
  <r>
    <s v="CUST_2018"/>
    <x v="12"/>
    <x v="3"/>
    <s v="Thursday"/>
    <s v="No"/>
    <x v="2"/>
    <x v="2"/>
    <s v="Lower Saxony"/>
    <x v="3"/>
    <s v="E-Class"/>
    <s v="Electric"/>
    <x v="1"/>
    <s v="36-50"/>
    <s v="Medium"/>
    <x v="0"/>
    <x v="0"/>
    <s v="Sales_11"/>
    <n v="223"/>
    <n v="110"/>
    <n v="87"/>
    <n v="24"/>
    <s v="21.82"/>
    <n v="60672"/>
    <s v="3.2"/>
    <n v="46008"/>
    <n v="1456128"/>
    <n v="351936"/>
    <s v="Feb"/>
    <n v="2"/>
    <n v="2026"/>
    <s v="Weekday"/>
    <n v="0.27586206896551724"/>
    <n v="0.49327354260089684"/>
    <n v="0.10762331838565023"/>
    <n v="14664"/>
    <s v="Hannover Cars"/>
  </r>
  <r>
    <s v="CUST_2019"/>
    <x v="14"/>
    <x v="2"/>
    <s v="Friday"/>
    <s v="No"/>
    <x v="0"/>
    <x v="0"/>
    <s v="Hesse"/>
    <x v="0"/>
    <s v="X3"/>
    <s v="Hybrid"/>
    <x v="0"/>
    <s v="50+"/>
    <s v="Low"/>
    <x v="0"/>
    <x v="3"/>
    <s v="Sales_8"/>
    <n v="192"/>
    <n v="96"/>
    <n v="68"/>
    <n v="24"/>
    <s v="25.0"/>
    <n v="61866"/>
    <s v="2.0"/>
    <n v="46143"/>
    <n v="1484784"/>
    <n v="377352"/>
    <s v="Feb"/>
    <n v="2"/>
    <n v="2026"/>
    <s v="Weekday"/>
    <n v="0.35294117647058826"/>
    <n v="0.5"/>
    <n v="0.125"/>
    <n v="15723"/>
    <s v="Main Auto Hub"/>
  </r>
  <r>
    <s v="CUST_2020"/>
    <x v="11"/>
    <x v="0"/>
    <s v="Wednesday"/>
    <s v="No"/>
    <x v="1"/>
    <x v="1"/>
    <s v="NRW"/>
    <x v="0"/>
    <s v="5 Series"/>
    <s v="Hybrid"/>
    <x v="1"/>
    <s v="18-25"/>
    <s v="Low"/>
    <x v="0"/>
    <x v="0"/>
    <s v="Sales_7"/>
    <n v="277"/>
    <n v="153"/>
    <n v="113"/>
    <n v="39"/>
    <s v="25.49"/>
    <n v="51080"/>
    <s v="3.39"/>
    <n v="35991"/>
    <n v="1992120"/>
    <n v="588471"/>
    <s v="Feb"/>
    <n v="2"/>
    <n v="2026"/>
    <s v="Weekday"/>
    <n v="0.34513274336283184"/>
    <n v="0.55234657039711188"/>
    <n v="0.1407942238267148"/>
    <n v="15089"/>
    <s v="Rhein Auto Group"/>
  </r>
  <r>
    <s v="CUST_2021"/>
    <x v="24"/>
    <x v="1"/>
    <s v="Thursday"/>
    <s v="No"/>
    <x v="6"/>
    <x v="6"/>
    <s v="Saxony"/>
    <x v="0"/>
    <s v="X5"/>
    <s v="Hybrid"/>
    <x v="0"/>
    <s v="18-25"/>
    <s v="Low"/>
    <x v="1"/>
    <x v="2"/>
    <s v="Sales_5"/>
    <n v="212"/>
    <n v="99"/>
    <n v="71"/>
    <n v="30"/>
    <s v="30.3"/>
    <n v="65019"/>
    <s v="3.56"/>
    <n v="45926"/>
    <n v="1950570"/>
    <n v="572790"/>
    <s v="Feb"/>
    <n v="2"/>
    <n v="2026"/>
    <s v="Weekday"/>
    <n v="0.42253521126760563"/>
    <n v="0.46698113207547171"/>
    <n v="0.14150943396226415"/>
    <n v="19093"/>
    <s v="Leipzig Mobility"/>
  </r>
  <r>
    <s v="CUST_2022"/>
    <x v="25"/>
    <x v="3"/>
    <s v="Friday"/>
    <s v="No"/>
    <x v="8"/>
    <x v="8"/>
    <s v="Baden-WÃ¼rttemberg"/>
    <x v="0"/>
    <s v="X3"/>
    <s v="Hybrid"/>
    <x v="0"/>
    <s v="18-25"/>
    <s v="Low"/>
    <x v="0"/>
    <x v="0"/>
    <s v="Sales_12"/>
    <n v="195"/>
    <n v="108"/>
    <n v="79"/>
    <n v="31"/>
    <s v="28.7"/>
    <n v="57657"/>
    <s v="5.04"/>
    <n v="42244"/>
    <n v="1787367"/>
    <n v="477803"/>
    <s v="Feb"/>
    <n v="2"/>
    <n v="2026"/>
    <s v="Weekday"/>
    <n v="0.39240506329113922"/>
    <n v="0.55384615384615388"/>
    <n v="0.15897435897435896"/>
    <n v="15413"/>
    <s v="Stuttgart Auto Center"/>
  </r>
  <r>
    <s v="CUST_2023"/>
    <x v="3"/>
    <x v="1"/>
    <s v="Sunday"/>
    <s v="Yes"/>
    <x v="8"/>
    <x v="8"/>
    <s v="Baden-WÃ¼rttemberg"/>
    <x v="2"/>
    <s v="A3"/>
    <s v="Electric"/>
    <x v="2"/>
    <s v="26-35"/>
    <s v="High"/>
    <x v="0"/>
    <x v="2"/>
    <s v="Sales_6"/>
    <n v="215"/>
    <n v="130"/>
    <n v="83"/>
    <n v="31"/>
    <s v="23.85"/>
    <n v="53052"/>
    <s v="5.78"/>
    <n v="40709"/>
    <n v="1644612"/>
    <n v="382633"/>
    <s v="Feb"/>
    <n v="2"/>
    <n v="2026"/>
    <s v="Weekend"/>
    <n v="0.37349397590361444"/>
    <n v="0.60465116279069764"/>
    <n v="0.14418604651162792"/>
    <n v="12343"/>
    <s v="Stuttgart Auto Center"/>
  </r>
  <r>
    <s v="CUST_2024"/>
    <x v="14"/>
    <x v="2"/>
    <s v="Friday"/>
    <s v="No"/>
    <x v="3"/>
    <x v="3"/>
    <s v="Saxony"/>
    <x v="2"/>
    <s v="e-tron"/>
    <s v="Diesel"/>
    <x v="0"/>
    <s v="50+"/>
    <s v="High"/>
    <x v="0"/>
    <x v="1"/>
    <s v="Sales_3"/>
    <n v="188"/>
    <n v="95"/>
    <n v="72"/>
    <n v="22"/>
    <s v="23.16"/>
    <n v="53754"/>
    <s v="5.27"/>
    <n v="40560"/>
    <n v="1182588"/>
    <n v="290268"/>
    <s v="Feb"/>
    <n v="2"/>
    <n v="2026"/>
    <s v="Weekday"/>
    <n v="0.30555555555555558"/>
    <n v="0.50531914893617025"/>
    <n v="0.11702127659574468"/>
    <n v="13194"/>
    <s v="Saxon Wheels"/>
  </r>
  <r>
    <s v="CUST_2025"/>
    <x v="9"/>
    <x v="0"/>
    <s v="Sunday"/>
    <s v="Yes"/>
    <x v="1"/>
    <x v="1"/>
    <s v="NRW"/>
    <x v="1"/>
    <s v="Crossland"/>
    <s v="Electric"/>
    <x v="0"/>
    <s v="18-25"/>
    <s v="Medium"/>
    <x v="0"/>
    <x v="2"/>
    <s v="Sales_3"/>
    <n v="409"/>
    <n v="201"/>
    <n v="134"/>
    <n v="37"/>
    <s v="18.41"/>
    <n v="24429"/>
    <s v="7.41"/>
    <n v="22567"/>
    <n v="903873"/>
    <n v="68894"/>
    <s v="Feb"/>
    <n v="2"/>
    <n v="2026"/>
    <s v="Weekend"/>
    <n v="0.27611940298507465"/>
    <n v="0.49144254278728605"/>
    <n v="9.0464547677261614E-2"/>
    <n v="1862"/>
    <s v="Rhein Auto Group"/>
  </r>
  <r>
    <s v="CUST_2026"/>
    <x v="21"/>
    <x v="0"/>
    <s v="Tuesday"/>
    <s v="No"/>
    <x v="5"/>
    <x v="5"/>
    <s v="Hamburg"/>
    <x v="1"/>
    <s v="Crossland"/>
    <s v="Electric"/>
    <x v="0"/>
    <s v="26-35"/>
    <s v="Medium"/>
    <x v="1"/>
    <x v="0"/>
    <s v="Sales_7"/>
    <n v="284"/>
    <n v="137"/>
    <n v="87"/>
    <n v="19"/>
    <s v="13.87"/>
    <n v="26134"/>
    <s v="12.18"/>
    <n v="23695"/>
    <n v="496546"/>
    <n v="46341"/>
    <s v="Feb"/>
    <n v="2"/>
    <n v="2026"/>
    <s v="Weekday"/>
    <n v="0.21839080459770116"/>
    <n v="0.48239436619718312"/>
    <n v="6.6901408450704219E-2"/>
    <n v="2439"/>
    <s v="Elbe Drive"/>
  </r>
  <r>
    <s v="CUST_2027"/>
    <x v="27"/>
    <x v="3"/>
    <s v="Sunday"/>
    <s v="Yes"/>
    <x v="2"/>
    <x v="2"/>
    <s v="Lower Saxony"/>
    <x v="2"/>
    <s v="e-tron"/>
    <s v="Diesel"/>
    <x v="0"/>
    <s v="26-35"/>
    <s v="Low"/>
    <x v="0"/>
    <x v="2"/>
    <s v="Sales_6"/>
    <n v="308"/>
    <n v="178"/>
    <n v="127"/>
    <n v="46"/>
    <s v="25.84"/>
    <n v="55856"/>
    <s v="3.41"/>
    <n v="43619"/>
    <n v="2569376"/>
    <n v="562902"/>
    <s v="Feb"/>
    <n v="2"/>
    <n v="2026"/>
    <s v="Weekend"/>
    <n v="0.36220472440944884"/>
    <n v="0.57792207792207795"/>
    <n v="0.14935064935064934"/>
    <n v="12237"/>
    <s v="Hannover Cars"/>
  </r>
  <r>
    <s v="CUST_2028"/>
    <x v="4"/>
    <x v="2"/>
    <s v="Wednesday"/>
    <s v="No"/>
    <x v="4"/>
    <x v="4"/>
    <s v="Berlin"/>
    <x v="1"/>
    <s v="Grandland"/>
    <s v="Hybrid"/>
    <x v="0"/>
    <s v="36-50"/>
    <s v="High"/>
    <x v="1"/>
    <x v="3"/>
    <s v="Sales_18"/>
    <n v="347"/>
    <n v="165"/>
    <n v="107"/>
    <n v="30"/>
    <s v="18.18"/>
    <n v="21466"/>
    <s v="12.27"/>
    <n v="19740"/>
    <n v="643980"/>
    <n v="51780"/>
    <s v="Feb"/>
    <n v="2"/>
    <n v="2026"/>
    <s v="Weekday"/>
    <n v="0.28037383177570091"/>
    <n v="0.47550432276657062"/>
    <n v="8.645533141210375E-2"/>
    <n v="1726"/>
    <s v="Autohaus Berlin"/>
  </r>
  <r>
    <s v="CUST_2029"/>
    <x v="6"/>
    <x v="2"/>
    <s v="Saturday"/>
    <s v="Yes"/>
    <x v="6"/>
    <x v="6"/>
    <s v="Saxony"/>
    <x v="1"/>
    <s v="Corsa"/>
    <s v="Electric"/>
    <x v="2"/>
    <s v="26-35"/>
    <s v="Medium"/>
    <x v="0"/>
    <x v="2"/>
    <s v="Sales_16"/>
    <n v="323"/>
    <n v="143"/>
    <n v="81"/>
    <n v="24"/>
    <s v="16.78"/>
    <n v="23969"/>
    <s v="12.84"/>
    <n v="22247"/>
    <n v="575256"/>
    <n v="41328"/>
    <s v="Feb"/>
    <n v="2"/>
    <n v="2026"/>
    <s v="Weekend"/>
    <n v="0.29629629629629628"/>
    <n v="0.44272445820433437"/>
    <n v="7.4303405572755415E-2"/>
    <n v="1722"/>
    <s v="Leipzig Mobility"/>
  </r>
  <r>
    <s v="CUST_2030"/>
    <x v="21"/>
    <x v="0"/>
    <s v="Tuesday"/>
    <s v="No"/>
    <x v="8"/>
    <x v="8"/>
    <s v="Baden-WÃ¼rttemberg"/>
    <x v="2"/>
    <s v="A3"/>
    <s v="Diesel"/>
    <x v="2"/>
    <s v="26-35"/>
    <s v="Low"/>
    <x v="0"/>
    <x v="3"/>
    <s v="Sales_4"/>
    <n v="235"/>
    <n v="127"/>
    <n v="94"/>
    <n v="30"/>
    <s v="23.62"/>
    <n v="45763"/>
    <s v="4.04"/>
    <n v="35568"/>
    <n v="1372890"/>
    <n v="305850"/>
    <s v="Feb"/>
    <n v="2"/>
    <n v="2026"/>
    <s v="Weekday"/>
    <n v="0.31914893617021278"/>
    <n v="0.54042553191489362"/>
    <n v="0.1276595744680851"/>
    <n v="10195"/>
    <s v="Stuttgart Auto Center"/>
  </r>
  <r>
    <s v="CUST_2031"/>
    <x v="9"/>
    <x v="0"/>
    <s v="Sunday"/>
    <s v="Yes"/>
    <x v="3"/>
    <x v="3"/>
    <s v="Saxony"/>
    <x v="3"/>
    <s v="GLC"/>
    <s v="Electric"/>
    <x v="0"/>
    <s v="18-25"/>
    <s v="Medium"/>
    <x v="1"/>
    <x v="3"/>
    <s v="Sales_17"/>
    <n v="218"/>
    <n v="103"/>
    <n v="79"/>
    <n v="23"/>
    <s v="22.33"/>
    <n v="60665"/>
    <s v="4.94"/>
    <n v="43337"/>
    <n v="1395295"/>
    <n v="398544"/>
    <s v="Feb"/>
    <n v="2"/>
    <n v="2026"/>
    <s v="Weekend"/>
    <n v="0.29113924050632911"/>
    <n v="0.47247706422018348"/>
    <n v="0.10550458715596331"/>
    <n v="17328"/>
    <s v="Saxon Wheels"/>
  </r>
  <r>
    <s v="CUST_2032"/>
    <x v="6"/>
    <x v="2"/>
    <s v="Saturday"/>
    <s v="Yes"/>
    <x v="1"/>
    <x v="1"/>
    <s v="NRW"/>
    <x v="1"/>
    <s v="Astra"/>
    <s v="Hybrid"/>
    <x v="2"/>
    <s v="50+"/>
    <s v="High"/>
    <x v="0"/>
    <x v="2"/>
    <s v="Sales_17"/>
    <n v="363"/>
    <n v="200"/>
    <n v="135"/>
    <n v="42"/>
    <s v="21.0"/>
    <n v="20727"/>
    <s v="8.56"/>
    <n v="18835"/>
    <n v="870534"/>
    <n v="79464"/>
    <s v="Feb"/>
    <n v="2"/>
    <n v="2026"/>
    <s v="Weekend"/>
    <n v="0.31111111111111112"/>
    <n v="0.55096418732782371"/>
    <n v="0.11570247933884298"/>
    <n v="1892"/>
    <s v="Rhein Auto Group"/>
  </r>
  <r>
    <s v="CUST_2033"/>
    <x v="13"/>
    <x v="0"/>
    <s v="Friday"/>
    <s v="No"/>
    <x v="9"/>
    <x v="9"/>
    <s v="NRW"/>
    <x v="4"/>
    <s v="Passat"/>
    <s v="Electric"/>
    <x v="1"/>
    <s v="36-50"/>
    <s v="High"/>
    <x v="1"/>
    <x v="0"/>
    <s v="Sales_11"/>
    <n v="473"/>
    <n v="273"/>
    <n v="173"/>
    <n v="40"/>
    <s v="14.65"/>
    <n v="30534"/>
    <s v="11.61"/>
    <n v="26556"/>
    <n v="1221360"/>
    <n v="159120"/>
    <s v="Feb"/>
    <n v="2"/>
    <n v="2026"/>
    <s v="Weekday"/>
    <n v="0.23121387283236994"/>
    <n v="0.57716701902748413"/>
    <n v="8.4566596194503171E-2"/>
    <n v="3978"/>
    <s v="Ruhr Auto Plaza"/>
  </r>
  <r>
    <s v="CUST_2034"/>
    <x v="27"/>
    <x v="3"/>
    <s v="Sunday"/>
    <s v="Yes"/>
    <x v="1"/>
    <x v="1"/>
    <s v="NRW"/>
    <x v="4"/>
    <s v="Tiguan"/>
    <s v="Diesel"/>
    <x v="0"/>
    <s v="36-50"/>
    <s v="Medium"/>
    <x v="1"/>
    <x v="2"/>
    <s v="Sales_10"/>
    <n v="407"/>
    <n v="179"/>
    <n v="118"/>
    <n v="32"/>
    <s v="17.88"/>
    <n v="28292"/>
    <s v="7.86"/>
    <n v="24671"/>
    <n v="905344"/>
    <n v="115872"/>
    <s v="Feb"/>
    <n v="2"/>
    <n v="2026"/>
    <s v="Weekend"/>
    <n v="0.2711864406779661"/>
    <n v="0.43980343980343978"/>
    <n v="7.8624078624078622E-2"/>
    <n v="3621"/>
    <s v="Rhein Auto Group"/>
  </r>
  <r>
    <s v="CUST_2035"/>
    <x v="10"/>
    <x v="1"/>
    <s v="Monday"/>
    <s v="No"/>
    <x v="6"/>
    <x v="6"/>
    <s v="Saxony"/>
    <x v="0"/>
    <s v="5 Series"/>
    <s v="Petrol"/>
    <x v="1"/>
    <s v="50+"/>
    <s v="Low"/>
    <x v="1"/>
    <x v="2"/>
    <s v="Sales_15"/>
    <n v="246"/>
    <n v="130"/>
    <n v="94"/>
    <n v="39"/>
    <s v="30.0"/>
    <n v="67497"/>
    <s v="2.74"/>
    <n v="49765"/>
    <n v="2632383"/>
    <n v="691548"/>
    <s v="Feb"/>
    <n v="2"/>
    <n v="2026"/>
    <s v="Weekday"/>
    <n v="0.41489361702127658"/>
    <n v="0.52845528455284552"/>
    <n v="0.15853658536585366"/>
    <n v="17732"/>
    <s v="Leipzig Mobility"/>
  </r>
  <r>
    <s v="CUST_2036"/>
    <x v="15"/>
    <x v="2"/>
    <s v="Thursday"/>
    <s v="No"/>
    <x v="0"/>
    <x v="0"/>
    <s v="Hesse"/>
    <x v="2"/>
    <s v="Q5"/>
    <s v="Hybrid"/>
    <x v="0"/>
    <s v="50+"/>
    <s v="High"/>
    <x v="0"/>
    <x v="2"/>
    <s v="Sales_7"/>
    <n v="190"/>
    <n v="102"/>
    <n v="75"/>
    <n v="24"/>
    <s v="23.53"/>
    <n v="52043"/>
    <s v="3.06"/>
    <n v="42345"/>
    <n v="1249032"/>
    <n v="232752"/>
    <s v="Feb"/>
    <n v="2"/>
    <n v="2026"/>
    <s v="Weekday"/>
    <n v="0.32"/>
    <n v="0.5368421052631579"/>
    <n v="0.12631578947368421"/>
    <n v="9698"/>
    <s v="Main Auto Hub"/>
  </r>
  <r>
    <s v="CUST_2037"/>
    <x v="12"/>
    <x v="3"/>
    <s v="Thursday"/>
    <s v="No"/>
    <x v="6"/>
    <x v="6"/>
    <s v="Saxony"/>
    <x v="1"/>
    <s v="Corsa"/>
    <s v="Diesel"/>
    <x v="2"/>
    <s v="18-25"/>
    <s v="Low"/>
    <x v="1"/>
    <x v="0"/>
    <s v="Sales_13"/>
    <n v="250"/>
    <n v="138"/>
    <n v="94"/>
    <n v="18"/>
    <s v="13.04"/>
    <n v="22926"/>
    <s v="7.37"/>
    <n v="20681"/>
    <n v="412668"/>
    <n v="40410"/>
    <s v="Feb"/>
    <n v="2"/>
    <n v="2026"/>
    <s v="Weekday"/>
    <n v="0.19148936170212766"/>
    <n v="0.55200000000000005"/>
    <n v="7.1999999999999995E-2"/>
    <n v="2245"/>
    <s v="Leipzig Mobility"/>
  </r>
  <r>
    <s v="CUST_2038"/>
    <x v="26"/>
    <x v="1"/>
    <s v="Friday"/>
    <s v="No"/>
    <x v="4"/>
    <x v="4"/>
    <s v="Berlin"/>
    <x v="1"/>
    <s v="Crossland"/>
    <s v="Petrol"/>
    <x v="0"/>
    <s v="36-50"/>
    <s v="Medium"/>
    <x v="0"/>
    <x v="3"/>
    <s v="Sales_19"/>
    <n v="288"/>
    <n v="159"/>
    <n v="98"/>
    <n v="26"/>
    <s v="16.35"/>
    <n v="26176"/>
    <s v="7.42"/>
    <n v="24243"/>
    <n v="680576"/>
    <n v="50258"/>
    <s v="Feb"/>
    <n v="2"/>
    <n v="2026"/>
    <s v="Weekday"/>
    <n v="0.26530612244897961"/>
    <n v="0.55208333333333337"/>
    <n v="9.0277777777777776E-2"/>
    <n v="1933"/>
    <s v="Autohaus Berlin"/>
  </r>
  <r>
    <s v="CUST_2039"/>
    <x v="7"/>
    <x v="3"/>
    <s v="Monday"/>
    <s v="No"/>
    <x v="5"/>
    <x v="5"/>
    <s v="Hamburg"/>
    <x v="1"/>
    <s v="Corsa"/>
    <s v="Diesel"/>
    <x v="2"/>
    <s v="18-25"/>
    <s v="High"/>
    <x v="1"/>
    <x v="1"/>
    <s v="Sales_8"/>
    <n v="387"/>
    <n v="213"/>
    <n v="128"/>
    <n v="36"/>
    <s v="16.9"/>
    <n v="25604"/>
    <s v="8.91"/>
    <n v="23755"/>
    <n v="921744"/>
    <n v="66564"/>
    <s v="Feb"/>
    <n v="2"/>
    <n v="2026"/>
    <s v="Weekday"/>
    <n v="0.28125"/>
    <n v="0.55038759689922478"/>
    <n v="9.3023255813953487E-2"/>
    <n v="1849"/>
    <s v="Elbe Drive"/>
  </r>
  <r>
    <s v="CUST_2040"/>
    <x v="5"/>
    <x v="3"/>
    <s v="Saturday"/>
    <s v="Yes"/>
    <x v="5"/>
    <x v="5"/>
    <s v="Hamburg"/>
    <x v="1"/>
    <s v="Astra"/>
    <s v="Hybrid"/>
    <x v="2"/>
    <s v="50+"/>
    <s v="Medium"/>
    <x v="0"/>
    <x v="2"/>
    <s v="Sales_8"/>
    <n v="390"/>
    <n v="175"/>
    <n v="122"/>
    <n v="34"/>
    <s v="19.43"/>
    <n v="21921"/>
    <s v="7.39"/>
    <n v="19950"/>
    <n v="745314"/>
    <n v="67014"/>
    <s v="Feb"/>
    <n v="2"/>
    <n v="2026"/>
    <s v="Weekend"/>
    <n v="0.27868852459016391"/>
    <n v="0.44871794871794873"/>
    <n v="8.7179487179487175E-2"/>
    <n v="1971"/>
    <s v="Elbe Drive"/>
  </r>
  <r>
    <s v="CUST_2041"/>
    <x v="23"/>
    <x v="2"/>
    <s v="Tuesday"/>
    <s v="No"/>
    <x v="8"/>
    <x v="8"/>
    <s v="Baden-WÃ¼rttemberg"/>
    <x v="0"/>
    <s v="i4"/>
    <s v="Hybrid"/>
    <x v="1"/>
    <s v="50+"/>
    <s v="Low"/>
    <x v="0"/>
    <x v="3"/>
    <s v="Sales_9"/>
    <n v="195"/>
    <n v="95"/>
    <n v="74"/>
    <n v="26"/>
    <s v="27.37"/>
    <n v="66059"/>
    <s v="3.78"/>
    <n v="49993"/>
    <n v="1717534"/>
    <n v="417716"/>
    <s v="Feb"/>
    <n v="2"/>
    <n v="2026"/>
    <s v="Weekday"/>
    <n v="0.35135135135135137"/>
    <n v="0.48717948717948717"/>
    <n v="0.13333333333333333"/>
    <n v="16066"/>
    <s v="Stuttgart Auto Center"/>
  </r>
  <r>
    <s v="CUST_2042"/>
    <x v="14"/>
    <x v="2"/>
    <s v="Friday"/>
    <s v="No"/>
    <x v="4"/>
    <x v="4"/>
    <s v="Berlin"/>
    <x v="2"/>
    <s v="A3"/>
    <s v="Petrol"/>
    <x v="2"/>
    <s v="36-50"/>
    <s v="Low"/>
    <x v="0"/>
    <x v="1"/>
    <s v="Sales_2"/>
    <n v="289"/>
    <n v="167"/>
    <n v="110"/>
    <n v="43"/>
    <s v="25.75"/>
    <n v="52334"/>
    <s v="6.07"/>
    <n v="42137"/>
    <n v="2250362"/>
    <n v="438471"/>
    <s v="Feb"/>
    <n v="2"/>
    <n v="2026"/>
    <s v="Weekday"/>
    <n v="0.39090909090909093"/>
    <n v="0.57785467128027679"/>
    <n v="0.14878892733564014"/>
    <n v="10197"/>
    <s v="Autohaus Berlin"/>
  </r>
  <r>
    <s v="CUST_2043"/>
    <x v="13"/>
    <x v="0"/>
    <s v="Friday"/>
    <s v="No"/>
    <x v="0"/>
    <x v="0"/>
    <s v="Hesse"/>
    <x v="2"/>
    <s v="Q5"/>
    <s v="Hybrid"/>
    <x v="0"/>
    <s v="50+"/>
    <s v="Medium"/>
    <x v="0"/>
    <x v="3"/>
    <s v="Sales_12"/>
    <n v="271"/>
    <n v="155"/>
    <n v="107"/>
    <n v="31"/>
    <s v="20.0"/>
    <n v="41733"/>
    <s v="4.79"/>
    <n v="33792"/>
    <n v="1293723"/>
    <n v="246171"/>
    <s v="Feb"/>
    <n v="2"/>
    <n v="2026"/>
    <s v="Weekday"/>
    <n v="0.28971962616822428"/>
    <n v="0.5719557195571956"/>
    <n v="0.11439114391143912"/>
    <n v="7941"/>
    <s v="Main Auto Hub"/>
  </r>
  <r>
    <s v="CUST_2044"/>
    <x v="17"/>
    <x v="2"/>
    <s v="Sunday"/>
    <s v="Yes"/>
    <x v="0"/>
    <x v="0"/>
    <s v="Hesse"/>
    <x v="2"/>
    <s v="Q5"/>
    <s v="Diesel"/>
    <x v="0"/>
    <s v="18-25"/>
    <s v="High"/>
    <x v="1"/>
    <x v="3"/>
    <s v="Sales_1"/>
    <n v="266"/>
    <n v="155"/>
    <n v="104"/>
    <n v="34"/>
    <s v="21.94"/>
    <n v="39959"/>
    <s v="6.8"/>
    <n v="30624"/>
    <n v="1358606"/>
    <n v="317390"/>
    <s v="Feb"/>
    <n v="2"/>
    <n v="2026"/>
    <s v="Weekend"/>
    <n v="0.32692307692307693"/>
    <n v="0.58270676691729328"/>
    <n v="0.12781954887218044"/>
    <n v="9335"/>
    <s v="Main Auto Hub"/>
  </r>
  <r>
    <s v="CUST_2045"/>
    <x v="2"/>
    <x v="2"/>
    <s v="Monday"/>
    <s v="No"/>
    <x v="2"/>
    <x v="2"/>
    <s v="Lower Saxony"/>
    <x v="2"/>
    <s v="A4"/>
    <s v="Electric"/>
    <x v="1"/>
    <s v="26-35"/>
    <s v="Medium"/>
    <x v="0"/>
    <x v="3"/>
    <s v="Sales_18"/>
    <n v="273"/>
    <n v="129"/>
    <n v="85"/>
    <n v="30"/>
    <s v="23.26"/>
    <n v="50998"/>
    <s v="5.23"/>
    <n v="41560"/>
    <n v="1529940"/>
    <n v="283140"/>
    <s v="Feb"/>
    <n v="2"/>
    <n v="2026"/>
    <s v="Weekday"/>
    <n v="0.35294117647058826"/>
    <n v="0.47252747252747251"/>
    <n v="0.10989010989010989"/>
    <n v="9438"/>
    <s v="Hannover Cars"/>
  </r>
  <r>
    <s v="CUST_2046"/>
    <x v="21"/>
    <x v="0"/>
    <s v="Tuesday"/>
    <s v="No"/>
    <x v="6"/>
    <x v="6"/>
    <s v="Saxony"/>
    <x v="2"/>
    <s v="Q5"/>
    <s v="Electric"/>
    <x v="0"/>
    <s v="50+"/>
    <s v="Low"/>
    <x v="0"/>
    <x v="3"/>
    <s v="Sales_19"/>
    <n v="249"/>
    <n v="138"/>
    <n v="104"/>
    <n v="30"/>
    <s v="21.74"/>
    <n v="51001"/>
    <s v="5.24"/>
    <n v="39341"/>
    <n v="1530030"/>
    <n v="349800"/>
    <s v="Feb"/>
    <n v="2"/>
    <n v="2026"/>
    <s v="Weekday"/>
    <n v="0.28846153846153844"/>
    <n v="0.55421686746987953"/>
    <n v="0.12048192771084337"/>
    <n v="11660"/>
    <s v="Leipzig Mobility"/>
  </r>
  <r>
    <s v="CUST_2047"/>
    <x v="18"/>
    <x v="0"/>
    <s v="Saturday"/>
    <s v="Yes"/>
    <x v="6"/>
    <x v="6"/>
    <s v="Saxony"/>
    <x v="2"/>
    <s v="A4"/>
    <s v="Petrol"/>
    <x v="1"/>
    <s v="36-50"/>
    <s v="High"/>
    <x v="1"/>
    <x v="3"/>
    <s v="Sales_13"/>
    <n v="201"/>
    <n v="127"/>
    <n v="91"/>
    <n v="26"/>
    <s v="20.47"/>
    <n v="39833"/>
    <s v="5.99"/>
    <n v="31627"/>
    <n v="1035658"/>
    <n v="213356"/>
    <s v="Feb"/>
    <n v="2"/>
    <n v="2026"/>
    <s v="Weekend"/>
    <n v="0.2857142857142857"/>
    <n v="0.63184079601990051"/>
    <n v="0.12935323383084577"/>
    <n v="8206"/>
    <s v="Leipzig Mobility"/>
  </r>
  <r>
    <s v="CUST_2048"/>
    <x v="2"/>
    <x v="2"/>
    <s v="Monday"/>
    <s v="No"/>
    <x v="8"/>
    <x v="8"/>
    <s v="Baden-WÃ¼rttemberg"/>
    <x v="4"/>
    <s v="T-Roc"/>
    <s v="Hybrid"/>
    <x v="0"/>
    <s v="50+"/>
    <s v="Low"/>
    <x v="0"/>
    <x v="1"/>
    <s v="Sales_9"/>
    <n v="275"/>
    <n v="111"/>
    <n v="79"/>
    <n v="21"/>
    <s v="18.92"/>
    <n v="29248"/>
    <s v="7.9"/>
    <n v="25393"/>
    <n v="614208"/>
    <n v="80955"/>
    <s v="Feb"/>
    <n v="2"/>
    <n v="2026"/>
    <s v="Weekday"/>
    <n v="0.26582278481012656"/>
    <n v="0.40363636363636363"/>
    <n v="7.636363636363637E-2"/>
    <n v="3855"/>
    <s v="Stuttgart Auto Center"/>
  </r>
  <r>
    <s v="CUST_2049"/>
    <x v="21"/>
    <x v="0"/>
    <s v="Tuesday"/>
    <s v="No"/>
    <x v="6"/>
    <x v="6"/>
    <s v="Saxony"/>
    <x v="1"/>
    <s v="Grandland"/>
    <s v="Electric"/>
    <x v="0"/>
    <s v="36-50"/>
    <s v="High"/>
    <x v="1"/>
    <x v="1"/>
    <s v="Sales_5"/>
    <n v="249"/>
    <n v="98"/>
    <n v="68"/>
    <n v="15"/>
    <s v="15.31"/>
    <n v="22541"/>
    <s v="13.67"/>
    <n v="20906"/>
    <n v="338115"/>
    <n v="24525"/>
    <s v="Feb"/>
    <n v="2"/>
    <n v="2026"/>
    <s v="Weekday"/>
    <n v="0.22058823529411764"/>
    <n v="0.39357429718875503"/>
    <n v="6.0240963855421686E-2"/>
    <n v="1635"/>
    <s v="Leipzig Mobility"/>
  </r>
  <r>
    <s v="CUST_2050"/>
    <x v="2"/>
    <x v="2"/>
    <s v="Monday"/>
    <s v="No"/>
    <x v="3"/>
    <x v="3"/>
    <s v="Saxony"/>
    <x v="1"/>
    <s v="Mokka"/>
    <s v="Diesel"/>
    <x v="0"/>
    <s v="36-50"/>
    <s v="Medium"/>
    <x v="1"/>
    <x v="1"/>
    <s v="Sales_15"/>
    <n v="261"/>
    <n v="109"/>
    <n v="65"/>
    <n v="14"/>
    <s v="12.84"/>
    <n v="19001"/>
    <s v="13.81"/>
    <n v="17408"/>
    <n v="266014"/>
    <n v="22302"/>
    <s v="Feb"/>
    <n v="2"/>
    <n v="2026"/>
    <s v="Weekday"/>
    <n v="0.2153846153846154"/>
    <n v="0.41762452107279696"/>
    <n v="5.3639846743295021E-2"/>
    <n v="1593"/>
    <s v="Saxon Wheels"/>
  </r>
  <r>
    <s v="CUST_2051"/>
    <x v="26"/>
    <x v="1"/>
    <s v="Friday"/>
    <s v="No"/>
    <x v="3"/>
    <x v="3"/>
    <s v="Saxony"/>
    <x v="3"/>
    <s v="GLE"/>
    <s v="Diesel"/>
    <x v="0"/>
    <s v="18-25"/>
    <s v="Medium"/>
    <x v="1"/>
    <x v="3"/>
    <s v="Sales_17"/>
    <n v="263"/>
    <n v="127"/>
    <n v="95"/>
    <n v="30"/>
    <s v="23.62"/>
    <n v="56464"/>
    <s v="3.43"/>
    <n v="40264"/>
    <n v="1693920"/>
    <n v="486000"/>
    <s v="Feb"/>
    <n v="2"/>
    <n v="2026"/>
    <s v="Weekday"/>
    <n v="0.31578947368421051"/>
    <n v="0.4828897338403042"/>
    <n v="0.11406844106463879"/>
    <n v="16200"/>
    <s v="Saxon Wheels"/>
  </r>
  <r>
    <s v="CUST_2052"/>
    <x v="3"/>
    <x v="1"/>
    <s v="Sunday"/>
    <s v="Yes"/>
    <x v="6"/>
    <x v="6"/>
    <s v="Saxony"/>
    <x v="2"/>
    <s v="e-tron"/>
    <s v="Electric"/>
    <x v="0"/>
    <s v="36-50"/>
    <s v="Medium"/>
    <x v="0"/>
    <x v="1"/>
    <s v="Sales_2"/>
    <n v="287"/>
    <n v="133"/>
    <n v="87"/>
    <n v="32"/>
    <s v="24.06"/>
    <n v="43370"/>
    <s v="5.78"/>
    <n v="33436"/>
    <n v="1387840"/>
    <n v="317888"/>
    <s v="Feb"/>
    <n v="2"/>
    <n v="2026"/>
    <s v="Weekend"/>
    <n v="0.36781609195402298"/>
    <n v="0.46341463414634149"/>
    <n v="0.11149825783972125"/>
    <n v="9934"/>
    <s v="Leipzig Mobility"/>
  </r>
  <r>
    <s v="CUST_2053"/>
    <x v="17"/>
    <x v="2"/>
    <s v="Sunday"/>
    <s v="Yes"/>
    <x v="7"/>
    <x v="7"/>
    <s v="Bavaria"/>
    <x v="3"/>
    <s v="C-Class"/>
    <s v="Hybrid"/>
    <x v="1"/>
    <s v="18-25"/>
    <s v="Medium"/>
    <x v="1"/>
    <x v="0"/>
    <s v="Sales_17"/>
    <n v="190"/>
    <n v="93"/>
    <n v="68"/>
    <n v="23"/>
    <s v="24.73"/>
    <n v="60941"/>
    <s v="3.52"/>
    <n v="43923"/>
    <n v="1401643"/>
    <n v="391414"/>
    <s v="Feb"/>
    <n v="2"/>
    <n v="2026"/>
    <s v="Weekend"/>
    <n v="0.33823529411764708"/>
    <n v="0.48947368421052634"/>
    <n v="0.12105263157894737"/>
    <n v="17018"/>
    <s v="Bavaria Motors"/>
  </r>
  <r>
    <s v="CUST_2054"/>
    <x v="22"/>
    <x v="3"/>
    <s v="Tuesday"/>
    <s v="No"/>
    <x v="2"/>
    <x v="2"/>
    <s v="Lower Saxony"/>
    <x v="2"/>
    <s v="A3"/>
    <s v="Petrol"/>
    <x v="2"/>
    <s v="50+"/>
    <s v="Low"/>
    <x v="0"/>
    <x v="0"/>
    <s v="Sales_7"/>
    <n v="315"/>
    <n v="185"/>
    <n v="143"/>
    <n v="37"/>
    <s v="20.0"/>
    <n v="47182"/>
    <s v="5.93"/>
    <n v="37299"/>
    <n v="1745734"/>
    <n v="365671"/>
    <s v="Feb"/>
    <n v="2"/>
    <n v="2026"/>
    <s v="Weekday"/>
    <n v="0.25874125874125875"/>
    <n v="0.58730158730158732"/>
    <n v="0.11746031746031746"/>
    <n v="9883"/>
    <s v="Hannover Cars"/>
  </r>
  <r>
    <s v="CUST_2055"/>
    <x v="27"/>
    <x v="3"/>
    <s v="Sunday"/>
    <s v="Yes"/>
    <x v="2"/>
    <x v="2"/>
    <s v="Lower Saxony"/>
    <x v="1"/>
    <s v="Grandland"/>
    <s v="Diesel"/>
    <x v="0"/>
    <s v="50+"/>
    <s v="High"/>
    <x v="0"/>
    <x v="0"/>
    <s v="Sales_19"/>
    <n v="242"/>
    <n v="101"/>
    <n v="68"/>
    <n v="14"/>
    <s v="13.86"/>
    <n v="21278"/>
    <s v="12.56"/>
    <n v="19454"/>
    <n v="297892"/>
    <n v="25536"/>
    <s v="Feb"/>
    <n v="2"/>
    <n v="2026"/>
    <s v="Weekend"/>
    <n v="0.20588235294117646"/>
    <n v="0.41735537190082644"/>
    <n v="5.7851239669421489E-2"/>
    <n v="1824"/>
    <s v="Hannover Cars"/>
  </r>
  <r>
    <s v="CUST_2056"/>
    <x v="5"/>
    <x v="3"/>
    <s v="Saturday"/>
    <s v="Yes"/>
    <x v="3"/>
    <x v="3"/>
    <s v="Saxony"/>
    <x v="0"/>
    <s v="3 Series"/>
    <s v="Electric"/>
    <x v="1"/>
    <s v="26-35"/>
    <s v="Medium"/>
    <x v="0"/>
    <x v="3"/>
    <s v="Sales_4"/>
    <n v="220"/>
    <n v="111"/>
    <n v="84"/>
    <n v="31"/>
    <s v="27.93"/>
    <n v="63470"/>
    <s v="2.95"/>
    <n v="49345"/>
    <n v="1967570"/>
    <n v="437875"/>
    <s v="Feb"/>
    <n v="2"/>
    <n v="2026"/>
    <s v="Weekend"/>
    <n v="0.36904761904761907"/>
    <n v="0.50454545454545452"/>
    <n v="0.1409090909090909"/>
    <n v="14125"/>
    <s v="Saxon Wheels"/>
  </r>
  <r>
    <s v="CUST_2057"/>
    <x v="18"/>
    <x v="0"/>
    <s v="Saturday"/>
    <s v="Yes"/>
    <x v="9"/>
    <x v="9"/>
    <s v="NRW"/>
    <x v="1"/>
    <s v="Mokka"/>
    <s v="Petrol"/>
    <x v="0"/>
    <s v="26-35"/>
    <s v="Medium"/>
    <x v="1"/>
    <x v="1"/>
    <s v="Sales_1"/>
    <n v="347"/>
    <n v="146"/>
    <n v="85"/>
    <n v="20"/>
    <s v="13.7"/>
    <n v="25601"/>
    <s v="10.32"/>
    <n v="23092"/>
    <n v="512020"/>
    <n v="50180"/>
    <s v="Feb"/>
    <n v="2"/>
    <n v="2026"/>
    <s v="Weekend"/>
    <n v="0.23529411764705882"/>
    <n v="0.4207492795389049"/>
    <n v="5.7636887608069162E-2"/>
    <n v="2509"/>
    <s v="Ruhr Auto Plaza"/>
  </r>
  <r>
    <s v="CUST_2058"/>
    <x v="6"/>
    <x v="2"/>
    <s v="Saturday"/>
    <s v="Yes"/>
    <x v="0"/>
    <x v="0"/>
    <s v="Hesse"/>
    <x v="3"/>
    <s v="EQE"/>
    <s v="Petrol"/>
    <x v="1"/>
    <s v="36-50"/>
    <s v="High"/>
    <x v="1"/>
    <x v="3"/>
    <s v="Sales_1"/>
    <n v="195"/>
    <n v="103"/>
    <n v="82"/>
    <n v="22"/>
    <s v="21.36"/>
    <n v="62388"/>
    <s v="3.38"/>
    <n v="48942"/>
    <n v="1372536"/>
    <n v="295812"/>
    <s v="Feb"/>
    <n v="2"/>
    <n v="2026"/>
    <s v="Weekend"/>
    <n v="0.26829268292682928"/>
    <n v="0.52820512820512822"/>
    <n v="0.11282051282051282"/>
    <n v="13446"/>
    <s v="Main Auto Hub"/>
  </r>
  <r>
    <s v="CUST_2059"/>
    <x v="10"/>
    <x v="1"/>
    <s v="Monday"/>
    <s v="No"/>
    <x v="1"/>
    <x v="1"/>
    <s v="NRW"/>
    <x v="0"/>
    <s v="3 Series"/>
    <s v="Petrol"/>
    <x v="1"/>
    <s v="50+"/>
    <s v="Low"/>
    <x v="0"/>
    <x v="2"/>
    <s v="Sales_17"/>
    <n v="169"/>
    <n v="79"/>
    <n v="59"/>
    <n v="26"/>
    <s v="32.91"/>
    <n v="68564"/>
    <s v="2.49"/>
    <n v="51874"/>
    <n v="1782664"/>
    <n v="433940"/>
    <s v="Feb"/>
    <n v="2"/>
    <n v="2026"/>
    <s v="Weekday"/>
    <n v="0.44067796610169491"/>
    <n v="0.46745562130177515"/>
    <n v="0.15384615384615385"/>
    <n v="16690"/>
    <s v="Rhein Auto Group"/>
  </r>
  <r>
    <s v="CUST_2060"/>
    <x v="25"/>
    <x v="3"/>
    <s v="Friday"/>
    <s v="No"/>
    <x v="8"/>
    <x v="8"/>
    <s v="Baden-WÃ¼rttemberg"/>
    <x v="2"/>
    <s v="Q3"/>
    <s v="Electric"/>
    <x v="0"/>
    <s v="50+"/>
    <s v="Medium"/>
    <x v="1"/>
    <x v="1"/>
    <s v="Sales_10"/>
    <n v="293"/>
    <n v="179"/>
    <n v="121"/>
    <n v="40"/>
    <s v="22.35"/>
    <n v="52593"/>
    <s v="6.29"/>
    <n v="41203"/>
    <n v="2103720"/>
    <n v="455600"/>
    <s v="Feb"/>
    <n v="2"/>
    <n v="2026"/>
    <s v="Weekday"/>
    <n v="0.33057851239669422"/>
    <n v="0.61092150170648463"/>
    <n v="0.13651877133105803"/>
    <n v="11390"/>
    <s v="Stuttgart Auto Center"/>
  </r>
  <r>
    <s v="CUST_2061"/>
    <x v="26"/>
    <x v="1"/>
    <s v="Friday"/>
    <s v="No"/>
    <x v="1"/>
    <x v="1"/>
    <s v="NRW"/>
    <x v="3"/>
    <s v="EQE"/>
    <s v="Petrol"/>
    <x v="1"/>
    <s v="26-35"/>
    <s v="Low"/>
    <x v="1"/>
    <x v="2"/>
    <s v="Sales_14"/>
    <n v="175"/>
    <n v="88"/>
    <n v="69"/>
    <n v="25"/>
    <s v="28.41"/>
    <n v="69227"/>
    <s v="3.55"/>
    <n v="51287"/>
    <n v="1730675"/>
    <n v="448500"/>
    <s v="Feb"/>
    <n v="2"/>
    <n v="2026"/>
    <s v="Weekday"/>
    <n v="0.36231884057971014"/>
    <n v="0.50285714285714289"/>
    <n v="0.14285714285714285"/>
    <n v="17940"/>
    <s v="Rhein Auto Group"/>
  </r>
  <r>
    <s v="CUST_2062"/>
    <x v="1"/>
    <x v="1"/>
    <s v="Wednesday"/>
    <s v="No"/>
    <x v="4"/>
    <x v="4"/>
    <s v="Berlin"/>
    <x v="4"/>
    <s v="T-Roc"/>
    <s v="Electric"/>
    <x v="0"/>
    <s v="36-50"/>
    <s v="High"/>
    <x v="0"/>
    <x v="2"/>
    <s v="Sales_5"/>
    <n v="305"/>
    <n v="154"/>
    <n v="93"/>
    <n v="34"/>
    <s v="22.08"/>
    <n v="31312"/>
    <s v="7.76"/>
    <n v="28411"/>
    <n v="1064608"/>
    <n v="98634"/>
    <s v="Feb"/>
    <n v="2"/>
    <n v="2026"/>
    <s v="Weekday"/>
    <n v="0.36559139784946237"/>
    <n v="0.5049180327868853"/>
    <n v="0.11147540983606558"/>
    <n v="2901"/>
    <s v="Autohaus Berlin"/>
  </r>
  <r>
    <s v="CUST_2063"/>
    <x v="5"/>
    <x v="3"/>
    <s v="Saturday"/>
    <s v="Yes"/>
    <x v="1"/>
    <x v="1"/>
    <s v="NRW"/>
    <x v="0"/>
    <s v="3 Series"/>
    <s v="Diesel"/>
    <x v="1"/>
    <s v="50+"/>
    <s v="Medium"/>
    <x v="1"/>
    <x v="3"/>
    <s v="Sales_16"/>
    <n v="278"/>
    <n v="130"/>
    <n v="93"/>
    <n v="36"/>
    <s v="27.69"/>
    <n v="56071"/>
    <s v="2.23"/>
    <n v="41741"/>
    <n v="2018556"/>
    <n v="515880"/>
    <s v="Feb"/>
    <n v="2"/>
    <n v="2026"/>
    <s v="Weekend"/>
    <n v="0.38709677419354838"/>
    <n v="0.46762589928057552"/>
    <n v="0.12949640287769784"/>
    <n v="14330"/>
    <s v="Rhein Auto Group"/>
  </r>
  <r>
    <s v="CUST_2064"/>
    <x v="13"/>
    <x v="0"/>
    <s v="Friday"/>
    <s v="No"/>
    <x v="7"/>
    <x v="7"/>
    <s v="Bavaria"/>
    <x v="3"/>
    <s v="E-Class"/>
    <s v="Petrol"/>
    <x v="1"/>
    <s v="18-25"/>
    <s v="Low"/>
    <x v="0"/>
    <x v="2"/>
    <s v="Sales_11"/>
    <n v="198"/>
    <n v="87"/>
    <n v="66"/>
    <n v="28"/>
    <s v="32.18"/>
    <n v="50804"/>
    <s v="5.34"/>
    <n v="37135"/>
    <n v="1422512"/>
    <n v="382732"/>
    <s v="Feb"/>
    <n v="2"/>
    <n v="2026"/>
    <s v="Weekday"/>
    <n v="0.42424242424242425"/>
    <n v="0.43939393939393939"/>
    <n v="0.14141414141414141"/>
    <n v="13669"/>
    <s v="Bavaria Motors"/>
  </r>
  <r>
    <s v="CUST_2065"/>
    <x v="2"/>
    <x v="2"/>
    <s v="Monday"/>
    <s v="No"/>
    <x v="0"/>
    <x v="0"/>
    <s v="Hesse"/>
    <x v="4"/>
    <s v="Passat"/>
    <s v="Diesel"/>
    <x v="1"/>
    <s v="36-50"/>
    <s v="Low"/>
    <x v="1"/>
    <x v="3"/>
    <s v="Sales_7"/>
    <n v="504"/>
    <n v="287"/>
    <n v="191"/>
    <n v="33"/>
    <s v="11.5"/>
    <n v="32349"/>
    <s v="7.47"/>
    <n v="29216"/>
    <n v="1067517"/>
    <n v="103389"/>
    <s v="Feb"/>
    <n v="2"/>
    <n v="2026"/>
    <s v="Weekday"/>
    <n v="0.17277486910994763"/>
    <n v="0.56944444444444442"/>
    <n v="6.5476190476190479E-2"/>
    <n v="3133"/>
    <s v="Main Auto Hub"/>
  </r>
  <r>
    <s v="CUST_2066"/>
    <x v="26"/>
    <x v="1"/>
    <s v="Friday"/>
    <s v="No"/>
    <x v="4"/>
    <x v="4"/>
    <s v="Berlin"/>
    <x v="4"/>
    <s v="T-Roc"/>
    <s v="Electric"/>
    <x v="0"/>
    <s v="50+"/>
    <s v="Low"/>
    <x v="1"/>
    <x v="2"/>
    <s v="Sales_19"/>
    <n v="260"/>
    <n v="117"/>
    <n v="70"/>
    <n v="23"/>
    <s v="19.66"/>
    <n v="26172"/>
    <s v="11.69"/>
    <n v="23410"/>
    <n v="601956"/>
    <n v="63526"/>
    <s v="Feb"/>
    <n v="2"/>
    <n v="2026"/>
    <s v="Weekday"/>
    <n v="0.32857142857142857"/>
    <n v="0.45"/>
    <n v="8.8461538461538466E-2"/>
    <n v="2762"/>
    <s v="Autohaus Berlin"/>
  </r>
  <r>
    <s v="CUST_2067"/>
    <x v="1"/>
    <x v="1"/>
    <s v="Wednesday"/>
    <s v="No"/>
    <x v="2"/>
    <x v="2"/>
    <s v="Lower Saxony"/>
    <x v="4"/>
    <s v="ID.4"/>
    <s v="Diesel"/>
    <x v="0"/>
    <s v="50+"/>
    <s v="High"/>
    <x v="0"/>
    <x v="2"/>
    <s v="Sales_8"/>
    <n v="402"/>
    <n v="187"/>
    <n v="116"/>
    <n v="37"/>
    <s v="19.79"/>
    <n v="31544"/>
    <s v="8.86"/>
    <n v="27374"/>
    <n v="1167128"/>
    <n v="154290"/>
    <s v="Feb"/>
    <n v="2"/>
    <n v="2026"/>
    <s v="Weekday"/>
    <n v="0.31896551724137934"/>
    <n v="0.46517412935323382"/>
    <n v="9.2039800995024873E-2"/>
    <n v="4170"/>
    <s v="Hannover Cars"/>
  </r>
  <r>
    <s v="CUST_2068"/>
    <x v="23"/>
    <x v="2"/>
    <s v="Tuesday"/>
    <s v="No"/>
    <x v="6"/>
    <x v="6"/>
    <s v="Saxony"/>
    <x v="3"/>
    <s v="GLC"/>
    <s v="Diesel"/>
    <x v="0"/>
    <s v="50+"/>
    <s v="Medium"/>
    <x v="1"/>
    <x v="0"/>
    <s v="Sales_18"/>
    <n v="289"/>
    <n v="131"/>
    <n v="101"/>
    <n v="29"/>
    <s v="22.14"/>
    <n v="63446"/>
    <s v="3.03"/>
    <n v="47345"/>
    <n v="1839934"/>
    <n v="466929"/>
    <s v="Feb"/>
    <n v="2"/>
    <n v="2026"/>
    <s v="Weekday"/>
    <n v="0.28712871287128711"/>
    <n v="0.45328719723183392"/>
    <n v="0.10034602076124567"/>
    <n v="16101"/>
    <s v="Leipzig Mobility"/>
  </r>
  <r>
    <s v="CUST_2069"/>
    <x v="25"/>
    <x v="3"/>
    <s v="Friday"/>
    <s v="No"/>
    <x v="3"/>
    <x v="3"/>
    <s v="Saxony"/>
    <x v="4"/>
    <s v="Passat"/>
    <s v="Electric"/>
    <x v="1"/>
    <s v="36-50"/>
    <s v="High"/>
    <x v="1"/>
    <x v="0"/>
    <s v="Sales_1"/>
    <n v="275"/>
    <n v="146"/>
    <n v="102"/>
    <n v="18"/>
    <s v="12.33"/>
    <n v="33295"/>
    <s v="9.11"/>
    <n v="29785"/>
    <n v="599310"/>
    <n v="63180"/>
    <s v="Feb"/>
    <n v="2"/>
    <n v="2026"/>
    <s v="Weekday"/>
    <n v="0.17647058823529413"/>
    <n v="0.53090909090909089"/>
    <n v="6.545454545454546E-2"/>
    <n v="3510"/>
    <s v="Saxon Wheels"/>
  </r>
  <r>
    <s v="CUST_2070"/>
    <x v="0"/>
    <x v="0"/>
    <s v="Monday"/>
    <s v="No"/>
    <x v="3"/>
    <x v="3"/>
    <s v="Saxony"/>
    <x v="3"/>
    <s v="GLE"/>
    <s v="Petrol"/>
    <x v="0"/>
    <s v="36-50"/>
    <s v="High"/>
    <x v="1"/>
    <x v="0"/>
    <s v="Sales_11"/>
    <n v="168"/>
    <n v="82"/>
    <n v="62"/>
    <n v="18"/>
    <s v="21.95"/>
    <n v="50754"/>
    <s v="5.94"/>
    <n v="36136"/>
    <n v="913572"/>
    <n v="263124"/>
    <s v="Feb"/>
    <n v="2"/>
    <n v="2026"/>
    <s v="Weekday"/>
    <n v="0.29032258064516131"/>
    <n v="0.48809523809523808"/>
    <n v="0.10714285714285714"/>
    <n v="14618"/>
    <s v="Saxon Wheels"/>
  </r>
  <r>
    <s v="CUST_2071"/>
    <x v="19"/>
    <x v="1"/>
    <s v="Saturday"/>
    <s v="Yes"/>
    <x v="3"/>
    <x v="3"/>
    <s v="Saxony"/>
    <x v="1"/>
    <s v="Grandland"/>
    <s v="Petrol"/>
    <x v="0"/>
    <s v="26-35"/>
    <s v="High"/>
    <x v="1"/>
    <x v="1"/>
    <s v="Sales_13"/>
    <n v="343"/>
    <n v="131"/>
    <n v="75"/>
    <n v="20"/>
    <s v="15.27"/>
    <n v="23620"/>
    <s v="13.99"/>
    <n v="21149"/>
    <n v="472400"/>
    <n v="49420"/>
    <s v="Feb"/>
    <n v="2"/>
    <n v="2026"/>
    <s v="Weekend"/>
    <n v="0.26666666666666666"/>
    <n v="0.38192419825072887"/>
    <n v="5.8309037900874633E-2"/>
    <n v="2471"/>
    <s v="Saxon Wheels"/>
  </r>
  <r>
    <s v="CUST_2072"/>
    <x v="16"/>
    <x v="1"/>
    <s v="Tuesday"/>
    <s v="No"/>
    <x v="8"/>
    <x v="8"/>
    <s v="Baden-WÃ¼rttemberg"/>
    <x v="0"/>
    <s v="X3"/>
    <s v="Hybrid"/>
    <x v="0"/>
    <s v="18-25"/>
    <s v="High"/>
    <x v="1"/>
    <x v="0"/>
    <s v="Sales_16"/>
    <n v="195"/>
    <n v="95"/>
    <n v="66"/>
    <n v="24"/>
    <s v="25.26"/>
    <n v="57962"/>
    <s v="3.3"/>
    <n v="40930"/>
    <n v="1391088"/>
    <n v="408768"/>
    <s v="Feb"/>
    <n v="2"/>
    <n v="2026"/>
    <s v="Weekday"/>
    <n v="0.36363636363636365"/>
    <n v="0.48717948717948717"/>
    <n v="0.12307692307692308"/>
    <n v="17032"/>
    <s v="Stuttgart Auto Center"/>
  </r>
  <r>
    <s v="CUST_2073"/>
    <x v="17"/>
    <x v="2"/>
    <s v="Sunday"/>
    <s v="Yes"/>
    <x v="6"/>
    <x v="6"/>
    <s v="Saxony"/>
    <x v="4"/>
    <s v="Golf"/>
    <s v="Hybrid"/>
    <x v="2"/>
    <s v="36-50"/>
    <s v="Low"/>
    <x v="1"/>
    <x v="3"/>
    <s v="Sales_20"/>
    <n v="366"/>
    <n v="206"/>
    <n v="122"/>
    <n v="29"/>
    <s v="14.08"/>
    <n v="31251"/>
    <s v="7.85"/>
    <n v="27664"/>
    <n v="906279"/>
    <n v="104023"/>
    <s v="Feb"/>
    <n v="2"/>
    <n v="2026"/>
    <s v="Weekend"/>
    <n v="0.23770491803278687"/>
    <n v="0.56284153005464477"/>
    <n v="7.9234972677595633E-2"/>
    <n v="3587"/>
    <s v="Leipzig Mobility"/>
  </r>
  <r>
    <s v="CUST_2074"/>
    <x v="23"/>
    <x v="2"/>
    <s v="Tuesday"/>
    <s v="No"/>
    <x v="9"/>
    <x v="9"/>
    <s v="NRW"/>
    <x v="4"/>
    <s v="Passat"/>
    <s v="Diesel"/>
    <x v="1"/>
    <s v="36-50"/>
    <s v="Low"/>
    <x v="0"/>
    <x v="3"/>
    <s v="Sales_10"/>
    <n v="367"/>
    <n v="160"/>
    <n v="100"/>
    <n v="26"/>
    <s v="16.25"/>
    <n v="29408"/>
    <s v="10.02"/>
    <n v="25313"/>
    <n v="764608"/>
    <n v="106470"/>
    <s v="Feb"/>
    <n v="2"/>
    <n v="2026"/>
    <s v="Weekday"/>
    <n v="0.26"/>
    <n v="0.43596730245231607"/>
    <n v="7.0844686648501368E-2"/>
    <n v="4095"/>
    <s v="Ruhr Auto Plaza"/>
  </r>
  <r>
    <s v="CUST_2075"/>
    <x v="7"/>
    <x v="3"/>
    <s v="Monday"/>
    <s v="No"/>
    <x v="1"/>
    <x v="1"/>
    <s v="NRW"/>
    <x v="4"/>
    <s v="Golf"/>
    <s v="Electric"/>
    <x v="2"/>
    <s v="18-25"/>
    <s v="Low"/>
    <x v="0"/>
    <x v="2"/>
    <s v="Sales_16"/>
    <n v="352"/>
    <n v="174"/>
    <n v="107"/>
    <n v="35"/>
    <s v="20.11"/>
    <n v="34317"/>
    <s v="8.22"/>
    <n v="29836"/>
    <n v="1201095"/>
    <n v="156835"/>
    <s v="Feb"/>
    <n v="2"/>
    <n v="2026"/>
    <s v="Weekday"/>
    <n v="0.32710280373831774"/>
    <n v="0.49431818181818182"/>
    <n v="9.9431818181818177E-2"/>
    <n v="4481"/>
    <s v="Rhein Auto Group"/>
  </r>
  <r>
    <s v="CUST_2076"/>
    <x v="23"/>
    <x v="2"/>
    <s v="Tuesday"/>
    <s v="No"/>
    <x v="9"/>
    <x v="9"/>
    <s v="NRW"/>
    <x v="4"/>
    <s v="T-Roc"/>
    <s v="Hybrid"/>
    <x v="0"/>
    <s v="26-35"/>
    <s v="Low"/>
    <x v="0"/>
    <x v="3"/>
    <s v="Sales_8"/>
    <n v="265"/>
    <n v="133"/>
    <n v="83"/>
    <n v="20"/>
    <s v="15.04"/>
    <n v="30680"/>
    <s v="11.23"/>
    <n v="26390"/>
    <n v="613600"/>
    <n v="85800"/>
    <s v="Feb"/>
    <n v="2"/>
    <n v="2026"/>
    <s v="Weekday"/>
    <n v="0.24096385542168675"/>
    <n v="0.50188679245283019"/>
    <n v="7.5471698113207544E-2"/>
    <n v="4290"/>
    <s v="Ruhr Auto Plaza"/>
  </r>
  <r>
    <s v="CUST_2077"/>
    <x v="11"/>
    <x v="0"/>
    <s v="Wednesday"/>
    <s v="No"/>
    <x v="2"/>
    <x v="2"/>
    <s v="Lower Saxony"/>
    <x v="3"/>
    <s v="GLE"/>
    <s v="Petrol"/>
    <x v="0"/>
    <s v="26-35"/>
    <s v="Low"/>
    <x v="1"/>
    <x v="2"/>
    <s v="Sales_14"/>
    <n v="265"/>
    <n v="130"/>
    <n v="103"/>
    <n v="36"/>
    <s v="27.69"/>
    <n v="58589"/>
    <s v="5.12"/>
    <n v="42867"/>
    <n v="2109204"/>
    <n v="565992"/>
    <s v="Feb"/>
    <n v="2"/>
    <n v="2026"/>
    <s v="Weekday"/>
    <n v="0.34951456310679613"/>
    <n v="0.49056603773584906"/>
    <n v="0.13584905660377358"/>
    <n v="15722"/>
    <s v="Hannover Cars"/>
  </r>
  <r>
    <s v="CUST_2078"/>
    <x v="11"/>
    <x v="0"/>
    <s v="Wednesday"/>
    <s v="No"/>
    <x v="5"/>
    <x v="5"/>
    <s v="Hamburg"/>
    <x v="0"/>
    <s v="5 Series"/>
    <s v="Hybrid"/>
    <x v="1"/>
    <s v="50+"/>
    <s v="High"/>
    <x v="1"/>
    <x v="0"/>
    <s v="Sales_2"/>
    <n v="208"/>
    <n v="115"/>
    <n v="83"/>
    <n v="31"/>
    <s v="26.96"/>
    <n v="56015"/>
    <s v="5.51"/>
    <n v="43192"/>
    <n v="1736465"/>
    <n v="397513"/>
    <s v="Feb"/>
    <n v="2"/>
    <n v="2026"/>
    <s v="Weekday"/>
    <n v="0.37349397590361444"/>
    <n v="0.55288461538461542"/>
    <n v="0.14903846153846154"/>
    <n v="12823"/>
    <s v="Elbe Drive"/>
  </r>
  <r>
    <s v="CUST_2079"/>
    <x v="8"/>
    <x v="3"/>
    <s v="Wednesday"/>
    <s v="No"/>
    <x v="6"/>
    <x v="6"/>
    <s v="Saxony"/>
    <x v="1"/>
    <s v="Crossland"/>
    <s v="Hybrid"/>
    <x v="0"/>
    <s v="50+"/>
    <s v="Low"/>
    <x v="1"/>
    <x v="3"/>
    <s v="Sales_4"/>
    <n v="359"/>
    <n v="146"/>
    <n v="95"/>
    <n v="22"/>
    <s v="15.07"/>
    <n v="22215"/>
    <s v="7.97"/>
    <n v="20203"/>
    <n v="488730"/>
    <n v="44264"/>
    <s v="Feb"/>
    <n v="2"/>
    <n v="2026"/>
    <s v="Weekday"/>
    <n v="0.23157894736842105"/>
    <n v="0.40668523676880225"/>
    <n v="6.1281337047353758E-2"/>
    <n v="2012"/>
    <s v="Leipzig Mobility"/>
  </r>
  <r>
    <s v="CUST_2080"/>
    <x v="1"/>
    <x v="1"/>
    <s v="Wednesday"/>
    <s v="No"/>
    <x v="4"/>
    <x v="4"/>
    <s v="Berlin"/>
    <x v="1"/>
    <s v="Mokka"/>
    <s v="Diesel"/>
    <x v="0"/>
    <s v="50+"/>
    <s v="Low"/>
    <x v="0"/>
    <x v="2"/>
    <s v="Sales_6"/>
    <n v="237"/>
    <n v="132"/>
    <n v="77"/>
    <n v="27"/>
    <s v="20.45"/>
    <n v="23669"/>
    <s v="10.46"/>
    <n v="21743"/>
    <n v="639063"/>
    <n v="52002"/>
    <s v="Feb"/>
    <n v="2"/>
    <n v="2026"/>
    <s v="Weekday"/>
    <n v="0.35064935064935066"/>
    <n v="0.55696202531645567"/>
    <n v="0.11392405063291139"/>
    <n v="1926"/>
    <s v="Autohaus Berlin"/>
  </r>
  <r>
    <s v="CUST_2081"/>
    <x v="2"/>
    <x v="2"/>
    <s v="Monday"/>
    <s v="No"/>
    <x v="7"/>
    <x v="7"/>
    <s v="Bavaria"/>
    <x v="1"/>
    <s v="Crossland"/>
    <s v="Petrol"/>
    <x v="0"/>
    <s v="26-35"/>
    <s v="Medium"/>
    <x v="1"/>
    <x v="0"/>
    <s v="Sales_11"/>
    <n v="304"/>
    <n v="115"/>
    <n v="74"/>
    <n v="17"/>
    <s v="14.78"/>
    <n v="23170"/>
    <s v="11.04"/>
    <n v="21440"/>
    <n v="393890"/>
    <n v="29410"/>
    <s v="Feb"/>
    <n v="2"/>
    <n v="2026"/>
    <s v="Weekday"/>
    <n v="0.22972972972972974"/>
    <n v="0.37828947368421051"/>
    <n v="5.5921052631578948E-2"/>
    <n v="1730"/>
    <s v="Bavaria Motors"/>
  </r>
  <r>
    <s v="CUST_2082"/>
    <x v="13"/>
    <x v="0"/>
    <s v="Friday"/>
    <s v="No"/>
    <x v="2"/>
    <x v="2"/>
    <s v="Lower Saxony"/>
    <x v="0"/>
    <s v="3 Series"/>
    <s v="Electric"/>
    <x v="1"/>
    <s v="50+"/>
    <s v="High"/>
    <x v="0"/>
    <x v="2"/>
    <s v="Sales_2"/>
    <n v="168"/>
    <n v="82"/>
    <n v="62"/>
    <n v="27"/>
    <s v="32.93"/>
    <n v="51813"/>
    <s v="2.57"/>
    <n v="38239"/>
    <n v="1398951"/>
    <n v="366498"/>
    <s v="Feb"/>
    <n v="2"/>
    <n v="2026"/>
    <s v="Weekday"/>
    <n v="0.43548387096774194"/>
    <n v="0.48809523809523808"/>
    <n v="0.16071428571428573"/>
    <n v="13574"/>
    <s v="Hannover Cars"/>
  </r>
  <r>
    <s v="CUST_2083"/>
    <x v="13"/>
    <x v="0"/>
    <s v="Friday"/>
    <s v="No"/>
    <x v="7"/>
    <x v="7"/>
    <s v="Bavaria"/>
    <x v="2"/>
    <s v="e-tron"/>
    <s v="Hybrid"/>
    <x v="0"/>
    <s v="18-25"/>
    <s v="Low"/>
    <x v="0"/>
    <x v="2"/>
    <s v="Sales_11"/>
    <n v="270"/>
    <n v="127"/>
    <n v="89"/>
    <n v="33"/>
    <s v="25.98"/>
    <n v="53627"/>
    <s v="5.17"/>
    <n v="41967"/>
    <n v="1769691"/>
    <n v="384780"/>
    <s v="Feb"/>
    <n v="2"/>
    <n v="2026"/>
    <s v="Weekday"/>
    <n v="0.3707865168539326"/>
    <n v="0.47037037037037038"/>
    <n v="0.12222222222222222"/>
    <n v="11660"/>
    <s v="Bavaria Motors"/>
  </r>
  <r>
    <s v="CUST_2084"/>
    <x v="3"/>
    <x v="1"/>
    <s v="Sunday"/>
    <s v="Yes"/>
    <x v="8"/>
    <x v="8"/>
    <s v="Baden-WÃ¼rttemberg"/>
    <x v="1"/>
    <s v="Mokka"/>
    <s v="Diesel"/>
    <x v="0"/>
    <s v="18-25"/>
    <s v="High"/>
    <x v="0"/>
    <x v="1"/>
    <s v="Sales_13"/>
    <n v="273"/>
    <n v="131"/>
    <n v="75"/>
    <n v="25"/>
    <s v="19.08"/>
    <n v="21007"/>
    <s v="9.64"/>
    <n v="18787"/>
    <n v="525175"/>
    <n v="55500"/>
    <s v="Feb"/>
    <n v="2"/>
    <n v="2026"/>
    <s v="Weekend"/>
    <n v="0.33333333333333331"/>
    <n v="0.47985347985347987"/>
    <n v="9.1575091575091569E-2"/>
    <n v="2220"/>
    <s v="Stuttgart Auto Center"/>
  </r>
  <r>
    <s v="CUST_2085"/>
    <x v="14"/>
    <x v="2"/>
    <s v="Friday"/>
    <s v="No"/>
    <x v="0"/>
    <x v="0"/>
    <s v="Hesse"/>
    <x v="3"/>
    <s v="GLE"/>
    <s v="Hybrid"/>
    <x v="0"/>
    <s v="26-35"/>
    <s v="Medium"/>
    <x v="1"/>
    <x v="3"/>
    <s v="Sales_17"/>
    <n v="155"/>
    <n v="90"/>
    <n v="67"/>
    <n v="20"/>
    <s v="22.22"/>
    <n v="66509"/>
    <s v="2.04"/>
    <n v="51162"/>
    <n v="1330180"/>
    <n v="306940"/>
    <s v="Feb"/>
    <n v="2"/>
    <n v="2026"/>
    <s v="Weekday"/>
    <n v="0.29850746268656714"/>
    <n v="0.58064516129032262"/>
    <n v="0.12903225806451613"/>
    <n v="15347"/>
    <s v="Main Auto Hub"/>
  </r>
  <r>
    <s v="CUST_2086"/>
    <x v="0"/>
    <x v="0"/>
    <s v="Monday"/>
    <s v="No"/>
    <x v="4"/>
    <x v="4"/>
    <s v="Berlin"/>
    <x v="3"/>
    <s v="EQE"/>
    <s v="Electric"/>
    <x v="1"/>
    <s v="50+"/>
    <s v="Medium"/>
    <x v="1"/>
    <x v="1"/>
    <s v="Sales_8"/>
    <n v="226"/>
    <n v="125"/>
    <n v="99"/>
    <n v="35"/>
    <s v="28.0"/>
    <n v="69806"/>
    <s v="3.26"/>
    <n v="52866"/>
    <n v="2443210"/>
    <n v="592900"/>
    <s v="Feb"/>
    <n v="2"/>
    <n v="2026"/>
    <s v="Weekday"/>
    <n v="0.35353535353535354"/>
    <n v="0.55309734513274333"/>
    <n v="0.15486725663716813"/>
    <n v="16940"/>
    <s v="Autohaus Berlin"/>
  </r>
  <r>
    <s v="CUST_2087"/>
    <x v="15"/>
    <x v="2"/>
    <s v="Thursday"/>
    <s v="No"/>
    <x v="9"/>
    <x v="9"/>
    <s v="NRW"/>
    <x v="0"/>
    <s v="3 Series"/>
    <s v="Electric"/>
    <x v="1"/>
    <s v="18-25"/>
    <s v="Low"/>
    <x v="0"/>
    <x v="0"/>
    <s v="Sales_5"/>
    <n v="172"/>
    <n v="83"/>
    <n v="67"/>
    <n v="21"/>
    <s v="25.3"/>
    <n v="58350"/>
    <s v="5.26"/>
    <n v="42515"/>
    <n v="1225350"/>
    <n v="332535"/>
    <s v="Feb"/>
    <n v="2"/>
    <n v="2026"/>
    <s v="Weekday"/>
    <n v="0.31343283582089554"/>
    <n v="0.48255813953488375"/>
    <n v="0.12209302325581395"/>
    <n v="15835"/>
    <s v="Ruhr Auto Plaza"/>
  </r>
  <r>
    <s v="CUST_2088"/>
    <x v="7"/>
    <x v="3"/>
    <s v="Monday"/>
    <s v="No"/>
    <x v="0"/>
    <x v="0"/>
    <s v="Hesse"/>
    <x v="1"/>
    <s v="Crossland"/>
    <s v="Electric"/>
    <x v="0"/>
    <s v="50+"/>
    <s v="Low"/>
    <x v="0"/>
    <x v="0"/>
    <s v="Sales_3"/>
    <n v="382"/>
    <n v="165"/>
    <n v="101"/>
    <n v="25"/>
    <s v="15.15"/>
    <n v="20070"/>
    <s v="10.97"/>
    <n v="18339"/>
    <n v="501750"/>
    <n v="43275"/>
    <s v="Feb"/>
    <n v="2"/>
    <n v="2026"/>
    <s v="Weekday"/>
    <n v="0.24752475247524752"/>
    <n v="0.43193717277486909"/>
    <n v="6.5445026178010471E-2"/>
    <n v="1731"/>
    <s v="Main Auto Hub"/>
  </r>
  <r>
    <s v="CUST_2089"/>
    <x v="5"/>
    <x v="3"/>
    <s v="Saturday"/>
    <s v="Yes"/>
    <x v="2"/>
    <x v="2"/>
    <s v="Lower Saxony"/>
    <x v="4"/>
    <s v="Golf"/>
    <s v="Petrol"/>
    <x v="2"/>
    <s v="50+"/>
    <s v="Low"/>
    <x v="1"/>
    <x v="3"/>
    <s v="Sales_2"/>
    <n v="358"/>
    <n v="193"/>
    <n v="121"/>
    <n v="28"/>
    <s v="14.51"/>
    <n v="30667"/>
    <s v="8.65"/>
    <n v="26819"/>
    <n v="858676"/>
    <n v="107744"/>
    <s v="Feb"/>
    <n v="2"/>
    <n v="2026"/>
    <s v="Weekend"/>
    <n v="0.23140495867768596"/>
    <n v="0.53910614525139666"/>
    <n v="7.8212290502793297E-2"/>
    <n v="3848"/>
    <s v="Hannover Cars"/>
  </r>
  <r>
    <s v="CUST_2090"/>
    <x v="8"/>
    <x v="3"/>
    <s v="Wednesday"/>
    <s v="No"/>
    <x v="2"/>
    <x v="2"/>
    <s v="Lower Saxony"/>
    <x v="1"/>
    <s v="Astra"/>
    <s v="Electric"/>
    <x v="2"/>
    <s v="50+"/>
    <s v="Medium"/>
    <x v="0"/>
    <x v="2"/>
    <s v="Sales_13"/>
    <n v="373"/>
    <n v="182"/>
    <n v="115"/>
    <n v="34"/>
    <s v="18.68"/>
    <n v="20435"/>
    <s v="13.78"/>
    <n v="18996"/>
    <n v="694790"/>
    <n v="48926"/>
    <s v="Feb"/>
    <n v="2"/>
    <n v="2026"/>
    <s v="Weekday"/>
    <n v="0.29565217391304349"/>
    <n v="0.48793565683646112"/>
    <n v="9.1152815013404831E-2"/>
    <n v="1439"/>
    <s v="Hannover Cars"/>
  </r>
  <r>
    <s v="CUST_2091"/>
    <x v="18"/>
    <x v="0"/>
    <s v="Saturday"/>
    <s v="Yes"/>
    <x v="2"/>
    <x v="2"/>
    <s v="Lower Saxony"/>
    <x v="0"/>
    <s v="X3"/>
    <s v="Electric"/>
    <x v="0"/>
    <s v="36-50"/>
    <s v="High"/>
    <x v="0"/>
    <x v="0"/>
    <s v="Sales_18"/>
    <n v="263"/>
    <n v="157"/>
    <n v="119"/>
    <n v="40"/>
    <s v="25.48"/>
    <n v="50396"/>
    <s v="3.74"/>
    <n v="37806"/>
    <n v="2015840"/>
    <n v="503600"/>
    <s v="Feb"/>
    <n v="2"/>
    <n v="2026"/>
    <s v="Weekend"/>
    <n v="0.33613445378151263"/>
    <n v="0.59695817490494296"/>
    <n v="0.15209125475285171"/>
    <n v="12590"/>
    <s v="Hannover Cars"/>
  </r>
  <r>
    <s v="CUST_2092"/>
    <x v="20"/>
    <x v="0"/>
    <s v="Thursday"/>
    <s v="No"/>
    <x v="1"/>
    <x v="1"/>
    <s v="NRW"/>
    <x v="2"/>
    <s v="Q3"/>
    <s v="Diesel"/>
    <x v="0"/>
    <s v="50+"/>
    <s v="Medium"/>
    <x v="1"/>
    <x v="3"/>
    <s v="Sales_2"/>
    <n v="174"/>
    <n v="110"/>
    <n v="73"/>
    <n v="25"/>
    <s v="22.73"/>
    <n v="46554"/>
    <s v="6.35"/>
    <n v="36590"/>
    <n v="1163850"/>
    <n v="249100"/>
    <s v="Feb"/>
    <n v="2"/>
    <n v="2026"/>
    <s v="Weekday"/>
    <n v="0.34246575342465752"/>
    <n v="0.63218390804597702"/>
    <n v="0.14367816091954022"/>
    <n v="9964"/>
    <s v="Rhein Auto Group"/>
  </r>
  <r>
    <s v="CUST_2093"/>
    <x v="9"/>
    <x v="0"/>
    <s v="Sunday"/>
    <s v="Yes"/>
    <x v="4"/>
    <x v="4"/>
    <s v="Berlin"/>
    <x v="1"/>
    <s v="Grandland"/>
    <s v="Electric"/>
    <x v="0"/>
    <s v="18-25"/>
    <s v="Low"/>
    <x v="0"/>
    <x v="2"/>
    <s v="Sales_18"/>
    <n v="245"/>
    <n v="124"/>
    <n v="79"/>
    <n v="22"/>
    <s v="17.74"/>
    <n v="20831"/>
    <s v="11.33"/>
    <n v="18595"/>
    <n v="458282"/>
    <n v="49192"/>
    <s v="Feb"/>
    <n v="2"/>
    <n v="2026"/>
    <s v="Weekend"/>
    <n v="0.27848101265822783"/>
    <n v="0.5061224489795918"/>
    <n v="8.9795918367346933E-2"/>
    <n v="2236"/>
    <s v="Autohaus Berlin"/>
  </r>
  <r>
    <s v="CUST_2094"/>
    <x v="18"/>
    <x v="0"/>
    <s v="Saturday"/>
    <s v="Yes"/>
    <x v="3"/>
    <x v="3"/>
    <s v="Saxony"/>
    <x v="3"/>
    <s v="C-Class"/>
    <s v="Hybrid"/>
    <x v="1"/>
    <s v="50+"/>
    <s v="High"/>
    <x v="0"/>
    <x v="3"/>
    <s v="Sales_3"/>
    <n v="282"/>
    <n v="161"/>
    <n v="122"/>
    <n v="40"/>
    <s v="24.84"/>
    <n v="57496"/>
    <s v="3.91"/>
    <n v="41847"/>
    <n v="2299840"/>
    <n v="625960"/>
    <s v="Feb"/>
    <n v="2"/>
    <n v="2026"/>
    <s v="Weekend"/>
    <n v="0.32786885245901637"/>
    <n v="0.57092198581560283"/>
    <n v="0.14184397163120568"/>
    <n v="15649"/>
    <s v="Saxon Wheels"/>
  </r>
  <r>
    <s v="CUST_2095"/>
    <x v="18"/>
    <x v="0"/>
    <s v="Saturday"/>
    <s v="Yes"/>
    <x v="4"/>
    <x v="4"/>
    <s v="Berlin"/>
    <x v="2"/>
    <s v="A4"/>
    <s v="Diesel"/>
    <x v="1"/>
    <s v="26-35"/>
    <s v="High"/>
    <x v="1"/>
    <x v="0"/>
    <s v="Sales_3"/>
    <n v="236"/>
    <n v="121"/>
    <n v="88"/>
    <n v="25"/>
    <s v="20.66"/>
    <n v="53921"/>
    <s v="6.37"/>
    <n v="41507"/>
    <n v="1348025"/>
    <n v="310350"/>
    <s v="Feb"/>
    <n v="2"/>
    <n v="2026"/>
    <s v="Weekend"/>
    <n v="0.28409090909090912"/>
    <n v="0.51271186440677963"/>
    <n v="0.1059322033898305"/>
    <n v="12414"/>
    <s v="Autohaus Berlin"/>
  </r>
  <r>
    <s v="CUST_2096"/>
    <x v="22"/>
    <x v="3"/>
    <s v="Tuesday"/>
    <s v="No"/>
    <x v="9"/>
    <x v="9"/>
    <s v="NRW"/>
    <x v="2"/>
    <s v="Q3"/>
    <s v="Petrol"/>
    <x v="0"/>
    <s v="36-50"/>
    <s v="Low"/>
    <x v="0"/>
    <x v="3"/>
    <s v="Sales_19"/>
    <n v="304"/>
    <n v="153"/>
    <n v="116"/>
    <n v="32"/>
    <s v="20.92"/>
    <n v="40831"/>
    <s v="6.68"/>
    <n v="32311"/>
    <n v="1306592"/>
    <n v="272640"/>
    <s v="Feb"/>
    <n v="2"/>
    <n v="2026"/>
    <s v="Weekday"/>
    <n v="0.27586206896551724"/>
    <n v="0.50328947368421051"/>
    <n v="0.10526315789473684"/>
    <n v="8520"/>
    <s v="Ruhr Auto Plaza"/>
  </r>
  <r>
    <s v="CUST_2097"/>
    <x v="4"/>
    <x v="2"/>
    <s v="Wednesday"/>
    <s v="No"/>
    <x v="3"/>
    <x v="3"/>
    <s v="Saxony"/>
    <x v="3"/>
    <s v="GLE"/>
    <s v="Electric"/>
    <x v="0"/>
    <s v="50+"/>
    <s v="Low"/>
    <x v="1"/>
    <x v="0"/>
    <s v="Sales_13"/>
    <n v="266"/>
    <n v="145"/>
    <n v="106"/>
    <n v="31"/>
    <s v="21.38"/>
    <n v="62883"/>
    <s v="4.67"/>
    <n v="48761"/>
    <n v="1949373"/>
    <n v="437782"/>
    <s v="Feb"/>
    <n v="2"/>
    <n v="2026"/>
    <s v="Weekday"/>
    <n v="0.29245283018867924"/>
    <n v="0.54511278195488722"/>
    <n v="0.11654135338345864"/>
    <n v="14122"/>
    <s v="Saxon Wheels"/>
  </r>
  <r>
    <s v="CUST_2098"/>
    <x v="27"/>
    <x v="3"/>
    <s v="Sunday"/>
    <s v="Yes"/>
    <x v="0"/>
    <x v="0"/>
    <s v="Hesse"/>
    <x v="2"/>
    <s v="e-tron"/>
    <s v="Electric"/>
    <x v="0"/>
    <s v="18-25"/>
    <s v="Medium"/>
    <x v="0"/>
    <x v="3"/>
    <s v="Sales_13"/>
    <n v="238"/>
    <n v="130"/>
    <n v="92"/>
    <n v="28"/>
    <s v="21.54"/>
    <n v="47319"/>
    <s v="6.75"/>
    <n v="38338"/>
    <n v="1324932"/>
    <n v="251468"/>
    <s v="Feb"/>
    <n v="2"/>
    <n v="2026"/>
    <s v="Weekend"/>
    <n v="0.30434782608695654"/>
    <n v="0.54621848739495793"/>
    <n v="0.11764705882352941"/>
    <n v="8981"/>
    <s v="Main Auto Hub"/>
  </r>
  <r>
    <s v="CUST_2099"/>
    <x v="11"/>
    <x v="0"/>
    <s v="Wednesday"/>
    <s v="No"/>
    <x v="4"/>
    <x v="4"/>
    <s v="Berlin"/>
    <x v="1"/>
    <s v="Corsa"/>
    <s v="Hybrid"/>
    <x v="2"/>
    <s v="18-25"/>
    <s v="Low"/>
    <x v="1"/>
    <x v="3"/>
    <s v="Sales_10"/>
    <n v="382"/>
    <n v="177"/>
    <n v="120"/>
    <n v="27"/>
    <s v="15.25"/>
    <n v="24146"/>
    <s v="12.73"/>
    <n v="21996"/>
    <n v="651942"/>
    <n v="58050"/>
    <s v="Feb"/>
    <n v="2"/>
    <n v="2026"/>
    <s v="Weekday"/>
    <n v="0.22500000000000001"/>
    <n v="0.46335078534031415"/>
    <n v="7.0680628272251314E-2"/>
    <n v="2150"/>
    <s v="Autohaus Berlin"/>
  </r>
  <r>
    <s v="CUST_2100"/>
    <x v="14"/>
    <x v="2"/>
    <s v="Friday"/>
    <s v="No"/>
    <x v="8"/>
    <x v="8"/>
    <s v="Baden-WÃ¼rttemberg"/>
    <x v="4"/>
    <s v="Passat"/>
    <s v="Petrol"/>
    <x v="1"/>
    <s v="50+"/>
    <s v="Low"/>
    <x v="1"/>
    <x v="1"/>
    <s v="Sales_9"/>
    <n v="357"/>
    <n v="192"/>
    <n v="116"/>
    <n v="28"/>
    <s v="14.58"/>
    <n v="30668"/>
    <s v="9.26"/>
    <n v="27459"/>
    <n v="858704"/>
    <n v="89852"/>
    <s v="Feb"/>
    <n v="2"/>
    <n v="2026"/>
    <s v="Weekday"/>
    <n v="0.2413793103448276"/>
    <n v="0.53781512605042014"/>
    <n v="7.8431372549019607E-2"/>
    <n v="3209"/>
    <s v="Stuttgart Auto Center"/>
  </r>
  <r>
    <s v="CUST_2101"/>
    <x v="12"/>
    <x v="3"/>
    <s v="Thursday"/>
    <s v="No"/>
    <x v="1"/>
    <x v="1"/>
    <s v="NRW"/>
    <x v="2"/>
    <s v="Q5"/>
    <s v="Electric"/>
    <x v="0"/>
    <s v="50+"/>
    <s v="Low"/>
    <x v="1"/>
    <x v="0"/>
    <s v="Sales_8"/>
    <n v="203"/>
    <n v="117"/>
    <n v="80"/>
    <n v="24"/>
    <s v="20.51"/>
    <n v="41232"/>
    <s v="4.55"/>
    <n v="31173"/>
    <n v="989568"/>
    <n v="241416"/>
    <s v="Feb"/>
    <n v="2"/>
    <n v="2026"/>
    <s v="Weekday"/>
    <n v="0.3"/>
    <n v="0.57635467980295563"/>
    <n v="0.11822660098522167"/>
    <n v="10059"/>
    <s v="Rhein Auto Group"/>
  </r>
  <r>
    <s v="CUST_2102"/>
    <x v="3"/>
    <x v="1"/>
    <s v="Sunday"/>
    <s v="Yes"/>
    <x v="5"/>
    <x v="5"/>
    <s v="Hamburg"/>
    <x v="1"/>
    <s v="Crossland"/>
    <s v="Diesel"/>
    <x v="0"/>
    <s v="50+"/>
    <s v="High"/>
    <x v="0"/>
    <x v="0"/>
    <s v="Sales_6"/>
    <n v="292"/>
    <n v="155"/>
    <n v="103"/>
    <n v="24"/>
    <s v="15.48"/>
    <n v="21359"/>
    <s v="11.01"/>
    <n v="19253"/>
    <n v="512616"/>
    <n v="50544"/>
    <s v="Feb"/>
    <n v="2"/>
    <n v="2026"/>
    <s v="Weekend"/>
    <n v="0.23300970873786409"/>
    <n v="0.53082191780821919"/>
    <n v="8.2191780821917804E-2"/>
    <n v="2106"/>
    <s v="Elbe Drive"/>
  </r>
  <r>
    <s v="CUST_2103"/>
    <x v="21"/>
    <x v="0"/>
    <s v="Tuesday"/>
    <s v="No"/>
    <x v="7"/>
    <x v="7"/>
    <s v="Bavaria"/>
    <x v="0"/>
    <s v="i4"/>
    <s v="Electric"/>
    <x v="1"/>
    <s v="50+"/>
    <s v="Medium"/>
    <x v="1"/>
    <x v="3"/>
    <s v="Sales_10"/>
    <n v="233"/>
    <n v="133"/>
    <n v="100"/>
    <n v="37"/>
    <s v="27.82"/>
    <n v="62768"/>
    <s v="3.98"/>
    <n v="47936"/>
    <n v="2322416"/>
    <n v="548784"/>
    <s v="Feb"/>
    <n v="2"/>
    <n v="2026"/>
    <s v="Weekday"/>
    <n v="0.37"/>
    <n v="0.57081545064377681"/>
    <n v="0.15879828326180256"/>
    <n v="14832"/>
    <s v="Bavaria Motors"/>
  </r>
  <r>
    <s v="CUST_2104"/>
    <x v="16"/>
    <x v="1"/>
    <s v="Tuesday"/>
    <s v="No"/>
    <x v="8"/>
    <x v="8"/>
    <s v="Baden-WÃ¼rttemberg"/>
    <x v="2"/>
    <s v="Q5"/>
    <s v="Hybrid"/>
    <x v="0"/>
    <s v="50+"/>
    <s v="Low"/>
    <x v="0"/>
    <x v="1"/>
    <s v="Sales_8"/>
    <n v="249"/>
    <n v="117"/>
    <n v="90"/>
    <n v="31"/>
    <s v="26.5"/>
    <n v="45652"/>
    <s v="5.8"/>
    <n v="36707"/>
    <n v="1415212"/>
    <n v="277295"/>
    <s v="Feb"/>
    <n v="2"/>
    <n v="2026"/>
    <s v="Weekday"/>
    <n v="0.34444444444444444"/>
    <n v="0.46987951807228917"/>
    <n v="0.12449799196787148"/>
    <n v="8945"/>
    <s v="Stuttgart Auto Center"/>
  </r>
  <r>
    <s v="CUST_2105"/>
    <x v="7"/>
    <x v="3"/>
    <s v="Monday"/>
    <s v="No"/>
    <x v="1"/>
    <x v="1"/>
    <s v="NRW"/>
    <x v="1"/>
    <s v="Crossland"/>
    <s v="Electric"/>
    <x v="0"/>
    <s v="50+"/>
    <s v="Low"/>
    <x v="0"/>
    <x v="1"/>
    <s v="Sales_9"/>
    <n v="397"/>
    <n v="195"/>
    <n v="115"/>
    <n v="33"/>
    <s v="16.92"/>
    <n v="22345"/>
    <s v="13.89"/>
    <n v="20695"/>
    <n v="737385"/>
    <n v="54450"/>
    <s v="Feb"/>
    <n v="2"/>
    <n v="2026"/>
    <s v="Weekday"/>
    <n v="0.28695652173913044"/>
    <n v="0.49118387909319899"/>
    <n v="8.3123425692695208E-2"/>
    <n v="1650"/>
    <s v="Rhein Auto Group"/>
  </r>
  <r>
    <s v="CUST_2106"/>
    <x v="9"/>
    <x v="0"/>
    <s v="Sunday"/>
    <s v="Yes"/>
    <x v="6"/>
    <x v="6"/>
    <s v="Saxony"/>
    <x v="2"/>
    <s v="Q5"/>
    <s v="Electric"/>
    <x v="0"/>
    <s v="18-25"/>
    <s v="Low"/>
    <x v="0"/>
    <x v="2"/>
    <s v="Sales_13"/>
    <n v="187"/>
    <n v="97"/>
    <n v="64"/>
    <n v="22"/>
    <s v="22.68"/>
    <n v="45257"/>
    <s v="3.2"/>
    <n v="36654"/>
    <n v="995654"/>
    <n v="189266"/>
    <s v="Feb"/>
    <n v="2"/>
    <n v="2026"/>
    <s v="Weekend"/>
    <n v="0.34375"/>
    <n v="0.51871657754010692"/>
    <n v="0.11764705882352941"/>
    <n v="8603"/>
    <s v="Leipzig Mobility"/>
  </r>
  <r>
    <s v="CUST_2107"/>
    <x v="8"/>
    <x v="3"/>
    <s v="Wednesday"/>
    <s v="No"/>
    <x v="3"/>
    <x v="3"/>
    <s v="Saxony"/>
    <x v="4"/>
    <s v="Golf"/>
    <s v="Diesel"/>
    <x v="2"/>
    <s v="26-35"/>
    <s v="Medium"/>
    <x v="0"/>
    <x v="1"/>
    <s v="Sales_6"/>
    <n v="457"/>
    <n v="264"/>
    <n v="165"/>
    <n v="48"/>
    <s v="18.18"/>
    <n v="33966"/>
    <s v="8.96"/>
    <n v="29885"/>
    <n v="1630368"/>
    <n v="195888"/>
    <s v="Feb"/>
    <n v="2"/>
    <n v="2026"/>
    <s v="Weekday"/>
    <n v="0.29090909090909089"/>
    <n v="0.57768052516411383"/>
    <n v="0.10503282275711159"/>
    <n v="4081"/>
    <s v="Saxon Wheels"/>
  </r>
  <r>
    <s v="CUST_2108"/>
    <x v="27"/>
    <x v="3"/>
    <s v="Sunday"/>
    <s v="Yes"/>
    <x v="0"/>
    <x v="0"/>
    <s v="Hesse"/>
    <x v="0"/>
    <s v="i4"/>
    <s v="Hybrid"/>
    <x v="1"/>
    <s v="36-50"/>
    <s v="Low"/>
    <x v="1"/>
    <x v="0"/>
    <s v="Sales_3"/>
    <n v="269"/>
    <n v="144"/>
    <n v="109"/>
    <n v="38"/>
    <s v="26.39"/>
    <n v="63511"/>
    <s v="2.65"/>
    <n v="49092"/>
    <n v="2413418"/>
    <n v="547922"/>
    <s v="Feb"/>
    <n v="2"/>
    <n v="2026"/>
    <s v="Weekend"/>
    <n v="0.34862385321100919"/>
    <n v="0.53531598513011147"/>
    <n v="0.14126394052044611"/>
    <n v="14419"/>
    <s v="Main Auto Hub"/>
  </r>
  <r>
    <s v="CUST_2109"/>
    <x v="22"/>
    <x v="3"/>
    <s v="Tuesday"/>
    <s v="No"/>
    <x v="7"/>
    <x v="7"/>
    <s v="Bavaria"/>
    <x v="1"/>
    <s v="Corsa"/>
    <s v="Petrol"/>
    <x v="2"/>
    <s v="36-50"/>
    <s v="Medium"/>
    <x v="1"/>
    <x v="3"/>
    <s v="Sales_20"/>
    <n v="325"/>
    <n v="141"/>
    <n v="97"/>
    <n v="21"/>
    <s v="14.89"/>
    <n v="24071"/>
    <s v="12.1"/>
    <n v="22129"/>
    <n v="505491"/>
    <n v="40782"/>
    <s v="Feb"/>
    <n v="2"/>
    <n v="2026"/>
    <s v="Weekday"/>
    <n v="0.21649484536082475"/>
    <n v="0.43384615384615383"/>
    <n v="6.4615384615384616E-2"/>
    <n v="1942"/>
    <s v="Bavaria Motors"/>
  </r>
  <r>
    <s v="CUST_2110"/>
    <x v="17"/>
    <x v="2"/>
    <s v="Sunday"/>
    <s v="Yes"/>
    <x v="4"/>
    <x v="4"/>
    <s v="Berlin"/>
    <x v="1"/>
    <s v="Astra"/>
    <s v="Hybrid"/>
    <x v="2"/>
    <s v="18-25"/>
    <s v="High"/>
    <x v="1"/>
    <x v="1"/>
    <s v="Sales_6"/>
    <n v="319"/>
    <n v="137"/>
    <n v="93"/>
    <n v="26"/>
    <s v="18.98"/>
    <n v="20267"/>
    <s v="11.17"/>
    <n v="18810"/>
    <n v="526942"/>
    <n v="37882"/>
    <s v="Feb"/>
    <n v="2"/>
    <n v="2026"/>
    <s v="Weekend"/>
    <n v="0.27956989247311825"/>
    <n v="0.42946708463949845"/>
    <n v="8.1504702194357362E-2"/>
    <n v="1457"/>
    <s v="Autohaus Berlin"/>
  </r>
  <r>
    <s v="CUST_2111"/>
    <x v="17"/>
    <x v="2"/>
    <s v="Sunday"/>
    <s v="Yes"/>
    <x v="2"/>
    <x v="2"/>
    <s v="Lower Saxony"/>
    <x v="0"/>
    <s v="i4"/>
    <s v="Diesel"/>
    <x v="1"/>
    <s v="18-25"/>
    <s v="High"/>
    <x v="0"/>
    <x v="3"/>
    <s v="Sales_10"/>
    <n v="174"/>
    <n v="103"/>
    <n v="80"/>
    <n v="25"/>
    <s v="24.27"/>
    <n v="52142"/>
    <s v="5.02"/>
    <n v="37303"/>
    <n v="1303550"/>
    <n v="370975"/>
    <s v="Feb"/>
    <n v="2"/>
    <n v="2026"/>
    <s v="Weekend"/>
    <n v="0.3125"/>
    <n v="0.59195402298850575"/>
    <n v="0.14367816091954022"/>
    <n v="14839"/>
    <s v="Hannover Cars"/>
  </r>
  <r>
    <s v="CUST_2112"/>
    <x v="12"/>
    <x v="3"/>
    <s v="Thursday"/>
    <s v="No"/>
    <x v="3"/>
    <x v="3"/>
    <s v="Saxony"/>
    <x v="0"/>
    <s v="X3"/>
    <s v="Electric"/>
    <x v="0"/>
    <s v="36-50"/>
    <s v="Low"/>
    <x v="1"/>
    <x v="2"/>
    <s v="Sales_3"/>
    <n v="258"/>
    <n v="149"/>
    <n v="105"/>
    <n v="43"/>
    <s v="28.86"/>
    <n v="57621"/>
    <s v="5.39"/>
    <n v="43213"/>
    <n v="2477703"/>
    <n v="619544"/>
    <s v="Feb"/>
    <n v="2"/>
    <n v="2026"/>
    <s v="Weekday"/>
    <n v="0.40952380952380951"/>
    <n v="0.57751937984496127"/>
    <n v="0.16666666666666666"/>
    <n v="14408"/>
    <s v="Saxon Wheels"/>
  </r>
  <r>
    <s v="CUST_2113"/>
    <x v="17"/>
    <x v="2"/>
    <s v="Sunday"/>
    <s v="Yes"/>
    <x v="3"/>
    <x v="3"/>
    <s v="Saxony"/>
    <x v="1"/>
    <s v="Grandland"/>
    <s v="Hybrid"/>
    <x v="0"/>
    <s v="50+"/>
    <s v="Low"/>
    <x v="0"/>
    <x v="0"/>
    <s v="Sales_3"/>
    <n v="374"/>
    <n v="206"/>
    <n v="138"/>
    <n v="30"/>
    <s v="14.56"/>
    <n v="22421"/>
    <s v="11.81"/>
    <n v="20385"/>
    <n v="672630"/>
    <n v="61080"/>
    <s v="Feb"/>
    <n v="2"/>
    <n v="2026"/>
    <s v="Weekend"/>
    <n v="0.21739130434782608"/>
    <n v="0.55080213903743314"/>
    <n v="8.0213903743315509E-2"/>
    <n v="2036"/>
    <s v="Saxon Wheels"/>
  </r>
  <r>
    <s v="CUST_2114"/>
    <x v="5"/>
    <x v="3"/>
    <s v="Saturday"/>
    <s v="Yes"/>
    <x v="7"/>
    <x v="7"/>
    <s v="Bavaria"/>
    <x v="4"/>
    <s v="Tiguan"/>
    <s v="Diesel"/>
    <x v="0"/>
    <s v="36-50"/>
    <s v="Low"/>
    <x v="0"/>
    <x v="0"/>
    <s v="Sales_4"/>
    <n v="333"/>
    <n v="150"/>
    <n v="103"/>
    <n v="22"/>
    <s v="14.67"/>
    <n v="28841"/>
    <s v="11.81"/>
    <n v="26014"/>
    <n v="634502"/>
    <n v="62194"/>
    <s v="Feb"/>
    <n v="2"/>
    <n v="2026"/>
    <s v="Weekend"/>
    <n v="0.21359223300970873"/>
    <n v="0.45045045045045046"/>
    <n v="6.6066066066066062E-2"/>
    <n v="2827"/>
    <s v="Bavaria Motors"/>
  </r>
  <r>
    <s v="CUST_2115"/>
    <x v="14"/>
    <x v="2"/>
    <s v="Friday"/>
    <s v="No"/>
    <x v="6"/>
    <x v="6"/>
    <s v="Saxony"/>
    <x v="1"/>
    <s v="Mokka"/>
    <s v="Electric"/>
    <x v="0"/>
    <s v="36-50"/>
    <s v="Low"/>
    <x v="1"/>
    <x v="3"/>
    <s v="Sales_6"/>
    <n v="261"/>
    <n v="130"/>
    <n v="80"/>
    <n v="20"/>
    <s v="15.38"/>
    <n v="24835"/>
    <s v="10.42"/>
    <n v="22983"/>
    <n v="496700"/>
    <n v="37040"/>
    <s v="Feb"/>
    <n v="2"/>
    <n v="2026"/>
    <s v="Weekday"/>
    <n v="0.25"/>
    <n v="0.49808429118773945"/>
    <n v="7.662835249042145E-2"/>
    <n v="1852"/>
    <s v="Leipzig Mobility"/>
  </r>
  <r>
    <s v="CUST_2116"/>
    <x v="24"/>
    <x v="1"/>
    <s v="Thursday"/>
    <s v="No"/>
    <x v="4"/>
    <x v="4"/>
    <s v="Berlin"/>
    <x v="3"/>
    <s v="GLE"/>
    <s v="Hybrid"/>
    <x v="0"/>
    <s v="50+"/>
    <s v="Low"/>
    <x v="0"/>
    <x v="2"/>
    <s v="Sales_13"/>
    <n v="242"/>
    <n v="112"/>
    <n v="89"/>
    <n v="32"/>
    <s v="28.57"/>
    <n v="69563"/>
    <s v="2.98"/>
    <n v="54489"/>
    <n v="2226016"/>
    <n v="482368"/>
    <s v="Feb"/>
    <n v="2"/>
    <n v="2026"/>
    <s v="Weekday"/>
    <n v="0.3595505617977528"/>
    <n v="0.46280991735537191"/>
    <n v="0.13223140495867769"/>
    <n v="15074"/>
    <s v="Autohaus Berlin"/>
  </r>
  <r>
    <s v="CUST_2117"/>
    <x v="7"/>
    <x v="3"/>
    <s v="Monday"/>
    <s v="No"/>
    <x v="4"/>
    <x v="4"/>
    <s v="Berlin"/>
    <x v="3"/>
    <s v="E-Class"/>
    <s v="Diesel"/>
    <x v="1"/>
    <s v="26-35"/>
    <s v="Medium"/>
    <x v="1"/>
    <x v="3"/>
    <s v="Sales_9"/>
    <n v="156"/>
    <n v="69"/>
    <n v="51"/>
    <n v="18"/>
    <s v="26.09"/>
    <n v="58867"/>
    <s v="2.81"/>
    <n v="44423"/>
    <n v="1059606"/>
    <n v="259992"/>
    <s v="Feb"/>
    <n v="2"/>
    <n v="2026"/>
    <s v="Weekday"/>
    <n v="0.35294117647058826"/>
    <n v="0.44230769230769229"/>
    <n v="0.11538461538461539"/>
    <n v="14444"/>
    <s v="Autohaus Berlin"/>
  </r>
  <r>
    <s v="CUST_2118"/>
    <x v="10"/>
    <x v="1"/>
    <s v="Monday"/>
    <s v="No"/>
    <x v="0"/>
    <x v="0"/>
    <s v="Hesse"/>
    <x v="1"/>
    <s v="Grandland"/>
    <s v="Diesel"/>
    <x v="0"/>
    <s v="26-35"/>
    <s v="Low"/>
    <x v="1"/>
    <x v="0"/>
    <s v="Sales_2"/>
    <n v="240"/>
    <n v="120"/>
    <n v="73"/>
    <n v="18"/>
    <s v="15.0"/>
    <n v="27133"/>
    <s v="7.09"/>
    <n v="24794"/>
    <n v="488394"/>
    <n v="42102"/>
    <s v="Feb"/>
    <n v="2"/>
    <n v="2026"/>
    <s v="Weekday"/>
    <n v="0.24657534246575341"/>
    <n v="0.5"/>
    <n v="7.4999999999999997E-2"/>
    <n v="2339"/>
    <s v="Main Auto Hub"/>
  </r>
  <r>
    <s v="CUST_2119"/>
    <x v="12"/>
    <x v="3"/>
    <s v="Thursday"/>
    <s v="No"/>
    <x v="3"/>
    <x v="3"/>
    <s v="Saxony"/>
    <x v="2"/>
    <s v="Q3"/>
    <s v="Hybrid"/>
    <x v="0"/>
    <s v="26-35"/>
    <s v="Medium"/>
    <x v="0"/>
    <x v="0"/>
    <s v="Sales_19"/>
    <n v="192"/>
    <n v="122"/>
    <n v="92"/>
    <n v="23"/>
    <s v="18.85"/>
    <n v="39404"/>
    <s v="6.54"/>
    <n v="30058"/>
    <n v="906292"/>
    <n v="214958"/>
    <s v="Feb"/>
    <n v="2"/>
    <n v="2026"/>
    <s v="Weekday"/>
    <n v="0.25"/>
    <n v="0.63541666666666663"/>
    <n v="0.11979166666666667"/>
    <n v="9346"/>
    <s v="Saxon Wheels"/>
  </r>
  <r>
    <s v="CUST_2120"/>
    <x v="23"/>
    <x v="2"/>
    <s v="Tuesday"/>
    <s v="No"/>
    <x v="8"/>
    <x v="8"/>
    <s v="Baden-WÃ¼rttemberg"/>
    <x v="4"/>
    <s v="T-Roc"/>
    <s v="Hybrid"/>
    <x v="0"/>
    <s v="18-25"/>
    <s v="High"/>
    <x v="1"/>
    <x v="2"/>
    <s v="Sales_14"/>
    <n v="278"/>
    <n v="135"/>
    <n v="84"/>
    <n v="24"/>
    <s v="17.78"/>
    <n v="33572"/>
    <s v="7.56"/>
    <n v="30545"/>
    <n v="805728"/>
    <n v="72648"/>
    <s v="Feb"/>
    <n v="2"/>
    <n v="2026"/>
    <s v="Weekday"/>
    <n v="0.2857142857142857"/>
    <n v="0.48561151079136688"/>
    <n v="8.6330935251798566E-2"/>
    <n v="3027"/>
    <s v="Stuttgart Auto Center"/>
  </r>
  <r>
    <s v="CUST_2121"/>
    <x v="11"/>
    <x v="0"/>
    <s v="Wednesday"/>
    <s v="No"/>
    <x v="8"/>
    <x v="8"/>
    <s v="Baden-WÃ¼rttemberg"/>
    <x v="4"/>
    <s v="Golf"/>
    <s v="Electric"/>
    <x v="2"/>
    <s v="50+"/>
    <s v="High"/>
    <x v="1"/>
    <x v="2"/>
    <s v="Sales_9"/>
    <n v="446"/>
    <n v="246"/>
    <n v="172"/>
    <n v="49"/>
    <s v="19.92"/>
    <n v="27948"/>
    <s v="10.02"/>
    <n v="25414"/>
    <n v="1369452"/>
    <n v="124166"/>
    <s v="Feb"/>
    <n v="2"/>
    <n v="2026"/>
    <s v="Weekday"/>
    <n v="0.28488372093023256"/>
    <n v="0.55156950672645744"/>
    <n v="0.10986547085201794"/>
    <n v="2534"/>
    <s v="Stuttgart Auto Center"/>
  </r>
  <r>
    <s v="CUST_2122"/>
    <x v="18"/>
    <x v="0"/>
    <s v="Saturday"/>
    <s v="Yes"/>
    <x v="3"/>
    <x v="3"/>
    <s v="Saxony"/>
    <x v="4"/>
    <s v="Golf"/>
    <s v="Petrol"/>
    <x v="2"/>
    <s v="36-50"/>
    <s v="Low"/>
    <x v="0"/>
    <x v="1"/>
    <s v="Sales_6"/>
    <n v="420"/>
    <n v="173"/>
    <n v="115"/>
    <n v="25"/>
    <s v="14.45"/>
    <n v="33257"/>
    <s v="9.17"/>
    <n v="28821"/>
    <n v="831425"/>
    <n v="110900"/>
    <s v="Feb"/>
    <n v="2"/>
    <n v="2026"/>
    <s v="Weekend"/>
    <n v="0.21739130434782608"/>
    <n v="0.41190476190476188"/>
    <n v="5.9523809523809521E-2"/>
    <n v="4436"/>
    <s v="Saxon Wheels"/>
  </r>
  <r>
    <s v="CUST_2123"/>
    <x v="12"/>
    <x v="3"/>
    <s v="Thursday"/>
    <s v="No"/>
    <x v="0"/>
    <x v="0"/>
    <s v="Hesse"/>
    <x v="4"/>
    <s v="T-Roc"/>
    <s v="Electric"/>
    <x v="0"/>
    <s v="18-25"/>
    <s v="Low"/>
    <x v="1"/>
    <x v="3"/>
    <s v="Sales_8"/>
    <n v="298"/>
    <n v="134"/>
    <n v="94"/>
    <n v="15"/>
    <s v="11.19"/>
    <n v="33699"/>
    <s v="10.58"/>
    <n v="29326"/>
    <n v="505485"/>
    <n v="65595"/>
    <s v="Feb"/>
    <n v="2"/>
    <n v="2026"/>
    <s v="Weekday"/>
    <n v="0.15957446808510639"/>
    <n v="0.44966442953020136"/>
    <n v="5.0335570469798654E-2"/>
    <n v="4373"/>
    <s v="Main Auto Hub"/>
  </r>
  <r>
    <s v="CUST_2124"/>
    <x v="14"/>
    <x v="2"/>
    <s v="Friday"/>
    <s v="No"/>
    <x v="7"/>
    <x v="7"/>
    <s v="Bavaria"/>
    <x v="1"/>
    <s v="Corsa"/>
    <s v="Electric"/>
    <x v="2"/>
    <s v="18-25"/>
    <s v="Low"/>
    <x v="1"/>
    <x v="3"/>
    <s v="Sales_20"/>
    <n v="234"/>
    <n v="112"/>
    <n v="71"/>
    <n v="18"/>
    <s v="16.07"/>
    <n v="21373"/>
    <s v="10.79"/>
    <n v="19819"/>
    <n v="384714"/>
    <n v="27972"/>
    <s v="Feb"/>
    <n v="2"/>
    <n v="2026"/>
    <s v="Weekday"/>
    <n v="0.25352112676056338"/>
    <n v="0.47863247863247865"/>
    <n v="7.6923076923076927E-2"/>
    <n v="1554"/>
    <s v="Bavaria Motors"/>
  </r>
  <r>
    <s v="CUST_2125"/>
    <x v="9"/>
    <x v="0"/>
    <s v="Sunday"/>
    <s v="Yes"/>
    <x v="1"/>
    <x v="1"/>
    <s v="NRW"/>
    <x v="2"/>
    <s v="A3"/>
    <s v="Diesel"/>
    <x v="2"/>
    <s v="18-25"/>
    <s v="Low"/>
    <x v="1"/>
    <x v="3"/>
    <s v="Sales_6"/>
    <n v="315"/>
    <n v="181"/>
    <n v="136"/>
    <n v="35"/>
    <s v="19.34"/>
    <n v="44034"/>
    <s v="6.92"/>
    <n v="33859"/>
    <n v="1541190"/>
    <n v="356125"/>
    <s v="Feb"/>
    <n v="2"/>
    <n v="2026"/>
    <s v="Weekend"/>
    <n v="0.25735294117647056"/>
    <n v="0.57460317460317456"/>
    <n v="0.1111111111111111"/>
    <n v="10175"/>
    <s v="Rhein Auto Group"/>
  </r>
  <r>
    <s v="CUST_2126"/>
    <x v="8"/>
    <x v="3"/>
    <s v="Wednesday"/>
    <s v="No"/>
    <x v="5"/>
    <x v="5"/>
    <s v="Hamburg"/>
    <x v="1"/>
    <s v="Mokka"/>
    <s v="Diesel"/>
    <x v="0"/>
    <s v="26-35"/>
    <s v="Medium"/>
    <x v="1"/>
    <x v="3"/>
    <s v="Sales_13"/>
    <n v="226"/>
    <n v="94"/>
    <n v="53"/>
    <n v="15"/>
    <s v="15.96"/>
    <n v="27063"/>
    <s v="7.04"/>
    <n v="24900"/>
    <n v="405945"/>
    <n v="32445"/>
    <s v="Feb"/>
    <n v="2"/>
    <n v="2026"/>
    <s v="Weekday"/>
    <n v="0.28301886792452829"/>
    <n v="0.41592920353982299"/>
    <n v="6.637168141592921E-2"/>
    <n v="2163"/>
    <s v="Elbe Drive"/>
  </r>
  <r>
    <s v="CUST_2127"/>
    <x v="7"/>
    <x v="3"/>
    <s v="Monday"/>
    <s v="No"/>
    <x v="6"/>
    <x v="6"/>
    <s v="Saxony"/>
    <x v="1"/>
    <s v="Grandland"/>
    <s v="Electric"/>
    <x v="0"/>
    <s v="36-50"/>
    <s v="Low"/>
    <x v="0"/>
    <x v="3"/>
    <s v="Sales_7"/>
    <n v="240"/>
    <n v="107"/>
    <n v="67"/>
    <n v="13"/>
    <s v="12.15"/>
    <n v="23364"/>
    <s v="12.45"/>
    <n v="20903"/>
    <n v="303732"/>
    <n v="31993"/>
    <s v="Feb"/>
    <n v="2"/>
    <n v="2026"/>
    <s v="Weekday"/>
    <n v="0.19402985074626866"/>
    <n v="0.44583333333333336"/>
    <n v="5.4166666666666669E-2"/>
    <n v="2461"/>
    <s v="Leipzig Mobility"/>
  </r>
  <r>
    <s v="CUST_2128"/>
    <x v="5"/>
    <x v="3"/>
    <s v="Saturday"/>
    <s v="Yes"/>
    <x v="4"/>
    <x v="4"/>
    <s v="Berlin"/>
    <x v="0"/>
    <s v="i4"/>
    <s v="Petrol"/>
    <x v="1"/>
    <s v="18-25"/>
    <s v="Low"/>
    <x v="0"/>
    <x v="0"/>
    <s v="Sales_17"/>
    <n v="201"/>
    <n v="115"/>
    <n v="81"/>
    <n v="32"/>
    <s v="27.83"/>
    <n v="67264"/>
    <s v="2.82"/>
    <n v="51250"/>
    <n v="2152448"/>
    <n v="512448"/>
    <s v="Feb"/>
    <n v="2"/>
    <n v="2026"/>
    <s v="Weekend"/>
    <n v="0.39506172839506171"/>
    <n v="0.57213930348258701"/>
    <n v="0.15920398009950248"/>
    <n v="16014"/>
    <s v="Autohaus Berlin"/>
  </r>
  <r>
    <s v="CUST_2129"/>
    <x v="7"/>
    <x v="3"/>
    <s v="Monday"/>
    <s v="No"/>
    <x v="3"/>
    <x v="3"/>
    <s v="Saxony"/>
    <x v="2"/>
    <s v="A4"/>
    <s v="Petrol"/>
    <x v="1"/>
    <s v="26-35"/>
    <s v="Low"/>
    <x v="1"/>
    <x v="2"/>
    <s v="Sales_17"/>
    <n v="251"/>
    <n v="145"/>
    <n v="93"/>
    <n v="37"/>
    <s v="25.52"/>
    <n v="46791"/>
    <s v="5.24"/>
    <n v="36349"/>
    <n v="1731267"/>
    <n v="386354"/>
    <s v="Feb"/>
    <n v="2"/>
    <n v="2026"/>
    <s v="Weekday"/>
    <n v="0.39784946236559138"/>
    <n v="0.57768924302788849"/>
    <n v="0.14741035856573706"/>
    <n v="10442"/>
    <s v="Saxon Wheels"/>
  </r>
  <r>
    <s v="CUST_2130"/>
    <x v="2"/>
    <x v="2"/>
    <s v="Monday"/>
    <s v="No"/>
    <x v="7"/>
    <x v="7"/>
    <s v="Bavaria"/>
    <x v="3"/>
    <s v="EQE"/>
    <s v="Diesel"/>
    <x v="1"/>
    <s v="36-50"/>
    <s v="High"/>
    <x v="1"/>
    <x v="0"/>
    <s v="Sales_5"/>
    <n v="200"/>
    <n v="90"/>
    <n v="64"/>
    <n v="21"/>
    <s v="23.33"/>
    <n v="67982"/>
    <s v="3.42"/>
    <n v="52911"/>
    <n v="1427622"/>
    <n v="316491"/>
    <s v="Feb"/>
    <n v="2"/>
    <n v="2026"/>
    <s v="Weekday"/>
    <n v="0.328125"/>
    <n v="0.45"/>
    <n v="0.105"/>
    <n v="15071"/>
    <s v="Bavaria Motors"/>
  </r>
  <r>
    <s v="CUST_2131"/>
    <x v="3"/>
    <x v="1"/>
    <s v="Sunday"/>
    <s v="Yes"/>
    <x v="4"/>
    <x v="4"/>
    <s v="Berlin"/>
    <x v="4"/>
    <s v="T-Roc"/>
    <s v="Petrol"/>
    <x v="0"/>
    <s v="26-35"/>
    <s v="Low"/>
    <x v="1"/>
    <x v="1"/>
    <s v="Sales_20"/>
    <n v="301"/>
    <n v="151"/>
    <n v="101"/>
    <n v="29"/>
    <s v="19.21"/>
    <n v="32909"/>
    <s v="6.39"/>
    <n v="29083"/>
    <n v="954361"/>
    <n v="110954"/>
    <s v="Feb"/>
    <n v="2"/>
    <n v="2026"/>
    <s v="Weekend"/>
    <n v="0.28712871287128711"/>
    <n v="0.50166112956810627"/>
    <n v="9.634551495016612E-2"/>
    <n v="3826"/>
    <s v="Autohaus Berlin"/>
  </r>
  <r>
    <s v="CUST_2132"/>
    <x v="4"/>
    <x v="2"/>
    <s v="Wednesday"/>
    <s v="No"/>
    <x v="0"/>
    <x v="0"/>
    <s v="Hesse"/>
    <x v="1"/>
    <s v="Corsa"/>
    <s v="Electric"/>
    <x v="2"/>
    <s v="18-25"/>
    <s v="Medium"/>
    <x v="0"/>
    <x v="2"/>
    <s v="Sales_2"/>
    <n v="226"/>
    <n v="105"/>
    <n v="68"/>
    <n v="19"/>
    <s v="18.1"/>
    <n v="22544"/>
    <s v="8.92"/>
    <n v="20651"/>
    <n v="428336"/>
    <n v="35967"/>
    <s v="Feb"/>
    <n v="2"/>
    <n v="2026"/>
    <s v="Weekday"/>
    <n v="0.27941176470588236"/>
    <n v="0.46460176991150443"/>
    <n v="8.4070796460176997E-2"/>
    <n v="1893"/>
    <s v="Main Auto Hub"/>
  </r>
  <r>
    <s v="CUST_2133"/>
    <x v="14"/>
    <x v="2"/>
    <s v="Friday"/>
    <s v="No"/>
    <x v="0"/>
    <x v="0"/>
    <s v="Hesse"/>
    <x v="1"/>
    <s v="Mokka"/>
    <s v="Petrol"/>
    <x v="0"/>
    <s v="26-35"/>
    <s v="Low"/>
    <x v="0"/>
    <x v="1"/>
    <s v="Sales_11"/>
    <n v="408"/>
    <n v="164"/>
    <n v="96"/>
    <n v="28"/>
    <s v="17.07"/>
    <n v="25075"/>
    <s v="10.26"/>
    <n v="22473"/>
    <n v="702100"/>
    <n v="72856"/>
    <s v="Feb"/>
    <n v="2"/>
    <n v="2026"/>
    <s v="Weekday"/>
    <n v="0.29166666666666669"/>
    <n v="0.40196078431372551"/>
    <n v="6.8627450980392163E-2"/>
    <n v="2602"/>
    <s v="Main Auto Hub"/>
  </r>
  <r>
    <s v="CUST_2134"/>
    <x v="1"/>
    <x v="1"/>
    <s v="Wednesday"/>
    <s v="No"/>
    <x v="4"/>
    <x v="4"/>
    <s v="Berlin"/>
    <x v="3"/>
    <s v="EQE"/>
    <s v="Hybrid"/>
    <x v="1"/>
    <s v="36-50"/>
    <s v="Medium"/>
    <x v="0"/>
    <x v="2"/>
    <s v="Sales_12"/>
    <n v="212"/>
    <n v="111"/>
    <n v="73"/>
    <n v="31"/>
    <s v="27.93"/>
    <n v="66896"/>
    <s v="5.08"/>
    <n v="47635"/>
    <n v="2073776"/>
    <n v="597091"/>
    <s v="Feb"/>
    <n v="2"/>
    <n v="2026"/>
    <s v="Weekday"/>
    <n v="0.42465753424657532"/>
    <n v="0.52358490566037741"/>
    <n v="0.14622641509433962"/>
    <n v="19261"/>
    <s v="Autohaus Berlin"/>
  </r>
  <r>
    <s v="CUST_2135"/>
    <x v="10"/>
    <x v="1"/>
    <s v="Monday"/>
    <s v="No"/>
    <x v="3"/>
    <x v="3"/>
    <s v="Saxony"/>
    <x v="0"/>
    <s v="5 Series"/>
    <s v="Petrol"/>
    <x v="1"/>
    <s v="26-35"/>
    <s v="Low"/>
    <x v="0"/>
    <x v="2"/>
    <s v="Sales_18"/>
    <n v="236"/>
    <n v="117"/>
    <n v="89"/>
    <n v="33"/>
    <s v="28.21"/>
    <n v="54793"/>
    <s v="3.35"/>
    <n v="41744"/>
    <n v="1808169"/>
    <n v="430617"/>
    <s v="Feb"/>
    <n v="2"/>
    <n v="2026"/>
    <s v="Weekday"/>
    <n v="0.3707865168539326"/>
    <n v="0.49576271186440679"/>
    <n v="0.13983050847457626"/>
    <n v="13049"/>
    <s v="Saxon Wheels"/>
  </r>
  <r>
    <s v="CUST_2136"/>
    <x v="24"/>
    <x v="1"/>
    <s v="Thursday"/>
    <s v="No"/>
    <x v="4"/>
    <x v="4"/>
    <s v="Berlin"/>
    <x v="3"/>
    <s v="E-Class"/>
    <s v="Diesel"/>
    <x v="1"/>
    <s v="18-25"/>
    <s v="Low"/>
    <x v="1"/>
    <x v="3"/>
    <s v="Sales_5"/>
    <n v="223"/>
    <n v="115"/>
    <n v="87"/>
    <n v="27"/>
    <s v="23.48"/>
    <n v="69128"/>
    <s v="4.37"/>
    <n v="51365"/>
    <n v="1866456"/>
    <n v="479601"/>
    <s v="Feb"/>
    <n v="2"/>
    <n v="2026"/>
    <s v="Weekday"/>
    <n v="0.31034482758620691"/>
    <n v="0.51569506726457404"/>
    <n v="0.1210762331838565"/>
    <n v="17763"/>
    <s v="Autohaus Berlin"/>
  </r>
  <r>
    <s v="CUST_2137"/>
    <x v="17"/>
    <x v="2"/>
    <s v="Sunday"/>
    <s v="Yes"/>
    <x v="0"/>
    <x v="0"/>
    <s v="Hesse"/>
    <x v="4"/>
    <s v="Tiguan"/>
    <s v="Hybrid"/>
    <x v="0"/>
    <s v="50+"/>
    <s v="Medium"/>
    <x v="0"/>
    <x v="1"/>
    <s v="Sales_19"/>
    <n v="459"/>
    <n v="218"/>
    <n v="136"/>
    <n v="32"/>
    <s v="14.68"/>
    <n v="33323"/>
    <s v="7.11"/>
    <n v="29723"/>
    <n v="1066336"/>
    <n v="115200"/>
    <s v="Feb"/>
    <n v="2"/>
    <n v="2026"/>
    <s v="Weekend"/>
    <n v="0.23529411764705882"/>
    <n v="0.47494553376906318"/>
    <n v="6.9716775599128547E-2"/>
    <n v="3600"/>
    <s v="Main Auto Hub"/>
  </r>
  <r>
    <s v="CUST_2138"/>
    <x v="17"/>
    <x v="2"/>
    <s v="Sunday"/>
    <s v="Yes"/>
    <x v="0"/>
    <x v="0"/>
    <s v="Hesse"/>
    <x v="2"/>
    <s v="A3"/>
    <s v="Hybrid"/>
    <x v="2"/>
    <s v="26-35"/>
    <s v="Medium"/>
    <x v="1"/>
    <x v="2"/>
    <s v="Sales_3"/>
    <n v="278"/>
    <n v="165"/>
    <n v="108"/>
    <n v="41"/>
    <s v="24.85"/>
    <n v="48114"/>
    <s v="3.51"/>
    <n v="36353"/>
    <n v="1972674"/>
    <n v="482201"/>
    <s v="Feb"/>
    <n v="2"/>
    <n v="2026"/>
    <s v="Weekend"/>
    <n v="0.37962962962962965"/>
    <n v="0.59352517985611508"/>
    <n v="0.14748201438848921"/>
    <n v="11761"/>
    <s v="Main Auto Hub"/>
  </r>
  <r>
    <s v="CUST_2139"/>
    <x v="24"/>
    <x v="1"/>
    <s v="Thursday"/>
    <s v="No"/>
    <x v="5"/>
    <x v="5"/>
    <s v="Hamburg"/>
    <x v="0"/>
    <s v="X3"/>
    <s v="Electric"/>
    <x v="0"/>
    <s v="18-25"/>
    <s v="High"/>
    <x v="0"/>
    <x v="0"/>
    <s v="Sales_10"/>
    <n v="183"/>
    <n v="87"/>
    <n v="63"/>
    <n v="25"/>
    <s v="28.74"/>
    <n v="59308"/>
    <s v="5.48"/>
    <n v="44519"/>
    <n v="1482700"/>
    <n v="369725"/>
    <s v="Feb"/>
    <n v="2"/>
    <n v="2026"/>
    <s v="Weekday"/>
    <n v="0.3968253968253968"/>
    <n v="0.47540983606557374"/>
    <n v="0.13661202185792351"/>
    <n v="14789"/>
    <s v="Elbe Drive"/>
  </r>
  <r>
    <s v="CUST_2140"/>
    <x v="14"/>
    <x v="2"/>
    <s v="Friday"/>
    <s v="No"/>
    <x v="9"/>
    <x v="9"/>
    <s v="NRW"/>
    <x v="0"/>
    <s v="5 Series"/>
    <s v="Diesel"/>
    <x v="1"/>
    <s v="50+"/>
    <s v="High"/>
    <x v="1"/>
    <x v="0"/>
    <s v="Sales_20"/>
    <n v="244"/>
    <n v="119"/>
    <n v="92"/>
    <n v="31"/>
    <s v="26.05"/>
    <n v="64953"/>
    <s v="2.51"/>
    <n v="47635"/>
    <n v="2013543"/>
    <n v="536858"/>
    <s v="Feb"/>
    <n v="2"/>
    <n v="2026"/>
    <s v="Weekday"/>
    <n v="0.33695652173913043"/>
    <n v="0.48770491803278687"/>
    <n v="0.12704918032786885"/>
    <n v="17318"/>
    <s v="Ruhr Auto Plaza"/>
  </r>
  <r>
    <s v="CUST_2141"/>
    <x v="1"/>
    <x v="1"/>
    <s v="Wednesday"/>
    <s v="No"/>
    <x v="0"/>
    <x v="0"/>
    <s v="Hesse"/>
    <x v="1"/>
    <s v="Crossland"/>
    <s v="Electric"/>
    <x v="0"/>
    <s v="18-25"/>
    <s v="Low"/>
    <x v="1"/>
    <x v="1"/>
    <s v="Sales_7"/>
    <n v="349"/>
    <n v="181"/>
    <n v="104"/>
    <n v="28"/>
    <s v="15.47"/>
    <n v="24698"/>
    <s v="7.2"/>
    <n v="22839"/>
    <n v="691544"/>
    <n v="52052"/>
    <s v="Feb"/>
    <n v="2"/>
    <n v="2026"/>
    <s v="Weekday"/>
    <n v="0.26923076923076922"/>
    <n v="0.51862464183381085"/>
    <n v="8.0229226361031525E-2"/>
    <n v="1859"/>
    <s v="Main Auto Hub"/>
  </r>
  <r>
    <s v="CUST_2142"/>
    <x v="24"/>
    <x v="1"/>
    <s v="Thursday"/>
    <s v="No"/>
    <x v="1"/>
    <x v="1"/>
    <s v="NRW"/>
    <x v="1"/>
    <s v="Astra"/>
    <s v="Hybrid"/>
    <x v="2"/>
    <s v="26-35"/>
    <s v="High"/>
    <x v="1"/>
    <x v="2"/>
    <s v="Sales_19"/>
    <n v="364"/>
    <n v="172"/>
    <n v="112"/>
    <n v="34"/>
    <s v="19.77"/>
    <n v="25685"/>
    <s v="11.84"/>
    <n v="22923"/>
    <n v="873290"/>
    <n v="93908"/>
    <s v="Feb"/>
    <n v="2"/>
    <n v="2026"/>
    <s v="Weekday"/>
    <n v="0.30357142857142855"/>
    <n v="0.47252747252747251"/>
    <n v="9.3406593406593408E-2"/>
    <n v="2762"/>
    <s v="Rhein Auto Group"/>
  </r>
  <r>
    <s v="CUST_2143"/>
    <x v="14"/>
    <x v="2"/>
    <s v="Friday"/>
    <s v="No"/>
    <x v="7"/>
    <x v="7"/>
    <s v="Bavaria"/>
    <x v="4"/>
    <s v="Tiguan"/>
    <s v="Hybrid"/>
    <x v="0"/>
    <s v="50+"/>
    <s v="High"/>
    <x v="1"/>
    <x v="2"/>
    <s v="Sales_9"/>
    <n v="501"/>
    <n v="283"/>
    <n v="169"/>
    <n v="54"/>
    <s v="19.08"/>
    <n v="25776"/>
    <s v="10.76"/>
    <n v="22929"/>
    <n v="1391904"/>
    <n v="153738"/>
    <s v="Feb"/>
    <n v="2"/>
    <n v="2026"/>
    <s v="Weekday"/>
    <n v="0.31952662721893493"/>
    <n v="0.56487025948103797"/>
    <n v="0.10778443113772455"/>
    <n v="2847"/>
    <s v="Bavaria Motors"/>
  </r>
  <r>
    <s v="CUST_2144"/>
    <x v="20"/>
    <x v="0"/>
    <s v="Thursday"/>
    <s v="No"/>
    <x v="1"/>
    <x v="1"/>
    <s v="NRW"/>
    <x v="0"/>
    <s v="X5"/>
    <s v="Diesel"/>
    <x v="0"/>
    <s v="36-50"/>
    <s v="High"/>
    <x v="0"/>
    <x v="3"/>
    <s v="Sales_20"/>
    <n v="184"/>
    <n v="104"/>
    <n v="84"/>
    <n v="27"/>
    <s v="25.96"/>
    <n v="59027"/>
    <s v="3.26"/>
    <n v="42073"/>
    <n v="1593729"/>
    <n v="457758"/>
    <s v="Feb"/>
    <n v="2"/>
    <n v="2026"/>
    <s v="Weekday"/>
    <n v="0.32142857142857145"/>
    <n v="0.56521739130434778"/>
    <n v="0.14673913043478262"/>
    <n v="16954"/>
    <s v="Rhein Auto Group"/>
  </r>
  <r>
    <s v="CUST_2145"/>
    <x v="19"/>
    <x v="1"/>
    <s v="Saturday"/>
    <s v="Yes"/>
    <x v="8"/>
    <x v="8"/>
    <s v="Baden-WÃ¼rttemberg"/>
    <x v="2"/>
    <s v="A3"/>
    <s v="Diesel"/>
    <x v="2"/>
    <s v="50+"/>
    <s v="High"/>
    <x v="0"/>
    <x v="0"/>
    <s v="Sales_18"/>
    <n v="283"/>
    <n v="138"/>
    <n v="104"/>
    <n v="32"/>
    <s v="23.19"/>
    <n v="50258"/>
    <s v="6.93"/>
    <n v="39903"/>
    <n v="1608256"/>
    <n v="331360"/>
    <s v="Feb"/>
    <n v="2"/>
    <n v="2026"/>
    <s v="Weekend"/>
    <n v="0.30769230769230771"/>
    <n v="0.48763250883392228"/>
    <n v="0.11307420494699646"/>
    <n v="10355"/>
    <s v="Stuttgart Auto Center"/>
  </r>
  <r>
    <s v="CUST_2146"/>
    <x v="14"/>
    <x v="2"/>
    <s v="Friday"/>
    <s v="No"/>
    <x v="0"/>
    <x v="0"/>
    <s v="Hesse"/>
    <x v="4"/>
    <s v="Tiguan"/>
    <s v="Hybrid"/>
    <x v="0"/>
    <s v="36-50"/>
    <s v="Medium"/>
    <x v="1"/>
    <x v="1"/>
    <s v="Sales_10"/>
    <n v="441"/>
    <n v="232"/>
    <n v="139"/>
    <n v="40"/>
    <s v="17.24"/>
    <n v="32971"/>
    <s v="6.84"/>
    <n v="29894"/>
    <n v="1318840"/>
    <n v="123080"/>
    <s v="Feb"/>
    <n v="2"/>
    <n v="2026"/>
    <s v="Weekday"/>
    <n v="0.28776978417266186"/>
    <n v="0.52607709750566889"/>
    <n v="9.0702947845804988E-2"/>
    <n v="3077"/>
    <s v="Main Auto Hub"/>
  </r>
  <r>
    <s v="CUST_2147"/>
    <x v="26"/>
    <x v="1"/>
    <s v="Friday"/>
    <s v="No"/>
    <x v="7"/>
    <x v="7"/>
    <s v="Bavaria"/>
    <x v="1"/>
    <s v="Grandland"/>
    <s v="Petrol"/>
    <x v="0"/>
    <s v="26-35"/>
    <s v="High"/>
    <x v="1"/>
    <x v="2"/>
    <s v="Sales_20"/>
    <n v="394"/>
    <n v="162"/>
    <n v="100"/>
    <n v="31"/>
    <s v="19.14"/>
    <n v="25255"/>
    <s v="11.54"/>
    <n v="23052"/>
    <n v="782905"/>
    <n v="68293"/>
    <s v="Feb"/>
    <n v="2"/>
    <n v="2026"/>
    <s v="Weekday"/>
    <n v="0.31"/>
    <n v="0.41116751269035534"/>
    <n v="7.8680203045685279E-2"/>
    <n v="2203"/>
    <s v="Bavaria Motors"/>
  </r>
  <r>
    <s v="CUST_2148"/>
    <x v="15"/>
    <x v="2"/>
    <s v="Thursday"/>
    <s v="No"/>
    <x v="2"/>
    <x v="2"/>
    <s v="Lower Saxony"/>
    <x v="1"/>
    <s v="Grandland"/>
    <s v="Diesel"/>
    <x v="0"/>
    <s v="18-25"/>
    <s v="Low"/>
    <x v="1"/>
    <x v="2"/>
    <s v="Sales_2"/>
    <n v="371"/>
    <n v="198"/>
    <n v="119"/>
    <n v="35"/>
    <s v="17.68"/>
    <n v="25242"/>
    <s v="8.34"/>
    <n v="23332"/>
    <n v="883470"/>
    <n v="66850"/>
    <s v="Feb"/>
    <n v="2"/>
    <n v="2026"/>
    <s v="Weekday"/>
    <n v="0.29411764705882354"/>
    <n v="0.53369272237196763"/>
    <n v="9.4339622641509441E-2"/>
    <n v="1910"/>
    <s v="Hannover Cars"/>
  </r>
  <r>
    <s v="CUST_2149"/>
    <x v="2"/>
    <x v="2"/>
    <s v="Monday"/>
    <s v="No"/>
    <x v="8"/>
    <x v="8"/>
    <s v="Baden-WÃ¼rttemberg"/>
    <x v="0"/>
    <s v="X3"/>
    <s v="Petrol"/>
    <x v="0"/>
    <s v="50+"/>
    <s v="High"/>
    <x v="0"/>
    <x v="1"/>
    <s v="Sales_11"/>
    <n v="275"/>
    <n v="158"/>
    <n v="127"/>
    <n v="45"/>
    <s v="28.48"/>
    <n v="49954"/>
    <s v="4.09"/>
    <n v="37532"/>
    <n v="2247930"/>
    <n v="558990"/>
    <s v="Feb"/>
    <n v="2"/>
    <n v="2026"/>
    <s v="Weekday"/>
    <n v="0.3543307086614173"/>
    <n v="0.57454545454545458"/>
    <n v="0.16363636363636364"/>
    <n v="12422"/>
    <s v="Stuttgart Auto Center"/>
  </r>
  <r>
    <s v="CUST_2150"/>
    <x v="4"/>
    <x v="2"/>
    <s v="Wednesday"/>
    <s v="No"/>
    <x v="5"/>
    <x v="5"/>
    <s v="Hamburg"/>
    <x v="3"/>
    <s v="E-Class"/>
    <s v="Hybrid"/>
    <x v="1"/>
    <s v="50+"/>
    <s v="Medium"/>
    <x v="0"/>
    <x v="2"/>
    <s v="Sales_1"/>
    <n v="252"/>
    <n v="149"/>
    <n v="111"/>
    <n v="46"/>
    <s v="30.87"/>
    <n v="65835"/>
    <s v="2.24"/>
    <n v="50540"/>
    <n v="3028410"/>
    <n v="703570"/>
    <s v="Feb"/>
    <n v="2"/>
    <n v="2026"/>
    <s v="Weekday"/>
    <n v="0.4144144144144144"/>
    <n v="0.59126984126984128"/>
    <n v="0.18253968253968253"/>
    <n v="15295"/>
    <s v="Elbe Drive"/>
  </r>
  <r>
    <s v="CUST_2151"/>
    <x v="5"/>
    <x v="3"/>
    <s v="Saturday"/>
    <s v="Yes"/>
    <x v="2"/>
    <x v="2"/>
    <s v="Lower Saxony"/>
    <x v="0"/>
    <s v="i4"/>
    <s v="Electric"/>
    <x v="1"/>
    <s v="50+"/>
    <s v="High"/>
    <x v="1"/>
    <x v="2"/>
    <s v="Sales_3"/>
    <n v="158"/>
    <n v="84"/>
    <n v="59"/>
    <n v="22"/>
    <s v="26.19"/>
    <n v="66232"/>
    <s v="5.62"/>
    <n v="50062"/>
    <n v="1457104"/>
    <n v="355740"/>
    <s v="Feb"/>
    <n v="2"/>
    <n v="2026"/>
    <s v="Weekend"/>
    <n v="0.3728813559322034"/>
    <n v="0.53164556962025311"/>
    <n v="0.13924050632911392"/>
    <n v="16170"/>
    <s v="Hannover Cars"/>
  </r>
  <r>
    <s v="CUST_2152"/>
    <x v="24"/>
    <x v="1"/>
    <s v="Thursday"/>
    <s v="No"/>
    <x v="6"/>
    <x v="6"/>
    <s v="Saxony"/>
    <x v="2"/>
    <s v="Q5"/>
    <s v="Diesel"/>
    <x v="0"/>
    <s v="26-35"/>
    <s v="High"/>
    <x v="1"/>
    <x v="0"/>
    <s v="Sales_2"/>
    <n v="236"/>
    <n v="112"/>
    <n v="76"/>
    <n v="24"/>
    <s v="21.43"/>
    <n v="44317"/>
    <s v="6.57"/>
    <n v="33961"/>
    <n v="1063608"/>
    <n v="248544"/>
    <s v="Feb"/>
    <n v="2"/>
    <n v="2026"/>
    <s v="Weekday"/>
    <n v="0.31578947368421051"/>
    <n v="0.47457627118644069"/>
    <n v="0.10169491525423729"/>
    <n v="10356"/>
    <s v="Leipzig Mobility"/>
  </r>
  <r>
    <s v="CUST_2153"/>
    <x v="24"/>
    <x v="1"/>
    <s v="Thursday"/>
    <s v="No"/>
    <x v="4"/>
    <x v="4"/>
    <s v="Berlin"/>
    <x v="4"/>
    <s v="Passat"/>
    <s v="Electric"/>
    <x v="1"/>
    <s v="36-50"/>
    <s v="High"/>
    <x v="1"/>
    <x v="0"/>
    <s v="Sales_18"/>
    <n v="297"/>
    <n v="157"/>
    <n v="91"/>
    <n v="20"/>
    <s v="12.74"/>
    <n v="30289"/>
    <s v="6.43"/>
    <n v="27557"/>
    <n v="605780"/>
    <n v="54640"/>
    <s v="Feb"/>
    <n v="2"/>
    <n v="2026"/>
    <s v="Weekday"/>
    <n v="0.21978021978021978"/>
    <n v="0.52861952861952866"/>
    <n v="6.7340067340067339E-2"/>
    <n v="2732"/>
    <s v="Autohaus Berlin"/>
  </r>
  <r>
    <s v="CUST_2154"/>
    <x v="6"/>
    <x v="2"/>
    <s v="Saturday"/>
    <s v="Yes"/>
    <x v="7"/>
    <x v="7"/>
    <s v="Bavaria"/>
    <x v="4"/>
    <s v="Tiguan"/>
    <s v="Petrol"/>
    <x v="0"/>
    <s v="36-50"/>
    <s v="Medium"/>
    <x v="1"/>
    <x v="2"/>
    <s v="Sales_7"/>
    <n v="330"/>
    <n v="145"/>
    <n v="97"/>
    <n v="32"/>
    <s v="22.07"/>
    <n v="25650"/>
    <s v="11.05"/>
    <n v="22240"/>
    <n v="820800"/>
    <n v="109120"/>
    <s v="Feb"/>
    <n v="2"/>
    <n v="2026"/>
    <s v="Weekend"/>
    <n v="0.32989690721649484"/>
    <n v="0.43939393939393939"/>
    <n v="9.696969696969697E-2"/>
    <n v="3410"/>
    <s v="Bavaria Motors"/>
  </r>
  <r>
    <s v="CUST_2155"/>
    <x v="21"/>
    <x v="0"/>
    <s v="Tuesday"/>
    <s v="No"/>
    <x v="0"/>
    <x v="0"/>
    <s v="Hesse"/>
    <x v="0"/>
    <s v="i4"/>
    <s v="Electric"/>
    <x v="1"/>
    <s v="36-50"/>
    <s v="Low"/>
    <x v="0"/>
    <x v="1"/>
    <s v="Sales_12"/>
    <n v="187"/>
    <n v="91"/>
    <n v="70"/>
    <n v="28"/>
    <s v="30.77"/>
    <n v="52645"/>
    <s v="2.92"/>
    <n v="40663"/>
    <n v="1474060"/>
    <n v="335496"/>
    <s v="Feb"/>
    <n v="2"/>
    <n v="2026"/>
    <s v="Weekday"/>
    <n v="0.4"/>
    <n v="0.48663101604278075"/>
    <n v="0.1497326203208556"/>
    <n v="11982"/>
    <s v="Main Auto Hub"/>
  </r>
  <r>
    <s v="CUST_2156"/>
    <x v="12"/>
    <x v="3"/>
    <s v="Thursday"/>
    <s v="No"/>
    <x v="1"/>
    <x v="1"/>
    <s v="NRW"/>
    <x v="0"/>
    <s v="5 Series"/>
    <s v="Electric"/>
    <x v="1"/>
    <s v="26-35"/>
    <s v="Low"/>
    <x v="1"/>
    <x v="3"/>
    <s v="Sales_10"/>
    <n v="176"/>
    <n v="83"/>
    <n v="58"/>
    <n v="23"/>
    <s v="27.71"/>
    <n v="59756"/>
    <s v="3.47"/>
    <n v="44117"/>
    <n v="1374388"/>
    <n v="359697"/>
    <s v="Feb"/>
    <n v="2"/>
    <n v="2026"/>
    <s v="Weekday"/>
    <n v="0.39655172413793105"/>
    <n v="0.47159090909090912"/>
    <n v="0.13068181818181818"/>
    <n v="15639"/>
    <s v="Rhein Auto Group"/>
  </r>
  <r>
    <s v="CUST_2157"/>
    <x v="4"/>
    <x v="2"/>
    <s v="Wednesday"/>
    <s v="No"/>
    <x v="8"/>
    <x v="8"/>
    <s v="Baden-WÃ¼rttemberg"/>
    <x v="3"/>
    <s v="C-Class"/>
    <s v="Petrol"/>
    <x v="1"/>
    <s v="50+"/>
    <s v="Low"/>
    <x v="1"/>
    <x v="0"/>
    <s v="Sales_13"/>
    <n v="237"/>
    <n v="132"/>
    <n v="91"/>
    <n v="32"/>
    <s v="24.24"/>
    <n v="54079"/>
    <s v="3.52"/>
    <n v="41185"/>
    <n v="1730528"/>
    <n v="412608"/>
    <s v="Feb"/>
    <n v="2"/>
    <n v="2026"/>
    <s v="Weekday"/>
    <n v="0.35164835164835168"/>
    <n v="0.55696202531645567"/>
    <n v="0.13502109704641349"/>
    <n v="12894"/>
    <s v="Stuttgart Auto Center"/>
  </r>
  <r>
    <s v="CUST_2158"/>
    <x v="19"/>
    <x v="1"/>
    <s v="Saturday"/>
    <s v="Yes"/>
    <x v="2"/>
    <x v="2"/>
    <s v="Lower Saxony"/>
    <x v="1"/>
    <s v="Crossland"/>
    <s v="Diesel"/>
    <x v="0"/>
    <s v="50+"/>
    <s v="Medium"/>
    <x v="1"/>
    <x v="0"/>
    <s v="Sales_10"/>
    <n v="238"/>
    <n v="131"/>
    <n v="85"/>
    <n v="20"/>
    <s v="15.27"/>
    <n v="22261"/>
    <s v="8.14"/>
    <n v="20153"/>
    <n v="445220"/>
    <n v="42160"/>
    <s v="Feb"/>
    <n v="2"/>
    <n v="2026"/>
    <s v="Weekend"/>
    <n v="0.23529411764705882"/>
    <n v="0.55042016806722693"/>
    <n v="8.4033613445378158E-2"/>
    <n v="2108"/>
    <s v="Hannover Cars"/>
  </r>
  <r>
    <s v="CUST_2159"/>
    <x v="1"/>
    <x v="1"/>
    <s v="Wednesday"/>
    <s v="No"/>
    <x v="0"/>
    <x v="0"/>
    <s v="Hesse"/>
    <x v="1"/>
    <s v="Corsa"/>
    <s v="Petrol"/>
    <x v="2"/>
    <s v="18-25"/>
    <s v="Medium"/>
    <x v="0"/>
    <x v="2"/>
    <s v="Sales_2"/>
    <n v="331"/>
    <n v="172"/>
    <n v="112"/>
    <n v="34"/>
    <s v="19.77"/>
    <n v="19750"/>
    <s v="11.42"/>
    <n v="17918"/>
    <n v="671500"/>
    <n v="62288"/>
    <s v="Feb"/>
    <n v="2"/>
    <n v="2026"/>
    <s v="Weekday"/>
    <n v="0.30357142857142855"/>
    <n v="0.51963746223564955"/>
    <n v="0.1027190332326284"/>
    <n v="1832"/>
    <s v="Main Auto Hub"/>
  </r>
  <r>
    <s v="CUST_2160"/>
    <x v="5"/>
    <x v="3"/>
    <s v="Saturday"/>
    <s v="Yes"/>
    <x v="1"/>
    <x v="1"/>
    <s v="NRW"/>
    <x v="3"/>
    <s v="C-Class"/>
    <s v="Petrol"/>
    <x v="1"/>
    <s v="50+"/>
    <s v="High"/>
    <x v="0"/>
    <x v="2"/>
    <s v="Sales_10"/>
    <n v="287"/>
    <n v="163"/>
    <n v="125"/>
    <n v="43"/>
    <s v="26.38"/>
    <n v="54623"/>
    <s v="5.55"/>
    <n v="39590"/>
    <n v="2348789"/>
    <n v="646419"/>
    <s v="Feb"/>
    <n v="2"/>
    <n v="2026"/>
    <s v="Weekend"/>
    <n v="0.34399999999999997"/>
    <n v="0.56794425087108014"/>
    <n v="0.14982578397212543"/>
    <n v="15033"/>
    <s v="Rhein Auto Group"/>
  </r>
  <r>
    <s v="CUST_2161"/>
    <x v="27"/>
    <x v="3"/>
    <s v="Sunday"/>
    <s v="Yes"/>
    <x v="7"/>
    <x v="7"/>
    <s v="Bavaria"/>
    <x v="1"/>
    <s v="Astra"/>
    <s v="Diesel"/>
    <x v="2"/>
    <s v="50+"/>
    <s v="High"/>
    <x v="1"/>
    <x v="3"/>
    <s v="Sales_20"/>
    <n v="417"/>
    <n v="169"/>
    <n v="116"/>
    <n v="26"/>
    <s v="15.38"/>
    <n v="27812"/>
    <s v="7.09"/>
    <n v="25493"/>
    <n v="723112"/>
    <n v="60294"/>
    <s v="Feb"/>
    <n v="2"/>
    <n v="2026"/>
    <s v="Weekend"/>
    <n v="0.22413793103448276"/>
    <n v="0.40527577937649878"/>
    <n v="6.235011990407674E-2"/>
    <n v="2319"/>
    <s v="Bavaria Motors"/>
  </r>
  <r>
    <s v="CUST_2162"/>
    <x v="18"/>
    <x v="0"/>
    <s v="Saturday"/>
    <s v="Yes"/>
    <x v="1"/>
    <x v="1"/>
    <s v="NRW"/>
    <x v="4"/>
    <s v="ID.4"/>
    <s v="Hybrid"/>
    <x v="0"/>
    <s v="36-50"/>
    <s v="Low"/>
    <x v="0"/>
    <x v="1"/>
    <s v="Sales_19"/>
    <n v="293"/>
    <n v="118"/>
    <n v="77"/>
    <n v="22"/>
    <s v="18.64"/>
    <n v="34727"/>
    <s v="8.48"/>
    <n v="30899"/>
    <n v="763994"/>
    <n v="84216"/>
    <s v="Feb"/>
    <n v="2"/>
    <n v="2026"/>
    <s v="Weekend"/>
    <n v="0.2857142857142857"/>
    <n v="0.40273037542662116"/>
    <n v="7.5085324232081918E-2"/>
    <n v="3828"/>
    <s v="Rhein Auto Group"/>
  </r>
  <r>
    <s v="CUST_2163"/>
    <x v="17"/>
    <x v="2"/>
    <s v="Sunday"/>
    <s v="Yes"/>
    <x v="4"/>
    <x v="4"/>
    <s v="Berlin"/>
    <x v="0"/>
    <s v="5 Series"/>
    <s v="Petrol"/>
    <x v="1"/>
    <s v="36-50"/>
    <s v="Medium"/>
    <x v="1"/>
    <x v="1"/>
    <s v="Sales_6"/>
    <n v="226"/>
    <n v="137"/>
    <n v="98"/>
    <n v="38"/>
    <s v="27.74"/>
    <n v="65137"/>
    <s v="3.69"/>
    <n v="50732"/>
    <n v="2475206"/>
    <n v="547390"/>
    <s v="Feb"/>
    <n v="2"/>
    <n v="2026"/>
    <s v="Weekend"/>
    <n v="0.38775510204081631"/>
    <n v="0.60619469026548678"/>
    <n v="0.16814159292035399"/>
    <n v="14405"/>
    <s v="Autohaus Berlin"/>
  </r>
  <r>
    <s v="CUST_2164"/>
    <x v="22"/>
    <x v="3"/>
    <s v="Tuesday"/>
    <s v="No"/>
    <x v="4"/>
    <x v="4"/>
    <s v="Berlin"/>
    <x v="2"/>
    <s v="e-tron"/>
    <s v="Petrol"/>
    <x v="0"/>
    <s v="26-35"/>
    <s v="High"/>
    <x v="1"/>
    <x v="0"/>
    <s v="Sales_6"/>
    <n v="272"/>
    <n v="155"/>
    <n v="108"/>
    <n v="32"/>
    <s v="20.65"/>
    <n v="49956"/>
    <s v="4.22"/>
    <n v="40685"/>
    <n v="1598592"/>
    <n v="296672"/>
    <s v="Feb"/>
    <n v="2"/>
    <n v="2026"/>
    <s v="Weekday"/>
    <n v="0.29629629629629628"/>
    <n v="0.56985294117647056"/>
    <n v="0.11764705882352941"/>
    <n v="9271"/>
    <s v="Autohaus Berlin"/>
  </r>
  <r>
    <s v="CUST_2165"/>
    <x v="13"/>
    <x v="0"/>
    <s v="Friday"/>
    <s v="No"/>
    <x v="7"/>
    <x v="7"/>
    <s v="Bavaria"/>
    <x v="0"/>
    <s v="X3"/>
    <s v="Electric"/>
    <x v="0"/>
    <s v="26-35"/>
    <s v="Medium"/>
    <x v="1"/>
    <x v="0"/>
    <s v="Sales_16"/>
    <n v="178"/>
    <n v="93"/>
    <n v="71"/>
    <n v="25"/>
    <s v="26.88"/>
    <n v="52551"/>
    <s v="5.54"/>
    <n v="37881"/>
    <n v="1313775"/>
    <n v="366750"/>
    <s v="Feb"/>
    <n v="2"/>
    <n v="2026"/>
    <s v="Weekday"/>
    <n v="0.352112676056338"/>
    <n v="0.52247191011235961"/>
    <n v="0.1404494382022472"/>
    <n v="14670"/>
    <s v="Bavaria Motors"/>
  </r>
  <r>
    <s v="CUST_2166"/>
    <x v="24"/>
    <x v="1"/>
    <s v="Thursday"/>
    <s v="No"/>
    <x v="7"/>
    <x v="7"/>
    <s v="Bavaria"/>
    <x v="1"/>
    <s v="Mokka"/>
    <s v="Diesel"/>
    <x v="0"/>
    <s v="36-50"/>
    <s v="High"/>
    <x v="0"/>
    <x v="0"/>
    <s v="Sales_2"/>
    <n v="309"/>
    <n v="143"/>
    <n v="92"/>
    <n v="27"/>
    <s v="18.88"/>
    <n v="21613"/>
    <s v="8.66"/>
    <n v="20022"/>
    <n v="583551"/>
    <n v="42957"/>
    <s v="Feb"/>
    <n v="2"/>
    <n v="2026"/>
    <s v="Weekday"/>
    <n v="0.29347826086956524"/>
    <n v="0.4627831715210356"/>
    <n v="8.7378640776699032E-2"/>
    <n v="1591"/>
    <s v="Bavaria Motors"/>
  </r>
  <r>
    <s v="CUST_2167"/>
    <x v="17"/>
    <x v="2"/>
    <s v="Sunday"/>
    <s v="Yes"/>
    <x v="7"/>
    <x v="7"/>
    <s v="Bavaria"/>
    <x v="0"/>
    <s v="i4"/>
    <s v="Electric"/>
    <x v="1"/>
    <s v="50+"/>
    <s v="High"/>
    <x v="1"/>
    <x v="2"/>
    <s v="Sales_4"/>
    <n v="243"/>
    <n v="126"/>
    <n v="94"/>
    <n v="39"/>
    <s v="30.95"/>
    <n v="57781"/>
    <s v="4.15"/>
    <n v="42578"/>
    <n v="2253459"/>
    <n v="592917"/>
    <s v="Feb"/>
    <n v="2"/>
    <n v="2026"/>
    <s v="Weekend"/>
    <n v="0.41489361702127658"/>
    <n v="0.51851851851851849"/>
    <n v="0.16049382716049382"/>
    <n v="15203"/>
    <s v="Bavaria Motors"/>
  </r>
  <r>
    <s v="CUST_2168"/>
    <x v="8"/>
    <x v="3"/>
    <s v="Wednesday"/>
    <s v="No"/>
    <x v="6"/>
    <x v="6"/>
    <s v="Saxony"/>
    <x v="0"/>
    <s v="X5"/>
    <s v="Diesel"/>
    <x v="0"/>
    <s v="26-35"/>
    <s v="Medium"/>
    <x v="0"/>
    <x v="3"/>
    <s v="Sales_5"/>
    <n v="190"/>
    <n v="99"/>
    <n v="78"/>
    <n v="24"/>
    <s v="24.24"/>
    <n v="65303"/>
    <s v="2.25"/>
    <n v="48179"/>
    <n v="1567272"/>
    <n v="410976"/>
    <s v="Feb"/>
    <n v="2"/>
    <n v="2026"/>
    <s v="Weekday"/>
    <n v="0.30769230769230771"/>
    <n v="0.52105263157894732"/>
    <n v="0.12631578947368421"/>
    <n v="17124"/>
    <s v="Leipzig Mobility"/>
  </r>
  <r>
    <s v="CUST_2169"/>
    <x v="12"/>
    <x v="3"/>
    <s v="Thursday"/>
    <s v="No"/>
    <x v="8"/>
    <x v="8"/>
    <s v="Baden-WÃ¼rttemberg"/>
    <x v="4"/>
    <s v="T-Roc"/>
    <s v="Hybrid"/>
    <x v="0"/>
    <s v="18-25"/>
    <s v="Medium"/>
    <x v="1"/>
    <x v="3"/>
    <s v="Sales_6"/>
    <n v="403"/>
    <n v="225"/>
    <n v="138"/>
    <n v="38"/>
    <s v="16.89"/>
    <n v="31975"/>
    <s v="6.92"/>
    <n v="27711"/>
    <n v="1215050"/>
    <n v="162032"/>
    <s v="Feb"/>
    <n v="2"/>
    <n v="2026"/>
    <s v="Weekday"/>
    <n v="0.27536231884057971"/>
    <n v="0.55831265508684869"/>
    <n v="9.4292803970223327E-2"/>
    <n v="4264"/>
    <s v="Stuttgart Auto Center"/>
  </r>
  <r>
    <s v="CUST_2170"/>
    <x v="18"/>
    <x v="0"/>
    <s v="Saturday"/>
    <s v="Yes"/>
    <x v="3"/>
    <x v="3"/>
    <s v="Saxony"/>
    <x v="4"/>
    <s v="Passat"/>
    <s v="Diesel"/>
    <x v="1"/>
    <s v="18-25"/>
    <s v="High"/>
    <x v="1"/>
    <x v="3"/>
    <s v="Sales_15"/>
    <n v="494"/>
    <n v="218"/>
    <n v="133"/>
    <n v="24"/>
    <s v="11.01"/>
    <n v="34440"/>
    <s v="6.19"/>
    <n v="30368"/>
    <n v="826560"/>
    <n v="97728"/>
    <s v="Feb"/>
    <n v="2"/>
    <n v="2026"/>
    <s v="Weekend"/>
    <n v="0.18045112781954886"/>
    <n v="0.44129554655870445"/>
    <n v="4.8582995951417005E-2"/>
    <n v="4072"/>
    <s v="Saxon Wheels"/>
  </r>
  <r>
    <s v="CUST_2171"/>
    <x v="8"/>
    <x v="3"/>
    <s v="Wednesday"/>
    <s v="No"/>
    <x v="7"/>
    <x v="7"/>
    <s v="Bavaria"/>
    <x v="3"/>
    <s v="GLC"/>
    <s v="Diesel"/>
    <x v="0"/>
    <s v="50+"/>
    <s v="Medium"/>
    <x v="0"/>
    <x v="3"/>
    <s v="Sales_15"/>
    <n v="214"/>
    <n v="110"/>
    <n v="81"/>
    <n v="28"/>
    <s v="25.45"/>
    <n v="49836"/>
    <s v="4.77"/>
    <n v="35543"/>
    <n v="1395408"/>
    <n v="400204"/>
    <s v="Feb"/>
    <n v="2"/>
    <n v="2026"/>
    <s v="Weekday"/>
    <n v="0.34567901234567899"/>
    <n v="0.51401869158878499"/>
    <n v="0.13084112149532709"/>
    <n v="14293"/>
    <s v="Bavaria Motors"/>
  </r>
  <r>
    <s v="CUST_2172"/>
    <x v="12"/>
    <x v="3"/>
    <s v="Thursday"/>
    <s v="No"/>
    <x v="1"/>
    <x v="1"/>
    <s v="NRW"/>
    <x v="1"/>
    <s v="Corsa"/>
    <s v="Electric"/>
    <x v="2"/>
    <s v="36-50"/>
    <s v="Low"/>
    <x v="0"/>
    <x v="3"/>
    <s v="Sales_16"/>
    <n v="371"/>
    <n v="207"/>
    <n v="122"/>
    <n v="37"/>
    <s v="17.87"/>
    <n v="23957"/>
    <s v="11.03"/>
    <n v="22134"/>
    <n v="886409"/>
    <n v="67451"/>
    <s v="Feb"/>
    <n v="2"/>
    <n v="2026"/>
    <s v="Weekday"/>
    <n v="0.30327868852459017"/>
    <n v="0.55795148247978432"/>
    <n v="9.9730458221024262E-2"/>
    <n v="1823"/>
    <s v="Rhein Auto Group"/>
  </r>
  <r>
    <s v="CUST_2173"/>
    <x v="11"/>
    <x v="0"/>
    <s v="Wednesday"/>
    <s v="No"/>
    <x v="0"/>
    <x v="0"/>
    <s v="Hesse"/>
    <x v="1"/>
    <s v="Corsa"/>
    <s v="Petrol"/>
    <x v="2"/>
    <s v="26-35"/>
    <s v="Low"/>
    <x v="1"/>
    <x v="2"/>
    <s v="Sales_13"/>
    <n v="226"/>
    <n v="92"/>
    <n v="59"/>
    <n v="18"/>
    <s v="19.57"/>
    <n v="20199"/>
    <s v="12.69"/>
    <n v="18611"/>
    <n v="363582"/>
    <n v="28584"/>
    <s v="Feb"/>
    <n v="2"/>
    <n v="2026"/>
    <s v="Weekday"/>
    <n v="0.30508474576271188"/>
    <n v="0.40707964601769914"/>
    <n v="7.9646017699115043E-2"/>
    <n v="1588"/>
    <s v="Main Auto Hub"/>
  </r>
  <r>
    <s v="CUST_2174"/>
    <x v="5"/>
    <x v="3"/>
    <s v="Saturday"/>
    <s v="Yes"/>
    <x v="6"/>
    <x v="6"/>
    <s v="Saxony"/>
    <x v="0"/>
    <s v="5 Series"/>
    <s v="Hybrid"/>
    <x v="1"/>
    <s v="36-50"/>
    <s v="Low"/>
    <x v="0"/>
    <x v="2"/>
    <s v="Sales_20"/>
    <n v="221"/>
    <n v="113"/>
    <n v="76"/>
    <n v="36"/>
    <s v="31.86"/>
    <n v="61168"/>
    <s v="5.07"/>
    <n v="44668"/>
    <n v="2202048"/>
    <n v="594000"/>
    <s v="Feb"/>
    <n v="2"/>
    <n v="2026"/>
    <s v="Weekend"/>
    <n v="0.47368421052631576"/>
    <n v="0.5113122171945701"/>
    <n v="0.16289592760180996"/>
    <n v="16500"/>
    <s v="Leipzig Mobility"/>
  </r>
  <r>
    <s v="CUST_2175"/>
    <x v="23"/>
    <x v="2"/>
    <s v="Tuesday"/>
    <s v="No"/>
    <x v="4"/>
    <x v="4"/>
    <s v="Berlin"/>
    <x v="0"/>
    <s v="5 Series"/>
    <s v="Hybrid"/>
    <x v="1"/>
    <s v="36-50"/>
    <s v="High"/>
    <x v="1"/>
    <x v="1"/>
    <s v="Sales_18"/>
    <n v="179"/>
    <n v="89"/>
    <n v="67"/>
    <n v="26"/>
    <s v="29.21"/>
    <n v="56808"/>
    <s v="2.12"/>
    <n v="40716"/>
    <n v="1477008"/>
    <n v="418392"/>
    <s v="Feb"/>
    <n v="2"/>
    <n v="2026"/>
    <s v="Weekday"/>
    <n v="0.38805970149253732"/>
    <n v="0.4972067039106145"/>
    <n v="0.14525139664804471"/>
    <n v="16092"/>
    <s v="Autohaus Berlin"/>
  </r>
  <r>
    <s v="CUST_2176"/>
    <x v="8"/>
    <x v="3"/>
    <s v="Wednesday"/>
    <s v="No"/>
    <x v="3"/>
    <x v="3"/>
    <s v="Saxony"/>
    <x v="4"/>
    <s v="Passat"/>
    <s v="Hybrid"/>
    <x v="1"/>
    <s v="26-35"/>
    <s v="High"/>
    <x v="1"/>
    <x v="0"/>
    <s v="Sales_17"/>
    <n v="388"/>
    <n v="198"/>
    <n v="127"/>
    <n v="27"/>
    <s v="13.64"/>
    <n v="27691"/>
    <s v="10.71"/>
    <n v="23896"/>
    <n v="747657"/>
    <n v="102465"/>
    <s v="Feb"/>
    <n v="2"/>
    <n v="2026"/>
    <s v="Weekday"/>
    <n v="0.2125984251968504"/>
    <n v="0.51030927835051543"/>
    <n v="6.9587628865979384E-2"/>
    <n v="3795"/>
    <s v="Saxon Wheels"/>
  </r>
  <r>
    <s v="CUST_2177"/>
    <x v="25"/>
    <x v="3"/>
    <s v="Friday"/>
    <s v="No"/>
    <x v="5"/>
    <x v="5"/>
    <s v="Hamburg"/>
    <x v="3"/>
    <s v="E-Class"/>
    <s v="Petrol"/>
    <x v="1"/>
    <s v="50+"/>
    <s v="Low"/>
    <x v="1"/>
    <x v="1"/>
    <s v="Sales_12"/>
    <n v="264"/>
    <n v="140"/>
    <n v="98"/>
    <n v="38"/>
    <s v="27.14"/>
    <n v="50838"/>
    <s v="5.75"/>
    <n v="37643"/>
    <n v="1931844"/>
    <n v="501410"/>
    <s v="Feb"/>
    <n v="2"/>
    <n v="2026"/>
    <s v="Weekday"/>
    <n v="0.38775510204081631"/>
    <n v="0.53030303030303028"/>
    <n v="0.14393939393939395"/>
    <n v="13195"/>
    <s v="Elbe Drive"/>
  </r>
  <r>
    <s v="CUST_2178"/>
    <x v="8"/>
    <x v="3"/>
    <s v="Wednesday"/>
    <s v="No"/>
    <x v="8"/>
    <x v="8"/>
    <s v="Baden-WÃ¼rttemberg"/>
    <x v="4"/>
    <s v="ID.4"/>
    <s v="Petrol"/>
    <x v="0"/>
    <s v="36-50"/>
    <s v="Medium"/>
    <x v="1"/>
    <x v="3"/>
    <s v="Sales_6"/>
    <n v="398"/>
    <n v="201"/>
    <n v="128"/>
    <n v="29"/>
    <s v="14.43"/>
    <n v="25736"/>
    <s v="9.78"/>
    <n v="23312"/>
    <n v="746344"/>
    <n v="70296"/>
    <s v="Feb"/>
    <n v="2"/>
    <n v="2026"/>
    <s v="Weekday"/>
    <n v="0.2265625"/>
    <n v="0.50502512562814073"/>
    <n v="7.2864321608040197E-2"/>
    <n v="2424"/>
    <s v="Stuttgart Auto Center"/>
  </r>
  <r>
    <s v="CUST_2179"/>
    <x v="11"/>
    <x v="0"/>
    <s v="Wednesday"/>
    <s v="No"/>
    <x v="4"/>
    <x v="4"/>
    <s v="Berlin"/>
    <x v="1"/>
    <s v="Crossland"/>
    <s v="Petrol"/>
    <x v="0"/>
    <s v="50+"/>
    <s v="High"/>
    <x v="0"/>
    <x v="3"/>
    <s v="Sales_3"/>
    <n v="337"/>
    <n v="151"/>
    <n v="98"/>
    <n v="28"/>
    <s v="18.54"/>
    <n v="26666"/>
    <s v="7.24"/>
    <n v="24414"/>
    <n v="746648"/>
    <n v="63056"/>
    <s v="Feb"/>
    <n v="2"/>
    <n v="2026"/>
    <s v="Weekday"/>
    <n v="0.2857142857142857"/>
    <n v="0.44807121661721067"/>
    <n v="8.3086053412462904E-2"/>
    <n v="2252"/>
    <s v="Autohaus Berlin"/>
  </r>
  <r>
    <s v="CUST_2180"/>
    <x v="18"/>
    <x v="0"/>
    <s v="Saturday"/>
    <s v="Yes"/>
    <x v="3"/>
    <x v="3"/>
    <s v="Saxony"/>
    <x v="0"/>
    <s v="X3"/>
    <s v="Diesel"/>
    <x v="0"/>
    <s v="26-35"/>
    <s v="Medium"/>
    <x v="0"/>
    <x v="3"/>
    <s v="Sales_14"/>
    <n v="212"/>
    <n v="109"/>
    <n v="82"/>
    <n v="28"/>
    <s v="25.69"/>
    <n v="62475"/>
    <s v="2.05"/>
    <n v="48192"/>
    <n v="1749300"/>
    <n v="399924"/>
    <s v="Feb"/>
    <n v="2"/>
    <n v="2026"/>
    <s v="Weekend"/>
    <n v="0.34146341463414637"/>
    <n v="0.51415094339622647"/>
    <n v="0.13207547169811321"/>
    <n v="14283"/>
    <s v="Saxon Wheels"/>
  </r>
  <r>
    <s v="CUST_2181"/>
    <x v="5"/>
    <x v="3"/>
    <s v="Saturday"/>
    <s v="Yes"/>
    <x v="4"/>
    <x v="4"/>
    <s v="Berlin"/>
    <x v="3"/>
    <s v="EQE"/>
    <s v="Hybrid"/>
    <x v="1"/>
    <s v="18-25"/>
    <s v="Low"/>
    <x v="1"/>
    <x v="3"/>
    <s v="Sales_10"/>
    <n v="269"/>
    <n v="137"/>
    <n v="102"/>
    <n v="31"/>
    <s v="22.63"/>
    <n v="51778"/>
    <s v="4.58"/>
    <n v="40792"/>
    <n v="1605118"/>
    <n v="340566"/>
    <s v="Feb"/>
    <n v="2"/>
    <n v="2026"/>
    <s v="Weekend"/>
    <n v="0.30392156862745096"/>
    <n v="0.50929368029739774"/>
    <n v="0.11524163568773234"/>
    <n v="10986"/>
    <s v="Autohaus Berlin"/>
  </r>
  <r>
    <s v="CUST_2182"/>
    <x v="20"/>
    <x v="0"/>
    <s v="Thursday"/>
    <s v="No"/>
    <x v="8"/>
    <x v="8"/>
    <s v="Baden-WÃ¼rttemberg"/>
    <x v="3"/>
    <s v="GLE"/>
    <s v="Hybrid"/>
    <x v="0"/>
    <s v="50+"/>
    <s v="High"/>
    <x v="1"/>
    <x v="3"/>
    <s v="Sales_8"/>
    <n v="286"/>
    <n v="152"/>
    <n v="121"/>
    <n v="40"/>
    <s v="26.32"/>
    <n v="59480"/>
    <s v="4.92"/>
    <n v="43456"/>
    <n v="2379200"/>
    <n v="640960"/>
    <s v="Feb"/>
    <n v="2"/>
    <n v="2026"/>
    <s v="Weekday"/>
    <n v="0.33057851239669422"/>
    <n v="0.53146853146853146"/>
    <n v="0.13986013986013987"/>
    <n v="16024"/>
    <s v="Stuttgart Auto Center"/>
  </r>
  <r>
    <s v="CUST_2183"/>
    <x v="17"/>
    <x v="2"/>
    <s v="Sunday"/>
    <s v="Yes"/>
    <x v="4"/>
    <x v="4"/>
    <s v="Berlin"/>
    <x v="3"/>
    <s v="GLE"/>
    <s v="Diesel"/>
    <x v="0"/>
    <s v="26-35"/>
    <s v="High"/>
    <x v="1"/>
    <x v="3"/>
    <s v="Sales_6"/>
    <n v="194"/>
    <n v="115"/>
    <n v="83"/>
    <n v="28"/>
    <s v="24.35"/>
    <n v="59792"/>
    <s v="3.74"/>
    <n v="46479"/>
    <n v="1674176"/>
    <n v="372764"/>
    <s v="Feb"/>
    <n v="2"/>
    <n v="2026"/>
    <s v="Weekend"/>
    <n v="0.33734939759036142"/>
    <n v="0.59278350515463918"/>
    <n v="0.14432989690721648"/>
    <n v="13313"/>
    <s v="Autohaus Berlin"/>
  </r>
  <r>
    <s v="CUST_2184"/>
    <x v="12"/>
    <x v="3"/>
    <s v="Thursday"/>
    <s v="No"/>
    <x v="4"/>
    <x v="4"/>
    <s v="Berlin"/>
    <x v="3"/>
    <s v="GLC"/>
    <s v="Diesel"/>
    <x v="0"/>
    <s v="18-25"/>
    <s v="High"/>
    <x v="1"/>
    <x v="1"/>
    <s v="Sales_9"/>
    <n v="265"/>
    <n v="144"/>
    <n v="103"/>
    <n v="42"/>
    <s v="29.17"/>
    <n v="55431"/>
    <s v="3.04"/>
    <n v="41995"/>
    <n v="2328102"/>
    <n v="564312"/>
    <s v="Feb"/>
    <n v="2"/>
    <n v="2026"/>
    <s v="Weekday"/>
    <n v="0.40776699029126212"/>
    <n v="0.54339622641509433"/>
    <n v="0.15849056603773584"/>
    <n v="13436"/>
    <s v="Autohaus Berlin"/>
  </r>
  <r>
    <s v="CUST_2185"/>
    <x v="6"/>
    <x v="2"/>
    <s v="Saturday"/>
    <s v="Yes"/>
    <x v="5"/>
    <x v="5"/>
    <s v="Hamburg"/>
    <x v="4"/>
    <s v="Golf"/>
    <s v="Diesel"/>
    <x v="2"/>
    <s v="18-25"/>
    <s v="Medium"/>
    <x v="1"/>
    <x v="0"/>
    <s v="Sales_2"/>
    <n v="386"/>
    <n v="210"/>
    <n v="132"/>
    <n v="29"/>
    <s v="13.81"/>
    <n v="32929"/>
    <s v="8.56"/>
    <n v="29831"/>
    <n v="954941"/>
    <n v="89842"/>
    <s v="Feb"/>
    <n v="2"/>
    <n v="2026"/>
    <s v="Weekend"/>
    <n v="0.2196969696969697"/>
    <n v="0.54404145077720212"/>
    <n v="7.512953367875648E-2"/>
    <n v="3098"/>
    <s v="Elbe Drive"/>
  </r>
  <r>
    <s v="CUST_2186"/>
    <x v="18"/>
    <x v="0"/>
    <s v="Saturday"/>
    <s v="Yes"/>
    <x v="9"/>
    <x v="9"/>
    <s v="NRW"/>
    <x v="0"/>
    <s v="i4"/>
    <s v="Electric"/>
    <x v="1"/>
    <s v="18-25"/>
    <s v="Medium"/>
    <x v="1"/>
    <x v="1"/>
    <s v="Sales_9"/>
    <n v="250"/>
    <n v="143"/>
    <n v="107"/>
    <n v="35"/>
    <s v="24.48"/>
    <n v="62461"/>
    <s v="4.52"/>
    <n v="48266"/>
    <n v="2186135"/>
    <n v="496825"/>
    <s v="Feb"/>
    <n v="2"/>
    <n v="2026"/>
    <s v="Weekend"/>
    <n v="0.32710280373831774"/>
    <n v="0.57199999999999995"/>
    <n v="0.14000000000000001"/>
    <n v="14195"/>
    <s v="Ruhr Auto Plaza"/>
  </r>
  <r>
    <s v="CUST_2187"/>
    <x v="19"/>
    <x v="1"/>
    <s v="Saturday"/>
    <s v="Yes"/>
    <x v="7"/>
    <x v="7"/>
    <s v="Bavaria"/>
    <x v="3"/>
    <s v="EQE"/>
    <s v="Petrol"/>
    <x v="1"/>
    <s v="50+"/>
    <s v="High"/>
    <x v="1"/>
    <x v="0"/>
    <s v="Sales_8"/>
    <n v="212"/>
    <n v="125"/>
    <n v="90"/>
    <n v="32"/>
    <s v="25.6"/>
    <n v="54129"/>
    <s v="4.79"/>
    <n v="42199"/>
    <n v="1732128"/>
    <n v="381760"/>
    <s v="Feb"/>
    <n v="2"/>
    <n v="2026"/>
    <s v="Weekend"/>
    <n v="0.35555555555555557"/>
    <n v="0.589622641509434"/>
    <n v="0.15094339622641509"/>
    <n v="11930"/>
    <s v="Bavaria Motors"/>
  </r>
  <r>
    <s v="CUST_2188"/>
    <x v="15"/>
    <x v="2"/>
    <s v="Thursday"/>
    <s v="No"/>
    <x v="6"/>
    <x v="6"/>
    <s v="Saxony"/>
    <x v="0"/>
    <s v="X5"/>
    <s v="Electric"/>
    <x v="0"/>
    <s v="18-25"/>
    <s v="Medium"/>
    <x v="0"/>
    <x v="1"/>
    <s v="Sales_13"/>
    <n v="271"/>
    <n v="125"/>
    <n v="100"/>
    <n v="36"/>
    <s v="28.8"/>
    <n v="55077"/>
    <s v="4.61"/>
    <n v="41808"/>
    <n v="1982772"/>
    <n v="477684"/>
    <s v="Feb"/>
    <n v="2"/>
    <n v="2026"/>
    <s v="Weekday"/>
    <n v="0.36"/>
    <n v="0.46125461254612549"/>
    <n v="0.13284132841328414"/>
    <n v="13269"/>
    <s v="Leipzig Mobility"/>
  </r>
  <r>
    <s v="CUST_2189"/>
    <x v="5"/>
    <x v="3"/>
    <s v="Saturday"/>
    <s v="Yes"/>
    <x v="7"/>
    <x v="7"/>
    <s v="Bavaria"/>
    <x v="1"/>
    <s v="Mokka"/>
    <s v="Petrol"/>
    <x v="0"/>
    <s v="26-35"/>
    <s v="Low"/>
    <x v="0"/>
    <x v="0"/>
    <s v="Sales_17"/>
    <n v="403"/>
    <n v="182"/>
    <n v="106"/>
    <n v="31"/>
    <s v="17.03"/>
    <n v="25850"/>
    <s v="12.94"/>
    <n v="24038"/>
    <n v="801350"/>
    <n v="56172"/>
    <s v="Feb"/>
    <n v="2"/>
    <n v="2026"/>
    <s v="Weekend"/>
    <n v="0.29245283018867924"/>
    <n v="0.45161290322580644"/>
    <n v="7.6923076923076927E-2"/>
    <n v="1812"/>
    <s v="Bavaria Motors"/>
  </r>
  <r>
    <s v="CUST_2190"/>
    <x v="9"/>
    <x v="0"/>
    <s v="Sunday"/>
    <s v="Yes"/>
    <x v="2"/>
    <x v="2"/>
    <s v="Lower Saxony"/>
    <x v="3"/>
    <s v="EQE"/>
    <s v="Petrol"/>
    <x v="1"/>
    <s v="36-50"/>
    <s v="Low"/>
    <x v="0"/>
    <x v="3"/>
    <s v="Sales_11"/>
    <n v="158"/>
    <n v="93"/>
    <n v="64"/>
    <n v="20"/>
    <s v="21.51"/>
    <n v="66254"/>
    <s v="2.38"/>
    <n v="52032"/>
    <n v="1325080"/>
    <n v="284440"/>
    <s v="Feb"/>
    <n v="2"/>
    <n v="2026"/>
    <s v="Weekend"/>
    <n v="0.3125"/>
    <n v="0.58860759493670889"/>
    <n v="0.12658227848101267"/>
    <n v="14222"/>
    <s v="Hannover Cars"/>
  </r>
  <r>
    <s v="CUST_2191"/>
    <x v="19"/>
    <x v="1"/>
    <s v="Saturday"/>
    <s v="Yes"/>
    <x v="8"/>
    <x v="8"/>
    <s v="Baden-WÃ¼rttemberg"/>
    <x v="3"/>
    <s v="GLE"/>
    <s v="Electric"/>
    <x v="0"/>
    <s v="26-35"/>
    <s v="High"/>
    <x v="0"/>
    <x v="1"/>
    <s v="Sales_18"/>
    <n v="271"/>
    <n v="145"/>
    <n v="99"/>
    <n v="38"/>
    <s v="26.21"/>
    <n v="65987"/>
    <s v="2.54"/>
    <n v="48451"/>
    <n v="2507506"/>
    <n v="666368"/>
    <s v="Feb"/>
    <n v="2"/>
    <n v="2026"/>
    <s v="Weekend"/>
    <n v="0.38383838383838381"/>
    <n v="0.5350553505535055"/>
    <n v="0.14022140221402213"/>
    <n v="17536"/>
    <s v="Stuttgart Auto Center"/>
  </r>
  <r>
    <s v="CUST_2192"/>
    <x v="21"/>
    <x v="0"/>
    <s v="Tuesday"/>
    <s v="No"/>
    <x v="2"/>
    <x v="2"/>
    <s v="Lower Saxony"/>
    <x v="1"/>
    <s v="Mokka"/>
    <s v="Petrol"/>
    <x v="0"/>
    <s v="18-25"/>
    <s v="Medium"/>
    <x v="1"/>
    <x v="0"/>
    <s v="Sales_2"/>
    <n v="411"/>
    <n v="186"/>
    <n v="130"/>
    <n v="25"/>
    <s v="13.44"/>
    <n v="22664"/>
    <s v="13.05"/>
    <n v="20745"/>
    <n v="566600"/>
    <n v="47975"/>
    <s v="Feb"/>
    <n v="2"/>
    <n v="2026"/>
    <s v="Weekday"/>
    <n v="0.19230769230769232"/>
    <n v="0.45255474452554745"/>
    <n v="6.0827250608272508E-2"/>
    <n v="1919"/>
    <s v="Hannover Cars"/>
  </r>
  <r>
    <s v="CUST_2193"/>
    <x v="14"/>
    <x v="2"/>
    <s v="Friday"/>
    <s v="No"/>
    <x v="5"/>
    <x v="5"/>
    <s v="Hamburg"/>
    <x v="1"/>
    <s v="Astra"/>
    <s v="Hybrid"/>
    <x v="2"/>
    <s v="50+"/>
    <s v="High"/>
    <x v="1"/>
    <x v="2"/>
    <s v="Sales_6"/>
    <n v="420"/>
    <n v="160"/>
    <n v="96"/>
    <n v="35"/>
    <s v="21.88"/>
    <n v="25811"/>
    <s v="13.58"/>
    <n v="23172"/>
    <n v="903385"/>
    <n v="92365"/>
    <s v="Feb"/>
    <n v="2"/>
    <n v="2026"/>
    <s v="Weekday"/>
    <n v="0.36458333333333331"/>
    <n v="0.38095238095238093"/>
    <n v="8.3333333333333329E-2"/>
    <n v="2639"/>
    <s v="Elbe Drive"/>
  </r>
  <r>
    <s v="CUST_2194"/>
    <x v="23"/>
    <x v="2"/>
    <s v="Tuesday"/>
    <s v="No"/>
    <x v="7"/>
    <x v="7"/>
    <s v="Bavaria"/>
    <x v="0"/>
    <s v="X5"/>
    <s v="Diesel"/>
    <x v="0"/>
    <s v="26-35"/>
    <s v="Medium"/>
    <x v="0"/>
    <x v="0"/>
    <s v="Sales_2"/>
    <n v="268"/>
    <n v="132"/>
    <n v="94"/>
    <n v="36"/>
    <s v="27.27"/>
    <n v="61104"/>
    <s v="5.49"/>
    <n v="45368"/>
    <n v="2199744"/>
    <n v="566496"/>
    <s v="Feb"/>
    <n v="2"/>
    <n v="2026"/>
    <s v="Weekday"/>
    <n v="0.38297872340425532"/>
    <n v="0.4925373134328358"/>
    <n v="0.13432835820895522"/>
    <n v="15736"/>
    <s v="Bavaria Motors"/>
  </r>
  <r>
    <s v="CUST_2195"/>
    <x v="4"/>
    <x v="2"/>
    <s v="Wednesday"/>
    <s v="No"/>
    <x v="3"/>
    <x v="3"/>
    <s v="Saxony"/>
    <x v="1"/>
    <s v="Crossland"/>
    <s v="Hybrid"/>
    <x v="0"/>
    <s v="50+"/>
    <s v="Low"/>
    <x v="1"/>
    <x v="1"/>
    <s v="Sales_18"/>
    <n v="243"/>
    <n v="126"/>
    <n v="80"/>
    <n v="22"/>
    <s v="17.46"/>
    <n v="23115"/>
    <s v="8.46"/>
    <n v="21245"/>
    <n v="508530"/>
    <n v="41140"/>
    <s v="Feb"/>
    <n v="2"/>
    <n v="2026"/>
    <s v="Weekday"/>
    <n v="0.27500000000000002"/>
    <n v="0.51851851851851849"/>
    <n v="9.0534979423868317E-2"/>
    <n v="1870"/>
    <s v="Saxon Wheels"/>
  </r>
  <r>
    <s v="CUST_2196"/>
    <x v="14"/>
    <x v="2"/>
    <s v="Friday"/>
    <s v="No"/>
    <x v="5"/>
    <x v="5"/>
    <s v="Hamburg"/>
    <x v="3"/>
    <s v="EQE"/>
    <s v="Petrol"/>
    <x v="1"/>
    <s v="18-25"/>
    <s v="Medium"/>
    <x v="1"/>
    <x v="3"/>
    <s v="Sales_13"/>
    <n v="242"/>
    <n v="115"/>
    <n v="88"/>
    <n v="26"/>
    <s v="22.61"/>
    <n v="55188"/>
    <s v="3.47"/>
    <n v="40624"/>
    <n v="1434888"/>
    <n v="378664"/>
    <s v="Feb"/>
    <n v="2"/>
    <n v="2026"/>
    <s v="Weekday"/>
    <n v="0.29545454545454547"/>
    <n v="0.47520661157024796"/>
    <n v="0.10743801652892562"/>
    <n v="14564"/>
    <s v="Elbe Drive"/>
  </r>
  <r>
    <s v="CUST_2197"/>
    <x v="7"/>
    <x v="3"/>
    <s v="Monday"/>
    <s v="No"/>
    <x v="1"/>
    <x v="1"/>
    <s v="NRW"/>
    <x v="0"/>
    <s v="5 Series"/>
    <s v="Diesel"/>
    <x v="1"/>
    <s v="36-50"/>
    <s v="Low"/>
    <x v="1"/>
    <x v="0"/>
    <s v="Sales_11"/>
    <n v="206"/>
    <n v="100"/>
    <n v="73"/>
    <n v="27"/>
    <s v="27.0"/>
    <n v="55541"/>
    <s v="2.6"/>
    <n v="43115"/>
    <n v="1499607"/>
    <n v="335502"/>
    <s v="Feb"/>
    <n v="2"/>
    <n v="2026"/>
    <s v="Weekday"/>
    <n v="0.36986301369863012"/>
    <n v="0.4854368932038835"/>
    <n v="0.13106796116504854"/>
    <n v="12426"/>
    <s v="Rhein Auto Group"/>
  </r>
  <r>
    <s v="CUST_2198"/>
    <x v="21"/>
    <x v="0"/>
    <s v="Tuesday"/>
    <s v="No"/>
    <x v="1"/>
    <x v="1"/>
    <s v="NRW"/>
    <x v="4"/>
    <s v="Passat"/>
    <s v="Hybrid"/>
    <x v="1"/>
    <s v="18-25"/>
    <s v="Medium"/>
    <x v="0"/>
    <x v="1"/>
    <s v="Sales_19"/>
    <n v="481"/>
    <n v="203"/>
    <n v="142"/>
    <n v="33"/>
    <s v="16.26"/>
    <n v="26747"/>
    <s v="10.83"/>
    <n v="23536"/>
    <n v="882651"/>
    <n v="105963"/>
    <s v="Feb"/>
    <n v="2"/>
    <n v="2026"/>
    <s v="Weekday"/>
    <n v="0.23239436619718309"/>
    <n v="0.42203742203742206"/>
    <n v="6.8607068607068611E-2"/>
    <n v="3211"/>
    <s v="Rhein Auto Group"/>
  </r>
  <r>
    <s v="CUST_2199"/>
    <x v="11"/>
    <x v="0"/>
    <s v="Wednesday"/>
    <s v="No"/>
    <x v="8"/>
    <x v="8"/>
    <s v="Baden-WÃ¼rttemberg"/>
    <x v="0"/>
    <s v="3 Series"/>
    <s v="Electric"/>
    <x v="1"/>
    <s v="36-50"/>
    <s v="Medium"/>
    <x v="0"/>
    <x v="1"/>
    <s v="Sales_3"/>
    <n v="205"/>
    <n v="115"/>
    <n v="88"/>
    <n v="32"/>
    <s v="27.83"/>
    <n v="52802"/>
    <s v="4.74"/>
    <n v="37292"/>
    <n v="1689664"/>
    <n v="496320"/>
    <s v="Feb"/>
    <n v="2"/>
    <n v="2026"/>
    <s v="Weekday"/>
    <n v="0.36363636363636365"/>
    <n v="0.56097560975609762"/>
    <n v="0.15609756097560976"/>
    <n v="15510"/>
    <s v="Stuttgart Auto Center"/>
  </r>
  <r>
    <s v="CUST_2200"/>
    <x v="13"/>
    <x v="0"/>
    <s v="Friday"/>
    <s v="No"/>
    <x v="5"/>
    <x v="5"/>
    <s v="Hamburg"/>
    <x v="3"/>
    <s v="GLC"/>
    <s v="Petrol"/>
    <x v="0"/>
    <s v="36-50"/>
    <s v="Medium"/>
    <x v="0"/>
    <x v="3"/>
    <s v="Sales_15"/>
    <n v="236"/>
    <n v="116"/>
    <n v="78"/>
    <n v="32"/>
    <s v="27.59"/>
    <n v="56078"/>
    <s v="4.96"/>
    <n v="40776"/>
    <n v="1794496"/>
    <n v="489664"/>
    <s v="Feb"/>
    <n v="2"/>
    <n v="2026"/>
    <s v="Weekday"/>
    <n v="0.41025641025641024"/>
    <n v="0.49152542372881358"/>
    <n v="0.13559322033898305"/>
    <n v="15302"/>
    <s v="Elbe Drive"/>
  </r>
  <r>
    <s v="CUST_2201"/>
    <x v="10"/>
    <x v="1"/>
    <s v="Monday"/>
    <s v="No"/>
    <x v="7"/>
    <x v="7"/>
    <s v="Bavaria"/>
    <x v="4"/>
    <s v="T-Roc"/>
    <s v="Petrol"/>
    <x v="0"/>
    <s v="18-25"/>
    <s v="Medium"/>
    <x v="1"/>
    <x v="0"/>
    <s v="Sales_10"/>
    <n v="500"/>
    <n v="219"/>
    <n v="133"/>
    <n v="39"/>
    <s v="17.81"/>
    <n v="34086"/>
    <s v="8.79"/>
    <n v="29918"/>
    <n v="1329354"/>
    <n v="162552"/>
    <s v="Feb"/>
    <n v="2"/>
    <n v="2026"/>
    <s v="Weekday"/>
    <n v="0.2932330827067669"/>
    <n v="0.438"/>
    <n v="7.8E-2"/>
    <n v="4168"/>
    <s v="Bavaria Motors"/>
  </r>
  <r>
    <s v="CUST_2202"/>
    <x v="8"/>
    <x v="3"/>
    <s v="Wednesday"/>
    <s v="No"/>
    <x v="8"/>
    <x v="8"/>
    <s v="Baden-WÃ¼rttemberg"/>
    <x v="2"/>
    <s v="Q5"/>
    <s v="Petrol"/>
    <x v="0"/>
    <s v="50+"/>
    <s v="Low"/>
    <x v="1"/>
    <x v="3"/>
    <s v="Sales_20"/>
    <n v="164"/>
    <n v="84"/>
    <n v="55"/>
    <n v="17"/>
    <s v="20.24"/>
    <n v="48240"/>
    <s v="4.7"/>
    <n v="39435"/>
    <n v="820080"/>
    <n v="149685"/>
    <s v="Feb"/>
    <n v="2"/>
    <n v="2026"/>
    <s v="Weekday"/>
    <n v="0.30909090909090908"/>
    <n v="0.51219512195121952"/>
    <n v="0.10365853658536585"/>
    <n v="8805"/>
    <s v="Stuttgart Auto Center"/>
  </r>
  <r>
    <s v="CUST_2203"/>
    <x v="1"/>
    <x v="1"/>
    <s v="Wednesday"/>
    <s v="No"/>
    <x v="4"/>
    <x v="4"/>
    <s v="Berlin"/>
    <x v="1"/>
    <s v="Grandland"/>
    <s v="Electric"/>
    <x v="0"/>
    <s v="18-25"/>
    <s v="Medium"/>
    <x v="1"/>
    <x v="2"/>
    <s v="Sales_10"/>
    <n v="428"/>
    <n v="235"/>
    <n v="146"/>
    <n v="52"/>
    <s v="22.13"/>
    <n v="22916"/>
    <s v="13.89"/>
    <n v="21007"/>
    <n v="1191632"/>
    <n v="99268"/>
    <s v="Feb"/>
    <n v="2"/>
    <n v="2026"/>
    <s v="Weekday"/>
    <n v="0.35616438356164382"/>
    <n v="0.5490654205607477"/>
    <n v="0.12149532710280374"/>
    <n v="1909"/>
    <s v="Autohaus Berlin"/>
  </r>
  <r>
    <s v="CUST_2204"/>
    <x v="5"/>
    <x v="3"/>
    <s v="Saturday"/>
    <s v="Yes"/>
    <x v="4"/>
    <x v="4"/>
    <s v="Berlin"/>
    <x v="3"/>
    <s v="E-Class"/>
    <s v="Petrol"/>
    <x v="1"/>
    <s v="50+"/>
    <s v="Low"/>
    <x v="0"/>
    <x v="2"/>
    <s v="Sales_13"/>
    <n v="228"/>
    <n v="105"/>
    <n v="73"/>
    <n v="30"/>
    <s v="28.57"/>
    <n v="63258"/>
    <s v="5.44"/>
    <n v="48604"/>
    <n v="1897740"/>
    <n v="439620"/>
    <s v="Feb"/>
    <n v="2"/>
    <n v="2026"/>
    <s v="Weekend"/>
    <n v="0.41095890410958902"/>
    <n v="0.46052631578947367"/>
    <n v="0.13157894736842105"/>
    <n v="14654"/>
    <s v="Autohaus Berlin"/>
  </r>
  <r>
    <s v="CUST_2205"/>
    <x v="21"/>
    <x v="0"/>
    <s v="Tuesday"/>
    <s v="No"/>
    <x v="3"/>
    <x v="3"/>
    <s v="Saxony"/>
    <x v="2"/>
    <s v="Q5"/>
    <s v="Electric"/>
    <x v="0"/>
    <s v="18-25"/>
    <s v="Low"/>
    <x v="0"/>
    <x v="0"/>
    <s v="Sales_16"/>
    <n v="268"/>
    <n v="158"/>
    <n v="109"/>
    <n v="35"/>
    <s v="22.15"/>
    <n v="50039"/>
    <s v="4.32"/>
    <n v="40620"/>
    <n v="1751365"/>
    <n v="329665"/>
    <s v="Feb"/>
    <n v="2"/>
    <n v="2026"/>
    <s v="Weekday"/>
    <n v="0.32110091743119268"/>
    <n v="0.58955223880597019"/>
    <n v="0.13059701492537312"/>
    <n v="9419"/>
    <s v="Saxon Wheels"/>
  </r>
  <r>
    <s v="CUST_2206"/>
    <x v="5"/>
    <x v="3"/>
    <s v="Saturday"/>
    <s v="Yes"/>
    <x v="2"/>
    <x v="2"/>
    <s v="Lower Saxony"/>
    <x v="3"/>
    <s v="E-Class"/>
    <s v="Petrol"/>
    <x v="1"/>
    <s v="26-35"/>
    <s v="High"/>
    <x v="0"/>
    <x v="2"/>
    <s v="Sales_15"/>
    <n v="257"/>
    <n v="126"/>
    <n v="92"/>
    <n v="37"/>
    <s v="29.37"/>
    <n v="66851"/>
    <s v="3.67"/>
    <n v="50449"/>
    <n v="2473487"/>
    <n v="606874"/>
    <s v="Feb"/>
    <n v="2"/>
    <n v="2026"/>
    <s v="Weekend"/>
    <n v="0.40217391304347827"/>
    <n v="0.49027237354085601"/>
    <n v="0.14396887159533073"/>
    <n v="16402"/>
    <s v="Hannover Cars"/>
  </r>
  <r>
    <s v="CUST_2207"/>
    <x v="20"/>
    <x v="0"/>
    <s v="Thursday"/>
    <s v="No"/>
    <x v="5"/>
    <x v="5"/>
    <s v="Hamburg"/>
    <x v="0"/>
    <s v="X3"/>
    <s v="Petrol"/>
    <x v="0"/>
    <s v="26-35"/>
    <s v="High"/>
    <x v="1"/>
    <x v="1"/>
    <s v="Sales_9"/>
    <n v="191"/>
    <n v="112"/>
    <n v="91"/>
    <n v="33"/>
    <s v="29.46"/>
    <n v="66236"/>
    <s v="3.11"/>
    <n v="47749"/>
    <n v="2185788"/>
    <n v="610071"/>
    <s v="Feb"/>
    <n v="2"/>
    <n v="2026"/>
    <s v="Weekday"/>
    <n v="0.36263736263736263"/>
    <n v="0.58638743455497377"/>
    <n v="0.17277486910994763"/>
    <n v="18487"/>
    <s v="Elbe Drive"/>
  </r>
  <r>
    <s v="CUST_2208"/>
    <x v="24"/>
    <x v="1"/>
    <s v="Thursday"/>
    <s v="No"/>
    <x v="3"/>
    <x v="3"/>
    <s v="Saxony"/>
    <x v="1"/>
    <s v="Corsa"/>
    <s v="Diesel"/>
    <x v="2"/>
    <s v="26-35"/>
    <s v="High"/>
    <x v="1"/>
    <x v="0"/>
    <s v="Sales_1"/>
    <n v="412"/>
    <n v="205"/>
    <n v="116"/>
    <n v="22"/>
    <s v="10.73"/>
    <n v="22237"/>
    <s v="9.86"/>
    <n v="19834"/>
    <n v="489214"/>
    <n v="52866"/>
    <s v="Feb"/>
    <n v="2"/>
    <n v="2026"/>
    <s v="Weekday"/>
    <n v="0.18965517241379309"/>
    <n v="0.49757281553398058"/>
    <n v="5.3398058252427182E-2"/>
    <n v="2403"/>
    <s v="Saxon Wheels"/>
  </r>
  <r>
    <s v="CUST_2209"/>
    <x v="8"/>
    <x v="3"/>
    <s v="Wednesday"/>
    <s v="No"/>
    <x v="3"/>
    <x v="3"/>
    <s v="Saxony"/>
    <x v="0"/>
    <s v="3 Series"/>
    <s v="Diesel"/>
    <x v="1"/>
    <s v="18-25"/>
    <s v="Low"/>
    <x v="1"/>
    <x v="3"/>
    <s v="Sales_19"/>
    <n v="192"/>
    <n v="97"/>
    <n v="68"/>
    <n v="26"/>
    <s v="26.8"/>
    <n v="57474"/>
    <s v="4.55"/>
    <n v="43058"/>
    <n v="1494324"/>
    <n v="374816"/>
    <s v="Feb"/>
    <n v="2"/>
    <n v="2026"/>
    <s v="Weekday"/>
    <n v="0.38235294117647056"/>
    <n v="0.50520833333333337"/>
    <n v="0.13541666666666666"/>
    <n v="14416"/>
    <s v="Saxon Wheels"/>
  </r>
  <r>
    <s v="CUST_2210"/>
    <x v="6"/>
    <x v="2"/>
    <s v="Saturday"/>
    <s v="Yes"/>
    <x v="7"/>
    <x v="7"/>
    <s v="Bavaria"/>
    <x v="1"/>
    <s v="Crossland"/>
    <s v="Hybrid"/>
    <x v="0"/>
    <s v="26-35"/>
    <s v="Medium"/>
    <x v="1"/>
    <x v="0"/>
    <s v="Sales_1"/>
    <n v="242"/>
    <n v="94"/>
    <n v="65"/>
    <n v="16"/>
    <s v="17.02"/>
    <n v="21839"/>
    <s v="13.17"/>
    <n v="19810"/>
    <n v="349424"/>
    <n v="32464"/>
    <s v="Feb"/>
    <n v="2"/>
    <n v="2026"/>
    <s v="Weekend"/>
    <n v="0.24615384615384617"/>
    <n v="0.38842975206611569"/>
    <n v="6.6115702479338845E-2"/>
    <n v="2029"/>
    <s v="Bavaria Motors"/>
  </r>
  <r>
    <s v="CUST_2211"/>
    <x v="21"/>
    <x v="0"/>
    <s v="Tuesday"/>
    <s v="No"/>
    <x v="0"/>
    <x v="0"/>
    <s v="Hesse"/>
    <x v="4"/>
    <s v="Passat"/>
    <s v="Petrol"/>
    <x v="1"/>
    <s v="26-35"/>
    <s v="High"/>
    <x v="1"/>
    <x v="0"/>
    <s v="Sales_19"/>
    <n v="435"/>
    <n v="211"/>
    <n v="134"/>
    <n v="27"/>
    <s v="12.8"/>
    <n v="26034"/>
    <s v="9.21"/>
    <n v="23562"/>
    <n v="702918"/>
    <n v="66744"/>
    <s v="Feb"/>
    <n v="2"/>
    <n v="2026"/>
    <s v="Weekday"/>
    <n v="0.20149253731343283"/>
    <n v="0.48505747126436782"/>
    <n v="6.2068965517241378E-2"/>
    <n v="2472"/>
    <s v="Main Auto Hub"/>
  </r>
  <r>
    <s v="CUST_2212"/>
    <x v="21"/>
    <x v="0"/>
    <s v="Tuesday"/>
    <s v="No"/>
    <x v="1"/>
    <x v="1"/>
    <s v="NRW"/>
    <x v="4"/>
    <s v="T-Roc"/>
    <s v="Diesel"/>
    <x v="0"/>
    <s v="18-25"/>
    <s v="Low"/>
    <x v="1"/>
    <x v="1"/>
    <s v="Sales_1"/>
    <n v="513"/>
    <n v="252"/>
    <n v="159"/>
    <n v="45"/>
    <s v="17.86"/>
    <n v="34960"/>
    <s v="7.38"/>
    <n v="30182"/>
    <n v="1573200"/>
    <n v="215010"/>
    <s v="Feb"/>
    <n v="2"/>
    <n v="2026"/>
    <s v="Weekday"/>
    <n v="0.28301886792452829"/>
    <n v="0.49122807017543857"/>
    <n v="8.771929824561403E-2"/>
    <n v="4778"/>
    <s v="Rhein Auto Group"/>
  </r>
  <r>
    <s v="CUST_2213"/>
    <x v="18"/>
    <x v="0"/>
    <s v="Saturday"/>
    <s v="Yes"/>
    <x v="3"/>
    <x v="3"/>
    <s v="Saxony"/>
    <x v="3"/>
    <s v="C-Class"/>
    <s v="Diesel"/>
    <x v="1"/>
    <s v="18-25"/>
    <s v="Low"/>
    <x v="1"/>
    <x v="0"/>
    <s v="Sales_18"/>
    <n v="219"/>
    <n v="114"/>
    <n v="87"/>
    <n v="24"/>
    <s v="21.05"/>
    <n v="55760"/>
    <s v="5.72"/>
    <n v="39986"/>
    <n v="1338240"/>
    <n v="378576"/>
    <s v="Feb"/>
    <n v="2"/>
    <n v="2026"/>
    <s v="Weekend"/>
    <n v="0.27586206896551724"/>
    <n v="0.52054794520547942"/>
    <n v="0.1095890410958904"/>
    <n v="15774"/>
    <s v="Saxon Wheels"/>
  </r>
  <r>
    <s v="CUST_2214"/>
    <x v="17"/>
    <x v="2"/>
    <s v="Sunday"/>
    <s v="Yes"/>
    <x v="4"/>
    <x v="4"/>
    <s v="Berlin"/>
    <x v="1"/>
    <s v="Corsa"/>
    <s v="Diesel"/>
    <x v="2"/>
    <s v="36-50"/>
    <s v="Medium"/>
    <x v="0"/>
    <x v="3"/>
    <s v="Sales_18"/>
    <n v="246"/>
    <n v="134"/>
    <n v="88"/>
    <n v="24"/>
    <s v="17.91"/>
    <n v="23337"/>
    <s v="11.7"/>
    <n v="21158"/>
    <n v="560088"/>
    <n v="52296"/>
    <s v="Feb"/>
    <n v="2"/>
    <n v="2026"/>
    <s v="Weekend"/>
    <n v="0.27272727272727271"/>
    <n v="0.54471544715447151"/>
    <n v="9.7560975609756101E-2"/>
    <n v="2179"/>
    <s v="Autohaus Berlin"/>
  </r>
  <r>
    <s v="CUST_2215"/>
    <x v="1"/>
    <x v="1"/>
    <s v="Wednesday"/>
    <s v="No"/>
    <x v="4"/>
    <x v="4"/>
    <s v="Berlin"/>
    <x v="3"/>
    <s v="GLC"/>
    <s v="Electric"/>
    <x v="0"/>
    <s v="36-50"/>
    <s v="Low"/>
    <x v="1"/>
    <x v="1"/>
    <s v="Sales_18"/>
    <n v="243"/>
    <n v="119"/>
    <n v="85"/>
    <n v="34"/>
    <s v="28.57"/>
    <n v="64187"/>
    <s v="4.34"/>
    <n v="46583"/>
    <n v="2182358"/>
    <n v="598536"/>
    <s v="Feb"/>
    <n v="2"/>
    <n v="2026"/>
    <s v="Weekday"/>
    <n v="0.4"/>
    <n v="0.48971193415637859"/>
    <n v="0.13991769547325103"/>
    <n v="17604"/>
    <s v="Autohaus Berlin"/>
  </r>
  <r>
    <s v="CUST_2216"/>
    <x v="12"/>
    <x v="3"/>
    <s v="Thursday"/>
    <s v="No"/>
    <x v="3"/>
    <x v="3"/>
    <s v="Saxony"/>
    <x v="1"/>
    <s v="Astra"/>
    <s v="Electric"/>
    <x v="2"/>
    <s v="18-25"/>
    <s v="Medium"/>
    <x v="1"/>
    <x v="2"/>
    <s v="Sales_4"/>
    <n v="337"/>
    <n v="136"/>
    <n v="84"/>
    <n v="23"/>
    <s v="16.91"/>
    <n v="20881"/>
    <s v="9.63"/>
    <n v="19295"/>
    <n v="480263"/>
    <n v="36478"/>
    <s v="Feb"/>
    <n v="2"/>
    <n v="2026"/>
    <s v="Weekday"/>
    <n v="0.27380952380952384"/>
    <n v="0.40356083086053413"/>
    <n v="6.8249258160237386E-2"/>
    <n v="1586"/>
    <s v="Saxon Wheels"/>
  </r>
  <r>
    <s v="CUST_2217"/>
    <x v="27"/>
    <x v="3"/>
    <s v="Sunday"/>
    <s v="Yes"/>
    <x v="1"/>
    <x v="1"/>
    <s v="NRW"/>
    <x v="1"/>
    <s v="Corsa"/>
    <s v="Diesel"/>
    <x v="2"/>
    <s v="26-35"/>
    <s v="Medium"/>
    <x v="0"/>
    <x v="3"/>
    <s v="Sales_20"/>
    <n v="430"/>
    <n v="169"/>
    <n v="114"/>
    <n v="23"/>
    <s v="13.61"/>
    <n v="25209"/>
    <s v="10.34"/>
    <n v="22687"/>
    <n v="579807"/>
    <n v="58006"/>
    <s v="Feb"/>
    <n v="2"/>
    <n v="2026"/>
    <s v="Weekend"/>
    <n v="0.20175438596491227"/>
    <n v="0.39302325581395348"/>
    <n v="5.3488372093023255E-2"/>
    <n v="2522"/>
    <s v="Rhein Auto Group"/>
  </r>
  <r>
    <s v="CUST_2218"/>
    <x v="4"/>
    <x v="2"/>
    <s v="Wednesday"/>
    <s v="No"/>
    <x v="0"/>
    <x v="0"/>
    <s v="Hesse"/>
    <x v="1"/>
    <s v="Corsa"/>
    <s v="Electric"/>
    <x v="2"/>
    <s v="26-35"/>
    <s v="Low"/>
    <x v="1"/>
    <x v="1"/>
    <s v="Sales_10"/>
    <n v="241"/>
    <n v="128"/>
    <n v="85"/>
    <n v="21"/>
    <s v="16.41"/>
    <n v="20485"/>
    <s v="11.33"/>
    <n v="19046"/>
    <n v="430185"/>
    <n v="30219"/>
    <s v="Feb"/>
    <n v="2"/>
    <n v="2026"/>
    <s v="Weekday"/>
    <n v="0.24705882352941178"/>
    <n v="0.53112033195020747"/>
    <n v="8.7136929460580909E-2"/>
    <n v="1439"/>
    <s v="Main Auto Hub"/>
  </r>
  <r>
    <s v="CUST_2219"/>
    <x v="7"/>
    <x v="3"/>
    <s v="Monday"/>
    <s v="No"/>
    <x v="6"/>
    <x v="6"/>
    <s v="Saxony"/>
    <x v="3"/>
    <s v="EQE"/>
    <s v="Hybrid"/>
    <x v="1"/>
    <s v="18-25"/>
    <s v="Medium"/>
    <x v="1"/>
    <x v="3"/>
    <s v="Sales_12"/>
    <n v="182"/>
    <n v="88"/>
    <n v="65"/>
    <n v="19"/>
    <s v="21.59"/>
    <n v="54402"/>
    <s v="5.16"/>
    <n v="42374"/>
    <n v="1033638"/>
    <n v="228532"/>
    <s v="Feb"/>
    <n v="2"/>
    <n v="2026"/>
    <s v="Weekday"/>
    <n v="0.29230769230769232"/>
    <n v="0.48351648351648352"/>
    <n v="0.1043956043956044"/>
    <n v="12028"/>
    <s v="Leipzig Mobility"/>
  </r>
  <r>
    <s v="CUST_2220"/>
    <x v="0"/>
    <x v="0"/>
    <s v="Monday"/>
    <s v="No"/>
    <x v="5"/>
    <x v="5"/>
    <s v="Hamburg"/>
    <x v="0"/>
    <s v="i4"/>
    <s v="Diesel"/>
    <x v="1"/>
    <s v="36-50"/>
    <s v="Medium"/>
    <x v="1"/>
    <x v="3"/>
    <s v="Sales_9"/>
    <n v="154"/>
    <n v="83"/>
    <n v="61"/>
    <n v="21"/>
    <s v="25.3"/>
    <n v="66158"/>
    <s v="5.72"/>
    <n v="47651"/>
    <n v="1389318"/>
    <n v="388647"/>
    <s v="Feb"/>
    <n v="2"/>
    <n v="2026"/>
    <s v="Weekday"/>
    <n v="0.34426229508196721"/>
    <n v="0.53896103896103897"/>
    <n v="0.13636363636363635"/>
    <n v="18507"/>
    <s v="Elbe Drive"/>
  </r>
  <r>
    <s v="CUST_2221"/>
    <x v="24"/>
    <x v="1"/>
    <s v="Thursday"/>
    <s v="No"/>
    <x v="7"/>
    <x v="7"/>
    <s v="Bavaria"/>
    <x v="2"/>
    <s v="e-tron"/>
    <s v="Diesel"/>
    <x v="0"/>
    <s v="36-50"/>
    <s v="High"/>
    <x v="1"/>
    <x v="0"/>
    <s v="Sales_8"/>
    <n v="222"/>
    <n v="132"/>
    <n v="102"/>
    <n v="29"/>
    <s v="21.97"/>
    <n v="44286"/>
    <s v="6.11"/>
    <n v="33922"/>
    <n v="1284294"/>
    <n v="300556"/>
    <s v="Feb"/>
    <n v="2"/>
    <n v="2026"/>
    <s v="Weekday"/>
    <n v="0.28431372549019607"/>
    <n v="0.59459459459459463"/>
    <n v="0.13063063063063063"/>
    <n v="10364"/>
    <s v="Bavaria Motors"/>
  </r>
  <r>
    <s v="CUST_2222"/>
    <x v="17"/>
    <x v="2"/>
    <s v="Sunday"/>
    <s v="Yes"/>
    <x v="1"/>
    <x v="1"/>
    <s v="NRW"/>
    <x v="1"/>
    <s v="Astra"/>
    <s v="Hybrid"/>
    <x v="2"/>
    <s v="18-25"/>
    <s v="Medium"/>
    <x v="1"/>
    <x v="1"/>
    <s v="Sales_14"/>
    <n v="356"/>
    <n v="145"/>
    <n v="86"/>
    <n v="22"/>
    <s v="15.17"/>
    <n v="24641"/>
    <s v="11.78"/>
    <n v="22729"/>
    <n v="542102"/>
    <n v="42064"/>
    <s v="Feb"/>
    <n v="2"/>
    <n v="2026"/>
    <s v="Weekend"/>
    <n v="0.2558139534883721"/>
    <n v="0.40730337078651685"/>
    <n v="6.1797752808988762E-2"/>
    <n v="1912"/>
    <s v="Rhein Auto Group"/>
  </r>
  <r>
    <s v="CUST_2223"/>
    <x v="26"/>
    <x v="1"/>
    <s v="Friday"/>
    <s v="No"/>
    <x v="6"/>
    <x v="6"/>
    <s v="Saxony"/>
    <x v="2"/>
    <s v="A3"/>
    <s v="Diesel"/>
    <x v="2"/>
    <s v="50+"/>
    <s v="High"/>
    <x v="1"/>
    <x v="2"/>
    <s v="Sales_18"/>
    <n v="228"/>
    <n v="137"/>
    <n v="95"/>
    <n v="33"/>
    <s v="24.09"/>
    <n v="46771"/>
    <s v="3.2"/>
    <n v="38284"/>
    <n v="1543443"/>
    <n v="280071"/>
    <s v="Feb"/>
    <n v="2"/>
    <n v="2026"/>
    <s v="Weekday"/>
    <n v="0.3473684210526316"/>
    <n v="0.60087719298245612"/>
    <n v="0.14473684210526316"/>
    <n v="8487"/>
    <s v="Leipzig Mobility"/>
  </r>
  <r>
    <s v="CUST_2224"/>
    <x v="20"/>
    <x v="0"/>
    <s v="Thursday"/>
    <s v="No"/>
    <x v="4"/>
    <x v="4"/>
    <s v="Berlin"/>
    <x v="1"/>
    <s v="Grandland"/>
    <s v="Electric"/>
    <x v="0"/>
    <s v="18-25"/>
    <s v="Low"/>
    <x v="1"/>
    <x v="0"/>
    <s v="Sales_12"/>
    <n v="351"/>
    <n v="149"/>
    <n v="92"/>
    <n v="25"/>
    <s v="16.78"/>
    <n v="25090"/>
    <s v="11.99"/>
    <n v="22915"/>
    <n v="627250"/>
    <n v="54375"/>
    <s v="Feb"/>
    <n v="2"/>
    <n v="2026"/>
    <s v="Weekday"/>
    <n v="0.27173913043478259"/>
    <n v="0.42450142450142453"/>
    <n v="7.1225071225071226E-2"/>
    <n v="2175"/>
    <s v="Autohaus Berlin"/>
  </r>
  <r>
    <s v="CUST_2225"/>
    <x v="11"/>
    <x v="0"/>
    <s v="Wednesday"/>
    <s v="No"/>
    <x v="3"/>
    <x v="3"/>
    <s v="Saxony"/>
    <x v="1"/>
    <s v="Corsa"/>
    <s v="Electric"/>
    <x v="2"/>
    <s v="36-50"/>
    <s v="High"/>
    <x v="1"/>
    <x v="1"/>
    <s v="Sales_12"/>
    <n v="335"/>
    <n v="137"/>
    <n v="79"/>
    <n v="21"/>
    <s v="15.33"/>
    <n v="19977"/>
    <s v="9.91"/>
    <n v="18221"/>
    <n v="419517"/>
    <n v="36876"/>
    <s v="Feb"/>
    <n v="2"/>
    <n v="2026"/>
    <s v="Weekday"/>
    <n v="0.26582278481012656"/>
    <n v="0.40895522388059702"/>
    <n v="6.2686567164179099E-2"/>
    <n v="1756"/>
    <s v="Saxon Wheels"/>
  </r>
  <r>
    <s v="CUST_2226"/>
    <x v="8"/>
    <x v="3"/>
    <s v="Wednesday"/>
    <s v="No"/>
    <x v="4"/>
    <x v="4"/>
    <s v="Berlin"/>
    <x v="4"/>
    <s v="ID.4"/>
    <s v="Petrol"/>
    <x v="0"/>
    <s v="36-50"/>
    <s v="Medium"/>
    <x v="0"/>
    <x v="2"/>
    <s v="Sales_18"/>
    <n v="421"/>
    <n v="207"/>
    <n v="144"/>
    <n v="47"/>
    <s v="22.71"/>
    <n v="28630"/>
    <s v="9.32"/>
    <n v="25753"/>
    <n v="1345610"/>
    <n v="135219"/>
    <s v="Feb"/>
    <n v="2"/>
    <n v="2026"/>
    <s v="Weekday"/>
    <n v="0.3263888888888889"/>
    <n v="0.49168646080760092"/>
    <n v="0.11163895486935867"/>
    <n v="2877"/>
    <s v="Autohaus Berlin"/>
  </r>
  <r>
    <s v="CUST_2227"/>
    <x v="24"/>
    <x v="1"/>
    <s v="Thursday"/>
    <s v="No"/>
    <x v="7"/>
    <x v="7"/>
    <s v="Bavaria"/>
    <x v="0"/>
    <s v="X3"/>
    <s v="Hybrid"/>
    <x v="0"/>
    <s v="50+"/>
    <s v="Medium"/>
    <x v="1"/>
    <x v="0"/>
    <s v="Sales_4"/>
    <n v="172"/>
    <n v="86"/>
    <n v="66"/>
    <n v="24"/>
    <s v="27.91"/>
    <n v="52435"/>
    <s v="5.68"/>
    <n v="39092"/>
    <n v="1258440"/>
    <n v="320232"/>
    <s v="Feb"/>
    <n v="2"/>
    <n v="2026"/>
    <s v="Weekday"/>
    <n v="0.36363636363636365"/>
    <n v="0.5"/>
    <n v="0.13953488372093023"/>
    <n v="13343"/>
    <s v="Bavaria Motors"/>
  </r>
  <r>
    <s v="CUST_2228"/>
    <x v="3"/>
    <x v="1"/>
    <s v="Sunday"/>
    <s v="Yes"/>
    <x v="9"/>
    <x v="9"/>
    <s v="NRW"/>
    <x v="1"/>
    <s v="Corsa"/>
    <s v="Diesel"/>
    <x v="2"/>
    <s v="50+"/>
    <s v="Low"/>
    <x v="0"/>
    <x v="3"/>
    <s v="Sales_4"/>
    <n v="297"/>
    <n v="161"/>
    <n v="100"/>
    <n v="24"/>
    <s v="14.91"/>
    <n v="22715"/>
    <s v="9.36"/>
    <n v="20326"/>
    <n v="545160"/>
    <n v="57336"/>
    <s v="Feb"/>
    <n v="2"/>
    <n v="2026"/>
    <s v="Weekend"/>
    <n v="0.24"/>
    <n v="0.54208754208754206"/>
    <n v="8.0808080808080815E-2"/>
    <n v="2389"/>
    <s v="Ruhr Auto Plaza"/>
  </r>
  <r>
    <s v="CUST_2229"/>
    <x v="15"/>
    <x v="2"/>
    <s v="Thursday"/>
    <s v="No"/>
    <x v="6"/>
    <x v="6"/>
    <s v="Saxony"/>
    <x v="0"/>
    <s v="5 Series"/>
    <s v="Petrol"/>
    <x v="1"/>
    <s v="18-25"/>
    <s v="Low"/>
    <x v="1"/>
    <x v="1"/>
    <s v="Sales_20"/>
    <n v="167"/>
    <n v="99"/>
    <n v="73"/>
    <n v="29"/>
    <s v="29.29"/>
    <n v="63455"/>
    <s v="4.03"/>
    <n v="46741"/>
    <n v="1840195"/>
    <n v="484706"/>
    <s v="Feb"/>
    <n v="2"/>
    <n v="2026"/>
    <s v="Weekday"/>
    <n v="0.39726027397260272"/>
    <n v="0.59281437125748504"/>
    <n v="0.17365269461077845"/>
    <n v="16714"/>
    <s v="Leipzig Mobility"/>
  </r>
  <r>
    <s v="CUST_2230"/>
    <x v="12"/>
    <x v="3"/>
    <s v="Thursday"/>
    <s v="No"/>
    <x v="9"/>
    <x v="9"/>
    <s v="NRW"/>
    <x v="0"/>
    <s v="i4"/>
    <s v="Petrol"/>
    <x v="1"/>
    <s v="18-25"/>
    <s v="High"/>
    <x v="0"/>
    <x v="2"/>
    <s v="Sales_15"/>
    <n v="258"/>
    <n v="121"/>
    <n v="97"/>
    <n v="34"/>
    <s v="28.1"/>
    <n v="51903"/>
    <s v="5.58"/>
    <n v="40384"/>
    <n v="1764702"/>
    <n v="391646"/>
    <s v="Feb"/>
    <n v="2"/>
    <n v="2026"/>
    <s v="Weekday"/>
    <n v="0.35051546391752575"/>
    <n v="0.4689922480620155"/>
    <n v="0.13178294573643412"/>
    <n v="11519"/>
    <s v="Ruhr Auto Plaza"/>
  </r>
  <r>
    <s v="CUST_2231"/>
    <x v="15"/>
    <x v="2"/>
    <s v="Thursday"/>
    <s v="No"/>
    <x v="2"/>
    <x v="2"/>
    <s v="Lower Saxony"/>
    <x v="0"/>
    <s v="i4"/>
    <s v="Diesel"/>
    <x v="1"/>
    <s v="18-25"/>
    <s v="Low"/>
    <x v="1"/>
    <x v="1"/>
    <s v="Sales_1"/>
    <n v="231"/>
    <n v="115"/>
    <n v="94"/>
    <n v="30"/>
    <s v="26.09"/>
    <n v="69943"/>
    <s v="2.29"/>
    <n v="49660"/>
    <n v="2098290"/>
    <n v="608490"/>
    <s v="Feb"/>
    <n v="2"/>
    <n v="2026"/>
    <s v="Weekday"/>
    <n v="0.31914893617021278"/>
    <n v="0.49783549783549785"/>
    <n v="0.12987012987012986"/>
    <n v="20283"/>
    <s v="Hannover Cars"/>
  </r>
  <r>
    <s v="CUST_2232"/>
    <x v="9"/>
    <x v="0"/>
    <s v="Sunday"/>
    <s v="Yes"/>
    <x v="6"/>
    <x v="6"/>
    <s v="Saxony"/>
    <x v="1"/>
    <s v="Corsa"/>
    <s v="Hybrid"/>
    <x v="2"/>
    <s v="18-25"/>
    <s v="Medium"/>
    <x v="0"/>
    <x v="0"/>
    <s v="Sales_19"/>
    <n v="411"/>
    <n v="201"/>
    <n v="118"/>
    <n v="26"/>
    <s v="12.94"/>
    <n v="20049"/>
    <s v="11.08"/>
    <n v="18545"/>
    <n v="521274"/>
    <n v="39104"/>
    <s v="Feb"/>
    <n v="2"/>
    <n v="2026"/>
    <s v="Weekend"/>
    <n v="0.22033898305084745"/>
    <n v="0.48905109489051096"/>
    <n v="6.3260340632603412E-2"/>
    <n v="1504"/>
    <s v="Leipzig Mobility"/>
  </r>
  <r>
    <s v="CUST_2233"/>
    <x v="10"/>
    <x v="1"/>
    <s v="Monday"/>
    <s v="No"/>
    <x v="5"/>
    <x v="5"/>
    <s v="Hamburg"/>
    <x v="4"/>
    <s v="Golf"/>
    <s v="Diesel"/>
    <x v="2"/>
    <s v="18-25"/>
    <s v="High"/>
    <x v="0"/>
    <x v="3"/>
    <s v="Sales_2"/>
    <n v="463"/>
    <n v="213"/>
    <n v="128"/>
    <n v="35"/>
    <s v="16.43"/>
    <n v="24957"/>
    <s v="11.32"/>
    <n v="22486"/>
    <n v="873495"/>
    <n v="86485"/>
    <s v="Feb"/>
    <n v="2"/>
    <n v="2026"/>
    <s v="Weekday"/>
    <n v="0.2734375"/>
    <n v="0.46004319654427644"/>
    <n v="7.5593952483801297E-2"/>
    <n v="2471"/>
    <s v="Elbe Drive"/>
  </r>
  <r>
    <s v="CUST_2234"/>
    <x v="2"/>
    <x v="2"/>
    <s v="Monday"/>
    <s v="No"/>
    <x v="8"/>
    <x v="8"/>
    <s v="Baden-WÃ¼rttemberg"/>
    <x v="1"/>
    <s v="Grandland"/>
    <s v="Diesel"/>
    <x v="0"/>
    <s v="18-25"/>
    <s v="Low"/>
    <x v="1"/>
    <x v="3"/>
    <s v="Sales_9"/>
    <n v="413"/>
    <n v="191"/>
    <n v="116"/>
    <n v="31"/>
    <s v="16.23"/>
    <n v="22409"/>
    <s v="13.14"/>
    <n v="20519"/>
    <n v="694679"/>
    <n v="58590"/>
    <s v="Feb"/>
    <n v="2"/>
    <n v="2026"/>
    <s v="Weekday"/>
    <n v="0.26724137931034481"/>
    <n v="0.46246973365617433"/>
    <n v="7.5060532687651338E-2"/>
    <n v="1890"/>
    <s v="Stuttgart Auto Center"/>
  </r>
  <r>
    <s v="CUST_2235"/>
    <x v="16"/>
    <x v="1"/>
    <s v="Tuesday"/>
    <s v="No"/>
    <x v="7"/>
    <x v="7"/>
    <s v="Bavaria"/>
    <x v="1"/>
    <s v="Grandland"/>
    <s v="Hybrid"/>
    <x v="0"/>
    <s v="36-50"/>
    <s v="Low"/>
    <x v="0"/>
    <x v="3"/>
    <s v="Sales_16"/>
    <n v="231"/>
    <n v="123"/>
    <n v="82"/>
    <n v="22"/>
    <s v="17.89"/>
    <n v="22162"/>
    <s v="10.98"/>
    <n v="20394"/>
    <n v="487564"/>
    <n v="38896"/>
    <s v="Feb"/>
    <n v="2"/>
    <n v="2026"/>
    <s v="Weekday"/>
    <n v="0.26829268292682928"/>
    <n v="0.53246753246753242"/>
    <n v="9.5238095238095233E-2"/>
    <n v="1768"/>
    <s v="Bavaria Motors"/>
  </r>
  <r>
    <s v="CUST_2236"/>
    <x v="11"/>
    <x v="0"/>
    <s v="Wednesday"/>
    <s v="No"/>
    <x v="3"/>
    <x v="3"/>
    <s v="Saxony"/>
    <x v="0"/>
    <s v="i4"/>
    <s v="Hybrid"/>
    <x v="1"/>
    <s v="36-50"/>
    <s v="Medium"/>
    <x v="1"/>
    <x v="0"/>
    <s v="Sales_1"/>
    <n v="152"/>
    <n v="83"/>
    <n v="59"/>
    <n v="20"/>
    <s v="24.1"/>
    <n v="54233"/>
    <s v="2.93"/>
    <n v="40598"/>
    <n v="1084660"/>
    <n v="272700"/>
    <s v="Feb"/>
    <n v="2"/>
    <n v="2026"/>
    <s v="Weekday"/>
    <n v="0.33898305084745761"/>
    <n v="0.54605263157894735"/>
    <n v="0.13157894736842105"/>
    <n v="13635"/>
    <s v="Saxon Wheels"/>
  </r>
  <r>
    <s v="CUST_2237"/>
    <x v="1"/>
    <x v="1"/>
    <s v="Wednesday"/>
    <s v="No"/>
    <x v="9"/>
    <x v="9"/>
    <s v="NRW"/>
    <x v="3"/>
    <s v="EQE"/>
    <s v="Petrol"/>
    <x v="1"/>
    <s v="36-50"/>
    <s v="Low"/>
    <x v="0"/>
    <x v="2"/>
    <s v="Sales_17"/>
    <n v="148"/>
    <n v="75"/>
    <n v="59"/>
    <n v="21"/>
    <s v="28.0"/>
    <n v="65980"/>
    <s v="4.87"/>
    <n v="47443"/>
    <n v="1385580"/>
    <n v="389277"/>
    <s v="Feb"/>
    <n v="2"/>
    <n v="2026"/>
    <s v="Weekday"/>
    <n v="0.3559322033898305"/>
    <n v="0.5067567567567568"/>
    <n v="0.14189189189189189"/>
    <n v="18537"/>
    <s v="Ruhr Auto Plaza"/>
  </r>
  <r>
    <s v="CUST_2238"/>
    <x v="1"/>
    <x v="1"/>
    <s v="Wednesday"/>
    <s v="No"/>
    <x v="4"/>
    <x v="4"/>
    <s v="Berlin"/>
    <x v="4"/>
    <s v="T-Roc"/>
    <s v="Diesel"/>
    <x v="0"/>
    <s v="18-25"/>
    <s v="High"/>
    <x v="1"/>
    <x v="0"/>
    <s v="Sales_2"/>
    <n v="474"/>
    <n v="243"/>
    <n v="163"/>
    <n v="42"/>
    <s v="17.28"/>
    <n v="26950"/>
    <s v="7.19"/>
    <n v="23243"/>
    <n v="1131900"/>
    <n v="155694"/>
    <s v="Feb"/>
    <n v="2"/>
    <n v="2026"/>
    <s v="Weekday"/>
    <n v="0.25766871165644173"/>
    <n v="0.51265822784810122"/>
    <n v="8.8607594936708861E-2"/>
    <n v="3707"/>
    <s v="Autohaus Berlin"/>
  </r>
  <r>
    <s v="CUST_2239"/>
    <x v="27"/>
    <x v="3"/>
    <s v="Sunday"/>
    <s v="Yes"/>
    <x v="9"/>
    <x v="9"/>
    <s v="NRW"/>
    <x v="0"/>
    <s v="5 Series"/>
    <s v="Electric"/>
    <x v="1"/>
    <s v="26-35"/>
    <s v="High"/>
    <x v="1"/>
    <x v="1"/>
    <s v="Sales_11"/>
    <n v="218"/>
    <n v="112"/>
    <n v="79"/>
    <n v="28"/>
    <s v="25.0"/>
    <n v="66059"/>
    <s v="5.44"/>
    <n v="49875"/>
    <n v="1849652"/>
    <n v="453152"/>
    <s v="Feb"/>
    <n v="2"/>
    <n v="2026"/>
    <s v="Weekend"/>
    <n v="0.35443037974683544"/>
    <n v="0.51376146788990829"/>
    <n v="0.12844036697247707"/>
    <n v="16184"/>
    <s v="Ruhr Auto Plaza"/>
  </r>
  <r>
    <s v="CUST_2240"/>
    <x v="2"/>
    <x v="2"/>
    <s v="Monday"/>
    <s v="No"/>
    <x v="6"/>
    <x v="6"/>
    <s v="Saxony"/>
    <x v="0"/>
    <s v="X5"/>
    <s v="Electric"/>
    <x v="0"/>
    <s v="26-35"/>
    <s v="High"/>
    <x v="0"/>
    <x v="0"/>
    <s v="Sales_13"/>
    <n v="275"/>
    <n v="125"/>
    <n v="101"/>
    <n v="29"/>
    <s v="23.2"/>
    <n v="49685"/>
    <s v="4.55"/>
    <n v="35581"/>
    <n v="1440865"/>
    <n v="409016"/>
    <s v="Feb"/>
    <n v="2"/>
    <n v="2026"/>
    <s v="Weekday"/>
    <n v="0.28712871287128711"/>
    <n v="0.45454545454545453"/>
    <n v="0.10545454545454545"/>
    <n v="14104"/>
    <s v="Leipzig Mobility"/>
  </r>
  <r>
    <s v="CUST_2241"/>
    <x v="8"/>
    <x v="3"/>
    <s v="Wednesday"/>
    <s v="No"/>
    <x v="0"/>
    <x v="0"/>
    <s v="Hesse"/>
    <x v="2"/>
    <s v="e-tron"/>
    <s v="Petrol"/>
    <x v="0"/>
    <s v="18-25"/>
    <s v="Medium"/>
    <x v="1"/>
    <x v="1"/>
    <s v="Sales_7"/>
    <n v="178"/>
    <n v="109"/>
    <n v="78"/>
    <n v="25"/>
    <s v="22.94"/>
    <n v="42334"/>
    <s v="6.12"/>
    <n v="33950"/>
    <n v="1058350"/>
    <n v="209600"/>
    <s v="Feb"/>
    <n v="2"/>
    <n v="2026"/>
    <s v="Weekday"/>
    <n v="0.32051282051282054"/>
    <n v="0.61235955056179781"/>
    <n v="0.1404494382022472"/>
    <n v="8384"/>
    <s v="Main Auto Hub"/>
  </r>
  <r>
    <s v="CUST_2242"/>
    <x v="7"/>
    <x v="3"/>
    <s v="Monday"/>
    <s v="No"/>
    <x v="1"/>
    <x v="1"/>
    <s v="NRW"/>
    <x v="4"/>
    <s v="ID.4"/>
    <s v="Electric"/>
    <x v="0"/>
    <s v="26-35"/>
    <s v="Medium"/>
    <x v="0"/>
    <x v="0"/>
    <s v="Sales_3"/>
    <n v="319"/>
    <n v="177"/>
    <n v="110"/>
    <n v="29"/>
    <s v="16.38"/>
    <n v="27906"/>
    <s v="9.39"/>
    <n v="24654"/>
    <n v="809274"/>
    <n v="94308"/>
    <s v="Feb"/>
    <n v="2"/>
    <n v="2026"/>
    <s v="Weekday"/>
    <n v="0.26363636363636361"/>
    <n v="0.55485893416927901"/>
    <n v="9.0909090909090912E-2"/>
    <n v="3252"/>
    <s v="Rhein Auto Group"/>
  </r>
  <r>
    <s v="CUST_2243"/>
    <x v="18"/>
    <x v="0"/>
    <s v="Saturday"/>
    <s v="Yes"/>
    <x v="4"/>
    <x v="4"/>
    <s v="Berlin"/>
    <x v="0"/>
    <s v="X5"/>
    <s v="Diesel"/>
    <x v="0"/>
    <s v="50+"/>
    <s v="Medium"/>
    <x v="0"/>
    <x v="2"/>
    <s v="Sales_11"/>
    <n v="165"/>
    <n v="80"/>
    <n v="57"/>
    <n v="26"/>
    <s v="32.5"/>
    <n v="56555"/>
    <s v="5.33"/>
    <n v="43461"/>
    <n v="1470430"/>
    <n v="340444"/>
    <s v="Feb"/>
    <n v="2"/>
    <n v="2026"/>
    <s v="Weekend"/>
    <n v="0.45614035087719296"/>
    <n v="0.48484848484848486"/>
    <n v="0.15757575757575756"/>
    <n v="13094"/>
    <s v="Autohaus Berlin"/>
  </r>
  <r>
    <s v="CUST_2244"/>
    <x v="4"/>
    <x v="2"/>
    <s v="Wednesday"/>
    <s v="No"/>
    <x v="5"/>
    <x v="5"/>
    <s v="Hamburg"/>
    <x v="0"/>
    <s v="X3"/>
    <s v="Diesel"/>
    <x v="0"/>
    <s v="18-25"/>
    <s v="Medium"/>
    <x v="0"/>
    <x v="3"/>
    <s v="Sales_2"/>
    <n v="164"/>
    <n v="93"/>
    <n v="74"/>
    <n v="25"/>
    <s v="26.88"/>
    <n v="64216"/>
    <s v="3.17"/>
    <n v="48425"/>
    <n v="1605400"/>
    <n v="394775"/>
    <s v="Feb"/>
    <n v="2"/>
    <n v="2026"/>
    <s v="Weekday"/>
    <n v="0.33783783783783783"/>
    <n v="0.56707317073170727"/>
    <n v="0.1524390243902439"/>
    <n v="15791"/>
    <s v="Elbe Drive"/>
  </r>
  <r>
    <s v="CUST_2245"/>
    <x v="14"/>
    <x v="2"/>
    <s v="Friday"/>
    <s v="No"/>
    <x v="1"/>
    <x v="1"/>
    <s v="NRW"/>
    <x v="2"/>
    <s v="Q3"/>
    <s v="Diesel"/>
    <x v="0"/>
    <s v="50+"/>
    <s v="High"/>
    <x v="0"/>
    <x v="0"/>
    <s v="Sales_5"/>
    <n v="278"/>
    <n v="131"/>
    <n v="102"/>
    <n v="29"/>
    <s v="22.14"/>
    <n v="50143"/>
    <s v="5.01"/>
    <n v="39737"/>
    <n v="1454147"/>
    <n v="301774"/>
    <s v="Feb"/>
    <n v="2"/>
    <n v="2026"/>
    <s v="Weekday"/>
    <n v="0.28431372549019607"/>
    <n v="0.47122302158273383"/>
    <n v="0.10431654676258993"/>
    <n v="10406"/>
    <s v="Rhein Auto Group"/>
  </r>
  <r>
    <s v="CUST_2246"/>
    <x v="1"/>
    <x v="1"/>
    <s v="Wednesday"/>
    <s v="No"/>
    <x v="9"/>
    <x v="9"/>
    <s v="NRW"/>
    <x v="4"/>
    <s v="T-Roc"/>
    <s v="Hybrid"/>
    <x v="0"/>
    <s v="50+"/>
    <s v="Medium"/>
    <x v="1"/>
    <x v="3"/>
    <s v="Sales_7"/>
    <n v="274"/>
    <n v="124"/>
    <n v="81"/>
    <n v="19"/>
    <s v="15.32"/>
    <n v="32706"/>
    <s v="10.68"/>
    <n v="28143"/>
    <n v="621414"/>
    <n v="86697"/>
    <s v="Feb"/>
    <n v="2"/>
    <n v="2026"/>
    <s v="Weekday"/>
    <n v="0.23456790123456789"/>
    <n v="0.45255474452554745"/>
    <n v="6.9343065693430656E-2"/>
    <n v="4563"/>
    <s v="Ruhr Auto Plaza"/>
  </r>
  <r>
    <s v="CUST_2247"/>
    <x v="10"/>
    <x v="1"/>
    <s v="Monday"/>
    <s v="No"/>
    <x v="1"/>
    <x v="1"/>
    <s v="NRW"/>
    <x v="0"/>
    <s v="3 Series"/>
    <s v="Electric"/>
    <x v="1"/>
    <s v="36-50"/>
    <s v="Low"/>
    <x v="0"/>
    <x v="0"/>
    <s v="Sales_8"/>
    <n v="144"/>
    <n v="84"/>
    <n v="64"/>
    <n v="21"/>
    <s v="25.0"/>
    <n v="53984"/>
    <s v="5.0"/>
    <n v="41216"/>
    <n v="1133664"/>
    <n v="268128"/>
    <s v="Feb"/>
    <n v="2"/>
    <n v="2026"/>
    <s v="Weekday"/>
    <n v="0.328125"/>
    <n v="0.58333333333333337"/>
    <n v="0.14583333333333334"/>
    <n v="12768"/>
    <s v="Rhein Auto Group"/>
  </r>
  <r>
    <s v="CUST_2248"/>
    <x v="8"/>
    <x v="3"/>
    <s v="Wednesday"/>
    <s v="No"/>
    <x v="8"/>
    <x v="8"/>
    <s v="Baden-WÃ¼rttemberg"/>
    <x v="1"/>
    <s v="Corsa"/>
    <s v="Electric"/>
    <x v="2"/>
    <s v="36-50"/>
    <s v="High"/>
    <x v="0"/>
    <x v="1"/>
    <s v="Sales_7"/>
    <n v="329"/>
    <n v="161"/>
    <n v="95"/>
    <n v="26"/>
    <s v="16.15"/>
    <n v="21153"/>
    <s v="11.26"/>
    <n v="19028"/>
    <n v="549978"/>
    <n v="55250"/>
    <s v="Feb"/>
    <n v="2"/>
    <n v="2026"/>
    <s v="Weekday"/>
    <n v="0.27368421052631581"/>
    <n v="0.48936170212765956"/>
    <n v="7.9027355623100301E-2"/>
    <n v="2125"/>
    <s v="Stuttgart Auto Center"/>
  </r>
  <r>
    <s v="CUST_2249"/>
    <x v="25"/>
    <x v="3"/>
    <s v="Friday"/>
    <s v="No"/>
    <x v="5"/>
    <x v="5"/>
    <s v="Hamburg"/>
    <x v="1"/>
    <s v="Grandland"/>
    <s v="Diesel"/>
    <x v="0"/>
    <s v="26-35"/>
    <s v="Low"/>
    <x v="0"/>
    <x v="1"/>
    <s v="Sales_11"/>
    <n v="419"/>
    <n v="230"/>
    <n v="148"/>
    <n v="46"/>
    <s v="20.0"/>
    <n v="23500"/>
    <s v="11.66"/>
    <n v="21608"/>
    <n v="1081000"/>
    <n v="87032"/>
    <s v="Feb"/>
    <n v="2"/>
    <n v="2026"/>
    <s v="Weekday"/>
    <n v="0.3108108108108108"/>
    <n v="0.54892601431980903"/>
    <n v="0.10978520286396182"/>
    <n v="1892"/>
    <s v="Elbe Drive"/>
  </r>
  <r>
    <s v="CUST_2250"/>
    <x v="23"/>
    <x v="2"/>
    <s v="Tuesday"/>
    <s v="No"/>
    <x v="9"/>
    <x v="9"/>
    <s v="NRW"/>
    <x v="0"/>
    <s v="i4"/>
    <s v="Hybrid"/>
    <x v="1"/>
    <s v="26-35"/>
    <s v="Low"/>
    <x v="1"/>
    <x v="0"/>
    <s v="Sales_9"/>
    <n v="197"/>
    <n v="94"/>
    <n v="72"/>
    <n v="22"/>
    <s v="23.4"/>
    <n v="59613"/>
    <s v="2.93"/>
    <n v="44993"/>
    <n v="1311486"/>
    <n v="321640"/>
    <s v="Feb"/>
    <n v="2"/>
    <n v="2026"/>
    <s v="Weekday"/>
    <n v="0.30555555555555558"/>
    <n v="0.47715736040609136"/>
    <n v="0.1116751269035533"/>
    <n v="14620"/>
    <s v="Ruhr Auto Plaza"/>
  </r>
  <r>
    <s v="CUST_2251"/>
    <x v="26"/>
    <x v="1"/>
    <s v="Friday"/>
    <s v="No"/>
    <x v="1"/>
    <x v="1"/>
    <s v="NRW"/>
    <x v="0"/>
    <s v="5 Series"/>
    <s v="Electric"/>
    <x v="1"/>
    <s v="18-25"/>
    <s v="High"/>
    <x v="1"/>
    <x v="3"/>
    <s v="Sales_14"/>
    <n v="202"/>
    <n v="112"/>
    <n v="90"/>
    <n v="30"/>
    <s v="26.79"/>
    <n v="61796"/>
    <s v="3.7"/>
    <n v="45596"/>
    <n v="1853880"/>
    <n v="486000"/>
    <s v="Feb"/>
    <n v="2"/>
    <n v="2026"/>
    <s v="Weekday"/>
    <n v="0.33333333333333331"/>
    <n v="0.5544554455445545"/>
    <n v="0.14851485148514851"/>
    <n v="16200"/>
    <s v="Rhein Auto Group"/>
  </r>
  <r>
    <s v="CUST_2252"/>
    <x v="21"/>
    <x v="0"/>
    <s v="Tuesday"/>
    <s v="No"/>
    <x v="8"/>
    <x v="8"/>
    <s v="Baden-WÃ¼rttemberg"/>
    <x v="4"/>
    <s v="Tiguan"/>
    <s v="Diesel"/>
    <x v="0"/>
    <s v="26-35"/>
    <s v="Low"/>
    <x v="0"/>
    <x v="0"/>
    <s v="Sales_17"/>
    <n v="462"/>
    <n v="192"/>
    <n v="119"/>
    <n v="33"/>
    <s v="17.19"/>
    <n v="34557"/>
    <s v="7.43"/>
    <n v="31309"/>
    <n v="1140381"/>
    <n v="107184"/>
    <s v="Feb"/>
    <n v="2"/>
    <n v="2026"/>
    <s v="Weekday"/>
    <n v="0.27731092436974791"/>
    <n v="0.41558441558441561"/>
    <n v="7.1428571428571425E-2"/>
    <n v="3248"/>
    <s v="Stuttgart Auto Center"/>
  </r>
  <r>
    <s v="CUST_2253"/>
    <x v="27"/>
    <x v="3"/>
    <s v="Sunday"/>
    <s v="Yes"/>
    <x v="9"/>
    <x v="9"/>
    <s v="NRW"/>
    <x v="1"/>
    <s v="Astra"/>
    <s v="Electric"/>
    <x v="2"/>
    <s v="18-25"/>
    <s v="High"/>
    <x v="0"/>
    <x v="0"/>
    <s v="Sales_6"/>
    <n v="264"/>
    <n v="101"/>
    <n v="65"/>
    <n v="15"/>
    <s v="14.85"/>
    <n v="22970"/>
    <s v="7.3"/>
    <n v="20976"/>
    <n v="344550"/>
    <n v="29910"/>
    <s v="Feb"/>
    <n v="2"/>
    <n v="2026"/>
    <s v="Weekend"/>
    <n v="0.23076923076923078"/>
    <n v="0.38257575757575757"/>
    <n v="5.6818181818181816E-2"/>
    <n v="1994"/>
    <s v="Ruhr Auto Plaza"/>
  </r>
  <r>
    <s v="CUST_2254"/>
    <x v="1"/>
    <x v="1"/>
    <s v="Wednesday"/>
    <s v="No"/>
    <x v="9"/>
    <x v="9"/>
    <s v="NRW"/>
    <x v="3"/>
    <s v="EQE"/>
    <s v="Petrol"/>
    <x v="1"/>
    <s v="26-35"/>
    <s v="High"/>
    <x v="1"/>
    <x v="1"/>
    <s v="Sales_13"/>
    <n v="150"/>
    <n v="79"/>
    <n v="56"/>
    <n v="18"/>
    <s v="22.78"/>
    <n v="72175"/>
    <s v="3.35"/>
    <n v="56217"/>
    <n v="1299150"/>
    <n v="287244"/>
    <s v="Feb"/>
    <n v="2"/>
    <n v="2026"/>
    <s v="Weekday"/>
    <n v="0.32142857142857145"/>
    <n v="0.52666666666666662"/>
    <n v="0.12"/>
    <n v="15958"/>
    <s v="Ruhr Auto Plaza"/>
  </r>
  <r>
    <s v="CUST_2255"/>
    <x v="9"/>
    <x v="0"/>
    <s v="Sunday"/>
    <s v="Yes"/>
    <x v="3"/>
    <x v="3"/>
    <s v="Saxony"/>
    <x v="1"/>
    <s v="Crossland"/>
    <s v="Petrol"/>
    <x v="0"/>
    <s v="26-35"/>
    <s v="High"/>
    <x v="0"/>
    <x v="0"/>
    <s v="Sales_16"/>
    <n v="319"/>
    <n v="160"/>
    <n v="109"/>
    <n v="21"/>
    <s v="13.12"/>
    <n v="22705"/>
    <s v="10.95"/>
    <n v="20241"/>
    <n v="476805"/>
    <n v="51744"/>
    <s v="Feb"/>
    <n v="2"/>
    <n v="2026"/>
    <s v="Weekend"/>
    <n v="0.19266055045871561"/>
    <n v="0.50156739811912221"/>
    <n v="6.5830721003134793E-2"/>
    <n v="2464"/>
    <s v="Saxon Wheels"/>
  </r>
  <r>
    <s v="CUST_2256"/>
    <x v="8"/>
    <x v="3"/>
    <s v="Wednesday"/>
    <s v="No"/>
    <x v="0"/>
    <x v="0"/>
    <s v="Hesse"/>
    <x v="4"/>
    <s v="T-Roc"/>
    <s v="Petrol"/>
    <x v="0"/>
    <s v="18-25"/>
    <s v="Low"/>
    <x v="1"/>
    <x v="2"/>
    <s v="Sales_13"/>
    <n v="281"/>
    <n v="129"/>
    <n v="82"/>
    <n v="25"/>
    <s v="19.38"/>
    <n v="29869"/>
    <s v="9.86"/>
    <n v="25972"/>
    <n v="746725"/>
    <n v="97425"/>
    <s v="Feb"/>
    <n v="2"/>
    <n v="2026"/>
    <s v="Weekday"/>
    <n v="0.3048780487804878"/>
    <n v="0.45907473309608543"/>
    <n v="8.8967971530249115E-2"/>
    <n v="3897"/>
    <s v="Main Auto Hub"/>
  </r>
  <r>
    <s v="CUST_2257"/>
    <x v="19"/>
    <x v="1"/>
    <s v="Saturday"/>
    <s v="Yes"/>
    <x v="9"/>
    <x v="9"/>
    <s v="NRW"/>
    <x v="1"/>
    <s v="Grandland"/>
    <s v="Electric"/>
    <x v="0"/>
    <s v="18-25"/>
    <s v="Medium"/>
    <x v="0"/>
    <x v="3"/>
    <s v="Sales_17"/>
    <n v="282"/>
    <n v="130"/>
    <n v="89"/>
    <n v="15"/>
    <s v="11.54"/>
    <n v="24308"/>
    <s v="13.86"/>
    <n v="21731"/>
    <n v="364620"/>
    <n v="38655"/>
    <s v="Feb"/>
    <n v="2"/>
    <n v="2026"/>
    <s v="Weekend"/>
    <n v="0.16853932584269662"/>
    <n v="0.46099290780141844"/>
    <n v="5.3191489361702128E-2"/>
    <n v="2577"/>
    <s v="Ruhr Auto Plaza"/>
  </r>
  <r>
    <s v="CUST_2258"/>
    <x v="19"/>
    <x v="1"/>
    <s v="Saturday"/>
    <s v="Yes"/>
    <x v="2"/>
    <x v="2"/>
    <s v="Lower Saxony"/>
    <x v="2"/>
    <s v="e-tron"/>
    <s v="Hybrid"/>
    <x v="0"/>
    <s v="36-50"/>
    <s v="Low"/>
    <x v="1"/>
    <x v="0"/>
    <s v="Sales_7"/>
    <n v="303"/>
    <n v="193"/>
    <n v="147"/>
    <n v="43"/>
    <s v="22.28"/>
    <n v="54815"/>
    <s v="3.94"/>
    <n v="43101"/>
    <n v="2357045"/>
    <n v="503702"/>
    <s v="Feb"/>
    <n v="2"/>
    <n v="2026"/>
    <s v="Weekend"/>
    <n v="0.29251700680272108"/>
    <n v="0.63696369636963701"/>
    <n v="0.14191419141914191"/>
    <n v="11714"/>
    <s v="Hannover Cars"/>
  </r>
  <r>
    <s v="CUST_2259"/>
    <x v="17"/>
    <x v="2"/>
    <s v="Sunday"/>
    <s v="Yes"/>
    <x v="2"/>
    <x v="2"/>
    <s v="Lower Saxony"/>
    <x v="4"/>
    <s v="Tiguan"/>
    <s v="Diesel"/>
    <x v="0"/>
    <s v="36-50"/>
    <s v="Low"/>
    <x v="0"/>
    <x v="0"/>
    <s v="Sales_16"/>
    <n v="269"/>
    <n v="114"/>
    <n v="82"/>
    <n v="18"/>
    <s v="15.79"/>
    <n v="27620"/>
    <s v="11.07"/>
    <n v="25040"/>
    <n v="497160"/>
    <n v="46440"/>
    <s v="Feb"/>
    <n v="2"/>
    <n v="2026"/>
    <s v="Weekend"/>
    <n v="0.21951219512195122"/>
    <n v="0.42379182156133827"/>
    <n v="6.6914498141263934E-2"/>
    <n v="2580"/>
    <s v="Hannover Cars"/>
  </r>
  <r>
    <s v="CUST_2260"/>
    <x v="0"/>
    <x v="0"/>
    <s v="Monday"/>
    <s v="No"/>
    <x v="0"/>
    <x v="0"/>
    <s v="Hesse"/>
    <x v="0"/>
    <s v="3 Series"/>
    <s v="Diesel"/>
    <x v="1"/>
    <s v="26-35"/>
    <s v="Low"/>
    <x v="0"/>
    <x v="3"/>
    <s v="Sales_5"/>
    <n v="147"/>
    <n v="67"/>
    <n v="54"/>
    <n v="17"/>
    <s v="25.37"/>
    <n v="55732"/>
    <s v="3.02"/>
    <n v="41537"/>
    <n v="947444"/>
    <n v="241315"/>
    <s v="Feb"/>
    <n v="2"/>
    <n v="2026"/>
    <s v="Weekday"/>
    <n v="0.31481481481481483"/>
    <n v="0.45578231292517007"/>
    <n v="0.11564625850340136"/>
    <n v="14195"/>
    <s v="Main Auto Hub"/>
  </r>
  <r>
    <s v="CUST_2261"/>
    <x v="15"/>
    <x v="2"/>
    <s v="Thursday"/>
    <s v="No"/>
    <x v="4"/>
    <x v="4"/>
    <s v="Berlin"/>
    <x v="3"/>
    <s v="GLC"/>
    <s v="Petrol"/>
    <x v="0"/>
    <s v="18-25"/>
    <s v="Low"/>
    <x v="0"/>
    <x v="1"/>
    <s v="Sales_12"/>
    <n v="156"/>
    <n v="80"/>
    <n v="58"/>
    <n v="22"/>
    <s v="27.5"/>
    <n v="53869"/>
    <s v="2.92"/>
    <n v="41046"/>
    <n v="1185118"/>
    <n v="282106"/>
    <s v="Feb"/>
    <n v="2"/>
    <n v="2026"/>
    <s v="Weekday"/>
    <n v="0.37931034482758619"/>
    <n v="0.51282051282051277"/>
    <n v="0.14102564102564102"/>
    <n v="12823"/>
    <s v="Autohaus Berlin"/>
  </r>
  <r>
    <s v="CUST_2262"/>
    <x v="25"/>
    <x v="3"/>
    <s v="Friday"/>
    <s v="No"/>
    <x v="6"/>
    <x v="6"/>
    <s v="Saxony"/>
    <x v="1"/>
    <s v="Crossland"/>
    <s v="Petrol"/>
    <x v="0"/>
    <s v="36-50"/>
    <s v="Low"/>
    <x v="0"/>
    <x v="0"/>
    <s v="Sales_8"/>
    <n v="253"/>
    <n v="125"/>
    <n v="82"/>
    <n v="16"/>
    <s v="12.8"/>
    <n v="25202"/>
    <s v="13.01"/>
    <n v="23126"/>
    <n v="403232"/>
    <n v="33216"/>
    <s v="Feb"/>
    <n v="2"/>
    <n v="2026"/>
    <s v="Weekday"/>
    <n v="0.1951219512195122"/>
    <n v="0.49407114624505927"/>
    <n v="6.3241106719367585E-2"/>
    <n v="2076"/>
    <s v="Leipzig Mobility"/>
  </r>
  <r>
    <s v="CUST_2263"/>
    <x v="17"/>
    <x v="2"/>
    <s v="Sunday"/>
    <s v="Yes"/>
    <x v="2"/>
    <x v="2"/>
    <s v="Lower Saxony"/>
    <x v="2"/>
    <s v="A3"/>
    <s v="Hybrid"/>
    <x v="2"/>
    <s v="36-50"/>
    <s v="High"/>
    <x v="0"/>
    <x v="0"/>
    <s v="Sales_5"/>
    <n v="300"/>
    <n v="181"/>
    <n v="123"/>
    <n v="35"/>
    <s v="19.34"/>
    <n v="44066"/>
    <s v="5.1"/>
    <n v="34381"/>
    <n v="1542310"/>
    <n v="338975"/>
    <s v="Feb"/>
    <n v="2"/>
    <n v="2026"/>
    <s v="Weekend"/>
    <n v="0.28455284552845528"/>
    <n v="0.60333333333333339"/>
    <n v="0.11666666666666667"/>
    <n v="9685"/>
    <s v="Hannover Cars"/>
  </r>
  <r>
    <s v="CUST_2264"/>
    <x v="11"/>
    <x v="0"/>
    <s v="Wednesday"/>
    <s v="No"/>
    <x v="0"/>
    <x v="0"/>
    <s v="Hesse"/>
    <x v="1"/>
    <s v="Grandland"/>
    <s v="Diesel"/>
    <x v="0"/>
    <s v="36-50"/>
    <s v="Medium"/>
    <x v="1"/>
    <x v="2"/>
    <s v="Sales_1"/>
    <n v="268"/>
    <n v="136"/>
    <n v="79"/>
    <n v="22"/>
    <s v="16.18"/>
    <n v="25598"/>
    <s v="7.36"/>
    <n v="22841"/>
    <n v="563156"/>
    <n v="60654"/>
    <s v="Feb"/>
    <n v="2"/>
    <n v="2026"/>
    <s v="Weekday"/>
    <n v="0.27848101265822783"/>
    <n v="0.5074626865671642"/>
    <n v="8.2089552238805971E-2"/>
    <n v="2757"/>
    <s v="Main Auto Hub"/>
  </r>
  <r>
    <s v="CUST_2265"/>
    <x v="17"/>
    <x v="2"/>
    <s v="Sunday"/>
    <s v="Yes"/>
    <x v="3"/>
    <x v="3"/>
    <s v="Saxony"/>
    <x v="3"/>
    <s v="C-Class"/>
    <s v="Electric"/>
    <x v="1"/>
    <s v="18-25"/>
    <s v="Low"/>
    <x v="0"/>
    <x v="2"/>
    <s v="Sales_17"/>
    <n v="218"/>
    <n v="96"/>
    <n v="68"/>
    <n v="25"/>
    <s v="26.04"/>
    <n v="63364"/>
    <s v="5.01"/>
    <n v="46049"/>
    <n v="1584100"/>
    <n v="432875"/>
    <s v="Feb"/>
    <n v="2"/>
    <n v="2026"/>
    <s v="Weekend"/>
    <n v="0.36764705882352944"/>
    <n v="0.44036697247706424"/>
    <n v="0.11467889908256881"/>
    <n v="17315"/>
    <s v="Saxon Wheels"/>
  </r>
  <r>
    <s v="CUST_2266"/>
    <x v="14"/>
    <x v="2"/>
    <s v="Friday"/>
    <s v="No"/>
    <x v="2"/>
    <x v="2"/>
    <s v="Lower Saxony"/>
    <x v="4"/>
    <s v="Passat"/>
    <s v="Diesel"/>
    <x v="1"/>
    <s v="50+"/>
    <s v="Medium"/>
    <x v="1"/>
    <x v="2"/>
    <s v="Sales_10"/>
    <n v="363"/>
    <n v="155"/>
    <n v="109"/>
    <n v="29"/>
    <s v="18.71"/>
    <n v="28366"/>
    <s v="9.78"/>
    <n v="25116"/>
    <n v="822614"/>
    <n v="94250"/>
    <s v="Feb"/>
    <n v="2"/>
    <n v="2026"/>
    <s v="Weekday"/>
    <n v="0.26605504587155965"/>
    <n v="0.42699724517906334"/>
    <n v="7.9889807162534437E-2"/>
    <n v="3250"/>
    <s v="Hannover Cars"/>
  </r>
  <r>
    <s v="CUST_2267"/>
    <x v="16"/>
    <x v="1"/>
    <s v="Tuesday"/>
    <s v="No"/>
    <x v="1"/>
    <x v="1"/>
    <s v="NRW"/>
    <x v="0"/>
    <s v="i4"/>
    <s v="Electric"/>
    <x v="1"/>
    <s v="18-25"/>
    <s v="Low"/>
    <x v="1"/>
    <x v="2"/>
    <s v="Sales_15"/>
    <n v="177"/>
    <n v="101"/>
    <n v="77"/>
    <n v="30"/>
    <s v="29.7"/>
    <n v="52253"/>
    <s v="5.97"/>
    <n v="38878"/>
    <n v="1567590"/>
    <n v="401250"/>
    <s v="Feb"/>
    <n v="2"/>
    <n v="2026"/>
    <s v="Weekday"/>
    <n v="0.38961038961038963"/>
    <n v="0.57062146892655363"/>
    <n v="0.16949152542372881"/>
    <n v="13375"/>
    <s v="Rhein Auto Group"/>
  </r>
  <r>
    <s v="CUST_2268"/>
    <x v="5"/>
    <x v="3"/>
    <s v="Saturday"/>
    <s v="Yes"/>
    <x v="9"/>
    <x v="9"/>
    <s v="NRW"/>
    <x v="4"/>
    <s v="Passat"/>
    <s v="Hybrid"/>
    <x v="1"/>
    <s v="50+"/>
    <s v="High"/>
    <x v="0"/>
    <x v="3"/>
    <s v="Sales_10"/>
    <n v="364"/>
    <n v="166"/>
    <n v="112"/>
    <n v="22"/>
    <s v="13.25"/>
    <n v="27798"/>
    <s v="10.4"/>
    <n v="25257"/>
    <n v="611556"/>
    <n v="55902"/>
    <s v="Feb"/>
    <n v="2"/>
    <n v="2026"/>
    <s v="Weekend"/>
    <n v="0.19642857142857142"/>
    <n v="0.45604395604395603"/>
    <n v="6.043956043956044E-2"/>
    <n v="2541"/>
    <s v="Ruhr Auto Plaza"/>
  </r>
  <r>
    <s v="CUST_2269"/>
    <x v="0"/>
    <x v="0"/>
    <s v="Monday"/>
    <s v="No"/>
    <x v="3"/>
    <x v="3"/>
    <s v="Saxony"/>
    <x v="1"/>
    <s v="Mokka"/>
    <s v="Petrol"/>
    <x v="0"/>
    <s v="26-35"/>
    <s v="Medium"/>
    <x v="1"/>
    <x v="2"/>
    <s v="Sales_1"/>
    <n v="369"/>
    <n v="198"/>
    <n v="129"/>
    <n v="36"/>
    <s v="18.18"/>
    <n v="26480"/>
    <s v="7.13"/>
    <n v="23669"/>
    <n v="953280"/>
    <n v="101196"/>
    <s v="Feb"/>
    <n v="2"/>
    <n v="2026"/>
    <s v="Weekday"/>
    <n v="0.27906976744186046"/>
    <n v="0.53658536585365857"/>
    <n v="9.7560975609756101E-2"/>
    <n v="2811"/>
    <s v="Saxon Wheels"/>
  </r>
  <r>
    <s v="CUST_2270"/>
    <x v="24"/>
    <x v="1"/>
    <s v="Thursday"/>
    <s v="No"/>
    <x v="2"/>
    <x v="2"/>
    <s v="Lower Saxony"/>
    <x v="4"/>
    <s v="ID.4"/>
    <s v="Diesel"/>
    <x v="0"/>
    <s v="36-50"/>
    <s v="Low"/>
    <x v="0"/>
    <x v="0"/>
    <s v="Sales_13"/>
    <n v="307"/>
    <n v="176"/>
    <n v="118"/>
    <n v="23"/>
    <s v="13.07"/>
    <n v="27134"/>
    <s v="11.01"/>
    <n v="23840"/>
    <n v="624082"/>
    <n v="75762"/>
    <s v="Feb"/>
    <n v="2"/>
    <n v="2026"/>
    <s v="Weekday"/>
    <n v="0.19491525423728814"/>
    <n v="0.57328990228013033"/>
    <n v="7.4918566775244305E-2"/>
    <n v="3294"/>
    <s v="Hannover Cars"/>
  </r>
  <r>
    <s v="CUST_2271"/>
    <x v="18"/>
    <x v="0"/>
    <s v="Saturday"/>
    <s v="Yes"/>
    <x v="8"/>
    <x v="8"/>
    <s v="Baden-WÃ¼rttemberg"/>
    <x v="3"/>
    <s v="E-Class"/>
    <s v="Hybrid"/>
    <x v="1"/>
    <s v="36-50"/>
    <s v="High"/>
    <x v="0"/>
    <x v="1"/>
    <s v="Sales_5"/>
    <n v="175"/>
    <n v="100"/>
    <n v="70"/>
    <n v="25"/>
    <s v="25.0"/>
    <n v="51515"/>
    <s v="2.8"/>
    <n v="38924"/>
    <n v="1287875"/>
    <n v="314775"/>
    <s v="Feb"/>
    <n v="2"/>
    <n v="2026"/>
    <s v="Weekend"/>
    <n v="0.35714285714285715"/>
    <n v="0.5714285714285714"/>
    <n v="0.14285714285714285"/>
    <n v="12591"/>
    <s v="Stuttgart Auto Center"/>
  </r>
  <r>
    <s v="CUST_2272"/>
    <x v="4"/>
    <x v="2"/>
    <s v="Wednesday"/>
    <s v="No"/>
    <x v="6"/>
    <x v="6"/>
    <s v="Saxony"/>
    <x v="1"/>
    <s v="Astra"/>
    <s v="Electric"/>
    <x v="2"/>
    <s v="26-35"/>
    <s v="Medium"/>
    <x v="0"/>
    <x v="3"/>
    <s v="Sales_9"/>
    <n v="395"/>
    <n v="154"/>
    <n v="107"/>
    <n v="20"/>
    <s v="12.99"/>
    <n v="19306"/>
    <s v="13.26"/>
    <n v="17308"/>
    <n v="386120"/>
    <n v="39960"/>
    <s v="Feb"/>
    <n v="2"/>
    <n v="2026"/>
    <s v="Weekday"/>
    <n v="0.18691588785046728"/>
    <n v="0.38987341772151901"/>
    <n v="5.0632911392405063E-2"/>
    <n v="1998"/>
    <s v="Leipzig Mobility"/>
  </r>
  <r>
    <s v="CUST_2273"/>
    <x v="27"/>
    <x v="3"/>
    <s v="Sunday"/>
    <s v="Yes"/>
    <x v="3"/>
    <x v="3"/>
    <s v="Saxony"/>
    <x v="0"/>
    <s v="5 Series"/>
    <s v="Electric"/>
    <x v="1"/>
    <s v="50+"/>
    <s v="Medium"/>
    <x v="1"/>
    <x v="3"/>
    <s v="Sales_12"/>
    <n v="159"/>
    <n v="91"/>
    <n v="72"/>
    <n v="22"/>
    <s v="24.18"/>
    <n v="61455"/>
    <s v="4.66"/>
    <n v="46014"/>
    <n v="1352010"/>
    <n v="339702"/>
    <s v="Feb"/>
    <n v="2"/>
    <n v="2026"/>
    <s v="Weekend"/>
    <n v="0.30555555555555558"/>
    <n v="0.57232704402515722"/>
    <n v="0.13836477987421383"/>
    <n v="15441"/>
    <s v="Saxon Wheels"/>
  </r>
  <r>
    <s v="CUST_2274"/>
    <x v="24"/>
    <x v="1"/>
    <s v="Thursday"/>
    <s v="No"/>
    <x v="9"/>
    <x v="9"/>
    <s v="NRW"/>
    <x v="3"/>
    <s v="EQE"/>
    <s v="Diesel"/>
    <x v="1"/>
    <s v="26-35"/>
    <s v="High"/>
    <x v="0"/>
    <x v="1"/>
    <s v="Sales_12"/>
    <n v="147"/>
    <n v="72"/>
    <n v="55"/>
    <n v="17"/>
    <s v="23.61"/>
    <n v="64926"/>
    <s v="2.89"/>
    <n v="47797"/>
    <n v="1103742"/>
    <n v="291193"/>
    <s v="Feb"/>
    <n v="2"/>
    <n v="2026"/>
    <s v="Weekday"/>
    <n v="0.30909090909090908"/>
    <n v="0.48979591836734693"/>
    <n v="0.11564625850340136"/>
    <n v="17129"/>
    <s v="Ruhr Auto Plaza"/>
  </r>
  <r>
    <s v="CUST_2275"/>
    <x v="4"/>
    <x v="2"/>
    <s v="Wednesday"/>
    <s v="No"/>
    <x v="0"/>
    <x v="0"/>
    <s v="Hesse"/>
    <x v="4"/>
    <s v="T-Roc"/>
    <s v="Hybrid"/>
    <x v="0"/>
    <s v="18-25"/>
    <s v="High"/>
    <x v="0"/>
    <x v="3"/>
    <s v="Sales_20"/>
    <n v="493"/>
    <n v="241"/>
    <n v="172"/>
    <n v="30"/>
    <s v="12.45"/>
    <n v="33107"/>
    <s v="6.9"/>
    <n v="29056"/>
    <n v="993210"/>
    <n v="121530"/>
    <s v="Feb"/>
    <n v="2"/>
    <n v="2026"/>
    <s v="Weekday"/>
    <n v="0.1744186046511628"/>
    <n v="0.48884381338742394"/>
    <n v="6.0851926977687626E-2"/>
    <n v="4051"/>
    <s v="Main Auto Hub"/>
  </r>
  <r>
    <s v="CUST_2276"/>
    <x v="10"/>
    <x v="1"/>
    <s v="Monday"/>
    <s v="No"/>
    <x v="5"/>
    <x v="5"/>
    <s v="Hamburg"/>
    <x v="2"/>
    <s v="Q5"/>
    <s v="Diesel"/>
    <x v="0"/>
    <s v="18-25"/>
    <s v="Medium"/>
    <x v="0"/>
    <x v="1"/>
    <s v="Sales_17"/>
    <n v="281"/>
    <n v="164"/>
    <n v="127"/>
    <n v="44"/>
    <s v="26.83"/>
    <n v="41071"/>
    <s v="5.78"/>
    <n v="32145"/>
    <n v="1807124"/>
    <n v="392744"/>
    <s v="Feb"/>
    <n v="2"/>
    <n v="2026"/>
    <s v="Weekday"/>
    <n v="0.34645669291338582"/>
    <n v="0.58362989323843417"/>
    <n v="0.15658362989323843"/>
    <n v="8926"/>
    <s v="Elbe Drive"/>
  </r>
  <r>
    <s v="CUST_2277"/>
    <x v="21"/>
    <x v="0"/>
    <s v="Tuesday"/>
    <s v="No"/>
    <x v="4"/>
    <x v="4"/>
    <s v="Berlin"/>
    <x v="2"/>
    <s v="Q5"/>
    <s v="Hybrid"/>
    <x v="0"/>
    <s v="36-50"/>
    <s v="Low"/>
    <x v="1"/>
    <x v="2"/>
    <s v="Sales_2"/>
    <n v="312"/>
    <n v="181"/>
    <n v="130"/>
    <n v="46"/>
    <s v="25.41"/>
    <n v="49543"/>
    <s v="5.31"/>
    <n v="38381"/>
    <n v="2278978"/>
    <n v="513452"/>
    <s v="Feb"/>
    <n v="2"/>
    <n v="2026"/>
    <s v="Weekday"/>
    <n v="0.35384615384615387"/>
    <n v="0.58012820512820518"/>
    <n v="0.14743589743589744"/>
    <n v="11162"/>
    <s v="Autohaus Berlin"/>
  </r>
  <r>
    <s v="CUST_2278"/>
    <x v="26"/>
    <x v="1"/>
    <s v="Friday"/>
    <s v="No"/>
    <x v="7"/>
    <x v="7"/>
    <s v="Bavaria"/>
    <x v="1"/>
    <s v="Astra"/>
    <s v="Electric"/>
    <x v="2"/>
    <s v="36-50"/>
    <s v="High"/>
    <x v="1"/>
    <x v="1"/>
    <s v="Sales_4"/>
    <n v="408"/>
    <n v="169"/>
    <n v="104"/>
    <n v="29"/>
    <s v="17.16"/>
    <n v="21267"/>
    <s v="13.5"/>
    <n v="19478"/>
    <n v="616743"/>
    <n v="51881"/>
    <s v="Feb"/>
    <n v="2"/>
    <n v="2026"/>
    <s v="Weekday"/>
    <n v="0.27884615384615385"/>
    <n v="0.41421568627450983"/>
    <n v="7.1078431372549017E-2"/>
    <n v="1789"/>
    <s v="Bavaria Motors"/>
  </r>
  <r>
    <s v="CUST_2279"/>
    <x v="24"/>
    <x v="1"/>
    <s v="Thursday"/>
    <s v="No"/>
    <x v="4"/>
    <x v="4"/>
    <s v="Berlin"/>
    <x v="1"/>
    <s v="Crossland"/>
    <s v="Hybrid"/>
    <x v="0"/>
    <s v="36-50"/>
    <s v="Low"/>
    <x v="0"/>
    <x v="0"/>
    <s v="Sales_1"/>
    <n v="427"/>
    <n v="224"/>
    <n v="135"/>
    <n v="38"/>
    <s v="16.96"/>
    <n v="22680"/>
    <s v="11.2"/>
    <n v="20715"/>
    <n v="861840"/>
    <n v="74670"/>
    <s v="Feb"/>
    <n v="2"/>
    <n v="2026"/>
    <s v="Weekday"/>
    <n v="0.2814814814814815"/>
    <n v="0.52459016393442626"/>
    <n v="8.899297423887588E-2"/>
    <n v="1965"/>
    <s v="Autohaus Berlin"/>
  </r>
  <r>
    <s v="CUST_2280"/>
    <x v="23"/>
    <x v="2"/>
    <s v="Tuesday"/>
    <s v="No"/>
    <x v="1"/>
    <x v="1"/>
    <s v="NRW"/>
    <x v="3"/>
    <s v="GLC"/>
    <s v="Hybrid"/>
    <x v="0"/>
    <s v="36-50"/>
    <s v="High"/>
    <x v="1"/>
    <x v="1"/>
    <s v="Sales_10"/>
    <n v="244"/>
    <n v="140"/>
    <n v="94"/>
    <n v="39"/>
    <s v="27.86"/>
    <n v="49840"/>
    <s v="5.13"/>
    <n v="38467"/>
    <n v="1943760"/>
    <n v="443547"/>
    <s v="Feb"/>
    <n v="2"/>
    <n v="2026"/>
    <s v="Weekday"/>
    <n v="0.41489361702127658"/>
    <n v="0.57377049180327866"/>
    <n v="0.1598360655737705"/>
    <n v="11373"/>
    <s v="Rhein Auto Group"/>
  </r>
  <r>
    <s v="CUST_2281"/>
    <x v="17"/>
    <x v="2"/>
    <s v="Sunday"/>
    <s v="Yes"/>
    <x v="6"/>
    <x v="6"/>
    <s v="Saxony"/>
    <x v="0"/>
    <s v="X5"/>
    <s v="Hybrid"/>
    <x v="0"/>
    <s v="36-50"/>
    <s v="High"/>
    <x v="1"/>
    <x v="3"/>
    <s v="Sales_18"/>
    <n v="219"/>
    <n v="117"/>
    <n v="80"/>
    <n v="29"/>
    <s v="24.79"/>
    <n v="53525"/>
    <s v="4.74"/>
    <n v="40518"/>
    <n v="1552225"/>
    <n v="377203"/>
    <s v="Feb"/>
    <n v="2"/>
    <n v="2026"/>
    <s v="Weekend"/>
    <n v="0.36249999999999999"/>
    <n v="0.53424657534246578"/>
    <n v="0.13242009132420091"/>
    <n v="13007"/>
    <s v="Leipzig Mobility"/>
  </r>
  <r>
    <s v="CUST_2282"/>
    <x v="20"/>
    <x v="0"/>
    <s v="Thursday"/>
    <s v="No"/>
    <x v="3"/>
    <x v="3"/>
    <s v="Saxony"/>
    <x v="4"/>
    <s v="T-Roc"/>
    <s v="Petrol"/>
    <x v="0"/>
    <s v="18-25"/>
    <s v="Medium"/>
    <x v="1"/>
    <x v="2"/>
    <s v="Sales_17"/>
    <n v="295"/>
    <n v="155"/>
    <n v="109"/>
    <n v="27"/>
    <s v="17.42"/>
    <n v="27666"/>
    <s v="7.37"/>
    <n v="24438"/>
    <n v="746982"/>
    <n v="87156"/>
    <s v="Feb"/>
    <n v="2"/>
    <n v="2026"/>
    <s v="Weekday"/>
    <n v="0.24770642201834864"/>
    <n v="0.52542372881355937"/>
    <n v="9.152542372881356E-2"/>
    <n v="3228"/>
    <s v="Saxon Wheels"/>
  </r>
  <r>
    <s v="CUST_2283"/>
    <x v="17"/>
    <x v="2"/>
    <s v="Sunday"/>
    <s v="Yes"/>
    <x v="3"/>
    <x v="3"/>
    <s v="Saxony"/>
    <x v="4"/>
    <s v="T-Roc"/>
    <s v="Hybrid"/>
    <x v="0"/>
    <s v="26-35"/>
    <s v="Medium"/>
    <x v="1"/>
    <x v="1"/>
    <s v="Sales_12"/>
    <n v="467"/>
    <n v="264"/>
    <n v="158"/>
    <n v="43"/>
    <s v="16.29"/>
    <n v="33207"/>
    <s v="8.63"/>
    <n v="29560"/>
    <n v="1427901"/>
    <n v="156821"/>
    <s v="Feb"/>
    <n v="2"/>
    <n v="2026"/>
    <s v="Weekend"/>
    <n v="0.27215189873417722"/>
    <n v="0.56531049250535337"/>
    <n v="9.2077087794432549E-2"/>
    <n v="3647"/>
    <s v="Saxon Wheels"/>
  </r>
  <r>
    <s v="CUST_2284"/>
    <x v="15"/>
    <x v="2"/>
    <s v="Thursday"/>
    <s v="No"/>
    <x v="8"/>
    <x v="8"/>
    <s v="Baden-WÃ¼rttemberg"/>
    <x v="0"/>
    <s v="X3"/>
    <s v="Diesel"/>
    <x v="0"/>
    <s v="36-50"/>
    <s v="High"/>
    <x v="0"/>
    <x v="3"/>
    <s v="Sales_18"/>
    <n v="251"/>
    <n v="127"/>
    <n v="87"/>
    <n v="35"/>
    <s v="27.56"/>
    <n v="58575"/>
    <s v="3.57"/>
    <n v="41354"/>
    <n v="2050125"/>
    <n v="602735"/>
    <s v="Feb"/>
    <n v="2"/>
    <n v="2026"/>
    <s v="Weekday"/>
    <n v="0.40229885057471265"/>
    <n v="0.50597609561752988"/>
    <n v="0.1394422310756972"/>
    <n v="17221"/>
    <s v="Stuttgart Auto Center"/>
  </r>
  <r>
    <s v="CUST_2285"/>
    <x v="5"/>
    <x v="3"/>
    <s v="Saturday"/>
    <s v="Yes"/>
    <x v="6"/>
    <x v="6"/>
    <s v="Saxony"/>
    <x v="1"/>
    <s v="Mokka"/>
    <s v="Diesel"/>
    <x v="0"/>
    <s v="36-50"/>
    <s v="Low"/>
    <x v="0"/>
    <x v="2"/>
    <s v="Sales_1"/>
    <n v="417"/>
    <n v="178"/>
    <n v="122"/>
    <n v="28"/>
    <s v="15.73"/>
    <n v="23382"/>
    <s v="10.3"/>
    <n v="21505"/>
    <n v="654696"/>
    <n v="52556"/>
    <s v="Feb"/>
    <n v="2"/>
    <n v="2026"/>
    <s v="Weekend"/>
    <n v="0.22950819672131148"/>
    <n v="0.42685851318944845"/>
    <n v="6.7146282973621102E-2"/>
    <n v="1877"/>
    <s v="Leipzig Mobility"/>
  </r>
  <r>
    <s v="CUST_2286"/>
    <x v="6"/>
    <x v="2"/>
    <s v="Saturday"/>
    <s v="Yes"/>
    <x v="7"/>
    <x v="7"/>
    <s v="Bavaria"/>
    <x v="4"/>
    <s v="ID.4"/>
    <s v="Hybrid"/>
    <x v="0"/>
    <s v="26-35"/>
    <s v="Low"/>
    <x v="1"/>
    <x v="0"/>
    <s v="Sales_7"/>
    <n v="465"/>
    <n v="228"/>
    <n v="152"/>
    <n v="35"/>
    <s v="15.35"/>
    <n v="29397"/>
    <s v="7.39"/>
    <n v="26262"/>
    <n v="1028895"/>
    <n v="109725"/>
    <s v="Feb"/>
    <n v="2"/>
    <n v="2026"/>
    <s v="Weekend"/>
    <n v="0.23026315789473684"/>
    <n v="0.49032258064516127"/>
    <n v="7.5268817204301078E-2"/>
    <n v="3135"/>
    <s v="Bavaria Motors"/>
  </r>
  <r>
    <s v="CUST_2287"/>
    <x v="25"/>
    <x v="3"/>
    <s v="Friday"/>
    <s v="No"/>
    <x v="3"/>
    <x v="3"/>
    <s v="Saxony"/>
    <x v="1"/>
    <s v="Corsa"/>
    <s v="Diesel"/>
    <x v="2"/>
    <s v="36-50"/>
    <s v="Medium"/>
    <x v="1"/>
    <x v="0"/>
    <s v="Sales_12"/>
    <n v="424"/>
    <n v="218"/>
    <n v="125"/>
    <n v="34"/>
    <s v="15.6"/>
    <n v="25524"/>
    <s v="7.6"/>
    <n v="23394"/>
    <n v="867816"/>
    <n v="72420"/>
    <s v="Feb"/>
    <n v="2"/>
    <n v="2026"/>
    <s v="Weekday"/>
    <n v="0.27200000000000002"/>
    <n v="0.51415094339622647"/>
    <n v="8.0188679245283015E-2"/>
    <n v="2130"/>
    <s v="Saxon Wheels"/>
  </r>
  <r>
    <s v="CUST_2288"/>
    <x v="18"/>
    <x v="0"/>
    <s v="Saturday"/>
    <s v="Yes"/>
    <x v="8"/>
    <x v="8"/>
    <s v="Baden-WÃ¼rttemberg"/>
    <x v="4"/>
    <s v="Tiguan"/>
    <s v="Electric"/>
    <x v="0"/>
    <s v="26-35"/>
    <s v="Low"/>
    <x v="0"/>
    <x v="3"/>
    <s v="Sales_13"/>
    <n v="436"/>
    <n v="250"/>
    <n v="150"/>
    <n v="36"/>
    <s v="14.4"/>
    <n v="33735"/>
    <s v="6.28"/>
    <n v="29900"/>
    <n v="1214460"/>
    <n v="138060"/>
    <s v="Feb"/>
    <n v="2"/>
    <n v="2026"/>
    <s v="Weekend"/>
    <n v="0.24"/>
    <n v="0.57339449541284404"/>
    <n v="8.2568807339449546E-2"/>
    <n v="3835"/>
    <s v="Stuttgart Auto Center"/>
  </r>
  <r>
    <s v="CUST_2289"/>
    <x v="25"/>
    <x v="3"/>
    <s v="Friday"/>
    <s v="No"/>
    <x v="3"/>
    <x v="3"/>
    <s v="Saxony"/>
    <x v="4"/>
    <s v="Passat"/>
    <s v="Petrol"/>
    <x v="1"/>
    <s v="18-25"/>
    <s v="High"/>
    <x v="0"/>
    <x v="2"/>
    <s v="Sales_14"/>
    <n v="426"/>
    <n v="242"/>
    <n v="146"/>
    <n v="49"/>
    <s v="20.25"/>
    <n v="34763"/>
    <s v="7.28"/>
    <n v="31465"/>
    <n v="1703387"/>
    <n v="161602"/>
    <s v="Feb"/>
    <n v="2"/>
    <n v="2026"/>
    <s v="Weekday"/>
    <n v="0.33561643835616439"/>
    <n v="0.568075117370892"/>
    <n v="0.11502347417840375"/>
    <n v="3298"/>
    <s v="Saxon Wheels"/>
  </r>
  <r>
    <s v="CUST_2290"/>
    <x v="21"/>
    <x v="0"/>
    <s v="Tuesday"/>
    <s v="No"/>
    <x v="8"/>
    <x v="8"/>
    <s v="Baden-WÃ¼rttemberg"/>
    <x v="0"/>
    <s v="X5"/>
    <s v="Diesel"/>
    <x v="0"/>
    <s v="36-50"/>
    <s v="Low"/>
    <x v="0"/>
    <x v="2"/>
    <s v="Sales_6"/>
    <n v="212"/>
    <n v="125"/>
    <n v="94"/>
    <n v="42"/>
    <s v="33.6"/>
    <n v="55237"/>
    <s v="3.15"/>
    <n v="42167"/>
    <n v="2319954"/>
    <n v="548940"/>
    <s v="Feb"/>
    <n v="2"/>
    <n v="2026"/>
    <s v="Weekday"/>
    <n v="0.44680851063829785"/>
    <n v="0.589622641509434"/>
    <n v="0.19811320754716982"/>
    <n v="13070"/>
    <s v="Stuttgart Auto Center"/>
  </r>
  <r>
    <s v="CUST_2291"/>
    <x v="1"/>
    <x v="1"/>
    <s v="Wednesday"/>
    <s v="No"/>
    <x v="9"/>
    <x v="9"/>
    <s v="NRW"/>
    <x v="4"/>
    <s v="Tiguan"/>
    <s v="Diesel"/>
    <x v="0"/>
    <s v="26-35"/>
    <s v="Low"/>
    <x v="1"/>
    <x v="1"/>
    <s v="Sales_11"/>
    <n v="305"/>
    <n v="160"/>
    <n v="96"/>
    <n v="23"/>
    <s v="14.37"/>
    <n v="30701"/>
    <s v="6.53"/>
    <n v="27276"/>
    <n v="706123"/>
    <n v="78775"/>
    <s v="Feb"/>
    <n v="2"/>
    <n v="2026"/>
    <s v="Weekday"/>
    <n v="0.23958333333333334"/>
    <n v="0.52459016393442626"/>
    <n v="7.5409836065573776E-2"/>
    <n v="3425"/>
    <s v="Ruhr Auto Plaza"/>
  </r>
  <r>
    <s v="CUST_2292"/>
    <x v="18"/>
    <x v="0"/>
    <s v="Saturday"/>
    <s v="Yes"/>
    <x v="0"/>
    <x v="0"/>
    <s v="Hesse"/>
    <x v="4"/>
    <s v="ID.4"/>
    <s v="Electric"/>
    <x v="0"/>
    <s v="18-25"/>
    <s v="Low"/>
    <x v="0"/>
    <x v="2"/>
    <s v="Sales_10"/>
    <n v="437"/>
    <n v="231"/>
    <n v="142"/>
    <n v="39"/>
    <s v="16.88"/>
    <n v="26382"/>
    <s v="9.7"/>
    <n v="23003"/>
    <n v="1028898"/>
    <n v="131781"/>
    <s v="Feb"/>
    <n v="2"/>
    <n v="2026"/>
    <s v="Weekend"/>
    <n v="0.27464788732394368"/>
    <n v="0.52860411899313497"/>
    <n v="8.924485125858124E-2"/>
    <n v="3379"/>
    <s v="Main Auto Hub"/>
  </r>
  <r>
    <s v="CUST_2293"/>
    <x v="21"/>
    <x v="0"/>
    <s v="Tuesday"/>
    <s v="No"/>
    <x v="5"/>
    <x v="5"/>
    <s v="Hamburg"/>
    <x v="2"/>
    <s v="Q3"/>
    <s v="Electric"/>
    <x v="0"/>
    <s v="50+"/>
    <s v="High"/>
    <x v="0"/>
    <x v="0"/>
    <s v="Sales_8"/>
    <n v="218"/>
    <n v="129"/>
    <n v="98"/>
    <n v="30"/>
    <s v="23.26"/>
    <n v="49715"/>
    <s v="3.85"/>
    <n v="39006"/>
    <n v="1491450"/>
    <n v="321270"/>
    <s v="Feb"/>
    <n v="2"/>
    <n v="2026"/>
    <s v="Weekday"/>
    <n v="0.30612244897959184"/>
    <n v="0.59174311926605505"/>
    <n v="0.13761467889908258"/>
    <n v="10709"/>
    <s v="Elbe Drive"/>
  </r>
  <r>
    <s v="CUST_2294"/>
    <x v="23"/>
    <x v="2"/>
    <s v="Tuesday"/>
    <s v="No"/>
    <x v="7"/>
    <x v="7"/>
    <s v="Bavaria"/>
    <x v="3"/>
    <s v="C-Class"/>
    <s v="Hybrid"/>
    <x v="1"/>
    <s v="36-50"/>
    <s v="High"/>
    <x v="0"/>
    <x v="0"/>
    <s v="Sales_8"/>
    <n v="178"/>
    <n v="100"/>
    <n v="77"/>
    <n v="27"/>
    <s v="27.0"/>
    <n v="58618"/>
    <s v="3.26"/>
    <n v="45953"/>
    <n v="1582686"/>
    <n v="341955"/>
    <s v="Feb"/>
    <n v="2"/>
    <n v="2026"/>
    <s v="Weekday"/>
    <n v="0.35064935064935066"/>
    <n v="0.5617977528089888"/>
    <n v="0.15168539325842698"/>
    <n v="12665"/>
    <s v="Bavaria Motors"/>
  </r>
  <r>
    <s v="CUST_2295"/>
    <x v="15"/>
    <x v="2"/>
    <s v="Thursday"/>
    <s v="No"/>
    <x v="6"/>
    <x v="6"/>
    <s v="Saxony"/>
    <x v="4"/>
    <s v="Tiguan"/>
    <s v="Petrol"/>
    <x v="0"/>
    <s v="36-50"/>
    <s v="Low"/>
    <x v="1"/>
    <x v="3"/>
    <s v="Sales_16"/>
    <n v="390"/>
    <n v="161"/>
    <n v="105"/>
    <n v="19"/>
    <s v="11.8"/>
    <n v="28689"/>
    <s v="7.71"/>
    <n v="25191"/>
    <n v="545091"/>
    <n v="66462"/>
    <s v="Feb"/>
    <n v="2"/>
    <n v="2026"/>
    <s v="Weekday"/>
    <n v="0.18095238095238095"/>
    <n v="0.4128205128205128"/>
    <n v="4.8717948717948718E-2"/>
    <n v="3498"/>
    <s v="Leipzig Mobility"/>
  </r>
  <r>
    <s v="CUST_2296"/>
    <x v="11"/>
    <x v="0"/>
    <s v="Wednesday"/>
    <s v="No"/>
    <x v="5"/>
    <x v="5"/>
    <s v="Hamburg"/>
    <x v="3"/>
    <s v="C-Class"/>
    <s v="Hybrid"/>
    <x v="1"/>
    <s v="36-50"/>
    <s v="High"/>
    <x v="1"/>
    <x v="1"/>
    <s v="Sales_11"/>
    <n v="225"/>
    <n v="110"/>
    <n v="85"/>
    <n v="31"/>
    <s v="28.18"/>
    <n v="55029"/>
    <s v="4.73"/>
    <n v="40296"/>
    <n v="1705899"/>
    <n v="456723"/>
    <s v="Feb"/>
    <n v="2"/>
    <n v="2026"/>
    <s v="Weekday"/>
    <n v="0.36470588235294116"/>
    <n v="0.48888888888888887"/>
    <n v="0.13777777777777778"/>
    <n v="14733"/>
    <s v="Elbe Drive"/>
  </r>
  <r>
    <s v="CUST_2297"/>
    <x v="14"/>
    <x v="2"/>
    <s v="Friday"/>
    <s v="No"/>
    <x v="7"/>
    <x v="7"/>
    <s v="Bavaria"/>
    <x v="1"/>
    <s v="Astra"/>
    <s v="Hybrid"/>
    <x v="2"/>
    <s v="50+"/>
    <s v="Medium"/>
    <x v="1"/>
    <x v="3"/>
    <s v="Sales_13"/>
    <n v="300"/>
    <n v="128"/>
    <n v="74"/>
    <n v="23"/>
    <s v="17.97"/>
    <n v="24146"/>
    <s v="8.74"/>
    <n v="22429"/>
    <n v="555358"/>
    <n v="39491"/>
    <s v="Feb"/>
    <n v="2"/>
    <n v="2026"/>
    <s v="Weekday"/>
    <n v="0.3108108108108108"/>
    <n v="0.42666666666666669"/>
    <n v="7.6666666666666661E-2"/>
    <n v="1717"/>
    <s v="Bavaria Motors"/>
  </r>
  <r>
    <s v="CUST_2298"/>
    <x v="7"/>
    <x v="3"/>
    <s v="Monday"/>
    <s v="No"/>
    <x v="0"/>
    <x v="0"/>
    <s v="Hesse"/>
    <x v="0"/>
    <s v="i4"/>
    <s v="Petrol"/>
    <x v="1"/>
    <s v="18-25"/>
    <s v="Low"/>
    <x v="0"/>
    <x v="1"/>
    <s v="Sales_13"/>
    <n v="224"/>
    <n v="123"/>
    <n v="97"/>
    <n v="37"/>
    <s v="30.08"/>
    <n v="50940"/>
    <s v="2.13"/>
    <n v="39377"/>
    <n v="1884780"/>
    <n v="427831"/>
    <s v="Feb"/>
    <n v="2"/>
    <n v="2026"/>
    <s v="Weekday"/>
    <n v="0.38144329896907214"/>
    <n v="0.5491071428571429"/>
    <n v="0.16517857142857142"/>
    <n v="11563"/>
    <s v="Main Auto Hub"/>
  </r>
  <r>
    <s v="CUST_2299"/>
    <x v="13"/>
    <x v="0"/>
    <s v="Friday"/>
    <s v="No"/>
    <x v="6"/>
    <x v="6"/>
    <s v="Saxony"/>
    <x v="2"/>
    <s v="Q3"/>
    <s v="Hybrid"/>
    <x v="0"/>
    <s v="18-25"/>
    <s v="High"/>
    <x v="0"/>
    <x v="1"/>
    <s v="Sales_7"/>
    <n v="187"/>
    <n v="88"/>
    <n v="68"/>
    <n v="18"/>
    <s v="20.45"/>
    <n v="40092"/>
    <s v="4.64"/>
    <n v="31352"/>
    <n v="721656"/>
    <n v="157320"/>
    <s v="Feb"/>
    <n v="2"/>
    <n v="2026"/>
    <s v="Weekday"/>
    <n v="0.26470588235294118"/>
    <n v="0.47058823529411764"/>
    <n v="9.6256684491978606E-2"/>
    <n v="8740"/>
    <s v="Leipzig Mobility"/>
  </r>
  <r>
    <s v="CUST_2300"/>
    <x v="15"/>
    <x v="2"/>
    <s v="Thursday"/>
    <s v="No"/>
    <x v="2"/>
    <x v="2"/>
    <s v="Lower Saxony"/>
    <x v="2"/>
    <s v="Q3"/>
    <s v="Electric"/>
    <x v="0"/>
    <s v="50+"/>
    <s v="High"/>
    <x v="1"/>
    <x v="3"/>
    <s v="Sales_12"/>
    <n v="178"/>
    <n v="89"/>
    <n v="57"/>
    <n v="18"/>
    <s v="20.22"/>
    <n v="44946"/>
    <s v="4.32"/>
    <n v="36812"/>
    <n v="809028"/>
    <n v="146412"/>
    <s v="Feb"/>
    <n v="2"/>
    <n v="2026"/>
    <s v="Weekday"/>
    <n v="0.31578947368421051"/>
    <n v="0.5"/>
    <n v="0.10112359550561797"/>
    <n v="8134"/>
    <s v="Hannover Cars"/>
  </r>
  <r>
    <s v="CUST_2301"/>
    <x v="22"/>
    <x v="3"/>
    <s v="Tuesday"/>
    <s v="No"/>
    <x v="2"/>
    <x v="2"/>
    <s v="Lower Saxony"/>
    <x v="0"/>
    <s v="X5"/>
    <s v="Diesel"/>
    <x v="0"/>
    <s v="36-50"/>
    <s v="Low"/>
    <x v="0"/>
    <x v="3"/>
    <s v="Sales_18"/>
    <n v="153"/>
    <n v="94"/>
    <n v="72"/>
    <n v="25"/>
    <s v="26.6"/>
    <n v="51525"/>
    <s v="5.27"/>
    <n v="37979"/>
    <n v="1288125"/>
    <n v="338650"/>
    <s v="Feb"/>
    <n v="2"/>
    <n v="2026"/>
    <s v="Weekday"/>
    <n v="0.34722222222222221"/>
    <n v="0.6143790849673203"/>
    <n v="0.16339869281045752"/>
    <n v="13546"/>
    <s v="Hannover Cars"/>
  </r>
  <r>
    <s v="CUST_2302"/>
    <x v="18"/>
    <x v="0"/>
    <s v="Saturday"/>
    <s v="Yes"/>
    <x v="7"/>
    <x v="7"/>
    <s v="Bavaria"/>
    <x v="2"/>
    <s v="Q5"/>
    <s v="Petrol"/>
    <x v="0"/>
    <s v="26-35"/>
    <s v="Medium"/>
    <x v="1"/>
    <x v="3"/>
    <s v="Sales_14"/>
    <n v="274"/>
    <n v="172"/>
    <n v="119"/>
    <n v="38"/>
    <s v="22.09"/>
    <n v="47793"/>
    <s v="4.21"/>
    <n v="37038"/>
    <n v="1816134"/>
    <n v="408690"/>
    <s v="Feb"/>
    <n v="2"/>
    <n v="2026"/>
    <s v="Weekend"/>
    <n v="0.31932773109243695"/>
    <n v="0.62773722627737227"/>
    <n v="0.13868613138686131"/>
    <n v="10755"/>
    <s v="Bavaria Motors"/>
  </r>
  <r>
    <s v="CUST_2303"/>
    <x v="25"/>
    <x v="3"/>
    <s v="Friday"/>
    <s v="No"/>
    <x v="7"/>
    <x v="7"/>
    <s v="Bavaria"/>
    <x v="0"/>
    <s v="i4"/>
    <s v="Petrol"/>
    <x v="1"/>
    <s v="26-35"/>
    <s v="Low"/>
    <x v="1"/>
    <x v="2"/>
    <s v="Sales_19"/>
    <n v="229"/>
    <n v="112"/>
    <n v="82"/>
    <n v="36"/>
    <s v="32.14"/>
    <n v="58220"/>
    <s v="2.64"/>
    <n v="43630"/>
    <n v="2095920"/>
    <n v="525240"/>
    <s v="Feb"/>
    <n v="2"/>
    <n v="2026"/>
    <s v="Weekday"/>
    <n v="0.43902439024390244"/>
    <n v="0.48908296943231439"/>
    <n v="0.15720524017467249"/>
    <n v="14590"/>
    <s v="Bavaria Motors"/>
  </r>
  <r>
    <s v="CUST_2304"/>
    <x v="24"/>
    <x v="1"/>
    <s v="Thursday"/>
    <s v="No"/>
    <x v="8"/>
    <x v="8"/>
    <s v="Baden-WÃ¼rttemberg"/>
    <x v="2"/>
    <s v="A4"/>
    <s v="Petrol"/>
    <x v="1"/>
    <s v="50+"/>
    <s v="Medium"/>
    <x v="0"/>
    <x v="3"/>
    <s v="Sales_17"/>
    <n v="292"/>
    <n v="170"/>
    <n v="114"/>
    <n v="42"/>
    <s v="24.71"/>
    <n v="41422"/>
    <s v="3.07"/>
    <n v="31395"/>
    <n v="1739724"/>
    <n v="421134"/>
    <s v="Feb"/>
    <n v="2"/>
    <n v="2026"/>
    <s v="Weekday"/>
    <n v="0.36842105263157893"/>
    <n v="0.5821917808219178"/>
    <n v="0.14383561643835616"/>
    <n v="10027"/>
    <s v="Stuttgart Auto Center"/>
  </r>
  <r>
    <s v="CUST_2305"/>
    <x v="11"/>
    <x v="0"/>
    <s v="Wednesday"/>
    <s v="No"/>
    <x v="8"/>
    <x v="8"/>
    <s v="Baden-WÃ¼rttemberg"/>
    <x v="1"/>
    <s v="Mokka"/>
    <s v="Petrol"/>
    <x v="0"/>
    <s v="26-35"/>
    <s v="Low"/>
    <x v="0"/>
    <x v="1"/>
    <s v="Sales_19"/>
    <n v="221"/>
    <n v="84"/>
    <n v="56"/>
    <n v="14"/>
    <s v="16.67"/>
    <n v="23411"/>
    <s v="11.83"/>
    <n v="21756"/>
    <n v="327754"/>
    <n v="23170"/>
    <s v="Feb"/>
    <n v="2"/>
    <n v="2026"/>
    <s v="Weekday"/>
    <n v="0.25"/>
    <n v="0.38009049773755654"/>
    <n v="6.3348416289592757E-2"/>
    <n v="1655"/>
    <s v="Stuttgart Auto Center"/>
  </r>
  <r>
    <s v="CUST_2306"/>
    <x v="5"/>
    <x v="3"/>
    <s v="Saturday"/>
    <s v="Yes"/>
    <x v="9"/>
    <x v="9"/>
    <s v="NRW"/>
    <x v="0"/>
    <s v="3 Series"/>
    <s v="Electric"/>
    <x v="1"/>
    <s v="18-25"/>
    <s v="Medium"/>
    <x v="1"/>
    <x v="3"/>
    <s v="Sales_16"/>
    <n v="266"/>
    <n v="147"/>
    <n v="108"/>
    <n v="33"/>
    <s v="22.45"/>
    <n v="50480"/>
    <s v="2.99"/>
    <n v="35660"/>
    <n v="1665840"/>
    <n v="489060"/>
    <s v="Feb"/>
    <n v="2"/>
    <n v="2026"/>
    <s v="Weekend"/>
    <n v="0.30555555555555558"/>
    <n v="0.55263157894736847"/>
    <n v="0.12406015037593984"/>
    <n v="14820"/>
    <s v="Ruhr Auto Plaza"/>
  </r>
  <r>
    <s v="CUST_2307"/>
    <x v="11"/>
    <x v="0"/>
    <s v="Wednesday"/>
    <s v="No"/>
    <x v="3"/>
    <x v="3"/>
    <s v="Saxony"/>
    <x v="2"/>
    <s v="A4"/>
    <s v="Diesel"/>
    <x v="1"/>
    <s v="50+"/>
    <s v="High"/>
    <x v="0"/>
    <x v="0"/>
    <s v="Sales_4"/>
    <n v="261"/>
    <n v="155"/>
    <n v="107"/>
    <n v="29"/>
    <s v="18.71"/>
    <n v="53247"/>
    <s v="3.14"/>
    <n v="42681"/>
    <n v="1544163"/>
    <n v="306414"/>
    <s v="Feb"/>
    <n v="2"/>
    <n v="2026"/>
    <s v="Weekday"/>
    <n v="0.27102803738317754"/>
    <n v="0.5938697318007663"/>
    <n v="0.1111111111111111"/>
    <n v="10566"/>
    <s v="Saxon Wheels"/>
  </r>
  <r>
    <s v="CUST_2308"/>
    <x v="23"/>
    <x v="2"/>
    <s v="Tuesday"/>
    <s v="No"/>
    <x v="5"/>
    <x v="5"/>
    <s v="Hamburg"/>
    <x v="0"/>
    <s v="X3"/>
    <s v="Electric"/>
    <x v="0"/>
    <s v="18-25"/>
    <s v="High"/>
    <x v="0"/>
    <x v="0"/>
    <s v="Sales_2"/>
    <n v="264"/>
    <n v="146"/>
    <n v="111"/>
    <n v="39"/>
    <s v="26.71"/>
    <n v="60561"/>
    <s v="4.92"/>
    <n v="42837"/>
    <n v="2361879"/>
    <n v="691236"/>
    <s v="Feb"/>
    <n v="2"/>
    <n v="2026"/>
    <s v="Weekday"/>
    <n v="0.35135135135135137"/>
    <n v="0.55303030303030298"/>
    <n v="0.14772727272727273"/>
    <n v="17724"/>
    <s v="Elbe Drive"/>
  </r>
  <r>
    <s v="CUST_2309"/>
    <x v="5"/>
    <x v="3"/>
    <s v="Saturday"/>
    <s v="Yes"/>
    <x v="0"/>
    <x v="0"/>
    <s v="Hesse"/>
    <x v="0"/>
    <s v="5 Series"/>
    <s v="Electric"/>
    <x v="1"/>
    <s v="36-50"/>
    <s v="Medium"/>
    <x v="1"/>
    <x v="3"/>
    <s v="Sales_17"/>
    <n v="249"/>
    <n v="135"/>
    <n v="103"/>
    <n v="36"/>
    <s v="26.67"/>
    <n v="60124"/>
    <s v="3.73"/>
    <n v="42407"/>
    <n v="2164464"/>
    <n v="637812"/>
    <s v="Feb"/>
    <n v="2"/>
    <n v="2026"/>
    <s v="Weekend"/>
    <n v="0.34951456310679613"/>
    <n v="0.54216867469879515"/>
    <n v="0.14457831325301204"/>
    <n v="17717"/>
    <s v="Main Auto Hub"/>
  </r>
  <r>
    <s v="CUST_2310"/>
    <x v="20"/>
    <x v="0"/>
    <s v="Thursday"/>
    <s v="No"/>
    <x v="6"/>
    <x v="6"/>
    <s v="Saxony"/>
    <x v="3"/>
    <s v="GLE"/>
    <s v="Petrol"/>
    <x v="0"/>
    <s v="36-50"/>
    <s v="High"/>
    <x v="1"/>
    <x v="1"/>
    <s v="Sales_9"/>
    <n v="195"/>
    <n v="88"/>
    <n v="67"/>
    <n v="23"/>
    <s v="26.14"/>
    <n v="62346"/>
    <s v="3.5"/>
    <n v="46137"/>
    <n v="1433958"/>
    <n v="372807"/>
    <s v="Feb"/>
    <n v="2"/>
    <n v="2026"/>
    <s v="Weekday"/>
    <n v="0.34328358208955223"/>
    <n v="0.45128205128205129"/>
    <n v="0.11794871794871795"/>
    <n v="16209"/>
    <s v="Leipzig Mobility"/>
  </r>
  <r>
    <s v="CUST_2311"/>
    <x v="19"/>
    <x v="1"/>
    <s v="Saturday"/>
    <s v="Yes"/>
    <x v="3"/>
    <x v="3"/>
    <s v="Saxony"/>
    <x v="1"/>
    <s v="Corsa"/>
    <s v="Hybrid"/>
    <x v="2"/>
    <s v="26-35"/>
    <s v="High"/>
    <x v="1"/>
    <x v="3"/>
    <s v="Sales_4"/>
    <n v="310"/>
    <n v="168"/>
    <n v="94"/>
    <n v="18"/>
    <s v="10.71"/>
    <n v="25390"/>
    <s v="7.76"/>
    <n v="23479"/>
    <n v="457020"/>
    <n v="34398"/>
    <s v="Feb"/>
    <n v="2"/>
    <n v="2026"/>
    <s v="Weekend"/>
    <n v="0.19148936170212766"/>
    <n v="0.54193548387096779"/>
    <n v="5.8064516129032261E-2"/>
    <n v="1911"/>
    <s v="Saxon Wheels"/>
  </r>
  <r>
    <s v="CUST_2312"/>
    <x v="22"/>
    <x v="3"/>
    <s v="Tuesday"/>
    <s v="No"/>
    <x v="7"/>
    <x v="7"/>
    <s v="Bavaria"/>
    <x v="1"/>
    <s v="Astra"/>
    <s v="Diesel"/>
    <x v="2"/>
    <s v="26-35"/>
    <s v="Medium"/>
    <x v="1"/>
    <x v="1"/>
    <s v="Sales_11"/>
    <n v="322"/>
    <n v="161"/>
    <n v="106"/>
    <n v="28"/>
    <s v="17.39"/>
    <n v="23838"/>
    <s v="13.89"/>
    <n v="21567"/>
    <n v="667464"/>
    <n v="63588"/>
    <s v="Feb"/>
    <n v="2"/>
    <n v="2026"/>
    <s v="Weekday"/>
    <n v="0.26415094339622641"/>
    <n v="0.5"/>
    <n v="8.6956521739130432E-2"/>
    <n v="2271"/>
    <s v="Bavaria Motors"/>
  </r>
  <r>
    <s v="CUST_2313"/>
    <x v="16"/>
    <x v="1"/>
    <s v="Tuesday"/>
    <s v="No"/>
    <x v="4"/>
    <x v="4"/>
    <s v="Berlin"/>
    <x v="2"/>
    <s v="A3"/>
    <s v="Petrol"/>
    <x v="2"/>
    <s v="18-25"/>
    <s v="Medium"/>
    <x v="0"/>
    <x v="3"/>
    <s v="Sales_15"/>
    <n v="212"/>
    <n v="102"/>
    <n v="79"/>
    <n v="22"/>
    <s v="21.57"/>
    <n v="47301"/>
    <s v="4.81"/>
    <n v="35691"/>
    <n v="1040622"/>
    <n v="255420"/>
    <s v="Feb"/>
    <n v="2"/>
    <n v="2026"/>
    <s v="Weekday"/>
    <n v="0.27848101265822783"/>
    <n v="0.48113207547169812"/>
    <n v="0.10377358490566038"/>
    <n v="11610"/>
    <s v="Autohaus Berlin"/>
  </r>
  <r>
    <s v="CUST_2314"/>
    <x v="12"/>
    <x v="3"/>
    <s v="Thursday"/>
    <s v="No"/>
    <x v="8"/>
    <x v="8"/>
    <s v="Baden-WÃ¼rttemberg"/>
    <x v="1"/>
    <s v="Grandland"/>
    <s v="Diesel"/>
    <x v="0"/>
    <s v="18-25"/>
    <s v="High"/>
    <x v="0"/>
    <x v="2"/>
    <s v="Sales_9"/>
    <n v="308"/>
    <n v="135"/>
    <n v="93"/>
    <n v="28"/>
    <s v="20.74"/>
    <n v="26186"/>
    <s v="10.99"/>
    <n v="24226"/>
    <n v="733208"/>
    <n v="54880"/>
    <s v="Feb"/>
    <n v="2"/>
    <n v="2026"/>
    <s v="Weekday"/>
    <n v="0.30107526881720431"/>
    <n v="0.43831168831168832"/>
    <n v="9.0909090909090912E-2"/>
    <n v="1960"/>
    <s v="Stuttgart Auto Center"/>
  </r>
  <r>
    <s v="CUST_2315"/>
    <x v="18"/>
    <x v="0"/>
    <s v="Saturday"/>
    <s v="Yes"/>
    <x v="6"/>
    <x v="6"/>
    <s v="Saxony"/>
    <x v="0"/>
    <s v="i4"/>
    <s v="Electric"/>
    <x v="1"/>
    <s v="18-25"/>
    <s v="Medium"/>
    <x v="1"/>
    <x v="0"/>
    <s v="Sales_17"/>
    <n v="231"/>
    <n v="139"/>
    <n v="98"/>
    <n v="30"/>
    <s v="21.58"/>
    <n v="56301"/>
    <s v="2.88"/>
    <n v="41627"/>
    <n v="1689030"/>
    <n v="440220"/>
    <s v="Feb"/>
    <n v="2"/>
    <n v="2026"/>
    <s v="Weekend"/>
    <n v="0.30612244897959184"/>
    <n v="0.60173160173160178"/>
    <n v="0.12987012987012986"/>
    <n v="14674"/>
    <s v="Leipzig Mobility"/>
  </r>
  <r>
    <s v="CUST_2316"/>
    <x v="21"/>
    <x v="0"/>
    <s v="Tuesday"/>
    <s v="No"/>
    <x v="9"/>
    <x v="9"/>
    <s v="NRW"/>
    <x v="0"/>
    <s v="5 Series"/>
    <s v="Diesel"/>
    <x v="1"/>
    <s v="50+"/>
    <s v="High"/>
    <x v="1"/>
    <x v="0"/>
    <s v="Sales_11"/>
    <n v="216"/>
    <n v="116"/>
    <n v="86"/>
    <n v="31"/>
    <s v="26.72"/>
    <n v="65288"/>
    <s v="5.01"/>
    <n v="47680"/>
    <n v="2023928"/>
    <n v="545848"/>
    <s v="Feb"/>
    <n v="2"/>
    <n v="2026"/>
    <s v="Weekday"/>
    <n v="0.36046511627906974"/>
    <n v="0.53703703703703709"/>
    <n v="0.14351851851851852"/>
    <n v="17608"/>
    <s v="Ruhr Auto Plaza"/>
  </r>
  <r>
    <s v="CUST_2317"/>
    <x v="13"/>
    <x v="0"/>
    <s v="Friday"/>
    <s v="No"/>
    <x v="1"/>
    <x v="1"/>
    <s v="NRW"/>
    <x v="3"/>
    <s v="C-Class"/>
    <s v="Diesel"/>
    <x v="1"/>
    <s v="26-35"/>
    <s v="Medium"/>
    <x v="0"/>
    <x v="0"/>
    <s v="Sales_6"/>
    <n v="224"/>
    <n v="120"/>
    <n v="79"/>
    <n v="32"/>
    <s v="26.67"/>
    <n v="70044"/>
    <s v="3.82"/>
    <n v="51606"/>
    <n v="2241408"/>
    <n v="590016"/>
    <s v="Feb"/>
    <n v="2"/>
    <n v="2026"/>
    <s v="Weekday"/>
    <n v="0.4050632911392405"/>
    <n v="0.5357142857142857"/>
    <n v="0.14285714285714285"/>
    <n v="18438"/>
    <s v="Rhein Auto Group"/>
  </r>
  <r>
    <s v="CUST_2318"/>
    <x v="9"/>
    <x v="0"/>
    <s v="Sunday"/>
    <s v="Yes"/>
    <x v="5"/>
    <x v="5"/>
    <s v="Hamburg"/>
    <x v="4"/>
    <s v="Golf"/>
    <s v="Hybrid"/>
    <x v="2"/>
    <s v="50+"/>
    <s v="High"/>
    <x v="0"/>
    <x v="1"/>
    <s v="Sales_5"/>
    <n v="376"/>
    <n v="187"/>
    <n v="130"/>
    <n v="33"/>
    <s v="17.65"/>
    <n v="26785"/>
    <s v="9.88"/>
    <n v="24365"/>
    <n v="883905"/>
    <n v="79860"/>
    <s v="Feb"/>
    <n v="2"/>
    <n v="2026"/>
    <s v="Weekend"/>
    <n v="0.25384615384615383"/>
    <n v="0.49734042553191488"/>
    <n v="8.7765957446808512E-2"/>
    <n v="2420"/>
    <s v="Elbe Drive"/>
  </r>
  <r>
    <s v="CUST_2319"/>
    <x v="5"/>
    <x v="3"/>
    <s v="Saturday"/>
    <s v="Yes"/>
    <x v="3"/>
    <x v="3"/>
    <s v="Saxony"/>
    <x v="4"/>
    <s v="Passat"/>
    <s v="Petrol"/>
    <x v="1"/>
    <s v="26-35"/>
    <s v="Low"/>
    <x v="0"/>
    <x v="3"/>
    <s v="Sales_2"/>
    <n v="506"/>
    <n v="217"/>
    <n v="143"/>
    <n v="35"/>
    <s v="16.13"/>
    <n v="34058"/>
    <s v="9.93"/>
    <n v="30807"/>
    <n v="1192030"/>
    <n v="113785"/>
    <s v="Feb"/>
    <n v="2"/>
    <n v="2026"/>
    <s v="Weekend"/>
    <n v="0.24475524475524477"/>
    <n v="0.42885375494071148"/>
    <n v="6.9169960474308304E-2"/>
    <n v="3251"/>
    <s v="Saxon Wheels"/>
  </r>
  <r>
    <s v="CUST_2320"/>
    <x v="25"/>
    <x v="3"/>
    <s v="Friday"/>
    <s v="No"/>
    <x v="3"/>
    <x v="3"/>
    <s v="Saxony"/>
    <x v="3"/>
    <s v="C-Class"/>
    <s v="Petrol"/>
    <x v="1"/>
    <s v="18-25"/>
    <s v="Low"/>
    <x v="1"/>
    <x v="0"/>
    <s v="Sales_16"/>
    <n v="177"/>
    <n v="80"/>
    <n v="56"/>
    <n v="16"/>
    <s v="20.0"/>
    <n v="52623"/>
    <s v="3.68"/>
    <n v="41287"/>
    <n v="841968"/>
    <n v="181376"/>
    <s v="Feb"/>
    <n v="2"/>
    <n v="2026"/>
    <s v="Weekday"/>
    <n v="0.2857142857142857"/>
    <n v="0.4519774011299435"/>
    <n v="9.03954802259887E-2"/>
    <n v="11336"/>
    <s v="Saxon Wheels"/>
  </r>
  <r>
    <s v="CUST_2321"/>
    <x v="12"/>
    <x v="3"/>
    <s v="Thursday"/>
    <s v="No"/>
    <x v="2"/>
    <x v="2"/>
    <s v="Lower Saxony"/>
    <x v="0"/>
    <s v="X5"/>
    <s v="Hybrid"/>
    <x v="0"/>
    <s v="26-35"/>
    <s v="Medium"/>
    <x v="1"/>
    <x v="1"/>
    <s v="Sales_12"/>
    <n v="271"/>
    <n v="149"/>
    <n v="117"/>
    <n v="44"/>
    <s v="29.53"/>
    <n v="55912"/>
    <s v="5.32"/>
    <n v="39931"/>
    <n v="2460128"/>
    <n v="703164"/>
    <s v="Feb"/>
    <n v="2"/>
    <n v="2026"/>
    <s v="Weekday"/>
    <n v="0.37606837606837606"/>
    <n v="0.54981549815498154"/>
    <n v="0.16236162361623616"/>
    <n v="15981"/>
    <s v="Hannover Cars"/>
  </r>
  <r>
    <s v="CUST_2322"/>
    <x v="0"/>
    <x v="0"/>
    <s v="Monday"/>
    <s v="No"/>
    <x v="9"/>
    <x v="9"/>
    <s v="NRW"/>
    <x v="0"/>
    <s v="X3"/>
    <s v="Petrol"/>
    <x v="0"/>
    <s v="36-50"/>
    <s v="Low"/>
    <x v="1"/>
    <x v="0"/>
    <s v="Sales_4"/>
    <n v="242"/>
    <n v="145"/>
    <n v="111"/>
    <n v="33"/>
    <s v="22.76"/>
    <n v="56544"/>
    <s v="5.85"/>
    <n v="44078"/>
    <n v="1865952"/>
    <n v="411378"/>
    <s v="Feb"/>
    <n v="2"/>
    <n v="2026"/>
    <s v="Weekday"/>
    <n v="0.29729729729729731"/>
    <n v="0.59917355371900827"/>
    <n v="0.13636363636363635"/>
    <n v="12466"/>
    <s v="Ruhr Auto Plaza"/>
  </r>
  <r>
    <s v="CUST_2323"/>
    <x v="3"/>
    <x v="1"/>
    <s v="Sunday"/>
    <s v="Yes"/>
    <x v="7"/>
    <x v="7"/>
    <s v="Bavaria"/>
    <x v="0"/>
    <s v="5 Series"/>
    <s v="Diesel"/>
    <x v="1"/>
    <s v="26-35"/>
    <s v="Low"/>
    <x v="0"/>
    <x v="0"/>
    <s v="Sales_16"/>
    <n v="204"/>
    <n v="110"/>
    <n v="77"/>
    <n v="33"/>
    <s v="30.0"/>
    <n v="64024"/>
    <s v="5.41"/>
    <n v="47333"/>
    <n v="2112792"/>
    <n v="550803"/>
    <s v="Feb"/>
    <n v="2"/>
    <n v="2026"/>
    <s v="Weekend"/>
    <n v="0.42857142857142855"/>
    <n v="0.53921568627450978"/>
    <n v="0.16176470588235295"/>
    <n v="16691"/>
    <s v="Bavaria Motors"/>
  </r>
  <r>
    <s v="CUST_2324"/>
    <x v="4"/>
    <x v="2"/>
    <s v="Wednesday"/>
    <s v="No"/>
    <x v="1"/>
    <x v="1"/>
    <s v="NRW"/>
    <x v="1"/>
    <s v="Crossland"/>
    <s v="Electric"/>
    <x v="0"/>
    <s v="18-25"/>
    <s v="High"/>
    <x v="0"/>
    <x v="3"/>
    <s v="Sales_3"/>
    <n v="286"/>
    <n v="155"/>
    <n v="89"/>
    <n v="22"/>
    <s v="14.19"/>
    <n v="23118"/>
    <s v="11.94"/>
    <n v="21093"/>
    <n v="508596"/>
    <n v="44550"/>
    <s v="Feb"/>
    <n v="2"/>
    <n v="2026"/>
    <s v="Weekday"/>
    <n v="0.24719101123595505"/>
    <n v="0.54195804195804198"/>
    <n v="7.6923076923076927E-2"/>
    <n v="2025"/>
    <s v="Rhein Auto Group"/>
  </r>
  <r>
    <s v="CUST_2325"/>
    <x v="22"/>
    <x v="3"/>
    <s v="Tuesday"/>
    <s v="No"/>
    <x v="0"/>
    <x v="0"/>
    <s v="Hesse"/>
    <x v="2"/>
    <s v="Q3"/>
    <s v="Diesel"/>
    <x v="0"/>
    <s v="26-35"/>
    <s v="Low"/>
    <x v="1"/>
    <x v="1"/>
    <s v="Sales_6"/>
    <n v="204"/>
    <n v="100"/>
    <n v="68"/>
    <n v="22"/>
    <s v="22.0"/>
    <n v="46948"/>
    <s v="6.81"/>
    <n v="37360"/>
    <n v="1032856"/>
    <n v="210936"/>
    <s v="Feb"/>
    <n v="2"/>
    <n v="2026"/>
    <s v="Weekday"/>
    <n v="0.3235294117647059"/>
    <n v="0.49019607843137253"/>
    <n v="0.10784313725490197"/>
    <n v="9588"/>
    <s v="Main Auto Hub"/>
  </r>
  <r>
    <s v="CUST_2326"/>
    <x v="25"/>
    <x v="3"/>
    <s v="Friday"/>
    <s v="No"/>
    <x v="7"/>
    <x v="7"/>
    <s v="Bavaria"/>
    <x v="3"/>
    <s v="EQE"/>
    <s v="Electric"/>
    <x v="1"/>
    <s v="50+"/>
    <s v="High"/>
    <x v="1"/>
    <x v="2"/>
    <s v="Sales_19"/>
    <n v="174"/>
    <n v="90"/>
    <n v="61"/>
    <n v="25"/>
    <s v="27.78"/>
    <n v="50783"/>
    <s v="2.84"/>
    <n v="36980"/>
    <n v="1269575"/>
    <n v="345075"/>
    <s v="Feb"/>
    <n v="2"/>
    <n v="2026"/>
    <s v="Weekday"/>
    <n v="0.4098360655737705"/>
    <n v="0.51724137931034486"/>
    <n v="0.14367816091954022"/>
    <n v="13803"/>
    <s v="Bavaria Motors"/>
  </r>
  <r>
    <s v="CUST_2327"/>
    <x v="25"/>
    <x v="3"/>
    <s v="Friday"/>
    <s v="No"/>
    <x v="1"/>
    <x v="1"/>
    <s v="NRW"/>
    <x v="4"/>
    <s v="ID.4"/>
    <s v="Hybrid"/>
    <x v="0"/>
    <s v="50+"/>
    <s v="Medium"/>
    <x v="0"/>
    <x v="3"/>
    <s v="Sales_15"/>
    <n v="517"/>
    <n v="236"/>
    <n v="156"/>
    <n v="40"/>
    <s v="16.95"/>
    <n v="26201"/>
    <s v="8.91"/>
    <n v="23245"/>
    <n v="1048040"/>
    <n v="118240"/>
    <s v="Feb"/>
    <n v="2"/>
    <n v="2026"/>
    <s v="Weekday"/>
    <n v="0.25641025641025639"/>
    <n v="0.45647969052224369"/>
    <n v="7.7369439071566737E-2"/>
    <n v="2956"/>
    <s v="Rhein Auto Group"/>
  </r>
  <r>
    <s v="CUST_2328"/>
    <x v="8"/>
    <x v="3"/>
    <s v="Wednesday"/>
    <s v="No"/>
    <x v="2"/>
    <x v="2"/>
    <s v="Lower Saxony"/>
    <x v="1"/>
    <s v="Astra"/>
    <s v="Petrol"/>
    <x v="2"/>
    <s v="50+"/>
    <s v="Medium"/>
    <x v="0"/>
    <x v="2"/>
    <s v="Sales_4"/>
    <n v="359"/>
    <n v="154"/>
    <n v="97"/>
    <n v="28"/>
    <s v="18.18"/>
    <n v="22969"/>
    <s v="7.97"/>
    <n v="20781"/>
    <n v="643132"/>
    <n v="61264"/>
    <s v="Feb"/>
    <n v="2"/>
    <n v="2026"/>
    <s v="Weekday"/>
    <n v="0.28865979381443296"/>
    <n v="0.42896935933147634"/>
    <n v="7.7994428969359333E-2"/>
    <n v="2188"/>
    <s v="Hannover Cars"/>
  </r>
  <r>
    <s v="CUST_2329"/>
    <x v="6"/>
    <x v="2"/>
    <s v="Saturday"/>
    <s v="Yes"/>
    <x v="9"/>
    <x v="9"/>
    <s v="NRW"/>
    <x v="4"/>
    <s v="Passat"/>
    <s v="Electric"/>
    <x v="1"/>
    <s v="36-50"/>
    <s v="High"/>
    <x v="0"/>
    <x v="1"/>
    <s v="Sales_10"/>
    <n v="305"/>
    <n v="140"/>
    <n v="97"/>
    <n v="21"/>
    <s v="15.0"/>
    <n v="33511"/>
    <s v="6.23"/>
    <n v="30473"/>
    <n v="703731"/>
    <n v="63798"/>
    <s v="Feb"/>
    <n v="2"/>
    <n v="2026"/>
    <s v="Weekend"/>
    <n v="0.21649484536082475"/>
    <n v="0.45901639344262296"/>
    <n v="6.8852459016393447E-2"/>
    <n v="3038"/>
    <s v="Ruhr Auto Plaza"/>
  </r>
  <r>
    <s v="CUST_2330"/>
    <x v="4"/>
    <x v="2"/>
    <s v="Wednesday"/>
    <s v="No"/>
    <x v="3"/>
    <x v="3"/>
    <s v="Saxony"/>
    <x v="0"/>
    <s v="5 Series"/>
    <s v="Petrol"/>
    <x v="1"/>
    <s v="26-35"/>
    <s v="Low"/>
    <x v="1"/>
    <x v="0"/>
    <s v="Sales_14"/>
    <n v="162"/>
    <n v="95"/>
    <n v="77"/>
    <n v="26"/>
    <s v="27.37"/>
    <n v="67994"/>
    <s v="3.99"/>
    <n v="51862"/>
    <n v="1767844"/>
    <n v="419432"/>
    <s v="Feb"/>
    <n v="2"/>
    <n v="2026"/>
    <s v="Weekday"/>
    <n v="0.33766233766233766"/>
    <n v="0.5864197530864198"/>
    <n v="0.16049382716049382"/>
    <n v="16132"/>
    <s v="Saxon Wheels"/>
  </r>
  <r>
    <s v="CUST_2331"/>
    <x v="26"/>
    <x v="1"/>
    <s v="Friday"/>
    <s v="No"/>
    <x v="4"/>
    <x v="4"/>
    <s v="Berlin"/>
    <x v="2"/>
    <s v="Q5"/>
    <s v="Petrol"/>
    <x v="0"/>
    <s v="26-35"/>
    <s v="Medium"/>
    <x v="0"/>
    <x v="1"/>
    <s v="Sales_5"/>
    <n v="320"/>
    <n v="198"/>
    <n v="128"/>
    <n v="53"/>
    <s v="26.77"/>
    <n v="53611"/>
    <s v="4.13"/>
    <n v="43350"/>
    <n v="2841383"/>
    <n v="543833"/>
    <s v="Feb"/>
    <n v="2"/>
    <n v="2026"/>
    <s v="Weekday"/>
    <n v="0.4140625"/>
    <n v="0.61875000000000002"/>
    <n v="0.16562499999999999"/>
    <n v="10261"/>
    <s v="Autohaus Berlin"/>
  </r>
  <r>
    <s v="CUST_2332"/>
    <x v="11"/>
    <x v="0"/>
    <s v="Wednesday"/>
    <s v="No"/>
    <x v="9"/>
    <x v="9"/>
    <s v="NRW"/>
    <x v="3"/>
    <s v="E-Class"/>
    <s v="Diesel"/>
    <x v="1"/>
    <s v="26-35"/>
    <s v="Medium"/>
    <x v="0"/>
    <x v="3"/>
    <s v="Sales_8"/>
    <n v="145"/>
    <n v="70"/>
    <n v="52"/>
    <n v="16"/>
    <s v="22.86"/>
    <n v="53652"/>
    <s v="3.21"/>
    <n v="40857"/>
    <n v="858432"/>
    <n v="204720"/>
    <s v="Feb"/>
    <n v="2"/>
    <n v="2026"/>
    <s v="Weekday"/>
    <n v="0.30769230769230771"/>
    <n v="0.48275862068965519"/>
    <n v="0.1103448275862069"/>
    <n v="12795"/>
    <s v="Ruhr Auto Plaza"/>
  </r>
  <r>
    <s v="CUST_2333"/>
    <x v="12"/>
    <x v="3"/>
    <s v="Thursday"/>
    <s v="No"/>
    <x v="2"/>
    <x v="2"/>
    <s v="Lower Saxony"/>
    <x v="3"/>
    <s v="GLE"/>
    <s v="Diesel"/>
    <x v="0"/>
    <s v="50+"/>
    <s v="Medium"/>
    <x v="0"/>
    <x v="0"/>
    <s v="Sales_20"/>
    <n v="226"/>
    <n v="118"/>
    <n v="92"/>
    <n v="27"/>
    <s v="22.88"/>
    <n v="59186"/>
    <s v="4.8"/>
    <n v="45706"/>
    <n v="1598022"/>
    <n v="363960"/>
    <s v="Feb"/>
    <n v="2"/>
    <n v="2026"/>
    <s v="Weekday"/>
    <n v="0.29347826086956524"/>
    <n v="0.52212389380530977"/>
    <n v="0.11946902654867257"/>
    <n v="13480"/>
    <s v="Hannover Cars"/>
  </r>
  <r>
    <s v="CUST_2334"/>
    <x v="7"/>
    <x v="3"/>
    <s v="Monday"/>
    <s v="No"/>
    <x v="4"/>
    <x v="4"/>
    <s v="Berlin"/>
    <x v="1"/>
    <s v="Crossland"/>
    <s v="Electric"/>
    <x v="0"/>
    <s v="18-25"/>
    <s v="Medium"/>
    <x v="0"/>
    <x v="3"/>
    <s v="Sales_17"/>
    <n v="268"/>
    <n v="141"/>
    <n v="89"/>
    <n v="27"/>
    <s v="19.15"/>
    <n v="26641"/>
    <s v="11.07"/>
    <n v="23752"/>
    <n v="719307"/>
    <n v="78003"/>
    <s v="Feb"/>
    <n v="2"/>
    <n v="2026"/>
    <s v="Weekday"/>
    <n v="0.30337078651685395"/>
    <n v="0.52611940298507465"/>
    <n v="0.10074626865671642"/>
    <n v="2889"/>
    <s v="Autohaus Berlin"/>
  </r>
  <r>
    <s v="CUST_2335"/>
    <x v="11"/>
    <x v="0"/>
    <s v="Wednesday"/>
    <s v="No"/>
    <x v="9"/>
    <x v="9"/>
    <s v="NRW"/>
    <x v="4"/>
    <s v="Passat"/>
    <s v="Diesel"/>
    <x v="1"/>
    <s v="18-25"/>
    <s v="Medium"/>
    <x v="1"/>
    <x v="3"/>
    <s v="Sales_5"/>
    <n v="339"/>
    <n v="166"/>
    <n v="116"/>
    <n v="22"/>
    <s v="13.25"/>
    <n v="31091"/>
    <s v="11.62"/>
    <n v="27045"/>
    <n v="684002"/>
    <n v="89012"/>
    <s v="Feb"/>
    <n v="2"/>
    <n v="2026"/>
    <s v="Weekday"/>
    <n v="0.18965517241379309"/>
    <n v="0.48967551622418881"/>
    <n v="6.4896755162241887E-2"/>
    <n v="4046"/>
    <s v="Ruhr Auto Plaza"/>
  </r>
  <r>
    <s v="CUST_2336"/>
    <x v="18"/>
    <x v="0"/>
    <s v="Saturday"/>
    <s v="Yes"/>
    <x v="3"/>
    <x v="3"/>
    <s v="Saxony"/>
    <x v="3"/>
    <s v="GLE"/>
    <s v="Petrol"/>
    <x v="0"/>
    <s v="50+"/>
    <s v="High"/>
    <x v="0"/>
    <x v="2"/>
    <s v="Sales_11"/>
    <n v="217"/>
    <n v="115"/>
    <n v="91"/>
    <n v="29"/>
    <s v="25.22"/>
    <n v="58638"/>
    <s v="4.89"/>
    <n v="42052"/>
    <n v="1700502"/>
    <n v="480994"/>
    <s v="Feb"/>
    <n v="2"/>
    <n v="2026"/>
    <s v="Weekend"/>
    <n v="0.31868131868131866"/>
    <n v="0.52995391705069128"/>
    <n v="0.13364055299539171"/>
    <n v="16586"/>
    <s v="Saxon Wheels"/>
  </r>
  <r>
    <s v="CUST_2337"/>
    <x v="0"/>
    <x v="0"/>
    <s v="Monday"/>
    <s v="No"/>
    <x v="0"/>
    <x v="0"/>
    <s v="Hesse"/>
    <x v="0"/>
    <s v="X5"/>
    <s v="Diesel"/>
    <x v="0"/>
    <s v="26-35"/>
    <s v="Low"/>
    <x v="0"/>
    <x v="2"/>
    <s v="Sales_17"/>
    <n v="221"/>
    <n v="124"/>
    <n v="99"/>
    <n v="41"/>
    <s v="33.06"/>
    <n v="60992"/>
    <s v="4.06"/>
    <n v="46536"/>
    <n v="2500672"/>
    <n v="592696"/>
    <s v="Feb"/>
    <n v="2"/>
    <n v="2026"/>
    <s v="Weekday"/>
    <n v="0.41414141414141414"/>
    <n v="0.56108597285067874"/>
    <n v="0.18552036199095023"/>
    <n v="14456"/>
    <s v="Main Auto Hub"/>
  </r>
  <r>
    <s v="CUST_2338"/>
    <x v="6"/>
    <x v="2"/>
    <s v="Saturday"/>
    <s v="Yes"/>
    <x v="3"/>
    <x v="3"/>
    <s v="Saxony"/>
    <x v="1"/>
    <s v="Crossland"/>
    <s v="Hybrid"/>
    <x v="0"/>
    <s v="50+"/>
    <s v="High"/>
    <x v="1"/>
    <x v="3"/>
    <s v="Sales_8"/>
    <n v="295"/>
    <n v="164"/>
    <n v="93"/>
    <n v="23"/>
    <s v="14.02"/>
    <n v="19870"/>
    <s v="11.97"/>
    <n v="18281"/>
    <n v="457010"/>
    <n v="36547"/>
    <s v="Feb"/>
    <n v="2"/>
    <n v="2026"/>
    <s v="Weekend"/>
    <n v="0.24731182795698925"/>
    <n v="0.55593220338983051"/>
    <n v="7.796610169491526E-2"/>
    <n v="1589"/>
    <s v="Saxon Wheels"/>
  </r>
  <r>
    <s v="CUST_2339"/>
    <x v="10"/>
    <x v="1"/>
    <s v="Monday"/>
    <s v="No"/>
    <x v="5"/>
    <x v="5"/>
    <s v="Hamburg"/>
    <x v="3"/>
    <s v="GLE"/>
    <s v="Diesel"/>
    <x v="0"/>
    <s v="26-35"/>
    <s v="High"/>
    <x v="0"/>
    <x v="2"/>
    <s v="Sales_10"/>
    <n v="217"/>
    <n v="103"/>
    <n v="77"/>
    <n v="28"/>
    <s v="27.18"/>
    <n v="53957"/>
    <s v="4.73"/>
    <n v="42007"/>
    <n v="1510796"/>
    <n v="334600"/>
    <s v="Feb"/>
    <n v="2"/>
    <n v="2026"/>
    <s v="Weekday"/>
    <n v="0.36363636363636365"/>
    <n v="0.47465437788018433"/>
    <n v="0.12903225806451613"/>
    <n v="11950"/>
    <s v="Elbe Drive"/>
  </r>
  <r>
    <s v="CUST_2340"/>
    <x v="16"/>
    <x v="1"/>
    <s v="Tuesday"/>
    <s v="No"/>
    <x v="2"/>
    <x v="2"/>
    <s v="Lower Saxony"/>
    <x v="4"/>
    <s v="T-Roc"/>
    <s v="Electric"/>
    <x v="0"/>
    <s v="36-50"/>
    <s v="Low"/>
    <x v="0"/>
    <x v="3"/>
    <s v="Sales_3"/>
    <n v="421"/>
    <n v="179"/>
    <n v="125"/>
    <n v="28"/>
    <s v="15.64"/>
    <n v="30436"/>
    <s v="7.09"/>
    <n v="27066"/>
    <n v="852208"/>
    <n v="94360"/>
    <s v="Feb"/>
    <n v="2"/>
    <n v="2026"/>
    <s v="Weekday"/>
    <n v="0.224"/>
    <n v="0.42517814726840852"/>
    <n v="6.6508313539192399E-2"/>
    <n v="3370"/>
    <s v="Hannover Cars"/>
  </r>
  <r>
    <s v="CUST_2341"/>
    <x v="9"/>
    <x v="0"/>
    <s v="Sunday"/>
    <s v="Yes"/>
    <x v="4"/>
    <x v="4"/>
    <s v="Berlin"/>
    <x v="4"/>
    <s v="T-Roc"/>
    <s v="Petrol"/>
    <x v="0"/>
    <s v="50+"/>
    <s v="Medium"/>
    <x v="1"/>
    <x v="2"/>
    <s v="Sales_6"/>
    <n v="301"/>
    <n v="137"/>
    <n v="94"/>
    <n v="27"/>
    <s v="19.71"/>
    <n v="32399"/>
    <s v="8.43"/>
    <n v="29438"/>
    <n v="874773"/>
    <n v="79947"/>
    <s v="Feb"/>
    <n v="2"/>
    <n v="2026"/>
    <s v="Weekend"/>
    <n v="0.28723404255319152"/>
    <n v="0.45514950166112955"/>
    <n v="8.9700996677740868E-2"/>
    <n v="2961"/>
    <s v="Autohaus Berlin"/>
  </r>
  <r>
    <s v="CUST_2342"/>
    <x v="0"/>
    <x v="0"/>
    <s v="Monday"/>
    <s v="No"/>
    <x v="2"/>
    <x v="2"/>
    <s v="Lower Saxony"/>
    <x v="2"/>
    <s v="e-tron"/>
    <s v="Diesel"/>
    <x v="0"/>
    <s v="50+"/>
    <s v="High"/>
    <x v="1"/>
    <x v="1"/>
    <s v="Sales_12"/>
    <n v="165"/>
    <n v="94"/>
    <n v="73"/>
    <n v="22"/>
    <s v="23.4"/>
    <n v="54133"/>
    <s v="6.33"/>
    <n v="42956"/>
    <n v="1190926"/>
    <n v="245894"/>
    <s v="Feb"/>
    <n v="2"/>
    <n v="2026"/>
    <s v="Weekday"/>
    <n v="0.30136986301369861"/>
    <n v="0.5696969696969697"/>
    <n v="0.13333333333333333"/>
    <n v="11177"/>
    <s v="Hannover Cars"/>
  </r>
  <r>
    <s v="CUST_2343"/>
    <x v="12"/>
    <x v="3"/>
    <s v="Thursday"/>
    <s v="No"/>
    <x v="7"/>
    <x v="7"/>
    <s v="Bavaria"/>
    <x v="3"/>
    <s v="E-Class"/>
    <s v="Petrol"/>
    <x v="1"/>
    <s v="36-50"/>
    <s v="Medium"/>
    <x v="1"/>
    <x v="1"/>
    <s v="Sales_5"/>
    <n v="224"/>
    <n v="102"/>
    <n v="78"/>
    <n v="29"/>
    <s v="28.43"/>
    <n v="65119"/>
    <s v="5.27"/>
    <n v="47482"/>
    <n v="1888451"/>
    <n v="511473"/>
    <s v="Feb"/>
    <n v="2"/>
    <n v="2026"/>
    <s v="Weekday"/>
    <n v="0.37179487179487181"/>
    <n v="0.45535714285714285"/>
    <n v="0.12946428571428573"/>
    <n v="17637"/>
    <s v="Bavaria Motors"/>
  </r>
  <r>
    <s v="CUST_2344"/>
    <x v="0"/>
    <x v="0"/>
    <s v="Monday"/>
    <s v="No"/>
    <x v="3"/>
    <x v="3"/>
    <s v="Saxony"/>
    <x v="3"/>
    <s v="E-Class"/>
    <s v="Electric"/>
    <x v="1"/>
    <s v="26-35"/>
    <s v="Medium"/>
    <x v="1"/>
    <x v="2"/>
    <s v="Sales_11"/>
    <n v="199"/>
    <n v="108"/>
    <n v="71"/>
    <n v="28"/>
    <s v="25.93"/>
    <n v="64807"/>
    <s v="3.3"/>
    <n v="46962"/>
    <n v="1814596"/>
    <n v="499660"/>
    <s v="Feb"/>
    <n v="2"/>
    <n v="2026"/>
    <s v="Weekday"/>
    <n v="0.39436619718309857"/>
    <n v="0.542713567839196"/>
    <n v="0.1407035175879397"/>
    <n v="17845"/>
    <s v="Saxon Wheels"/>
  </r>
  <r>
    <s v="CUST_2345"/>
    <x v="16"/>
    <x v="1"/>
    <s v="Tuesday"/>
    <s v="No"/>
    <x v="3"/>
    <x v="3"/>
    <s v="Saxony"/>
    <x v="2"/>
    <s v="A4"/>
    <s v="Electric"/>
    <x v="1"/>
    <s v="18-25"/>
    <s v="Medium"/>
    <x v="1"/>
    <x v="1"/>
    <s v="Sales_19"/>
    <n v="166"/>
    <n v="96"/>
    <n v="71"/>
    <n v="20"/>
    <s v="20.83"/>
    <n v="55114"/>
    <s v="4.29"/>
    <n v="42345"/>
    <n v="1102280"/>
    <n v="255380"/>
    <s v="Feb"/>
    <n v="2"/>
    <n v="2026"/>
    <s v="Weekday"/>
    <n v="0.28169014084507044"/>
    <n v="0.57831325301204817"/>
    <n v="0.12048192771084337"/>
    <n v="12769"/>
    <s v="Saxon Wheels"/>
  </r>
  <r>
    <s v="CUST_2346"/>
    <x v="18"/>
    <x v="0"/>
    <s v="Saturday"/>
    <s v="Yes"/>
    <x v="4"/>
    <x v="4"/>
    <s v="Berlin"/>
    <x v="1"/>
    <s v="Grandland"/>
    <s v="Petrol"/>
    <x v="0"/>
    <s v="50+"/>
    <s v="Low"/>
    <x v="1"/>
    <x v="1"/>
    <s v="Sales_20"/>
    <n v="325"/>
    <n v="168"/>
    <n v="116"/>
    <n v="28"/>
    <s v="16.67"/>
    <n v="26344"/>
    <s v="12.1"/>
    <n v="24277"/>
    <n v="737632"/>
    <n v="57876"/>
    <s v="Feb"/>
    <n v="2"/>
    <n v="2026"/>
    <s v="Weekend"/>
    <n v="0.2413793103448276"/>
    <n v="0.51692307692307693"/>
    <n v="8.615384615384615E-2"/>
    <n v="2067"/>
    <s v="Autohaus Berlin"/>
  </r>
  <r>
    <s v="CUST_2347"/>
    <x v="13"/>
    <x v="0"/>
    <s v="Friday"/>
    <s v="No"/>
    <x v="3"/>
    <x v="3"/>
    <s v="Saxony"/>
    <x v="2"/>
    <s v="Q5"/>
    <s v="Electric"/>
    <x v="0"/>
    <s v="50+"/>
    <s v="Low"/>
    <x v="0"/>
    <x v="2"/>
    <s v="Sales_1"/>
    <n v="160"/>
    <n v="78"/>
    <n v="57"/>
    <n v="20"/>
    <s v="25.64"/>
    <n v="42479"/>
    <s v="4.15"/>
    <n v="34491"/>
    <n v="849580"/>
    <n v="159760"/>
    <s v="Feb"/>
    <n v="2"/>
    <n v="2026"/>
    <s v="Weekday"/>
    <n v="0.35087719298245612"/>
    <n v="0.48749999999999999"/>
    <n v="0.125"/>
    <n v="7988"/>
    <s v="Saxon Wheels"/>
  </r>
  <r>
    <s v="CUST_2348"/>
    <x v="24"/>
    <x v="1"/>
    <s v="Thursday"/>
    <s v="No"/>
    <x v="8"/>
    <x v="8"/>
    <s v="Baden-WÃ¼rttemberg"/>
    <x v="0"/>
    <s v="X5"/>
    <s v="Diesel"/>
    <x v="0"/>
    <s v="18-25"/>
    <s v="Low"/>
    <x v="1"/>
    <x v="2"/>
    <s v="Sales_13"/>
    <n v="244"/>
    <n v="118"/>
    <n v="90"/>
    <n v="36"/>
    <s v="30.51"/>
    <n v="67089"/>
    <s v="4.33"/>
    <n v="50119"/>
    <n v="2415204"/>
    <n v="610920"/>
    <s v="Feb"/>
    <n v="2"/>
    <n v="2026"/>
    <s v="Weekday"/>
    <n v="0.4"/>
    <n v="0.48360655737704916"/>
    <n v="0.14754098360655737"/>
    <n v="16970"/>
    <s v="Stuttgart Auto Center"/>
  </r>
  <r>
    <s v="CUST_2349"/>
    <x v="8"/>
    <x v="3"/>
    <s v="Wednesday"/>
    <s v="No"/>
    <x v="3"/>
    <x v="3"/>
    <s v="Saxony"/>
    <x v="4"/>
    <s v="Passat"/>
    <s v="Electric"/>
    <x v="1"/>
    <s v="18-25"/>
    <s v="Low"/>
    <x v="0"/>
    <x v="1"/>
    <s v="Sales_7"/>
    <n v="300"/>
    <n v="123"/>
    <n v="76"/>
    <n v="21"/>
    <s v="17.07"/>
    <n v="32001"/>
    <s v="8.96"/>
    <n v="28248"/>
    <n v="672021"/>
    <n v="78813"/>
    <s v="Feb"/>
    <n v="2"/>
    <n v="2026"/>
    <s v="Weekday"/>
    <n v="0.27631578947368424"/>
    <n v="0.41"/>
    <n v="7.0000000000000007E-2"/>
    <n v="3753"/>
    <s v="Saxon Wheels"/>
  </r>
  <r>
    <s v="CUST_2350"/>
    <x v="10"/>
    <x v="1"/>
    <s v="Monday"/>
    <s v="No"/>
    <x v="7"/>
    <x v="7"/>
    <s v="Bavaria"/>
    <x v="4"/>
    <s v="Passat"/>
    <s v="Diesel"/>
    <x v="1"/>
    <s v="18-25"/>
    <s v="Medium"/>
    <x v="1"/>
    <x v="1"/>
    <s v="Sales_7"/>
    <n v="446"/>
    <n v="190"/>
    <n v="124"/>
    <n v="38"/>
    <s v="20.0"/>
    <n v="29770"/>
    <s v="9.19"/>
    <n v="26044"/>
    <n v="1131260"/>
    <n v="141588"/>
    <s v="Feb"/>
    <n v="2"/>
    <n v="2026"/>
    <s v="Weekday"/>
    <n v="0.30645161290322581"/>
    <n v="0.42600896860986548"/>
    <n v="8.520179372197309E-2"/>
    <n v="3726"/>
    <s v="Bavaria Motors"/>
  </r>
  <r>
    <s v="CUST_2351"/>
    <x v="9"/>
    <x v="0"/>
    <s v="Sunday"/>
    <s v="Yes"/>
    <x v="7"/>
    <x v="7"/>
    <s v="Bavaria"/>
    <x v="4"/>
    <s v="Passat"/>
    <s v="Hybrid"/>
    <x v="1"/>
    <s v="26-35"/>
    <s v="Low"/>
    <x v="0"/>
    <x v="1"/>
    <s v="Sales_14"/>
    <n v="440"/>
    <n v="253"/>
    <n v="163"/>
    <n v="46"/>
    <s v="18.18"/>
    <n v="30245"/>
    <s v="6.49"/>
    <n v="26073"/>
    <n v="1391270"/>
    <n v="191912"/>
    <s v="Feb"/>
    <n v="2"/>
    <n v="2026"/>
    <s v="Weekend"/>
    <n v="0.2822085889570552"/>
    <n v="0.57499999999999996"/>
    <n v="0.10454545454545454"/>
    <n v="4172"/>
    <s v="Bavaria Motors"/>
  </r>
  <r>
    <s v="CUST_2352"/>
    <x v="12"/>
    <x v="3"/>
    <s v="Thursday"/>
    <s v="No"/>
    <x v="2"/>
    <x v="2"/>
    <s v="Lower Saxony"/>
    <x v="4"/>
    <s v="Passat"/>
    <s v="Petrol"/>
    <x v="1"/>
    <s v="18-25"/>
    <s v="High"/>
    <x v="1"/>
    <x v="3"/>
    <s v="Sales_6"/>
    <n v="321"/>
    <n v="137"/>
    <n v="91"/>
    <n v="17"/>
    <s v="12.41"/>
    <n v="25839"/>
    <s v="9.58"/>
    <n v="22586"/>
    <n v="439263"/>
    <n v="55301"/>
    <s v="Feb"/>
    <n v="2"/>
    <n v="2026"/>
    <s v="Weekday"/>
    <n v="0.18681318681318682"/>
    <n v="0.42679127725856697"/>
    <n v="5.2959501557632398E-2"/>
    <n v="3253"/>
    <s v="Hannover Cars"/>
  </r>
  <r>
    <s v="CUST_2353"/>
    <x v="8"/>
    <x v="3"/>
    <s v="Wednesday"/>
    <s v="No"/>
    <x v="9"/>
    <x v="9"/>
    <s v="NRW"/>
    <x v="1"/>
    <s v="Astra"/>
    <s v="Hybrid"/>
    <x v="2"/>
    <s v="50+"/>
    <s v="Low"/>
    <x v="1"/>
    <x v="0"/>
    <s v="Sales_1"/>
    <n v="391"/>
    <n v="168"/>
    <n v="115"/>
    <n v="22"/>
    <s v="13.1"/>
    <n v="23634"/>
    <s v="12.22"/>
    <n v="21479"/>
    <n v="519948"/>
    <n v="47410"/>
    <s v="Feb"/>
    <n v="2"/>
    <n v="2026"/>
    <s v="Weekday"/>
    <n v="0.19130434782608696"/>
    <n v="0.42966751918158569"/>
    <n v="5.6265984654731455E-2"/>
    <n v="2155"/>
    <s v="Ruhr Auto Plaza"/>
  </r>
  <r>
    <s v="CUST_2354"/>
    <x v="20"/>
    <x v="0"/>
    <s v="Thursday"/>
    <s v="No"/>
    <x v="6"/>
    <x v="6"/>
    <s v="Saxony"/>
    <x v="2"/>
    <s v="Q5"/>
    <s v="Petrol"/>
    <x v="0"/>
    <s v="26-35"/>
    <s v="Medium"/>
    <x v="0"/>
    <x v="3"/>
    <s v="Sales_1"/>
    <n v="317"/>
    <n v="153"/>
    <n v="109"/>
    <n v="32"/>
    <s v="20.92"/>
    <n v="44464"/>
    <s v="3.25"/>
    <n v="35765"/>
    <n v="1422848"/>
    <n v="278368"/>
    <s v="Feb"/>
    <n v="2"/>
    <n v="2026"/>
    <s v="Weekday"/>
    <n v="0.29357798165137616"/>
    <n v="0.48264984227129337"/>
    <n v="0.10094637223974763"/>
    <n v="8699"/>
    <s v="Leipzig Mobility"/>
  </r>
  <r>
    <s v="CUST_2355"/>
    <x v="5"/>
    <x v="3"/>
    <s v="Saturday"/>
    <s v="Yes"/>
    <x v="5"/>
    <x v="5"/>
    <s v="Hamburg"/>
    <x v="0"/>
    <s v="X5"/>
    <s v="Petrol"/>
    <x v="0"/>
    <s v="26-35"/>
    <s v="Medium"/>
    <x v="1"/>
    <x v="2"/>
    <s v="Sales_11"/>
    <n v="203"/>
    <n v="106"/>
    <n v="78"/>
    <n v="34"/>
    <s v="32.08"/>
    <n v="64892"/>
    <s v="3.79"/>
    <n v="49850"/>
    <n v="2206328"/>
    <n v="511428"/>
    <s v="Feb"/>
    <n v="2"/>
    <n v="2026"/>
    <s v="Weekend"/>
    <n v="0.4358974358974359"/>
    <n v="0.52216748768472909"/>
    <n v="0.16748768472906403"/>
    <n v="15042"/>
    <s v="Elbe Drive"/>
  </r>
  <r>
    <s v="CUST_2356"/>
    <x v="0"/>
    <x v="0"/>
    <s v="Monday"/>
    <s v="No"/>
    <x v="7"/>
    <x v="7"/>
    <s v="Bavaria"/>
    <x v="2"/>
    <s v="A4"/>
    <s v="Hybrid"/>
    <x v="1"/>
    <s v="36-50"/>
    <s v="High"/>
    <x v="1"/>
    <x v="0"/>
    <s v="Sales_20"/>
    <n v="244"/>
    <n v="112"/>
    <n v="74"/>
    <n v="26"/>
    <s v="23.21"/>
    <n v="44201"/>
    <s v="5.16"/>
    <n v="35964"/>
    <n v="1149226"/>
    <n v="214162"/>
    <s v="Feb"/>
    <n v="2"/>
    <n v="2026"/>
    <s v="Weekday"/>
    <n v="0.35135135135135137"/>
    <n v="0.45901639344262296"/>
    <n v="0.10655737704918032"/>
    <n v="8237"/>
    <s v="Bavaria Motors"/>
  </r>
  <r>
    <s v="CUST_2357"/>
    <x v="4"/>
    <x v="2"/>
    <s v="Wednesday"/>
    <s v="No"/>
    <x v="8"/>
    <x v="8"/>
    <s v="Baden-WÃ¼rttemberg"/>
    <x v="2"/>
    <s v="Q3"/>
    <s v="Diesel"/>
    <x v="0"/>
    <s v="36-50"/>
    <s v="Low"/>
    <x v="1"/>
    <x v="0"/>
    <s v="Sales_6"/>
    <n v="292"/>
    <n v="149"/>
    <n v="110"/>
    <n v="31"/>
    <s v="20.81"/>
    <n v="52847"/>
    <s v="6.33"/>
    <n v="41282"/>
    <n v="1638257"/>
    <n v="358515"/>
    <s v="Feb"/>
    <n v="2"/>
    <n v="2026"/>
    <s v="Weekday"/>
    <n v="0.2818181818181818"/>
    <n v="0.51027397260273977"/>
    <n v="0.10616438356164383"/>
    <n v="11565"/>
    <s v="Stuttgart Auto Center"/>
  </r>
  <r>
    <s v="CUST_2358"/>
    <x v="9"/>
    <x v="0"/>
    <s v="Sunday"/>
    <s v="Yes"/>
    <x v="0"/>
    <x v="0"/>
    <s v="Hesse"/>
    <x v="4"/>
    <s v="Golf"/>
    <s v="Diesel"/>
    <x v="2"/>
    <s v="36-50"/>
    <s v="High"/>
    <x v="0"/>
    <x v="3"/>
    <s v="Sales_5"/>
    <n v="472"/>
    <n v="204"/>
    <n v="125"/>
    <n v="24"/>
    <s v="11.76"/>
    <n v="29451"/>
    <s v="9.23"/>
    <n v="26701"/>
    <n v="706824"/>
    <n v="66000"/>
    <s v="Feb"/>
    <n v="2"/>
    <n v="2026"/>
    <s v="Weekend"/>
    <n v="0.192"/>
    <n v="0.43220338983050849"/>
    <n v="5.0847457627118647E-2"/>
    <n v="2750"/>
    <s v="Main Auto Hub"/>
  </r>
  <r>
    <s v="CUST_2359"/>
    <x v="16"/>
    <x v="1"/>
    <s v="Tuesday"/>
    <s v="No"/>
    <x v="1"/>
    <x v="1"/>
    <s v="NRW"/>
    <x v="2"/>
    <s v="A4"/>
    <s v="Electric"/>
    <x v="1"/>
    <s v="18-25"/>
    <s v="High"/>
    <x v="0"/>
    <x v="2"/>
    <s v="Sales_20"/>
    <n v="183"/>
    <n v="97"/>
    <n v="62"/>
    <n v="27"/>
    <s v="27.84"/>
    <n v="41907"/>
    <s v="6.24"/>
    <n v="33363"/>
    <n v="1131489"/>
    <n v="230688"/>
    <s v="Feb"/>
    <n v="2"/>
    <n v="2026"/>
    <s v="Weekday"/>
    <n v="0.43548387096774194"/>
    <n v="0.5300546448087432"/>
    <n v="0.14754098360655737"/>
    <n v="8544"/>
    <s v="Rhein Auto Group"/>
  </r>
  <r>
    <s v="CUST_2360"/>
    <x v="12"/>
    <x v="3"/>
    <s v="Thursday"/>
    <s v="No"/>
    <x v="7"/>
    <x v="7"/>
    <s v="Bavaria"/>
    <x v="2"/>
    <s v="A4"/>
    <s v="Hybrid"/>
    <x v="1"/>
    <s v="18-25"/>
    <s v="Low"/>
    <x v="0"/>
    <x v="0"/>
    <s v="Sales_15"/>
    <n v="297"/>
    <n v="149"/>
    <n v="105"/>
    <n v="37"/>
    <s v="24.83"/>
    <n v="43595"/>
    <s v="6.18"/>
    <n v="32836"/>
    <n v="1613015"/>
    <n v="398083"/>
    <s v="Feb"/>
    <n v="2"/>
    <n v="2026"/>
    <s v="Weekday"/>
    <n v="0.35238095238095241"/>
    <n v="0.50168350168350173"/>
    <n v="0.12457912457912458"/>
    <n v="10759"/>
    <s v="Bavaria Motors"/>
  </r>
  <r>
    <s v="CUST_2361"/>
    <x v="13"/>
    <x v="0"/>
    <s v="Friday"/>
    <s v="No"/>
    <x v="3"/>
    <x v="3"/>
    <s v="Saxony"/>
    <x v="2"/>
    <s v="A4"/>
    <s v="Hybrid"/>
    <x v="1"/>
    <s v="50+"/>
    <s v="High"/>
    <x v="0"/>
    <x v="0"/>
    <s v="Sales_18"/>
    <n v="241"/>
    <n v="139"/>
    <n v="90"/>
    <n v="26"/>
    <s v="18.71"/>
    <n v="52827"/>
    <s v="5.01"/>
    <n v="41110"/>
    <n v="1373502"/>
    <n v="304642"/>
    <s v="Feb"/>
    <n v="2"/>
    <n v="2026"/>
    <s v="Weekday"/>
    <n v="0.28888888888888886"/>
    <n v="0.57676348547717837"/>
    <n v="0.1078838174273859"/>
    <n v="11717"/>
    <s v="Saxon Wheels"/>
  </r>
  <r>
    <s v="CUST_2362"/>
    <x v="2"/>
    <x v="2"/>
    <s v="Monday"/>
    <s v="No"/>
    <x v="7"/>
    <x v="7"/>
    <s v="Bavaria"/>
    <x v="2"/>
    <s v="Q3"/>
    <s v="Hybrid"/>
    <x v="0"/>
    <s v="18-25"/>
    <s v="High"/>
    <x v="1"/>
    <x v="2"/>
    <s v="Sales_19"/>
    <n v="267"/>
    <n v="136"/>
    <n v="94"/>
    <n v="39"/>
    <s v="28.68"/>
    <n v="51202"/>
    <s v="3.59"/>
    <n v="39400"/>
    <n v="1996878"/>
    <n v="460278"/>
    <s v="Feb"/>
    <n v="2"/>
    <n v="2026"/>
    <s v="Weekday"/>
    <n v="0.41489361702127658"/>
    <n v="0.50936329588014984"/>
    <n v="0.14606741573033707"/>
    <n v="11802"/>
    <s v="Bavaria Motors"/>
  </r>
  <r>
    <s v="CUST_2363"/>
    <x v="13"/>
    <x v="0"/>
    <s v="Friday"/>
    <s v="No"/>
    <x v="8"/>
    <x v="8"/>
    <s v="Baden-WÃ¼rttemberg"/>
    <x v="3"/>
    <s v="GLE"/>
    <s v="Electric"/>
    <x v="0"/>
    <s v="18-25"/>
    <s v="Low"/>
    <x v="0"/>
    <x v="0"/>
    <s v="Sales_7"/>
    <n v="249"/>
    <n v="142"/>
    <n v="112"/>
    <n v="38"/>
    <s v="26.76"/>
    <n v="71194"/>
    <s v="2.86"/>
    <n v="54106"/>
    <n v="2705372"/>
    <n v="649344"/>
    <s v="Feb"/>
    <n v="2"/>
    <n v="2026"/>
    <s v="Weekday"/>
    <n v="0.3392857142857143"/>
    <n v="0.57028112449799195"/>
    <n v="0.15261044176706828"/>
    <n v="17088"/>
    <s v="Stuttgart Auto Center"/>
  </r>
  <r>
    <s v="CUST_2364"/>
    <x v="4"/>
    <x v="2"/>
    <s v="Wednesday"/>
    <s v="No"/>
    <x v="4"/>
    <x v="4"/>
    <s v="Berlin"/>
    <x v="2"/>
    <s v="e-tron"/>
    <s v="Electric"/>
    <x v="0"/>
    <s v="26-35"/>
    <s v="High"/>
    <x v="1"/>
    <x v="1"/>
    <s v="Sales_3"/>
    <n v="247"/>
    <n v="117"/>
    <n v="76"/>
    <n v="28"/>
    <s v="23.93"/>
    <n v="45806"/>
    <s v="3.98"/>
    <n v="36375"/>
    <n v="1282568"/>
    <n v="264068"/>
    <s v="Feb"/>
    <n v="2"/>
    <n v="2026"/>
    <s v="Weekday"/>
    <n v="0.36842105263157893"/>
    <n v="0.47368421052631576"/>
    <n v="0.11336032388663968"/>
    <n v="9431"/>
    <s v="Autohaus Berlin"/>
  </r>
  <r>
    <s v="CUST_2365"/>
    <x v="14"/>
    <x v="2"/>
    <s v="Friday"/>
    <s v="No"/>
    <x v="8"/>
    <x v="8"/>
    <s v="Baden-WÃ¼rttemberg"/>
    <x v="2"/>
    <s v="Q5"/>
    <s v="Electric"/>
    <x v="0"/>
    <s v="36-50"/>
    <s v="High"/>
    <x v="0"/>
    <x v="0"/>
    <s v="Sales_4"/>
    <n v="249"/>
    <n v="150"/>
    <n v="98"/>
    <n v="32"/>
    <s v="21.33"/>
    <n v="49073"/>
    <s v="3.53"/>
    <n v="38385"/>
    <n v="1570336"/>
    <n v="342016"/>
    <s v="Feb"/>
    <n v="2"/>
    <n v="2026"/>
    <s v="Weekday"/>
    <n v="0.32653061224489793"/>
    <n v="0.60240963855421692"/>
    <n v="0.12851405622489959"/>
    <n v="10688"/>
    <s v="Stuttgart Auto Center"/>
  </r>
  <r>
    <s v="CUST_2366"/>
    <x v="27"/>
    <x v="3"/>
    <s v="Sunday"/>
    <s v="Yes"/>
    <x v="7"/>
    <x v="7"/>
    <s v="Bavaria"/>
    <x v="3"/>
    <s v="GLE"/>
    <s v="Petrol"/>
    <x v="0"/>
    <s v="26-35"/>
    <s v="High"/>
    <x v="0"/>
    <x v="2"/>
    <s v="Sales_12"/>
    <n v="152"/>
    <n v="75"/>
    <n v="56"/>
    <n v="21"/>
    <s v="28.0"/>
    <n v="60397"/>
    <s v="5.77"/>
    <n v="45721"/>
    <n v="1268337"/>
    <n v="308196"/>
    <s v="Feb"/>
    <n v="2"/>
    <n v="2026"/>
    <s v="Weekend"/>
    <n v="0.375"/>
    <n v="0.49342105263157893"/>
    <n v="0.13815789473684212"/>
    <n v="14676"/>
    <s v="Bavaria Motors"/>
  </r>
  <r>
    <s v="CUST_2367"/>
    <x v="23"/>
    <x v="2"/>
    <s v="Tuesday"/>
    <s v="No"/>
    <x v="7"/>
    <x v="7"/>
    <s v="Bavaria"/>
    <x v="1"/>
    <s v="Grandland"/>
    <s v="Hybrid"/>
    <x v="0"/>
    <s v="26-35"/>
    <s v="Low"/>
    <x v="0"/>
    <x v="2"/>
    <s v="Sales_18"/>
    <n v="341"/>
    <n v="146"/>
    <n v="101"/>
    <n v="33"/>
    <s v="22.6"/>
    <n v="26539"/>
    <s v="8.39"/>
    <n v="24061"/>
    <n v="875787"/>
    <n v="81774"/>
    <s v="Feb"/>
    <n v="2"/>
    <n v="2026"/>
    <s v="Weekday"/>
    <n v="0.32673267326732675"/>
    <n v="0.42815249266862171"/>
    <n v="9.6774193548387094E-2"/>
    <n v="2478"/>
    <s v="Bavaria Motors"/>
  </r>
  <r>
    <s v="CUST_2368"/>
    <x v="27"/>
    <x v="3"/>
    <s v="Sunday"/>
    <s v="Yes"/>
    <x v="7"/>
    <x v="7"/>
    <s v="Bavaria"/>
    <x v="1"/>
    <s v="Grandland"/>
    <s v="Diesel"/>
    <x v="0"/>
    <s v="36-50"/>
    <s v="Low"/>
    <x v="0"/>
    <x v="2"/>
    <s v="Sales_14"/>
    <n v="411"/>
    <n v="161"/>
    <n v="92"/>
    <n v="37"/>
    <s v="22.98"/>
    <n v="21681"/>
    <s v="9.84"/>
    <n v="19827"/>
    <n v="802197"/>
    <n v="68598"/>
    <s v="Feb"/>
    <n v="2"/>
    <n v="2026"/>
    <s v="Weekend"/>
    <n v="0.40217391304347827"/>
    <n v="0.39172749391727496"/>
    <n v="9.002433090024331E-2"/>
    <n v="1854"/>
    <s v="Bavaria Motors"/>
  </r>
  <r>
    <s v="CUST_2369"/>
    <x v="19"/>
    <x v="1"/>
    <s v="Saturday"/>
    <s v="Yes"/>
    <x v="5"/>
    <x v="5"/>
    <s v="Hamburg"/>
    <x v="3"/>
    <s v="GLC"/>
    <s v="Diesel"/>
    <x v="0"/>
    <s v="36-50"/>
    <s v="Low"/>
    <x v="0"/>
    <x v="1"/>
    <s v="Sales_12"/>
    <n v="242"/>
    <n v="128"/>
    <n v="85"/>
    <n v="37"/>
    <s v="28.91"/>
    <n v="58302"/>
    <s v="3.93"/>
    <n v="42460"/>
    <n v="2157174"/>
    <n v="586154"/>
    <s v="Feb"/>
    <n v="2"/>
    <n v="2026"/>
    <s v="Weekend"/>
    <n v="0.43529411764705883"/>
    <n v="0.52892561983471076"/>
    <n v="0.15289256198347106"/>
    <n v="15842"/>
    <s v="Elbe Drive"/>
  </r>
  <r>
    <s v="CUST_2370"/>
    <x v="9"/>
    <x v="0"/>
    <s v="Sunday"/>
    <s v="Yes"/>
    <x v="0"/>
    <x v="0"/>
    <s v="Hesse"/>
    <x v="2"/>
    <s v="Q3"/>
    <s v="Hybrid"/>
    <x v="0"/>
    <s v="36-50"/>
    <s v="Low"/>
    <x v="0"/>
    <x v="1"/>
    <s v="Sales_19"/>
    <n v="263"/>
    <n v="130"/>
    <n v="97"/>
    <n v="32"/>
    <s v="24.62"/>
    <n v="45307"/>
    <s v="4.12"/>
    <n v="36945"/>
    <n v="1449824"/>
    <n v="267584"/>
    <s v="Feb"/>
    <n v="2"/>
    <n v="2026"/>
    <s v="Weekend"/>
    <n v="0.32989690721649484"/>
    <n v="0.49429657794676807"/>
    <n v="0.12167300380228137"/>
    <n v="8362"/>
    <s v="Main Auto Hub"/>
  </r>
  <r>
    <s v="CUST_2371"/>
    <x v="8"/>
    <x v="3"/>
    <s v="Wednesday"/>
    <s v="No"/>
    <x v="3"/>
    <x v="3"/>
    <s v="Saxony"/>
    <x v="4"/>
    <s v="Golf"/>
    <s v="Hybrid"/>
    <x v="2"/>
    <s v="36-50"/>
    <s v="High"/>
    <x v="1"/>
    <x v="2"/>
    <s v="Sales_2"/>
    <n v="498"/>
    <n v="286"/>
    <n v="179"/>
    <n v="47"/>
    <s v="16.43"/>
    <n v="32324"/>
    <s v="10.58"/>
    <n v="27851"/>
    <n v="1519228"/>
    <n v="210231"/>
    <s v="Feb"/>
    <n v="2"/>
    <n v="2026"/>
    <s v="Weekday"/>
    <n v="0.26256983240223464"/>
    <n v="0.57429718875502012"/>
    <n v="9.4377510040160636E-2"/>
    <n v="4473"/>
    <s v="Saxon Wheels"/>
  </r>
  <r>
    <s v="CUST_2372"/>
    <x v="13"/>
    <x v="0"/>
    <s v="Friday"/>
    <s v="No"/>
    <x v="0"/>
    <x v="0"/>
    <s v="Hesse"/>
    <x v="3"/>
    <s v="EQE"/>
    <s v="Electric"/>
    <x v="1"/>
    <s v="18-25"/>
    <s v="Low"/>
    <x v="1"/>
    <x v="1"/>
    <s v="Sales_11"/>
    <n v="148"/>
    <n v="74"/>
    <n v="54"/>
    <n v="19"/>
    <s v="25.68"/>
    <n v="71567"/>
    <s v="3.47"/>
    <n v="51005"/>
    <n v="1359773"/>
    <n v="390678"/>
    <s v="Feb"/>
    <n v="2"/>
    <n v="2026"/>
    <s v="Weekday"/>
    <n v="0.35185185185185186"/>
    <n v="0.5"/>
    <n v="0.12837837837837837"/>
    <n v="20562"/>
    <s v="Main Auto Hub"/>
  </r>
  <r>
    <s v="CUST_2373"/>
    <x v="25"/>
    <x v="3"/>
    <s v="Friday"/>
    <s v="No"/>
    <x v="0"/>
    <x v="0"/>
    <s v="Hesse"/>
    <x v="4"/>
    <s v="ID.4"/>
    <s v="Hybrid"/>
    <x v="0"/>
    <s v="18-25"/>
    <s v="Medium"/>
    <x v="0"/>
    <x v="2"/>
    <s v="Sales_19"/>
    <n v="395"/>
    <n v="177"/>
    <n v="117"/>
    <n v="33"/>
    <s v="18.64"/>
    <n v="27464"/>
    <s v="7.3"/>
    <n v="24978"/>
    <n v="906312"/>
    <n v="82038"/>
    <s v="Feb"/>
    <n v="2"/>
    <n v="2026"/>
    <s v="Weekday"/>
    <n v="0.28205128205128205"/>
    <n v="0.44810126582278481"/>
    <n v="8.3544303797468356E-2"/>
    <n v="2486"/>
    <s v="Main Auto Hub"/>
  </r>
  <r>
    <s v="CUST_2374"/>
    <x v="8"/>
    <x v="3"/>
    <s v="Wednesday"/>
    <s v="No"/>
    <x v="2"/>
    <x v="2"/>
    <s v="Lower Saxony"/>
    <x v="1"/>
    <s v="Grandland"/>
    <s v="Diesel"/>
    <x v="0"/>
    <s v="26-35"/>
    <s v="Low"/>
    <x v="0"/>
    <x v="2"/>
    <s v="Sales_12"/>
    <n v="329"/>
    <n v="176"/>
    <n v="100"/>
    <n v="35"/>
    <s v="19.89"/>
    <n v="23107"/>
    <s v="13.42"/>
    <n v="21095"/>
    <n v="808745"/>
    <n v="70420"/>
    <s v="Feb"/>
    <n v="2"/>
    <n v="2026"/>
    <s v="Weekday"/>
    <n v="0.35"/>
    <n v="0.53495440729483279"/>
    <n v="0.10638297872340426"/>
    <n v="2012"/>
    <s v="Hannover Cars"/>
  </r>
  <r>
    <s v="CUST_2375"/>
    <x v="2"/>
    <x v="2"/>
    <s v="Monday"/>
    <s v="No"/>
    <x v="0"/>
    <x v="0"/>
    <s v="Hesse"/>
    <x v="2"/>
    <s v="Q3"/>
    <s v="Diesel"/>
    <x v="0"/>
    <s v="18-25"/>
    <s v="High"/>
    <x v="1"/>
    <x v="2"/>
    <s v="Sales_2"/>
    <n v="234"/>
    <n v="122"/>
    <n v="87"/>
    <n v="32"/>
    <s v="26.23"/>
    <n v="43882"/>
    <s v="5.13"/>
    <n v="33369"/>
    <n v="1404224"/>
    <n v="336416"/>
    <s v="Feb"/>
    <n v="2"/>
    <n v="2026"/>
    <s v="Weekday"/>
    <n v="0.36781609195402298"/>
    <n v="0.5213675213675214"/>
    <n v="0.13675213675213677"/>
    <n v="10513"/>
    <s v="Main Auto Hub"/>
  </r>
  <r>
    <s v="CUST_2376"/>
    <x v="8"/>
    <x v="3"/>
    <s v="Wednesday"/>
    <s v="No"/>
    <x v="5"/>
    <x v="5"/>
    <s v="Hamburg"/>
    <x v="2"/>
    <s v="A4"/>
    <s v="Diesel"/>
    <x v="1"/>
    <s v="26-35"/>
    <s v="Low"/>
    <x v="0"/>
    <x v="0"/>
    <s v="Sales_18"/>
    <n v="190"/>
    <n v="94"/>
    <n v="70"/>
    <n v="19"/>
    <s v="20.21"/>
    <n v="45140"/>
    <s v="6.07"/>
    <n v="35028"/>
    <n v="857660"/>
    <n v="192128"/>
    <s v="Feb"/>
    <n v="2"/>
    <n v="2026"/>
    <s v="Weekday"/>
    <n v="0.27142857142857141"/>
    <n v="0.49473684210526314"/>
    <n v="0.1"/>
    <n v="10112"/>
    <s v="Elbe Drive"/>
  </r>
  <r>
    <s v="CUST_2377"/>
    <x v="22"/>
    <x v="3"/>
    <s v="Tuesday"/>
    <s v="No"/>
    <x v="8"/>
    <x v="8"/>
    <s v="Baden-WÃ¼rttemberg"/>
    <x v="1"/>
    <s v="Crossland"/>
    <s v="Hybrid"/>
    <x v="0"/>
    <s v="26-35"/>
    <s v="Low"/>
    <x v="0"/>
    <x v="1"/>
    <s v="Sales_16"/>
    <n v="292"/>
    <n v="148"/>
    <n v="87"/>
    <n v="30"/>
    <s v="20.27"/>
    <n v="24286"/>
    <s v="10.07"/>
    <n v="21874"/>
    <n v="728580"/>
    <n v="72360"/>
    <s v="Feb"/>
    <n v="2"/>
    <n v="2026"/>
    <s v="Weekday"/>
    <n v="0.34482758620689657"/>
    <n v="0.50684931506849318"/>
    <n v="0.10273972602739725"/>
    <n v="2412"/>
    <s v="Stuttgart Auto Center"/>
  </r>
  <r>
    <s v="CUST_2378"/>
    <x v="26"/>
    <x v="1"/>
    <s v="Friday"/>
    <s v="No"/>
    <x v="7"/>
    <x v="7"/>
    <s v="Bavaria"/>
    <x v="1"/>
    <s v="Mokka"/>
    <s v="Diesel"/>
    <x v="0"/>
    <s v="50+"/>
    <s v="Low"/>
    <x v="0"/>
    <x v="0"/>
    <s v="Sales_17"/>
    <n v="250"/>
    <n v="107"/>
    <n v="62"/>
    <n v="19"/>
    <s v="17.76"/>
    <n v="20377"/>
    <s v="9.8"/>
    <n v="18770"/>
    <n v="387163"/>
    <n v="30533"/>
    <s v="Feb"/>
    <n v="2"/>
    <n v="2026"/>
    <s v="Weekday"/>
    <n v="0.30645161290322581"/>
    <n v="0.42799999999999999"/>
    <n v="7.5999999999999998E-2"/>
    <n v="1607"/>
    <s v="Bavaria Motors"/>
  </r>
  <r>
    <s v="CUST_2379"/>
    <x v="26"/>
    <x v="1"/>
    <s v="Friday"/>
    <s v="No"/>
    <x v="0"/>
    <x v="0"/>
    <s v="Hesse"/>
    <x v="4"/>
    <s v="Golf"/>
    <s v="Electric"/>
    <x v="2"/>
    <s v="26-35"/>
    <s v="Medium"/>
    <x v="1"/>
    <x v="2"/>
    <s v="Sales_13"/>
    <n v="338"/>
    <n v="195"/>
    <n v="122"/>
    <n v="30"/>
    <s v="15.38"/>
    <n v="25730"/>
    <s v="10.39"/>
    <n v="22575"/>
    <n v="771900"/>
    <n v="94650"/>
    <s v="Feb"/>
    <n v="2"/>
    <n v="2026"/>
    <s v="Weekday"/>
    <n v="0.24590163934426229"/>
    <n v="0.57692307692307687"/>
    <n v="8.8757396449704137E-2"/>
    <n v="3155"/>
    <s v="Main Auto Hub"/>
  </r>
  <r>
    <s v="CUST_2380"/>
    <x v="12"/>
    <x v="3"/>
    <s v="Thursday"/>
    <s v="No"/>
    <x v="3"/>
    <x v="3"/>
    <s v="Saxony"/>
    <x v="2"/>
    <s v="A3"/>
    <s v="Petrol"/>
    <x v="2"/>
    <s v="50+"/>
    <s v="High"/>
    <x v="1"/>
    <x v="3"/>
    <s v="Sales_4"/>
    <n v="191"/>
    <n v="88"/>
    <n v="61"/>
    <n v="17"/>
    <s v="19.32"/>
    <n v="53111"/>
    <s v="4.47"/>
    <n v="39915"/>
    <n v="902887"/>
    <n v="224332"/>
    <s v="Feb"/>
    <n v="2"/>
    <n v="2026"/>
    <s v="Weekday"/>
    <n v="0.27868852459016391"/>
    <n v="0.4607329842931937"/>
    <n v="8.9005235602094238E-2"/>
    <n v="13196"/>
    <s v="Saxon Wheels"/>
  </r>
  <r>
    <s v="CUST_2381"/>
    <x v="13"/>
    <x v="0"/>
    <s v="Friday"/>
    <s v="No"/>
    <x v="2"/>
    <x v="2"/>
    <s v="Lower Saxony"/>
    <x v="2"/>
    <s v="e-tron"/>
    <s v="Hybrid"/>
    <x v="0"/>
    <s v="18-25"/>
    <s v="Low"/>
    <x v="0"/>
    <x v="1"/>
    <s v="Sales_18"/>
    <n v="201"/>
    <n v="126"/>
    <n v="81"/>
    <n v="31"/>
    <s v="24.6"/>
    <n v="49546"/>
    <s v="6.05"/>
    <n v="37941"/>
    <n v="1535926"/>
    <n v="359755"/>
    <s v="Feb"/>
    <n v="2"/>
    <n v="2026"/>
    <s v="Weekday"/>
    <n v="0.38271604938271603"/>
    <n v="0.62686567164179108"/>
    <n v="0.15422885572139303"/>
    <n v="11605"/>
    <s v="Hannover Cars"/>
  </r>
  <r>
    <s v="CUST_2382"/>
    <x v="16"/>
    <x v="1"/>
    <s v="Tuesday"/>
    <s v="No"/>
    <x v="6"/>
    <x v="6"/>
    <s v="Saxony"/>
    <x v="3"/>
    <s v="GLC"/>
    <s v="Hybrid"/>
    <x v="0"/>
    <s v="26-35"/>
    <s v="Low"/>
    <x v="0"/>
    <x v="1"/>
    <s v="Sales_18"/>
    <n v="164"/>
    <n v="80"/>
    <n v="59"/>
    <n v="21"/>
    <s v="26.25"/>
    <n v="69854"/>
    <s v="5.63"/>
    <n v="54147"/>
    <n v="1466934"/>
    <n v="329847"/>
    <s v="Feb"/>
    <n v="2"/>
    <n v="2026"/>
    <s v="Weekday"/>
    <n v="0.3559322033898305"/>
    <n v="0.48780487804878048"/>
    <n v="0.12804878048780488"/>
    <n v="15707"/>
    <s v="Leipzig Mobility"/>
  </r>
  <r>
    <s v="CUST_2383"/>
    <x v="18"/>
    <x v="0"/>
    <s v="Saturday"/>
    <s v="Yes"/>
    <x v="3"/>
    <x v="3"/>
    <s v="Saxony"/>
    <x v="4"/>
    <s v="Tiguan"/>
    <s v="Hybrid"/>
    <x v="0"/>
    <s v="50+"/>
    <s v="Medium"/>
    <x v="1"/>
    <x v="2"/>
    <s v="Sales_16"/>
    <n v="316"/>
    <n v="170"/>
    <n v="105"/>
    <n v="25"/>
    <s v="14.71"/>
    <n v="27281"/>
    <s v="6.51"/>
    <n v="24440"/>
    <n v="682025"/>
    <n v="71025"/>
    <s v="Feb"/>
    <n v="2"/>
    <n v="2026"/>
    <s v="Weekend"/>
    <n v="0.23809523809523808"/>
    <n v="0.53797468354430378"/>
    <n v="7.9113924050632917E-2"/>
    <n v="2841"/>
    <s v="Saxon Wheels"/>
  </r>
  <r>
    <s v="CUST_2384"/>
    <x v="19"/>
    <x v="1"/>
    <s v="Saturday"/>
    <s v="Yes"/>
    <x v="4"/>
    <x v="4"/>
    <s v="Berlin"/>
    <x v="1"/>
    <s v="Astra"/>
    <s v="Diesel"/>
    <x v="2"/>
    <s v="36-50"/>
    <s v="Low"/>
    <x v="0"/>
    <x v="1"/>
    <s v="Sales_15"/>
    <n v="404"/>
    <n v="160"/>
    <n v="108"/>
    <n v="25"/>
    <s v="15.62"/>
    <n v="20821"/>
    <s v="13.54"/>
    <n v="19150"/>
    <n v="520525"/>
    <n v="41775"/>
    <s v="Feb"/>
    <n v="2"/>
    <n v="2026"/>
    <s v="Weekend"/>
    <n v="0.23148148148148148"/>
    <n v="0.39603960396039606"/>
    <n v="6.1881188118811881E-2"/>
    <n v="1671"/>
    <s v="Autohaus Berlin"/>
  </r>
  <r>
    <s v="CUST_2385"/>
    <x v="26"/>
    <x v="1"/>
    <s v="Friday"/>
    <s v="No"/>
    <x v="5"/>
    <x v="5"/>
    <s v="Hamburg"/>
    <x v="3"/>
    <s v="GLE"/>
    <s v="Hybrid"/>
    <x v="0"/>
    <s v="26-35"/>
    <s v="Low"/>
    <x v="1"/>
    <x v="3"/>
    <s v="Sales_10"/>
    <n v="160"/>
    <n v="86"/>
    <n v="66"/>
    <n v="20"/>
    <s v="23.26"/>
    <n v="60769"/>
    <s v="3.45"/>
    <n v="43531"/>
    <n v="1215380"/>
    <n v="344760"/>
    <s v="Feb"/>
    <n v="2"/>
    <n v="2026"/>
    <s v="Weekday"/>
    <n v="0.30303030303030304"/>
    <n v="0.53749999999999998"/>
    <n v="0.125"/>
    <n v="17238"/>
    <s v="Elbe Drive"/>
  </r>
  <r>
    <s v="CUST_2386"/>
    <x v="9"/>
    <x v="0"/>
    <s v="Sunday"/>
    <s v="Yes"/>
    <x v="7"/>
    <x v="7"/>
    <s v="Bavaria"/>
    <x v="2"/>
    <s v="e-tron"/>
    <s v="Diesel"/>
    <x v="0"/>
    <s v="18-25"/>
    <s v="High"/>
    <x v="1"/>
    <x v="0"/>
    <s v="Sales_2"/>
    <n v="255"/>
    <n v="128"/>
    <n v="91"/>
    <n v="27"/>
    <s v="21.09"/>
    <n v="42255"/>
    <s v="6.81"/>
    <n v="32233"/>
    <n v="1140885"/>
    <n v="270594"/>
    <s v="Feb"/>
    <n v="2"/>
    <n v="2026"/>
    <s v="Weekend"/>
    <n v="0.2967032967032967"/>
    <n v="0.50196078431372548"/>
    <n v="0.10588235294117647"/>
    <n v="10022"/>
    <s v="Bavaria Motors"/>
  </r>
  <r>
    <s v="CUST_2387"/>
    <x v="2"/>
    <x v="2"/>
    <s v="Monday"/>
    <s v="No"/>
    <x v="4"/>
    <x v="4"/>
    <s v="Berlin"/>
    <x v="0"/>
    <s v="5 Series"/>
    <s v="Petrol"/>
    <x v="1"/>
    <s v="36-50"/>
    <s v="Low"/>
    <x v="0"/>
    <x v="3"/>
    <s v="Sales_4"/>
    <n v="152"/>
    <n v="79"/>
    <n v="62"/>
    <n v="23"/>
    <s v="29.11"/>
    <n v="59095"/>
    <s v="2.05"/>
    <n v="43440"/>
    <n v="1359185"/>
    <n v="360065"/>
    <s v="Feb"/>
    <n v="2"/>
    <n v="2026"/>
    <s v="Weekday"/>
    <n v="0.37096774193548387"/>
    <n v="0.51973684210526316"/>
    <n v="0.15131578947368421"/>
    <n v="15655"/>
    <s v="Autohaus Berlin"/>
  </r>
  <r>
    <s v="CUST_2388"/>
    <x v="8"/>
    <x v="3"/>
    <s v="Wednesday"/>
    <s v="No"/>
    <x v="5"/>
    <x v="5"/>
    <s v="Hamburg"/>
    <x v="1"/>
    <s v="Mokka"/>
    <s v="Petrol"/>
    <x v="0"/>
    <s v="50+"/>
    <s v="High"/>
    <x v="0"/>
    <x v="3"/>
    <s v="Sales_12"/>
    <n v="389"/>
    <n v="200"/>
    <n v="128"/>
    <n v="30"/>
    <s v="15.0"/>
    <n v="23008"/>
    <s v="10.19"/>
    <n v="21046"/>
    <n v="690240"/>
    <n v="58860"/>
    <s v="Feb"/>
    <n v="2"/>
    <n v="2026"/>
    <s v="Weekday"/>
    <n v="0.234375"/>
    <n v="0.51413881748071977"/>
    <n v="7.7120822622107968E-2"/>
    <n v="1962"/>
    <s v="Elbe Drive"/>
  </r>
  <r>
    <s v="CUST_2389"/>
    <x v="0"/>
    <x v="0"/>
    <s v="Monday"/>
    <s v="No"/>
    <x v="6"/>
    <x v="6"/>
    <s v="Saxony"/>
    <x v="2"/>
    <s v="e-tron"/>
    <s v="Diesel"/>
    <x v="0"/>
    <s v="26-35"/>
    <s v="Low"/>
    <x v="0"/>
    <x v="3"/>
    <s v="Sales_1"/>
    <n v="271"/>
    <n v="125"/>
    <n v="84"/>
    <n v="25"/>
    <s v="20.0"/>
    <n v="43114"/>
    <s v="3.36"/>
    <n v="33167"/>
    <n v="1077850"/>
    <n v="248675"/>
    <s v="Feb"/>
    <n v="2"/>
    <n v="2026"/>
    <s v="Weekday"/>
    <n v="0.29761904761904762"/>
    <n v="0.46125461254612549"/>
    <n v="9.2250922509225092E-2"/>
    <n v="9947"/>
    <s v="Leipzig Mobility"/>
  </r>
  <r>
    <s v="CUST_2390"/>
    <x v="14"/>
    <x v="2"/>
    <s v="Friday"/>
    <s v="No"/>
    <x v="1"/>
    <x v="1"/>
    <s v="NRW"/>
    <x v="1"/>
    <s v="Mokka"/>
    <s v="Diesel"/>
    <x v="0"/>
    <s v="18-25"/>
    <s v="Low"/>
    <x v="1"/>
    <x v="0"/>
    <s v="Sales_11"/>
    <n v="372"/>
    <n v="196"/>
    <n v="122"/>
    <n v="26"/>
    <s v="13.27"/>
    <n v="20991"/>
    <s v="10.66"/>
    <n v="19095"/>
    <n v="545766"/>
    <n v="49296"/>
    <s v="Feb"/>
    <n v="2"/>
    <n v="2026"/>
    <s v="Weekday"/>
    <n v="0.21311475409836064"/>
    <n v="0.5268817204301075"/>
    <n v="6.9892473118279563E-2"/>
    <n v="1896"/>
    <s v="Rhein Auto Group"/>
  </r>
  <r>
    <s v="CUST_2391"/>
    <x v="12"/>
    <x v="3"/>
    <s v="Thursday"/>
    <s v="No"/>
    <x v="3"/>
    <x v="3"/>
    <s v="Saxony"/>
    <x v="1"/>
    <s v="Astra"/>
    <s v="Diesel"/>
    <x v="2"/>
    <s v="36-50"/>
    <s v="Medium"/>
    <x v="0"/>
    <x v="1"/>
    <s v="Sales_8"/>
    <n v="383"/>
    <n v="206"/>
    <n v="137"/>
    <n v="34"/>
    <s v="16.5"/>
    <n v="23506"/>
    <s v="11.14"/>
    <n v="21668"/>
    <n v="799204"/>
    <n v="62492"/>
    <s v="Feb"/>
    <n v="2"/>
    <n v="2026"/>
    <s v="Weekday"/>
    <n v="0.24817518248175183"/>
    <n v="0.53785900783289819"/>
    <n v="8.877284595300261E-2"/>
    <n v="1838"/>
    <s v="Saxon Wheels"/>
  </r>
  <r>
    <s v="CUST_2392"/>
    <x v="3"/>
    <x v="1"/>
    <s v="Sunday"/>
    <s v="Yes"/>
    <x v="6"/>
    <x v="6"/>
    <s v="Saxony"/>
    <x v="4"/>
    <s v="Passat"/>
    <s v="Petrol"/>
    <x v="1"/>
    <s v="18-25"/>
    <s v="Medium"/>
    <x v="1"/>
    <x v="2"/>
    <s v="Sales_18"/>
    <n v="267"/>
    <n v="112"/>
    <n v="66"/>
    <n v="16"/>
    <s v="14.29"/>
    <n v="31447"/>
    <s v="10.14"/>
    <n v="27346"/>
    <n v="503152"/>
    <n v="65616"/>
    <s v="Feb"/>
    <n v="2"/>
    <n v="2026"/>
    <s v="Weekend"/>
    <n v="0.24242424242424243"/>
    <n v="0.41947565543071164"/>
    <n v="5.9925093632958802E-2"/>
    <n v="4101"/>
    <s v="Leipzig Mobility"/>
  </r>
  <r>
    <s v="CUST_2393"/>
    <x v="12"/>
    <x v="3"/>
    <s v="Thursday"/>
    <s v="No"/>
    <x v="5"/>
    <x v="5"/>
    <s v="Hamburg"/>
    <x v="2"/>
    <s v="A4"/>
    <s v="Petrol"/>
    <x v="1"/>
    <s v="36-50"/>
    <s v="High"/>
    <x v="1"/>
    <x v="3"/>
    <s v="Sales_9"/>
    <n v="296"/>
    <n v="162"/>
    <n v="122"/>
    <n v="40"/>
    <s v="24.69"/>
    <n v="50457"/>
    <s v="4.13"/>
    <n v="38163"/>
    <n v="2018280"/>
    <n v="491760"/>
    <s v="Feb"/>
    <n v="2"/>
    <n v="2026"/>
    <s v="Weekday"/>
    <n v="0.32786885245901637"/>
    <n v="0.54729729729729726"/>
    <n v="0.13513513513513514"/>
    <n v="12294"/>
    <s v="Elbe Drive"/>
  </r>
  <r>
    <s v="CUST_2394"/>
    <x v="23"/>
    <x v="2"/>
    <s v="Tuesday"/>
    <s v="No"/>
    <x v="8"/>
    <x v="8"/>
    <s v="Baden-WÃ¼rttemberg"/>
    <x v="2"/>
    <s v="Q5"/>
    <s v="Electric"/>
    <x v="0"/>
    <s v="36-50"/>
    <s v="Medium"/>
    <x v="1"/>
    <x v="3"/>
    <s v="Sales_14"/>
    <n v="170"/>
    <n v="85"/>
    <n v="60"/>
    <n v="18"/>
    <s v="21.18"/>
    <n v="47401"/>
    <s v="3.89"/>
    <n v="37098"/>
    <n v="853218"/>
    <n v="185454"/>
    <s v="Feb"/>
    <n v="2"/>
    <n v="2026"/>
    <s v="Weekday"/>
    <n v="0.3"/>
    <n v="0.5"/>
    <n v="0.10588235294117647"/>
    <n v="10303"/>
    <s v="Stuttgart Auto Center"/>
  </r>
  <r>
    <s v="CUST_2395"/>
    <x v="9"/>
    <x v="0"/>
    <s v="Sunday"/>
    <s v="Yes"/>
    <x v="7"/>
    <x v="7"/>
    <s v="Bavaria"/>
    <x v="2"/>
    <s v="A4"/>
    <s v="Diesel"/>
    <x v="1"/>
    <s v="26-35"/>
    <s v="Medium"/>
    <x v="0"/>
    <x v="2"/>
    <s v="Sales_11"/>
    <n v="174"/>
    <n v="97"/>
    <n v="74"/>
    <n v="25"/>
    <s v="25.77"/>
    <n v="43872"/>
    <s v="3.64"/>
    <n v="35444"/>
    <n v="1096800"/>
    <n v="210700"/>
    <s v="Feb"/>
    <n v="2"/>
    <n v="2026"/>
    <s v="Weekend"/>
    <n v="0.33783783783783783"/>
    <n v="0.55747126436781613"/>
    <n v="0.14367816091954022"/>
    <n v="8428"/>
    <s v="Bavaria Motors"/>
  </r>
  <r>
    <s v="CUST_2396"/>
    <x v="8"/>
    <x v="3"/>
    <s v="Wednesday"/>
    <s v="No"/>
    <x v="2"/>
    <x v="2"/>
    <s v="Lower Saxony"/>
    <x v="2"/>
    <s v="e-tron"/>
    <s v="Diesel"/>
    <x v="0"/>
    <s v="26-35"/>
    <s v="Medium"/>
    <x v="1"/>
    <x v="1"/>
    <s v="Sales_5"/>
    <n v="217"/>
    <n v="138"/>
    <n v="105"/>
    <n v="29"/>
    <s v="21.01"/>
    <n v="51143"/>
    <s v="6.8"/>
    <n v="39792"/>
    <n v="1483147"/>
    <n v="329179"/>
    <s v="Feb"/>
    <n v="2"/>
    <n v="2026"/>
    <s v="Weekday"/>
    <n v="0.27619047619047621"/>
    <n v="0.63594470046082952"/>
    <n v="0.13364055299539171"/>
    <n v="11351"/>
    <s v="Hannover Cars"/>
  </r>
  <r>
    <s v="CUST_2397"/>
    <x v="25"/>
    <x v="3"/>
    <s v="Friday"/>
    <s v="No"/>
    <x v="6"/>
    <x v="6"/>
    <s v="Saxony"/>
    <x v="0"/>
    <s v="X5"/>
    <s v="Diesel"/>
    <x v="0"/>
    <s v="18-25"/>
    <s v="High"/>
    <x v="0"/>
    <x v="1"/>
    <s v="Sales_17"/>
    <n v="195"/>
    <n v="118"/>
    <n v="82"/>
    <n v="35"/>
    <s v="29.66"/>
    <n v="52602"/>
    <s v="3.83"/>
    <n v="39508"/>
    <n v="1841070"/>
    <n v="458290"/>
    <s v="Feb"/>
    <n v="2"/>
    <n v="2026"/>
    <s v="Weekday"/>
    <n v="0.42682926829268292"/>
    <n v="0.60512820512820509"/>
    <n v="0.17948717948717949"/>
    <n v="13094"/>
    <s v="Leipzig Mobility"/>
  </r>
  <r>
    <s v="CUST_2398"/>
    <x v="19"/>
    <x v="1"/>
    <s v="Saturday"/>
    <s v="Yes"/>
    <x v="6"/>
    <x v="6"/>
    <s v="Saxony"/>
    <x v="3"/>
    <s v="GLE"/>
    <s v="Petrol"/>
    <x v="0"/>
    <s v="36-50"/>
    <s v="Low"/>
    <x v="1"/>
    <x v="0"/>
    <s v="Sales_14"/>
    <n v="204"/>
    <n v="107"/>
    <n v="82"/>
    <n v="23"/>
    <s v="21.5"/>
    <n v="57337"/>
    <s v="3.69"/>
    <n v="41335"/>
    <n v="1318751"/>
    <n v="368046"/>
    <s v="Feb"/>
    <n v="2"/>
    <n v="2026"/>
    <s v="Weekend"/>
    <n v="0.28048780487804881"/>
    <n v="0.52450980392156865"/>
    <n v="0.11274509803921569"/>
    <n v="16002"/>
    <s v="Leipzig Mobility"/>
  </r>
  <r>
    <s v="CUST_2399"/>
    <x v="9"/>
    <x v="0"/>
    <s v="Sunday"/>
    <s v="Yes"/>
    <x v="8"/>
    <x v="8"/>
    <s v="Baden-WÃ¼rttemberg"/>
    <x v="4"/>
    <s v="Golf"/>
    <s v="Petrol"/>
    <x v="2"/>
    <s v="18-25"/>
    <s v="Low"/>
    <x v="0"/>
    <x v="0"/>
    <s v="Sales_18"/>
    <n v="276"/>
    <n v="119"/>
    <n v="70"/>
    <n v="18"/>
    <s v="15.13"/>
    <n v="31194"/>
    <s v="6.03"/>
    <n v="27771"/>
    <n v="561492"/>
    <n v="61614"/>
    <s v="Feb"/>
    <n v="2"/>
    <n v="2026"/>
    <s v="Weekend"/>
    <n v="0.25714285714285712"/>
    <n v="0.4311594202898551"/>
    <n v="6.5217391304347824E-2"/>
    <n v="3423"/>
    <s v="Stuttgart Auto Center"/>
  </r>
  <r>
    <s v="CUST_2400"/>
    <x v="1"/>
    <x v="1"/>
    <s v="Wednesday"/>
    <s v="No"/>
    <x v="2"/>
    <x v="2"/>
    <s v="Lower Saxony"/>
    <x v="0"/>
    <s v="X3"/>
    <s v="Electric"/>
    <x v="0"/>
    <s v="50+"/>
    <s v="High"/>
    <x v="0"/>
    <x v="3"/>
    <s v="Sales_17"/>
    <n v="234"/>
    <n v="109"/>
    <n v="86"/>
    <n v="27"/>
    <s v="24.77"/>
    <n v="66919"/>
    <s v="3.62"/>
    <n v="48491"/>
    <n v="1806813"/>
    <n v="497556"/>
    <s v="Feb"/>
    <n v="2"/>
    <n v="2026"/>
    <s v="Weekday"/>
    <n v="0.31395348837209303"/>
    <n v="0.46581196581196582"/>
    <n v="0.11538461538461539"/>
    <n v="18428"/>
    <s v="Hannover Cars"/>
  </r>
  <r>
    <s v="CUST_2401"/>
    <x v="1"/>
    <x v="1"/>
    <s v="Wednesday"/>
    <s v="No"/>
    <x v="2"/>
    <x v="2"/>
    <s v="Lower Saxony"/>
    <x v="0"/>
    <s v="X5"/>
    <s v="Hybrid"/>
    <x v="0"/>
    <s v="50+"/>
    <s v="High"/>
    <x v="1"/>
    <x v="0"/>
    <s v="Sales_19"/>
    <n v="204"/>
    <n v="109"/>
    <n v="84"/>
    <n v="25"/>
    <s v="22.94"/>
    <n v="50642"/>
    <s v="4.18"/>
    <n v="36142"/>
    <n v="1266050"/>
    <n v="362500"/>
    <s v="Feb"/>
    <n v="2"/>
    <n v="2026"/>
    <s v="Weekday"/>
    <n v="0.29761904761904762"/>
    <n v="0.53431372549019607"/>
    <n v="0.12254901960784313"/>
    <n v="14500"/>
    <s v="Hannover Cars"/>
  </r>
  <r>
    <s v="CUST_2402"/>
    <x v="5"/>
    <x v="3"/>
    <s v="Saturday"/>
    <s v="Yes"/>
    <x v="0"/>
    <x v="0"/>
    <s v="Hesse"/>
    <x v="0"/>
    <s v="X3"/>
    <s v="Petrol"/>
    <x v="0"/>
    <s v="36-50"/>
    <s v="Medium"/>
    <x v="1"/>
    <x v="2"/>
    <s v="Sales_17"/>
    <n v="173"/>
    <n v="82"/>
    <n v="57"/>
    <n v="24"/>
    <s v="29.27"/>
    <n v="58525"/>
    <s v="2.53"/>
    <n v="44391"/>
    <n v="1404600"/>
    <n v="339216"/>
    <s v="Feb"/>
    <n v="2"/>
    <n v="2026"/>
    <s v="Weekend"/>
    <n v="0.42105263157894735"/>
    <n v="0.47398843930635837"/>
    <n v="0.13872832369942195"/>
    <n v="14134"/>
    <s v="Main Auto Hub"/>
  </r>
  <r>
    <s v="CUST_2403"/>
    <x v="25"/>
    <x v="3"/>
    <s v="Friday"/>
    <s v="No"/>
    <x v="6"/>
    <x v="6"/>
    <s v="Saxony"/>
    <x v="3"/>
    <s v="E-Class"/>
    <s v="Diesel"/>
    <x v="1"/>
    <s v="36-50"/>
    <s v="Medium"/>
    <x v="0"/>
    <x v="3"/>
    <s v="Sales_16"/>
    <n v="281"/>
    <n v="137"/>
    <n v="97"/>
    <n v="32"/>
    <s v="23.36"/>
    <n v="62890"/>
    <s v="2.35"/>
    <n v="48281"/>
    <n v="2012480"/>
    <n v="467488"/>
    <s v="Feb"/>
    <n v="2"/>
    <n v="2026"/>
    <s v="Weekday"/>
    <n v="0.32989690721649484"/>
    <n v="0.48754448398576511"/>
    <n v="0.11387900355871886"/>
    <n v="14609"/>
    <s v="Leipzig Mobility"/>
  </r>
  <r>
    <s v="CUST_2404"/>
    <x v="8"/>
    <x v="3"/>
    <s v="Wednesday"/>
    <s v="No"/>
    <x v="3"/>
    <x v="3"/>
    <s v="Saxony"/>
    <x v="4"/>
    <s v="ID.4"/>
    <s v="Diesel"/>
    <x v="0"/>
    <s v="50+"/>
    <s v="Low"/>
    <x v="0"/>
    <x v="3"/>
    <s v="Sales_10"/>
    <n v="465"/>
    <n v="252"/>
    <n v="152"/>
    <n v="41"/>
    <s v="16.27"/>
    <n v="30350"/>
    <s v="8.74"/>
    <n v="26137"/>
    <n v="1244350"/>
    <n v="172733"/>
    <s v="Feb"/>
    <n v="2"/>
    <n v="2026"/>
    <s v="Weekday"/>
    <n v="0.26973684210526316"/>
    <n v="0.54193548387096779"/>
    <n v="8.8172043010752682E-2"/>
    <n v="4213"/>
    <s v="Saxon Wheels"/>
  </r>
  <r>
    <s v="CUST_2405"/>
    <x v="18"/>
    <x v="0"/>
    <s v="Saturday"/>
    <s v="Yes"/>
    <x v="6"/>
    <x v="6"/>
    <s v="Saxony"/>
    <x v="1"/>
    <s v="Corsa"/>
    <s v="Electric"/>
    <x v="2"/>
    <s v="18-25"/>
    <s v="Medium"/>
    <x v="1"/>
    <x v="2"/>
    <s v="Sales_19"/>
    <n v="376"/>
    <n v="195"/>
    <n v="113"/>
    <n v="29"/>
    <s v="14.87"/>
    <n v="24505"/>
    <s v="9.65"/>
    <n v="22006"/>
    <n v="710645"/>
    <n v="72471"/>
    <s v="Feb"/>
    <n v="2"/>
    <n v="2026"/>
    <s v="Weekend"/>
    <n v="0.25663716814159293"/>
    <n v="0.5186170212765957"/>
    <n v="7.7127659574468085E-2"/>
    <n v="2499"/>
    <s v="Leipzig Mobility"/>
  </r>
  <r>
    <s v="CUST_2406"/>
    <x v="20"/>
    <x v="0"/>
    <s v="Thursday"/>
    <s v="No"/>
    <x v="5"/>
    <x v="5"/>
    <s v="Hamburg"/>
    <x v="2"/>
    <s v="Q5"/>
    <s v="Diesel"/>
    <x v="0"/>
    <s v="26-35"/>
    <s v="Medium"/>
    <x v="0"/>
    <x v="3"/>
    <s v="Sales_20"/>
    <n v="279"/>
    <n v="135"/>
    <n v="94"/>
    <n v="33"/>
    <s v="24.44"/>
    <n v="49125"/>
    <s v="5.58"/>
    <n v="39220"/>
    <n v="1621125"/>
    <n v="326865"/>
    <s v="Feb"/>
    <n v="2"/>
    <n v="2026"/>
    <s v="Weekday"/>
    <n v="0.35106382978723405"/>
    <n v="0.4838709677419355"/>
    <n v="0.11827956989247312"/>
    <n v="9905"/>
    <s v="Elbe Drive"/>
  </r>
  <r>
    <s v="CUST_2407"/>
    <x v="13"/>
    <x v="0"/>
    <s v="Friday"/>
    <s v="No"/>
    <x v="6"/>
    <x v="6"/>
    <s v="Saxony"/>
    <x v="4"/>
    <s v="ID.4"/>
    <s v="Diesel"/>
    <x v="0"/>
    <s v="18-25"/>
    <s v="Medium"/>
    <x v="0"/>
    <x v="3"/>
    <s v="Sales_10"/>
    <n v="291"/>
    <n v="135"/>
    <n v="93"/>
    <n v="17"/>
    <s v="12.59"/>
    <n v="29383"/>
    <s v="10.58"/>
    <n v="25806"/>
    <n v="499511"/>
    <n v="60809"/>
    <s v="Feb"/>
    <n v="2"/>
    <n v="2026"/>
    <s v="Weekday"/>
    <n v="0.18279569892473119"/>
    <n v="0.46391752577319589"/>
    <n v="5.8419243986254296E-2"/>
    <n v="3577"/>
    <s v="Leipzig Mobility"/>
  </r>
  <r>
    <s v="CUST_2408"/>
    <x v="25"/>
    <x v="3"/>
    <s v="Friday"/>
    <s v="No"/>
    <x v="3"/>
    <x v="3"/>
    <s v="Saxony"/>
    <x v="4"/>
    <s v="ID.4"/>
    <s v="Petrol"/>
    <x v="0"/>
    <s v="26-35"/>
    <s v="Medium"/>
    <x v="1"/>
    <x v="0"/>
    <s v="Sales_5"/>
    <n v="296"/>
    <n v="126"/>
    <n v="78"/>
    <n v="17"/>
    <s v="13.49"/>
    <n v="28359"/>
    <s v="6.3"/>
    <n v="24467"/>
    <n v="482103"/>
    <n v="66164"/>
    <s v="Feb"/>
    <n v="2"/>
    <n v="2026"/>
    <s v="Weekday"/>
    <n v="0.21794871794871795"/>
    <n v="0.42567567567567566"/>
    <n v="5.7432432432432436E-2"/>
    <n v="3892"/>
    <s v="Saxon Wheels"/>
  </r>
  <r>
    <s v="CUST_2409"/>
    <x v="5"/>
    <x v="3"/>
    <s v="Saturday"/>
    <s v="Yes"/>
    <x v="6"/>
    <x v="6"/>
    <s v="Saxony"/>
    <x v="2"/>
    <s v="Q3"/>
    <s v="Electric"/>
    <x v="0"/>
    <s v="18-25"/>
    <s v="High"/>
    <x v="0"/>
    <x v="1"/>
    <s v="Sales_9"/>
    <n v="298"/>
    <n v="185"/>
    <n v="142"/>
    <n v="39"/>
    <s v="21.08"/>
    <n v="55272"/>
    <s v="4.65"/>
    <n v="45153"/>
    <n v="2155608"/>
    <n v="394641"/>
    <s v="Feb"/>
    <n v="2"/>
    <n v="2026"/>
    <s v="Weekend"/>
    <n v="0.27464788732394368"/>
    <n v="0.62080536912751683"/>
    <n v="0.13087248322147652"/>
    <n v="10119"/>
    <s v="Leipzig Mobility"/>
  </r>
  <r>
    <s v="CUST_2410"/>
    <x v="7"/>
    <x v="3"/>
    <s v="Monday"/>
    <s v="No"/>
    <x v="2"/>
    <x v="2"/>
    <s v="Lower Saxony"/>
    <x v="2"/>
    <s v="e-tron"/>
    <s v="Diesel"/>
    <x v="0"/>
    <s v="26-35"/>
    <s v="Low"/>
    <x v="0"/>
    <x v="0"/>
    <s v="Sales_18"/>
    <n v="168"/>
    <n v="77"/>
    <n v="59"/>
    <n v="17"/>
    <s v="22.08"/>
    <n v="52571"/>
    <s v="3.06"/>
    <n v="40611"/>
    <n v="893707"/>
    <n v="203320"/>
    <s v="Feb"/>
    <n v="2"/>
    <n v="2026"/>
    <s v="Weekday"/>
    <n v="0.28813559322033899"/>
    <n v="0.45833333333333331"/>
    <n v="0.10119047619047619"/>
    <n v="11960"/>
    <s v="Hannover Cars"/>
  </r>
  <r>
    <s v="CUST_2411"/>
    <x v="9"/>
    <x v="0"/>
    <s v="Sunday"/>
    <s v="Yes"/>
    <x v="4"/>
    <x v="4"/>
    <s v="Berlin"/>
    <x v="2"/>
    <s v="Q5"/>
    <s v="Diesel"/>
    <x v="0"/>
    <s v="26-35"/>
    <s v="High"/>
    <x v="0"/>
    <x v="2"/>
    <s v="Sales_18"/>
    <n v="196"/>
    <n v="96"/>
    <n v="63"/>
    <n v="25"/>
    <s v="26.04"/>
    <n v="41336"/>
    <s v="5.19"/>
    <n v="32865"/>
    <n v="1033400"/>
    <n v="211775"/>
    <s v="Feb"/>
    <n v="2"/>
    <n v="2026"/>
    <s v="Weekend"/>
    <n v="0.3968253968253968"/>
    <n v="0.48979591836734693"/>
    <n v="0.12755102040816327"/>
    <n v="8471"/>
    <s v="Autohaus Berlin"/>
  </r>
  <r>
    <s v="CUST_2412"/>
    <x v="20"/>
    <x v="0"/>
    <s v="Thursday"/>
    <s v="No"/>
    <x v="7"/>
    <x v="7"/>
    <s v="Bavaria"/>
    <x v="2"/>
    <s v="e-tron"/>
    <s v="Electric"/>
    <x v="0"/>
    <s v="36-50"/>
    <s v="Low"/>
    <x v="1"/>
    <x v="3"/>
    <s v="Sales_5"/>
    <n v="201"/>
    <n v="103"/>
    <n v="66"/>
    <n v="22"/>
    <s v="21.36"/>
    <n v="52684"/>
    <s v="6.56"/>
    <n v="39785"/>
    <n v="1159048"/>
    <n v="283778"/>
    <s v="Feb"/>
    <n v="2"/>
    <n v="2026"/>
    <s v="Weekday"/>
    <n v="0.33333333333333331"/>
    <n v="0.51243781094527363"/>
    <n v="0.10945273631840796"/>
    <n v="12899"/>
    <s v="Bavaria Motors"/>
  </r>
  <r>
    <s v="CUST_2413"/>
    <x v="26"/>
    <x v="1"/>
    <s v="Friday"/>
    <s v="No"/>
    <x v="3"/>
    <x v="3"/>
    <s v="Saxony"/>
    <x v="1"/>
    <s v="Mokka"/>
    <s v="Hybrid"/>
    <x v="0"/>
    <s v="18-25"/>
    <s v="Low"/>
    <x v="1"/>
    <x v="1"/>
    <s v="Sales_16"/>
    <n v="407"/>
    <n v="161"/>
    <n v="99"/>
    <n v="26"/>
    <s v="16.15"/>
    <n v="25164"/>
    <s v="8.1"/>
    <n v="22461"/>
    <n v="654264"/>
    <n v="70278"/>
    <s v="Feb"/>
    <n v="2"/>
    <n v="2026"/>
    <s v="Weekday"/>
    <n v="0.26262626262626265"/>
    <n v="0.39557739557739557"/>
    <n v="6.3882063882063883E-2"/>
    <n v="2703"/>
    <s v="Saxon Wheels"/>
  </r>
  <r>
    <s v="CUST_2414"/>
    <x v="22"/>
    <x v="3"/>
    <s v="Tuesday"/>
    <s v="No"/>
    <x v="8"/>
    <x v="8"/>
    <s v="Baden-WÃ¼rttemberg"/>
    <x v="4"/>
    <s v="Golf"/>
    <s v="Electric"/>
    <x v="2"/>
    <s v="36-50"/>
    <s v="Medium"/>
    <x v="1"/>
    <x v="3"/>
    <s v="Sales_7"/>
    <n v="260"/>
    <n v="111"/>
    <n v="77"/>
    <n v="18"/>
    <s v="16.22"/>
    <n v="25839"/>
    <s v="10.05"/>
    <n v="22350"/>
    <n v="465102"/>
    <n v="62802"/>
    <s v="Feb"/>
    <n v="2"/>
    <n v="2026"/>
    <s v="Weekday"/>
    <n v="0.23376623376623376"/>
    <n v="0.42692307692307691"/>
    <n v="6.9230769230769235E-2"/>
    <n v="3489"/>
    <s v="Stuttgart Auto Center"/>
  </r>
  <r>
    <s v="CUST_2415"/>
    <x v="17"/>
    <x v="2"/>
    <s v="Sunday"/>
    <s v="Yes"/>
    <x v="1"/>
    <x v="1"/>
    <s v="NRW"/>
    <x v="2"/>
    <s v="A3"/>
    <s v="Electric"/>
    <x v="2"/>
    <s v="36-50"/>
    <s v="High"/>
    <x v="0"/>
    <x v="2"/>
    <s v="Sales_18"/>
    <n v="301"/>
    <n v="155"/>
    <n v="109"/>
    <n v="42"/>
    <s v="27.1"/>
    <n v="42748"/>
    <s v="5.68"/>
    <n v="33101"/>
    <n v="1795416"/>
    <n v="405174"/>
    <s v="Feb"/>
    <n v="2"/>
    <n v="2026"/>
    <s v="Weekend"/>
    <n v="0.38532110091743121"/>
    <n v="0.51495016611295685"/>
    <n v="0.13953488372093023"/>
    <n v="9647"/>
    <s v="Rhein Auto Group"/>
  </r>
  <r>
    <s v="CUST_2416"/>
    <x v="18"/>
    <x v="0"/>
    <s v="Saturday"/>
    <s v="Yes"/>
    <x v="6"/>
    <x v="6"/>
    <s v="Saxony"/>
    <x v="2"/>
    <s v="A4"/>
    <s v="Electric"/>
    <x v="1"/>
    <s v="26-35"/>
    <s v="Low"/>
    <x v="0"/>
    <x v="1"/>
    <s v="Sales_17"/>
    <n v="270"/>
    <n v="161"/>
    <n v="107"/>
    <n v="36"/>
    <s v="22.36"/>
    <n v="41006"/>
    <s v="5.22"/>
    <n v="31182"/>
    <n v="1476216"/>
    <n v="353664"/>
    <s v="Feb"/>
    <n v="2"/>
    <n v="2026"/>
    <s v="Weekend"/>
    <n v="0.3364485981308411"/>
    <n v="0.59629629629629632"/>
    <n v="0.13333333333333333"/>
    <n v="9824"/>
    <s v="Leipzig Mobility"/>
  </r>
  <r>
    <s v="CUST_2417"/>
    <x v="26"/>
    <x v="1"/>
    <s v="Friday"/>
    <s v="No"/>
    <x v="3"/>
    <x v="3"/>
    <s v="Saxony"/>
    <x v="2"/>
    <s v="e-tron"/>
    <s v="Petrol"/>
    <x v="0"/>
    <s v="26-35"/>
    <s v="Medium"/>
    <x v="0"/>
    <x v="0"/>
    <s v="Sales_5"/>
    <n v="309"/>
    <n v="158"/>
    <n v="108"/>
    <n v="32"/>
    <s v="20.25"/>
    <n v="52679"/>
    <s v="5.88"/>
    <n v="40672"/>
    <n v="1685728"/>
    <n v="384224"/>
    <s v="Feb"/>
    <n v="2"/>
    <n v="2026"/>
    <s v="Weekday"/>
    <n v="0.29629629629629628"/>
    <n v="0.51132686084142398"/>
    <n v="0.10355987055016182"/>
    <n v="12007"/>
    <s v="Saxon Wheels"/>
  </r>
  <r>
    <s v="CUST_2418"/>
    <x v="14"/>
    <x v="2"/>
    <s v="Friday"/>
    <s v="No"/>
    <x v="0"/>
    <x v="0"/>
    <s v="Hesse"/>
    <x v="1"/>
    <s v="Corsa"/>
    <s v="Diesel"/>
    <x v="2"/>
    <s v="18-25"/>
    <s v="Low"/>
    <x v="1"/>
    <x v="0"/>
    <s v="Sales_7"/>
    <n v="378"/>
    <n v="206"/>
    <n v="129"/>
    <n v="25"/>
    <s v="12.14"/>
    <n v="23170"/>
    <s v="9.0"/>
    <n v="20979"/>
    <n v="579250"/>
    <n v="54775"/>
    <s v="Feb"/>
    <n v="2"/>
    <n v="2026"/>
    <s v="Weekday"/>
    <n v="0.19379844961240311"/>
    <n v="0.544973544973545"/>
    <n v="6.6137566137566134E-2"/>
    <n v="2191"/>
    <s v="Main Auto Hub"/>
  </r>
  <r>
    <s v="CUST_2419"/>
    <x v="4"/>
    <x v="2"/>
    <s v="Wednesday"/>
    <s v="No"/>
    <x v="8"/>
    <x v="8"/>
    <s v="Baden-WÃ¼rttemberg"/>
    <x v="0"/>
    <s v="i4"/>
    <s v="Hybrid"/>
    <x v="1"/>
    <s v="50+"/>
    <s v="Low"/>
    <x v="1"/>
    <x v="2"/>
    <s v="Sales_6"/>
    <n v="265"/>
    <n v="123"/>
    <n v="92"/>
    <n v="37"/>
    <s v="30.08"/>
    <n v="50698"/>
    <s v="3.9"/>
    <n v="38647"/>
    <n v="1875826"/>
    <n v="445887"/>
    <s v="Feb"/>
    <n v="2"/>
    <n v="2026"/>
    <s v="Weekday"/>
    <n v="0.40217391304347827"/>
    <n v="0.46415094339622642"/>
    <n v="0.13962264150943396"/>
    <n v="12051"/>
    <s v="Stuttgart Auto Center"/>
  </r>
  <r>
    <s v="CUST_2420"/>
    <x v="1"/>
    <x v="1"/>
    <s v="Wednesday"/>
    <s v="No"/>
    <x v="2"/>
    <x v="2"/>
    <s v="Lower Saxony"/>
    <x v="4"/>
    <s v="Passat"/>
    <s v="Hybrid"/>
    <x v="1"/>
    <s v="50+"/>
    <s v="Medium"/>
    <x v="1"/>
    <x v="3"/>
    <s v="Sales_8"/>
    <n v="394"/>
    <n v="219"/>
    <n v="136"/>
    <n v="32"/>
    <s v="14.61"/>
    <n v="34089"/>
    <s v="7.37"/>
    <n v="30540"/>
    <n v="1090848"/>
    <n v="113568"/>
    <s v="Feb"/>
    <n v="2"/>
    <n v="2026"/>
    <s v="Weekday"/>
    <n v="0.23529411764705882"/>
    <n v="0.5558375634517766"/>
    <n v="8.1218274111675121E-2"/>
    <n v="3549"/>
    <s v="Hannover Cars"/>
  </r>
  <r>
    <s v="CUST_2421"/>
    <x v="7"/>
    <x v="3"/>
    <s v="Monday"/>
    <s v="No"/>
    <x v="9"/>
    <x v="9"/>
    <s v="NRW"/>
    <x v="1"/>
    <s v="Crossland"/>
    <s v="Diesel"/>
    <x v="0"/>
    <s v="50+"/>
    <s v="Low"/>
    <x v="0"/>
    <x v="0"/>
    <s v="Sales_5"/>
    <n v="251"/>
    <n v="120"/>
    <n v="76"/>
    <n v="15"/>
    <s v="12.5"/>
    <n v="24960"/>
    <s v="9.68"/>
    <n v="22479"/>
    <n v="374400"/>
    <n v="37215"/>
    <s v="Feb"/>
    <n v="2"/>
    <n v="2026"/>
    <s v="Weekday"/>
    <n v="0.19736842105263158"/>
    <n v="0.47808764940239046"/>
    <n v="5.9760956175298807E-2"/>
    <n v="2481"/>
    <s v="Ruhr Auto Plaza"/>
  </r>
  <r>
    <s v="CUST_2422"/>
    <x v="24"/>
    <x v="1"/>
    <s v="Thursday"/>
    <s v="No"/>
    <x v="4"/>
    <x v="4"/>
    <s v="Berlin"/>
    <x v="3"/>
    <s v="GLC"/>
    <s v="Hybrid"/>
    <x v="0"/>
    <s v="50+"/>
    <s v="Low"/>
    <x v="0"/>
    <x v="0"/>
    <s v="Sales_14"/>
    <n v="283"/>
    <n v="131"/>
    <n v="88"/>
    <n v="34"/>
    <s v="25.95"/>
    <n v="65468"/>
    <s v="4.25"/>
    <n v="50925"/>
    <n v="2225912"/>
    <n v="494462"/>
    <s v="Feb"/>
    <n v="2"/>
    <n v="2026"/>
    <s v="Weekday"/>
    <n v="0.38636363636363635"/>
    <n v="0.4628975265017668"/>
    <n v="0.12014134275618374"/>
    <n v="14543"/>
    <s v="Autohaus Berlin"/>
  </r>
  <r>
    <s v="CUST_2423"/>
    <x v="21"/>
    <x v="0"/>
    <s v="Tuesday"/>
    <s v="No"/>
    <x v="9"/>
    <x v="9"/>
    <s v="NRW"/>
    <x v="0"/>
    <s v="3 Series"/>
    <s v="Petrol"/>
    <x v="1"/>
    <s v="50+"/>
    <s v="Medium"/>
    <x v="0"/>
    <x v="2"/>
    <s v="Sales_6"/>
    <n v="210"/>
    <n v="116"/>
    <n v="87"/>
    <n v="34"/>
    <s v="29.31"/>
    <n v="66521"/>
    <s v="3.34"/>
    <n v="49855"/>
    <n v="2261714"/>
    <n v="566644"/>
    <s v="Feb"/>
    <n v="2"/>
    <n v="2026"/>
    <s v="Weekday"/>
    <n v="0.39080459770114945"/>
    <n v="0.55238095238095242"/>
    <n v="0.16190476190476191"/>
    <n v="16666"/>
    <s v="Ruhr Auto Plaza"/>
  </r>
  <r>
    <s v="CUST_2424"/>
    <x v="21"/>
    <x v="0"/>
    <s v="Tuesday"/>
    <s v="No"/>
    <x v="2"/>
    <x v="2"/>
    <s v="Lower Saxony"/>
    <x v="0"/>
    <s v="3 Series"/>
    <s v="Hybrid"/>
    <x v="1"/>
    <s v="18-25"/>
    <s v="Low"/>
    <x v="0"/>
    <x v="1"/>
    <s v="Sales_10"/>
    <n v="253"/>
    <n v="155"/>
    <n v="111"/>
    <n v="49"/>
    <s v="31.61"/>
    <n v="58300"/>
    <s v="2.71"/>
    <n v="41167"/>
    <n v="2856700"/>
    <n v="839517"/>
    <s v="Feb"/>
    <n v="2"/>
    <n v="2026"/>
    <s v="Weekday"/>
    <n v="0.44144144144144143"/>
    <n v="0.61264822134387353"/>
    <n v="0.19367588932806323"/>
    <n v="17133"/>
    <s v="Hannover Cars"/>
  </r>
  <r>
    <s v="CUST_2425"/>
    <x v="24"/>
    <x v="1"/>
    <s v="Thursday"/>
    <s v="No"/>
    <x v="9"/>
    <x v="9"/>
    <s v="NRW"/>
    <x v="0"/>
    <s v="i4"/>
    <s v="Petrol"/>
    <x v="1"/>
    <s v="50+"/>
    <s v="Medium"/>
    <x v="0"/>
    <x v="2"/>
    <s v="Sales_6"/>
    <n v="166"/>
    <n v="91"/>
    <n v="64"/>
    <n v="26"/>
    <s v="28.57"/>
    <n v="56920"/>
    <s v="3.14"/>
    <n v="42934"/>
    <n v="1479920"/>
    <n v="363636"/>
    <s v="Feb"/>
    <n v="2"/>
    <n v="2026"/>
    <s v="Weekday"/>
    <n v="0.40625"/>
    <n v="0.54819277108433739"/>
    <n v="0.15662650602409639"/>
    <n v="13986"/>
    <s v="Ruhr Auto Plaza"/>
  </r>
  <r>
    <s v="CUST_2426"/>
    <x v="14"/>
    <x v="2"/>
    <s v="Friday"/>
    <s v="No"/>
    <x v="6"/>
    <x v="6"/>
    <s v="Saxony"/>
    <x v="2"/>
    <s v="Q5"/>
    <s v="Electric"/>
    <x v="0"/>
    <s v="18-25"/>
    <s v="Medium"/>
    <x v="0"/>
    <x v="3"/>
    <s v="Sales_12"/>
    <n v="287"/>
    <n v="170"/>
    <n v="116"/>
    <n v="35"/>
    <s v="20.59"/>
    <n v="49663"/>
    <s v="5.22"/>
    <n v="39074"/>
    <n v="1738205"/>
    <n v="370615"/>
    <s v="Feb"/>
    <n v="2"/>
    <n v="2026"/>
    <s v="Weekday"/>
    <n v="0.30172413793103448"/>
    <n v="0.59233449477351918"/>
    <n v="0.12195121951219512"/>
    <n v="10589"/>
    <s v="Leipzig Mobility"/>
  </r>
  <r>
    <s v="CUST_2427"/>
    <x v="18"/>
    <x v="0"/>
    <s v="Saturday"/>
    <s v="Yes"/>
    <x v="1"/>
    <x v="1"/>
    <s v="NRW"/>
    <x v="0"/>
    <s v="X5"/>
    <s v="Petrol"/>
    <x v="0"/>
    <s v="18-25"/>
    <s v="High"/>
    <x v="0"/>
    <x v="3"/>
    <s v="Sales_4"/>
    <n v="166"/>
    <n v="95"/>
    <n v="74"/>
    <n v="26"/>
    <s v="27.37"/>
    <n v="49533"/>
    <s v="5.18"/>
    <n v="36761"/>
    <n v="1287858"/>
    <n v="332072"/>
    <s v="Feb"/>
    <n v="2"/>
    <n v="2026"/>
    <s v="Weekend"/>
    <n v="0.35135135135135137"/>
    <n v="0.57228915662650603"/>
    <n v="0.15662650602409639"/>
    <n v="12772"/>
    <s v="Rhein Auto Group"/>
  </r>
  <r>
    <s v="CUST_2428"/>
    <x v="21"/>
    <x v="0"/>
    <s v="Tuesday"/>
    <s v="No"/>
    <x v="8"/>
    <x v="8"/>
    <s v="Baden-WÃ¼rttemberg"/>
    <x v="2"/>
    <s v="Q5"/>
    <s v="Petrol"/>
    <x v="0"/>
    <s v="26-35"/>
    <s v="High"/>
    <x v="0"/>
    <x v="3"/>
    <s v="Sales_5"/>
    <n v="200"/>
    <n v="123"/>
    <n v="88"/>
    <n v="31"/>
    <s v="25.2"/>
    <n v="48282"/>
    <s v="6.37"/>
    <n v="39460"/>
    <n v="1496742"/>
    <n v="273482"/>
    <s v="Feb"/>
    <n v="2"/>
    <n v="2026"/>
    <s v="Weekday"/>
    <n v="0.35227272727272729"/>
    <n v="0.61499999999999999"/>
    <n v="0.155"/>
    <n v="8822"/>
    <s v="Stuttgart Auto Center"/>
  </r>
  <r>
    <s v="CUST_2429"/>
    <x v="17"/>
    <x v="2"/>
    <s v="Sunday"/>
    <s v="Yes"/>
    <x v="7"/>
    <x v="7"/>
    <s v="Bavaria"/>
    <x v="1"/>
    <s v="Corsa"/>
    <s v="Diesel"/>
    <x v="2"/>
    <s v="36-50"/>
    <s v="High"/>
    <x v="0"/>
    <x v="1"/>
    <s v="Sales_5"/>
    <n v="238"/>
    <n v="110"/>
    <n v="73"/>
    <n v="20"/>
    <s v="18.18"/>
    <n v="20439"/>
    <s v="11.36"/>
    <n v="18776"/>
    <n v="408780"/>
    <n v="33260"/>
    <s v="Feb"/>
    <n v="2"/>
    <n v="2026"/>
    <s v="Weekend"/>
    <n v="0.27397260273972601"/>
    <n v="0.46218487394957986"/>
    <n v="8.4033613445378158E-2"/>
    <n v="1663"/>
    <s v="Bavaria Motors"/>
  </r>
  <r>
    <s v="CUST_2430"/>
    <x v="4"/>
    <x v="2"/>
    <s v="Wednesday"/>
    <s v="No"/>
    <x v="4"/>
    <x v="4"/>
    <s v="Berlin"/>
    <x v="3"/>
    <s v="EQE"/>
    <s v="Electric"/>
    <x v="1"/>
    <s v="26-35"/>
    <s v="Low"/>
    <x v="0"/>
    <x v="1"/>
    <s v="Sales_20"/>
    <n v="155"/>
    <n v="72"/>
    <n v="55"/>
    <n v="21"/>
    <s v="29.17"/>
    <n v="60263"/>
    <s v="3.11"/>
    <n v="46201"/>
    <n v="1265523"/>
    <n v="295302"/>
    <s v="Feb"/>
    <n v="2"/>
    <n v="2026"/>
    <s v="Weekday"/>
    <n v="0.38181818181818183"/>
    <n v="0.46451612903225808"/>
    <n v="0.13548387096774195"/>
    <n v="14062"/>
    <s v="Autohaus Berlin"/>
  </r>
  <r>
    <s v="CUST_2431"/>
    <x v="10"/>
    <x v="1"/>
    <s v="Monday"/>
    <s v="No"/>
    <x v="1"/>
    <x v="1"/>
    <s v="NRW"/>
    <x v="1"/>
    <s v="Mokka"/>
    <s v="Diesel"/>
    <x v="0"/>
    <s v="36-50"/>
    <s v="Medium"/>
    <x v="0"/>
    <x v="1"/>
    <s v="Sales_6"/>
    <n v="302"/>
    <n v="139"/>
    <n v="81"/>
    <n v="28"/>
    <s v="20.14"/>
    <n v="25895"/>
    <s v="11.48"/>
    <n v="23515"/>
    <n v="725060"/>
    <n v="66640"/>
    <s v="Feb"/>
    <n v="2"/>
    <n v="2026"/>
    <s v="Weekday"/>
    <n v="0.34567901234567899"/>
    <n v="0.46026490066225167"/>
    <n v="9.2715231788079472E-2"/>
    <n v="2380"/>
    <s v="Rhein Auto Group"/>
  </r>
  <r>
    <s v="CUST_2432"/>
    <x v="22"/>
    <x v="3"/>
    <s v="Tuesday"/>
    <s v="No"/>
    <x v="4"/>
    <x v="4"/>
    <s v="Berlin"/>
    <x v="1"/>
    <s v="Mokka"/>
    <s v="Electric"/>
    <x v="0"/>
    <s v="50+"/>
    <s v="High"/>
    <x v="0"/>
    <x v="2"/>
    <s v="Sales_7"/>
    <n v="336"/>
    <n v="173"/>
    <n v="108"/>
    <n v="39"/>
    <s v="22.54"/>
    <n v="19954"/>
    <s v="11.09"/>
    <n v="17994"/>
    <n v="778206"/>
    <n v="76440"/>
    <s v="Feb"/>
    <n v="2"/>
    <n v="2026"/>
    <s v="Weekday"/>
    <n v="0.3611111111111111"/>
    <n v="0.51488095238095233"/>
    <n v="0.11607142857142858"/>
    <n v="1960"/>
    <s v="Autohaus Berlin"/>
  </r>
  <r>
    <s v="CUST_2433"/>
    <x v="22"/>
    <x v="3"/>
    <s v="Tuesday"/>
    <s v="No"/>
    <x v="6"/>
    <x v="6"/>
    <s v="Saxony"/>
    <x v="4"/>
    <s v="T-Roc"/>
    <s v="Hybrid"/>
    <x v="0"/>
    <s v="26-35"/>
    <s v="Low"/>
    <x v="0"/>
    <x v="1"/>
    <s v="Sales_11"/>
    <n v="431"/>
    <n v="182"/>
    <n v="112"/>
    <n v="26"/>
    <s v="14.29"/>
    <n v="32366"/>
    <s v="8.69"/>
    <n v="28286"/>
    <n v="841516"/>
    <n v="106080"/>
    <s v="Feb"/>
    <n v="2"/>
    <n v="2026"/>
    <s v="Weekday"/>
    <n v="0.23214285714285715"/>
    <n v="0.42227378190255221"/>
    <n v="6.0324825986078884E-2"/>
    <n v="4080"/>
    <s v="Leipzig Mobility"/>
  </r>
  <r>
    <s v="CUST_2434"/>
    <x v="16"/>
    <x v="1"/>
    <s v="Tuesday"/>
    <s v="No"/>
    <x v="0"/>
    <x v="0"/>
    <s v="Hesse"/>
    <x v="1"/>
    <s v="Grandland"/>
    <s v="Hybrid"/>
    <x v="0"/>
    <s v="18-25"/>
    <s v="High"/>
    <x v="0"/>
    <x v="1"/>
    <s v="Sales_15"/>
    <n v="231"/>
    <n v="112"/>
    <n v="76"/>
    <n v="17"/>
    <s v="15.18"/>
    <n v="24527"/>
    <s v="11.27"/>
    <n v="22233"/>
    <n v="416959"/>
    <n v="38998"/>
    <s v="Feb"/>
    <n v="2"/>
    <n v="2026"/>
    <s v="Weekday"/>
    <n v="0.22368421052631579"/>
    <n v="0.48484848484848486"/>
    <n v="7.3593073593073599E-2"/>
    <n v="2294"/>
    <s v="Main Auto Hub"/>
  </r>
  <r>
    <s v="CUST_2435"/>
    <x v="8"/>
    <x v="3"/>
    <s v="Wednesday"/>
    <s v="No"/>
    <x v="2"/>
    <x v="2"/>
    <s v="Lower Saxony"/>
    <x v="2"/>
    <s v="Q5"/>
    <s v="Diesel"/>
    <x v="0"/>
    <s v="50+"/>
    <s v="Low"/>
    <x v="1"/>
    <x v="3"/>
    <s v="Sales_13"/>
    <n v="311"/>
    <n v="160"/>
    <n v="116"/>
    <n v="30"/>
    <s v="18.75"/>
    <n v="40421"/>
    <s v="4.89"/>
    <n v="32306"/>
    <n v="1212630"/>
    <n v="243450"/>
    <s v="Feb"/>
    <n v="2"/>
    <n v="2026"/>
    <s v="Weekday"/>
    <n v="0.25862068965517243"/>
    <n v="0.51446945337620575"/>
    <n v="9.6463022508038579E-2"/>
    <n v="8115"/>
    <s v="Hannover Cars"/>
  </r>
  <r>
    <s v="CUST_2436"/>
    <x v="17"/>
    <x v="2"/>
    <s v="Sunday"/>
    <s v="Yes"/>
    <x v="0"/>
    <x v="0"/>
    <s v="Hesse"/>
    <x v="3"/>
    <s v="GLE"/>
    <s v="Diesel"/>
    <x v="0"/>
    <s v="26-35"/>
    <s v="Low"/>
    <x v="1"/>
    <x v="3"/>
    <s v="Sales_18"/>
    <n v="147"/>
    <n v="78"/>
    <n v="57"/>
    <n v="16"/>
    <s v="20.51"/>
    <n v="51749"/>
    <s v="3.51"/>
    <n v="38929"/>
    <n v="827984"/>
    <n v="205120"/>
    <s v="Feb"/>
    <n v="2"/>
    <n v="2026"/>
    <s v="Weekend"/>
    <n v="0.2807017543859649"/>
    <n v="0.53061224489795922"/>
    <n v="0.10884353741496598"/>
    <n v="12820"/>
    <s v="Main Auto Hub"/>
  </r>
  <r>
    <s v="CUST_2437"/>
    <x v="19"/>
    <x v="1"/>
    <s v="Saturday"/>
    <s v="Yes"/>
    <x v="9"/>
    <x v="9"/>
    <s v="NRW"/>
    <x v="0"/>
    <s v="X5"/>
    <s v="Diesel"/>
    <x v="0"/>
    <s v="18-25"/>
    <s v="Medium"/>
    <x v="0"/>
    <x v="1"/>
    <s v="Sales_1"/>
    <n v="169"/>
    <n v="102"/>
    <n v="78"/>
    <n v="30"/>
    <s v="29.41"/>
    <n v="57562"/>
    <s v="3.33"/>
    <n v="44771"/>
    <n v="1726860"/>
    <n v="383730"/>
    <s v="Feb"/>
    <n v="2"/>
    <n v="2026"/>
    <s v="Weekend"/>
    <n v="0.38461538461538464"/>
    <n v="0.60355029585798814"/>
    <n v="0.17751479289940827"/>
    <n v="12791"/>
    <s v="Ruhr Auto Plaza"/>
  </r>
  <r>
    <s v="CUST_2438"/>
    <x v="6"/>
    <x v="2"/>
    <s v="Saturday"/>
    <s v="Yes"/>
    <x v="3"/>
    <x v="3"/>
    <s v="Saxony"/>
    <x v="2"/>
    <s v="A3"/>
    <s v="Petrol"/>
    <x v="2"/>
    <s v="50+"/>
    <s v="High"/>
    <x v="1"/>
    <x v="3"/>
    <s v="Sales_18"/>
    <n v="184"/>
    <n v="110"/>
    <n v="77"/>
    <n v="20"/>
    <s v="18.18"/>
    <n v="45123"/>
    <s v="4.45"/>
    <n v="34634"/>
    <n v="902460"/>
    <n v="209780"/>
    <s v="Feb"/>
    <n v="2"/>
    <n v="2026"/>
    <s v="Weekend"/>
    <n v="0.25974025974025972"/>
    <n v="0.59782608695652173"/>
    <n v="0.10869565217391304"/>
    <n v="10489"/>
    <s v="Saxon Wheels"/>
  </r>
  <r>
    <s v="CUST_2439"/>
    <x v="10"/>
    <x v="1"/>
    <s v="Monday"/>
    <s v="No"/>
    <x v="9"/>
    <x v="9"/>
    <s v="NRW"/>
    <x v="4"/>
    <s v="ID.4"/>
    <s v="Electric"/>
    <x v="0"/>
    <s v="36-50"/>
    <s v="Low"/>
    <x v="1"/>
    <x v="2"/>
    <s v="Sales_4"/>
    <n v="501"/>
    <n v="240"/>
    <n v="170"/>
    <n v="47"/>
    <s v="19.58"/>
    <n v="34621"/>
    <s v="6.55"/>
    <n v="30191"/>
    <n v="1627187"/>
    <n v="208210"/>
    <s v="Feb"/>
    <n v="2"/>
    <n v="2026"/>
    <s v="Weekday"/>
    <n v="0.27647058823529413"/>
    <n v="0.47904191616766467"/>
    <n v="9.3812375249500993E-2"/>
    <n v="4430"/>
    <s v="Ruhr Auto Plaza"/>
  </r>
  <r>
    <s v="CUST_2440"/>
    <x v="13"/>
    <x v="0"/>
    <s v="Friday"/>
    <s v="No"/>
    <x v="3"/>
    <x v="3"/>
    <s v="Saxony"/>
    <x v="3"/>
    <s v="C-Class"/>
    <s v="Petrol"/>
    <x v="1"/>
    <s v="26-35"/>
    <s v="High"/>
    <x v="1"/>
    <x v="3"/>
    <s v="Sales_6"/>
    <n v="204"/>
    <n v="92"/>
    <n v="61"/>
    <n v="22"/>
    <s v="23.91"/>
    <n v="59268"/>
    <s v="5.02"/>
    <n v="43185"/>
    <n v="1303896"/>
    <n v="353826"/>
    <s v="Feb"/>
    <n v="2"/>
    <n v="2026"/>
    <s v="Weekday"/>
    <n v="0.36065573770491804"/>
    <n v="0.45098039215686275"/>
    <n v="0.10784313725490197"/>
    <n v="16083"/>
    <s v="Saxon Wheels"/>
  </r>
  <r>
    <s v="CUST_2441"/>
    <x v="4"/>
    <x v="2"/>
    <s v="Wednesday"/>
    <s v="No"/>
    <x v="9"/>
    <x v="9"/>
    <s v="NRW"/>
    <x v="1"/>
    <s v="Corsa"/>
    <s v="Electric"/>
    <x v="2"/>
    <s v="26-35"/>
    <s v="High"/>
    <x v="0"/>
    <x v="2"/>
    <s v="Sales_19"/>
    <n v="320"/>
    <n v="135"/>
    <n v="88"/>
    <n v="26"/>
    <s v="19.26"/>
    <n v="26554"/>
    <s v="11.04"/>
    <n v="24295"/>
    <n v="690404"/>
    <n v="58734"/>
    <s v="Feb"/>
    <n v="2"/>
    <n v="2026"/>
    <s v="Weekday"/>
    <n v="0.29545454545454547"/>
    <n v="0.421875"/>
    <n v="8.1250000000000003E-2"/>
    <n v="2259"/>
    <s v="Ruhr Auto Plaza"/>
  </r>
  <r>
    <s v="CUST_2442"/>
    <x v="10"/>
    <x v="1"/>
    <s v="Monday"/>
    <s v="No"/>
    <x v="9"/>
    <x v="9"/>
    <s v="NRW"/>
    <x v="4"/>
    <s v="ID.4"/>
    <s v="Petrol"/>
    <x v="0"/>
    <s v="18-25"/>
    <s v="High"/>
    <x v="0"/>
    <x v="2"/>
    <s v="Sales_12"/>
    <n v="351"/>
    <n v="202"/>
    <n v="142"/>
    <n v="40"/>
    <s v="19.8"/>
    <n v="31102"/>
    <s v="11.5"/>
    <n v="26972"/>
    <n v="1244080"/>
    <n v="165200"/>
    <s v="Feb"/>
    <n v="2"/>
    <n v="2026"/>
    <s v="Weekday"/>
    <n v="0.28169014084507044"/>
    <n v="0.57549857549857553"/>
    <n v="0.11396011396011396"/>
    <n v="4130"/>
    <s v="Ruhr Auto Plaza"/>
  </r>
  <r>
    <s v="CUST_2443"/>
    <x v="16"/>
    <x v="1"/>
    <s v="Tuesday"/>
    <s v="No"/>
    <x v="1"/>
    <x v="1"/>
    <s v="NRW"/>
    <x v="1"/>
    <s v="Astra"/>
    <s v="Electric"/>
    <x v="2"/>
    <s v="50+"/>
    <s v="Low"/>
    <x v="0"/>
    <x v="0"/>
    <s v="Sales_10"/>
    <n v="373"/>
    <n v="152"/>
    <n v="96"/>
    <n v="20"/>
    <s v="13.16"/>
    <n v="25139"/>
    <s v="8.05"/>
    <n v="22673"/>
    <n v="502780"/>
    <n v="49320"/>
    <s v="Feb"/>
    <n v="2"/>
    <n v="2026"/>
    <s v="Weekday"/>
    <n v="0.20833333333333334"/>
    <n v="0.40750670241286863"/>
    <n v="5.3619302949061663E-2"/>
    <n v="2466"/>
    <s v="Rhein Auto Group"/>
  </r>
  <r>
    <s v="CUST_2444"/>
    <x v="18"/>
    <x v="0"/>
    <s v="Saturday"/>
    <s v="Yes"/>
    <x v="0"/>
    <x v="0"/>
    <s v="Hesse"/>
    <x v="4"/>
    <s v="Golf"/>
    <s v="Hybrid"/>
    <x v="2"/>
    <s v="50+"/>
    <s v="High"/>
    <x v="1"/>
    <x v="2"/>
    <s v="Sales_9"/>
    <n v="289"/>
    <n v="151"/>
    <n v="90"/>
    <n v="27"/>
    <s v="17.88"/>
    <n v="32451"/>
    <s v="11.67"/>
    <n v="29152"/>
    <n v="876177"/>
    <n v="89073"/>
    <s v="Feb"/>
    <n v="2"/>
    <n v="2026"/>
    <s v="Weekend"/>
    <n v="0.3"/>
    <n v="0.52249134948096887"/>
    <n v="9.3425605536332182E-2"/>
    <n v="3299"/>
    <s v="Main Auto Hub"/>
  </r>
  <r>
    <s v="CUST_2445"/>
    <x v="25"/>
    <x v="3"/>
    <s v="Friday"/>
    <s v="No"/>
    <x v="1"/>
    <x v="1"/>
    <s v="NRW"/>
    <x v="4"/>
    <s v="Tiguan"/>
    <s v="Diesel"/>
    <x v="0"/>
    <s v="36-50"/>
    <s v="High"/>
    <x v="0"/>
    <x v="2"/>
    <s v="Sales_7"/>
    <n v="422"/>
    <n v="183"/>
    <n v="114"/>
    <n v="33"/>
    <s v="18.03"/>
    <n v="34803"/>
    <s v="8.19"/>
    <n v="30496"/>
    <n v="1148499"/>
    <n v="142131"/>
    <s v="Feb"/>
    <n v="2"/>
    <n v="2026"/>
    <s v="Weekday"/>
    <n v="0.28947368421052633"/>
    <n v="0.43364928909952605"/>
    <n v="7.8199052132701424E-2"/>
    <n v="4307"/>
    <s v="Rhein Auto Group"/>
  </r>
  <r>
    <s v="CUST_2446"/>
    <x v="7"/>
    <x v="3"/>
    <s v="Monday"/>
    <s v="No"/>
    <x v="2"/>
    <x v="2"/>
    <s v="Lower Saxony"/>
    <x v="4"/>
    <s v="T-Roc"/>
    <s v="Hybrid"/>
    <x v="0"/>
    <s v="26-35"/>
    <s v="Medium"/>
    <x v="1"/>
    <x v="1"/>
    <s v="Sales_18"/>
    <n v="419"/>
    <n v="169"/>
    <n v="120"/>
    <n v="30"/>
    <s v="17.75"/>
    <n v="32644"/>
    <s v="11.33"/>
    <n v="28181"/>
    <n v="979320"/>
    <n v="133890"/>
    <s v="Feb"/>
    <n v="2"/>
    <n v="2026"/>
    <s v="Weekday"/>
    <n v="0.25"/>
    <n v="0.40334128878281622"/>
    <n v="7.1599045346062054E-2"/>
    <n v="4463"/>
    <s v="Hannover Cars"/>
  </r>
  <r>
    <s v="CUST_2447"/>
    <x v="24"/>
    <x v="1"/>
    <s v="Thursday"/>
    <s v="No"/>
    <x v="3"/>
    <x v="3"/>
    <s v="Saxony"/>
    <x v="3"/>
    <s v="C-Class"/>
    <s v="Hybrid"/>
    <x v="1"/>
    <s v="26-35"/>
    <s v="Medium"/>
    <x v="0"/>
    <x v="1"/>
    <s v="Sales_6"/>
    <n v="206"/>
    <n v="122"/>
    <n v="84"/>
    <n v="33"/>
    <s v="27.05"/>
    <n v="66834"/>
    <s v="4.95"/>
    <n v="49470"/>
    <n v="2205522"/>
    <n v="573012"/>
    <s v="Feb"/>
    <n v="2"/>
    <n v="2026"/>
    <s v="Weekday"/>
    <n v="0.39285714285714285"/>
    <n v="0.59223300970873782"/>
    <n v="0.16019417475728157"/>
    <n v="17364"/>
    <s v="Saxon Wheels"/>
  </r>
  <r>
    <s v="CUST_2448"/>
    <x v="19"/>
    <x v="1"/>
    <s v="Saturday"/>
    <s v="Yes"/>
    <x v="0"/>
    <x v="0"/>
    <s v="Hesse"/>
    <x v="3"/>
    <s v="GLE"/>
    <s v="Petrol"/>
    <x v="0"/>
    <s v="18-25"/>
    <s v="Low"/>
    <x v="1"/>
    <x v="0"/>
    <s v="Sales_18"/>
    <n v="173"/>
    <n v="103"/>
    <n v="72"/>
    <n v="20"/>
    <s v="19.42"/>
    <n v="70202"/>
    <s v="5.96"/>
    <n v="55241"/>
    <n v="1404040"/>
    <n v="299220"/>
    <s v="Feb"/>
    <n v="2"/>
    <n v="2026"/>
    <s v="Weekend"/>
    <n v="0.27777777777777779"/>
    <n v="0.59537572254335258"/>
    <n v="0.11560693641618497"/>
    <n v="14961"/>
    <s v="Main Auto Hub"/>
  </r>
  <r>
    <s v="CUST_2449"/>
    <x v="22"/>
    <x v="3"/>
    <s v="Tuesday"/>
    <s v="No"/>
    <x v="8"/>
    <x v="8"/>
    <s v="Baden-WÃ¼rttemberg"/>
    <x v="2"/>
    <s v="e-tron"/>
    <s v="Petrol"/>
    <x v="0"/>
    <s v="36-50"/>
    <s v="High"/>
    <x v="0"/>
    <x v="0"/>
    <s v="Sales_1"/>
    <n v="310"/>
    <n v="166"/>
    <n v="127"/>
    <n v="39"/>
    <s v="23.49"/>
    <n v="42210"/>
    <s v="6.07"/>
    <n v="31828"/>
    <n v="1646190"/>
    <n v="404898"/>
    <s v="Feb"/>
    <n v="2"/>
    <n v="2026"/>
    <s v="Weekday"/>
    <n v="0.30708661417322836"/>
    <n v="0.53548387096774197"/>
    <n v="0.12580645161290321"/>
    <n v="10382"/>
    <s v="Stuttgart Auto Center"/>
  </r>
  <r>
    <s v="CUST_2450"/>
    <x v="19"/>
    <x v="1"/>
    <s v="Saturday"/>
    <s v="Yes"/>
    <x v="0"/>
    <x v="0"/>
    <s v="Hesse"/>
    <x v="1"/>
    <s v="Mokka"/>
    <s v="Hybrid"/>
    <x v="0"/>
    <s v="18-25"/>
    <s v="Low"/>
    <x v="1"/>
    <x v="0"/>
    <s v="Sales_8"/>
    <n v="262"/>
    <n v="140"/>
    <n v="85"/>
    <n v="20"/>
    <s v="14.29"/>
    <n v="23684"/>
    <s v="13.19"/>
    <n v="21800"/>
    <n v="473680"/>
    <n v="37680"/>
    <s v="Feb"/>
    <n v="2"/>
    <n v="2026"/>
    <s v="Weekend"/>
    <n v="0.23529411764705882"/>
    <n v="0.53435114503816794"/>
    <n v="7.6335877862595422E-2"/>
    <n v="1884"/>
    <s v="Main Auto Hub"/>
  </r>
  <r>
    <s v="CUST_2451"/>
    <x v="27"/>
    <x v="3"/>
    <s v="Sunday"/>
    <s v="Yes"/>
    <x v="9"/>
    <x v="9"/>
    <s v="NRW"/>
    <x v="2"/>
    <s v="Q3"/>
    <s v="Diesel"/>
    <x v="0"/>
    <s v="18-25"/>
    <s v="High"/>
    <x v="0"/>
    <x v="2"/>
    <s v="Sales_12"/>
    <n v="302"/>
    <n v="179"/>
    <n v="116"/>
    <n v="48"/>
    <s v="26.82"/>
    <n v="46700"/>
    <s v="3.07"/>
    <n v="36829"/>
    <n v="2241600"/>
    <n v="473808"/>
    <s v="Feb"/>
    <n v="2"/>
    <n v="2026"/>
    <s v="Weekend"/>
    <n v="0.41379310344827586"/>
    <n v="0.5927152317880795"/>
    <n v="0.15894039735099338"/>
    <n v="9871"/>
    <s v="Ruhr Auto Plaza"/>
  </r>
  <r>
    <s v="CUST_2452"/>
    <x v="0"/>
    <x v="0"/>
    <s v="Monday"/>
    <s v="No"/>
    <x v="3"/>
    <x v="3"/>
    <s v="Saxony"/>
    <x v="3"/>
    <s v="EQE"/>
    <s v="Electric"/>
    <x v="1"/>
    <s v="36-50"/>
    <s v="Low"/>
    <x v="0"/>
    <x v="0"/>
    <s v="Sales_1"/>
    <n v="285"/>
    <n v="150"/>
    <n v="114"/>
    <n v="32"/>
    <s v="21.33"/>
    <n v="50637"/>
    <s v="5.53"/>
    <n v="36853"/>
    <n v="1620384"/>
    <n v="441088"/>
    <s v="Feb"/>
    <n v="2"/>
    <n v="2026"/>
    <s v="Weekday"/>
    <n v="0.2807017543859649"/>
    <n v="0.52631578947368418"/>
    <n v="0.11228070175438597"/>
    <n v="13784"/>
    <s v="Saxon Wheels"/>
  </r>
  <r>
    <s v="CUST_2453"/>
    <x v="27"/>
    <x v="3"/>
    <s v="Sunday"/>
    <s v="Yes"/>
    <x v="8"/>
    <x v="8"/>
    <s v="Baden-WÃ¼rttemberg"/>
    <x v="4"/>
    <s v="Tiguan"/>
    <s v="Hybrid"/>
    <x v="0"/>
    <s v="26-35"/>
    <s v="Medium"/>
    <x v="1"/>
    <x v="0"/>
    <s v="Sales_18"/>
    <n v="379"/>
    <n v="168"/>
    <n v="112"/>
    <n v="21"/>
    <s v="12.5"/>
    <n v="32751"/>
    <s v="6.05"/>
    <n v="28885"/>
    <n v="687771"/>
    <n v="81186"/>
    <s v="Feb"/>
    <n v="2"/>
    <n v="2026"/>
    <s v="Weekend"/>
    <n v="0.1875"/>
    <n v="0.44327176781002636"/>
    <n v="5.5408970976253295E-2"/>
    <n v="3866"/>
    <s v="Stuttgart Auto Center"/>
  </r>
  <r>
    <s v="CUST_2454"/>
    <x v="22"/>
    <x v="3"/>
    <s v="Tuesday"/>
    <s v="No"/>
    <x v="1"/>
    <x v="1"/>
    <s v="NRW"/>
    <x v="0"/>
    <s v="5 Series"/>
    <s v="Electric"/>
    <x v="1"/>
    <s v="26-35"/>
    <s v="Low"/>
    <x v="1"/>
    <x v="2"/>
    <s v="Sales_7"/>
    <n v="203"/>
    <n v="110"/>
    <n v="89"/>
    <n v="31"/>
    <s v="28.18"/>
    <n v="62846"/>
    <s v="3.24"/>
    <n v="47772"/>
    <n v="1948226"/>
    <n v="467294"/>
    <s v="Feb"/>
    <n v="2"/>
    <n v="2026"/>
    <s v="Weekday"/>
    <n v="0.34831460674157305"/>
    <n v="0.54187192118226601"/>
    <n v="0.15270935960591134"/>
    <n v="15074"/>
    <s v="Rhein Auto Group"/>
  </r>
  <r>
    <s v="CUST_2455"/>
    <x v="21"/>
    <x v="0"/>
    <s v="Tuesday"/>
    <s v="No"/>
    <x v="2"/>
    <x v="2"/>
    <s v="Lower Saxony"/>
    <x v="2"/>
    <s v="Q3"/>
    <s v="Hybrid"/>
    <x v="0"/>
    <s v="26-35"/>
    <s v="Medium"/>
    <x v="1"/>
    <x v="3"/>
    <s v="Sales_2"/>
    <n v="246"/>
    <n v="124"/>
    <n v="82"/>
    <n v="29"/>
    <s v="23.39"/>
    <n v="50836"/>
    <s v="6.16"/>
    <n v="39760"/>
    <n v="1474244"/>
    <n v="321204"/>
    <s v="Feb"/>
    <n v="2"/>
    <n v="2026"/>
    <s v="Weekday"/>
    <n v="0.35365853658536583"/>
    <n v="0.50406504065040647"/>
    <n v="0.11788617886178862"/>
    <n v="11076"/>
    <s v="Hannover Cars"/>
  </r>
  <r>
    <s v="CUST_2456"/>
    <x v="5"/>
    <x v="3"/>
    <s v="Saturday"/>
    <s v="Yes"/>
    <x v="2"/>
    <x v="2"/>
    <s v="Lower Saxony"/>
    <x v="4"/>
    <s v="T-Roc"/>
    <s v="Hybrid"/>
    <x v="0"/>
    <s v="50+"/>
    <s v="High"/>
    <x v="1"/>
    <x v="0"/>
    <s v="Sales_18"/>
    <n v="361"/>
    <n v="170"/>
    <n v="112"/>
    <n v="26"/>
    <s v="15.29"/>
    <n v="25684"/>
    <s v="11.67"/>
    <n v="22925"/>
    <n v="667784"/>
    <n v="71734"/>
    <s v="Feb"/>
    <n v="2"/>
    <n v="2026"/>
    <s v="Weekend"/>
    <n v="0.23214285714285715"/>
    <n v="0.47091412742382271"/>
    <n v="7.2022160664819951E-2"/>
    <n v="2759"/>
    <s v="Hannover Cars"/>
  </r>
  <r>
    <s v="CUST_2457"/>
    <x v="3"/>
    <x v="1"/>
    <s v="Sunday"/>
    <s v="Yes"/>
    <x v="0"/>
    <x v="0"/>
    <s v="Hesse"/>
    <x v="1"/>
    <s v="Mokka"/>
    <s v="Petrol"/>
    <x v="0"/>
    <s v="26-35"/>
    <s v="Medium"/>
    <x v="0"/>
    <x v="0"/>
    <s v="Sales_4"/>
    <n v="275"/>
    <n v="107"/>
    <n v="66"/>
    <n v="13"/>
    <s v="12.15"/>
    <n v="23840"/>
    <s v="11.01"/>
    <n v="21635"/>
    <n v="309920"/>
    <n v="28665"/>
    <s v="Feb"/>
    <n v="2"/>
    <n v="2026"/>
    <s v="Weekend"/>
    <n v="0.19696969696969696"/>
    <n v="0.3890909090909091"/>
    <n v="4.7272727272727272E-2"/>
    <n v="2205"/>
    <s v="Main Auto Hub"/>
  </r>
  <r>
    <s v="CUST_2458"/>
    <x v="12"/>
    <x v="3"/>
    <s v="Thursday"/>
    <s v="No"/>
    <x v="4"/>
    <x v="4"/>
    <s v="Berlin"/>
    <x v="0"/>
    <s v="3 Series"/>
    <s v="Diesel"/>
    <x v="1"/>
    <s v="50+"/>
    <s v="High"/>
    <x v="0"/>
    <x v="2"/>
    <s v="Sales_9"/>
    <n v="195"/>
    <n v="111"/>
    <n v="87"/>
    <n v="37"/>
    <s v="33.33"/>
    <n v="65093"/>
    <s v="4.99"/>
    <n v="50276"/>
    <n v="2408441"/>
    <n v="548229"/>
    <s v="Feb"/>
    <n v="2"/>
    <n v="2026"/>
    <s v="Weekday"/>
    <n v="0.42528735632183906"/>
    <n v="0.56923076923076921"/>
    <n v="0.18974358974358974"/>
    <n v="14817"/>
    <s v="Autohaus Berlin"/>
  </r>
  <r>
    <s v="CUST_2459"/>
    <x v="16"/>
    <x v="1"/>
    <s v="Tuesday"/>
    <s v="No"/>
    <x v="1"/>
    <x v="1"/>
    <s v="NRW"/>
    <x v="1"/>
    <s v="Mokka"/>
    <s v="Diesel"/>
    <x v="0"/>
    <s v="36-50"/>
    <s v="Low"/>
    <x v="1"/>
    <x v="2"/>
    <s v="Sales_19"/>
    <n v="342"/>
    <n v="171"/>
    <n v="116"/>
    <n v="35"/>
    <s v="20.47"/>
    <n v="26092"/>
    <s v="10.57"/>
    <n v="23921"/>
    <n v="913220"/>
    <n v="75985"/>
    <s v="Feb"/>
    <n v="2"/>
    <n v="2026"/>
    <s v="Weekday"/>
    <n v="0.30172413793103448"/>
    <n v="0.5"/>
    <n v="0.1023391812865497"/>
    <n v="2171"/>
    <s v="Rhein Auto Group"/>
  </r>
  <r>
    <s v="CUST_2460"/>
    <x v="7"/>
    <x v="3"/>
    <s v="Monday"/>
    <s v="No"/>
    <x v="1"/>
    <x v="1"/>
    <s v="NRW"/>
    <x v="4"/>
    <s v="ID.4"/>
    <s v="Petrol"/>
    <x v="0"/>
    <s v="26-35"/>
    <s v="Low"/>
    <x v="1"/>
    <x v="3"/>
    <s v="Sales_5"/>
    <n v="503"/>
    <n v="280"/>
    <n v="181"/>
    <n v="38"/>
    <s v="13.57"/>
    <n v="30308"/>
    <s v="8.49"/>
    <n v="26408"/>
    <n v="1151704"/>
    <n v="148200"/>
    <s v="Feb"/>
    <n v="2"/>
    <n v="2026"/>
    <s v="Weekday"/>
    <n v="0.20994475138121546"/>
    <n v="0.55666003976143141"/>
    <n v="7.5546719681908542E-2"/>
    <n v="3900"/>
    <s v="Rhein Auto Group"/>
  </r>
  <r>
    <s v="CUST_2461"/>
    <x v="15"/>
    <x v="2"/>
    <s v="Thursday"/>
    <s v="No"/>
    <x v="3"/>
    <x v="3"/>
    <s v="Saxony"/>
    <x v="1"/>
    <s v="Crossland"/>
    <s v="Petrol"/>
    <x v="0"/>
    <s v="18-25"/>
    <s v="Low"/>
    <x v="0"/>
    <x v="0"/>
    <s v="Sales_14"/>
    <n v="379"/>
    <n v="170"/>
    <n v="109"/>
    <n v="19"/>
    <s v="11.18"/>
    <n v="22786"/>
    <s v="12.76"/>
    <n v="20321"/>
    <n v="432934"/>
    <n v="46835"/>
    <s v="Feb"/>
    <n v="2"/>
    <n v="2026"/>
    <s v="Weekday"/>
    <n v="0.1743119266055046"/>
    <n v="0.44854881266490765"/>
    <n v="5.0131926121372031E-2"/>
    <n v="2465"/>
    <s v="Saxon Wheels"/>
  </r>
  <r>
    <s v="CUST_2462"/>
    <x v="22"/>
    <x v="3"/>
    <s v="Tuesday"/>
    <s v="No"/>
    <x v="2"/>
    <x v="2"/>
    <s v="Lower Saxony"/>
    <x v="4"/>
    <s v="T-Roc"/>
    <s v="Petrol"/>
    <x v="0"/>
    <s v="36-50"/>
    <s v="Low"/>
    <x v="1"/>
    <x v="2"/>
    <s v="Sales_5"/>
    <n v="474"/>
    <n v="254"/>
    <n v="179"/>
    <n v="48"/>
    <s v="18.9"/>
    <n v="27521"/>
    <s v="8.32"/>
    <n v="24150"/>
    <n v="1321008"/>
    <n v="161808"/>
    <s v="Feb"/>
    <n v="2"/>
    <n v="2026"/>
    <s v="Weekday"/>
    <n v="0.26815642458100558"/>
    <n v="0.53586497890295359"/>
    <n v="0.10126582278481013"/>
    <n v="3371"/>
    <s v="Hannover Cars"/>
  </r>
  <r>
    <s v="CUST_2463"/>
    <x v="18"/>
    <x v="0"/>
    <s v="Saturday"/>
    <s v="Yes"/>
    <x v="5"/>
    <x v="5"/>
    <s v="Hamburg"/>
    <x v="2"/>
    <s v="e-tron"/>
    <s v="Petrol"/>
    <x v="0"/>
    <s v="36-50"/>
    <s v="Medium"/>
    <x v="1"/>
    <x v="2"/>
    <s v="Sales_9"/>
    <n v="287"/>
    <n v="162"/>
    <n v="114"/>
    <n v="41"/>
    <s v="25.31"/>
    <n v="41937"/>
    <s v="6.4"/>
    <n v="33192"/>
    <n v="1719417"/>
    <n v="358545"/>
    <s v="Feb"/>
    <n v="2"/>
    <n v="2026"/>
    <s v="Weekend"/>
    <n v="0.35964912280701755"/>
    <n v="0.56445993031358888"/>
    <n v="0.14285714285714285"/>
    <n v="8745"/>
    <s v="Elbe Drive"/>
  </r>
  <r>
    <s v="CUST_2464"/>
    <x v="4"/>
    <x v="2"/>
    <s v="Wednesday"/>
    <s v="No"/>
    <x v="9"/>
    <x v="9"/>
    <s v="NRW"/>
    <x v="2"/>
    <s v="Q5"/>
    <s v="Hybrid"/>
    <x v="0"/>
    <s v="36-50"/>
    <s v="High"/>
    <x v="0"/>
    <x v="0"/>
    <s v="Sales_8"/>
    <n v="316"/>
    <n v="171"/>
    <n v="120"/>
    <n v="37"/>
    <s v="21.64"/>
    <n v="54787"/>
    <s v="5.3"/>
    <n v="42174"/>
    <n v="2027119"/>
    <n v="466681"/>
    <s v="Feb"/>
    <n v="2"/>
    <n v="2026"/>
    <s v="Weekday"/>
    <n v="0.30833333333333335"/>
    <n v="0.54113924050632911"/>
    <n v="0.11708860759493671"/>
    <n v="12613"/>
    <s v="Ruhr Auto Plaza"/>
  </r>
  <r>
    <s v="CUST_2465"/>
    <x v="13"/>
    <x v="0"/>
    <s v="Friday"/>
    <s v="No"/>
    <x v="3"/>
    <x v="3"/>
    <s v="Saxony"/>
    <x v="3"/>
    <s v="GLC"/>
    <s v="Petrol"/>
    <x v="0"/>
    <s v="18-25"/>
    <s v="High"/>
    <x v="1"/>
    <x v="1"/>
    <s v="Sales_2"/>
    <n v="202"/>
    <n v="112"/>
    <n v="76"/>
    <n v="26"/>
    <s v="23.21"/>
    <n v="65105"/>
    <s v="3.09"/>
    <n v="47680"/>
    <n v="1692730"/>
    <n v="453050"/>
    <s v="Feb"/>
    <n v="2"/>
    <n v="2026"/>
    <s v="Weekday"/>
    <n v="0.34210526315789475"/>
    <n v="0.5544554455445545"/>
    <n v="0.12871287128712872"/>
    <n v="17425"/>
    <s v="Saxon Wheels"/>
  </r>
  <r>
    <s v="CUST_2466"/>
    <x v="12"/>
    <x v="3"/>
    <s v="Thursday"/>
    <s v="No"/>
    <x v="0"/>
    <x v="0"/>
    <s v="Hesse"/>
    <x v="1"/>
    <s v="Crossland"/>
    <s v="Petrol"/>
    <x v="0"/>
    <s v="18-25"/>
    <s v="High"/>
    <x v="0"/>
    <x v="3"/>
    <s v="Sales_15"/>
    <n v="248"/>
    <n v="126"/>
    <n v="72"/>
    <n v="17"/>
    <s v="13.49"/>
    <n v="21192"/>
    <s v="13.42"/>
    <n v="19679"/>
    <n v="360264"/>
    <n v="25721"/>
    <s v="Feb"/>
    <n v="2"/>
    <n v="2026"/>
    <s v="Weekday"/>
    <n v="0.2361111111111111"/>
    <n v="0.50806451612903225"/>
    <n v="6.8548387096774188E-2"/>
    <n v="1513"/>
    <s v="Main Auto Hub"/>
  </r>
  <r>
    <s v="CUST_2467"/>
    <x v="13"/>
    <x v="0"/>
    <s v="Friday"/>
    <s v="No"/>
    <x v="0"/>
    <x v="0"/>
    <s v="Hesse"/>
    <x v="4"/>
    <s v="ID.4"/>
    <s v="Petrol"/>
    <x v="0"/>
    <s v="26-35"/>
    <s v="Low"/>
    <x v="0"/>
    <x v="3"/>
    <s v="Sales_19"/>
    <n v="367"/>
    <n v="162"/>
    <n v="112"/>
    <n v="27"/>
    <s v="16.67"/>
    <n v="32401"/>
    <s v="9.58"/>
    <n v="28820"/>
    <n v="874827"/>
    <n v="96687"/>
    <s v="Feb"/>
    <n v="2"/>
    <n v="2026"/>
    <s v="Weekday"/>
    <n v="0.24107142857142858"/>
    <n v="0.44141689373297005"/>
    <n v="7.3569482288828342E-2"/>
    <n v="3581"/>
    <s v="Main Auto Hub"/>
  </r>
  <r>
    <s v="CUST_2468"/>
    <x v="20"/>
    <x v="0"/>
    <s v="Thursday"/>
    <s v="No"/>
    <x v="5"/>
    <x v="5"/>
    <s v="Hamburg"/>
    <x v="4"/>
    <s v="Passat"/>
    <s v="Diesel"/>
    <x v="1"/>
    <s v="50+"/>
    <s v="High"/>
    <x v="1"/>
    <x v="2"/>
    <s v="Sales_2"/>
    <n v="513"/>
    <n v="257"/>
    <n v="183"/>
    <n v="46"/>
    <s v="17.9"/>
    <n v="30248"/>
    <s v="9.59"/>
    <n v="26865"/>
    <n v="1391408"/>
    <n v="155618"/>
    <s v="Feb"/>
    <n v="2"/>
    <n v="2026"/>
    <s v="Weekday"/>
    <n v="0.25136612021857924"/>
    <n v="0.50097465886939574"/>
    <n v="8.9668615984405453E-2"/>
    <n v="3383"/>
    <s v="Elbe Drive"/>
  </r>
  <r>
    <s v="CUST_2469"/>
    <x v="16"/>
    <x v="1"/>
    <s v="Tuesday"/>
    <s v="No"/>
    <x v="6"/>
    <x v="6"/>
    <s v="Saxony"/>
    <x v="3"/>
    <s v="GLE"/>
    <s v="Electric"/>
    <x v="0"/>
    <s v="36-50"/>
    <s v="Medium"/>
    <x v="1"/>
    <x v="0"/>
    <s v="Sales_12"/>
    <n v="219"/>
    <n v="97"/>
    <n v="72"/>
    <n v="23"/>
    <s v="23.71"/>
    <n v="67190"/>
    <s v="4.53"/>
    <n v="49713"/>
    <n v="1545370"/>
    <n v="401971"/>
    <s v="Feb"/>
    <n v="2"/>
    <n v="2026"/>
    <s v="Weekday"/>
    <n v="0.31944444444444442"/>
    <n v="0.44292237442922372"/>
    <n v="0.1050228310502283"/>
    <n v="17477"/>
    <s v="Leipzig Mobility"/>
  </r>
  <r>
    <s v="CUST_2470"/>
    <x v="20"/>
    <x v="0"/>
    <s v="Thursday"/>
    <s v="No"/>
    <x v="8"/>
    <x v="8"/>
    <s v="Baden-WÃ¼rttemberg"/>
    <x v="3"/>
    <s v="EQE"/>
    <s v="Petrol"/>
    <x v="1"/>
    <s v="50+"/>
    <s v="Medium"/>
    <x v="1"/>
    <x v="2"/>
    <s v="Sales_2"/>
    <n v="161"/>
    <n v="82"/>
    <n v="59"/>
    <n v="24"/>
    <s v="29.27"/>
    <n v="60552"/>
    <s v="5.03"/>
    <n v="43375"/>
    <n v="1453248"/>
    <n v="412248"/>
    <s v="Feb"/>
    <n v="2"/>
    <n v="2026"/>
    <s v="Weekday"/>
    <n v="0.40677966101694918"/>
    <n v="0.50931677018633537"/>
    <n v="0.14906832298136646"/>
    <n v="17177"/>
    <s v="Stuttgart Auto Center"/>
  </r>
  <r>
    <s v="CUST_2471"/>
    <x v="22"/>
    <x v="3"/>
    <s v="Tuesday"/>
    <s v="No"/>
    <x v="4"/>
    <x v="4"/>
    <s v="Berlin"/>
    <x v="0"/>
    <s v="5 Series"/>
    <s v="Diesel"/>
    <x v="1"/>
    <s v="26-35"/>
    <s v="High"/>
    <x v="1"/>
    <x v="1"/>
    <s v="Sales_8"/>
    <n v="269"/>
    <n v="138"/>
    <n v="110"/>
    <n v="41"/>
    <s v="29.71"/>
    <n v="54621"/>
    <s v="2.21"/>
    <n v="42402"/>
    <n v="2239461"/>
    <n v="500979"/>
    <s v="Feb"/>
    <n v="2"/>
    <n v="2026"/>
    <s v="Weekday"/>
    <n v="0.37272727272727274"/>
    <n v="0.51301115241635686"/>
    <n v="0.15241635687732341"/>
    <n v="12219"/>
    <s v="Autohaus Berlin"/>
  </r>
  <r>
    <s v="CUST_2472"/>
    <x v="14"/>
    <x v="2"/>
    <s v="Friday"/>
    <s v="No"/>
    <x v="8"/>
    <x v="8"/>
    <s v="Baden-WÃ¼rttemberg"/>
    <x v="1"/>
    <s v="Corsa"/>
    <s v="Electric"/>
    <x v="2"/>
    <s v="26-35"/>
    <s v="High"/>
    <x v="1"/>
    <x v="0"/>
    <s v="Sales_6"/>
    <n v="308"/>
    <n v="144"/>
    <n v="87"/>
    <n v="22"/>
    <s v="15.28"/>
    <n v="25242"/>
    <s v="7.66"/>
    <n v="22567"/>
    <n v="555324"/>
    <n v="58850"/>
    <s v="Feb"/>
    <n v="2"/>
    <n v="2026"/>
    <s v="Weekday"/>
    <n v="0.25287356321839083"/>
    <n v="0.46753246753246752"/>
    <n v="7.1428571428571425E-2"/>
    <n v="2675"/>
    <s v="Stuttgart Auto Center"/>
  </r>
  <r>
    <s v="CUST_2473"/>
    <x v="4"/>
    <x v="2"/>
    <s v="Wednesday"/>
    <s v="No"/>
    <x v="8"/>
    <x v="8"/>
    <s v="Baden-WÃ¼rttemberg"/>
    <x v="0"/>
    <s v="3 Series"/>
    <s v="Electric"/>
    <x v="1"/>
    <s v="18-25"/>
    <s v="High"/>
    <x v="1"/>
    <x v="1"/>
    <s v="Sales_13"/>
    <n v="219"/>
    <n v="108"/>
    <n v="80"/>
    <n v="29"/>
    <s v="26.85"/>
    <n v="66901"/>
    <s v="3.99"/>
    <n v="51334"/>
    <n v="1940129"/>
    <n v="451443"/>
    <s v="Feb"/>
    <n v="2"/>
    <n v="2026"/>
    <s v="Weekday"/>
    <n v="0.36249999999999999"/>
    <n v="0.49315068493150682"/>
    <n v="0.13242009132420091"/>
    <n v="15567"/>
    <s v="Stuttgart Auto Center"/>
  </r>
  <r>
    <s v="CUST_2474"/>
    <x v="6"/>
    <x v="2"/>
    <s v="Saturday"/>
    <s v="Yes"/>
    <x v="8"/>
    <x v="8"/>
    <s v="Baden-WÃ¼rttemberg"/>
    <x v="4"/>
    <s v="ID.4"/>
    <s v="Petrol"/>
    <x v="0"/>
    <s v="26-35"/>
    <s v="High"/>
    <x v="0"/>
    <x v="3"/>
    <s v="Sales_1"/>
    <n v="316"/>
    <n v="130"/>
    <n v="82"/>
    <n v="17"/>
    <s v="13.08"/>
    <n v="29480"/>
    <s v="11.06"/>
    <n v="26554"/>
    <n v="501160"/>
    <n v="49742"/>
    <s v="Feb"/>
    <n v="2"/>
    <n v="2026"/>
    <s v="Weekend"/>
    <n v="0.2073170731707317"/>
    <n v="0.41139240506329117"/>
    <n v="5.3797468354430382E-2"/>
    <n v="2926"/>
    <s v="Stuttgart Auto Center"/>
  </r>
  <r>
    <s v="CUST_2475"/>
    <x v="17"/>
    <x v="2"/>
    <s v="Sunday"/>
    <s v="Yes"/>
    <x v="5"/>
    <x v="5"/>
    <s v="Hamburg"/>
    <x v="0"/>
    <s v="i4"/>
    <s v="Diesel"/>
    <x v="1"/>
    <s v="18-25"/>
    <s v="High"/>
    <x v="1"/>
    <x v="3"/>
    <s v="Sales_1"/>
    <n v="156"/>
    <n v="83"/>
    <n v="59"/>
    <n v="21"/>
    <s v="25.3"/>
    <n v="59884"/>
    <s v="3.39"/>
    <n v="45768"/>
    <n v="1257564"/>
    <n v="296436"/>
    <s v="Feb"/>
    <n v="2"/>
    <n v="2026"/>
    <s v="Weekend"/>
    <n v="0.3559322033898305"/>
    <n v="0.53205128205128205"/>
    <n v="0.13461538461538461"/>
    <n v="14116"/>
    <s v="Elbe Drive"/>
  </r>
  <r>
    <s v="CUST_2476"/>
    <x v="20"/>
    <x v="0"/>
    <s v="Thursday"/>
    <s v="No"/>
    <x v="8"/>
    <x v="8"/>
    <s v="Baden-WÃ¼rttemberg"/>
    <x v="2"/>
    <s v="A4"/>
    <s v="Diesel"/>
    <x v="1"/>
    <s v="18-25"/>
    <s v="High"/>
    <x v="1"/>
    <x v="3"/>
    <s v="Sales_11"/>
    <n v="249"/>
    <n v="158"/>
    <n v="111"/>
    <n v="38"/>
    <s v="24.05"/>
    <n v="54432"/>
    <s v="4.2"/>
    <n v="42078"/>
    <n v="2068416"/>
    <n v="469452"/>
    <s v="Feb"/>
    <n v="2"/>
    <n v="2026"/>
    <s v="Weekday"/>
    <n v="0.34234234234234234"/>
    <n v="0.63453815261044177"/>
    <n v="0.15261044176706828"/>
    <n v="12354"/>
    <s v="Stuttgart Auto Center"/>
  </r>
  <r>
    <s v="CUST_2477"/>
    <x v="13"/>
    <x v="0"/>
    <s v="Friday"/>
    <s v="No"/>
    <x v="7"/>
    <x v="7"/>
    <s v="Bavaria"/>
    <x v="1"/>
    <s v="Astra"/>
    <s v="Electric"/>
    <x v="2"/>
    <s v="26-35"/>
    <s v="High"/>
    <x v="1"/>
    <x v="1"/>
    <s v="Sales_9"/>
    <n v="327"/>
    <n v="176"/>
    <n v="108"/>
    <n v="30"/>
    <s v="17.05"/>
    <n v="22535"/>
    <s v="12.66"/>
    <n v="20825"/>
    <n v="676050"/>
    <n v="51300"/>
    <s v="Feb"/>
    <n v="2"/>
    <n v="2026"/>
    <s v="Weekday"/>
    <n v="0.27777777777777779"/>
    <n v="0.53822629969418956"/>
    <n v="9.1743119266055051E-2"/>
    <n v="1710"/>
    <s v="Bavaria Motors"/>
  </r>
  <r>
    <s v="CUST_2478"/>
    <x v="9"/>
    <x v="0"/>
    <s v="Sunday"/>
    <s v="Yes"/>
    <x v="0"/>
    <x v="0"/>
    <s v="Hesse"/>
    <x v="2"/>
    <s v="A3"/>
    <s v="Hybrid"/>
    <x v="2"/>
    <s v="18-25"/>
    <s v="Medium"/>
    <x v="0"/>
    <x v="1"/>
    <s v="Sales_2"/>
    <n v="252"/>
    <n v="144"/>
    <n v="98"/>
    <n v="31"/>
    <s v="21.53"/>
    <n v="42207"/>
    <s v="6.3"/>
    <n v="34509"/>
    <n v="1308417"/>
    <n v="238638"/>
    <s v="Feb"/>
    <n v="2"/>
    <n v="2026"/>
    <s v="Weekend"/>
    <n v="0.31632653061224492"/>
    <n v="0.5714285714285714"/>
    <n v="0.12301587301587301"/>
    <n v="7698"/>
    <s v="Main Auto Hub"/>
  </r>
  <r>
    <s v="CUST_2479"/>
    <x v="19"/>
    <x v="1"/>
    <s v="Saturday"/>
    <s v="Yes"/>
    <x v="8"/>
    <x v="8"/>
    <s v="Baden-WÃ¼rttemberg"/>
    <x v="3"/>
    <s v="EQE"/>
    <s v="Electric"/>
    <x v="1"/>
    <s v="18-25"/>
    <s v="Medium"/>
    <x v="1"/>
    <x v="0"/>
    <s v="Sales_20"/>
    <n v="194"/>
    <n v="112"/>
    <n v="76"/>
    <n v="23"/>
    <s v="20.54"/>
    <n v="59409"/>
    <s v="3.81"/>
    <n v="45267"/>
    <n v="1366407"/>
    <n v="325266"/>
    <s v="Feb"/>
    <n v="2"/>
    <n v="2026"/>
    <s v="Weekend"/>
    <n v="0.30263157894736842"/>
    <n v="0.57731958762886593"/>
    <n v="0.11855670103092783"/>
    <n v="14142"/>
    <s v="Stuttgart Auto Center"/>
  </r>
  <r>
    <s v="CUST_2480"/>
    <x v="1"/>
    <x v="1"/>
    <s v="Wednesday"/>
    <s v="No"/>
    <x v="5"/>
    <x v="5"/>
    <s v="Hamburg"/>
    <x v="1"/>
    <s v="Astra"/>
    <s v="Petrol"/>
    <x v="2"/>
    <s v="18-25"/>
    <s v="Medium"/>
    <x v="1"/>
    <x v="1"/>
    <s v="Sales_4"/>
    <n v="315"/>
    <n v="167"/>
    <n v="109"/>
    <n v="26"/>
    <s v="15.57"/>
    <n v="25186"/>
    <s v="11.59"/>
    <n v="22460"/>
    <n v="654836"/>
    <n v="70876"/>
    <s v="Feb"/>
    <n v="2"/>
    <n v="2026"/>
    <s v="Weekday"/>
    <n v="0.23853211009174313"/>
    <n v="0.53015873015873016"/>
    <n v="8.2539682539682538E-2"/>
    <n v="2726"/>
    <s v="Elbe Drive"/>
  </r>
  <r>
    <s v="CUST_2481"/>
    <x v="1"/>
    <x v="1"/>
    <s v="Wednesday"/>
    <s v="No"/>
    <x v="2"/>
    <x v="2"/>
    <s v="Lower Saxony"/>
    <x v="3"/>
    <s v="GLE"/>
    <s v="Diesel"/>
    <x v="0"/>
    <s v="26-35"/>
    <s v="High"/>
    <x v="0"/>
    <x v="1"/>
    <s v="Sales_4"/>
    <n v="207"/>
    <n v="108"/>
    <n v="82"/>
    <n v="29"/>
    <s v="26.85"/>
    <n v="72521"/>
    <s v="2.99"/>
    <n v="54330"/>
    <n v="2103109"/>
    <n v="527539"/>
    <s v="Feb"/>
    <n v="2"/>
    <n v="2026"/>
    <s v="Weekday"/>
    <n v="0.35365853658536583"/>
    <n v="0.52173913043478259"/>
    <n v="0.14009661835748793"/>
    <n v="18191"/>
    <s v="Hannover Cars"/>
  </r>
  <r>
    <s v="CUST_2482"/>
    <x v="3"/>
    <x v="1"/>
    <s v="Sunday"/>
    <s v="Yes"/>
    <x v="4"/>
    <x v="4"/>
    <s v="Berlin"/>
    <x v="4"/>
    <s v="Passat"/>
    <s v="Diesel"/>
    <x v="1"/>
    <s v="36-50"/>
    <s v="High"/>
    <x v="1"/>
    <x v="1"/>
    <s v="Sales_3"/>
    <n v="324"/>
    <n v="179"/>
    <n v="119"/>
    <n v="34"/>
    <s v="18.99"/>
    <n v="33467"/>
    <s v="11.69"/>
    <n v="29853"/>
    <n v="1137878"/>
    <n v="122876"/>
    <s v="Feb"/>
    <n v="2"/>
    <n v="2026"/>
    <s v="Weekend"/>
    <n v="0.2857142857142857"/>
    <n v="0.55246913580246915"/>
    <n v="0.10493827160493827"/>
    <n v="3614"/>
    <s v="Autohaus Berlin"/>
  </r>
  <r>
    <s v="CUST_2483"/>
    <x v="19"/>
    <x v="1"/>
    <s v="Saturday"/>
    <s v="Yes"/>
    <x v="1"/>
    <x v="1"/>
    <s v="NRW"/>
    <x v="3"/>
    <s v="GLC"/>
    <s v="Hybrid"/>
    <x v="0"/>
    <s v="18-25"/>
    <s v="Medium"/>
    <x v="1"/>
    <x v="2"/>
    <s v="Sales_18"/>
    <n v="227"/>
    <n v="111"/>
    <n v="74"/>
    <n v="28"/>
    <s v="25.23"/>
    <n v="59593"/>
    <s v="4.05"/>
    <n v="45462"/>
    <n v="1668604"/>
    <n v="395668"/>
    <s v="Feb"/>
    <n v="2"/>
    <n v="2026"/>
    <s v="Weekend"/>
    <n v="0.3783783783783784"/>
    <n v="0.48898678414096919"/>
    <n v="0.12334801762114538"/>
    <n v="14131"/>
    <s v="Rhein Auto Group"/>
  </r>
  <r>
    <s v="CUST_2484"/>
    <x v="10"/>
    <x v="1"/>
    <s v="Monday"/>
    <s v="No"/>
    <x v="5"/>
    <x v="5"/>
    <s v="Hamburg"/>
    <x v="2"/>
    <s v="A4"/>
    <s v="Electric"/>
    <x v="1"/>
    <s v="18-25"/>
    <s v="Low"/>
    <x v="1"/>
    <x v="3"/>
    <s v="Sales_20"/>
    <n v="224"/>
    <n v="142"/>
    <n v="93"/>
    <n v="29"/>
    <s v="20.42"/>
    <n v="46216"/>
    <s v="6.25"/>
    <n v="34727"/>
    <n v="1340264"/>
    <n v="333181"/>
    <s v="Feb"/>
    <n v="2"/>
    <n v="2026"/>
    <s v="Weekday"/>
    <n v="0.31182795698924731"/>
    <n v="0.6339285714285714"/>
    <n v="0.12946428571428573"/>
    <n v="11489"/>
    <s v="Elbe Drive"/>
  </r>
  <r>
    <s v="CUST_2485"/>
    <x v="11"/>
    <x v="0"/>
    <s v="Wednesday"/>
    <s v="No"/>
    <x v="2"/>
    <x v="2"/>
    <s v="Lower Saxony"/>
    <x v="0"/>
    <s v="3 Series"/>
    <s v="Hybrid"/>
    <x v="1"/>
    <s v="18-25"/>
    <s v="Low"/>
    <x v="1"/>
    <x v="2"/>
    <s v="Sales_4"/>
    <n v="222"/>
    <n v="129"/>
    <n v="100"/>
    <n v="37"/>
    <s v="28.68"/>
    <n v="64457"/>
    <s v="3.12"/>
    <n v="48604"/>
    <n v="2384909"/>
    <n v="586561"/>
    <s v="Feb"/>
    <n v="2"/>
    <n v="2026"/>
    <s v="Weekday"/>
    <n v="0.37"/>
    <n v="0.58108108108108103"/>
    <n v="0.16666666666666666"/>
    <n v="15853"/>
    <s v="Hannover Cars"/>
  </r>
  <r>
    <s v="CUST_2486"/>
    <x v="22"/>
    <x v="3"/>
    <s v="Tuesday"/>
    <s v="No"/>
    <x v="7"/>
    <x v="7"/>
    <s v="Bavaria"/>
    <x v="1"/>
    <s v="Corsa"/>
    <s v="Electric"/>
    <x v="2"/>
    <s v="50+"/>
    <s v="Low"/>
    <x v="0"/>
    <x v="3"/>
    <s v="Sales_20"/>
    <n v="337"/>
    <n v="148"/>
    <n v="83"/>
    <n v="24"/>
    <s v="16.22"/>
    <n v="20788"/>
    <s v="12.19"/>
    <n v="19234"/>
    <n v="498912"/>
    <n v="37296"/>
    <s v="Feb"/>
    <n v="2"/>
    <n v="2026"/>
    <s v="Weekday"/>
    <n v="0.28915662650602408"/>
    <n v="0.43916913946587538"/>
    <n v="7.1216617210682495E-2"/>
    <n v="1554"/>
    <s v="Bavaria Motors"/>
  </r>
  <r>
    <s v="CUST_2487"/>
    <x v="25"/>
    <x v="3"/>
    <s v="Friday"/>
    <s v="No"/>
    <x v="9"/>
    <x v="9"/>
    <s v="NRW"/>
    <x v="4"/>
    <s v="Tiguan"/>
    <s v="Electric"/>
    <x v="0"/>
    <s v="36-50"/>
    <s v="Medium"/>
    <x v="1"/>
    <x v="2"/>
    <s v="Sales_8"/>
    <n v="362"/>
    <n v="195"/>
    <n v="119"/>
    <n v="36"/>
    <s v="18.46"/>
    <n v="31686"/>
    <s v="10.33"/>
    <n v="27954"/>
    <n v="1140696"/>
    <n v="134352"/>
    <s v="Feb"/>
    <n v="2"/>
    <n v="2026"/>
    <s v="Weekday"/>
    <n v="0.30252100840336132"/>
    <n v="0.53867403314917128"/>
    <n v="9.9447513812154692E-2"/>
    <n v="3732"/>
    <s v="Ruhr Auto Plaza"/>
  </r>
  <r>
    <s v="CUST_2488"/>
    <x v="17"/>
    <x v="2"/>
    <s v="Sunday"/>
    <s v="Yes"/>
    <x v="7"/>
    <x v="7"/>
    <s v="Bavaria"/>
    <x v="1"/>
    <s v="Crossland"/>
    <s v="Electric"/>
    <x v="0"/>
    <s v="18-25"/>
    <s v="Medium"/>
    <x v="1"/>
    <x v="2"/>
    <s v="Sales_18"/>
    <n v="286"/>
    <n v="143"/>
    <n v="87"/>
    <n v="26"/>
    <s v="18.18"/>
    <n v="22665"/>
    <s v="8.91"/>
    <n v="20194"/>
    <n v="589290"/>
    <n v="64246"/>
    <s v="Feb"/>
    <n v="2"/>
    <n v="2026"/>
    <s v="Weekend"/>
    <n v="0.2988505747126437"/>
    <n v="0.5"/>
    <n v="9.0909090909090912E-2"/>
    <n v="2471"/>
    <s v="Bavaria Motors"/>
  </r>
  <r>
    <s v="CUST_2489"/>
    <x v="17"/>
    <x v="2"/>
    <s v="Sunday"/>
    <s v="Yes"/>
    <x v="4"/>
    <x v="4"/>
    <s v="Berlin"/>
    <x v="0"/>
    <s v="5 Series"/>
    <s v="Diesel"/>
    <x v="1"/>
    <s v="18-25"/>
    <s v="Medium"/>
    <x v="0"/>
    <x v="0"/>
    <s v="Sales_18"/>
    <n v="227"/>
    <n v="102"/>
    <n v="76"/>
    <n v="26"/>
    <s v="25.49"/>
    <n v="49405"/>
    <s v="5.52"/>
    <n v="36671"/>
    <n v="1284530"/>
    <n v="331084"/>
    <s v="Feb"/>
    <n v="2"/>
    <n v="2026"/>
    <s v="Weekend"/>
    <n v="0.34210526315789475"/>
    <n v="0.44933920704845814"/>
    <n v="0.11453744493392071"/>
    <n v="12734"/>
    <s v="Autohaus Berlin"/>
  </r>
  <r>
    <s v="CUST_2490"/>
    <x v="8"/>
    <x v="3"/>
    <s v="Wednesday"/>
    <s v="No"/>
    <x v="6"/>
    <x v="6"/>
    <s v="Saxony"/>
    <x v="4"/>
    <s v="ID.4"/>
    <s v="Diesel"/>
    <x v="0"/>
    <s v="50+"/>
    <s v="High"/>
    <x v="1"/>
    <x v="2"/>
    <s v="Sales_18"/>
    <n v="504"/>
    <n v="203"/>
    <n v="117"/>
    <n v="32"/>
    <s v="15.76"/>
    <n v="31723"/>
    <s v="10.95"/>
    <n v="28728"/>
    <n v="1015136"/>
    <n v="95840"/>
    <s v="Feb"/>
    <n v="2"/>
    <n v="2026"/>
    <s v="Weekday"/>
    <n v="0.27350427350427353"/>
    <n v="0.40277777777777779"/>
    <n v="6.3492063492063489E-2"/>
    <n v="2995"/>
    <s v="Leipzig Mobility"/>
  </r>
  <r>
    <s v="CUST_2491"/>
    <x v="5"/>
    <x v="3"/>
    <s v="Saturday"/>
    <s v="Yes"/>
    <x v="2"/>
    <x v="2"/>
    <s v="Lower Saxony"/>
    <x v="3"/>
    <s v="GLC"/>
    <s v="Petrol"/>
    <x v="0"/>
    <s v="18-25"/>
    <s v="Medium"/>
    <x v="1"/>
    <x v="1"/>
    <s v="Sales_14"/>
    <n v="264"/>
    <n v="131"/>
    <n v="95"/>
    <n v="30"/>
    <s v="22.9"/>
    <n v="57149"/>
    <s v="5.76"/>
    <n v="44782"/>
    <n v="1714470"/>
    <n v="371010"/>
    <s v="Feb"/>
    <n v="2"/>
    <n v="2026"/>
    <s v="Weekend"/>
    <n v="0.31578947368421051"/>
    <n v="0.49621212121212122"/>
    <n v="0.11363636363636363"/>
    <n v="12367"/>
    <s v="Hannover Cars"/>
  </r>
  <r>
    <s v="CUST_2492"/>
    <x v="15"/>
    <x v="2"/>
    <s v="Thursday"/>
    <s v="No"/>
    <x v="9"/>
    <x v="9"/>
    <s v="NRW"/>
    <x v="4"/>
    <s v="Golf"/>
    <s v="Petrol"/>
    <x v="2"/>
    <s v="50+"/>
    <s v="High"/>
    <x v="1"/>
    <x v="1"/>
    <s v="Sales_13"/>
    <n v="451"/>
    <n v="219"/>
    <n v="136"/>
    <n v="38"/>
    <s v="17.35"/>
    <n v="29456"/>
    <s v="10.28"/>
    <n v="25730"/>
    <n v="1119328"/>
    <n v="141588"/>
    <s v="Feb"/>
    <n v="2"/>
    <n v="2026"/>
    <s v="Weekday"/>
    <n v="0.27941176470588236"/>
    <n v="0.48558758314855877"/>
    <n v="8.4257206208425722E-2"/>
    <n v="3726"/>
    <s v="Ruhr Auto Plaza"/>
  </r>
  <r>
    <s v="CUST_2493"/>
    <x v="3"/>
    <x v="1"/>
    <s v="Sunday"/>
    <s v="Yes"/>
    <x v="4"/>
    <x v="4"/>
    <s v="Berlin"/>
    <x v="3"/>
    <s v="GLC"/>
    <s v="Diesel"/>
    <x v="0"/>
    <s v="18-25"/>
    <s v="High"/>
    <x v="0"/>
    <x v="1"/>
    <s v="Sales_15"/>
    <n v="218"/>
    <n v="126"/>
    <n v="88"/>
    <n v="34"/>
    <s v="26.98"/>
    <n v="65413"/>
    <s v="4.52"/>
    <n v="47823"/>
    <n v="2224042"/>
    <n v="598060"/>
    <s v="Feb"/>
    <n v="2"/>
    <n v="2026"/>
    <s v="Weekend"/>
    <n v="0.38636363636363635"/>
    <n v="0.57798165137614677"/>
    <n v="0.15596330275229359"/>
    <n v="17590"/>
    <s v="Autohaus Berlin"/>
  </r>
  <r>
    <s v="CUST_2494"/>
    <x v="21"/>
    <x v="0"/>
    <s v="Tuesday"/>
    <s v="No"/>
    <x v="1"/>
    <x v="1"/>
    <s v="NRW"/>
    <x v="0"/>
    <s v="5 Series"/>
    <s v="Diesel"/>
    <x v="1"/>
    <s v="50+"/>
    <s v="Low"/>
    <x v="1"/>
    <x v="2"/>
    <s v="Sales_6"/>
    <n v="253"/>
    <n v="115"/>
    <n v="87"/>
    <n v="37"/>
    <s v="32.17"/>
    <n v="60333"/>
    <s v="5.77"/>
    <n v="43361"/>
    <n v="2232321"/>
    <n v="627964"/>
    <s v="Feb"/>
    <n v="2"/>
    <n v="2026"/>
    <s v="Weekday"/>
    <n v="0.42528735632183906"/>
    <n v="0.45454545454545453"/>
    <n v="0.14624505928853754"/>
    <n v="16972"/>
    <s v="Rhein Auto Group"/>
  </r>
  <r>
    <s v="CUST_2495"/>
    <x v="3"/>
    <x v="1"/>
    <s v="Sunday"/>
    <s v="Yes"/>
    <x v="4"/>
    <x v="4"/>
    <s v="Berlin"/>
    <x v="0"/>
    <s v="3 Series"/>
    <s v="Electric"/>
    <x v="1"/>
    <s v="18-25"/>
    <s v="Medium"/>
    <x v="1"/>
    <x v="1"/>
    <s v="Sales_9"/>
    <n v="173"/>
    <n v="89"/>
    <n v="68"/>
    <n v="27"/>
    <s v="30.34"/>
    <n v="51587"/>
    <s v="4.42"/>
    <n v="36206"/>
    <n v="1392849"/>
    <n v="415287"/>
    <s v="Feb"/>
    <n v="2"/>
    <n v="2026"/>
    <s v="Weekend"/>
    <n v="0.39705882352941174"/>
    <n v="0.51445086705202314"/>
    <n v="0.15606936416184972"/>
    <n v="15381"/>
    <s v="Autohaus Berlin"/>
  </r>
  <r>
    <s v="CUST_2496"/>
    <x v="8"/>
    <x v="3"/>
    <s v="Wednesday"/>
    <s v="No"/>
    <x v="2"/>
    <x v="2"/>
    <s v="Lower Saxony"/>
    <x v="4"/>
    <s v="T-Roc"/>
    <s v="Diesel"/>
    <x v="0"/>
    <s v="26-35"/>
    <s v="Low"/>
    <x v="1"/>
    <x v="0"/>
    <s v="Sales_16"/>
    <n v="286"/>
    <n v="153"/>
    <n v="95"/>
    <n v="21"/>
    <s v="13.73"/>
    <n v="26575"/>
    <s v="6.36"/>
    <n v="23201"/>
    <n v="558075"/>
    <n v="70854"/>
    <s v="Feb"/>
    <n v="2"/>
    <n v="2026"/>
    <s v="Weekday"/>
    <n v="0.22105263157894736"/>
    <n v="0.534965034965035"/>
    <n v="7.3426573426573424E-2"/>
    <n v="3374"/>
    <s v="Hannover Cars"/>
  </r>
  <r>
    <s v="CUST_2497"/>
    <x v="18"/>
    <x v="0"/>
    <s v="Saturday"/>
    <s v="Yes"/>
    <x v="2"/>
    <x v="2"/>
    <s v="Lower Saxony"/>
    <x v="3"/>
    <s v="C-Class"/>
    <s v="Electric"/>
    <x v="1"/>
    <s v="26-35"/>
    <s v="Low"/>
    <x v="1"/>
    <x v="1"/>
    <s v="Sales_5"/>
    <n v="167"/>
    <n v="92"/>
    <n v="69"/>
    <n v="22"/>
    <s v="23.91"/>
    <n v="68992"/>
    <s v="4.37"/>
    <n v="52315"/>
    <n v="1517824"/>
    <n v="366894"/>
    <s v="Feb"/>
    <n v="2"/>
    <n v="2026"/>
    <s v="Weekend"/>
    <n v="0.3188405797101449"/>
    <n v="0.55089820359281438"/>
    <n v="0.1317365269461078"/>
    <n v="16677"/>
    <s v="Hannover Cars"/>
  </r>
  <r>
    <s v="CUST_2498"/>
    <x v="23"/>
    <x v="2"/>
    <s v="Tuesday"/>
    <s v="No"/>
    <x v="0"/>
    <x v="0"/>
    <s v="Hesse"/>
    <x v="4"/>
    <s v="T-Roc"/>
    <s v="Electric"/>
    <x v="0"/>
    <s v="36-50"/>
    <s v="Low"/>
    <x v="0"/>
    <x v="1"/>
    <s v="Sales_5"/>
    <n v="426"/>
    <n v="233"/>
    <n v="153"/>
    <n v="36"/>
    <s v="15.45"/>
    <n v="30012"/>
    <s v="11.44"/>
    <n v="26025"/>
    <n v="1080432"/>
    <n v="143532"/>
    <s v="Feb"/>
    <n v="2"/>
    <n v="2026"/>
    <s v="Weekday"/>
    <n v="0.23529411764705882"/>
    <n v="0.54694835680751175"/>
    <n v="8.4507042253521125E-2"/>
    <n v="3987"/>
    <s v="Main Auto Hub"/>
  </r>
  <r>
    <s v="CUST_2499"/>
    <x v="26"/>
    <x v="1"/>
    <s v="Friday"/>
    <s v="No"/>
    <x v="4"/>
    <x v="4"/>
    <s v="Berlin"/>
    <x v="2"/>
    <s v="e-tron"/>
    <s v="Electric"/>
    <x v="0"/>
    <s v="18-25"/>
    <s v="High"/>
    <x v="1"/>
    <x v="3"/>
    <s v="Sales_11"/>
    <n v="166"/>
    <n v="78"/>
    <n v="55"/>
    <n v="16"/>
    <s v="20.51"/>
    <n v="51894"/>
    <s v="4.91"/>
    <n v="40137"/>
    <n v="830304"/>
    <n v="188112"/>
    <s v="Feb"/>
    <n v="2"/>
    <n v="2026"/>
    <s v="Weekday"/>
    <n v="0.29090909090909089"/>
    <n v="0.46987951807228917"/>
    <n v="9.6385542168674704E-2"/>
    <n v="11757"/>
    <s v="Autohaus Berlin"/>
  </r>
  <r>
    <s v="CUST_2500"/>
    <x v="27"/>
    <x v="3"/>
    <s v="Sunday"/>
    <s v="Yes"/>
    <x v="0"/>
    <x v="0"/>
    <s v="Hesse"/>
    <x v="1"/>
    <s v="Grandland"/>
    <s v="Diesel"/>
    <x v="0"/>
    <s v="18-25"/>
    <s v="Low"/>
    <x v="1"/>
    <x v="2"/>
    <s v="Sales_3"/>
    <n v="421"/>
    <n v="227"/>
    <n v="146"/>
    <n v="40"/>
    <s v="17.62"/>
    <n v="20415"/>
    <s v="9.03"/>
    <n v="18909"/>
    <n v="816600"/>
    <n v="60240"/>
    <s v="Feb"/>
    <n v="2"/>
    <n v="2026"/>
    <s v="Weekend"/>
    <n v="0.27397260273972601"/>
    <n v="0.53919239904988125"/>
    <n v="9.5011876484560567E-2"/>
    <n v="1506"/>
    <s v="Main Auto Hub"/>
  </r>
  <r>
    <s v="CUST_2501"/>
    <x v="20"/>
    <x v="0"/>
    <s v="Thursday"/>
    <s v="No"/>
    <x v="2"/>
    <x v="2"/>
    <s v="Lower Saxony"/>
    <x v="3"/>
    <s v="E-Class"/>
    <s v="Hybrid"/>
    <x v="1"/>
    <s v="18-25"/>
    <s v="Medium"/>
    <x v="1"/>
    <x v="0"/>
    <s v="Sales_15"/>
    <n v="238"/>
    <n v="111"/>
    <n v="77"/>
    <n v="23"/>
    <s v="20.72"/>
    <n v="71630"/>
    <s v="3.96"/>
    <n v="55170"/>
    <n v="1647490"/>
    <n v="378580"/>
    <s v="Feb"/>
    <n v="2"/>
    <n v="2026"/>
    <s v="Weekday"/>
    <n v="0.29870129870129869"/>
    <n v="0.46638655462184875"/>
    <n v="9.6638655462184878E-2"/>
    <n v="16460"/>
    <s v="Hannover Cars"/>
  </r>
  <r>
    <s v="CUST_2502"/>
    <x v="14"/>
    <x v="2"/>
    <s v="Friday"/>
    <s v="No"/>
    <x v="8"/>
    <x v="8"/>
    <s v="Baden-WÃ¼rttemberg"/>
    <x v="1"/>
    <s v="Mokka"/>
    <s v="Hybrid"/>
    <x v="0"/>
    <s v="50+"/>
    <s v="Medium"/>
    <x v="1"/>
    <x v="0"/>
    <s v="Sales_1"/>
    <n v="417"/>
    <n v="186"/>
    <n v="112"/>
    <n v="25"/>
    <s v="13.44"/>
    <n v="26067"/>
    <s v="11.34"/>
    <n v="23373"/>
    <n v="651675"/>
    <n v="67350"/>
    <s v="Feb"/>
    <n v="2"/>
    <n v="2026"/>
    <s v="Weekday"/>
    <n v="0.22321428571428573"/>
    <n v="0.4460431654676259"/>
    <n v="5.9952038369304558E-2"/>
    <n v="2694"/>
    <s v="Stuttgart Auto Center"/>
  </r>
  <r>
    <s v="CUST_2503"/>
    <x v="13"/>
    <x v="0"/>
    <s v="Friday"/>
    <s v="No"/>
    <x v="9"/>
    <x v="9"/>
    <s v="NRW"/>
    <x v="3"/>
    <s v="GLC"/>
    <s v="Petrol"/>
    <x v="0"/>
    <s v="26-35"/>
    <s v="Low"/>
    <x v="1"/>
    <x v="3"/>
    <s v="Sales_13"/>
    <n v="152"/>
    <n v="88"/>
    <n v="64"/>
    <n v="18"/>
    <s v="20.45"/>
    <n v="62978"/>
    <s v="5.29"/>
    <n v="48933"/>
    <n v="1133604"/>
    <n v="252810"/>
    <s v="Feb"/>
    <n v="2"/>
    <n v="2026"/>
    <s v="Weekday"/>
    <n v="0.28125"/>
    <n v="0.57894736842105265"/>
    <n v="0.11842105263157894"/>
    <n v="14045"/>
    <s v="Ruhr Auto Plaza"/>
  </r>
  <r>
    <s v="CUST_2504"/>
    <x v="20"/>
    <x v="0"/>
    <s v="Thursday"/>
    <s v="No"/>
    <x v="8"/>
    <x v="8"/>
    <s v="Baden-WÃ¼rttemberg"/>
    <x v="0"/>
    <s v="5 Series"/>
    <s v="Petrol"/>
    <x v="1"/>
    <s v="18-25"/>
    <s v="Medium"/>
    <x v="0"/>
    <x v="0"/>
    <s v="Sales_12"/>
    <n v="280"/>
    <n v="164"/>
    <n v="117"/>
    <n v="48"/>
    <s v="29.27"/>
    <n v="55637"/>
    <s v="3.22"/>
    <n v="41664"/>
    <n v="2670576"/>
    <n v="670704"/>
    <s v="Feb"/>
    <n v="2"/>
    <n v="2026"/>
    <s v="Weekday"/>
    <n v="0.41025641025641024"/>
    <n v="0.58571428571428574"/>
    <n v="0.17142857142857143"/>
    <n v="13973"/>
    <s v="Stuttgart Auto Center"/>
  </r>
  <r>
    <s v="CUST_2505"/>
    <x v="20"/>
    <x v="0"/>
    <s v="Thursday"/>
    <s v="No"/>
    <x v="4"/>
    <x v="4"/>
    <s v="Berlin"/>
    <x v="0"/>
    <s v="5 Series"/>
    <s v="Hybrid"/>
    <x v="1"/>
    <s v="36-50"/>
    <s v="High"/>
    <x v="0"/>
    <x v="1"/>
    <s v="Sales_19"/>
    <n v="178"/>
    <n v="92"/>
    <n v="68"/>
    <n v="29"/>
    <s v="31.52"/>
    <n v="65232"/>
    <s v="3.88"/>
    <n v="46997"/>
    <n v="1891728"/>
    <n v="528815"/>
    <s v="Feb"/>
    <n v="2"/>
    <n v="2026"/>
    <s v="Weekday"/>
    <n v="0.4264705882352941"/>
    <n v="0.5168539325842697"/>
    <n v="0.16292134831460675"/>
    <n v="18235"/>
    <s v="Autohaus Berlin"/>
  </r>
  <r>
    <s v="CUST_2506"/>
    <x v="20"/>
    <x v="0"/>
    <s v="Thursday"/>
    <s v="No"/>
    <x v="3"/>
    <x v="3"/>
    <s v="Saxony"/>
    <x v="0"/>
    <s v="3 Series"/>
    <s v="Petrol"/>
    <x v="1"/>
    <s v="26-35"/>
    <s v="Medium"/>
    <x v="1"/>
    <x v="2"/>
    <s v="Sales_18"/>
    <n v="255"/>
    <n v="131"/>
    <n v="95"/>
    <n v="36"/>
    <s v="27.48"/>
    <n v="64917"/>
    <s v="5.37"/>
    <n v="48614"/>
    <n v="2337012"/>
    <n v="586908"/>
    <s v="Feb"/>
    <n v="2"/>
    <n v="2026"/>
    <s v="Weekday"/>
    <n v="0.37894736842105264"/>
    <n v="0.51372549019607838"/>
    <n v="0.14117647058823529"/>
    <n v="16303"/>
    <s v="Saxon Wheels"/>
  </r>
  <r>
    <s v="CUST_2507"/>
    <x v="12"/>
    <x v="3"/>
    <s v="Thursday"/>
    <s v="No"/>
    <x v="7"/>
    <x v="7"/>
    <s v="Bavaria"/>
    <x v="0"/>
    <s v="X5"/>
    <s v="Diesel"/>
    <x v="0"/>
    <s v="26-35"/>
    <s v="High"/>
    <x v="0"/>
    <x v="3"/>
    <s v="Sales_20"/>
    <n v="278"/>
    <n v="138"/>
    <n v="112"/>
    <n v="42"/>
    <s v="30.43"/>
    <n v="49612"/>
    <s v="5.66"/>
    <n v="34835"/>
    <n v="2083704"/>
    <n v="620634"/>
    <s v="Feb"/>
    <n v="2"/>
    <n v="2026"/>
    <s v="Weekday"/>
    <n v="0.375"/>
    <n v="0.49640287769784175"/>
    <n v="0.15107913669064749"/>
    <n v="14777"/>
    <s v="Bavaria Motors"/>
  </r>
  <r>
    <s v="CUST_2508"/>
    <x v="11"/>
    <x v="0"/>
    <s v="Wednesday"/>
    <s v="No"/>
    <x v="3"/>
    <x v="3"/>
    <s v="Saxony"/>
    <x v="2"/>
    <s v="A3"/>
    <s v="Hybrid"/>
    <x v="2"/>
    <s v="50+"/>
    <s v="High"/>
    <x v="0"/>
    <x v="0"/>
    <s v="Sales_5"/>
    <n v="296"/>
    <n v="175"/>
    <n v="121"/>
    <n v="36"/>
    <s v="20.57"/>
    <n v="50423"/>
    <s v="3.72"/>
    <n v="38750"/>
    <n v="1815228"/>
    <n v="420228"/>
    <s v="Feb"/>
    <n v="2"/>
    <n v="2026"/>
    <s v="Weekday"/>
    <n v="0.2975206611570248"/>
    <n v="0.59121621621621623"/>
    <n v="0.12162162162162163"/>
    <n v="11673"/>
    <s v="Saxon Wheels"/>
  </r>
  <r>
    <s v="CUST_2509"/>
    <x v="27"/>
    <x v="3"/>
    <s v="Sunday"/>
    <s v="Yes"/>
    <x v="6"/>
    <x v="6"/>
    <s v="Saxony"/>
    <x v="1"/>
    <s v="Corsa"/>
    <s v="Hybrid"/>
    <x v="2"/>
    <s v="26-35"/>
    <s v="Medium"/>
    <x v="1"/>
    <x v="2"/>
    <s v="Sales_18"/>
    <n v="310"/>
    <n v="121"/>
    <n v="80"/>
    <n v="22"/>
    <s v="18.18"/>
    <n v="21114"/>
    <s v="10.15"/>
    <n v="19359"/>
    <n v="464508"/>
    <n v="38610"/>
    <s v="Feb"/>
    <n v="2"/>
    <n v="2026"/>
    <s v="Weekend"/>
    <n v="0.27500000000000002"/>
    <n v="0.39032258064516129"/>
    <n v="7.0967741935483872E-2"/>
    <n v="1755"/>
    <s v="Leipzig Mobility"/>
  </r>
  <r>
    <s v="CUST_2510"/>
    <x v="8"/>
    <x v="3"/>
    <s v="Wednesday"/>
    <s v="No"/>
    <x v="3"/>
    <x v="3"/>
    <s v="Saxony"/>
    <x v="4"/>
    <s v="Tiguan"/>
    <s v="Diesel"/>
    <x v="0"/>
    <s v="18-25"/>
    <s v="High"/>
    <x v="1"/>
    <x v="3"/>
    <s v="Sales_4"/>
    <n v="260"/>
    <n v="134"/>
    <n v="84"/>
    <n v="19"/>
    <s v="14.18"/>
    <n v="34510"/>
    <s v="8.9"/>
    <n v="30091"/>
    <n v="655690"/>
    <n v="83961"/>
    <s v="Feb"/>
    <n v="2"/>
    <n v="2026"/>
    <s v="Weekday"/>
    <n v="0.22619047619047619"/>
    <n v="0.51538461538461533"/>
    <n v="7.3076923076923081E-2"/>
    <n v="4419"/>
    <s v="Saxon Wheels"/>
  </r>
  <r>
    <s v="CUST_2511"/>
    <x v="12"/>
    <x v="3"/>
    <s v="Thursday"/>
    <s v="No"/>
    <x v="1"/>
    <x v="1"/>
    <s v="NRW"/>
    <x v="0"/>
    <s v="X5"/>
    <s v="Diesel"/>
    <x v="0"/>
    <s v="36-50"/>
    <s v="High"/>
    <x v="1"/>
    <x v="0"/>
    <s v="Sales_11"/>
    <n v="160"/>
    <n v="90"/>
    <n v="63"/>
    <n v="21"/>
    <s v="23.33"/>
    <n v="56729"/>
    <s v="4.15"/>
    <n v="40447"/>
    <n v="1191309"/>
    <n v="341922"/>
    <s v="Feb"/>
    <n v="2"/>
    <n v="2026"/>
    <s v="Weekday"/>
    <n v="0.33333333333333331"/>
    <n v="0.5625"/>
    <n v="0.13125000000000001"/>
    <n v="16282"/>
    <s v="Rhein Auto Group"/>
  </r>
  <r>
    <s v="CUST_2512"/>
    <x v="14"/>
    <x v="2"/>
    <s v="Friday"/>
    <s v="No"/>
    <x v="7"/>
    <x v="7"/>
    <s v="Bavaria"/>
    <x v="0"/>
    <s v="3 Series"/>
    <s v="Diesel"/>
    <x v="1"/>
    <s v="18-25"/>
    <s v="High"/>
    <x v="1"/>
    <x v="3"/>
    <s v="Sales_11"/>
    <n v="210"/>
    <n v="116"/>
    <n v="89"/>
    <n v="30"/>
    <s v="25.86"/>
    <n v="57044"/>
    <s v="4.92"/>
    <n v="43655"/>
    <n v="1711320"/>
    <n v="401670"/>
    <s v="Feb"/>
    <n v="2"/>
    <n v="2026"/>
    <s v="Weekday"/>
    <n v="0.33707865168539325"/>
    <n v="0.55238095238095242"/>
    <n v="0.14285714285714285"/>
    <n v="13389"/>
    <s v="Bavaria Motors"/>
  </r>
  <r>
    <s v="CUST_2513"/>
    <x v="9"/>
    <x v="0"/>
    <s v="Sunday"/>
    <s v="Yes"/>
    <x v="1"/>
    <x v="1"/>
    <s v="NRW"/>
    <x v="4"/>
    <s v="T-Roc"/>
    <s v="Petrol"/>
    <x v="0"/>
    <s v="50+"/>
    <s v="Low"/>
    <x v="1"/>
    <x v="0"/>
    <s v="Sales_18"/>
    <n v="319"/>
    <n v="128"/>
    <n v="77"/>
    <n v="19"/>
    <s v="14.84"/>
    <n v="27831"/>
    <s v="7.14"/>
    <n v="24961"/>
    <n v="528789"/>
    <n v="54530"/>
    <s v="Feb"/>
    <n v="2"/>
    <n v="2026"/>
    <s v="Weekend"/>
    <n v="0.24675324675324675"/>
    <n v="0.40125391849529779"/>
    <n v="5.9561128526645767E-2"/>
    <n v="2870"/>
    <s v="Rhein Auto Group"/>
  </r>
  <r>
    <s v="CUST_2514"/>
    <x v="8"/>
    <x v="3"/>
    <s v="Wednesday"/>
    <s v="No"/>
    <x v="6"/>
    <x v="6"/>
    <s v="Saxony"/>
    <x v="4"/>
    <s v="T-Roc"/>
    <s v="Electric"/>
    <x v="0"/>
    <s v="26-35"/>
    <s v="Medium"/>
    <x v="0"/>
    <x v="3"/>
    <s v="Sales_20"/>
    <n v="345"/>
    <n v="143"/>
    <n v="101"/>
    <n v="21"/>
    <s v="14.69"/>
    <n v="34355"/>
    <s v="8.4"/>
    <n v="30576"/>
    <n v="721455"/>
    <n v="79359"/>
    <s v="Feb"/>
    <n v="2"/>
    <n v="2026"/>
    <s v="Weekday"/>
    <n v="0.20792079207920791"/>
    <n v="0.41449275362318838"/>
    <n v="6.0869565217391307E-2"/>
    <n v="3779"/>
    <s v="Leipzig Mobility"/>
  </r>
  <r>
    <s v="CUST_2515"/>
    <x v="6"/>
    <x v="2"/>
    <s v="Saturday"/>
    <s v="Yes"/>
    <x v="4"/>
    <x v="4"/>
    <s v="Berlin"/>
    <x v="0"/>
    <s v="i4"/>
    <s v="Hybrid"/>
    <x v="1"/>
    <s v="18-25"/>
    <s v="Medium"/>
    <x v="0"/>
    <x v="2"/>
    <s v="Sales_9"/>
    <n v="255"/>
    <n v="119"/>
    <n v="96"/>
    <n v="37"/>
    <s v="31.09"/>
    <n v="55887"/>
    <s v="4.33"/>
    <n v="42342"/>
    <n v="2067819"/>
    <n v="501165"/>
    <s v="Feb"/>
    <n v="2"/>
    <n v="2026"/>
    <s v="Weekend"/>
    <n v="0.38541666666666669"/>
    <n v="0.46666666666666667"/>
    <n v="0.14509803921568629"/>
    <n v="13545"/>
    <s v="Autohaus Berlin"/>
  </r>
  <r>
    <s v="CUST_2516"/>
    <x v="25"/>
    <x v="3"/>
    <s v="Friday"/>
    <s v="No"/>
    <x v="6"/>
    <x v="6"/>
    <s v="Saxony"/>
    <x v="1"/>
    <s v="Astra"/>
    <s v="Petrol"/>
    <x v="2"/>
    <s v="18-25"/>
    <s v="High"/>
    <x v="1"/>
    <x v="2"/>
    <s v="Sales_1"/>
    <n v="386"/>
    <n v="210"/>
    <n v="125"/>
    <n v="41"/>
    <s v="19.52"/>
    <n v="24890"/>
    <s v="8.84"/>
    <n v="22917"/>
    <n v="1020490"/>
    <n v="80893"/>
    <s v="Feb"/>
    <n v="2"/>
    <n v="2026"/>
    <s v="Weekday"/>
    <n v="0.32800000000000001"/>
    <n v="0.54404145077720212"/>
    <n v="0.10621761658031088"/>
    <n v="1973"/>
    <s v="Leipzig Mobility"/>
  </r>
  <r>
    <s v="CUST_2517"/>
    <x v="18"/>
    <x v="0"/>
    <s v="Saturday"/>
    <s v="Yes"/>
    <x v="3"/>
    <x v="3"/>
    <s v="Saxony"/>
    <x v="4"/>
    <s v="ID.4"/>
    <s v="Hybrid"/>
    <x v="0"/>
    <s v="36-50"/>
    <s v="Medium"/>
    <x v="1"/>
    <x v="2"/>
    <s v="Sales_13"/>
    <n v="432"/>
    <n v="248"/>
    <n v="178"/>
    <n v="41"/>
    <s v="16.53"/>
    <n v="33125"/>
    <s v="9.9"/>
    <n v="29712"/>
    <n v="1358125"/>
    <n v="139933"/>
    <s v="Feb"/>
    <n v="2"/>
    <n v="2026"/>
    <s v="Weekend"/>
    <n v="0.2303370786516854"/>
    <n v="0.57407407407407407"/>
    <n v="9.4907407407407413E-2"/>
    <n v="3413"/>
    <s v="Saxon Wheels"/>
  </r>
  <r>
    <s v="CUST_2518"/>
    <x v="16"/>
    <x v="1"/>
    <s v="Tuesday"/>
    <s v="No"/>
    <x v="2"/>
    <x v="2"/>
    <s v="Lower Saxony"/>
    <x v="2"/>
    <s v="A3"/>
    <s v="Petrol"/>
    <x v="2"/>
    <s v="26-35"/>
    <s v="High"/>
    <x v="1"/>
    <x v="3"/>
    <s v="Sales_7"/>
    <n v="236"/>
    <n v="144"/>
    <n v="101"/>
    <n v="29"/>
    <s v="20.14"/>
    <n v="51173"/>
    <s v="4.38"/>
    <n v="38603"/>
    <n v="1484017"/>
    <n v="364530"/>
    <s v="Feb"/>
    <n v="2"/>
    <n v="2026"/>
    <s v="Weekday"/>
    <n v="0.28712871287128711"/>
    <n v="0.61016949152542377"/>
    <n v="0.1228813559322034"/>
    <n v="12570"/>
    <s v="Hannover Cars"/>
  </r>
  <r>
    <s v="CUST_2519"/>
    <x v="13"/>
    <x v="0"/>
    <s v="Friday"/>
    <s v="No"/>
    <x v="8"/>
    <x v="8"/>
    <s v="Baden-WÃ¼rttemberg"/>
    <x v="1"/>
    <s v="Corsa"/>
    <s v="Hybrid"/>
    <x v="2"/>
    <s v="18-25"/>
    <s v="Medium"/>
    <x v="0"/>
    <x v="3"/>
    <s v="Sales_6"/>
    <n v="251"/>
    <n v="104"/>
    <n v="69"/>
    <n v="18"/>
    <s v="17.31"/>
    <n v="26129"/>
    <s v="12.89"/>
    <n v="23895"/>
    <n v="470322"/>
    <n v="40212"/>
    <s v="Feb"/>
    <n v="2"/>
    <n v="2026"/>
    <s v="Weekday"/>
    <n v="0.2608695652173913"/>
    <n v="0.41434262948207173"/>
    <n v="7.1713147410358571E-2"/>
    <n v="2234"/>
    <s v="Stuttgart Auto Center"/>
  </r>
  <r>
    <s v="CUST_2520"/>
    <x v="27"/>
    <x v="3"/>
    <s v="Sunday"/>
    <s v="Yes"/>
    <x v="0"/>
    <x v="0"/>
    <s v="Hesse"/>
    <x v="0"/>
    <s v="5 Series"/>
    <s v="Petrol"/>
    <x v="1"/>
    <s v="18-25"/>
    <s v="Low"/>
    <x v="1"/>
    <x v="2"/>
    <s v="Sales_8"/>
    <n v="226"/>
    <n v="110"/>
    <n v="89"/>
    <n v="33"/>
    <s v="30.0"/>
    <n v="51145"/>
    <s v="3.81"/>
    <n v="36151"/>
    <n v="1687785"/>
    <n v="494802"/>
    <s v="Feb"/>
    <n v="2"/>
    <n v="2026"/>
    <s v="Weekend"/>
    <n v="0.3707865168539326"/>
    <n v="0.48672566371681414"/>
    <n v="0.14601769911504425"/>
    <n v="14994"/>
    <s v="Main Auto Hub"/>
  </r>
  <r>
    <s v="CUST_2521"/>
    <x v="4"/>
    <x v="2"/>
    <s v="Wednesday"/>
    <s v="No"/>
    <x v="5"/>
    <x v="5"/>
    <s v="Hamburg"/>
    <x v="2"/>
    <s v="Q3"/>
    <s v="Diesel"/>
    <x v="0"/>
    <s v="18-25"/>
    <s v="Low"/>
    <x v="1"/>
    <x v="1"/>
    <s v="Sales_15"/>
    <n v="210"/>
    <n v="109"/>
    <n v="77"/>
    <n v="25"/>
    <s v="22.94"/>
    <n v="47012"/>
    <s v="6.67"/>
    <n v="36811"/>
    <n v="1175300"/>
    <n v="255025"/>
    <s v="Feb"/>
    <n v="2"/>
    <n v="2026"/>
    <s v="Weekday"/>
    <n v="0.32467532467532467"/>
    <n v="0.51904761904761909"/>
    <n v="0.11904761904761904"/>
    <n v="10201"/>
    <s v="Elbe Drive"/>
  </r>
  <r>
    <s v="CUST_2522"/>
    <x v="12"/>
    <x v="3"/>
    <s v="Thursday"/>
    <s v="No"/>
    <x v="1"/>
    <x v="1"/>
    <s v="NRW"/>
    <x v="3"/>
    <s v="EQE"/>
    <s v="Petrol"/>
    <x v="1"/>
    <s v="36-50"/>
    <s v="High"/>
    <x v="1"/>
    <x v="1"/>
    <s v="Sales_4"/>
    <n v="263"/>
    <n v="126"/>
    <n v="97"/>
    <n v="32"/>
    <s v="25.4"/>
    <n v="52072"/>
    <s v="3.32"/>
    <n v="39415"/>
    <n v="1666304"/>
    <n v="405024"/>
    <s v="Feb"/>
    <n v="2"/>
    <n v="2026"/>
    <s v="Weekday"/>
    <n v="0.32989690721649484"/>
    <n v="0.47908745247148288"/>
    <n v="0.12167300380228137"/>
    <n v="12657"/>
    <s v="Rhein Auto Group"/>
  </r>
  <r>
    <s v="CUST_2523"/>
    <x v="26"/>
    <x v="1"/>
    <s v="Friday"/>
    <s v="No"/>
    <x v="4"/>
    <x v="4"/>
    <s v="Berlin"/>
    <x v="4"/>
    <s v="T-Roc"/>
    <s v="Petrol"/>
    <x v="0"/>
    <s v="36-50"/>
    <s v="Medium"/>
    <x v="0"/>
    <x v="3"/>
    <s v="Sales_9"/>
    <n v="464"/>
    <n v="220"/>
    <n v="149"/>
    <n v="35"/>
    <s v="15.91"/>
    <n v="27378"/>
    <s v="6.04"/>
    <n v="24400"/>
    <n v="958230"/>
    <n v="104230"/>
    <s v="Feb"/>
    <n v="2"/>
    <n v="2026"/>
    <s v="Weekday"/>
    <n v="0.2348993288590604"/>
    <n v="0.47413793103448276"/>
    <n v="7.5431034482758619E-2"/>
    <n v="2978"/>
    <s v="Autohaus Berlin"/>
  </r>
  <r>
    <s v="CUST_2524"/>
    <x v="27"/>
    <x v="3"/>
    <s v="Sunday"/>
    <s v="Yes"/>
    <x v="4"/>
    <x v="4"/>
    <s v="Berlin"/>
    <x v="3"/>
    <s v="GLC"/>
    <s v="Electric"/>
    <x v="0"/>
    <s v="26-35"/>
    <s v="High"/>
    <x v="0"/>
    <x v="2"/>
    <s v="Sales_16"/>
    <n v="151"/>
    <n v="87"/>
    <n v="69"/>
    <n v="25"/>
    <s v="28.74"/>
    <n v="68257"/>
    <s v="2.65"/>
    <n v="52354"/>
    <n v="1706425"/>
    <n v="397575"/>
    <s v="Feb"/>
    <n v="2"/>
    <n v="2026"/>
    <s v="Weekend"/>
    <n v="0.36231884057971014"/>
    <n v="0.57615894039735094"/>
    <n v="0.16556291390728478"/>
    <n v="15903"/>
    <s v="Autohaus Berlin"/>
  </r>
  <r>
    <s v="CUST_2525"/>
    <x v="21"/>
    <x v="0"/>
    <s v="Tuesday"/>
    <s v="No"/>
    <x v="7"/>
    <x v="7"/>
    <s v="Bavaria"/>
    <x v="3"/>
    <s v="GLE"/>
    <s v="Diesel"/>
    <x v="0"/>
    <s v="26-35"/>
    <s v="Medium"/>
    <x v="0"/>
    <x v="1"/>
    <s v="Sales_11"/>
    <n v="185"/>
    <n v="83"/>
    <n v="55"/>
    <n v="22"/>
    <s v="26.51"/>
    <n v="52624"/>
    <s v="3.09"/>
    <n v="38677"/>
    <n v="1157728"/>
    <n v="306834"/>
    <s v="Feb"/>
    <n v="2"/>
    <n v="2026"/>
    <s v="Weekday"/>
    <n v="0.4"/>
    <n v="0.44864864864864867"/>
    <n v="0.11891891891891893"/>
    <n v="13947"/>
    <s v="Bavaria Motors"/>
  </r>
  <r>
    <s v="CUST_2526"/>
    <x v="14"/>
    <x v="2"/>
    <s v="Friday"/>
    <s v="No"/>
    <x v="0"/>
    <x v="0"/>
    <s v="Hesse"/>
    <x v="2"/>
    <s v="A3"/>
    <s v="Hybrid"/>
    <x v="2"/>
    <s v="50+"/>
    <s v="Low"/>
    <x v="0"/>
    <x v="2"/>
    <s v="Sales_14"/>
    <n v="309"/>
    <n v="148"/>
    <n v="95"/>
    <n v="41"/>
    <s v="27.7"/>
    <n v="54112"/>
    <s v="6.05"/>
    <n v="41333"/>
    <n v="2218592"/>
    <n v="523939"/>
    <s v="Feb"/>
    <n v="2"/>
    <n v="2026"/>
    <s v="Weekday"/>
    <n v="0.43157894736842106"/>
    <n v="0.47896440129449835"/>
    <n v="0.13268608414239483"/>
    <n v="12779"/>
    <s v="Main Auto Hub"/>
  </r>
  <r>
    <s v="CUST_2527"/>
    <x v="10"/>
    <x v="1"/>
    <s v="Monday"/>
    <s v="No"/>
    <x v="4"/>
    <x v="4"/>
    <s v="Berlin"/>
    <x v="0"/>
    <s v="5 Series"/>
    <s v="Petrol"/>
    <x v="1"/>
    <s v="50+"/>
    <s v="Low"/>
    <x v="1"/>
    <x v="1"/>
    <s v="Sales_12"/>
    <n v="241"/>
    <n v="111"/>
    <n v="79"/>
    <n v="31"/>
    <s v="27.93"/>
    <n v="57861"/>
    <s v="2.74"/>
    <n v="41744"/>
    <n v="1793691"/>
    <n v="499627"/>
    <s v="Feb"/>
    <n v="2"/>
    <n v="2026"/>
    <s v="Weekday"/>
    <n v="0.39240506329113922"/>
    <n v="0.46058091286307051"/>
    <n v="0.12863070539419086"/>
    <n v="16117"/>
    <s v="Autohaus Berlin"/>
  </r>
  <r>
    <s v="CUST_2528"/>
    <x v="2"/>
    <x v="2"/>
    <s v="Monday"/>
    <s v="No"/>
    <x v="9"/>
    <x v="9"/>
    <s v="NRW"/>
    <x v="4"/>
    <s v="Golf"/>
    <s v="Diesel"/>
    <x v="2"/>
    <s v="36-50"/>
    <s v="High"/>
    <x v="0"/>
    <x v="3"/>
    <s v="Sales_20"/>
    <n v="308"/>
    <n v="141"/>
    <n v="96"/>
    <n v="22"/>
    <s v="15.6"/>
    <n v="30700"/>
    <s v="8.67"/>
    <n v="26520"/>
    <n v="675400"/>
    <n v="91960"/>
    <s v="Feb"/>
    <n v="2"/>
    <n v="2026"/>
    <s v="Weekday"/>
    <n v="0.22916666666666666"/>
    <n v="0.45779220779220781"/>
    <n v="7.1428571428571425E-2"/>
    <n v="4180"/>
    <s v="Ruhr Auto Plaza"/>
  </r>
  <r>
    <s v="CUST_2529"/>
    <x v="23"/>
    <x v="2"/>
    <s v="Tuesday"/>
    <s v="No"/>
    <x v="4"/>
    <x v="4"/>
    <s v="Berlin"/>
    <x v="3"/>
    <s v="GLC"/>
    <s v="Electric"/>
    <x v="0"/>
    <s v="18-25"/>
    <s v="Low"/>
    <x v="0"/>
    <x v="1"/>
    <s v="Sales_20"/>
    <n v="163"/>
    <n v="89"/>
    <n v="67"/>
    <n v="25"/>
    <s v="28.09"/>
    <n v="72067"/>
    <s v="2.3"/>
    <n v="52154"/>
    <n v="1801675"/>
    <n v="497825"/>
    <s v="Feb"/>
    <n v="2"/>
    <n v="2026"/>
    <s v="Weekday"/>
    <n v="0.37313432835820898"/>
    <n v="0.54601226993865026"/>
    <n v="0.15337423312883436"/>
    <n v="19913"/>
    <s v="Autohaus Berlin"/>
  </r>
  <r>
    <s v="CUST_2530"/>
    <x v="4"/>
    <x v="2"/>
    <s v="Wednesday"/>
    <s v="No"/>
    <x v="5"/>
    <x v="5"/>
    <s v="Hamburg"/>
    <x v="4"/>
    <s v="Passat"/>
    <s v="Petrol"/>
    <x v="1"/>
    <s v="50+"/>
    <s v="Low"/>
    <x v="0"/>
    <x v="2"/>
    <s v="Sales_19"/>
    <n v="362"/>
    <n v="192"/>
    <n v="135"/>
    <n v="44"/>
    <s v="22.92"/>
    <n v="33511"/>
    <s v="6.47"/>
    <n v="28879"/>
    <n v="1474484"/>
    <n v="203808"/>
    <s v="Feb"/>
    <n v="2"/>
    <n v="2026"/>
    <s v="Weekday"/>
    <n v="0.32592592592592595"/>
    <n v="0.53038674033149169"/>
    <n v="0.12154696132596685"/>
    <n v="4632"/>
    <s v="Elbe Drive"/>
  </r>
  <r>
    <s v="CUST_2531"/>
    <x v="7"/>
    <x v="3"/>
    <s v="Monday"/>
    <s v="No"/>
    <x v="7"/>
    <x v="7"/>
    <s v="Bavaria"/>
    <x v="3"/>
    <s v="GLE"/>
    <s v="Hybrid"/>
    <x v="0"/>
    <s v="50+"/>
    <s v="High"/>
    <x v="0"/>
    <x v="3"/>
    <s v="Sales_1"/>
    <n v="149"/>
    <n v="84"/>
    <n v="58"/>
    <n v="22"/>
    <s v="26.19"/>
    <n v="70992"/>
    <s v="3.51"/>
    <n v="54454"/>
    <n v="1561824"/>
    <n v="363836"/>
    <s v="Feb"/>
    <n v="2"/>
    <n v="2026"/>
    <s v="Weekday"/>
    <n v="0.37931034482758619"/>
    <n v="0.56375838926174493"/>
    <n v="0.1476510067114094"/>
    <n v="16538"/>
    <s v="Bavaria Motors"/>
  </r>
  <r>
    <s v="CUST_2532"/>
    <x v="17"/>
    <x v="2"/>
    <s v="Sunday"/>
    <s v="Yes"/>
    <x v="5"/>
    <x v="5"/>
    <s v="Hamburg"/>
    <x v="1"/>
    <s v="Crossland"/>
    <s v="Diesel"/>
    <x v="0"/>
    <s v="50+"/>
    <s v="Low"/>
    <x v="1"/>
    <x v="0"/>
    <s v="Sales_6"/>
    <n v="386"/>
    <n v="203"/>
    <n v="122"/>
    <n v="33"/>
    <s v="16.26"/>
    <n v="21812"/>
    <s v="13.46"/>
    <n v="20004"/>
    <n v="719796"/>
    <n v="59664"/>
    <s v="Feb"/>
    <n v="2"/>
    <n v="2026"/>
    <s v="Weekend"/>
    <n v="0.27049180327868855"/>
    <n v="0.52590673575129532"/>
    <n v="8.549222797927461E-2"/>
    <n v="1808"/>
    <s v="Elbe Drive"/>
  </r>
  <r>
    <s v="CUST_2533"/>
    <x v="10"/>
    <x v="1"/>
    <s v="Monday"/>
    <s v="No"/>
    <x v="7"/>
    <x v="7"/>
    <s v="Bavaria"/>
    <x v="2"/>
    <s v="Q5"/>
    <s v="Petrol"/>
    <x v="0"/>
    <s v="36-50"/>
    <s v="High"/>
    <x v="0"/>
    <x v="0"/>
    <s v="Sales_18"/>
    <n v="203"/>
    <n v="96"/>
    <n v="70"/>
    <n v="23"/>
    <s v="23.96"/>
    <n v="39816"/>
    <s v="6.73"/>
    <n v="31060"/>
    <n v="915768"/>
    <n v="201388"/>
    <s v="Feb"/>
    <n v="2"/>
    <n v="2026"/>
    <s v="Weekday"/>
    <n v="0.32857142857142857"/>
    <n v="0.47290640394088668"/>
    <n v="0.11330049261083744"/>
    <n v="8756"/>
    <s v="Bavaria Motors"/>
  </r>
  <r>
    <s v="CUST_2534"/>
    <x v="10"/>
    <x v="1"/>
    <s v="Monday"/>
    <s v="No"/>
    <x v="3"/>
    <x v="3"/>
    <s v="Saxony"/>
    <x v="0"/>
    <s v="X3"/>
    <s v="Hybrid"/>
    <x v="0"/>
    <s v="26-35"/>
    <s v="Low"/>
    <x v="0"/>
    <x v="0"/>
    <s v="Sales_12"/>
    <n v="201"/>
    <n v="106"/>
    <n v="75"/>
    <n v="30"/>
    <s v="28.3"/>
    <n v="57893"/>
    <s v="4.01"/>
    <n v="44457"/>
    <n v="1736790"/>
    <n v="403080"/>
    <s v="Feb"/>
    <n v="2"/>
    <n v="2026"/>
    <s v="Weekday"/>
    <n v="0.4"/>
    <n v="0.52736318407960203"/>
    <n v="0.14925373134328357"/>
    <n v="13436"/>
    <s v="Saxon Wheels"/>
  </r>
  <r>
    <s v="CUST_2535"/>
    <x v="5"/>
    <x v="3"/>
    <s v="Saturday"/>
    <s v="Yes"/>
    <x v="4"/>
    <x v="4"/>
    <s v="Berlin"/>
    <x v="2"/>
    <s v="e-tron"/>
    <s v="Petrol"/>
    <x v="0"/>
    <s v="36-50"/>
    <s v="High"/>
    <x v="0"/>
    <x v="0"/>
    <s v="Sales_9"/>
    <n v="313"/>
    <n v="165"/>
    <n v="116"/>
    <n v="38"/>
    <s v="23.03"/>
    <n v="51789"/>
    <s v="4.97"/>
    <n v="41503"/>
    <n v="1967982"/>
    <n v="390868"/>
    <s v="Feb"/>
    <n v="2"/>
    <n v="2026"/>
    <s v="Weekend"/>
    <n v="0.32758620689655171"/>
    <n v="0.52715654952076674"/>
    <n v="0.12140575079872204"/>
    <n v="10286"/>
    <s v="Autohaus Berlin"/>
  </r>
  <r>
    <s v="CUST_2536"/>
    <x v="9"/>
    <x v="0"/>
    <s v="Sunday"/>
    <s v="Yes"/>
    <x v="4"/>
    <x v="4"/>
    <s v="Berlin"/>
    <x v="3"/>
    <s v="GLE"/>
    <s v="Electric"/>
    <x v="0"/>
    <s v="18-25"/>
    <s v="High"/>
    <x v="0"/>
    <x v="2"/>
    <s v="Sales_19"/>
    <n v="212"/>
    <n v="115"/>
    <n v="78"/>
    <n v="36"/>
    <s v="31.3"/>
    <n v="66754"/>
    <s v="5.24"/>
    <n v="50354"/>
    <n v="2403144"/>
    <n v="590400"/>
    <s v="Feb"/>
    <n v="2"/>
    <n v="2026"/>
    <s v="Weekend"/>
    <n v="0.46153846153846156"/>
    <n v="0.54245283018867929"/>
    <n v="0.16981132075471697"/>
    <n v="16400"/>
    <s v="Autohaus Berlin"/>
  </r>
  <r>
    <s v="CUST_2537"/>
    <x v="8"/>
    <x v="3"/>
    <s v="Wednesday"/>
    <s v="No"/>
    <x v="0"/>
    <x v="0"/>
    <s v="Hesse"/>
    <x v="2"/>
    <s v="A4"/>
    <s v="Electric"/>
    <x v="1"/>
    <s v="50+"/>
    <s v="Medium"/>
    <x v="1"/>
    <x v="3"/>
    <s v="Sales_15"/>
    <n v="289"/>
    <n v="168"/>
    <n v="115"/>
    <n v="36"/>
    <s v="21.43"/>
    <n v="43062"/>
    <s v="5.59"/>
    <n v="32337"/>
    <n v="1550232"/>
    <n v="386100"/>
    <s v="Feb"/>
    <n v="2"/>
    <n v="2026"/>
    <s v="Weekday"/>
    <n v="0.31304347826086959"/>
    <n v="0.58131487889273359"/>
    <n v="0.1245674740484429"/>
    <n v="10725"/>
    <s v="Main Auto Hub"/>
  </r>
  <r>
    <s v="CUST_2538"/>
    <x v="25"/>
    <x v="3"/>
    <s v="Friday"/>
    <s v="No"/>
    <x v="1"/>
    <x v="1"/>
    <s v="NRW"/>
    <x v="3"/>
    <s v="C-Class"/>
    <s v="Petrol"/>
    <x v="1"/>
    <s v="50+"/>
    <s v="High"/>
    <x v="0"/>
    <x v="2"/>
    <s v="Sales_8"/>
    <n v="194"/>
    <n v="94"/>
    <n v="73"/>
    <n v="28"/>
    <s v="29.79"/>
    <n v="55690"/>
    <s v="5.82"/>
    <n v="40451"/>
    <n v="1559320"/>
    <n v="426692"/>
    <s v="Feb"/>
    <n v="2"/>
    <n v="2026"/>
    <s v="Weekday"/>
    <n v="0.38356164383561642"/>
    <n v="0.4845360824742268"/>
    <n v="0.14432989690721648"/>
    <n v="15239"/>
    <s v="Rhein Auto Group"/>
  </r>
  <r>
    <s v="CUST_2539"/>
    <x v="10"/>
    <x v="1"/>
    <s v="Monday"/>
    <s v="No"/>
    <x v="9"/>
    <x v="9"/>
    <s v="NRW"/>
    <x v="2"/>
    <s v="e-tron"/>
    <s v="Diesel"/>
    <x v="0"/>
    <s v="50+"/>
    <s v="Low"/>
    <x v="1"/>
    <x v="1"/>
    <s v="Sales_8"/>
    <n v="219"/>
    <n v="106"/>
    <n v="72"/>
    <n v="22"/>
    <s v="20.75"/>
    <n v="54034"/>
    <s v="5.91"/>
    <n v="43689"/>
    <n v="1188748"/>
    <n v="227590"/>
    <s v="Feb"/>
    <n v="2"/>
    <n v="2026"/>
    <s v="Weekday"/>
    <n v="0.30555555555555558"/>
    <n v="0.48401826484018262"/>
    <n v="0.1004566210045662"/>
    <n v="10345"/>
    <s v="Ruhr Auto Plaza"/>
  </r>
  <r>
    <s v="CUST_2540"/>
    <x v="11"/>
    <x v="0"/>
    <s v="Wednesday"/>
    <s v="No"/>
    <x v="8"/>
    <x v="8"/>
    <s v="Baden-WÃ¼rttemberg"/>
    <x v="4"/>
    <s v="Passat"/>
    <s v="Electric"/>
    <x v="1"/>
    <s v="36-50"/>
    <s v="Medium"/>
    <x v="0"/>
    <x v="2"/>
    <s v="Sales_20"/>
    <n v="467"/>
    <n v="192"/>
    <n v="136"/>
    <n v="41"/>
    <s v="21.35"/>
    <n v="31860"/>
    <s v="7.98"/>
    <n v="28348"/>
    <n v="1306260"/>
    <n v="143992"/>
    <s v="Feb"/>
    <n v="2"/>
    <n v="2026"/>
    <s v="Weekday"/>
    <n v="0.3014705882352941"/>
    <n v="0.41113490364025695"/>
    <n v="8.7794432548179868E-2"/>
    <n v="3512"/>
    <s v="Stuttgart Auto Center"/>
  </r>
  <r>
    <s v="CUST_2541"/>
    <x v="13"/>
    <x v="0"/>
    <s v="Friday"/>
    <s v="No"/>
    <x v="0"/>
    <x v="0"/>
    <s v="Hesse"/>
    <x v="3"/>
    <s v="E-Class"/>
    <s v="Diesel"/>
    <x v="1"/>
    <s v="18-25"/>
    <s v="Medium"/>
    <x v="0"/>
    <x v="0"/>
    <s v="Sales_11"/>
    <n v="283"/>
    <n v="157"/>
    <n v="110"/>
    <n v="33"/>
    <s v="21.02"/>
    <n v="51209"/>
    <s v="4.27"/>
    <n v="37723"/>
    <n v="1689897"/>
    <n v="445038"/>
    <s v="Feb"/>
    <n v="2"/>
    <n v="2026"/>
    <s v="Weekday"/>
    <n v="0.3"/>
    <n v="0.55477031802120136"/>
    <n v="0.1166077738515901"/>
    <n v="13486"/>
    <s v="Main Auto Hub"/>
  </r>
  <r>
    <s v="CUST_2542"/>
    <x v="15"/>
    <x v="2"/>
    <s v="Thursday"/>
    <s v="No"/>
    <x v="4"/>
    <x v="4"/>
    <s v="Berlin"/>
    <x v="3"/>
    <s v="C-Class"/>
    <s v="Hybrid"/>
    <x v="1"/>
    <s v="50+"/>
    <s v="Low"/>
    <x v="0"/>
    <x v="0"/>
    <s v="Sales_7"/>
    <n v="191"/>
    <n v="84"/>
    <n v="66"/>
    <n v="21"/>
    <s v="25.0"/>
    <n v="52385"/>
    <s v="3.76"/>
    <n v="40367"/>
    <n v="1100085"/>
    <n v="252378"/>
    <s v="Feb"/>
    <n v="2"/>
    <n v="2026"/>
    <s v="Weekday"/>
    <n v="0.31818181818181818"/>
    <n v="0.43979057591623039"/>
    <n v="0.1099476439790576"/>
    <n v="12018"/>
    <s v="Autohaus Berlin"/>
  </r>
  <r>
    <s v="CUST_2543"/>
    <x v="12"/>
    <x v="3"/>
    <s v="Thursday"/>
    <s v="No"/>
    <x v="3"/>
    <x v="3"/>
    <s v="Saxony"/>
    <x v="4"/>
    <s v="ID.4"/>
    <s v="Hybrid"/>
    <x v="0"/>
    <s v="36-50"/>
    <s v="Medium"/>
    <x v="0"/>
    <x v="2"/>
    <s v="Sales_20"/>
    <n v="366"/>
    <n v="155"/>
    <n v="96"/>
    <n v="29"/>
    <s v="18.71"/>
    <n v="26987"/>
    <s v="7.25"/>
    <n v="23705"/>
    <n v="782623"/>
    <n v="95178"/>
    <s v="Feb"/>
    <n v="2"/>
    <n v="2026"/>
    <s v="Weekday"/>
    <n v="0.30208333333333331"/>
    <n v="0.42349726775956287"/>
    <n v="7.9234972677595633E-2"/>
    <n v="3282"/>
    <s v="Saxon Wheels"/>
  </r>
  <r>
    <s v="CUST_2544"/>
    <x v="26"/>
    <x v="1"/>
    <s v="Friday"/>
    <s v="No"/>
    <x v="5"/>
    <x v="5"/>
    <s v="Hamburg"/>
    <x v="2"/>
    <s v="Q3"/>
    <s v="Petrol"/>
    <x v="0"/>
    <s v="36-50"/>
    <s v="High"/>
    <x v="1"/>
    <x v="2"/>
    <s v="Sales_16"/>
    <n v="269"/>
    <n v="159"/>
    <n v="116"/>
    <n v="39"/>
    <s v="24.53"/>
    <n v="42917"/>
    <s v="4.02"/>
    <n v="34014"/>
    <n v="1673763"/>
    <n v="347217"/>
    <s v="Feb"/>
    <n v="2"/>
    <n v="2026"/>
    <s v="Weekday"/>
    <n v="0.33620689655172414"/>
    <n v="0.59107806691449816"/>
    <n v="0.1449814126394052"/>
    <n v="8903"/>
    <s v="Elbe Drive"/>
  </r>
  <r>
    <s v="CUST_2545"/>
    <x v="16"/>
    <x v="1"/>
    <s v="Tuesday"/>
    <s v="No"/>
    <x v="1"/>
    <x v="1"/>
    <s v="NRW"/>
    <x v="4"/>
    <s v="Tiguan"/>
    <s v="Petrol"/>
    <x v="0"/>
    <s v="36-50"/>
    <s v="Medium"/>
    <x v="0"/>
    <x v="2"/>
    <s v="Sales_11"/>
    <n v="502"/>
    <n v="204"/>
    <n v="119"/>
    <n v="36"/>
    <s v="17.65"/>
    <n v="33734"/>
    <s v="9.81"/>
    <n v="30539"/>
    <n v="1214424"/>
    <n v="115020"/>
    <s v="Feb"/>
    <n v="2"/>
    <n v="2026"/>
    <s v="Weekday"/>
    <n v="0.30252100840336132"/>
    <n v="0.4063745019920319"/>
    <n v="7.1713147410358571E-2"/>
    <n v="3195"/>
    <s v="Rhein Auto Group"/>
  </r>
  <r>
    <s v="CUST_2546"/>
    <x v="22"/>
    <x v="3"/>
    <s v="Tuesday"/>
    <s v="No"/>
    <x v="6"/>
    <x v="6"/>
    <s v="Saxony"/>
    <x v="0"/>
    <s v="5 Series"/>
    <s v="Petrol"/>
    <x v="1"/>
    <s v="26-35"/>
    <s v="Low"/>
    <x v="0"/>
    <x v="2"/>
    <s v="Sales_20"/>
    <n v="233"/>
    <n v="112"/>
    <n v="90"/>
    <n v="36"/>
    <s v="32.14"/>
    <n v="51645"/>
    <s v="4.57"/>
    <n v="39104"/>
    <n v="1859220"/>
    <n v="451476"/>
    <s v="Feb"/>
    <n v="2"/>
    <n v="2026"/>
    <s v="Weekday"/>
    <n v="0.4"/>
    <n v="0.48068669527896996"/>
    <n v="0.15450643776824036"/>
    <n v="12541"/>
    <s v="Leipzig Mobility"/>
  </r>
  <r>
    <s v="CUST_2547"/>
    <x v="19"/>
    <x v="1"/>
    <s v="Saturday"/>
    <s v="Yes"/>
    <x v="6"/>
    <x v="6"/>
    <s v="Saxony"/>
    <x v="4"/>
    <s v="ID.4"/>
    <s v="Hybrid"/>
    <x v="0"/>
    <s v="50+"/>
    <s v="Low"/>
    <x v="0"/>
    <x v="0"/>
    <s v="Sales_16"/>
    <n v="370"/>
    <n v="165"/>
    <n v="109"/>
    <n v="25"/>
    <s v="15.15"/>
    <n v="26018"/>
    <s v="8.75"/>
    <n v="23228"/>
    <n v="650450"/>
    <n v="69750"/>
    <s v="Feb"/>
    <n v="2"/>
    <n v="2026"/>
    <s v="Weekend"/>
    <n v="0.22935779816513763"/>
    <n v="0.44594594594594594"/>
    <n v="6.7567567567567571E-2"/>
    <n v="2790"/>
    <s v="Leipzig Mobility"/>
  </r>
  <r>
    <s v="CUST_2548"/>
    <x v="24"/>
    <x v="1"/>
    <s v="Thursday"/>
    <s v="No"/>
    <x v="4"/>
    <x v="4"/>
    <s v="Berlin"/>
    <x v="1"/>
    <s v="Grandland"/>
    <s v="Electric"/>
    <x v="0"/>
    <s v="26-35"/>
    <s v="High"/>
    <x v="0"/>
    <x v="2"/>
    <s v="Sales_3"/>
    <n v="276"/>
    <n v="153"/>
    <n v="94"/>
    <n v="32"/>
    <s v="20.92"/>
    <n v="20822"/>
    <s v="8.1"/>
    <n v="18733"/>
    <n v="666304"/>
    <n v="66848"/>
    <s v="Feb"/>
    <n v="2"/>
    <n v="2026"/>
    <s v="Weekday"/>
    <n v="0.34042553191489361"/>
    <n v="0.55434782608695654"/>
    <n v="0.11594202898550725"/>
    <n v="2089"/>
    <s v="Autohaus Berlin"/>
  </r>
  <r>
    <s v="CUST_2549"/>
    <x v="18"/>
    <x v="0"/>
    <s v="Saturday"/>
    <s v="Yes"/>
    <x v="7"/>
    <x v="7"/>
    <s v="Bavaria"/>
    <x v="3"/>
    <s v="E-Class"/>
    <s v="Electric"/>
    <x v="1"/>
    <s v="36-50"/>
    <s v="High"/>
    <x v="1"/>
    <x v="0"/>
    <s v="Sales_6"/>
    <n v="163"/>
    <n v="89"/>
    <n v="62"/>
    <n v="22"/>
    <s v="24.72"/>
    <n v="56797"/>
    <s v="4.66"/>
    <n v="41168"/>
    <n v="1249534"/>
    <n v="343838"/>
    <s v="Feb"/>
    <n v="2"/>
    <n v="2026"/>
    <s v="Weekend"/>
    <n v="0.35483870967741937"/>
    <n v="0.54601226993865026"/>
    <n v="0.13496932515337423"/>
    <n v="15629"/>
    <s v="Bavaria Motors"/>
  </r>
  <r>
    <s v="CUST_2550"/>
    <x v="3"/>
    <x v="1"/>
    <s v="Sunday"/>
    <s v="Yes"/>
    <x v="7"/>
    <x v="7"/>
    <s v="Bavaria"/>
    <x v="0"/>
    <s v="3 Series"/>
    <s v="Diesel"/>
    <x v="1"/>
    <s v="26-35"/>
    <s v="High"/>
    <x v="0"/>
    <x v="1"/>
    <s v="Sales_3"/>
    <n v="194"/>
    <n v="93"/>
    <n v="70"/>
    <n v="28"/>
    <s v="30.11"/>
    <n v="59074"/>
    <s v="3.37"/>
    <n v="42423"/>
    <n v="1654072"/>
    <n v="466228"/>
    <s v="Feb"/>
    <n v="2"/>
    <n v="2026"/>
    <s v="Weekend"/>
    <n v="0.4"/>
    <n v="0.47938144329896909"/>
    <n v="0.14432989690721648"/>
    <n v="16651"/>
    <s v="Bavaria Motors"/>
  </r>
  <r>
    <s v="CUST_2551"/>
    <x v="12"/>
    <x v="3"/>
    <s v="Thursday"/>
    <s v="No"/>
    <x v="7"/>
    <x v="7"/>
    <s v="Bavaria"/>
    <x v="2"/>
    <s v="A4"/>
    <s v="Hybrid"/>
    <x v="1"/>
    <s v="36-50"/>
    <s v="Medium"/>
    <x v="0"/>
    <x v="0"/>
    <s v="Sales_2"/>
    <n v="170"/>
    <n v="98"/>
    <n v="64"/>
    <n v="23"/>
    <s v="23.47"/>
    <n v="45289"/>
    <s v="6.71"/>
    <n v="35010"/>
    <n v="1041647"/>
    <n v="236417"/>
    <s v="Feb"/>
    <n v="2"/>
    <n v="2026"/>
    <s v="Weekday"/>
    <n v="0.359375"/>
    <n v="0.57647058823529407"/>
    <n v="0.13529411764705881"/>
    <n v="10279"/>
    <s v="Bavaria Motors"/>
  </r>
  <r>
    <s v="CUST_2552"/>
    <x v="26"/>
    <x v="1"/>
    <s v="Friday"/>
    <s v="No"/>
    <x v="9"/>
    <x v="9"/>
    <s v="NRW"/>
    <x v="3"/>
    <s v="EQE"/>
    <s v="Diesel"/>
    <x v="1"/>
    <s v="50+"/>
    <s v="Low"/>
    <x v="1"/>
    <x v="0"/>
    <s v="Sales_8"/>
    <n v="230"/>
    <n v="123"/>
    <n v="89"/>
    <n v="29"/>
    <s v="23.58"/>
    <n v="50553"/>
    <s v="3.04"/>
    <n v="38599"/>
    <n v="1466037"/>
    <n v="346666"/>
    <s v="Feb"/>
    <n v="2"/>
    <n v="2026"/>
    <s v="Weekday"/>
    <n v="0.3258426966292135"/>
    <n v="0.5347826086956522"/>
    <n v="0.12608695652173912"/>
    <n v="11954"/>
    <s v="Ruhr Auto Plaza"/>
  </r>
  <r>
    <s v="CUST_2553"/>
    <x v="4"/>
    <x v="2"/>
    <s v="Wednesday"/>
    <s v="No"/>
    <x v="6"/>
    <x v="6"/>
    <s v="Saxony"/>
    <x v="1"/>
    <s v="Grandland"/>
    <s v="Petrol"/>
    <x v="0"/>
    <s v="50+"/>
    <s v="Low"/>
    <x v="1"/>
    <x v="1"/>
    <s v="Sales_4"/>
    <n v="226"/>
    <n v="118"/>
    <n v="81"/>
    <n v="15"/>
    <s v="12.71"/>
    <n v="22604"/>
    <s v="9.62"/>
    <n v="20429"/>
    <n v="339060"/>
    <n v="32625"/>
    <s v="Feb"/>
    <n v="2"/>
    <n v="2026"/>
    <s v="Weekday"/>
    <n v="0.18518518518518517"/>
    <n v="0.52212389380530977"/>
    <n v="6.637168141592921E-2"/>
    <n v="2175"/>
    <s v="Leipzig Mobility"/>
  </r>
  <r>
    <s v="CUST_2554"/>
    <x v="7"/>
    <x v="3"/>
    <s v="Monday"/>
    <s v="No"/>
    <x v="4"/>
    <x v="4"/>
    <s v="Berlin"/>
    <x v="0"/>
    <s v="X3"/>
    <s v="Hybrid"/>
    <x v="0"/>
    <s v="36-50"/>
    <s v="Medium"/>
    <x v="0"/>
    <x v="3"/>
    <s v="Sales_20"/>
    <n v="144"/>
    <n v="86"/>
    <n v="64"/>
    <n v="24"/>
    <s v="27.91"/>
    <n v="55211"/>
    <s v="2.13"/>
    <n v="41377"/>
    <n v="1325064"/>
    <n v="332016"/>
    <s v="Feb"/>
    <n v="2"/>
    <n v="2026"/>
    <s v="Weekday"/>
    <n v="0.375"/>
    <n v="0.59722222222222221"/>
    <n v="0.16666666666666666"/>
    <n v="13834"/>
    <s v="Autohaus Berlin"/>
  </r>
  <r>
    <s v="CUST_2555"/>
    <x v="3"/>
    <x v="1"/>
    <s v="Sunday"/>
    <s v="Yes"/>
    <x v="7"/>
    <x v="7"/>
    <s v="Bavaria"/>
    <x v="1"/>
    <s v="Grandland"/>
    <s v="Diesel"/>
    <x v="0"/>
    <s v="26-35"/>
    <s v="Low"/>
    <x v="1"/>
    <x v="2"/>
    <s v="Sales_10"/>
    <n v="357"/>
    <n v="188"/>
    <n v="119"/>
    <n v="34"/>
    <s v="18.09"/>
    <n v="22657"/>
    <s v="13.21"/>
    <n v="20977"/>
    <n v="770338"/>
    <n v="57120"/>
    <s v="Feb"/>
    <n v="2"/>
    <n v="2026"/>
    <s v="Weekend"/>
    <n v="0.2857142857142857"/>
    <n v="0.5266106442577031"/>
    <n v="9.5238095238095233E-2"/>
    <n v="1680"/>
    <s v="Bavaria Motors"/>
  </r>
  <r>
    <s v="CUST_2556"/>
    <x v="26"/>
    <x v="1"/>
    <s v="Friday"/>
    <s v="No"/>
    <x v="7"/>
    <x v="7"/>
    <s v="Bavaria"/>
    <x v="2"/>
    <s v="Q5"/>
    <s v="Hybrid"/>
    <x v="0"/>
    <s v="26-35"/>
    <s v="High"/>
    <x v="0"/>
    <x v="3"/>
    <s v="Sales_7"/>
    <n v="194"/>
    <n v="120"/>
    <n v="77"/>
    <n v="31"/>
    <s v="25.83"/>
    <n v="53718"/>
    <s v="4.89"/>
    <n v="42899"/>
    <n v="1665258"/>
    <n v="335389"/>
    <s v="Feb"/>
    <n v="2"/>
    <n v="2026"/>
    <s v="Weekday"/>
    <n v="0.40259740259740262"/>
    <n v="0.61855670103092786"/>
    <n v="0.15979381443298968"/>
    <n v="10819"/>
    <s v="Bavaria Motors"/>
  </r>
  <r>
    <s v="CUST_2557"/>
    <x v="14"/>
    <x v="2"/>
    <s v="Friday"/>
    <s v="No"/>
    <x v="4"/>
    <x v="4"/>
    <s v="Berlin"/>
    <x v="3"/>
    <s v="GLC"/>
    <s v="Electric"/>
    <x v="0"/>
    <s v="18-25"/>
    <s v="Low"/>
    <x v="0"/>
    <x v="1"/>
    <s v="Sales_10"/>
    <n v="166"/>
    <n v="95"/>
    <n v="70"/>
    <n v="27"/>
    <s v="28.42"/>
    <n v="60898"/>
    <s v="3.2"/>
    <n v="47343"/>
    <n v="1644246"/>
    <n v="365985"/>
    <s v="Feb"/>
    <n v="2"/>
    <n v="2026"/>
    <s v="Weekday"/>
    <n v="0.38571428571428573"/>
    <n v="0.57228915662650603"/>
    <n v="0.16265060240963855"/>
    <n v="13555"/>
    <s v="Autohaus Berlin"/>
  </r>
  <r>
    <s v="CUST_2558"/>
    <x v="25"/>
    <x v="3"/>
    <s v="Friday"/>
    <s v="No"/>
    <x v="6"/>
    <x v="6"/>
    <s v="Saxony"/>
    <x v="2"/>
    <s v="e-tron"/>
    <s v="Hybrid"/>
    <x v="0"/>
    <s v="26-35"/>
    <s v="High"/>
    <x v="1"/>
    <x v="0"/>
    <s v="Sales_11"/>
    <n v="176"/>
    <n v="92"/>
    <n v="67"/>
    <n v="16"/>
    <s v="17.39"/>
    <n v="40350"/>
    <s v="5.27"/>
    <n v="32152"/>
    <n v="645600"/>
    <n v="131168"/>
    <s v="Feb"/>
    <n v="2"/>
    <n v="2026"/>
    <s v="Weekday"/>
    <n v="0.23880597014925373"/>
    <n v="0.52272727272727271"/>
    <n v="9.0909090909090912E-2"/>
    <n v="8198"/>
    <s v="Leipzig Mobility"/>
  </r>
  <r>
    <s v="CUST_2559"/>
    <x v="1"/>
    <x v="1"/>
    <s v="Wednesday"/>
    <s v="No"/>
    <x v="6"/>
    <x v="6"/>
    <s v="Saxony"/>
    <x v="2"/>
    <s v="Q3"/>
    <s v="Diesel"/>
    <x v="0"/>
    <s v="50+"/>
    <s v="High"/>
    <x v="1"/>
    <x v="0"/>
    <s v="Sales_9"/>
    <n v="204"/>
    <n v="99"/>
    <n v="71"/>
    <n v="20"/>
    <s v="20.2"/>
    <n v="51513"/>
    <s v="6.38"/>
    <n v="40465"/>
    <n v="1030260"/>
    <n v="220960"/>
    <s v="Feb"/>
    <n v="2"/>
    <n v="2026"/>
    <s v="Weekday"/>
    <n v="0.28169014084507044"/>
    <n v="0.48529411764705882"/>
    <n v="9.8039215686274508E-2"/>
    <n v="11048"/>
    <s v="Leipzig Mobility"/>
  </r>
  <r>
    <s v="CUST_2560"/>
    <x v="22"/>
    <x v="3"/>
    <s v="Tuesday"/>
    <s v="No"/>
    <x v="6"/>
    <x v="6"/>
    <s v="Saxony"/>
    <x v="2"/>
    <s v="Q5"/>
    <s v="Hybrid"/>
    <x v="0"/>
    <s v="18-25"/>
    <s v="High"/>
    <x v="1"/>
    <x v="2"/>
    <s v="Sales_2"/>
    <n v="294"/>
    <n v="183"/>
    <n v="117"/>
    <n v="46"/>
    <s v="25.14"/>
    <n v="43031"/>
    <s v="5.06"/>
    <n v="34006"/>
    <n v="1979426"/>
    <n v="415150"/>
    <s v="Feb"/>
    <n v="2"/>
    <n v="2026"/>
    <s v="Weekday"/>
    <n v="0.39316239316239315"/>
    <n v="0.62244897959183676"/>
    <n v="0.15646258503401361"/>
    <n v="9025"/>
    <s v="Leipzig Mobility"/>
  </r>
  <r>
    <s v="CUST_2561"/>
    <x v="23"/>
    <x v="2"/>
    <s v="Tuesday"/>
    <s v="No"/>
    <x v="9"/>
    <x v="9"/>
    <s v="NRW"/>
    <x v="3"/>
    <s v="C-Class"/>
    <s v="Petrol"/>
    <x v="1"/>
    <s v="36-50"/>
    <s v="High"/>
    <x v="1"/>
    <x v="0"/>
    <s v="Sales_6"/>
    <n v="192"/>
    <n v="103"/>
    <n v="77"/>
    <n v="21"/>
    <s v="20.39"/>
    <n v="69256"/>
    <s v="4.66"/>
    <n v="53331"/>
    <n v="1454376"/>
    <n v="334425"/>
    <s v="Feb"/>
    <n v="2"/>
    <n v="2026"/>
    <s v="Weekday"/>
    <n v="0.27272727272727271"/>
    <n v="0.53645833333333337"/>
    <n v="0.109375"/>
    <n v="15925"/>
    <s v="Ruhr Auto Plaza"/>
  </r>
  <r>
    <s v="CUST_2562"/>
    <x v="24"/>
    <x v="1"/>
    <s v="Thursday"/>
    <s v="No"/>
    <x v="9"/>
    <x v="9"/>
    <s v="NRW"/>
    <x v="1"/>
    <s v="Crossland"/>
    <s v="Diesel"/>
    <x v="0"/>
    <s v="36-50"/>
    <s v="Low"/>
    <x v="0"/>
    <x v="2"/>
    <s v="Sales_9"/>
    <n v="348"/>
    <n v="150"/>
    <n v="85"/>
    <n v="24"/>
    <s v="16.0"/>
    <n v="26014"/>
    <s v="11.08"/>
    <n v="23416"/>
    <n v="624336"/>
    <n v="62352"/>
    <s v="Feb"/>
    <n v="2"/>
    <n v="2026"/>
    <s v="Weekday"/>
    <n v="0.28235294117647058"/>
    <n v="0.43103448275862066"/>
    <n v="6.8965517241379309E-2"/>
    <n v="2598"/>
    <s v="Ruhr Auto Plaza"/>
  </r>
  <r>
    <s v="CUST_2563"/>
    <x v="24"/>
    <x v="1"/>
    <s v="Thursday"/>
    <s v="No"/>
    <x v="3"/>
    <x v="3"/>
    <s v="Saxony"/>
    <x v="1"/>
    <s v="Crossland"/>
    <s v="Petrol"/>
    <x v="0"/>
    <s v="50+"/>
    <s v="Medium"/>
    <x v="1"/>
    <x v="1"/>
    <s v="Sales_5"/>
    <n v="267"/>
    <n v="116"/>
    <n v="65"/>
    <n v="16"/>
    <s v="13.79"/>
    <n v="25244"/>
    <s v="8.3"/>
    <n v="23235"/>
    <n v="403904"/>
    <n v="32144"/>
    <s v="Feb"/>
    <n v="2"/>
    <n v="2026"/>
    <s v="Weekday"/>
    <n v="0.24615384615384617"/>
    <n v="0.43445692883895132"/>
    <n v="5.9925093632958802E-2"/>
    <n v="2009"/>
    <s v="Saxon Wheels"/>
  </r>
  <r>
    <s v="CUST_2564"/>
    <x v="7"/>
    <x v="3"/>
    <s v="Monday"/>
    <s v="No"/>
    <x v="2"/>
    <x v="2"/>
    <s v="Lower Saxony"/>
    <x v="2"/>
    <s v="Q5"/>
    <s v="Diesel"/>
    <x v="0"/>
    <s v="18-25"/>
    <s v="Medium"/>
    <x v="0"/>
    <x v="2"/>
    <s v="Sales_8"/>
    <n v="178"/>
    <n v="93"/>
    <n v="68"/>
    <n v="22"/>
    <s v="23.66"/>
    <n v="45703"/>
    <s v="6.18"/>
    <n v="35254"/>
    <n v="1005466"/>
    <n v="229878"/>
    <s v="Feb"/>
    <n v="2"/>
    <n v="2026"/>
    <s v="Weekday"/>
    <n v="0.3235294117647059"/>
    <n v="0.52247191011235961"/>
    <n v="0.12359550561797752"/>
    <n v="10449"/>
    <s v="Hannover Cars"/>
  </r>
  <r>
    <s v="CUST_2565"/>
    <x v="23"/>
    <x v="2"/>
    <s v="Tuesday"/>
    <s v="No"/>
    <x v="2"/>
    <x v="2"/>
    <s v="Lower Saxony"/>
    <x v="4"/>
    <s v="T-Roc"/>
    <s v="Electric"/>
    <x v="0"/>
    <s v="50+"/>
    <s v="Low"/>
    <x v="0"/>
    <x v="3"/>
    <s v="Sales_12"/>
    <n v="358"/>
    <n v="203"/>
    <n v="130"/>
    <n v="27"/>
    <s v="13.3"/>
    <n v="31042"/>
    <s v="8.33"/>
    <n v="26972"/>
    <n v="838134"/>
    <n v="109890"/>
    <s v="Feb"/>
    <n v="2"/>
    <n v="2026"/>
    <s v="Weekday"/>
    <n v="0.2076923076923077"/>
    <n v="0.56703910614525144"/>
    <n v="7.5418994413407825E-2"/>
    <n v="4070"/>
    <s v="Hannover Cars"/>
  </r>
  <r>
    <s v="CUST_2566"/>
    <x v="21"/>
    <x v="0"/>
    <s v="Tuesday"/>
    <s v="No"/>
    <x v="9"/>
    <x v="9"/>
    <s v="NRW"/>
    <x v="1"/>
    <s v="Astra"/>
    <s v="Electric"/>
    <x v="2"/>
    <s v="18-25"/>
    <s v="Medium"/>
    <x v="1"/>
    <x v="3"/>
    <s v="Sales_20"/>
    <n v="333"/>
    <n v="164"/>
    <n v="105"/>
    <n v="18"/>
    <s v="10.98"/>
    <n v="27538"/>
    <s v="7.15"/>
    <n v="25541"/>
    <n v="495684"/>
    <n v="35946"/>
    <s v="Feb"/>
    <n v="2"/>
    <n v="2026"/>
    <s v="Weekday"/>
    <n v="0.17142857142857143"/>
    <n v="0.4924924924924925"/>
    <n v="5.4054054054054057E-2"/>
    <n v="1997"/>
    <s v="Ruhr Auto Plaza"/>
  </r>
  <r>
    <s v="CUST_2567"/>
    <x v="25"/>
    <x v="3"/>
    <s v="Friday"/>
    <s v="No"/>
    <x v="1"/>
    <x v="1"/>
    <s v="NRW"/>
    <x v="4"/>
    <s v="ID.4"/>
    <s v="Diesel"/>
    <x v="0"/>
    <s v="18-25"/>
    <s v="Low"/>
    <x v="0"/>
    <x v="2"/>
    <s v="Sales_14"/>
    <n v="397"/>
    <n v="190"/>
    <n v="135"/>
    <n v="35"/>
    <s v="18.42"/>
    <n v="25765"/>
    <s v="10.07"/>
    <n v="22171"/>
    <n v="901775"/>
    <n v="125790"/>
    <s v="Feb"/>
    <n v="2"/>
    <n v="2026"/>
    <s v="Weekday"/>
    <n v="0.25925925925925924"/>
    <n v="0.47858942065491183"/>
    <n v="8.8161209068010074E-2"/>
    <n v="3594"/>
    <s v="Rhein Auto Group"/>
  </r>
  <r>
    <s v="CUST_2568"/>
    <x v="10"/>
    <x v="1"/>
    <s v="Monday"/>
    <s v="No"/>
    <x v="8"/>
    <x v="8"/>
    <s v="Baden-WÃ¼rttemberg"/>
    <x v="1"/>
    <s v="Crossland"/>
    <s v="Hybrid"/>
    <x v="0"/>
    <s v="26-35"/>
    <s v="Medium"/>
    <x v="1"/>
    <x v="2"/>
    <s v="Sales_11"/>
    <n v="340"/>
    <n v="135"/>
    <n v="78"/>
    <n v="24"/>
    <s v="17.78"/>
    <n v="20620"/>
    <s v="13.41"/>
    <n v="18792"/>
    <n v="494880"/>
    <n v="43872"/>
    <s v="Feb"/>
    <n v="2"/>
    <n v="2026"/>
    <s v="Weekday"/>
    <n v="0.30769230769230771"/>
    <n v="0.39705882352941174"/>
    <n v="7.0588235294117646E-2"/>
    <n v="1828"/>
    <s v="Stuttgart Auto Center"/>
  </r>
  <r>
    <s v="CUST_2569"/>
    <x v="19"/>
    <x v="1"/>
    <s v="Saturday"/>
    <s v="Yes"/>
    <x v="5"/>
    <x v="5"/>
    <s v="Hamburg"/>
    <x v="0"/>
    <s v="X3"/>
    <s v="Electric"/>
    <x v="0"/>
    <s v="18-25"/>
    <s v="Medium"/>
    <x v="1"/>
    <x v="2"/>
    <s v="Sales_20"/>
    <n v="167"/>
    <n v="91"/>
    <n v="70"/>
    <n v="29"/>
    <s v="31.87"/>
    <n v="69619"/>
    <s v="2.02"/>
    <n v="50102"/>
    <n v="2018951"/>
    <n v="565993"/>
    <s v="Feb"/>
    <n v="2"/>
    <n v="2026"/>
    <s v="Weekend"/>
    <n v="0.41428571428571431"/>
    <n v="0.54491017964071853"/>
    <n v="0.17365269461077845"/>
    <n v="19517"/>
    <s v="Elbe Drive"/>
  </r>
  <r>
    <s v="CUST_2570"/>
    <x v="11"/>
    <x v="0"/>
    <s v="Wednesday"/>
    <s v="No"/>
    <x v="1"/>
    <x v="1"/>
    <s v="NRW"/>
    <x v="2"/>
    <s v="A4"/>
    <s v="Petrol"/>
    <x v="1"/>
    <s v="18-25"/>
    <s v="Low"/>
    <x v="1"/>
    <x v="1"/>
    <s v="Sales_2"/>
    <n v="256"/>
    <n v="156"/>
    <n v="119"/>
    <n v="33"/>
    <s v="21.15"/>
    <n v="55599"/>
    <s v="3.84"/>
    <n v="42379"/>
    <n v="1834767"/>
    <n v="436260"/>
    <s v="Feb"/>
    <n v="2"/>
    <n v="2026"/>
    <s v="Weekday"/>
    <n v="0.27731092436974791"/>
    <n v="0.609375"/>
    <n v="0.12890625"/>
    <n v="13220"/>
    <s v="Rhein Auto Group"/>
  </r>
  <r>
    <s v="CUST_2571"/>
    <x v="6"/>
    <x v="2"/>
    <s v="Saturday"/>
    <s v="Yes"/>
    <x v="9"/>
    <x v="9"/>
    <s v="NRW"/>
    <x v="4"/>
    <s v="Golf"/>
    <s v="Electric"/>
    <x v="2"/>
    <s v="26-35"/>
    <s v="Medium"/>
    <x v="1"/>
    <x v="0"/>
    <s v="Sales_20"/>
    <n v="414"/>
    <n v="229"/>
    <n v="147"/>
    <n v="24"/>
    <s v="10.48"/>
    <n v="27643"/>
    <s v="6.91"/>
    <n v="24228"/>
    <n v="663432"/>
    <n v="81960"/>
    <s v="Feb"/>
    <n v="2"/>
    <n v="2026"/>
    <s v="Weekend"/>
    <n v="0.16326530612244897"/>
    <n v="0.5531400966183575"/>
    <n v="5.7971014492753624E-2"/>
    <n v="3415"/>
    <s v="Ruhr Auto Plaza"/>
  </r>
  <r>
    <s v="CUST_2572"/>
    <x v="22"/>
    <x v="3"/>
    <s v="Tuesday"/>
    <s v="No"/>
    <x v="4"/>
    <x v="4"/>
    <s v="Berlin"/>
    <x v="1"/>
    <s v="Astra"/>
    <s v="Diesel"/>
    <x v="2"/>
    <s v="36-50"/>
    <s v="High"/>
    <x v="1"/>
    <x v="2"/>
    <s v="Sales_13"/>
    <n v="304"/>
    <n v="145"/>
    <n v="84"/>
    <n v="31"/>
    <s v="21.38"/>
    <n v="24542"/>
    <s v="10.33"/>
    <n v="22746"/>
    <n v="760802"/>
    <n v="55676"/>
    <s v="Feb"/>
    <n v="2"/>
    <n v="2026"/>
    <s v="Weekday"/>
    <n v="0.36904761904761907"/>
    <n v="0.47697368421052633"/>
    <n v="0.10197368421052631"/>
    <n v="1796"/>
    <s v="Autohaus Berlin"/>
  </r>
  <r>
    <s v="CUST_2573"/>
    <x v="5"/>
    <x v="3"/>
    <s v="Saturday"/>
    <s v="Yes"/>
    <x v="1"/>
    <x v="1"/>
    <s v="NRW"/>
    <x v="0"/>
    <s v="3 Series"/>
    <s v="Petrol"/>
    <x v="1"/>
    <s v="26-35"/>
    <s v="Low"/>
    <x v="0"/>
    <x v="1"/>
    <s v="Sales_20"/>
    <n v="145"/>
    <n v="88"/>
    <n v="67"/>
    <n v="23"/>
    <s v="26.14"/>
    <n v="50272"/>
    <s v="4.78"/>
    <n v="38503"/>
    <n v="1156256"/>
    <n v="270687"/>
    <s v="Feb"/>
    <n v="2"/>
    <n v="2026"/>
    <s v="Weekend"/>
    <n v="0.34328358208955223"/>
    <n v="0.60689655172413792"/>
    <n v="0.15862068965517243"/>
    <n v="11769"/>
    <s v="Rhein Auto Group"/>
  </r>
  <r>
    <s v="CUST_2574"/>
    <x v="26"/>
    <x v="1"/>
    <s v="Friday"/>
    <s v="No"/>
    <x v="9"/>
    <x v="9"/>
    <s v="NRW"/>
    <x v="3"/>
    <s v="C-Class"/>
    <s v="Petrol"/>
    <x v="1"/>
    <s v="18-25"/>
    <s v="Medium"/>
    <x v="0"/>
    <x v="1"/>
    <s v="Sales_15"/>
    <n v="184"/>
    <n v="106"/>
    <n v="73"/>
    <n v="27"/>
    <s v="25.47"/>
    <n v="62458"/>
    <s v="5.41"/>
    <n v="49221"/>
    <n v="1686366"/>
    <n v="357399"/>
    <s v="Feb"/>
    <n v="2"/>
    <n v="2026"/>
    <s v="Weekday"/>
    <n v="0.36986301369863012"/>
    <n v="0.57608695652173914"/>
    <n v="0.14673913043478262"/>
    <n v="13237"/>
    <s v="Ruhr Auto Plaza"/>
  </r>
  <r>
    <s v="CUST_2575"/>
    <x v="7"/>
    <x v="3"/>
    <s v="Monday"/>
    <s v="No"/>
    <x v="0"/>
    <x v="0"/>
    <s v="Hesse"/>
    <x v="1"/>
    <s v="Corsa"/>
    <s v="Diesel"/>
    <x v="2"/>
    <s v="36-50"/>
    <s v="Low"/>
    <x v="0"/>
    <x v="2"/>
    <s v="Sales_6"/>
    <n v="326"/>
    <n v="147"/>
    <n v="87"/>
    <n v="26"/>
    <s v="17.69"/>
    <n v="25402"/>
    <s v="12.65"/>
    <n v="23153"/>
    <n v="660452"/>
    <n v="58474"/>
    <s v="Feb"/>
    <n v="2"/>
    <n v="2026"/>
    <s v="Weekday"/>
    <n v="0.2988505747126437"/>
    <n v="0.45092024539877301"/>
    <n v="7.9754601226993863E-2"/>
    <n v="2249"/>
    <s v="Main Auto Hub"/>
  </r>
  <r>
    <s v="CUST_2576"/>
    <x v="10"/>
    <x v="1"/>
    <s v="Monday"/>
    <s v="No"/>
    <x v="4"/>
    <x v="4"/>
    <s v="Berlin"/>
    <x v="0"/>
    <s v="i4"/>
    <s v="Hybrid"/>
    <x v="1"/>
    <s v="36-50"/>
    <s v="High"/>
    <x v="1"/>
    <x v="3"/>
    <s v="Sales_2"/>
    <n v="217"/>
    <n v="123"/>
    <n v="92"/>
    <n v="33"/>
    <s v="26.83"/>
    <n v="50684"/>
    <s v="3.16"/>
    <n v="39464"/>
    <n v="1672572"/>
    <n v="370260"/>
    <s v="Feb"/>
    <n v="2"/>
    <n v="2026"/>
    <s v="Weekday"/>
    <n v="0.35869565217391303"/>
    <n v="0.56682027649769584"/>
    <n v="0.15207373271889402"/>
    <n v="11220"/>
    <s v="Autohaus Berlin"/>
  </r>
  <r>
    <s v="CUST_2577"/>
    <x v="9"/>
    <x v="0"/>
    <s v="Sunday"/>
    <s v="Yes"/>
    <x v="2"/>
    <x v="2"/>
    <s v="Lower Saxony"/>
    <x v="0"/>
    <s v="3 Series"/>
    <s v="Electric"/>
    <x v="1"/>
    <s v="50+"/>
    <s v="High"/>
    <x v="0"/>
    <x v="0"/>
    <s v="Sales_5"/>
    <n v="197"/>
    <n v="105"/>
    <n v="82"/>
    <n v="26"/>
    <s v="24.76"/>
    <n v="56983"/>
    <s v="5.13"/>
    <n v="39984"/>
    <n v="1481558"/>
    <n v="441974"/>
    <s v="Feb"/>
    <n v="2"/>
    <n v="2026"/>
    <s v="Weekend"/>
    <n v="0.31707317073170732"/>
    <n v="0.53299492385786806"/>
    <n v="0.13197969543147209"/>
    <n v="16999"/>
    <s v="Hannover Cars"/>
  </r>
  <r>
    <s v="CUST_2578"/>
    <x v="18"/>
    <x v="0"/>
    <s v="Saturday"/>
    <s v="Yes"/>
    <x v="4"/>
    <x v="4"/>
    <s v="Berlin"/>
    <x v="3"/>
    <s v="C-Class"/>
    <s v="Electric"/>
    <x v="1"/>
    <s v="26-35"/>
    <s v="High"/>
    <x v="1"/>
    <x v="0"/>
    <s v="Sales_16"/>
    <n v="282"/>
    <n v="144"/>
    <n v="112"/>
    <n v="38"/>
    <s v="26.39"/>
    <n v="56454"/>
    <s v="5.85"/>
    <n v="42031"/>
    <n v="2145252"/>
    <n v="548074"/>
    <s v="Feb"/>
    <n v="2"/>
    <n v="2026"/>
    <s v="Weekend"/>
    <n v="0.3392857142857143"/>
    <n v="0.51063829787234039"/>
    <n v="0.13475177304964539"/>
    <n v="14423"/>
    <s v="Autohaus Berlin"/>
  </r>
  <r>
    <s v="CUST_2579"/>
    <x v="20"/>
    <x v="0"/>
    <s v="Thursday"/>
    <s v="No"/>
    <x v="7"/>
    <x v="7"/>
    <s v="Bavaria"/>
    <x v="4"/>
    <s v="Passat"/>
    <s v="Diesel"/>
    <x v="1"/>
    <s v="18-25"/>
    <s v="Low"/>
    <x v="1"/>
    <x v="2"/>
    <s v="Sales_20"/>
    <n v="500"/>
    <n v="218"/>
    <n v="150"/>
    <n v="43"/>
    <s v="19.72"/>
    <n v="25989"/>
    <s v="8.39"/>
    <n v="22727"/>
    <n v="1117527"/>
    <n v="140266"/>
    <s v="Feb"/>
    <n v="2"/>
    <n v="2026"/>
    <s v="Weekday"/>
    <n v="0.28666666666666668"/>
    <n v="0.436"/>
    <n v="8.5999999999999993E-2"/>
    <n v="3262"/>
    <s v="Bavaria Motors"/>
  </r>
  <r>
    <s v="CUST_2580"/>
    <x v="9"/>
    <x v="0"/>
    <s v="Sunday"/>
    <s v="Yes"/>
    <x v="7"/>
    <x v="7"/>
    <s v="Bavaria"/>
    <x v="4"/>
    <s v="Passat"/>
    <s v="Hybrid"/>
    <x v="1"/>
    <s v="50+"/>
    <s v="Low"/>
    <x v="1"/>
    <x v="0"/>
    <s v="Sales_14"/>
    <n v="342"/>
    <n v="192"/>
    <n v="123"/>
    <n v="28"/>
    <s v="14.58"/>
    <n v="25277"/>
    <s v="11.54"/>
    <n v="22007"/>
    <n v="707756"/>
    <n v="91560"/>
    <s v="Feb"/>
    <n v="2"/>
    <n v="2026"/>
    <s v="Weekend"/>
    <n v="0.22764227642276422"/>
    <n v="0.56140350877192979"/>
    <n v="8.1871345029239762E-2"/>
    <n v="3270"/>
    <s v="Bavaria Motors"/>
  </r>
  <r>
    <s v="CUST_2581"/>
    <x v="4"/>
    <x v="2"/>
    <s v="Wednesday"/>
    <s v="No"/>
    <x v="3"/>
    <x v="3"/>
    <s v="Saxony"/>
    <x v="2"/>
    <s v="A4"/>
    <s v="Hybrid"/>
    <x v="1"/>
    <s v="36-50"/>
    <s v="Low"/>
    <x v="1"/>
    <x v="2"/>
    <s v="Sales_3"/>
    <n v="160"/>
    <n v="91"/>
    <n v="64"/>
    <n v="23"/>
    <s v="25.27"/>
    <n v="55286"/>
    <s v="3.85"/>
    <n v="42958"/>
    <n v="1271578"/>
    <n v="283544"/>
    <s v="Feb"/>
    <n v="2"/>
    <n v="2026"/>
    <s v="Weekday"/>
    <n v="0.359375"/>
    <n v="0.56874999999999998"/>
    <n v="0.14374999999999999"/>
    <n v="12328"/>
    <s v="Saxon Wheels"/>
  </r>
  <r>
    <s v="CUST_2582"/>
    <x v="3"/>
    <x v="1"/>
    <s v="Sunday"/>
    <s v="Yes"/>
    <x v="5"/>
    <x v="5"/>
    <s v="Hamburg"/>
    <x v="3"/>
    <s v="EQE"/>
    <s v="Diesel"/>
    <x v="1"/>
    <s v="36-50"/>
    <s v="Low"/>
    <x v="1"/>
    <x v="2"/>
    <s v="Sales_8"/>
    <n v="282"/>
    <n v="160"/>
    <n v="114"/>
    <n v="41"/>
    <s v="25.62"/>
    <n v="63380"/>
    <s v="5.13"/>
    <n v="45830"/>
    <n v="2598580"/>
    <n v="719550"/>
    <s v="Feb"/>
    <n v="2"/>
    <n v="2026"/>
    <s v="Weekend"/>
    <n v="0.35964912280701755"/>
    <n v="0.56737588652482274"/>
    <n v="0.1453900709219858"/>
    <n v="17550"/>
    <s v="Elbe Drive"/>
  </r>
  <r>
    <s v="CUST_2583"/>
    <x v="7"/>
    <x v="3"/>
    <s v="Monday"/>
    <s v="No"/>
    <x v="9"/>
    <x v="9"/>
    <s v="NRW"/>
    <x v="1"/>
    <s v="Corsa"/>
    <s v="Diesel"/>
    <x v="2"/>
    <s v="18-25"/>
    <s v="Medium"/>
    <x v="1"/>
    <x v="1"/>
    <s v="Sales_2"/>
    <n v="411"/>
    <n v="169"/>
    <n v="105"/>
    <n v="21"/>
    <s v="12.43"/>
    <n v="21704"/>
    <s v="9.91"/>
    <n v="20127"/>
    <n v="455784"/>
    <n v="33117"/>
    <s v="Feb"/>
    <n v="2"/>
    <n v="2026"/>
    <s v="Weekday"/>
    <n v="0.2"/>
    <n v="0.41119221411192214"/>
    <n v="5.1094890510948905E-2"/>
    <n v="1577"/>
    <s v="Ruhr Auto Plaza"/>
  </r>
  <r>
    <s v="CUST_2584"/>
    <x v="8"/>
    <x v="3"/>
    <s v="Wednesday"/>
    <s v="No"/>
    <x v="2"/>
    <x v="2"/>
    <s v="Lower Saxony"/>
    <x v="3"/>
    <s v="E-Class"/>
    <s v="Petrol"/>
    <x v="1"/>
    <s v="18-25"/>
    <s v="Medium"/>
    <x v="1"/>
    <x v="1"/>
    <s v="Sales_16"/>
    <n v="266"/>
    <n v="135"/>
    <n v="102"/>
    <n v="36"/>
    <s v="26.67"/>
    <n v="64208"/>
    <s v="2.23"/>
    <n v="46783"/>
    <n v="2311488"/>
    <n v="627300"/>
    <s v="Feb"/>
    <n v="2"/>
    <n v="2026"/>
    <s v="Weekday"/>
    <n v="0.35294117647058826"/>
    <n v="0.50751879699248126"/>
    <n v="0.13533834586466165"/>
    <n v="17425"/>
    <s v="Hannover Cars"/>
  </r>
  <r>
    <s v="CUST_2585"/>
    <x v="9"/>
    <x v="0"/>
    <s v="Sunday"/>
    <s v="Yes"/>
    <x v="0"/>
    <x v="0"/>
    <s v="Hesse"/>
    <x v="3"/>
    <s v="GLC"/>
    <s v="Petrol"/>
    <x v="0"/>
    <s v="36-50"/>
    <s v="Low"/>
    <x v="0"/>
    <x v="2"/>
    <s v="Sales_4"/>
    <n v="167"/>
    <n v="95"/>
    <n v="67"/>
    <n v="28"/>
    <s v="29.47"/>
    <n v="56883"/>
    <s v="4.78"/>
    <n v="41081"/>
    <n v="1592724"/>
    <n v="442456"/>
    <s v="Feb"/>
    <n v="2"/>
    <n v="2026"/>
    <s v="Weekend"/>
    <n v="0.41791044776119401"/>
    <n v="0.56886227544910184"/>
    <n v="0.16766467065868262"/>
    <n v="15802"/>
    <s v="Main Auto Hub"/>
  </r>
  <r>
    <s v="CUST_2586"/>
    <x v="3"/>
    <x v="1"/>
    <s v="Sunday"/>
    <s v="Yes"/>
    <x v="1"/>
    <x v="1"/>
    <s v="NRW"/>
    <x v="3"/>
    <s v="EQE"/>
    <s v="Diesel"/>
    <x v="1"/>
    <s v="36-50"/>
    <s v="Medium"/>
    <x v="0"/>
    <x v="1"/>
    <s v="Sales_12"/>
    <n v="185"/>
    <n v="107"/>
    <n v="72"/>
    <n v="26"/>
    <s v="24.3"/>
    <n v="59574"/>
    <s v="4.6"/>
    <n v="46384"/>
    <n v="1548924"/>
    <n v="342940"/>
    <s v="Feb"/>
    <n v="2"/>
    <n v="2026"/>
    <s v="Weekend"/>
    <n v="0.3611111111111111"/>
    <n v="0.57837837837837835"/>
    <n v="0.14054054054054055"/>
    <n v="13190"/>
    <s v="Rhein Auto Group"/>
  </r>
  <r>
    <s v="CUST_2587"/>
    <x v="23"/>
    <x v="2"/>
    <s v="Tuesday"/>
    <s v="No"/>
    <x v="9"/>
    <x v="9"/>
    <s v="NRW"/>
    <x v="3"/>
    <s v="C-Class"/>
    <s v="Diesel"/>
    <x v="1"/>
    <s v="26-35"/>
    <s v="Medium"/>
    <x v="0"/>
    <x v="1"/>
    <s v="Sales_12"/>
    <n v="148"/>
    <n v="75"/>
    <n v="56"/>
    <n v="19"/>
    <s v="25.33"/>
    <n v="51371"/>
    <s v="4.7"/>
    <n v="39933"/>
    <n v="976049"/>
    <n v="217322"/>
    <s v="Feb"/>
    <n v="2"/>
    <n v="2026"/>
    <s v="Weekday"/>
    <n v="0.3392857142857143"/>
    <n v="0.5067567567567568"/>
    <n v="0.12837837837837837"/>
    <n v="11438"/>
    <s v="Ruhr Auto Plaza"/>
  </r>
  <r>
    <s v="CUST_2588"/>
    <x v="8"/>
    <x v="3"/>
    <s v="Wednesday"/>
    <s v="No"/>
    <x v="5"/>
    <x v="5"/>
    <s v="Hamburg"/>
    <x v="3"/>
    <s v="EQE"/>
    <s v="Diesel"/>
    <x v="1"/>
    <s v="18-25"/>
    <s v="Medium"/>
    <x v="0"/>
    <x v="1"/>
    <s v="Sales_20"/>
    <n v="166"/>
    <n v="73"/>
    <n v="57"/>
    <n v="19"/>
    <s v="26.03"/>
    <n v="56623"/>
    <s v="4.85"/>
    <n v="44101"/>
    <n v="1075837"/>
    <n v="237918"/>
    <s v="Feb"/>
    <n v="2"/>
    <n v="2026"/>
    <s v="Weekday"/>
    <n v="0.33333333333333331"/>
    <n v="0.43975903614457829"/>
    <n v="0.1144578313253012"/>
    <n v="12522"/>
    <s v="Elbe Drive"/>
  </r>
  <r>
    <s v="CUST_2589"/>
    <x v="15"/>
    <x v="2"/>
    <s v="Thursday"/>
    <s v="No"/>
    <x v="2"/>
    <x v="2"/>
    <s v="Lower Saxony"/>
    <x v="0"/>
    <s v="X3"/>
    <s v="Electric"/>
    <x v="0"/>
    <s v="36-50"/>
    <s v="Low"/>
    <x v="1"/>
    <x v="3"/>
    <s v="Sales_18"/>
    <n v="262"/>
    <n v="122"/>
    <n v="96"/>
    <n v="33"/>
    <s v="27.05"/>
    <n v="66791"/>
    <s v="5.51"/>
    <n v="49892"/>
    <n v="2204103"/>
    <n v="557667"/>
    <s v="Feb"/>
    <n v="2"/>
    <n v="2026"/>
    <s v="Weekday"/>
    <n v="0.34375"/>
    <n v="0.46564885496183206"/>
    <n v="0.12595419847328243"/>
    <n v="16899"/>
    <s v="Hannover Cars"/>
  </r>
  <r>
    <s v="CUST_2590"/>
    <x v="23"/>
    <x v="2"/>
    <s v="Tuesday"/>
    <s v="No"/>
    <x v="2"/>
    <x v="2"/>
    <s v="Lower Saxony"/>
    <x v="0"/>
    <s v="i4"/>
    <s v="Diesel"/>
    <x v="1"/>
    <s v="36-50"/>
    <s v="High"/>
    <x v="0"/>
    <x v="1"/>
    <s v="Sales_17"/>
    <n v="147"/>
    <n v="80"/>
    <n v="62"/>
    <n v="21"/>
    <s v="26.25"/>
    <n v="63653"/>
    <s v="4.45"/>
    <n v="47502"/>
    <n v="1336713"/>
    <n v="339171"/>
    <s v="Feb"/>
    <n v="2"/>
    <n v="2026"/>
    <s v="Weekday"/>
    <n v="0.33870967741935482"/>
    <n v="0.54421768707482998"/>
    <n v="0.14285714285714285"/>
    <n v="16151"/>
    <s v="Hannover Cars"/>
  </r>
  <r>
    <s v="CUST_2591"/>
    <x v="10"/>
    <x v="1"/>
    <s v="Monday"/>
    <s v="No"/>
    <x v="6"/>
    <x v="6"/>
    <s v="Saxony"/>
    <x v="2"/>
    <s v="A3"/>
    <s v="Petrol"/>
    <x v="2"/>
    <s v="26-35"/>
    <s v="Low"/>
    <x v="0"/>
    <x v="1"/>
    <s v="Sales_20"/>
    <n v="260"/>
    <n v="143"/>
    <n v="98"/>
    <n v="34"/>
    <s v="23.78"/>
    <n v="55617"/>
    <s v="3.09"/>
    <n v="43396"/>
    <n v="1890978"/>
    <n v="415514"/>
    <s v="Feb"/>
    <n v="2"/>
    <n v="2026"/>
    <s v="Weekday"/>
    <n v="0.34693877551020408"/>
    <n v="0.55000000000000004"/>
    <n v="0.13076923076923078"/>
    <n v="12221"/>
    <s v="Leipzig Mobility"/>
  </r>
  <r>
    <s v="CUST_2592"/>
    <x v="11"/>
    <x v="0"/>
    <s v="Wednesday"/>
    <s v="No"/>
    <x v="5"/>
    <x v="5"/>
    <s v="Hamburg"/>
    <x v="1"/>
    <s v="Astra"/>
    <s v="Electric"/>
    <x v="2"/>
    <s v="50+"/>
    <s v="Low"/>
    <x v="1"/>
    <x v="0"/>
    <s v="Sales_10"/>
    <n v="246"/>
    <n v="116"/>
    <n v="67"/>
    <n v="19"/>
    <s v="16.38"/>
    <n v="20310"/>
    <s v="12.78"/>
    <n v="18327"/>
    <n v="385890"/>
    <n v="37677"/>
    <s v="Feb"/>
    <n v="2"/>
    <n v="2026"/>
    <s v="Weekday"/>
    <n v="0.28358208955223879"/>
    <n v="0.47154471544715448"/>
    <n v="7.7235772357723581E-2"/>
    <n v="1983"/>
    <s v="Elbe Drive"/>
  </r>
  <r>
    <s v="CUST_2593"/>
    <x v="15"/>
    <x v="2"/>
    <s v="Thursday"/>
    <s v="No"/>
    <x v="4"/>
    <x v="4"/>
    <s v="Berlin"/>
    <x v="4"/>
    <s v="T-Roc"/>
    <s v="Hybrid"/>
    <x v="0"/>
    <s v="36-50"/>
    <s v="Medium"/>
    <x v="0"/>
    <x v="0"/>
    <s v="Sales_11"/>
    <n v="314"/>
    <n v="165"/>
    <n v="105"/>
    <n v="31"/>
    <s v="18.79"/>
    <n v="34793"/>
    <s v="8.06"/>
    <n v="30496"/>
    <n v="1078583"/>
    <n v="133207"/>
    <s v="Feb"/>
    <n v="2"/>
    <n v="2026"/>
    <s v="Weekday"/>
    <n v="0.29523809523809524"/>
    <n v="0.52547770700636942"/>
    <n v="9.8726114649681534E-2"/>
    <n v="4297"/>
    <s v="Autohaus Berlin"/>
  </r>
  <r>
    <s v="CUST_2594"/>
    <x v="2"/>
    <x v="2"/>
    <s v="Monday"/>
    <s v="No"/>
    <x v="4"/>
    <x v="4"/>
    <s v="Berlin"/>
    <x v="3"/>
    <s v="GLE"/>
    <s v="Electric"/>
    <x v="0"/>
    <s v="50+"/>
    <s v="Medium"/>
    <x v="0"/>
    <x v="3"/>
    <s v="Sales_20"/>
    <n v="193"/>
    <n v="98"/>
    <n v="68"/>
    <n v="23"/>
    <s v="23.47"/>
    <n v="55718"/>
    <s v="5.05"/>
    <n v="43741"/>
    <n v="1281514"/>
    <n v="275471"/>
    <s v="Feb"/>
    <n v="2"/>
    <n v="2026"/>
    <s v="Weekday"/>
    <n v="0.33823529411764708"/>
    <n v="0.50777202072538863"/>
    <n v="0.11917098445595854"/>
    <n v="11977"/>
    <s v="Autohaus Berlin"/>
  </r>
  <r>
    <s v="CUST_2595"/>
    <x v="10"/>
    <x v="1"/>
    <s v="Monday"/>
    <s v="No"/>
    <x v="5"/>
    <x v="5"/>
    <s v="Hamburg"/>
    <x v="2"/>
    <s v="Q3"/>
    <s v="Hybrid"/>
    <x v="0"/>
    <s v="36-50"/>
    <s v="High"/>
    <x v="1"/>
    <x v="3"/>
    <s v="Sales_12"/>
    <n v="308"/>
    <n v="151"/>
    <n v="107"/>
    <n v="34"/>
    <s v="22.52"/>
    <n v="42208"/>
    <s v="6.86"/>
    <n v="32575"/>
    <n v="1435072"/>
    <n v="327522"/>
    <s v="Feb"/>
    <n v="2"/>
    <n v="2026"/>
    <s v="Weekday"/>
    <n v="0.31775700934579437"/>
    <n v="0.49025974025974028"/>
    <n v="0.11038961038961038"/>
    <n v="9633"/>
    <s v="Elbe Drive"/>
  </r>
  <r>
    <s v="CUST_2596"/>
    <x v="11"/>
    <x v="0"/>
    <s v="Wednesday"/>
    <s v="No"/>
    <x v="1"/>
    <x v="1"/>
    <s v="NRW"/>
    <x v="0"/>
    <s v="X3"/>
    <s v="Hybrid"/>
    <x v="0"/>
    <s v="50+"/>
    <s v="High"/>
    <x v="1"/>
    <x v="1"/>
    <s v="Sales_20"/>
    <n v="258"/>
    <n v="148"/>
    <n v="111"/>
    <n v="43"/>
    <s v="29.05"/>
    <n v="49458"/>
    <s v="5.96"/>
    <n v="34907"/>
    <n v="2126694"/>
    <n v="625693"/>
    <s v="Feb"/>
    <n v="2"/>
    <n v="2026"/>
    <s v="Weekday"/>
    <n v="0.38738738738738737"/>
    <n v="0.5736434108527132"/>
    <n v="0.16666666666666666"/>
    <n v="14551"/>
    <s v="Rhein Auto Group"/>
  </r>
  <r>
    <s v="CUST_2597"/>
    <x v="20"/>
    <x v="0"/>
    <s v="Thursday"/>
    <s v="No"/>
    <x v="8"/>
    <x v="8"/>
    <s v="Baden-WÃ¼rttemberg"/>
    <x v="4"/>
    <s v="Passat"/>
    <s v="Petrol"/>
    <x v="1"/>
    <s v="26-35"/>
    <s v="High"/>
    <x v="1"/>
    <x v="2"/>
    <s v="Sales_13"/>
    <n v="270"/>
    <n v="127"/>
    <n v="77"/>
    <n v="23"/>
    <s v="18.11"/>
    <n v="30522"/>
    <s v="7.04"/>
    <n v="26798"/>
    <n v="702006"/>
    <n v="85652"/>
    <s v="Feb"/>
    <n v="2"/>
    <n v="2026"/>
    <s v="Weekday"/>
    <n v="0.29870129870129869"/>
    <n v="0.47037037037037038"/>
    <n v="8.5185185185185183E-2"/>
    <n v="3724"/>
    <s v="Stuttgart Auto Center"/>
  </r>
  <r>
    <s v="CUST_2598"/>
    <x v="10"/>
    <x v="1"/>
    <s v="Monday"/>
    <s v="No"/>
    <x v="7"/>
    <x v="7"/>
    <s v="Bavaria"/>
    <x v="3"/>
    <s v="E-Class"/>
    <s v="Electric"/>
    <x v="1"/>
    <s v="26-35"/>
    <s v="Medium"/>
    <x v="0"/>
    <x v="1"/>
    <s v="Sales_10"/>
    <n v="268"/>
    <n v="152"/>
    <n v="110"/>
    <n v="43"/>
    <s v="28.29"/>
    <n v="68860"/>
    <s v="2.03"/>
    <n v="52573"/>
    <n v="2960980"/>
    <n v="700341"/>
    <s v="Feb"/>
    <n v="2"/>
    <n v="2026"/>
    <s v="Weekday"/>
    <n v="0.39090909090909093"/>
    <n v="0.56716417910447758"/>
    <n v="0.16044776119402984"/>
    <n v="16287"/>
    <s v="Bavaria Motors"/>
  </r>
  <r>
    <s v="CUST_2599"/>
    <x v="6"/>
    <x v="2"/>
    <s v="Saturday"/>
    <s v="Yes"/>
    <x v="4"/>
    <x v="4"/>
    <s v="Berlin"/>
    <x v="1"/>
    <s v="Astra"/>
    <s v="Diesel"/>
    <x v="2"/>
    <s v="18-25"/>
    <s v="Low"/>
    <x v="1"/>
    <x v="0"/>
    <s v="Sales_12"/>
    <n v="369"/>
    <n v="177"/>
    <n v="107"/>
    <n v="27"/>
    <s v="15.25"/>
    <n v="27783"/>
    <s v="7.3"/>
    <n v="25674"/>
    <n v="750141"/>
    <n v="56943"/>
    <s v="Feb"/>
    <n v="2"/>
    <n v="2026"/>
    <s v="Weekend"/>
    <n v="0.25233644859813081"/>
    <n v="0.47967479674796748"/>
    <n v="7.3170731707317069E-2"/>
    <n v="2109"/>
    <s v="Autohaus Berlin"/>
  </r>
  <r>
    <s v="CUST_2600"/>
    <x v="21"/>
    <x v="0"/>
    <s v="Tuesday"/>
    <s v="No"/>
    <x v="1"/>
    <x v="1"/>
    <s v="NRW"/>
    <x v="1"/>
    <s v="Astra"/>
    <s v="Hybrid"/>
    <x v="2"/>
    <s v="50+"/>
    <s v="High"/>
    <x v="1"/>
    <x v="2"/>
    <s v="Sales_12"/>
    <n v="406"/>
    <n v="180"/>
    <n v="125"/>
    <n v="34"/>
    <s v="18.89"/>
    <n v="23940"/>
    <s v="11.13"/>
    <n v="21791"/>
    <n v="813960"/>
    <n v="73066"/>
    <s v="Feb"/>
    <n v="2"/>
    <n v="2026"/>
    <s v="Weekday"/>
    <n v="0.27200000000000002"/>
    <n v="0.44334975369458129"/>
    <n v="8.3743842364532015E-2"/>
    <n v="2149"/>
    <s v="Rhein Auto Group"/>
  </r>
  <r>
    <s v="CUST_2601"/>
    <x v="23"/>
    <x v="2"/>
    <s v="Tuesday"/>
    <s v="No"/>
    <x v="9"/>
    <x v="9"/>
    <s v="NRW"/>
    <x v="2"/>
    <s v="Q3"/>
    <s v="Petrol"/>
    <x v="0"/>
    <s v="36-50"/>
    <s v="High"/>
    <x v="1"/>
    <x v="2"/>
    <s v="Sales_6"/>
    <n v="169"/>
    <n v="100"/>
    <n v="64"/>
    <n v="24"/>
    <s v="24.0"/>
    <n v="53906"/>
    <s v="6.99"/>
    <n v="43497"/>
    <n v="1293744"/>
    <n v="249816"/>
    <s v="Feb"/>
    <n v="2"/>
    <n v="2026"/>
    <s v="Weekday"/>
    <n v="0.375"/>
    <n v="0.59171597633136097"/>
    <n v="0.14201183431952663"/>
    <n v="10409"/>
    <s v="Ruhr Auto Plaza"/>
  </r>
  <r>
    <s v="CUST_2602"/>
    <x v="23"/>
    <x v="2"/>
    <s v="Tuesday"/>
    <s v="No"/>
    <x v="4"/>
    <x v="4"/>
    <s v="Berlin"/>
    <x v="4"/>
    <s v="T-Roc"/>
    <s v="Diesel"/>
    <x v="0"/>
    <s v="26-35"/>
    <s v="Low"/>
    <x v="0"/>
    <x v="1"/>
    <s v="Sales_18"/>
    <n v="373"/>
    <n v="214"/>
    <n v="133"/>
    <n v="44"/>
    <s v="20.56"/>
    <n v="34869"/>
    <s v="7.35"/>
    <n v="30500"/>
    <n v="1534236"/>
    <n v="192236"/>
    <s v="Feb"/>
    <n v="2"/>
    <n v="2026"/>
    <s v="Weekday"/>
    <n v="0.33082706766917291"/>
    <n v="0.57372654155495983"/>
    <n v="0.11796246648793565"/>
    <n v="4369"/>
    <s v="Autohaus Berlin"/>
  </r>
  <r>
    <s v="CUST_2603"/>
    <x v="8"/>
    <x v="3"/>
    <s v="Wednesday"/>
    <s v="No"/>
    <x v="2"/>
    <x v="2"/>
    <s v="Lower Saxony"/>
    <x v="3"/>
    <s v="EQE"/>
    <s v="Petrol"/>
    <x v="1"/>
    <s v="18-25"/>
    <s v="Medium"/>
    <x v="1"/>
    <x v="2"/>
    <s v="Sales_9"/>
    <n v="204"/>
    <n v="103"/>
    <n v="72"/>
    <n v="26"/>
    <s v="25.24"/>
    <n v="71015"/>
    <s v="3.4"/>
    <n v="52100"/>
    <n v="1846390"/>
    <n v="491790"/>
    <s v="Feb"/>
    <n v="2"/>
    <n v="2026"/>
    <s v="Weekday"/>
    <n v="0.3611111111111111"/>
    <n v="0.50490196078431371"/>
    <n v="0.12745098039215685"/>
    <n v="18915"/>
    <s v="Hannover Cars"/>
  </r>
  <r>
    <s v="CUST_2604"/>
    <x v="24"/>
    <x v="1"/>
    <s v="Thursday"/>
    <s v="No"/>
    <x v="9"/>
    <x v="9"/>
    <s v="NRW"/>
    <x v="0"/>
    <s v="5 Series"/>
    <s v="Electric"/>
    <x v="1"/>
    <s v="36-50"/>
    <s v="High"/>
    <x v="0"/>
    <x v="0"/>
    <s v="Sales_6"/>
    <n v="143"/>
    <n v="69"/>
    <n v="52"/>
    <n v="18"/>
    <s v="26.09"/>
    <n v="53780"/>
    <s v="5.98"/>
    <n v="38454"/>
    <n v="968040"/>
    <n v="275868"/>
    <s v="Feb"/>
    <n v="2"/>
    <n v="2026"/>
    <s v="Weekday"/>
    <n v="0.34615384615384615"/>
    <n v="0.4825174825174825"/>
    <n v="0.12587412587412589"/>
    <n v="15326"/>
    <s v="Ruhr Auto Plaza"/>
  </r>
  <r>
    <s v="CUST_2605"/>
    <x v="15"/>
    <x v="2"/>
    <s v="Thursday"/>
    <s v="No"/>
    <x v="4"/>
    <x v="4"/>
    <s v="Berlin"/>
    <x v="4"/>
    <s v="Golf"/>
    <s v="Petrol"/>
    <x v="2"/>
    <s v="18-25"/>
    <s v="Medium"/>
    <x v="0"/>
    <x v="3"/>
    <s v="Sales_4"/>
    <n v="460"/>
    <n v="261"/>
    <n v="184"/>
    <n v="42"/>
    <s v="16.09"/>
    <n v="28920"/>
    <s v="7.21"/>
    <n v="25200"/>
    <n v="1214640"/>
    <n v="156240"/>
    <s v="Feb"/>
    <n v="2"/>
    <n v="2026"/>
    <s v="Weekday"/>
    <n v="0.22826086956521738"/>
    <n v="0.56739130434782614"/>
    <n v="9.1304347826086957E-2"/>
    <n v="3720"/>
    <s v="Autohaus Berlin"/>
  </r>
  <r>
    <s v="CUST_2606"/>
    <x v="16"/>
    <x v="1"/>
    <s v="Tuesday"/>
    <s v="No"/>
    <x v="2"/>
    <x v="2"/>
    <s v="Lower Saxony"/>
    <x v="4"/>
    <s v="ID.4"/>
    <s v="Hybrid"/>
    <x v="0"/>
    <s v="36-50"/>
    <s v="High"/>
    <x v="0"/>
    <x v="0"/>
    <s v="Sales_8"/>
    <n v="266"/>
    <n v="137"/>
    <n v="92"/>
    <n v="22"/>
    <s v="16.06"/>
    <n v="28250"/>
    <s v="7.35"/>
    <n v="24774"/>
    <n v="621500"/>
    <n v="76472"/>
    <s v="Feb"/>
    <n v="2"/>
    <n v="2026"/>
    <s v="Weekday"/>
    <n v="0.2391304347826087"/>
    <n v="0.51503759398496241"/>
    <n v="8.2706766917293228E-2"/>
    <n v="3476"/>
    <s v="Hannover Cars"/>
  </r>
  <r>
    <s v="CUST_2607"/>
    <x v="16"/>
    <x v="1"/>
    <s v="Tuesday"/>
    <s v="No"/>
    <x v="5"/>
    <x v="5"/>
    <s v="Hamburg"/>
    <x v="3"/>
    <s v="GLC"/>
    <s v="Electric"/>
    <x v="0"/>
    <s v="18-25"/>
    <s v="Low"/>
    <x v="1"/>
    <x v="1"/>
    <s v="Sales_8"/>
    <n v="179"/>
    <n v="101"/>
    <n v="68"/>
    <n v="26"/>
    <s v="25.74"/>
    <n v="69863"/>
    <s v="2.03"/>
    <n v="54909"/>
    <n v="1816438"/>
    <n v="388804"/>
    <s v="Feb"/>
    <n v="2"/>
    <n v="2026"/>
    <s v="Weekday"/>
    <n v="0.38235294117647056"/>
    <n v="0.56424581005586594"/>
    <n v="0.14525139664804471"/>
    <n v="14954"/>
    <s v="Elbe Drive"/>
  </r>
  <r>
    <s v="CUST_2608"/>
    <x v="25"/>
    <x v="3"/>
    <s v="Friday"/>
    <s v="No"/>
    <x v="2"/>
    <x v="2"/>
    <s v="Lower Saxony"/>
    <x v="0"/>
    <s v="5 Series"/>
    <s v="Hybrid"/>
    <x v="1"/>
    <s v="36-50"/>
    <s v="Low"/>
    <x v="1"/>
    <x v="2"/>
    <s v="Sales_18"/>
    <n v="232"/>
    <n v="108"/>
    <n v="87"/>
    <n v="31"/>
    <s v="28.7"/>
    <n v="55772"/>
    <s v="3.63"/>
    <n v="41443"/>
    <n v="1728932"/>
    <n v="444199"/>
    <s v="Feb"/>
    <n v="2"/>
    <n v="2026"/>
    <s v="Weekday"/>
    <n v="0.35632183908045978"/>
    <n v="0.46551724137931033"/>
    <n v="0.1336206896551724"/>
    <n v="14329"/>
    <s v="Hannover Cars"/>
  </r>
  <r>
    <s v="CUST_2609"/>
    <x v="4"/>
    <x v="2"/>
    <s v="Wednesday"/>
    <s v="No"/>
    <x v="3"/>
    <x v="3"/>
    <s v="Saxony"/>
    <x v="4"/>
    <s v="ID.4"/>
    <s v="Diesel"/>
    <x v="0"/>
    <s v="50+"/>
    <s v="Low"/>
    <x v="0"/>
    <x v="3"/>
    <s v="Sales_18"/>
    <n v="318"/>
    <n v="176"/>
    <n v="104"/>
    <n v="24"/>
    <s v="13.64"/>
    <n v="27392"/>
    <s v="10.27"/>
    <n v="23604"/>
    <n v="657408"/>
    <n v="90912"/>
    <s v="Feb"/>
    <n v="2"/>
    <n v="2026"/>
    <s v="Weekday"/>
    <n v="0.23076923076923078"/>
    <n v="0.55345911949685533"/>
    <n v="7.5471698113207544E-2"/>
    <n v="3788"/>
    <s v="Saxon Wheels"/>
  </r>
  <r>
    <s v="CUST_2610"/>
    <x v="19"/>
    <x v="1"/>
    <s v="Saturday"/>
    <s v="Yes"/>
    <x v="0"/>
    <x v="0"/>
    <s v="Hesse"/>
    <x v="1"/>
    <s v="Grandland"/>
    <s v="Diesel"/>
    <x v="0"/>
    <s v="50+"/>
    <s v="High"/>
    <x v="0"/>
    <x v="3"/>
    <s v="Sales_9"/>
    <n v="295"/>
    <n v="139"/>
    <n v="87"/>
    <n v="17"/>
    <s v="12.23"/>
    <n v="19807"/>
    <s v="13.07"/>
    <n v="17782"/>
    <n v="336719"/>
    <n v="34425"/>
    <s v="Feb"/>
    <n v="2"/>
    <n v="2026"/>
    <s v="Weekend"/>
    <n v="0.19540229885057472"/>
    <n v="0.47118644067796611"/>
    <n v="5.7627118644067797E-2"/>
    <n v="2025"/>
    <s v="Main Auto Hub"/>
  </r>
  <r>
    <s v="CUST_2611"/>
    <x v="0"/>
    <x v="0"/>
    <s v="Monday"/>
    <s v="No"/>
    <x v="7"/>
    <x v="7"/>
    <s v="Bavaria"/>
    <x v="2"/>
    <s v="A4"/>
    <s v="Electric"/>
    <x v="1"/>
    <s v="36-50"/>
    <s v="Medium"/>
    <x v="1"/>
    <x v="0"/>
    <s v="Sales_14"/>
    <n v="268"/>
    <n v="166"/>
    <n v="110"/>
    <n v="40"/>
    <s v="24.1"/>
    <n v="50710"/>
    <s v="6.2"/>
    <n v="38779"/>
    <n v="2028400"/>
    <n v="477240"/>
    <s v="Feb"/>
    <n v="2"/>
    <n v="2026"/>
    <s v="Weekday"/>
    <n v="0.36363636363636365"/>
    <n v="0.61940298507462688"/>
    <n v="0.14925373134328357"/>
    <n v="11931"/>
    <s v="Bavaria Motors"/>
  </r>
  <r>
    <s v="CUST_2612"/>
    <x v="4"/>
    <x v="2"/>
    <s v="Wednesday"/>
    <s v="No"/>
    <x v="0"/>
    <x v="0"/>
    <s v="Hesse"/>
    <x v="0"/>
    <s v="i4"/>
    <s v="Hybrid"/>
    <x v="1"/>
    <s v="36-50"/>
    <s v="High"/>
    <x v="1"/>
    <x v="3"/>
    <s v="Sales_16"/>
    <n v="249"/>
    <n v="123"/>
    <n v="90"/>
    <n v="34"/>
    <s v="27.64"/>
    <n v="50641"/>
    <s v="3.93"/>
    <n v="38113"/>
    <n v="1721794"/>
    <n v="425952"/>
    <s v="Feb"/>
    <n v="2"/>
    <n v="2026"/>
    <s v="Weekday"/>
    <n v="0.37777777777777777"/>
    <n v="0.49397590361445781"/>
    <n v="0.13654618473895583"/>
    <n v="12528"/>
    <s v="Main Auto Hub"/>
  </r>
  <r>
    <s v="CUST_2613"/>
    <x v="25"/>
    <x v="3"/>
    <s v="Friday"/>
    <s v="No"/>
    <x v="8"/>
    <x v="8"/>
    <s v="Baden-WÃ¼rttemberg"/>
    <x v="4"/>
    <s v="Tiguan"/>
    <s v="Electric"/>
    <x v="0"/>
    <s v="18-25"/>
    <s v="High"/>
    <x v="0"/>
    <x v="2"/>
    <s v="Sales_5"/>
    <n v="452"/>
    <n v="236"/>
    <n v="142"/>
    <n v="43"/>
    <s v="18.22"/>
    <n v="32960"/>
    <s v="6.54"/>
    <n v="29059"/>
    <n v="1417280"/>
    <n v="167743"/>
    <s v="Feb"/>
    <n v="2"/>
    <n v="2026"/>
    <s v="Weekday"/>
    <n v="0.30281690140845069"/>
    <n v="0.52212389380530977"/>
    <n v="9.5132743362831854E-2"/>
    <n v="3901"/>
    <s v="Stuttgart Auto Center"/>
  </r>
  <r>
    <s v="CUST_2614"/>
    <x v="27"/>
    <x v="3"/>
    <s v="Sunday"/>
    <s v="Yes"/>
    <x v="3"/>
    <x v="3"/>
    <s v="Saxony"/>
    <x v="4"/>
    <s v="Tiguan"/>
    <s v="Petrol"/>
    <x v="0"/>
    <s v="18-25"/>
    <s v="Medium"/>
    <x v="0"/>
    <x v="2"/>
    <s v="Sales_4"/>
    <n v="498"/>
    <n v="243"/>
    <n v="148"/>
    <n v="41"/>
    <s v="16.87"/>
    <n v="29519"/>
    <s v="10.89"/>
    <n v="26510"/>
    <n v="1210279"/>
    <n v="123369"/>
    <s v="Feb"/>
    <n v="2"/>
    <n v="2026"/>
    <s v="Weekend"/>
    <n v="0.27702702702702703"/>
    <n v="0.48795180722891568"/>
    <n v="8.2329317269076302E-2"/>
    <n v="3009"/>
    <s v="Saxon Wheels"/>
  </r>
  <r>
    <s v="CUST_2615"/>
    <x v="8"/>
    <x v="3"/>
    <s v="Wednesday"/>
    <s v="No"/>
    <x v="4"/>
    <x v="4"/>
    <s v="Berlin"/>
    <x v="4"/>
    <s v="Tiguan"/>
    <s v="Electric"/>
    <x v="0"/>
    <s v="26-35"/>
    <s v="Low"/>
    <x v="0"/>
    <x v="0"/>
    <s v="Sales_11"/>
    <n v="319"/>
    <n v="161"/>
    <n v="94"/>
    <n v="28"/>
    <s v="17.39"/>
    <n v="31638"/>
    <s v="8.31"/>
    <n v="28056"/>
    <n v="885864"/>
    <n v="100296"/>
    <s v="Feb"/>
    <n v="2"/>
    <n v="2026"/>
    <s v="Weekday"/>
    <n v="0.2978723404255319"/>
    <n v="0.50470219435736674"/>
    <n v="8.7774294670846395E-2"/>
    <n v="3582"/>
    <s v="Autohaus Berlin"/>
  </r>
  <r>
    <s v="CUST_2616"/>
    <x v="9"/>
    <x v="0"/>
    <s v="Sunday"/>
    <s v="Yes"/>
    <x v="7"/>
    <x v="7"/>
    <s v="Bavaria"/>
    <x v="4"/>
    <s v="Tiguan"/>
    <s v="Petrol"/>
    <x v="0"/>
    <s v="26-35"/>
    <s v="High"/>
    <x v="1"/>
    <x v="1"/>
    <s v="Sales_20"/>
    <n v="364"/>
    <n v="152"/>
    <n v="104"/>
    <n v="25"/>
    <s v="16.45"/>
    <n v="31181"/>
    <s v="6.12"/>
    <n v="26919"/>
    <n v="779525"/>
    <n v="106550"/>
    <s v="Feb"/>
    <n v="2"/>
    <n v="2026"/>
    <s v="Weekend"/>
    <n v="0.24038461538461539"/>
    <n v="0.4175824175824176"/>
    <n v="6.8681318681318687E-2"/>
    <n v="4262"/>
    <s v="Bavaria Motors"/>
  </r>
  <r>
    <s v="CUST_2617"/>
    <x v="14"/>
    <x v="2"/>
    <s v="Friday"/>
    <s v="No"/>
    <x v="7"/>
    <x v="7"/>
    <s v="Bavaria"/>
    <x v="1"/>
    <s v="Mokka"/>
    <s v="Electric"/>
    <x v="0"/>
    <s v="18-25"/>
    <s v="High"/>
    <x v="0"/>
    <x v="0"/>
    <s v="Sales_2"/>
    <n v="303"/>
    <n v="162"/>
    <n v="107"/>
    <n v="30"/>
    <s v="18.52"/>
    <n v="20429"/>
    <s v="11.92"/>
    <n v="18901"/>
    <n v="612870"/>
    <n v="45840"/>
    <s v="Feb"/>
    <n v="2"/>
    <n v="2026"/>
    <s v="Weekday"/>
    <n v="0.28037383177570091"/>
    <n v="0.53465346534653468"/>
    <n v="9.9009900990099015E-2"/>
    <n v="1528"/>
    <s v="Bavaria Motors"/>
  </r>
  <r>
    <s v="CUST_2618"/>
    <x v="16"/>
    <x v="1"/>
    <s v="Tuesday"/>
    <s v="No"/>
    <x v="5"/>
    <x v="5"/>
    <s v="Hamburg"/>
    <x v="0"/>
    <s v="X5"/>
    <s v="Hybrid"/>
    <x v="0"/>
    <s v="50+"/>
    <s v="Low"/>
    <x v="1"/>
    <x v="0"/>
    <s v="Sales_13"/>
    <n v="277"/>
    <n v="142"/>
    <n v="102"/>
    <n v="41"/>
    <s v="28.87"/>
    <n v="57678"/>
    <s v="5.9"/>
    <n v="44486"/>
    <n v="2364798"/>
    <n v="540872"/>
    <s v="Feb"/>
    <n v="2"/>
    <n v="2026"/>
    <s v="Weekday"/>
    <n v="0.40196078431372551"/>
    <n v="0.5126353790613718"/>
    <n v="0.14801444043321299"/>
    <n v="13192"/>
    <s v="Elbe Drive"/>
  </r>
  <r>
    <s v="CUST_2619"/>
    <x v="17"/>
    <x v="2"/>
    <s v="Sunday"/>
    <s v="Yes"/>
    <x v="9"/>
    <x v="9"/>
    <s v="NRW"/>
    <x v="4"/>
    <s v="T-Roc"/>
    <s v="Electric"/>
    <x v="0"/>
    <s v="36-50"/>
    <s v="Low"/>
    <x v="1"/>
    <x v="2"/>
    <s v="Sales_16"/>
    <n v="292"/>
    <n v="160"/>
    <n v="101"/>
    <n v="25"/>
    <s v="15.62"/>
    <n v="26944"/>
    <s v="8.9"/>
    <n v="23622"/>
    <n v="673600"/>
    <n v="83050"/>
    <s v="Feb"/>
    <n v="2"/>
    <n v="2026"/>
    <s v="Weekend"/>
    <n v="0.24752475247524752"/>
    <n v="0.54794520547945202"/>
    <n v="8.5616438356164379E-2"/>
    <n v="3322"/>
    <s v="Ruhr Auto Plaza"/>
  </r>
  <r>
    <s v="CUST_2620"/>
    <x v="8"/>
    <x v="3"/>
    <s v="Wednesday"/>
    <s v="No"/>
    <x v="1"/>
    <x v="1"/>
    <s v="NRW"/>
    <x v="3"/>
    <s v="E-Class"/>
    <s v="Hybrid"/>
    <x v="1"/>
    <s v="50+"/>
    <s v="Medium"/>
    <x v="0"/>
    <x v="3"/>
    <s v="Sales_20"/>
    <n v="277"/>
    <n v="147"/>
    <n v="113"/>
    <n v="37"/>
    <s v="25.17"/>
    <n v="59425"/>
    <s v="2.53"/>
    <n v="46535"/>
    <n v="2198725"/>
    <n v="476930"/>
    <s v="Feb"/>
    <n v="2"/>
    <n v="2026"/>
    <s v="Weekday"/>
    <n v="0.32743362831858408"/>
    <n v="0.53068592057761732"/>
    <n v="0.13357400722021662"/>
    <n v="12890"/>
    <s v="Rhein Auto Group"/>
  </r>
  <r>
    <s v="CUST_2621"/>
    <x v="13"/>
    <x v="0"/>
    <s v="Friday"/>
    <s v="No"/>
    <x v="4"/>
    <x v="4"/>
    <s v="Berlin"/>
    <x v="1"/>
    <s v="Crossland"/>
    <s v="Electric"/>
    <x v="0"/>
    <s v="18-25"/>
    <s v="High"/>
    <x v="0"/>
    <x v="1"/>
    <s v="Sales_7"/>
    <n v="364"/>
    <n v="155"/>
    <n v="106"/>
    <n v="27"/>
    <s v="17.42"/>
    <n v="20370"/>
    <s v="12.06"/>
    <n v="18257"/>
    <n v="549990"/>
    <n v="57051"/>
    <s v="Feb"/>
    <n v="2"/>
    <n v="2026"/>
    <s v="Weekday"/>
    <n v="0.25471698113207547"/>
    <n v="0.42582417582417581"/>
    <n v="7.4175824175824176E-2"/>
    <n v="2113"/>
    <s v="Autohaus Berlin"/>
  </r>
  <r>
    <s v="CUST_2622"/>
    <x v="3"/>
    <x v="1"/>
    <s v="Sunday"/>
    <s v="Yes"/>
    <x v="3"/>
    <x v="3"/>
    <s v="Saxony"/>
    <x v="4"/>
    <s v="Tiguan"/>
    <s v="Petrol"/>
    <x v="0"/>
    <s v="26-35"/>
    <s v="Medium"/>
    <x v="0"/>
    <x v="3"/>
    <s v="Sales_13"/>
    <n v="264"/>
    <n v="142"/>
    <n v="97"/>
    <n v="22"/>
    <s v="15.49"/>
    <n v="27113"/>
    <s v="10.72"/>
    <n v="24362"/>
    <n v="596486"/>
    <n v="60522"/>
    <s v="Feb"/>
    <n v="2"/>
    <n v="2026"/>
    <s v="Weekend"/>
    <n v="0.22680412371134021"/>
    <n v="0.53787878787878785"/>
    <n v="8.3333333333333329E-2"/>
    <n v="2751"/>
    <s v="Saxon Wheels"/>
  </r>
  <r>
    <s v="CUST_2623"/>
    <x v="5"/>
    <x v="3"/>
    <s v="Saturday"/>
    <s v="Yes"/>
    <x v="7"/>
    <x v="7"/>
    <s v="Bavaria"/>
    <x v="4"/>
    <s v="Tiguan"/>
    <s v="Petrol"/>
    <x v="0"/>
    <s v="18-25"/>
    <s v="Medium"/>
    <x v="1"/>
    <x v="3"/>
    <s v="Sales_4"/>
    <n v="357"/>
    <n v="165"/>
    <n v="106"/>
    <n v="26"/>
    <s v="15.76"/>
    <n v="29213"/>
    <s v="10.77"/>
    <n v="26553"/>
    <n v="759538"/>
    <n v="69160"/>
    <s v="Feb"/>
    <n v="2"/>
    <n v="2026"/>
    <s v="Weekend"/>
    <n v="0.24528301886792453"/>
    <n v="0.46218487394957986"/>
    <n v="7.2829131652661069E-2"/>
    <n v="2660"/>
    <s v="Bavaria Motors"/>
  </r>
  <r>
    <s v="CUST_2624"/>
    <x v="4"/>
    <x v="2"/>
    <s v="Wednesday"/>
    <s v="No"/>
    <x v="0"/>
    <x v="0"/>
    <s v="Hesse"/>
    <x v="3"/>
    <s v="E-Class"/>
    <s v="Diesel"/>
    <x v="1"/>
    <s v="36-50"/>
    <s v="Low"/>
    <x v="0"/>
    <x v="2"/>
    <s v="Sales_12"/>
    <n v="180"/>
    <n v="106"/>
    <n v="70"/>
    <n v="29"/>
    <s v="27.36"/>
    <n v="55044"/>
    <s v="2.54"/>
    <n v="42091"/>
    <n v="1596276"/>
    <n v="375637"/>
    <s v="Feb"/>
    <n v="2"/>
    <n v="2026"/>
    <s v="Weekday"/>
    <n v="0.41428571428571431"/>
    <n v="0.58888888888888891"/>
    <n v="0.16111111111111112"/>
    <n v="12953"/>
    <s v="Main Auto Hub"/>
  </r>
  <r>
    <s v="CUST_2625"/>
    <x v="20"/>
    <x v="0"/>
    <s v="Thursday"/>
    <s v="No"/>
    <x v="8"/>
    <x v="8"/>
    <s v="Baden-WÃ¼rttemberg"/>
    <x v="0"/>
    <s v="X3"/>
    <s v="Electric"/>
    <x v="0"/>
    <s v="50+"/>
    <s v="Low"/>
    <x v="0"/>
    <x v="1"/>
    <s v="Sales_1"/>
    <n v="254"/>
    <n v="114"/>
    <n v="82"/>
    <n v="32"/>
    <s v="28.07"/>
    <n v="64375"/>
    <s v="5.18"/>
    <n v="46964"/>
    <n v="2060000"/>
    <n v="557152"/>
    <s v="Feb"/>
    <n v="2"/>
    <n v="2026"/>
    <s v="Weekday"/>
    <n v="0.3902439024390244"/>
    <n v="0.44881889763779526"/>
    <n v="0.12598425196850394"/>
    <n v="17411"/>
    <s v="Stuttgart Auto Center"/>
  </r>
  <r>
    <s v="CUST_2626"/>
    <x v="9"/>
    <x v="0"/>
    <s v="Sunday"/>
    <s v="Yes"/>
    <x v="3"/>
    <x v="3"/>
    <s v="Saxony"/>
    <x v="0"/>
    <s v="i4"/>
    <s v="Hybrid"/>
    <x v="1"/>
    <s v="26-35"/>
    <s v="Low"/>
    <x v="0"/>
    <x v="2"/>
    <s v="Sales_17"/>
    <n v="255"/>
    <n v="137"/>
    <n v="94"/>
    <n v="42"/>
    <s v="30.66"/>
    <n v="64392"/>
    <s v="4.06"/>
    <n v="45285"/>
    <n v="2704464"/>
    <n v="802494"/>
    <s v="Feb"/>
    <n v="2"/>
    <n v="2026"/>
    <s v="Weekend"/>
    <n v="0.44680851063829785"/>
    <n v="0.53725490196078429"/>
    <n v="0.16470588235294117"/>
    <n v="19107"/>
    <s v="Saxon Wheels"/>
  </r>
  <r>
    <s v="CUST_2627"/>
    <x v="11"/>
    <x v="0"/>
    <s v="Wednesday"/>
    <s v="No"/>
    <x v="6"/>
    <x v="6"/>
    <s v="Saxony"/>
    <x v="1"/>
    <s v="Astra"/>
    <s v="Diesel"/>
    <x v="2"/>
    <s v="36-50"/>
    <s v="High"/>
    <x v="0"/>
    <x v="2"/>
    <s v="Sales_8"/>
    <n v="367"/>
    <n v="177"/>
    <n v="100"/>
    <n v="29"/>
    <s v="16.38"/>
    <n v="24651"/>
    <s v="11.71"/>
    <n v="22827"/>
    <n v="714879"/>
    <n v="52896"/>
    <s v="Feb"/>
    <n v="2"/>
    <n v="2026"/>
    <s v="Weekday"/>
    <n v="0.28999999999999998"/>
    <n v="0.48228882833787468"/>
    <n v="7.901907356948229E-2"/>
    <n v="1824"/>
    <s v="Leipzig Mobility"/>
  </r>
  <r>
    <s v="CUST_2628"/>
    <x v="23"/>
    <x v="2"/>
    <s v="Tuesday"/>
    <s v="No"/>
    <x v="2"/>
    <x v="2"/>
    <s v="Lower Saxony"/>
    <x v="3"/>
    <s v="EQE"/>
    <s v="Petrol"/>
    <x v="1"/>
    <s v="26-35"/>
    <s v="High"/>
    <x v="1"/>
    <x v="0"/>
    <s v="Sales_1"/>
    <n v="197"/>
    <n v="89"/>
    <n v="69"/>
    <n v="19"/>
    <s v="21.35"/>
    <n v="62573"/>
    <s v="2.74"/>
    <n v="48798"/>
    <n v="1188887"/>
    <n v="261725"/>
    <s v="Feb"/>
    <n v="2"/>
    <n v="2026"/>
    <s v="Weekday"/>
    <n v="0.27536231884057971"/>
    <n v="0.45177664974619292"/>
    <n v="9.6446700507614211E-2"/>
    <n v="13775"/>
    <s v="Hannover Cars"/>
  </r>
  <r>
    <s v="CUST_2629"/>
    <x v="23"/>
    <x v="2"/>
    <s v="Tuesday"/>
    <s v="No"/>
    <x v="6"/>
    <x v="6"/>
    <s v="Saxony"/>
    <x v="1"/>
    <s v="Corsa"/>
    <s v="Electric"/>
    <x v="2"/>
    <s v="36-50"/>
    <s v="High"/>
    <x v="0"/>
    <x v="2"/>
    <s v="Sales_14"/>
    <n v="430"/>
    <n v="223"/>
    <n v="146"/>
    <n v="39"/>
    <s v="17.49"/>
    <n v="24013"/>
    <s v="11.15"/>
    <n v="21936"/>
    <n v="936507"/>
    <n v="81003"/>
    <s v="Feb"/>
    <n v="2"/>
    <n v="2026"/>
    <s v="Weekday"/>
    <n v="0.26712328767123289"/>
    <n v="0.51860465116279075"/>
    <n v="9.0697674418604657E-2"/>
    <n v="2077"/>
    <s v="Leipzig Mobility"/>
  </r>
  <r>
    <s v="CUST_2630"/>
    <x v="25"/>
    <x v="3"/>
    <s v="Friday"/>
    <s v="No"/>
    <x v="0"/>
    <x v="0"/>
    <s v="Hesse"/>
    <x v="1"/>
    <s v="Mokka"/>
    <s v="Hybrid"/>
    <x v="0"/>
    <s v="18-25"/>
    <s v="Low"/>
    <x v="1"/>
    <x v="3"/>
    <s v="Sales_20"/>
    <n v="415"/>
    <n v="188"/>
    <n v="117"/>
    <n v="25"/>
    <s v="13.3"/>
    <n v="22691"/>
    <s v="11.46"/>
    <n v="20458"/>
    <n v="567275"/>
    <n v="55825"/>
    <s v="Feb"/>
    <n v="2"/>
    <n v="2026"/>
    <s v="Weekday"/>
    <n v="0.21367521367521367"/>
    <n v="0.45301204819277108"/>
    <n v="6.0240963855421686E-2"/>
    <n v="2233"/>
    <s v="Main Auto Hub"/>
  </r>
  <r>
    <s v="CUST_2631"/>
    <x v="1"/>
    <x v="1"/>
    <s v="Wednesday"/>
    <s v="No"/>
    <x v="8"/>
    <x v="8"/>
    <s v="Baden-WÃ¼rttemberg"/>
    <x v="3"/>
    <s v="GLC"/>
    <s v="Diesel"/>
    <x v="0"/>
    <s v="26-35"/>
    <s v="Medium"/>
    <x v="1"/>
    <x v="3"/>
    <s v="Sales_16"/>
    <n v="230"/>
    <n v="122"/>
    <n v="97"/>
    <n v="27"/>
    <s v="22.13"/>
    <n v="64070"/>
    <s v="3.56"/>
    <n v="45857"/>
    <n v="1729890"/>
    <n v="491751"/>
    <s v="Feb"/>
    <n v="2"/>
    <n v="2026"/>
    <s v="Weekday"/>
    <n v="0.27835051546391754"/>
    <n v="0.5304347826086957"/>
    <n v="0.11739130434782609"/>
    <n v="18213"/>
    <s v="Stuttgart Auto Center"/>
  </r>
  <r>
    <s v="CUST_2632"/>
    <x v="18"/>
    <x v="0"/>
    <s v="Saturday"/>
    <s v="Yes"/>
    <x v="0"/>
    <x v="0"/>
    <s v="Hesse"/>
    <x v="2"/>
    <s v="Q5"/>
    <s v="Hybrid"/>
    <x v="0"/>
    <s v="36-50"/>
    <s v="Medium"/>
    <x v="0"/>
    <x v="3"/>
    <s v="Sales_2"/>
    <n v="204"/>
    <n v="121"/>
    <n v="84"/>
    <n v="27"/>
    <s v="22.31"/>
    <n v="45934"/>
    <s v="5.37"/>
    <n v="35308"/>
    <n v="1240218"/>
    <n v="286902"/>
    <s v="Feb"/>
    <n v="2"/>
    <n v="2026"/>
    <s v="Weekend"/>
    <n v="0.32142857142857145"/>
    <n v="0.59313725490196079"/>
    <n v="0.13235294117647059"/>
    <n v="10626"/>
    <s v="Main Auto Hub"/>
  </r>
  <r>
    <s v="CUST_2633"/>
    <x v="19"/>
    <x v="1"/>
    <s v="Saturday"/>
    <s v="Yes"/>
    <x v="9"/>
    <x v="9"/>
    <s v="NRW"/>
    <x v="2"/>
    <s v="e-tron"/>
    <s v="Petrol"/>
    <x v="0"/>
    <s v="50+"/>
    <s v="High"/>
    <x v="0"/>
    <x v="2"/>
    <s v="Sales_18"/>
    <n v="212"/>
    <n v="116"/>
    <n v="86"/>
    <n v="28"/>
    <s v="24.14"/>
    <n v="43322"/>
    <s v="6.38"/>
    <n v="34680"/>
    <n v="1213016"/>
    <n v="241976"/>
    <s v="Feb"/>
    <n v="2"/>
    <n v="2026"/>
    <s v="Weekend"/>
    <n v="0.32558139534883723"/>
    <n v="0.54716981132075471"/>
    <n v="0.13207547169811321"/>
    <n v="8642"/>
    <s v="Ruhr Auto Plaza"/>
  </r>
  <r>
    <s v="CUST_2634"/>
    <x v="5"/>
    <x v="3"/>
    <s v="Saturday"/>
    <s v="Yes"/>
    <x v="6"/>
    <x v="6"/>
    <s v="Saxony"/>
    <x v="0"/>
    <s v="i4"/>
    <s v="Electric"/>
    <x v="1"/>
    <s v="36-50"/>
    <s v="Medium"/>
    <x v="0"/>
    <x v="2"/>
    <s v="Sales_4"/>
    <n v="269"/>
    <n v="163"/>
    <n v="118"/>
    <n v="52"/>
    <s v="31.9"/>
    <n v="61965"/>
    <s v="5.93"/>
    <n v="46641"/>
    <n v="3222180"/>
    <n v="796848"/>
    <s v="Feb"/>
    <n v="2"/>
    <n v="2026"/>
    <s v="Weekend"/>
    <n v="0.44067796610169491"/>
    <n v="0.60594795539033453"/>
    <n v="0.19330855018587362"/>
    <n v="15324"/>
    <s v="Leipzig Mobility"/>
  </r>
  <r>
    <s v="CUST_2635"/>
    <x v="18"/>
    <x v="0"/>
    <s v="Saturday"/>
    <s v="Yes"/>
    <x v="0"/>
    <x v="0"/>
    <s v="Hesse"/>
    <x v="4"/>
    <s v="Tiguan"/>
    <s v="Petrol"/>
    <x v="0"/>
    <s v="26-35"/>
    <s v="High"/>
    <x v="0"/>
    <x v="0"/>
    <s v="Sales_1"/>
    <n v="437"/>
    <n v="175"/>
    <n v="109"/>
    <n v="28"/>
    <s v="16.0"/>
    <n v="32611"/>
    <s v="9.01"/>
    <n v="29242"/>
    <n v="913108"/>
    <n v="94332"/>
    <s v="Feb"/>
    <n v="2"/>
    <n v="2026"/>
    <s v="Weekend"/>
    <n v="0.25688073394495414"/>
    <n v="0.40045766590389015"/>
    <n v="6.4073226544622428E-2"/>
    <n v="3369"/>
    <s v="Main Auto Hub"/>
  </r>
  <r>
    <s v="CUST_2636"/>
    <x v="7"/>
    <x v="3"/>
    <s v="Monday"/>
    <s v="No"/>
    <x v="7"/>
    <x v="7"/>
    <s v="Bavaria"/>
    <x v="3"/>
    <s v="C-Class"/>
    <s v="Electric"/>
    <x v="1"/>
    <s v="26-35"/>
    <s v="Medium"/>
    <x v="1"/>
    <x v="1"/>
    <s v="Sales_19"/>
    <n v="246"/>
    <n v="117"/>
    <n v="79"/>
    <n v="31"/>
    <s v="26.5"/>
    <n v="63882"/>
    <s v="2.57"/>
    <n v="48785"/>
    <n v="1980342"/>
    <n v="468007"/>
    <s v="Feb"/>
    <n v="2"/>
    <n v="2026"/>
    <s v="Weekday"/>
    <n v="0.39240506329113922"/>
    <n v="0.47560975609756095"/>
    <n v="0.12601626016260162"/>
    <n v="15097"/>
    <s v="Bavaria Motors"/>
  </r>
  <r>
    <s v="CUST_2637"/>
    <x v="21"/>
    <x v="0"/>
    <s v="Tuesday"/>
    <s v="No"/>
    <x v="1"/>
    <x v="1"/>
    <s v="NRW"/>
    <x v="0"/>
    <s v="X3"/>
    <s v="Hybrid"/>
    <x v="0"/>
    <s v="18-25"/>
    <s v="Medium"/>
    <x v="1"/>
    <x v="2"/>
    <s v="Sales_15"/>
    <n v="197"/>
    <n v="89"/>
    <n v="72"/>
    <n v="25"/>
    <s v="28.09"/>
    <n v="64085"/>
    <s v="4.71"/>
    <n v="49313"/>
    <n v="1602125"/>
    <n v="369300"/>
    <s v="Feb"/>
    <n v="2"/>
    <n v="2026"/>
    <s v="Weekday"/>
    <n v="0.34722222222222221"/>
    <n v="0.45177664974619292"/>
    <n v="0.12690355329949238"/>
    <n v="14772"/>
    <s v="Rhein Auto Group"/>
  </r>
  <r>
    <s v="CUST_2638"/>
    <x v="18"/>
    <x v="0"/>
    <s v="Saturday"/>
    <s v="Yes"/>
    <x v="2"/>
    <x v="2"/>
    <s v="Lower Saxony"/>
    <x v="4"/>
    <s v="Golf"/>
    <s v="Hybrid"/>
    <x v="2"/>
    <s v="36-50"/>
    <s v="Low"/>
    <x v="1"/>
    <x v="3"/>
    <s v="Sales_15"/>
    <n v="296"/>
    <n v="156"/>
    <n v="100"/>
    <n v="20"/>
    <s v="12.82"/>
    <n v="32702"/>
    <s v="10.0"/>
    <n v="29490"/>
    <n v="654040"/>
    <n v="64240"/>
    <s v="Feb"/>
    <n v="2"/>
    <n v="2026"/>
    <s v="Weekend"/>
    <n v="0.2"/>
    <n v="0.52702702702702697"/>
    <n v="6.7567567567567571E-2"/>
    <n v="3212"/>
    <s v="Hannover Cars"/>
  </r>
  <r>
    <s v="CUST_2639"/>
    <x v="17"/>
    <x v="2"/>
    <s v="Sunday"/>
    <s v="Yes"/>
    <x v="4"/>
    <x v="4"/>
    <s v="Berlin"/>
    <x v="1"/>
    <s v="Crossland"/>
    <s v="Electric"/>
    <x v="0"/>
    <s v="18-25"/>
    <s v="Low"/>
    <x v="0"/>
    <x v="2"/>
    <s v="Sales_3"/>
    <n v="345"/>
    <n v="138"/>
    <n v="95"/>
    <n v="27"/>
    <s v="19.57"/>
    <n v="19524"/>
    <s v="11.71"/>
    <n v="17914"/>
    <n v="527148"/>
    <n v="43470"/>
    <s v="Feb"/>
    <n v="2"/>
    <n v="2026"/>
    <s v="Weekend"/>
    <n v="0.28421052631578947"/>
    <n v="0.4"/>
    <n v="7.8260869565217397E-2"/>
    <n v="1610"/>
    <s v="Autohaus Berlin"/>
  </r>
  <r>
    <s v="CUST_2640"/>
    <x v="23"/>
    <x v="2"/>
    <s v="Tuesday"/>
    <s v="No"/>
    <x v="7"/>
    <x v="7"/>
    <s v="Bavaria"/>
    <x v="1"/>
    <s v="Crossland"/>
    <s v="Hybrid"/>
    <x v="0"/>
    <s v="26-35"/>
    <s v="Medium"/>
    <x v="1"/>
    <x v="0"/>
    <s v="Sales_19"/>
    <n v="245"/>
    <n v="123"/>
    <n v="73"/>
    <n v="22"/>
    <s v="17.89"/>
    <n v="22040"/>
    <s v="13.79"/>
    <n v="19732"/>
    <n v="484880"/>
    <n v="50776"/>
    <s v="Feb"/>
    <n v="2"/>
    <n v="2026"/>
    <s v="Weekday"/>
    <n v="0.30136986301369861"/>
    <n v="0.50204081632653064"/>
    <n v="8.9795918367346933E-2"/>
    <n v="2308"/>
    <s v="Bavaria Motors"/>
  </r>
  <r>
    <s v="CUST_2641"/>
    <x v="22"/>
    <x v="3"/>
    <s v="Tuesday"/>
    <s v="No"/>
    <x v="0"/>
    <x v="0"/>
    <s v="Hesse"/>
    <x v="4"/>
    <s v="T-Roc"/>
    <s v="Diesel"/>
    <x v="0"/>
    <s v="18-25"/>
    <s v="Medium"/>
    <x v="0"/>
    <x v="0"/>
    <s v="Sales_14"/>
    <n v="448"/>
    <n v="179"/>
    <n v="128"/>
    <n v="22"/>
    <s v="12.29"/>
    <n v="34386"/>
    <s v="8.74"/>
    <n v="30214"/>
    <n v="756492"/>
    <n v="91784"/>
    <s v="Feb"/>
    <n v="2"/>
    <n v="2026"/>
    <s v="Weekday"/>
    <n v="0.171875"/>
    <n v="0.39955357142857145"/>
    <n v="4.9107142857142856E-2"/>
    <n v="4172"/>
    <s v="Main Auto Hub"/>
  </r>
  <r>
    <s v="CUST_2642"/>
    <x v="1"/>
    <x v="1"/>
    <s v="Wednesday"/>
    <s v="No"/>
    <x v="2"/>
    <x v="2"/>
    <s v="Lower Saxony"/>
    <x v="0"/>
    <s v="3 Series"/>
    <s v="Electric"/>
    <x v="1"/>
    <s v="50+"/>
    <s v="Medium"/>
    <x v="1"/>
    <x v="3"/>
    <s v="Sales_20"/>
    <n v="206"/>
    <n v="104"/>
    <n v="82"/>
    <n v="25"/>
    <s v="24.04"/>
    <n v="66440"/>
    <s v="2.4"/>
    <n v="51366"/>
    <n v="1661000"/>
    <n v="376850"/>
    <s v="Feb"/>
    <n v="2"/>
    <n v="2026"/>
    <s v="Weekday"/>
    <n v="0.3048780487804878"/>
    <n v="0.50485436893203883"/>
    <n v="0.12135922330097088"/>
    <n v="15074"/>
    <s v="Hannover Cars"/>
  </r>
  <r>
    <s v="CUST_2643"/>
    <x v="24"/>
    <x v="1"/>
    <s v="Thursday"/>
    <s v="No"/>
    <x v="2"/>
    <x v="2"/>
    <s v="Lower Saxony"/>
    <x v="4"/>
    <s v="Passat"/>
    <s v="Diesel"/>
    <x v="1"/>
    <s v="18-25"/>
    <s v="High"/>
    <x v="0"/>
    <x v="1"/>
    <s v="Sales_5"/>
    <n v="470"/>
    <n v="270"/>
    <n v="185"/>
    <n v="47"/>
    <s v="17.41"/>
    <n v="30271"/>
    <s v="8.09"/>
    <n v="27125"/>
    <n v="1422737"/>
    <n v="147862"/>
    <s v="Feb"/>
    <n v="2"/>
    <n v="2026"/>
    <s v="Weekday"/>
    <n v="0.25405405405405407"/>
    <n v="0.57446808510638303"/>
    <n v="0.1"/>
    <n v="3146"/>
    <s v="Hannover Cars"/>
  </r>
  <r>
    <s v="CUST_2644"/>
    <x v="24"/>
    <x v="1"/>
    <s v="Thursday"/>
    <s v="No"/>
    <x v="2"/>
    <x v="2"/>
    <s v="Lower Saxony"/>
    <x v="4"/>
    <s v="T-Roc"/>
    <s v="Electric"/>
    <x v="0"/>
    <s v="36-50"/>
    <s v="Low"/>
    <x v="1"/>
    <x v="3"/>
    <s v="Sales_14"/>
    <n v="340"/>
    <n v="182"/>
    <n v="110"/>
    <n v="29"/>
    <s v="15.93"/>
    <n v="32845"/>
    <s v="11.25"/>
    <n v="29426"/>
    <n v="952505"/>
    <n v="99151"/>
    <s v="Feb"/>
    <n v="2"/>
    <n v="2026"/>
    <s v="Weekday"/>
    <n v="0.26363636363636361"/>
    <n v="0.53529411764705881"/>
    <n v="8.5294117647058826E-2"/>
    <n v="3419"/>
    <s v="Hannover Cars"/>
  </r>
  <r>
    <s v="CUST_2645"/>
    <x v="7"/>
    <x v="3"/>
    <s v="Monday"/>
    <s v="No"/>
    <x v="0"/>
    <x v="0"/>
    <s v="Hesse"/>
    <x v="4"/>
    <s v="T-Roc"/>
    <s v="Hybrid"/>
    <x v="0"/>
    <s v="50+"/>
    <s v="Medium"/>
    <x v="0"/>
    <x v="1"/>
    <s v="Sales_9"/>
    <n v="447"/>
    <n v="214"/>
    <n v="153"/>
    <n v="41"/>
    <s v="19.16"/>
    <n v="29283"/>
    <s v="10.37"/>
    <n v="26638"/>
    <n v="1200603"/>
    <n v="108445"/>
    <s v="Feb"/>
    <n v="2"/>
    <n v="2026"/>
    <s v="Weekday"/>
    <n v="0.26797385620915032"/>
    <n v="0.47874720357941836"/>
    <n v="9.1722595078299773E-2"/>
    <n v="2645"/>
    <s v="Main Auto Hub"/>
  </r>
  <r>
    <s v="CUST_2646"/>
    <x v="17"/>
    <x v="2"/>
    <s v="Sunday"/>
    <s v="Yes"/>
    <x v="3"/>
    <x v="3"/>
    <s v="Saxony"/>
    <x v="4"/>
    <s v="Passat"/>
    <s v="Electric"/>
    <x v="1"/>
    <s v="50+"/>
    <s v="Low"/>
    <x v="1"/>
    <x v="2"/>
    <s v="Sales_14"/>
    <n v="440"/>
    <n v="230"/>
    <n v="151"/>
    <n v="40"/>
    <s v="17.39"/>
    <n v="33965"/>
    <s v="10.32"/>
    <n v="30755"/>
    <n v="1358600"/>
    <n v="128400"/>
    <s v="Feb"/>
    <n v="2"/>
    <n v="2026"/>
    <s v="Weekend"/>
    <n v="0.26490066225165565"/>
    <n v="0.52272727272727271"/>
    <n v="9.0909090909090912E-2"/>
    <n v="3210"/>
    <s v="Saxon Wheels"/>
  </r>
  <r>
    <s v="CUST_2647"/>
    <x v="15"/>
    <x v="2"/>
    <s v="Thursday"/>
    <s v="No"/>
    <x v="7"/>
    <x v="7"/>
    <s v="Bavaria"/>
    <x v="0"/>
    <s v="5 Series"/>
    <s v="Hybrid"/>
    <x v="1"/>
    <s v="36-50"/>
    <s v="Medium"/>
    <x v="0"/>
    <x v="1"/>
    <s v="Sales_6"/>
    <n v="241"/>
    <n v="113"/>
    <n v="89"/>
    <n v="33"/>
    <s v="29.2"/>
    <n v="59265"/>
    <s v="4.28"/>
    <n v="45367"/>
    <n v="1955745"/>
    <n v="458634"/>
    <s v="Feb"/>
    <n v="2"/>
    <n v="2026"/>
    <s v="Weekday"/>
    <n v="0.3707865168539326"/>
    <n v="0.46887966804979253"/>
    <n v="0.13692946058091288"/>
    <n v="13898"/>
    <s v="Bavaria Motors"/>
  </r>
  <r>
    <s v="CUST_2648"/>
    <x v="4"/>
    <x v="2"/>
    <s v="Wednesday"/>
    <s v="No"/>
    <x v="5"/>
    <x v="5"/>
    <s v="Hamburg"/>
    <x v="3"/>
    <s v="EQE"/>
    <s v="Hybrid"/>
    <x v="1"/>
    <s v="50+"/>
    <s v="Low"/>
    <x v="1"/>
    <x v="1"/>
    <s v="Sales_9"/>
    <n v="241"/>
    <n v="129"/>
    <n v="86"/>
    <n v="35"/>
    <s v="27.13"/>
    <n v="65147"/>
    <s v="3.09"/>
    <n v="47979"/>
    <n v="2280145"/>
    <n v="600880"/>
    <s v="Feb"/>
    <n v="2"/>
    <n v="2026"/>
    <s v="Weekday"/>
    <n v="0.40697674418604651"/>
    <n v="0.53526970954356845"/>
    <n v="0.14522821576763487"/>
    <n v="17168"/>
    <s v="Elbe Drive"/>
  </r>
  <r>
    <s v="CUST_2649"/>
    <x v="14"/>
    <x v="2"/>
    <s v="Friday"/>
    <s v="No"/>
    <x v="0"/>
    <x v="0"/>
    <s v="Hesse"/>
    <x v="3"/>
    <s v="EQE"/>
    <s v="Hybrid"/>
    <x v="1"/>
    <s v="36-50"/>
    <s v="High"/>
    <x v="1"/>
    <x v="0"/>
    <s v="Sales_1"/>
    <n v="184"/>
    <n v="102"/>
    <n v="72"/>
    <n v="20"/>
    <s v="19.61"/>
    <n v="60050"/>
    <s v="3.96"/>
    <n v="44139"/>
    <n v="1201000"/>
    <n v="318220"/>
    <s v="Feb"/>
    <n v="2"/>
    <n v="2026"/>
    <s v="Weekday"/>
    <n v="0.27777777777777779"/>
    <n v="0.55434782608695654"/>
    <n v="0.10869565217391304"/>
    <n v="15911"/>
    <s v="Main Auto Hub"/>
  </r>
  <r>
    <s v="CUST_2650"/>
    <x v="20"/>
    <x v="0"/>
    <s v="Thursday"/>
    <s v="No"/>
    <x v="1"/>
    <x v="1"/>
    <s v="NRW"/>
    <x v="3"/>
    <s v="EQE"/>
    <s v="Petrol"/>
    <x v="1"/>
    <s v="18-25"/>
    <s v="Low"/>
    <x v="1"/>
    <x v="1"/>
    <s v="Sales_19"/>
    <n v="248"/>
    <n v="145"/>
    <n v="112"/>
    <n v="36"/>
    <s v="24.83"/>
    <n v="51470"/>
    <s v="2.19"/>
    <n v="40292"/>
    <n v="1852920"/>
    <n v="402408"/>
    <s v="Feb"/>
    <n v="2"/>
    <n v="2026"/>
    <s v="Weekday"/>
    <n v="0.32142857142857145"/>
    <n v="0.58467741935483875"/>
    <n v="0.14516129032258066"/>
    <n v="11178"/>
    <s v="Rhein Auto Group"/>
  </r>
  <r>
    <s v="CUST_2651"/>
    <x v="23"/>
    <x v="2"/>
    <s v="Tuesday"/>
    <s v="No"/>
    <x v="5"/>
    <x v="5"/>
    <s v="Hamburg"/>
    <x v="3"/>
    <s v="GLC"/>
    <s v="Diesel"/>
    <x v="0"/>
    <s v="36-50"/>
    <s v="High"/>
    <x v="1"/>
    <x v="0"/>
    <s v="Sales_9"/>
    <n v="230"/>
    <n v="108"/>
    <n v="82"/>
    <n v="24"/>
    <s v="22.22"/>
    <n v="54731"/>
    <s v="4.26"/>
    <n v="41697"/>
    <n v="1313544"/>
    <n v="312816"/>
    <s v="Feb"/>
    <n v="2"/>
    <n v="2026"/>
    <s v="Weekday"/>
    <n v="0.29268292682926828"/>
    <n v="0.46956521739130436"/>
    <n v="0.10434782608695652"/>
    <n v="13034"/>
    <s v="Elbe Drive"/>
  </r>
  <r>
    <s v="CUST_2652"/>
    <x v="13"/>
    <x v="0"/>
    <s v="Friday"/>
    <s v="No"/>
    <x v="4"/>
    <x v="4"/>
    <s v="Berlin"/>
    <x v="3"/>
    <s v="E-Class"/>
    <s v="Diesel"/>
    <x v="1"/>
    <s v="50+"/>
    <s v="High"/>
    <x v="1"/>
    <x v="1"/>
    <s v="Sales_12"/>
    <n v="257"/>
    <n v="115"/>
    <n v="87"/>
    <n v="29"/>
    <s v="25.22"/>
    <n v="71304"/>
    <s v="4.33"/>
    <n v="55556"/>
    <n v="2067816"/>
    <n v="456692"/>
    <s v="Feb"/>
    <n v="2"/>
    <n v="2026"/>
    <s v="Weekday"/>
    <n v="0.33333333333333331"/>
    <n v="0.44747081712062259"/>
    <n v="0.11284046692607004"/>
    <n v="15748"/>
    <s v="Autohaus Berlin"/>
  </r>
  <r>
    <s v="CUST_2653"/>
    <x v="20"/>
    <x v="0"/>
    <s v="Thursday"/>
    <s v="No"/>
    <x v="3"/>
    <x v="3"/>
    <s v="Saxony"/>
    <x v="0"/>
    <s v="i4"/>
    <s v="Diesel"/>
    <x v="1"/>
    <s v="26-35"/>
    <s v="Low"/>
    <x v="0"/>
    <x v="3"/>
    <s v="Sales_2"/>
    <n v="263"/>
    <n v="161"/>
    <n v="124"/>
    <n v="46"/>
    <s v="28.57"/>
    <n v="59819"/>
    <s v="4.74"/>
    <n v="44193"/>
    <n v="2751674"/>
    <n v="718796"/>
    <s v="Feb"/>
    <n v="2"/>
    <n v="2026"/>
    <s v="Weekday"/>
    <n v="0.37096774193548387"/>
    <n v="0.61216730038022815"/>
    <n v="0.17490494296577946"/>
    <n v="15626"/>
    <s v="Saxon Wheels"/>
  </r>
  <r>
    <s v="CUST_2654"/>
    <x v="9"/>
    <x v="0"/>
    <s v="Sunday"/>
    <s v="Yes"/>
    <x v="6"/>
    <x v="6"/>
    <s v="Saxony"/>
    <x v="0"/>
    <s v="3 Series"/>
    <s v="Diesel"/>
    <x v="1"/>
    <s v="18-25"/>
    <s v="Medium"/>
    <x v="1"/>
    <x v="3"/>
    <s v="Sales_5"/>
    <n v="265"/>
    <n v="129"/>
    <n v="92"/>
    <n v="30"/>
    <s v="23.26"/>
    <n v="50411"/>
    <s v="5.67"/>
    <n v="36042"/>
    <n v="1512330"/>
    <n v="431070"/>
    <s v="Feb"/>
    <n v="2"/>
    <n v="2026"/>
    <s v="Weekend"/>
    <n v="0.32608695652173914"/>
    <n v="0.48679245283018868"/>
    <n v="0.11320754716981132"/>
    <n v="14369"/>
    <s v="Leipzig Mobility"/>
  </r>
  <r>
    <s v="CUST_2655"/>
    <x v="11"/>
    <x v="0"/>
    <s v="Wednesday"/>
    <s v="No"/>
    <x v="0"/>
    <x v="0"/>
    <s v="Hesse"/>
    <x v="3"/>
    <s v="GLE"/>
    <s v="Petrol"/>
    <x v="0"/>
    <s v="50+"/>
    <s v="Medium"/>
    <x v="0"/>
    <x v="3"/>
    <s v="Sales_5"/>
    <n v="244"/>
    <n v="127"/>
    <n v="88"/>
    <n v="28"/>
    <s v="22.05"/>
    <n v="67469"/>
    <s v="2.58"/>
    <n v="50184"/>
    <n v="1889132"/>
    <n v="483980"/>
    <s v="Feb"/>
    <n v="2"/>
    <n v="2026"/>
    <s v="Weekday"/>
    <n v="0.31818181818181818"/>
    <n v="0.52049180327868849"/>
    <n v="0.11475409836065574"/>
    <n v="17285"/>
    <s v="Main Auto Hub"/>
  </r>
  <r>
    <s v="CUST_2656"/>
    <x v="27"/>
    <x v="3"/>
    <s v="Sunday"/>
    <s v="Yes"/>
    <x v="2"/>
    <x v="2"/>
    <s v="Lower Saxony"/>
    <x v="2"/>
    <s v="e-tron"/>
    <s v="Hybrid"/>
    <x v="0"/>
    <s v="50+"/>
    <s v="High"/>
    <x v="0"/>
    <x v="3"/>
    <s v="Sales_6"/>
    <n v="275"/>
    <n v="170"/>
    <n v="130"/>
    <n v="36"/>
    <s v="21.18"/>
    <n v="43880"/>
    <s v="3.28"/>
    <n v="35681"/>
    <n v="1579680"/>
    <n v="295164"/>
    <s v="Feb"/>
    <n v="2"/>
    <n v="2026"/>
    <s v="Weekend"/>
    <n v="0.27692307692307694"/>
    <n v="0.61818181818181817"/>
    <n v="0.13090909090909092"/>
    <n v="8199"/>
    <s v="Hannover Cars"/>
  </r>
  <r>
    <s v="CUST_2657"/>
    <x v="4"/>
    <x v="2"/>
    <s v="Wednesday"/>
    <s v="No"/>
    <x v="3"/>
    <x v="3"/>
    <s v="Saxony"/>
    <x v="3"/>
    <s v="C-Class"/>
    <s v="Diesel"/>
    <x v="1"/>
    <s v="50+"/>
    <s v="Medium"/>
    <x v="0"/>
    <x v="3"/>
    <s v="Sales_12"/>
    <n v="272"/>
    <n v="133"/>
    <n v="91"/>
    <n v="29"/>
    <s v="21.8"/>
    <n v="59860"/>
    <s v="3.51"/>
    <n v="42529"/>
    <n v="1735940"/>
    <n v="502599"/>
    <s v="Feb"/>
    <n v="2"/>
    <n v="2026"/>
    <s v="Weekday"/>
    <n v="0.31868131868131866"/>
    <n v="0.4889705882352941"/>
    <n v="0.10661764705882353"/>
    <n v="17331"/>
    <s v="Saxon Wheels"/>
  </r>
  <r>
    <s v="CUST_2658"/>
    <x v="14"/>
    <x v="2"/>
    <s v="Friday"/>
    <s v="No"/>
    <x v="9"/>
    <x v="9"/>
    <s v="NRW"/>
    <x v="3"/>
    <s v="GLC"/>
    <s v="Diesel"/>
    <x v="0"/>
    <s v="26-35"/>
    <s v="High"/>
    <x v="1"/>
    <x v="2"/>
    <s v="Sales_1"/>
    <n v="272"/>
    <n v="142"/>
    <n v="101"/>
    <n v="36"/>
    <s v="25.35"/>
    <n v="69962"/>
    <s v="2.58"/>
    <n v="53528"/>
    <n v="2518632"/>
    <n v="591624"/>
    <s v="Feb"/>
    <n v="2"/>
    <n v="2026"/>
    <s v="Weekday"/>
    <n v="0.35643564356435642"/>
    <n v="0.5220588235294118"/>
    <n v="0.13235294117647059"/>
    <n v="16434"/>
    <s v="Ruhr Auto Plaza"/>
  </r>
  <r>
    <s v="CUST_2659"/>
    <x v="0"/>
    <x v="0"/>
    <s v="Monday"/>
    <s v="No"/>
    <x v="9"/>
    <x v="9"/>
    <s v="NRW"/>
    <x v="1"/>
    <s v="Crossland"/>
    <s v="Diesel"/>
    <x v="0"/>
    <s v="36-50"/>
    <s v="High"/>
    <x v="1"/>
    <x v="1"/>
    <s v="Sales_9"/>
    <n v="328"/>
    <n v="151"/>
    <n v="104"/>
    <n v="22"/>
    <s v="14.57"/>
    <n v="23386"/>
    <s v="11.44"/>
    <n v="21160"/>
    <n v="514492"/>
    <n v="48972"/>
    <s v="Feb"/>
    <n v="2"/>
    <n v="2026"/>
    <s v="Weekday"/>
    <n v="0.21153846153846154"/>
    <n v="0.46036585365853661"/>
    <n v="6.7073170731707321E-2"/>
    <n v="2226"/>
    <s v="Ruhr Auto Plaza"/>
  </r>
  <r>
    <s v="CUST_2660"/>
    <x v="9"/>
    <x v="0"/>
    <s v="Sunday"/>
    <s v="Yes"/>
    <x v="0"/>
    <x v="0"/>
    <s v="Hesse"/>
    <x v="4"/>
    <s v="T-Roc"/>
    <s v="Diesel"/>
    <x v="0"/>
    <s v="36-50"/>
    <s v="High"/>
    <x v="0"/>
    <x v="3"/>
    <s v="Sales_12"/>
    <n v="460"/>
    <n v="216"/>
    <n v="132"/>
    <n v="33"/>
    <s v="15.28"/>
    <n v="34123"/>
    <s v="10.03"/>
    <n v="30064"/>
    <n v="1126059"/>
    <n v="133947"/>
    <s v="Feb"/>
    <n v="2"/>
    <n v="2026"/>
    <s v="Weekend"/>
    <n v="0.25"/>
    <n v="0.46956521739130436"/>
    <n v="7.1739130434782611E-2"/>
    <n v="4059"/>
    <s v="Main Auto Hub"/>
  </r>
  <r>
    <s v="CUST_2661"/>
    <x v="17"/>
    <x v="2"/>
    <s v="Sunday"/>
    <s v="Yes"/>
    <x v="6"/>
    <x v="6"/>
    <s v="Saxony"/>
    <x v="3"/>
    <s v="C-Class"/>
    <s v="Hybrid"/>
    <x v="1"/>
    <s v="18-25"/>
    <s v="Low"/>
    <x v="0"/>
    <x v="1"/>
    <s v="Sales_1"/>
    <n v="282"/>
    <n v="133"/>
    <n v="92"/>
    <n v="33"/>
    <s v="24.81"/>
    <n v="63976"/>
    <s v="4.16"/>
    <n v="45882"/>
    <n v="2111208"/>
    <n v="597102"/>
    <s v="Feb"/>
    <n v="2"/>
    <n v="2026"/>
    <s v="Weekend"/>
    <n v="0.35869565217391303"/>
    <n v="0.47163120567375888"/>
    <n v="0.11702127659574468"/>
    <n v="18094"/>
    <s v="Leipzig Mobility"/>
  </r>
  <r>
    <s v="CUST_2662"/>
    <x v="1"/>
    <x v="1"/>
    <s v="Wednesday"/>
    <s v="No"/>
    <x v="2"/>
    <x v="2"/>
    <s v="Lower Saxony"/>
    <x v="3"/>
    <s v="GLC"/>
    <s v="Hybrid"/>
    <x v="0"/>
    <s v="50+"/>
    <s v="Low"/>
    <x v="0"/>
    <x v="0"/>
    <s v="Sales_2"/>
    <n v="229"/>
    <n v="114"/>
    <n v="85"/>
    <n v="24"/>
    <s v="21.05"/>
    <n v="71356"/>
    <s v="2.58"/>
    <n v="52734"/>
    <n v="1712544"/>
    <n v="446928"/>
    <s v="Feb"/>
    <n v="2"/>
    <n v="2026"/>
    <s v="Weekday"/>
    <n v="0.28235294117647058"/>
    <n v="0.49781659388646288"/>
    <n v="0.10480349344978165"/>
    <n v="18622"/>
    <s v="Hannover Cars"/>
  </r>
  <r>
    <s v="CUST_2663"/>
    <x v="7"/>
    <x v="3"/>
    <s v="Monday"/>
    <s v="No"/>
    <x v="3"/>
    <x v="3"/>
    <s v="Saxony"/>
    <x v="1"/>
    <s v="Astra"/>
    <s v="Petrol"/>
    <x v="2"/>
    <s v="26-35"/>
    <s v="Low"/>
    <x v="0"/>
    <x v="3"/>
    <s v="Sales_16"/>
    <n v="395"/>
    <n v="181"/>
    <n v="106"/>
    <n v="30"/>
    <s v="16.57"/>
    <n v="20277"/>
    <s v="12.87"/>
    <n v="18429"/>
    <n v="608310"/>
    <n v="55440"/>
    <s v="Feb"/>
    <n v="2"/>
    <n v="2026"/>
    <s v="Weekday"/>
    <n v="0.28301886792452829"/>
    <n v="0.45822784810126582"/>
    <n v="7.5949367088607597E-2"/>
    <n v="1848"/>
    <s v="Saxon Wheels"/>
  </r>
  <r>
    <s v="CUST_2664"/>
    <x v="13"/>
    <x v="0"/>
    <s v="Friday"/>
    <s v="No"/>
    <x v="3"/>
    <x v="3"/>
    <s v="Saxony"/>
    <x v="1"/>
    <s v="Crossland"/>
    <s v="Hybrid"/>
    <x v="0"/>
    <s v="36-50"/>
    <s v="Low"/>
    <x v="0"/>
    <x v="1"/>
    <s v="Sales_12"/>
    <n v="343"/>
    <n v="170"/>
    <n v="97"/>
    <n v="30"/>
    <s v="17.65"/>
    <n v="25640"/>
    <s v="12.98"/>
    <n v="23107"/>
    <n v="769200"/>
    <n v="75990"/>
    <s v="Feb"/>
    <n v="2"/>
    <n v="2026"/>
    <s v="Weekday"/>
    <n v="0.30927835051546393"/>
    <n v="0.49562682215743442"/>
    <n v="8.7463556851311949E-2"/>
    <n v="2533"/>
    <s v="Saxon Wheels"/>
  </r>
  <r>
    <s v="CUST_2665"/>
    <x v="22"/>
    <x v="3"/>
    <s v="Tuesday"/>
    <s v="No"/>
    <x v="2"/>
    <x v="2"/>
    <s v="Lower Saxony"/>
    <x v="4"/>
    <s v="Tiguan"/>
    <s v="Petrol"/>
    <x v="0"/>
    <s v="50+"/>
    <s v="Low"/>
    <x v="0"/>
    <x v="3"/>
    <s v="Sales_3"/>
    <n v="281"/>
    <n v="120"/>
    <n v="80"/>
    <n v="19"/>
    <s v="15.83"/>
    <n v="28328"/>
    <s v="8.81"/>
    <n v="25689"/>
    <n v="538232"/>
    <n v="50141"/>
    <s v="Feb"/>
    <n v="2"/>
    <n v="2026"/>
    <s v="Weekday"/>
    <n v="0.23749999999999999"/>
    <n v="0.42704626334519574"/>
    <n v="6.7615658362989328E-2"/>
    <n v="2639"/>
    <s v="Hannover Cars"/>
  </r>
  <r>
    <s v="CUST_2666"/>
    <x v="17"/>
    <x v="2"/>
    <s v="Sunday"/>
    <s v="Yes"/>
    <x v="2"/>
    <x v="2"/>
    <s v="Lower Saxony"/>
    <x v="4"/>
    <s v="Tiguan"/>
    <s v="Diesel"/>
    <x v="0"/>
    <s v="26-35"/>
    <s v="Medium"/>
    <x v="0"/>
    <x v="0"/>
    <s v="Sales_3"/>
    <n v="491"/>
    <n v="211"/>
    <n v="131"/>
    <n v="32"/>
    <s v="15.17"/>
    <n v="34715"/>
    <s v="6.61"/>
    <n v="30351"/>
    <n v="1110880"/>
    <n v="139648"/>
    <s v="Feb"/>
    <n v="2"/>
    <n v="2026"/>
    <s v="Weekend"/>
    <n v="0.24427480916030533"/>
    <n v="0.42973523421588594"/>
    <n v="6.5173116089613028E-2"/>
    <n v="4364"/>
    <s v="Hannover Cars"/>
  </r>
  <r>
    <s v="CUST_2667"/>
    <x v="4"/>
    <x v="2"/>
    <s v="Wednesday"/>
    <s v="No"/>
    <x v="4"/>
    <x v="4"/>
    <s v="Berlin"/>
    <x v="2"/>
    <s v="A4"/>
    <s v="Petrol"/>
    <x v="1"/>
    <s v="18-25"/>
    <s v="Medium"/>
    <x v="1"/>
    <x v="1"/>
    <s v="Sales_19"/>
    <n v="272"/>
    <n v="129"/>
    <n v="90"/>
    <n v="35"/>
    <s v="27.13"/>
    <n v="50589"/>
    <s v="6.03"/>
    <n v="39445"/>
    <n v="1770615"/>
    <n v="390040"/>
    <s v="Feb"/>
    <n v="2"/>
    <n v="2026"/>
    <s v="Weekday"/>
    <n v="0.3888888888888889"/>
    <n v="0.47426470588235292"/>
    <n v="0.12867647058823528"/>
    <n v="11144"/>
    <s v="Autohaus Berlin"/>
  </r>
  <r>
    <s v="CUST_2668"/>
    <x v="5"/>
    <x v="3"/>
    <s v="Saturday"/>
    <s v="Yes"/>
    <x v="3"/>
    <x v="3"/>
    <s v="Saxony"/>
    <x v="0"/>
    <s v="5 Series"/>
    <s v="Diesel"/>
    <x v="1"/>
    <s v="26-35"/>
    <s v="Medium"/>
    <x v="0"/>
    <x v="3"/>
    <s v="Sales_15"/>
    <n v="163"/>
    <n v="99"/>
    <n v="79"/>
    <n v="24"/>
    <s v="24.24"/>
    <n v="60814"/>
    <s v="5.05"/>
    <n v="45569"/>
    <n v="1459536"/>
    <n v="365880"/>
    <s v="Feb"/>
    <n v="2"/>
    <n v="2026"/>
    <s v="Weekend"/>
    <n v="0.30379746835443039"/>
    <n v="0.6073619631901841"/>
    <n v="0.14723926380368099"/>
    <n v="15245"/>
    <s v="Saxon Wheels"/>
  </r>
  <r>
    <s v="CUST_2669"/>
    <x v="12"/>
    <x v="3"/>
    <s v="Thursday"/>
    <s v="No"/>
    <x v="7"/>
    <x v="7"/>
    <s v="Bavaria"/>
    <x v="2"/>
    <s v="e-tron"/>
    <s v="Electric"/>
    <x v="0"/>
    <s v="36-50"/>
    <s v="Low"/>
    <x v="0"/>
    <x v="1"/>
    <s v="Sales_19"/>
    <n v="202"/>
    <n v="121"/>
    <n v="79"/>
    <n v="29"/>
    <s v="23.97"/>
    <n v="51360"/>
    <s v="3.71"/>
    <n v="41913"/>
    <n v="1489440"/>
    <n v="273963"/>
    <s v="Feb"/>
    <n v="2"/>
    <n v="2026"/>
    <s v="Weekday"/>
    <n v="0.36708860759493672"/>
    <n v="0.59900990099009899"/>
    <n v="0.14356435643564355"/>
    <n v="9447"/>
    <s v="Bavaria Motors"/>
  </r>
  <r>
    <s v="CUST_2670"/>
    <x v="19"/>
    <x v="1"/>
    <s v="Saturday"/>
    <s v="Yes"/>
    <x v="8"/>
    <x v="8"/>
    <s v="Baden-WÃ¼rttemberg"/>
    <x v="4"/>
    <s v="Golf"/>
    <s v="Electric"/>
    <x v="2"/>
    <s v="36-50"/>
    <s v="Medium"/>
    <x v="0"/>
    <x v="0"/>
    <s v="Sales_9"/>
    <n v="479"/>
    <n v="219"/>
    <n v="136"/>
    <n v="34"/>
    <s v="15.53"/>
    <n v="31009"/>
    <s v="7.11"/>
    <n v="26966"/>
    <n v="1054306"/>
    <n v="137462"/>
    <s v="Feb"/>
    <n v="2"/>
    <n v="2026"/>
    <s v="Weekend"/>
    <n v="0.25"/>
    <n v="0.45720250521920669"/>
    <n v="7.0981210855949897E-2"/>
    <n v="4043"/>
    <s v="Stuttgart Auto Center"/>
  </r>
  <r>
    <s v="CUST_2671"/>
    <x v="16"/>
    <x v="1"/>
    <s v="Tuesday"/>
    <s v="No"/>
    <x v="5"/>
    <x v="5"/>
    <s v="Hamburg"/>
    <x v="3"/>
    <s v="E-Class"/>
    <s v="Electric"/>
    <x v="1"/>
    <s v="18-25"/>
    <s v="Medium"/>
    <x v="1"/>
    <x v="3"/>
    <s v="Sales_5"/>
    <n v="167"/>
    <n v="84"/>
    <n v="57"/>
    <n v="19"/>
    <s v="22.62"/>
    <n v="52225"/>
    <s v="4.21"/>
    <n v="40463"/>
    <n v="992275"/>
    <n v="223478"/>
    <s v="Feb"/>
    <n v="2"/>
    <n v="2026"/>
    <s v="Weekday"/>
    <n v="0.33333333333333331"/>
    <n v="0.50299401197604787"/>
    <n v="0.11377245508982035"/>
    <n v="11762"/>
    <s v="Elbe Drive"/>
  </r>
  <r>
    <s v="CUST_2672"/>
    <x v="0"/>
    <x v="0"/>
    <s v="Monday"/>
    <s v="No"/>
    <x v="5"/>
    <x v="5"/>
    <s v="Hamburg"/>
    <x v="2"/>
    <s v="Q5"/>
    <s v="Diesel"/>
    <x v="0"/>
    <s v="50+"/>
    <s v="Medium"/>
    <x v="0"/>
    <x v="0"/>
    <s v="Sales_20"/>
    <n v="277"/>
    <n v="175"/>
    <n v="123"/>
    <n v="40"/>
    <s v="22.86"/>
    <n v="53788"/>
    <s v="4.73"/>
    <n v="40387"/>
    <n v="2151520"/>
    <n v="536040"/>
    <s v="Feb"/>
    <n v="2"/>
    <n v="2026"/>
    <s v="Weekday"/>
    <n v="0.32520325203252032"/>
    <n v="0.63176895306859204"/>
    <n v="0.1444043321299639"/>
    <n v="13401"/>
    <s v="Elbe Drive"/>
  </r>
  <r>
    <s v="CUST_2673"/>
    <x v="9"/>
    <x v="0"/>
    <s v="Sunday"/>
    <s v="Yes"/>
    <x v="4"/>
    <x v="4"/>
    <s v="Berlin"/>
    <x v="2"/>
    <s v="Q3"/>
    <s v="Hybrid"/>
    <x v="0"/>
    <s v="26-35"/>
    <s v="High"/>
    <x v="1"/>
    <x v="1"/>
    <s v="Sales_12"/>
    <n v="195"/>
    <n v="118"/>
    <n v="84"/>
    <n v="31"/>
    <s v="26.27"/>
    <n v="42702"/>
    <s v="4.16"/>
    <n v="33530"/>
    <n v="1323762"/>
    <n v="284332"/>
    <s v="Feb"/>
    <n v="2"/>
    <n v="2026"/>
    <s v="Weekend"/>
    <n v="0.36904761904761907"/>
    <n v="0.60512820512820509"/>
    <n v="0.15897435897435896"/>
    <n v="9172"/>
    <s v="Autohaus Berlin"/>
  </r>
  <r>
    <s v="CUST_2674"/>
    <x v="10"/>
    <x v="1"/>
    <s v="Monday"/>
    <s v="No"/>
    <x v="8"/>
    <x v="8"/>
    <s v="Baden-WÃ¼rttemberg"/>
    <x v="2"/>
    <s v="e-tron"/>
    <s v="Diesel"/>
    <x v="0"/>
    <s v="50+"/>
    <s v="High"/>
    <x v="0"/>
    <x v="2"/>
    <s v="Sales_6"/>
    <n v="200"/>
    <n v="101"/>
    <n v="76"/>
    <n v="27"/>
    <s v="26.73"/>
    <n v="41220"/>
    <s v="6.31"/>
    <n v="31198"/>
    <n v="1112940"/>
    <n v="270594"/>
    <s v="Feb"/>
    <n v="2"/>
    <n v="2026"/>
    <s v="Weekday"/>
    <n v="0.35526315789473684"/>
    <n v="0.505"/>
    <n v="0.13500000000000001"/>
    <n v="10022"/>
    <s v="Stuttgart Auto Center"/>
  </r>
  <r>
    <s v="CUST_2675"/>
    <x v="11"/>
    <x v="0"/>
    <s v="Wednesday"/>
    <s v="No"/>
    <x v="3"/>
    <x v="3"/>
    <s v="Saxony"/>
    <x v="1"/>
    <s v="Mokka"/>
    <s v="Hybrid"/>
    <x v="0"/>
    <s v="36-50"/>
    <s v="Medium"/>
    <x v="0"/>
    <x v="1"/>
    <s v="Sales_5"/>
    <n v="344"/>
    <n v="148"/>
    <n v="94"/>
    <n v="23"/>
    <s v="15.54"/>
    <n v="19773"/>
    <s v="11.6"/>
    <n v="17604"/>
    <n v="454779"/>
    <n v="49887"/>
    <s v="Feb"/>
    <n v="2"/>
    <n v="2026"/>
    <s v="Weekday"/>
    <n v="0.24468085106382978"/>
    <n v="0.43023255813953487"/>
    <n v="6.6860465116279064E-2"/>
    <n v="2169"/>
    <s v="Saxon Wheels"/>
  </r>
  <r>
    <s v="CUST_2676"/>
    <x v="23"/>
    <x v="2"/>
    <s v="Tuesday"/>
    <s v="No"/>
    <x v="9"/>
    <x v="9"/>
    <s v="NRW"/>
    <x v="4"/>
    <s v="Golf"/>
    <s v="Electric"/>
    <x v="2"/>
    <s v="26-35"/>
    <s v="Low"/>
    <x v="0"/>
    <x v="2"/>
    <s v="Sales_5"/>
    <n v="326"/>
    <n v="162"/>
    <n v="109"/>
    <n v="33"/>
    <s v="20.37"/>
    <n v="28105"/>
    <s v="8.81"/>
    <n v="25462"/>
    <n v="927465"/>
    <n v="87219"/>
    <s v="Feb"/>
    <n v="2"/>
    <n v="2026"/>
    <s v="Weekday"/>
    <n v="0.30275229357798167"/>
    <n v="0.49693251533742333"/>
    <n v="0.10122699386503067"/>
    <n v="2643"/>
    <s v="Ruhr Auto Plaza"/>
  </r>
  <r>
    <s v="CUST_2677"/>
    <x v="2"/>
    <x v="2"/>
    <s v="Monday"/>
    <s v="No"/>
    <x v="0"/>
    <x v="0"/>
    <s v="Hesse"/>
    <x v="4"/>
    <s v="Tiguan"/>
    <s v="Petrol"/>
    <x v="0"/>
    <s v="50+"/>
    <s v="Low"/>
    <x v="0"/>
    <x v="1"/>
    <s v="Sales_16"/>
    <n v="481"/>
    <n v="209"/>
    <n v="137"/>
    <n v="36"/>
    <s v="17.22"/>
    <n v="29667"/>
    <s v="9.14"/>
    <n v="26668"/>
    <n v="1068012"/>
    <n v="107964"/>
    <s v="Feb"/>
    <n v="2"/>
    <n v="2026"/>
    <s v="Weekday"/>
    <n v="0.26277372262773724"/>
    <n v="0.43451143451143454"/>
    <n v="7.4844074844074848E-2"/>
    <n v="2999"/>
    <s v="Main Auto Hub"/>
  </r>
  <r>
    <s v="CUST_2678"/>
    <x v="22"/>
    <x v="3"/>
    <s v="Tuesday"/>
    <s v="No"/>
    <x v="6"/>
    <x v="6"/>
    <s v="Saxony"/>
    <x v="1"/>
    <s v="Crossland"/>
    <s v="Petrol"/>
    <x v="0"/>
    <s v="50+"/>
    <s v="Low"/>
    <x v="1"/>
    <x v="2"/>
    <s v="Sales_17"/>
    <n v="225"/>
    <n v="107"/>
    <n v="64"/>
    <n v="18"/>
    <s v="16.82"/>
    <n v="21811"/>
    <s v="12.59"/>
    <n v="20058"/>
    <n v="392598"/>
    <n v="31554"/>
    <s v="Feb"/>
    <n v="2"/>
    <n v="2026"/>
    <s v="Weekday"/>
    <n v="0.28125"/>
    <n v="0.47555555555555556"/>
    <n v="0.08"/>
    <n v="1753"/>
    <s v="Leipzig Mobility"/>
  </r>
  <r>
    <s v="CUST_2679"/>
    <x v="1"/>
    <x v="1"/>
    <s v="Wednesday"/>
    <s v="No"/>
    <x v="9"/>
    <x v="9"/>
    <s v="NRW"/>
    <x v="0"/>
    <s v="X5"/>
    <s v="Hybrid"/>
    <x v="0"/>
    <s v="36-50"/>
    <s v="Low"/>
    <x v="1"/>
    <x v="0"/>
    <s v="Sales_18"/>
    <n v="203"/>
    <n v="101"/>
    <n v="79"/>
    <n v="22"/>
    <s v="21.78"/>
    <n v="52351"/>
    <s v="2.29"/>
    <n v="39634"/>
    <n v="1151722"/>
    <n v="279774"/>
    <s v="Feb"/>
    <n v="2"/>
    <n v="2026"/>
    <s v="Weekday"/>
    <n v="0.27848101265822783"/>
    <n v="0.49753694581280788"/>
    <n v="0.10837438423645321"/>
    <n v="12717"/>
    <s v="Ruhr Auto Plaza"/>
  </r>
  <r>
    <s v="CUST_2680"/>
    <x v="3"/>
    <x v="1"/>
    <s v="Sunday"/>
    <s v="Yes"/>
    <x v="7"/>
    <x v="7"/>
    <s v="Bavaria"/>
    <x v="0"/>
    <s v="5 Series"/>
    <s v="Electric"/>
    <x v="1"/>
    <s v="36-50"/>
    <s v="High"/>
    <x v="0"/>
    <x v="3"/>
    <s v="Sales_3"/>
    <n v="172"/>
    <n v="87"/>
    <n v="61"/>
    <n v="23"/>
    <s v="26.44"/>
    <n v="55441"/>
    <s v="3.07"/>
    <n v="41203"/>
    <n v="1275143"/>
    <n v="327474"/>
    <s v="Feb"/>
    <n v="2"/>
    <n v="2026"/>
    <s v="Weekend"/>
    <n v="0.37704918032786883"/>
    <n v="0.5058139534883721"/>
    <n v="0.13372093023255813"/>
    <n v="14238"/>
    <s v="Bavaria Motors"/>
  </r>
  <r>
    <s v="CUST_2681"/>
    <x v="11"/>
    <x v="0"/>
    <s v="Wednesday"/>
    <s v="No"/>
    <x v="5"/>
    <x v="5"/>
    <s v="Hamburg"/>
    <x v="2"/>
    <s v="Q3"/>
    <s v="Hybrid"/>
    <x v="0"/>
    <s v="18-25"/>
    <s v="Medium"/>
    <x v="0"/>
    <x v="2"/>
    <s v="Sales_6"/>
    <n v="250"/>
    <n v="157"/>
    <n v="109"/>
    <n v="46"/>
    <s v="29.3"/>
    <n v="46710"/>
    <s v="3.68"/>
    <n v="36807"/>
    <n v="2148660"/>
    <n v="455538"/>
    <s v="Feb"/>
    <n v="2"/>
    <n v="2026"/>
    <s v="Weekday"/>
    <n v="0.42201834862385323"/>
    <n v="0.628"/>
    <n v="0.184"/>
    <n v="9903"/>
    <s v="Elbe Drive"/>
  </r>
  <r>
    <s v="CUST_2682"/>
    <x v="22"/>
    <x v="3"/>
    <s v="Tuesday"/>
    <s v="No"/>
    <x v="4"/>
    <x v="4"/>
    <s v="Berlin"/>
    <x v="2"/>
    <s v="A4"/>
    <s v="Petrol"/>
    <x v="1"/>
    <s v="36-50"/>
    <s v="Medium"/>
    <x v="0"/>
    <x v="0"/>
    <s v="Sales_9"/>
    <n v="233"/>
    <n v="119"/>
    <n v="80"/>
    <n v="27"/>
    <s v="22.69"/>
    <n v="43145"/>
    <s v="6.33"/>
    <n v="33942"/>
    <n v="1164915"/>
    <n v="248481"/>
    <s v="Feb"/>
    <n v="2"/>
    <n v="2026"/>
    <s v="Weekday"/>
    <n v="0.33750000000000002"/>
    <n v="0.51072961373390557"/>
    <n v="0.11587982832618025"/>
    <n v="9203"/>
    <s v="Autohaus Berlin"/>
  </r>
  <r>
    <s v="CUST_2683"/>
    <x v="16"/>
    <x v="1"/>
    <s v="Tuesday"/>
    <s v="No"/>
    <x v="7"/>
    <x v="7"/>
    <s v="Bavaria"/>
    <x v="4"/>
    <s v="Golf"/>
    <s v="Diesel"/>
    <x v="2"/>
    <s v="18-25"/>
    <s v="Medium"/>
    <x v="1"/>
    <x v="2"/>
    <s v="Sales_13"/>
    <n v="341"/>
    <n v="143"/>
    <n v="89"/>
    <n v="32"/>
    <s v="22.38"/>
    <n v="27419"/>
    <s v="10.09"/>
    <n v="24853"/>
    <n v="877408"/>
    <n v="82112"/>
    <s v="Feb"/>
    <n v="2"/>
    <n v="2026"/>
    <s v="Weekday"/>
    <n v="0.3595505617977528"/>
    <n v="0.41935483870967744"/>
    <n v="9.3841642228739003E-2"/>
    <n v="2566"/>
    <s v="Bavaria Motors"/>
  </r>
  <r>
    <s v="CUST_2684"/>
    <x v="24"/>
    <x v="1"/>
    <s v="Thursday"/>
    <s v="No"/>
    <x v="9"/>
    <x v="9"/>
    <s v="NRW"/>
    <x v="0"/>
    <s v="X5"/>
    <s v="Hybrid"/>
    <x v="0"/>
    <s v="26-35"/>
    <s v="Medium"/>
    <x v="1"/>
    <x v="0"/>
    <s v="Sales_11"/>
    <n v="161"/>
    <n v="95"/>
    <n v="77"/>
    <n v="25"/>
    <s v="26.32"/>
    <n v="59320"/>
    <s v="4.76"/>
    <n v="44468"/>
    <n v="1483000"/>
    <n v="371300"/>
    <s v="Feb"/>
    <n v="2"/>
    <n v="2026"/>
    <s v="Weekday"/>
    <n v="0.32467532467532467"/>
    <n v="0.59006211180124224"/>
    <n v="0.15527950310559005"/>
    <n v="14852"/>
    <s v="Ruhr Auto Plaza"/>
  </r>
  <r>
    <s v="CUST_2685"/>
    <x v="12"/>
    <x v="3"/>
    <s v="Thursday"/>
    <s v="No"/>
    <x v="2"/>
    <x v="2"/>
    <s v="Lower Saxony"/>
    <x v="4"/>
    <s v="T-Roc"/>
    <s v="Diesel"/>
    <x v="0"/>
    <s v="50+"/>
    <s v="Medium"/>
    <x v="0"/>
    <x v="1"/>
    <s v="Sales_8"/>
    <n v="311"/>
    <n v="145"/>
    <n v="102"/>
    <n v="25"/>
    <s v="17.24"/>
    <n v="32787"/>
    <s v="8.13"/>
    <n v="28791"/>
    <n v="819675"/>
    <n v="99900"/>
    <s v="Feb"/>
    <n v="2"/>
    <n v="2026"/>
    <s v="Weekday"/>
    <n v="0.24509803921568626"/>
    <n v="0.4662379421221865"/>
    <n v="8.0385852090032156E-2"/>
    <n v="3996"/>
    <s v="Hannover Cars"/>
  </r>
  <r>
    <s v="CUST_2686"/>
    <x v="5"/>
    <x v="3"/>
    <s v="Saturday"/>
    <s v="Yes"/>
    <x v="5"/>
    <x v="5"/>
    <s v="Hamburg"/>
    <x v="1"/>
    <s v="Grandland"/>
    <s v="Hybrid"/>
    <x v="0"/>
    <s v="36-50"/>
    <s v="Medium"/>
    <x v="0"/>
    <x v="0"/>
    <s v="Sales_18"/>
    <n v="401"/>
    <n v="169"/>
    <n v="96"/>
    <n v="27"/>
    <s v="15.98"/>
    <n v="21956"/>
    <s v="11.48"/>
    <n v="20082"/>
    <n v="592812"/>
    <n v="50598"/>
    <s v="Feb"/>
    <n v="2"/>
    <n v="2026"/>
    <s v="Weekend"/>
    <n v="0.28125"/>
    <n v="0.42144638403990026"/>
    <n v="6.7331670822942641E-2"/>
    <n v="1874"/>
    <s v="Elbe Drive"/>
  </r>
  <r>
    <s v="CUST_2687"/>
    <x v="22"/>
    <x v="3"/>
    <s v="Tuesday"/>
    <s v="No"/>
    <x v="5"/>
    <x v="5"/>
    <s v="Hamburg"/>
    <x v="4"/>
    <s v="ID.4"/>
    <s v="Diesel"/>
    <x v="0"/>
    <s v="36-50"/>
    <s v="Medium"/>
    <x v="0"/>
    <x v="3"/>
    <s v="Sales_3"/>
    <n v="270"/>
    <n v="134"/>
    <n v="77"/>
    <n v="24"/>
    <s v="17.91"/>
    <n v="28872"/>
    <s v="11.49"/>
    <n v="26077"/>
    <n v="692928"/>
    <n v="67080"/>
    <s v="Feb"/>
    <n v="2"/>
    <n v="2026"/>
    <s v="Weekday"/>
    <n v="0.31168831168831168"/>
    <n v="0.49629629629629629"/>
    <n v="8.8888888888888892E-2"/>
    <n v="2795"/>
    <s v="Elbe Drive"/>
  </r>
  <r>
    <s v="CUST_2688"/>
    <x v="3"/>
    <x v="1"/>
    <s v="Sunday"/>
    <s v="Yes"/>
    <x v="8"/>
    <x v="8"/>
    <s v="Baden-WÃ¼rttemberg"/>
    <x v="2"/>
    <s v="e-tron"/>
    <s v="Electric"/>
    <x v="0"/>
    <s v="18-25"/>
    <s v="Medium"/>
    <x v="0"/>
    <x v="1"/>
    <s v="Sales_15"/>
    <n v="210"/>
    <n v="130"/>
    <n v="96"/>
    <n v="32"/>
    <s v="24.62"/>
    <n v="46123"/>
    <s v="4.27"/>
    <n v="36835"/>
    <n v="1475936"/>
    <n v="297216"/>
    <s v="Feb"/>
    <n v="2"/>
    <n v="2026"/>
    <s v="Weekend"/>
    <n v="0.33333333333333331"/>
    <n v="0.61904761904761907"/>
    <n v="0.15238095238095239"/>
    <n v="9288"/>
    <s v="Stuttgart Auto Center"/>
  </r>
  <r>
    <s v="CUST_2689"/>
    <x v="12"/>
    <x v="3"/>
    <s v="Thursday"/>
    <s v="No"/>
    <x v="9"/>
    <x v="9"/>
    <s v="NRW"/>
    <x v="4"/>
    <s v="Passat"/>
    <s v="Petrol"/>
    <x v="1"/>
    <s v="36-50"/>
    <s v="Low"/>
    <x v="0"/>
    <x v="2"/>
    <s v="Sales_15"/>
    <n v="493"/>
    <n v="242"/>
    <n v="166"/>
    <n v="42"/>
    <s v="17.36"/>
    <n v="25827"/>
    <s v="10.74"/>
    <n v="23076"/>
    <n v="1084734"/>
    <n v="115542"/>
    <s v="Feb"/>
    <n v="2"/>
    <n v="2026"/>
    <s v="Weekday"/>
    <n v="0.25301204819277107"/>
    <n v="0.49087221095334688"/>
    <n v="8.5192697768762676E-2"/>
    <n v="2751"/>
    <s v="Ruhr Auto Plaza"/>
  </r>
  <r>
    <s v="CUST_2690"/>
    <x v="8"/>
    <x v="3"/>
    <s v="Wednesday"/>
    <s v="No"/>
    <x v="3"/>
    <x v="3"/>
    <s v="Saxony"/>
    <x v="1"/>
    <s v="Grandland"/>
    <s v="Petrol"/>
    <x v="0"/>
    <s v="26-35"/>
    <s v="High"/>
    <x v="1"/>
    <x v="0"/>
    <s v="Sales_14"/>
    <n v="263"/>
    <n v="139"/>
    <n v="89"/>
    <n v="18"/>
    <s v="12.95"/>
    <n v="23666"/>
    <s v="13.87"/>
    <n v="21519"/>
    <n v="425988"/>
    <n v="38646"/>
    <s v="Feb"/>
    <n v="2"/>
    <n v="2026"/>
    <s v="Weekday"/>
    <n v="0.20224719101123595"/>
    <n v="0.52851711026615966"/>
    <n v="6.8441064638783272E-2"/>
    <n v="2147"/>
    <s v="Saxon Wheels"/>
  </r>
  <r>
    <s v="CUST_2691"/>
    <x v="14"/>
    <x v="2"/>
    <s v="Friday"/>
    <s v="No"/>
    <x v="2"/>
    <x v="2"/>
    <s v="Lower Saxony"/>
    <x v="0"/>
    <s v="X5"/>
    <s v="Electric"/>
    <x v="0"/>
    <s v="18-25"/>
    <s v="Low"/>
    <x v="0"/>
    <x v="0"/>
    <s v="Sales_16"/>
    <n v="213"/>
    <n v="112"/>
    <n v="82"/>
    <n v="29"/>
    <s v="25.89"/>
    <n v="56104"/>
    <s v="4.95"/>
    <n v="42783"/>
    <n v="1627016"/>
    <n v="386309"/>
    <s v="Feb"/>
    <n v="2"/>
    <n v="2026"/>
    <s v="Weekday"/>
    <n v="0.35365853658536583"/>
    <n v="0.5258215962441315"/>
    <n v="0.13615023474178403"/>
    <n v="13321"/>
    <s v="Hannover Cars"/>
  </r>
  <r>
    <s v="CUST_2692"/>
    <x v="9"/>
    <x v="0"/>
    <s v="Sunday"/>
    <s v="Yes"/>
    <x v="2"/>
    <x v="2"/>
    <s v="Lower Saxony"/>
    <x v="0"/>
    <s v="X3"/>
    <s v="Electric"/>
    <x v="0"/>
    <s v="50+"/>
    <s v="Medium"/>
    <x v="0"/>
    <x v="0"/>
    <s v="Sales_8"/>
    <n v="140"/>
    <n v="72"/>
    <n v="57"/>
    <n v="20"/>
    <s v="27.78"/>
    <n v="66738"/>
    <s v="3.7"/>
    <n v="51118"/>
    <n v="1334760"/>
    <n v="312400"/>
    <s v="Feb"/>
    <n v="2"/>
    <n v="2026"/>
    <s v="Weekend"/>
    <n v="0.35087719298245612"/>
    <n v="0.51428571428571423"/>
    <n v="0.14285714285714285"/>
    <n v="15620"/>
    <s v="Hannover Cars"/>
  </r>
  <r>
    <s v="CUST_2693"/>
    <x v="15"/>
    <x v="2"/>
    <s v="Thursday"/>
    <s v="No"/>
    <x v="9"/>
    <x v="9"/>
    <s v="NRW"/>
    <x v="4"/>
    <s v="ID.4"/>
    <s v="Petrol"/>
    <x v="0"/>
    <s v="36-50"/>
    <s v="Low"/>
    <x v="1"/>
    <x v="0"/>
    <s v="Sales_7"/>
    <n v="327"/>
    <n v="133"/>
    <n v="92"/>
    <n v="13"/>
    <s v="9.77"/>
    <n v="31028"/>
    <s v="9.02"/>
    <n v="27778"/>
    <n v="403364"/>
    <n v="42250"/>
    <s v="Feb"/>
    <n v="2"/>
    <n v="2026"/>
    <s v="Weekday"/>
    <n v="0.14130434782608695"/>
    <n v="0.40672782874617736"/>
    <n v="3.9755351681957186E-2"/>
    <n v="3250"/>
    <s v="Ruhr Auto Plaza"/>
  </r>
  <r>
    <s v="CUST_2694"/>
    <x v="17"/>
    <x v="2"/>
    <s v="Sunday"/>
    <s v="Yes"/>
    <x v="4"/>
    <x v="4"/>
    <s v="Berlin"/>
    <x v="2"/>
    <s v="e-tron"/>
    <s v="Electric"/>
    <x v="0"/>
    <s v="18-25"/>
    <s v="High"/>
    <x v="1"/>
    <x v="2"/>
    <s v="Sales_2"/>
    <n v="163"/>
    <n v="97"/>
    <n v="64"/>
    <n v="24"/>
    <s v="24.74"/>
    <n v="55459"/>
    <s v="4.22"/>
    <n v="45181"/>
    <n v="1331016"/>
    <n v="246672"/>
    <s v="Feb"/>
    <n v="2"/>
    <n v="2026"/>
    <s v="Weekend"/>
    <n v="0.375"/>
    <n v="0.59509202453987731"/>
    <n v="0.14723926380368099"/>
    <n v="10278"/>
    <s v="Autohaus Berlin"/>
  </r>
  <r>
    <s v="CUST_2695"/>
    <x v="26"/>
    <x v="1"/>
    <s v="Friday"/>
    <s v="No"/>
    <x v="5"/>
    <x v="5"/>
    <s v="Hamburg"/>
    <x v="2"/>
    <s v="Q3"/>
    <s v="Hybrid"/>
    <x v="0"/>
    <s v="18-25"/>
    <s v="Medium"/>
    <x v="1"/>
    <x v="0"/>
    <s v="Sales_16"/>
    <n v="211"/>
    <n v="103"/>
    <n v="78"/>
    <n v="20"/>
    <s v="19.42"/>
    <n v="55914"/>
    <s v="3.51"/>
    <n v="45782"/>
    <n v="1118280"/>
    <n v="202640"/>
    <s v="Feb"/>
    <n v="2"/>
    <n v="2026"/>
    <s v="Weekday"/>
    <n v="0.25641025641025639"/>
    <n v="0.4881516587677725"/>
    <n v="9.4786729857819899E-2"/>
    <n v="10132"/>
    <s v="Elbe Drive"/>
  </r>
  <r>
    <s v="CUST_2696"/>
    <x v="25"/>
    <x v="3"/>
    <s v="Friday"/>
    <s v="No"/>
    <x v="9"/>
    <x v="9"/>
    <s v="NRW"/>
    <x v="3"/>
    <s v="GLE"/>
    <s v="Hybrid"/>
    <x v="0"/>
    <s v="26-35"/>
    <s v="Medium"/>
    <x v="1"/>
    <x v="2"/>
    <s v="Sales_15"/>
    <n v="148"/>
    <n v="88"/>
    <n v="66"/>
    <n v="23"/>
    <s v="26.14"/>
    <n v="62695"/>
    <s v="2.25"/>
    <n v="46392"/>
    <n v="1441985"/>
    <n v="374969"/>
    <s v="Feb"/>
    <n v="2"/>
    <n v="2026"/>
    <s v="Weekday"/>
    <n v="0.34848484848484851"/>
    <n v="0.59459459459459463"/>
    <n v="0.1554054054054054"/>
    <n v="16303"/>
    <s v="Ruhr Auto Plaza"/>
  </r>
  <r>
    <s v="CUST_2697"/>
    <x v="15"/>
    <x v="2"/>
    <s v="Thursday"/>
    <s v="No"/>
    <x v="3"/>
    <x v="3"/>
    <s v="Saxony"/>
    <x v="0"/>
    <s v="i4"/>
    <s v="Diesel"/>
    <x v="1"/>
    <s v="18-25"/>
    <s v="Medium"/>
    <x v="0"/>
    <x v="2"/>
    <s v="Sales_3"/>
    <n v="174"/>
    <n v="99"/>
    <n v="72"/>
    <n v="30"/>
    <s v="30.3"/>
    <n v="65604"/>
    <s v="3.97"/>
    <n v="47563"/>
    <n v="1968120"/>
    <n v="541230"/>
    <s v="Feb"/>
    <n v="2"/>
    <n v="2026"/>
    <s v="Weekday"/>
    <n v="0.41666666666666669"/>
    <n v="0.56896551724137934"/>
    <n v="0.17241379310344829"/>
    <n v="18041"/>
    <s v="Saxon Wheels"/>
  </r>
  <r>
    <s v="CUST_2698"/>
    <x v="3"/>
    <x v="1"/>
    <s v="Sunday"/>
    <s v="Yes"/>
    <x v="8"/>
    <x v="8"/>
    <s v="Baden-WÃ¼rttemberg"/>
    <x v="2"/>
    <s v="Q3"/>
    <s v="Electric"/>
    <x v="0"/>
    <s v="50+"/>
    <s v="Medium"/>
    <x v="1"/>
    <x v="1"/>
    <s v="Sales_14"/>
    <n v="201"/>
    <n v="127"/>
    <n v="92"/>
    <n v="31"/>
    <s v="24.41"/>
    <n v="46664"/>
    <s v="3.33"/>
    <n v="36891"/>
    <n v="1446584"/>
    <n v="302963"/>
    <s v="Feb"/>
    <n v="2"/>
    <n v="2026"/>
    <s v="Weekend"/>
    <n v="0.33695652173913043"/>
    <n v="0.63184079601990051"/>
    <n v="0.15422885572139303"/>
    <n v="9773"/>
    <s v="Stuttgart Auto Center"/>
  </r>
  <r>
    <s v="CUST_2699"/>
    <x v="17"/>
    <x v="2"/>
    <s v="Sunday"/>
    <s v="Yes"/>
    <x v="2"/>
    <x v="2"/>
    <s v="Lower Saxony"/>
    <x v="1"/>
    <s v="Grandland"/>
    <s v="Hybrid"/>
    <x v="0"/>
    <s v="26-35"/>
    <s v="Low"/>
    <x v="0"/>
    <x v="1"/>
    <s v="Sales_9"/>
    <n v="292"/>
    <n v="130"/>
    <n v="86"/>
    <n v="22"/>
    <s v="16.92"/>
    <n v="24165"/>
    <s v="13.01"/>
    <n v="21667"/>
    <n v="531630"/>
    <n v="54956"/>
    <s v="Feb"/>
    <n v="2"/>
    <n v="2026"/>
    <s v="Weekend"/>
    <n v="0.2558139534883721"/>
    <n v="0.4452054794520548"/>
    <n v="7.5342465753424653E-2"/>
    <n v="2498"/>
    <s v="Hannover Cars"/>
  </r>
  <r>
    <s v="CUST_2700"/>
    <x v="18"/>
    <x v="0"/>
    <s v="Saturday"/>
    <s v="Yes"/>
    <x v="0"/>
    <x v="0"/>
    <s v="Hesse"/>
    <x v="3"/>
    <s v="C-Class"/>
    <s v="Diesel"/>
    <x v="1"/>
    <s v="50+"/>
    <s v="High"/>
    <x v="1"/>
    <x v="1"/>
    <s v="Sales_9"/>
    <n v="256"/>
    <n v="130"/>
    <n v="86"/>
    <n v="32"/>
    <s v="24.62"/>
    <n v="65046"/>
    <s v="5.9"/>
    <n v="46941"/>
    <n v="2081472"/>
    <n v="579360"/>
    <s v="Feb"/>
    <n v="2"/>
    <n v="2026"/>
    <s v="Weekend"/>
    <n v="0.37209302325581395"/>
    <n v="0.5078125"/>
    <n v="0.125"/>
    <n v="18105"/>
    <s v="Main Auto Hub"/>
  </r>
  <r>
    <s v="CUST_2701"/>
    <x v="21"/>
    <x v="0"/>
    <s v="Tuesday"/>
    <s v="No"/>
    <x v="7"/>
    <x v="7"/>
    <s v="Bavaria"/>
    <x v="1"/>
    <s v="Corsa"/>
    <s v="Electric"/>
    <x v="2"/>
    <s v="36-50"/>
    <s v="High"/>
    <x v="0"/>
    <x v="1"/>
    <s v="Sales_18"/>
    <n v="377"/>
    <n v="146"/>
    <n v="86"/>
    <n v="25"/>
    <s v="17.12"/>
    <n v="25093"/>
    <s v="13.38"/>
    <n v="22345"/>
    <n v="627325"/>
    <n v="68700"/>
    <s v="Feb"/>
    <n v="2"/>
    <n v="2026"/>
    <s v="Weekday"/>
    <n v="0.29069767441860467"/>
    <n v="0.38726790450928383"/>
    <n v="6.6312997347480113E-2"/>
    <n v="2748"/>
    <s v="Bavaria Motors"/>
  </r>
  <r>
    <s v="CUST_2702"/>
    <x v="21"/>
    <x v="0"/>
    <s v="Tuesday"/>
    <s v="No"/>
    <x v="9"/>
    <x v="9"/>
    <s v="NRW"/>
    <x v="3"/>
    <s v="GLC"/>
    <s v="Petrol"/>
    <x v="0"/>
    <s v="50+"/>
    <s v="Medium"/>
    <x v="1"/>
    <x v="3"/>
    <s v="Sales_4"/>
    <n v="179"/>
    <n v="91"/>
    <n v="70"/>
    <n v="22"/>
    <s v="24.18"/>
    <n v="51073"/>
    <s v="4.52"/>
    <n v="37749"/>
    <n v="1123606"/>
    <n v="293128"/>
    <s v="Feb"/>
    <n v="2"/>
    <n v="2026"/>
    <s v="Weekday"/>
    <n v="0.31428571428571428"/>
    <n v="0.50837988826815639"/>
    <n v="0.12290502793296089"/>
    <n v="13324"/>
    <s v="Ruhr Auto Plaza"/>
  </r>
  <r>
    <s v="CUST_2703"/>
    <x v="1"/>
    <x v="1"/>
    <s v="Wednesday"/>
    <s v="No"/>
    <x v="3"/>
    <x v="3"/>
    <s v="Saxony"/>
    <x v="1"/>
    <s v="Grandland"/>
    <s v="Electric"/>
    <x v="0"/>
    <s v="18-25"/>
    <s v="Low"/>
    <x v="0"/>
    <x v="1"/>
    <s v="Sales_1"/>
    <n v="382"/>
    <n v="149"/>
    <n v="96"/>
    <n v="28"/>
    <s v="18.79"/>
    <n v="23275"/>
    <s v="12.31"/>
    <n v="21420"/>
    <n v="651700"/>
    <n v="51940"/>
    <s v="Feb"/>
    <n v="2"/>
    <n v="2026"/>
    <s v="Weekday"/>
    <n v="0.29166666666666669"/>
    <n v="0.3900523560209424"/>
    <n v="7.3298429319371722E-2"/>
    <n v="1855"/>
    <s v="Saxon Wheels"/>
  </r>
  <r>
    <s v="CUST_2704"/>
    <x v="1"/>
    <x v="1"/>
    <s v="Wednesday"/>
    <s v="No"/>
    <x v="4"/>
    <x v="4"/>
    <s v="Berlin"/>
    <x v="0"/>
    <s v="i4"/>
    <s v="Electric"/>
    <x v="1"/>
    <s v="50+"/>
    <s v="Low"/>
    <x v="0"/>
    <x v="1"/>
    <s v="Sales_3"/>
    <n v="147"/>
    <n v="89"/>
    <n v="64"/>
    <n v="26"/>
    <s v="29.21"/>
    <n v="55067"/>
    <s v="2.81"/>
    <n v="38834"/>
    <n v="1431742"/>
    <n v="422058"/>
    <s v="Feb"/>
    <n v="2"/>
    <n v="2026"/>
    <s v="Weekday"/>
    <n v="0.40625"/>
    <n v="0.60544217687074831"/>
    <n v="0.17687074829931973"/>
    <n v="16233"/>
    <s v="Autohaus Berlin"/>
  </r>
  <r>
    <s v="CUST_2705"/>
    <x v="0"/>
    <x v="0"/>
    <s v="Monday"/>
    <s v="No"/>
    <x v="2"/>
    <x v="2"/>
    <s v="Lower Saxony"/>
    <x v="0"/>
    <s v="3 Series"/>
    <s v="Electric"/>
    <x v="1"/>
    <s v="18-25"/>
    <s v="Low"/>
    <x v="0"/>
    <x v="1"/>
    <s v="Sales_3"/>
    <n v="212"/>
    <n v="124"/>
    <n v="94"/>
    <n v="33"/>
    <s v="26.61"/>
    <n v="67262"/>
    <s v="3.32"/>
    <n v="50478"/>
    <n v="2219646"/>
    <n v="553872"/>
    <s v="Feb"/>
    <n v="2"/>
    <n v="2026"/>
    <s v="Weekday"/>
    <n v="0.35106382978723405"/>
    <n v="0.58490566037735847"/>
    <n v="0.15566037735849056"/>
    <n v="16784"/>
    <s v="Hannover Cars"/>
  </r>
  <r>
    <s v="CUST_2706"/>
    <x v="26"/>
    <x v="1"/>
    <s v="Friday"/>
    <s v="No"/>
    <x v="6"/>
    <x v="6"/>
    <s v="Saxony"/>
    <x v="2"/>
    <s v="e-tron"/>
    <s v="Petrol"/>
    <x v="0"/>
    <s v="26-35"/>
    <s v="Low"/>
    <x v="1"/>
    <x v="1"/>
    <s v="Sales_1"/>
    <n v="306"/>
    <n v="175"/>
    <n v="133"/>
    <n v="39"/>
    <s v="22.29"/>
    <n v="45751"/>
    <s v="6.95"/>
    <n v="35875"/>
    <n v="1784289"/>
    <n v="385164"/>
    <s v="Feb"/>
    <n v="2"/>
    <n v="2026"/>
    <s v="Weekday"/>
    <n v="0.2932330827067669"/>
    <n v="0.57189542483660127"/>
    <n v="0.12745098039215685"/>
    <n v="9876"/>
    <s v="Leipzig Mobility"/>
  </r>
  <r>
    <s v="CUST_2707"/>
    <x v="12"/>
    <x v="3"/>
    <s v="Thursday"/>
    <s v="No"/>
    <x v="1"/>
    <x v="1"/>
    <s v="NRW"/>
    <x v="4"/>
    <s v="Passat"/>
    <s v="Petrol"/>
    <x v="1"/>
    <s v="50+"/>
    <s v="Low"/>
    <x v="0"/>
    <x v="1"/>
    <s v="Sales_1"/>
    <n v="400"/>
    <n v="184"/>
    <n v="125"/>
    <n v="32"/>
    <s v="17.39"/>
    <n v="33190"/>
    <s v="9.67"/>
    <n v="29035"/>
    <n v="1062080"/>
    <n v="132960"/>
    <s v="Feb"/>
    <n v="2"/>
    <n v="2026"/>
    <s v="Weekday"/>
    <n v="0.25600000000000001"/>
    <n v="0.46"/>
    <n v="0.08"/>
    <n v="4155"/>
    <s v="Rhein Auto Group"/>
  </r>
  <r>
    <s v="CUST_2708"/>
    <x v="1"/>
    <x v="1"/>
    <s v="Wednesday"/>
    <s v="No"/>
    <x v="9"/>
    <x v="9"/>
    <s v="NRW"/>
    <x v="1"/>
    <s v="Crossland"/>
    <s v="Hybrid"/>
    <x v="0"/>
    <s v="18-25"/>
    <s v="Low"/>
    <x v="0"/>
    <x v="0"/>
    <s v="Sales_12"/>
    <n v="354"/>
    <n v="136"/>
    <n v="88"/>
    <n v="22"/>
    <s v="16.18"/>
    <n v="26985"/>
    <s v="9.65"/>
    <n v="24333"/>
    <n v="593670"/>
    <n v="58344"/>
    <s v="Feb"/>
    <n v="2"/>
    <n v="2026"/>
    <s v="Weekday"/>
    <n v="0.25"/>
    <n v="0.38418079096045199"/>
    <n v="6.2146892655367235E-2"/>
    <n v="2652"/>
    <s v="Ruhr Auto Plaza"/>
  </r>
  <r>
    <s v="CUST_2709"/>
    <x v="16"/>
    <x v="1"/>
    <s v="Tuesday"/>
    <s v="No"/>
    <x v="4"/>
    <x v="4"/>
    <s v="Berlin"/>
    <x v="3"/>
    <s v="GLC"/>
    <s v="Petrol"/>
    <x v="0"/>
    <s v="50+"/>
    <s v="Medium"/>
    <x v="1"/>
    <x v="2"/>
    <s v="Sales_11"/>
    <n v="252"/>
    <n v="148"/>
    <n v="118"/>
    <n v="44"/>
    <s v="29.73"/>
    <n v="63740"/>
    <s v="2.33"/>
    <n v="45322"/>
    <n v="2804560"/>
    <n v="810392"/>
    <s v="Feb"/>
    <n v="2"/>
    <n v="2026"/>
    <s v="Weekday"/>
    <n v="0.3728813559322034"/>
    <n v="0.58730158730158732"/>
    <n v="0.17460317460317459"/>
    <n v="18418"/>
    <s v="Autohaus Berlin"/>
  </r>
  <r>
    <s v="CUST_2710"/>
    <x v="5"/>
    <x v="3"/>
    <s v="Saturday"/>
    <s v="Yes"/>
    <x v="9"/>
    <x v="9"/>
    <s v="NRW"/>
    <x v="3"/>
    <s v="GLC"/>
    <s v="Petrol"/>
    <x v="0"/>
    <s v="36-50"/>
    <s v="Medium"/>
    <x v="0"/>
    <x v="1"/>
    <s v="Sales_11"/>
    <n v="231"/>
    <n v="118"/>
    <n v="93"/>
    <n v="27"/>
    <s v="22.88"/>
    <n v="60604"/>
    <s v="3.5"/>
    <n v="46208"/>
    <n v="1636308"/>
    <n v="388692"/>
    <s v="Feb"/>
    <n v="2"/>
    <n v="2026"/>
    <s v="Weekend"/>
    <n v="0.29032258064516131"/>
    <n v="0.51082251082251084"/>
    <n v="0.11688311688311688"/>
    <n v="14396"/>
    <s v="Ruhr Auto Plaza"/>
  </r>
  <r>
    <s v="CUST_2711"/>
    <x v="12"/>
    <x v="3"/>
    <s v="Thursday"/>
    <s v="No"/>
    <x v="2"/>
    <x v="2"/>
    <s v="Lower Saxony"/>
    <x v="1"/>
    <s v="Corsa"/>
    <s v="Petrol"/>
    <x v="2"/>
    <s v="18-25"/>
    <s v="Medium"/>
    <x v="1"/>
    <x v="0"/>
    <s v="Sales_14"/>
    <n v="427"/>
    <n v="198"/>
    <n v="124"/>
    <n v="28"/>
    <s v="14.14"/>
    <n v="23090"/>
    <s v="10.98"/>
    <n v="21212"/>
    <n v="646520"/>
    <n v="52584"/>
    <s v="Feb"/>
    <n v="2"/>
    <n v="2026"/>
    <s v="Weekday"/>
    <n v="0.22580645161290322"/>
    <n v="0.46370023419203749"/>
    <n v="6.5573770491803282E-2"/>
    <n v="1878"/>
    <s v="Hannover Cars"/>
  </r>
  <r>
    <s v="CUST_2712"/>
    <x v="27"/>
    <x v="3"/>
    <s v="Sunday"/>
    <s v="Yes"/>
    <x v="2"/>
    <x v="2"/>
    <s v="Lower Saxony"/>
    <x v="4"/>
    <s v="ID.4"/>
    <s v="Electric"/>
    <x v="0"/>
    <s v="36-50"/>
    <s v="High"/>
    <x v="1"/>
    <x v="2"/>
    <s v="Sales_7"/>
    <n v="422"/>
    <n v="202"/>
    <n v="132"/>
    <n v="33"/>
    <s v="16.34"/>
    <n v="29386"/>
    <s v="11.48"/>
    <n v="25373"/>
    <n v="969738"/>
    <n v="132429"/>
    <s v="Feb"/>
    <n v="2"/>
    <n v="2026"/>
    <s v="Weekend"/>
    <n v="0.25"/>
    <n v="0.47867298578199052"/>
    <n v="7.8199052132701424E-2"/>
    <n v="4013"/>
    <s v="Hannover Cars"/>
  </r>
  <r>
    <s v="CUST_2713"/>
    <x v="11"/>
    <x v="0"/>
    <s v="Wednesday"/>
    <s v="No"/>
    <x v="0"/>
    <x v="0"/>
    <s v="Hesse"/>
    <x v="2"/>
    <s v="A3"/>
    <s v="Hybrid"/>
    <x v="2"/>
    <s v="26-35"/>
    <s v="Medium"/>
    <x v="0"/>
    <x v="1"/>
    <s v="Sales_13"/>
    <n v="241"/>
    <n v="124"/>
    <n v="86"/>
    <n v="28"/>
    <s v="22.58"/>
    <n v="41063"/>
    <s v="5.49"/>
    <n v="31192"/>
    <n v="1149764"/>
    <n v="276388"/>
    <s v="Feb"/>
    <n v="2"/>
    <n v="2026"/>
    <s v="Weekday"/>
    <n v="0.32558139534883723"/>
    <n v="0.51452282157676343"/>
    <n v="0.11618257261410789"/>
    <n v="9871"/>
    <s v="Main Auto Hub"/>
  </r>
  <r>
    <s v="CUST_2714"/>
    <x v="4"/>
    <x v="2"/>
    <s v="Wednesday"/>
    <s v="No"/>
    <x v="1"/>
    <x v="1"/>
    <s v="NRW"/>
    <x v="3"/>
    <s v="E-Class"/>
    <s v="Petrol"/>
    <x v="1"/>
    <s v="26-35"/>
    <s v="Low"/>
    <x v="0"/>
    <x v="2"/>
    <s v="Sales_3"/>
    <n v="153"/>
    <n v="77"/>
    <n v="59"/>
    <n v="24"/>
    <s v="31.17"/>
    <n v="49959"/>
    <s v="4.3"/>
    <n v="35602"/>
    <n v="1199016"/>
    <n v="344568"/>
    <s v="Feb"/>
    <n v="2"/>
    <n v="2026"/>
    <s v="Weekday"/>
    <n v="0.40677966101694918"/>
    <n v="0.50326797385620914"/>
    <n v="0.15686274509803921"/>
    <n v="14357"/>
    <s v="Rhein Auto Group"/>
  </r>
  <r>
    <s v="CUST_2715"/>
    <x v="12"/>
    <x v="3"/>
    <s v="Thursday"/>
    <s v="No"/>
    <x v="0"/>
    <x v="0"/>
    <s v="Hesse"/>
    <x v="2"/>
    <s v="e-tron"/>
    <s v="Diesel"/>
    <x v="0"/>
    <s v="36-50"/>
    <s v="Low"/>
    <x v="0"/>
    <x v="1"/>
    <s v="Sales_7"/>
    <n v="193"/>
    <n v="93"/>
    <n v="66"/>
    <n v="20"/>
    <s v="21.51"/>
    <n v="45188"/>
    <s v="3.13"/>
    <n v="34973"/>
    <n v="903760"/>
    <n v="204300"/>
    <s v="Feb"/>
    <n v="2"/>
    <n v="2026"/>
    <s v="Weekday"/>
    <n v="0.30303030303030304"/>
    <n v="0.48186528497409326"/>
    <n v="0.10362694300518134"/>
    <n v="10215"/>
    <s v="Main Auto Hub"/>
  </r>
  <r>
    <s v="CUST_2716"/>
    <x v="10"/>
    <x v="1"/>
    <s v="Monday"/>
    <s v="No"/>
    <x v="6"/>
    <x v="6"/>
    <s v="Saxony"/>
    <x v="1"/>
    <s v="Mokka"/>
    <s v="Electric"/>
    <x v="0"/>
    <s v="50+"/>
    <s v="High"/>
    <x v="0"/>
    <x v="1"/>
    <s v="Sales_16"/>
    <n v="315"/>
    <n v="150"/>
    <n v="99"/>
    <n v="22"/>
    <s v="14.67"/>
    <n v="20649"/>
    <s v="7.08"/>
    <n v="19146"/>
    <n v="454278"/>
    <n v="33066"/>
    <s v="Feb"/>
    <n v="2"/>
    <n v="2026"/>
    <s v="Weekday"/>
    <n v="0.22222222222222221"/>
    <n v="0.47619047619047616"/>
    <n v="6.9841269841269843E-2"/>
    <n v="1503"/>
    <s v="Leipzig Mobility"/>
  </r>
  <r>
    <s v="CUST_2717"/>
    <x v="10"/>
    <x v="1"/>
    <s v="Monday"/>
    <s v="No"/>
    <x v="4"/>
    <x v="4"/>
    <s v="Berlin"/>
    <x v="1"/>
    <s v="Mokka"/>
    <s v="Electric"/>
    <x v="0"/>
    <s v="50+"/>
    <s v="Medium"/>
    <x v="0"/>
    <x v="2"/>
    <s v="Sales_13"/>
    <n v="258"/>
    <n v="135"/>
    <n v="86"/>
    <n v="28"/>
    <s v="20.74"/>
    <n v="21633"/>
    <s v="12.04"/>
    <n v="19905"/>
    <n v="605724"/>
    <n v="48384"/>
    <s v="Feb"/>
    <n v="2"/>
    <n v="2026"/>
    <s v="Weekday"/>
    <n v="0.32558139534883723"/>
    <n v="0.52325581395348841"/>
    <n v="0.10852713178294573"/>
    <n v="1728"/>
    <s v="Autohaus Berlin"/>
  </r>
  <r>
    <s v="CUST_2718"/>
    <x v="14"/>
    <x v="2"/>
    <s v="Friday"/>
    <s v="No"/>
    <x v="8"/>
    <x v="8"/>
    <s v="Baden-WÃ¼rttemberg"/>
    <x v="2"/>
    <s v="A3"/>
    <s v="Petrol"/>
    <x v="2"/>
    <s v="50+"/>
    <s v="High"/>
    <x v="1"/>
    <x v="0"/>
    <s v="Sales_2"/>
    <n v="302"/>
    <n v="193"/>
    <n v="145"/>
    <n v="40"/>
    <s v="20.73"/>
    <n v="49427"/>
    <s v="6.64"/>
    <n v="39431"/>
    <n v="1977080"/>
    <n v="399840"/>
    <s v="Feb"/>
    <n v="2"/>
    <n v="2026"/>
    <s v="Weekday"/>
    <n v="0.27586206896551724"/>
    <n v="0.63907284768211925"/>
    <n v="0.13245033112582782"/>
    <n v="9996"/>
    <s v="Stuttgart Auto Center"/>
  </r>
  <r>
    <s v="CUST_2719"/>
    <x v="0"/>
    <x v="0"/>
    <s v="Monday"/>
    <s v="No"/>
    <x v="6"/>
    <x v="6"/>
    <s v="Saxony"/>
    <x v="3"/>
    <s v="E-Class"/>
    <s v="Hybrid"/>
    <x v="1"/>
    <s v="36-50"/>
    <s v="Medium"/>
    <x v="0"/>
    <x v="0"/>
    <s v="Sales_10"/>
    <n v="274"/>
    <n v="133"/>
    <n v="95"/>
    <n v="31"/>
    <s v="23.31"/>
    <n v="65493"/>
    <s v="4.95"/>
    <n v="46917"/>
    <n v="2030283"/>
    <n v="575856"/>
    <s v="Feb"/>
    <n v="2"/>
    <n v="2026"/>
    <s v="Weekday"/>
    <n v="0.32631578947368423"/>
    <n v="0.48540145985401462"/>
    <n v="0.11313868613138686"/>
    <n v="18576"/>
    <s v="Leipzig Mobility"/>
  </r>
  <r>
    <s v="CUST_2720"/>
    <x v="6"/>
    <x v="2"/>
    <s v="Saturday"/>
    <s v="Yes"/>
    <x v="2"/>
    <x v="2"/>
    <s v="Lower Saxony"/>
    <x v="3"/>
    <s v="C-Class"/>
    <s v="Petrol"/>
    <x v="1"/>
    <s v="50+"/>
    <s v="Low"/>
    <x v="1"/>
    <x v="0"/>
    <s v="Sales_12"/>
    <n v="200"/>
    <n v="100"/>
    <n v="71"/>
    <n v="21"/>
    <s v="21.0"/>
    <n v="52771"/>
    <s v="4.98"/>
    <n v="39806"/>
    <n v="1108191"/>
    <n v="272265"/>
    <s v="Feb"/>
    <n v="2"/>
    <n v="2026"/>
    <s v="Weekend"/>
    <n v="0.29577464788732394"/>
    <n v="0.5"/>
    <n v="0.105"/>
    <n v="12965"/>
    <s v="Hannover Cars"/>
  </r>
  <r>
    <s v="CUST_2721"/>
    <x v="2"/>
    <x v="2"/>
    <s v="Monday"/>
    <s v="No"/>
    <x v="6"/>
    <x v="6"/>
    <s v="Saxony"/>
    <x v="2"/>
    <s v="e-tron"/>
    <s v="Hybrid"/>
    <x v="0"/>
    <s v="50+"/>
    <s v="Medium"/>
    <x v="0"/>
    <x v="1"/>
    <s v="Sales_8"/>
    <n v="231"/>
    <n v="126"/>
    <n v="94"/>
    <n v="28"/>
    <s v="22.22"/>
    <n v="50932"/>
    <s v="3.64"/>
    <n v="38915"/>
    <n v="1426096"/>
    <n v="336476"/>
    <s v="Feb"/>
    <n v="2"/>
    <n v="2026"/>
    <s v="Weekday"/>
    <n v="0.2978723404255319"/>
    <n v="0.54545454545454541"/>
    <n v="0.12121212121212122"/>
    <n v="12017"/>
    <s v="Leipzig Mobility"/>
  </r>
  <r>
    <s v="CUST_2722"/>
    <x v="18"/>
    <x v="0"/>
    <s v="Saturday"/>
    <s v="Yes"/>
    <x v="4"/>
    <x v="4"/>
    <s v="Berlin"/>
    <x v="1"/>
    <s v="Corsa"/>
    <s v="Diesel"/>
    <x v="2"/>
    <s v="18-25"/>
    <s v="Medium"/>
    <x v="0"/>
    <x v="2"/>
    <s v="Sales_15"/>
    <n v="372"/>
    <n v="159"/>
    <n v="109"/>
    <n v="28"/>
    <s v="17.61"/>
    <n v="23558"/>
    <s v="11.12"/>
    <n v="21858"/>
    <n v="659624"/>
    <n v="47600"/>
    <s v="Feb"/>
    <n v="2"/>
    <n v="2026"/>
    <s v="Weekend"/>
    <n v="0.25688073394495414"/>
    <n v="0.42741935483870969"/>
    <n v="7.5268817204301078E-2"/>
    <n v="1700"/>
    <s v="Autohaus Berlin"/>
  </r>
  <r>
    <s v="CUST_2723"/>
    <x v="20"/>
    <x v="0"/>
    <s v="Thursday"/>
    <s v="No"/>
    <x v="1"/>
    <x v="1"/>
    <s v="NRW"/>
    <x v="4"/>
    <s v="Tiguan"/>
    <s v="Electric"/>
    <x v="0"/>
    <s v="36-50"/>
    <s v="Medium"/>
    <x v="0"/>
    <x v="2"/>
    <s v="Sales_1"/>
    <n v="448"/>
    <n v="195"/>
    <n v="120"/>
    <n v="35"/>
    <s v="17.95"/>
    <n v="31281"/>
    <s v="7.38"/>
    <n v="28206"/>
    <n v="1094835"/>
    <n v="107625"/>
    <s v="Feb"/>
    <n v="2"/>
    <n v="2026"/>
    <s v="Weekday"/>
    <n v="0.29166666666666669"/>
    <n v="0.43526785714285715"/>
    <n v="7.8125E-2"/>
    <n v="3075"/>
    <s v="Rhein Auto Group"/>
  </r>
  <r>
    <s v="CUST_2724"/>
    <x v="0"/>
    <x v="0"/>
    <s v="Monday"/>
    <s v="No"/>
    <x v="5"/>
    <x v="5"/>
    <s v="Hamburg"/>
    <x v="3"/>
    <s v="GLC"/>
    <s v="Electric"/>
    <x v="0"/>
    <s v="50+"/>
    <s v="Medium"/>
    <x v="0"/>
    <x v="0"/>
    <s v="Sales_7"/>
    <n v="230"/>
    <n v="113"/>
    <n v="80"/>
    <n v="25"/>
    <s v="22.12"/>
    <n v="54704"/>
    <s v="4.06"/>
    <n v="41253"/>
    <n v="1367600"/>
    <n v="336275"/>
    <s v="Feb"/>
    <n v="2"/>
    <n v="2026"/>
    <s v="Weekday"/>
    <n v="0.3125"/>
    <n v="0.49130434782608695"/>
    <n v="0.10869565217391304"/>
    <n v="13451"/>
    <s v="Elbe Drive"/>
  </r>
  <r>
    <s v="CUST_2725"/>
    <x v="23"/>
    <x v="2"/>
    <s v="Tuesday"/>
    <s v="No"/>
    <x v="1"/>
    <x v="1"/>
    <s v="NRW"/>
    <x v="3"/>
    <s v="GLE"/>
    <s v="Petrol"/>
    <x v="0"/>
    <s v="36-50"/>
    <s v="Low"/>
    <x v="1"/>
    <x v="1"/>
    <s v="Sales_19"/>
    <n v="199"/>
    <n v="91"/>
    <n v="72"/>
    <n v="21"/>
    <s v="23.08"/>
    <n v="51131"/>
    <s v="5.21"/>
    <n v="36957"/>
    <n v="1073751"/>
    <n v="297654"/>
    <s v="Feb"/>
    <n v="2"/>
    <n v="2026"/>
    <s v="Weekday"/>
    <n v="0.29166666666666669"/>
    <n v="0.457286432160804"/>
    <n v="0.10552763819095477"/>
    <n v="14174"/>
    <s v="Rhein Auto Group"/>
  </r>
  <r>
    <s v="CUST_2726"/>
    <x v="0"/>
    <x v="0"/>
    <s v="Monday"/>
    <s v="No"/>
    <x v="6"/>
    <x v="6"/>
    <s v="Saxony"/>
    <x v="3"/>
    <s v="GLC"/>
    <s v="Hybrid"/>
    <x v="0"/>
    <s v="18-25"/>
    <s v="Low"/>
    <x v="0"/>
    <x v="2"/>
    <s v="Sales_12"/>
    <n v="189"/>
    <n v="108"/>
    <n v="82"/>
    <n v="29"/>
    <s v="26.85"/>
    <n v="60913"/>
    <s v="4.1"/>
    <n v="44116"/>
    <n v="1766477"/>
    <n v="487113"/>
    <s v="Feb"/>
    <n v="2"/>
    <n v="2026"/>
    <s v="Weekday"/>
    <n v="0.35365853658536583"/>
    <n v="0.5714285714285714"/>
    <n v="0.15343915343915343"/>
    <n v="16797"/>
    <s v="Leipzig Mobility"/>
  </r>
  <r>
    <s v="CUST_2727"/>
    <x v="2"/>
    <x v="2"/>
    <s v="Monday"/>
    <s v="No"/>
    <x v="8"/>
    <x v="8"/>
    <s v="Baden-WÃ¼rttemberg"/>
    <x v="3"/>
    <s v="E-Class"/>
    <s v="Electric"/>
    <x v="1"/>
    <s v="36-50"/>
    <s v="Medium"/>
    <x v="1"/>
    <x v="2"/>
    <s v="Sales_11"/>
    <n v="260"/>
    <n v="141"/>
    <n v="105"/>
    <n v="40"/>
    <s v="28.37"/>
    <n v="61454"/>
    <s v="3.67"/>
    <n v="48308"/>
    <n v="2458160"/>
    <n v="525840"/>
    <s v="Feb"/>
    <n v="2"/>
    <n v="2026"/>
    <s v="Weekday"/>
    <n v="0.38095238095238093"/>
    <n v="0.54230769230769227"/>
    <n v="0.15384615384615385"/>
    <n v="13146"/>
    <s v="Stuttgart Auto Center"/>
  </r>
  <r>
    <s v="CUST_2728"/>
    <x v="20"/>
    <x v="0"/>
    <s v="Thursday"/>
    <s v="No"/>
    <x v="0"/>
    <x v="0"/>
    <s v="Hesse"/>
    <x v="4"/>
    <s v="ID.4"/>
    <s v="Diesel"/>
    <x v="0"/>
    <s v="26-35"/>
    <s v="Medium"/>
    <x v="1"/>
    <x v="3"/>
    <s v="Sales_8"/>
    <n v="292"/>
    <n v="144"/>
    <n v="91"/>
    <n v="17"/>
    <s v="11.81"/>
    <n v="29985"/>
    <s v="6.75"/>
    <n v="27182"/>
    <n v="509745"/>
    <n v="47651"/>
    <s v="Feb"/>
    <n v="2"/>
    <n v="2026"/>
    <s v="Weekday"/>
    <n v="0.18681318681318682"/>
    <n v="0.49315068493150682"/>
    <n v="5.8219178082191778E-2"/>
    <n v="2803"/>
    <s v="Main Auto Hub"/>
  </r>
  <r>
    <s v="CUST_2729"/>
    <x v="16"/>
    <x v="1"/>
    <s v="Tuesday"/>
    <s v="No"/>
    <x v="0"/>
    <x v="0"/>
    <s v="Hesse"/>
    <x v="2"/>
    <s v="Q5"/>
    <s v="Petrol"/>
    <x v="0"/>
    <s v="18-25"/>
    <s v="Low"/>
    <x v="1"/>
    <x v="0"/>
    <s v="Sales_6"/>
    <n v="307"/>
    <n v="163"/>
    <n v="107"/>
    <n v="34"/>
    <s v="20.86"/>
    <n v="44233"/>
    <s v="3.1"/>
    <n v="33731"/>
    <n v="1503922"/>
    <n v="357068"/>
    <s v="Feb"/>
    <n v="2"/>
    <n v="2026"/>
    <s v="Weekday"/>
    <n v="0.31775700934579437"/>
    <n v="0.53094462540716614"/>
    <n v="0.11074918566775244"/>
    <n v="10502"/>
    <s v="Main Auto Hub"/>
  </r>
  <r>
    <s v="CUST_2730"/>
    <x v="3"/>
    <x v="1"/>
    <s v="Sunday"/>
    <s v="Yes"/>
    <x v="4"/>
    <x v="4"/>
    <s v="Berlin"/>
    <x v="2"/>
    <s v="e-tron"/>
    <s v="Hybrid"/>
    <x v="0"/>
    <s v="18-25"/>
    <s v="Medium"/>
    <x v="0"/>
    <x v="0"/>
    <s v="Sales_8"/>
    <n v="212"/>
    <n v="127"/>
    <n v="84"/>
    <n v="30"/>
    <s v="23.62"/>
    <n v="50130"/>
    <s v="6.55"/>
    <n v="40566"/>
    <n v="1503900"/>
    <n v="286920"/>
    <s v="Feb"/>
    <n v="2"/>
    <n v="2026"/>
    <s v="Weekend"/>
    <n v="0.35714285714285715"/>
    <n v="0.59905660377358494"/>
    <n v="0.14150943396226415"/>
    <n v="9564"/>
    <s v="Autohaus Berlin"/>
  </r>
  <r>
    <s v="CUST_2731"/>
    <x v="19"/>
    <x v="1"/>
    <s v="Saturday"/>
    <s v="Yes"/>
    <x v="0"/>
    <x v="0"/>
    <s v="Hesse"/>
    <x v="3"/>
    <s v="C-Class"/>
    <s v="Petrol"/>
    <x v="1"/>
    <s v="26-35"/>
    <s v="Low"/>
    <x v="1"/>
    <x v="0"/>
    <s v="Sales_6"/>
    <n v="278"/>
    <n v="138"/>
    <n v="91"/>
    <n v="28"/>
    <s v="20.29"/>
    <n v="70156"/>
    <s v="5.07"/>
    <n v="52234"/>
    <n v="1964368"/>
    <n v="501816"/>
    <s v="Feb"/>
    <n v="2"/>
    <n v="2026"/>
    <s v="Weekend"/>
    <n v="0.30769230769230771"/>
    <n v="0.49640287769784175"/>
    <n v="0.10071942446043165"/>
    <n v="17922"/>
    <s v="Main Auto Hub"/>
  </r>
  <r>
    <s v="CUST_2732"/>
    <x v="18"/>
    <x v="0"/>
    <s v="Saturday"/>
    <s v="Yes"/>
    <x v="8"/>
    <x v="8"/>
    <s v="Baden-WÃ¼rttemberg"/>
    <x v="2"/>
    <s v="Q5"/>
    <s v="Diesel"/>
    <x v="0"/>
    <s v="36-50"/>
    <s v="Medium"/>
    <x v="1"/>
    <x v="0"/>
    <s v="Sales_1"/>
    <n v="285"/>
    <n v="132"/>
    <n v="101"/>
    <n v="29"/>
    <s v="21.97"/>
    <n v="45022"/>
    <s v="5.73"/>
    <n v="34734"/>
    <n v="1305638"/>
    <n v="298352"/>
    <s v="Feb"/>
    <n v="2"/>
    <n v="2026"/>
    <s v="Weekend"/>
    <n v="0.28712871287128711"/>
    <n v="0.4631578947368421"/>
    <n v="0.10175438596491228"/>
    <n v="10288"/>
    <s v="Stuttgart Auto Center"/>
  </r>
  <r>
    <s v="CUST_2733"/>
    <x v="5"/>
    <x v="3"/>
    <s v="Saturday"/>
    <s v="Yes"/>
    <x v="7"/>
    <x v="7"/>
    <s v="Bavaria"/>
    <x v="0"/>
    <s v="X3"/>
    <s v="Hybrid"/>
    <x v="0"/>
    <s v="36-50"/>
    <s v="Low"/>
    <x v="1"/>
    <x v="3"/>
    <s v="Sales_11"/>
    <n v="157"/>
    <n v="85"/>
    <n v="61"/>
    <n v="21"/>
    <s v="24.71"/>
    <n v="69027"/>
    <s v="3.03"/>
    <n v="48901"/>
    <n v="1449567"/>
    <n v="422646"/>
    <s v="Feb"/>
    <n v="2"/>
    <n v="2026"/>
    <s v="Weekend"/>
    <n v="0.34426229508196721"/>
    <n v="0.54140127388535031"/>
    <n v="0.13375796178343949"/>
    <n v="20126"/>
    <s v="Bavaria Motors"/>
  </r>
  <r>
    <s v="CUST_2734"/>
    <x v="6"/>
    <x v="2"/>
    <s v="Saturday"/>
    <s v="Yes"/>
    <x v="2"/>
    <x v="2"/>
    <s v="Lower Saxony"/>
    <x v="4"/>
    <s v="T-Roc"/>
    <s v="Petrol"/>
    <x v="0"/>
    <s v="36-50"/>
    <s v="Low"/>
    <x v="1"/>
    <x v="0"/>
    <s v="Sales_11"/>
    <n v="308"/>
    <n v="138"/>
    <n v="97"/>
    <n v="21"/>
    <s v="15.22"/>
    <n v="25973"/>
    <s v="7.55"/>
    <n v="22860"/>
    <n v="545433"/>
    <n v="65373"/>
    <s v="Feb"/>
    <n v="2"/>
    <n v="2026"/>
    <s v="Weekend"/>
    <n v="0.21649484536082475"/>
    <n v="0.44805194805194803"/>
    <n v="6.8181818181818177E-2"/>
    <n v="3113"/>
    <s v="Hannover Cars"/>
  </r>
  <r>
    <s v="CUST_2735"/>
    <x v="14"/>
    <x v="2"/>
    <s v="Friday"/>
    <s v="No"/>
    <x v="1"/>
    <x v="1"/>
    <s v="NRW"/>
    <x v="0"/>
    <s v="3 Series"/>
    <s v="Electric"/>
    <x v="1"/>
    <s v="36-50"/>
    <s v="Medium"/>
    <x v="0"/>
    <x v="1"/>
    <s v="Sales_1"/>
    <n v="271"/>
    <n v="162"/>
    <n v="130"/>
    <n v="50"/>
    <s v="30.86"/>
    <n v="60998"/>
    <s v="2.51"/>
    <n v="46404"/>
    <n v="3049900"/>
    <n v="729700"/>
    <s v="Feb"/>
    <n v="2"/>
    <n v="2026"/>
    <s v="Weekday"/>
    <n v="0.38461538461538464"/>
    <n v="0.59778597785977861"/>
    <n v="0.18450184501845018"/>
    <n v="14594"/>
    <s v="Rhein Auto Group"/>
  </r>
  <r>
    <s v="CUST_2736"/>
    <x v="22"/>
    <x v="3"/>
    <s v="Tuesday"/>
    <s v="No"/>
    <x v="9"/>
    <x v="9"/>
    <s v="NRW"/>
    <x v="3"/>
    <s v="GLC"/>
    <s v="Electric"/>
    <x v="0"/>
    <s v="36-50"/>
    <s v="High"/>
    <x v="0"/>
    <x v="1"/>
    <s v="Sales_20"/>
    <n v="194"/>
    <n v="93"/>
    <n v="65"/>
    <n v="23"/>
    <s v="24.73"/>
    <n v="60385"/>
    <s v="4.95"/>
    <n v="45908"/>
    <n v="1388855"/>
    <n v="332971"/>
    <s v="Feb"/>
    <n v="2"/>
    <n v="2026"/>
    <s v="Weekday"/>
    <n v="0.35384615384615387"/>
    <n v="0.47938144329896909"/>
    <n v="0.11855670103092783"/>
    <n v="14477"/>
    <s v="Ruhr Auto Plaza"/>
  </r>
  <r>
    <s v="CUST_2737"/>
    <x v="13"/>
    <x v="0"/>
    <s v="Friday"/>
    <s v="No"/>
    <x v="4"/>
    <x v="4"/>
    <s v="Berlin"/>
    <x v="2"/>
    <s v="Q5"/>
    <s v="Electric"/>
    <x v="0"/>
    <s v="18-25"/>
    <s v="Medium"/>
    <x v="0"/>
    <x v="3"/>
    <s v="Sales_8"/>
    <n v="282"/>
    <n v="165"/>
    <n v="105"/>
    <n v="37"/>
    <s v="22.42"/>
    <n v="53319"/>
    <s v="6.93"/>
    <n v="42775"/>
    <n v="1972803"/>
    <n v="390128"/>
    <s v="Feb"/>
    <n v="2"/>
    <n v="2026"/>
    <s v="Weekday"/>
    <n v="0.35238095238095241"/>
    <n v="0.58510638297872342"/>
    <n v="0.13120567375886524"/>
    <n v="10544"/>
    <s v="Autohaus Berlin"/>
  </r>
  <r>
    <s v="CUST_2738"/>
    <x v="11"/>
    <x v="0"/>
    <s v="Wednesday"/>
    <s v="No"/>
    <x v="1"/>
    <x v="1"/>
    <s v="NRW"/>
    <x v="0"/>
    <s v="X5"/>
    <s v="Hybrid"/>
    <x v="0"/>
    <s v="50+"/>
    <s v="High"/>
    <x v="0"/>
    <x v="0"/>
    <s v="Sales_1"/>
    <n v="280"/>
    <n v="146"/>
    <n v="101"/>
    <n v="42"/>
    <s v="28.77"/>
    <n v="67185"/>
    <s v="3.34"/>
    <n v="50543"/>
    <n v="2821770"/>
    <n v="698964"/>
    <s v="Feb"/>
    <n v="2"/>
    <n v="2026"/>
    <s v="Weekday"/>
    <n v="0.41584158415841582"/>
    <n v="0.52142857142857146"/>
    <n v="0.15"/>
    <n v="16642"/>
    <s v="Rhein Auto Group"/>
  </r>
  <r>
    <s v="CUST_2739"/>
    <x v="20"/>
    <x v="0"/>
    <s v="Thursday"/>
    <s v="No"/>
    <x v="5"/>
    <x v="5"/>
    <s v="Hamburg"/>
    <x v="2"/>
    <s v="Q3"/>
    <s v="Diesel"/>
    <x v="0"/>
    <s v="36-50"/>
    <s v="High"/>
    <x v="1"/>
    <x v="1"/>
    <s v="Sales_17"/>
    <n v="172"/>
    <n v="103"/>
    <n v="78"/>
    <n v="23"/>
    <s v="22.33"/>
    <n v="52988"/>
    <s v="5.12"/>
    <n v="42481"/>
    <n v="1218724"/>
    <n v="241661"/>
    <s v="Feb"/>
    <n v="2"/>
    <n v="2026"/>
    <s v="Weekday"/>
    <n v="0.29487179487179488"/>
    <n v="0.59883720930232553"/>
    <n v="0.13372093023255813"/>
    <n v="10507"/>
    <s v="Elbe Drive"/>
  </r>
  <r>
    <s v="CUST_2740"/>
    <x v="8"/>
    <x v="3"/>
    <s v="Wednesday"/>
    <s v="No"/>
    <x v="3"/>
    <x v="3"/>
    <s v="Saxony"/>
    <x v="2"/>
    <s v="e-tron"/>
    <s v="Diesel"/>
    <x v="0"/>
    <s v="26-35"/>
    <s v="High"/>
    <x v="1"/>
    <x v="1"/>
    <s v="Sales_12"/>
    <n v="194"/>
    <n v="110"/>
    <n v="80"/>
    <n v="27"/>
    <s v="24.55"/>
    <n v="53068"/>
    <s v="5.64"/>
    <n v="39859"/>
    <n v="1432836"/>
    <n v="356643"/>
    <s v="Feb"/>
    <n v="2"/>
    <n v="2026"/>
    <s v="Weekday"/>
    <n v="0.33750000000000002"/>
    <n v="0.5670103092783505"/>
    <n v="0.13917525773195877"/>
    <n v="13209"/>
    <s v="Saxon Wheels"/>
  </r>
  <r>
    <s v="CUST_2741"/>
    <x v="17"/>
    <x v="2"/>
    <s v="Sunday"/>
    <s v="Yes"/>
    <x v="9"/>
    <x v="9"/>
    <s v="NRW"/>
    <x v="3"/>
    <s v="GLE"/>
    <s v="Petrol"/>
    <x v="0"/>
    <s v="36-50"/>
    <s v="Medium"/>
    <x v="0"/>
    <x v="2"/>
    <s v="Sales_15"/>
    <n v="195"/>
    <n v="104"/>
    <n v="69"/>
    <n v="28"/>
    <s v="26.92"/>
    <n v="69115"/>
    <s v="3.49"/>
    <n v="53200"/>
    <n v="1935220"/>
    <n v="445620"/>
    <s v="Feb"/>
    <n v="2"/>
    <n v="2026"/>
    <s v="Weekend"/>
    <n v="0.40579710144927539"/>
    <n v="0.53333333333333333"/>
    <n v="0.14358974358974358"/>
    <n v="15915"/>
    <s v="Ruhr Auto Plaza"/>
  </r>
  <r>
    <s v="CUST_2742"/>
    <x v="15"/>
    <x v="2"/>
    <s v="Thursday"/>
    <s v="No"/>
    <x v="8"/>
    <x v="8"/>
    <s v="Baden-WÃ¼rttemberg"/>
    <x v="1"/>
    <s v="Crossland"/>
    <s v="Electric"/>
    <x v="0"/>
    <s v="36-50"/>
    <s v="Medium"/>
    <x v="1"/>
    <x v="0"/>
    <s v="Sales_14"/>
    <n v="267"/>
    <n v="133"/>
    <n v="92"/>
    <n v="21"/>
    <s v="15.79"/>
    <n v="26871"/>
    <s v="8.91"/>
    <n v="24620"/>
    <n v="564291"/>
    <n v="47271"/>
    <s v="Feb"/>
    <n v="2"/>
    <n v="2026"/>
    <s v="Weekday"/>
    <n v="0.22826086956521738"/>
    <n v="0.49812734082397003"/>
    <n v="7.8651685393258425E-2"/>
    <n v="2251"/>
    <s v="Stuttgart Auto Center"/>
  </r>
  <r>
    <s v="CUST_2743"/>
    <x v="5"/>
    <x v="3"/>
    <s v="Saturday"/>
    <s v="Yes"/>
    <x v="9"/>
    <x v="9"/>
    <s v="NRW"/>
    <x v="4"/>
    <s v="Passat"/>
    <s v="Petrol"/>
    <x v="1"/>
    <s v="36-50"/>
    <s v="High"/>
    <x v="0"/>
    <x v="2"/>
    <s v="Sales_20"/>
    <n v="475"/>
    <n v="267"/>
    <n v="183"/>
    <n v="53"/>
    <s v="19.85"/>
    <n v="31225"/>
    <s v="11.72"/>
    <n v="27108"/>
    <n v="1654925"/>
    <n v="218201"/>
    <s v="Feb"/>
    <n v="2"/>
    <n v="2026"/>
    <s v="Weekend"/>
    <n v="0.2896174863387978"/>
    <n v="0.56210526315789477"/>
    <n v="0.11157894736842106"/>
    <n v="4117"/>
    <s v="Ruhr Auto Plaza"/>
  </r>
  <r>
    <s v="CUST_2744"/>
    <x v="22"/>
    <x v="3"/>
    <s v="Tuesday"/>
    <s v="No"/>
    <x v="8"/>
    <x v="8"/>
    <s v="Baden-WÃ¼rttemberg"/>
    <x v="3"/>
    <s v="GLC"/>
    <s v="Electric"/>
    <x v="0"/>
    <s v="26-35"/>
    <s v="Low"/>
    <x v="0"/>
    <x v="3"/>
    <s v="Sales_12"/>
    <n v="212"/>
    <n v="117"/>
    <n v="84"/>
    <n v="29"/>
    <s v="24.79"/>
    <n v="68647"/>
    <s v="4.16"/>
    <n v="53563"/>
    <n v="1990763"/>
    <n v="437436"/>
    <s v="Feb"/>
    <n v="2"/>
    <n v="2026"/>
    <s v="Weekday"/>
    <n v="0.34523809523809523"/>
    <n v="0.55188679245283023"/>
    <n v="0.13679245283018868"/>
    <n v="15084"/>
    <s v="Stuttgart Auto Center"/>
  </r>
  <r>
    <s v="CUST_2745"/>
    <x v="27"/>
    <x v="3"/>
    <s v="Sunday"/>
    <s v="Yes"/>
    <x v="9"/>
    <x v="9"/>
    <s v="NRW"/>
    <x v="1"/>
    <s v="Astra"/>
    <s v="Petrol"/>
    <x v="2"/>
    <s v="36-50"/>
    <s v="Medium"/>
    <x v="1"/>
    <x v="1"/>
    <s v="Sales_18"/>
    <n v="289"/>
    <n v="145"/>
    <n v="89"/>
    <n v="18"/>
    <s v="12.41"/>
    <n v="20809"/>
    <s v="7.63"/>
    <n v="18625"/>
    <n v="374562"/>
    <n v="39312"/>
    <s v="Feb"/>
    <n v="2"/>
    <n v="2026"/>
    <s v="Weekend"/>
    <n v="0.20224719101123595"/>
    <n v="0.5017301038062284"/>
    <n v="6.228373702422145E-2"/>
    <n v="2184"/>
    <s v="Ruhr Auto Plaza"/>
  </r>
  <r>
    <s v="CUST_2746"/>
    <x v="16"/>
    <x v="1"/>
    <s v="Tuesday"/>
    <s v="No"/>
    <x v="2"/>
    <x v="2"/>
    <s v="Lower Saxony"/>
    <x v="3"/>
    <s v="EQE"/>
    <s v="Petrol"/>
    <x v="1"/>
    <s v="50+"/>
    <s v="Low"/>
    <x v="0"/>
    <x v="3"/>
    <s v="Sales_13"/>
    <n v="162"/>
    <n v="84"/>
    <n v="65"/>
    <n v="18"/>
    <s v="21.43"/>
    <n v="56023"/>
    <s v="2.58"/>
    <n v="43643"/>
    <n v="1008414"/>
    <n v="222840"/>
    <s v="Feb"/>
    <n v="2"/>
    <n v="2026"/>
    <s v="Weekday"/>
    <n v="0.27692307692307694"/>
    <n v="0.51851851851851849"/>
    <n v="0.1111111111111111"/>
    <n v="12380"/>
    <s v="Hannover Cars"/>
  </r>
  <r>
    <s v="CUST_2747"/>
    <x v="26"/>
    <x v="1"/>
    <s v="Friday"/>
    <s v="No"/>
    <x v="1"/>
    <x v="1"/>
    <s v="NRW"/>
    <x v="0"/>
    <s v="X5"/>
    <s v="Hybrid"/>
    <x v="0"/>
    <s v="36-50"/>
    <s v="High"/>
    <x v="0"/>
    <x v="0"/>
    <s v="Sales_7"/>
    <n v="150"/>
    <n v="69"/>
    <n v="49"/>
    <n v="17"/>
    <s v="24.64"/>
    <n v="55265"/>
    <s v="4.58"/>
    <n v="41833"/>
    <n v="939505"/>
    <n v="228344"/>
    <s v="Feb"/>
    <n v="2"/>
    <n v="2026"/>
    <s v="Weekday"/>
    <n v="0.34693877551020408"/>
    <n v="0.46"/>
    <n v="0.11333333333333333"/>
    <n v="13432"/>
    <s v="Rhein Auto Group"/>
  </r>
  <r>
    <s v="CUST_2748"/>
    <x v="17"/>
    <x v="2"/>
    <s v="Sunday"/>
    <s v="Yes"/>
    <x v="1"/>
    <x v="1"/>
    <s v="NRW"/>
    <x v="0"/>
    <s v="i4"/>
    <s v="Petrol"/>
    <x v="1"/>
    <s v="36-50"/>
    <s v="Low"/>
    <x v="1"/>
    <x v="2"/>
    <s v="Sales_9"/>
    <n v="227"/>
    <n v="104"/>
    <n v="81"/>
    <n v="31"/>
    <s v="29.81"/>
    <n v="63679"/>
    <s v="5.86"/>
    <n v="48825"/>
    <n v="1974049"/>
    <n v="460474"/>
    <s v="Feb"/>
    <n v="2"/>
    <n v="2026"/>
    <s v="Weekend"/>
    <n v="0.38271604938271603"/>
    <n v="0.45814977973568283"/>
    <n v="0.13656387665198239"/>
    <n v="14854"/>
    <s v="Rhein Auto Group"/>
  </r>
  <r>
    <s v="CUST_2749"/>
    <x v="0"/>
    <x v="0"/>
    <s v="Monday"/>
    <s v="No"/>
    <x v="7"/>
    <x v="7"/>
    <s v="Bavaria"/>
    <x v="1"/>
    <s v="Astra"/>
    <s v="Hybrid"/>
    <x v="2"/>
    <s v="36-50"/>
    <s v="High"/>
    <x v="0"/>
    <x v="1"/>
    <s v="Sales_6"/>
    <n v="330"/>
    <n v="166"/>
    <n v="113"/>
    <n v="32"/>
    <s v="19.28"/>
    <n v="22291"/>
    <s v="12.07"/>
    <n v="19901"/>
    <n v="713312"/>
    <n v="76480"/>
    <s v="Feb"/>
    <n v="2"/>
    <n v="2026"/>
    <s v="Weekday"/>
    <n v="0.2831858407079646"/>
    <n v="0.50303030303030305"/>
    <n v="9.696969696969697E-2"/>
    <n v="2390"/>
    <s v="Bavaria Motors"/>
  </r>
  <r>
    <s v="CUST_2750"/>
    <x v="17"/>
    <x v="2"/>
    <s v="Sunday"/>
    <s v="Yes"/>
    <x v="3"/>
    <x v="3"/>
    <s v="Saxony"/>
    <x v="2"/>
    <s v="Q5"/>
    <s v="Electric"/>
    <x v="0"/>
    <s v="26-35"/>
    <s v="Low"/>
    <x v="1"/>
    <x v="1"/>
    <s v="Sales_11"/>
    <n v="237"/>
    <n v="127"/>
    <n v="90"/>
    <n v="29"/>
    <s v="22.83"/>
    <n v="53076"/>
    <s v="5.76"/>
    <n v="41889"/>
    <n v="1539204"/>
    <n v="324423"/>
    <s v="Feb"/>
    <n v="2"/>
    <n v="2026"/>
    <s v="Weekend"/>
    <n v="0.32222222222222224"/>
    <n v="0.53586497890295359"/>
    <n v="0.12236286919831224"/>
    <n v="11187"/>
    <s v="Saxon Wheels"/>
  </r>
  <r>
    <s v="CUST_2751"/>
    <x v="6"/>
    <x v="2"/>
    <s v="Saturday"/>
    <s v="Yes"/>
    <x v="7"/>
    <x v="7"/>
    <s v="Bavaria"/>
    <x v="0"/>
    <s v="5 Series"/>
    <s v="Petrol"/>
    <x v="1"/>
    <s v="26-35"/>
    <s v="Medium"/>
    <x v="0"/>
    <x v="3"/>
    <s v="Sales_8"/>
    <n v="198"/>
    <n v="119"/>
    <n v="83"/>
    <n v="35"/>
    <s v="29.41"/>
    <n v="61847"/>
    <s v="2.64"/>
    <n v="43405"/>
    <n v="2164645"/>
    <n v="645470"/>
    <s v="Feb"/>
    <n v="2"/>
    <n v="2026"/>
    <s v="Weekend"/>
    <n v="0.42168674698795183"/>
    <n v="0.60101010101010099"/>
    <n v="0.17676767676767677"/>
    <n v="18442"/>
    <s v="Bavaria Motors"/>
  </r>
  <r>
    <s v="CUST_2752"/>
    <x v="9"/>
    <x v="0"/>
    <s v="Sunday"/>
    <s v="Yes"/>
    <x v="3"/>
    <x v="3"/>
    <s v="Saxony"/>
    <x v="0"/>
    <s v="X5"/>
    <s v="Electric"/>
    <x v="0"/>
    <s v="36-50"/>
    <s v="Medium"/>
    <x v="1"/>
    <x v="2"/>
    <s v="Sales_19"/>
    <n v="201"/>
    <n v="115"/>
    <n v="81"/>
    <n v="34"/>
    <s v="29.57"/>
    <n v="51903"/>
    <s v="2.98"/>
    <n v="39377"/>
    <n v="1764702"/>
    <n v="425884"/>
    <s v="Feb"/>
    <n v="2"/>
    <n v="2026"/>
    <s v="Weekend"/>
    <n v="0.41975308641975306"/>
    <n v="0.57213930348258701"/>
    <n v="0.1691542288557214"/>
    <n v="12526"/>
    <s v="Saxon Wheels"/>
  </r>
  <r>
    <s v="CUST_2753"/>
    <x v="15"/>
    <x v="2"/>
    <s v="Thursday"/>
    <s v="No"/>
    <x v="5"/>
    <x v="5"/>
    <s v="Hamburg"/>
    <x v="3"/>
    <s v="EQE"/>
    <s v="Diesel"/>
    <x v="1"/>
    <s v="36-50"/>
    <s v="Low"/>
    <x v="1"/>
    <x v="2"/>
    <s v="Sales_18"/>
    <n v="254"/>
    <n v="115"/>
    <n v="88"/>
    <n v="33"/>
    <s v="28.7"/>
    <n v="56112"/>
    <s v="3.54"/>
    <n v="42266"/>
    <n v="1851696"/>
    <n v="456918"/>
    <s v="Feb"/>
    <n v="2"/>
    <n v="2026"/>
    <s v="Weekday"/>
    <n v="0.375"/>
    <n v="0.452755905511811"/>
    <n v="0.12992125984251968"/>
    <n v="13846"/>
    <s v="Elbe Drive"/>
  </r>
  <r>
    <s v="CUST_2754"/>
    <x v="27"/>
    <x v="3"/>
    <s v="Sunday"/>
    <s v="Yes"/>
    <x v="5"/>
    <x v="5"/>
    <s v="Hamburg"/>
    <x v="0"/>
    <s v="X3"/>
    <s v="Diesel"/>
    <x v="0"/>
    <s v="50+"/>
    <s v="Medium"/>
    <x v="0"/>
    <x v="1"/>
    <s v="Sales_15"/>
    <n v="217"/>
    <n v="114"/>
    <n v="89"/>
    <n v="31"/>
    <s v="27.19"/>
    <n v="51510"/>
    <s v="3.37"/>
    <n v="36349"/>
    <n v="1596810"/>
    <n v="469991"/>
    <s v="Feb"/>
    <n v="2"/>
    <n v="2026"/>
    <s v="Weekend"/>
    <n v="0.34831460674157305"/>
    <n v="0.52534562211981561"/>
    <n v="0.14285714285714285"/>
    <n v="15161"/>
    <s v="Elbe Drive"/>
  </r>
  <r>
    <s v="CUST_2755"/>
    <x v="15"/>
    <x v="2"/>
    <s v="Thursday"/>
    <s v="No"/>
    <x v="8"/>
    <x v="8"/>
    <s v="Baden-WÃ¼rttemberg"/>
    <x v="3"/>
    <s v="GLE"/>
    <s v="Electric"/>
    <x v="0"/>
    <s v="50+"/>
    <s v="Low"/>
    <x v="0"/>
    <x v="3"/>
    <s v="Sales_11"/>
    <n v="207"/>
    <n v="110"/>
    <n v="83"/>
    <n v="29"/>
    <s v="26.36"/>
    <n v="63567"/>
    <s v="3.43"/>
    <n v="49968"/>
    <n v="1843443"/>
    <n v="394371"/>
    <s v="Feb"/>
    <n v="2"/>
    <n v="2026"/>
    <s v="Weekday"/>
    <n v="0.3493975903614458"/>
    <n v="0.53140096618357491"/>
    <n v="0.14009661835748793"/>
    <n v="13599"/>
    <s v="Stuttgart Auto Center"/>
  </r>
  <r>
    <s v="CUST_2756"/>
    <x v="18"/>
    <x v="0"/>
    <s v="Saturday"/>
    <s v="Yes"/>
    <x v="1"/>
    <x v="1"/>
    <s v="NRW"/>
    <x v="2"/>
    <s v="A4"/>
    <s v="Diesel"/>
    <x v="1"/>
    <s v="36-50"/>
    <s v="Medium"/>
    <x v="0"/>
    <x v="1"/>
    <s v="Sales_16"/>
    <n v="230"/>
    <n v="117"/>
    <n v="82"/>
    <n v="30"/>
    <s v="25.64"/>
    <n v="39833"/>
    <s v="5.9"/>
    <n v="31346"/>
    <n v="1194990"/>
    <n v="254610"/>
    <s v="Feb"/>
    <n v="2"/>
    <n v="2026"/>
    <s v="Weekend"/>
    <n v="0.36585365853658536"/>
    <n v="0.50869565217391299"/>
    <n v="0.13043478260869565"/>
    <n v="8487"/>
    <s v="Rhein Auto Group"/>
  </r>
  <r>
    <s v="CUST_2757"/>
    <x v="25"/>
    <x v="3"/>
    <s v="Friday"/>
    <s v="No"/>
    <x v="6"/>
    <x v="6"/>
    <s v="Saxony"/>
    <x v="4"/>
    <s v="ID.4"/>
    <s v="Petrol"/>
    <x v="0"/>
    <s v="18-25"/>
    <s v="High"/>
    <x v="1"/>
    <x v="3"/>
    <s v="Sales_1"/>
    <n v="424"/>
    <n v="242"/>
    <n v="146"/>
    <n v="31"/>
    <s v="12.81"/>
    <n v="26674"/>
    <s v="8.71"/>
    <n v="22971"/>
    <n v="826894"/>
    <n v="114793"/>
    <s v="Feb"/>
    <n v="2"/>
    <n v="2026"/>
    <s v="Weekday"/>
    <n v="0.21232876712328766"/>
    <n v="0.57075471698113212"/>
    <n v="7.3113207547169809E-2"/>
    <n v="3703"/>
    <s v="Leipzig Mobility"/>
  </r>
  <r>
    <s v="CUST_2758"/>
    <x v="0"/>
    <x v="0"/>
    <s v="Monday"/>
    <s v="No"/>
    <x v="0"/>
    <x v="0"/>
    <s v="Hesse"/>
    <x v="4"/>
    <s v="T-Roc"/>
    <s v="Hybrid"/>
    <x v="0"/>
    <s v="50+"/>
    <s v="Low"/>
    <x v="1"/>
    <x v="1"/>
    <s v="Sales_9"/>
    <n v="403"/>
    <n v="169"/>
    <n v="103"/>
    <n v="26"/>
    <s v="15.38"/>
    <n v="26425"/>
    <s v="8.52"/>
    <n v="22961"/>
    <n v="687050"/>
    <n v="90064"/>
    <s v="Feb"/>
    <n v="2"/>
    <n v="2026"/>
    <s v="Weekday"/>
    <n v="0.25242718446601942"/>
    <n v="0.41935483870967744"/>
    <n v="6.4516129032258063E-2"/>
    <n v="3464"/>
    <s v="Main Auto Hub"/>
  </r>
  <r>
    <s v="CUST_2759"/>
    <x v="20"/>
    <x v="0"/>
    <s v="Thursday"/>
    <s v="No"/>
    <x v="7"/>
    <x v="7"/>
    <s v="Bavaria"/>
    <x v="0"/>
    <s v="X5"/>
    <s v="Hybrid"/>
    <x v="0"/>
    <s v="50+"/>
    <s v="High"/>
    <x v="0"/>
    <x v="3"/>
    <s v="Sales_18"/>
    <n v="173"/>
    <n v="78"/>
    <n v="55"/>
    <n v="23"/>
    <s v="29.49"/>
    <n v="64072"/>
    <s v="5.69"/>
    <n v="47731"/>
    <n v="1473656"/>
    <n v="375843"/>
    <s v="Feb"/>
    <n v="2"/>
    <n v="2026"/>
    <s v="Weekday"/>
    <n v="0.41818181818181815"/>
    <n v="0.45086705202312138"/>
    <n v="0.13294797687861271"/>
    <n v="16341"/>
    <s v="Bavaria Motors"/>
  </r>
  <r>
    <s v="CUST_2760"/>
    <x v="0"/>
    <x v="0"/>
    <s v="Monday"/>
    <s v="No"/>
    <x v="9"/>
    <x v="9"/>
    <s v="NRW"/>
    <x v="3"/>
    <s v="C-Class"/>
    <s v="Electric"/>
    <x v="1"/>
    <s v="50+"/>
    <s v="Low"/>
    <x v="0"/>
    <x v="2"/>
    <s v="Sales_8"/>
    <n v="145"/>
    <n v="68"/>
    <n v="47"/>
    <n v="19"/>
    <s v="27.94"/>
    <n v="71608"/>
    <s v="4.28"/>
    <n v="51549"/>
    <n v="1360552"/>
    <n v="381121"/>
    <s v="Feb"/>
    <n v="2"/>
    <n v="2026"/>
    <s v="Weekday"/>
    <n v="0.40425531914893614"/>
    <n v="0.4689655172413793"/>
    <n v="0.1310344827586207"/>
    <n v="20059"/>
    <s v="Ruhr Auto Plaza"/>
  </r>
  <r>
    <s v="CUST_2761"/>
    <x v="18"/>
    <x v="0"/>
    <s v="Saturday"/>
    <s v="Yes"/>
    <x v="7"/>
    <x v="7"/>
    <s v="Bavaria"/>
    <x v="3"/>
    <s v="GLC"/>
    <s v="Diesel"/>
    <x v="0"/>
    <s v="36-50"/>
    <s v="High"/>
    <x v="1"/>
    <x v="0"/>
    <s v="Sales_19"/>
    <n v="290"/>
    <n v="141"/>
    <n v="101"/>
    <n v="37"/>
    <s v="26.24"/>
    <n v="71787"/>
    <s v="3.23"/>
    <n v="51685"/>
    <n v="2656119"/>
    <n v="743774"/>
    <s v="Feb"/>
    <n v="2"/>
    <n v="2026"/>
    <s v="Weekend"/>
    <n v="0.36633663366336633"/>
    <n v="0.48620689655172411"/>
    <n v="0.12758620689655173"/>
    <n v="20102"/>
    <s v="Bavaria Motors"/>
  </r>
  <r>
    <s v="CUST_2762"/>
    <x v="20"/>
    <x v="0"/>
    <s v="Thursday"/>
    <s v="No"/>
    <x v="1"/>
    <x v="1"/>
    <s v="NRW"/>
    <x v="0"/>
    <s v="X5"/>
    <s v="Diesel"/>
    <x v="0"/>
    <s v="50+"/>
    <s v="Low"/>
    <x v="1"/>
    <x v="3"/>
    <s v="Sales_15"/>
    <n v="146"/>
    <n v="76"/>
    <n v="53"/>
    <n v="21"/>
    <s v="27.63"/>
    <n v="57736"/>
    <s v="3.8"/>
    <n v="43570"/>
    <n v="1212456"/>
    <n v="297486"/>
    <s v="Feb"/>
    <n v="2"/>
    <n v="2026"/>
    <s v="Weekday"/>
    <n v="0.39622641509433965"/>
    <n v="0.52054794520547942"/>
    <n v="0.14383561643835616"/>
    <n v="14166"/>
    <s v="Rhein Auto Group"/>
  </r>
  <r>
    <s v="CUST_2763"/>
    <x v="27"/>
    <x v="3"/>
    <s v="Sunday"/>
    <s v="Yes"/>
    <x v="8"/>
    <x v="8"/>
    <s v="Baden-WÃ¼rttemberg"/>
    <x v="4"/>
    <s v="Golf"/>
    <s v="Diesel"/>
    <x v="2"/>
    <s v="26-35"/>
    <s v="Medium"/>
    <x v="1"/>
    <x v="0"/>
    <s v="Sales_11"/>
    <n v="339"/>
    <n v="189"/>
    <n v="119"/>
    <n v="22"/>
    <s v="11.64"/>
    <n v="26816"/>
    <s v="9.43"/>
    <n v="24288"/>
    <n v="589952"/>
    <n v="55616"/>
    <s v="Feb"/>
    <n v="2"/>
    <n v="2026"/>
    <s v="Weekend"/>
    <n v="0.18487394957983194"/>
    <n v="0.55752212389380529"/>
    <n v="6.4896755162241887E-2"/>
    <n v="2528"/>
    <s v="Stuttgart Auto Center"/>
  </r>
  <r>
    <s v="CUST_2764"/>
    <x v="22"/>
    <x v="3"/>
    <s v="Tuesday"/>
    <s v="No"/>
    <x v="9"/>
    <x v="9"/>
    <s v="NRW"/>
    <x v="4"/>
    <s v="Golf"/>
    <s v="Electric"/>
    <x v="2"/>
    <s v="36-50"/>
    <s v="High"/>
    <x v="1"/>
    <x v="3"/>
    <s v="Sales_19"/>
    <n v="413"/>
    <n v="221"/>
    <n v="148"/>
    <n v="34"/>
    <s v="15.38"/>
    <n v="27736"/>
    <s v="10.54"/>
    <n v="23976"/>
    <n v="943024"/>
    <n v="127840"/>
    <s v="Feb"/>
    <n v="2"/>
    <n v="2026"/>
    <s v="Weekday"/>
    <n v="0.22972972972972974"/>
    <n v="0.53510895883777243"/>
    <n v="8.2324455205811137E-2"/>
    <n v="3760"/>
    <s v="Ruhr Auto Plaza"/>
  </r>
  <r>
    <s v="CUST_2765"/>
    <x v="2"/>
    <x v="2"/>
    <s v="Monday"/>
    <s v="No"/>
    <x v="0"/>
    <x v="0"/>
    <s v="Hesse"/>
    <x v="1"/>
    <s v="Crossland"/>
    <s v="Electric"/>
    <x v="0"/>
    <s v="36-50"/>
    <s v="Medium"/>
    <x v="1"/>
    <x v="2"/>
    <s v="Sales_20"/>
    <n v="394"/>
    <n v="176"/>
    <n v="101"/>
    <n v="28"/>
    <s v="15.91"/>
    <n v="26950"/>
    <s v="9.19"/>
    <n v="24333"/>
    <n v="754600"/>
    <n v="73276"/>
    <s v="Feb"/>
    <n v="2"/>
    <n v="2026"/>
    <s v="Weekday"/>
    <n v="0.27722772277227725"/>
    <n v="0.4467005076142132"/>
    <n v="7.1065989847715741E-2"/>
    <n v="2617"/>
    <s v="Main Auto Hub"/>
  </r>
  <r>
    <s v="CUST_2766"/>
    <x v="27"/>
    <x v="3"/>
    <s v="Sunday"/>
    <s v="Yes"/>
    <x v="1"/>
    <x v="1"/>
    <s v="NRW"/>
    <x v="3"/>
    <s v="E-Class"/>
    <s v="Electric"/>
    <x v="1"/>
    <s v="26-35"/>
    <s v="Low"/>
    <x v="1"/>
    <x v="3"/>
    <s v="Sales_4"/>
    <n v="233"/>
    <n v="118"/>
    <n v="79"/>
    <n v="30"/>
    <s v="25.42"/>
    <n v="70286"/>
    <s v="5.21"/>
    <n v="50619"/>
    <n v="2108580"/>
    <n v="590010"/>
    <s v="Feb"/>
    <n v="2"/>
    <n v="2026"/>
    <s v="Weekend"/>
    <n v="0.379746835443038"/>
    <n v="0.50643776824034337"/>
    <n v="0.12875536480686695"/>
    <n v="19667"/>
    <s v="Rhein Auto Group"/>
  </r>
  <r>
    <s v="CUST_2767"/>
    <x v="22"/>
    <x v="3"/>
    <s v="Tuesday"/>
    <s v="No"/>
    <x v="0"/>
    <x v="0"/>
    <s v="Hesse"/>
    <x v="1"/>
    <s v="Astra"/>
    <s v="Petrol"/>
    <x v="2"/>
    <s v="18-25"/>
    <s v="Medium"/>
    <x v="0"/>
    <x v="0"/>
    <s v="Sales_16"/>
    <n v="411"/>
    <n v="223"/>
    <n v="124"/>
    <n v="31"/>
    <s v="13.9"/>
    <n v="22400"/>
    <s v="7.05"/>
    <n v="20098"/>
    <n v="694400"/>
    <n v="71362"/>
    <s v="Feb"/>
    <n v="2"/>
    <n v="2026"/>
    <s v="Weekday"/>
    <n v="0.25"/>
    <n v="0.54257907542579076"/>
    <n v="7.5425790754257913E-2"/>
    <n v="2302"/>
    <s v="Main Auto Hub"/>
  </r>
  <r>
    <s v="CUST_2768"/>
    <x v="27"/>
    <x v="3"/>
    <s v="Sunday"/>
    <s v="Yes"/>
    <x v="2"/>
    <x v="2"/>
    <s v="Lower Saxony"/>
    <x v="3"/>
    <s v="GLE"/>
    <s v="Electric"/>
    <x v="0"/>
    <s v="18-25"/>
    <s v="Medium"/>
    <x v="1"/>
    <x v="3"/>
    <s v="Sales_10"/>
    <n v="273"/>
    <n v="152"/>
    <n v="110"/>
    <n v="33"/>
    <s v="21.71"/>
    <n v="63598"/>
    <s v="2.27"/>
    <n v="47614"/>
    <n v="2098734"/>
    <n v="527472"/>
    <s v="Feb"/>
    <n v="2"/>
    <n v="2026"/>
    <s v="Weekend"/>
    <n v="0.3"/>
    <n v="0.5567765567765568"/>
    <n v="0.12087912087912088"/>
    <n v="15984"/>
    <s v="Hannover Cars"/>
  </r>
  <r>
    <s v="CUST_2769"/>
    <x v="7"/>
    <x v="3"/>
    <s v="Monday"/>
    <s v="No"/>
    <x v="3"/>
    <x v="3"/>
    <s v="Saxony"/>
    <x v="3"/>
    <s v="C-Class"/>
    <s v="Diesel"/>
    <x v="1"/>
    <s v="26-35"/>
    <s v="High"/>
    <x v="1"/>
    <x v="2"/>
    <s v="Sales_14"/>
    <n v="244"/>
    <n v="135"/>
    <n v="90"/>
    <n v="33"/>
    <s v="24.44"/>
    <n v="55961"/>
    <s v="3.74"/>
    <n v="40053"/>
    <n v="1846713"/>
    <n v="524964"/>
    <s v="Feb"/>
    <n v="2"/>
    <n v="2026"/>
    <s v="Weekday"/>
    <n v="0.36666666666666664"/>
    <n v="0.55327868852459017"/>
    <n v="0.13524590163934427"/>
    <n v="15908"/>
    <s v="Saxon Wheels"/>
  </r>
  <r>
    <s v="CUST_2770"/>
    <x v="11"/>
    <x v="0"/>
    <s v="Wednesday"/>
    <s v="No"/>
    <x v="4"/>
    <x v="4"/>
    <s v="Berlin"/>
    <x v="1"/>
    <s v="Corsa"/>
    <s v="Petrol"/>
    <x v="2"/>
    <s v="26-35"/>
    <s v="Medium"/>
    <x v="0"/>
    <x v="1"/>
    <s v="Sales_16"/>
    <n v="358"/>
    <n v="163"/>
    <n v="111"/>
    <n v="29"/>
    <s v="17.79"/>
    <n v="26365"/>
    <s v="8.77"/>
    <n v="23848"/>
    <n v="764585"/>
    <n v="72993"/>
    <s v="Feb"/>
    <n v="2"/>
    <n v="2026"/>
    <s v="Weekday"/>
    <n v="0.26126126126126126"/>
    <n v="0.45530726256983239"/>
    <n v="8.1005586592178769E-2"/>
    <n v="2517"/>
    <s v="Autohaus Berlin"/>
  </r>
  <r>
    <s v="CUST_2771"/>
    <x v="12"/>
    <x v="3"/>
    <s v="Thursday"/>
    <s v="No"/>
    <x v="0"/>
    <x v="0"/>
    <s v="Hesse"/>
    <x v="3"/>
    <s v="GLC"/>
    <s v="Electric"/>
    <x v="0"/>
    <s v="36-50"/>
    <s v="Low"/>
    <x v="0"/>
    <x v="0"/>
    <s v="Sales_12"/>
    <n v="268"/>
    <n v="118"/>
    <n v="90"/>
    <n v="28"/>
    <s v="23.73"/>
    <n v="66918"/>
    <s v="4.72"/>
    <n v="52208"/>
    <n v="1873704"/>
    <n v="411880"/>
    <s v="Feb"/>
    <n v="2"/>
    <n v="2026"/>
    <s v="Weekday"/>
    <n v="0.31111111111111112"/>
    <n v="0.44029850746268656"/>
    <n v="0.1044776119402985"/>
    <n v="14710"/>
    <s v="Main Auto Hub"/>
  </r>
  <r>
    <s v="CUST_2772"/>
    <x v="14"/>
    <x v="2"/>
    <s v="Friday"/>
    <s v="No"/>
    <x v="9"/>
    <x v="9"/>
    <s v="NRW"/>
    <x v="3"/>
    <s v="C-Class"/>
    <s v="Diesel"/>
    <x v="1"/>
    <s v="36-50"/>
    <s v="Low"/>
    <x v="1"/>
    <x v="3"/>
    <s v="Sales_9"/>
    <n v="184"/>
    <n v="110"/>
    <n v="80"/>
    <n v="23"/>
    <s v="20.91"/>
    <n v="62599"/>
    <s v="5.75"/>
    <n v="46893"/>
    <n v="1439777"/>
    <n v="361238"/>
    <s v="Feb"/>
    <n v="2"/>
    <n v="2026"/>
    <s v="Weekday"/>
    <n v="0.28749999999999998"/>
    <n v="0.59782608695652173"/>
    <n v="0.125"/>
    <n v="15706"/>
    <s v="Ruhr Auto Plaza"/>
  </r>
  <r>
    <s v="CUST_2773"/>
    <x v="9"/>
    <x v="0"/>
    <s v="Sunday"/>
    <s v="Yes"/>
    <x v="6"/>
    <x v="6"/>
    <s v="Saxony"/>
    <x v="0"/>
    <s v="3 Series"/>
    <s v="Diesel"/>
    <x v="1"/>
    <s v="18-25"/>
    <s v="High"/>
    <x v="1"/>
    <x v="2"/>
    <s v="Sales_19"/>
    <n v="141"/>
    <n v="73"/>
    <n v="59"/>
    <n v="22"/>
    <s v="30.14"/>
    <n v="64350"/>
    <s v="3.9"/>
    <n v="50163"/>
    <n v="1415700"/>
    <n v="312114"/>
    <s v="Feb"/>
    <n v="2"/>
    <n v="2026"/>
    <s v="Weekend"/>
    <n v="0.3728813559322034"/>
    <n v="0.51773049645390068"/>
    <n v="0.15602836879432624"/>
    <n v="14187"/>
    <s v="Leipzig Mobility"/>
  </r>
  <r>
    <s v="CUST_2774"/>
    <x v="26"/>
    <x v="1"/>
    <s v="Friday"/>
    <s v="No"/>
    <x v="3"/>
    <x v="3"/>
    <s v="Saxony"/>
    <x v="0"/>
    <s v="5 Series"/>
    <s v="Petrol"/>
    <x v="1"/>
    <s v="50+"/>
    <s v="High"/>
    <x v="1"/>
    <x v="0"/>
    <s v="Sales_1"/>
    <n v="178"/>
    <n v="80"/>
    <n v="65"/>
    <n v="20"/>
    <s v="25.0"/>
    <n v="59509"/>
    <s v="2.8"/>
    <n v="42781"/>
    <n v="1190180"/>
    <n v="334560"/>
    <s v="Feb"/>
    <n v="2"/>
    <n v="2026"/>
    <s v="Weekday"/>
    <n v="0.30769230769230771"/>
    <n v="0.449438202247191"/>
    <n v="0.11235955056179775"/>
    <n v="16728"/>
    <s v="Saxon Wheels"/>
  </r>
  <r>
    <s v="CUST_2775"/>
    <x v="3"/>
    <x v="1"/>
    <s v="Sunday"/>
    <s v="Yes"/>
    <x v="9"/>
    <x v="9"/>
    <s v="NRW"/>
    <x v="0"/>
    <s v="3 Series"/>
    <s v="Diesel"/>
    <x v="1"/>
    <s v="36-50"/>
    <s v="Medium"/>
    <x v="1"/>
    <x v="3"/>
    <s v="Sales_10"/>
    <n v="260"/>
    <n v="133"/>
    <n v="102"/>
    <n v="34"/>
    <s v="25.56"/>
    <n v="54558"/>
    <s v="4.83"/>
    <n v="40205"/>
    <n v="1854972"/>
    <n v="488002"/>
    <s v="Feb"/>
    <n v="2"/>
    <n v="2026"/>
    <s v="Weekend"/>
    <n v="0.33333333333333331"/>
    <n v="0.5115384615384615"/>
    <n v="0.13076923076923078"/>
    <n v="14353"/>
    <s v="Ruhr Auto Plaza"/>
  </r>
  <r>
    <s v="CUST_2776"/>
    <x v="0"/>
    <x v="0"/>
    <s v="Monday"/>
    <s v="No"/>
    <x v="2"/>
    <x v="2"/>
    <s v="Lower Saxony"/>
    <x v="0"/>
    <s v="X3"/>
    <s v="Electric"/>
    <x v="0"/>
    <s v="36-50"/>
    <s v="High"/>
    <x v="1"/>
    <x v="0"/>
    <s v="Sales_18"/>
    <n v="270"/>
    <n v="141"/>
    <n v="112"/>
    <n v="35"/>
    <s v="24.82"/>
    <n v="54563"/>
    <s v="3.72"/>
    <n v="42515"/>
    <n v="1909705"/>
    <n v="421680"/>
    <s v="Feb"/>
    <n v="2"/>
    <n v="2026"/>
    <s v="Weekday"/>
    <n v="0.3125"/>
    <n v="0.52222222222222225"/>
    <n v="0.12962962962962962"/>
    <n v="12048"/>
    <s v="Hannover Cars"/>
  </r>
  <r>
    <s v="CUST_2777"/>
    <x v="9"/>
    <x v="0"/>
    <s v="Sunday"/>
    <s v="Yes"/>
    <x v="0"/>
    <x v="0"/>
    <s v="Hesse"/>
    <x v="3"/>
    <s v="EQE"/>
    <s v="Diesel"/>
    <x v="1"/>
    <s v="36-50"/>
    <s v="Low"/>
    <x v="0"/>
    <x v="3"/>
    <s v="Sales_14"/>
    <n v="152"/>
    <n v="87"/>
    <n v="63"/>
    <n v="20"/>
    <s v="22.99"/>
    <n v="71717"/>
    <s v="2.81"/>
    <n v="56029"/>
    <n v="1434340"/>
    <n v="313760"/>
    <s v="Feb"/>
    <n v="2"/>
    <n v="2026"/>
    <s v="Weekend"/>
    <n v="0.31746031746031744"/>
    <n v="0.57236842105263153"/>
    <n v="0.13157894736842105"/>
    <n v="15688"/>
    <s v="Main Auto Hub"/>
  </r>
  <r>
    <s v="CUST_2778"/>
    <x v="7"/>
    <x v="3"/>
    <s v="Monday"/>
    <s v="No"/>
    <x v="9"/>
    <x v="9"/>
    <s v="NRW"/>
    <x v="2"/>
    <s v="Q3"/>
    <s v="Hybrid"/>
    <x v="0"/>
    <s v="26-35"/>
    <s v="Medium"/>
    <x v="1"/>
    <x v="2"/>
    <s v="Sales_19"/>
    <n v="269"/>
    <n v="143"/>
    <n v="110"/>
    <n v="33"/>
    <s v="23.08"/>
    <n v="45638"/>
    <s v="5.2"/>
    <n v="34776"/>
    <n v="1506054"/>
    <n v="358446"/>
    <s v="Feb"/>
    <n v="2"/>
    <n v="2026"/>
    <s v="Weekday"/>
    <n v="0.3"/>
    <n v="0.53159851301115246"/>
    <n v="0.12267657992565056"/>
    <n v="10862"/>
    <s v="Ruhr Auto Plaza"/>
  </r>
  <r>
    <s v="CUST_2779"/>
    <x v="5"/>
    <x v="3"/>
    <s v="Saturday"/>
    <s v="Yes"/>
    <x v="0"/>
    <x v="0"/>
    <s v="Hesse"/>
    <x v="4"/>
    <s v="Passat"/>
    <s v="Diesel"/>
    <x v="1"/>
    <s v="18-25"/>
    <s v="Low"/>
    <x v="1"/>
    <x v="0"/>
    <s v="Sales_10"/>
    <n v="330"/>
    <n v="155"/>
    <n v="104"/>
    <n v="19"/>
    <s v="12.26"/>
    <n v="28479"/>
    <s v="6.79"/>
    <n v="24879"/>
    <n v="541101"/>
    <n v="68400"/>
    <s v="Feb"/>
    <n v="2"/>
    <n v="2026"/>
    <s v="Weekend"/>
    <n v="0.18269230769230768"/>
    <n v="0.46969696969696972"/>
    <n v="5.7575757575757579E-2"/>
    <n v="3600"/>
    <s v="Main Auto Hub"/>
  </r>
  <r>
    <s v="CUST_2780"/>
    <x v="7"/>
    <x v="3"/>
    <s v="Monday"/>
    <s v="No"/>
    <x v="6"/>
    <x v="6"/>
    <s v="Saxony"/>
    <x v="2"/>
    <s v="e-tron"/>
    <s v="Diesel"/>
    <x v="0"/>
    <s v="50+"/>
    <s v="Medium"/>
    <x v="1"/>
    <x v="2"/>
    <s v="Sales_19"/>
    <n v="167"/>
    <n v="100"/>
    <n v="64"/>
    <n v="26"/>
    <s v="26.0"/>
    <n v="45116"/>
    <s v="5.89"/>
    <n v="34920"/>
    <n v="1173016"/>
    <n v="265096"/>
    <s v="Feb"/>
    <n v="2"/>
    <n v="2026"/>
    <s v="Weekday"/>
    <n v="0.40625"/>
    <n v="0.59880239520958078"/>
    <n v="0.15568862275449102"/>
    <n v="10196"/>
    <s v="Leipzig Mobility"/>
  </r>
  <r>
    <s v="CUST_2781"/>
    <x v="1"/>
    <x v="1"/>
    <s v="Wednesday"/>
    <s v="No"/>
    <x v="9"/>
    <x v="9"/>
    <s v="NRW"/>
    <x v="1"/>
    <s v="Grandland"/>
    <s v="Petrol"/>
    <x v="0"/>
    <s v="50+"/>
    <s v="Low"/>
    <x v="0"/>
    <x v="3"/>
    <s v="Sales_9"/>
    <n v="339"/>
    <n v="147"/>
    <n v="86"/>
    <n v="20"/>
    <s v="13.61"/>
    <n v="25709"/>
    <s v="8.49"/>
    <n v="23426"/>
    <n v="514180"/>
    <n v="45660"/>
    <s v="Feb"/>
    <n v="2"/>
    <n v="2026"/>
    <s v="Weekday"/>
    <n v="0.23255813953488372"/>
    <n v="0.4336283185840708"/>
    <n v="5.8997050147492625E-2"/>
    <n v="2283"/>
    <s v="Ruhr Auto Plaza"/>
  </r>
  <r>
    <s v="CUST_2782"/>
    <x v="12"/>
    <x v="3"/>
    <s v="Thursday"/>
    <s v="No"/>
    <x v="6"/>
    <x v="6"/>
    <s v="Saxony"/>
    <x v="3"/>
    <s v="E-Class"/>
    <s v="Petrol"/>
    <x v="1"/>
    <s v="26-35"/>
    <s v="High"/>
    <x v="1"/>
    <x v="1"/>
    <s v="Sales_19"/>
    <n v="166"/>
    <n v="97"/>
    <n v="67"/>
    <n v="24"/>
    <s v="24.74"/>
    <n v="69458"/>
    <s v="4.31"/>
    <n v="54351"/>
    <n v="1666992"/>
    <n v="362568"/>
    <s v="Feb"/>
    <n v="2"/>
    <n v="2026"/>
    <s v="Weekday"/>
    <n v="0.35820895522388058"/>
    <n v="0.58433734939759041"/>
    <n v="0.14457831325301204"/>
    <n v="15107"/>
    <s v="Leipzig Mobility"/>
  </r>
  <r>
    <s v="CUST_2783"/>
    <x v="27"/>
    <x v="3"/>
    <s v="Sunday"/>
    <s v="Yes"/>
    <x v="8"/>
    <x v="8"/>
    <s v="Baden-WÃ¼rttemberg"/>
    <x v="2"/>
    <s v="A4"/>
    <s v="Petrol"/>
    <x v="1"/>
    <s v="26-35"/>
    <s v="Low"/>
    <x v="1"/>
    <x v="2"/>
    <s v="Sales_16"/>
    <n v="312"/>
    <n v="150"/>
    <n v="115"/>
    <n v="35"/>
    <s v="23.33"/>
    <n v="44446"/>
    <s v="3.22"/>
    <n v="36392"/>
    <n v="1555610"/>
    <n v="281890"/>
    <s v="Feb"/>
    <n v="2"/>
    <n v="2026"/>
    <s v="Weekend"/>
    <n v="0.30434782608695654"/>
    <n v="0.48076923076923078"/>
    <n v="0.11217948717948718"/>
    <n v="8054"/>
    <s v="Stuttgart Auto Center"/>
  </r>
  <r>
    <s v="CUST_2784"/>
    <x v="6"/>
    <x v="2"/>
    <s v="Saturday"/>
    <s v="Yes"/>
    <x v="5"/>
    <x v="5"/>
    <s v="Hamburg"/>
    <x v="3"/>
    <s v="GLE"/>
    <s v="Hybrid"/>
    <x v="0"/>
    <s v="18-25"/>
    <s v="Medium"/>
    <x v="0"/>
    <x v="0"/>
    <s v="Sales_6"/>
    <n v="246"/>
    <n v="146"/>
    <n v="106"/>
    <n v="36"/>
    <s v="24.66"/>
    <n v="52569"/>
    <s v="2.82"/>
    <n v="39333"/>
    <n v="1892484"/>
    <n v="476496"/>
    <s v="Feb"/>
    <n v="2"/>
    <n v="2026"/>
    <s v="Weekend"/>
    <n v="0.33962264150943394"/>
    <n v="0.5934959349593496"/>
    <n v="0.14634146341463414"/>
    <n v="13236"/>
    <s v="Elbe Drive"/>
  </r>
  <r>
    <s v="CUST_2785"/>
    <x v="27"/>
    <x v="3"/>
    <s v="Sunday"/>
    <s v="Yes"/>
    <x v="1"/>
    <x v="1"/>
    <s v="NRW"/>
    <x v="2"/>
    <s v="e-tron"/>
    <s v="Petrol"/>
    <x v="0"/>
    <s v="26-35"/>
    <s v="High"/>
    <x v="1"/>
    <x v="0"/>
    <s v="Sales_1"/>
    <n v="288"/>
    <n v="133"/>
    <n v="96"/>
    <n v="28"/>
    <s v="21.05"/>
    <n v="46698"/>
    <s v="6.21"/>
    <n v="37543"/>
    <n v="1307544"/>
    <n v="256340"/>
    <s v="Feb"/>
    <n v="2"/>
    <n v="2026"/>
    <s v="Weekend"/>
    <n v="0.29166666666666669"/>
    <n v="0.46180555555555558"/>
    <n v="9.7222222222222224E-2"/>
    <n v="9155"/>
    <s v="Rhein Auto Group"/>
  </r>
  <r>
    <s v="CUST_2786"/>
    <x v="24"/>
    <x v="1"/>
    <s v="Thursday"/>
    <s v="No"/>
    <x v="3"/>
    <x v="3"/>
    <s v="Saxony"/>
    <x v="3"/>
    <s v="C-Class"/>
    <s v="Diesel"/>
    <x v="1"/>
    <s v="50+"/>
    <s v="High"/>
    <x v="0"/>
    <x v="2"/>
    <s v="Sales_7"/>
    <n v="149"/>
    <n v="71"/>
    <n v="47"/>
    <n v="19"/>
    <s v="26.76"/>
    <n v="65807"/>
    <s v="3.76"/>
    <n v="49028"/>
    <n v="1250333"/>
    <n v="318801"/>
    <s v="Feb"/>
    <n v="2"/>
    <n v="2026"/>
    <s v="Weekday"/>
    <n v="0.40425531914893614"/>
    <n v="0.47651006711409394"/>
    <n v="0.12751677852348994"/>
    <n v="16779"/>
    <s v="Saxon Wheels"/>
  </r>
  <r>
    <s v="CUST_2787"/>
    <x v="1"/>
    <x v="1"/>
    <s v="Wednesday"/>
    <s v="No"/>
    <x v="1"/>
    <x v="1"/>
    <s v="NRW"/>
    <x v="3"/>
    <s v="GLE"/>
    <s v="Petrol"/>
    <x v="0"/>
    <s v="36-50"/>
    <s v="High"/>
    <x v="1"/>
    <x v="0"/>
    <s v="Sales_19"/>
    <n v="148"/>
    <n v="86"/>
    <n v="58"/>
    <n v="20"/>
    <s v="23.26"/>
    <n v="57302"/>
    <s v="3.03"/>
    <n v="42563"/>
    <n v="1146040"/>
    <n v="294780"/>
    <s v="Feb"/>
    <n v="2"/>
    <n v="2026"/>
    <s v="Weekday"/>
    <n v="0.34482758620689657"/>
    <n v="0.58108108108108103"/>
    <n v="0.13513513513513514"/>
    <n v="14739"/>
    <s v="Rhein Auto Group"/>
  </r>
  <r>
    <s v="CUST_2788"/>
    <x v="14"/>
    <x v="2"/>
    <s v="Friday"/>
    <s v="No"/>
    <x v="9"/>
    <x v="9"/>
    <s v="NRW"/>
    <x v="1"/>
    <s v="Mokka"/>
    <s v="Diesel"/>
    <x v="0"/>
    <s v="26-35"/>
    <s v="Low"/>
    <x v="0"/>
    <x v="0"/>
    <s v="Sales_5"/>
    <n v="415"/>
    <n v="196"/>
    <n v="116"/>
    <n v="24"/>
    <s v="12.24"/>
    <n v="20568"/>
    <s v="12.26"/>
    <n v="18878"/>
    <n v="493632"/>
    <n v="40560"/>
    <s v="Feb"/>
    <n v="2"/>
    <n v="2026"/>
    <s v="Weekday"/>
    <n v="0.20689655172413793"/>
    <n v="0.472289156626506"/>
    <n v="5.7831325301204821E-2"/>
    <n v="1690"/>
    <s v="Ruhr Auto Plaza"/>
  </r>
  <r>
    <s v="CUST_2789"/>
    <x v="27"/>
    <x v="3"/>
    <s v="Sunday"/>
    <s v="Yes"/>
    <x v="7"/>
    <x v="7"/>
    <s v="Bavaria"/>
    <x v="0"/>
    <s v="i4"/>
    <s v="Diesel"/>
    <x v="1"/>
    <s v="18-25"/>
    <s v="Medium"/>
    <x v="1"/>
    <x v="0"/>
    <s v="Sales_20"/>
    <n v="236"/>
    <n v="135"/>
    <n v="95"/>
    <n v="40"/>
    <s v="29.63"/>
    <n v="64580"/>
    <s v="2.95"/>
    <n v="50305"/>
    <n v="2583200"/>
    <n v="571000"/>
    <s v="Feb"/>
    <n v="2"/>
    <n v="2026"/>
    <s v="Weekend"/>
    <n v="0.42105263157894735"/>
    <n v="0.57203389830508478"/>
    <n v="0.16949152542372881"/>
    <n v="14275"/>
    <s v="Bavaria Motors"/>
  </r>
  <r>
    <s v="CUST_2790"/>
    <x v="26"/>
    <x v="1"/>
    <s v="Friday"/>
    <s v="No"/>
    <x v="9"/>
    <x v="9"/>
    <s v="NRW"/>
    <x v="0"/>
    <s v="X3"/>
    <s v="Diesel"/>
    <x v="0"/>
    <s v="36-50"/>
    <s v="Medium"/>
    <x v="1"/>
    <x v="0"/>
    <s v="Sales_18"/>
    <n v="200"/>
    <n v="111"/>
    <n v="84"/>
    <n v="28"/>
    <s v="25.23"/>
    <n v="51857"/>
    <s v="2.03"/>
    <n v="38136"/>
    <n v="1451996"/>
    <n v="384188"/>
    <s v="Feb"/>
    <n v="2"/>
    <n v="2026"/>
    <s v="Weekday"/>
    <n v="0.33333333333333331"/>
    <n v="0.55500000000000005"/>
    <n v="0.14000000000000001"/>
    <n v="13721"/>
    <s v="Ruhr Auto Plaza"/>
  </r>
  <r>
    <s v="CUST_2791"/>
    <x v="6"/>
    <x v="2"/>
    <s v="Saturday"/>
    <s v="Yes"/>
    <x v="4"/>
    <x v="4"/>
    <s v="Berlin"/>
    <x v="1"/>
    <s v="Corsa"/>
    <s v="Petrol"/>
    <x v="2"/>
    <s v="18-25"/>
    <s v="Medium"/>
    <x v="1"/>
    <x v="1"/>
    <s v="Sales_4"/>
    <n v="375"/>
    <n v="165"/>
    <n v="96"/>
    <n v="30"/>
    <s v="18.18"/>
    <n v="20192"/>
    <s v="13.99"/>
    <n v="18311"/>
    <n v="605760"/>
    <n v="56430"/>
    <s v="Feb"/>
    <n v="2"/>
    <n v="2026"/>
    <s v="Weekend"/>
    <n v="0.3125"/>
    <n v="0.44"/>
    <n v="0.08"/>
    <n v="1881"/>
    <s v="Autohaus Berlin"/>
  </r>
  <r>
    <s v="CUST_2792"/>
    <x v="13"/>
    <x v="0"/>
    <s v="Friday"/>
    <s v="No"/>
    <x v="8"/>
    <x v="8"/>
    <s v="Baden-WÃ¼rttemberg"/>
    <x v="2"/>
    <s v="A3"/>
    <s v="Hybrid"/>
    <x v="2"/>
    <s v="26-35"/>
    <s v="High"/>
    <x v="0"/>
    <x v="2"/>
    <s v="Sales_10"/>
    <n v="260"/>
    <n v="119"/>
    <n v="81"/>
    <n v="32"/>
    <s v="26.89"/>
    <n v="51139"/>
    <s v="4.09"/>
    <n v="39787"/>
    <n v="1636448"/>
    <n v="363264"/>
    <s v="Feb"/>
    <n v="2"/>
    <n v="2026"/>
    <s v="Weekday"/>
    <n v="0.39506172839506171"/>
    <n v="0.45769230769230768"/>
    <n v="0.12307692307692308"/>
    <n v="11352"/>
    <s v="Stuttgart Auto Center"/>
  </r>
  <r>
    <s v="CUST_2793"/>
    <x v="18"/>
    <x v="0"/>
    <s v="Saturday"/>
    <s v="Yes"/>
    <x v="4"/>
    <x v="4"/>
    <s v="Berlin"/>
    <x v="1"/>
    <s v="Mokka"/>
    <s v="Hybrid"/>
    <x v="0"/>
    <s v="50+"/>
    <s v="Medium"/>
    <x v="1"/>
    <x v="2"/>
    <s v="Sales_17"/>
    <n v="286"/>
    <n v="117"/>
    <n v="70"/>
    <n v="22"/>
    <s v="18.8"/>
    <n v="20025"/>
    <s v="11.4"/>
    <n v="17937"/>
    <n v="440550"/>
    <n v="45936"/>
    <s v="Feb"/>
    <n v="2"/>
    <n v="2026"/>
    <s v="Weekend"/>
    <n v="0.31428571428571428"/>
    <n v="0.40909090909090912"/>
    <n v="7.6923076923076927E-2"/>
    <n v="2088"/>
    <s v="Autohaus Berlin"/>
  </r>
  <r>
    <s v="CUST_2794"/>
    <x v="23"/>
    <x v="2"/>
    <s v="Tuesday"/>
    <s v="No"/>
    <x v="7"/>
    <x v="7"/>
    <s v="Bavaria"/>
    <x v="1"/>
    <s v="Corsa"/>
    <s v="Diesel"/>
    <x v="2"/>
    <s v="26-35"/>
    <s v="Low"/>
    <x v="0"/>
    <x v="0"/>
    <s v="Sales_5"/>
    <n v="227"/>
    <n v="102"/>
    <n v="59"/>
    <n v="15"/>
    <s v="14.71"/>
    <n v="23738"/>
    <s v="13.24"/>
    <n v="21867"/>
    <n v="356070"/>
    <n v="28065"/>
    <s v="Feb"/>
    <n v="2"/>
    <n v="2026"/>
    <s v="Weekday"/>
    <n v="0.25423728813559321"/>
    <n v="0.44933920704845814"/>
    <n v="6.6079295154185022E-2"/>
    <n v="1871"/>
    <s v="Bavaria Motors"/>
  </r>
  <r>
    <s v="CUST_2795"/>
    <x v="13"/>
    <x v="0"/>
    <s v="Friday"/>
    <s v="No"/>
    <x v="6"/>
    <x v="6"/>
    <s v="Saxony"/>
    <x v="4"/>
    <s v="Tiguan"/>
    <s v="Diesel"/>
    <x v="0"/>
    <s v="36-50"/>
    <s v="Medium"/>
    <x v="1"/>
    <x v="0"/>
    <s v="Sales_5"/>
    <n v="352"/>
    <n v="184"/>
    <n v="120"/>
    <n v="28"/>
    <s v="15.22"/>
    <n v="33495"/>
    <s v="6.97"/>
    <n v="29707"/>
    <n v="937860"/>
    <n v="106064"/>
    <s v="Feb"/>
    <n v="2"/>
    <n v="2026"/>
    <s v="Weekday"/>
    <n v="0.23333333333333334"/>
    <n v="0.52272727272727271"/>
    <n v="7.9545454545454544E-2"/>
    <n v="3788"/>
    <s v="Leipzig Mobility"/>
  </r>
  <r>
    <s v="CUST_2796"/>
    <x v="1"/>
    <x v="1"/>
    <s v="Wednesday"/>
    <s v="No"/>
    <x v="5"/>
    <x v="5"/>
    <s v="Hamburg"/>
    <x v="0"/>
    <s v="5 Series"/>
    <s v="Electric"/>
    <x v="1"/>
    <s v="18-25"/>
    <s v="Medium"/>
    <x v="0"/>
    <x v="0"/>
    <s v="Sales_9"/>
    <n v="229"/>
    <n v="138"/>
    <n v="97"/>
    <n v="40"/>
    <s v="28.99"/>
    <n v="50821"/>
    <s v="3.33"/>
    <n v="36380"/>
    <n v="2032840"/>
    <n v="577640"/>
    <s v="Feb"/>
    <n v="2"/>
    <n v="2026"/>
    <s v="Weekday"/>
    <n v="0.41237113402061853"/>
    <n v="0.6026200873362445"/>
    <n v="0.17467248908296942"/>
    <n v="14441"/>
    <s v="Elbe Drive"/>
  </r>
  <r>
    <s v="CUST_2797"/>
    <x v="20"/>
    <x v="0"/>
    <s v="Thursday"/>
    <s v="No"/>
    <x v="1"/>
    <x v="1"/>
    <s v="NRW"/>
    <x v="0"/>
    <s v="X5"/>
    <s v="Hybrid"/>
    <x v="0"/>
    <s v="18-25"/>
    <s v="Low"/>
    <x v="0"/>
    <x v="0"/>
    <s v="Sales_5"/>
    <n v="244"/>
    <n v="126"/>
    <n v="88"/>
    <n v="35"/>
    <s v="27.78"/>
    <n v="52551"/>
    <s v="2.85"/>
    <n v="37222"/>
    <n v="1839285"/>
    <n v="536515"/>
    <s v="Feb"/>
    <n v="2"/>
    <n v="2026"/>
    <s v="Weekday"/>
    <n v="0.39772727272727271"/>
    <n v="0.51639344262295084"/>
    <n v="0.14344262295081966"/>
    <n v="15329"/>
    <s v="Rhein Auto Group"/>
  </r>
  <r>
    <s v="CUST_2798"/>
    <x v="6"/>
    <x v="2"/>
    <s v="Saturday"/>
    <s v="Yes"/>
    <x v="5"/>
    <x v="5"/>
    <s v="Hamburg"/>
    <x v="1"/>
    <s v="Corsa"/>
    <s v="Diesel"/>
    <x v="2"/>
    <s v="26-35"/>
    <s v="Medium"/>
    <x v="1"/>
    <x v="2"/>
    <s v="Sales_18"/>
    <n v="411"/>
    <n v="215"/>
    <n v="126"/>
    <n v="36"/>
    <s v="16.74"/>
    <n v="26273"/>
    <s v="8.66"/>
    <n v="23923"/>
    <n v="945828"/>
    <n v="84600"/>
    <s v="Feb"/>
    <n v="2"/>
    <n v="2026"/>
    <s v="Weekend"/>
    <n v="0.2857142857142857"/>
    <n v="0.52311435523114358"/>
    <n v="8.7591240875912413E-2"/>
    <n v="2350"/>
    <s v="Elbe Drive"/>
  </r>
  <r>
    <s v="CUST_2799"/>
    <x v="26"/>
    <x v="1"/>
    <s v="Friday"/>
    <s v="No"/>
    <x v="6"/>
    <x v="6"/>
    <s v="Saxony"/>
    <x v="1"/>
    <s v="Crossland"/>
    <s v="Hybrid"/>
    <x v="0"/>
    <s v="50+"/>
    <s v="Medium"/>
    <x v="1"/>
    <x v="0"/>
    <s v="Sales_10"/>
    <n v="406"/>
    <n v="215"/>
    <n v="121"/>
    <n v="32"/>
    <s v="14.88"/>
    <n v="19684"/>
    <s v="11.64"/>
    <n v="18091"/>
    <n v="629888"/>
    <n v="50976"/>
    <s v="Feb"/>
    <n v="2"/>
    <n v="2026"/>
    <s v="Weekday"/>
    <n v="0.26446280991735538"/>
    <n v="0.52955665024630538"/>
    <n v="7.8817733990147784E-2"/>
    <n v="1593"/>
    <s v="Leipzig Mobility"/>
  </r>
  <r>
    <s v="CUST_2800"/>
    <x v="20"/>
    <x v="0"/>
    <s v="Thursday"/>
    <s v="No"/>
    <x v="5"/>
    <x v="5"/>
    <s v="Hamburg"/>
    <x v="1"/>
    <s v="Astra"/>
    <s v="Diesel"/>
    <x v="2"/>
    <s v="18-25"/>
    <s v="Low"/>
    <x v="0"/>
    <x v="0"/>
    <s v="Sales_2"/>
    <n v="372"/>
    <n v="199"/>
    <n v="133"/>
    <n v="36"/>
    <s v="18.09"/>
    <n v="23701"/>
    <s v="12.89"/>
    <n v="21160"/>
    <n v="853236"/>
    <n v="91476"/>
    <s v="Feb"/>
    <n v="2"/>
    <n v="2026"/>
    <s v="Weekday"/>
    <n v="0.27067669172932329"/>
    <n v="0.53494623655913975"/>
    <n v="9.6774193548387094E-2"/>
    <n v="2541"/>
    <s v="Elbe Drive"/>
  </r>
  <r>
    <s v="CUST_2801"/>
    <x v="10"/>
    <x v="1"/>
    <s v="Monday"/>
    <s v="No"/>
    <x v="2"/>
    <x v="2"/>
    <s v="Lower Saxony"/>
    <x v="4"/>
    <s v="ID.4"/>
    <s v="Hybrid"/>
    <x v="0"/>
    <s v="26-35"/>
    <s v="Medium"/>
    <x v="1"/>
    <x v="0"/>
    <s v="Sales_14"/>
    <n v="307"/>
    <n v="126"/>
    <n v="86"/>
    <n v="18"/>
    <s v="14.29"/>
    <n v="29281"/>
    <s v="10.39"/>
    <n v="26491"/>
    <n v="527058"/>
    <n v="50220"/>
    <s v="Feb"/>
    <n v="2"/>
    <n v="2026"/>
    <s v="Weekday"/>
    <n v="0.20930232558139536"/>
    <n v="0.41042345276872966"/>
    <n v="5.8631921824104233E-2"/>
    <n v="2790"/>
    <s v="Hannover Cars"/>
  </r>
  <r>
    <s v="CUST_2802"/>
    <x v="2"/>
    <x v="2"/>
    <s v="Monday"/>
    <s v="No"/>
    <x v="0"/>
    <x v="0"/>
    <s v="Hesse"/>
    <x v="3"/>
    <s v="C-Class"/>
    <s v="Petrol"/>
    <x v="1"/>
    <s v="50+"/>
    <s v="High"/>
    <x v="0"/>
    <x v="3"/>
    <s v="Sales_12"/>
    <n v="265"/>
    <n v="149"/>
    <n v="101"/>
    <n v="34"/>
    <s v="22.82"/>
    <n v="69054"/>
    <s v="4.05"/>
    <n v="50349"/>
    <n v="2347836"/>
    <n v="635970"/>
    <s v="Feb"/>
    <n v="2"/>
    <n v="2026"/>
    <s v="Weekday"/>
    <n v="0.33663366336633666"/>
    <n v="0.56226415094339621"/>
    <n v="0.12830188679245283"/>
    <n v="18705"/>
    <s v="Main Auto Hub"/>
  </r>
  <r>
    <s v="CUST_2803"/>
    <x v="12"/>
    <x v="3"/>
    <s v="Thursday"/>
    <s v="No"/>
    <x v="3"/>
    <x v="3"/>
    <s v="Saxony"/>
    <x v="4"/>
    <s v="Tiguan"/>
    <s v="Electric"/>
    <x v="0"/>
    <s v="18-25"/>
    <s v="High"/>
    <x v="1"/>
    <x v="3"/>
    <s v="Sales_14"/>
    <n v="281"/>
    <n v="160"/>
    <n v="104"/>
    <n v="25"/>
    <s v="15.62"/>
    <n v="30566"/>
    <s v="6.38"/>
    <n v="27586"/>
    <n v="764150"/>
    <n v="74500"/>
    <s v="Feb"/>
    <n v="2"/>
    <n v="2026"/>
    <s v="Weekday"/>
    <n v="0.24038461538461539"/>
    <n v="0.56939501779359436"/>
    <n v="8.8967971530249115E-2"/>
    <n v="2980"/>
    <s v="Saxon Wheels"/>
  </r>
  <r>
    <s v="CUST_2804"/>
    <x v="11"/>
    <x v="0"/>
    <s v="Wednesday"/>
    <s v="No"/>
    <x v="1"/>
    <x v="1"/>
    <s v="NRW"/>
    <x v="3"/>
    <s v="E-Class"/>
    <s v="Diesel"/>
    <x v="1"/>
    <s v="26-35"/>
    <s v="Low"/>
    <x v="0"/>
    <x v="2"/>
    <s v="Sales_16"/>
    <n v="233"/>
    <n v="126"/>
    <n v="90"/>
    <n v="38"/>
    <s v="30.16"/>
    <n v="73174"/>
    <s v="2.26"/>
    <n v="57215"/>
    <n v="2780612"/>
    <n v="606442"/>
    <s v="Feb"/>
    <n v="2"/>
    <n v="2026"/>
    <s v="Weekday"/>
    <n v="0.42222222222222222"/>
    <n v="0.54077253218884125"/>
    <n v="0.1630901287553648"/>
    <n v="15959"/>
    <s v="Rhein Auto Group"/>
  </r>
  <r>
    <s v="CUST_2805"/>
    <x v="12"/>
    <x v="3"/>
    <s v="Thursday"/>
    <s v="No"/>
    <x v="7"/>
    <x v="7"/>
    <s v="Bavaria"/>
    <x v="4"/>
    <s v="Passat"/>
    <s v="Petrol"/>
    <x v="1"/>
    <s v="50+"/>
    <s v="Low"/>
    <x v="1"/>
    <x v="1"/>
    <s v="Sales_15"/>
    <n v="413"/>
    <n v="230"/>
    <n v="135"/>
    <n v="45"/>
    <s v="19.57"/>
    <n v="29319"/>
    <s v="8.26"/>
    <n v="25762"/>
    <n v="1319355"/>
    <n v="160065"/>
    <s v="Feb"/>
    <n v="2"/>
    <n v="2026"/>
    <s v="Weekday"/>
    <n v="0.33333333333333331"/>
    <n v="0.55690072639225185"/>
    <n v="0.10895883777239709"/>
    <n v="3557"/>
    <s v="Bavaria Motors"/>
  </r>
  <r>
    <s v="CUST_2806"/>
    <x v="14"/>
    <x v="2"/>
    <s v="Friday"/>
    <s v="No"/>
    <x v="0"/>
    <x v="0"/>
    <s v="Hesse"/>
    <x v="0"/>
    <s v="5 Series"/>
    <s v="Hybrid"/>
    <x v="1"/>
    <s v="18-25"/>
    <s v="Medium"/>
    <x v="0"/>
    <x v="2"/>
    <s v="Sales_11"/>
    <n v="184"/>
    <n v="86"/>
    <n v="61"/>
    <n v="28"/>
    <s v="32.56"/>
    <n v="56897"/>
    <s v="4.47"/>
    <n v="42471"/>
    <n v="1593116"/>
    <n v="403928"/>
    <s v="Feb"/>
    <n v="2"/>
    <n v="2026"/>
    <s v="Weekday"/>
    <n v="0.45901639344262296"/>
    <n v="0.46739130434782611"/>
    <n v="0.15217391304347827"/>
    <n v="14426"/>
    <s v="Main Auto Hub"/>
  </r>
  <r>
    <s v="CUST_2807"/>
    <x v="17"/>
    <x v="2"/>
    <s v="Sunday"/>
    <s v="Yes"/>
    <x v="9"/>
    <x v="9"/>
    <s v="NRW"/>
    <x v="3"/>
    <s v="E-Class"/>
    <s v="Petrol"/>
    <x v="1"/>
    <s v="26-35"/>
    <s v="High"/>
    <x v="0"/>
    <x v="0"/>
    <s v="Sales_10"/>
    <n v="250"/>
    <n v="126"/>
    <n v="97"/>
    <n v="27"/>
    <s v="21.43"/>
    <n v="69968"/>
    <s v="5.4"/>
    <n v="49784"/>
    <n v="1889136"/>
    <n v="544968"/>
    <s v="Feb"/>
    <n v="2"/>
    <n v="2026"/>
    <s v="Weekend"/>
    <n v="0.27835051546391754"/>
    <n v="0.504"/>
    <n v="0.108"/>
    <n v="20184"/>
    <s v="Ruhr Auto Plaza"/>
  </r>
  <r>
    <s v="CUST_2808"/>
    <x v="26"/>
    <x v="1"/>
    <s v="Friday"/>
    <s v="No"/>
    <x v="6"/>
    <x v="6"/>
    <s v="Saxony"/>
    <x v="0"/>
    <s v="X5"/>
    <s v="Petrol"/>
    <x v="0"/>
    <s v="26-35"/>
    <s v="Medium"/>
    <x v="1"/>
    <x v="2"/>
    <s v="Sales_16"/>
    <n v="222"/>
    <n v="104"/>
    <n v="74"/>
    <n v="30"/>
    <s v="28.85"/>
    <n v="66165"/>
    <s v="4.03"/>
    <n v="49636"/>
    <n v="1984950"/>
    <n v="495870"/>
    <s v="Feb"/>
    <n v="2"/>
    <n v="2026"/>
    <s v="Weekday"/>
    <n v="0.40540540540540543"/>
    <n v="0.46846846846846846"/>
    <n v="0.13513513513513514"/>
    <n v="16529"/>
    <s v="Leipzig Mobility"/>
  </r>
  <r>
    <s v="CUST_2809"/>
    <x v="8"/>
    <x v="3"/>
    <s v="Wednesday"/>
    <s v="No"/>
    <x v="0"/>
    <x v="0"/>
    <s v="Hesse"/>
    <x v="3"/>
    <s v="GLC"/>
    <s v="Petrol"/>
    <x v="0"/>
    <s v="36-50"/>
    <s v="Low"/>
    <x v="0"/>
    <x v="0"/>
    <s v="Sales_2"/>
    <n v="172"/>
    <n v="91"/>
    <n v="66"/>
    <n v="21"/>
    <s v="23.08"/>
    <n v="66251"/>
    <s v="5.22"/>
    <n v="49590"/>
    <n v="1391271"/>
    <n v="349881"/>
    <s v="Feb"/>
    <n v="2"/>
    <n v="2026"/>
    <s v="Weekday"/>
    <n v="0.31818181818181818"/>
    <n v="0.52906976744186052"/>
    <n v="0.12209302325581395"/>
    <n v="16661"/>
    <s v="Main Auto Hub"/>
  </r>
  <r>
    <s v="CUST_2810"/>
    <x v="8"/>
    <x v="3"/>
    <s v="Wednesday"/>
    <s v="No"/>
    <x v="5"/>
    <x v="5"/>
    <s v="Hamburg"/>
    <x v="3"/>
    <s v="EQE"/>
    <s v="Diesel"/>
    <x v="1"/>
    <s v="18-25"/>
    <s v="Low"/>
    <x v="1"/>
    <x v="3"/>
    <s v="Sales_5"/>
    <n v="191"/>
    <n v="113"/>
    <n v="86"/>
    <n v="28"/>
    <s v="24.78"/>
    <n v="65533"/>
    <s v="5.04"/>
    <n v="47208"/>
    <n v="1834924"/>
    <n v="513100"/>
    <s v="Feb"/>
    <n v="2"/>
    <n v="2026"/>
    <s v="Weekday"/>
    <n v="0.32558139534883723"/>
    <n v="0.59162303664921467"/>
    <n v="0.14659685863874344"/>
    <n v="18325"/>
    <s v="Elbe Drive"/>
  </r>
  <r>
    <s v="CUST_2811"/>
    <x v="19"/>
    <x v="1"/>
    <s v="Saturday"/>
    <s v="Yes"/>
    <x v="6"/>
    <x v="6"/>
    <s v="Saxony"/>
    <x v="1"/>
    <s v="Grandland"/>
    <s v="Diesel"/>
    <x v="0"/>
    <s v="36-50"/>
    <s v="High"/>
    <x v="0"/>
    <x v="2"/>
    <s v="Sales_3"/>
    <n v="245"/>
    <n v="120"/>
    <n v="79"/>
    <n v="19"/>
    <s v="15.83"/>
    <n v="24889"/>
    <s v="8.81"/>
    <n v="23046"/>
    <n v="472891"/>
    <n v="35017"/>
    <s v="Feb"/>
    <n v="2"/>
    <n v="2026"/>
    <s v="Weekend"/>
    <n v="0.24050632911392406"/>
    <n v="0.48979591836734693"/>
    <n v="7.7551020408163265E-2"/>
    <n v="1843"/>
    <s v="Leipzig Mobility"/>
  </r>
  <r>
    <s v="CUST_2812"/>
    <x v="7"/>
    <x v="3"/>
    <s v="Monday"/>
    <s v="No"/>
    <x v="5"/>
    <x v="5"/>
    <s v="Hamburg"/>
    <x v="3"/>
    <s v="E-Class"/>
    <s v="Diesel"/>
    <x v="1"/>
    <s v="36-50"/>
    <s v="High"/>
    <x v="1"/>
    <x v="2"/>
    <s v="Sales_12"/>
    <n v="272"/>
    <n v="130"/>
    <n v="96"/>
    <n v="35"/>
    <s v="26.92"/>
    <n v="50314"/>
    <s v="4.76"/>
    <n v="37535"/>
    <n v="1760990"/>
    <n v="447265"/>
    <s v="Feb"/>
    <n v="2"/>
    <n v="2026"/>
    <s v="Weekday"/>
    <n v="0.36458333333333331"/>
    <n v="0.47794117647058826"/>
    <n v="0.12867647058823528"/>
    <n v="12779"/>
    <s v="Elbe Drive"/>
  </r>
  <r>
    <s v="CUST_2813"/>
    <x v="20"/>
    <x v="0"/>
    <s v="Thursday"/>
    <s v="No"/>
    <x v="0"/>
    <x v="0"/>
    <s v="Hesse"/>
    <x v="1"/>
    <s v="Corsa"/>
    <s v="Hybrid"/>
    <x v="2"/>
    <s v="36-50"/>
    <s v="Medium"/>
    <x v="0"/>
    <x v="0"/>
    <s v="Sales_12"/>
    <n v="278"/>
    <n v="126"/>
    <n v="71"/>
    <n v="19"/>
    <s v="15.08"/>
    <n v="23545"/>
    <s v="8.89"/>
    <n v="21824"/>
    <n v="447355"/>
    <n v="32699"/>
    <s v="Feb"/>
    <n v="2"/>
    <n v="2026"/>
    <s v="Weekday"/>
    <n v="0.26760563380281688"/>
    <n v="0.45323741007194246"/>
    <n v="6.83453237410072E-2"/>
    <n v="1721"/>
    <s v="Main Auto Hub"/>
  </r>
  <r>
    <s v="CUST_2814"/>
    <x v="2"/>
    <x v="2"/>
    <s v="Monday"/>
    <s v="No"/>
    <x v="2"/>
    <x v="2"/>
    <s v="Lower Saxony"/>
    <x v="0"/>
    <s v="X3"/>
    <s v="Electric"/>
    <x v="0"/>
    <s v="50+"/>
    <s v="High"/>
    <x v="0"/>
    <x v="0"/>
    <s v="Sales_18"/>
    <n v="250"/>
    <n v="118"/>
    <n v="83"/>
    <n v="30"/>
    <s v="25.42"/>
    <n v="62388"/>
    <s v="5.03"/>
    <n v="47768"/>
    <n v="1871640"/>
    <n v="438600"/>
    <s v="Feb"/>
    <n v="2"/>
    <n v="2026"/>
    <s v="Weekday"/>
    <n v="0.36144578313253012"/>
    <n v="0.47199999999999998"/>
    <n v="0.12"/>
    <n v="14620"/>
    <s v="Hannover Cars"/>
  </r>
  <r>
    <s v="CUST_2815"/>
    <x v="12"/>
    <x v="3"/>
    <s v="Thursday"/>
    <s v="No"/>
    <x v="2"/>
    <x v="2"/>
    <s v="Lower Saxony"/>
    <x v="4"/>
    <s v="Tiguan"/>
    <s v="Hybrid"/>
    <x v="0"/>
    <s v="18-25"/>
    <s v="Medium"/>
    <x v="1"/>
    <x v="1"/>
    <s v="Sales_12"/>
    <n v="469"/>
    <n v="234"/>
    <n v="152"/>
    <n v="42"/>
    <s v="17.95"/>
    <n v="33752"/>
    <s v="6.08"/>
    <n v="30562"/>
    <n v="1417584"/>
    <n v="133980"/>
    <s v="Feb"/>
    <n v="2"/>
    <n v="2026"/>
    <s v="Weekday"/>
    <n v="0.27631578947368424"/>
    <n v="0.49893390191897652"/>
    <n v="8.9552238805970144E-2"/>
    <n v="3190"/>
    <s v="Hannover Cars"/>
  </r>
  <r>
    <s v="CUST_2816"/>
    <x v="19"/>
    <x v="1"/>
    <s v="Saturday"/>
    <s v="Yes"/>
    <x v="3"/>
    <x v="3"/>
    <s v="Saxony"/>
    <x v="1"/>
    <s v="Corsa"/>
    <s v="Diesel"/>
    <x v="2"/>
    <s v="26-35"/>
    <s v="High"/>
    <x v="0"/>
    <x v="2"/>
    <s v="Sales_10"/>
    <n v="237"/>
    <n v="120"/>
    <n v="75"/>
    <n v="23"/>
    <s v="19.17"/>
    <n v="22563"/>
    <s v="13.01"/>
    <n v="20174"/>
    <n v="518949"/>
    <n v="54947"/>
    <s v="Feb"/>
    <n v="2"/>
    <n v="2026"/>
    <s v="Weekend"/>
    <n v="0.30666666666666664"/>
    <n v="0.50632911392405067"/>
    <n v="9.7046413502109699E-2"/>
    <n v="2389"/>
    <s v="Saxon Wheels"/>
  </r>
  <r>
    <s v="CUST_2817"/>
    <x v="27"/>
    <x v="3"/>
    <s v="Sunday"/>
    <s v="Yes"/>
    <x v="0"/>
    <x v="0"/>
    <s v="Hesse"/>
    <x v="0"/>
    <s v="i4"/>
    <s v="Petrol"/>
    <x v="1"/>
    <s v="50+"/>
    <s v="Low"/>
    <x v="0"/>
    <x v="1"/>
    <s v="Sales_5"/>
    <n v="266"/>
    <n v="120"/>
    <n v="89"/>
    <n v="31"/>
    <s v="25.83"/>
    <n v="66574"/>
    <s v="3.08"/>
    <n v="48268"/>
    <n v="2063794"/>
    <n v="567486"/>
    <s v="Feb"/>
    <n v="2"/>
    <n v="2026"/>
    <s v="Weekend"/>
    <n v="0.34831460674157305"/>
    <n v="0.45112781954887216"/>
    <n v="0.11654135338345864"/>
    <n v="18306"/>
    <s v="Main Auto Hub"/>
  </r>
  <r>
    <s v="CUST_2818"/>
    <x v="4"/>
    <x v="2"/>
    <s v="Wednesday"/>
    <s v="No"/>
    <x v="7"/>
    <x v="7"/>
    <s v="Bavaria"/>
    <x v="2"/>
    <s v="e-tron"/>
    <s v="Petrol"/>
    <x v="0"/>
    <s v="36-50"/>
    <s v="High"/>
    <x v="0"/>
    <x v="0"/>
    <s v="Sales_18"/>
    <n v="223"/>
    <n v="106"/>
    <n v="75"/>
    <n v="23"/>
    <s v="21.7"/>
    <n v="54282"/>
    <s v="5.91"/>
    <n v="41605"/>
    <n v="1248486"/>
    <n v="291571"/>
    <s v="Feb"/>
    <n v="2"/>
    <n v="2026"/>
    <s v="Weekday"/>
    <n v="0.30666666666666664"/>
    <n v="0.47533632286995514"/>
    <n v="0.1031390134529148"/>
    <n v="12677"/>
    <s v="Bavaria Motors"/>
  </r>
  <r>
    <s v="CUST_2819"/>
    <x v="15"/>
    <x v="2"/>
    <s v="Thursday"/>
    <s v="No"/>
    <x v="7"/>
    <x v="7"/>
    <s v="Bavaria"/>
    <x v="1"/>
    <s v="Corsa"/>
    <s v="Hybrid"/>
    <x v="2"/>
    <s v="36-50"/>
    <s v="High"/>
    <x v="0"/>
    <x v="2"/>
    <s v="Sales_10"/>
    <n v="408"/>
    <n v="178"/>
    <n v="107"/>
    <n v="37"/>
    <s v="20.79"/>
    <n v="20763"/>
    <s v="11.63"/>
    <n v="18681"/>
    <n v="768231"/>
    <n v="77034"/>
    <s v="Feb"/>
    <n v="2"/>
    <n v="2026"/>
    <s v="Weekday"/>
    <n v="0.34579439252336447"/>
    <n v="0.43627450980392157"/>
    <n v="9.0686274509803919E-2"/>
    <n v="2082"/>
    <s v="Bavaria Motors"/>
  </r>
  <r>
    <s v="CUST_2820"/>
    <x v="15"/>
    <x v="2"/>
    <s v="Thursday"/>
    <s v="No"/>
    <x v="2"/>
    <x v="2"/>
    <s v="Lower Saxony"/>
    <x v="4"/>
    <s v="ID.4"/>
    <s v="Electric"/>
    <x v="0"/>
    <s v="18-25"/>
    <s v="High"/>
    <x v="1"/>
    <x v="2"/>
    <s v="Sales_5"/>
    <n v="356"/>
    <n v="194"/>
    <n v="138"/>
    <n v="35"/>
    <s v="18.04"/>
    <n v="32455"/>
    <s v="11.77"/>
    <n v="29082"/>
    <n v="1135925"/>
    <n v="118055"/>
    <s v="Feb"/>
    <n v="2"/>
    <n v="2026"/>
    <s v="Weekday"/>
    <n v="0.25362318840579712"/>
    <n v="0.5449438202247191"/>
    <n v="9.8314606741573038E-2"/>
    <n v="3373"/>
    <s v="Hannover Cars"/>
  </r>
  <r>
    <s v="CUST_2821"/>
    <x v="10"/>
    <x v="1"/>
    <s v="Monday"/>
    <s v="No"/>
    <x v="3"/>
    <x v="3"/>
    <s v="Saxony"/>
    <x v="0"/>
    <s v="3 Series"/>
    <s v="Petrol"/>
    <x v="1"/>
    <s v="50+"/>
    <s v="Medium"/>
    <x v="1"/>
    <x v="2"/>
    <s v="Sales_17"/>
    <n v="212"/>
    <n v="116"/>
    <n v="90"/>
    <n v="31"/>
    <s v="26.72"/>
    <n v="58157"/>
    <s v="3.27"/>
    <n v="44555"/>
    <n v="1802867"/>
    <n v="421662"/>
    <s v="Feb"/>
    <n v="2"/>
    <n v="2026"/>
    <s v="Weekday"/>
    <n v="0.34444444444444444"/>
    <n v="0.54716981132075471"/>
    <n v="0.14622641509433962"/>
    <n v="13602"/>
    <s v="Saxon Wheels"/>
  </r>
  <r>
    <s v="CUST_2822"/>
    <x v="16"/>
    <x v="1"/>
    <s v="Tuesday"/>
    <s v="No"/>
    <x v="1"/>
    <x v="1"/>
    <s v="NRW"/>
    <x v="4"/>
    <s v="Golf"/>
    <s v="Electric"/>
    <x v="2"/>
    <s v="36-50"/>
    <s v="Low"/>
    <x v="1"/>
    <x v="0"/>
    <s v="Sales_17"/>
    <n v="351"/>
    <n v="184"/>
    <n v="128"/>
    <n v="29"/>
    <s v="15.76"/>
    <n v="27330"/>
    <s v="8.23"/>
    <n v="23693"/>
    <n v="792570"/>
    <n v="105473"/>
    <s v="Feb"/>
    <n v="2"/>
    <n v="2026"/>
    <s v="Weekday"/>
    <n v="0.2265625"/>
    <n v="0.5242165242165242"/>
    <n v="8.2621082621082614E-2"/>
    <n v="3637"/>
    <s v="Rhein Auto Group"/>
  </r>
  <r>
    <s v="CUST_2823"/>
    <x v="24"/>
    <x v="1"/>
    <s v="Thursday"/>
    <s v="No"/>
    <x v="9"/>
    <x v="9"/>
    <s v="NRW"/>
    <x v="3"/>
    <s v="GLC"/>
    <s v="Petrol"/>
    <x v="0"/>
    <s v="50+"/>
    <s v="Low"/>
    <x v="1"/>
    <x v="2"/>
    <s v="Sales_17"/>
    <n v="288"/>
    <n v="131"/>
    <n v="98"/>
    <n v="35"/>
    <s v="26.72"/>
    <n v="53454"/>
    <s v="4.77"/>
    <n v="41071"/>
    <n v="1870890"/>
    <n v="433405"/>
    <s v="Feb"/>
    <n v="2"/>
    <n v="2026"/>
    <s v="Weekday"/>
    <n v="0.35714285714285715"/>
    <n v="0.4548611111111111"/>
    <n v="0.12152777777777778"/>
    <n v="12383"/>
    <s v="Ruhr Auto Plaza"/>
  </r>
  <r>
    <s v="CUST_2824"/>
    <x v="11"/>
    <x v="0"/>
    <s v="Wednesday"/>
    <s v="No"/>
    <x v="0"/>
    <x v="0"/>
    <s v="Hesse"/>
    <x v="1"/>
    <s v="Mokka"/>
    <s v="Diesel"/>
    <x v="0"/>
    <s v="36-50"/>
    <s v="High"/>
    <x v="1"/>
    <x v="1"/>
    <s v="Sales_7"/>
    <n v="310"/>
    <n v="124"/>
    <n v="73"/>
    <n v="21"/>
    <s v="16.94"/>
    <n v="24324"/>
    <s v="8.87"/>
    <n v="22214"/>
    <n v="510804"/>
    <n v="44310"/>
    <s v="Feb"/>
    <n v="2"/>
    <n v="2026"/>
    <s v="Weekday"/>
    <n v="0.28767123287671231"/>
    <n v="0.4"/>
    <n v="6.7741935483870974E-2"/>
    <n v="2110"/>
    <s v="Main Auto Hub"/>
  </r>
  <r>
    <s v="CUST_2825"/>
    <x v="25"/>
    <x v="3"/>
    <s v="Friday"/>
    <s v="No"/>
    <x v="8"/>
    <x v="8"/>
    <s v="Baden-WÃ¼rttemberg"/>
    <x v="4"/>
    <s v="Passat"/>
    <s v="Hybrid"/>
    <x v="1"/>
    <s v="36-50"/>
    <s v="Medium"/>
    <x v="0"/>
    <x v="1"/>
    <s v="Sales_15"/>
    <n v="436"/>
    <n v="191"/>
    <n v="114"/>
    <n v="35"/>
    <s v="18.32"/>
    <n v="31747"/>
    <s v="7.32"/>
    <n v="28036"/>
    <n v="1111145"/>
    <n v="129885"/>
    <s v="Feb"/>
    <n v="2"/>
    <n v="2026"/>
    <s v="Weekday"/>
    <n v="0.30701754385964913"/>
    <n v="0.43807339449541283"/>
    <n v="8.027522935779817E-2"/>
    <n v="3711"/>
    <s v="Stuttgart Auto Center"/>
  </r>
  <r>
    <s v="CUST_2826"/>
    <x v="3"/>
    <x v="1"/>
    <s v="Sunday"/>
    <s v="Yes"/>
    <x v="5"/>
    <x v="5"/>
    <s v="Hamburg"/>
    <x v="2"/>
    <s v="Q5"/>
    <s v="Petrol"/>
    <x v="0"/>
    <s v="18-25"/>
    <s v="Low"/>
    <x v="0"/>
    <x v="1"/>
    <s v="Sales_2"/>
    <n v="175"/>
    <n v="85"/>
    <n v="65"/>
    <n v="19"/>
    <s v="22.35"/>
    <n v="55535"/>
    <s v="3.34"/>
    <n v="44909"/>
    <n v="1055165"/>
    <n v="201894"/>
    <s v="Feb"/>
    <n v="2"/>
    <n v="2026"/>
    <s v="Weekend"/>
    <n v="0.29230769230769232"/>
    <n v="0.48571428571428571"/>
    <n v="0.10857142857142857"/>
    <n v="10626"/>
    <s v="Elbe Drive"/>
  </r>
  <r>
    <s v="CUST_2827"/>
    <x v="21"/>
    <x v="0"/>
    <s v="Tuesday"/>
    <s v="No"/>
    <x v="4"/>
    <x v="4"/>
    <s v="Berlin"/>
    <x v="4"/>
    <s v="Tiguan"/>
    <s v="Electric"/>
    <x v="0"/>
    <s v="18-25"/>
    <s v="High"/>
    <x v="0"/>
    <x v="0"/>
    <s v="Sales_16"/>
    <n v="326"/>
    <n v="188"/>
    <n v="123"/>
    <n v="26"/>
    <s v="13.83"/>
    <n v="27936"/>
    <s v="10.64"/>
    <n v="25010"/>
    <n v="726336"/>
    <n v="76076"/>
    <s v="Feb"/>
    <n v="2"/>
    <n v="2026"/>
    <s v="Weekday"/>
    <n v="0.21138211382113822"/>
    <n v="0.57668711656441718"/>
    <n v="7.9754601226993863E-2"/>
    <n v="2926"/>
    <s v="Autohaus Berlin"/>
  </r>
  <r>
    <s v="CUST_2828"/>
    <x v="26"/>
    <x v="1"/>
    <s v="Friday"/>
    <s v="No"/>
    <x v="0"/>
    <x v="0"/>
    <s v="Hesse"/>
    <x v="4"/>
    <s v="Passat"/>
    <s v="Diesel"/>
    <x v="1"/>
    <s v="50+"/>
    <s v="High"/>
    <x v="0"/>
    <x v="3"/>
    <s v="Sales_4"/>
    <n v="489"/>
    <n v="238"/>
    <n v="156"/>
    <n v="39"/>
    <s v="16.39"/>
    <n v="26740"/>
    <s v="7.3"/>
    <n v="23455"/>
    <n v="1042860"/>
    <n v="128115"/>
    <s v="Feb"/>
    <n v="2"/>
    <n v="2026"/>
    <s v="Weekday"/>
    <n v="0.25"/>
    <n v="0.48670756646216767"/>
    <n v="7.9754601226993863E-2"/>
    <n v="3285"/>
    <s v="Main Auto Hub"/>
  </r>
  <r>
    <s v="CUST_2829"/>
    <x v="7"/>
    <x v="3"/>
    <s v="Monday"/>
    <s v="No"/>
    <x v="0"/>
    <x v="0"/>
    <s v="Hesse"/>
    <x v="1"/>
    <s v="Astra"/>
    <s v="Hybrid"/>
    <x v="2"/>
    <s v="36-50"/>
    <s v="High"/>
    <x v="0"/>
    <x v="1"/>
    <s v="Sales_3"/>
    <n v="425"/>
    <n v="178"/>
    <n v="117"/>
    <n v="28"/>
    <s v="15.73"/>
    <n v="23843"/>
    <s v="8.57"/>
    <n v="21723"/>
    <n v="667604"/>
    <n v="59360"/>
    <s v="Feb"/>
    <n v="2"/>
    <n v="2026"/>
    <s v="Weekday"/>
    <n v="0.23931623931623933"/>
    <n v="0.41882352941176471"/>
    <n v="6.5882352941176475E-2"/>
    <n v="2120"/>
    <s v="Main Auto Hub"/>
  </r>
  <r>
    <s v="CUST_2830"/>
    <x v="5"/>
    <x v="3"/>
    <s v="Saturday"/>
    <s v="Yes"/>
    <x v="8"/>
    <x v="8"/>
    <s v="Baden-WÃ¼rttemberg"/>
    <x v="3"/>
    <s v="C-Class"/>
    <s v="Electric"/>
    <x v="1"/>
    <s v="36-50"/>
    <s v="High"/>
    <x v="0"/>
    <x v="1"/>
    <s v="Sales_10"/>
    <n v="204"/>
    <n v="103"/>
    <n v="80"/>
    <n v="27"/>
    <s v="26.21"/>
    <n v="53055"/>
    <s v="5.96"/>
    <n v="37763"/>
    <n v="1432485"/>
    <n v="412884"/>
    <s v="Feb"/>
    <n v="2"/>
    <n v="2026"/>
    <s v="Weekend"/>
    <n v="0.33750000000000002"/>
    <n v="0.50490196078431371"/>
    <n v="0.13235294117647059"/>
    <n v="15292"/>
    <s v="Stuttgart Auto Center"/>
  </r>
  <r>
    <s v="CUST_2831"/>
    <x v="24"/>
    <x v="1"/>
    <s v="Thursday"/>
    <s v="No"/>
    <x v="6"/>
    <x v="6"/>
    <s v="Saxony"/>
    <x v="3"/>
    <s v="EQE"/>
    <s v="Hybrid"/>
    <x v="1"/>
    <s v="26-35"/>
    <s v="Low"/>
    <x v="1"/>
    <x v="1"/>
    <s v="Sales_10"/>
    <n v="157"/>
    <n v="86"/>
    <n v="62"/>
    <n v="21"/>
    <s v="24.42"/>
    <n v="49969"/>
    <s v="4.44"/>
    <n v="36956"/>
    <n v="1049349"/>
    <n v="273273"/>
    <s v="Feb"/>
    <n v="2"/>
    <n v="2026"/>
    <s v="Weekday"/>
    <n v="0.33870967741935482"/>
    <n v="0.54777070063694266"/>
    <n v="0.13375796178343949"/>
    <n v="13013"/>
    <s v="Leipzig Mobility"/>
  </r>
  <r>
    <s v="CUST_2832"/>
    <x v="18"/>
    <x v="0"/>
    <s v="Saturday"/>
    <s v="Yes"/>
    <x v="5"/>
    <x v="5"/>
    <s v="Hamburg"/>
    <x v="4"/>
    <s v="Passat"/>
    <s v="Hybrid"/>
    <x v="1"/>
    <s v="50+"/>
    <s v="Medium"/>
    <x v="0"/>
    <x v="0"/>
    <s v="Sales_2"/>
    <n v="262"/>
    <n v="136"/>
    <n v="89"/>
    <n v="21"/>
    <s v="15.44"/>
    <n v="30351"/>
    <s v="7.77"/>
    <n v="26105"/>
    <n v="637371"/>
    <n v="89166"/>
    <s v="Feb"/>
    <n v="2"/>
    <n v="2026"/>
    <s v="Weekend"/>
    <n v="0.23595505617977527"/>
    <n v="0.51908396946564883"/>
    <n v="8.0152671755725186E-2"/>
    <n v="4246"/>
    <s v="Elbe Drive"/>
  </r>
  <r>
    <s v="CUST_2833"/>
    <x v="27"/>
    <x v="3"/>
    <s v="Sunday"/>
    <s v="Yes"/>
    <x v="5"/>
    <x v="5"/>
    <s v="Hamburg"/>
    <x v="3"/>
    <s v="E-Class"/>
    <s v="Hybrid"/>
    <x v="1"/>
    <s v="36-50"/>
    <s v="High"/>
    <x v="0"/>
    <x v="0"/>
    <s v="Sales_8"/>
    <n v="265"/>
    <n v="118"/>
    <n v="80"/>
    <n v="29"/>
    <s v="24.58"/>
    <n v="70759"/>
    <s v="4.95"/>
    <n v="54256"/>
    <n v="2052011"/>
    <n v="478587"/>
    <s v="Feb"/>
    <n v="2"/>
    <n v="2026"/>
    <s v="Weekend"/>
    <n v="0.36249999999999999"/>
    <n v="0.44528301886792454"/>
    <n v="0.10943396226415095"/>
    <n v="16503"/>
    <s v="Elbe Drive"/>
  </r>
  <r>
    <s v="CUST_2834"/>
    <x v="21"/>
    <x v="0"/>
    <s v="Tuesday"/>
    <s v="No"/>
    <x v="8"/>
    <x v="8"/>
    <s v="Baden-WÃ¼rttemberg"/>
    <x v="2"/>
    <s v="A4"/>
    <s v="Petrol"/>
    <x v="1"/>
    <s v="18-25"/>
    <s v="Medium"/>
    <x v="1"/>
    <x v="1"/>
    <s v="Sales_17"/>
    <n v="166"/>
    <n v="102"/>
    <n v="73"/>
    <n v="24"/>
    <s v="23.53"/>
    <n v="47179"/>
    <s v="5.11"/>
    <n v="37442"/>
    <n v="1132296"/>
    <n v="233688"/>
    <s v="Feb"/>
    <n v="2"/>
    <n v="2026"/>
    <s v="Weekday"/>
    <n v="0.32876712328767121"/>
    <n v="0.61445783132530118"/>
    <n v="0.14457831325301204"/>
    <n v="9737"/>
    <s v="Stuttgart Auto Center"/>
  </r>
  <r>
    <s v="CUST_2835"/>
    <x v="8"/>
    <x v="3"/>
    <s v="Wednesday"/>
    <s v="No"/>
    <x v="2"/>
    <x v="2"/>
    <s v="Lower Saxony"/>
    <x v="3"/>
    <s v="GLE"/>
    <s v="Hybrid"/>
    <x v="0"/>
    <s v="36-50"/>
    <s v="Medium"/>
    <x v="0"/>
    <x v="1"/>
    <s v="Sales_1"/>
    <n v="155"/>
    <n v="70"/>
    <n v="53"/>
    <n v="18"/>
    <s v="25.71"/>
    <n v="68415"/>
    <s v="3.63"/>
    <n v="53598"/>
    <n v="1231470"/>
    <n v="266706"/>
    <s v="Feb"/>
    <n v="2"/>
    <n v="2026"/>
    <s v="Weekday"/>
    <n v="0.33962264150943394"/>
    <n v="0.45161290322580644"/>
    <n v="0.11612903225806452"/>
    <n v="14817"/>
    <s v="Hannover Cars"/>
  </r>
  <r>
    <s v="CUST_2836"/>
    <x v="7"/>
    <x v="3"/>
    <s v="Monday"/>
    <s v="No"/>
    <x v="7"/>
    <x v="7"/>
    <s v="Bavaria"/>
    <x v="2"/>
    <s v="Q3"/>
    <s v="Petrol"/>
    <x v="0"/>
    <s v="50+"/>
    <s v="High"/>
    <x v="1"/>
    <x v="1"/>
    <s v="Sales_10"/>
    <n v="239"/>
    <n v="118"/>
    <n v="88"/>
    <n v="27"/>
    <s v="22.88"/>
    <n v="39981"/>
    <s v="5.21"/>
    <n v="30508"/>
    <n v="1079487"/>
    <n v="255771"/>
    <s v="Feb"/>
    <n v="2"/>
    <n v="2026"/>
    <s v="Weekday"/>
    <n v="0.30681818181818182"/>
    <n v="0.49372384937238495"/>
    <n v="0.11297071129707113"/>
    <n v="9473"/>
    <s v="Bavaria Motors"/>
  </r>
  <r>
    <s v="CUST_2837"/>
    <x v="7"/>
    <x v="3"/>
    <s v="Monday"/>
    <s v="No"/>
    <x v="6"/>
    <x v="6"/>
    <s v="Saxony"/>
    <x v="4"/>
    <s v="Tiguan"/>
    <s v="Petrol"/>
    <x v="0"/>
    <s v="18-25"/>
    <s v="Low"/>
    <x v="0"/>
    <x v="1"/>
    <s v="Sales_3"/>
    <n v="345"/>
    <n v="179"/>
    <n v="104"/>
    <n v="33"/>
    <s v="18.44"/>
    <n v="31978"/>
    <s v="11.9"/>
    <n v="28454"/>
    <n v="1055274"/>
    <n v="116292"/>
    <s v="Feb"/>
    <n v="2"/>
    <n v="2026"/>
    <s v="Weekday"/>
    <n v="0.31730769230769229"/>
    <n v="0.51884057971014497"/>
    <n v="9.5652173913043481E-2"/>
    <n v="3524"/>
    <s v="Leipzig Mobility"/>
  </r>
  <r>
    <s v="CUST_2838"/>
    <x v="1"/>
    <x v="1"/>
    <s v="Wednesday"/>
    <s v="No"/>
    <x v="3"/>
    <x v="3"/>
    <s v="Saxony"/>
    <x v="0"/>
    <s v="X5"/>
    <s v="Hybrid"/>
    <x v="0"/>
    <s v="26-35"/>
    <s v="Low"/>
    <x v="0"/>
    <x v="2"/>
    <s v="Sales_1"/>
    <n v="253"/>
    <n v="138"/>
    <n v="109"/>
    <n v="45"/>
    <s v="32.61"/>
    <n v="60993"/>
    <s v="5.42"/>
    <n v="43275"/>
    <n v="2744685"/>
    <n v="797310"/>
    <s v="Feb"/>
    <n v="2"/>
    <n v="2026"/>
    <s v="Weekday"/>
    <n v="0.41284403669724773"/>
    <n v="0.54545454545454541"/>
    <n v="0.17786561264822134"/>
    <n v="17718"/>
    <s v="Saxon Wheels"/>
  </r>
  <r>
    <s v="CUST_2839"/>
    <x v="10"/>
    <x v="1"/>
    <s v="Monday"/>
    <s v="No"/>
    <x v="3"/>
    <x v="3"/>
    <s v="Saxony"/>
    <x v="3"/>
    <s v="E-Class"/>
    <s v="Diesel"/>
    <x v="1"/>
    <s v="26-35"/>
    <s v="High"/>
    <x v="1"/>
    <x v="1"/>
    <s v="Sales_13"/>
    <n v="179"/>
    <n v="101"/>
    <n v="68"/>
    <n v="24"/>
    <s v="23.76"/>
    <n v="54778"/>
    <s v="5.69"/>
    <n v="42388"/>
    <n v="1314672"/>
    <n v="297360"/>
    <s v="Feb"/>
    <n v="2"/>
    <n v="2026"/>
    <s v="Weekday"/>
    <n v="0.35294117647058826"/>
    <n v="0.56424581005586594"/>
    <n v="0.13407821229050279"/>
    <n v="12390"/>
    <s v="Saxon Wheels"/>
  </r>
  <r>
    <s v="CUST_2840"/>
    <x v="2"/>
    <x v="2"/>
    <s v="Monday"/>
    <s v="No"/>
    <x v="3"/>
    <x v="3"/>
    <s v="Saxony"/>
    <x v="1"/>
    <s v="Crossland"/>
    <s v="Hybrid"/>
    <x v="0"/>
    <s v="26-35"/>
    <s v="Medium"/>
    <x v="1"/>
    <x v="1"/>
    <s v="Sales_8"/>
    <n v="347"/>
    <n v="161"/>
    <n v="103"/>
    <n v="23"/>
    <s v="14.29"/>
    <n v="19567"/>
    <s v="13.13"/>
    <n v="17716"/>
    <n v="450041"/>
    <n v="42573"/>
    <s v="Feb"/>
    <n v="2"/>
    <n v="2026"/>
    <s v="Weekday"/>
    <n v="0.22330097087378642"/>
    <n v="0.46397694524495675"/>
    <n v="6.6282420749279536E-2"/>
    <n v="1851"/>
    <s v="Saxon Wheels"/>
  </r>
  <r>
    <s v="CUST_2841"/>
    <x v="12"/>
    <x v="3"/>
    <s v="Thursday"/>
    <s v="No"/>
    <x v="6"/>
    <x v="6"/>
    <s v="Saxony"/>
    <x v="2"/>
    <s v="Q3"/>
    <s v="Hybrid"/>
    <x v="0"/>
    <s v="26-35"/>
    <s v="High"/>
    <x v="0"/>
    <x v="3"/>
    <s v="Sales_11"/>
    <n v="171"/>
    <n v="103"/>
    <n v="76"/>
    <n v="20"/>
    <s v="19.42"/>
    <n v="49098"/>
    <s v="6.36"/>
    <n v="38295"/>
    <n v="981960"/>
    <n v="216060"/>
    <s v="Feb"/>
    <n v="2"/>
    <n v="2026"/>
    <s v="Weekday"/>
    <n v="0.26315789473684209"/>
    <n v="0.60233918128654973"/>
    <n v="0.11695906432748537"/>
    <n v="10803"/>
    <s v="Leipzig Mobility"/>
  </r>
  <r>
    <s v="CUST_2842"/>
    <x v="12"/>
    <x v="3"/>
    <s v="Thursday"/>
    <s v="No"/>
    <x v="1"/>
    <x v="1"/>
    <s v="NRW"/>
    <x v="4"/>
    <s v="Golf"/>
    <s v="Diesel"/>
    <x v="2"/>
    <s v="26-35"/>
    <s v="Medium"/>
    <x v="1"/>
    <x v="2"/>
    <s v="Sales_2"/>
    <n v="355"/>
    <n v="162"/>
    <n v="99"/>
    <n v="32"/>
    <s v="19.75"/>
    <n v="33174"/>
    <s v="10.59"/>
    <n v="29722"/>
    <n v="1061568"/>
    <n v="110464"/>
    <s v="Feb"/>
    <n v="2"/>
    <n v="2026"/>
    <s v="Weekday"/>
    <n v="0.32323232323232326"/>
    <n v="0.45633802816901409"/>
    <n v="9.014084507042254E-2"/>
    <n v="3452"/>
    <s v="Rhein Auto Group"/>
  </r>
  <r>
    <s v="CUST_2843"/>
    <x v="4"/>
    <x v="2"/>
    <s v="Wednesday"/>
    <s v="No"/>
    <x v="7"/>
    <x v="7"/>
    <s v="Bavaria"/>
    <x v="0"/>
    <s v="i4"/>
    <s v="Electric"/>
    <x v="1"/>
    <s v="36-50"/>
    <s v="Medium"/>
    <x v="0"/>
    <x v="3"/>
    <s v="Sales_3"/>
    <n v="185"/>
    <n v="86"/>
    <n v="59"/>
    <n v="23"/>
    <s v="26.74"/>
    <n v="51914"/>
    <s v="5.15"/>
    <n v="37243"/>
    <n v="1194022"/>
    <n v="337433"/>
    <s v="Feb"/>
    <n v="2"/>
    <n v="2026"/>
    <s v="Weekday"/>
    <n v="0.38983050847457629"/>
    <n v="0.46486486486486489"/>
    <n v="0.12432432432432433"/>
    <n v="14671"/>
    <s v="Bavaria Motors"/>
  </r>
  <r>
    <s v="CUST_2844"/>
    <x v="9"/>
    <x v="0"/>
    <s v="Sunday"/>
    <s v="Yes"/>
    <x v="7"/>
    <x v="7"/>
    <s v="Bavaria"/>
    <x v="1"/>
    <s v="Grandland"/>
    <s v="Hybrid"/>
    <x v="0"/>
    <s v="36-50"/>
    <s v="High"/>
    <x v="1"/>
    <x v="0"/>
    <s v="Sales_16"/>
    <n v="281"/>
    <n v="145"/>
    <n v="82"/>
    <n v="18"/>
    <s v="12.41"/>
    <n v="21680"/>
    <s v="8.55"/>
    <n v="20138"/>
    <n v="390240"/>
    <n v="27756"/>
    <s v="Feb"/>
    <n v="2"/>
    <n v="2026"/>
    <s v="Weekend"/>
    <n v="0.21951219512195122"/>
    <n v="0.51601423487544484"/>
    <n v="6.4056939501779361E-2"/>
    <n v="1542"/>
    <s v="Bavaria Motors"/>
  </r>
  <r>
    <s v="CUST_2845"/>
    <x v="0"/>
    <x v="0"/>
    <s v="Monday"/>
    <s v="No"/>
    <x v="1"/>
    <x v="1"/>
    <s v="NRW"/>
    <x v="2"/>
    <s v="A4"/>
    <s v="Diesel"/>
    <x v="1"/>
    <s v="18-25"/>
    <s v="Medium"/>
    <x v="1"/>
    <x v="3"/>
    <s v="Sales_8"/>
    <n v="317"/>
    <n v="193"/>
    <n v="147"/>
    <n v="40"/>
    <s v="20.73"/>
    <n v="56058"/>
    <s v="3.04"/>
    <n v="43642"/>
    <n v="2242320"/>
    <n v="496640"/>
    <s v="Feb"/>
    <n v="2"/>
    <n v="2026"/>
    <s v="Weekday"/>
    <n v="0.27210884353741499"/>
    <n v="0.60883280757097791"/>
    <n v="0.12618296529968454"/>
    <n v="12416"/>
    <s v="Rhein Auto Group"/>
  </r>
  <r>
    <s v="CUST_2846"/>
    <x v="23"/>
    <x v="2"/>
    <s v="Tuesday"/>
    <s v="No"/>
    <x v="3"/>
    <x v="3"/>
    <s v="Saxony"/>
    <x v="2"/>
    <s v="Q5"/>
    <s v="Hybrid"/>
    <x v="0"/>
    <s v="36-50"/>
    <s v="High"/>
    <x v="0"/>
    <x v="2"/>
    <s v="Sales_8"/>
    <n v="246"/>
    <n v="143"/>
    <n v="98"/>
    <n v="37"/>
    <s v="25.87"/>
    <n v="46813"/>
    <s v="7.0"/>
    <n v="37637"/>
    <n v="1732081"/>
    <n v="339512"/>
    <s v="Feb"/>
    <n v="2"/>
    <n v="2026"/>
    <s v="Weekday"/>
    <n v="0.37755102040816324"/>
    <n v="0.58130081300813008"/>
    <n v="0.15040650406504066"/>
    <n v="9176"/>
    <s v="Saxon Wheels"/>
  </r>
  <r>
    <s v="CUST_2847"/>
    <x v="16"/>
    <x v="1"/>
    <s v="Tuesday"/>
    <s v="No"/>
    <x v="5"/>
    <x v="5"/>
    <s v="Hamburg"/>
    <x v="0"/>
    <s v="X3"/>
    <s v="Electric"/>
    <x v="0"/>
    <s v="50+"/>
    <s v="Medium"/>
    <x v="0"/>
    <x v="2"/>
    <s v="Sales_20"/>
    <n v="279"/>
    <n v="127"/>
    <n v="94"/>
    <n v="38"/>
    <s v="29.92"/>
    <n v="67010"/>
    <s v="5.95"/>
    <n v="48835"/>
    <n v="2546380"/>
    <n v="690650"/>
    <s v="Feb"/>
    <n v="2"/>
    <n v="2026"/>
    <s v="Weekday"/>
    <n v="0.40425531914893614"/>
    <n v="0.45519713261648748"/>
    <n v="0.13620071684587814"/>
    <n v="18175"/>
    <s v="Elbe Drive"/>
  </r>
  <r>
    <s v="CUST_2848"/>
    <x v="2"/>
    <x v="2"/>
    <s v="Monday"/>
    <s v="No"/>
    <x v="5"/>
    <x v="5"/>
    <s v="Hamburg"/>
    <x v="2"/>
    <s v="Q3"/>
    <s v="Diesel"/>
    <x v="0"/>
    <s v="26-35"/>
    <s v="High"/>
    <x v="0"/>
    <x v="2"/>
    <s v="Sales_3"/>
    <n v="189"/>
    <n v="118"/>
    <n v="76"/>
    <n v="32"/>
    <s v="27.12"/>
    <n v="47013"/>
    <s v="4.28"/>
    <n v="36712"/>
    <n v="1504416"/>
    <n v="329632"/>
    <s v="Feb"/>
    <n v="2"/>
    <n v="2026"/>
    <s v="Weekday"/>
    <n v="0.42105263157894735"/>
    <n v="0.6243386243386243"/>
    <n v="0.1693121693121693"/>
    <n v="10301"/>
    <s v="Elbe Drive"/>
  </r>
  <r>
    <s v="CUST_2849"/>
    <x v="21"/>
    <x v="0"/>
    <s v="Tuesday"/>
    <s v="No"/>
    <x v="9"/>
    <x v="9"/>
    <s v="NRW"/>
    <x v="2"/>
    <s v="e-tron"/>
    <s v="Petrol"/>
    <x v="0"/>
    <s v="26-35"/>
    <s v="Low"/>
    <x v="1"/>
    <x v="2"/>
    <s v="Sales_6"/>
    <n v="169"/>
    <n v="80"/>
    <n v="52"/>
    <n v="17"/>
    <s v="21.25"/>
    <n v="47433"/>
    <s v="4.23"/>
    <n v="38499"/>
    <n v="806361"/>
    <n v="151878"/>
    <s v="Feb"/>
    <n v="2"/>
    <n v="2026"/>
    <s v="Weekday"/>
    <n v="0.32692307692307693"/>
    <n v="0.47337278106508873"/>
    <n v="0.10059171597633136"/>
    <n v="8934"/>
    <s v="Ruhr Auto Plaza"/>
  </r>
  <r>
    <s v="CUST_2850"/>
    <x v="17"/>
    <x v="2"/>
    <s v="Sunday"/>
    <s v="Yes"/>
    <x v="7"/>
    <x v="7"/>
    <s v="Bavaria"/>
    <x v="0"/>
    <s v="X3"/>
    <s v="Petrol"/>
    <x v="0"/>
    <s v="18-25"/>
    <s v="Medium"/>
    <x v="1"/>
    <x v="1"/>
    <s v="Sales_10"/>
    <n v="182"/>
    <n v="92"/>
    <n v="69"/>
    <n v="26"/>
    <s v="28.26"/>
    <n v="55508"/>
    <s v="2.59"/>
    <n v="39050"/>
    <n v="1443208"/>
    <n v="427908"/>
    <s v="Feb"/>
    <n v="2"/>
    <n v="2026"/>
    <s v="Weekend"/>
    <n v="0.37681159420289856"/>
    <n v="0.50549450549450547"/>
    <n v="0.14285714285714285"/>
    <n v="16458"/>
    <s v="Bavaria Motors"/>
  </r>
  <r>
    <s v="CUST_2851"/>
    <x v="23"/>
    <x v="2"/>
    <s v="Tuesday"/>
    <s v="No"/>
    <x v="4"/>
    <x v="4"/>
    <s v="Berlin"/>
    <x v="3"/>
    <s v="GLC"/>
    <s v="Electric"/>
    <x v="0"/>
    <s v="36-50"/>
    <s v="Low"/>
    <x v="0"/>
    <x v="0"/>
    <s v="Sales_15"/>
    <n v="258"/>
    <n v="128"/>
    <n v="86"/>
    <n v="31"/>
    <s v="24.22"/>
    <n v="69892"/>
    <s v="4.24"/>
    <n v="49808"/>
    <n v="2166652"/>
    <n v="622604"/>
    <s v="Feb"/>
    <n v="2"/>
    <n v="2026"/>
    <s v="Weekday"/>
    <n v="0.36046511627906974"/>
    <n v="0.49612403100775193"/>
    <n v="0.12015503875968993"/>
    <n v="20084"/>
    <s v="Autohaus Berlin"/>
  </r>
  <r>
    <s v="CUST_2852"/>
    <x v="21"/>
    <x v="0"/>
    <s v="Tuesday"/>
    <s v="No"/>
    <x v="5"/>
    <x v="5"/>
    <s v="Hamburg"/>
    <x v="2"/>
    <s v="A3"/>
    <s v="Hybrid"/>
    <x v="2"/>
    <s v="36-50"/>
    <s v="Medium"/>
    <x v="0"/>
    <x v="1"/>
    <s v="Sales_7"/>
    <n v="240"/>
    <n v="130"/>
    <n v="94"/>
    <n v="36"/>
    <s v="27.69"/>
    <n v="46643"/>
    <s v="5.03"/>
    <n v="36674"/>
    <n v="1679148"/>
    <n v="358884"/>
    <s v="Feb"/>
    <n v="2"/>
    <n v="2026"/>
    <s v="Weekday"/>
    <n v="0.38297872340425532"/>
    <n v="0.54166666666666663"/>
    <n v="0.15"/>
    <n v="9969"/>
    <s v="Elbe Drive"/>
  </r>
  <r>
    <s v="CUST_2853"/>
    <x v="4"/>
    <x v="2"/>
    <s v="Wednesday"/>
    <s v="No"/>
    <x v="8"/>
    <x v="8"/>
    <s v="Baden-WÃ¼rttemberg"/>
    <x v="3"/>
    <s v="GLC"/>
    <s v="Diesel"/>
    <x v="0"/>
    <s v="36-50"/>
    <s v="Low"/>
    <x v="1"/>
    <x v="3"/>
    <s v="Sales_14"/>
    <n v="159"/>
    <n v="86"/>
    <n v="57"/>
    <n v="20"/>
    <s v="23.26"/>
    <n v="58118"/>
    <s v="4.86"/>
    <n v="44011"/>
    <n v="1162360"/>
    <n v="282140"/>
    <s v="Feb"/>
    <n v="2"/>
    <n v="2026"/>
    <s v="Weekday"/>
    <n v="0.35087719298245612"/>
    <n v="0.54088050314465408"/>
    <n v="0.12578616352201258"/>
    <n v="14107"/>
    <s v="Stuttgart Auto Center"/>
  </r>
  <r>
    <s v="CUST_2854"/>
    <x v="10"/>
    <x v="1"/>
    <s v="Monday"/>
    <s v="No"/>
    <x v="5"/>
    <x v="5"/>
    <s v="Hamburg"/>
    <x v="4"/>
    <s v="Passat"/>
    <s v="Hybrid"/>
    <x v="1"/>
    <s v="36-50"/>
    <s v="Medium"/>
    <x v="1"/>
    <x v="1"/>
    <s v="Sales_6"/>
    <n v="494"/>
    <n v="262"/>
    <n v="155"/>
    <n v="49"/>
    <s v="18.7"/>
    <n v="28649"/>
    <s v="11.58"/>
    <n v="25587"/>
    <n v="1403801"/>
    <n v="150038"/>
    <s v="Feb"/>
    <n v="2"/>
    <n v="2026"/>
    <s v="Weekday"/>
    <n v="0.31612903225806449"/>
    <n v="0.53036437246963564"/>
    <n v="9.9190283400809723E-2"/>
    <n v="3062"/>
    <s v="Elbe Drive"/>
  </r>
  <r>
    <s v="CUST_2855"/>
    <x v="8"/>
    <x v="3"/>
    <s v="Wednesday"/>
    <s v="No"/>
    <x v="9"/>
    <x v="9"/>
    <s v="NRW"/>
    <x v="0"/>
    <s v="i4"/>
    <s v="Hybrid"/>
    <x v="1"/>
    <s v="18-25"/>
    <s v="Low"/>
    <x v="1"/>
    <x v="0"/>
    <s v="Sales_16"/>
    <n v="211"/>
    <n v="129"/>
    <n v="94"/>
    <n v="34"/>
    <s v="26.36"/>
    <n v="62644"/>
    <s v="4.8"/>
    <n v="44854"/>
    <n v="2129896"/>
    <n v="604860"/>
    <s v="Feb"/>
    <n v="2"/>
    <n v="2026"/>
    <s v="Weekday"/>
    <n v="0.36170212765957449"/>
    <n v="0.61137440758293837"/>
    <n v="0.16113744075829384"/>
    <n v="17790"/>
    <s v="Ruhr Auto Plaza"/>
  </r>
  <r>
    <s v="CUST_2856"/>
    <x v="11"/>
    <x v="0"/>
    <s v="Wednesday"/>
    <s v="No"/>
    <x v="6"/>
    <x v="6"/>
    <s v="Saxony"/>
    <x v="0"/>
    <s v="i4"/>
    <s v="Petrol"/>
    <x v="1"/>
    <s v="26-35"/>
    <s v="High"/>
    <x v="1"/>
    <x v="3"/>
    <s v="Sales_20"/>
    <n v="186"/>
    <n v="111"/>
    <n v="81"/>
    <n v="29"/>
    <s v="26.13"/>
    <n v="64342"/>
    <s v="3.56"/>
    <n v="45217"/>
    <n v="1865918"/>
    <n v="554625"/>
    <s v="Feb"/>
    <n v="2"/>
    <n v="2026"/>
    <s v="Weekday"/>
    <n v="0.35802469135802467"/>
    <n v="0.59677419354838712"/>
    <n v="0.15591397849462366"/>
    <n v="19125"/>
    <s v="Leipzig Mobility"/>
  </r>
  <r>
    <s v="CUST_2857"/>
    <x v="25"/>
    <x v="3"/>
    <s v="Friday"/>
    <s v="No"/>
    <x v="2"/>
    <x v="2"/>
    <s v="Lower Saxony"/>
    <x v="1"/>
    <s v="Crossland"/>
    <s v="Petrol"/>
    <x v="0"/>
    <s v="36-50"/>
    <s v="Low"/>
    <x v="1"/>
    <x v="0"/>
    <s v="Sales_20"/>
    <n v="420"/>
    <n v="171"/>
    <n v="118"/>
    <n v="25"/>
    <s v="14.62"/>
    <n v="25614"/>
    <s v="10.09"/>
    <n v="23333"/>
    <n v="640350"/>
    <n v="57025"/>
    <s v="Feb"/>
    <n v="2"/>
    <n v="2026"/>
    <s v="Weekday"/>
    <n v="0.21186440677966101"/>
    <n v="0.40714285714285714"/>
    <n v="5.9523809523809521E-2"/>
    <n v="2281"/>
    <s v="Hannover Cars"/>
  </r>
  <r>
    <s v="CUST_2858"/>
    <x v="3"/>
    <x v="1"/>
    <s v="Sunday"/>
    <s v="Yes"/>
    <x v="7"/>
    <x v="7"/>
    <s v="Bavaria"/>
    <x v="1"/>
    <s v="Mokka"/>
    <s v="Petrol"/>
    <x v="0"/>
    <s v="18-25"/>
    <s v="Low"/>
    <x v="1"/>
    <x v="0"/>
    <s v="Sales_19"/>
    <n v="236"/>
    <n v="132"/>
    <n v="87"/>
    <n v="23"/>
    <s v="17.42"/>
    <n v="23486"/>
    <s v="8.85"/>
    <n v="21458"/>
    <n v="540178"/>
    <n v="46644"/>
    <s v="Feb"/>
    <n v="2"/>
    <n v="2026"/>
    <s v="Weekend"/>
    <n v="0.26436781609195403"/>
    <n v="0.55932203389830504"/>
    <n v="9.7457627118644072E-2"/>
    <n v="2028"/>
    <s v="Bavaria Motors"/>
  </r>
  <r>
    <s v="CUST_2859"/>
    <x v="24"/>
    <x v="1"/>
    <s v="Thursday"/>
    <s v="No"/>
    <x v="8"/>
    <x v="8"/>
    <s v="Baden-WÃ¼rttemberg"/>
    <x v="0"/>
    <s v="X5"/>
    <s v="Hybrid"/>
    <x v="0"/>
    <s v="36-50"/>
    <s v="Medium"/>
    <x v="1"/>
    <x v="0"/>
    <s v="Sales_1"/>
    <n v="277"/>
    <n v="145"/>
    <n v="101"/>
    <n v="38"/>
    <s v="26.21"/>
    <n v="69227"/>
    <s v="2.39"/>
    <n v="53015"/>
    <n v="2630626"/>
    <n v="616056"/>
    <s v="Feb"/>
    <n v="2"/>
    <n v="2026"/>
    <s v="Weekday"/>
    <n v="0.37623762376237624"/>
    <n v="0.52346570397111913"/>
    <n v="0.13718411552346571"/>
    <n v="16212"/>
    <s v="Stuttgart Auto Center"/>
  </r>
  <r>
    <s v="CUST_2860"/>
    <x v="12"/>
    <x v="3"/>
    <s v="Thursday"/>
    <s v="No"/>
    <x v="8"/>
    <x v="8"/>
    <s v="Baden-WÃ¼rttemberg"/>
    <x v="4"/>
    <s v="Passat"/>
    <s v="Hybrid"/>
    <x v="1"/>
    <s v="26-35"/>
    <s v="High"/>
    <x v="0"/>
    <x v="1"/>
    <s v="Sales_6"/>
    <n v="320"/>
    <n v="144"/>
    <n v="86"/>
    <n v="29"/>
    <s v="20.14"/>
    <n v="27499"/>
    <s v="8.67"/>
    <n v="24282"/>
    <n v="797471"/>
    <n v="93293"/>
    <s v="Feb"/>
    <n v="2"/>
    <n v="2026"/>
    <s v="Weekday"/>
    <n v="0.33720930232558138"/>
    <n v="0.45"/>
    <n v="9.0624999999999997E-2"/>
    <n v="3217"/>
    <s v="Stuttgart Auto Center"/>
  </r>
  <r>
    <s v="CUST_2861"/>
    <x v="26"/>
    <x v="1"/>
    <s v="Friday"/>
    <s v="No"/>
    <x v="3"/>
    <x v="3"/>
    <s v="Saxony"/>
    <x v="1"/>
    <s v="Grandland"/>
    <s v="Petrol"/>
    <x v="0"/>
    <s v="50+"/>
    <s v="Medium"/>
    <x v="1"/>
    <x v="2"/>
    <s v="Sales_8"/>
    <n v="279"/>
    <n v="124"/>
    <n v="83"/>
    <n v="22"/>
    <s v="17.74"/>
    <n v="25793"/>
    <s v="14.0"/>
    <n v="23966"/>
    <n v="567446"/>
    <n v="40194"/>
    <s v="Feb"/>
    <n v="2"/>
    <n v="2026"/>
    <s v="Weekday"/>
    <n v="0.26506024096385544"/>
    <n v="0.44444444444444442"/>
    <n v="7.8853046594982074E-2"/>
    <n v="1827"/>
    <s v="Saxon Wheels"/>
  </r>
  <r>
    <s v="CUST_2862"/>
    <x v="4"/>
    <x v="2"/>
    <s v="Wednesday"/>
    <s v="No"/>
    <x v="4"/>
    <x v="4"/>
    <s v="Berlin"/>
    <x v="1"/>
    <s v="Corsa"/>
    <s v="Diesel"/>
    <x v="2"/>
    <s v="18-25"/>
    <s v="High"/>
    <x v="0"/>
    <x v="3"/>
    <s v="Sales_4"/>
    <n v="383"/>
    <n v="211"/>
    <n v="121"/>
    <n v="34"/>
    <s v="16.11"/>
    <n v="26415"/>
    <s v="9.27"/>
    <n v="24559"/>
    <n v="898110"/>
    <n v="63104"/>
    <s v="Feb"/>
    <n v="2"/>
    <n v="2026"/>
    <s v="Weekday"/>
    <n v="0.28099173553719009"/>
    <n v="0.55091383812010442"/>
    <n v="8.877284595300261E-2"/>
    <n v="1856"/>
    <s v="Autohaus Berlin"/>
  </r>
  <r>
    <s v="CUST_2863"/>
    <x v="10"/>
    <x v="1"/>
    <s v="Monday"/>
    <s v="No"/>
    <x v="4"/>
    <x v="4"/>
    <s v="Berlin"/>
    <x v="0"/>
    <s v="3 Series"/>
    <s v="Diesel"/>
    <x v="1"/>
    <s v="26-35"/>
    <s v="Medium"/>
    <x v="0"/>
    <x v="2"/>
    <s v="Sales_11"/>
    <n v="190"/>
    <n v="96"/>
    <n v="74"/>
    <n v="29"/>
    <s v="30.21"/>
    <n v="55633"/>
    <s v="2.1"/>
    <n v="43070"/>
    <n v="1613357"/>
    <n v="364327"/>
    <s v="Feb"/>
    <n v="2"/>
    <n v="2026"/>
    <s v="Weekday"/>
    <n v="0.39189189189189189"/>
    <n v="0.50526315789473686"/>
    <n v="0.15263157894736842"/>
    <n v="12563"/>
    <s v="Autohaus Berlin"/>
  </r>
  <r>
    <s v="CUST_2864"/>
    <x v="20"/>
    <x v="0"/>
    <s v="Thursday"/>
    <s v="No"/>
    <x v="4"/>
    <x v="4"/>
    <s v="Berlin"/>
    <x v="4"/>
    <s v="Passat"/>
    <s v="Petrol"/>
    <x v="1"/>
    <s v="26-35"/>
    <s v="High"/>
    <x v="0"/>
    <x v="0"/>
    <s v="Sales_3"/>
    <n v="284"/>
    <n v="149"/>
    <n v="100"/>
    <n v="22"/>
    <s v="14.77"/>
    <n v="27641"/>
    <s v="8.08"/>
    <n v="24432"/>
    <n v="608102"/>
    <n v="70598"/>
    <s v="Feb"/>
    <n v="2"/>
    <n v="2026"/>
    <s v="Weekday"/>
    <n v="0.22"/>
    <n v="0.52464788732394363"/>
    <n v="7.746478873239436E-2"/>
    <n v="3209"/>
    <s v="Autohaus Berlin"/>
  </r>
  <r>
    <s v="CUST_2865"/>
    <x v="8"/>
    <x v="3"/>
    <s v="Wednesday"/>
    <s v="No"/>
    <x v="6"/>
    <x v="6"/>
    <s v="Saxony"/>
    <x v="2"/>
    <s v="A3"/>
    <s v="Electric"/>
    <x v="2"/>
    <s v="18-25"/>
    <s v="Medium"/>
    <x v="1"/>
    <x v="2"/>
    <s v="Sales_9"/>
    <n v="302"/>
    <n v="160"/>
    <n v="106"/>
    <n v="42"/>
    <s v="26.25"/>
    <n v="41911"/>
    <s v="5.77"/>
    <n v="33634"/>
    <n v="1760262"/>
    <n v="347634"/>
    <s v="Feb"/>
    <n v="2"/>
    <n v="2026"/>
    <s v="Weekday"/>
    <n v="0.39622641509433965"/>
    <n v="0.5298013245033113"/>
    <n v="0.13907284768211919"/>
    <n v="8277"/>
    <s v="Leipzig Mobility"/>
  </r>
  <r>
    <s v="CUST_2866"/>
    <x v="22"/>
    <x v="3"/>
    <s v="Tuesday"/>
    <s v="No"/>
    <x v="0"/>
    <x v="0"/>
    <s v="Hesse"/>
    <x v="0"/>
    <s v="5 Series"/>
    <s v="Hybrid"/>
    <x v="1"/>
    <s v="26-35"/>
    <s v="Medium"/>
    <x v="0"/>
    <x v="2"/>
    <s v="Sales_12"/>
    <n v="239"/>
    <n v="123"/>
    <n v="84"/>
    <n v="36"/>
    <s v="29.27"/>
    <n v="60675"/>
    <s v="5.04"/>
    <n v="43964"/>
    <n v="2184300"/>
    <n v="601596"/>
    <s v="Feb"/>
    <n v="2"/>
    <n v="2026"/>
    <s v="Weekday"/>
    <n v="0.42857142857142855"/>
    <n v="0.5146443514644351"/>
    <n v="0.15062761506276151"/>
    <n v="16711"/>
    <s v="Main Auto Hub"/>
  </r>
  <r>
    <s v="CUST_2867"/>
    <x v="9"/>
    <x v="0"/>
    <s v="Sunday"/>
    <s v="Yes"/>
    <x v="0"/>
    <x v="0"/>
    <s v="Hesse"/>
    <x v="1"/>
    <s v="Corsa"/>
    <s v="Electric"/>
    <x v="2"/>
    <s v="18-25"/>
    <s v="Low"/>
    <x v="1"/>
    <x v="1"/>
    <s v="Sales_11"/>
    <n v="238"/>
    <n v="93"/>
    <n v="53"/>
    <n v="16"/>
    <s v="17.2"/>
    <n v="22603"/>
    <s v="9.23"/>
    <n v="20410"/>
    <n v="361648"/>
    <n v="35088"/>
    <s v="Feb"/>
    <n v="2"/>
    <n v="2026"/>
    <s v="Weekend"/>
    <n v="0.30188679245283018"/>
    <n v="0.3907563025210084"/>
    <n v="6.7226890756302518E-2"/>
    <n v="2193"/>
    <s v="Main Auto Hub"/>
  </r>
  <r>
    <s v="CUST_2868"/>
    <x v="9"/>
    <x v="0"/>
    <s v="Sunday"/>
    <s v="Yes"/>
    <x v="4"/>
    <x v="4"/>
    <s v="Berlin"/>
    <x v="1"/>
    <s v="Corsa"/>
    <s v="Petrol"/>
    <x v="2"/>
    <s v="36-50"/>
    <s v="Low"/>
    <x v="0"/>
    <x v="1"/>
    <s v="Sales_5"/>
    <n v="251"/>
    <n v="128"/>
    <n v="86"/>
    <n v="22"/>
    <s v="17.19"/>
    <n v="21498"/>
    <s v="8.87"/>
    <n v="19646"/>
    <n v="472956"/>
    <n v="40744"/>
    <s v="Feb"/>
    <n v="2"/>
    <n v="2026"/>
    <s v="Weekend"/>
    <n v="0.2558139534883721"/>
    <n v="0.50996015936254979"/>
    <n v="8.7649402390438252E-2"/>
    <n v="1852"/>
    <s v="Autohaus Berlin"/>
  </r>
  <r>
    <s v="CUST_2869"/>
    <x v="4"/>
    <x v="2"/>
    <s v="Wednesday"/>
    <s v="No"/>
    <x v="0"/>
    <x v="0"/>
    <s v="Hesse"/>
    <x v="4"/>
    <s v="T-Roc"/>
    <s v="Petrol"/>
    <x v="0"/>
    <s v="18-25"/>
    <s v="Medium"/>
    <x v="0"/>
    <x v="1"/>
    <s v="Sales_11"/>
    <n v="449"/>
    <n v="227"/>
    <n v="136"/>
    <n v="42"/>
    <s v="18.5"/>
    <n v="28742"/>
    <s v="7.15"/>
    <n v="24965"/>
    <n v="1207164"/>
    <n v="158634"/>
    <s v="Feb"/>
    <n v="2"/>
    <n v="2026"/>
    <s v="Weekday"/>
    <n v="0.30882352941176472"/>
    <n v="0.50556792873051226"/>
    <n v="9.3541202672605794E-2"/>
    <n v="3777"/>
    <s v="Main Auto Hub"/>
  </r>
  <r>
    <s v="CUST_2870"/>
    <x v="4"/>
    <x v="2"/>
    <s v="Wednesday"/>
    <s v="No"/>
    <x v="3"/>
    <x v="3"/>
    <s v="Saxony"/>
    <x v="2"/>
    <s v="Q3"/>
    <s v="Hybrid"/>
    <x v="0"/>
    <s v="18-25"/>
    <s v="Low"/>
    <x v="1"/>
    <x v="3"/>
    <s v="Sales_11"/>
    <n v="235"/>
    <n v="145"/>
    <n v="110"/>
    <n v="31"/>
    <s v="21.38"/>
    <n v="46281"/>
    <s v="5.02"/>
    <n v="37927"/>
    <n v="1434711"/>
    <n v="258974"/>
    <s v="Feb"/>
    <n v="2"/>
    <n v="2026"/>
    <s v="Weekday"/>
    <n v="0.2818181818181818"/>
    <n v="0.61702127659574468"/>
    <n v="0.13191489361702127"/>
    <n v="8354"/>
    <s v="Saxon Wheels"/>
  </r>
  <r>
    <s v="CUST_2871"/>
    <x v="26"/>
    <x v="1"/>
    <s v="Friday"/>
    <s v="No"/>
    <x v="2"/>
    <x v="2"/>
    <s v="Lower Saxony"/>
    <x v="1"/>
    <s v="Astra"/>
    <s v="Diesel"/>
    <x v="2"/>
    <s v="50+"/>
    <s v="Medium"/>
    <x v="1"/>
    <x v="3"/>
    <s v="Sales_8"/>
    <n v="352"/>
    <n v="187"/>
    <n v="128"/>
    <n v="22"/>
    <s v="11.76"/>
    <n v="24337"/>
    <s v="13.34"/>
    <n v="21900"/>
    <n v="535414"/>
    <n v="53614"/>
    <s v="Feb"/>
    <n v="2"/>
    <n v="2026"/>
    <s v="Weekday"/>
    <n v="0.171875"/>
    <n v="0.53125"/>
    <n v="6.25E-2"/>
    <n v="2437"/>
    <s v="Hannover Cars"/>
  </r>
  <r>
    <s v="CUST_2872"/>
    <x v="0"/>
    <x v="0"/>
    <s v="Monday"/>
    <s v="No"/>
    <x v="7"/>
    <x v="7"/>
    <s v="Bavaria"/>
    <x v="2"/>
    <s v="A4"/>
    <s v="Electric"/>
    <x v="1"/>
    <s v="36-50"/>
    <s v="Low"/>
    <x v="0"/>
    <x v="1"/>
    <s v="Sales_17"/>
    <n v="194"/>
    <n v="93"/>
    <n v="66"/>
    <n v="22"/>
    <s v="23.66"/>
    <n v="45844"/>
    <s v="3.74"/>
    <n v="36179"/>
    <n v="1008568"/>
    <n v="212630"/>
    <s v="Feb"/>
    <n v="2"/>
    <n v="2026"/>
    <s v="Weekday"/>
    <n v="0.33333333333333331"/>
    <n v="0.47938144329896909"/>
    <n v="0.1134020618556701"/>
    <n v="9665"/>
    <s v="Bavaria Motors"/>
  </r>
  <r>
    <s v="CUST_2873"/>
    <x v="21"/>
    <x v="0"/>
    <s v="Tuesday"/>
    <s v="No"/>
    <x v="0"/>
    <x v="0"/>
    <s v="Hesse"/>
    <x v="1"/>
    <s v="Mokka"/>
    <s v="Hybrid"/>
    <x v="0"/>
    <s v="18-25"/>
    <s v="High"/>
    <x v="0"/>
    <x v="2"/>
    <s v="Sales_7"/>
    <n v="364"/>
    <n v="197"/>
    <n v="123"/>
    <n v="42"/>
    <s v="21.32"/>
    <n v="19351"/>
    <s v="13.81"/>
    <n v="17710"/>
    <n v="812742"/>
    <n v="68922"/>
    <s v="Feb"/>
    <n v="2"/>
    <n v="2026"/>
    <s v="Weekday"/>
    <n v="0.34146341463414637"/>
    <n v="0.54120879120879117"/>
    <n v="0.11538461538461539"/>
    <n v="1641"/>
    <s v="Main Auto Hub"/>
  </r>
  <r>
    <s v="CUST_2874"/>
    <x v="26"/>
    <x v="1"/>
    <s v="Friday"/>
    <s v="No"/>
    <x v="4"/>
    <x v="4"/>
    <s v="Berlin"/>
    <x v="3"/>
    <s v="E-Class"/>
    <s v="Hybrid"/>
    <x v="1"/>
    <s v="26-35"/>
    <s v="Medium"/>
    <x v="1"/>
    <x v="0"/>
    <s v="Sales_4"/>
    <n v="190"/>
    <n v="112"/>
    <n v="88"/>
    <n v="26"/>
    <s v="23.21"/>
    <n v="68847"/>
    <s v="4.19"/>
    <n v="51152"/>
    <n v="1790022"/>
    <n v="460070"/>
    <s v="Feb"/>
    <n v="2"/>
    <n v="2026"/>
    <s v="Weekday"/>
    <n v="0.29545454545454547"/>
    <n v="0.58947368421052626"/>
    <n v="0.1368421052631579"/>
    <n v="17695"/>
    <s v="Autohaus Berlin"/>
  </r>
  <r>
    <s v="CUST_2875"/>
    <x v="26"/>
    <x v="1"/>
    <s v="Friday"/>
    <s v="No"/>
    <x v="9"/>
    <x v="9"/>
    <s v="NRW"/>
    <x v="1"/>
    <s v="Grandland"/>
    <s v="Petrol"/>
    <x v="0"/>
    <s v="18-25"/>
    <s v="Medium"/>
    <x v="1"/>
    <x v="2"/>
    <s v="Sales_11"/>
    <n v="267"/>
    <n v="116"/>
    <n v="73"/>
    <n v="19"/>
    <s v="16.38"/>
    <n v="20909"/>
    <s v="13.62"/>
    <n v="19046"/>
    <n v="397271"/>
    <n v="35397"/>
    <s v="Feb"/>
    <n v="2"/>
    <n v="2026"/>
    <s v="Weekday"/>
    <n v="0.26027397260273971"/>
    <n v="0.43445692883895132"/>
    <n v="7.116104868913857E-2"/>
    <n v="1863"/>
    <s v="Ruhr Auto Plaza"/>
  </r>
  <r>
    <s v="CUST_2876"/>
    <x v="4"/>
    <x v="2"/>
    <s v="Wednesday"/>
    <s v="No"/>
    <x v="5"/>
    <x v="5"/>
    <s v="Hamburg"/>
    <x v="3"/>
    <s v="GLE"/>
    <s v="Electric"/>
    <x v="0"/>
    <s v="36-50"/>
    <s v="Medium"/>
    <x v="1"/>
    <x v="3"/>
    <s v="Sales_20"/>
    <n v="146"/>
    <n v="83"/>
    <n v="64"/>
    <n v="20"/>
    <s v="24.1"/>
    <n v="57139"/>
    <s v="3.26"/>
    <n v="40932"/>
    <n v="1142780"/>
    <n v="324140"/>
    <s v="Feb"/>
    <n v="2"/>
    <n v="2026"/>
    <s v="Weekday"/>
    <n v="0.3125"/>
    <n v="0.56849315068493156"/>
    <n v="0.13698630136986301"/>
    <n v="16207"/>
    <s v="Elbe Drive"/>
  </r>
  <r>
    <s v="CUST_2877"/>
    <x v="26"/>
    <x v="1"/>
    <s v="Friday"/>
    <s v="No"/>
    <x v="4"/>
    <x v="4"/>
    <s v="Berlin"/>
    <x v="3"/>
    <s v="GLE"/>
    <s v="Electric"/>
    <x v="0"/>
    <s v="18-25"/>
    <s v="High"/>
    <x v="0"/>
    <x v="1"/>
    <s v="Sales_12"/>
    <n v="164"/>
    <n v="88"/>
    <n v="68"/>
    <n v="25"/>
    <s v="28.41"/>
    <n v="54039"/>
    <s v="4.69"/>
    <n v="41478"/>
    <n v="1350975"/>
    <n v="314025"/>
    <s v="Feb"/>
    <n v="2"/>
    <n v="2026"/>
    <s v="Weekday"/>
    <n v="0.36764705882352944"/>
    <n v="0.53658536585365857"/>
    <n v="0.1524390243902439"/>
    <n v="12561"/>
    <s v="Autohaus Berlin"/>
  </r>
  <r>
    <s v="CUST_2878"/>
    <x v="8"/>
    <x v="3"/>
    <s v="Wednesday"/>
    <s v="No"/>
    <x v="7"/>
    <x v="7"/>
    <s v="Bavaria"/>
    <x v="4"/>
    <s v="Golf"/>
    <s v="Petrol"/>
    <x v="2"/>
    <s v="36-50"/>
    <s v="Low"/>
    <x v="0"/>
    <x v="1"/>
    <s v="Sales_4"/>
    <n v="401"/>
    <n v="211"/>
    <n v="133"/>
    <n v="40"/>
    <s v="18.96"/>
    <n v="31386"/>
    <s v="6.56"/>
    <n v="27642"/>
    <n v="1255440"/>
    <n v="149760"/>
    <s v="Feb"/>
    <n v="2"/>
    <n v="2026"/>
    <s v="Weekday"/>
    <n v="0.3007518796992481"/>
    <n v="0.52618453865336656"/>
    <n v="9.9750623441396513E-2"/>
    <n v="3744"/>
    <s v="Bavaria Motors"/>
  </r>
  <r>
    <s v="CUST_2879"/>
    <x v="22"/>
    <x v="3"/>
    <s v="Tuesday"/>
    <s v="No"/>
    <x v="4"/>
    <x v="4"/>
    <s v="Berlin"/>
    <x v="1"/>
    <s v="Corsa"/>
    <s v="Diesel"/>
    <x v="2"/>
    <s v="18-25"/>
    <s v="Low"/>
    <x v="0"/>
    <x v="0"/>
    <s v="Sales_17"/>
    <n v="220"/>
    <n v="96"/>
    <n v="64"/>
    <n v="17"/>
    <s v="17.71"/>
    <n v="20707"/>
    <s v="7.81"/>
    <n v="18645"/>
    <n v="352019"/>
    <n v="35054"/>
    <s v="Feb"/>
    <n v="2"/>
    <n v="2026"/>
    <s v="Weekday"/>
    <n v="0.265625"/>
    <n v="0.43636363636363634"/>
    <n v="7.7272727272727271E-2"/>
    <n v="2062"/>
    <s v="Autohaus Berlin"/>
  </r>
  <r>
    <s v="CUST_2880"/>
    <x v="23"/>
    <x v="2"/>
    <s v="Tuesday"/>
    <s v="No"/>
    <x v="6"/>
    <x v="6"/>
    <s v="Saxony"/>
    <x v="3"/>
    <s v="EQE"/>
    <s v="Petrol"/>
    <x v="1"/>
    <s v="50+"/>
    <s v="High"/>
    <x v="0"/>
    <x v="1"/>
    <s v="Sales_15"/>
    <n v="240"/>
    <n v="142"/>
    <n v="102"/>
    <n v="38"/>
    <s v="26.76"/>
    <n v="69989"/>
    <s v="4.41"/>
    <n v="53851"/>
    <n v="2659582"/>
    <n v="613244"/>
    <s v="Feb"/>
    <n v="2"/>
    <n v="2026"/>
    <s v="Weekday"/>
    <n v="0.37254901960784315"/>
    <n v="0.59166666666666667"/>
    <n v="0.15833333333333333"/>
    <n v="16138"/>
    <s v="Leipzig Mobility"/>
  </r>
  <r>
    <s v="CUST_2881"/>
    <x v="5"/>
    <x v="3"/>
    <s v="Saturday"/>
    <s v="Yes"/>
    <x v="0"/>
    <x v="0"/>
    <s v="Hesse"/>
    <x v="3"/>
    <s v="EQE"/>
    <s v="Diesel"/>
    <x v="1"/>
    <s v="36-50"/>
    <s v="High"/>
    <x v="0"/>
    <x v="2"/>
    <s v="Sales_20"/>
    <n v="168"/>
    <n v="94"/>
    <n v="65"/>
    <n v="24"/>
    <s v="25.53"/>
    <n v="61764"/>
    <s v="3.61"/>
    <n v="47594"/>
    <n v="1482336"/>
    <n v="340080"/>
    <s v="Feb"/>
    <n v="2"/>
    <n v="2026"/>
    <s v="Weekend"/>
    <n v="0.36923076923076925"/>
    <n v="0.55952380952380953"/>
    <n v="0.14285714285714285"/>
    <n v="14170"/>
    <s v="Main Auto Hub"/>
  </r>
  <r>
    <s v="CUST_2882"/>
    <x v="3"/>
    <x v="1"/>
    <s v="Sunday"/>
    <s v="Yes"/>
    <x v="3"/>
    <x v="3"/>
    <s v="Saxony"/>
    <x v="3"/>
    <s v="C-Class"/>
    <s v="Electric"/>
    <x v="1"/>
    <s v="18-25"/>
    <s v="High"/>
    <x v="0"/>
    <x v="0"/>
    <s v="Sales_7"/>
    <n v="188"/>
    <n v="108"/>
    <n v="79"/>
    <n v="23"/>
    <s v="21.3"/>
    <n v="61902"/>
    <s v="2.83"/>
    <n v="47414"/>
    <n v="1423746"/>
    <n v="333224"/>
    <s v="Feb"/>
    <n v="2"/>
    <n v="2026"/>
    <s v="Weekend"/>
    <n v="0.29113924050632911"/>
    <n v="0.57446808510638303"/>
    <n v="0.12234042553191489"/>
    <n v="14488"/>
    <s v="Saxon Wheels"/>
  </r>
  <r>
    <s v="CUST_2883"/>
    <x v="23"/>
    <x v="2"/>
    <s v="Tuesday"/>
    <s v="No"/>
    <x v="1"/>
    <x v="1"/>
    <s v="NRW"/>
    <x v="1"/>
    <s v="Grandland"/>
    <s v="Electric"/>
    <x v="0"/>
    <s v="26-35"/>
    <s v="Low"/>
    <x v="0"/>
    <x v="1"/>
    <s v="Sales_5"/>
    <n v="279"/>
    <n v="146"/>
    <n v="85"/>
    <n v="24"/>
    <s v="16.44"/>
    <n v="27293"/>
    <s v="7.63"/>
    <n v="25295"/>
    <n v="655032"/>
    <n v="47952"/>
    <s v="Feb"/>
    <n v="2"/>
    <n v="2026"/>
    <s v="Weekday"/>
    <n v="0.28235294117647058"/>
    <n v="0.52329749103942658"/>
    <n v="8.6021505376344093E-2"/>
    <n v="1998"/>
    <s v="Rhein Auto Group"/>
  </r>
  <r>
    <s v="CUST_2884"/>
    <x v="9"/>
    <x v="0"/>
    <s v="Sunday"/>
    <s v="Yes"/>
    <x v="8"/>
    <x v="8"/>
    <s v="Baden-WÃ¼rttemberg"/>
    <x v="2"/>
    <s v="Q3"/>
    <s v="Hybrid"/>
    <x v="0"/>
    <s v="36-50"/>
    <s v="Medium"/>
    <x v="0"/>
    <x v="1"/>
    <s v="Sales_11"/>
    <n v="262"/>
    <n v="130"/>
    <n v="99"/>
    <n v="30"/>
    <s v="23.08"/>
    <n v="42954"/>
    <s v="5.3"/>
    <n v="34879"/>
    <n v="1288620"/>
    <n v="242250"/>
    <s v="Feb"/>
    <n v="2"/>
    <n v="2026"/>
    <s v="Weekend"/>
    <n v="0.30303030303030304"/>
    <n v="0.49618320610687022"/>
    <n v="0.11450381679389313"/>
    <n v="8075"/>
    <s v="Stuttgart Auto Center"/>
  </r>
  <r>
    <s v="CUST_2885"/>
    <x v="12"/>
    <x v="3"/>
    <s v="Thursday"/>
    <s v="No"/>
    <x v="0"/>
    <x v="0"/>
    <s v="Hesse"/>
    <x v="2"/>
    <s v="Q5"/>
    <s v="Hybrid"/>
    <x v="0"/>
    <s v="36-50"/>
    <s v="Medium"/>
    <x v="1"/>
    <x v="1"/>
    <s v="Sales_5"/>
    <n v="252"/>
    <n v="123"/>
    <n v="87"/>
    <n v="31"/>
    <s v="25.2"/>
    <n v="47513"/>
    <s v="6.77"/>
    <n v="37281"/>
    <n v="1472903"/>
    <n v="317192"/>
    <s v="Feb"/>
    <n v="2"/>
    <n v="2026"/>
    <s v="Weekday"/>
    <n v="0.35632183908045978"/>
    <n v="0.48809523809523808"/>
    <n v="0.12301587301587301"/>
    <n v="10232"/>
    <s v="Main Auto Hub"/>
  </r>
  <r>
    <s v="CUST_2886"/>
    <x v="17"/>
    <x v="2"/>
    <s v="Sunday"/>
    <s v="Yes"/>
    <x v="5"/>
    <x v="5"/>
    <s v="Hamburg"/>
    <x v="0"/>
    <s v="i4"/>
    <s v="Petrol"/>
    <x v="1"/>
    <s v="50+"/>
    <s v="Medium"/>
    <x v="1"/>
    <x v="1"/>
    <s v="Sales_17"/>
    <n v="189"/>
    <n v="91"/>
    <n v="74"/>
    <n v="27"/>
    <s v="29.67"/>
    <n v="50435"/>
    <s v="3.49"/>
    <n v="36258"/>
    <n v="1361745"/>
    <n v="382779"/>
    <s v="Feb"/>
    <n v="2"/>
    <n v="2026"/>
    <s v="Weekend"/>
    <n v="0.36486486486486486"/>
    <n v="0.48148148148148145"/>
    <n v="0.14285714285714285"/>
    <n v="14177"/>
    <s v="Elbe Drive"/>
  </r>
  <r>
    <s v="CUST_2887"/>
    <x v="0"/>
    <x v="0"/>
    <s v="Monday"/>
    <s v="No"/>
    <x v="2"/>
    <x v="2"/>
    <s v="Lower Saxony"/>
    <x v="0"/>
    <s v="3 Series"/>
    <s v="Hybrid"/>
    <x v="1"/>
    <s v="26-35"/>
    <s v="Low"/>
    <x v="0"/>
    <x v="0"/>
    <s v="Sales_3"/>
    <n v="161"/>
    <n v="96"/>
    <n v="76"/>
    <n v="27"/>
    <s v="28.12"/>
    <n v="61427"/>
    <s v="5.83"/>
    <n v="45568"/>
    <n v="1658529"/>
    <n v="428193"/>
    <s v="Feb"/>
    <n v="2"/>
    <n v="2026"/>
    <s v="Weekday"/>
    <n v="0.35526315789473684"/>
    <n v="0.59627329192546585"/>
    <n v="0.16770186335403728"/>
    <n v="15859"/>
    <s v="Hannover Cars"/>
  </r>
  <r>
    <s v="CUST_2888"/>
    <x v="17"/>
    <x v="2"/>
    <s v="Sunday"/>
    <s v="Yes"/>
    <x v="9"/>
    <x v="9"/>
    <s v="NRW"/>
    <x v="1"/>
    <s v="Grandland"/>
    <s v="Diesel"/>
    <x v="0"/>
    <s v="18-25"/>
    <s v="Medium"/>
    <x v="0"/>
    <x v="0"/>
    <s v="Sales_6"/>
    <n v="246"/>
    <n v="123"/>
    <n v="69"/>
    <n v="15"/>
    <s v="12.2"/>
    <n v="22969"/>
    <s v="8.34"/>
    <n v="20710"/>
    <n v="344535"/>
    <n v="33885"/>
    <s v="Feb"/>
    <n v="2"/>
    <n v="2026"/>
    <s v="Weekend"/>
    <n v="0.21739130434782608"/>
    <n v="0.5"/>
    <n v="6.097560975609756E-2"/>
    <n v="2259"/>
    <s v="Ruhr Auto Plaza"/>
  </r>
  <r>
    <s v="CUST_2889"/>
    <x v="19"/>
    <x v="1"/>
    <s v="Saturday"/>
    <s v="Yes"/>
    <x v="9"/>
    <x v="9"/>
    <s v="NRW"/>
    <x v="3"/>
    <s v="EQE"/>
    <s v="Electric"/>
    <x v="1"/>
    <s v="50+"/>
    <s v="Medium"/>
    <x v="1"/>
    <x v="2"/>
    <s v="Sales_6"/>
    <n v="198"/>
    <n v="107"/>
    <n v="73"/>
    <n v="27"/>
    <s v="25.23"/>
    <n v="71149"/>
    <s v="2.86"/>
    <n v="53108"/>
    <n v="1921023"/>
    <n v="487107"/>
    <s v="Feb"/>
    <n v="2"/>
    <n v="2026"/>
    <s v="Weekend"/>
    <n v="0.36986301369863012"/>
    <n v="0.54040404040404044"/>
    <n v="0.13636363636363635"/>
    <n v="18041"/>
    <s v="Ruhr Auto Plaza"/>
  </r>
  <r>
    <s v="CUST_2890"/>
    <x v="27"/>
    <x v="3"/>
    <s v="Sunday"/>
    <s v="Yes"/>
    <x v="7"/>
    <x v="7"/>
    <s v="Bavaria"/>
    <x v="1"/>
    <s v="Corsa"/>
    <s v="Electric"/>
    <x v="2"/>
    <s v="26-35"/>
    <s v="Low"/>
    <x v="1"/>
    <x v="0"/>
    <s v="Sales_19"/>
    <n v="384"/>
    <n v="192"/>
    <n v="129"/>
    <n v="28"/>
    <s v="14.58"/>
    <n v="21122"/>
    <s v="7.41"/>
    <n v="19407"/>
    <n v="591416"/>
    <n v="48020"/>
    <s v="Feb"/>
    <n v="2"/>
    <n v="2026"/>
    <s v="Weekend"/>
    <n v="0.21705426356589147"/>
    <n v="0.5"/>
    <n v="7.2916666666666671E-2"/>
    <n v="1715"/>
    <s v="Bavaria Motors"/>
  </r>
  <r>
    <s v="CUST_2891"/>
    <x v="6"/>
    <x v="2"/>
    <s v="Saturday"/>
    <s v="Yes"/>
    <x v="2"/>
    <x v="2"/>
    <s v="Lower Saxony"/>
    <x v="1"/>
    <s v="Astra"/>
    <s v="Petrol"/>
    <x v="2"/>
    <s v="50+"/>
    <s v="Medium"/>
    <x v="1"/>
    <x v="0"/>
    <s v="Sales_13"/>
    <n v="265"/>
    <n v="110"/>
    <n v="65"/>
    <n v="13"/>
    <s v="11.82"/>
    <n v="25598"/>
    <s v="7.65"/>
    <n v="23097"/>
    <n v="332774"/>
    <n v="32513"/>
    <s v="Feb"/>
    <n v="2"/>
    <n v="2026"/>
    <s v="Weekend"/>
    <n v="0.2"/>
    <n v="0.41509433962264153"/>
    <n v="4.9056603773584909E-2"/>
    <n v="2501"/>
    <s v="Hannover Cars"/>
  </r>
  <r>
    <s v="CUST_2892"/>
    <x v="21"/>
    <x v="0"/>
    <s v="Tuesday"/>
    <s v="No"/>
    <x v="9"/>
    <x v="9"/>
    <s v="NRW"/>
    <x v="2"/>
    <s v="Q5"/>
    <s v="Diesel"/>
    <x v="0"/>
    <s v="50+"/>
    <s v="Medium"/>
    <x v="0"/>
    <x v="1"/>
    <s v="Sales_3"/>
    <n v="194"/>
    <n v="92"/>
    <n v="59"/>
    <n v="22"/>
    <s v="23.91"/>
    <n v="47085"/>
    <s v="6.34"/>
    <n v="37957"/>
    <n v="1035870"/>
    <n v="200816"/>
    <s v="Feb"/>
    <n v="2"/>
    <n v="2026"/>
    <s v="Weekday"/>
    <n v="0.3728813559322034"/>
    <n v="0.47422680412371132"/>
    <n v="0.1134020618556701"/>
    <n v="9128"/>
    <s v="Ruhr Auto Plaza"/>
  </r>
  <r>
    <s v="CUST_2893"/>
    <x v="13"/>
    <x v="0"/>
    <s v="Friday"/>
    <s v="No"/>
    <x v="8"/>
    <x v="8"/>
    <s v="Baden-WÃ¼rttemberg"/>
    <x v="0"/>
    <s v="i4"/>
    <s v="Petrol"/>
    <x v="1"/>
    <s v="36-50"/>
    <s v="Medium"/>
    <x v="0"/>
    <x v="0"/>
    <s v="Sales_20"/>
    <n v="217"/>
    <n v="98"/>
    <n v="79"/>
    <n v="25"/>
    <s v="25.51"/>
    <n v="51542"/>
    <s v="2.31"/>
    <n v="36831"/>
    <n v="1288550"/>
    <n v="367775"/>
    <s v="Feb"/>
    <n v="2"/>
    <n v="2026"/>
    <s v="Weekday"/>
    <n v="0.31645569620253167"/>
    <n v="0.45161290322580644"/>
    <n v="0.1152073732718894"/>
    <n v="14711"/>
    <s v="Stuttgart Auto Center"/>
  </r>
  <r>
    <s v="CUST_2894"/>
    <x v="20"/>
    <x v="0"/>
    <s v="Thursday"/>
    <s v="No"/>
    <x v="9"/>
    <x v="9"/>
    <s v="NRW"/>
    <x v="0"/>
    <s v="5 Series"/>
    <s v="Diesel"/>
    <x v="1"/>
    <s v="18-25"/>
    <s v="High"/>
    <x v="1"/>
    <x v="0"/>
    <s v="Sales_19"/>
    <n v="183"/>
    <n v="87"/>
    <n v="61"/>
    <n v="23"/>
    <s v="26.44"/>
    <n v="60251"/>
    <s v="4.54"/>
    <n v="46697"/>
    <n v="1385773"/>
    <n v="311742"/>
    <s v="Feb"/>
    <n v="2"/>
    <n v="2026"/>
    <s v="Weekday"/>
    <n v="0.37704918032786883"/>
    <n v="0.47540983606557374"/>
    <n v="0.12568306010928962"/>
    <n v="13554"/>
    <s v="Ruhr Auto Plaza"/>
  </r>
  <r>
    <s v="CUST_2895"/>
    <x v="7"/>
    <x v="3"/>
    <s v="Monday"/>
    <s v="No"/>
    <x v="1"/>
    <x v="1"/>
    <s v="NRW"/>
    <x v="0"/>
    <s v="X5"/>
    <s v="Hybrid"/>
    <x v="0"/>
    <s v="26-35"/>
    <s v="Low"/>
    <x v="1"/>
    <x v="2"/>
    <s v="Sales_4"/>
    <n v="227"/>
    <n v="118"/>
    <n v="91"/>
    <n v="37"/>
    <s v="31.36"/>
    <n v="65550"/>
    <s v="5.42"/>
    <n v="46085"/>
    <n v="2425350"/>
    <n v="720205"/>
    <s v="Feb"/>
    <n v="2"/>
    <n v="2026"/>
    <s v="Weekday"/>
    <n v="0.40659340659340659"/>
    <n v="0.51982378854625555"/>
    <n v="0.16299559471365638"/>
    <n v="19465"/>
    <s v="Rhein Auto Group"/>
  </r>
  <r>
    <s v="CUST_2896"/>
    <x v="3"/>
    <x v="1"/>
    <s v="Sunday"/>
    <s v="Yes"/>
    <x v="2"/>
    <x v="2"/>
    <s v="Lower Saxony"/>
    <x v="1"/>
    <s v="Astra"/>
    <s v="Petrol"/>
    <x v="2"/>
    <s v="36-50"/>
    <s v="Medium"/>
    <x v="1"/>
    <x v="2"/>
    <s v="Sales_7"/>
    <n v="242"/>
    <n v="101"/>
    <n v="62"/>
    <n v="15"/>
    <s v="14.85"/>
    <n v="20585"/>
    <s v="7.88"/>
    <n v="18556"/>
    <n v="308775"/>
    <n v="30435"/>
    <s v="Feb"/>
    <n v="2"/>
    <n v="2026"/>
    <s v="Weekend"/>
    <n v="0.24193548387096775"/>
    <n v="0.41735537190082644"/>
    <n v="6.1983471074380167E-2"/>
    <n v="2029"/>
    <s v="Hannover Cars"/>
  </r>
  <r>
    <s v="CUST_2897"/>
    <x v="13"/>
    <x v="0"/>
    <s v="Friday"/>
    <s v="No"/>
    <x v="9"/>
    <x v="9"/>
    <s v="NRW"/>
    <x v="0"/>
    <s v="i4"/>
    <s v="Diesel"/>
    <x v="1"/>
    <s v="18-25"/>
    <s v="Medium"/>
    <x v="1"/>
    <x v="0"/>
    <s v="Sales_20"/>
    <n v="144"/>
    <n v="69"/>
    <n v="53"/>
    <n v="17"/>
    <s v="24.64"/>
    <n v="62077"/>
    <s v="3.03"/>
    <n v="47994"/>
    <n v="1055309"/>
    <n v="239411"/>
    <s v="Feb"/>
    <n v="2"/>
    <n v="2026"/>
    <s v="Weekday"/>
    <n v="0.32075471698113206"/>
    <n v="0.47916666666666669"/>
    <n v="0.11805555555555555"/>
    <n v="14083"/>
    <s v="Ruhr Auto Plaza"/>
  </r>
  <r>
    <s v="CUST_2898"/>
    <x v="14"/>
    <x v="2"/>
    <s v="Friday"/>
    <s v="No"/>
    <x v="1"/>
    <x v="1"/>
    <s v="NRW"/>
    <x v="4"/>
    <s v="ID.4"/>
    <s v="Hybrid"/>
    <x v="0"/>
    <s v="50+"/>
    <s v="Low"/>
    <x v="0"/>
    <x v="1"/>
    <s v="Sales_14"/>
    <n v="263"/>
    <n v="152"/>
    <n v="94"/>
    <n v="30"/>
    <s v="19.74"/>
    <n v="34054"/>
    <s v="10.25"/>
    <n v="30793"/>
    <n v="1021620"/>
    <n v="97830"/>
    <s v="Feb"/>
    <n v="2"/>
    <n v="2026"/>
    <s v="Weekday"/>
    <n v="0.31914893617021278"/>
    <n v="0.57794676806083645"/>
    <n v="0.11406844106463879"/>
    <n v="3261"/>
    <s v="Rhein Auto Group"/>
  </r>
  <r>
    <s v="CUST_2899"/>
    <x v="11"/>
    <x v="0"/>
    <s v="Wednesday"/>
    <s v="No"/>
    <x v="5"/>
    <x v="5"/>
    <s v="Hamburg"/>
    <x v="2"/>
    <s v="e-tron"/>
    <s v="Hybrid"/>
    <x v="0"/>
    <s v="36-50"/>
    <s v="Medium"/>
    <x v="1"/>
    <x v="1"/>
    <s v="Sales_10"/>
    <n v="191"/>
    <n v="109"/>
    <n v="83"/>
    <n v="28"/>
    <s v="25.69"/>
    <n v="50316"/>
    <s v="3.24"/>
    <n v="39141"/>
    <n v="1408848"/>
    <n v="312900"/>
    <s v="Feb"/>
    <n v="2"/>
    <n v="2026"/>
    <s v="Weekday"/>
    <n v="0.33734939759036142"/>
    <n v="0.5706806282722513"/>
    <n v="0.14659685863874344"/>
    <n v="11175"/>
    <s v="Elbe Drive"/>
  </r>
  <r>
    <s v="CUST_2900"/>
    <x v="7"/>
    <x v="3"/>
    <s v="Monday"/>
    <s v="No"/>
    <x v="6"/>
    <x v="6"/>
    <s v="Saxony"/>
    <x v="0"/>
    <s v="X5"/>
    <s v="Petrol"/>
    <x v="0"/>
    <s v="26-35"/>
    <s v="High"/>
    <x v="1"/>
    <x v="2"/>
    <s v="Sales_18"/>
    <n v="176"/>
    <n v="96"/>
    <n v="73"/>
    <n v="28"/>
    <s v="29.17"/>
    <n v="58508"/>
    <s v="5.79"/>
    <n v="43738"/>
    <n v="1638224"/>
    <n v="413560"/>
    <s v="Feb"/>
    <n v="2"/>
    <n v="2026"/>
    <s v="Weekday"/>
    <n v="0.38356164383561642"/>
    <n v="0.54545454545454541"/>
    <n v="0.15909090909090909"/>
    <n v="14770"/>
    <s v="Leipzig Mobility"/>
  </r>
  <r>
    <s v="CUST_2901"/>
    <x v="13"/>
    <x v="0"/>
    <s v="Friday"/>
    <s v="No"/>
    <x v="4"/>
    <x v="4"/>
    <s v="Berlin"/>
    <x v="1"/>
    <s v="Crossland"/>
    <s v="Hybrid"/>
    <x v="0"/>
    <s v="18-25"/>
    <s v="Low"/>
    <x v="1"/>
    <x v="3"/>
    <s v="Sales_13"/>
    <n v="359"/>
    <n v="136"/>
    <n v="76"/>
    <n v="19"/>
    <s v="13.97"/>
    <n v="22524"/>
    <s v="12.64"/>
    <n v="20105"/>
    <n v="427956"/>
    <n v="45961"/>
    <s v="Feb"/>
    <n v="2"/>
    <n v="2026"/>
    <s v="Weekday"/>
    <n v="0.25"/>
    <n v="0.37883008356545961"/>
    <n v="5.2924791086350974E-2"/>
    <n v="2419"/>
    <s v="Autohaus Berlin"/>
  </r>
  <r>
    <s v="CUST_2902"/>
    <x v="26"/>
    <x v="1"/>
    <s v="Friday"/>
    <s v="No"/>
    <x v="7"/>
    <x v="7"/>
    <s v="Bavaria"/>
    <x v="2"/>
    <s v="Q3"/>
    <s v="Diesel"/>
    <x v="0"/>
    <s v="18-25"/>
    <s v="Low"/>
    <x v="1"/>
    <x v="0"/>
    <s v="Sales_8"/>
    <n v="177"/>
    <n v="88"/>
    <n v="56"/>
    <n v="20"/>
    <s v="22.73"/>
    <n v="55156"/>
    <s v="3.2"/>
    <n v="42392"/>
    <n v="1103120"/>
    <n v="255280"/>
    <s v="Feb"/>
    <n v="2"/>
    <n v="2026"/>
    <s v="Weekday"/>
    <n v="0.35714285714285715"/>
    <n v="0.49717514124293788"/>
    <n v="0.11299435028248588"/>
    <n v="12764"/>
    <s v="Bavaria Motors"/>
  </r>
  <r>
    <s v="CUST_2903"/>
    <x v="27"/>
    <x v="3"/>
    <s v="Sunday"/>
    <s v="Yes"/>
    <x v="8"/>
    <x v="8"/>
    <s v="Baden-WÃ¼rttemberg"/>
    <x v="1"/>
    <s v="Astra"/>
    <s v="Electric"/>
    <x v="2"/>
    <s v="26-35"/>
    <s v="Medium"/>
    <x v="0"/>
    <x v="0"/>
    <s v="Sales_7"/>
    <n v="363"/>
    <n v="174"/>
    <n v="104"/>
    <n v="22"/>
    <s v="12.64"/>
    <n v="24318"/>
    <s v="7.78"/>
    <n v="22423"/>
    <n v="534996"/>
    <n v="41690"/>
    <s v="Feb"/>
    <n v="2"/>
    <n v="2026"/>
    <s v="Weekend"/>
    <n v="0.21153846153846154"/>
    <n v="0.47933884297520662"/>
    <n v="6.0606060606060608E-2"/>
    <n v="1895"/>
    <s v="Stuttgart Auto Center"/>
  </r>
  <r>
    <s v="CUST_2904"/>
    <x v="22"/>
    <x v="3"/>
    <s v="Tuesday"/>
    <s v="No"/>
    <x v="3"/>
    <x v="3"/>
    <s v="Saxony"/>
    <x v="1"/>
    <s v="Astra"/>
    <s v="Hybrid"/>
    <x v="2"/>
    <s v="26-35"/>
    <s v="High"/>
    <x v="0"/>
    <x v="0"/>
    <s v="Sales_14"/>
    <n v="385"/>
    <n v="164"/>
    <n v="93"/>
    <n v="21"/>
    <s v="12.8"/>
    <n v="20679"/>
    <s v="11.56"/>
    <n v="18411"/>
    <n v="434259"/>
    <n v="47628"/>
    <s v="Feb"/>
    <n v="2"/>
    <n v="2026"/>
    <s v="Weekday"/>
    <n v="0.22580645161290322"/>
    <n v="0.42597402597402595"/>
    <n v="5.4545454545454543E-2"/>
    <n v="2268"/>
    <s v="Saxon Wheels"/>
  </r>
  <r>
    <s v="CUST_2905"/>
    <x v="23"/>
    <x v="2"/>
    <s v="Tuesday"/>
    <s v="No"/>
    <x v="7"/>
    <x v="7"/>
    <s v="Bavaria"/>
    <x v="3"/>
    <s v="C-Class"/>
    <s v="Hybrid"/>
    <x v="1"/>
    <s v="18-25"/>
    <s v="Medium"/>
    <x v="1"/>
    <x v="1"/>
    <s v="Sales_5"/>
    <n v="286"/>
    <n v="136"/>
    <n v="106"/>
    <n v="38"/>
    <s v="27.94"/>
    <n v="55478"/>
    <s v="3.85"/>
    <n v="41690"/>
    <n v="2108164"/>
    <n v="523944"/>
    <s v="Feb"/>
    <n v="2"/>
    <n v="2026"/>
    <s v="Weekday"/>
    <n v="0.35849056603773582"/>
    <n v="0.47552447552447552"/>
    <n v="0.13286713286713286"/>
    <n v="13788"/>
    <s v="Bavaria Motors"/>
  </r>
  <r>
    <s v="CUST_2906"/>
    <x v="20"/>
    <x v="0"/>
    <s v="Thursday"/>
    <s v="No"/>
    <x v="7"/>
    <x v="7"/>
    <s v="Bavaria"/>
    <x v="0"/>
    <s v="X5"/>
    <s v="Hybrid"/>
    <x v="0"/>
    <s v="36-50"/>
    <s v="High"/>
    <x v="0"/>
    <x v="3"/>
    <s v="Sales_15"/>
    <n v="159"/>
    <n v="73"/>
    <n v="57"/>
    <n v="22"/>
    <s v="30.14"/>
    <n v="68954"/>
    <s v="4.17"/>
    <n v="53509"/>
    <n v="1516988"/>
    <n v="339790"/>
    <s v="Feb"/>
    <n v="2"/>
    <n v="2026"/>
    <s v="Weekday"/>
    <n v="0.38596491228070173"/>
    <n v="0.45911949685534592"/>
    <n v="0.13836477987421383"/>
    <n v="15445"/>
    <s v="Bavaria Motors"/>
  </r>
  <r>
    <s v="CUST_2907"/>
    <x v="7"/>
    <x v="3"/>
    <s v="Monday"/>
    <s v="No"/>
    <x v="1"/>
    <x v="1"/>
    <s v="NRW"/>
    <x v="4"/>
    <s v="T-Roc"/>
    <s v="Electric"/>
    <x v="0"/>
    <s v="26-35"/>
    <s v="High"/>
    <x v="1"/>
    <x v="0"/>
    <s v="Sales_12"/>
    <n v="428"/>
    <n v="210"/>
    <n v="124"/>
    <n v="29"/>
    <s v="13.81"/>
    <n v="28777"/>
    <s v="11.9"/>
    <n v="25625"/>
    <n v="834533"/>
    <n v="91408"/>
    <s v="Feb"/>
    <n v="2"/>
    <n v="2026"/>
    <s v="Weekday"/>
    <n v="0.23387096774193547"/>
    <n v="0.49065420560747663"/>
    <n v="6.7757009345794386E-2"/>
    <n v="3152"/>
    <s v="Rhein Auto Group"/>
  </r>
  <r>
    <s v="CUST_2908"/>
    <x v="5"/>
    <x v="3"/>
    <s v="Saturday"/>
    <s v="Yes"/>
    <x v="2"/>
    <x v="2"/>
    <s v="Lower Saxony"/>
    <x v="3"/>
    <s v="GLE"/>
    <s v="Electric"/>
    <x v="0"/>
    <s v="36-50"/>
    <s v="High"/>
    <x v="1"/>
    <x v="1"/>
    <s v="Sales_8"/>
    <n v="256"/>
    <n v="151"/>
    <n v="117"/>
    <n v="40"/>
    <s v="26.49"/>
    <n v="65601"/>
    <s v="3.51"/>
    <n v="50790"/>
    <n v="2624040"/>
    <n v="592440"/>
    <s v="Feb"/>
    <n v="2"/>
    <n v="2026"/>
    <s v="Weekend"/>
    <n v="0.34188034188034189"/>
    <n v="0.58984375"/>
    <n v="0.15625"/>
    <n v="14811"/>
    <s v="Hannover Cars"/>
  </r>
  <r>
    <s v="CUST_2909"/>
    <x v="24"/>
    <x v="1"/>
    <s v="Thursday"/>
    <s v="No"/>
    <x v="9"/>
    <x v="9"/>
    <s v="NRW"/>
    <x v="3"/>
    <s v="GLE"/>
    <s v="Electric"/>
    <x v="0"/>
    <s v="18-25"/>
    <s v="High"/>
    <x v="0"/>
    <x v="0"/>
    <s v="Sales_2"/>
    <n v="238"/>
    <n v="113"/>
    <n v="83"/>
    <n v="27"/>
    <s v="23.89"/>
    <n v="50383"/>
    <s v="5.04"/>
    <n v="39604"/>
    <n v="1360341"/>
    <n v="291033"/>
    <s v="Feb"/>
    <n v="2"/>
    <n v="2026"/>
    <s v="Weekday"/>
    <n v="0.3253012048192771"/>
    <n v="0.47478991596638653"/>
    <n v="0.1134453781512605"/>
    <n v="10779"/>
    <s v="Ruhr Auto Plaza"/>
  </r>
  <r>
    <s v="CUST_2910"/>
    <x v="20"/>
    <x v="0"/>
    <s v="Thursday"/>
    <s v="No"/>
    <x v="6"/>
    <x v="6"/>
    <s v="Saxony"/>
    <x v="3"/>
    <s v="GLC"/>
    <s v="Petrol"/>
    <x v="0"/>
    <s v="18-25"/>
    <s v="Medium"/>
    <x v="1"/>
    <x v="2"/>
    <s v="Sales_16"/>
    <n v="228"/>
    <n v="129"/>
    <n v="100"/>
    <n v="34"/>
    <s v="26.36"/>
    <n v="55122"/>
    <s v="4.7"/>
    <n v="41830"/>
    <n v="1874148"/>
    <n v="451928"/>
    <s v="Feb"/>
    <n v="2"/>
    <n v="2026"/>
    <s v="Weekday"/>
    <n v="0.34"/>
    <n v="0.56578947368421051"/>
    <n v="0.14912280701754385"/>
    <n v="13292"/>
    <s v="Leipzig Mobility"/>
  </r>
  <r>
    <s v="CUST_2911"/>
    <x v="2"/>
    <x v="2"/>
    <s v="Monday"/>
    <s v="No"/>
    <x v="5"/>
    <x v="5"/>
    <s v="Hamburg"/>
    <x v="0"/>
    <s v="i4"/>
    <s v="Petrol"/>
    <x v="1"/>
    <s v="26-35"/>
    <s v="Medium"/>
    <x v="1"/>
    <x v="3"/>
    <s v="Sales_5"/>
    <n v="274"/>
    <n v="168"/>
    <n v="130"/>
    <n v="46"/>
    <s v="27.38"/>
    <n v="67610"/>
    <s v="3.9"/>
    <n v="51834"/>
    <n v="3110060"/>
    <n v="725696"/>
    <s v="Feb"/>
    <n v="2"/>
    <n v="2026"/>
    <s v="Weekday"/>
    <n v="0.35384615384615387"/>
    <n v="0.61313868613138689"/>
    <n v="0.16788321167883211"/>
    <n v="15776"/>
    <s v="Elbe Drive"/>
  </r>
  <r>
    <s v="CUST_2912"/>
    <x v="10"/>
    <x v="1"/>
    <s v="Monday"/>
    <s v="No"/>
    <x v="7"/>
    <x v="7"/>
    <s v="Bavaria"/>
    <x v="1"/>
    <s v="Astra"/>
    <s v="Petrol"/>
    <x v="2"/>
    <s v="18-25"/>
    <s v="High"/>
    <x v="0"/>
    <x v="3"/>
    <s v="Sales_3"/>
    <n v="380"/>
    <n v="163"/>
    <n v="98"/>
    <n v="30"/>
    <s v="18.4"/>
    <n v="27389"/>
    <s v="7.49"/>
    <n v="24504"/>
    <n v="821670"/>
    <n v="86550"/>
    <s v="Feb"/>
    <n v="2"/>
    <n v="2026"/>
    <s v="Weekday"/>
    <n v="0.30612244897959184"/>
    <n v="0.42894736842105263"/>
    <n v="7.8947368421052627E-2"/>
    <n v="2885"/>
    <s v="Bavaria Motors"/>
  </r>
  <r>
    <s v="CUST_2913"/>
    <x v="25"/>
    <x v="3"/>
    <s v="Friday"/>
    <s v="No"/>
    <x v="0"/>
    <x v="0"/>
    <s v="Hesse"/>
    <x v="2"/>
    <s v="A3"/>
    <s v="Diesel"/>
    <x v="2"/>
    <s v="26-35"/>
    <s v="High"/>
    <x v="1"/>
    <x v="0"/>
    <s v="Sales_7"/>
    <n v="252"/>
    <n v="147"/>
    <n v="112"/>
    <n v="29"/>
    <s v="19.73"/>
    <n v="50446"/>
    <s v="6.24"/>
    <n v="38477"/>
    <n v="1462934"/>
    <n v="347101"/>
    <s v="Feb"/>
    <n v="2"/>
    <n v="2026"/>
    <s v="Weekday"/>
    <n v="0.25892857142857145"/>
    <n v="0.58333333333333337"/>
    <n v="0.11507936507936507"/>
    <n v="11969"/>
    <s v="Main Auto Hub"/>
  </r>
  <r>
    <s v="CUST_2914"/>
    <x v="4"/>
    <x v="2"/>
    <s v="Wednesday"/>
    <s v="No"/>
    <x v="3"/>
    <x v="3"/>
    <s v="Saxony"/>
    <x v="1"/>
    <s v="Mokka"/>
    <s v="Petrol"/>
    <x v="0"/>
    <s v="50+"/>
    <s v="Low"/>
    <x v="1"/>
    <x v="3"/>
    <s v="Sales_6"/>
    <n v="382"/>
    <n v="197"/>
    <n v="126"/>
    <n v="26"/>
    <s v="13.2"/>
    <n v="20321"/>
    <s v="8.47"/>
    <n v="18615"/>
    <n v="528346"/>
    <n v="44356"/>
    <s v="Feb"/>
    <n v="2"/>
    <n v="2026"/>
    <s v="Weekday"/>
    <n v="0.20634920634920634"/>
    <n v="0.51570680628272247"/>
    <n v="6.8062827225130892E-2"/>
    <n v="1706"/>
    <s v="Saxon Wheels"/>
  </r>
  <r>
    <s v="CUST_2915"/>
    <x v="12"/>
    <x v="3"/>
    <s v="Thursday"/>
    <s v="No"/>
    <x v="7"/>
    <x v="7"/>
    <s v="Bavaria"/>
    <x v="2"/>
    <s v="Q3"/>
    <s v="Electric"/>
    <x v="0"/>
    <s v="18-25"/>
    <s v="High"/>
    <x v="1"/>
    <x v="0"/>
    <s v="Sales_17"/>
    <n v="197"/>
    <n v="119"/>
    <n v="89"/>
    <n v="24"/>
    <s v="20.17"/>
    <n v="44951"/>
    <s v="6.84"/>
    <n v="36830"/>
    <n v="1078824"/>
    <n v="194904"/>
    <s v="Feb"/>
    <n v="2"/>
    <n v="2026"/>
    <s v="Weekday"/>
    <n v="0.2696629213483146"/>
    <n v="0.60406091370558379"/>
    <n v="0.12182741116751269"/>
    <n v="8121"/>
    <s v="Bavaria Motors"/>
  </r>
  <r>
    <s v="CUST_2916"/>
    <x v="20"/>
    <x v="0"/>
    <s v="Thursday"/>
    <s v="No"/>
    <x v="6"/>
    <x v="6"/>
    <s v="Saxony"/>
    <x v="3"/>
    <s v="E-Class"/>
    <s v="Electric"/>
    <x v="1"/>
    <s v="18-25"/>
    <s v="Low"/>
    <x v="0"/>
    <x v="3"/>
    <s v="Sales_9"/>
    <n v="167"/>
    <n v="94"/>
    <n v="74"/>
    <n v="22"/>
    <s v="23.4"/>
    <n v="58656"/>
    <s v="5.96"/>
    <n v="45599"/>
    <n v="1290432"/>
    <n v="287254"/>
    <s v="Feb"/>
    <n v="2"/>
    <n v="2026"/>
    <s v="Weekday"/>
    <n v="0.29729729729729731"/>
    <n v="0.56287425149700598"/>
    <n v="0.1317365269461078"/>
    <n v="13057"/>
    <s v="Leipzig Mobility"/>
  </r>
  <r>
    <s v="CUST_2917"/>
    <x v="6"/>
    <x v="2"/>
    <s v="Saturday"/>
    <s v="Yes"/>
    <x v="8"/>
    <x v="8"/>
    <s v="Baden-WÃ¼rttemberg"/>
    <x v="2"/>
    <s v="A3"/>
    <s v="Electric"/>
    <x v="2"/>
    <s v="50+"/>
    <s v="Medium"/>
    <x v="0"/>
    <x v="3"/>
    <s v="Sales_13"/>
    <n v="176"/>
    <n v="109"/>
    <n v="77"/>
    <n v="25"/>
    <s v="22.94"/>
    <n v="45574"/>
    <s v="4.85"/>
    <n v="36141"/>
    <n v="1139350"/>
    <n v="235825"/>
    <s v="Feb"/>
    <n v="2"/>
    <n v="2026"/>
    <s v="Weekend"/>
    <n v="0.32467532467532467"/>
    <n v="0.61931818181818177"/>
    <n v="0.14204545454545456"/>
    <n v="9433"/>
    <s v="Stuttgart Auto Center"/>
  </r>
  <r>
    <s v="CUST_2918"/>
    <x v="16"/>
    <x v="1"/>
    <s v="Tuesday"/>
    <s v="No"/>
    <x v="3"/>
    <x v="3"/>
    <s v="Saxony"/>
    <x v="1"/>
    <s v="Crossland"/>
    <s v="Hybrid"/>
    <x v="0"/>
    <s v="18-25"/>
    <s v="Low"/>
    <x v="0"/>
    <x v="3"/>
    <s v="Sales_3"/>
    <n v="385"/>
    <n v="154"/>
    <n v="101"/>
    <n v="19"/>
    <s v="12.34"/>
    <n v="24927"/>
    <s v="10.72"/>
    <n v="22757"/>
    <n v="473613"/>
    <n v="41230"/>
    <s v="Feb"/>
    <n v="2"/>
    <n v="2026"/>
    <s v="Weekday"/>
    <n v="0.18811881188118812"/>
    <n v="0.4"/>
    <n v="4.9350649350649353E-2"/>
    <n v="2170"/>
    <s v="Saxon Wheels"/>
  </r>
  <r>
    <s v="CUST_2919"/>
    <x v="6"/>
    <x v="2"/>
    <s v="Saturday"/>
    <s v="Yes"/>
    <x v="0"/>
    <x v="0"/>
    <s v="Hesse"/>
    <x v="0"/>
    <s v="X5"/>
    <s v="Petrol"/>
    <x v="0"/>
    <s v="26-35"/>
    <s v="Low"/>
    <x v="1"/>
    <x v="2"/>
    <s v="Sales_11"/>
    <n v="199"/>
    <n v="102"/>
    <n v="71"/>
    <n v="28"/>
    <s v="27.45"/>
    <n v="61187"/>
    <s v="5.31"/>
    <n v="46208"/>
    <n v="1713236"/>
    <n v="419412"/>
    <s v="Feb"/>
    <n v="2"/>
    <n v="2026"/>
    <s v="Weekend"/>
    <n v="0.39436619718309857"/>
    <n v="0.51256281407035176"/>
    <n v="0.1407035175879397"/>
    <n v="14979"/>
    <s v="Main Auto Hub"/>
  </r>
  <r>
    <s v="CUST_2920"/>
    <x v="8"/>
    <x v="3"/>
    <s v="Wednesday"/>
    <s v="No"/>
    <x v="0"/>
    <x v="0"/>
    <s v="Hesse"/>
    <x v="2"/>
    <s v="Q5"/>
    <s v="Petrol"/>
    <x v="0"/>
    <s v="18-25"/>
    <s v="High"/>
    <x v="1"/>
    <x v="2"/>
    <s v="Sales_16"/>
    <n v="208"/>
    <n v="112"/>
    <n v="82"/>
    <n v="28"/>
    <s v="25.0"/>
    <n v="41829"/>
    <s v="3.05"/>
    <n v="33371"/>
    <n v="1171212"/>
    <n v="236824"/>
    <s v="Feb"/>
    <n v="2"/>
    <n v="2026"/>
    <s v="Weekday"/>
    <n v="0.34146341463414637"/>
    <n v="0.53846153846153844"/>
    <n v="0.13461538461538461"/>
    <n v="8458"/>
    <s v="Main Auto Hub"/>
  </r>
  <r>
    <s v="CUST_2921"/>
    <x v="23"/>
    <x v="2"/>
    <s v="Tuesday"/>
    <s v="No"/>
    <x v="0"/>
    <x v="0"/>
    <s v="Hesse"/>
    <x v="4"/>
    <s v="T-Roc"/>
    <s v="Electric"/>
    <x v="0"/>
    <s v="36-50"/>
    <s v="Low"/>
    <x v="1"/>
    <x v="0"/>
    <s v="Sales_12"/>
    <n v="346"/>
    <n v="138"/>
    <n v="82"/>
    <n v="17"/>
    <s v="12.32"/>
    <n v="30973"/>
    <s v="7.63"/>
    <n v="27238"/>
    <n v="526541"/>
    <n v="63495"/>
    <s v="Feb"/>
    <n v="2"/>
    <n v="2026"/>
    <s v="Weekday"/>
    <n v="0.2073170731707317"/>
    <n v="0.39884393063583817"/>
    <n v="4.9132947976878616E-2"/>
    <n v="3735"/>
    <s v="Main Auto Hub"/>
  </r>
  <r>
    <s v="CUST_2922"/>
    <x v="3"/>
    <x v="1"/>
    <s v="Sunday"/>
    <s v="Yes"/>
    <x v="6"/>
    <x v="6"/>
    <s v="Saxony"/>
    <x v="2"/>
    <s v="Q5"/>
    <s v="Hybrid"/>
    <x v="0"/>
    <s v="18-25"/>
    <s v="Medium"/>
    <x v="0"/>
    <x v="0"/>
    <s v="Sales_10"/>
    <n v="261"/>
    <n v="145"/>
    <n v="111"/>
    <n v="31"/>
    <s v="21.38"/>
    <n v="53284"/>
    <s v="3.83"/>
    <n v="40023"/>
    <n v="1651804"/>
    <n v="411091"/>
    <s v="Feb"/>
    <n v="2"/>
    <n v="2026"/>
    <s v="Weekend"/>
    <n v="0.27927927927927926"/>
    <n v="0.55555555555555558"/>
    <n v="0.11877394636015326"/>
    <n v="13261"/>
    <s v="Leipzig Mobility"/>
  </r>
  <r>
    <s v="CUST_2923"/>
    <x v="22"/>
    <x v="3"/>
    <s v="Tuesday"/>
    <s v="No"/>
    <x v="6"/>
    <x v="6"/>
    <s v="Saxony"/>
    <x v="1"/>
    <s v="Grandland"/>
    <s v="Diesel"/>
    <x v="0"/>
    <s v="26-35"/>
    <s v="Medium"/>
    <x v="0"/>
    <x v="3"/>
    <s v="Sales_1"/>
    <n v="406"/>
    <n v="209"/>
    <n v="140"/>
    <n v="33"/>
    <s v="15.79"/>
    <n v="20131"/>
    <s v="10.26"/>
    <n v="18400"/>
    <n v="664323"/>
    <n v="57123"/>
    <s v="Feb"/>
    <n v="2"/>
    <n v="2026"/>
    <s v="Weekday"/>
    <n v="0.23571428571428571"/>
    <n v="0.51477832512315269"/>
    <n v="8.1280788177339899E-2"/>
    <n v="1731"/>
    <s v="Leipzig Mobility"/>
  </r>
  <r>
    <s v="CUST_2924"/>
    <x v="9"/>
    <x v="0"/>
    <s v="Sunday"/>
    <s v="Yes"/>
    <x v="5"/>
    <x v="5"/>
    <s v="Hamburg"/>
    <x v="1"/>
    <s v="Astra"/>
    <s v="Electric"/>
    <x v="2"/>
    <s v="36-50"/>
    <s v="High"/>
    <x v="1"/>
    <x v="3"/>
    <s v="Sales_9"/>
    <n v="363"/>
    <n v="187"/>
    <n v="120"/>
    <n v="23"/>
    <s v="12.3"/>
    <n v="20193"/>
    <s v="11.82"/>
    <n v="18041"/>
    <n v="464439"/>
    <n v="49496"/>
    <s v="Feb"/>
    <n v="2"/>
    <n v="2026"/>
    <s v="Weekend"/>
    <n v="0.19166666666666668"/>
    <n v="0.51515151515151514"/>
    <n v="6.3360881542699726E-2"/>
    <n v="2152"/>
    <s v="Elbe Drive"/>
  </r>
  <r>
    <s v="CUST_2925"/>
    <x v="17"/>
    <x v="2"/>
    <s v="Sunday"/>
    <s v="Yes"/>
    <x v="5"/>
    <x v="5"/>
    <s v="Hamburg"/>
    <x v="0"/>
    <s v="3 Series"/>
    <s v="Diesel"/>
    <x v="1"/>
    <s v="18-25"/>
    <s v="High"/>
    <x v="0"/>
    <x v="2"/>
    <s v="Sales_20"/>
    <n v="223"/>
    <n v="109"/>
    <n v="75"/>
    <n v="34"/>
    <s v="31.19"/>
    <n v="57871"/>
    <s v="5.8"/>
    <n v="42910"/>
    <n v="1967614"/>
    <n v="508674"/>
    <s v="Feb"/>
    <n v="2"/>
    <n v="2026"/>
    <s v="Weekend"/>
    <n v="0.45333333333333331"/>
    <n v="0.48878923766816146"/>
    <n v="0.15246636771300448"/>
    <n v="14961"/>
    <s v="Elbe Drive"/>
  </r>
  <r>
    <s v="CUST_2926"/>
    <x v="27"/>
    <x v="3"/>
    <s v="Sunday"/>
    <s v="Yes"/>
    <x v="9"/>
    <x v="9"/>
    <s v="NRW"/>
    <x v="4"/>
    <s v="Golf"/>
    <s v="Petrol"/>
    <x v="2"/>
    <s v="26-35"/>
    <s v="High"/>
    <x v="0"/>
    <x v="2"/>
    <s v="Sales_17"/>
    <n v="448"/>
    <n v="244"/>
    <n v="148"/>
    <n v="48"/>
    <s v="19.67"/>
    <n v="29103"/>
    <s v="8.35"/>
    <n v="26478"/>
    <n v="1396944"/>
    <n v="126000"/>
    <s v="Feb"/>
    <n v="2"/>
    <n v="2026"/>
    <s v="Weekend"/>
    <n v="0.32432432432432434"/>
    <n v="0.5446428571428571"/>
    <n v="0.10714285714285714"/>
    <n v="2625"/>
    <s v="Ruhr Auto Plaza"/>
  </r>
  <r>
    <s v="CUST_2927"/>
    <x v="13"/>
    <x v="0"/>
    <s v="Friday"/>
    <s v="No"/>
    <x v="9"/>
    <x v="9"/>
    <s v="NRW"/>
    <x v="3"/>
    <s v="EQE"/>
    <s v="Electric"/>
    <x v="1"/>
    <s v="18-25"/>
    <s v="Medium"/>
    <x v="1"/>
    <x v="1"/>
    <s v="Sales_12"/>
    <n v="203"/>
    <n v="119"/>
    <n v="91"/>
    <n v="26"/>
    <s v="21.85"/>
    <n v="60769"/>
    <s v="2.77"/>
    <n v="47989"/>
    <n v="1579994"/>
    <n v="332280"/>
    <s v="Feb"/>
    <n v="2"/>
    <n v="2026"/>
    <s v="Weekday"/>
    <n v="0.2857142857142857"/>
    <n v="0.58620689655172409"/>
    <n v="0.12807881773399016"/>
    <n v="12780"/>
    <s v="Ruhr Auto Plaza"/>
  </r>
  <r>
    <s v="CUST_2928"/>
    <x v="24"/>
    <x v="1"/>
    <s v="Thursday"/>
    <s v="No"/>
    <x v="0"/>
    <x v="0"/>
    <s v="Hesse"/>
    <x v="2"/>
    <s v="e-tron"/>
    <s v="Electric"/>
    <x v="0"/>
    <s v="26-35"/>
    <s v="Low"/>
    <x v="1"/>
    <x v="3"/>
    <s v="Sales_17"/>
    <n v="280"/>
    <n v="145"/>
    <n v="112"/>
    <n v="33"/>
    <s v="22.76"/>
    <n v="45340"/>
    <s v="4.34"/>
    <n v="34609"/>
    <n v="1496220"/>
    <n v="354123"/>
    <s v="Feb"/>
    <n v="2"/>
    <n v="2026"/>
    <s v="Weekday"/>
    <n v="0.29464285714285715"/>
    <n v="0.5178571428571429"/>
    <n v="0.11785714285714285"/>
    <n v="10731"/>
    <s v="Main Auto Hub"/>
  </r>
  <r>
    <s v="CUST_2929"/>
    <x v="16"/>
    <x v="1"/>
    <s v="Tuesday"/>
    <s v="No"/>
    <x v="8"/>
    <x v="8"/>
    <s v="Baden-WÃ¼rttemberg"/>
    <x v="2"/>
    <s v="Q3"/>
    <s v="Electric"/>
    <x v="0"/>
    <s v="36-50"/>
    <s v="Low"/>
    <x v="1"/>
    <x v="1"/>
    <s v="Sales_5"/>
    <n v="302"/>
    <n v="165"/>
    <n v="112"/>
    <n v="43"/>
    <s v="26.06"/>
    <n v="53817"/>
    <s v="3.44"/>
    <n v="44033"/>
    <n v="2314131"/>
    <n v="420712"/>
    <s v="Feb"/>
    <n v="2"/>
    <n v="2026"/>
    <s v="Weekday"/>
    <n v="0.38392857142857145"/>
    <n v="0.54635761589403975"/>
    <n v="0.14238410596026491"/>
    <n v="9784"/>
    <s v="Stuttgart Auto Center"/>
  </r>
  <r>
    <s v="CUST_2930"/>
    <x v="17"/>
    <x v="2"/>
    <s v="Sunday"/>
    <s v="Yes"/>
    <x v="3"/>
    <x v="3"/>
    <s v="Saxony"/>
    <x v="3"/>
    <s v="GLE"/>
    <s v="Hybrid"/>
    <x v="0"/>
    <s v="26-35"/>
    <s v="Low"/>
    <x v="1"/>
    <x v="1"/>
    <s v="Sales_2"/>
    <n v="150"/>
    <n v="84"/>
    <n v="59"/>
    <n v="22"/>
    <s v="26.19"/>
    <n v="66705"/>
    <s v="4.64"/>
    <n v="52052"/>
    <n v="1467510"/>
    <n v="322366"/>
    <s v="Feb"/>
    <n v="2"/>
    <n v="2026"/>
    <s v="Weekend"/>
    <n v="0.3728813559322034"/>
    <n v="0.56000000000000005"/>
    <n v="0.14666666666666667"/>
    <n v="14653"/>
    <s v="Saxon Wheels"/>
  </r>
  <r>
    <s v="CUST_2931"/>
    <x v="25"/>
    <x v="3"/>
    <s v="Friday"/>
    <s v="No"/>
    <x v="8"/>
    <x v="8"/>
    <s v="Baden-WÃ¼rttemberg"/>
    <x v="0"/>
    <s v="X3"/>
    <s v="Diesel"/>
    <x v="0"/>
    <s v="18-25"/>
    <s v="Low"/>
    <x v="1"/>
    <x v="1"/>
    <s v="Sales_12"/>
    <n v="157"/>
    <n v="80"/>
    <n v="55"/>
    <n v="22"/>
    <s v="27.5"/>
    <n v="55907"/>
    <s v="5.56"/>
    <n v="39218"/>
    <n v="1229954"/>
    <n v="367158"/>
    <s v="Feb"/>
    <n v="2"/>
    <n v="2026"/>
    <s v="Weekday"/>
    <n v="0.4"/>
    <n v="0.50955414012738853"/>
    <n v="0.14012738853503184"/>
    <n v="16689"/>
    <s v="Stuttgart Auto Center"/>
  </r>
  <r>
    <s v="CUST_2932"/>
    <x v="8"/>
    <x v="3"/>
    <s v="Wednesday"/>
    <s v="No"/>
    <x v="6"/>
    <x v="6"/>
    <s v="Saxony"/>
    <x v="2"/>
    <s v="Q5"/>
    <s v="Electric"/>
    <x v="0"/>
    <s v="26-35"/>
    <s v="High"/>
    <x v="1"/>
    <x v="0"/>
    <s v="Sales_7"/>
    <n v="165"/>
    <n v="89"/>
    <n v="60"/>
    <n v="16"/>
    <s v="17.98"/>
    <n v="49024"/>
    <s v="5.56"/>
    <n v="38851"/>
    <n v="784384"/>
    <n v="162768"/>
    <s v="Feb"/>
    <n v="2"/>
    <n v="2026"/>
    <s v="Weekday"/>
    <n v="0.26666666666666666"/>
    <n v="0.53939393939393943"/>
    <n v="9.696969696969697E-2"/>
    <n v="10173"/>
    <s v="Leipzig Mobility"/>
  </r>
  <r>
    <s v="CUST_2933"/>
    <x v="1"/>
    <x v="1"/>
    <s v="Wednesday"/>
    <s v="No"/>
    <x v="7"/>
    <x v="7"/>
    <s v="Bavaria"/>
    <x v="1"/>
    <s v="Astra"/>
    <s v="Diesel"/>
    <x v="2"/>
    <s v="26-35"/>
    <s v="High"/>
    <x v="0"/>
    <x v="2"/>
    <s v="Sales_4"/>
    <n v="344"/>
    <n v="166"/>
    <n v="100"/>
    <n v="37"/>
    <s v="22.29"/>
    <n v="23882"/>
    <s v="7.72"/>
    <n v="21465"/>
    <n v="883634"/>
    <n v="89429"/>
    <s v="Feb"/>
    <n v="2"/>
    <n v="2026"/>
    <s v="Weekday"/>
    <n v="0.37"/>
    <n v="0.48255813953488375"/>
    <n v="0.10755813953488372"/>
    <n v="2417"/>
    <s v="Bavaria Motors"/>
  </r>
  <r>
    <s v="CUST_2934"/>
    <x v="12"/>
    <x v="3"/>
    <s v="Thursday"/>
    <s v="No"/>
    <x v="8"/>
    <x v="8"/>
    <s v="Baden-WÃ¼rttemberg"/>
    <x v="4"/>
    <s v="Golf"/>
    <s v="Petrol"/>
    <x v="2"/>
    <s v="36-50"/>
    <s v="Medium"/>
    <x v="1"/>
    <x v="1"/>
    <s v="Sales_14"/>
    <n v="264"/>
    <n v="146"/>
    <n v="91"/>
    <n v="25"/>
    <s v="17.12"/>
    <n v="27419"/>
    <s v="10.15"/>
    <n v="23934"/>
    <n v="685475"/>
    <n v="87125"/>
    <s v="Feb"/>
    <n v="2"/>
    <n v="2026"/>
    <s v="Weekday"/>
    <n v="0.27472527472527475"/>
    <n v="0.55303030303030298"/>
    <n v="9.4696969696969696E-2"/>
    <n v="3485"/>
    <s v="Stuttgart Auto Center"/>
  </r>
  <r>
    <s v="CUST_2935"/>
    <x v="6"/>
    <x v="2"/>
    <s v="Saturday"/>
    <s v="Yes"/>
    <x v="3"/>
    <x v="3"/>
    <s v="Saxony"/>
    <x v="0"/>
    <s v="i4"/>
    <s v="Electric"/>
    <x v="1"/>
    <s v="36-50"/>
    <s v="Low"/>
    <x v="0"/>
    <x v="0"/>
    <s v="Sales_3"/>
    <n v="170"/>
    <n v="92"/>
    <n v="65"/>
    <n v="25"/>
    <s v="27.17"/>
    <n v="56205"/>
    <s v="5.6"/>
    <n v="40055"/>
    <n v="1405125"/>
    <n v="403750"/>
    <s v="Feb"/>
    <n v="2"/>
    <n v="2026"/>
    <s v="Weekend"/>
    <n v="0.38461538461538464"/>
    <n v="0.54117647058823526"/>
    <n v="0.14705882352941177"/>
    <n v="16150"/>
    <s v="Saxon Wheels"/>
  </r>
  <r>
    <s v="CUST_2936"/>
    <x v="5"/>
    <x v="3"/>
    <s v="Saturday"/>
    <s v="Yes"/>
    <x v="8"/>
    <x v="8"/>
    <s v="Baden-WÃ¼rttemberg"/>
    <x v="4"/>
    <s v="ID.4"/>
    <s v="Diesel"/>
    <x v="0"/>
    <s v="50+"/>
    <s v="Low"/>
    <x v="1"/>
    <x v="1"/>
    <s v="Sales_7"/>
    <n v="474"/>
    <n v="257"/>
    <n v="173"/>
    <n v="43"/>
    <s v="16.73"/>
    <n v="26506"/>
    <s v="11.66"/>
    <n v="23525"/>
    <n v="1139758"/>
    <n v="128183"/>
    <s v="Feb"/>
    <n v="2"/>
    <n v="2026"/>
    <s v="Weekend"/>
    <n v="0.24855491329479767"/>
    <n v="0.54219409282700426"/>
    <n v="9.0717299578059074E-2"/>
    <n v="2981"/>
    <s v="Stuttgart Auto Center"/>
  </r>
  <r>
    <s v="CUST_2937"/>
    <x v="7"/>
    <x v="3"/>
    <s v="Monday"/>
    <s v="No"/>
    <x v="0"/>
    <x v="0"/>
    <s v="Hesse"/>
    <x v="3"/>
    <s v="GLE"/>
    <s v="Petrol"/>
    <x v="0"/>
    <s v="50+"/>
    <s v="High"/>
    <x v="1"/>
    <x v="2"/>
    <s v="Sales_1"/>
    <n v="249"/>
    <n v="110"/>
    <n v="79"/>
    <n v="31"/>
    <s v="28.18"/>
    <n v="69254"/>
    <s v="4.64"/>
    <n v="52466"/>
    <n v="2146874"/>
    <n v="520428"/>
    <s v="Feb"/>
    <n v="2"/>
    <n v="2026"/>
    <s v="Weekday"/>
    <n v="0.39240506329113922"/>
    <n v="0.44176706827309237"/>
    <n v="0.12449799196787148"/>
    <n v="16788"/>
    <s v="Main Auto Hub"/>
  </r>
  <r>
    <s v="CUST_2938"/>
    <x v="26"/>
    <x v="1"/>
    <s v="Friday"/>
    <s v="No"/>
    <x v="9"/>
    <x v="9"/>
    <s v="NRW"/>
    <x v="2"/>
    <s v="A3"/>
    <s v="Diesel"/>
    <x v="2"/>
    <s v="50+"/>
    <s v="Low"/>
    <x v="1"/>
    <x v="1"/>
    <s v="Sales_1"/>
    <n v="217"/>
    <n v="113"/>
    <n v="77"/>
    <n v="26"/>
    <s v="23.01"/>
    <n v="40043"/>
    <s v="5.31"/>
    <n v="30832"/>
    <n v="1041118"/>
    <n v="239486"/>
    <s v="Feb"/>
    <n v="2"/>
    <n v="2026"/>
    <s v="Weekday"/>
    <n v="0.33766233766233766"/>
    <n v="0.52073732718894006"/>
    <n v="0.11981566820276497"/>
    <n v="9211"/>
    <s v="Ruhr Auto Plaza"/>
  </r>
  <r>
    <s v="CUST_2939"/>
    <x v="14"/>
    <x v="2"/>
    <s v="Friday"/>
    <s v="No"/>
    <x v="2"/>
    <x v="2"/>
    <s v="Lower Saxony"/>
    <x v="0"/>
    <s v="3 Series"/>
    <s v="Electric"/>
    <x v="1"/>
    <s v="36-50"/>
    <s v="Low"/>
    <x v="1"/>
    <x v="2"/>
    <s v="Sales_2"/>
    <n v="247"/>
    <n v="143"/>
    <n v="109"/>
    <n v="45"/>
    <s v="31.47"/>
    <n v="65477"/>
    <s v="4.9"/>
    <n v="49583"/>
    <n v="2946465"/>
    <n v="715230"/>
    <s v="Feb"/>
    <n v="2"/>
    <n v="2026"/>
    <s v="Weekday"/>
    <n v="0.41284403669724773"/>
    <n v="0.57894736842105265"/>
    <n v="0.18218623481781376"/>
    <n v="15894"/>
    <s v="Hannover Cars"/>
  </r>
  <r>
    <s v="CUST_2940"/>
    <x v="7"/>
    <x v="3"/>
    <s v="Monday"/>
    <s v="No"/>
    <x v="3"/>
    <x v="3"/>
    <s v="Saxony"/>
    <x v="2"/>
    <s v="A3"/>
    <s v="Diesel"/>
    <x v="2"/>
    <s v="18-25"/>
    <s v="High"/>
    <x v="1"/>
    <x v="1"/>
    <s v="Sales_10"/>
    <n v="256"/>
    <n v="122"/>
    <n v="86"/>
    <n v="26"/>
    <s v="21.31"/>
    <n v="43407"/>
    <s v="6.95"/>
    <n v="32984"/>
    <n v="1128582"/>
    <n v="270998"/>
    <s v="Feb"/>
    <n v="2"/>
    <n v="2026"/>
    <s v="Weekday"/>
    <n v="0.30232558139534882"/>
    <n v="0.4765625"/>
    <n v="0.1015625"/>
    <n v="10423"/>
    <s v="Saxon Wheels"/>
  </r>
  <r>
    <s v="CUST_2941"/>
    <x v="9"/>
    <x v="0"/>
    <s v="Sunday"/>
    <s v="Yes"/>
    <x v="8"/>
    <x v="8"/>
    <s v="Baden-WÃ¼rttemberg"/>
    <x v="2"/>
    <s v="Q3"/>
    <s v="Hybrid"/>
    <x v="0"/>
    <s v="26-35"/>
    <s v="Low"/>
    <x v="0"/>
    <x v="3"/>
    <s v="Sales_4"/>
    <n v="279"/>
    <n v="130"/>
    <n v="100"/>
    <n v="28"/>
    <s v="21.54"/>
    <n v="47676"/>
    <s v="6.36"/>
    <n v="37207"/>
    <n v="1334928"/>
    <n v="293132"/>
    <s v="Feb"/>
    <n v="2"/>
    <n v="2026"/>
    <s v="Weekend"/>
    <n v="0.28000000000000003"/>
    <n v="0.46594982078853048"/>
    <n v="0.1003584229390681"/>
    <n v="10469"/>
    <s v="Stuttgart Auto Center"/>
  </r>
  <r>
    <s v="CUST_2942"/>
    <x v="7"/>
    <x v="3"/>
    <s v="Monday"/>
    <s v="No"/>
    <x v="6"/>
    <x v="6"/>
    <s v="Saxony"/>
    <x v="1"/>
    <s v="Corsa"/>
    <s v="Electric"/>
    <x v="2"/>
    <s v="26-35"/>
    <s v="Low"/>
    <x v="1"/>
    <x v="1"/>
    <s v="Sales_15"/>
    <n v="243"/>
    <n v="126"/>
    <n v="77"/>
    <n v="20"/>
    <s v="15.87"/>
    <n v="22700"/>
    <s v="12.62"/>
    <n v="20825"/>
    <n v="454000"/>
    <n v="37500"/>
    <s v="Feb"/>
    <n v="2"/>
    <n v="2026"/>
    <s v="Weekday"/>
    <n v="0.25974025974025972"/>
    <n v="0.51851851851851849"/>
    <n v="8.2304526748971193E-2"/>
    <n v="1875"/>
    <s v="Leipzig Mobility"/>
  </r>
  <r>
    <s v="CUST_2943"/>
    <x v="11"/>
    <x v="0"/>
    <s v="Wednesday"/>
    <s v="No"/>
    <x v="5"/>
    <x v="5"/>
    <s v="Hamburg"/>
    <x v="4"/>
    <s v="T-Roc"/>
    <s v="Electric"/>
    <x v="0"/>
    <s v="18-25"/>
    <s v="Medium"/>
    <x v="1"/>
    <x v="0"/>
    <s v="Sales_13"/>
    <n v="380"/>
    <n v="158"/>
    <n v="110"/>
    <n v="21"/>
    <s v="13.29"/>
    <n v="30586"/>
    <s v="11.18"/>
    <n v="27583"/>
    <n v="642306"/>
    <n v="63063"/>
    <s v="Feb"/>
    <n v="2"/>
    <n v="2026"/>
    <s v="Weekday"/>
    <n v="0.19090909090909092"/>
    <n v="0.41578947368421054"/>
    <n v="5.526315789473684E-2"/>
    <n v="3003"/>
    <s v="Elbe Drive"/>
  </r>
  <r>
    <s v="CUST_2944"/>
    <x v="15"/>
    <x v="2"/>
    <s v="Thursday"/>
    <s v="No"/>
    <x v="4"/>
    <x v="4"/>
    <s v="Berlin"/>
    <x v="4"/>
    <s v="Tiguan"/>
    <s v="Diesel"/>
    <x v="0"/>
    <s v="18-25"/>
    <s v="High"/>
    <x v="1"/>
    <x v="0"/>
    <s v="Sales_20"/>
    <n v="373"/>
    <n v="170"/>
    <n v="102"/>
    <n v="26"/>
    <s v="15.29"/>
    <n v="26055"/>
    <s v="11.38"/>
    <n v="22490"/>
    <n v="677430"/>
    <n v="92690"/>
    <s v="Feb"/>
    <n v="2"/>
    <n v="2026"/>
    <s v="Weekday"/>
    <n v="0.25490196078431371"/>
    <n v="0.45576407506702415"/>
    <n v="6.9705093833780166E-2"/>
    <n v="3565"/>
    <s v="Autohaus Berlin"/>
  </r>
  <r>
    <s v="CUST_2945"/>
    <x v="11"/>
    <x v="0"/>
    <s v="Wednesday"/>
    <s v="No"/>
    <x v="4"/>
    <x v="4"/>
    <s v="Berlin"/>
    <x v="2"/>
    <s v="Q5"/>
    <s v="Diesel"/>
    <x v="0"/>
    <s v="26-35"/>
    <s v="High"/>
    <x v="0"/>
    <x v="3"/>
    <s v="Sales_4"/>
    <n v="273"/>
    <n v="160"/>
    <n v="108"/>
    <n v="37"/>
    <s v="23.12"/>
    <n v="53057"/>
    <s v="3.15"/>
    <n v="41409"/>
    <n v="1963109"/>
    <n v="430976"/>
    <s v="Feb"/>
    <n v="2"/>
    <n v="2026"/>
    <s v="Weekday"/>
    <n v="0.34259259259259262"/>
    <n v="0.58608058608058611"/>
    <n v="0.13553113553113552"/>
    <n v="11648"/>
    <s v="Autohaus Berlin"/>
  </r>
  <r>
    <s v="CUST_2946"/>
    <x v="3"/>
    <x v="1"/>
    <s v="Sunday"/>
    <s v="Yes"/>
    <x v="3"/>
    <x v="3"/>
    <s v="Saxony"/>
    <x v="2"/>
    <s v="e-tron"/>
    <s v="Diesel"/>
    <x v="0"/>
    <s v="26-35"/>
    <s v="Medium"/>
    <x v="1"/>
    <x v="2"/>
    <s v="Sales_9"/>
    <n v="278"/>
    <n v="145"/>
    <n v="102"/>
    <n v="35"/>
    <s v="24.14"/>
    <n v="42187"/>
    <s v="5.37"/>
    <n v="32745"/>
    <n v="1476545"/>
    <n v="330470"/>
    <s v="Feb"/>
    <n v="2"/>
    <n v="2026"/>
    <s v="Weekend"/>
    <n v="0.34313725490196079"/>
    <n v="0.52158273381294962"/>
    <n v="0.12589928057553956"/>
    <n v="9442"/>
    <s v="Saxon Wheels"/>
  </r>
  <r>
    <s v="CUST_2947"/>
    <x v="6"/>
    <x v="2"/>
    <s v="Saturday"/>
    <s v="Yes"/>
    <x v="3"/>
    <x v="3"/>
    <s v="Saxony"/>
    <x v="4"/>
    <s v="T-Roc"/>
    <s v="Petrol"/>
    <x v="0"/>
    <s v="18-25"/>
    <s v="Medium"/>
    <x v="0"/>
    <x v="2"/>
    <s v="Sales_10"/>
    <n v="458"/>
    <n v="222"/>
    <n v="147"/>
    <n v="41"/>
    <s v="18.47"/>
    <n v="29989"/>
    <s v="10.82"/>
    <n v="27247"/>
    <n v="1229549"/>
    <n v="112422"/>
    <s v="Feb"/>
    <n v="2"/>
    <n v="2026"/>
    <s v="Weekend"/>
    <n v="0.27891156462585032"/>
    <n v="0.48471615720524019"/>
    <n v="8.9519650655021835E-2"/>
    <n v="2742"/>
    <s v="Saxon Wheels"/>
  </r>
  <r>
    <s v="CUST_2948"/>
    <x v="21"/>
    <x v="0"/>
    <s v="Tuesday"/>
    <s v="No"/>
    <x v="1"/>
    <x v="1"/>
    <s v="NRW"/>
    <x v="4"/>
    <s v="ID.4"/>
    <s v="Petrol"/>
    <x v="0"/>
    <s v="36-50"/>
    <s v="Low"/>
    <x v="0"/>
    <x v="1"/>
    <s v="Sales_5"/>
    <n v="439"/>
    <n v="178"/>
    <n v="123"/>
    <n v="33"/>
    <s v="18.54"/>
    <n v="29808"/>
    <s v="10.24"/>
    <n v="26914"/>
    <n v="983664"/>
    <n v="95502"/>
    <s v="Feb"/>
    <n v="2"/>
    <n v="2026"/>
    <s v="Weekday"/>
    <n v="0.26829268292682928"/>
    <n v="0.40546697038724372"/>
    <n v="7.5170842824601361E-2"/>
    <n v="2894"/>
    <s v="Rhein Auto Group"/>
  </r>
  <r>
    <s v="CUST_2949"/>
    <x v="12"/>
    <x v="3"/>
    <s v="Thursday"/>
    <s v="No"/>
    <x v="9"/>
    <x v="9"/>
    <s v="NRW"/>
    <x v="4"/>
    <s v="Tiguan"/>
    <s v="Electric"/>
    <x v="0"/>
    <s v="26-35"/>
    <s v="Low"/>
    <x v="1"/>
    <x v="2"/>
    <s v="Sales_7"/>
    <n v="424"/>
    <n v="176"/>
    <n v="119"/>
    <n v="29"/>
    <s v="16.48"/>
    <n v="28110"/>
    <s v="9.71"/>
    <n v="25559"/>
    <n v="815190"/>
    <n v="73979"/>
    <s v="Feb"/>
    <n v="2"/>
    <n v="2026"/>
    <s v="Weekday"/>
    <n v="0.24369747899159663"/>
    <n v="0.41509433962264153"/>
    <n v="6.8396226415094338E-2"/>
    <n v="2551"/>
    <s v="Ruhr Auto Plaza"/>
  </r>
  <r>
    <s v="CUST_2950"/>
    <x v="19"/>
    <x v="1"/>
    <s v="Saturday"/>
    <s v="Yes"/>
    <x v="0"/>
    <x v="0"/>
    <s v="Hesse"/>
    <x v="2"/>
    <s v="A3"/>
    <s v="Electric"/>
    <x v="2"/>
    <s v="36-50"/>
    <s v="Medium"/>
    <x v="0"/>
    <x v="1"/>
    <s v="Sales_5"/>
    <n v="320"/>
    <n v="201"/>
    <n v="148"/>
    <n v="47"/>
    <s v="23.38"/>
    <n v="46543"/>
    <s v="4.57"/>
    <n v="37096"/>
    <n v="2187521"/>
    <n v="444009"/>
    <s v="Feb"/>
    <n v="2"/>
    <n v="2026"/>
    <s v="Weekend"/>
    <n v="0.31756756756756754"/>
    <n v="0.62812500000000004"/>
    <n v="0.14687500000000001"/>
    <n v="9447"/>
    <s v="Main Auto Hub"/>
  </r>
  <r>
    <s v="CUST_2951"/>
    <x v="23"/>
    <x v="2"/>
    <s v="Tuesday"/>
    <s v="No"/>
    <x v="9"/>
    <x v="9"/>
    <s v="NRW"/>
    <x v="0"/>
    <s v="5 Series"/>
    <s v="Hybrid"/>
    <x v="1"/>
    <s v="26-35"/>
    <s v="High"/>
    <x v="0"/>
    <x v="1"/>
    <s v="Sales_19"/>
    <n v="169"/>
    <n v="104"/>
    <n v="85"/>
    <n v="31"/>
    <s v="29.81"/>
    <n v="61752"/>
    <s v="3.06"/>
    <n v="45488"/>
    <n v="1914312"/>
    <n v="504184"/>
    <s v="Feb"/>
    <n v="2"/>
    <n v="2026"/>
    <s v="Weekday"/>
    <n v="0.36470588235294116"/>
    <n v="0.61538461538461542"/>
    <n v="0.18343195266272189"/>
    <n v="16264"/>
    <s v="Ruhr Auto Plaza"/>
  </r>
  <r>
    <s v="CUST_2952"/>
    <x v="17"/>
    <x v="2"/>
    <s v="Sunday"/>
    <s v="Yes"/>
    <x v="2"/>
    <x v="2"/>
    <s v="Lower Saxony"/>
    <x v="3"/>
    <s v="E-Class"/>
    <s v="Hybrid"/>
    <x v="1"/>
    <s v="36-50"/>
    <s v="Medium"/>
    <x v="0"/>
    <x v="1"/>
    <s v="Sales_10"/>
    <n v="258"/>
    <n v="120"/>
    <n v="80"/>
    <n v="33"/>
    <s v="27.5"/>
    <n v="70671"/>
    <s v="2.44"/>
    <n v="54797"/>
    <n v="2332143"/>
    <n v="523842"/>
    <s v="Feb"/>
    <n v="2"/>
    <n v="2026"/>
    <s v="Weekend"/>
    <n v="0.41249999999999998"/>
    <n v="0.46511627906976744"/>
    <n v="0.12790697674418605"/>
    <n v="15874"/>
    <s v="Hannover Cars"/>
  </r>
  <r>
    <s v="CUST_2953"/>
    <x v="15"/>
    <x v="2"/>
    <s v="Thursday"/>
    <s v="No"/>
    <x v="9"/>
    <x v="9"/>
    <s v="NRW"/>
    <x v="4"/>
    <s v="Passat"/>
    <s v="Hybrid"/>
    <x v="1"/>
    <s v="50+"/>
    <s v="Medium"/>
    <x v="0"/>
    <x v="1"/>
    <s v="Sales_10"/>
    <n v="385"/>
    <n v="194"/>
    <n v="133"/>
    <n v="32"/>
    <s v="16.49"/>
    <n v="27842"/>
    <s v="8.9"/>
    <n v="24409"/>
    <n v="890944"/>
    <n v="109856"/>
    <s v="Feb"/>
    <n v="2"/>
    <n v="2026"/>
    <s v="Weekday"/>
    <n v="0.24060150375939848"/>
    <n v="0.50389610389610384"/>
    <n v="8.3116883116883117E-2"/>
    <n v="3433"/>
    <s v="Ruhr Auto Plaza"/>
  </r>
  <r>
    <s v="CUST_2954"/>
    <x v="19"/>
    <x v="1"/>
    <s v="Saturday"/>
    <s v="Yes"/>
    <x v="7"/>
    <x v="7"/>
    <s v="Bavaria"/>
    <x v="1"/>
    <s v="Mokka"/>
    <s v="Diesel"/>
    <x v="0"/>
    <s v="18-25"/>
    <s v="Low"/>
    <x v="0"/>
    <x v="0"/>
    <s v="Sales_12"/>
    <n v="394"/>
    <n v="170"/>
    <n v="100"/>
    <n v="28"/>
    <s v="16.47"/>
    <n v="21700"/>
    <s v="12.55"/>
    <n v="19420"/>
    <n v="607600"/>
    <n v="63840"/>
    <s v="Feb"/>
    <n v="2"/>
    <n v="2026"/>
    <s v="Weekend"/>
    <n v="0.28000000000000003"/>
    <n v="0.43147208121827413"/>
    <n v="7.1065989847715741E-2"/>
    <n v="2280"/>
    <s v="Bavaria Motors"/>
  </r>
  <r>
    <s v="CUST_2955"/>
    <x v="26"/>
    <x v="1"/>
    <s v="Friday"/>
    <s v="No"/>
    <x v="5"/>
    <x v="5"/>
    <s v="Hamburg"/>
    <x v="2"/>
    <s v="A4"/>
    <s v="Hybrid"/>
    <x v="1"/>
    <s v="26-35"/>
    <s v="Medium"/>
    <x v="0"/>
    <x v="3"/>
    <s v="Sales_9"/>
    <n v="210"/>
    <n v="106"/>
    <n v="76"/>
    <n v="27"/>
    <s v="25.47"/>
    <n v="53305"/>
    <s v="3.85"/>
    <n v="40444"/>
    <n v="1439235"/>
    <n v="347247"/>
    <s v="Feb"/>
    <n v="2"/>
    <n v="2026"/>
    <s v="Weekday"/>
    <n v="0.35526315789473684"/>
    <n v="0.50476190476190474"/>
    <n v="0.12857142857142856"/>
    <n v="12861"/>
    <s v="Elbe Drive"/>
  </r>
  <r>
    <s v="CUST_2956"/>
    <x v="21"/>
    <x v="0"/>
    <s v="Tuesday"/>
    <s v="No"/>
    <x v="4"/>
    <x v="4"/>
    <s v="Berlin"/>
    <x v="2"/>
    <s v="Q3"/>
    <s v="Petrol"/>
    <x v="0"/>
    <s v="18-25"/>
    <s v="Medium"/>
    <x v="0"/>
    <x v="1"/>
    <s v="Sales_11"/>
    <n v="182"/>
    <n v="103"/>
    <n v="80"/>
    <n v="29"/>
    <s v="28.16"/>
    <n v="53990"/>
    <s v="4.67"/>
    <n v="42628"/>
    <n v="1565710"/>
    <n v="329498"/>
    <s v="Feb"/>
    <n v="2"/>
    <n v="2026"/>
    <s v="Weekday"/>
    <n v="0.36249999999999999"/>
    <n v="0.56593406593406592"/>
    <n v="0.15934065934065933"/>
    <n v="11362"/>
    <s v="Autohaus Berlin"/>
  </r>
  <r>
    <s v="CUST_2957"/>
    <x v="17"/>
    <x v="2"/>
    <s v="Sunday"/>
    <s v="Yes"/>
    <x v="0"/>
    <x v="0"/>
    <s v="Hesse"/>
    <x v="2"/>
    <s v="Q3"/>
    <s v="Electric"/>
    <x v="0"/>
    <s v="18-25"/>
    <s v="High"/>
    <x v="1"/>
    <x v="3"/>
    <s v="Sales_9"/>
    <n v="257"/>
    <n v="118"/>
    <n v="85"/>
    <n v="25"/>
    <s v="21.19"/>
    <n v="53353"/>
    <s v="4.47"/>
    <n v="40980"/>
    <n v="1333825"/>
    <n v="309325"/>
    <s v="Feb"/>
    <n v="2"/>
    <n v="2026"/>
    <s v="Weekend"/>
    <n v="0.29411764705882354"/>
    <n v="0.45914396887159531"/>
    <n v="9.727626459143969E-2"/>
    <n v="12373"/>
    <s v="Main Auto Hub"/>
  </r>
  <r>
    <s v="CUST_2958"/>
    <x v="2"/>
    <x v="2"/>
    <s v="Monday"/>
    <s v="No"/>
    <x v="0"/>
    <x v="0"/>
    <s v="Hesse"/>
    <x v="1"/>
    <s v="Grandland"/>
    <s v="Petrol"/>
    <x v="0"/>
    <s v="50+"/>
    <s v="High"/>
    <x v="1"/>
    <x v="0"/>
    <s v="Sales_1"/>
    <n v="226"/>
    <n v="97"/>
    <n v="67"/>
    <n v="14"/>
    <s v="14.43"/>
    <n v="26695"/>
    <s v="9.47"/>
    <n v="24024"/>
    <n v="373730"/>
    <n v="37394"/>
    <s v="Feb"/>
    <n v="2"/>
    <n v="2026"/>
    <s v="Weekday"/>
    <n v="0.20895522388059701"/>
    <n v="0.42920353982300885"/>
    <n v="6.1946902654867256E-2"/>
    <n v="2671"/>
    <s v="Main Auto Hub"/>
  </r>
  <r>
    <s v="CUST_2959"/>
    <x v="25"/>
    <x v="3"/>
    <s v="Friday"/>
    <s v="No"/>
    <x v="9"/>
    <x v="9"/>
    <s v="NRW"/>
    <x v="3"/>
    <s v="GLC"/>
    <s v="Hybrid"/>
    <x v="0"/>
    <s v="50+"/>
    <s v="High"/>
    <x v="1"/>
    <x v="1"/>
    <s v="Sales_15"/>
    <n v="186"/>
    <n v="93"/>
    <n v="63"/>
    <n v="24"/>
    <s v="25.81"/>
    <n v="68053"/>
    <s v="2.47"/>
    <n v="51313"/>
    <n v="1633272"/>
    <n v="401760"/>
    <s v="Feb"/>
    <n v="2"/>
    <n v="2026"/>
    <s v="Weekday"/>
    <n v="0.38095238095238093"/>
    <n v="0.5"/>
    <n v="0.12903225806451613"/>
    <n v="16740"/>
    <s v="Ruhr Auto Plaza"/>
  </r>
  <r>
    <s v="CUST_2960"/>
    <x v="26"/>
    <x v="1"/>
    <s v="Friday"/>
    <s v="No"/>
    <x v="2"/>
    <x v="2"/>
    <s v="Lower Saxony"/>
    <x v="0"/>
    <s v="X5"/>
    <s v="Petrol"/>
    <x v="0"/>
    <s v="50+"/>
    <s v="High"/>
    <x v="0"/>
    <x v="1"/>
    <s v="Sales_12"/>
    <n v="233"/>
    <n v="115"/>
    <n v="81"/>
    <n v="32"/>
    <s v="27.83"/>
    <n v="51652"/>
    <s v="2.58"/>
    <n v="39587"/>
    <n v="1652864"/>
    <n v="386080"/>
    <s v="Feb"/>
    <n v="2"/>
    <n v="2026"/>
    <s v="Weekday"/>
    <n v="0.39506172839506171"/>
    <n v="0.49356223175965663"/>
    <n v="0.13733905579399142"/>
    <n v="12065"/>
    <s v="Hannover Cars"/>
  </r>
  <r>
    <s v="CUST_2961"/>
    <x v="6"/>
    <x v="2"/>
    <s v="Saturday"/>
    <s v="Yes"/>
    <x v="3"/>
    <x v="3"/>
    <s v="Saxony"/>
    <x v="4"/>
    <s v="ID.4"/>
    <s v="Hybrid"/>
    <x v="0"/>
    <s v="18-25"/>
    <s v="Medium"/>
    <x v="1"/>
    <x v="1"/>
    <s v="Sales_13"/>
    <n v="291"/>
    <n v="167"/>
    <n v="97"/>
    <n v="27"/>
    <s v="16.17"/>
    <n v="29944"/>
    <s v="10.14"/>
    <n v="26608"/>
    <n v="808488"/>
    <n v="90072"/>
    <s v="Feb"/>
    <n v="2"/>
    <n v="2026"/>
    <s v="Weekend"/>
    <n v="0.27835051546391754"/>
    <n v="0.57388316151202745"/>
    <n v="9.2783505154639179E-2"/>
    <n v="3336"/>
    <s v="Saxon Wheels"/>
  </r>
  <r>
    <s v="CUST_2962"/>
    <x v="16"/>
    <x v="1"/>
    <s v="Tuesday"/>
    <s v="No"/>
    <x v="7"/>
    <x v="7"/>
    <s v="Bavaria"/>
    <x v="4"/>
    <s v="ID.4"/>
    <s v="Electric"/>
    <x v="0"/>
    <s v="18-25"/>
    <s v="Medium"/>
    <x v="0"/>
    <x v="2"/>
    <s v="Sales_6"/>
    <n v="457"/>
    <n v="250"/>
    <n v="179"/>
    <n v="49"/>
    <s v="19.6"/>
    <n v="32373"/>
    <s v="9.68"/>
    <n v="28652"/>
    <n v="1586277"/>
    <n v="182329"/>
    <s v="Feb"/>
    <n v="2"/>
    <n v="2026"/>
    <s v="Weekday"/>
    <n v="0.27374301675977653"/>
    <n v="0.54704595185995619"/>
    <n v="0.10722100656455143"/>
    <n v="3721"/>
    <s v="Bavaria Motors"/>
  </r>
  <r>
    <s v="CUST_2963"/>
    <x v="12"/>
    <x v="3"/>
    <s v="Thursday"/>
    <s v="No"/>
    <x v="1"/>
    <x v="1"/>
    <s v="NRW"/>
    <x v="4"/>
    <s v="ID.4"/>
    <s v="Petrol"/>
    <x v="0"/>
    <s v="18-25"/>
    <s v="Medium"/>
    <x v="1"/>
    <x v="2"/>
    <s v="Sales_10"/>
    <n v="388"/>
    <n v="213"/>
    <n v="143"/>
    <n v="45"/>
    <s v="21.13"/>
    <n v="33926"/>
    <s v="8.96"/>
    <n v="29435"/>
    <n v="1526670"/>
    <n v="202095"/>
    <s v="Feb"/>
    <n v="2"/>
    <n v="2026"/>
    <s v="Weekday"/>
    <n v="0.31468531468531469"/>
    <n v="0.5489690721649485"/>
    <n v="0.11597938144329897"/>
    <n v="4491"/>
    <s v="Rhein Auto Group"/>
  </r>
  <r>
    <s v="CUST_2964"/>
    <x v="17"/>
    <x v="2"/>
    <s v="Sunday"/>
    <s v="Yes"/>
    <x v="5"/>
    <x v="5"/>
    <s v="Hamburg"/>
    <x v="0"/>
    <s v="X3"/>
    <s v="Electric"/>
    <x v="0"/>
    <s v="36-50"/>
    <s v="High"/>
    <x v="0"/>
    <x v="2"/>
    <s v="Sales_13"/>
    <n v="143"/>
    <n v="86"/>
    <n v="60"/>
    <n v="28"/>
    <s v="32.56"/>
    <n v="68826"/>
    <s v="2.01"/>
    <n v="52503"/>
    <n v="1927128"/>
    <n v="457044"/>
    <s v="Feb"/>
    <n v="2"/>
    <n v="2026"/>
    <s v="Weekend"/>
    <n v="0.46666666666666667"/>
    <n v="0.60139860139860135"/>
    <n v="0.19580419580419581"/>
    <n v="16323"/>
    <s v="Elbe Drive"/>
  </r>
  <r>
    <s v="CUST_2965"/>
    <x v="8"/>
    <x v="3"/>
    <s v="Wednesday"/>
    <s v="No"/>
    <x v="0"/>
    <x v="0"/>
    <s v="Hesse"/>
    <x v="4"/>
    <s v="ID.4"/>
    <s v="Hybrid"/>
    <x v="0"/>
    <s v="50+"/>
    <s v="Medium"/>
    <x v="0"/>
    <x v="2"/>
    <s v="Sales_1"/>
    <n v="298"/>
    <n v="153"/>
    <n v="106"/>
    <n v="30"/>
    <s v="19.61"/>
    <n v="34719"/>
    <s v="6.65"/>
    <n v="31579"/>
    <n v="1041570"/>
    <n v="94200"/>
    <s v="Feb"/>
    <n v="2"/>
    <n v="2026"/>
    <s v="Weekday"/>
    <n v="0.28301886792452829"/>
    <n v="0.51342281879194629"/>
    <n v="0.10067114093959731"/>
    <n v="3140"/>
    <s v="Main Auto Hub"/>
  </r>
  <r>
    <s v="CUST_2966"/>
    <x v="3"/>
    <x v="1"/>
    <s v="Sunday"/>
    <s v="Yes"/>
    <x v="4"/>
    <x v="4"/>
    <s v="Berlin"/>
    <x v="3"/>
    <s v="E-Class"/>
    <s v="Diesel"/>
    <x v="1"/>
    <s v="26-35"/>
    <s v="Low"/>
    <x v="1"/>
    <x v="1"/>
    <s v="Sales_12"/>
    <n v="175"/>
    <n v="78"/>
    <n v="57"/>
    <n v="18"/>
    <s v="23.08"/>
    <n v="49938"/>
    <s v="5.38"/>
    <n v="39161"/>
    <n v="898884"/>
    <n v="193986"/>
    <s v="Feb"/>
    <n v="2"/>
    <n v="2026"/>
    <s v="Weekend"/>
    <n v="0.31578947368421051"/>
    <n v="0.44571428571428573"/>
    <n v="0.10285714285714286"/>
    <n v="10777"/>
    <s v="Autohaus Berlin"/>
  </r>
  <r>
    <s v="CUST_2967"/>
    <x v="4"/>
    <x v="2"/>
    <s v="Wednesday"/>
    <s v="No"/>
    <x v="4"/>
    <x v="4"/>
    <s v="Berlin"/>
    <x v="2"/>
    <s v="e-tron"/>
    <s v="Petrol"/>
    <x v="0"/>
    <s v="26-35"/>
    <s v="Medium"/>
    <x v="0"/>
    <x v="0"/>
    <s v="Sales_9"/>
    <n v="295"/>
    <n v="154"/>
    <n v="118"/>
    <n v="39"/>
    <s v="25.32"/>
    <n v="51435"/>
    <s v="5.46"/>
    <n v="41991"/>
    <n v="2005965"/>
    <n v="368316"/>
    <s v="Feb"/>
    <n v="2"/>
    <n v="2026"/>
    <s v="Weekday"/>
    <n v="0.33050847457627119"/>
    <n v="0.52203389830508473"/>
    <n v="0.13220338983050847"/>
    <n v="9444"/>
    <s v="Autohaus Berlin"/>
  </r>
  <r>
    <s v="CUST_2968"/>
    <x v="17"/>
    <x v="2"/>
    <s v="Sunday"/>
    <s v="Yes"/>
    <x v="9"/>
    <x v="9"/>
    <s v="NRW"/>
    <x v="1"/>
    <s v="Crossland"/>
    <s v="Diesel"/>
    <x v="0"/>
    <s v="36-50"/>
    <s v="Medium"/>
    <x v="0"/>
    <x v="0"/>
    <s v="Sales_5"/>
    <n v="395"/>
    <n v="188"/>
    <n v="130"/>
    <n v="22"/>
    <s v="11.7"/>
    <n v="21079"/>
    <s v="8.34"/>
    <n v="18939"/>
    <n v="463738"/>
    <n v="47080"/>
    <s v="Feb"/>
    <n v="2"/>
    <n v="2026"/>
    <s v="Weekend"/>
    <n v="0.16923076923076924"/>
    <n v="0.47594936708860758"/>
    <n v="5.5696202531645568E-2"/>
    <n v="2140"/>
    <s v="Ruhr Auto Plaza"/>
  </r>
  <r>
    <s v="CUST_2969"/>
    <x v="15"/>
    <x v="2"/>
    <s v="Thursday"/>
    <s v="No"/>
    <x v="2"/>
    <x v="2"/>
    <s v="Lower Saxony"/>
    <x v="1"/>
    <s v="Grandland"/>
    <s v="Hybrid"/>
    <x v="0"/>
    <s v="18-25"/>
    <s v="High"/>
    <x v="0"/>
    <x v="3"/>
    <s v="Sales_18"/>
    <n v="391"/>
    <n v="179"/>
    <n v="112"/>
    <n v="23"/>
    <s v="12.85"/>
    <n v="25465"/>
    <s v="13.25"/>
    <n v="22916"/>
    <n v="585695"/>
    <n v="58627"/>
    <s v="Feb"/>
    <n v="2"/>
    <n v="2026"/>
    <s v="Weekday"/>
    <n v="0.20535714285714285"/>
    <n v="0.4578005115089514"/>
    <n v="5.8823529411764705E-2"/>
    <n v="2549"/>
    <s v="Hannover Cars"/>
  </r>
  <r>
    <s v="CUST_2970"/>
    <x v="24"/>
    <x v="1"/>
    <s v="Thursday"/>
    <s v="No"/>
    <x v="5"/>
    <x v="5"/>
    <s v="Hamburg"/>
    <x v="4"/>
    <s v="Passat"/>
    <s v="Electric"/>
    <x v="1"/>
    <s v="36-50"/>
    <s v="Medium"/>
    <x v="1"/>
    <x v="3"/>
    <s v="Sales_12"/>
    <n v="319"/>
    <n v="168"/>
    <n v="111"/>
    <n v="24"/>
    <s v="14.29"/>
    <n v="31434"/>
    <s v="10.29"/>
    <n v="28142"/>
    <n v="754416"/>
    <n v="79008"/>
    <s v="Feb"/>
    <n v="2"/>
    <n v="2026"/>
    <s v="Weekday"/>
    <n v="0.21621621621621623"/>
    <n v="0.52664576802507834"/>
    <n v="7.5235109717868343E-2"/>
    <n v="3292"/>
    <s v="Elbe Drive"/>
  </r>
  <r>
    <s v="CUST_2971"/>
    <x v="23"/>
    <x v="2"/>
    <s v="Tuesday"/>
    <s v="No"/>
    <x v="6"/>
    <x v="6"/>
    <s v="Saxony"/>
    <x v="1"/>
    <s v="Astra"/>
    <s v="Hybrid"/>
    <x v="2"/>
    <s v="26-35"/>
    <s v="Low"/>
    <x v="1"/>
    <x v="3"/>
    <s v="Sales_12"/>
    <n v="418"/>
    <n v="184"/>
    <n v="113"/>
    <n v="21"/>
    <s v="11.41"/>
    <n v="20412"/>
    <s v="8.0"/>
    <n v="18658"/>
    <n v="428652"/>
    <n v="36834"/>
    <s v="Feb"/>
    <n v="2"/>
    <n v="2026"/>
    <s v="Weekday"/>
    <n v="0.18584070796460178"/>
    <n v="0.44019138755980863"/>
    <n v="5.0239234449760764E-2"/>
    <n v="1754"/>
    <s v="Leipzig Mobility"/>
  </r>
  <r>
    <s v="CUST_2972"/>
    <x v="4"/>
    <x v="2"/>
    <s v="Wednesday"/>
    <s v="No"/>
    <x v="0"/>
    <x v="0"/>
    <s v="Hesse"/>
    <x v="4"/>
    <s v="ID.4"/>
    <s v="Petrol"/>
    <x v="0"/>
    <s v="18-25"/>
    <s v="Medium"/>
    <x v="1"/>
    <x v="1"/>
    <s v="Sales_6"/>
    <n v="497"/>
    <n v="245"/>
    <n v="150"/>
    <n v="35"/>
    <s v="14.29"/>
    <n v="27752"/>
    <s v="11.93"/>
    <n v="24926"/>
    <n v="971320"/>
    <n v="98910"/>
    <s v="Feb"/>
    <n v="2"/>
    <n v="2026"/>
    <s v="Weekday"/>
    <n v="0.23333333333333334"/>
    <n v="0.49295774647887325"/>
    <n v="7.0422535211267609E-2"/>
    <n v="2826"/>
    <s v="Main Auto Hub"/>
  </r>
  <r>
    <s v="CUST_2973"/>
    <x v="26"/>
    <x v="1"/>
    <s v="Friday"/>
    <s v="No"/>
    <x v="1"/>
    <x v="1"/>
    <s v="NRW"/>
    <x v="1"/>
    <s v="Mokka"/>
    <s v="Petrol"/>
    <x v="0"/>
    <s v="50+"/>
    <s v="High"/>
    <x v="1"/>
    <x v="1"/>
    <s v="Sales_17"/>
    <n v="405"/>
    <n v="159"/>
    <n v="101"/>
    <n v="29"/>
    <s v="18.24"/>
    <n v="22853"/>
    <s v="9.65"/>
    <n v="20887"/>
    <n v="662737"/>
    <n v="57014"/>
    <s v="Feb"/>
    <n v="2"/>
    <n v="2026"/>
    <s v="Weekday"/>
    <n v="0.28712871287128711"/>
    <n v="0.3925925925925926"/>
    <n v="7.160493827160494E-2"/>
    <n v="1966"/>
    <s v="Rhein Auto Group"/>
  </r>
  <r>
    <s v="CUST_2974"/>
    <x v="17"/>
    <x v="2"/>
    <s v="Sunday"/>
    <s v="Yes"/>
    <x v="1"/>
    <x v="1"/>
    <s v="NRW"/>
    <x v="3"/>
    <s v="C-Class"/>
    <s v="Electric"/>
    <x v="1"/>
    <s v="18-25"/>
    <s v="Medium"/>
    <x v="1"/>
    <x v="0"/>
    <s v="Sales_12"/>
    <n v="279"/>
    <n v="141"/>
    <n v="109"/>
    <n v="29"/>
    <s v="20.57"/>
    <n v="63951"/>
    <s v="2.28"/>
    <n v="47601"/>
    <n v="1854579"/>
    <n v="474150"/>
    <s v="Feb"/>
    <n v="2"/>
    <n v="2026"/>
    <s v="Weekend"/>
    <n v="0.26605504587155965"/>
    <n v="0.5053763440860215"/>
    <n v="0.1039426523297491"/>
    <n v="16350"/>
    <s v="Rhein Auto Group"/>
  </r>
  <r>
    <s v="CUST_2975"/>
    <x v="9"/>
    <x v="0"/>
    <s v="Sunday"/>
    <s v="Yes"/>
    <x v="3"/>
    <x v="3"/>
    <s v="Saxony"/>
    <x v="3"/>
    <s v="EQE"/>
    <s v="Diesel"/>
    <x v="1"/>
    <s v="50+"/>
    <s v="Medium"/>
    <x v="0"/>
    <x v="1"/>
    <s v="Sales_11"/>
    <n v="241"/>
    <n v="111"/>
    <n v="84"/>
    <n v="29"/>
    <s v="26.13"/>
    <n v="67801"/>
    <s v="2.49"/>
    <n v="53399"/>
    <n v="1966229"/>
    <n v="417658"/>
    <s v="Feb"/>
    <n v="2"/>
    <n v="2026"/>
    <s v="Weekend"/>
    <n v="0.34523809523809523"/>
    <n v="0.46058091286307051"/>
    <n v="0.12033195020746888"/>
    <n v="14402"/>
    <s v="Saxon Wheels"/>
  </r>
  <r>
    <s v="CUST_2976"/>
    <x v="22"/>
    <x v="3"/>
    <s v="Tuesday"/>
    <s v="No"/>
    <x v="2"/>
    <x v="2"/>
    <s v="Lower Saxony"/>
    <x v="0"/>
    <s v="X3"/>
    <s v="Diesel"/>
    <x v="0"/>
    <s v="18-25"/>
    <s v="Medium"/>
    <x v="1"/>
    <x v="0"/>
    <s v="Sales_17"/>
    <n v="210"/>
    <n v="120"/>
    <n v="95"/>
    <n v="31"/>
    <s v="25.83"/>
    <n v="56848"/>
    <s v="3.0"/>
    <n v="41862"/>
    <n v="1762288"/>
    <n v="464566"/>
    <s v="Feb"/>
    <n v="2"/>
    <n v="2026"/>
    <s v="Weekday"/>
    <n v="0.32631578947368423"/>
    <n v="0.5714285714285714"/>
    <n v="0.14761904761904762"/>
    <n v="14986"/>
    <s v="Hannover Cars"/>
  </r>
  <r>
    <s v="CUST_2977"/>
    <x v="26"/>
    <x v="1"/>
    <s v="Friday"/>
    <s v="No"/>
    <x v="7"/>
    <x v="7"/>
    <s v="Bavaria"/>
    <x v="2"/>
    <s v="Q5"/>
    <s v="Petrol"/>
    <x v="0"/>
    <s v="50+"/>
    <s v="Low"/>
    <x v="1"/>
    <x v="3"/>
    <s v="Sales_10"/>
    <n v="267"/>
    <n v="126"/>
    <n v="87"/>
    <n v="31"/>
    <s v="24.6"/>
    <n v="54815"/>
    <s v="5.23"/>
    <n v="44498"/>
    <n v="1699265"/>
    <n v="319827"/>
    <s v="Feb"/>
    <n v="2"/>
    <n v="2026"/>
    <s v="Weekday"/>
    <n v="0.35632183908045978"/>
    <n v="0.47191011235955055"/>
    <n v="0.11610486891385768"/>
    <n v="10317"/>
    <s v="Bavaria Motors"/>
  </r>
  <r>
    <s v="CUST_2978"/>
    <x v="26"/>
    <x v="1"/>
    <s v="Friday"/>
    <s v="No"/>
    <x v="2"/>
    <x v="2"/>
    <s v="Lower Saxony"/>
    <x v="0"/>
    <s v="i4"/>
    <s v="Electric"/>
    <x v="1"/>
    <s v="26-35"/>
    <s v="Medium"/>
    <x v="1"/>
    <x v="0"/>
    <s v="Sales_2"/>
    <n v="156"/>
    <n v="89"/>
    <n v="68"/>
    <n v="21"/>
    <s v="23.6"/>
    <n v="58133"/>
    <s v="3.36"/>
    <n v="43937"/>
    <n v="1220793"/>
    <n v="298116"/>
    <s v="Feb"/>
    <n v="2"/>
    <n v="2026"/>
    <s v="Weekday"/>
    <n v="0.30882352941176472"/>
    <n v="0.57051282051282048"/>
    <n v="0.13461538461538461"/>
    <n v="14196"/>
    <s v="Hannover Cars"/>
  </r>
  <r>
    <s v="CUST_2979"/>
    <x v="11"/>
    <x v="0"/>
    <s v="Wednesday"/>
    <s v="No"/>
    <x v="5"/>
    <x v="5"/>
    <s v="Hamburg"/>
    <x v="1"/>
    <s v="Astra"/>
    <s v="Electric"/>
    <x v="2"/>
    <s v="26-35"/>
    <s v="Low"/>
    <x v="0"/>
    <x v="1"/>
    <s v="Sales_6"/>
    <n v="256"/>
    <n v="138"/>
    <n v="93"/>
    <n v="28"/>
    <s v="20.29"/>
    <n v="26451"/>
    <s v="8.71"/>
    <n v="23724"/>
    <n v="740628"/>
    <n v="76356"/>
    <s v="Feb"/>
    <n v="2"/>
    <n v="2026"/>
    <s v="Weekday"/>
    <n v="0.30107526881720431"/>
    <n v="0.5390625"/>
    <n v="0.109375"/>
    <n v="2727"/>
    <s v="Elbe Drive"/>
  </r>
  <r>
    <s v="CUST_2980"/>
    <x v="16"/>
    <x v="1"/>
    <s v="Tuesday"/>
    <s v="No"/>
    <x v="5"/>
    <x v="5"/>
    <s v="Hamburg"/>
    <x v="1"/>
    <s v="Mokka"/>
    <s v="Electric"/>
    <x v="0"/>
    <s v="36-50"/>
    <s v="Medium"/>
    <x v="0"/>
    <x v="0"/>
    <s v="Sales_4"/>
    <n v="400"/>
    <n v="168"/>
    <n v="96"/>
    <n v="25"/>
    <s v="14.88"/>
    <n v="19933"/>
    <s v="10.99"/>
    <n v="17812"/>
    <n v="498325"/>
    <n v="53025"/>
    <s v="Feb"/>
    <n v="2"/>
    <n v="2026"/>
    <s v="Weekday"/>
    <n v="0.26041666666666669"/>
    <n v="0.42"/>
    <n v="6.25E-2"/>
    <n v="2121"/>
    <s v="Elbe Drive"/>
  </r>
  <r>
    <s v="CUST_2981"/>
    <x v="15"/>
    <x v="2"/>
    <s v="Thursday"/>
    <s v="No"/>
    <x v="4"/>
    <x v="4"/>
    <s v="Berlin"/>
    <x v="0"/>
    <s v="3 Series"/>
    <s v="Diesel"/>
    <x v="1"/>
    <s v="50+"/>
    <s v="High"/>
    <x v="1"/>
    <x v="1"/>
    <s v="Sales_14"/>
    <n v="163"/>
    <n v="91"/>
    <n v="73"/>
    <n v="27"/>
    <s v="29.67"/>
    <n v="54975"/>
    <s v="5.36"/>
    <n v="38798"/>
    <n v="1484325"/>
    <n v="436779"/>
    <s v="Feb"/>
    <n v="2"/>
    <n v="2026"/>
    <s v="Weekday"/>
    <n v="0.36986301369863012"/>
    <n v="0.55828220858895705"/>
    <n v="0.16564417177914109"/>
    <n v="16177"/>
    <s v="Autohaus Berlin"/>
  </r>
  <r>
    <s v="CUST_2982"/>
    <x v="23"/>
    <x v="2"/>
    <s v="Tuesday"/>
    <s v="No"/>
    <x v="1"/>
    <x v="1"/>
    <s v="NRW"/>
    <x v="3"/>
    <s v="GLC"/>
    <s v="Diesel"/>
    <x v="0"/>
    <s v="26-35"/>
    <s v="High"/>
    <x v="1"/>
    <x v="3"/>
    <s v="Sales_20"/>
    <n v="237"/>
    <n v="136"/>
    <n v="91"/>
    <n v="31"/>
    <s v="22.79"/>
    <n v="53922"/>
    <s v="2.28"/>
    <n v="40377"/>
    <n v="1671582"/>
    <n v="419895"/>
    <s v="Feb"/>
    <n v="2"/>
    <n v="2026"/>
    <s v="Weekday"/>
    <n v="0.34065934065934067"/>
    <n v="0.57383966244725737"/>
    <n v="0.13080168776371309"/>
    <n v="13545"/>
    <s v="Rhein Auto Group"/>
  </r>
  <r>
    <s v="CUST_2983"/>
    <x v="8"/>
    <x v="3"/>
    <s v="Wednesday"/>
    <s v="No"/>
    <x v="3"/>
    <x v="3"/>
    <s v="Saxony"/>
    <x v="2"/>
    <s v="A4"/>
    <s v="Petrol"/>
    <x v="1"/>
    <s v="36-50"/>
    <s v="Medium"/>
    <x v="0"/>
    <x v="0"/>
    <s v="Sales_3"/>
    <n v="233"/>
    <n v="118"/>
    <n v="86"/>
    <n v="23"/>
    <s v="19.49"/>
    <n v="45309"/>
    <s v="4.78"/>
    <n v="33997"/>
    <n v="1042107"/>
    <n v="260176"/>
    <s v="Feb"/>
    <n v="2"/>
    <n v="2026"/>
    <s v="Weekday"/>
    <n v="0.26744186046511625"/>
    <n v="0.50643776824034337"/>
    <n v="9.8712446351931327E-2"/>
    <n v="11312"/>
    <s v="Saxon Wheels"/>
  </r>
  <r>
    <s v="CUST_2984"/>
    <x v="15"/>
    <x v="2"/>
    <s v="Thursday"/>
    <s v="No"/>
    <x v="2"/>
    <x v="2"/>
    <s v="Lower Saxony"/>
    <x v="0"/>
    <s v="i4"/>
    <s v="Petrol"/>
    <x v="1"/>
    <s v="36-50"/>
    <s v="High"/>
    <x v="0"/>
    <x v="2"/>
    <s v="Sales_13"/>
    <n v="149"/>
    <n v="91"/>
    <n v="70"/>
    <n v="30"/>
    <s v="32.97"/>
    <n v="60772"/>
    <s v="2.67"/>
    <n v="47013"/>
    <n v="1823160"/>
    <n v="412770"/>
    <s v="Feb"/>
    <n v="2"/>
    <n v="2026"/>
    <s v="Weekday"/>
    <n v="0.42857142857142855"/>
    <n v="0.61073825503355705"/>
    <n v="0.20134228187919462"/>
    <n v="13759"/>
    <s v="Hannover Cars"/>
  </r>
  <r>
    <s v="CUST_2985"/>
    <x v="8"/>
    <x v="3"/>
    <s v="Wednesday"/>
    <s v="No"/>
    <x v="0"/>
    <x v="0"/>
    <s v="Hesse"/>
    <x v="0"/>
    <s v="X3"/>
    <s v="Hybrid"/>
    <x v="0"/>
    <s v="36-50"/>
    <s v="High"/>
    <x v="1"/>
    <x v="0"/>
    <s v="Sales_6"/>
    <n v="204"/>
    <n v="103"/>
    <n v="80"/>
    <n v="24"/>
    <s v="23.3"/>
    <n v="58034"/>
    <s v="2.74"/>
    <n v="44695"/>
    <n v="1392816"/>
    <n v="320136"/>
    <s v="Feb"/>
    <n v="2"/>
    <n v="2026"/>
    <s v="Weekday"/>
    <n v="0.3"/>
    <n v="0.50490196078431371"/>
    <n v="0.11764705882352941"/>
    <n v="13339"/>
    <s v="Main Auto Hub"/>
  </r>
  <r>
    <s v="CUST_2986"/>
    <x v="1"/>
    <x v="1"/>
    <s v="Wednesday"/>
    <s v="No"/>
    <x v="7"/>
    <x v="7"/>
    <s v="Bavaria"/>
    <x v="2"/>
    <s v="A3"/>
    <s v="Electric"/>
    <x v="2"/>
    <s v="50+"/>
    <s v="Medium"/>
    <x v="1"/>
    <x v="0"/>
    <s v="Sales_10"/>
    <n v="173"/>
    <n v="105"/>
    <n v="68"/>
    <n v="24"/>
    <s v="22.86"/>
    <n v="51553"/>
    <s v="4.45"/>
    <n v="41609"/>
    <n v="1237272"/>
    <n v="238656"/>
    <s v="Feb"/>
    <n v="2"/>
    <n v="2026"/>
    <s v="Weekday"/>
    <n v="0.35294117647058826"/>
    <n v="0.60693641618497107"/>
    <n v="0.13872832369942195"/>
    <n v="9944"/>
    <s v="Bavaria Motors"/>
  </r>
  <r>
    <s v="CUST_2987"/>
    <x v="3"/>
    <x v="1"/>
    <s v="Sunday"/>
    <s v="Yes"/>
    <x v="6"/>
    <x v="6"/>
    <s v="Saxony"/>
    <x v="3"/>
    <s v="C-Class"/>
    <s v="Diesel"/>
    <x v="1"/>
    <s v="18-25"/>
    <s v="Medium"/>
    <x v="1"/>
    <x v="2"/>
    <s v="Sales_4"/>
    <n v="272"/>
    <n v="131"/>
    <n v="98"/>
    <n v="32"/>
    <s v="24.43"/>
    <n v="49620"/>
    <s v="5.92"/>
    <n v="38587"/>
    <n v="1587840"/>
    <n v="353056"/>
    <s v="Feb"/>
    <n v="2"/>
    <n v="2026"/>
    <s v="Weekend"/>
    <n v="0.32653061224489793"/>
    <n v="0.48161764705882354"/>
    <n v="0.11764705882352941"/>
    <n v="11033"/>
    <s v="Leipzig Mobility"/>
  </r>
  <r>
    <s v="CUST_2988"/>
    <x v="6"/>
    <x v="2"/>
    <s v="Saturday"/>
    <s v="Yes"/>
    <x v="5"/>
    <x v="5"/>
    <s v="Hamburg"/>
    <x v="3"/>
    <s v="C-Class"/>
    <s v="Diesel"/>
    <x v="1"/>
    <s v="50+"/>
    <s v="Medium"/>
    <x v="0"/>
    <x v="3"/>
    <s v="Sales_14"/>
    <n v="201"/>
    <n v="105"/>
    <n v="73"/>
    <n v="23"/>
    <s v="21.9"/>
    <n v="67174"/>
    <s v="2.13"/>
    <n v="51616"/>
    <n v="1545002"/>
    <n v="357834"/>
    <s v="Feb"/>
    <n v="2"/>
    <n v="2026"/>
    <s v="Weekend"/>
    <n v="0.31506849315068491"/>
    <n v="0.52238805970149249"/>
    <n v="0.11442786069651742"/>
    <n v="15558"/>
    <s v="Elbe Drive"/>
  </r>
  <r>
    <s v="CUST_2989"/>
    <x v="21"/>
    <x v="0"/>
    <s v="Tuesday"/>
    <s v="No"/>
    <x v="7"/>
    <x v="7"/>
    <s v="Bavaria"/>
    <x v="2"/>
    <s v="A4"/>
    <s v="Hybrid"/>
    <x v="1"/>
    <s v="26-35"/>
    <s v="Medium"/>
    <x v="1"/>
    <x v="1"/>
    <s v="Sales_17"/>
    <n v="229"/>
    <n v="112"/>
    <n v="74"/>
    <n v="27"/>
    <s v="24.11"/>
    <n v="41619"/>
    <s v="5.84"/>
    <n v="31633"/>
    <n v="1123713"/>
    <n v="269622"/>
    <s v="Feb"/>
    <n v="2"/>
    <n v="2026"/>
    <s v="Weekday"/>
    <n v="0.36486486486486486"/>
    <n v="0.48908296943231439"/>
    <n v="0.11790393013100436"/>
    <n v="9986"/>
    <s v="Bavaria Motors"/>
  </r>
  <r>
    <s v="CUST_2990"/>
    <x v="5"/>
    <x v="3"/>
    <s v="Saturday"/>
    <s v="Yes"/>
    <x v="7"/>
    <x v="7"/>
    <s v="Bavaria"/>
    <x v="1"/>
    <s v="Corsa"/>
    <s v="Petrol"/>
    <x v="2"/>
    <s v="26-35"/>
    <s v="Low"/>
    <x v="0"/>
    <x v="1"/>
    <s v="Sales_6"/>
    <n v="278"/>
    <n v="115"/>
    <n v="68"/>
    <n v="23"/>
    <s v="20.0"/>
    <n v="24958"/>
    <s v="13.45"/>
    <n v="22564"/>
    <n v="574034"/>
    <n v="55062"/>
    <s v="Feb"/>
    <n v="2"/>
    <n v="2026"/>
    <s v="Weekend"/>
    <n v="0.33823529411764708"/>
    <n v="0.41366906474820142"/>
    <n v="8.2733812949640287E-2"/>
    <n v="2394"/>
    <s v="Bavaria Motors"/>
  </r>
  <r>
    <s v="CUST_2991"/>
    <x v="8"/>
    <x v="3"/>
    <s v="Wednesday"/>
    <s v="No"/>
    <x v="1"/>
    <x v="1"/>
    <s v="NRW"/>
    <x v="0"/>
    <s v="5 Series"/>
    <s v="Petrol"/>
    <x v="1"/>
    <s v="18-25"/>
    <s v="High"/>
    <x v="1"/>
    <x v="0"/>
    <s v="Sales_3"/>
    <n v="178"/>
    <n v="91"/>
    <n v="67"/>
    <n v="22"/>
    <s v="24.18"/>
    <n v="55038"/>
    <s v="2.56"/>
    <n v="40593"/>
    <n v="1210836"/>
    <n v="317790"/>
    <s v="Feb"/>
    <n v="2"/>
    <n v="2026"/>
    <s v="Weekday"/>
    <n v="0.32835820895522388"/>
    <n v="0.5112359550561798"/>
    <n v="0.12359550561797752"/>
    <n v="14445"/>
    <s v="Rhein Auto Group"/>
  </r>
  <r>
    <s v="CUST_2992"/>
    <x v="13"/>
    <x v="0"/>
    <s v="Friday"/>
    <s v="No"/>
    <x v="0"/>
    <x v="0"/>
    <s v="Hesse"/>
    <x v="3"/>
    <s v="EQE"/>
    <s v="Diesel"/>
    <x v="1"/>
    <s v="18-25"/>
    <s v="Low"/>
    <x v="0"/>
    <x v="1"/>
    <s v="Sales_13"/>
    <n v="173"/>
    <n v="99"/>
    <n v="78"/>
    <n v="24"/>
    <s v="24.24"/>
    <n v="68323"/>
    <s v="4.56"/>
    <n v="52275"/>
    <n v="1639752"/>
    <n v="385152"/>
    <s v="Feb"/>
    <n v="2"/>
    <n v="2026"/>
    <s v="Weekday"/>
    <n v="0.30769230769230771"/>
    <n v="0.5722543352601156"/>
    <n v="0.13872832369942195"/>
    <n v="16048"/>
    <s v="Main Auto Hub"/>
  </r>
  <r>
    <s v="CUST_2993"/>
    <x v="6"/>
    <x v="2"/>
    <s v="Saturday"/>
    <s v="Yes"/>
    <x v="4"/>
    <x v="4"/>
    <s v="Berlin"/>
    <x v="0"/>
    <s v="i4"/>
    <s v="Diesel"/>
    <x v="1"/>
    <s v="50+"/>
    <s v="High"/>
    <x v="0"/>
    <x v="0"/>
    <s v="Sales_16"/>
    <n v="160"/>
    <n v="90"/>
    <n v="64"/>
    <n v="24"/>
    <s v="26.67"/>
    <n v="68211"/>
    <s v="2.26"/>
    <n v="51677"/>
    <n v="1637064"/>
    <n v="396816"/>
    <s v="Feb"/>
    <n v="2"/>
    <n v="2026"/>
    <s v="Weekend"/>
    <n v="0.375"/>
    <n v="0.5625"/>
    <n v="0.15"/>
    <n v="16534"/>
    <s v="Autohaus Berlin"/>
  </r>
  <r>
    <s v="CUST_2994"/>
    <x v="9"/>
    <x v="0"/>
    <s v="Sunday"/>
    <s v="Yes"/>
    <x v="8"/>
    <x v="8"/>
    <s v="Baden-WÃ¼rttemberg"/>
    <x v="2"/>
    <s v="Q3"/>
    <s v="Diesel"/>
    <x v="0"/>
    <s v="50+"/>
    <s v="Medium"/>
    <x v="1"/>
    <x v="2"/>
    <s v="Sales_1"/>
    <n v="187"/>
    <n v="99"/>
    <n v="68"/>
    <n v="27"/>
    <s v="27.27"/>
    <n v="41877"/>
    <s v="5.64"/>
    <n v="31654"/>
    <n v="1130679"/>
    <n v="276021"/>
    <s v="Feb"/>
    <n v="2"/>
    <n v="2026"/>
    <s v="Weekend"/>
    <n v="0.39705882352941174"/>
    <n v="0.52941176470588236"/>
    <n v="0.14438502673796791"/>
    <n v="10223"/>
    <s v="Stuttgart Auto Center"/>
  </r>
  <r>
    <s v="CUST_2995"/>
    <x v="6"/>
    <x v="2"/>
    <s v="Saturday"/>
    <s v="Yes"/>
    <x v="9"/>
    <x v="9"/>
    <s v="NRW"/>
    <x v="4"/>
    <s v="Golf"/>
    <s v="Hybrid"/>
    <x v="2"/>
    <s v="50+"/>
    <s v="Medium"/>
    <x v="1"/>
    <x v="3"/>
    <s v="Sales_1"/>
    <n v="403"/>
    <n v="163"/>
    <n v="94"/>
    <n v="17"/>
    <s v="10.43"/>
    <n v="34872"/>
    <s v="6.86"/>
    <n v="30413"/>
    <n v="592824"/>
    <n v="75803"/>
    <s v="Feb"/>
    <n v="2"/>
    <n v="2026"/>
    <s v="Weekend"/>
    <n v="0.18085106382978725"/>
    <n v="0.40446650124069478"/>
    <n v="4.2183622828784122E-2"/>
    <n v="4459"/>
    <s v="Ruhr Auto Plaza"/>
  </r>
  <r>
    <s v="CUST_2996"/>
    <x v="0"/>
    <x v="0"/>
    <s v="Monday"/>
    <s v="No"/>
    <x v="7"/>
    <x v="7"/>
    <s v="Bavaria"/>
    <x v="3"/>
    <s v="E-Class"/>
    <s v="Hybrid"/>
    <x v="1"/>
    <s v="18-25"/>
    <s v="Low"/>
    <x v="0"/>
    <x v="3"/>
    <s v="Sales_4"/>
    <n v="174"/>
    <n v="103"/>
    <n v="69"/>
    <n v="25"/>
    <s v="24.27"/>
    <n v="52683"/>
    <s v="2.49"/>
    <n v="41085"/>
    <n v="1317075"/>
    <n v="289950"/>
    <s v="Feb"/>
    <n v="2"/>
    <n v="2026"/>
    <s v="Weekday"/>
    <n v="0.36231884057971014"/>
    <n v="0.59195402298850575"/>
    <n v="0.14367816091954022"/>
    <n v="11598"/>
    <s v="Bavaria Motors"/>
  </r>
  <r>
    <s v="CUST_2997"/>
    <x v="16"/>
    <x v="1"/>
    <s v="Tuesday"/>
    <s v="No"/>
    <x v="0"/>
    <x v="0"/>
    <s v="Hesse"/>
    <x v="3"/>
    <s v="E-Class"/>
    <s v="Electric"/>
    <x v="1"/>
    <s v="36-50"/>
    <s v="Low"/>
    <x v="0"/>
    <x v="1"/>
    <s v="Sales_19"/>
    <n v="176"/>
    <n v="95"/>
    <n v="68"/>
    <n v="24"/>
    <s v="25.26"/>
    <n v="64533"/>
    <s v="2.21"/>
    <n v="49589"/>
    <n v="1548792"/>
    <n v="358656"/>
    <s v="Feb"/>
    <n v="2"/>
    <n v="2026"/>
    <s v="Weekday"/>
    <n v="0.35294117647058826"/>
    <n v="0.53977272727272729"/>
    <n v="0.13636363636363635"/>
    <n v="14944"/>
    <s v="Main Auto Hub"/>
  </r>
  <r>
    <s v="CUST_2998"/>
    <x v="3"/>
    <x v="1"/>
    <s v="Sunday"/>
    <s v="Yes"/>
    <x v="9"/>
    <x v="9"/>
    <s v="NRW"/>
    <x v="2"/>
    <s v="Q3"/>
    <s v="Hybrid"/>
    <x v="0"/>
    <s v="18-25"/>
    <s v="Low"/>
    <x v="0"/>
    <x v="3"/>
    <s v="Sales_14"/>
    <n v="221"/>
    <n v="105"/>
    <n v="69"/>
    <n v="19"/>
    <s v="18.1"/>
    <n v="55105"/>
    <s v="4.12"/>
    <n v="42472"/>
    <n v="1046995"/>
    <n v="240027"/>
    <s v="Feb"/>
    <n v="2"/>
    <n v="2026"/>
    <s v="Weekend"/>
    <n v="0.27536231884057971"/>
    <n v="0.47511312217194568"/>
    <n v="8.5972850678733032E-2"/>
    <n v="12633"/>
    <s v="Ruhr Auto Plaza"/>
  </r>
  <r>
    <s v="CUST_2999"/>
    <x v="22"/>
    <x v="3"/>
    <s v="Tuesday"/>
    <s v="No"/>
    <x v="5"/>
    <x v="5"/>
    <s v="Hamburg"/>
    <x v="3"/>
    <s v="GLC"/>
    <s v="Petrol"/>
    <x v="0"/>
    <s v="36-50"/>
    <s v="High"/>
    <x v="0"/>
    <x v="3"/>
    <s v="Sales_18"/>
    <n v="153"/>
    <n v="76"/>
    <n v="51"/>
    <n v="19"/>
    <s v="25.0"/>
    <n v="56314"/>
    <s v="5.87"/>
    <n v="42214"/>
    <n v="1069966"/>
    <n v="267900"/>
    <s v="Feb"/>
    <n v="2"/>
    <n v="2026"/>
    <s v="Weekday"/>
    <n v="0.37254901960784315"/>
    <n v="0.49673202614379086"/>
    <n v="0.12418300653594772"/>
    <n v="14100"/>
    <s v="Elbe Drive"/>
  </r>
  <r>
    <s v="CUST_3000"/>
    <x v="19"/>
    <x v="1"/>
    <s v="Saturday"/>
    <s v="Yes"/>
    <x v="9"/>
    <x v="9"/>
    <s v="NRW"/>
    <x v="3"/>
    <s v="GLC"/>
    <s v="Hybrid"/>
    <x v="0"/>
    <s v="50+"/>
    <s v="Low"/>
    <x v="1"/>
    <x v="0"/>
    <s v="Sales_18"/>
    <n v="151"/>
    <n v="82"/>
    <n v="61"/>
    <n v="17"/>
    <s v="20.73"/>
    <n v="62153"/>
    <s v="3.41"/>
    <n v="48540"/>
    <n v="1056601"/>
    <n v="231421"/>
    <s v="Feb"/>
    <n v="2"/>
    <n v="2026"/>
    <s v="Weekend"/>
    <n v="0.27868852459016391"/>
    <n v="0.54304635761589404"/>
    <n v="0.11258278145695365"/>
    <n v="13613"/>
    <s v="Ruhr Auto Plaza"/>
  </r>
  <r>
    <s v="CUST_3001"/>
    <x v="16"/>
    <x v="1"/>
    <s v="Tuesday"/>
    <s v="No"/>
    <x v="2"/>
    <x v="2"/>
    <s v="Lower Saxony"/>
    <x v="0"/>
    <s v="5 Series"/>
    <s v="Electric"/>
    <x v="1"/>
    <s v="50+"/>
    <s v="High"/>
    <x v="1"/>
    <x v="1"/>
    <s v="Sales_19"/>
    <n v="273"/>
    <n v="151"/>
    <n v="119"/>
    <n v="41"/>
    <s v="27.15"/>
    <n v="60943"/>
    <s v="5.21"/>
    <n v="44539"/>
    <n v="2498663"/>
    <n v="672564"/>
    <s v="Feb"/>
    <n v="2"/>
    <n v="2026"/>
    <s v="Weekday"/>
    <n v="0.34453781512605042"/>
    <n v="0.55311355311355315"/>
    <n v="0.15018315018315018"/>
    <n v="16404"/>
    <s v="Hannover Cars"/>
  </r>
  <r>
    <s v="CUST_3002"/>
    <x v="0"/>
    <x v="0"/>
    <s v="Monday"/>
    <s v="No"/>
    <x v="2"/>
    <x v="2"/>
    <s v="Lower Saxony"/>
    <x v="3"/>
    <s v="C-Class"/>
    <s v="Petrol"/>
    <x v="1"/>
    <s v="50+"/>
    <s v="Low"/>
    <x v="1"/>
    <x v="0"/>
    <s v="Sales_19"/>
    <n v="204"/>
    <n v="118"/>
    <n v="91"/>
    <n v="26"/>
    <s v="22.03"/>
    <n v="62700"/>
    <s v="3.24"/>
    <n v="45018"/>
    <n v="1630200"/>
    <n v="459732"/>
    <s v="Feb"/>
    <n v="2"/>
    <n v="2026"/>
    <s v="Weekday"/>
    <n v="0.2857142857142857"/>
    <n v="0.57843137254901966"/>
    <n v="0.12745098039215685"/>
    <n v="17682"/>
    <s v="Hannover Cars"/>
  </r>
  <r>
    <s v="CUST_3003"/>
    <x v="2"/>
    <x v="2"/>
    <s v="Monday"/>
    <s v="No"/>
    <x v="8"/>
    <x v="8"/>
    <s v="Baden-WÃ¼rttemberg"/>
    <x v="3"/>
    <s v="GLC"/>
    <s v="Petrol"/>
    <x v="0"/>
    <s v="36-50"/>
    <s v="Low"/>
    <x v="1"/>
    <x v="1"/>
    <s v="Sales_7"/>
    <n v="268"/>
    <n v="118"/>
    <n v="82"/>
    <n v="33"/>
    <s v="27.97"/>
    <n v="66617"/>
    <s v="2.34"/>
    <n v="48883"/>
    <n v="2198361"/>
    <n v="585222"/>
    <s v="Feb"/>
    <n v="2"/>
    <n v="2026"/>
    <s v="Weekday"/>
    <n v="0.40243902439024393"/>
    <n v="0.44029850746268656"/>
    <n v="0.12313432835820895"/>
    <n v="17734"/>
    <s v="Stuttgart Auto Center"/>
  </r>
  <r>
    <s v="CUST_3004"/>
    <x v="18"/>
    <x v="0"/>
    <s v="Saturday"/>
    <s v="Yes"/>
    <x v="8"/>
    <x v="8"/>
    <s v="Baden-WÃ¼rttemberg"/>
    <x v="1"/>
    <s v="Astra"/>
    <s v="Petrol"/>
    <x v="2"/>
    <s v="50+"/>
    <s v="Low"/>
    <x v="1"/>
    <x v="1"/>
    <s v="Sales_14"/>
    <n v="241"/>
    <n v="121"/>
    <n v="84"/>
    <n v="21"/>
    <s v="17.36"/>
    <n v="25386"/>
    <s v="7.12"/>
    <n v="22645"/>
    <n v="533106"/>
    <n v="57561"/>
    <s v="Feb"/>
    <n v="2"/>
    <n v="2026"/>
    <s v="Weekend"/>
    <n v="0.25"/>
    <n v="0.50207468879668049"/>
    <n v="8.7136929460580909E-2"/>
    <n v="2741"/>
    <s v="Stuttgart Auto Center"/>
  </r>
  <r>
    <s v="CUST_3005"/>
    <x v="6"/>
    <x v="2"/>
    <s v="Saturday"/>
    <s v="Yes"/>
    <x v="6"/>
    <x v="6"/>
    <s v="Saxony"/>
    <x v="3"/>
    <s v="GLE"/>
    <s v="Electric"/>
    <x v="0"/>
    <s v="26-35"/>
    <s v="High"/>
    <x v="0"/>
    <x v="1"/>
    <s v="Sales_7"/>
    <n v="155"/>
    <n v="77"/>
    <n v="51"/>
    <n v="18"/>
    <s v="23.38"/>
    <n v="60593"/>
    <s v="5.37"/>
    <n v="45952"/>
    <n v="1090674"/>
    <n v="263538"/>
    <s v="Feb"/>
    <n v="2"/>
    <n v="2026"/>
    <s v="Weekend"/>
    <n v="0.35294117647058826"/>
    <n v="0.49677419354838709"/>
    <n v="0.11612903225806452"/>
    <n v="14641"/>
    <s v="Leipzig Mobility"/>
  </r>
  <r>
    <s v="CUST_3006"/>
    <x v="20"/>
    <x v="0"/>
    <s v="Thursday"/>
    <s v="No"/>
    <x v="0"/>
    <x v="0"/>
    <s v="Hesse"/>
    <x v="3"/>
    <s v="E-Class"/>
    <s v="Diesel"/>
    <x v="1"/>
    <s v="26-35"/>
    <s v="Medium"/>
    <x v="1"/>
    <x v="0"/>
    <s v="Sales_19"/>
    <n v="169"/>
    <n v="94"/>
    <n v="74"/>
    <n v="22"/>
    <s v="23.4"/>
    <n v="51475"/>
    <s v="5.65"/>
    <n v="40377"/>
    <n v="1132450"/>
    <n v="244156"/>
    <s v="Feb"/>
    <n v="2"/>
    <n v="2026"/>
    <s v="Weekday"/>
    <n v="0.29729729729729731"/>
    <n v="0.55621301775147924"/>
    <n v="0.13017751479289941"/>
    <n v="11098"/>
    <s v="Main Auto Hub"/>
  </r>
  <r>
    <s v="CUST_3007"/>
    <x v="13"/>
    <x v="0"/>
    <s v="Friday"/>
    <s v="No"/>
    <x v="6"/>
    <x v="6"/>
    <s v="Saxony"/>
    <x v="0"/>
    <s v="X5"/>
    <s v="Petrol"/>
    <x v="0"/>
    <s v="18-25"/>
    <s v="Low"/>
    <x v="1"/>
    <x v="2"/>
    <s v="Sales_1"/>
    <n v="176"/>
    <n v="103"/>
    <n v="72"/>
    <n v="32"/>
    <s v="31.07"/>
    <n v="53401"/>
    <s v="2.94"/>
    <n v="40340"/>
    <n v="1708832"/>
    <n v="417952"/>
    <s v="Feb"/>
    <n v="2"/>
    <n v="2026"/>
    <s v="Weekday"/>
    <n v="0.44444444444444442"/>
    <n v="0.58522727272727271"/>
    <n v="0.18181818181818182"/>
    <n v="13061"/>
    <s v="Leipzig Mobility"/>
  </r>
  <r>
    <s v="CUST_3008"/>
    <x v="6"/>
    <x v="2"/>
    <s v="Saturday"/>
    <s v="Yes"/>
    <x v="1"/>
    <x v="1"/>
    <s v="NRW"/>
    <x v="3"/>
    <s v="GLE"/>
    <s v="Diesel"/>
    <x v="0"/>
    <s v="26-35"/>
    <s v="Medium"/>
    <x v="1"/>
    <x v="0"/>
    <s v="Sales_3"/>
    <n v="289"/>
    <n v="170"/>
    <n v="135"/>
    <n v="41"/>
    <s v="24.12"/>
    <n v="51160"/>
    <s v="3.38"/>
    <n v="36636"/>
    <n v="2097560"/>
    <n v="595484"/>
    <s v="Feb"/>
    <n v="2"/>
    <n v="2026"/>
    <s v="Weekend"/>
    <n v="0.3037037037037037"/>
    <n v="0.58823529411764708"/>
    <n v="0.14186851211072665"/>
    <n v="14524"/>
    <s v="Rhein Auto Group"/>
  </r>
  <r>
    <s v="CUST_3009"/>
    <x v="6"/>
    <x v="2"/>
    <s v="Saturday"/>
    <s v="Yes"/>
    <x v="0"/>
    <x v="0"/>
    <s v="Hesse"/>
    <x v="4"/>
    <s v="Golf"/>
    <s v="Hybrid"/>
    <x v="2"/>
    <s v="50+"/>
    <s v="Low"/>
    <x v="1"/>
    <x v="0"/>
    <s v="Sales_13"/>
    <n v="295"/>
    <n v="142"/>
    <n v="98"/>
    <n v="15"/>
    <s v="10.56"/>
    <n v="30223"/>
    <s v="9.75"/>
    <n v="26635"/>
    <n v="453345"/>
    <n v="53820"/>
    <s v="Feb"/>
    <n v="2"/>
    <n v="2026"/>
    <s v="Weekend"/>
    <n v="0.15306122448979592"/>
    <n v="0.48135593220338985"/>
    <n v="5.0847457627118647E-2"/>
    <n v="3588"/>
    <s v="Main Auto Hub"/>
  </r>
  <r>
    <s v="CUST_3010"/>
    <x v="15"/>
    <x v="2"/>
    <s v="Thursday"/>
    <s v="No"/>
    <x v="1"/>
    <x v="1"/>
    <s v="NRW"/>
    <x v="1"/>
    <s v="Mokka"/>
    <s v="Diesel"/>
    <x v="0"/>
    <s v="36-50"/>
    <s v="High"/>
    <x v="1"/>
    <x v="1"/>
    <s v="Sales_14"/>
    <n v="336"/>
    <n v="130"/>
    <n v="79"/>
    <n v="20"/>
    <s v="15.38"/>
    <n v="20349"/>
    <s v="12.48"/>
    <n v="18664"/>
    <n v="406980"/>
    <n v="33700"/>
    <s v="Feb"/>
    <n v="2"/>
    <n v="2026"/>
    <s v="Weekday"/>
    <n v="0.25316455696202533"/>
    <n v="0.38690476190476192"/>
    <n v="5.9523809523809521E-2"/>
    <n v="1685"/>
    <s v="Rhein Auto Group"/>
  </r>
  <r>
    <s v="CUST_3011"/>
    <x v="19"/>
    <x v="1"/>
    <s v="Saturday"/>
    <s v="Yes"/>
    <x v="8"/>
    <x v="8"/>
    <s v="Baden-WÃ¼rttemberg"/>
    <x v="0"/>
    <s v="i4"/>
    <s v="Diesel"/>
    <x v="1"/>
    <s v="18-25"/>
    <s v="High"/>
    <x v="0"/>
    <x v="1"/>
    <s v="Sales_12"/>
    <n v="150"/>
    <n v="73"/>
    <n v="57"/>
    <n v="23"/>
    <s v="31.51"/>
    <n v="56987"/>
    <s v="2.77"/>
    <n v="42011"/>
    <n v="1310701"/>
    <n v="344448"/>
    <s v="Feb"/>
    <n v="2"/>
    <n v="2026"/>
    <s v="Weekend"/>
    <n v="0.40350877192982454"/>
    <n v="0.48666666666666669"/>
    <n v="0.15333333333333332"/>
    <n v="14976"/>
    <s v="Stuttgart Auto Center"/>
  </r>
  <r>
    <s v="CUST_3012"/>
    <x v="17"/>
    <x v="2"/>
    <s v="Sunday"/>
    <s v="Yes"/>
    <x v="3"/>
    <x v="3"/>
    <s v="Saxony"/>
    <x v="1"/>
    <s v="Corsa"/>
    <s v="Hybrid"/>
    <x v="2"/>
    <s v="50+"/>
    <s v="Medium"/>
    <x v="1"/>
    <x v="1"/>
    <s v="Sales_14"/>
    <n v="343"/>
    <n v="166"/>
    <n v="97"/>
    <n v="26"/>
    <s v="15.66"/>
    <n v="24767"/>
    <s v="12.65"/>
    <n v="22596"/>
    <n v="643942"/>
    <n v="56446"/>
    <s v="Feb"/>
    <n v="2"/>
    <n v="2026"/>
    <s v="Weekend"/>
    <n v="0.26804123711340205"/>
    <n v="0.48396501457725949"/>
    <n v="7.5801749271137031E-2"/>
    <n v="2171"/>
    <s v="Saxon Wheels"/>
  </r>
  <r>
    <s v="CUST_3013"/>
    <x v="1"/>
    <x v="1"/>
    <s v="Wednesday"/>
    <s v="No"/>
    <x v="0"/>
    <x v="0"/>
    <s v="Hesse"/>
    <x v="4"/>
    <s v="Tiguan"/>
    <s v="Electric"/>
    <x v="0"/>
    <s v="26-35"/>
    <s v="Low"/>
    <x v="0"/>
    <x v="0"/>
    <s v="Sales_7"/>
    <n v="468"/>
    <n v="260"/>
    <n v="162"/>
    <n v="36"/>
    <s v="13.85"/>
    <n v="27702"/>
    <s v="7.6"/>
    <n v="24476"/>
    <n v="997272"/>
    <n v="116136"/>
    <s v="Feb"/>
    <n v="2"/>
    <n v="2026"/>
    <s v="Weekday"/>
    <n v="0.22222222222222221"/>
    <n v="0.55555555555555558"/>
    <n v="7.6923076923076927E-2"/>
    <n v="3226"/>
    <s v="Main Auto Hub"/>
  </r>
  <r>
    <s v="CUST_3014"/>
    <x v="2"/>
    <x v="2"/>
    <s v="Monday"/>
    <s v="No"/>
    <x v="1"/>
    <x v="1"/>
    <s v="NRW"/>
    <x v="3"/>
    <s v="E-Class"/>
    <s v="Hybrid"/>
    <x v="1"/>
    <s v="26-35"/>
    <s v="Low"/>
    <x v="1"/>
    <x v="0"/>
    <s v="Sales_1"/>
    <n v="249"/>
    <n v="111"/>
    <n v="76"/>
    <n v="26"/>
    <s v="23.42"/>
    <n v="51917"/>
    <s v="2.16"/>
    <n v="38927"/>
    <n v="1349842"/>
    <n v="337740"/>
    <s v="Feb"/>
    <n v="2"/>
    <n v="2026"/>
    <s v="Weekday"/>
    <n v="0.34210526315789475"/>
    <n v="0.44578313253012047"/>
    <n v="0.10441767068273092"/>
    <n v="12990"/>
    <s v="Rhein Auto Group"/>
  </r>
  <r>
    <s v="CUST_3015"/>
    <x v="16"/>
    <x v="1"/>
    <s v="Tuesday"/>
    <s v="No"/>
    <x v="3"/>
    <x v="3"/>
    <s v="Saxony"/>
    <x v="3"/>
    <s v="C-Class"/>
    <s v="Hybrid"/>
    <x v="1"/>
    <s v="50+"/>
    <s v="High"/>
    <x v="0"/>
    <x v="0"/>
    <s v="Sales_6"/>
    <n v="179"/>
    <n v="85"/>
    <n v="64"/>
    <n v="19"/>
    <s v="22.35"/>
    <n v="66755"/>
    <s v="3.36"/>
    <n v="50401"/>
    <n v="1268345"/>
    <n v="310726"/>
    <s v="Feb"/>
    <n v="2"/>
    <n v="2026"/>
    <s v="Weekday"/>
    <n v="0.296875"/>
    <n v="0.47486033519553073"/>
    <n v="0.10614525139664804"/>
    <n v="16354"/>
    <s v="Saxon Wheels"/>
  </r>
  <r>
    <s v="CUST_3016"/>
    <x v="25"/>
    <x v="3"/>
    <s v="Friday"/>
    <s v="No"/>
    <x v="7"/>
    <x v="7"/>
    <s v="Bavaria"/>
    <x v="1"/>
    <s v="Grandland"/>
    <s v="Diesel"/>
    <x v="0"/>
    <s v="18-25"/>
    <s v="Medium"/>
    <x v="0"/>
    <x v="3"/>
    <s v="Sales_18"/>
    <n v="417"/>
    <n v="200"/>
    <n v="116"/>
    <n v="36"/>
    <s v="18.0"/>
    <n v="20162"/>
    <s v="13.26"/>
    <n v="18123"/>
    <n v="725832"/>
    <n v="73404"/>
    <s v="Feb"/>
    <n v="2"/>
    <n v="2026"/>
    <s v="Weekday"/>
    <n v="0.31034482758620691"/>
    <n v="0.47961630695443647"/>
    <n v="8.6330935251798566E-2"/>
    <n v="2039"/>
    <s v="Bavaria Motors"/>
  </r>
  <r>
    <s v="CUST_3017"/>
    <x v="22"/>
    <x v="3"/>
    <s v="Tuesday"/>
    <s v="No"/>
    <x v="3"/>
    <x v="3"/>
    <s v="Saxony"/>
    <x v="2"/>
    <s v="Q3"/>
    <s v="Petrol"/>
    <x v="0"/>
    <s v="36-50"/>
    <s v="High"/>
    <x v="1"/>
    <x v="2"/>
    <s v="Sales_8"/>
    <n v="308"/>
    <n v="148"/>
    <n v="96"/>
    <n v="33"/>
    <s v="22.3"/>
    <n v="41854"/>
    <s v="4.57"/>
    <n v="33589"/>
    <n v="1381182"/>
    <n v="272745"/>
    <s v="Feb"/>
    <n v="2"/>
    <n v="2026"/>
    <s v="Weekday"/>
    <n v="0.34375"/>
    <n v="0.48051948051948051"/>
    <n v="0.10714285714285714"/>
    <n v="8265"/>
    <s v="Saxon Wheels"/>
  </r>
  <r>
    <s v="CUST_3018"/>
    <x v="15"/>
    <x v="2"/>
    <s v="Thursday"/>
    <s v="No"/>
    <x v="3"/>
    <x v="3"/>
    <s v="Saxony"/>
    <x v="1"/>
    <s v="Mokka"/>
    <s v="Electric"/>
    <x v="0"/>
    <s v="36-50"/>
    <s v="Medium"/>
    <x v="0"/>
    <x v="2"/>
    <s v="Sales_7"/>
    <n v="311"/>
    <n v="150"/>
    <n v="93"/>
    <n v="25"/>
    <s v="16.67"/>
    <n v="26319"/>
    <s v="11.84"/>
    <n v="24323"/>
    <n v="657975"/>
    <n v="49900"/>
    <s v="Feb"/>
    <n v="2"/>
    <n v="2026"/>
    <s v="Weekday"/>
    <n v="0.26881720430107525"/>
    <n v="0.48231511254019294"/>
    <n v="8.0385852090032156E-2"/>
    <n v="1996"/>
    <s v="Saxon Wheels"/>
  </r>
  <r>
    <s v="CUST_3019"/>
    <x v="5"/>
    <x v="3"/>
    <s v="Saturday"/>
    <s v="Yes"/>
    <x v="9"/>
    <x v="9"/>
    <s v="NRW"/>
    <x v="0"/>
    <s v="X3"/>
    <s v="Petrol"/>
    <x v="0"/>
    <s v="26-35"/>
    <s v="Low"/>
    <x v="0"/>
    <x v="3"/>
    <s v="Sales_6"/>
    <n v="192"/>
    <n v="105"/>
    <n v="76"/>
    <n v="27"/>
    <s v="25.71"/>
    <n v="54080"/>
    <s v="3.66"/>
    <n v="38791"/>
    <n v="1460160"/>
    <n v="412803"/>
    <s v="Feb"/>
    <n v="2"/>
    <n v="2026"/>
    <s v="Weekend"/>
    <n v="0.35526315789473684"/>
    <n v="0.546875"/>
    <n v="0.140625"/>
    <n v="15289"/>
    <s v="Ruhr Auto Plaza"/>
  </r>
  <r>
    <s v="CUST_3020"/>
    <x v="23"/>
    <x v="2"/>
    <s v="Tuesday"/>
    <s v="No"/>
    <x v="8"/>
    <x v="8"/>
    <s v="Baden-WÃ¼rttemberg"/>
    <x v="3"/>
    <s v="GLE"/>
    <s v="Electric"/>
    <x v="0"/>
    <s v="36-50"/>
    <s v="Medium"/>
    <x v="1"/>
    <x v="3"/>
    <s v="Sales_10"/>
    <n v="290"/>
    <n v="168"/>
    <n v="114"/>
    <n v="39"/>
    <s v="23.21"/>
    <n v="56263"/>
    <s v="2.37"/>
    <n v="42306"/>
    <n v="2194257"/>
    <n v="544323"/>
    <s v="Feb"/>
    <n v="2"/>
    <n v="2026"/>
    <s v="Weekday"/>
    <n v="0.34210526315789475"/>
    <n v="0.57931034482758625"/>
    <n v="0.13448275862068965"/>
    <n v="13957"/>
    <s v="Stuttgart Auto Center"/>
  </r>
  <r>
    <s v="CUST_3021"/>
    <x v="16"/>
    <x v="1"/>
    <s v="Tuesday"/>
    <s v="No"/>
    <x v="3"/>
    <x v="3"/>
    <s v="Saxony"/>
    <x v="4"/>
    <s v="Passat"/>
    <s v="Petrol"/>
    <x v="1"/>
    <s v="26-35"/>
    <s v="Low"/>
    <x v="0"/>
    <x v="1"/>
    <s v="Sales_17"/>
    <n v="296"/>
    <n v="165"/>
    <n v="110"/>
    <n v="24"/>
    <s v="14.55"/>
    <n v="28136"/>
    <s v="10.64"/>
    <n v="25500"/>
    <n v="675264"/>
    <n v="63264"/>
    <s v="Feb"/>
    <n v="2"/>
    <n v="2026"/>
    <s v="Weekday"/>
    <n v="0.21818181818181817"/>
    <n v="0.55743243243243246"/>
    <n v="8.1081081081081086E-2"/>
    <n v="2636"/>
    <s v="Saxon Wheels"/>
  </r>
  <r>
    <s v="CUST_3022"/>
    <x v="27"/>
    <x v="3"/>
    <s v="Sunday"/>
    <s v="Yes"/>
    <x v="6"/>
    <x v="6"/>
    <s v="Saxony"/>
    <x v="3"/>
    <s v="GLC"/>
    <s v="Electric"/>
    <x v="0"/>
    <s v="50+"/>
    <s v="High"/>
    <x v="0"/>
    <x v="3"/>
    <s v="Sales_15"/>
    <n v="155"/>
    <n v="89"/>
    <n v="65"/>
    <n v="19"/>
    <s v="21.35"/>
    <n v="53514"/>
    <s v="3.13"/>
    <n v="39685"/>
    <n v="1016766"/>
    <n v="262751"/>
    <s v="Feb"/>
    <n v="2"/>
    <n v="2026"/>
    <s v="Weekend"/>
    <n v="0.29230769230769232"/>
    <n v="0.5741935483870968"/>
    <n v="0.12258064516129032"/>
    <n v="13829"/>
    <s v="Leipzig Mobility"/>
  </r>
  <r>
    <s v="CUST_3023"/>
    <x v="5"/>
    <x v="3"/>
    <s v="Saturday"/>
    <s v="Yes"/>
    <x v="6"/>
    <x v="6"/>
    <s v="Saxony"/>
    <x v="2"/>
    <s v="A4"/>
    <s v="Electric"/>
    <x v="1"/>
    <s v="26-35"/>
    <s v="Low"/>
    <x v="1"/>
    <x v="0"/>
    <s v="Sales_3"/>
    <n v="303"/>
    <n v="166"/>
    <n v="115"/>
    <n v="29"/>
    <s v="17.47"/>
    <n v="46781"/>
    <s v="6.41"/>
    <n v="37040"/>
    <n v="1356649"/>
    <n v="282489"/>
    <s v="Feb"/>
    <n v="2"/>
    <n v="2026"/>
    <s v="Weekend"/>
    <n v="0.25217391304347825"/>
    <n v="0.54785478547854782"/>
    <n v="9.5709570957095716E-2"/>
    <n v="9741"/>
    <s v="Leipzig Mobility"/>
  </r>
  <r>
    <s v="CUST_3024"/>
    <x v="19"/>
    <x v="1"/>
    <s v="Saturday"/>
    <s v="Yes"/>
    <x v="1"/>
    <x v="1"/>
    <s v="NRW"/>
    <x v="4"/>
    <s v="Golf"/>
    <s v="Electric"/>
    <x v="2"/>
    <s v="36-50"/>
    <s v="High"/>
    <x v="1"/>
    <x v="3"/>
    <s v="Sales_12"/>
    <n v="296"/>
    <n v="135"/>
    <n v="89"/>
    <n v="16"/>
    <s v="11.85"/>
    <n v="26885"/>
    <s v="11.76"/>
    <n v="23432"/>
    <n v="430160"/>
    <n v="55248"/>
    <s v="Feb"/>
    <n v="2"/>
    <n v="2026"/>
    <s v="Weekend"/>
    <n v="0.1797752808988764"/>
    <n v="0.45608108108108109"/>
    <n v="5.4054054054054057E-2"/>
    <n v="3453"/>
    <s v="Rhein Auto Group"/>
  </r>
  <r>
    <s v="CUST_3025"/>
    <x v="11"/>
    <x v="0"/>
    <s v="Wednesday"/>
    <s v="No"/>
    <x v="0"/>
    <x v="0"/>
    <s v="Hesse"/>
    <x v="1"/>
    <s v="Grandland"/>
    <s v="Diesel"/>
    <x v="0"/>
    <s v="50+"/>
    <s v="High"/>
    <x v="0"/>
    <x v="1"/>
    <s v="Sales_20"/>
    <n v="385"/>
    <n v="178"/>
    <n v="117"/>
    <n v="34"/>
    <s v="19.1"/>
    <n v="24391"/>
    <s v="11.99"/>
    <n v="22571"/>
    <n v="829294"/>
    <n v="61880"/>
    <s v="Feb"/>
    <n v="2"/>
    <n v="2026"/>
    <s v="Weekday"/>
    <n v="0.29059829059829062"/>
    <n v="0.46233766233766233"/>
    <n v="8.8311688311688313E-2"/>
    <n v="1820"/>
    <s v="Main Auto Hub"/>
  </r>
  <r>
    <s v="CUST_3026"/>
    <x v="26"/>
    <x v="1"/>
    <s v="Friday"/>
    <s v="No"/>
    <x v="4"/>
    <x v="4"/>
    <s v="Berlin"/>
    <x v="0"/>
    <s v="X3"/>
    <s v="Diesel"/>
    <x v="0"/>
    <s v="50+"/>
    <s v="Low"/>
    <x v="1"/>
    <x v="1"/>
    <s v="Sales_2"/>
    <n v="198"/>
    <n v="96"/>
    <n v="69"/>
    <n v="26"/>
    <s v="27.08"/>
    <n v="51932"/>
    <s v="2.22"/>
    <n v="38560"/>
    <n v="1350232"/>
    <n v="347672"/>
    <s v="Feb"/>
    <n v="2"/>
    <n v="2026"/>
    <s v="Weekday"/>
    <n v="0.37681159420289856"/>
    <n v="0.48484848484848486"/>
    <n v="0.13131313131313133"/>
    <n v="13372"/>
    <s v="Autohaus Berlin"/>
  </r>
  <r>
    <s v="CUST_3027"/>
    <x v="8"/>
    <x v="3"/>
    <s v="Wednesday"/>
    <s v="No"/>
    <x v="4"/>
    <x v="4"/>
    <s v="Berlin"/>
    <x v="4"/>
    <s v="Golf"/>
    <s v="Petrol"/>
    <x v="2"/>
    <s v="36-50"/>
    <s v="High"/>
    <x v="1"/>
    <x v="0"/>
    <s v="Sales_16"/>
    <n v="353"/>
    <n v="192"/>
    <n v="124"/>
    <n v="26"/>
    <s v="13.54"/>
    <n v="28999"/>
    <s v="10.47"/>
    <n v="25198"/>
    <n v="753974"/>
    <n v="98826"/>
    <s v="Feb"/>
    <n v="2"/>
    <n v="2026"/>
    <s v="Weekday"/>
    <n v="0.20967741935483872"/>
    <n v="0.5439093484419264"/>
    <n v="7.3654390934844188E-2"/>
    <n v="3801"/>
    <s v="Autohaus Berlin"/>
  </r>
  <r>
    <s v="CUST_3028"/>
    <x v="6"/>
    <x v="2"/>
    <s v="Saturday"/>
    <s v="Yes"/>
    <x v="4"/>
    <x v="4"/>
    <s v="Berlin"/>
    <x v="4"/>
    <s v="ID.4"/>
    <s v="Hybrid"/>
    <x v="0"/>
    <s v="50+"/>
    <s v="High"/>
    <x v="0"/>
    <x v="0"/>
    <s v="Sales_8"/>
    <n v="366"/>
    <n v="166"/>
    <n v="115"/>
    <n v="24"/>
    <s v="14.46"/>
    <n v="31968"/>
    <s v="11.36"/>
    <n v="27767"/>
    <n v="767232"/>
    <n v="100824"/>
    <s v="Feb"/>
    <n v="2"/>
    <n v="2026"/>
    <s v="Weekend"/>
    <n v="0.20869565217391303"/>
    <n v="0.45355191256830601"/>
    <n v="6.5573770491803282E-2"/>
    <n v="4201"/>
    <s v="Autohaus Berlin"/>
  </r>
  <r>
    <s v="CUST_3029"/>
    <x v="3"/>
    <x v="1"/>
    <s v="Sunday"/>
    <s v="Yes"/>
    <x v="0"/>
    <x v="0"/>
    <s v="Hesse"/>
    <x v="2"/>
    <s v="Q5"/>
    <s v="Electric"/>
    <x v="0"/>
    <s v="18-25"/>
    <s v="Medium"/>
    <x v="0"/>
    <x v="2"/>
    <s v="Sales_7"/>
    <n v="301"/>
    <n v="143"/>
    <n v="110"/>
    <n v="38"/>
    <s v="26.57"/>
    <n v="53447"/>
    <s v="5.39"/>
    <n v="42818"/>
    <n v="2030986"/>
    <n v="403902"/>
    <s v="Feb"/>
    <n v="2"/>
    <n v="2026"/>
    <s v="Weekend"/>
    <n v="0.34545454545454546"/>
    <n v="0.47508305647840532"/>
    <n v="0.12624584717607973"/>
    <n v="10629"/>
    <s v="Main Auto Hub"/>
  </r>
  <r>
    <s v="CUST_3030"/>
    <x v="10"/>
    <x v="1"/>
    <s v="Monday"/>
    <s v="No"/>
    <x v="2"/>
    <x v="2"/>
    <s v="Lower Saxony"/>
    <x v="3"/>
    <s v="E-Class"/>
    <s v="Petrol"/>
    <x v="1"/>
    <s v="18-25"/>
    <s v="High"/>
    <x v="0"/>
    <x v="0"/>
    <s v="Sales_1"/>
    <n v="210"/>
    <n v="125"/>
    <n v="88"/>
    <n v="30"/>
    <s v="24.0"/>
    <n v="49856"/>
    <s v="5.98"/>
    <n v="36302"/>
    <n v="1495680"/>
    <n v="406620"/>
    <s v="Feb"/>
    <n v="2"/>
    <n v="2026"/>
    <s v="Weekday"/>
    <n v="0.34090909090909088"/>
    <n v="0.59523809523809523"/>
    <n v="0.14285714285714285"/>
    <n v="13554"/>
    <s v="Hannover Cars"/>
  </r>
  <r>
    <s v="CUST_3031"/>
    <x v="17"/>
    <x v="2"/>
    <s v="Sunday"/>
    <s v="Yes"/>
    <x v="3"/>
    <x v="3"/>
    <s v="Saxony"/>
    <x v="0"/>
    <s v="3 Series"/>
    <s v="Electric"/>
    <x v="1"/>
    <s v="50+"/>
    <s v="Medium"/>
    <x v="0"/>
    <x v="1"/>
    <s v="Sales_8"/>
    <n v="198"/>
    <n v="101"/>
    <n v="68"/>
    <n v="26"/>
    <s v="25.74"/>
    <n v="65329"/>
    <s v="4.56"/>
    <n v="49902"/>
    <n v="1698554"/>
    <n v="401102"/>
    <s v="Feb"/>
    <n v="2"/>
    <n v="2026"/>
    <s v="Weekend"/>
    <n v="0.38235294117647056"/>
    <n v="0.51010101010101006"/>
    <n v="0.13131313131313133"/>
    <n v="15427"/>
    <s v="Saxon Wheels"/>
  </r>
  <r>
    <s v="CUST_3032"/>
    <x v="12"/>
    <x v="3"/>
    <s v="Thursday"/>
    <s v="No"/>
    <x v="4"/>
    <x v="4"/>
    <s v="Berlin"/>
    <x v="4"/>
    <s v="ID.4"/>
    <s v="Electric"/>
    <x v="0"/>
    <s v="26-35"/>
    <s v="Low"/>
    <x v="1"/>
    <x v="1"/>
    <s v="Sales_19"/>
    <n v="319"/>
    <n v="158"/>
    <n v="94"/>
    <n v="26"/>
    <s v="16.46"/>
    <n v="33193"/>
    <s v="10.38"/>
    <n v="29710"/>
    <n v="863018"/>
    <n v="90558"/>
    <s v="Feb"/>
    <n v="2"/>
    <n v="2026"/>
    <s v="Weekday"/>
    <n v="0.27659574468085107"/>
    <n v="0.4952978056426332"/>
    <n v="8.1504702194357362E-2"/>
    <n v="3483"/>
    <s v="Autohaus Berlin"/>
  </r>
  <r>
    <s v="CUST_3033"/>
    <x v="0"/>
    <x v="0"/>
    <s v="Monday"/>
    <s v="No"/>
    <x v="0"/>
    <x v="0"/>
    <s v="Hesse"/>
    <x v="1"/>
    <s v="Crossland"/>
    <s v="Diesel"/>
    <x v="0"/>
    <s v="26-35"/>
    <s v="Low"/>
    <x v="0"/>
    <x v="2"/>
    <s v="Sales_11"/>
    <n v="424"/>
    <n v="233"/>
    <n v="155"/>
    <n v="46"/>
    <s v="19.74"/>
    <n v="26898"/>
    <s v="7.94"/>
    <n v="24333"/>
    <n v="1237308"/>
    <n v="117990"/>
    <s v="Feb"/>
    <n v="2"/>
    <n v="2026"/>
    <s v="Weekday"/>
    <n v="0.29677419354838708"/>
    <n v="0.54952830188679247"/>
    <n v="0.10849056603773585"/>
    <n v="2565"/>
    <s v="Main Auto Hub"/>
  </r>
  <r>
    <s v="CUST_3034"/>
    <x v="24"/>
    <x v="1"/>
    <s v="Thursday"/>
    <s v="No"/>
    <x v="3"/>
    <x v="3"/>
    <s v="Saxony"/>
    <x v="4"/>
    <s v="Tiguan"/>
    <s v="Hybrid"/>
    <x v="0"/>
    <s v="18-25"/>
    <s v="Medium"/>
    <x v="1"/>
    <x v="0"/>
    <s v="Sales_8"/>
    <n v="503"/>
    <n v="222"/>
    <n v="132"/>
    <n v="32"/>
    <s v="14.41"/>
    <n v="31874"/>
    <s v="9.11"/>
    <n v="28952"/>
    <n v="1019968"/>
    <n v="93504"/>
    <s v="Feb"/>
    <n v="2"/>
    <n v="2026"/>
    <s v="Weekday"/>
    <n v="0.24242424242424243"/>
    <n v="0.44135188866799202"/>
    <n v="6.3618290258449298E-2"/>
    <n v="2922"/>
    <s v="Saxon Wheels"/>
  </r>
  <r>
    <s v="CUST_3035"/>
    <x v="18"/>
    <x v="0"/>
    <s v="Saturday"/>
    <s v="Yes"/>
    <x v="6"/>
    <x v="6"/>
    <s v="Saxony"/>
    <x v="3"/>
    <s v="GLE"/>
    <s v="Hybrid"/>
    <x v="0"/>
    <s v="18-25"/>
    <s v="High"/>
    <x v="1"/>
    <x v="1"/>
    <s v="Sales_1"/>
    <n v="203"/>
    <n v="108"/>
    <n v="74"/>
    <n v="24"/>
    <s v="22.22"/>
    <n v="65982"/>
    <s v="2.78"/>
    <n v="50448"/>
    <n v="1583568"/>
    <n v="372816"/>
    <s v="Feb"/>
    <n v="2"/>
    <n v="2026"/>
    <s v="Weekend"/>
    <n v="0.32432432432432434"/>
    <n v="0.53201970443349755"/>
    <n v="0.11822660098522167"/>
    <n v="15534"/>
    <s v="Leipzig Mobility"/>
  </r>
  <r>
    <s v="CUST_3036"/>
    <x v="1"/>
    <x v="1"/>
    <s v="Wednesday"/>
    <s v="No"/>
    <x v="1"/>
    <x v="1"/>
    <s v="NRW"/>
    <x v="4"/>
    <s v="Golf"/>
    <s v="Diesel"/>
    <x v="2"/>
    <s v="50+"/>
    <s v="Low"/>
    <x v="0"/>
    <x v="3"/>
    <s v="Sales_15"/>
    <n v="515"/>
    <n v="263"/>
    <n v="153"/>
    <n v="45"/>
    <s v="17.11"/>
    <n v="28715"/>
    <s v="10.91"/>
    <n v="24877"/>
    <n v="1292175"/>
    <n v="172710"/>
    <s v="Feb"/>
    <n v="2"/>
    <n v="2026"/>
    <s v="Weekday"/>
    <n v="0.29411764705882354"/>
    <n v="0.51067961165048548"/>
    <n v="8.7378640776699032E-2"/>
    <n v="3838"/>
    <s v="Rhein Auto Group"/>
  </r>
  <r>
    <s v="CUST_3037"/>
    <x v="21"/>
    <x v="0"/>
    <s v="Tuesday"/>
    <s v="No"/>
    <x v="3"/>
    <x v="3"/>
    <s v="Saxony"/>
    <x v="2"/>
    <s v="Q5"/>
    <s v="Petrol"/>
    <x v="0"/>
    <s v="36-50"/>
    <s v="Medium"/>
    <x v="1"/>
    <x v="1"/>
    <s v="Sales_17"/>
    <n v="206"/>
    <n v="123"/>
    <n v="81"/>
    <n v="28"/>
    <s v="22.76"/>
    <n v="44639"/>
    <s v="3.32"/>
    <n v="35365"/>
    <n v="1249892"/>
    <n v="259672"/>
    <s v="Feb"/>
    <n v="2"/>
    <n v="2026"/>
    <s v="Weekday"/>
    <n v="0.34567901234567899"/>
    <n v="0.59708737864077666"/>
    <n v="0.13592233009708737"/>
    <n v="9274"/>
    <s v="Saxon Wheels"/>
  </r>
  <r>
    <s v="CUST_3038"/>
    <x v="11"/>
    <x v="0"/>
    <s v="Wednesday"/>
    <s v="No"/>
    <x v="9"/>
    <x v="9"/>
    <s v="NRW"/>
    <x v="0"/>
    <s v="X3"/>
    <s v="Electric"/>
    <x v="0"/>
    <s v="18-25"/>
    <s v="Low"/>
    <x v="1"/>
    <x v="1"/>
    <s v="Sales_5"/>
    <n v="237"/>
    <n v="107"/>
    <n v="75"/>
    <n v="31"/>
    <s v="28.97"/>
    <n v="56434"/>
    <s v="2.16"/>
    <n v="40811"/>
    <n v="1749454"/>
    <n v="484313"/>
    <s v="Feb"/>
    <n v="2"/>
    <n v="2026"/>
    <s v="Weekday"/>
    <n v="0.41333333333333333"/>
    <n v="0.45147679324894513"/>
    <n v="0.13080168776371309"/>
    <n v="15623"/>
    <s v="Ruhr Auto Plaza"/>
  </r>
  <r>
    <s v="CUST_3039"/>
    <x v="13"/>
    <x v="0"/>
    <s v="Friday"/>
    <s v="No"/>
    <x v="5"/>
    <x v="5"/>
    <s v="Hamburg"/>
    <x v="2"/>
    <s v="Q5"/>
    <s v="Petrol"/>
    <x v="0"/>
    <s v="50+"/>
    <s v="High"/>
    <x v="1"/>
    <x v="3"/>
    <s v="Sales_8"/>
    <n v="239"/>
    <n v="113"/>
    <n v="87"/>
    <n v="23"/>
    <s v="20.35"/>
    <n v="51391"/>
    <s v="5.44"/>
    <n v="40850"/>
    <n v="1181993"/>
    <n v="242443"/>
    <s v="Feb"/>
    <n v="2"/>
    <n v="2026"/>
    <s v="Weekday"/>
    <n v="0.26436781609195403"/>
    <n v="0.47280334728033474"/>
    <n v="9.6234309623430964E-2"/>
    <n v="10541"/>
    <s v="Elbe Drive"/>
  </r>
  <r>
    <s v="CUST_3040"/>
    <x v="15"/>
    <x v="2"/>
    <s v="Thursday"/>
    <s v="No"/>
    <x v="9"/>
    <x v="9"/>
    <s v="NRW"/>
    <x v="1"/>
    <s v="Astra"/>
    <s v="Diesel"/>
    <x v="2"/>
    <s v="36-50"/>
    <s v="High"/>
    <x v="1"/>
    <x v="0"/>
    <s v="Sales_11"/>
    <n v="296"/>
    <n v="155"/>
    <n v="100"/>
    <n v="19"/>
    <s v="12.26"/>
    <n v="25978"/>
    <s v="10.93"/>
    <n v="23435"/>
    <n v="493582"/>
    <n v="48317"/>
    <s v="Feb"/>
    <n v="2"/>
    <n v="2026"/>
    <s v="Weekday"/>
    <n v="0.19"/>
    <n v="0.52364864864864868"/>
    <n v="6.4189189189189186E-2"/>
    <n v="2543"/>
    <s v="Ruhr Auto Plaza"/>
  </r>
  <r>
    <s v="CUST_3041"/>
    <x v="14"/>
    <x v="2"/>
    <s v="Friday"/>
    <s v="No"/>
    <x v="1"/>
    <x v="1"/>
    <s v="NRW"/>
    <x v="2"/>
    <s v="A3"/>
    <s v="Diesel"/>
    <x v="2"/>
    <s v="26-35"/>
    <s v="Medium"/>
    <x v="1"/>
    <x v="1"/>
    <s v="Sales_18"/>
    <n v="174"/>
    <n v="108"/>
    <n v="76"/>
    <n v="26"/>
    <s v="24.07"/>
    <n v="42772"/>
    <s v="5.7"/>
    <n v="34254"/>
    <n v="1112072"/>
    <n v="221468"/>
    <s v="Feb"/>
    <n v="2"/>
    <n v="2026"/>
    <s v="Weekday"/>
    <n v="0.34210526315789475"/>
    <n v="0.62068965517241381"/>
    <n v="0.14942528735632185"/>
    <n v="8518"/>
    <s v="Rhein Auto Group"/>
  </r>
  <r>
    <s v="CUST_3042"/>
    <x v="1"/>
    <x v="1"/>
    <s v="Wednesday"/>
    <s v="No"/>
    <x v="6"/>
    <x v="6"/>
    <s v="Saxony"/>
    <x v="2"/>
    <s v="Q3"/>
    <s v="Petrol"/>
    <x v="0"/>
    <s v="18-25"/>
    <s v="High"/>
    <x v="1"/>
    <x v="3"/>
    <s v="Sales_12"/>
    <n v="279"/>
    <n v="142"/>
    <n v="93"/>
    <n v="28"/>
    <s v="19.72"/>
    <n v="49638"/>
    <s v="6.66"/>
    <n v="37645"/>
    <n v="1389864"/>
    <n v="335804"/>
    <s v="Feb"/>
    <n v="2"/>
    <n v="2026"/>
    <s v="Weekday"/>
    <n v="0.30107526881720431"/>
    <n v="0.50896057347670254"/>
    <n v="0.1003584229390681"/>
    <n v="11993"/>
    <s v="Leipzig Mobility"/>
  </r>
  <r>
    <s v="CUST_3043"/>
    <x v="21"/>
    <x v="0"/>
    <s v="Tuesday"/>
    <s v="No"/>
    <x v="9"/>
    <x v="9"/>
    <s v="NRW"/>
    <x v="2"/>
    <s v="A4"/>
    <s v="Diesel"/>
    <x v="1"/>
    <s v="50+"/>
    <s v="Low"/>
    <x v="1"/>
    <x v="1"/>
    <s v="Sales_1"/>
    <n v="175"/>
    <n v="106"/>
    <n v="68"/>
    <n v="22"/>
    <s v="20.75"/>
    <n v="53758"/>
    <s v="3.54"/>
    <n v="42463"/>
    <n v="1182676"/>
    <n v="248490"/>
    <s v="Feb"/>
    <n v="2"/>
    <n v="2026"/>
    <s v="Weekday"/>
    <n v="0.3235294117647059"/>
    <n v="0.60571428571428576"/>
    <n v="0.12571428571428572"/>
    <n v="11295"/>
    <s v="Ruhr Auto Plaza"/>
  </r>
  <r>
    <s v="CUST_3044"/>
    <x v="26"/>
    <x v="1"/>
    <s v="Friday"/>
    <s v="No"/>
    <x v="1"/>
    <x v="1"/>
    <s v="NRW"/>
    <x v="2"/>
    <s v="Q3"/>
    <s v="Diesel"/>
    <x v="0"/>
    <s v="50+"/>
    <s v="Medium"/>
    <x v="0"/>
    <x v="3"/>
    <s v="Sales_17"/>
    <n v="171"/>
    <n v="88"/>
    <n v="61"/>
    <n v="19"/>
    <s v="21.59"/>
    <n v="40596"/>
    <s v="6.34"/>
    <n v="32995"/>
    <n v="771324"/>
    <n v="144419"/>
    <s v="Feb"/>
    <n v="2"/>
    <n v="2026"/>
    <s v="Weekday"/>
    <n v="0.31147540983606559"/>
    <n v="0.51461988304093564"/>
    <n v="0.1111111111111111"/>
    <n v="7601"/>
    <s v="Rhein Auto Group"/>
  </r>
  <r>
    <s v="CUST_3045"/>
    <x v="22"/>
    <x v="3"/>
    <s v="Tuesday"/>
    <s v="No"/>
    <x v="8"/>
    <x v="8"/>
    <s v="Baden-WÃ¼rttemberg"/>
    <x v="3"/>
    <s v="EQE"/>
    <s v="Hybrid"/>
    <x v="1"/>
    <s v="50+"/>
    <s v="High"/>
    <x v="0"/>
    <x v="3"/>
    <s v="Sales_9"/>
    <n v="217"/>
    <n v="106"/>
    <n v="83"/>
    <n v="27"/>
    <s v="25.47"/>
    <n v="66166"/>
    <s v="3.61"/>
    <n v="51121"/>
    <n v="1786482"/>
    <n v="406215"/>
    <s v="Feb"/>
    <n v="2"/>
    <n v="2026"/>
    <s v="Weekday"/>
    <n v="0.3253012048192771"/>
    <n v="0.48847926267281105"/>
    <n v="0.12442396313364056"/>
    <n v="15045"/>
    <s v="Stuttgart Auto Center"/>
  </r>
  <r>
    <s v="CUST_3046"/>
    <x v="2"/>
    <x v="2"/>
    <s v="Monday"/>
    <s v="No"/>
    <x v="0"/>
    <x v="0"/>
    <s v="Hesse"/>
    <x v="0"/>
    <s v="i4"/>
    <s v="Diesel"/>
    <x v="1"/>
    <s v="50+"/>
    <s v="Low"/>
    <x v="0"/>
    <x v="0"/>
    <s v="Sales_16"/>
    <n v="145"/>
    <n v="67"/>
    <n v="45"/>
    <n v="17"/>
    <s v="25.37"/>
    <n v="54010"/>
    <s v="5.62"/>
    <n v="42123"/>
    <n v="918170"/>
    <n v="202079"/>
    <s v="Feb"/>
    <n v="2"/>
    <n v="2026"/>
    <s v="Weekday"/>
    <n v="0.37777777777777777"/>
    <n v="0.46206896551724136"/>
    <n v="0.11724137931034483"/>
    <n v="11887"/>
    <s v="Main Auto Hub"/>
  </r>
  <r>
    <s v="CUST_3047"/>
    <x v="4"/>
    <x v="2"/>
    <s v="Wednesday"/>
    <s v="No"/>
    <x v="4"/>
    <x v="4"/>
    <s v="Berlin"/>
    <x v="2"/>
    <s v="Q3"/>
    <s v="Electric"/>
    <x v="0"/>
    <s v="50+"/>
    <s v="Low"/>
    <x v="0"/>
    <x v="0"/>
    <s v="Sales_7"/>
    <n v="289"/>
    <n v="153"/>
    <n v="110"/>
    <n v="35"/>
    <s v="22.88"/>
    <n v="42194"/>
    <s v="5.67"/>
    <n v="33668"/>
    <n v="1476790"/>
    <n v="298410"/>
    <s v="Feb"/>
    <n v="2"/>
    <n v="2026"/>
    <s v="Weekday"/>
    <n v="0.31818181818181818"/>
    <n v="0.52941176470588236"/>
    <n v="0.12110726643598616"/>
    <n v="8526"/>
    <s v="Autohaus Berlin"/>
  </r>
  <r>
    <s v="CUST_3048"/>
    <x v="1"/>
    <x v="1"/>
    <s v="Wednesday"/>
    <s v="No"/>
    <x v="8"/>
    <x v="8"/>
    <s v="Baden-WÃ¼rttemberg"/>
    <x v="2"/>
    <s v="A3"/>
    <s v="Electric"/>
    <x v="2"/>
    <s v="50+"/>
    <s v="Medium"/>
    <x v="1"/>
    <x v="3"/>
    <s v="Sales_12"/>
    <n v="203"/>
    <n v="107"/>
    <n v="83"/>
    <n v="25"/>
    <s v="23.36"/>
    <n v="44162"/>
    <s v="6.27"/>
    <n v="33795"/>
    <n v="1104050"/>
    <n v="259175"/>
    <s v="Feb"/>
    <n v="2"/>
    <n v="2026"/>
    <s v="Weekday"/>
    <n v="0.30120481927710846"/>
    <n v="0.52709359605911332"/>
    <n v="0.12315270935960591"/>
    <n v="10367"/>
    <s v="Stuttgart Auto Center"/>
  </r>
  <r>
    <s v="CUST_3049"/>
    <x v="10"/>
    <x v="1"/>
    <s v="Monday"/>
    <s v="No"/>
    <x v="6"/>
    <x v="6"/>
    <s v="Saxony"/>
    <x v="2"/>
    <s v="e-tron"/>
    <s v="Petrol"/>
    <x v="0"/>
    <s v="18-25"/>
    <s v="High"/>
    <x v="0"/>
    <x v="0"/>
    <s v="Sales_12"/>
    <n v="255"/>
    <n v="153"/>
    <n v="107"/>
    <n v="32"/>
    <s v="20.92"/>
    <n v="47503"/>
    <s v="6.67"/>
    <n v="36933"/>
    <n v="1520096"/>
    <n v="338240"/>
    <s v="Feb"/>
    <n v="2"/>
    <n v="2026"/>
    <s v="Weekday"/>
    <n v="0.29906542056074764"/>
    <n v="0.6"/>
    <n v="0.12549019607843137"/>
    <n v="10570"/>
    <s v="Leipzig Mobility"/>
  </r>
  <r>
    <s v="CUST_3050"/>
    <x v="11"/>
    <x v="0"/>
    <s v="Wednesday"/>
    <s v="No"/>
    <x v="6"/>
    <x v="6"/>
    <s v="Saxony"/>
    <x v="3"/>
    <s v="EQE"/>
    <s v="Electric"/>
    <x v="1"/>
    <s v="18-25"/>
    <s v="High"/>
    <x v="0"/>
    <x v="0"/>
    <s v="Sales_20"/>
    <n v="274"/>
    <n v="143"/>
    <n v="96"/>
    <n v="29"/>
    <s v="20.28"/>
    <n v="53859"/>
    <s v="2.15"/>
    <n v="39085"/>
    <n v="1561911"/>
    <n v="428446"/>
    <s v="Feb"/>
    <n v="2"/>
    <n v="2026"/>
    <s v="Weekday"/>
    <n v="0.30208333333333331"/>
    <n v="0.52189781021897808"/>
    <n v="0.10583941605839416"/>
    <n v="14774"/>
    <s v="Leipzig Mobility"/>
  </r>
  <r>
    <s v="CUST_3051"/>
    <x v="17"/>
    <x v="2"/>
    <s v="Sunday"/>
    <s v="Yes"/>
    <x v="2"/>
    <x v="2"/>
    <s v="Lower Saxony"/>
    <x v="4"/>
    <s v="Passat"/>
    <s v="Electric"/>
    <x v="1"/>
    <s v="18-25"/>
    <s v="Low"/>
    <x v="1"/>
    <x v="0"/>
    <s v="Sales_8"/>
    <n v="260"/>
    <n v="148"/>
    <n v="96"/>
    <n v="17"/>
    <s v="11.49"/>
    <n v="30595"/>
    <s v="11.13"/>
    <n v="27333"/>
    <n v="520115"/>
    <n v="55454"/>
    <s v="Feb"/>
    <n v="2"/>
    <n v="2026"/>
    <s v="Weekend"/>
    <n v="0.17708333333333334"/>
    <n v="0.56923076923076921"/>
    <n v="6.5384615384615388E-2"/>
    <n v="3262"/>
    <s v="Hannover Cars"/>
  </r>
  <r>
    <s v="CUST_3052"/>
    <x v="4"/>
    <x v="2"/>
    <s v="Wednesday"/>
    <s v="No"/>
    <x v="8"/>
    <x v="8"/>
    <s v="Baden-WÃ¼rttemberg"/>
    <x v="3"/>
    <s v="E-Class"/>
    <s v="Electric"/>
    <x v="1"/>
    <s v="36-50"/>
    <s v="Low"/>
    <x v="1"/>
    <x v="2"/>
    <s v="Sales_10"/>
    <n v="193"/>
    <n v="89"/>
    <n v="70"/>
    <n v="24"/>
    <s v="26.97"/>
    <n v="67095"/>
    <s v="3.17"/>
    <n v="49415"/>
    <n v="1610280"/>
    <n v="424320"/>
    <s v="Feb"/>
    <n v="2"/>
    <n v="2026"/>
    <s v="Weekday"/>
    <n v="0.34285714285714286"/>
    <n v="0.46113989637305697"/>
    <n v="0.12435233160621761"/>
    <n v="17680"/>
    <s v="Stuttgart Auto Center"/>
  </r>
  <r>
    <s v="CUST_3053"/>
    <x v="9"/>
    <x v="0"/>
    <s v="Sunday"/>
    <s v="Yes"/>
    <x v="7"/>
    <x v="7"/>
    <s v="Bavaria"/>
    <x v="3"/>
    <s v="GLC"/>
    <s v="Electric"/>
    <x v="0"/>
    <s v="18-25"/>
    <s v="Medium"/>
    <x v="0"/>
    <x v="0"/>
    <s v="Sales_19"/>
    <n v="197"/>
    <n v="93"/>
    <n v="67"/>
    <n v="25"/>
    <s v="26.88"/>
    <n v="52176"/>
    <s v="2.01"/>
    <n v="39117"/>
    <n v="1304400"/>
    <n v="326475"/>
    <s v="Feb"/>
    <n v="2"/>
    <n v="2026"/>
    <s v="Weekend"/>
    <n v="0.37313432835820898"/>
    <n v="0.4720812182741117"/>
    <n v="0.12690355329949238"/>
    <n v="13059"/>
    <s v="Bavaria Motors"/>
  </r>
  <r>
    <s v="CUST_3054"/>
    <x v="13"/>
    <x v="0"/>
    <s v="Friday"/>
    <s v="No"/>
    <x v="2"/>
    <x v="2"/>
    <s v="Lower Saxony"/>
    <x v="0"/>
    <s v="5 Series"/>
    <s v="Petrol"/>
    <x v="1"/>
    <s v="26-35"/>
    <s v="Low"/>
    <x v="1"/>
    <x v="0"/>
    <s v="Sales_8"/>
    <n v="246"/>
    <n v="131"/>
    <n v="92"/>
    <n v="32"/>
    <s v="24.43"/>
    <n v="67669"/>
    <s v="5.65"/>
    <n v="49450"/>
    <n v="2165408"/>
    <n v="583008"/>
    <s v="Feb"/>
    <n v="2"/>
    <n v="2026"/>
    <s v="Weekday"/>
    <n v="0.34782608695652173"/>
    <n v="0.53252032520325199"/>
    <n v="0.13008130081300814"/>
    <n v="18219"/>
    <s v="Hannover Cars"/>
  </r>
  <r>
    <s v="CUST_3055"/>
    <x v="1"/>
    <x v="1"/>
    <s v="Wednesday"/>
    <s v="No"/>
    <x v="3"/>
    <x v="3"/>
    <s v="Saxony"/>
    <x v="2"/>
    <s v="Q3"/>
    <s v="Petrol"/>
    <x v="0"/>
    <s v="26-35"/>
    <s v="Low"/>
    <x v="0"/>
    <x v="1"/>
    <s v="Sales_17"/>
    <n v="172"/>
    <n v="90"/>
    <n v="66"/>
    <n v="20"/>
    <s v="22.22"/>
    <n v="50506"/>
    <s v="3.6"/>
    <n v="39290"/>
    <n v="1010120"/>
    <n v="224320"/>
    <s v="Feb"/>
    <n v="2"/>
    <n v="2026"/>
    <s v="Weekday"/>
    <n v="0.30303030303030304"/>
    <n v="0.52325581395348841"/>
    <n v="0.11627906976744186"/>
    <n v="11216"/>
    <s v="Saxon Wheels"/>
  </r>
  <r>
    <s v="CUST_3056"/>
    <x v="24"/>
    <x v="1"/>
    <s v="Thursday"/>
    <s v="No"/>
    <x v="8"/>
    <x v="8"/>
    <s v="Baden-WÃ¼rttemberg"/>
    <x v="2"/>
    <s v="Q5"/>
    <s v="Hybrid"/>
    <x v="0"/>
    <s v="26-35"/>
    <s v="Medium"/>
    <x v="1"/>
    <x v="0"/>
    <s v="Sales_6"/>
    <n v="211"/>
    <n v="131"/>
    <n v="99"/>
    <n v="31"/>
    <s v="23.66"/>
    <n v="49066"/>
    <s v="4.17"/>
    <n v="38627"/>
    <n v="1521046"/>
    <n v="323609"/>
    <s v="Feb"/>
    <n v="2"/>
    <n v="2026"/>
    <s v="Weekday"/>
    <n v="0.31313131313131315"/>
    <n v="0.62085308056872035"/>
    <n v="0.14691943127962084"/>
    <n v="10439"/>
    <s v="Stuttgart Auto Center"/>
  </r>
  <r>
    <s v="CUST_3057"/>
    <x v="8"/>
    <x v="3"/>
    <s v="Wednesday"/>
    <s v="No"/>
    <x v="3"/>
    <x v="3"/>
    <s v="Saxony"/>
    <x v="3"/>
    <s v="GLE"/>
    <s v="Electric"/>
    <x v="0"/>
    <s v="36-50"/>
    <s v="High"/>
    <x v="1"/>
    <x v="3"/>
    <s v="Sales_1"/>
    <n v="241"/>
    <n v="112"/>
    <n v="82"/>
    <n v="24"/>
    <s v="21.43"/>
    <n v="56075"/>
    <s v="3.08"/>
    <n v="40751"/>
    <n v="1345800"/>
    <n v="367776"/>
    <s v="Feb"/>
    <n v="2"/>
    <n v="2026"/>
    <s v="Weekday"/>
    <n v="0.29268292682926828"/>
    <n v="0.46473029045643155"/>
    <n v="9.9585062240663894E-2"/>
    <n v="15324"/>
    <s v="Saxon Wheels"/>
  </r>
  <r>
    <s v="CUST_3058"/>
    <x v="20"/>
    <x v="0"/>
    <s v="Thursday"/>
    <s v="No"/>
    <x v="6"/>
    <x v="6"/>
    <s v="Saxony"/>
    <x v="0"/>
    <s v="X3"/>
    <s v="Electric"/>
    <x v="0"/>
    <s v="36-50"/>
    <s v="High"/>
    <x v="0"/>
    <x v="3"/>
    <s v="Sales_12"/>
    <n v="173"/>
    <n v="78"/>
    <n v="58"/>
    <n v="22"/>
    <s v="28.21"/>
    <n v="61980"/>
    <s v="2.58"/>
    <n v="43650"/>
    <n v="1363560"/>
    <n v="403260"/>
    <s v="Feb"/>
    <n v="2"/>
    <n v="2026"/>
    <s v="Weekday"/>
    <n v="0.37931034482758619"/>
    <n v="0.45086705202312138"/>
    <n v="0.12716763005780346"/>
    <n v="18330"/>
    <s v="Leipzig Mobility"/>
  </r>
  <r>
    <s v="CUST_3059"/>
    <x v="6"/>
    <x v="2"/>
    <s v="Saturday"/>
    <s v="Yes"/>
    <x v="2"/>
    <x v="2"/>
    <s v="Lower Saxony"/>
    <x v="3"/>
    <s v="C-Class"/>
    <s v="Diesel"/>
    <x v="1"/>
    <s v="36-50"/>
    <s v="Low"/>
    <x v="0"/>
    <x v="1"/>
    <s v="Sales_5"/>
    <n v="270"/>
    <n v="148"/>
    <n v="116"/>
    <n v="35"/>
    <s v="23.65"/>
    <n v="55196"/>
    <s v="3.27"/>
    <n v="39995"/>
    <n v="1931860"/>
    <n v="532035"/>
    <s v="Feb"/>
    <n v="2"/>
    <n v="2026"/>
    <s v="Weekend"/>
    <n v="0.30172413793103448"/>
    <n v="0.54814814814814816"/>
    <n v="0.12962962962962962"/>
    <n v="15201"/>
    <s v="Hannover Cars"/>
  </r>
  <r>
    <s v="CUST_3060"/>
    <x v="9"/>
    <x v="0"/>
    <s v="Sunday"/>
    <s v="Yes"/>
    <x v="8"/>
    <x v="8"/>
    <s v="Baden-WÃ¼rttemberg"/>
    <x v="0"/>
    <s v="3 Series"/>
    <s v="Hybrid"/>
    <x v="1"/>
    <s v="18-25"/>
    <s v="High"/>
    <x v="1"/>
    <x v="1"/>
    <s v="Sales_17"/>
    <n v="144"/>
    <n v="67"/>
    <n v="52"/>
    <n v="18"/>
    <s v="26.87"/>
    <n v="56663"/>
    <s v="5.22"/>
    <n v="40680"/>
    <n v="1019934"/>
    <n v="287694"/>
    <s v="Feb"/>
    <n v="2"/>
    <n v="2026"/>
    <s v="Weekend"/>
    <n v="0.34615384615384615"/>
    <n v="0.46527777777777779"/>
    <n v="0.125"/>
    <n v="15983"/>
    <s v="Stuttgart Auto Center"/>
  </r>
  <r>
    <s v="CUST_3061"/>
    <x v="24"/>
    <x v="1"/>
    <s v="Thursday"/>
    <s v="No"/>
    <x v="3"/>
    <x v="3"/>
    <s v="Saxony"/>
    <x v="2"/>
    <s v="Q5"/>
    <s v="Diesel"/>
    <x v="0"/>
    <s v="18-25"/>
    <s v="High"/>
    <x v="1"/>
    <x v="2"/>
    <s v="Sales_3"/>
    <n v="199"/>
    <n v="97"/>
    <n v="64"/>
    <n v="22"/>
    <s v="22.68"/>
    <n v="52892"/>
    <s v="5.2"/>
    <n v="39670"/>
    <n v="1163624"/>
    <n v="290884"/>
    <s v="Feb"/>
    <n v="2"/>
    <n v="2026"/>
    <s v="Weekday"/>
    <n v="0.34375"/>
    <n v="0.48743718592964824"/>
    <n v="0.11055276381909548"/>
    <n v="13222"/>
    <s v="Saxon Wheels"/>
  </r>
  <r>
    <s v="CUST_3062"/>
    <x v="23"/>
    <x v="2"/>
    <s v="Tuesday"/>
    <s v="No"/>
    <x v="3"/>
    <x v="3"/>
    <s v="Saxony"/>
    <x v="0"/>
    <s v="i4"/>
    <s v="Electric"/>
    <x v="1"/>
    <s v="50+"/>
    <s v="High"/>
    <x v="0"/>
    <x v="0"/>
    <s v="Sales_5"/>
    <n v="216"/>
    <n v="122"/>
    <n v="97"/>
    <n v="29"/>
    <s v="23.77"/>
    <n v="68464"/>
    <s v="3.22"/>
    <n v="49386"/>
    <n v="1985456"/>
    <n v="553262"/>
    <s v="Feb"/>
    <n v="2"/>
    <n v="2026"/>
    <s v="Weekday"/>
    <n v="0.29896907216494845"/>
    <n v="0.56481481481481477"/>
    <n v="0.13425925925925927"/>
    <n v="19078"/>
    <s v="Saxon Wheels"/>
  </r>
  <r>
    <s v="CUST_3063"/>
    <x v="8"/>
    <x v="3"/>
    <s v="Wednesday"/>
    <s v="No"/>
    <x v="7"/>
    <x v="7"/>
    <s v="Bavaria"/>
    <x v="3"/>
    <s v="EQE"/>
    <s v="Petrol"/>
    <x v="1"/>
    <s v="36-50"/>
    <s v="Medium"/>
    <x v="0"/>
    <x v="2"/>
    <s v="Sales_4"/>
    <n v="191"/>
    <n v="85"/>
    <n v="57"/>
    <n v="27"/>
    <s v="31.76"/>
    <n v="56963"/>
    <s v="5.47"/>
    <n v="44537"/>
    <n v="1538001"/>
    <n v="335502"/>
    <s v="Feb"/>
    <n v="2"/>
    <n v="2026"/>
    <s v="Weekday"/>
    <n v="0.47368421052631576"/>
    <n v="0.44502617801047123"/>
    <n v="0.14136125654450263"/>
    <n v="12426"/>
    <s v="Bavaria Motors"/>
  </r>
  <r>
    <s v="CUST_3064"/>
    <x v="26"/>
    <x v="1"/>
    <s v="Friday"/>
    <s v="No"/>
    <x v="3"/>
    <x v="3"/>
    <s v="Saxony"/>
    <x v="4"/>
    <s v="T-Roc"/>
    <s v="Diesel"/>
    <x v="0"/>
    <s v="18-25"/>
    <s v="Low"/>
    <x v="0"/>
    <x v="1"/>
    <s v="Sales_18"/>
    <n v="319"/>
    <n v="152"/>
    <n v="95"/>
    <n v="25"/>
    <s v="16.45"/>
    <n v="27180"/>
    <s v="6.49"/>
    <n v="23624"/>
    <n v="679500"/>
    <n v="88900"/>
    <s v="Feb"/>
    <n v="2"/>
    <n v="2026"/>
    <s v="Weekday"/>
    <n v="0.26315789473684209"/>
    <n v="0.47648902821316613"/>
    <n v="7.8369905956112859E-2"/>
    <n v="3556"/>
    <s v="Saxon Wheels"/>
  </r>
  <r>
    <s v="CUST_3065"/>
    <x v="8"/>
    <x v="3"/>
    <s v="Wednesday"/>
    <s v="No"/>
    <x v="8"/>
    <x v="8"/>
    <s v="Baden-WÃ¼rttemberg"/>
    <x v="3"/>
    <s v="E-Class"/>
    <s v="Electric"/>
    <x v="1"/>
    <s v="26-35"/>
    <s v="High"/>
    <x v="0"/>
    <x v="1"/>
    <s v="Sales_4"/>
    <n v="180"/>
    <n v="83"/>
    <n v="55"/>
    <n v="23"/>
    <s v="27.71"/>
    <n v="55449"/>
    <s v="3.0"/>
    <n v="40341"/>
    <n v="1275327"/>
    <n v="347484"/>
    <s v="Feb"/>
    <n v="2"/>
    <n v="2026"/>
    <s v="Weekday"/>
    <n v="0.41818181818181815"/>
    <n v="0.46111111111111114"/>
    <n v="0.12777777777777777"/>
    <n v="15108"/>
    <s v="Stuttgart Auto Center"/>
  </r>
  <r>
    <s v="CUST_3066"/>
    <x v="6"/>
    <x v="2"/>
    <s v="Saturday"/>
    <s v="Yes"/>
    <x v="9"/>
    <x v="9"/>
    <s v="NRW"/>
    <x v="3"/>
    <s v="EQE"/>
    <s v="Electric"/>
    <x v="1"/>
    <s v="50+"/>
    <s v="High"/>
    <x v="0"/>
    <x v="1"/>
    <s v="Sales_6"/>
    <n v="173"/>
    <n v="76"/>
    <n v="59"/>
    <n v="18"/>
    <s v="23.68"/>
    <n v="66889"/>
    <s v="2.82"/>
    <n v="51662"/>
    <n v="1204002"/>
    <n v="274086"/>
    <s v="Feb"/>
    <n v="2"/>
    <n v="2026"/>
    <s v="Weekend"/>
    <n v="0.30508474576271188"/>
    <n v="0.43930635838150289"/>
    <n v="0.10404624277456648"/>
    <n v="15227"/>
    <s v="Ruhr Auto Plaza"/>
  </r>
  <r>
    <s v="CUST_3067"/>
    <x v="13"/>
    <x v="0"/>
    <s v="Friday"/>
    <s v="No"/>
    <x v="3"/>
    <x v="3"/>
    <s v="Saxony"/>
    <x v="4"/>
    <s v="T-Roc"/>
    <s v="Diesel"/>
    <x v="0"/>
    <s v="36-50"/>
    <s v="High"/>
    <x v="0"/>
    <x v="1"/>
    <s v="Sales_5"/>
    <n v="505"/>
    <n v="234"/>
    <n v="155"/>
    <n v="33"/>
    <s v="14.1"/>
    <n v="27331"/>
    <s v="6.86"/>
    <n v="24435"/>
    <n v="901923"/>
    <n v="95568"/>
    <s v="Feb"/>
    <n v="2"/>
    <n v="2026"/>
    <s v="Weekday"/>
    <n v="0.2129032258064516"/>
    <n v="0.46336633663366339"/>
    <n v="6.5346534653465349E-2"/>
    <n v="2896"/>
    <s v="Saxon Wheels"/>
  </r>
  <r>
    <s v="CUST_3068"/>
    <x v="27"/>
    <x v="3"/>
    <s v="Sunday"/>
    <s v="Yes"/>
    <x v="8"/>
    <x v="8"/>
    <s v="Baden-WÃ¼rttemberg"/>
    <x v="3"/>
    <s v="E-Class"/>
    <s v="Petrol"/>
    <x v="1"/>
    <s v="18-25"/>
    <s v="High"/>
    <x v="1"/>
    <x v="1"/>
    <s v="Sales_13"/>
    <n v="242"/>
    <n v="133"/>
    <n v="89"/>
    <n v="37"/>
    <s v="27.82"/>
    <n v="58221"/>
    <s v="3.56"/>
    <n v="44656"/>
    <n v="2154177"/>
    <n v="501905"/>
    <s v="Feb"/>
    <n v="2"/>
    <n v="2026"/>
    <s v="Weekend"/>
    <n v="0.4157303370786517"/>
    <n v="0.54958677685950408"/>
    <n v="0.15289256198347106"/>
    <n v="13565"/>
    <s v="Stuttgart Auto Center"/>
  </r>
  <r>
    <s v="CUST_3069"/>
    <x v="2"/>
    <x v="2"/>
    <s v="Monday"/>
    <s v="No"/>
    <x v="4"/>
    <x v="4"/>
    <s v="Berlin"/>
    <x v="4"/>
    <s v="ID.4"/>
    <s v="Diesel"/>
    <x v="0"/>
    <s v="18-25"/>
    <s v="Low"/>
    <x v="1"/>
    <x v="3"/>
    <s v="Sales_14"/>
    <n v="349"/>
    <n v="189"/>
    <n v="115"/>
    <n v="27"/>
    <s v="14.29"/>
    <n v="35047"/>
    <s v="6.81"/>
    <n v="30885"/>
    <n v="946269"/>
    <n v="112374"/>
    <s v="Feb"/>
    <n v="2"/>
    <n v="2026"/>
    <s v="Weekday"/>
    <n v="0.23478260869565218"/>
    <n v="0.54154727793696278"/>
    <n v="7.7363896848137534E-2"/>
    <n v="4162"/>
    <s v="Autohaus Berlin"/>
  </r>
  <r>
    <s v="CUST_3070"/>
    <x v="22"/>
    <x v="3"/>
    <s v="Tuesday"/>
    <s v="No"/>
    <x v="7"/>
    <x v="7"/>
    <s v="Bavaria"/>
    <x v="0"/>
    <s v="X5"/>
    <s v="Electric"/>
    <x v="0"/>
    <s v="18-25"/>
    <s v="Medium"/>
    <x v="0"/>
    <x v="2"/>
    <s v="Sales_7"/>
    <n v="224"/>
    <n v="115"/>
    <n v="84"/>
    <n v="39"/>
    <s v="33.91"/>
    <n v="55468"/>
    <s v="4.68"/>
    <n v="41727"/>
    <n v="2163252"/>
    <n v="535899"/>
    <s v="Feb"/>
    <n v="2"/>
    <n v="2026"/>
    <s v="Weekday"/>
    <n v="0.4642857142857143"/>
    <n v="0.5133928571428571"/>
    <n v="0.17410714285714285"/>
    <n v="13741"/>
    <s v="Bavaria Motors"/>
  </r>
  <r>
    <s v="CUST_3071"/>
    <x v="16"/>
    <x v="1"/>
    <s v="Tuesday"/>
    <s v="No"/>
    <x v="7"/>
    <x v="7"/>
    <s v="Bavaria"/>
    <x v="3"/>
    <s v="E-Class"/>
    <s v="Petrol"/>
    <x v="1"/>
    <s v="36-50"/>
    <s v="Medium"/>
    <x v="0"/>
    <x v="2"/>
    <s v="Sales_14"/>
    <n v="264"/>
    <n v="135"/>
    <n v="95"/>
    <n v="43"/>
    <s v="31.85"/>
    <n v="51700"/>
    <s v="3.23"/>
    <n v="37400"/>
    <n v="2223100"/>
    <n v="614900"/>
    <s v="Feb"/>
    <n v="2"/>
    <n v="2026"/>
    <s v="Weekday"/>
    <n v="0.45263157894736844"/>
    <n v="0.51136363636363635"/>
    <n v="0.16287878787878787"/>
    <n v="14300"/>
    <s v="Bavaria Motors"/>
  </r>
  <r>
    <s v="CUST_3072"/>
    <x v="8"/>
    <x v="3"/>
    <s v="Wednesday"/>
    <s v="No"/>
    <x v="3"/>
    <x v="3"/>
    <s v="Saxony"/>
    <x v="4"/>
    <s v="Tiguan"/>
    <s v="Hybrid"/>
    <x v="0"/>
    <s v="36-50"/>
    <s v="Medium"/>
    <x v="1"/>
    <x v="2"/>
    <s v="Sales_11"/>
    <n v="350"/>
    <n v="169"/>
    <n v="120"/>
    <n v="34"/>
    <s v="20.12"/>
    <n v="31080"/>
    <s v="10.05"/>
    <n v="27916"/>
    <n v="1056720"/>
    <n v="107576"/>
    <s v="Feb"/>
    <n v="2"/>
    <n v="2026"/>
    <s v="Weekday"/>
    <n v="0.28333333333333333"/>
    <n v="0.48285714285714287"/>
    <n v="9.7142857142857142E-2"/>
    <n v="3164"/>
    <s v="Saxon Wheels"/>
  </r>
  <r>
    <s v="CUST_3073"/>
    <x v="27"/>
    <x v="3"/>
    <s v="Sunday"/>
    <s v="Yes"/>
    <x v="6"/>
    <x v="6"/>
    <s v="Saxony"/>
    <x v="2"/>
    <s v="Q5"/>
    <s v="Electric"/>
    <x v="0"/>
    <s v="18-25"/>
    <s v="Medium"/>
    <x v="0"/>
    <x v="1"/>
    <s v="Sales_5"/>
    <n v="278"/>
    <n v="159"/>
    <n v="113"/>
    <n v="39"/>
    <s v="24.53"/>
    <n v="52657"/>
    <s v="6.91"/>
    <n v="39814"/>
    <n v="2053623"/>
    <n v="500877"/>
    <s v="Feb"/>
    <n v="2"/>
    <n v="2026"/>
    <s v="Weekend"/>
    <n v="0.34513274336283184"/>
    <n v="0.57194244604316546"/>
    <n v="0.14028776978417265"/>
    <n v="12843"/>
    <s v="Leipzig Mobility"/>
  </r>
  <r>
    <s v="CUST_3074"/>
    <x v="25"/>
    <x v="3"/>
    <s v="Friday"/>
    <s v="No"/>
    <x v="6"/>
    <x v="6"/>
    <s v="Saxony"/>
    <x v="2"/>
    <s v="A3"/>
    <s v="Petrol"/>
    <x v="2"/>
    <s v="50+"/>
    <s v="High"/>
    <x v="1"/>
    <x v="0"/>
    <s v="Sales_16"/>
    <n v="221"/>
    <n v="103"/>
    <n v="72"/>
    <n v="18"/>
    <s v="17.48"/>
    <n v="41793"/>
    <s v="6.95"/>
    <n v="32390"/>
    <n v="752274"/>
    <n v="169254"/>
    <s v="Feb"/>
    <n v="2"/>
    <n v="2026"/>
    <s v="Weekday"/>
    <n v="0.25"/>
    <n v="0.4660633484162896"/>
    <n v="8.1447963800904979E-2"/>
    <n v="9403"/>
    <s v="Leipzig Mobility"/>
  </r>
  <r>
    <s v="CUST_3075"/>
    <x v="12"/>
    <x v="3"/>
    <s v="Thursday"/>
    <s v="No"/>
    <x v="4"/>
    <x v="4"/>
    <s v="Berlin"/>
    <x v="2"/>
    <s v="Q3"/>
    <s v="Electric"/>
    <x v="0"/>
    <s v="36-50"/>
    <s v="High"/>
    <x v="0"/>
    <x v="1"/>
    <s v="Sales_15"/>
    <n v="248"/>
    <n v="123"/>
    <n v="85"/>
    <n v="30"/>
    <s v="24.39"/>
    <n v="42550"/>
    <s v="3.09"/>
    <n v="33220"/>
    <n v="1276500"/>
    <n v="279900"/>
    <s v="Feb"/>
    <n v="2"/>
    <n v="2026"/>
    <s v="Weekday"/>
    <n v="0.35294117647058826"/>
    <n v="0.49596774193548387"/>
    <n v="0.12096774193548387"/>
    <n v="9330"/>
    <s v="Autohaus Berlin"/>
  </r>
  <r>
    <s v="CUST_3076"/>
    <x v="21"/>
    <x v="0"/>
    <s v="Tuesday"/>
    <s v="No"/>
    <x v="9"/>
    <x v="9"/>
    <s v="NRW"/>
    <x v="3"/>
    <s v="C-Class"/>
    <s v="Hybrid"/>
    <x v="1"/>
    <s v="50+"/>
    <s v="Low"/>
    <x v="0"/>
    <x v="2"/>
    <s v="Sales_12"/>
    <n v="186"/>
    <n v="97"/>
    <n v="70"/>
    <n v="28"/>
    <s v="28.87"/>
    <n v="70046"/>
    <s v="2.53"/>
    <n v="50691"/>
    <n v="1961288"/>
    <n v="541940"/>
    <s v="Feb"/>
    <n v="2"/>
    <n v="2026"/>
    <s v="Weekday"/>
    <n v="0.4"/>
    <n v="0.521505376344086"/>
    <n v="0.15053763440860216"/>
    <n v="19355"/>
    <s v="Ruhr Auto Plaza"/>
  </r>
  <r>
    <s v="CUST_3077"/>
    <x v="24"/>
    <x v="1"/>
    <s v="Thursday"/>
    <s v="No"/>
    <x v="4"/>
    <x v="4"/>
    <s v="Berlin"/>
    <x v="2"/>
    <s v="A4"/>
    <s v="Diesel"/>
    <x v="1"/>
    <s v="26-35"/>
    <s v="Low"/>
    <x v="1"/>
    <x v="3"/>
    <s v="Sales_16"/>
    <n v="312"/>
    <n v="186"/>
    <n v="142"/>
    <n v="42"/>
    <s v="22.58"/>
    <n v="40148"/>
    <s v="6.29"/>
    <n v="30138"/>
    <n v="1686216"/>
    <n v="420420"/>
    <s v="Feb"/>
    <n v="2"/>
    <n v="2026"/>
    <s v="Weekday"/>
    <n v="0.29577464788732394"/>
    <n v="0.59615384615384615"/>
    <n v="0.13461538461538461"/>
    <n v="10010"/>
    <s v="Autohaus Berlin"/>
  </r>
  <r>
    <s v="CUST_3078"/>
    <x v="1"/>
    <x v="1"/>
    <s v="Wednesday"/>
    <s v="No"/>
    <x v="1"/>
    <x v="1"/>
    <s v="NRW"/>
    <x v="3"/>
    <s v="GLC"/>
    <s v="Petrol"/>
    <x v="0"/>
    <s v="36-50"/>
    <s v="Low"/>
    <x v="0"/>
    <x v="3"/>
    <s v="Sales_7"/>
    <n v="201"/>
    <n v="103"/>
    <n v="74"/>
    <n v="24"/>
    <s v="23.3"/>
    <n v="49872"/>
    <s v="5.79"/>
    <n v="36916"/>
    <n v="1196928"/>
    <n v="310944"/>
    <s v="Feb"/>
    <n v="2"/>
    <n v="2026"/>
    <s v="Weekday"/>
    <n v="0.32432432432432434"/>
    <n v="0.51243781094527363"/>
    <n v="0.11940298507462686"/>
    <n v="12956"/>
    <s v="Rhein Auto Group"/>
  </r>
  <r>
    <s v="CUST_3079"/>
    <x v="5"/>
    <x v="3"/>
    <s v="Saturday"/>
    <s v="Yes"/>
    <x v="2"/>
    <x v="2"/>
    <s v="Lower Saxony"/>
    <x v="4"/>
    <s v="ID.4"/>
    <s v="Hybrid"/>
    <x v="0"/>
    <s v="36-50"/>
    <s v="Low"/>
    <x v="1"/>
    <x v="3"/>
    <s v="Sales_7"/>
    <n v="470"/>
    <n v="198"/>
    <n v="130"/>
    <n v="32"/>
    <s v="16.16"/>
    <n v="26549"/>
    <s v="10.16"/>
    <n v="23751"/>
    <n v="849568"/>
    <n v="89536"/>
    <s v="Feb"/>
    <n v="2"/>
    <n v="2026"/>
    <s v="Weekend"/>
    <n v="0.24615384615384617"/>
    <n v="0.42127659574468085"/>
    <n v="6.8085106382978725E-2"/>
    <n v="2798"/>
    <s v="Hannover Cars"/>
  </r>
  <r>
    <s v="CUST_3080"/>
    <x v="6"/>
    <x v="2"/>
    <s v="Saturday"/>
    <s v="Yes"/>
    <x v="1"/>
    <x v="1"/>
    <s v="NRW"/>
    <x v="1"/>
    <s v="Mokka"/>
    <s v="Hybrid"/>
    <x v="0"/>
    <s v="18-25"/>
    <s v="High"/>
    <x v="1"/>
    <x v="2"/>
    <s v="Sales_2"/>
    <n v="394"/>
    <n v="155"/>
    <n v="95"/>
    <n v="32"/>
    <s v="20.65"/>
    <n v="24432"/>
    <s v="11.11"/>
    <n v="22295"/>
    <n v="781824"/>
    <n v="68384"/>
    <s v="Feb"/>
    <n v="2"/>
    <n v="2026"/>
    <s v="Weekend"/>
    <n v="0.33684210526315789"/>
    <n v="0.39340101522842641"/>
    <n v="8.1218274111675121E-2"/>
    <n v="2137"/>
    <s v="Rhein Auto Group"/>
  </r>
  <r>
    <s v="CUST_3081"/>
    <x v="6"/>
    <x v="2"/>
    <s v="Saturday"/>
    <s v="Yes"/>
    <x v="9"/>
    <x v="9"/>
    <s v="NRW"/>
    <x v="4"/>
    <s v="Passat"/>
    <s v="Petrol"/>
    <x v="1"/>
    <s v="18-25"/>
    <s v="Low"/>
    <x v="1"/>
    <x v="1"/>
    <s v="Sales_13"/>
    <n v="330"/>
    <n v="171"/>
    <n v="106"/>
    <n v="27"/>
    <s v="15.79"/>
    <n v="28948"/>
    <s v="6.54"/>
    <n v="26070"/>
    <n v="781596"/>
    <n v="77706"/>
    <s v="Feb"/>
    <n v="2"/>
    <n v="2026"/>
    <s v="Weekend"/>
    <n v="0.25471698113207547"/>
    <n v="0.51818181818181819"/>
    <n v="8.1818181818181818E-2"/>
    <n v="2878"/>
    <s v="Ruhr Auto Plaza"/>
  </r>
  <r>
    <s v="CUST_3082"/>
    <x v="11"/>
    <x v="0"/>
    <s v="Wednesday"/>
    <s v="No"/>
    <x v="7"/>
    <x v="7"/>
    <s v="Bavaria"/>
    <x v="2"/>
    <s v="Q3"/>
    <s v="Diesel"/>
    <x v="0"/>
    <s v="18-25"/>
    <s v="High"/>
    <x v="1"/>
    <x v="3"/>
    <s v="Sales_8"/>
    <n v="317"/>
    <n v="166"/>
    <n v="111"/>
    <n v="40"/>
    <s v="24.1"/>
    <n v="51565"/>
    <s v="4.04"/>
    <n v="38680"/>
    <n v="2062600"/>
    <n v="515400"/>
    <s v="Feb"/>
    <n v="2"/>
    <n v="2026"/>
    <s v="Weekday"/>
    <n v="0.36036036036036034"/>
    <n v="0.52365930599369082"/>
    <n v="0.12618296529968454"/>
    <n v="12885"/>
    <s v="Bavaria Motors"/>
  </r>
  <r>
    <s v="CUST_3083"/>
    <x v="15"/>
    <x v="2"/>
    <s v="Thursday"/>
    <s v="No"/>
    <x v="9"/>
    <x v="9"/>
    <s v="NRW"/>
    <x v="4"/>
    <s v="Golf"/>
    <s v="Petrol"/>
    <x v="2"/>
    <s v="26-35"/>
    <s v="High"/>
    <x v="0"/>
    <x v="0"/>
    <s v="Sales_6"/>
    <n v="329"/>
    <n v="137"/>
    <n v="91"/>
    <n v="19"/>
    <s v="13.87"/>
    <n v="27405"/>
    <s v="9.84"/>
    <n v="24231"/>
    <n v="520695"/>
    <n v="60306"/>
    <s v="Feb"/>
    <n v="2"/>
    <n v="2026"/>
    <s v="Weekday"/>
    <n v="0.2087912087912088"/>
    <n v="0.41641337386018235"/>
    <n v="5.7750759878419454E-2"/>
    <n v="3174"/>
    <s v="Ruhr Auto Plaza"/>
  </r>
  <r>
    <s v="CUST_3084"/>
    <x v="12"/>
    <x v="3"/>
    <s v="Thursday"/>
    <s v="No"/>
    <x v="0"/>
    <x v="0"/>
    <s v="Hesse"/>
    <x v="1"/>
    <s v="Crossland"/>
    <s v="Electric"/>
    <x v="0"/>
    <s v="26-35"/>
    <s v="Low"/>
    <x v="0"/>
    <x v="0"/>
    <s v="Sales_1"/>
    <n v="376"/>
    <n v="167"/>
    <n v="103"/>
    <n v="20"/>
    <s v="11.98"/>
    <n v="20057"/>
    <s v="10.39"/>
    <n v="18552"/>
    <n v="401140"/>
    <n v="30100"/>
    <s v="Feb"/>
    <n v="2"/>
    <n v="2026"/>
    <s v="Weekday"/>
    <n v="0.1941747572815534"/>
    <n v="0.44414893617021278"/>
    <n v="5.3191489361702128E-2"/>
    <n v="1505"/>
    <s v="Main Auto Hub"/>
  </r>
  <r>
    <s v="CUST_3085"/>
    <x v="9"/>
    <x v="0"/>
    <s v="Sunday"/>
    <s v="Yes"/>
    <x v="5"/>
    <x v="5"/>
    <s v="Hamburg"/>
    <x v="2"/>
    <s v="Q5"/>
    <s v="Petrol"/>
    <x v="0"/>
    <s v="50+"/>
    <s v="Low"/>
    <x v="1"/>
    <x v="2"/>
    <s v="Sales_18"/>
    <n v="164"/>
    <n v="96"/>
    <n v="63"/>
    <n v="25"/>
    <s v="26.04"/>
    <n v="41936"/>
    <s v="4.73"/>
    <n v="34271"/>
    <n v="1048400"/>
    <n v="191625"/>
    <s v="Feb"/>
    <n v="2"/>
    <n v="2026"/>
    <s v="Weekend"/>
    <n v="0.3968253968253968"/>
    <n v="0.58536585365853655"/>
    <n v="0.1524390243902439"/>
    <n v="7665"/>
    <s v="Elbe Drive"/>
  </r>
  <r>
    <s v="CUST_3086"/>
    <x v="4"/>
    <x v="2"/>
    <s v="Wednesday"/>
    <s v="No"/>
    <x v="2"/>
    <x v="2"/>
    <s v="Lower Saxony"/>
    <x v="3"/>
    <s v="E-Class"/>
    <s v="Electric"/>
    <x v="1"/>
    <s v="50+"/>
    <s v="High"/>
    <x v="0"/>
    <x v="3"/>
    <s v="Sales_3"/>
    <n v="167"/>
    <n v="95"/>
    <n v="63"/>
    <n v="20"/>
    <s v="21.05"/>
    <n v="64031"/>
    <s v="5.16"/>
    <n v="47758"/>
    <n v="1280620"/>
    <n v="325460"/>
    <s v="Feb"/>
    <n v="2"/>
    <n v="2026"/>
    <s v="Weekday"/>
    <n v="0.31746031746031744"/>
    <n v="0.56886227544910184"/>
    <n v="0.11976047904191617"/>
    <n v="16273"/>
    <s v="Hannover Cars"/>
  </r>
  <r>
    <s v="CUST_3087"/>
    <x v="5"/>
    <x v="3"/>
    <s v="Saturday"/>
    <s v="Yes"/>
    <x v="5"/>
    <x v="5"/>
    <s v="Hamburg"/>
    <x v="1"/>
    <s v="Mokka"/>
    <s v="Petrol"/>
    <x v="0"/>
    <s v="18-25"/>
    <s v="High"/>
    <x v="1"/>
    <x v="0"/>
    <s v="Sales_4"/>
    <n v="427"/>
    <n v="238"/>
    <n v="139"/>
    <n v="33"/>
    <s v="13.87"/>
    <n v="20719"/>
    <s v="13.05"/>
    <n v="18896"/>
    <n v="683727"/>
    <n v="60159"/>
    <s v="Feb"/>
    <n v="2"/>
    <n v="2026"/>
    <s v="Weekend"/>
    <n v="0.23741007194244604"/>
    <n v="0.55737704918032782"/>
    <n v="7.7283372365339581E-2"/>
    <n v="1823"/>
    <s v="Elbe Drive"/>
  </r>
  <r>
    <s v="CUST_3088"/>
    <x v="25"/>
    <x v="3"/>
    <s v="Friday"/>
    <s v="No"/>
    <x v="6"/>
    <x v="6"/>
    <s v="Saxony"/>
    <x v="0"/>
    <s v="5 Series"/>
    <s v="Diesel"/>
    <x v="1"/>
    <s v="50+"/>
    <s v="Low"/>
    <x v="0"/>
    <x v="1"/>
    <s v="Sales_2"/>
    <n v="205"/>
    <n v="124"/>
    <n v="84"/>
    <n v="37"/>
    <s v="29.84"/>
    <n v="61922"/>
    <s v="3.44"/>
    <n v="47880"/>
    <n v="2291114"/>
    <n v="519554"/>
    <s v="Feb"/>
    <n v="2"/>
    <n v="2026"/>
    <s v="Weekday"/>
    <n v="0.44047619047619047"/>
    <n v="0.60487804878048779"/>
    <n v="0.18048780487804877"/>
    <n v="14042"/>
    <s v="Leipzig Mobility"/>
  </r>
  <r>
    <s v="CUST_3089"/>
    <x v="12"/>
    <x v="3"/>
    <s v="Thursday"/>
    <s v="No"/>
    <x v="0"/>
    <x v="0"/>
    <s v="Hesse"/>
    <x v="1"/>
    <s v="Astra"/>
    <s v="Petrol"/>
    <x v="2"/>
    <s v="50+"/>
    <s v="Medium"/>
    <x v="1"/>
    <x v="0"/>
    <s v="Sales_8"/>
    <n v="220"/>
    <n v="122"/>
    <n v="69"/>
    <n v="15"/>
    <s v="12.3"/>
    <n v="25058"/>
    <s v="13.29"/>
    <n v="22671"/>
    <n v="375870"/>
    <n v="35805"/>
    <s v="Feb"/>
    <n v="2"/>
    <n v="2026"/>
    <s v="Weekday"/>
    <n v="0.21739130434782608"/>
    <n v="0.55454545454545456"/>
    <n v="6.8181818181818177E-2"/>
    <n v="2387"/>
    <s v="Main Auto Hub"/>
  </r>
  <r>
    <s v="CUST_3090"/>
    <x v="3"/>
    <x v="1"/>
    <s v="Sunday"/>
    <s v="Yes"/>
    <x v="0"/>
    <x v="0"/>
    <s v="Hesse"/>
    <x v="1"/>
    <s v="Grandland"/>
    <s v="Petrol"/>
    <x v="0"/>
    <s v="18-25"/>
    <s v="High"/>
    <x v="0"/>
    <x v="0"/>
    <s v="Sales_19"/>
    <n v="324"/>
    <n v="130"/>
    <n v="74"/>
    <n v="16"/>
    <s v="12.31"/>
    <n v="25336"/>
    <s v="10.56"/>
    <n v="22799"/>
    <n v="405376"/>
    <n v="40592"/>
    <s v="Feb"/>
    <n v="2"/>
    <n v="2026"/>
    <s v="Weekend"/>
    <n v="0.21621621621621623"/>
    <n v="0.40123456790123457"/>
    <n v="4.9382716049382713E-2"/>
    <n v="2537"/>
    <s v="Main Auto Hub"/>
  </r>
  <r>
    <s v="CUST_3091"/>
    <x v="25"/>
    <x v="3"/>
    <s v="Friday"/>
    <s v="No"/>
    <x v="9"/>
    <x v="9"/>
    <s v="NRW"/>
    <x v="2"/>
    <s v="Q5"/>
    <s v="Hybrid"/>
    <x v="0"/>
    <s v="36-50"/>
    <s v="Medium"/>
    <x v="1"/>
    <x v="0"/>
    <s v="Sales_12"/>
    <n v="318"/>
    <n v="167"/>
    <n v="111"/>
    <n v="33"/>
    <s v="19.76"/>
    <n v="41595"/>
    <s v="3.42"/>
    <n v="32944"/>
    <n v="1372635"/>
    <n v="285483"/>
    <s v="Feb"/>
    <n v="2"/>
    <n v="2026"/>
    <s v="Weekday"/>
    <n v="0.29729729729729731"/>
    <n v="0.52515723270440251"/>
    <n v="0.10377358490566038"/>
    <n v="8651"/>
    <s v="Ruhr Auto Plaza"/>
  </r>
  <r>
    <s v="CUST_3092"/>
    <x v="10"/>
    <x v="1"/>
    <s v="Monday"/>
    <s v="No"/>
    <x v="4"/>
    <x v="4"/>
    <s v="Berlin"/>
    <x v="4"/>
    <s v="Passat"/>
    <s v="Diesel"/>
    <x v="1"/>
    <s v="18-25"/>
    <s v="Low"/>
    <x v="0"/>
    <x v="0"/>
    <s v="Sales_3"/>
    <n v="438"/>
    <n v="222"/>
    <n v="148"/>
    <n v="34"/>
    <s v="15.32"/>
    <n v="30012"/>
    <s v="7.96"/>
    <n v="26662"/>
    <n v="1020408"/>
    <n v="113900"/>
    <s v="Feb"/>
    <n v="2"/>
    <n v="2026"/>
    <s v="Weekday"/>
    <n v="0.22972972972972974"/>
    <n v="0.50684931506849318"/>
    <n v="7.7625570776255703E-2"/>
    <n v="3350"/>
    <s v="Autohaus Berlin"/>
  </r>
  <r>
    <s v="CUST_3093"/>
    <x v="20"/>
    <x v="0"/>
    <s v="Thursday"/>
    <s v="No"/>
    <x v="7"/>
    <x v="7"/>
    <s v="Bavaria"/>
    <x v="3"/>
    <s v="EQE"/>
    <s v="Electric"/>
    <x v="1"/>
    <s v="36-50"/>
    <s v="Medium"/>
    <x v="0"/>
    <x v="2"/>
    <s v="Sales_11"/>
    <n v="193"/>
    <n v="85"/>
    <n v="65"/>
    <n v="27"/>
    <s v="31.76"/>
    <n v="58026"/>
    <s v="2.08"/>
    <n v="41459"/>
    <n v="1566702"/>
    <n v="447309"/>
    <s v="Feb"/>
    <n v="2"/>
    <n v="2026"/>
    <s v="Weekday"/>
    <n v="0.41538461538461541"/>
    <n v="0.44041450777202074"/>
    <n v="0.13989637305699482"/>
    <n v="16567"/>
    <s v="Bavaria Motors"/>
  </r>
  <r>
    <s v="CUST_3094"/>
    <x v="18"/>
    <x v="0"/>
    <s v="Saturday"/>
    <s v="Yes"/>
    <x v="0"/>
    <x v="0"/>
    <s v="Hesse"/>
    <x v="2"/>
    <s v="Q5"/>
    <s v="Hybrid"/>
    <x v="0"/>
    <s v="36-50"/>
    <s v="Low"/>
    <x v="0"/>
    <x v="1"/>
    <s v="Sales_7"/>
    <n v="304"/>
    <n v="187"/>
    <n v="131"/>
    <n v="41"/>
    <s v="21.93"/>
    <n v="40340"/>
    <s v="4.51"/>
    <n v="31542"/>
    <n v="1653940"/>
    <n v="360718"/>
    <s v="Feb"/>
    <n v="2"/>
    <n v="2026"/>
    <s v="Weekend"/>
    <n v="0.31297709923664124"/>
    <n v="0.61513157894736847"/>
    <n v="0.13486842105263158"/>
    <n v="8798"/>
    <s v="Main Auto Hub"/>
  </r>
  <r>
    <s v="CUST_3095"/>
    <x v="14"/>
    <x v="2"/>
    <s v="Friday"/>
    <s v="No"/>
    <x v="0"/>
    <x v="0"/>
    <s v="Hesse"/>
    <x v="1"/>
    <s v="Grandland"/>
    <s v="Diesel"/>
    <x v="0"/>
    <s v="36-50"/>
    <s v="Medium"/>
    <x v="1"/>
    <x v="3"/>
    <s v="Sales_19"/>
    <n v="231"/>
    <n v="115"/>
    <n v="65"/>
    <n v="14"/>
    <s v="12.17"/>
    <n v="19383"/>
    <s v="12.76"/>
    <n v="17533"/>
    <n v="271362"/>
    <n v="25900"/>
    <s v="Feb"/>
    <n v="2"/>
    <n v="2026"/>
    <s v="Weekday"/>
    <n v="0.2153846153846154"/>
    <n v="0.49783549783549785"/>
    <n v="6.0606060606060608E-2"/>
    <n v="1850"/>
    <s v="Main Auto Hub"/>
  </r>
  <r>
    <s v="CUST_3096"/>
    <x v="11"/>
    <x v="0"/>
    <s v="Wednesday"/>
    <s v="No"/>
    <x v="1"/>
    <x v="1"/>
    <s v="NRW"/>
    <x v="0"/>
    <s v="X5"/>
    <s v="Electric"/>
    <x v="0"/>
    <s v="50+"/>
    <s v="Medium"/>
    <x v="0"/>
    <x v="1"/>
    <s v="Sales_3"/>
    <n v="149"/>
    <n v="67"/>
    <n v="49"/>
    <n v="19"/>
    <s v="28.36"/>
    <n v="64278"/>
    <s v="5.75"/>
    <n v="50071"/>
    <n v="1221282"/>
    <n v="269933"/>
    <s v="Feb"/>
    <n v="2"/>
    <n v="2026"/>
    <s v="Weekday"/>
    <n v="0.38775510204081631"/>
    <n v="0.44966442953020136"/>
    <n v="0.12751677852348994"/>
    <n v="14207"/>
    <s v="Rhein Auto Group"/>
  </r>
  <r>
    <s v="CUST_3097"/>
    <x v="17"/>
    <x v="2"/>
    <s v="Sunday"/>
    <s v="Yes"/>
    <x v="4"/>
    <x v="4"/>
    <s v="Berlin"/>
    <x v="4"/>
    <s v="Golf"/>
    <s v="Electric"/>
    <x v="2"/>
    <s v="36-50"/>
    <s v="Medium"/>
    <x v="1"/>
    <x v="2"/>
    <s v="Sales_20"/>
    <n v="452"/>
    <n v="215"/>
    <n v="130"/>
    <n v="42"/>
    <s v="19.53"/>
    <n v="32590"/>
    <s v="6.86"/>
    <n v="29421"/>
    <n v="1368780"/>
    <n v="133098"/>
    <s v="Feb"/>
    <n v="2"/>
    <n v="2026"/>
    <s v="Weekend"/>
    <n v="0.32307692307692309"/>
    <n v="0.47566371681415931"/>
    <n v="9.2920353982300891E-2"/>
    <n v="3169"/>
    <s v="Autohaus Berlin"/>
  </r>
  <r>
    <s v="CUST_3098"/>
    <x v="3"/>
    <x v="1"/>
    <s v="Sunday"/>
    <s v="Yes"/>
    <x v="2"/>
    <x v="2"/>
    <s v="Lower Saxony"/>
    <x v="2"/>
    <s v="A3"/>
    <s v="Electric"/>
    <x v="2"/>
    <s v="36-50"/>
    <s v="High"/>
    <x v="0"/>
    <x v="3"/>
    <s v="Sales_11"/>
    <n v="189"/>
    <n v="107"/>
    <n v="71"/>
    <n v="24"/>
    <s v="22.43"/>
    <n v="53013"/>
    <s v="5.24"/>
    <n v="43210"/>
    <n v="1272312"/>
    <n v="235272"/>
    <s v="Feb"/>
    <n v="2"/>
    <n v="2026"/>
    <s v="Weekend"/>
    <n v="0.3380281690140845"/>
    <n v="0.56613756613756616"/>
    <n v="0.12698412698412698"/>
    <n v="9803"/>
    <s v="Hannover Cars"/>
  </r>
  <r>
    <s v="CUST_3099"/>
    <x v="6"/>
    <x v="2"/>
    <s v="Saturday"/>
    <s v="Yes"/>
    <x v="1"/>
    <x v="1"/>
    <s v="NRW"/>
    <x v="0"/>
    <s v="3 Series"/>
    <s v="Petrol"/>
    <x v="1"/>
    <s v="26-35"/>
    <s v="High"/>
    <x v="1"/>
    <x v="2"/>
    <s v="Sales_2"/>
    <n v="169"/>
    <n v="100"/>
    <n v="81"/>
    <n v="32"/>
    <s v="32.0"/>
    <n v="53501"/>
    <s v="3.74"/>
    <n v="39305"/>
    <n v="1712032"/>
    <n v="454272"/>
    <s v="Feb"/>
    <n v="2"/>
    <n v="2026"/>
    <s v="Weekend"/>
    <n v="0.39506172839506171"/>
    <n v="0.59171597633136097"/>
    <n v="0.1893491124260355"/>
    <n v="14196"/>
    <s v="Rhein Auto Group"/>
  </r>
  <r>
    <s v="CUST_3100"/>
    <x v="14"/>
    <x v="2"/>
    <s v="Friday"/>
    <s v="No"/>
    <x v="1"/>
    <x v="1"/>
    <s v="NRW"/>
    <x v="4"/>
    <s v="T-Roc"/>
    <s v="Hybrid"/>
    <x v="0"/>
    <s v="50+"/>
    <s v="Low"/>
    <x v="1"/>
    <x v="0"/>
    <s v="Sales_2"/>
    <n v="264"/>
    <n v="142"/>
    <n v="96"/>
    <n v="21"/>
    <s v="14.79"/>
    <n v="29237"/>
    <s v="11.03"/>
    <n v="25899"/>
    <n v="613977"/>
    <n v="70098"/>
    <s v="Feb"/>
    <n v="2"/>
    <n v="2026"/>
    <s v="Weekday"/>
    <n v="0.21875"/>
    <n v="0.53787878787878785"/>
    <n v="7.9545454545454544E-2"/>
    <n v="3338"/>
    <s v="Rhein Auto Group"/>
  </r>
  <r>
    <s v="CUST_3101"/>
    <x v="25"/>
    <x v="3"/>
    <s v="Friday"/>
    <s v="No"/>
    <x v="1"/>
    <x v="1"/>
    <s v="NRW"/>
    <x v="2"/>
    <s v="Q3"/>
    <s v="Electric"/>
    <x v="0"/>
    <s v="50+"/>
    <s v="High"/>
    <x v="1"/>
    <x v="3"/>
    <s v="Sales_13"/>
    <n v="239"/>
    <n v="146"/>
    <n v="102"/>
    <n v="28"/>
    <s v="19.18"/>
    <n v="51851"/>
    <s v="5.68"/>
    <n v="39245"/>
    <n v="1451828"/>
    <n v="352968"/>
    <s v="Feb"/>
    <n v="2"/>
    <n v="2026"/>
    <s v="Weekday"/>
    <n v="0.27450980392156865"/>
    <n v="0.61087866108786615"/>
    <n v="0.11715481171548117"/>
    <n v="12606"/>
    <s v="Rhein Auto Group"/>
  </r>
  <r>
    <s v="CUST_3102"/>
    <x v="26"/>
    <x v="1"/>
    <s v="Friday"/>
    <s v="No"/>
    <x v="1"/>
    <x v="1"/>
    <s v="NRW"/>
    <x v="2"/>
    <s v="A4"/>
    <s v="Diesel"/>
    <x v="1"/>
    <s v="26-35"/>
    <s v="High"/>
    <x v="0"/>
    <x v="0"/>
    <s v="Sales_9"/>
    <n v="217"/>
    <n v="115"/>
    <n v="81"/>
    <n v="28"/>
    <s v="24.35"/>
    <n v="41500"/>
    <s v="5.18"/>
    <n v="33535"/>
    <n v="1162000"/>
    <n v="223020"/>
    <s v="Feb"/>
    <n v="2"/>
    <n v="2026"/>
    <s v="Weekday"/>
    <n v="0.34567901234567899"/>
    <n v="0.52995391705069128"/>
    <n v="0.12903225806451613"/>
    <n v="7965"/>
    <s v="Rhein Auto Group"/>
  </r>
  <r>
    <s v="CUST_3103"/>
    <x v="27"/>
    <x v="3"/>
    <s v="Sunday"/>
    <s v="Yes"/>
    <x v="4"/>
    <x v="4"/>
    <s v="Berlin"/>
    <x v="2"/>
    <s v="Q3"/>
    <s v="Petrol"/>
    <x v="0"/>
    <s v="26-35"/>
    <s v="Low"/>
    <x v="0"/>
    <x v="0"/>
    <s v="Sales_13"/>
    <n v="214"/>
    <n v="127"/>
    <n v="90"/>
    <n v="28"/>
    <s v="22.05"/>
    <n v="47543"/>
    <s v="6.09"/>
    <n v="36063"/>
    <n v="1331204"/>
    <n v="321440"/>
    <s v="Feb"/>
    <n v="2"/>
    <n v="2026"/>
    <s v="Weekend"/>
    <n v="0.31111111111111112"/>
    <n v="0.59345794392523366"/>
    <n v="0.13084112149532709"/>
    <n v="11480"/>
    <s v="Autohaus Berlin"/>
  </r>
  <r>
    <s v="CUST_3104"/>
    <x v="23"/>
    <x v="2"/>
    <s v="Tuesday"/>
    <s v="No"/>
    <x v="7"/>
    <x v="7"/>
    <s v="Bavaria"/>
    <x v="2"/>
    <s v="Q3"/>
    <s v="Diesel"/>
    <x v="0"/>
    <s v="18-25"/>
    <s v="Low"/>
    <x v="0"/>
    <x v="3"/>
    <s v="Sales_5"/>
    <n v="250"/>
    <n v="125"/>
    <n v="95"/>
    <n v="33"/>
    <s v="26.4"/>
    <n v="54060"/>
    <s v="4.36"/>
    <n v="41325"/>
    <n v="1783980"/>
    <n v="420255"/>
    <s v="Feb"/>
    <n v="2"/>
    <n v="2026"/>
    <s v="Weekday"/>
    <n v="0.3473684210526316"/>
    <n v="0.5"/>
    <n v="0.13200000000000001"/>
    <n v="12735"/>
    <s v="Bavaria Motors"/>
  </r>
  <r>
    <s v="CUST_3105"/>
    <x v="1"/>
    <x v="1"/>
    <s v="Wednesday"/>
    <s v="No"/>
    <x v="3"/>
    <x v="3"/>
    <s v="Saxony"/>
    <x v="2"/>
    <s v="A3"/>
    <s v="Petrol"/>
    <x v="2"/>
    <s v="36-50"/>
    <s v="Low"/>
    <x v="0"/>
    <x v="3"/>
    <s v="Sales_16"/>
    <n v="313"/>
    <n v="198"/>
    <n v="148"/>
    <n v="47"/>
    <s v="23.74"/>
    <n v="51207"/>
    <s v="5.15"/>
    <n v="41912"/>
    <n v="2406729"/>
    <n v="436865"/>
    <s v="Feb"/>
    <n v="2"/>
    <n v="2026"/>
    <s v="Weekday"/>
    <n v="0.31756756756756754"/>
    <n v="0.63258785942492013"/>
    <n v="0.15015974440894569"/>
    <n v="9295"/>
    <s v="Saxon Wheels"/>
  </r>
  <r>
    <s v="CUST_3106"/>
    <x v="26"/>
    <x v="1"/>
    <s v="Friday"/>
    <s v="No"/>
    <x v="4"/>
    <x v="4"/>
    <s v="Berlin"/>
    <x v="2"/>
    <s v="A3"/>
    <s v="Petrol"/>
    <x v="2"/>
    <s v="26-35"/>
    <s v="Low"/>
    <x v="1"/>
    <x v="3"/>
    <s v="Sales_10"/>
    <n v="207"/>
    <n v="102"/>
    <n v="73"/>
    <n v="25"/>
    <s v="24.51"/>
    <n v="52792"/>
    <s v="3.31"/>
    <n v="42259"/>
    <n v="1319800"/>
    <n v="263325"/>
    <s v="Feb"/>
    <n v="2"/>
    <n v="2026"/>
    <s v="Weekday"/>
    <n v="0.34246575342465752"/>
    <n v="0.49275362318840582"/>
    <n v="0.12077294685990338"/>
    <n v="10533"/>
    <s v="Autohaus Berlin"/>
  </r>
  <r>
    <s v="CUST_3107"/>
    <x v="19"/>
    <x v="1"/>
    <s v="Saturday"/>
    <s v="Yes"/>
    <x v="6"/>
    <x v="6"/>
    <s v="Saxony"/>
    <x v="2"/>
    <s v="Q3"/>
    <s v="Diesel"/>
    <x v="0"/>
    <s v="26-35"/>
    <s v="Medium"/>
    <x v="1"/>
    <x v="3"/>
    <s v="Sales_11"/>
    <n v="186"/>
    <n v="89"/>
    <n v="65"/>
    <n v="15"/>
    <s v="16.85"/>
    <n v="41410"/>
    <s v="6.33"/>
    <n v="31450"/>
    <n v="621150"/>
    <n v="149400"/>
    <s v="Feb"/>
    <n v="2"/>
    <n v="2026"/>
    <s v="Weekend"/>
    <n v="0.23076923076923078"/>
    <n v="0.478494623655914"/>
    <n v="8.0645161290322578E-2"/>
    <n v="9960"/>
    <s v="Leipzig Mobility"/>
  </r>
  <r>
    <s v="CUST_3108"/>
    <x v="23"/>
    <x v="2"/>
    <s v="Tuesday"/>
    <s v="No"/>
    <x v="2"/>
    <x v="2"/>
    <s v="Lower Saxony"/>
    <x v="3"/>
    <s v="GLE"/>
    <s v="Hybrid"/>
    <x v="0"/>
    <s v="18-25"/>
    <s v="Low"/>
    <x v="1"/>
    <x v="0"/>
    <s v="Sales_1"/>
    <n v="285"/>
    <n v="160"/>
    <n v="124"/>
    <n v="37"/>
    <s v="23.12"/>
    <n v="59484"/>
    <s v="5.07"/>
    <n v="43449"/>
    <n v="2200908"/>
    <n v="593295"/>
    <s v="Feb"/>
    <n v="2"/>
    <n v="2026"/>
    <s v="Weekday"/>
    <n v="0.29838709677419356"/>
    <n v="0.56140350877192979"/>
    <n v="0.12982456140350876"/>
    <n v="16035"/>
    <s v="Hannover Cars"/>
  </r>
  <r>
    <s v="CUST_3109"/>
    <x v="27"/>
    <x v="3"/>
    <s v="Sunday"/>
    <s v="Yes"/>
    <x v="2"/>
    <x v="2"/>
    <s v="Lower Saxony"/>
    <x v="1"/>
    <s v="Grandland"/>
    <s v="Diesel"/>
    <x v="0"/>
    <s v="36-50"/>
    <s v="Medium"/>
    <x v="1"/>
    <x v="2"/>
    <s v="Sales_19"/>
    <n v="354"/>
    <n v="170"/>
    <n v="105"/>
    <n v="28"/>
    <s v="16.47"/>
    <n v="23672"/>
    <s v="13.39"/>
    <n v="21529"/>
    <n v="662816"/>
    <n v="60004"/>
    <s v="Feb"/>
    <n v="2"/>
    <n v="2026"/>
    <s v="Weekend"/>
    <n v="0.26666666666666666"/>
    <n v="0.48022598870056499"/>
    <n v="7.909604519774012E-2"/>
    <n v="2143"/>
    <s v="Hannover Cars"/>
  </r>
  <r>
    <s v="CUST_3110"/>
    <x v="18"/>
    <x v="0"/>
    <s v="Saturday"/>
    <s v="Yes"/>
    <x v="6"/>
    <x v="6"/>
    <s v="Saxony"/>
    <x v="1"/>
    <s v="Astra"/>
    <s v="Hybrid"/>
    <x v="2"/>
    <s v="18-25"/>
    <s v="High"/>
    <x v="1"/>
    <x v="0"/>
    <s v="Sales_4"/>
    <n v="391"/>
    <n v="206"/>
    <n v="126"/>
    <n v="21"/>
    <s v="10.19"/>
    <n v="24589"/>
    <s v="13.42"/>
    <n v="22430"/>
    <n v="516369"/>
    <n v="45339"/>
    <s v="Feb"/>
    <n v="2"/>
    <n v="2026"/>
    <s v="Weekend"/>
    <n v="0.16666666666666666"/>
    <n v="0.52685421994884907"/>
    <n v="5.3708439897698211E-2"/>
    <n v="2159"/>
    <s v="Leipzig Mobility"/>
  </r>
  <r>
    <s v="CUST_3111"/>
    <x v="23"/>
    <x v="2"/>
    <s v="Tuesday"/>
    <s v="No"/>
    <x v="6"/>
    <x v="6"/>
    <s v="Saxony"/>
    <x v="0"/>
    <s v="X3"/>
    <s v="Hybrid"/>
    <x v="0"/>
    <s v="36-50"/>
    <s v="Medium"/>
    <x v="1"/>
    <x v="2"/>
    <s v="Sales_2"/>
    <n v="242"/>
    <n v="111"/>
    <n v="80"/>
    <n v="30"/>
    <s v="27.03"/>
    <n v="58966"/>
    <s v="3.99"/>
    <n v="42158"/>
    <n v="1768980"/>
    <n v="504240"/>
    <s v="Feb"/>
    <n v="2"/>
    <n v="2026"/>
    <s v="Weekday"/>
    <n v="0.375"/>
    <n v="0.45867768595041325"/>
    <n v="0.12396694214876033"/>
    <n v="16808"/>
    <s v="Leipzig Mobility"/>
  </r>
  <r>
    <s v="CUST_3112"/>
    <x v="9"/>
    <x v="0"/>
    <s v="Sunday"/>
    <s v="Yes"/>
    <x v="4"/>
    <x v="4"/>
    <s v="Berlin"/>
    <x v="4"/>
    <s v="ID.4"/>
    <s v="Petrol"/>
    <x v="0"/>
    <s v="26-35"/>
    <s v="High"/>
    <x v="0"/>
    <x v="3"/>
    <s v="Sales_13"/>
    <n v="481"/>
    <n v="201"/>
    <n v="136"/>
    <n v="30"/>
    <s v="14.93"/>
    <n v="32969"/>
    <s v="6.03"/>
    <n v="29619"/>
    <n v="989070"/>
    <n v="100500"/>
    <s v="Feb"/>
    <n v="2"/>
    <n v="2026"/>
    <s v="Weekend"/>
    <n v="0.22058823529411764"/>
    <n v="0.4178794178794179"/>
    <n v="6.2370062370062374E-2"/>
    <n v="3350"/>
    <s v="Autohaus Berlin"/>
  </r>
  <r>
    <s v="CUST_3113"/>
    <x v="24"/>
    <x v="1"/>
    <s v="Thursday"/>
    <s v="No"/>
    <x v="5"/>
    <x v="5"/>
    <s v="Hamburg"/>
    <x v="3"/>
    <s v="EQE"/>
    <s v="Diesel"/>
    <x v="1"/>
    <s v="36-50"/>
    <s v="High"/>
    <x v="1"/>
    <x v="2"/>
    <s v="Sales_15"/>
    <n v="229"/>
    <n v="126"/>
    <n v="93"/>
    <n v="38"/>
    <s v="30.16"/>
    <n v="67938"/>
    <s v="3.48"/>
    <n v="51644"/>
    <n v="2581644"/>
    <n v="619172"/>
    <s v="Feb"/>
    <n v="2"/>
    <n v="2026"/>
    <s v="Weekday"/>
    <n v="0.40860215053763443"/>
    <n v="0.55021834061135366"/>
    <n v="0.16593886462882096"/>
    <n v="16294"/>
    <s v="Elbe Drive"/>
  </r>
  <r>
    <s v="CUST_3114"/>
    <x v="19"/>
    <x v="1"/>
    <s v="Saturday"/>
    <s v="Yes"/>
    <x v="4"/>
    <x v="4"/>
    <s v="Berlin"/>
    <x v="1"/>
    <s v="Mokka"/>
    <s v="Diesel"/>
    <x v="0"/>
    <s v="36-50"/>
    <s v="High"/>
    <x v="0"/>
    <x v="0"/>
    <s v="Sales_7"/>
    <n v="367"/>
    <n v="146"/>
    <n v="82"/>
    <n v="22"/>
    <s v="15.07"/>
    <n v="22668"/>
    <s v="13.64"/>
    <n v="20602"/>
    <n v="498696"/>
    <n v="45452"/>
    <s v="Feb"/>
    <n v="2"/>
    <n v="2026"/>
    <s v="Weekend"/>
    <n v="0.26829268292682928"/>
    <n v="0.39782016348773841"/>
    <n v="5.9945504087193457E-2"/>
    <n v="2066"/>
    <s v="Autohaus Berlin"/>
  </r>
  <r>
    <s v="CUST_3115"/>
    <x v="15"/>
    <x v="2"/>
    <s v="Thursday"/>
    <s v="No"/>
    <x v="0"/>
    <x v="0"/>
    <s v="Hesse"/>
    <x v="2"/>
    <s v="Q5"/>
    <s v="Petrol"/>
    <x v="0"/>
    <s v="26-35"/>
    <s v="High"/>
    <x v="1"/>
    <x v="1"/>
    <s v="Sales_13"/>
    <n v="199"/>
    <n v="105"/>
    <n v="80"/>
    <n v="24"/>
    <s v="22.86"/>
    <n v="51431"/>
    <s v="3.09"/>
    <n v="40885"/>
    <n v="1234344"/>
    <n v="253104"/>
    <s v="Feb"/>
    <n v="2"/>
    <n v="2026"/>
    <s v="Weekday"/>
    <n v="0.3"/>
    <n v="0.52763819095477382"/>
    <n v="0.12060301507537688"/>
    <n v="10546"/>
    <s v="Main Auto Hub"/>
  </r>
  <r>
    <s v="CUST_3116"/>
    <x v="1"/>
    <x v="1"/>
    <s v="Wednesday"/>
    <s v="No"/>
    <x v="0"/>
    <x v="0"/>
    <s v="Hesse"/>
    <x v="0"/>
    <s v="X5"/>
    <s v="Diesel"/>
    <x v="0"/>
    <s v="50+"/>
    <s v="Low"/>
    <x v="0"/>
    <x v="3"/>
    <s v="Sales_12"/>
    <n v="217"/>
    <n v="130"/>
    <n v="93"/>
    <n v="35"/>
    <s v="26.92"/>
    <n v="55176"/>
    <s v="2.07"/>
    <n v="42804"/>
    <n v="1931160"/>
    <n v="433020"/>
    <s v="Feb"/>
    <n v="2"/>
    <n v="2026"/>
    <s v="Weekday"/>
    <n v="0.37634408602150538"/>
    <n v="0.59907834101382484"/>
    <n v="0.16129032258064516"/>
    <n v="12372"/>
    <s v="Main Auto Hub"/>
  </r>
  <r>
    <s v="CUST_3117"/>
    <x v="20"/>
    <x v="0"/>
    <s v="Thursday"/>
    <s v="No"/>
    <x v="4"/>
    <x v="4"/>
    <s v="Berlin"/>
    <x v="2"/>
    <s v="Q3"/>
    <s v="Petrol"/>
    <x v="0"/>
    <s v="18-25"/>
    <s v="Low"/>
    <x v="1"/>
    <x v="0"/>
    <s v="Sales_16"/>
    <n v="227"/>
    <n v="132"/>
    <n v="94"/>
    <n v="30"/>
    <s v="22.73"/>
    <n v="53045"/>
    <s v="4.61"/>
    <n v="42780"/>
    <n v="1591350"/>
    <n v="307950"/>
    <s v="Feb"/>
    <n v="2"/>
    <n v="2026"/>
    <s v="Weekday"/>
    <n v="0.31914893617021278"/>
    <n v="0.58149779735682816"/>
    <n v="0.13215859030837004"/>
    <n v="10265"/>
    <s v="Autohaus Berlin"/>
  </r>
  <r>
    <s v="CUST_3118"/>
    <x v="11"/>
    <x v="0"/>
    <s v="Wednesday"/>
    <s v="No"/>
    <x v="1"/>
    <x v="1"/>
    <s v="NRW"/>
    <x v="1"/>
    <s v="Mokka"/>
    <s v="Diesel"/>
    <x v="0"/>
    <s v="50+"/>
    <s v="Low"/>
    <x v="0"/>
    <x v="1"/>
    <s v="Sales_2"/>
    <n v="383"/>
    <n v="193"/>
    <n v="128"/>
    <n v="32"/>
    <s v="16.58"/>
    <n v="21392"/>
    <s v="8.25"/>
    <n v="19441"/>
    <n v="684544"/>
    <n v="62432"/>
    <s v="Feb"/>
    <n v="2"/>
    <n v="2026"/>
    <s v="Weekday"/>
    <n v="0.25"/>
    <n v="0.50391644908616184"/>
    <n v="8.3550913838120106E-2"/>
    <n v="1951"/>
    <s v="Rhein Auto Group"/>
  </r>
  <r>
    <s v="CUST_3119"/>
    <x v="15"/>
    <x v="2"/>
    <s v="Thursday"/>
    <s v="No"/>
    <x v="3"/>
    <x v="3"/>
    <s v="Saxony"/>
    <x v="1"/>
    <s v="Grandland"/>
    <s v="Hybrid"/>
    <x v="0"/>
    <s v="50+"/>
    <s v="Low"/>
    <x v="1"/>
    <x v="3"/>
    <s v="Sales_5"/>
    <n v="253"/>
    <n v="141"/>
    <n v="85"/>
    <n v="21"/>
    <s v="14.89"/>
    <n v="24176"/>
    <s v="8.25"/>
    <n v="21643"/>
    <n v="507696"/>
    <n v="53193"/>
    <s v="Feb"/>
    <n v="2"/>
    <n v="2026"/>
    <s v="Weekday"/>
    <n v="0.24705882352941178"/>
    <n v="0.55731225296442688"/>
    <n v="8.3003952569169967E-2"/>
    <n v="2533"/>
    <s v="Saxon Wheels"/>
  </r>
  <r>
    <s v="CUST_3120"/>
    <x v="26"/>
    <x v="1"/>
    <s v="Friday"/>
    <s v="No"/>
    <x v="9"/>
    <x v="9"/>
    <s v="NRW"/>
    <x v="0"/>
    <s v="X5"/>
    <s v="Petrol"/>
    <x v="0"/>
    <s v="26-35"/>
    <s v="High"/>
    <x v="0"/>
    <x v="0"/>
    <s v="Sales_11"/>
    <n v="215"/>
    <n v="101"/>
    <n v="81"/>
    <n v="25"/>
    <s v="24.75"/>
    <n v="59318"/>
    <s v="5.53"/>
    <n v="43687"/>
    <n v="1482950"/>
    <n v="390775"/>
    <s v="Feb"/>
    <n v="2"/>
    <n v="2026"/>
    <s v="Weekday"/>
    <n v="0.30864197530864196"/>
    <n v="0.4697674418604651"/>
    <n v="0.11627906976744186"/>
    <n v="15631"/>
    <s v="Ruhr Auto Plaza"/>
  </r>
  <r>
    <s v="CUST_3121"/>
    <x v="5"/>
    <x v="3"/>
    <s v="Saturday"/>
    <s v="Yes"/>
    <x v="2"/>
    <x v="2"/>
    <s v="Lower Saxony"/>
    <x v="2"/>
    <s v="Q5"/>
    <s v="Hybrid"/>
    <x v="0"/>
    <s v="36-50"/>
    <s v="Medium"/>
    <x v="1"/>
    <x v="1"/>
    <s v="Sales_14"/>
    <n v="273"/>
    <n v="145"/>
    <n v="103"/>
    <n v="29"/>
    <s v="20.0"/>
    <n v="44198"/>
    <s v="5.87"/>
    <n v="33756"/>
    <n v="1281742"/>
    <n v="302818"/>
    <s v="Feb"/>
    <n v="2"/>
    <n v="2026"/>
    <s v="Weekend"/>
    <n v="0.28155339805825241"/>
    <n v="0.53113553113553114"/>
    <n v="0.10622710622710622"/>
    <n v="10442"/>
    <s v="Hannover Cars"/>
  </r>
  <r>
    <s v="CUST_3122"/>
    <x v="4"/>
    <x v="2"/>
    <s v="Wednesday"/>
    <s v="No"/>
    <x v="9"/>
    <x v="9"/>
    <s v="NRW"/>
    <x v="0"/>
    <s v="X5"/>
    <s v="Petrol"/>
    <x v="0"/>
    <s v="50+"/>
    <s v="High"/>
    <x v="0"/>
    <x v="2"/>
    <s v="Sales_17"/>
    <n v="276"/>
    <n v="160"/>
    <n v="111"/>
    <n v="46"/>
    <s v="28.75"/>
    <n v="49709"/>
    <s v="4.51"/>
    <n v="36067"/>
    <n v="2286614"/>
    <n v="627532"/>
    <s v="Feb"/>
    <n v="2"/>
    <n v="2026"/>
    <s v="Weekday"/>
    <n v="0.4144144144144144"/>
    <n v="0.57971014492753625"/>
    <n v="0.16666666666666666"/>
    <n v="13642"/>
    <s v="Ruhr Auto Plaza"/>
  </r>
  <r>
    <s v="CUST_3123"/>
    <x v="23"/>
    <x v="2"/>
    <s v="Tuesday"/>
    <s v="No"/>
    <x v="7"/>
    <x v="7"/>
    <s v="Bavaria"/>
    <x v="1"/>
    <s v="Grandland"/>
    <s v="Petrol"/>
    <x v="0"/>
    <s v="26-35"/>
    <s v="Medium"/>
    <x v="0"/>
    <x v="2"/>
    <s v="Sales_6"/>
    <n v="345"/>
    <n v="152"/>
    <n v="94"/>
    <n v="33"/>
    <s v="21.71"/>
    <n v="19530"/>
    <s v="13.02"/>
    <n v="17830"/>
    <n v="644490"/>
    <n v="56100"/>
    <s v="Feb"/>
    <n v="2"/>
    <n v="2026"/>
    <s v="Weekday"/>
    <n v="0.35106382978723405"/>
    <n v="0.44057971014492753"/>
    <n v="9.5652173913043481E-2"/>
    <n v="1700"/>
    <s v="Bavaria Motors"/>
  </r>
  <r>
    <s v="CUST_3124"/>
    <x v="3"/>
    <x v="1"/>
    <s v="Sunday"/>
    <s v="Yes"/>
    <x v="1"/>
    <x v="1"/>
    <s v="NRW"/>
    <x v="2"/>
    <s v="Q3"/>
    <s v="Electric"/>
    <x v="0"/>
    <s v="50+"/>
    <s v="High"/>
    <x v="1"/>
    <x v="3"/>
    <s v="Sales_2"/>
    <n v="309"/>
    <n v="196"/>
    <n v="145"/>
    <n v="44"/>
    <s v="22.45"/>
    <n v="50826"/>
    <s v="3.39"/>
    <n v="40185"/>
    <n v="2236344"/>
    <n v="468204"/>
    <s v="Feb"/>
    <n v="2"/>
    <n v="2026"/>
    <s v="Weekend"/>
    <n v="0.30344827586206896"/>
    <n v="0.63430420711974111"/>
    <n v="0.14239482200647249"/>
    <n v="10641"/>
    <s v="Rhein Auto Group"/>
  </r>
  <r>
    <s v="CUST_3125"/>
    <x v="3"/>
    <x v="1"/>
    <s v="Sunday"/>
    <s v="Yes"/>
    <x v="6"/>
    <x v="6"/>
    <s v="Saxony"/>
    <x v="4"/>
    <s v="Golf"/>
    <s v="Hybrid"/>
    <x v="2"/>
    <s v="36-50"/>
    <s v="High"/>
    <x v="0"/>
    <x v="1"/>
    <s v="Sales_13"/>
    <n v="325"/>
    <n v="171"/>
    <n v="107"/>
    <n v="31"/>
    <s v="18.13"/>
    <n v="28899"/>
    <s v="11.99"/>
    <n v="26133"/>
    <n v="895869"/>
    <n v="85746"/>
    <s v="Feb"/>
    <n v="2"/>
    <n v="2026"/>
    <s v="Weekend"/>
    <n v="0.28971962616822428"/>
    <n v="0.52615384615384619"/>
    <n v="9.5384615384615387E-2"/>
    <n v="2766"/>
    <s v="Leipzig Mobility"/>
  </r>
  <r>
    <s v="CUST_3126"/>
    <x v="20"/>
    <x v="0"/>
    <s v="Thursday"/>
    <s v="No"/>
    <x v="0"/>
    <x v="0"/>
    <s v="Hesse"/>
    <x v="1"/>
    <s v="Crossland"/>
    <s v="Electric"/>
    <x v="0"/>
    <s v="36-50"/>
    <s v="High"/>
    <x v="0"/>
    <x v="3"/>
    <s v="Sales_7"/>
    <n v="266"/>
    <n v="117"/>
    <n v="76"/>
    <n v="16"/>
    <s v="13.68"/>
    <n v="21418"/>
    <s v="9.47"/>
    <n v="19522"/>
    <n v="342688"/>
    <n v="30336"/>
    <s v="Feb"/>
    <n v="2"/>
    <n v="2026"/>
    <s v="Weekday"/>
    <n v="0.21052631578947367"/>
    <n v="0.43984962406015038"/>
    <n v="6.0150375939849621E-2"/>
    <n v="1896"/>
    <s v="Main Auto Hub"/>
  </r>
  <r>
    <s v="CUST_3127"/>
    <x v="7"/>
    <x v="3"/>
    <s v="Monday"/>
    <s v="No"/>
    <x v="5"/>
    <x v="5"/>
    <s v="Hamburg"/>
    <x v="3"/>
    <s v="C-Class"/>
    <s v="Hybrid"/>
    <x v="1"/>
    <s v="50+"/>
    <s v="Medium"/>
    <x v="1"/>
    <x v="0"/>
    <s v="Sales_14"/>
    <n v="173"/>
    <n v="84"/>
    <n v="56"/>
    <n v="19"/>
    <s v="22.62"/>
    <n v="55335"/>
    <s v="5.73"/>
    <n v="40960"/>
    <n v="1051365"/>
    <n v="273125"/>
    <s v="Feb"/>
    <n v="2"/>
    <n v="2026"/>
    <s v="Weekday"/>
    <n v="0.3392857142857143"/>
    <n v="0.48554913294797686"/>
    <n v="0.10982658959537572"/>
    <n v="14375"/>
    <s v="Elbe Drive"/>
  </r>
  <r>
    <s v="CUST_3128"/>
    <x v="15"/>
    <x v="2"/>
    <s v="Thursday"/>
    <s v="No"/>
    <x v="2"/>
    <x v="2"/>
    <s v="Lower Saxony"/>
    <x v="4"/>
    <s v="T-Roc"/>
    <s v="Petrol"/>
    <x v="0"/>
    <s v="18-25"/>
    <s v="High"/>
    <x v="0"/>
    <x v="2"/>
    <s v="Sales_1"/>
    <n v="282"/>
    <n v="152"/>
    <n v="105"/>
    <n v="32"/>
    <s v="21.05"/>
    <n v="27889"/>
    <s v="9.39"/>
    <n v="24810"/>
    <n v="892448"/>
    <n v="98528"/>
    <s v="Feb"/>
    <n v="2"/>
    <n v="2026"/>
    <s v="Weekday"/>
    <n v="0.30476190476190479"/>
    <n v="0.53900709219858156"/>
    <n v="0.11347517730496454"/>
    <n v="3079"/>
    <s v="Hannover Cars"/>
  </r>
  <r>
    <s v="CUST_3129"/>
    <x v="9"/>
    <x v="0"/>
    <s v="Sunday"/>
    <s v="Yes"/>
    <x v="1"/>
    <x v="1"/>
    <s v="NRW"/>
    <x v="2"/>
    <s v="A3"/>
    <s v="Diesel"/>
    <x v="2"/>
    <s v="50+"/>
    <s v="High"/>
    <x v="0"/>
    <x v="2"/>
    <s v="Sales_7"/>
    <n v="262"/>
    <n v="154"/>
    <n v="98"/>
    <n v="39"/>
    <s v="25.32"/>
    <n v="50953"/>
    <s v="3.75"/>
    <n v="39901"/>
    <n v="1987167"/>
    <n v="431028"/>
    <s v="Feb"/>
    <n v="2"/>
    <n v="2026"/>
    <s v="Weekend"/>
    <n v="0.39795918367346939"/>
    <n v="0.58778625954198471"/>
    <n v="0.14885496183206107"/>
    <n v="11052"/>
    <s v="Rhein Auto Group"/>
  </r>
  <r>
    <s v="CUST_3130"/>
    <x v="19"/>
    <x v="1"/>
    <s v="Saturday"/>
    <s v="Yes"/>
    <x v="9"/>
    <x v="9"/>
    <s v="NRW"/>
    <x v="1"/>
    <s v="Astra"/>
    <s v="Electric"/>
    <x v="2"/>
    <s v="36-50"/>
    <s v="High"/>
    <x v="0"/>
    <x v="2"/>
    <s v="Sales_15"/>
    <n v="290"/>
    <n v="148"/>
    <n v="89"/>
    <n v="27"/>
    <s v="18.24"/>
    <n v="23544"/>
    <s v="13.77"/>
    <n v="21323"/>
    <n v="635688"/>
    <n v="59967"/>
    <s v="Feb"/>
    <n v="2"/>
    <n v="2026"/>
    <s v="Weekend"/>
    <n v="0.30337078651685395"/>
    <n v="0.51034482758620692"/>
    <n v="9.3103448275862075E-2"/>
    <n v="2221"/>
    <s v="Ruhr Auto Plaza"/>
  </r>
  <r>
    <s v="CUST_3131"/>
    <x v="6"/>
    <x v="2"/>
    <s v="Saturday"/>
    <s v="Yes"/>
    <x v="1"/>
    <x v="1"/>
    <s v="NRW"/>
    <x v="2"/>
    <s v="Q3"/>
    <s v="Petrol"/>
    <x v="0"/>
    <s v="26-35"/>
    <s v="Medium"/>
    <x v="1"/>
    <x v="3"/>
    <s v="Sales_11"/>
    <n v="210"/>
    <n v="99"/>
    <n v="76"/>
    <n v="23"/>
    <s v="23.23"/>
    <n v="51722"/>
    <s v="4.54"/>
    <n v="41085"/>
    <n v="1189606"/>
    <n v="244651"/>
    <s v="Feb"/>
    <n v="2"/>
    <n v="2026"/>
    <s v="Weekend"/>
    <n v="0.30263157894736842"/>
    <n v="0.47142857142857142"/>
    <n v="0.10952380952380952"/>
    <n v="10637"/>
    <s v="Rhein Auto Group"/>
  </r>
  <r>
    <s v="CUST_3132"/>
    <x v="5"/>
    <x v="3"/>
    <s v="Saturday"/>
    <s v="Yes"/>
    <x v="1"/>
    <x v="1"/>
    <s v="NRW"/>
    <x v="2"/>
    <s v="Q5"/>
    <s v="Petrol"/>
    <x v="0"/>
    <s v="50+"/>
    <s v="Medium"/>
    <x v="1"/>
    <x v="1"/>
    <s v="Sales_9"/>
    <n v="232"/>
    <n v="107"/>
    <n v="81"/>
    <n v="23"/>
    <s v="21.5"/>
    <n v="49231"/>
    <s v="3.69"/>
    <n v="40070"/>
    <n v="1132313"/>
    <n v="210703"/>
    <s v="Feb"/>
    <n v="2"/>
    <n v="2026"/>
    <s v="Weekend"/>
    <n v="0.2839506172839506"/>
    <n v="0.46120689655172414"/>
    <n v="9.9137931034482762E-2"/>
    <n v="9161"/>
    <s v="Rhein Auto Group"/>
  </r>
  <r>
    <s v="CUST_3133"/>
    <x v="3"/>
    <x v="1"/>
    <s v="Sunday"/>
    <s v="Yes"/>
    <x v="5"/>
    <x v="5"/>
    <s v="Hamburg"/>
    <x v="1"/>
    <s v="Mokka"/>
    <s v="Electric"/>
    <x v="0"/>
    <s v="18-25"/>
    <s v="Low"/>
    <x v="1"/>
    <x v="1"/>
    <s v="Sales_16"/>
    <n v="289"/>
    <n v="123"/>
    <n v="70"/>
    <n v="21"/>
    <s v="17.07"/>
    <n v="19161"/>
    <s v="13.05"/>
    <n v="17638"/>
    <n v="402381"/>
    <n v="31983"/>
    <s v="Feb"/>
    <n v="2"/>
    <n v="2026"/>
    <s v="Weekend"/>
    <n v="0.3"/>
    <n v="0.42560553633217996"/>
    <n v="7.2664359861591699E-2"/>
    <n v="1523"/>
    <s v="Elbe Drive"/>
  </r>
  <r>
    <s v="CUST_3134"/>
    <x v="20"/>
    <x v="0"/>
    <s v="Thursday"/>
    <s v="No"/>
    <x v="2"/>
    <x v="2"/>
    <s v="Lower Saxony"/>
    <x v="3"/>
    <s v="EQE"/>
    <s v="Petrol"/>
    <x v="1"/>
    <s v="36-50"/>
    <s v="Low"/>
    <x v="1"/>
    <x v="1"/>
    <s v="Sales_19"/>
    <n v="172"/>
    <n v="94"/>
    <n v="69"/>
    <n v="22"/>
    <s v="23.4"/>
    <n v="65564"/>
    <s v="5.08"/>
    <n v="47468"/>
    <n v="1442408"/>
    <n v="398112"/>
    <s v="Feb"/>
    <n v="2"/>
    <n v="2026"/>
    <s v="Weekday"/>
    <n v="0.3188405797101449"/>
    <n v="0.54651162790697672"/>
    <n v="0.12790697674418605"/>
    <n v="18096"/>
    <s v="Hannover Cars"/>
  </r>
  <r>
    <s v="CUST_3135"/>
    <x v="7"/>
    <x v="3"/>
    <s v="Monday"/>
    <s v="No"/>
    <x v="7"/>
    <x v="7"/>
    <s v="Bavaria"/>
    <x v="3"/>
    <s v="C-Class"/>
    <s v="Electric"/>
    <x v="1"/>
    <s v="18-25"/>
    <s v="Medium"/>
    <x v="1"/>
    <x v="1"/>
    <s v="Sales_10"/>
    <n v="189"/>
    <n v="97"/>
    <n v="67"/>
    <n v="27"/>
    <s v="27.84"/>
    <n v="66836"/>
    <s v="2.54"/>
    <n v="47888"/>
    <n v="1804572"/>
    <n v="511596"/>
    <s v="Feb"/>
    <n v="2"/>
    <n v="2026"/>
    <s v="Weekday"/>
    <n v="0.40298507462686567"/>
    <n v="0.51322751322751325"/>
    <n v="0.14285714285714285"/>
    <n v="18948"/>
    <s v="Bavaria Motors"/>
  </r>
  <r>
    <s v="CUST_3136"/>
    <x v="19"/>
    <x v="1"/>
    <s v="Saturday"/>
    <s v="Yes"/>
    <x v="7"/>
    <x v="7"/>
    <s v="Bavaria"/>
    <x v="0"/>
    <s v="i4"/>
    <s v="Petrol"/>
    <x v="1"/>
    <s v="26-35"/>
    <s v="High"/>
    <x v="1"/>
    <x v="3"/>
    <s v="Sales_3"/>
    <n v="178"/>
    <n v="100"/>
    <n v="77"/>
    <n v="25"/>
    <s v="25.0"/>
    <n v="51949"/>
    <s v="2.28"/>
    <n v="37488"/>
    <n v="1298725"/>
    <n v="361525"/>
    <s v="Feb"/>
    <n v="2"/>
    <n v="2026"/>
    <s v="Weekend"/>
    <n v="0.32467532467532467"/>
    <n v="0.5617977528089888"/>
    <n v="0.1404494382022472"/>
    <n v="14461"/>
    <s v="Bavaria Motors"/>
  </r>
  <r>
    <s v="CUST_3137"/>
    <x v="4"/>
    <x v="2"/>
    <s v="Wednesday"/>
    <s v="No"/>
    <x v="1"/>
    <x v="1"/>
    <s v="NRW"/>
    <x v="2"/>
    <s v="e-tron"/>
    <s v="Petrol"/>
    <x v="0"/>
    <s v="36-50"/>
    <s v="High"/>
    <x v="0"/>
    <x v="3"/>
    <s v="Sales_11"/>
    <n v="180"/>
    <n v="85"/>
    <n v="62"/>
    <n v="19"/>
    <s v="22.35"/>
    <n v="47795"/>
    <s v="6.64"/>
    <n v="37810"/>
    <n v="908105"/>
    <n v="189715"/>
    <s v="Feb"/>
    <n v="2"/>
    <n v="2026"/>
    <s v="Weekday"/>
    <n v="0.30645161290322581"/>
    <n v="0.47222222222222221"/>
    <n v="0.10555555555555556"/>
    <n v="9985"/>
    <s v="Rhein Auto Group"/>
  </r>
  <r>
    <s v="CUST_3138"/>
    <x v="3"/>
    <x v="1"/>
    <s v="Sunday"/>
    <s v="Yes"/>
    <x v="0"/>
    <x v="0"/>
    <s v="Hesse"/>
    <x v="3"/>
    <s v="C-Class"/>
    <s v="Electric"/>
    <x v="1"/>
    <s v="18-25"/>
    <s v="Medium"/>
    <x v="1"/>
    <x v="3"/>
    <s v="Sales_11"/>
    <n v="158"/>
    <n v="90"/>
    <n v="65"/>
    <n v="21"/>
    <s v="23.33"/>
    <n v="61378"/>
    <s v="5.23"/>
    <n v="43844"/>
    <n v="1288938"/>
    <n v="368214"/>
    <s v="Feb"/>
    <n v="2"/>
    <n v="2026"/>
    <s v="Weekend"/>
    <n v="0.32307692307692309"/>
    <n v="0.569620253164557"/>
    <n v="0.13291139240506328"/>
    <n v="17534"/>
    <s v="Main Auto Hub"/>
  </r>
  <r>
    <s v="CUST_3139"/>
    <x v="6"/>
    <x v="2"/>
    <s v="Saturday"/>
    <s v="Yes"/>
    <x v="3"/>
    <x v="3"/>
    <s v="Saxony"/>
    <x v="1"/>
    <s v="Grandland"/>
    <s v="Hybrid"/>
    <x v="0"/>
    <s v="18-25"/>
    <s v="High"/>
    <x v="0"/>
    <x v="2"/>
    <s v="Sales_13"/>
    <n v="302"/>
    <n v="133"/>
    <n v="80"/>
    <n v="22"/>
    <s v="16.54"/>
    <n v="24200"/>
    <s v="13.82"/>
    <n v="21748"/>
    <n v="532400"/>
    <n v="53944"/>
    <s v="Feb"/>
    <n v="2"/>
    <n v="2026"/>
    <s v="Weekend"/>
    <n v="0.27500000000000002"/>
    <n v="0.44039735099337746"/>
    <n v="7.2847682119205295E-2"/>
    <n v="2452"/>
    <s v="Saxon Wheels"/>
  </r>
  <r>
    <s v="CUST_3140"/>
    <x v="23"/>
    <x v="2"/>
    <s v="Tuesday"/>
    <s v="No"/>
    <x v="8"/>
    <x v="8"/>
    <s v="Baden-WÃ¼rttemberg"/>
    <x v="2"/>
    <s v="Q5"/>
    <s v="Electric"/>
    <x v="0"/>
    <s v="18-25"/>
    <s v="Low"/>
    <x v="1"/>
    <x v="0"/>
    <s v="Sales_7"/>
    <n v="259"/>
    <n v="145"/>
    <n v="103"/>
    <n v="30"/>
    <s v="20.69"/>
    <n v="54889"/>
    <s v="5.19"/>
    <n v="43575"/>
    <n v="1646670"/>
    <n v="339420"/>
    <s v="Feb"/>
    <n v="2"/>
    <n v="2026"/>
    <s v="Weekday"/>
    <n v="0.29126213592233008"/>
    <n v="0.55984555984555984"/>
    <n v="0.11583011583011583"/>
    <n v="11314"/>
    <s v="Stuttgart Auto Center"/>
  </r>
  <r>
    <s v="CUST_3141"/>
    <x v="12"/>
    <x v="3"/>
    <s v="Thursday"/>
    <s v="No"/>
    <x v="2"/>
    <x v="2"/>
    <s v="Lower Saxony"/>
    <x v="4"/>
    <s v="T-Roc"/>
    <s v="Petrol"/>
    <x v="0"/>
    <s v="26-35"/>
    <s v="Low"/>
    <x v="0"/>
    <x v="2"/>
    <s v="Sales_1"/>
    <n v="287"/>
    <n v="143"/>
    <n v="96"/>
    <n v="29"/>
    <s v="20.28"/>
    <n v="28355"/>
    <s v="7.82"/>
    <n v="24734"/>
    <n v="822295"/>
    <n v="105009"/>
    <s v="Feb"/>
    <n v="2"/>
    <n v="2026"/>
    <s v="Weekday"/>
    <n v="0.30208333333333331"/>
    <n v="0.49825783972125437"/>
    <n v="0.10104529616724739"/>
    <n v="3621"/>
    <s v="Hannover Cars"/>
  </r>
  <r>
    <s v="CUST_3142"/>
    <x v="3"/>
    <x v="1"/>
    <s v="Sunday"/>
    <s v="Yes"/>
    <x v="8"/>
    <x v="8"/>
    <s v="Baden-WÃ¼rttemberg"/>
    <x v="2"/>
    <s v="e-tron"/>
    <s v="Hybrid"/>
    <x v="0"/>
    <s v="50+"/>
    <s v="Medium"/>
    <x v="1"/>
    <x v="0"/>
    <s v="Sales_12"/>
    <n v="248"/>
    <n v="116"/>
    <n v="74"/>
    <n v="23"/>
    <s v="19.83"/>
    <n v="46483"/>
    <s v="3.04"/>
    <n v="36848"/>
    <n v="1069109"/>
    <n v="221605"/>
    <s v="Feb"/>
    <n v="2"/>
    <n v="2026"/>
    <s v="Weekend"/>
    <n v="0.3108108108108108"/>
    <n v="0.46774193548387094"/>
    <n v="9.2741935483870969E-2"/>
    <n v="9635"/>
    <s v="Stuttgart Auto Center"/>
  </r>
  <r>
    <s v="CUST_3143"/>
    <x v="3"/>
    <x v="1"/>
    <s v="Sunday"/>
    <s v="Yes"/>
    <x v="7"/>
    <x v="7"/>
    <s v="Bavaria"/>
    <x v="3"/>
    <s v="GLE"/>
    <s v="Electric"/>
    <x v="0"/>
    <s v="18-25"/>
    <s v="High"/>
    <x v="1"/>
    <x v="2"/>
    <s v="Sales_3"/>
    <n v="245"/>
    <n v="130"/>
    <n v="101"/>
    <n v="34"/>
    <s v="26.15"/>
    <n v="58114"/>
    <s v="3.27"/>
    <n v="41349"/>
    <n v="1975876"/>
    <n v="570010"/>
    <s v="Feb"/>
    <n v="2"/>
    <n v="2026"/>
    <s v="Weekend"/>
    <n v="0.33663366336633666"/>
    <n v="0.53061224489795922"/>
    <n v="0.13877551020408163"/>
    <n v="16765"/>
    <s v="Bavaria Motors"/>
  </r>
  <r>
    <s v="CUST_3144"/>
    <x v="12"/>
    <x v="3"/>
    <s v="Thursday"/>
    <s v="No"/>
    <x v="2"/>
    <x v="2"/>
    <s v="Lower Saxony"/>
    <x v="0"/>
    <s v="i4"/>
    <s v="Petrol"/>
    <x v="1"/>
    <s v="36-50"/>
    <s v="High"/>
    <x v="0"/>
    <x v="0"/>
    <s v="Sales_17"/>
    <n v="204"/>
    <n v="95"/>
    <n v="70"/>
    <n v="23"/>
    <s v="24.21"/>
    <n v="62619"/>
    <s v="5.65"/>
    <n v="48795"/>
    <n v="1440237"/>
    <n v="317952"/>
    <s v="Feb"/>
    <n v="2"/>
    <n v="2026"/>
    <s v="Weekday"/>
    <n v="0.32857142857142857"/>
    <n v="0.46568627450980393"/>
    <n v="0.11274509803921569"/>
    <n v="13824"/>
    <s v="Hannover Cars"/>
  </r>
  <r>
    <s v="CUST_3145"/>
    <x v="0"/>
    <x v="0"/>
    <s v="Monday"/>
    <s v="No"/>
    <x v="1"/>
    <x v="1"/>
    <s v="NRW"/>
    <x v="4"/>
    <s v="T-Roc"/>
    <s v="Diesel"/>
    <x v="0"/>
    <s v="36-50"/>
    <s v="High"/>
    <x v="0"/>
    <x v="1"/>
    <s v="Sales_10"/>
    <n v="303"/>
    <n v="150"/>
    <n v="106"/>
    <n v="23"/>
    <s v="15.33"/>
    <n v="30000"/>
    <s v="10.9"/>
    <n v="27265"/>
    <n v="690000"/>
    <n v="62905"/>
    <s v="Feb"/>
    <n v="2"/>
    <n v="2026"/>
    <s v="Weekday"/>
    <n v="0.21698113207547171"/>
    <n v="0.49504950495049505"/>
    <n v="7.590759075907591E-2"/>
    <n v="2735"/>
    <s v="Rhein Auto Group"/>
  </r>
  <r>
    <s v="CUST_3146"/>
    <x v="9"/>
    <x v="0"/>
    <s v="Sunday"/>
    <s v="Yes"/>
    <x v="6"/>
    <x v="6"/>
    <s v="Saxony"/>
    <x v="4"/>
    <s v="ID.4"/>
    <s v="Diesel"/>
    <x v="0"/>
    <s v="50+"/>
    <s v="High"/>
    <x v="1"/>
    <x v="0"/>
    <s v="Sales_6"/>
    <n v="460"/>
    <n v="195"/>
    <n v="135"/>
    <n v="20"/>
    <s v="10.26"/>
    <n v="26878"/>
    <s v="7.87"/>
    <n v="24046"/>
    <n v="537560"/>
    <n v="56640"/>
    <s v="Feb"/>
    <n v="2"/>
    <n v="2026"/>
    <s v="Weekend"/>
    <n v="0.14814814814814814"/>
    <n v="0.42391304347826086"/>
    <n v="4.3478260869565216E-2"/>
    <n v="2832"/>
    <s v="Leipzig Mobility"/>
  </r>
  <r>
    <s v="CUST_3147"/>
    <x v="7"/>
    <x v="3"/>
    <s v="Monday"/>
    <s v="No"/>
    <x v="7"/>
    <x v="7"/>
    <s v="Bavaria"/>
    <x v="4"/>
    <s v="T-Roc"/>
    <s v="Hybrid"/>
    <x v="0"/>
    <s v="50+"/>
    <s v="Medium"/>
    <x v="0"/>
    <x v="1"/>
    <s v="Sales_14"/>
    <n v="447"/>
    <n v="213"/>
    <n v="130"/>
    <n v="46"/>
    <s v="21.6"/>
    <n v="32251"/>
    <s v="6.89"/>
    <n v="29140"/>
    <n v="1483546"/>
    <n v="143106"/>
    <s v="Feb"/>
    <n v="2"/>
    <n v="2026"/>
    <s v="Weekday"/>
    <n v="0.35384615384615387"/>
    <n v="0.47651006711409394"/>
    <n v="0.1029082774049217"/>
    <n v="3111"/>
    <s v="Bavaria Motors"/>
  </r>
  <r>
    <s v="CUST_3148"/>
    <x v="18"/>
    <x v="0"/>
    <s v="Saturday"/>
    <s v="Yes"/>
    <x v="8"/>
    <x v="8"/>
    <s v="Baden-WÃ¼rttemberg"/>
    <x v="2"/>
    <s v="A3"/>
    <s v="Diesel"/>
    <x v="2"/>
    <s v="36-50"/>
    <s v="Low"/>
    <x v="0"/>
    <x v="3"/>
    <s v="Sales_9"/>
    <n v="189"/>
    <n v="106"/>
    <n v="76"/>
    <n v="23"/>
    <s v="21.7"/>
    <n v="54061"/>
    <s v="4.47"/>
    <n v="40970"/>
    <n v="1243403"/>
    <n v="301093"/>
    <s v="Feb"/>
    <n v="2"/>
    <n v="2026"/>
    <s v="Weekend"/>
    <n v="0.30263157894736842"/>
    <n v="0.56084656084656082"/>
    <n v="0.12169312169312169"/>
    <n v="13091"/>
    <s v="Stuttgart Auto Center"/>
  </r>
  <r>
    <s v="CUST_3149"/>
    <x v="0"/>
    <x v="0"/>
    <s v="Monday"/>
    <s v="No"/>
    <x v="4"/>
    <x v="4"/>
    <s v="Berlin"/>
    <x v="3"/>
    <s v="GLE"/>
    <s v="Diesel"/>
    <x v="0"/>
    <s v="18-25"/>
    <s v="Medium"/>
    <x v="0"/>
    <x v="0"/>
    <s v="Sales_4"/>
    <n v="229"/>
    <n v="103"/>
    <n v="76"/>
    <n v="24"/>
    <s v="23.3"/>
    <n v="70307"/>
    <s v="3.8"/>
    <n v="50411"/>
    <n v="1687368"/>
    <n v="477504"/>
    <s v="Feb"/>
    <n v="2"/>
    <n v="2026"/>
    <s v="Weekday"/>
    <n v="0.31578947368421051"/>
    <n v="0.44978165938864628"/>
    <n v="0.10480349344978165"/>
    <n v="19896"/>
    <s v="Autohaus Berlin"/>
  </r>
  <r>
    <s v="CUST_3150"/>
    <x v="23"/>
    <x v="2"/>
    <s v="Tuesday"/>
    <s v="No"/>
    <x v="1"/>
    <x v="1"/>
    <s v="NRW"/>
    <x v="0"/>
    <s v="i4"/>
    <s v="Electric"/>
    <x v="1"/>
    <s v="26-35"/>
    <s v="High"/>
    <x v="1"/>
    <x v="1"/>
    <s v="Sales_5"/>
    <n v="237"/>
    <n v="117"/>
    <n v="87"/>
    <n v="35"/>
    <s v="29.91"/>
    <n v="51178"/>
    <s v="5.04"/>
    <n v="39059"/>
    <n v="1791230"/>
    <n v="424165"/>
    <s v="Feb"/>
    <n v="2"/>
    <n v="2026"/>
    <s v="Weekday"/>
    <n v="0.40229885057471265"/>
    <n v="0.49367088607594939"/>
    <n v="0.14767932489451477"/>
    <n v="12119"/>
    <s v="Rhein Auto Group"/>
  </r>
  <r>
    <s v="CUST_3151"/>
    <x v="15"/>
    <x v="2"/>
    <s v="Thursday"/>
    <s v="No"/>
    <x v="5"/>
    <x v="5"/>
    <s v="Hamburg"/>
    <x v="2"/>
    <s v="A4"/>
    <s v="Hybrid"/>
    <x v="1"/>
    <s v="18-25"/>
    <s v="High"/>
    <x v="1"/>
    <x v="3"/>
    <s v="Sales_16"/>
    <n v="225"/>
    <n v="104"/>
    <n v="78"/>
    <n v="23"/>
    <s v="22.12"/>
    <n v="44451"/>
    <s v="4.43"/>
    <n v="34698"/>
    <n v="1022373"/>
    <n v="224319"/>
    <s v="Feb"/>
    <n v="2"/>
    <n v="2026"/>
    <s v="Weekday"/>
    <n v="0.29487179487179488"/>
    <n v="0.4622222222222222"/>
    <n v="0.10222222222222223"/>
    <n v="9753"/>
    <s v="Elbe Drive"/>
  </r>
  <r>
    <s v="CUST_3152"/>
    <x v="4"/>
    <x v="2"/>
    <s v="Wednesday"/>
    <s v="No"/>
    <x v="3"/>
    <x v="3"/>
    <s v="Saxony"/>
    <x v="0"/>
    <s v="5 Series"/>
    <s v="Diesel"/>
    <x v="1"/>
    <s v="36-50"/>
    <s v="High"/>
    <x v="1"/>
    <x v="0"/>
    <s v="Sales_6"/>
    <n v="214"/>
    <n v="104"/>
    <n v="76"/>
    <n v="25"/>
    <s v="24.04"/>
    <n v="67139"/>
    <s v="2.58"/>
    <n v="47610"/>
    <n v="1678475"/>
    <n v="488225"/>
    <s v="Feb"/>
    <n v="2"/>
    <n v="2026"/>
    <s v="Weekday"/>
    <n v="0.32894736842105265"/>
    <n v="0.48598130841121495"/>
    <n v="0.11682242990654206"/>
    <n v="19529"/>
    <s v="Saxon Wheels"/>
  </r>
  <r>
    <s v="CUST_3153"/>
    <x v="15"/>
    <x v="2"/>
    <s v="Thursday"/>
    <s v="No"/>
    <x v="3"/>
    <x v="3"/>
    <s v="Saxony"/>
    <x v="0"/>
    <s v="X3"/>
    <s v="Diesel"/>
    <x v="0"/>
    <s v="26-35"/>
    <s v="Low"/>
    <x v="0"/>
    <x v="1"/>
    <s v="Sales_11"/>
    <n v="221"/>
    <n v="133"/>
    <n v="99"/>
    <n v="37"/>
    <s v="27.82"/>
    <n v="68053"/>
    <s v="2.03"/>
    <n v="50096"/>
    <n v="2517961"/>
    <n v="664409"/>
    <s v="Feb"/>
    <n v="2"/>
    <n v="2026"/>
    <s v="Weekday"/>
    <n v="0.37373737373737376"/>
    <n v="0.60180995475113119"/>
    <n v="0.167420814479638"/>
    <n v="17957"/>
    <s v="Saxon Wheels"/>
  </r>
  <r>
    <s v="CUST_3154"/>
    <x v="5"/>
    <x v="3"/>
    <s v="Saturday"/>
    <s v="Yes"/>
    <x v="0"/>
    <x v="0"/>
    <s v="Hesse"/>
    <x v="2"/>
    <s v="e-tron"/>
    <s v="Petrol"/>
    <x v="0"/>
    <s v="50+"/>
    <s v="High"/>
    <x v="0"/>
    <x v="2"/>
    <s v="Sales_2"/>
    <n v="164"/>
    <n v="95"/>
    <n v="69"/>
    <n v="26"/>
    <s v="27.37"/>
    <n v="40931"/>
    <s v="6.84"/>
    <n v="32877"/>
    <n v="1064206"/>
    <n v="209404"/>
    <s v="Feb"/>
    <n v="2"/>
    <n v="2026"/>
    <s v="Weekend"/>
    <n v="0.37681159420289856"/>
    <n v="0.57926829268292679"/>
    <n v="0.15853658536585366"/>
    <n v="8054"/>
    <s v="Main Auto Hub"/>
  </r>
  <r>
    <s v="CUST_3155"/>
    <x v="23"/>
    <x v="2"/>
    <s v="Tuesday"/>
    <s v="No"/>
    <x v="2"/>
    <x v="2"/>
    <s v="Lower Saxony"/>
    <x v="1"/>
    <s v="Mokka"/>
    <s v="Electric"/>
    <x v="0"/>
    <s v="26-35"/>
    <s v="Low"/>
    <x v="0"/>
    <x v="1"/>
    <s v="Sales_2"/>
    <n v="273"/>
    <n v="141"/>
    <n v="91"/>
    <n v="24"/>
    <s v="17.02"/>
    <n v="23696"/>
    <s v="7.82"/>
    <n v="21124"/>
    <n v="568704"/>
    <n v="61728"/>
    <s v="Feb"/>
    <n v="2"/>
    <n v="2026"/>
    <s v="Weekday"/>
    <n v="0.26373626373626374"/>
    <n v="0.51648351648351654"/>
    <n v="8.7912087912087919E-2"/>
    <n v="2572"/>
    <s v="Hannover Cars"/>
  </r>
  <r>
    <s v="CUST_3156"/>
    <x v="27"/>
    <x v="3"/>
    <s v="Sunday"/>
    <s v="Yes"/>
    <x v="7"/>
    <x v="7"/>
    <s v="Bavaria"/>
    <x v="3"/>
    <s v="GLE"/>
    <s v="Hybrid"/>
    <x v="0"/>
    <s v="36-50"/>
    <s v="Low"/>
    <x v="1"/>
    <x v="3"/>
    <s v="Sales_6"/>
    <n v="251"/>
    <n v="129"/>
    <n v="97"/>
    <n v="32"/>
    <s v="24.81"/>
    <n v="55121"/>
    <s v="2.95"/>
    <n v="42249"/>
    <n v="1763872"/>
    <n v="411904"/>
    <s v="Feb"/>
    <n v="2"/>
    <n v="2026"/>
    <s v="Weekend"/>
    <n v="0.32989690721649484"/>
    <n v="0.51394422310756971"/>
    <n v="0.12749003984063745"/>
    <n v="12872"/>
    <s v="Bavaria Motors"/>
  </r>
  <r>
    <s v="CUST_3157"/>
    <x v="5"/>
    <x v="3"/>
    <s v="Saturday"/>
    <s v="Yes"/>
    <x v="4"/>
    <x v="4"/>
    <s v="Berlin"/>
    <x v="2"/>
    <s v="Q3"/>
    <s v="Petrol"/>
    <x v="0"/>
    <s v="18-25"/>
    <s v="Low"/>
    <x v="0"/>
    <x v="3"/>
    <s v="Sales_16"/>
    <n v="253"/>
    <n v="121"/>
    <n v="88"/>
    <n v="27"/>
    <s v="22.31"/>
    <n v="53225"/>
    <s v="4.09"/>
    <n v="40309"/>
    <n v="1437075"/>
    <n v="348732"/>
    <s v="Feb"/>
    <n v="2"/>
    <n v="2026"/>
    <s v="Weekend"/>
    <n v="0.30681818181818182"/>
    <n v="0.47826086956521741"/>
    <n v="0.1067193675889328"/>
    <n v="12916"/>
    <s v="Autohaus Berlin"/>
  </r>
  <r>
    <s v="CUST_3158"/>
    <x v="23"/>
    <x v="2"/>
    <s v="Tuesday"/>
    <s v="No"/>
    <x v="7"/>
    <x v="7"/>
    <s v="Bavaria"/>
    <x v="4"/>
    <s v="Tiguan"/>
    <s v="Electric"/>
    <x v="0"/>
    <s v="50+"/>
    <s v="Medium"/>
    <x v="1"/>
    <x v="2"/>
    <s v="Sales_13"/>
    <n v="411"/>
    <n v="208"/>
    <n v="141"/>
    <n v="40"/>
    <s v="19.23"/>
    <n v="27102"/>
    <s v="9.11"/>
    <n v="24161"/>
    <n v="1084080"/>
    <n v="117640"/>
    <s v="Feb"/>
    <n v="2"/>
    <n v="2026"/>
    <s v="Weekday"/>
    <n v="0.28368794326241137"/>
    <n v="0.5060827250608273"/>
    <n v="9.7323600973236016E-2"/>
    <n v="2941"/>
    <s v="Bavaria Motors"/>
  </r>
  <r>
    <s v="CUST_3159"/>
    <x v="23"/>
    <x v="2"/>
    <s v="Tuesday"/>
    <s v="No"/>
    <x v="6"/>
    <x v="6"/>
    <s v="Saxony"/>
    <x v="3"/>
    <s v="C-Class"/>
    <s v="Electric"/>
    <x v="1"/>
    <s v="18-25"/>
    <s v="Medium"/>
    <x v="0"/>
    <x v="2"/>
    <s v="Sales_2"/>
    <n v="259"/>
    <n v="148"/>
    <n v="107"/>
    <n v="38"/>
    <s v="25.68"/>
    <n v="54309"/>
    <s v="2.66"/>
    <n v="38762"/>
    <n v="2063742"/>
    <n v="590786"/>
    <s v="Feb"/>
    <n v="2"/>
    <n v="2026"/>
    <s v="Weekday"/>
    <n v="0.35514018691588783"/>
    <n v="0.5714285714285714"/>
    <n v="0.14671814671814673"/>
    <n v="15547"/>
    <s v="Leipzig Mobility"/>
  </r>
  <r>
    <s v="CUST_3160"/>
    <x v="10"/>
    <x v="1"/>
    <s v="Monday"/>
    <s v="No"/>
    <x v="3"/>
    <x v="3"/>
    <s v="Saxony"/>
    <x v="1"/>
    <s v="Mokka"/>
    <s v="Electric"/>
    <x v="0"/>
    <s v="36-50"/>
    <s v="High"/>
    <x v="1"/>
    <x v="3"/>
    <s v="Sales_8"/>
    <n v="324"/>
    <n v="134"/>
    <n v="88"/>
    <n v="20"/>
    <s v="14.93"/>
    <n v="24093"/>
    <s v="12.11"/>
    <n v="22246"/>
    <n v="481860"/>
    <n v="36940"/>
    <s v="Feb"/>
    <n v="2"/>
    <n v="2026"/>
    <s v="Weekday"/>
    <n v="0.22727272727272727"/>
    <n v="0.41358024691358025"/>
    <n v="6.1728395061728392E-2"/>
    <n v="1847"/>
    <s v="Saxon Wheels"/>
  </r>
  <r>
    <s v="CUST_3161"/>
    <x v="12"/>
    <x v="3"/>
    <s v="Thursday"/>
    <s v="No"/>
    <x v="1"/>
    <x v="1"/>
    <s v="NRW"/>
    <x v="2"/>
    <s v="Q5"/>
    <s v="Petrol"/>
    <x v="0"/>
    <s v="18-25"/>
    <s v="Medium"/>
    <x v="0"/>
    <x v="3"/>
    <s v="Sales_11"/>
    <n v="294"/>
    <n v="156"/>
    <n v="116"/>
    <n v="38"/>
    <s v="24.36"/>
    <n v="40283"/>
    <s v="6.89"/>
    <n v="32069"/>
    <n v="1530754"/>
    <n v="312132"/>
    <s v="Feb"/>
    <n v="2"/>
    <n v="2026"/>
    <s v="Weekday"/>
    <n v="0.32758620689655171"/>
    <n v="0.53061224489795922"/>
    <n v="0.12925170068027211"/>
    <n v="8214"/>
    <s v="Rhein Auto Group"/>
  </r>
  <r>
    <s v="CUST_3162"/>
    <x v="1"/>
    <x v="1"/>
    <s v="Wednesday"/>
    <s v="No"/>
    <x v="4"/>
    <x v="4"/>
    <s v="Berlin"/>
    <x v="2"/>
    <s v="Q5"/>
    <s v="Hybrid"/>
    <x v="0"/>
    <s v="18-25"/>
    <s v="Low"/>
    <x v="1"/>
    <x v="0"/>
    <s v="Sales_7"/>
    <n v="200"/>
    <n v="114"/>
    <n v="74"/>
    <n v="23"/>
    <s v="20.18"/>
    <n v="53104"/>
    <s v="6.97"/>
    <n v="42236"/>
    <n v="1221392"/>
    <n v="249964"/>
    <s v="Feb"/>
    <n v="2"/>
    <n v="2026"/>
    <s v="Weekday"/>
    <n v="0.3108108108108108"/>
    <n v="0.56999999999999995"/>
    <n v="0.115"/>
    <n v="10868"/>
    <s v="Autohaus Berlin"/>
  </r>
  <r>
    <s v="CUST_3163"/>
    <x v="18"/>
    <x v="0"/>
    <s v="Saturday"/>
    <s v="Yes"/>
    <x v="3"/>
    <x v="3"/>
    <s v="Saxony"/>
    <x v="4"/>
    <s v="Passat"/>
    <s v="Hybrid"/>
    <x v="1"/>
    <s v="26-35"/>
    <s v="Low"/>
    <x v="1"/>
    <x v="0"/>
    <s v="Sales_17"/>
    <n v="411"/>
    <n v="185"/>
    <n v="119"/>
    <n v="22"/>
    <s v="11.89"/>
    <n v="33076"/>
    <s v="6.12"/>
    <n v="28600"/>
    <n v="727672"/>
    <n v="98472"/>
    <s v="Feb"/>
    <n v="2"/>
    <n v="2026"/>
    <s v="Weekend"/>
    <n v="0.18487394957983194"/>
    <n v="0.45012165450121655"/>
    <n v="5.3527980535279802E-2"/>
    <n v="4476"/>
    <s v="Saxon Wheels"/>
  </r>
  <r>
    <s v="CUST_3164"/>
    <x v="14"/>
    <x v="2"/>
    <s v="Friday"/>
    <s v="No"/>
    <x v="1"/>
    <x v="1"/>
    <s v="NRW"/>
    <x v="0"/>
    <s v="X5"/>
    <s v="Diesel"/>
    <x v="0"/>
    <s v="36-50"/>
    <s v="High"/>
    <x v="0"/>
    <x v="1"/>
    <s v="Sales_20"/>
    <n v="148"/>
    <n v="86"/>
    <n v="64"/>
    <n v="26"/>
    <s v="30.23"/>
    <n v="65276"/>
    <s v="2.08"/>
    <n v="48420"/>
    <n v="1697176"/>
    <n v="438256"/>
    <s v="Feb"/>
    <n v="2"/>
    <n v="2026"/>
    <s v="Weekday"/>
    <n v="0.40625"/>
    <n v="0.58108108108108103"/>
    <n v="0.17567567567567569"/>
    <n v="16856"/>
    <s v="Rhein Auto Group"/>
  </r>
  <r>
    <s v="CUST_3165"/>
    <x v="10"/>
    <x v="1"/>
    <s v="Monday"/>
    <s v="No"/>
    <x v="7"/>
    <x v="7"/>
    <s v="Bavaria"/>
    <x v="2"/>
    <s v="A4"/>
    <s v="Electric"/>
    <x v="1"/>
    <s v="18-25"/>
    <s v="High"/>
    <x v="1"/>
    <x v="3"/>
    <s v="Sales_13"/>
    <n v="306"/>
    <n v="158"/>
    <n v="107"/>
    <n v="38"/>
    <s v="24.05"/>
    <n v="44127"/>
    <s v="3.72"/>
    <n v="33308"/>
    <n v="1676826"/>
    <n v="411122"/>
    <s v="Feb"/>
    <n v="2"/>
    <n v="2026"/>
    <s v="Weekday"/>
    <n v="0.35514018691588783"/>
    <n v="0.5163398692810458"/>
    <n v="0.12418300653594772"/>
    <n v="10819"/>
    <s v="Bavaria Motors"/>
  </r>
  <r>
    <s v="CUST_3166"/>
    <x v="21"/>
    <x v="0"/>
    <s v="Tuesday"/>
    <s v="No"/>
    <x v="7"/>
    <x v="7"/>
    <s v="Bavaria"/>
    <x v="1"/>
    <s v="Crossland"/>
    <s v="Electric"/>
    <x v="0"/>
    <s v="18-25"/>
    <s v="Medium"/>
    <x v="0"/>
    <x v="1"/>
    <s v="Sales_8"/>
    <n v="223"/>
    <n v="102"/>
    <n v="61"/>
    <n v="19"/>
    <s v="18.63"/>
    <n v="22559"/>
    <s v="13.87"/>
    <n v="20628"/>
    <n v="428621"/>
    <n v="36689"/>
    <s v="Feb"/>
    <n v="2"/>
    <n v="2026"/>
    <s v="Weekday"/>
    <n v="0.31147540983606559"/>
    <n v="0.45739910313901344"/>
    <n v="8.520179372197309E-2"/>
    <n v="1931"/>
    <s v="Bavaria Motors"/>
  </r>
  <r>
    <s v="CUST_3167"/>
    <x v="12"/>
    <x v="3"/>
    <s v="Thursday"/>
    <s v="No"/>
    <x v="9"/>
    <x v="9"/>
    <s v="NRW"/>
    <x v="4"/>
    <s v="Passat"/>
    <s v="Diesel"/>
    <x v="1"/>
    <s v="36-50"/>
    <s v="High"/>
    <x v="0"/>
    <x v="3"/>
    <s v="Sales_5"/>
    <n v="388"/>
    <n v="192"/>
    <n v="129"/>
    <n v="26"/>
    <s v="13.54"/>
    <n v="32742"/>
    <s v="7.91"/>
    <n v="28681"/>
    <n v="851292"/>
    <n v="105586"/>
    <s v="Feb"/>
    <n v="2"/>
    <n v="2026"/>
    <s v="Weekday"/>
    <n v="0.20155038759689922"/>
    <n v="0.49484536082474229"/>
    <n v="6.7010309278350513E-2"/>
    <n v="4061"/>
    <s v="Ruhr Auto Plaza"/>
  </r>
  <r>
    <s v="CUST_3168"/>
    <x v="16"/>
    <x v="1"/>
    <s v="Tuesday"/>
    <s v="No"/>
    <x v="2"/>
    <x v="2"/>
    <s v="Lower Saxony"/>
    <x v="2"/>
    <s v="A4"/>
    <s v="Electric"/>
    <x v="1"/>
    <s v="18-25"/>
    <s v="High"/>
    <x v="1"/>
    <x v="3"/>
    <s v="Sales_12"/>
    <n v="295"/>
    <n v="147"/>
    <n v="96"/>
    <n v="29"/>
    <s v="19.73"/>
    <n v="42931"/>
    <s v="3.37"/>
    <n v="33763"/>
    <n v="1244999"/>
    <n v="265872"/>
    <s v="Feb"/>
    <n v="2"/>
    <n v="2026"/>
    <s v="Weekday"/>
    <n v="0.30208333333333331"/>
    <n v="0.49830508474576274"/>
    <n v="9.8305084745762716E-2"/>
    <n v="9168"/>
    <s v="Hannover Cars"/>
  </r>
  <r>
    <s v="CUST_3169"/>
    <x v="12"/>
    <x v="3"/>
    <s v="Thursday"/>
    <s v="No"/>
    <x v="5"/>
    <x v="5"/>
    <s v="Hamburg"/>
    <x v="2"/>
    <s v="Q5"/>
    <s v="Petrol"/>
    <x v="0"/>
    <s v="50+"/>
    <s v="Low"/>
    <x v="1"/>
    <x v="1"/>
    <s v="Sales_3"/>
    <n v="287"/>
    <n v="143"/>
    <n v="104"/>
    <n v="37"/>
    <s v="25.87"/>
    <n v="47421"/>
    <s v="5.32"/>
    <n v="37199"/>
    <n v="1754577"/>
    <n v="378214"/>
    <s v="Feb"/>
    <n v="2"/>
    <n v="2026"/>
    <s v="Weekday"/>
    <n v="0.35576923076923078"/>
    <n v="0.49825783972125437"/>
    <n v="0.1289198606271777"/>
    <n v="10222"/>
    <s v="Elbe Drive"/>
  </r>
  <r>
    <s v="CUST_3170"/>
    <x v="8"/>
    <x v="3"/>
    <s v="Wednesday"/>
    <s v="No"/>
    <x v="3"/>
    <x v="3"/>
    <s v="Saxony"/>
    <x v="1"/>
    <s v="Corsa"/>
    <s v="Petrol"/>
    <x v="2"/>
    <s v="26-35"/>
    <s v="High"/>
    <x v="1"/>
    <x v="1"/>
    <s v="Sales_17"/>
    <n v="268"/>
    <n v="120"/>
    <n v="80"/>
    <n v="18"/>
    <s v="15.0"/>
    <n v="23005"/>
    <s v="12.81"/>
    <n v="20502"/>
    <n v="414090"/>
    <n v="45054"/>
    <s v="Feb"/>
    <n v="2"/>
    <n v="2026"/>
    <s v="Weekday"/>
    <n v="0.22500000000000001"/>
    <n v="0.44776119402985076"/>
    <n v="6.7164179104477612E-2"/>
    <n v="2503"/>
    <s v="Saxon Wheels"/>
  </r>
  <r>
    <s v="CUST_3171"/>
    <x v="24"/>
    <x v="1"/>
    <s v="Thursday"/>
    <s v="No"/>
    <x v="3"/>
    <x v="3"/>
    <s v="Saxony"/>
    <x v="3"/>
    <s v="C-Class"/>
    <s v="Hybrid"/>
    <x v="1"/>
    <s v="26-35"/>
    <s v="Low"/>
    <x v="1"/>
    <x v="1"/>
    <s v="Sales_10"/>
    <n v="163"/>
    <n v="95"/>
    <n v="74"/>
    <n v="22"/>
    <s v="23.16"/>
    <n v="49228"/>
    <s v="5.7"/>
    <n v="35422"/>
    <n v="1083016"/>
    <n v="303732"/>
    <s v="Feb"/>
    <n v="2"/>
    <n v="2026"/>
    <s v="Weekday"/>
    <n v="0.29729729729729731"/>
    <n v="0.58282208588957052"/>
    <n v="0.13496932515337423"/>
    <n v="13806"/>
    <s v="Saxon Wheels"/>
  </r>
  <r>
    <s v="CUST_3172"/>
    <x v="16"/>
    <x v="1"/>
    <s v="Tuesday"/>
    <s v="No"/>
    <x v="4"/>
    <x v="4"/>
    <s v="Berlin"/>
    <x v="4"/>
    <s v="Golf"/>
    <s v="Diesel"/>
    <x v="2"/>
    <s v="18-25"/>
    <s v="High"/>
    <x v="0"/>
    <x v="3"/>
    <s v="Sales_5"/>
    <n v="432"/>
    <n v="221"/>
    <n v="157"/>
    <n v="41"/>
    <s v="18.55"/>
    <n v="26307"/>
    <s v="6.95"/>
    <n v="23870"/>
    <n v="1078587"/>
    <n v="99917"/>
    <s v="Feb"/>
    <n v="2"/>
    <n v="2026"/>
    <s v="Weekday"/>
    <n v="0.26114649681528662"/>
    <n v="0.51157407407407407"/>
    <n v="9.4907407407407413E-2"/>
    <n v="2437"/>
    <s v="Autohaus Berlin"/>
  </r>
  <r>
    <s v="CUST_3173"/>
    <x v="6"/>
    <x v="2"/>
    <s v="Saturday"/>
    <s v="Yes"/>
    <x v="9"/>
    <x v="9"/>
    <s v="NRW"/>
    <x v="0"/>
    <s v="X5"/>
    <s v="Electric"/>
    <x v="0"/>
    <s v="50+"/>
    <s v="Low"/>
    <x v="1"/>
    <x v="3"/>
    <s v="Sales_2"/>
    <n v="252"/>
    <n v="155"/>
    <n v="121"/>
    <n v="35"/>
    <s v="22.58"/>
    <n v="59379"/>
    <s v="3.61"/>
    <n v="46227"/>
    <n v="2078265"/>
    <n v="460320"/>
    <s v="Feb"/>
    <n v="2"/>
    <n v="2026"/>
    <s v="Weekend"/>
    <n v="0.28925619834710742"/>
    <n v="0.61507936507936511"/>
    <n v="0.1388888888888889"/>
    <n v="13152"/>
    <s v="Ruhr Auto Plaza"/>
  </r>
  <r>
    <s v="CUST_3174"/>
    <x v="15"/>
    <x v="2"/>
    <s v="Thursday"/>
    <s v="No"/>
    <x v="4"/>
    <x v="4"/>
    <s v="Berlin"/>
    <x v="2"/>
    <s v="A4"/>
    <s v="Hybrid"/>
    <x v="1"/>
    <s v="26-35"/>
    <s v="High"/>
    <x v="1"/>
    <x v="0"/>
    <s v="Sales_16"/>
    <n v="160"/>
    <n v="84"/>
    <n v="60"/>
    <n v="19"/>
    <s v="22.62"/>
    <n v="40373"/>
    <s v="6.39"/>
    <n v="31518"/>
    <n v="767087"/>
    <n v="168245"/>
    <s v="Feb"/>
    <n v="2"/>
    <n v="2026"/>
    <s v="Weekday"/>
    <n v="0.31666666666666665"/>
    <n v="0.52500000000000002"/>
    <n v="0.11874999999999999"/>
    <n v="8855"/>
    <s v="Autohaus Berlin"/>
  </r>
  <r>
    <s v="CUST_3175"/>
    <x v="17"/>
    <x v="2"/>
    <s v="Sunday"/>
    <s v="Yes"/>
    <x v="3"/>
    <x v="3"/>
    <s v="Saxony"/>
    <x v="4"/>
    <s v="T-Roc"/>
    <s v="Petrol"/>
    <x v="0"/>
    <s v="18-25"/>
    <s v="Medium"/>
    <x v="1"/>
    <x v="2"/>
    <s v="Sales_15"/>
    <n v="415"/>
    <n v="182"/>
    <n v="112"/>
    <n v="31"/>
    <s v="17.03"/>
    <n v="33660"/>
    <s v="9.9"/>
    <n v="30113"/>
    <n v="1043460"/>
    <n v="109957"/>
    <s v="Feb"/>
    <n v="2"/>
    <n v="2026"/>
    <s v="Weekend"/>
    <n v="0.2767857142857143"/>
    <n v="0.43855421686746987"/>
    <n v="7.4698795180722893E-2"/>
    <n v="3547"/>
    <s v="Saxon Wheels"/>
  </r>
  <r>
    <s v="CUST_3176"/>
    <x v="16"/>
    <x v="1"/>
    <s v="Tuesday"/>
    <s v="No"/>
    <x v="9"/>
    <x v="9"/>
    <s v="NRW"/>
    <x v="3"/>
    <s v="GLE"/>
    <s v="Petrol"/>
    <x v="0"/>
    <s v="36-50"/>
    <s v="High"/>
    <x v="1"/>
    <x v="0"/>
    <s v="Sales_19"/>
    <n v="287"/>
    <n v="131"/>
    <n v="97"/>
    <n v="25"/>
    <s v="19.08"/>
    <n v="67588"/>
    <s v="4.03"/>
    <n v="52635"/>
    <n v="1689700"/>
    <n v="373825"/>
    <s v="Feb"/>
    <n v="2"/>
    <n v="2026"/>
    <s v="Weekday"/>
    <n v="0.25773195876288657"/>
    <n v="0.45644599303135891"/>
    <n v="8.7108013937282236E-2"/>
    <n v="14953"/>
    <s v="Ruhr Auto Plaza"/>
  </r>
  <r>
    <s v="CUST_3177"/>
    <x v="20"/>
    <x v="0"/>
    <s v="Thursday"/>
    <s v="No"/>
    <x v="7"/>
    <x v="7"/>
    <s v="Bavaria"/>
    <x v="4"/>
    <s v="ID.4"/>
    <s v="Petrol"/>
    <x v="0"/>
    <s v="26-35"/>
    <s v="Medium"/>
    <x v="1"/>
    <x v="3"/>
    <s v="Sales_12"/>
    <n v="330"/>
    <n v="138"/>
    <n v="89"/>
    <n v="23"/>
    <s v="16.67"/>
    <n v="30229"/>
    <s v="9.71"/>
    <n v="27123"/>
    <n v="695267"/>
    <n v="71438"/>
    <s v="Feb"/>
    <n v="2"/>
    <n v="2026"/>
    <s v="Weekday"/>
    <n v="0.25842696629213485"/>
    <n v="0.41818181818181815"/>
    <n v="6.9696969696969702E-2"/>
    <n v="3106"/>
    <s v="Bavaria Motors"/>
  </r>
  <r>
    <s v="CUST_3178"/>
    <x v="17"/>
    <x v="2"/>
    <s v="Sunday"/>
    <s v="Yes"/>
    <x v="2"/>
    <x v="2"/>
    <s v="Lower Saxony"/>
    <x v="2"/>
    <s v="Q5"/>
    <s v="Diesel"/>
    <x v="0"/>
    <s v="26-35"/>
    <s v="High"/>
    <x v="1"/>
    <x v="0"/>
    <s v="Sales_9"/>
    <n v="213"/>
    <n v="118"/>
    <n v="86"/>
    <n v="24"/>
    <s v="20.34"/>
    <n v="51800"/>
    <s v="6.5"/>
    <n v="42041"/>
    <n v="1243200"/>
    <n v="234216"/>
    <s v="Feb"/>
    <n v="2"/>
    <n v="2026"/>
    <s v="Weekend"/>
    <n v="0.27906976744186046"/>
    <n v="0.5539906103286385"/>
    <n v="0.11267605633802817"/>
    <n v="9759"/>
    <s v="Hannover Cars"/>
  </r>
  <r>
    <s v="CUST_3179"/>
    <x v="8"/>
    <x v="3"/>
    <s v="Wednesday"/>
    <s v="No"/>
    <x v="8"/>
    <x v="8"/>
    <s v="Baden-WÃ¼rttemberg"/>
    <x v="4"/>
    <s v="ID.4"/>
    <s v="Hybrid"/>
    <x v="0"/>
    <s v="36-50"/>
    <s v="High"/>
    <x v="1"/>
    <x v="1"/>
    <s v="Sales_6"/>
    <n v="480"/>
    <n v="263"/>
    <n v="157"/>
    <n v="49"/>
    <s v="18.63"/>
    <n v="30722"/>
    <s v="8.71"/>
    <n v="27480"/>
    <n v="1505378"/>
    <n v="158858"/>
    <s v="Feb"/>
    <n v="2"/>
    <n v="2026"/>
    <s v="Weekday"/>
    <n v="0.31210191082802546"/>
    <n v="0.54791666666666672"/>
    <n v="0.10208333333333333"/>
    <n v="3242"/>
    <s v="Stuttgart Auto Center"/>
  </r>
  <r>
    <s v="CUST_3180"/>
    <x v="15"/>
    <x v="2"/>
    <s v="Thursday"/>
    <s v="No"/>
    <x v="4"/>
    <x v="4"/>
    <s v="Berlin"/>
    <x v="1"/>
    <s v="Crossland"/>
    <s v="Petrol"/>
    <x v="0"/>
    <s v="36-50"/>
    <s v="Low"/>
    <x v="0"/>
    <x v="2"/>
    <s v="Sales_7"/>
    <n v="409"/>
    <n v="163"/>
    <n v="111"/>
    <n v="35"/>
    <s v="21.47"/>
    <n v="25086"/>
    <s v="13.05"/>
    <n v="22385"/>
    <n v="878010"/>
    <n v="94535"/>
    <s v="Feb"/>
    <n v="2"/>
    <n v="2026"/>
    <s v="Weekday"/>
    <n v="0.31531531531531531"/>
    <n v="0.39853300733496333"/>
    <n v="8.557457212713937E-2"/>
    <n v="2701"/>
    <s v="Autohaus Berlin"/>
  </r>
  <r>
    <s v="CUST_3181"/>
    <x v="16"/>
    <x v="1"/>
    <s v="Tuesday"/>
    <s v="No"/>
    <x v="9"/>
    <x v="9"/>
    <s v="NRW"/>
    <x v="0"/>
    <s v="5 Series"/>
    <s v="Hybrid"/>
    <x v="1"/>
    <s v="50+"/>
    <s v="Medium"/>
    <x v="0"/>
    <x v="3"/>
    <s v="Sales_2"/>
    <n v="155"/>
    <n v="80"/>
    <n v="61"/>
    <n v="21"/>
    <s v="26.25"/>
    <n v="55834"/>
    <s v="3.11"/>
    <n v="40205"/>
    <n v="1172514"/>
    <n v="328209"/>
    <s v="Feb"/>
    <n v="2"/>
    <n v="2026"/>
    <s v="Weekday"/>
    <n v="0.34426229508196721"/>
    <n v="0.5161290322580645"/>
    <n v="0.13548387096774195"/>
    <n v="15629"/>
    <s v="Ruhr Auto Plaza"/>
  </r>
  <r>
    <s v="CUST_3182"/>
    <x v="3"/>
    <x v="1"/>
    <s v="Sunday"/>
    <s v="Yes"/>
    <x v="2"/>
    <x v="2"/>
    <s v="Lower Saxony"/>
    <x v="3"/>
    <s v="E-Class"/>
    <s v="Hybrid"/>
    <x v="1"/>
    <s v="26-35"/>
    <s v="Medium"/>
    <x v="0"/>
    <x v="3"/>
    <s v="Sales_1"/>
    <n v="289"/>
    <n v="158"/>
    <n v="124"/>
    <n v="39"/>
    <s v="24.68"/>
    <n v="52344"/>
    <s v="5.86"/>
    <n v="39419"/>
    <n v="2041416"/>
    <n v="504075"/>
    <s v="Feb"/>
    <n v="2"/>
    <n v="2026"/>
    <s v="Weekend"/>
    <n v="0.31451612903225806"/>
    <n v="0.54671280276816614"/>
    <n v="0.13494809688581316"/>
    <n v="12925"/>
    <s v="Hannover Cars"/>
  </r>
  <r>
    <s v="CUST_3183"/>
    <x v="1"/>
    <x v="1"/>
    <s v="Wednesday"/>
    <s v="No"/>
    <x v="3"/>
    <x v="3"/>
    <s v="Saxony"/>
    <x v="0"/>
    <s v="i4"/>
    <s v="Electric"/>
    <x v="1"/>
    <s v="36-50"/>
    <s v="Low"/>
    <x v="1"/>
    <x v="2"/>
    <s v="Sales_3"/>
    <n v="275"/>
    <n v="162"/>
    <n v="126"/>
    <n v="47"/>
    <s v="29.01"/>
    <n v="67941"/>
    <s v="2.28"/>
    <n v="51986"/>
    <n v="3193227"/>
    <n v="749885"/>
    <s v="Feb"/>
    <n v="2"/>
    <n v="2026"/>
    <s v="Weekday"/>
    <n v="0.37301587301587302"/>
    <n v="0.58909090909090911"/>
    <n v="0.1709090909090909"/>
    <n v="15955"/>
    <s v="Saxon Wheels"/>
  </r>
  <r>
    <s v="CUST_3184"/>
    <x v="27"/>
    <x v="3"/>
    <s v="Sunday"/>
    <s v="Yes"/>
    <x v="4"/>
    <x v="4"/>
    <s v="Berlin"/>
    <x v="3"/>
    <s v="GLC"/>
    <s v="Diesel"/>
    <x v="0"/>
    <s v="36-50"/>
    <s v="Low"/>
    <x v="0"/>
    <x v="0"/>
    <s v="Sales_18"/>
    <n v="204"/>
    <n v="119"/>
    <n v="85"/>
    <n v="30"/>
    <s v="25.21"/>
    <n v="51801"/>
    <s v="5.74"/>
    <n v="39018"/>
    <n v="1554030"/>
    <n v="383490"/>
    <s v="Feb"/>
    <n v="2"/>
    <n v="2026"/>
    <s v="Weekend"/>
    <n v="0.35294117647058826"/>
    <n v="0.58333333333333337"/>
    <n v="0.14705882352941177"/>
    <n v="12783"/>
    <s v="Autohaus Berlin"/>
  </r>
  <r>
    <s v="CUST_3185"/>
    <x v="17"/>
    <x v="2"/>
    <s v="Sunday"/>
    <s v="Yes"/>
    <x v="8"/>
    <x v="8"/>
    <s v="Baden-WÃ¼rttemberg"/>
    <x v="3"/>
    <s v="C-Class"/>
    <s v="Petrol"/>
    <x v="1"/>
    <s v="18-25"/>
    <s v="Medium"/>
    <x v="1"/>
    <x v="2"/>
    <s v="Sales_19"/>
    <n v="175"/>
    <n v="82"/>
    <n v="57"/>
    <n v="23"/>
    <s v="28.05"/>
    <n v="57917"/>
    <s v="4.07"/>
    <n v="45188"/>
    <n v="1332091"/>
    <n v="292767"/>
    <s v="Feb"/>
    <n v="2"/>
    <n v="2026"/>
    <s v="Weekend"/>
    <n v="0.40350877192982454"/>
    <n v="0.46857142857142858"/>
    <n v="0.13142857142857142"/>
    <n v="12729"/>
    <s v="Stuttgart Auto Center"/>
  </r>
  <r>
    <s v="CUST_3186"/>
    <x v="14"/>
    <x v="2"/>
    <s v="Friday"/>
    <s v="No"/>
    <x v="9"/>
    <x v="9"/>
    <s v="NRW"/>
    <x v="2"/>
    <s v="A4"/>
    <s v="Electric"/>
    <x v="1"/>
    <s v="18-25"/>
    <s v="Medium"/>
    <x v="1"/>
    <x v="3"/>
    <s v="Sales_13"/>
    <n v="311"/>
    <n v="191"/>
    <n v="140"/>
    <n v="37"/>
    <s v="19.37"/>
    <n v="50597"/>
    <s v="6.87"/>
    <n v="38910"/>
    <n v="1872089"/>
    <n v="432419"/>
    <s v="Feb"/>
    <n v="2"/>
    <n v="2026"/>
    <s v="Weekday"/>
    <n v="0.26428571428571429"/>
    <n v="0.61414790996784563"/>
    <n v="0.11897106109324759"/>
    <n v="11687"/>
    <s v="Ruhr Auto Plaza"/>
  </r>
  <r>
    <s v="CUST_3187"/>
    <x v="12"/>
    <x v="3"/>
    <s v="Thursday"/>
    <s v="No"/>
    <x v="7"/>
    <x v="7"/>
    <s v="Bavaria"/>
    <x v="4"/>
    <s v="ID.4"/>
    <s v="Diesel"/>
    <x v="0"/>
    <s v="50+"/>
    <s v="Medium"/>
    <x v="0"/>
    <x v="0"/>
    <s v="Sales_6"/>
    <n v="472"/>
    <n v="234"/>
    <n v="139"/>
    <n v="39"/>
    <s v="16.67"/>
    <n v="28048"/>
    <s v="7.47"/>
    <n v="25314"/>
    <n v="1093872"/>
    <n v="106626"/>
    <s v="Feb"/>
    <n v="2"/>
    <n v="2026"/>
    <s v="Weekday"/>
    <n v="0.2805755395683453"/>
    <n v="0.49576271186440679"/>
    <n v="8.2627118644067798E-2"/>
    <n v="2734"/>
    <s v="Bavaria Motors"/>
  </r>
  <r>
    <s v="CUST_3188"/>
    <x v="20"/>
    <x v="0"/>
    <s v="Thursday"/>
    <s v="No"/>
    <x v="1"/>
    <x v="1"/>
    <s v="NRW"/>
    <x v="3"/>
    <s v="EQE"/>
    <s v="Hybrid"/>
    <x v="1"/>
    <s v="18-25"/>
    <s v="Medium"/>
    <x v="1"/>
    <x v="1"/>
    <s v="Sales_9"/>
    <n v="271"/>
    <n v="150"/>
    <n v="99"/>
    <n v="39"/>
    <s v="26.0"/>
    <n v="67603"/>
    <s v="5.69"/>
    <n v="48261"/>
    <n v="2636517"/>
    <n v="754338"/>
    <s v="Feb"/>
    <n v="2"/>
    <n v="2026"/>
    <s v="Weekday"/>
    <n v="0.39393939393939392"/>
    <n v="0.55350553505535061"/>
    <n v="0.14391143911439114"/>
    <n v="19342"/>
    <s v="Rhein Auto Group"/>
  </r>
  <r>
    <s v="CUST_3189"/>
    <x v="18"/>
    <x v="0"/>
    <s v="Saturday"/>
    <s v="Yes"/>
    <x v="5"/>
    <x v="5"/>
    <s v="Hamburg"/>
    <x v="4"/>
    <s v="Passat"/>
    <s v="Hybrid"/>
    <x v="1"/>
    <s v="36-50"/>
    <s v="Medium"/>
    <x v="1"/>
    <x v="1"/>
    <s v="Sales_5"/>
    <n v="455"/>
    <n v="251"/>
    <n v="149"/>
    <n v="39"/>
    <s v="15.54"/>
    <n v="29265"/>
    <s v="10.84"/>
    <n v="25588"/>
    <n v="1141335"/>
    <n v="143403"/>
    <s v="Feb"/>
    <n v="2"/>
    <n v="2026"/>
    <s v="Weekend"/>
    <n v="0.26174496644295303"/>
    <n v="0.55164835164835169"/>
    <n v="8.5714285714285715E-2"/>
    <n v="3677"/>
    <s v="Elbe Drive"/>
  </r>
  <r>
    <s v="CUST_3190"/>
    <x v="0"/>
    <x v="0"/>
    <s v="Monday"/>
    <s v="No"/>
    <x v="6"/>
    <x v="6"/>
    <s v="Saxony"/>
    <x v="3"/>
    <s v="GLE"/>
    <s v="Electric"/>
    <x v="0"/>
    <s v="50+"/>
    <s v="Low"/>
    <x v="1"/>
    <x v="1"/>
    <s v="Sales_3"/>
    <n v="153"/>
    <n v="70"/>
    <n v="46"/>
    <n v="15"/>
    <s v="21.43"/>
    <n v="63924"/>
    <s v="4.22"/>
    <n v="50419"/>
    <n v="958860"/>
    <n v="202575"/>
    <s v="Feb"/>
    <n v="2"/>
    <n v="2026"/>
    <s v="Weekday"/>
    <n v="0.32608695652173914"/>
    <n v="0.45751633986928103"/>
    <n v="9.8039215686274508E-2"/>
    <n v="13505"/>
    <s v="Leipzig Mobility"/>
  </r>
  <r>
    <s v="CUST_3191"/>
    <x v="0"/>
    <x v="0"/>
    <s v="Monday"/>
    <s v="No"/>
    <x v="7"/>
    <x v="7"/>
    <s v="Bavaria"/>
    <x v="3"/>
    <s v="EQE"/>
    <s v="Petrol"/>
    <x v="1"/>
    <s v="26-35"/>
    <s v="Low"/>
    <x v="1"/>
    <x v="2"/>
    <s v="Sales_17"/>
    <n v="224"/>
    <n v="116"/>
    <n v="76"/>
    <n v="35"/>
    <s v="30.17"/>
    <n v="66927"/>
    <s v="3.55"/>
    <n v="49923"/>
    <n v="2342445"/>
    <n v="595140"/>
    <s v="Feb"/>
    <n v="2"/>
    <n v="2026"/>
    <s v="Weekday"/>
    <n v="0.46052631578947367"/>
    <n v="0.5178571428571429"/>
    <n v="0.15625"/>
    <n v="17004"/>
    <s v="Bavaria Motors"/>
  </r>
  <r>
    <s v="CUST_3192"/>
    <x v="6"/>
    <x v="2"/>
    <s v="Saturday"/>
    <s v="Yes"/>
    <x v="5"/>
    <x v="5"/>
    <s v="Hamburg"/>
    <x v="1"/>
    <s v="Grandland"/>
    <s v="Petrol"/>
    <x v="0"/>
    <s v="50+"/>
    <s v="Low"/>
    <x v="1"/>
    <x v="3"/>
    <s v="Sales_14"/>
    <n v="300"/>
    <n v="161"/>
    <n v="112"/>
    <n v="22"/>
    <s v="13.66"/>
    <n v="20785"/>
    <s v="7.35"/>
    <n v="19190"/>
    <n v="457270"/>
    <n v="35090"/>
    <s v="Feb"/>
    <n v="2"/>
    <n v="2026"/>
    <s v="Weekend"/>
    <n v="0.19642857142857142"/>
    <n v="0.53666666666666663"/>
    <n v="7.3333333333333334E-2"/>
    <n v="1595"/>
    <s v="Elbe Drive"/>
  </r>
  <r>
    <s v="CUST_3193"/>
    <x v="21"/>
    <x v="0"/>
    <s v="Tuesday"/>
    <s v="No"/>
    <x v="8"/>
    <x v="8"/>
    <s v="Baden-WÃ¼rttemberg"/>
    <x v="4"/>
    <s v="T-Roc"/>
    <s v="Electric"/>
    <x v="0"/>
    <s v="50+"/>
    <s v="Medium"/>
    <x v="0"/>
    <x v="0"/>
    <s v="Sales_5"/>
    <n v="403"/>
    <n v="167"/>
    <n v="109"/>
    <n v="23"/>
    <s v="13.77"/>
    <n v="26462"/>
    <s v="7.41"/>
    <n v="23052"/>
    <n v="608626"/>
    <n v="78430"/>
    <s v="Feb"/>
    <n v="2"/>
    <n v="2026"/>
    <s v="Weekday"/>
    <n v="0.21100917431192662"/>
    <n v="0.4143920595533499"/>
    <n v="5.7071960297766747E-2"/>
    <n v="3410"/>
    <s v="Stuttgart Auto Center"/>
  </r>
  <r>
    <s v="CUST_3194"/>
    <x v="20"/>
    <x v="0"/>
    <s v="Thursday"/>
    <s v="No"/>
    <x v="7"/>
    <x v="7"/>
    <s v="Bavaria"/>
    <x v="0"/>
    <s v="5 Series"/>
    <s v="Diesel"/>
    <x v="1"/>
    <s v="36-50"/>
    <s v="Medium"/>
    <x v="0"/>
    <x v="3"/>
    <s v="Sales_5"/>
    <n v="177"/>
    <n v="99"/>
    <n v="69"/>
    <n v="28"/>
    <s v="28.28"/>
    <n v="65502"/>
    <s v="3.02"/>
    <n v="47333"/>
    <n v="1834056"/>
    <n v="508732"/>
    <s v="Feb"/>
    <n v="2"/>
    <n v="2026"/>
    <s v="Weekday"/>
    <n v="0.40579710144927539"/>
    <n v="0.55932203389830504"/>
    <n v="0.15819209039548024"/>
    <n v="18169"/>
    <s v="Bavaria Motors"/>
  </r>
  <r>
    <s v="CUST_3195"/>
    <x v="8"/>
    <x v="3"/>
    <s v="Wednesday"/>
    <s v="No"/>
    <x v="6"/>
    <x v="6"/>
    <s v="Saxony"/>
    <x v="2"/>
    <s v="Q3"/>
    <s v="Hybrid"/>
    <x v="0"/>
    <s v="36-50"/>
    <s v="Low"/>
    <x v="0"/>
    <x v="3"/>
    <s v="Sales_2"/>
    <n v="178"/>
    <n v="84"/>
    <n v="56"/>
    <n v="17"/>
    <s v="20.24"/>
    <n v="56041"/>
    <s v="3.22"/>
    <n v="44394"/>
    <n v="952697"/>
    <n v="197999"/>
    <s v="Feb"/>
    <n v="2"/>
    <n v="2026"/>
    <s v="Weekday"/>
    <n v="0.30357142857142855"/>
    <n v="0.47191011235955055"/>
    <n v="9.5505617977528087E-2"/>
    <n v="11647"/>
    <s v="Leipzig Mobility"/>
  </r>
  <r>
    <s v="CUST_3196"/>
    <x v="6"/>
    <x v="2"/>
    <s v="Saturday"/>
    <s v="Yes"/>
    <x v="8"/>
    <x v="8"/>
    <s v="Baden-WÃ¼rttemberg"/>
    <x v="2"/>
    <s v="e-tron"/>
    <s v="Electric"/>
    <x v="0"/>
    <s v="50+"/>
    <s v="Low"/>
    <x v="1"/>
    <x v="0"/>
    <s v="Sales_20"/>
    <n v="213"/>
    <n v="123"/>
    <n v="92"/>
    <n v="23"/>
    <s v="18.7"/>
    <n v="51110"/>
    <s v="3.14"/>
    <n v="41352"/>
    <n v="1175530"/>
    <n v="224434"/>
    <s v="Feb"/>
    <n v="2"/>
    <n v="2026"/>
    <s v="Weekend"/>
    <n v="0.25"/>
    <n v="0.57746478873239437"/>
    <n v="0.107981220657277"/>
    <n v="9758"/>
    <s v="Stuttgart Auto Center"/>
  </r>
  <r>
    <s v="CUST_3197"/>
    <x v="1"/>
    <x v="1"/>
    <s v="Wednesday"/>
    <s v="No"/>
    <x v="3"/>
    <x v="3"/>
    <s v="Saxony"/>
    <x v="2"/>
    <s v="Q3"/>
    <s v="Electric"/>
    <x v="0"/>
    <s v="26-35"/>
    <s v="High"/>
    <x v="1"/>
    <x v="0"/>
    <s v="Sales_8"/>
    <n v="297"/>
    <n v="151"/>
    <n v="105"/>
    <n v="30"/>
    <s v="19.87"/>
    <n v="45916"/>
    <s v="6.27"/>
    <n v="35777"/>
    <n v="1377480"/>
    <n v="304170"/>
    <s v="Feb"/>
    <n v="2"/>
    <n v="2026"/>
    <s v="Weekday"/>
    <n v="0.2857142857142857"/>
    <n v="0.50841750841750843"/>
    <n v="0.10101010101010101"/>
    <n v="10139"/>
    <s v="Saxon Wheels"/>
  </r>
  <r>
    <s v="CUST_3198"/>
    <x v="11"/>
    <x v="0"/>
    <s v="Wednesday"/>
    <s v="No"/>
    <x v="7"/>
    <x v="7"/>
    <s v="Bavaria"/>
    <x v="3"/>
    <s v="GLE"/>
    <s v="Electric"/>
    <x v="0"/>
    <s v="18-25"/>
    <s v="High"/>
    <x v="1"/>
    <x v="0"/>
    <s v="Sales_20"/>
    <n v="279"/>
    <n v="124"/>
    <n v="83"/>
    <n v="33"/>
    <s v="26.61"/>
    <n v="70166"/>
    <s v="5.39"/>
    <n v="55102"/>
    <n v="2315478"/>
    <n v="497112"/>
    <s v="Feb"/>
    <n v="2"/>
    <n v="2026"/>
    <s v="Weekday"/>
    <n v="0.39759036144578314"/>
    <n v="0.44444444444444442"/>
    <n v="0.11827956989247312"/>
    <n v="15064"/>
    <s v="Bavaria Motors"/>
  </r>
  <r>
    <s v="CUST_3199"/>
    <x v="11"/>
    <x v="0"/>
    <s v="Wednesday"/>
    <s v="No"/>
    <x v="4"/>
    <x v="4"/>
    <s v="Berlin"/>
    <x v="0"/>
    <s v="i4"/>
    <s v="Hybrid"/>
    <x v="1"/>
    <s v="26-35"/>
    <s v="Medium"/>
    <x v="0"/>
    <x v="2"/>
    <s v="Sales_10"/>
    <n v="280"/>
    <n v="131"/>
    <n v="89"/>
    <n v="43"/>
    <s v="32.82"/>
    <n v="60520"/>
    <s v="5.67"/>
    <n v="45264"/>
    <n v="2602360"/>
    <n v="656008"/>
    <s v="Feb"/>
    <n v="2"/>
    <n v="2026"/>
    <s v="Weekday"/>
    <n v="0.48314606741573035"/>
    <n v="0.46785714285714286"/>
    <n v="0.15357142857142858"/>
    <n v="15256"/>
    <s v="Autohaus Berlin"/>
  </r>
  <r>
    <s v="CUST_3200"/>
    <x v="12"/>
    <x v="3"/>
    <s v="Thursday"/>
    <s v="No"/>
    <x v="4"/>
    <x v="4"/>
    <s v="Berlin"/>
    <x v="1"/>
    <s v="Grandland"/>
    <s v="Hybrid"/>
    <x v="0"/>
    <s v="26-35"/>
    <s v="High"/>
    <x v="1"/>
    <x v="2"/>
    <s v="Sales_13"/>
    <n v="413"/>
    <n v="179"/>
    <n v="118"/>
    <n v="31"/>
    <s v="17.32"/>
    <n v="24649"/>
    <s v="11.79"/>
    <n v="22090"/>
    <n v="764119"/>
    <n v="79329"/>
    <s v="Feb"/>
    <n v="2"/>
    <n v="2026"/>
    <s v="Weekday"/>
    <n v="0.26271186440677968"/>
    <n v="0.43341404358353514"/>
    <n v="7.5060532687651338E-2"/>
    <n v="2559"/>
    <s v="Autohaus Berlin"/>
  </r>
  <r>
    <s v="CUST_3201"/>
    <x v="1"/>
    <x v="1"/>
    <s v="Wednesday"/>
    <s v="No"/>
    <x v="8"/>
    <x v="8"/>
    <s v="Baden-WÃ¼rttemberg"/>
    <x v="4"/>
    <s v="Passat"/>
    <s v="Hybrid"/>
    <x v="1"/>
    <s v="26-35"/>
    <s v="High"/>
    <x v="1"/>
    <x v="2"/>
    <s v="Sales_1"/>
    <n v="448"/>
    <n v="194"/>
    <n v="125"/>
    <n v="35"/>
    <s v="18.04"/>
    <n v="31559"/>
    <s v="9.87"/>
    <n v="27838"/>
    <n v="1104565"/>
    <n v="130235"/>
    <s v="Feb"/>
    <n v="2"/>
    <n v="2026"/>
    <s v="Weekday"/>
    <n v="0.28000000000000003"/>
    <n v="0.4330357142857143"/>
    <n v="7.8125E-2"/>
    <n v="3721"/>
    <s v="Stuttgart Auto Center"/>
  </r>
  <r>
    <s v="CUST_3202"/>
    <x v="13"/>
    <x v="0"/>
    <s v="Friday"/>
    <s v="No"/>
    <x v="5"/>
    <x v="5"/>
    <s v="Hamburg"/>
    <x v="4"/>
    <s v="T-Roc"/>
    <s v="Petrol"/>
    <x v="0"/>
    <s v="26-35"/>
    <s v="Low"/>
    <x v="1"/>
    <x v="1"/>
    <s v="Sales_13"/>
    <n v="399"/>
    <n v="167"/>
    <n v="100"/>
    <n v="32"/>
    <s v="19.16"/>
    <n v="33248"/>
    <s v="11.05"/>
    <n v="28709"/>
    <n v="1063936"/>
    <n v="145248"/>
    <s v="Feb"/>
    <n v="2"/>
    <n v="2026"/>
    <s v="Weekday"/>
    <n v="0.32"/>
    <n v="0.41854636591478694"/>
    <n v="8.0200501253132828E-2"/>
    <n v="4539"/>
    <s v="Elbe Drive"/>
  </r>
  <r>
    <s v="CUST_3203"/>
    <x v="4"/>
    <x v="2"/>
    <s v="Wednesday"/>
    <s v="No"/>
    <x v="9"/>
    <x v="9"/>
    <s v="NRW"/>
    <x v="3"/>
    <s v="E-Class"/>
    <s v="Electric"/>
    <x v="1"/>
    <s v="26-35"/>
    <s v="Low"/>
    <x v="1"/>
    <x v="1"/>
    <s v="Sales_4"/>
    <n v="192"/>
    <n v="99"/>
    <n v="66"/>
    <n v="26"/>
    <s v="26.26"/>
    <n v="59589"/>
    <s v="3.38"/>
    <n v="45455"/>
    <n v="1549314"/>
    <n v="367484"/>
    <s v="Feb"/>
    <n v="2"/>
    <n v="2026"/>
    <s v="Weekday"/>
    <n v="0.39393939393939392"/>
    <n v="0.515625"/>
    <n v="0.13541666666666666"/>
    <n v="14134"/>
    <s v="Ruhr Auto Plaza"/>
  </r>
  <r>
    <s v="CUST_3204"/>
    <x v="12"/>
    <x v="3"/>
    <s v="Thursday"/>
    <s v="No"/>
    <x v="2"/>
    <x v="2"/>
    <s v="Lower Saxony"/>
    <x v="0"/>
    <s v="i4"/>
    <s v="Petrol"/>
    <x v="1"/>
    <s v="36-50"/>
    <s v="Low"/>
    <x v="0"/>
    <x v="0"/>
    <s v="Sales_18"/>
    <n v="177"/>
    <n v="93"/>
    <n v="68"/>
    <n v="24"/>
    <s v="25.81"/>
    <n v="54406"/>
    <s v="3.18"/>
    <n v="41181"/>
    <n v="1305744"/>
    <n v="317400"/>
    <s v="Feb"/>
    <n v="2"/>
    <n v="2026"/>
    <s v="Weekday"/>
    <n v="0.35294117647058826"/>
    <n v="0.52542372881355937"/>
    <n v="0.13559322033898305"/>
    <n v="13225"/>
    <s v="Hannover Cars"/>
  </r>
  <r>
    <s v="CUST_3205"/>
    <x v="19"/>
    <x v="1"/>
    <s v="Saturday"/>
    <s v="Yes"/>
    <x v="4"/>
    <x v="4"/>
    <s v="Berlin"/>
    <x v="4"/>
    <s v="T-Roc"/>
    <s v="Hybrid"/>
    <x v="0"/>
    <s v="50+"/>
    <s v="Low"/>
    <x v="1"/>
    <x v="1"/>
    <s v="Sales_20"/>
    <n v="310"/>
    <n v="178"/>
    <n v="109"/>
    <n v="30"/>
    <s v="16.85"/>
    <n v="33803"/>
    <s v="10.27"/>
    <n v="30498"/>
    <n v="1014090"/>
    <n v="99150"/>
    <s v="Feb"/>
    <n v="2"/>
    <n v="2026"/>
    <s v="Weekend"/>
    <n v="0.27522935779816515"/>
    <n v="0.5741935483870968"/>
    <n v="9.6774193548387094E-2"/>
    <n v="3305"/>
    <s v="Autohaus Berlin"/>
  </r>
  <r>
    <s v="CUST_3206"/>
    <x v="12"/>
    <x v="3"/>
    <s v="Thursday"/>
    <s v="No"/>
    <x v="0"/>
    <x v="0"/>
    <s v="Hesse"/>
    <x v="4"/>
    <s v="T-Roc"/>
    <s v="Petrol"/>
    <x v="0"/>
    <s v="26-35"/>
    <s v="Low"/>
    <x v="0"/>
    <x v="0"/>
    <s v="Sales_10"/>
    <n v="296"/>
    <n v="169"/>
    <n v="111"/>
    <n v="22"/>
    <s v="13.02"/>
    <n v="26497"/>
    <s v="9.03"/>
    <n v="24111"/>
    <n v="582934"/>
    <n v="52492"/>
    <s v="Feb"/>
    <n v="2"/>
    <n v="2026"/>
    <s v="Weekday"/>
    <n v="0.1981981981981982"/>
    <n v="0.57094594594594594"/>
    <n v="7.4324324324324328E-2"/>
    <n v="2386"/>
    <s v="Main Auto Hub"/>
  </r>
  <r>
    <s v="CUST_3207"/>
    <x v="23"/>
    <x v="2"/>
    <s v="Tuesday"/>
    <s v="No"/>
    <x v="9"/>
    <x v="9"/>
    <s v="NRW"/>
    <x v="1"/>
    <s v="Astra"/>
    <s v="Electric"/>
    <x v="2"/>
    <s v="18-25"/>
    <s v="Medium"/>
    <x v="1"/>
    <x v="0"/>
    <s v="Sales_20"/>
    <n v="278"/>
    <n v="114"/>
    <n v="64"/>
    <n v="16"/>
    <s v="14.04"/>
    <n v="23937"/>
    <s v="7.99"/>
    <n v="21383"/>
    <n v="382992"/>
    <n v="40864"/>
    <s v="Feb"/>
    <n v="2"/>
    <n v="2026"/>
    <s v="Weekday"/>
    <n v="0.25"/>
    <n v="0.41007194244604317"/>
    <n v="5.7553956834532377E-2"/>
    <n v="2554"/>
    <s v="Ruhr Auto Plaza"/>
  </r>
  <r>
    <s v="CUST_3208"/>
    <x v="11"/>
    <x v="0"/>
    <s v="Wednesday"/>
    <s v="No"/>
    <x v="4"/>
    <x v="4"/>
    <s v="Berlin"/>
    <x v="2"/>
    <s v="Q5"/>
    <s v="Electric"/>
    <x v="0"/>
    <s v="26-35"/>
    <s v="Medium"/>
    <x v="1"/>
    <x v="0"/>
    <s v="Sales_18"/>
    <n v="304"/>
    <n v="162"/>
    <n v="124"/>
    <n v="33"/>
    <s v="20.37"/>
    <n v="40208"/>
    <s v="5.35"/>
    <n v="31227"/>
    <n v="1326864"/>
    <n v="296373"/>
    <s v="Feb"/>
    <n v="2"/>
    <n v="2026"/>
    <s v="Weekday"/>
    <n v="0.2661290322580645"/>
    <n v="0.53289473684210531"/>
    <n v="0.10855263157894737"/>
    <n v="8981"/>
    <s v="Autohaus Berlin"/>
  </r>
  <r>
    <s v="CUST_3209"/>
    <x v="19"/>
    <x v="1"/>
    <s v="Saturday"/>
    <s v="Yes"/>
    <x v="7"/>
    <x v="7"/>
    <s v="Bavaria"/>
    <x v="0"/>
    <s v="i4"/>
    <s v="Petrol"/>
    <x v="1"/>
    <s v="50+"/>
    <s v="Low"/>
    <x v="1"/>
    <x v="0"/>
    <s v="Sales_13"/>
    <n v="153"/>
    <n v="73"/>
    <n v="53"/>
    <n v="19"/>
    <s v="26.03"/>
    <n v="62590"/>
    <s v="4.57"/>
    <n v="47777"/>
    <n v="1189210"/>
    <n v="281447"/>
    <s v="Feb"/>
    <n v="2"/>
    <n v="2026"/>
    <s v="Weekend"/>
    <n v="0.35849056603773582"/>
    <n v="0.47712418300653597"/>
    <n v="0.12418300653594772"/>
    <n v="14813"/>
    <s v="Bavaria Motors"/>
  </r>
  <r>
    <s v="CUST_3210"/>
    <x v="2"/>
    <x v="2"/>
    <s v="Monday"/>
    <s v="No"/>
    <x v="1"/>
    <x v="1"/>
    <s v="NRW"/>
    <x v="1"/>
    <s v="Crossland"/>
    <s v="Diesel"/>
    <x v="0"/>
    <s v="50+"/>
    <s v="High"/>
    <x v="1"/>
    <x v="2"/>
    <s v="Sales_5"/>
    <n v="428"/>
    <n v="231"/>
    <n v="155"/>
    <n v="38"/>
    <s v="16.45"/>
    <n v="20855"/>
    <s v="13.37"/>
    <n v="18757"/>
    <n v="792490"/>
    <n v="79724"/>
    <s v="Feb"/>
    <n v="2"/>
    <n v="2026"/>
    <s v="Weekday"/>
    <n v="0.24516129032258063"/>
    <n v="0.53971962616822433"/>
    <n v="8.8785046728971959E-2"/>
    <n v="2098"/>
    <s v="Rhein Auto Group"/>
  </r>
  <r>
    <s v="CUST_3211"/>
    <x v="3"/>
    <x v="1"/>
    <s v="Sunday"/>
    <s v="Yes"/>
    <x v="6"/>
    <x v="6"/>
    <s v="Saxony"/>
    <x v="0"/>
    <s v="5 Series"/>
    <s v="Hybrid"/>
    <x v="1"/>
    <s v="18-25"/>
    <s v="Medium"/>
    <x v="0"/>
    <x v="0"/>
    <s v="Sales_20"/>
    <n v="154"/>
    <n v="91"/>
    <n v="63"/>
    <n v="22"/>
    <s v="24.18"/>
    <n v="50525"/>
    <s v="4.97"/>
    <n v="37916"/>
    <n v="1111550"/>
    <n v="277398"/>
    <s v="Feb"/>
    <n v="2"/>
    <n v="2026"/>
    <s v="Weekend"/>
    <n v="0.34920634920634919"/>
    <n v="0.59090909090909094"/>
    <n v="0.14285714285714285"/>
    <n v="12609"/>
    <s v="Leipzig Mobility"/>
  </r>
  <r>
    <s v="CUST_3212"/>
    <x v="23"/>
    <x v="2"/>
    <s v="Tuesday"/>
    <s v="No"/>
    <x v="3"/>
    <x v="3"/>
    <s v="Saxony"/>
    <x v="0"/>
    <s v="5 Series"/>
    <s v="Diesel"/>
    <x v="1"/>
    <s v="18-25"/>
    <s v="High"/>
    <x v="1"/>
    <x v="2"/>
    <s v="Sales_17"/>
    <n v="246"/>
    <n v="115"/>
    <n v="83"/>
    <n v="36"/>
    <s v="31.3"/>
    <n v="50833"/>
    <s v="5.19"/>
    <n v="37027"/>
    <n v="1829988"/>
    <n v="497016"/>
    <s v="Feb"/>
    <n v="2"/>
    <n v="2026"/>
    <s v="Weekday"/>
    <n v="0.43373493975903615"/>
    <n v="0.46747967479674796"/>
    <n v="0.14634146341463414"/>
    <n v="13806"/>
    <s v="Saxon Wheels"/>
  </r>
  <r>
    <s v="CUST_3213"/>
    <x v="15"/>
    <x v="2"/>
    <s v="Thursday"/>
    <s v="No"/>
    <x v="7"/>
    <x v="7"/>
    <s v="Bavaria"/>
    <x v="1"/>
    <s v="Crossland"/>
    <s v="Electric"/>
    <x v="0"/>
    <s v="18-25"/>
    <s v="Low"/>
    <x v="0"/>
    <x v="0"/>
    <s v="Sales_15"/>
    <n v="296"/>
    <n v="159"/>
    <n v="90"/>
    <n v="23"/>
    <s v="14.47"/>
    <n v="27005"/>
    <s v="9.75"/>
    <n v="24244"/>
    <n v="621115"/>
    <n v="63503"/>
    <s v="Feb"/>
    <n v="2"/>
    <n v="2026"/>
    <s v="Weekday"/>
    <n v="0.25555555555555554"/>
    <n v="0.53716216216216217"/>
    <n v="7.77027027027027E-2"/>
    <n v="2761"/>
    <s v="Bavaria Motors"/>
  </r>
  <r>
    <s v="CUST_3214"/>
    <x v="15"/>
    <x v="2"/>
    <s v="Thursday"/>
    <s v="No"/>
    <x v="8"/>
    <x v="8"/>
    <s v="Baden-WÃ¼rttemberg"/>
    <x v="1"/>
    <s v="Corsa"/>
    <s v="Petrol"/>
    <x v="2"/>
    <s v="50+"/>
    <s v="High"/>
    <x v="1"/>
    <x v="3"/>
    <s v="Sales_9"/>
    <n v="352"/>
    <n v="143"/>
    <n v="92"/>
    <n v="23"/>
    <s v="16.08"/>
    <n v="21247"/>
    <s v="8.18"/>
    <n v="19214"/>
    <n v="488681"/>
    <n v="46759"/>
    <s v="Feb"/>
    <n v="2"/>
    <n v="2026"/>
    <s v="Weekday"/>
    <n v="0.25"/>
    <n v="0.40625"/>
    <n v="6.5340909090909088E-2"/>
    <n v="2033"/>
    <s v="Stuttgart Auto Center"/>
  </r>
  <r>
    <s v="CUST_3215"/>
    <x v="3"/>
    <x v="1"/>
    <s v="Sunday"/>
    <s v="Yes"/>
    <x v="0"/>
    <x v="0"/>
    <s v="Hesse"/>
    <x v="1"/>
    <s v="Mokka"/>
    <s v="Petrol"/>
    <x v="0"/>
    <s v="26-35"/>
    <s v="High"/>
    <x v="0"/>
    <x v="0"/>
    <s v="Sales_10"/>
    <n v="331"/>
    <n v="161"/>
    <n v="92"/>
    <n v="23"/>
    <s v="14.29"/>
    <n v="21403"/>
    <s v="13.21"/>
    <n v="19527"/>
    <n v="492269"/>
    <n v="43148"/>
    <s v="Feb"/>
    <n v="2"/>
    <n v="2026"/>
    <s v="Weekend"/>
    <n v="0.25"/>
    <n v="0.48640483383685801"/>
    <n v="6.9486404833836862E-2"/>
    <n v="1876"/>
    <s v="Main Auto Hub"/>
  </r>
  <r>
    <s v="CUST_3216"/>
    <x v="15"/>
    <x v="2"/>
    <s v="Thursday"/>
    <s v="No"/>
    <x v="0"/>
    <x v="0"/>
    <s v="Hesse"/>
    <x v="2"/>
    <s v="Q5"/>
    <s v="Petrol"/>
    <x v="0"/>
    <s v="50+"/>
    <s v="High"/>
    <x v="1"/>
    <x v="3"/>
    <s v="Sales_4"/>
    <n v="283"/>
    <n v="175"/>
    <n v="125"/>
    <n v="37"/>
    <s v="21.14"/>
    <n v="53664"/>
    <s v="3.67"/>
    <n v="43954"/>
    <n v="1985568"/>
    <n v="359270"/>
    <s v="Feb"/>
    <n v="2"/>
    <n v="2026"/>
    <s v="Weekday"/>
    <n v="0.29599999999999999"/>
    <n v="0.61837455830388688"/>
    <n v="0.13074204946996468"/>
    <n v="9710"/>
    <s v="Main Auto Hub"/>
  </r>
  <r>
    <s v="CUST_3217"/>
    <x v="27"/>
    <x v="3"/>
    <s v="Sunday"/>
    <s v="Yes"/>
    <x v="8"/>
    <x v="8"/>
    <s v="Baden-WÃ¼rttemberg"/>
    <x v="0"/>
    <s v="5 Series"/>
    <s v="Hybrid"/>
    <x v="1"/>
    <s v="50+"/>
    <s v="Medium"/>
    <x v="0"/>
    <x v="0"/>
    <s v="Sales_8"/>
    <n v="217"/>
    <n v="111"/>
    <n v="82"/>
    <n v="31"/>
    <s v="27.93"/>
    <n v="56637"/>
    <s v="4.29"/>
    <n v="44009"/>
    <n v="1755747"/>
    <n v="391468"/>
    <s v="Feb"/>
    <n v="2"/>
    <n v="2026"/>
    <s v="Weekend"/>
    <n v="0.37804878048780488"/>
    <n v="0.51152073732718895"/>
    <n v="0.14285714285714285"/>
    <n v="12628"/>
    <s v="Stuttgart Auto Center"/>
  </r>
  <r>
    <s v="CUST_3218"/>
    <x v="3"/>
    <x v="1"/>
    <s v="Sunday"/>
    <s v="Yes"/>
    <x v="7"/>
    <x v="7"/>
    <s v="Bavaria"/>
    <x v="3"/>
    <s v="GLE"/>
    <s v="Diesel"/>
    <x v="0"/>
    <s v="50+"/>
    <s v="High"/>
    <x v="1"/>
    <x v="0"/>
    <s v="Sales_2"/>
    <n v="286"/>
    <n v="150"/>
    <n v="119"/>
    <n v="34"/>
    <s v="22.67"/>
    <n v="52715"/>
    <s v="5.95"/>
    <n v="41545"/>
    <n v="1792310"/>
    <n v="379780"/>
    <s v="Feb"/>
    <n v="2"/>
    <n v="2026"/>
    <s v="Weekend"/>
    <n v="0.2857142857142857"/>
    <n v="0.52447552447552448"/>
    <n v="0.11888111888111888"/>
    <n v="11170"/>
    <s v="Bavaria Motors"/>
  </r>
  <r>
    <s v="CUST_3219"/>
    <x v="14"/>
    <x v="2"/>
    <s v="Friday"/>
    <s v="No"/>
    <x v="3"/>
    <x v="3"/>
    <s v="Saxony"/>
    <x v="2"/>
    <s v="A3"/>
    <s v="Diesel"/>
    <x v="2"/>
    <s v="50+"/>
    <s v="Low"/>
    <x v="0"/>
    <x v="3"/>
    <s v="Sales_10"/>
    <n v="160"/>
    <n v="93"/>
    <n v="59"/>
    <n v="19"/>
    <s v="20.43"/>
    <n v="45509"/>
    <s v="3.57"/>
    <n v="34498"/>
    <n v="864671"/>
    <n v="209209"/>
    <s v="Feb"/>
    <n v="2"/>
    <n v="2026"/>
    <s v="Weekday"/>
    <n v="0.32203389830508472"/>
    <n v="0.58125000000000004"/>
    <n v="0.11874999999999999"/>
    <n v="11011"/>
    <s v="Saxon Wheels"/>
  </r>
  <r>
    <s v="CUST_3220"/>
    <x v="20"/>
    <x v="0"/>
    <s v="Thursday"/>
    <s v="No"/>
    <x v="5"/>
    <x v="5"/>
    <s v="Hamburg"/>
    <x v="0"/>
    <s v="X3"/>
    <s v="Hybrid"/>
    <x v="0"/>
    <s v="50+"/>
    <s v="Medium"/>
    <x v="0"/>
    <x v="3"/>
    <s v="Sales_2"/>
    <n v="179"/>
    <n v="109"/>
    <n v="82"/>
    <n v="29"/>
    <s v="26.61"/>
    <n v="54650"/>
    <s v="5.48"/>
    <n v="38471"/>
    <n v="1584850"/>
    <n v="469191"/>
    <s v="Feb"/>
    <n v="2"/>
    <n v="2026"/>
    <s v="Weekday"/>
    <n v="0.35365853658536583"/>
    <n v="0.60893854748603349"/>
    <n v="0.16201117318435754"/>
    <n v="16179"/>
    <s v="Elbe Drive"/>
  </r>
  <r>
    <s v="CUST_3221"/>
    <x v="0"/>
    <x v="0"/>
    <s v="Monday"/>
    <s v="No"/>
    <x v="4"/>
    <x v="4"/>
    <s v="Berlin"/>
    <x v="3"/>
    <s v="E-Class"/>
    <s v="Diesel"/>
    <x v="1"/>
    <s v="26-35"/>
    <s v="Medium"/>
    <x v="0"/>
    <x v="2"/>
    <s v="Sales_5"/>
    <n v="271"/>
    <n v="151"/>
    <n v="103"/>
    <n v="46"/>
    <s v="30.46"/>
    <n v="50777"/>
    <s v="4.94"/>
    <n v="39418"/>
    <n v="2335742"/>
    <n v="522514"/>
    <s v="Feb"/>
    <n v="2"/>
    <n v="2026"/>
    <s v="Weekday"/>
    <n v="0.44660194174757284"/>
    <n v="0.55719557195571956"/>
    <n v="0.16974169741697417"/>
    <n v="11359"/>
    <s v="Autohaus Berlin"/>
  </r>
  <r>
    <s v="CUST_3222"/>
    <x v="6"/>
    <x v="2"/>
    <s v="Saturday"/>
    <s v="Yes"/>
    <x v="5"/>
    <x v="5"/>
    <s v="Hamburg"/>
    <x v="1"/>
    <s v="Crossland"/>
    <s v="Hybrid"/>
    <x v="0"/>
    <s v="36-50"/>
    <s v="Low"/>
    <x v="1"/>
    <x v="3"/>
    <s v="Sales_1"/>
    <n v="255"/>
    <n v="120"/>
    <n v="78"/>
    <n v="19"/>
    <s v="15.83"/>
    <n v="22895"/>
    <s v="9.15"/>
    <n v="20902"/>
    <n v="435005"/>
    <n v="37867"/>
    <s v="Feb"/>
    <n v="2"/>
    <n v="2026"/>
    <s v="Weekend"/>
    <n v="0.24358974358974358"/>
    <n v="0.47058823529411764"/>
    <n v="7.4509803921568626E-2"/>
    <n v="1993"/>
    <s v="Elbe Drive"/>
  </r>
  <r>
    <s v="CUST_3223"/>
    <x v="14"/>
    <x v="2"/>
    <s v="Friday"/>
    <s v="No"/>
    <x v="7"/>
    <x v="7"/>
    <s v="Bavaria"/>
    <x v="1"/>
    <s v="Corsa"/>
    <s v="Hybrid"/>
    <x v="2"/>
    <s v="26-35"/>
    <s v="Low"/>
    <x v="1"/>
    <x v="1"/>
    <s v="Sales_5"/>
    <n v="289"/>
    <n v="129"/>
    <n v="83"/>
    <n v="23"/>
    <s v="17.83"/>
    <n v="23669"/>
    <s v="7.27"/>
    <n v="21743"/>
    <n v="544387"/>
    <n v="44298"/>
    <s v="Feb"/>
    <n v="2"/>
    <n v="2026"/>
    <s v="Weekday"/>
    <n v="0.27710843373493976"/>
    <n v="0.44636678200692043"/>
    <n v="7.9584775086505188E-2"/>
    <n v="1926"/>
    <s v="Bavaria Motors"/>
  </r>
  <r>
    <s v="CUST_3224"/>
    <x v="2"/>
    <x v="2"/>
    <s v="Monday"/>
    <s v="No"/>
    <x v="8"/>
    <x v="8"/>
    <s v="Baden-WÃ¼rttemberg"/>
    <x v="3"/>
    <s v="GLC"/>
    <s v="Diesel"/>
    <x v="0"/>
    <s v="50+"/>
    <s v="Medium"/>
    <x v="1"/>
    <x v="1"/>
    <s v="Sales_7"/>
    <n v="253"/>
    <n v="146"/>
    <n v="110"/>
    <n v="41"/>
    <s v="28.08"/>
    <n v="66627"/>
    <s v="5.23"/>
    <n v="50349"/>
    <n v="2731707"/>
    <n v="667398"/>
    <s v="Feb"/>
    <n v="2"/>
    <n v="2026"/>
    <s v="Weekday"/>
    <n v="0.37272727272727274"/>
    <n v="0.57707509881422925"/>
    <n v="0.16205533596837945"/>
    <n v="16278"/>
    <s v="Stuttgart Auto Center"/>
  </r>
  <r>
    <s v="CUST_3225"/>
    <x v="1"/>
    <x v="1"/>
    <s v="Wednesday"/>
    <s v="No"/>
    <x v="1"/>
    <x v="1"/>
    <s v="NRW"/>
    <x v="1"/>
    <s v="Astra"/>
    <s v="Petrol"/>
    <x v="2"/>
    <s v="36-50"/>
    <s v="Low"/>
    <x v="1"/>
    <x v="3"/>
    <s v="Sales_18"/>
    <n v="320"/>
    <n v="170"/>
    <n v="98"/>
    <n v="24"/>
    <s v="14.12"/>
    <n v="26889"/>
    <s v="8.26"/>
    <n v="24846"/>
    <n v="645336"/>
    <n v="49032"/>
    <s v="Feb"/>
    <n v="2"/>
    <n v="2026"/>
    <s v="Weekday"/>
    <n v="0.24489795918367346"/>
    <n v="0.53125"/>
    <n v="7.4999999999999997E-2"/>
    <n v="2043"/>
    <s v="Rhein Auto Group"/>
  </r>
  <r>
    <s v="CUST_3226"/>
    <x v="15"/>
    <x v="2"/>
    <s v="Thursday"/>
    <s v="No"/>
    <x v="1"/>
    <x v="1"/>
    <s v="NRW"/>
    <x v="0"/>
    <s v="5 Series"/>
    <s v="Diesel"/>
    <x v="1"/>
    <s v="26-35"/>
    <s v="High"/>
    <x v="0"/>
    <x v="3"/>
    <s v="Sales_18"/>
    <n v="278"/>
    <n v="168"/>
    <n v="117"/>
    <n v="46"/>
    <s v="27.38"/>
    <n v="62988"/>
    <s v="5.16"/>
    <n v="48959"/>
    <n v="2897448"/>
    <n v="645334"/>
    <s v="Feb"/>
    <n v="2"/>
    <n v="2026"/>
    <s v="Weekday"/>
    <n v="0.39316239316239315"/>
    <n v="0.60431654676258995"/>
    <n v="0.16546762589928057"/>
    <n v="14029"/>
    <s v="Rhein Auto Group"/>
  </r>
  <r>
    <s v="CUST_3227"/>
    <x v="13"/>
    <x v="0"/>
    <s v="Friday"/>
    <s v="No"/>
    <x v="9"/>
    <x v="9"/>
    <s v="NRW"/>
    <x v="3"/>
    <s v="GLC"/>
    <s v="Hybrid"/>
    <x v="0"/>
    <s v="26-35"/>
    <s v="Medium"/>
    <x v="0"/>
    <x v="0"/>
    <s v="Sales_2"/>
    <n v="239"/>
    <n v="106"/>
    <n v="82"/>
    <n v="23"/>
    <s v="21.7"/>
    <n v="57312"/>
    <s v="4.52"/>
    <n v="43925"/>
    <n v="1318176"/>
    <n v="307901"/>
    <s v="Feb"/>
    <n v="2"/>
    <n v="2026"/>
    <s v="Weekday"/>
    <n v="0.28048780487804881"/>
    <n v="0.44351464435146443"/>
    <n v="9.6234309623430964E-2"/>
    <n v="13387"/>
    <s v="Ruhr Auto Plaza"/>
  </r>
  <r>
    <s v="CUST_3228"/>
    <x v="4"/>
    <x v="2"/>
    <s v="Wednesday"/>
    <s v="No"/>
    <x v="6"/>
    <x v="6"/>
    <s v="Saxony"/>
    <x v="2"/>
    <s v="A4"/>
    <s v="Hybrid"/>
    <x v="1"/>
    <s v="50+"/>
    <s v="Medium"/>
    <x v="0"/>
    <x v="2"/>
    <s v="Sales_6"/>
    <n v="238"/>
    <n v="130"/>
    <n v="84"/>
    <n v="35"/>
    <s v="26.92"/>
    <n v="45694"/>
    <s v="7.0"/>
    <n v="34409"/>
    <n v="1599290"/>
    <n v="394975"/>
    <s v="Feb"/>
    <n v="2"/>
    <n v="2026"/>
    <s v="Weekday"/>
    <n v="0.41666666666666669"/>
    <n v="0.54621848739495793"/>
    <n v="0.14705882352941177"/>
    <n v="11285"/>
    <s v="Leipzig Mobility"/>
  </r>
  <r>
    <s v="CUST_3229"/>
    <x v="3"/>
    <x v="1"/>
    <s v="Sunday"/>
    <s v="Yes"/>
    <x v="4"/>
    <x v="4"/>
    <s v="Berlin"/>
    <x v="4"/>
    <s v="Golf"/>
    <s v="Petrol"/>
    <x v="2"/>
    <s v="36-50"/>
    <s v="High"/>
    <x v="0"/>
    <x v="2"/>
    <s v="Sales_6"/>
    <n v="463"/>
    <n v="267"/>
    <n v="156"/>
    <n v="60"/>
    <s v="22.47"/>
    <n v="27939"/>
    <s v="11.82"/>
    <n v="24109"/>
    <n v="1676340"/>
    <n v="229800"/>
    <s v="Feb"/>
    <n v="2"/>
    <n v="2026"/>
    <s v="Weekend"/>
    <n v="0.38461538461538464"/>
    <n v="0.57667386609071269"/>
    <n v="0.12958963282937366"/>
    <n v="3830"/>
    <s v="Autohaus Berlin"/>
  </r>
  <r>
    <s v="CUST_3230"/>
    <x v="14"/>
    <x v="2"/>
    <s v="Friday"/>
    <s v="No"/>
    <x v="3"/>
    <x v="3"/>
    <s v="Saxony"/>
    <x v="3"/>
    <s v="EQE"/>
    <s v="Diesel"/>
    <x v="1"/>
    <s v="50+"/>
    <s v="Low"/>
    <x v="0"/>
    <x v="0"/>
    <s v="Sales_9"/>
    <n v="280"/>
    <n v="128"/>
    <n v="91"/>
    <n v="29"/>
    <s v="22.66"/>
    <n v="50876"/>
    <s v="4.78"/>
    <n v="37129"/>
    <n v="1475404"/>
    <n v="398663"/>
    <s v="Feb"/>
    <n v="2"/>
    <n v="2026"/>
    <s v="Weekday"/>
    <n v="0.31868131868131866"/>
    <n v="0.45714285714285713"/>
    <n v="0.10357142857142858"/>
    <n v="13747"/>
    <s v="Saxon Wheels"/>
  </r>
  <r>
    <s v="CUST_3231"/>
    <x v="25"/>
    <x v="3"/>
    <s v="Friday"/>
    <s v="No"/>
    <x v="2"/>
    <x v="2"/>
    <s v="Lower Saxony"/>
    <x v="3"/>
    <s v="E-Class"/>
    <s v="Electric"/>
    <x v="1"/>
    <s v="26-35"/>
    <s v="High"/>
    <x v="0"/>
    <x v="1"/>
    <s v="Sales_8"/>
    <n v="288"/>
    <n v="169"/>
    <n v="128"/>
    <n v="46"/>
    <s v="27.22"/>
    <n v="55424"/>
    <s v="3.69"/>
    <n v="41427"/>
    <n v="2549504"/>
    <n v="643862"/>
    <s v="Feb"/>
    <n v="2"/>
    <n v="2026"/>
    <s v="Weekday"/>
    <n v="0.359375"/>
    <n v="0.58680555555555558"/>
    <n v="0.15972222222222221"/>
    <n v="13997"/>
    <s v="Hannover Cars"/>
  </r>
  <r>
    <s v="CUST_3232"/>
    <x v="14"/>
    <x v="2"/>
    <s v="Friday"/>
    <s v="No"/>
    <x v="5"/>
    <x v="5"/>
    <s v="Hamburg"/>
    <x v="0"/>
    <s v="i4"/>
    <s v="Petrol"/>
    <x v="1"/>
    <s v="36-50"/>
    <s v="Low"/>
    <x v="0"/>
    <x v="3"/>
    <s v="Sales_10"/>
    <n v="240"/>
    <n v="137"/>
    <n v="110"/>
    <n v="36"/>
    <s v="26.28"/>
    <n v="60601"/>
    <s v="4.81"/>
    <n v="42987"/>
    <n v="2181636"/>
    <n v="634104"/>
    <s v="Feb"/>
    <n v="2"/>
    <n v="2026"/>
    <s v="Weekday"/>
    <n v="0.32727272727272727"/>
    <n v="0.5708333333333333"/>
    <n v="0.15"/>
    <n v="17614"/>
    <s v="Elbe Drive"/>
  </r>
  <r>
    <s v="CUST_3233"/>
    <x v="11"/>
    <x v="0"/>
    <s v="Wednesday"/>
    <s v="No"/>
    <x v="7"/>
    <x v="7"/>
    <s v="Bavaria"/>
    <x v="1"/>
    <s v="Astra"/>
    <s v="Electric"/>
    <x v="2"/>
    <s v="50+"/>
    <s v="High"/>
    <x v="0"/>
    <x v="0"/>
    <s v="Sales_4"/>
    <n v="228"/>
    <n v="106"/>
    <n v="64"/>
    <n v="20"/>
    <s v="18.87"/>
    <n v="25340"/>
    <s v="11.83"/>
    <n v="22750"/>
    <n v="506800"/>
    <n v="51800"/>
    <s v="Feb"/>
    <n v="2"/>
    <n v="2026"/>
    <s v="Weekday"/>
    <n v="0.3125"/>
    <n v="0.46491228070175439"/>
    <n v="8.771929824561403E-2"/>
    <n v="2590"/>
    <s v="Bavaria Motors"/>
  </r>
  <r>
    <s v="CUST_3234"/>
    <x v="8"/>
    <x v="3"/>
    <s v="Wednesday"/>
    <s v="No"/>
    <x v="5"/>
    <x v="5"/>
    <s v="Hamburg"/>
    <x v="0"/>
    <s v="5 Series"/>
    <s v="Hybrid"/>
    <x v="1"/>
    <s v="26-35"/>
    <s v="High"/>
    <x v="0"/>
    <x v="3"/>
    <s v="Sales_17"/>
    <n v="183"/>
    <n v="97"/>
    <n v="76"/>
    <n v="28"/>
    <s v="28.87"/>
    <n v="67461"/>
    <s v="4.3"/>
    <n v="52260"/>
    <n v="1888908"/>
    <n v="425628"/>
    <s v="Feb"/>
    <n v="2"/>
    <n v="2026"/>
    <s v="Weekday"/>
    <n v="0.36842105263157893"/>
    <n v="0.5300546448087432"/>
    <n v="0.15300546448087432"/>
    <n v="15201"/>
    <s v="Elbe Drive"/>
  </r>
  <r>
    <s v="CUST_3235"/>
    <x v="6"/>
    <x v="2"/>
    <s v="Saturday"/>
    <s v="Yes"/>
    <x v="4"/>
    <x v="4"/>
    <s v="Berlin"/>
    <x v="1"/>
    <s v="Mokka"/>
    <s v="Hybrid"/>
    <x v="0"/>
    <s v="18-25"/>
    <s v="High"/>
    <x v="1"/>
    <x v="0"/>
    <s v="Sales_3"/>
    <n v="351"/>
    <n v="147"/>
    <n v="94"/>
    <n v="22"/>
    <s v="14.97"/>
    <n v="25631"/>
    <s v="13.21"/>
    <n v="23585"/>
    <n v="563882"/>
    <n v="45012"/>
    <s v="Feb"/>
    <n v="2"/>
    <n v="2026"/>
    <s v="Weekend"/>
    <n v="0.23404255319148937"/>
    <n v="0.41880341880341881"/>
    <n v="6.2678062678062682E-2"/>
    <n v="2046"/>
    <s v="Autohaus Berlin"/>
  </r>
  <r>
    <s v="CUST_3236"/>
    <x v="9"/>
    <x v="0"/>
    <s v="Sunday"/>
    <s v="Yes"/>
    <x v="1"/>
    <x v="1"/>
    <s v="NRW"/>
    <x v="1"/>
    <s v="Astra"/>
    <s v="Petrol"/>
    <x v="2"/>
    <s v="18-25"/>
    <s v="Medium"/>
    <x v="1"/>
    <x v="1"/>
    <s v="Sales_16"/>
    <n v="420"/>
    <n v="217"/>
    <n v="136"/>
    <n v="37"/>
    <s v="17.05"/>
    <n v="22424"/>
    <s v="13.02"/>
    <n v="20176"/>
    <n v="829688"/>
    <n v="83176"/>
    <s v="Feb"/>
    <n v="2"/>
    <n v="2026"/>
    <s v="Weekend"/>
    <n v="0.27205882352941174"/>
    <n v="0.51666666666666672"/>
    <n v="8.8095238095238101E-2"/>
    <n v="2248"/>
    <s v="Rhein Auto Group"/>
  </r>
  <r>
    <s v="CUST_3237"/>
    <x v="3"/>
    <x v="1"/>
    <s v="Sunday"/>
    <s v="Yes"/>
    <x v="8"/>
    <x v="8"/>
    <s v="Baden-WÃ¼rttemberg"/>
    <x v="2"/>
    <s v="Q5"/>
    <s v="Electric"/>
    <x v="0"/>
    <s v="36-50"/>
    <s v="Medium"/>
    <x v="1"/>
    <x v="2"/>
    <s v="Sales_6"/>
    <n v="222"/>
    <n v="128"/>
    <n v="86"/>
    <n v="32"/>
    <s v="25.0"/>
    <n v="53472"/>
    <s v="6.52"/>
    <n v="42761"/>
    <n v="1711104"/>
    <n v="342752"/>
    <s v="Feb"/>
    <n v="2"/>
    <n v="2026"/>
    <s v="Weekend"/>
    <n v="0.37209302325581395"/>
    <n v="0.57657657657657657"/>
    <n v="0.14414414414414414"/>
    <n v="10711"/>
    <s v="Stuttgart Auto Center"/>
  </r>
  <r>
    <s v="CUST_3238"/>
    <x v="0"/>
    <x v="0"/>
    <s v="Monday"/>
    <s v="No"/>
    <x v="6"/>
    <x v="6"/>
    <s v="Saxony"/>
    <x v="4"/>
    <s v="T-Roc"/>
    <s v="Diesel"/>
    <x v="0"/>
    <s v="26-35"/>
    <s v="Medium"/>
    <x v="1"/>
    <x v="1"/>
    <s v="Sales_16"/>
    <n v="402"/>
    <n v="197"/>
    <n v="125"/>
    <n v="31"/>
    <s v="15.74"/>
    <n v="27705"/>
    <s v="8.33"/>
    <n v="24422"/>
    <n v="858855"/>
    <n v="101773"/>
    <s v="Feb"/>
    <n v="2"/>
    <n v="2026"/>
    <s v="Weekday"/>
    <n v="0.248"/>
    <n v="0.49004975124378108"/>
    <n v="7.7114427860696513E-2"/>
    <n v="3283"/>
    <s v="Leipzig Mobility"/>
  </r>
  <r>
    <s v="CUST_3239"/>
    <x v="4"/>
    <x v="2"/>
    <s v="Wednesday"/>
    <s v="No"/>
    <x v="5"/>
    <x v="5"/>
    <s v="Hamburg"/>
    <x v="4"/>
    <s v="Golf"/>
    <s v="Hybrid"/>
    <x v="2"/>
    <s v="26-35"/>
    <s v="Low"/>
    <x v="0"/>
    <x v="0"/>
    <s v="Sales_13"/>
    <n v="518"/>
    <n v="245"/>
    <n v="175"/>
    <n v="44"/>
    <s v="17.96"/>
    <n v="34088"/>
    <s v="6.17"/>
    <n v="30307"/>
    <n v="1499872"/>
    <n v="166364"/>
    <s v="Feb"/>
    <n v="2"/>
    <n v="2026"/>
    <s v="Weekday"/>
    <n v="0.25142857142857145"/>
    <n v="0.47297297297297297"/>
    <n v="8.4942084942084939E-2"/>
    <n v="3781"/>
    <s v="Elbe Drive"/>
  </r>
  <r>
    <s v="CUST_3240"/>
    <x v="26"/>
    <x v="1"/>
    <s v="Friday"/>
    <s v="No"/>
    <x v="0"/>
    <x v="0"/>
    <s v="Hesse"/>
    <x v="2"/>
    <s v="A3"/>
    <s v="Diesel"/>
    <x v="2"/>
    <s v="18-25"/>
    <s v="Medium"/>
    <x v="0"/>
    <x v="2"/>
    <s v="Sales_2"/>
    <n v="280"/>
    <n v="151"/>
    <n v="115"/>
    <n v="40"/>
    <s v="26.49"/>
    <n v="44297"/>
    <s v="4.9"/>
    <n v="35757"/>
    <n v="1771880"/>
    <n v="341600"/>
    <s v="Feb"/>
    <n v="2"/>
    <n v="2026"/>
    <s v="Weekday"/>
    <n v="0.34782608695652173"/>
    <n v="0.53928571428571426"/>
    <n v="0.14285714285714285"/>
    <n v="8540"/>
    <s v="Main Auto Hub"/>
  </r>
  <r>
    <s v="CUST_3241"/>
    <x v="24"/>
    <x v="1"/>
    <s v="Thursday"/>
    <s v="No"/>
    <x v="8"/>
    <x v="8"/>
    <s v="Baden-WÃ¼rttemberg"/>
    <x v="0"/>
    <s v="3 Series"/>
    <s v="Hybrid"/>
    <x v="1"/>
    <s v="36-50"/>
    <s v="Low"/>
    <x v="1"/>
    <x v="2"/>
    <s v="Sales_17"/>
    <n v="218"/>
    <n v="103"/>
    <n v="73"/>
    <n v="33"/>
    <s v="32.04"/>
    <n v="52094"/>
    <s v="4.67"/>
    <n v="39641"/>
    <n v="1719102"/>
    <n v="410949"/>
    <s v="Feb"/>
    <n v="2"/>
    <n v="2026"/>
    <s v="Weekday"/>
    <n v="0.45205479452054792"/>
    <n v="0.47247706422018348"/>
    <n v="0.15137614678899083"/>
    <n v="12453"/>
    <s v="Stuttgart Auto Center"/>
  </r>
  <r>
    <s v="CUST_3242"/>
    <x v="13"/>
    <x v="0"/>
    <s v="Friday"/>
    <s v="No"/>
    <x v="4"/>
    <x v="4"/>
    <s v="Berlin"/>
    <x v="2"/>
    <s v="A4"/>
    <s v="Petrol"/>
    <x v="1"/>
    <s v="18-25"/>
    <s v="High"/>
    <x v="1"/>
    <x v="1"/>
    <s v="Sales_20"/>
    <n v="261"/>
    <n v="122"/>
    <n v="91"/>
    <n v="32"/>
    <s v="26.23"/>
    <n v="39502"/>
    <s v="6.9"/>
    <n v="31319"/>
    <n v="1264064"/>
    <n v="261856"/>
    <s v="Feb"/>
    <n v="2"/>
    <n v="2026"/>
    <s v="Weekday"/>
    <n v="0.35164835164835168"/>
    <n v="0.46743295019157088"/>
    <n v="0.12260536398467432"/>
    <n v="8183"/>
    <s v="Autohaus Berlin"/>
  </r>
  <r>
    <s v="CUST_3243"/>
    <x v="19"/>
    <x v="1"/>
    <s v="Saturday"/>
    <s v="Yes"/>
    <x v="9"/>
    <x v="9"/>
    <s v="NRW"/>
    <x v="1"/>
    <s v="Corsa"/>
    <s v="Diesel"/>
    <x v="2"/>
    <s v="50+"/>
    <s v="High"/>
    <x v="1"/>
    <x v="2"/>
    <s v="Sales_10"/>
    <n v="233"/>
    <n v="113"/>
    <n v="69"/>
    <n v="16"/>
    <s v="14.16"/>
    <n v="23875"/>
    <s v="8.33"/>
    <n v="21921"/>
    <n v="382000"/>
    <n v="31264"/>
    <s v="Feb"/>
    <n v="2"/>
    <n v="2026"/>
    <s v="Weekend"/>
    <n v="0.2318840579710145"/>
    <n v="0.48497854077253216"/>
    <n v="6.8669527896995708E-2"/>
    <n v="1954"/>
    <s v="Ruhr Auto Plaza"/>
  </r>
  <r>
    <s v="CUST_3244"/>
    <x v="10"/>
    <x v="1"/>
    <s v="Monday"/>
    <s v="No"/>
    <x v="9"/>
    <x v="9"/>
    <s v="NRW"/>
    <x v="1"/>
    <s v="Grandland"/>
    <s v="Hybrid"/>
    <x v="0"/>
    <s v="26-35"/>
    <s v="Low"/>
    <x v="0"/>
    <x v="0"/>
    <s v="Sales_9"/>
    <n v="400"/>
    <n v="212"/>
    <n v="142"/>
    <n v="28"/>
    <s v="13.21"/>
    <n v="25646"/>
    <s v="11.58"/>
    <n v="23044"/>
    <n v="718088"/>
    <n v="72856"/>
    <s v="Feb"/>
    <n v="2"/>
    <n v="2026"/>
    <s v="Weekday"/>
    <n v="0.19718309859154928"/>
    <n v="0.53"/>
    <n v="7.0000000000000007E-2"/>
    <n v="2602"/>
    <s v="Ruhr Auto Plaza"/>
  </r>
  <r>
    <s v="CUST_3245"/>
    <x v="3"/>
    <x v="1"/>
    <s v="Sunday"/>
    <s v="Yes"/>
    <x v="3"/>
    <x v="3"/>
    <s v="Saxony"/>
    <x v="2"/>
    <s v="A4"/>
    <s v="Petrol"/>
    <x v="1"/>
    <s v="36-50"/>
    <s v="Medium"/>
    <x v="0"/>
    <x v="1"/>
    <s v="Sales_8"/>
    <n v="208"/>
    <n v="109"/>
    <n v="79"/>
    <n v="26"/>
    <s v="23.85"/>
    <n v="49792"/>
    <s v="6.25"/>
    <n v="39284"/>
    <n v="1294592"/>
    <n v="273208"/>
    <s v="Feb"/>
    <n v="2"/>
    <n v="2026"/>
    <s v="Weekend"/>
    <n v="0.32911392405063289"/>
    <n v="0.52403846153846156"/>
    <n v="0.125"/>
    <n v="10508"/>
    <s v="Saxon Wheels"/>
  </r>
  <r>
    <s v="CUST_3246"/>
    <x v="15"/>
    <x v="2"/>
    <s v="Thursday"/>
    <s v="No"/>
    <x v="2"/>
    <x v="2"/>
    <s v="Lower Saxony"/>
    <x v="3"/>
    <s v="GLC"/>
    <s v="Petrol"/>
    <x v="0"/>
    <s v="26-35"/>
    <s v="Low"/>
    <x v="0"/>
    <x v="1"/>
    <s v="Sales_14"/>
    <n v="235"/>
    <n v="135"/>
    <n v="105"/>
    <n v="34"/>
    <s v="25.19"/>
    <n v="68646"/>
    <s v="2.81"/>
    <n v="54189"/>
    <n v="2333964"/>
    <n v="491538"/>
    <s v="Feb"/>
    <n v="2"/>
    <n v="2026"/>
    <s v="Weekday"/>
    <n v="0.32380952380952382"/>
    <n v="0.57446808510638303"/>
    <n v="0.14468085106382977"/>
    <n v="14457"/>
    <s v="Hannover Cars"/>
  </r>
  <r>
    <s v="CUST_3247"/>
    <x v="5"/>
    <x v="3"/>
    <s v="Saturday"/>
    <s v="Yes"/>
    <x v="0"/>
    <x v="0"/>
    <s v="Hesse"/>
    <x v="1"/>
    <s v="Grandland"/>
    <s v="Hybrid"/>
    <x v="0"/>
    <s v="18-25"/>
    <s v="Low"/>
    <x v="0"/>
    <x v="2"/>
    <s v="Sales_16"/>
    <n v="308"/>
    <n v="159"/>
    <n v="101"/>
    <n v="26"/>
    <s v="16.35"/>
    <n v="26241"/>
    <s v="8.45"/>
    <n v="23938"/>
    <n v="682266"/>
    <n v="59878"/>
    <s v="Feb"/>
    <n v="2"/>
    <n v="2026"/>
    <s v="Weekend"/>
    <n v="0.25742574257425743"/>
    <n v="0.51623376623376627"/>
    <n v="8.4415584415584416E-2"/>
    <n v="2303"/>
    <s v="Main Auto Hub"/>
  </r>
  <r>
    <s v="CUST_3248"/>
    <x v="2"/>
    <x v="2"/>
    <s v="Monday"/>
    <s v="No"/>
    <x v="1"/>
    <x v="1"/>
    <s v="NRW"/>
    <x v="2"/>
    <s v="A3"/>
    <s v="Electric"/>
    <x v="2"/>
    <s v="26-35"/>
    <s v="Medium"/>
    <x v="0"/>
    <x v="0"/>
    <s v="Sales_18"/>
    <n v="175"/>
    <n v="109"/>
    <n v="79"/>
    <n v="27"/>
    <s v="24.77"/>
    <n v="40827"/>
    <s v="5.49"/>
    <n v="32318"/>
    <n v="1102329"/>
    <n v="229743"/>
    <s v="Feb"/>
    <n v="2"/>
    <n v="2026"/>
    <s v="Weekday"/>
    <n v="0.34177215189873417"/>
    <n v="0.62285714285714289"/>
    <n v="0.15428571428571428"/>
    <n v="8509"/>
    <s v="Rhein Auto Group"/>
  </r>
  <r>
    <s v="CUST_3249"/>
    <x v="17"/>
    <x v="2"/>
    <s v="Sunday"/>
    <s v="Yes"/>
    <x v="0"/>
    <x v="0"/>
    <s v="Hesse"/>
    <x v="2"/>
    <s v="A4"/>
    <s v="Petrol"/>
    <x v="1"/>
    <s v="50+"/>
    <s v="High"/>
    <x v="0"/>
    <x v="0"/>
    <s v="Sales_18"/>
    <n v="233"/>
    <n v="118"/>
    <n v="81"/>
    <n v="26"/>
    <s v="22.03"/>
    <n v="42077"/>
    <s v="5.09"/>
    <n v="31912"/>
    <n v="1094002"/>
    <n v="264290"/>
    <s v="Feb"/>
    <n v="2"/>
    <n v="2026"/>
    <s v="Weekend"/>
    <n v="0.32098765432098764"/>
    <n v="0.50643776824034337"/>
    <n v="0.11158798283261803"/>
    <n v="10165"/>
    <s v="Main Auto Hub"/>
  </r>
  <r>
    <s v="CUST_3250"/>
    <x v="18"/>
    <x v="0"/>
    <s v="Saturday"/>
    <s v="Yes"/>
    <x v="7"/>
    <x v="7"/>
    <s v="Bavaria"/>
    <x v="0"/>
    <s v="i4"/>
    <s v="Diesel"/>
    <x v="1"/>
    <s v="50+"/>
    <s v="High"/>
    <x v="1"/>
    <x v="2"/>
    <s v="Sales_4"/>
    <n v="204"/>
    <n v="96"/>
    <n v="74"/>
    <n v="30"/>
    <s v="31.25"/>
    <n v="60053"/>
    <s v="3.86"/>
    <n v="43660"/>
    <n v="1801590"/>
    <n v="491790"/>
    <s v="Feb"/>
    <n v="2"/>
    <n v="2026"/>
    <s v="Weekend"/>
    <n v="0.40540540540540543"/>
    <n v="0.47058823529411764"/>
    <n v="0.14705882352941177"/>
    <n v="16393"/>
    <s v="Bavaria Motors"/>
  </r>
  <r>
    <s v="CUST_3251"/>
    <x v="20"/>
    <x v="0"/>
    <s v="Thursday"/>
    <s v="No"/>
    <x v="5"/>
    <x v="5"/>
    <s v="Hamburg"/>
    <x v="1"/>
    <s v="Astra"/>
    <s v="Diesel"/>
    <x v="2"/>
    <s v="18-25"/>
    <s v="High"/>
    <x v="0"/>
    <x v="1"/>
    <s v="Sales_20"/>
    <n v="246"/>
    <n v="135"/>
    <n v="82"/>
    <n v="23"/>
    <s v="17.04"/>
    <n v="21104"/>
    <s v="11.74"/>
    <n v="18999"/>
    <n v="485392"/>
    <n v="48415"/>
    <s v="Feb"/>
    <n v="2"/>
    <n v="2026"/>
    <s v="Weekday"/>
    <n v="0.28048780487804881"/>
    <n v="0.54878048780487809"/>
    <n v="9.3495934959349589E-2"/>
    <n v="2105"/>
    <s v="Elbe Drive"/>
  </r>
  <r>
    <s v="CUST_3252"/>
    <x v="6"/>
    <x v="2"/>
    <s v="Saturday"/>
    <s v="Yes"/>
    <x v="2"/>
    <x v="2"/>
    <s v="Lower Saxony"/>
    <x v="1"/>
    <s v="Crossland"/>
    <s v="Hybrid"/>
    <x v="0"/>
    <s v="36-50"/>
    <s v="High"/>
    <x v="0"/>
    <x v="0"/>
    <s v="Sales_17"/>
    <n v="327"/>
    <n v="165"/>
    <n v="97"/>
    <n v="23"/>
    <s v="13.94"/>
    <n v="20927"/>
    <s v="7.19"/>
    <n v="19008"/>
    <n v="481321"/>
    <n v="44137"/>
    <s v="Feb"/>
    <n v="2"/>
    <n v="2026"/>
    <s v="Weekend"/>
    <n v="0.23711340206185566"/>
    <n v="0.50458715596330272"/>
    <n v="7.0336391437308868E-2"/>
    <n v="1919"/>
    <s v="Hannover Cars"/>
  </r>
  <r>
    <s v="CUST_3253"/>
    <x v="22"/>
    <x v="3"/>
    <s v="Tuesday"/>
    <s v="No"/>
    <x v="7"/>
    <x v="7"/>
    <s v="Bavaria"/>
    <x v="0"/>
    <s v="i4"/>
    <s v="Petrol"/>
    <x v="1"/>
    <s v="50+"/>
    <s v="Low"/>
    <x v="0"/>
    <x v="0"/>
    <s v="Sales_1"/>
    <n v="202"/>
    <n v="97"/>
    <n v="77"/>
    <n v="30"/>
    <s v="30.93"/>
    <n v="60546"/>
    <s v="5.28"/>
    <n v="44453"/>
    <n v="1816380"/>
    <n v="482790"/>
    <s v="Feb"/>
    <n v="2"/>
    <n v="2026"/>
    <s v="Weekday"/>
    <n v="0.38961038961038963"/>
    <n v="0.48019801980198018"/>
    <n v="0.14851485148514851"/>
    <n v="16093"/>
    <s v="Bavaria Motors"/>
  </r>
  <r>
    <s v="CUST_3254"/>
    <x v="22"/>
    <x v="3"/>
    <s v="Tuesday"/>
    <s v="No"/>
    <x v="7"/>
    <x v="7"/>
    <s v="Bavaria"/>
    <x v="0"/>
    <s v="X3"/>
    <s v="Diesel"/>
    <x v="0"/>
    <s v="50+"/>
    <s v="Low"/>
    <x v="1"/>
    <x v="0"/>
    <s v="Sales_11"/>
    <n v="181"/>
    <n v="98"/>
    <n v="66"/>
    <n v="25"/>
    <s v="25.51"/>
    <n v="64949"/>
    <s v="2.43"/>
    <n v="49524"/>
    <n v="1623725"/>
    <n v="385625"/>
    <s v="Feb"/>
    <n v="2"/>
    <n v="2026"/>
    <s v="Weekday"/>
    <n v="0.37878787878787878"/>
    <n v="0.54143646408839774"/>
    <n v="0.13812154696132597"/>
    <n v="15425"/>
    <s v="Bavaria Motors"/>
  </r>
  <r>
    <s v="CUST_3255"/>
    <x v="11"/>
    <x v="0"/>
    <s v="Wednesday"/>
    <s v="No"/>
    <x v="7"/>
    <x v="7"/>
    <s v="Bavaria"/>
    <x v="4"/>
    <s v="Golf"/>
    <s v="Electric"/>
    <x v="2"/>
    <s v="26-35"/>
    <s v="Low"/>
    <x v="1"/>
    <x v="1"/>
    <s v="Sales_19"/>
    <n v="416"/>
    <n v="202"/>
    <n v="131"/>
    <n v="42"/>
    <s v="20.79"/>
    <n v="32142"/>
    <s v="8.43"/>
    <n v="28154"/>
    <n v="1349964"/>
    <n v="167496"/>
    <s v="Feb"/>
    <n v="2"/>
    <n v="2026"/>
    <s v="Weekday"/>
    <n v="0.32061068702290074"/>
    <n v="0.48557692307692307"/>
    <n v="0.10096153846153846"/>
    <n v="3988"/>
    <s v="Bavaria Motors"/>
  </r>
  <r>
    <s v="CUST_3256"/>
    <x v="6"/>
    <x v="2"/>
    <s v="Saturday"/>
    <s v="Yes"/>
    <x v="6"/>
    <x v="6"/>
    <s v="Saxony"/>
    <x v="1"/>
    <s v="Mokka"/>
    <s v="Electric"/>
    <x v="0"/>
    <s v="18-25"/>
    <s v="High"/>
    <x v="1"/>
    <x v="0"/>
    <s v="Sales_2"/>
    <n v="349"/>
    <n v="146"/>
    <n v="92"/>
    <n v="16"/>
    <s v="10.96"/>
    <n v="24826"/>
    <s v="7.02"/>
    <n v="22827"/>
    <n v="397216"/>
    <n v="31984"/>
    <s v="Feb"/>
    <n v="2"/>
    <n v="2026"/>
    <s v="Weekend"/>
    <n v="0.17391304347826086"/>
    <n v="0.41833810888252149"/>
    <n v="4.5845272206303724E-2"/>
    <n v="1999"/>
    <s v="Leipzig Mobility"/>
  </r>
  <r>
    <s v="CUST_3257"/>
    <x v="18"/>
    <x v="0"/>
    <s v="Saturday"/>
    <s v="Yes"/>
    <x v="3"/>
    <x v="3"/>
    <s v="Saxony"/>
    <x v="0"/>
    <s v="X5"/>
    <s v="Diesel"/>
    <x v="0"/>
    <s v="36-50"/>
    <s v="Medium"/>
    <x v="0"/>
    <x v="0"/>
    <s v="Sales_6"/>
    <n v="246"/>
    <n v="145"/>
    <n v="118"/>
    <n v="40"/>
    <s v="27.59"/>
    <n v="67138"/>
    <s v="3.7"/>
    <n v="49153"/>
    <n v="2685520"/>
    <n v="719400"/>
    <s v="Feb"/>
    <n v="2"/>
    <n v="2026"/>
    <s v="Weekend"/>
    <n v="0.33898305084745761"/>
    <n v="0.58943089430894313"/>
    <n v="0.16260162601626016"/>
    <n v="17985"/>
    <s v="Saxon Wheels"/>
  </r>
  <r>
    <s v="CUST_3258"/>
    <x v="8"/>
    <x v="3"/>
    <s v="Wednesday"/>
    <s v="No"/>
    <x v="0"/>
    <x v="0"/>
    <s v="Hesse"/>
    <x v="3"/>
    <s v="C-Class"/>
    <s v="Petrol"/>
    <x v="1"/>
    <s v="18-25"/>
    <s v="Low"/>
    <x v="0"/>
    <x v="0"/>
    <s v="Sales_17"/>
    <n v="227"/>
    <n v="112"/>
    <n v="79"/>
    <n v="24"/>
    <s v="21.43"/>
    <n v="69619"/>
    <s v="5.91"/>
    <n v="53220"/>
    <n v="1670856"/>
    <n v="393576"/>
    <s v="Feb"/>
    <n v="2"/>
    <n v="2026"/>
    <s v="Weekday"/>
    <n v="0.30379746835443039"/>
    <n v="0.4933920704845815"/>
    <n v="0.10572687224669604"/>
    <n v="16399"/>
    <s v="Main Auto Hub"/>
  </r>
  <r>
    <s v="CUST_3259"/>
    <x v="3"/>
    <x v="1"/>
    <s v="Sunday"/>
    <s v="Yes"/>
    <x v="7"/>
    <x v="7"/>
    <s v="Bavaria"/>
    <x v="4"/>
    <s v="Passat"/>
    <s v="Electric"/>
    <x v="1"/>
    <s v="36-50"/>
    <s v="Low"/>
    <x v="0"/>
    <x v="2"/>
    <s v="Sales_20"/>
    <n v="513"/>
    <n v="215"/>
    <n v="145"/>
    <n v="42"/>
    <s v="19.53"/>
    <n v="33138"/>
    <s v="8.14"/>
    <n v="29420"/>
    <n v="1391796"/>
    <n v="156156"/>
    <s v="Feb"/>
    <n v="2"/>
    <n v="2026"/>
    <s v="Weekend"/>
    <n v="0.28965517241379313"/>
    <n v="0.41910331384015592"/>
    <n v="8.1871345029239762E-2"/>
    <n v="3718"/>
    <s v="Bavaria Motors"/>
  </r>
  <r>
    <s v="CUST_3260"/>
    <x v="13"/>
    <x v="0"/>
    <s v="Friday"/>
    <s v="No"/>
    <x v="7"/>
    <x v="7"/>
    <s v="Bavaria"/>
    <x v="1"/>
    <s v="Crossland"/>
    <s v="Electric"/>
    <x v="0"/>
    <s v="26-35"/>
    <s v="High"/>
    <x v="1"/>
    <x v="2"/>
    <s v="Sales_18"/>
    <n v="318"/>
    <n v="159"/>
    <n v="98"/>
    <n v="33"/>
    <s v="20.75"/>
    <n v="21381"/>
    <s v="7.57"/>
    <n v="19652"/>
    <n v="705573"/>
    <n v="57057"/>
    <s v="Feb"/>
    <n v="2"/>
    <n v="2026"/>
    <s v="Weekday"/>
    <n v="0.33673469387755101"/>
    <n v="0.5"/>
    <n v="0.10377358490566038"/>
    <n v="1729"/>
    <s v="Bavaria Motors"/>
  </r>
  <r>
    <s v="CUST_3261"/>
    <x v="7"/>
    <x v="3"/>
    <s v="Monday"/>
    <s v="No"/>
    <x v="8"/>
    <x v="8"/>
    <s v="Baden-WÃ¼rttemberg"/>
    <x v="4"/>
    <s v="T-Roc"/>
    <s v="Electric"/>
    <x v="0"/>
    <s v="18-25"/>
    <s v="Medium"/>
    <x v="1"/>
    <x v="3"/>
    <s v="Sales_20"/>
    <n v="459"/>
    <n v="261"/>
    <n v="153"/>
    <n v="42"/>
    <s v="16.09"/>
    <n v="28896"/>
    <s v="11.78"/>
    <n v="25758"/>
    <n v="1213632"/>
    <n v="131796"/>
    <s v="Feb"/>
    <n v="2"/>
    <n v="2026"/>
    <s v="Weekday"/>
    <n v="0.27450980392156865"/>
    <n v="0.56862745098039214"/>
    <n v="9.1503267973856203E-2"/>
    <n v="3138"/>
    <s v="Stuttgart Auto Center"/>
  </r>
  <r>
    <s v="CUST_3262"/>
    <x v="23"/>
    <x v="2"/>
    <s v="Tuesday"/>
    <s v="No"/>
    <x v="2"/>
    <x v="2"/>
    <s v="Lower Saxony"/>
    <x v="0"/>
    <s v="X5"/>
    <s v="Petrol"/>
    <x v="0"/>
    <s v="50+"/>
    <s v="Low"/>
    <x v="0"/>
    <x v="3"/>
    <s v="Sales_17"/>
    <n v="205"/>
    <n v="116"/>
    <n v="87"/>
    <n v="28"/>
    <s v="24.14"/>
    <n v="68049"/>
    <s v="3.15"/>
    <n v="48852"/>
    <n v="1905372"/>
    <n v="537516"/>
    <s v="Feb"/>
    <n v="2"/>
    <n v="2026"/>
    <s v="Weekday"/>
    <n v="0.32183908045977011"/>
    <n v="0.56585365853658531"/>
    <n v="0.13658536585365855"/>
    <n v="19197"/>
    <s v="Hannover Cars"/>
  </r>
  <r>
    <s v="CUST_3263"/>
    <x v="24"/>
    <x v="1"/>
    <s v="Thursday"/>
    <s v="No"/>
    <x v="2"/>
    <x v="2"/>
    <s v="Lower Saxony"/>
    <x v="2"/>
    <s v="A3"/>
    <s v="Diesel"/>
    <x v="2"/>
    <s v="18-25"/>
    <s v="Medium"/>
    <x v="1"/>
    <x v="1"/>
    <s v="Sales_12"/>
    <n v="189"/>
    <n v="94"/>
    <n v="67"/>
    <n v="22"/>
    <s v="23.4"/>
    <n v="48283"/>
    <s v="5.32"/>
    <n v="39432"/>
    <n v="1062226"/>
    <n v="194722"/>
    <s v="Feb"/>
    <n v="2"/>
    <n v="2026"/>
    <s v="Weekday"/>
    <n v="0.32835820895522388"/>
    <n v="0.49735449735449733"/>
    <n v="0.1164021164021164"/>
    <n v="8851"/>
    <s v="Hannover Cars"/>
  </r>
  <r>
    <s v="CUST_3264"/>
    <x v="9"/>
    <x v="0"/>
    <s v="Sunday"/>
    <s v="Yes"/>
    <x v="9"/>
    <x v="9"/>
    <s v="NRW"/>
    <x v="0"/>
    <s v="3 Series"/>
    <s v="Petrol"/>
    <x v="1"/>
    <s v="18-25"/>
    <s v="High"/>
    <x v="0"/>
    <x v="1"/>
    <s v="Sales_15"/>
    <n v="186"/>
    <n v="95"/>
    <n v="76"/>
    <n v="28"/>
    <s v="29.47"/>
    <n v="51272"/>
    <s v="4.76"/>
    <n v="37392"/>
    <n v="1435616"/>
    <n v="388640"/>
    <s v="Feb"/>
    <n v="2"/>
    <n v="2026"/>
    <s v="Weekend"/>
    <n v="0.36842105263157893"/>
    <n v="0.510752688172043"/>
    <n v="0.15053763440860216"/>
    <n v="13880"/>
    <s v="Ruhr Auto Plaza"/>
  </r>
  <r>
    <s v="CUST_3265"/>
    <x v="23"/>
    <x v="2"/>
    <s v="Tuesday"/>
    <s v="No"/>
    <x v="5"/>
    <x v="5"/>
    <s v="Hamburg"/>
    <x v="0"/>
    <s v="X5"/>
    <s v="Hybrid"/>
    <x v="0"/>
    <s v="50+"/>
    <s v="Low"/>
    <x v="1"/>
    <x v="3"/>
    <s v="Sales_12"/>
    <n v="271"/>
    <n v="150"/>
    <n v="109"/>
    <n v="40"/>
    <s v="26.67"/>
    <n v="67648"/>
    <s v="5.14"/>
    <n v="49885"/>
    <n v="2705920"/>
    <n v="710520"/>
    <s v="Feb"/>
    <n v="2"/>
    <n v="2026"/>
    <s v="Weekday"/>
    <n v="0.3669724770642202"/>
    <n v="0.55350553505535061"/>
    <n v="0.14760147601476015"/>
    <n v="17763"/>
    <s v="Elbe Drive"/>
  </r>
  <r>
    <s v="CUST_3266"/>
    <x v="0"/>
    <x v="0"/>
    <s v="Monday"/>
    <s v="No"/>
    <x v="0"/>
    <x v="0"/>
    <s v="Hesse"/>
    <x v="2"/>
    <s v="Q3"/>
    <s v="Diesel"/>
    <x v="0"/>
    <s v="26-35"/>
    <s v="Low"/>
    <x v="0"/>
    <x v="3"/>
    <s v="Sales_19"/>
    <n v="256"/>
    <n v="138"/>
    <n v="90"/>
    <n v="32"/>
    <s v="23.19"/>
    <n v="46003"/>
    <s v="6.83"/>
    <n v="35713"/>
    <n v="1472096"/>
    <n v="329280"/>
    <s v="Feb"/>
    <n v="2"/>
    <n v="2026"/>
    <s v="Weekday"/>
    <n v="0.35555555555555557"/>
    <n v="0.5390625"/>
    <n v="0.125"/>
    <n v="10290"/>
    <s v="Main Auto Hub"/>
  </r>
  <r>
    <s v="CUST_3267"/>
    <x v="22"/>
    <x v="3"/>
    <s v="Tuesday"/>
    <s v="No"/>
    <x v="7"/>
    <x v="7"/>
    <s v="Bavaria"/>
    <x v="1"/>
    <s v="Astra"/>
    <s v="Hybrid"/>
    <x v="2"/>
    <s v="36-50"/>
    <s v="Medium"/>
    <x v="0"/>
    <x v="1"/>
    <s v="Sales_17"/>
    <n v="310"/>
    <n v="137"/>
    <n v="82"/>
    <n v="26"/>
    <s v="18.98"/>
    <n v="21036"/>
    <s v="10.99"/>
    <n v="19347"/>
    <n v="546936"/>
    <n v="43914"/>
    <s v="Feb"/>
    <n v="2"/>
    <n v="2026"/>
    <s v="Weekday"/>
    <n v="0.31707317073170732"/>
    <n v="0.44193548387096776"/>
    <n v="8.387096774193549E-2"/>
    <n v="1689"/>
    <s v="Bavaria Motors"/>
  </r>
  <r>
    <s v="CUST_3268"/>
    <x v="19"/>
    <x v="1"/>
    <s v="Saturday"/>
    <s v="Yes"/>
    <x v="0"/>
    <x v="0"/>
    <s v="Hesse"/>
    <x v="1"/>
    <s v="Crossland"/>
    <s v="Petrol"/>
    <x v="0"/>
    <s v="36-50"/>
    <s v="Low"/>
    <x v="0"/>
    <x v="3"/>
    <s v="Sales_15"/>
    <n v="366"/>
    <n v="184"/>
    <n v="127"/>
    <n v="23"/>
    <s v="12.5"/>
    <n v="23009"/>
    <s v="9.77"/>
    <n v="21144"/>
    <n v="529207"/>
    <n v="42895"/>
    <s v="Feb"/>
    <n v="2"/>
    <n v="2026"/>
    <s v="Weekend"/>
    <n v="0.18110236220472442"/>
    <n v="0.50273224043715847"/>
    <n v="6.2841530054644809E-2"/>
    <n v="1865"/>
    <s v="Main Auto Hub"/>
  </r>
  <r>
    <s v="CUST_3269"/>
    <x v="20"/>
    <x v="0"/>
    <s v="Thursday"/>
    <s v="No"/>
    <x v="3"/>
    <x v="3"/>
    <s v="Saxony"/>
    <x v="2"/>
    <s v="Q3"/>
    <s v="Petrol"/>
    <x v="0"/>
    <s v="50+"/>
    <s v="High"/>
    <x v="0"/>
    <x v="2"/>
    <s v="Sales_19"/>
    <n v="286"/>
    <n v="139"/>
    <n v="97"/>
    <n v="35"/>
    <s v="25.18"/>
    <n v="51253"/>
    <s v="5.57"/>
    <n v="41668"/>
    <n v="1793855"/>
    <n v="335475"/>
    <s v="Feb"/>
    <n v="2"/>
    <n v="2026"/>
    <s v="Weekday"/>
    <n v="0.36082474226804123"/>
    <n v="0.48601398601398599"/>
    <n v="0.12237762237762238"/>
    <n v="9585"/>
    <s v="Saxon Wheels"/>
  </r>
  <r>
    <s v="CUST_3270"/>
    <x v="27"/>
    <x v="3"/>
    <s v="Sunday"/>
    <s v="Yes"/>
    <x v="0"/>
    <x v="0"/>
    <s v="Hesse"/>
    <x v="3"/>
    <s v="EQE"/>
    <s v="Diesel"/>
    <x v="1"/>
    <s v="36-50"/>
    <s v="Medium"/>
    <x v="1"/>
    <x v="3"/>
    <s v="Sales_1"/>
    <n v="173"/>
    <n v="80"/>
    <n v="62"/>
    <n v="19"/>
    <s v="23.75"/>
    <n v="50146"/>
    <s v="5.39"/>
    <n v="36185"/>
    <n v="952774"/>
    <n v="265259"/>
    <s v="Feb"/>
    <n v="2"/>
    <n v="2026"/>
    <s v="Weekend"/>
    <n v="0.30645161290322581"/>
    <n v="0.46242774566473988"/>
    <n v="0.10982658959537572"/>
    <n v="13961"/>
    <s v="Main Auto Hub"/>
  </r>
  <r>
    <s v="CUST_3271"/>
    <x v="27"/>
    <x v="3"/>
    <s v="Sunday"/>
    <s v="Yes"/>
    <x v="2"/>
    <x v="2"/>
    <s v="Lower Saxony"/>
    <x v="0"/>
    <s v="X5"/>
    <s v="Electric"/>
    <x v="0"/>
    <s v="50+"/>
    <s v="High"/>
    <x v="0"/>
    <x v="0"/>
    <s v="Sales_12"/>
    <n v="149"/>
    <n v="90"/>
    <n v="63"/>
    <n v="23"/>
    <s v="25.56"/>
    <n v="63320"/>
    <s v="3.22"/>
    <n v="46671"/>
    <n v="1456360"/>
    <n v="382927"/>
    <s v="Feb"/>
    <n v="2"/>
    <n v="2026"/>
    <s v="Weekend"/>
    <n v="0.36507936507936506"/>
    <n v="0.60402684563758391"/>
    <n v="0.15436241610738255"/>
    <n v="16649"/>
    <s v="Hannover Cars"/>
  </r>
  <r>
    <s v="CUST_3272"/>
    <x v="12"/>
    <x v="3"/>
    <s v="Thursday"/>
    <s v="No"/>
    <x v="3"/>
    <x v="3"/>
    <s v="Saxony"/>
    <x v="1"/>
    <s v="Grandland"/>
    <s v="Petrol"/>
    <x v="0"/>
    <s v="36-50"/>
    <s v="High"/>
    <x v="0"/>
    <x v="0"/>
    <s v="Sales_19"/>
    <n v="425"/>
    <n v="167"/>
    <n v="107"/>
    <n v="23"/>
    <s v="13.77"/>
    <n v="23085"/>
    <s v="11.64"/>
    <n v="20782"/>
    <n v="530955"/>
    <n v="52969"/>
    <s v="Feb"/>
    <n v="2"/>
    <n v="2026"/>
    <s v="Weekday"/>
    <n v="0.21495327102803738"/>
    <n v="0.39294117647058824"/>
    <n v="5.4117647058823527E-2"/>
    <n v="2303"/>
    <s v="Saxon Wheels"/>
  </r>
  <r>
    <s v="CUST_3273"/>
    <x v="5"/>
    <x v="3"/>
    <s v="Saturday"/>
    <s v="Yes"/>
    <x v="9"/>
    <x v="9"/>
    <s v="NRW"/>
    <x v="1"/>
    <s v="Crossland"/>
    <s v="Hybrid"/>
    <x v="0"/>
    <s v="50+"/>
    <s v="High"/>
    <x v="1"/>
    <x v="2"/>
    <s v="Sales_6"/>
    <n v="423"/>
    <n v="201"/>
    <n v="130"/>
    <n v="37"/>
    <s v="18.41"/>
    <n v="23506"/>
    <s v="13.95"/>
    <n v="21715"/>
    <n v="869722"/>
    <n v="66267"/>
    <s v="Feb"/>
    <n v="2"/>
    <n v="2026"/>
    <s v="Weekend"/>
    <n v="0.2846153846153846"/>
    <n v="0.47517730496453903"/>
    <n v="8.7470449172576833E-2"/>
    <n v="1791"/>
    <s v="Ruhr Auto Plaza"/>
  </r>
  <r>
    <s v="CUST_3274"/>
    <x v="9"/>
    <x v="0"/>
    <s v="Sunday"/>
    <s v="Yes"/>
    <x v="6"/>
    <x v="6"/>
    <s v="Saxony"/>
    <x v="3"/>
    <s v="GLE"/>
    <s v="Electric"/>
    <x v="0"/>
    <s v="18-25"/>
    <s v="High"/>
    <x v="0"/>
    <x v="0"/>
    <s v="Sales_20"/>
    <n v="242"/>
    <n v="107"/>
    <n v="74"/>
    <n v="23"/>
    <s v="21.5"/>
    <n v="51610"/>
    <s v="5.45"/>
    <n v="38870"/>
    <n v="1187030"/>
    <n v="293020"/>
    <s v="Feb"/>
    <n v="2"/>
    <n v="2026"/>
    <s v="Weekend"/>
    <n v="0.3108108108108108"/>
    <n v="0.44214876033057854"/>
    <n v="9.5041322314049589E-2"/>
    <n v="12740"/>
    <s v="Leipzig Mobility"/>
  </r>
  <r>
    <s v="CUST_3275"/>
    <x v="3"/>
    <x v="1"/>
    <s v="Sunday"/>
    <s v="Yes"/>
    <x v="6"/>
    <x v="6"/>
    <s v="Saxony"/>
    <x v="4"/>
    <s v="Tiguan"/>
    <s v="Hybrid"/>
    <x v="0"/>
    <s v="36-50"/>
    <s v="Medium"/>
    <x v="1"/>
    <x v="2"/>
    <s v="Sales_8"/>
    <n v="279"/>
    <n v="128"/>
    <n v="89"/>
    <n v="24"/>
    <s v="18.75"/>
    <n v="34766"/>
    <s v="7.34"/>
    <n v="31197"/>
    <n v="834384"/>
    <n v="85656"/>
    <s v="Feb"/>
    <n v="2"/>
    <n v="2026"/>
    <s v="Weekend"/>
    <n v="0.2696629213483146"/>
    <n v="0.45878136200716846"/>
    <n v="8.6021505376344093E-2"/>
    <n v="3569"/>
    <s v="Leipzig Mobility"/>
  </r>
  <r>
    <s v="CUST_3276"/>
    <x v="22"/>
    <x v="3"/>
    <s v="Tuesday"/>
    <s v="No"/>
    <x v="4"/>
    <x v="4"/>
    <s v="Berlin"/>
    <x v="4"/>
    <s v="Tiguan"/>
    <s v="Electric"/>
    <x v="0"/>
    <s v="36-50"/>
    <s v="Medium"/>
    <x v="0"/>
    <x v="3"/>
    <s v="Sales_14"/>
    <n v="335"/>
    <n v="178"/>
    <n v="107"/>
    <n v="34"/>
    <s v="19.1"/>
    <n v="35444"/>
    <s v="6.06"/>
    <n v="30808"/>
    <n v="1205096"/>
    <n v="157624"/>
    <s v="Feb"/>
    <n v="2"/>
    <n v="2026"/>
    <s v="Weekday"/>
    <n v="0.31775700934579437"/>
    <n v="0.5313432835820896"/>
    <n v="0.10149253731343283"/>
    <n v="4636"/>
    <s v="Autohaus Berlin"/>
  </r>
  <r>
    <s v="CUST_3277"/>
    <x v="15"/>
    <x v="2"/>
    <s v="Thursday"/>
    <s v="No"/>
    <x v="0"/>
    <x v="0"/>
    <s v="Hesse"/>
    <x v="0"/>
    <s v="3 Series"/>
    <s v="Diesel"/>
    <x v="1"/>
    <s v="36-50"/>
    <s v="Medium"/>
    <x v="0"/>
    <x v="1"/>
    <s v="Sales_4"/>
    <n v="184"/>
    <n v="97"/>
    <n v="75"/>
    <n v="29"/>
    <s v="29.9"/>
    <n v="54547"/>
    <s v="5.6"/>
    <n v="38228"/>
    <n v="1581863"/>
    <n v="473251"/>
    <s v="Feb"/>
    <n v="2"/>
    <n v="2026"/>
    <s v="Weekday"/>
    <n v="0.38666666666666666"/>
    <n v="0.52717391304347827"/>
    <n v="0.15760869565217392"/>
    <n v="16319"/>
    <s v="Main Auto Hub"/>
  </r>
  <r>
    <s v="CUST_3278"/>
    <x v="21"/>
    <x v="0"/>
    <s v="Tuesday"/>
    <s v="No"/>
    <x v="0"/>
    <x v="0"/>
    <s v="Hesse"/>
    <x v="4"/>
    <s v="T-Roc"/>
    <s v="Petrol"/>
    <x v="0"/>
    <s v="36-50"/>
    <s v="High"/>
    <x v="0"/>
    <x v="0"/>
    <s v="Sales_1"/>
    <n v="510"/>
    <n v="224"/>
    <n v="139"/>
    <n v="29"/>
    <s v="12.95"/>
    <n v="31833"/>
    <s v="11.26"/>
    <n v="28426"/>
    <n v="923157"/>
    <n v="98803"/>
    <s v="Feb"/>
    <n v="2"/>
    <n v="2026"/>
    <s v="Weekday"/>
    <n v="0.20863309352517986"/>
    <n v="0.4392156862745098"/>
    <n v="5.6862745098039215E-2"/>
    <n v="3407"/>
    <s v="Main Auto Hub"/>
  </r>
  <r>
    <s v="CUST_3279"/>
    <x v="21"/>
    <x v="0"/>
    <s v="Tuesday"/>
    <s v="No"/>
    <x v="0"/>
    <x v="0"/>
    <s v="Hesse"/>
    <x v="2"/>
    <s v="Q5"/>
    <s v="Hybrid"/>
    <x v="0"/>
    <s v="50+"/>
    <s v="Low"/>
    <x v="1"/>
    <x v="1"/>
    <s v="Sales_10"/>
    <n v="188"/>
    <n v="116"/>
    <n v="74"/>
    <n v="25"/>
    <s v="21.55"/>
    <n v="42827"/>
    <s v="4.47"/>
    <n v="34481"/>
    <n v="1070675"/>
    <n v="208650"/>
    <s v="Feb"/>
    <n v="2"/>
    <n v="2026"/>
    <s v="Weekday"/>
    <n v="0.33783783783783783"/>
    <n v="0.61702127659574468"/>
    <n v="0.13297872340425532"/>
    <n v="8346"/>
    <s v="Main Auto Hub"/>
  </r>
  <r>
    <s v="CUST_3280"/>
    <x v="22"/>
    <x v="3"/>
    <s v="Tuesday"/>
    <s v="No"/>
    <x v="4"/>
    <x v="4"/>
    <s v="Berlin"/>
    <x v="2"/>
    <s v="Q5"/>
    <s v="Diesel"/>
    <x v="0"/>
    <s v="50+"/>
    <s v="Low"/>
    <x v="1"/>
    <x v="0"/>
    <s v="Sales_19"/>
    <n v="283"/>
    <n v="157"/>
    <n v="101"/>
    <n v="33"/>
    <s v="21.02"/>
    <n v="45071"/>
    <s v="3.58"/>
    <n v="33941"/>
    <n v="1487343"/>
    <n v="367290"/>
    <s v="Feb"/>
    <n v="2"/>
    <n v="2026"/>
    <s v="Weekday"/>
    <n v="0.32673267326732675"/>
    <n v="0.55477031802120136"/>
    <n v="0.1166077738515901"/>
    <n v="11130"/>
    <s v="Autohaus Berlin"/>
  </r>
  <r>
    <s v="CUST_3281"/>
    <x v="6"/>
    <x v="2"/>
    <s v="Saturday"/>
    <s v="Yes"/>
    <x v="4"/>
    <x v="4"/>
    <s v="Berlin"/>
    <x v="1"/>
    <s v="Astra"/>
    <s v="Diesel"/>
    <x v="2"/>
    <s v="18-25"/>
    <s v="High"/>
    <x v="0"/>
    <x v="1"/>
    <s v="Sales_8"/>
    <n v="319"/>
    <n v="140"/>
    <n v="94"/>
    <n v="22"/>
    <s v="15.71"/>
    <n v="25896"/>
    <s v="9.5"/>
    <n v="23050"/>
    <n v="569712"/>
    <n v="62612"/>
    <s v="Feb"/>
    <n v="2"/>
    <n v="2026"/>
    <s v="Weekend"/>
    <n v="0.23404255319148937"/>
    <n v="0.43887147335423199"/>
    <n v="6.8965517241379309E-2"/>
    <n v="2846"/>
    <s v="Autohaus Berlin"/>
  </r>
  <r>
    <s v="CUST_3282"/>
    <x v="4"/>
    <x v="2"/>
    <s v="Wednesday"/>
    <s v="No"/>
    <x v="2"/>
    <x v="2"/>
    <s v="Lower Saxony"/>
    <x v="1"/>
    <s v="Corsa"/>
    <s v="Electric"/>
    <x v="2"/>
    <s v="26-35"/>
    <s v="Medium"/>
    <x v="0"/>
    <x v="0"/>
    <s v="Sales_10"/>
    <n v="222"/>
    <n v="116"/>
    <n v="70"/>
    <n v="17"/>
    <s v="14.66"/>
    <n v="25605"/>
    <s v="13.26"/>
    <n v="23444"/>
    <n v="435285"/>
    <n v="36737"/>
    <s v="Feb"/>
    <n v="2"/>
    <n v="2026"/>
    <s v="Weekday"/>
    <n v="0.24285714285714285"/>
    <n v="0.52252252252252251"/>
    <n v="7.6576576576576572E-2"/>
    <n v="2161"/>
    <s v="Hannover Cars"/>
  </r>
  <r>
    <s v="CUST_3283"/>
    <x v="20"/>
    <x v="0"/>
    <s v="Thursday"/>
    <s v="No"/>
    <x v="1"/>
    <x v="1"/>
    <s v="NRW"/>
    <x v="4"/>
    <s v="T-Roc"/>
    <s v="Diesel"/>
    <x v="0"/>
    <s v="18-25"/>
    <s v="Low"/>
    <x v="1"/>
    <x v="0"/>
    <s v="Sales_17"/>
    <n v="440"/>
    <n v="224"/>
    <n v="137"/>
    <n v="27"/>
    <s v="12.05"/>
    <n v="30110"/>
    <s v="9.18"/>
    <n v="27158"/>
    <n v="812970"/>
    <n v="79704"/>
    <s v="Feb"/>
    <n v="2"/>
    <n v="2026"/>
    <s v="Weekday"/>
    <n v="0.19708029197080293"/>
    <n v="0.50909090909090904"/>
    <n v="6.1363636363636363E-2"/>
    <n v="2952"/>
    <s v="Rhein Auto Group"/>
  </r>
  <r>
    <s v="CUST_3284"/>
    <x v="14"/>
    <x v="2"/>
    <s v="Friday"/>
    <s v="No"/>
    <x v="3"/>
    <x v="3"/>
    <s v="Saxony"/>
    <x v="2"/>
    <s v="A4"/>
    <s v="Hybrid"/>
    <x v="1"/>
    <s v="18-25"/>
    <s v="High"/>
    <x v="1"/>
    <x v="2"/>
    <s v="Sales_7"/>
    <n v="207"/>
    <n v="111"/>
    <n v="83"/>
    <n v="28"/>
    <s v="25.23"/>
    <n v="40383"/>
    <s v="4.68"/>
    <n v="30813"/>
    <n v="1130724"/>
    <n v="267960"/>
    <s v="Feb"/>
    <n v="2"/>
    <n v="2026"/>
    <s v="Weekday"/>
    <n v="0.33734939759036142"/>
    <n v="0.53623188405797106"/>
    <n v="0.13526570048309178"/>
    <n v="9570"/>
    <s v="Saxon Wheels"/>
  </r>
  <r>
    <s v="CUST_3285"/>
    <x v="4"/>
    <x v="2"/>
    <s v="Wednesday"/>
    <s v="No"/>
    <x v="0"/>
    <x v="0"/>
    <s v="Hesse"/>
    <x v="2"/>
    <s v="Q5"/>
    <s v="Diesel"/>
    <x v="0"/>
    <s v="26-35"/>
    <s v="Medium"/>
    <x v="1"/>
    <x v="3"/>
    <s v="Sales_17"/>
    <n v="215"/>
    <n v="128"/>
    <n v="88"/>
    <n v="26"/>
    <s v="20.31"/>
    <n v="43083"/>
    <s v="6.78"/>
    <n v="33589"/>
    <n v="1120158"/>
    <n v="246844"/>
    <s v="Feb"/>
    <n v="2"/>
    <n v="2026"/>
    <s v="Weekday"/>
    <n v="0.29545454545454547"/>
    <n v="0.59534883720930232"/>
    <n v="0.12093023255813953"/>
    <n v="9494"/>
    <s v="Main Auto Hub"/>
  </r>
  <r>
    <s v="CUST_3286"/>
    <x v="6"/>
    <x v="2"/>
    <s v="Saturday"/>
    <s v="Yes"/>
    <x v="6"/>
    <x v="6"/>
    <s v="Saxony"/>
    <x v="4"/>
    <s v="T-Roc"/>
    <s v="Hybrid"/>
    <x v="0"/>
    <s v="50+"/>
    <s v="High"/>
    <x v="1"/>
    <x v="3"/>
    <s v="Sales_5"/>
    <n v="401"/>
    <n v="171"/>
    <n v="108"/>
    <n v="19"/>
    <s v="11.11"/>
    <n v="33249"/>
    <s v="9.86"/>
    <n v="29955"/>
    <n v="631731"/>
    <n v="62586"/>
    <s v="Feb"/>
    <n v="2"/>
    <n v="2026"/>
    <s v="Weekend"/>
    <n v="0.17592592592592593"/>
    <n v="0.42643391521197005"/>
    <n v="4.738154613466334E-2"/>
    <n v="3294"/>
    <s v="Leipzig Mobility"/>
  </r>
  <r>
    <s v="CUST_3287"/>
    <x v="24"/>
    <x v="1"/>
    <s v="Thursday"/>
    <s v="No"/>
    <x v="8"/>
    <x v="8"/>
    <s v="Baden-WÃ¼rttemberg"/>
    <x v="3"/>
    <s v="C-Class"/>
    <s v="Electric"/>
    <x v="1"/>
    <s v="26-35"/>
    <s v="Low"/>
    <x v="1"/>
    <x v="2"/>
    <s v="Sales_9"/>
    <n v="156"/>
    <n v="79"/>
    <n v="62"/>
    <n v="22"/>
    <s v="27.85"/>
    <n v="65628"/>
    <s v="4.74"/>
    <n v="51775"/>
    <n v="1443816"/>
    <n v="304766"/>
    <s v="Feb"/>
    <n v="2"/>
    <n v="2026"/>
    <s v="Weekday"/>
    <n v="0.35483870967741937"/>
    <n v="0.50641025641025639"/>
    <n v="0.14102564102564102"/>
    <n v="13853"/>
    <s v="Stuttgart Auto Center"/>
  </r>
  <r>
    <s v="CUST_3288"/>
    <x v="6"/>
    <x v="2"/>
    <s v="Saturday"/>
    <s v="Yes"/>
    <x v="4"/>
    <x v="4"/>
    <s v="Berlin"/>
    <x v="4"/>
    <s v="Tiguan"/>
    <s v="Hybrid"/>
    <x v="0"/>
    <s v="36-50"/>
    <s v="Medium"/>
    <x v="0"/>
    <x v="3"/>
    <s v="Sales_5"/>
    <n v="519"/>
    <n v="288"/>
    <n v="188"/>
    <n v="41"/>
    <s v="14.24"/>
    <n v="30085"/>
    <s v="8.87"/>
    <n v="26996"/>
    <n v="1233485"/>
    <n v="126649"/>
    <s v="Feb"/>
    <n v="2"/>
    <n v="2026"/>
    <s v="Weekend"/>
    <n v="0.21808510638297873"/>
    <n v="0.55491329479768781"/>
    <n v="7.8998073217726394E-2"/>
    <n v="3089"/>
    <s v="Autohaus Berlin"/>
  </r>
  <r>
    <s v="CUST_3289"/>
    <x v="14"/>
    <x v="2"/>
    <s v="Friday"/>
    <s v="No"/>
    <x v="7"/>
    <x v="7"/>
    <s v="Bavaria"/>
    <x v="4"/>
    <s v="Passat"/>
    <s v="Diesel"/>
    <x v="1"/>
    <s v="18-25"/>
    <s v="Medium"/>
    <x v="1"/>
    <x v="2"/>
    <s v="Sales_12"/>
    <n v="468"/>
    <n v="256"/>
    <n v="173"/>
    <n v="51"/>
    <s v="19.92"/>
    <n v="27437"/>
    <s v="9.73"/>
    <n v="24402"/>
    <n v="1399287"/>
    <n v="154785"/>
    <s v="Feb"/>
    <n v="2"/>
    <n v="2026"/>
    <s v="Weekday"/>
    <n v="0.2947976878612717"/>
    <n v="0.54700854700854706"/>
    <n v="0.10897435897435898"/>
    <n v="3035"/>
    <s v="Bavaria Motors"/>
  </r>
  <r>
    <s v="CUST_3290"/>
    <x v="0"/>
    <x v="0"/>
    <s v="Monday"/>
    <s v="No"/>
    <x v="8"/>
    <x v="8"/>
    <s v="Baden-WÃ¼rttemberg"/>
    <x v="4"/>
    <s v="Passat"/>
    <s v="Diesel"/>
    <x v="1"/>
    <s v="26-35"/>
    <s v="High"/>
    <x v="0"/>
    <x v="3"/>
    <s v="Sales_7"/>
    <n v="367"/>
    <n v="164"/>
    <n v="113"/>
    <n v="27"/>
    <s v="16.46"/>
    <n v="34338"/>
    <s v="6.09"/>
    <n v="30833"/>
    <n v="927126"/>
    <n v="94635"/>
    <s v="Feb"/>
    <n v="2"/>
    <n v="2026"/>
    <s v="Weekday"/>
    <n v="0.23893805309734514"/>
    <n v="0.44686648501362397"/>
    <n v="7.3569482288828342E-2"/>
    <n v="3505"/>
    <s v="Stuttgart Auto Center"/>
  </r>
  <r>
    <s v="CUST_3291"/>
    <x v="21"/>
    <x v="0"/>
    <s v="Tuesday"/>
    <s v="No"/>
    <x v="3"/>
    <x v="3"/>
    <s v="Saxony"/>
    <x v="0"/>
    <s v="X3"/>
    <s v="Hybrid"/>
    <x v="0"/>
    <s v="36-50"/>
    <s v="High"/>
    <x v="0"/>
    <x v="1"/>
    <s v="Sales_18"/>
    <n v="156"/>
    <n v="75"/>
    <n v="58"/>
    <n v="22"/>
    <s v="29.33"/>
    <n v="59996"/>
    <s v="5.34"/>
    <n v="43426"/>
    <n v="1319912"/>
    <n v="364540"/>
    <s v="Feb"/>
    <n v="2"/>
    <n v="2026"/>
    <s v="Weekday"/>
    <n v="0.37931034482758619"/>
    <n v="0.48076923076923078"/>
    <n v="0.14102564102564102"/>
    <n v="16570"/>
    <s v="Saxon Wheels"/>
  </r>
  <r>
    <s v="CUST_3292"/>
    <x v="0"/>
    <x v="0"/>
    <s v="Monday"/>
    <s v="No"/>
    <x v="8"/>
    <x v="8"/>
    <s v="Baden-WÃ¼rttemberg"/>
    <x v="1"/>
    <s v="Corsa"/>
    <s v="Electric"/>
    <x v="2"/>
    <s v="50+"/>
    <s v="High"/>
    <x v="0"/>
    <x v="3"/>
    <s v="Sales_16"/>
    <n v="423"/>
    <n v="217"/>
    <n v="129"/>
    <n v="38"/>
    <s v="17.51"/>
    <n v="20391"/>
    <s v="12.08"/>
    <n v="18696"/>
    <n v="774858"/>
    <n v="64410"/>
    <s v="Feb"/>
    <n v="2"/>
    <n v="2026"/>
    <s v="Weekday"/>
    <n v="0.29457364341085274"/>
    <n v="0.51300236406619382"/>
    <n v="8.9834515366430265E-2"/>
    <n v="1695"/>
    <s v="Stuttgart Auto Center"/>
  </r>
  <r>
    <s v="CUST_3293"/>
    <x v="27"/>
    <x v="3"/>
    <s v="Sunday"/>
    <s v="Yes"/>
    <x v="5"/>
    <x v="5"/>
    <s v="Hamburg"/>
    <x v="4"/>
    <s v="T-Roc"/>
    <s v="Petrol"/>
    <x v="0"/>
    <s v="18-25"/>
    <s v="Low"/>
    <x v="0"/>
    <x v="3"/>
    <s v="Sales_18"/>
    <n v="449"/>
    <n v="179"/>
    <n v="127"/>
    <n v="24"/>
    <s v="13.41"/>
    <n v="28098"/>
    <s v="6.36"/>
    <n v="25358"/>
    <n v="674352"/>
    <n v="65760"/>
    <s v="Feb"/>
    <n v="2"/>
    <n v="2026"/>
    <s v="Weekend"/>
    <n v="0.1889763779527559"/>
    <n v="0.39866369710467708"/>
    <n v="5.3452115812917596E-2"/>
    <n v="2740"/>
    <s v="Elbe Drive"/>
  </r>
  <r>
    <s v="CUST_3294"/>
    <x v="7"/>
    <x v="3"/>
    <s v="Monday"/>
    <s v="No"/>
    <x v="1"/>
    <x v="1"/>
    <s v="NRW"/>
    <x v="4"/>
    <s v="Golf"/>
    <s v="Petrol"/>
    <x v="2"/>
    <s v="36-50"/>
    <s v="Medium"/>
    <x v="0"/>
    <x v="3"/>
    <s v="Sales_17"/>
    <n v="408"/>
    <n v="233"/>
    <n v="161"/>
    <n v="35"/>
    <s v="15.02"/>
    <n v="24838"/>
    <s v="11.5"/>
    <n v="21928"/>
    <n v="869330"/>
    <n v="101850"/>
    <s v="Feb"/>
    <n v="2"/>
    <n v="2026"/>
    <s v="Weekday"/>
    <n v="0.21739130434782608"/>
    <n v="0.57107843137254899"/>
    <n v="8.5784313725490197E-2"/>
    <n v="2910"/>
    <s v="Rhein Auto Group"/>
  </r>
  <r>
    <s v="CUST_3295"/>
    <x v="5"/>
    <x v="3"/>
    <s v="Saturday"/>
    <s v="Yes"/>
    <x v="3"/>
    <x v="3"/>
    <s v="Saxony"/>
    <x v="3"/>
    <s v="GLE"/>
    <s v="Diesel"/>
    <x v="0"/>
    <s v="36-50"/>
    <s v="Low"/>
    <x v="1"/>
    <x v="3"/>
    <s v="Sales_7"/>
    <n v="174"/>
    <n v="90"/>
    <n v="63"/>
    <n v="18"/>
    <s v="20.0"/>
    <n v="62266"/>
    <s v="4.4"/>
    <n v="46544"/>
    <n v="1120788"/>
    <n v="282996"/>
    <s v="Feb"/>
    <n v="2"/>
    <n v="2026"/>
    <s v="Weekend"/>
    <n v="0.2857142857142857"/>
    <n v="0.51724137931034486"/>
    <n v="0.10344827586206896"/>
    <n v="15722"/>
    <s v="Saxon Wheels"/>
  </r>
  <r>
    <s v="CUST_3296"/>
    <x v="18"/>
    <x v="0"/>
    <s v="Saturday"/>
    <s v="Yes"/>
    <x v="1"/>
    <x v="1"/>
    <s v="NRW"/>
    <x v="1"/>
    <s v="Mokka"/>
    <s v="Hybrid"/>
    <x v="0"/>
    <s v="50+"/>
    <s v="High"/>
    <x v="1"/>
    <x v="1"/>
    <s v="Sales_5"/>
    <n v="414"/>
    <n v="184"/>
    <n v="103"/>
    <n v="28"/>
    <s v="15.22"/>
    <n v="22608"/>
    <s v="9.56"/>
    <n v="20479"/>
    <n v="633024"/>
    <n v="59612"/>
    <s v="Feb"/>
    <n v="2"/>
    <n v="2026"/>
    <s v="Weekend"/>
    <n v="0.27184466019417475"/>
    <n v="0.44444444444444442"/>
    <n v="6.7632850241545889E-2"/>
    <n v="2129"/>
    <s v="Rhein Auto Group"/>
  </r>
  <r>
    <s v="CUST_3297"/>
    <x v="19"/>
    <x v="1"/>
    <s v="Saturday"/>
    <s v="Yes"/>
    <x v="2"/>
    <x v="2"/>
    <s v="Lower Saxony"/>
    <x v="3"/>
    <s v="C-Class"/>
    <s v="Petrol"/>
    <x v="1"/>
    <s v="50+"/>
    <s v="Medium"/>
    <x v="1"/>
    <x v="1"/>
    <s v="Sales_5"/>
    <n v="241"/>
    <n v="110"/>
    <n v="77"/>
    <n v="26"/>
    <s v="23.64"/>
    <n v="52181"/>
    <s v="2.03"/>
    <n v="37163"/>
    <n v="1356706"/>
    <n v="390468"/>
    <s v="Feb"/>
    <n v="2"/>
    <n v="2026"/>
    <s v="Weekend"/>
    <n v="0.33766233766233766"/>
    <n v="0.45643153526970953"/>
    <n v="0.1078838174273859"/>
    <n v="15018"/>
    <s v="Hannover Cars"/>
  </r>
  <r>
    <s v="CUST_3298"/>
    <x v="14"/>
    <x v="2"/>
    <s v="Friday"/>
    <s v="No"/>
    <x v="0"/>
    <x v="0"/>
    <s v="Hesse"/>
    <x v="3"/>
    <s v="E-Class"/>
    <s v="Electric"/>
    <x v="1"/>
    <s v="26-35"/>
    <s v="Medium"/>
    <x v="0"/>
    <x v="3"/>
    <s v="Sales_10"/>
    <n v="282"/>
    <n v="140"/>
    <n v="98"/>
    <n v="34"/>
    <s v="24.29"/>
    <n v="53916"/>
    <s v="5.19"/>
    <n v="39871"/>
    <n v="1833144"/>
    <n v="477530"/>
    <s v="Feb"/>
    <n v="2"/>
    <n v="2026"/>
    <s v="Weekday"/>
    <n v="0.34693877551020408"/>
    <n v="0.49645390070921985"/>
    <n v="0.12056737588652482"/>
    <n v="14045"/>
    <s v="Main Auto Hub"/>
  </r>
  <r>
    <s v="CUST_3299"/>
    <x v="14"/>
    <x v="2"/>
    <s v="Friday"/>
    <s v="No"/>
    <x v="2"/>
    <x v="2"/>
    <s v="Lower Saxony"/>
    <x v="3"/>
    <s v="E-Class"/>
    <s v="Diesel"/>
    <x v="1"/>
    <s v="26-35"/>
    <s v="Low"/>
    <x v="0"/>
    <x v="1"/>
    <s v="Sales_20"/>
    <n v="212"/>
    <n v="114"/>
    <n v="84"/>
    <n v="30"/>
    <s v="26.32"/>
    <n v="57579"/>
    <s v="3.0"/>
    <n v="42603"/>
    <n v="1727370"/>
    <n v="449280"/>
    <s v="Feb"/>
    <n v="2"/>
    <n v="2026"/>
    <s v="Weekday"/>
    <n v="0.35714285714285715"/>
    <n v="0.53773584905660377"/>
    <n v="0.14150943396226415"/>
    <n v="14976"/>
    <s v="Hannover Cars"/>
  </r>
  <r>
    <s v="CUST_3300"/>
    <x v="14"/>
    <x v="2"/>
    <s v="Friday"/>
    <s v="No"/>
    <x v="7"/>
    <x v="7"/>
    <s v="Bavaria"/>
    <x v="0"/>
    <s v="X3"/>
    <s v="Diesel"/>
    <x v="0"/>
    <s v="50+"/>
    <s v="High"/>
    <x v="1"/>
    <x v="2"/>
    <s v="Sales_19"/>
    <n v="165"/>
    <n v="99"/>
    <n v="68"/>
    <n v="33"/>
    <s v="33.33"/>
    <n v="50884"/>
    <s v="5.68"/>
    <n v="36711"/>
    <n v="1679172"/>
    <n v="467709"/>
    <s v="Feb"/>
    <n v="2"/>
    <n v="2026"/>
    <s v="Weekday"/>
    <n v="0.48529411764705882"/>
    <n v="0.6"/>
    <n v="0.2"/>
    <n v="14173"/>
    <s v="Bavaria Motors"/>
  </r>
  <r>
    <s v="CUST_3301"/>
    <x v="21"/>
    <x v="0"/>
    <s v="Tuesday"/>
    <s v="No"/>
    <x v="7"/>
    <x v="7"/>
    <s v="Bavaria"/>
    <x v="4"/>
    <s v="Golf"/>
    <s v="Electric"/>
    <x v="2"/>
    <s v="50+"/>
    <s v="Low"/>
    <x v="0"/>
    <x v="0"/>
    <s v="Sales_15"/>
    <n v="299"/>
    <n v="171"/>
    <n v="100"/>
    <n v="27"/>
    <s v="15.79"/>
    <n v="28529"/>
    <s v="7.36"/>
    <n v="25055"/>
    <n v="770283"/>
    <n v="93798"/>
    <s v="Feb"/>
    <n v="2"/>
    <n v="2026"/>
    <s v="Weekday"/>
    <n v="0.27"/>
    <n v="0.57190635451505012"/>
    <n v="9.0301003344481601E-2"/>
    <n v="3474"/>
    <s v="Bavaria Motors"/>
  </r>
  <r>
    <s v="CUST_3302"/>
    <x v="18"/>
    <x v="0"/>
    <s v="Saturday"/>
    <s v="Yes"/>
    <x v="2"/>
    <x v="2"/>
    <s v="Lower Saxony"/>
    <x v="3"/>
    <s v="C-Class"/>
    <s v="Diesel"/>
    <x v="1"/>
    <s v="50+"/>
    <s v="Medium"/>
    <x v="0"/>
    <x v="0"/>
    <s v="Sales_9"/>
    <n v="165"/>
    <n v="87"/>
    <n v="66"/>
    <n v="19"/>
    <s v="21.84"/>
    <n v="50905"/>
    <s v="3.2"/>
    <n v="39183"/>
    <n v="967195"/>
    <n v="222718"/>
    <s v="Feb"/>
    <n v="2"/>
    <n v="2026"/>
    <s v="Weekend"/>
    <n v="0.2878787878787879"/>
    <n v="0.52727272727272723"/>
    <n v="0.11515151515151516"/>
    <n v="11722"/>
    <s v="Hannover Cars"/>
  </r>
  <r>
    <s v="CUST_3303"/>
    <x v="22"/>
    <x v="3"/>
    <s v="Tuesday"/>
    <s v="No"/>
    <x v="3"/>
    <x v="3"/>
    <s v="Saxony"/>
    <x v="4"/>
    <s v="Tiguan"/>
    <s v="Petrol"/>
    <x v="0"/>
    <s v="36-50"/>
    <s v="High"/>
    <x v="0"/>
    <x v="3"/>
    <s v="Sales_1"/>
    <n v="413"/>
    <n v="225"/>
    <n v="145"/>
    <n v="29"/>
    <s v="12.89"/>
    <n v="25962"/>
    <s v="8.88"/>
    <n v="22428"/>
    <n v="752898"/>
    <n v="102486"/>
    <s v="Feb"/>
    <n v="2"/>
    <n v="2026"/>
    <s v="Weekday"/>
    <n v="0.2"/>
    <n v="0.5447941888619855"/>
    <n v="7.0217917675544791E-2"/>
    <n v="3534"/>
    <s v="Saxon Wheels"/>
  </r>
  <r>
    <s v="CUST_3304"/>
    <x v="25"/>
    <x v="3"/>
    <s v="Friday"/>
    <s v="No"/>
    <x v="6"/>
    <x v="6"/>
    <s v="Saxony"/>
    <x v="0"/>
    <s v="X3"/>
    <s v="Diesel"/>
    <x v="0"/>
    <s v="36-50"/>
    <s v="High"/>
    <x v="0"/>
    <x v="1"/>
    <s v="Sales_2"/>
    <n v="163"/>
    <n v="100"/>
    <n v="72"/>
    <n v="29"/>
    <s v="29.0"/>
    <n v="62036"/>
    <s v="2.59"/>
    <n v="45870"/>
    <n v="1799044"/>
    <n v="468814"/>
    <s v="Feb"/>
    <n v="2"/>
    <n v="2026"/>
    <s v="Weekday"/>
    <n v="0.40277777777777779"/>
    <n v="0.61349693251533743"/>
    <n v="0.17791411042944785"/>
    <n v="16166"/>
    <s v="Leipzig Mobility"/>
  </r>
  <r>
    <s v="CUST_3305"/>
    <x v="18"/>
    <x v="0"/>
    <s v="Saturday"/>
    <s v="Yes"/>
    <x v="1"/>
    <x v="1"/>
    <s v="NRW"/>
    <x v="4"/>
    <s v="T-Roc"/>
    <s v="Electric"/>
    <x v="0"/>
    <s v="36-50"/>
    <s v="Low"/>
    <x v="0"/>
    <x v="0"/>
    <s v="Sales_18"/>
    <n v="281"/>
    <n v="141"/>
    <n v="87"/>
    <n v="19"/>
    <s v="13.48"/>
    <n v="32742"/>
    <s v="9.27"/>
    <n v="29052"/>
    <n v="622098"/>
    <n v="70110"/>
    <s v="Feb"/>
    <n v="2"/>
    <n v="2026"/>
    <s v="Weekend"/>
    <n v="0.21839080459770116"/>
    <n v="0.50177935943060503"/>
    <n v="6.7615658362989328E-2"/>
    <n v="3690"/>
    <s v="Rhein Auto Group"/>
  </r>
  <r>
    <s v="CUST_3306"/>
    <x v="18"/>
    <x v="0"/>
    <s v="Saturday"/>
    <s v="Yes"/>
    <x v="8"/>
    <x v="8"/>
    <s v="Baden-WÃ¼rttemberg"/>
    <x v="4"/>
    <s v="Passat"/>
    <s v="Petrol"/>
    <x v="1"/>
    <s v="26-35"/>
    <s v="High"/>
    <x v="1"/>
    <x v="1"/>
    <s v="Sales_13"/>
    <n v="516"/>
    <n v="291"/>
    <n v="199"/>
    <n v="51"/>
    <s v="17.53"/>
    <n v="31835"/>
    <s v="9.55"/>
    <n v="28223"/>
    <n v="1623585"/>
    <n v="184212"/>
    <s v="Feb"/>
    <n v="2"/>
    <n v="2026"/>
    <s v="Weekend"/>
    <n v="0.25628140703517588"/>
    <n v="0.56395348837209303"/>
    <n v="9.8837209302325577E-2"/>
    <n v="3612"/>
    <s v="Stuttgart Auto Center"/>
  </r>
  <r>
    <s v="CUST_3307"/>
    <x v="5"/>
    <x v="3"/>
    <s v="Saturday"/>
    <s v="Yes"/>
    <x v="5"/>
    <x v="5"/>
    <s v="Hamburg"/>
    <x v="3"/>
    <s v="EQE"/>
    <s v="Electric"/>
    <x v="1"/>
    <s v="50+"/>
    <s v="High"/>
    <x v="0"/>
    <x v="2"/>
    <s v="Sales_3"/>
    <n v="272"/>
    <n v="135"/>
    <n v="103"/>
    <n v="38"/>
    <s v="28.15"/>
    <n v="54361"/>
    <s v="2.19"/>
    <n v="39316"/>
    <n v="2065718"/>
    <n v="571710"/>
    <s v="Feb"/>
    <n v="2"/>
    <n v="2026"/>
    <s v="Weekend"/>
    <n v="0.36893203883495146"/>
    <n v="0.49632352941176472"/>
    <n v="0.13970588235294118"/>
    <n v="15045"/>
    <s v="Elbe Drive"/>
  </r>
  <r>
    <s v="CUST_3308"/>
    <x v="10"/>
    <x v="1"/>
    <s v="Monday"/>
    <s v="No"/>
    <x v="2"/>
    <x v="2"/>
    <s v="Lower Saxony"/>
    <x v="0"/>
    <s v="i4"/>
    <s v="Electric"/>
    <x v="1"/>
    <s v="18-25"/>
    <s v="Low"/>
    <x v="1"/>
    <x v="3"/>
    <s v="Sales_6"/>
    <n v="235"/>
    <n v="117"/>
    <n v="83"/>
    <n v="31"/>
    <s v="26.5"/>
    <n v="66538"/>
    <s v="4.62"/>
    <n v="51690"/>
    <n v="2062678"/>
    <n v="460288"/>
    <s v="Feb"/>
    <n v="2"/>
    <n v="2026"/>
    <s v="Weekday"/>
    <n v="0.37349397590361444"/>
    <n v="0.49787234042553191"/>
    <n v="0.13191489361702127"/>
    <n v="14848"/>
    <s v="Hannover Cars"/>
  </r>
  <r>
    <s v="CUST_3309"/>
    <x v="20"/>
    <x v="0"/>
    <s v="Thursday"/>
    <s v="No"/>
    <x v="2"/>
    <x v="2"/>
    <s v="Lower Saxony"/>
    <x v="2"/>
    <s v="e-tron"/>
    <s v="Diesel"/>
    <x v="0"/>
    <s v="50+"/>
    <s v="Low"/>
    <x v="0"/>
    <x v="3"/>
    <s v="Sales_4"/>
    <n v="210"/>
    <n v="97"/>
    <n v="66"/>
    <n v="21"/>
    <s v="21.65"/>
    <n v="51972"/>
    <s v="6.59"/>
    <n v="40415"/>
    <n v="1091412"/>
    <n v="242697"/>
    <s v="Feb"/>
    <n v="2"/>
    <n v="2026"/>
    <s v="Weekday"/>
    <n v="0.31818181818181818"/>
    <n v="0.46190476190476193"/>
    <n v="0.1"/>
    <n v="11557"/>
    <s v="Hannover Cars"/>
  </r>
  <r>
    <s v="CUST_3310"/>
    <x v="5"/>
    <x v="3"/>
    <s v="Saturday"/>
    <s v="Yes"/>
    <x v="6"/>
    <x v="6"/>
    <s v="Saxony"/>
    <x v="2"/>
    <s v="A3"/>
    <s v="Diesel"/>
    <x v="2"/>
    <s v="26-35"/>
    <s v="Low"/>
    <x v="1"/>
    <x v="0"/>
    <s v="Sales_19"/>
    <n v="309"/>
    <n v="176"/>
    <n v="124"/>
    <n v="37"/>
    <s v="21.02"/>
    <n v="50496"/>
    <s v="4.32"/>
    <n v="41286"/>
    <n v="1868352"/>
    <n v="340770"/>
    <s v="Feb"/>
    <n v="2"/>
    <n v="2026"/>
    <s v="Weekend"/>
    <n v="0.29838709677419356"/>
    <n v="0.56957928802588997"/>
    <n v="0.11974110032362459"/>
    <n v="9210"/>
    <s v="Leipzig Mobility"/>
  </r>
  <r>
    <s v="CUST_3311"/>
    <x v="3"/>
    <x v="1"/>
    <s v="Sunday"/>
    <s v="Yes"/>
    <x v="7"/>
    <x v="7"/>
    <s v="Bavaria"/>
    <x v="3"/>
    <s v="GLE"/>
    <s v="Hybrid"/>
    <x v="0"/>
    <s v="50+"/>
    <s v="Medium"/>
    <x v="0"/>
    <x v="2"/>
    <s v="Sales_15"/>
    <n v="174"/>
    <n v="100"/>
    <n v="74"/>
    <n v="27"/>
    <s v="27.0"/>
    <n v="67968"/>
    <s v="3.04"/>
    <n v="51110"/>
    <n v="1835136"/>
    <n v="455166"/>
    <s v="Feb"/>
    <n v="2"/>
    <n v="2026"/>
    <s v="Weekend"/>
    <n v="0.36486486486486486"/>
    <n v="0.57471264367816088"/>
    <n v="0.15517241379310345"/>
    <n v="16858"/>
    <s v="Bavaria Motors"/>
  </r>
  <r>
    <s v="CUST_3312"/>
    <x v="23"/>
    <x v="2"/>
    <s v="Tuesday"/>
    <s v="No"/>
    <x v="7"/>
    <x v="7"/>
    <s v="Bavaria"/>
    <x v="1"/>
    <s v="Crossland"/>
    <s v="Electric"/>
    <x v="0"/>
    <s v="26-35"/>
    <s v="Low"/>
    <x v="1"/>
    <x v="3"/>
    <s v="Sales_10"/>
    <n v="239"/>
    <n v="105"/>
    <n v="64"/>
    <n v="17"/>
    <s v="16.19"/>
    <n v="21672"/>
    <s v="12.23"/>
    <n v="19952"/>
    <n v="368424"/>
    <n v="29240"/>
    <s v="Feb"/>
    <n v="2"/>
    <n v="2026"/>
    <s v="Weekday"/>
    <n v="0.265625"/>
    <n v="0.43933054393305437"/>
    <n v="7.1129707112970716E-2"/>
    <n v="1720"/>
    <s v="Bavaria Motors"/>
  </r>
  <r>
    <s v="CUST_3313"/>
    <x v="25"/>
    <x v="3"/>
    <s v="Friday"/>
    <s v="No"/>
    <x v="1"/>
    <x v="1"/>
    <s v="NRW"/>
    <x v="3"/>
    <s v="GLE"/>
    <s v="Petrol"/>
    <x v="0"/>
    <s v="50+"/>
    <s v="Low"/>
    <x v="1"/>
    <x v="3"/>
    <s v="Sales_14"/>
    <n v="250"/>
    <n v="137"/>
    <n v="107"/>
    <n v="31"/>
    <s v="22.63"/>
    <n v="71229"/>
    <s v="4.45"/>
    <n v="51542"/>
    <n v="2208099"/>
    <n v="610297"/>
    <s v="Feb"/>
    <n v="2"/>
    <n v="2026"/>
    <s v="Weekday"/>
    <n v="0.28971962616822428"/>
    <n v="0.54800000000000004"/>
    <n v="0.124"/>
    <n v="19687"/>
    <s v="Rhein Auto Group"/>
  </r>
  <r>
    <s v="CUST_3314"/>
    <x v="1"/>
    <x v="1"/>
    <s v="Wednesday"/>
    <s v="No"/>
    <x v="6"/>
    <x v="6"/>
    <s v="Saxony"/>
    <x v="2"/>
    <s v="A4"/>
    <s v="Hybrid"/>
    <x v="1"/>
    <s v="18-25"/>
    <s v="Medium"/>
    <x v="0"/>
    <x v="0"/>
    <s v="Sales_13"/>
    <n v="171"/>
    <n v="109"/>
    <n v="71"/>
    <n v="20"/>
    <s v="18.35"/>
    <n v="41630"/>
    <s v="3.32"/>
    <n v="31971"/>
    <n v="832600"/>
    <n v="193180"/>
    <s v="Feb"/>
    <n v="2"/>
    <n v="2026"/>
    <s v="Weekday"/>
    <n v="0.28169014084507044"/>
    <n v="0.63742690058479534"/>
    <n v="0.11695906432748537"/>
    <n v="9659"/>
    <s v="Leipzig Mobility"/>
  </r>
  <r>
    <s v="CUST_3315"/>
    <x v="13"/>
    <x v="0"/>
    <s v="Friday"/>
    <s v="No"/>
    <x v="2"/>
    <x v="2"/>
    <s v="Lower Saxony"/>
    <x v="2"/>
    <s v="A3"/>
    <s v="Diesel"/>
    <x v="2"/>
    <s v="50+"/>
    <s v="Medium"/>
    <x v="1"/>
    <x v="1"/>
    <s v="Sales_13"/>
    <n v="290"/>
    <n v="162"/>
    <n v="105"/>
    <n v="37"/>
    <s v="22.84"/>
    <n v="42733"/>
    <s v="6.67"/>
    <n v="33197"/>
    <n v="1581121"/>
    <n v="352832"/>
    <s v="Feb"/>
    <n v="2"/>
    <n v="2026"/>
    <s v="Weekday"/>
    <n v="0.35238095238095241"/>
    <n v="0.55862068965517242"/>
    <n v="0.12758620689655173"/>
    <n v="9536"/>
    <s v="Hannover Cars"/>
  </r>
  <r>
    <s v="CUST_3316"/>
    <x v="23"/>
    <x v="2"/>
    <s v="Tuesday"/>
    <s v="No"/>
    <x v="9"/>
    <x v="9"/>
    <s v="NRW"/>
    <x v="3"/>
    <s v="E-Class"/>
    <s v="Petrol"/>
    <x v="1"/>
    <s v="50+"/>
    <s v="Medium"/>
    <x v="1"/>
    <x v="2"/>
    <s v="Sales_11"/>
    <n v="152"/>
    <n v="85"/>
    <n v="59"/>
    <n v="20"/>
    <s v="23.53"/>
    <n v="67179"/>
    <s v="3.4"/>
    <n v="51734"/>
    <n v="1343580"/>
    <n v="308900"/>
    <s v="Feb"/>
    <n v="2"/>
    <n v="2026"/>
    <s v="Weekday"/>
    <n v="0.33898305084745761"/>
    <n v="0.55921052631578949"/>
    <n v="0.13157894736842105"/>
    <n v="15445"/>
    <s v="Ruhr Auto Plaza"/>
  </r>
  <r>
    <s v="CUST_3317"/>
    <x v="26"/>
    <x v="1"/>
    <s v="Friday"/>
    <s v="No"/>
    <x v="7"/>
    <x v="7"/>
    <s v="Bavaria"/>
    <x v="2"/>
    <s v="Q3"/>
    <s v="Petrol"/>
    <x v="0"/>
    <s v="50+"/>
    <s v="Low"/>
    <x v="1"/>
    <x v="1"/>
    <s v="Sales_6"/>
    <n v="272"/>
    <n v="157"/>
    <n v="111"/>
    <n v="40"/>
    <s v="25.48"/>
    <n v="41048"/>
    <s v="3.17"/>
    <n v="32282"/>
    <n v="1641920"/>
    <n v="350640"/>
    <s v="Feb"/>
    <n v="2"/>
    <n v="2026"/>
    <s v="Weekday"/>
    <n v="0.36036036036036034"/>
    <n v="0.57720588235294112"/>
    <n v="0.14705882352941177"/>
    <n v="8766"/>
    <s v="Bavaria Motors"/>
  </r>
  <r>
    <s v="CUST_3318"/>
    <x v="15"/>
    <x v="2"/>
    <s v="Thursday"/>
    <s v="No"/>
    <x v="4"/>
    <x v="4"/>
    <s v="Berlin"/>
    <x v="3"/>
    <s v="E-Class"/>
    <s v="Hybrid"/>
    <x v="1"/>
    <s v="18-25"/>
    <s v="High"/>
    <x v="1"/>
    <x v="3"/>
    <s v="Sales_8"/>
    <n v="168"/>
    <n v="78"/>
    <n v="53"/>
    <n v="21"/>
    <s v="26.92"/>
    <n v="68958"/>
    <s v="5.15"/>
    <n v="52827"/>
    <n v="1448118"/>
    <n v="338751"/>
    <s v="Feb"/>
    <n v="2"/>
    <n v="2026"/>
    <s v="Weekday"/>
    <n v="0.39622641509433965"/>
    <n v="0.4642857142857143"/>
    <n v="0.125"/>
    <n v="16131"/>
    <s v="Autohaus Berlin"/>
  </r>
  <r>
    <s v="CUST_3319"/>
    <x v="10"/>
    <x v="1"/>
    <s v="Monday"/>
    <s v="No"/>
    <x v="7"/>
    <x v="7"/>
    <s v="Bavaria"/>
    <x v="3"/>
    <s v="GLE"/>
    <s v="Electric"/>
    <x v="0"/>
    <s v="18-25"/>
    <s v="Low"/>
    <x v="0"/>
    <x v="0"/>
    <s v="Sales_7"/>
    <n v="239"/>
    <n v="141"/>
    <n v="96"/>
    <n v="34"/>
    <s v="24.11"/>
    <n v="63085"/>
    <s v="5.54"/>
    <n v="46350"/>
    <n v="2144890"/>
    <n v="568990"/>
    <s v="Feb"/>
    <n v="2"/>
    <n v="2026"/>
    <s v="Weekday"/>
    <n v="0.35416666666666669"/>
    <n v="0.58995815899581594"/>
    <n v="0.14225941422594143"/>
    <n v="16735"/>
    <s v="Bavaria Motors"/>
  </r>
  <r>
    <s v="CUST_3320"/>
    <x v="4"/>
    <x v="2"/>
    <s v="Wednesday"/>
    <s v="No"/>
    <x v="6"/>
    <x v="6"/>
    <s v="Saxony"/>
    <x v="0"/>
    <s v="i4"/>
    <s v="Hybrid"/>
    <x v="1"/>
    <s v="26-35"/>
    <s v="Low"/>
    <x v="1"/>
    <x v="0"/>
    <s v="Sales_18"/>
    <n v="228"/>
    <n v="104"/>
    <n v="72"/>
    <n v="25"/>
    <s v="24.04"/>
    <n v="50520"/>
    <s v="5.44"/>
    <n v="37394"/>
    <n v="1263000"/>
    <n v="328150"/>
    <s v="Feb"/>
    <n v="2"/>
    <n v="2026"/>
    <s v="Weekday"/>
    <n v="0.34722222222222221"/>
    <n v="0.45614035087719296"/>
    <n v="0.10964912280701754"/>
    <n v="13126"/>
    <s v="Leipzig Mobility"/>
  </r>
  <r>
    <s v="CUST_3321"/>
    <x v="7"/>
    <x v="3"/>
    <s v="Monday"/>
    <s v="No"/>
    <x v="0"/>
    <x v="0"/>
    <s v="Hesse"/>
    <x v="4"/>
    <s v="Passat"/>
    <s v="Diesel"/>
    <x v="1"/>
    <s v="26-35"/>
    <s v="Medium"/>
    <x v="1"/>
    <x v="2"/>
    <s v="Sales_10"/>
    <n v="389"/>
    <n v="200"/>
    <n v="136"/>
    <n v="31"/>
    <s v="15.5"/>
    <n v="26481"/>
    <s v="10.86"/>
    <n v="23636"/>
    <n v="820911"/>
    <n v="88195"/>
    <s v="Feb"/>
    <n v="2"/>
    <n v="2026"/>
    <s v="Weekday"/>
    <n v="0.22794117647058823"/>
    <n v="0.51413881748071977"/>
    <n v="7.9691516709511565E-2"/>
    <n v="2845"/>
    <s v="Main Auto Hub"/>
  </r>
  <r>
    <s v="CUST_3322"/>
    <x v="24"/>
    <x v="1"/>
    <s v="Thursday"/>
    <s v="No"/>
    <x v="4"/>
    <x v="4"/>
    <s v="Berlin"/>
    <x v="3"/>
    <s v="C-Class"/>
    <s v="Hybrid"/>
    <x v="1"/>
    <s v="18-25"/>
    <s v="Medium"/>
    <x v="1"/>
    <x v="2"/>
    <s v="Sales_17"/>
    <n v="199"/>
    <n v="118"/>
    <n v="77"/>
    <n v="36"/>
    <s v="30.51"/>
    <n v="68066"/>
    <s v="4.77"/>
    <n v="48730"/>
    <n v="2450376"/>
    <n v="696096"/>
    <s v="Feb"/>
    <n v="2"/>
    <n v="2026"/>
    <s v="Weekday"/>
    <n v="0.46753246753246752"/>
    <n v="0.59296482412060303"/>
    <n v="0.18090452261306533"/>
    <n v="19336"/>
    <s v="Autohaus Berlin"/>
  </r>
  <r>
    <s v="CUST_3323"/>
    <x v="23"/>
    <x v="2"/>
    <s v="Tuesday"/>
    <s v="No"/>
    <x v="8"/>
    <x v="8"/>
    <s v="Baden-WÃ¼rttemberg"/>
    <x v="2"/>
    <s v="A3"/>
    <s v="Diesel"/>
    <x v="2"/>
    <s v="36-50"/>
    <s v="High"/>
    <x v="0"/>
    <x v="2"/>
    <s v="Sales_16"/>
    <n v="298"/>
    <n v="163"/>
    <n v="117"/>
    <n v="46"/>
    <s v="28.22"/>
    <n v="50728"/>
    <s v="3.12"/>
    <n v="38229"/>
    <n v="2333488"/>
    <n v="574954"/>
    <s v="Feb"/>
    <n v="2"/>
    <n v="2026"/>
    <s v="Weekday"/>
    <n v="0.39316239316239315"/>
    <n v="0.54697986577181212"/>
    <n v="0.15436241610738255"/>
    <n v="12499"/>
    <s v="Stuttgart Auto Center"/>
  </r>
  <r>
    <s v="CUST_3324"/>
    <x v="15"/>
    <x v="2"/>
    <s v="Thursday"/>
    <s v="No"/>
    <x v="4"/>
    <x v="4"/>
    <s v="Berlin"/>
    <x v="3"/>
    <s v="EQE"/>
    <s v="Electric"/>
    <x v="1"/>
    <s v="26-35"/>
    <s v="Low"/>
    <x v="0"/>
    <x v="0"/>
    <s v="Sales_3"/>
    <n v="194"/>
    <n v="107"/>
    <n v="77"/>
    <n v="26"/>
    <s v="24.3"/>
    <n v="60346"/>
    <s v="5.9"/>
    <n v="42893"/>
    <n v="1568996"/>
    <n v="453778"/>
    <s v="Feb"/>
    <n v="2"/>
    <n v="2026"/>
    <s v="Weekday"/>
    <n v="0.33766233766233766"/>
    <n v="0.55154639175257736"/>
    <n v="0.13402061855670103"/>
    <n v="17453"/>
    <s v="Autohaus Berlin"/>
  </r>
  <r>
    <s v="CUST_3325"/>
    <x v="17"/>
    <x v="2"/>
    <s v="Sunday"/>
    <s v="Yes"/>
    <x v="4"/>
    <x v="4"/>
    <s v="Berlin"/>
    <x v="2"/>
    <s v="A3"/>
    <s v="Diesel"/>
    <x v="2"/>
    <s v="18-25"/>
    <s v="Low"/>
    <x v="0"/>
    <x v="2"/>
    <s v="Sales_15"/>
    <n v="180"/>
    <n v="115"/>
    <n v="83"/>
    <n v="31"/>
    <s v="26.96"/>
    <n v="42168"/>
    <s v="4.2"/>
    <n v="34165"/>
    <n v="1307208"/>
    <n v="248093"/>
    <s v="Feb"/>
    <n v="2"/>
    <n v="2026"/>
    <s v="Weekend"/>
    <n v="0.37349397590361444"/>
    <n v="0.63888888888888884"/>
    <n v="0.17222222222222222"/>
    <n v="8003"/>
    <s v="Autohaus Berlin"/>
  </r>
  <r>
    <s v="CUST_3326"/>
    <x v="19"/>
    <x v="1"/>
    <s v="Saturday"/>
    <s v="Yes"/>
    <x v="6"/>
    <x v="6"/>
    <s v="Saxony"/>
    <x v="2"/>
    <s v="Q3"/>
    <s v="Electric"/>
    <x v="0"/>
    <s v="26-35"/>
    <s v="Low"/>
    <x v="1"/>
    <x v="0"/>
    <s v="Sales_17"/>
    <n v="274"/>
    <n v="170"/>
    <n v="119"/>
    <n v="31"/>
    <s v="18.24"/>
    <n v="50719"/>
    <s v="5.36"/>
    <n v="40905"/>
    <n v="1572289"/>
    <n v="304234"/>
    <s v="Feb"/>
    <n v="2"/>
    <n v="2026"/>
    <s v="Weekend"/>
    <n v="0.26050420168067229"/>
    <n v="0.62043795620437958"/>
    <n v="0.11313868613138686"/>
    <n v="9814"/>
    <s v="Leipzig Mobility"/>
  </r>
  <r>
    <s v="CUST_3327"/>
    <x v="24"/>
    <x v="1"/>
    <s v="Thursday"/>
    <s v="No"/>
    <x v="0"/>
    <x v="0"/>
    <s v="Hesse"/>
    <x v="2"/>
    <s v="Q3"/>
    <s v="Hybrid"/>
    <x v="0"/>
    <s v="50+"/>
    <s v="Medium"/>
    <x v="1"/>
    <x v="2"/>
    <s v="Sales_14"/>
    <n v="172"/>
    <n v="93"/>
    <n v="67"/>
    <n v="21"/>
    <s v="22.58"/>
    <n v="45912"/>
    <s v="6.86"/>
    <n v="36553"/>
    <n v="964152"/>
    <n v="196539"/>
    <s v="Feb"/>
    <n v="2"/>
    <n v="2026"/>
    <s v="Weekday"/>
    <n v="0.31343283582089554"/>
    <n v="0.54069767441860461"/>
    <n v="0.12209302325581395"/>
    <n v="9359"/>
    <s v="Main Auto Hub"/>
  </r>
  <r>
    <s v="CUST_3328"/>
    <x v="8"/>
    <x v="3"/>
    <s v="Wednesday"/>
    <s v="No"/>
    <x v="7"/>
    <x v="7"/>
    <s v="Bavaria"/>
    <x v="1"/>
    <s v="Mokka"/>
    <s v="Diesel"/>
    <x v="0"/>
    <s v="50+"/>
    <s v="Medium"/>
    <x v="0"/>
    <x v="3"/>
    <s v="Sales_5"/>
    <n v="234"/>
    <n v="93"/>
    <n v="58"/>
    <n v="16"/>
    <s v="17.2"/>
    <n v="26543"/>
    <s v="7.04"/>
    <n v="23866"/>
    <n v="424688"/>
    <n v="42832"/>
    <s v="Feb"/>
    <n v="2"/>
    <n v="2026"/>
    <s v="Weekday"/>
    <n v="0.27586206896551724"/>
    <n v="0.39743589743589741"/>
    <n v="6.8376068376068383E-2"/>
    <n v="2677"/>
    <s v="Bavaria Motors"/>
  </r>
  <r>
    <s v="CUST_3329"/>
    <x v="9"/>
    <x v="0"/>
    <s v="Sunday"/>
    <s v="Yes"/>
    <x v="4"/>
    <x v="4"/>
    <s v="Berlin"/>
    <x v="2"/>
    <s v="Q3"/>
    <s v="Hybrid"/>
    <x v="0"/>
    <s v="36-50"/>
    <s v="High"/>
    <x v="0"/>
    <x v="2"/>
    <s v="Sales_6"/>
    <n v="178"/>
    <n v="107"/>
    <n v="81"/>
    <n v="29"/>
    <s v="27.1"/>
    <n v="50691"/>
    <s v="3.04"/>
    <n v="40308"/>
    <n v="1470039"/>
    <n v="301107"/>
    <s v="Feb"/>
    <n v="2"/>
    <n v="2026"/>
    <s v="Weekend"/>
    <n v="0.35802469135802467"/>
    <n v="0.601123595505618"/>
    <n v="0.16292134831460675"/>
    <n v="10383"/>
    <s v="Autohaus Berlin"/>
  </r>
  <r>
    <s v="CUST_3330"/>
    <x v="21"/>
    <x v="0"/>
    <s v="Tuesday"/>
    <s v="No"/>
    <x v="7"/>
    <x v="7"/>
    <s v="Bavaria"/>
    <x v="1"/>
    <s v="Crossland"/>
    <s v="Electric"/>
    <x v="0"/>
    <s v="50+"/>
    <s v="Low"/>
    <x v="0"/>
    <x v="0"/>
    <s v="Sales_11"/>
    <n v="382"/>
    <n v="166"/>
    <n v="98"/>
    <n v="26"/>
    <s v="15.66"/>
    <n v="25222"/>
    <s v="11.22"/>
    <n v="22863"/>
    <n v="655772"/>
    <n v="61334"/>
    <s v="Feb"/>
    <n v="2"/>
    <n v="2026"/>
    <s v="Weekday"/>
    <n v="0.26530612244897961"/>
    <n v="0.43455497382198954"/>
    <n v="6.8062827225130892E-2"/>
    <n v="2359"/>
    <s v="Bavaria Motors"/>
  </r>
  <r>
    <s v="CUST_3331"/>
    <x v="27"/>
    <x v="3"/>
    <s v="Sunday"/>
    <s v="Yes"/>
    <x v="9"/>
    <x v="9"/>
    <s v="NRW"/>
    <x v="2"/>
    <s v="A4"/>
    <s v="Diesel"/>
    <x v="1"/>
    <s v="18-25"/>
    <s v="Low"/>
    <x v="0"/>
    <x v="1"/>
    <s v="Sales_11"/>
    <n v="197"/>
    <n v="110"/>
    <n v="85"/>
    <n v="26"/>
    <s v="23.64"/>
    <n v="40559"/>
    <s v="5.51"/>
    <n v="32257"/>
    <n v="1054534"/>
    <n v="215852"/>
    <s v="Feb"/>
    <n v="2"/>
    <n v="2026"/>
    <s v="Weekend"/>
    <n v="0.30588235294117649"/>
    <n v="0.55837563451776651"/>
    <n v="0.13197969543147209"/>
    <n v="8302"/>
    <s v="Ruhr Auto Plaza"/>
  </r>
  <r>
    <s v="CUST_3332"/>
    <x v="17"/>
    <x v="2"/>
    <s v="Sunday"/>
    <s v="Yes"/>
    <x v="1"/>
    <x v="1"/>
    <s v="NRW"/>
    <x v="2"/>
    <s v="e-tron"/>
    <s v="Petrol"/>
    <x v="0"/>
    <s v="36-50"/>
    <s v="Low"/>
    <x v="0"/>
    <x v="3"/>
    <s v="Sales_11"/>
    <n v="203"/>
    <n v="115"/>
    <n v="87"/>
    <n v="28"/>
    <s v="24.35"/>
    <n v="45689"/>
    <s v="6.36"/>
    <n v="35139"/>
    <n v="1279292"/>
    <n v="295400"/>
    <s v="Feb"/>
    <n v="2"/>
    <n v="2026"/>
    <s v="Weekend"/>
    <n v="0.32183908045977011"/>
    <n v="0.56650246305418717"/>
    <n v="0.13793103448275862"/>
    <n v="10550"/>
    <s v="Rhein Auto Group"/>
  </r>
  <r>
    <s v="CUST_3333"/>
    <x v="22"/>
    <x v="3"/>
    <s v="Tuesday"/>
    <s v="No"/>
    <x v="5"/>
    <x v="5"/>
    <s v="Hamburg"/>
    <x v="4"/>
    <s v="Passat"/>
    <s v="Petrol"/>
    <x v="1"/>
    <s v="18-25"/>
    <s v="Low"/>
    <x v="0"/>
    <x v="2"/>
    <s v="Sales_9"/>
    <n v="425"/>
    <n v="218"/>
    <n v="156"/>
    <n v="45"/>
    <s v="20.64"/>
    <n v="33026"/>
    <s v="6.85"/>
    <n v="29343"/>
    <n v="1486170"/>
    <n v="165735"/>
    <s v="Feb"/>
    <n v="2"/>
    <n v="2026"/>
    <s v="Weekday"/>
    <n v="0.28846153846153844"/>
    <n v="0.51294117647058823"/>
    <n v="0.10588235294117647"/>
    <n v="3683"/>
    <s v="Elbe Drive"/>
  </r>
  <r>
    <s v="CUST_3334"/>
    <x v="10"/>
    <x v="1"/>
    <s v="Monday"/>
    <s v="No"/>
    <x v="8"/>
    <x v="8"/>
    <s v="Baden-WÃ¼rttemberg"/>
    <x v="2"/>
    <s v="A3"/>
    <s v="Hybrid"/>
    <x v="2"/>
    <s v="36-50"/>
    <s v="Medium"/>
    <x v="1"/>
    <x v="0"/>
    <s v="Sales_20"/>
    <n v="246"/>
    <n v="148"/>
    <n v="103"/>
    <n v="31"/>
    <s v="20.95"/>
    <n v="52350"/>
    <s v="3.6"/>
    <n v="42728"/>
    <n v="1622850"/>
    <n v="298282"/>
    <s v="Feb"/>
    <n v="2"/>
    <n v="2026"/>
    <s v="Weekday"/>
    <n v="0.30097087378640774"/>
    <n v="0.60162601626016265"/>
    <n v="0.12601626016260162"/>
    <n v="9622"/>
    <s v="Stuttgart Auto Center"/>
  </r>
  <r>
    <s v="CUST_3335"/>
    <x v="2"/>
    <x v="2"/>
    <s v="Monday"/>
    <s v="No"/>
    <x v="4"/>
    <x v="4"/>
    <s v="Berlin"/>
    <x v="2"/>
    <s v="Q5"/>
    <s v="Diesel"/>
    <x v="0"/>
    <s v="36-50"/>
    <s v="Medium"/>
    <x v="1"/>
    <x v="0"/>
    <s v="Sales_12"/>
    <n v="314"/>
    <n v="171"/>
    <n v="129"/>
    <n v="38"/>
    <s v="22.22"/>
    <n v="48972"/>
    <s v="5.65"/>
    <n v="37432"/>
    <n v="1860936"/>
    <n v="438520"/>
    <s v="Feb"/>
    <n v="2"/>
    <n v="2026"/>
    <s v="Weekday"/>
    <n v="0.29457364341085274"/>
    <n v="0.54458598726114649"/>
    <n v="0.12101910828025478"/>
    <n v="11540"/>
    <s v="Autohaus Berlin"/>
  </r>
  <r>
    <s v="CUST_3336"/>
    <x v="7"/>
    <x v="3"/>
    <s v="Monday"/>
    <s v="No"/>
    <x v="5"/>
    <x v="5"/>
    <s v="Hamburg"/>
    <x v="1"/>
    <s v="Astra"/>
    <s v="Petrol"/>
    <x v="2"/>
    <s v="26-35"/>
    <s v="High"/>
    <x v="1"/>
    <x v="3"/>
    <s v="Sales_18"/>
    <n v="287"/>
    <n v="117"/>
    <n v="72"/>
    <n v="19"/>
    <s v="16.24"/>
    <n v="22174"/>
    <s v="9.86"/>
    <n v="20341"/>
    <n v="421306"/>
    <n v="34827"/>
    <s v="Feb"/>
    <n v="2"/>
    <n v="2026"/>
    <s v="Weekday"/>
    <n v="0.2638888888888889"/>
    <n v="0.40766550522648082"/>
    <n v="6.6202090592334492E-2"/>
    <n v="1833"/>
    <s v="Elbe Drive"/>
  </r>
  <r>
    <s v="CUST_3337"/>
    <x v="19"/>
    <x v="1"/>
    <s v="Saturday"/>
    <s v="Yes"/>
    <x v="0"/>
    <x v="0"/>
    <s v="Hesse"/>
    <x v="2"/>
    <s v="Q5"/>
    <s v="Diesel"/>
    <x v="0"/>
    <s v="26-35"/>
    <s v="Low"/>
    <x v="0"/>
    <x v="3"/>
    <s v="Sales_4"/>
    <n v="317"/>
    <n v="188"/>
    <n v="138"/>
    <n v="39"/>
    <s v="20.74"/>
    <n v="43007"/>
    <s v="6.52"/>
    <n v="34682"/>
    <n v="1677273"/>
    <n v="324675"/>
    <s v="Feb"/>
    <n v="2"/>
    <n v="2026"/>
    <s v="Weekend"/>
    <n v="0.28260869565217389"/>
    <n v="0.59305993690851733"/>
    <n v="0.12302839116719243"/>
    <n v="8325"/>
    <s v="Main Auto Hub"/>
  </r>
  <r>
    <s v="CUST_3338"/>
    <x v="18"/>
    <x v="0"/>
    <s v="Saturday"/>
    <s v="Yes"/>
    <x v="7"/>
    <x v="7"/>
    <s v="Bavaria"/>
    <x v="4"/>
    <s v="T-Roc"/>
    <s v="Diesel"/>
    <x v="0"/>
    <s v="26-35"/>
    <s v="Medium"/>
    <x v="0"/>
    <x v="1"/>
    <s v="Sales_16"/>
    <n v="511"/>
    <n v="263"/>
    <n v="188"/>
    <n v="46"/>
    <s v="17.49"/>
    <n v="31815"/>
    <s v="8.83"/>
    <n v="28081"/>
    <n v="1463490"/>
    <n v="171764"/>
    <s v="Feb"/>
    <n v="2"/>
    <n v="2026"/>
    <s v="Weekend"/>
    <n v="0.24468085106382978"/>
    <n v="0.51467710371819964"/>
    <n v="9.0019569471624261E-2"/>
    <n v="3734"/>
    <s v="Bavaria Motors"/>
  </r>
  <r>
    <s v="CUST_3339"/>
    <x v="21"/>
    <x v="0"/>
    <s v="Tuesday"/>
    <s v="No"/>
    <x v="5"/>
    <x v="5"/>
    <s v="Hamburg"/>
    <x v="4"/>
    <s v="Golf"/>
    <s v="Hybrid"/>
    <x v="2"/>
    <s v="50+"/>
    <s v="High"/>
    <x v="0"/>
    <x v="1"/>
    <s v="Sales_13"/>
    <n v="505"/>
    <n v="235"/>
    <n v="151"/>
    <n v="48"/>
    <s v="20.43"/>
    <n v="33865"/>
    <s v="10.2"/>
    <n v="30705"/>
    <n v="1625520"/>
    <n v="151680"/>
    <s v="Feb"/>
    <n v="2"/>
    <n v="2026"/>
    <s v="Weekday"/>
    <n v="0.31788079470198677"/>
    <n v="0.46534653465346537"/>
    <n v="9.5049504950495051E-2"/>
    <n v="3160"/>
    <s v="Elbe Drive"/>
  </r>
  <r>
    <s v="CUST_3340"/>
    <x v="16"/>
    <x v="1"/>
    <s v="Tuesday"/>
    <s v="No"/>
    <x v="3"/>
    <x v="3"/>
    <s v="Saxony"/>
    <x v="2"/>
    <s v="Q5"/>
    <s v="Diesel"/>
    <x v="0"/>
    <s v="18-25"/>
    <s v="High"/>
    <x v="1"/>
    <x v="3"/>
    <s v="Sales_13"/>
    <n v="255"/>
    <n v="150"/>
    <n v="101"/>
    <n v="33"/>
    <s v="22.0"/>
    <n v="48550"/>
    <s v="6.99"/>
    <n v="39364"/>
    <n v="1602150"/>
    <n v="303138"/>
    <s v="Feb"/>
    <n v="2"/>
    <n v="2026"/>
    <s v="Weekday"/>
    <n v="0.32673267326732675"/>
    <n v="0.58823529411764708"/>
    <n v="0.12941176470588237"/>
    <n v="9186"/>
    <s v="Saxon Wheels"/>
  </r>
  <r>
    <s v="CUST_3341"/>
    <x v="10"/>
    <x v="1"/>
    <s v="Monday"/>
    <s v="No"/>
    <x v="9"/>
    <x v="9"/>
    <s v="NRW"/>
    <x v="1"/>
    <s v="Astra"/>
    <s v="Diesel"/>
    <x v="2"/>
    <s v="36-50"/>
    <s v="High"/>
    <x v="1"/>
    <x v="1"/>
    <s v="Sales_14"/>
    <n v="227"/>
    <n v="125"/>
    <n v="70"/>
    <n v="19"/>
    <s v="15.2"/>
    <n v="21018"/>
    <s v="11.14"/>
    <n v="18895"/>
    <n v="399342"/>
    <n v="40337"/>
    <s v="Feb"/>
    <n v="2"/>
    <n v="2026"/>
    <s v="Weekday"/>
    <n v="0.27142857142857141"/>
    <n v="0.5506607929515418"/>
    <n v="8.3700440528634359E-2"/>
    <n v="2123"/>
    <s v="Ruhr Auto Plaza"/>
  </r>
  <r>
    <s v="CUST_3342"/>
    <x v="15"/>
    <x v="2"/>
    <s v="Thursday"/>
    <s v="No"/>
    <x v="3"/>
    <x v="3"/>
    <s v="Saxony"/>
    <x v="2"/>
    <s v="Q5"/>
    <s v="Diesel"/>
    <x v="0"/>
    <s v="26-35"/>
    <s v="Low"/>
    <x v="0"/>
    <x v="1"/>
    <s v="Sales_14"/>
    <n v="214"/>
    <n v="109"/>
    <n v="74"/>
    <n v="24"/>
    <s v="22.02"/>
    <n v="50460"/>
    <s v="6.23"/>
    <n v="40836"/>
    <n v="1211040"/>
    <n v="230976"/>
    <s v="Feb"/>
    <n v="2"/>
    <n v="2026"/>
    <s v="Weekday"/>
    <n v="0.32432432432432434"/>
    <n v="0.50934579439252337"/>
    <n v="0.11214953271028037"/>
    <n v="9624"/>
    <s v="Saxon Wheels"/>
  </r>
  <r>
    <s v="CUST_3343"/>
    <x v="5"/>
    <x v="3"/>
    <s v="Saturday"/>
    <s v="Yes"/>
    <x v="6"/>
    <x v="6"/>
    <s v="Saxony"/>
    <x v="2"/>
    <s v="Q3"/>
    <s v="Hybrid"/>
    <x v="0"/>
    <s v="50+"/>
    <s v="High"/>
    <x v="0"/>
    <x v="1"/>
    <s v="Sales_13"/>
    <n v="182"/>
    <n v="83"/>
    <n v="56"/>
    <n v="17"/>
    <s v="20.48"/>
    <n v="45404"/>
    <s v="3.79"/>
    <n v="34235"/>
    <n v="771868"/>
    <n v="189873"/>
    <s v="Feb"/>
    <n v="2"/>
    <n v="2026"/>
    <s v="Weekend"/>
    <n v="0.30357142857142855"/>
    <n v="0.45604395604395603"/>
    <n v="9.3406593406593408E-2"/>
    <n v="11169"/>
    <s v="Leipzig Mobility"/>
  </r>
  <r>
    <s v="CUST_3344"/>
    <x v="21"/>
    <x v="0"/>
    <s v="Tuesday"/>
    <s v="No"/>
    <x v="6"/>
    <x v="6"/>
    <s v="Saxony"/>
    <x v="1"/>
    <s v="Corsa"/>
    <s v="Diesel"/>
    <x v="2"/>
    <s v="26-35"/>
    <s v="Low"/>
    <x v="0"/>
    <x v="3"/>
    <s v="Sales_10"/>
    <n v="293"/>
    <n v="116"/>
    <n v="69"/>
    <n v="16"/>
    <s v="13.79"/>
    <n v="24510"/>
    <s v="8.91"/>
    <n v="22170"/>
    <n v="392160"/>
    <n v="37440"/>
    <s v="Feb"/>
    <n v="2"/>
    <n v="2026"/>
    <s v="Weekday"/>
    <n v="0.2318840579710145"/>
    <n v="0.39590443686006827"/>
    <n v="5.4607508532423209E-2"/>
    <n v="2340"/>
    <s v="Leipzig Mobility"/>
  </r>
  <r>
    <s v="CUST_3345"/>
    <x v="18"/>
    <x v="0"/>
    <s v="Saturday"/>
    <s v="Yes"/>
    <x v="1"/>
    <x v="1"/>
    <s v="NRW"/>
    <x v="2"/>
    <s v="e-tron"/>
    <s v="Petrol"/>
    <x v="0"/>
    <s v="18-25"/>
    <s v="High"/>
    <x v="0"/>
    <x v="3"/>
    <s v="Sales_20"/>
    <n v="198"/>
    <n v="111"/>
    <n v="71"/>
    <n v="27"/>
    <s v="24.32"/>
    <n v="53012"/>
    <s v="5.57"/>
    <n v="40644"/>
    <n v="1431324"/>
    <n v="333936"/>
    <s v="Feb"/>
    <n v="2"/>
    <n v="2026"/>
    <s v="Weekend"/>
    <n v="0.38028169014084506"/>
    <n v="0.56060606060606055"/>
    <n v="0.13636363636363635"/>
    <n v="12368"/>
    <s v="Rhein Auto Group"/>
  </r>
  <r>
    <s v="CUST_3346"/>
    <x v="13"/>
    <x v="0"/>
    <s v="Friday"/>
    <s v="No"/>
    <x v="4"/>
    <x v="4"/>
    <s v="Berlin"/>
    <x v="4"/>
    <s v="Tiguan"/>
    <s v="Hybrid"/>
    <x v="0"/>
    <s v="26-35"/>
    <s v="Medium"/>
    <x v="1"/>
    <x v="1"/>
    <s v="Sales_9"/>
    <n v="267"/>
    <n v="121"/>
    <n v="74"/>
    <n v="23"/>
    <s v="19.01"/>
    <n v="29339"/>
    <s v="10.25"/>
    <n v="26018"/>
    <n v="674797"/>
    <n v="76383"/>
    <s v="Feb"/>
    <n v="2"/>
    <n v="2026"/>
    <s v="Weekday"/>
    <n v="0.3108108108108108"/>
    <n v="0.45318352059925093"/>
    <n v="8.6142322097378279E-2"/>
    <n v="3321"/>
    <s v="Autohaus Berlin"/>
  </r>
  <r>
    <s v="CUST_3347"/>
    <x v="3"/>
    <x v="1"/>
    <s v="Sunday"/>
    <s v="Yes"/>
    <x v="0"/>
    <x v="0"/>
    <s v="Hesse"/>
    <x v="2"/>
    <s v="Q3"/>
    <s v="Electric"/>
    <x v="0"/>
    <s v="50+"/>
    <s v="High"/>
    <x v="0"/>
    <x v="3"/>
    <s v="Sales_11"/>
    <n v="224"/>
    <n v="140"/>
    <n v="105"/>
    <n v="31"/>
    <s v="22.14"/>
    <n v="52434"/>
    <s v="6.06"/>
    <n v="42993"/>
    <n v="1625454"/>
    <n v="292671"/>
    <s v="Feb"/>
    <n v="2"/>
    <n v="2026"/>
    <s v="Weekend"/>
    <n v="0.29523809523809524"/>
    <n v="0.625"/>
    <n v="0.13839285714285715"/>
    <n v="9441"/>
    <s v="Main Auto Hub"/>
  </r>
  <r>
    <s v="CUST_3348"/>
    <x v="7"/>
    <x v="3"/>
    <s v="Monday"/>
    <s v="No"/>
    <x v="8"/>
    <x v="8"/>
    <s v="Baden-WÃ¼rttemberg"/>
    <x v="0"/>
    <s v="X3"/>
    <s v="Petrol"/>
    <x v="0"/>
    <s v="36-50"/>
    <s v="Low"/>
    <x v="1"/>
    <x v="0"/>
    <s v="Sales_19"/>
    <n v="184"/>
    <n v="87"/>
    <n v="59"/>
    <n v="24"/>
    <s v="27.59"/>
    <n v="53417"/>
    <s v="5.0"/>
    <n v="40170"/>
    <n v="1282008"/>
    <n v="317928"/>
    <s v="Feb"/>
    <n v="2"/>
    <n v="2026"/>
    <s v="Weekday"/>
    <n v="0.40677966101694918"/>
    <n v="0.47282608695652173"/>
    <n v="0.13043478260869565"/>
    <n v="13247"/>
    <s v="Stuttgart Auto Center"/>
  </r>
  <r>
    <s v="CUST_3349"/>
    <x v="21"/>
    <x v="0"/>
    <s v="Tuesday"/>
    <s v="No"/>
    <x v="8"/>
    <x v="8"/>
    <s v="Baden-WÃ¼rttemberg"/>
    <x v="0"/>
    <s v="i4"/>
    <s v="Electric"/>
    <x v="1"/>
    <s v="50+"/>
    <s v="High"/>
    <x v="1"/>
    <x v="3"/>
    <s v="Sales_4"/>
    <n v="213"/>
    <n v="118"/>
    <n v="92"/>
    <n v="34"/>
    <s v="28.81"/>
    <n v="57835"/>
    <s v="2.94"/>
    <n v="41166"/>
    <n v="1966390"/>
    <n v="566746"/>
    <s v="Feb"/>
    <n v="2"/>
    <n v="2026"/>
    <s v="Weekday"/>
    <n v="0.36956521739130432"/>
    <n v="0.5539906103286385"/>
    <n v="0.15962441314553991"/>
    <n v="16669"/>
    <s v="Stuttgart Auto Center"/>
  </r>
  <r>
    <s v="CUST_3350"/>
    <x v="21"/>
    <x v="0"/>
    <s v="Tuesday"/>
    <s v="No"/>
    <x v="4"/>
    <x v="4"/>
    <s v="Berlin"/>
    <x v="1"/>
    <s v="Crossland"/>
    <s v="Electric"/>
    <x v="0"/>
    <s v="26-35"/>
    <s v="High"/>
    <x v="0"/>
    <x v="0"/>
    <s v="Sales_13"/>
    <n v="404"/>
    <n v="225"/>
    <n v="156"/>
    <n v="42"/>
    <s v="18.67"/>
    <n v="26389"/>
    <s v="7.93"/>
    <n v="23783"/>
    <n v="1108338"/>
    <n v="109452"/>
    <s v="Feb"/>
    <n v="2"/>
    <n v="2026"/>
    <s v="Weekday"/>
    <n v="0.26923076923076922"/>
    <n v="0.55693069306930698"/>
    <n v="0.10396039603960396"/>
    <n v="2606"/>
    <s v="Autohaus Berlin"/>
  </r>
  <r>
    <s v="CUST_3351"/>
    <x v="18"/>
    <x v="0"/>
    <s v="Saturday"/>
    <s v="Yes"/>
    <x v="3"/>
    <x v="3"/>
    <s v="Saxony"/>
    <x v="1"/>
    <s v="Crossland"/>
    <s v="Hybrid"/>
    <x v="0"/>
    <s v="36-50"/>
    <s v="Low"/>
    <x v="1"/>
    <x v="0"/>
    <s v="Sales_14"/>
    <n v="224"/>
    <n v="91"/>
    <n v="55"/>
    <n v="9"/>
    <s v="9.89"/>
    <n v="19798"/>
    <s v="12.62"/>
    <n v="18053"/>
    <n v="178182"/>
    <n v="15705"/>
    <s v="Feb"/>
    <n v="2"/>
    <n v="2026"/>
    <s v="Weekend"/>
    <n v="0.16363636363636364"/>
    <n v="0.40625"/>
    <n v="4.0178571428571432E-2"/>
    <n v="1745"/>
    <s v="Saxon Wheels"/>
  </r>
  <r>
    <s v="CUST_3352"/>
    <x v="8"/>
    <x v="3"/>
    <s v="Wednesday"/>
    <s v="No"/>
    <x v="3"/>
    <x v="3"/>
    <s v="Saxony"/>
    <x v="1"/>
    <s v="Corsa"/>
    <s v="Petrol"/>
    <x v="2"/>
    <s v="50+"/>
    <s v="Low"/>
    <x v="0"/>
    <x v="2"/>
    <s v="Sales_1"/>
    <n v="247"/>
    <n v="97"/>
    <n v="64"/>
    <n v="19"/>
    <s v="19.59"/>
    <n v="25452"/>
    <s v="7.99"/>
    <n v="22846"/>
    <n v="483588"/>
    <n v="49514"/>
    <s v="Feb"/>
    <n v="2"/>
    <n v="2026"/>
    <s v="Weekday"/>
    <n v="0.296875"/>
    <n v="0.39271255060728744"/>
    <n v="7.6923076923076927E-2"/>
    <n v="2606"/>
    <s v="Saxon Wheels"/>
  </r>
  <r>
    <s v="CUST_3353"/>
    <x v="14"/>
    <x v="2"/>
    <s v="Friday"/>
    <s v="No"/>
    <x v="4"/>
    <x v="4"/>
    <s v="Berlin"/>
    <x v="1"/>
    <s v="Mokka"/>
    <s v="Diesel"/>
    <x v="0"/>
    <s v="50+"/>
    <s v="Low"/>
    <x v="1"/>
    <x v="2"/>
    <s v="Sales_20"/>
    <n v="292"/>
    <n v="129"/>
    <n v="80"/>
    <n v="24"/>
    <s v="18.6"/>
    <n v="20001"/>
    <s v="13.96"/>
    <n v="18545"/>
    <n v="480024"/>
    <n v="34944"/>
    <s v="Feb"/>
    <n v="2"/>
    <n v="2026"/>
    <s v="Weekday"/>
    <n v="0.3"/>
    <n v="0.44178082191780821"/>
    <n v="8.2191780821917804E-2"/>
    <n v="1456"/>
    <s v="Autohaus Berlin"/>
  </r>
  <r>
    <s v="CUST_3354"/>
    <x v="5"/>
    <x v="3"/>
    <s v="Saturday"/>
    <s v="Yes"/>
    <x v="7"/>
    <x v="7"/>
    <s v="Bavaria"/>
    <x v="3"/>
    <s v="GLC"/>
    <s v="Hybrid"/>
    <x v="0"/>
    <s v="50+"/>
    <s v="High"/>
    <x v="0"/>
    <x v="1"/>
    <s v="Sales_9"/>
    <n v="161"/>
    <n v="74"/>
    <n v="50"/>
    <n v="20"/>
    <s v="27.03"/>
    <n v="58242"/>
    <s v="3.9"/>
    <n v="42321"/>
    <n v="1164840"/>
    <n v="318420"/>
    <s v="Feb"/>
    <n v="2"/>
    <n v="2026"/>
    <s v="Weekend"/>
    <n v="0.4"/>
    <n v="0.45962732919254656"/>
    <n v="0.12422360248447205"/>
    <n v="15921"/>
    <s v="Bavaria Motors"/>
  </r>
  <r>
    <s v="CUST_3355"/>
    <x v="8"/>
    <x v="3"/>
    <s v="Wednesday"/>
    <s v="No"/>
    <x v="9"/>
    <x v="9"/>
    <s v="NRW"/>
    <x v="4"/>
    <s v="Passat"/>
    <s v="Electric"/>
    <x v="1"/>
    <s v="36-50"/>
    <s v="Low"/>
    <x v="1"/>
    <x v="3"/>
    <s v="Sales_19"/>
    <n v="357"/>
    <n v="195"/>
    <n v="124"/>
    <n v="28"/>
    <s v="14.36"/>
    <n v="32999"/>
    <s v="11.83"/>
    <n v="29431"/>
    <n v="923972"/>
    <n v="99904"/>
    <s v="Feb"/>
    <n v="2"/>
    <n v="2026"/>
    <s v="Weekday"/>
    <n v="0.22580645161290322"/>
    <n v="0.54621848739495793"/>
    <n v="7.8431372549019607E-2"/>
    <n v="3568"/>
    <s v="Ruhr Auto Plaza"/>
  </r>
  <r>
    <s v="CUST_3356"/>
    <x v="25"/>
    <x v="3"/>
    <s v="Friday"/>
    <s v="No"/>
    <x v="4"/>
    <x v="4"/>
    <s v="Berlin"/>
    <x v="4"/>
    <s v="T-Roc"/>
    <s v="Petrol"/>
    <x v="0"/>
    <s v="36-50"/>
    <s v="Medium"/>
    <x v="1"/>
    <x v="1"/>
    <s v="Sales_6"/>
    <n v="269"/>
    <n v="145"/>
    <n v="97"/>
    <n v="23"/>
    <s v="15.86"/>
    <n v="28073"/>
    <s v="10.17"/>
    <n v="25047"/>
    <n v="645679"/>
    <n v="69598"/>
    <s v="Feb"/>
    <n v="2"/>
    <n v="2026"/>
    <s v="Weekday"/>
    <n v="0.23711340206185566"/>
    <n v="0.53903345724907059"/>
    <n v="8.5501858736059477E-2"/>
    <n v="3026"/>
    <s v="Autohaus Berlin"/>
  </r>
  <r>
    <s v="CUST_3357"/>
    <x v="24"/>
    <x v="1"/>
    <s v="Thursday"/>
    <s v="No"/>
    <x v="6"/>
    <x v="6"/>
    <s v="Saxony"/>
    <x v="4"/>
    <s v="T-Roc"/>
    <s v="Diesel"/>
    <x v="0"/>
    <s v="50+"/>
    <s v="High"/>
    <x v="0"/>
    <x v="1"/>
    <s v="Sales_4"/>
    <n v="319"/>
    <n v="183"/>
    <n v="112"/>
    <n v="32"/>
    <s v="17.49"/>
    <n v="27788"/>
    <s v="10.15"/>
    <n v="24413"/>
    <n v="889216"/>
    <n v="108000"/>
    <s v="Feb"/>
    <n v="2"/>
    <n v="2026"/>
    <s v="Weekday"/>
    <n v="0.2857142857142857"/>
    <n v="0.57366771159874608"/>
    <n v="0.10031347962382445"/>
    <n v="3375"/>
    <s v="Leipzig Mobility"/>
  </r>
  <r>
    <s v="CUST_3358"/>
    <x v="18"/>
    <x v="0"/>
    <s v="Saturday"/>
    <s v="Yes"/>
    <x v="7"/>
    <x v="7"/>
    <s v="Bavaria"/>
    <x v="3"/>
    <s v="E-Class"/>
    <s v="Diesel"/>
    <x v="1"/>
    <s v="18-25"/>
    <s v="Medium"/>
    <x v="0"/>
    <x v="0"/>
    <s v="Sales_20"/>
    <n v="250"/>
    <n v="137"/>
    <n v="92"/>
    <n v="32"/>
    <s v="23.36"/>
    <n v="62060"/>
    <s v="5.99"/>
    <n v="48354"/>
    <n v="1985920"/>
    <n v="438592"/>
    <s v="Feb"/>
    <n v="2"/>
    <n v="2026"/>
    <s v="Weekend"/>
    <n v="0.34782608695652173"/>
    <n v="0.54800000000000004"/>
    <n v="0.128"/>
    <n v="13706"/>
    <s v="Bavaria Motors"/>
  </r>
  <r>
    <s v="CUST_3359"/>
    <x v="6"/>
    <x v="2"/>
    <s v="Saturday"/>
    <s v="Yes"/>
    <x v="6"/>
    <x v="6"/>
    <s v="Saxony"/>
    <x v="0"/>
    <s v="3 Series"/>
    <s v="Diesel"/>
    <x v="1"/>
    <s v="36-50"/>
    <s v="Low"/>
    <x v="1"/>
    <x v="2"/>
    <s v="Sales_6"/>
    <n v="211"/>
    <n v="124"/>
    <n v="87"/>
    <n v="35"/>
    <s v="28.23"/>
    <n v="53602"/>
    <s v="3.16"/>
    <n v="37942"/>
    <n v="1876070"/>
    <n v="548100"/>
    <s v="Feb"/>
    <n v="2"/>
    <n v="2026"/>
    <s v="Weekend"/>
    <n v="0.40229885057471265"/>
    <n v="0.58767772511848337"/>
    <n v="0.16587677725118483"/>
    <n v="15660"/>
    <s v="Leipzig Mobility"/>
  </r>
  <r>
    <s v="CUST_3360"/>
    <x v="25"/>
    <x v="3"/>
    <s v="Friday"/>
    <s v="No"/>
    <x v="6"/>
    <x v="6"/>
    <s v="Saxony"/>
    <x v="4"/>
    <s v="Passat"/>
    <s v="Diesel"/>
    <x v="1"/>
    <s v="36-50"/>
    <s v="Medium"/>
    <x v="0"/>
    <x v="3"/>
    <s v="Sales_4"/>
    <n v="473"/>
    <n v="252"/>
    <n v="172"/>
    <n v="31"/>
    <s v="12.3"/>
    <n v="28058"/>
    <s v="8.7"/>
    <n v="24944"/>
    <n v="869798"/>
    <n v="96534"/>
    <s v="Feb"/>
    <n v="2"/>
    <n v="2026"/>
    <s v="Weekday"/>
    <n v="0.18023255813953487"/>
    <n v="0.53276955602537002"/>
    <n v="6.5539112050739964E-2"/>
    <n v="3114"/>
    <s v="Leipzig Mobility"/>
  </r>
  <r>
    <s v="CUST_3361"/>
    <x v="8"/>
    <x v="3"/>
    <s v="Wednesday"/>
    <s v="No"/>
    <x v="9"/>
    <x v="9"/>
    <s v="NRW"/>
    <x v="1"/>
    <s v="Corsa"/>
    <s v="Diesel"/>
    <x v="2"/>
    <s v="18-25"/>
    <s v="High"/>
    <x v="1"/>
    <x v="1"/>
    <s v="Sales_17"/>
    <n v="309"/>
    <n v="164"/>
    <n v="112"/>
    <n v="25"/>
    <s v="15.24"/>
    <n v="24124"/>
    <s v="9.07"/>
    <n v="22229"/>
    <n v="603100"/>
    <n v="47375"/>
    <s v="Feb"/>
    <n v="2"/>
    <n v="2026"/>
    <s v="Weekday"/>
    <n v="0.22321428571428573"/>
    <n v="0.53074433656957931"/>
    <n v="8.0906148867313912E-2"/>
    <n v="1895"/>
    <s v="Ruhr Auto Plaza"/>
  </r>
  <r>
    <s v="CUST_3362"/>
    <x v="15"/>
    <x v="2"/>
    <s v="Thursday"/>
    <s v="No"/>
    <x v="4"/>
    <x v="4"/>
    <s v="Berlin"/>
    <x v="1"/>
    <s v="Crossland"/>
    <s v="Petrol"/>
    <x v="0"/>
    <s v="36-50"/>
    <s v="Low"/>
    <x v="1"/>
    <x v="1"/>
    <s v="Sales_1"/>
    <n v="272"/>
    <n v="148"/>
    <n v="85"/>
    <n v="27"/>
    <s v="18.24"/>
    <n v="23494"/>
    <s v="8.1"/>
    <n v="21832"/>
    <n v="634338"/>
    <n v="44874"/>
    <s v="Feb"/>
    <n v="2"/>
    <n v="2026"/>
    <s v="Weekday"/>
    <n v="0.31764705882352939"/>
    <n v="0.54411764705882348"/>
    <n v="9.9264705882352935E-2"/>
    <n v="1662"/>
    <s v="Autohaus Berlin"/>
  </r>
  <r>
    <s v="CUST_3363"/>
    <x v="19"/>
    <x v="1"/>
    <s v="Saturday"/>
    <s v="Yes"/>
    <x v="9"/>
    <x v="9"/>
    <s v="NRW"/>
    <x v="0"/>
    <s v="X3"/>
    <s v="Electric"/>
    <x v="0"/>
    <s v="18-25"/>
    <s v="Low"/>
    <x v="0"/>
    <x v="2"/>
    <s v="Sales_9"/>
    <n v="177"/>
    <n v="83"/>
    <n v="62"/>
    <n v="23"/>
    <s v="27.71"/>
    <n v="68962"/>
    <s v="3.63"/>
    <n v="53721"/>
    <n v="1586126"/>
    <n v="350543"/>
    <s v="Feb"/>
    <n v="2"/>
    <n v="2026"/>
    <s v="Weekend"/>
    <n v="0.37096774193548387"/>
    <n v="0.46892655367231639"/>
    <n v="0.12994350282485875"/>
    <n v="15241"/>
    <s v="Ruhr Auto Plaza"/>
  </r>
  <r>
    <s v="CUST_3364"/>
    <x v="23"/>
    <x v="2"/>
    <s v="Tuesday"/>
    <s v="No"/>
    <x v="1"/>
    <x v="1"/>
    <s v="NRW"/>
    <x v="1"/>
    <s v="Grandland"/>
    <s v="Hybrid"/>
    <x v="0"/>
    <s v="36-50"/>
    <s v="Low"/>
    <x v="1"/>
    <x v="2"/>
    <s v="Sales_10"/>
    <n v="302"/>
    <n v="137"/>
    <n v="94"/>
    <n v="25"/>
    <s v="18.25"/>
    <n v="25795"/>
    <s v="9.65"/>
    <n v="23905"/>
    <n v="644875"/>
    <n v="47250"/>
    <s v="Feb"/>
    <n v="2"/>
    <n v="2026"/>
    <s v="Weekday"/>
    <n v="0.26595744680851063"/>
    <n v="0.45364238410596025"/>
    <n v="8.2781456953642391E-2"/>
    <n v="1890"/>
    <s v="Rhein Auto Group"/>
  </r>
  <r>
    <s v="CUST_3365"/>
    <x v="6"/>
    <x v="2"/>
    <s v="Saturday"/>
    <s v="Yes"/>
    <x v="8"/>
    <x v="8"/>
    <s v="Baden-WÃ¼rttemberg"/>
    <x v="2"/>
    <s v="A4"/>
    <s v="Hybrid"/>
    <x v="1"/>
    <s v="36-50"/>
    <s v="High"/>
    <x v="0"/>
    <x v="1"/>
    <s v="Sales_13"/>
    <n v="241"/>
    <n v="122"/>
    <n v="94"/>
    <n v="30"/>
    <s v="24.59"/>
    <n v="49104"/>
    <s v="3.08"/>
    <n v="39243"/>
    <n v="1473120"/>
    <n v="295830"/>
    <s v="Feb"/>
    <n v="2"/>
    <n v="2026"/>
    <s v="Weekend"/>
    <n v="0.31914893617021278"/>
    <n v="0.50622406639004147"/>
    <n v="0.12448132780082988"/>
    <n v="9861"/>
    <s v="Stuttgart Auto Center"/>
  </r>
  <r>
    <s v="CUST_3366"/>
    <x v="23"/>
    <x v="2"/>
    <s v="Tuesday"/>
    <s v="No"/>
    <x v="2"/>
    <x v="2"/>
    <s v="Lower Saxony"/>
    <x v="0"/>
    <s v="3 Series"/>
    <s v="Hybrid"/>
    <x v="1"/>
    <s v="36-50"/>
    <s v="Medium"/>
    <x v="0"/>
    <x v="2"/>
    <s v="Sales_7"/>
    <n v="154"/>
    <n v="90"/>
    <n v="72"/>
    <n v="26"/>
    <s v="28.89"/>
    <n v="60452"/>
    <s v="3.23"/>
    <n v="45006"/>
    <n v="1571752"/>
    <n v="401596"/>
    <s v="Feb"/>
    <n v="2"/>
    <n v="2026"/>
    <s v="Weekday"/>
    <n v="0.3611111111111111"/>
    <n v="0.58441558441558439"/>
    <n v="0.16883116883116883"/>
    <n v="15446"/>
    <s v="Hannover Cars"/>
  </r>
  <r>
    <s v="CUST_3367"/>
    <x v="20"/>
    <x v="0"/>
    <s v="Thursday"/>
    <s v="No"/>
    <x v="9"/>
    <x v="9"/>
    <s v="NRW"/>
    <x v="3"/>
    <s v="GLC"/>
    <s v="Diesel"/>
    <x v="0"/>
    <s v="36-50"/>
    <s v="High"/>
    <x v="1"/>
    <x v="0"/>
    <s v="Sales_20"/>
    <n v="284"/>
    <n v="130"/>
    <n v="95"/>
    <n v="26"/>
    <s v="20.0"/>
    <n v="68392"/>
    <s v="5.51"/>
    <n v="52210"/>
    <n v="1778192"/>
    <n v="420732"/>
    <s v="Feb"/>
    <n v="2"/>
    <n v="2026"/>
    <s v="Weekday"/>
    <n v="0.27368421052631581"/>
    <n v="0.45774647887323944"/>
    <n v="9.154929577464789E-2"/>
    <n v="16182"/>
    <s v="Ruhr Auto Plaza"/>
  </r>
  <r>
    <s v="CUST_3368"/>
    <x v="19"/>
    <x v="1"/>
    <s v="Saturday"/>
    <s v="Yes"/>
    <x v="7"/>
    <x v="7"/>
    <s v="Bavaria"/>
    <x v="3"/>
    <s v="GLC"/>
    <s v="Hybrid"/>
    <x v="0"/>
    <s v="26-35"/>
    <s v="High"/>
    <x v="0"/>
    <x v="2"/>
    <s v="Sales_19"/>
    <n v="205"/>
    <n v="120"/>
    <n v="81"/>
    <n v="34"/>
    <s v="28.33"/>
    <n v="63086"/>
    <s v="2.9"/>
    <n v="45218"/>
    <n v="2144924"/>
    <n v="607512"/>
    <s v="Feb"/>
    <n v="2"/>
    <n v="2026"/>
    <s v="Weekend"/>
    <n v="0.41975308641975306"/>
    <n v="0.58536585365853655"/>
    <n v="0.16585365853658537"/>
    <n v="17868"/>
    <s v="Bavaria Motors"/>
  </r>
  <r>
    <s v="CUST_3369"/>
    <x v="6"/>
    <x v="2"/>
    <s v="Saturday"/>
    <s v="Yes"/>
    <x v="6"/>
    <x v="6"/>
    <s v="Saxony"/>
    <x v="4"/>
    <s v="Golf"/>
    <s v="Electric"/>
    <x v="2"/>
    <s v="50+"/>
    <s v="High"/>
    <x v="0"/>
    <x v="2"/>
    <s v="Sales_9"/>
    <n v="460"/>
    <n v="222"/>
    <n v="136"/>
    <n v="36"/>
    <s v="16.22"/>
    <n v="33191"/>
    <s v="8.64"/>
    <n v="29925"/>
    <n v="1194876"/>
    <n v="117576"/>
    <s v="Feb"/>
    <n v="2"/>
    <n v="2026"/>
    <s v="Weekend"/>
    <n v="0.26470588235294118"/>
    <n v="0.4826086956521739"/>
    <n v="7.8260869565217397E-2"/>
    <n v="3266"/>
    <s v="Leipzig Mobility"/>
  </r>
  <r>
    <s v="CUST_3370"/>
    <x v="4"/>
    <x v="2"/>
    <s v="Wednesday"/>
    <s v="No"/>
    <x v="5"/>
    <x v="5"/>
    <s v="Hamburg"/>
    <x v="2"/>
    <s v="A4"/>
    <s v="Petrol"/>
    <x v="1"/>
    <s v="50+"/>
    <s v="High"/>
    <x v="1"/>
    <x v="3"/>
    <s v="Sales_4"/>
    <n v="303"/>
    <n v="180"/>
    <n v="127"/>
    <n v="41"/>
    <s v="22.78"/>
    <n v="40020"/>
    <s v="6.28"/>
    <n v="32476"/>
    <n v="1640820"/>
    <n v="309304"/>
    <s v="Feb"/>
    <n v="2"/>
    <n v="2026"/>
    <s v="Weekday"/>
    <n v="0.32283464566929132"/>
    <n v="0.59405940594059403"/>
    <n v="0.13531353135313531"/>
    <n v="7544"/>
    <s v="Elbe Drive"/>
  </r>
  <r>
    <s v="CUST_3371"/>
    <x v="27"/>
    <x v="3"/>
    <s v="Sunday"/>
    <s v="Yes"/>
    <x v="3"/>
    <x v="3"/>
    <s v="Saxony"/>
    <x v="1"/>
    <s v="Corsa"/>
    <s v="Hybrid"/>
    <x v="2"/>
    <s v="18-25"/>
    <s v="Medium"/>
    <x v="0"/>
    <x v="3"/>
    <s v="Sales_3"/>
    <n v="372"/>
    <n v="162"/>
    <n v="112"/>
    <n v="23"/>
    <s v="14.2"/>
    <n v="26354"/>
    <s v="11.15"/>
    <n v="24212"/>
    <n v="606142"/>
    <n v="49266"/>
    <s v="Feb"/>
    <n v="2"/>
    <n v="2026"/>
    <s v="Weekend"/>
    <n v="0.20535714285714285"/>
    <n v="0.43548387096774194"/>
    <n v="6.1827956989247312E-2"/>
    <n v="2142"/>
    <s v="Saxon Wheels"/>
  </r>
  <r>
    <s v="CUST_3372"/>
    <x v="9"/>
    <x v="0"/>
    <s v="Sunday"/>
    <s v="Yes"/>
    <x v="0"/>
    <x v="0"/>
    <s v="Hesse"/>
    <x v="2"/>
    <s v="A4"/>
    <s v="Hybrid"/>
    <x v="1"/>
    <s v="26-35"/>
    <s v="High"/>
    <x v="0"/>
    <x v="1"/>
    <s v="Sales_16"/>
    <n v="292"/>
    <n v="144"/>
    <n v="111"/>
    <n v="35"/>
    <s v="24.31"/>
    <n v="53422"/>
    <s v="5.23"/>
    <n v="40846"/>
    <n v="1869770"/>
    <n v="440160"/>
    <s v="Feb"/>
    <n v="2"/>
    <n v="2026"/>
    <s v="Weekend"/>
    <n v="0.31531531531531531"/>
    <n v="0.49315068493150682"/>
    <n v="0.11986301369863013"/>
    <n v="12576"/>
    <s v="Main Auto Hub"/>
  </r>
  <r>
    <s v="CUST_3373"/>
    <x v="17"/>
    <x v="2"/>
    <s v="Sunday"/>
    <s v="Yes"/>
    <x v="0"/>
    <x v="0"/>
    <s v="Hesse"/>
    <x v="1"/>
    <s v="Crossland"/>
    <s v="Diesel"/>
    <x v="0"/>
    <s v="26-35"/>
    <s v="Medium"/>
    <x v="1"/>
    <x v="2"/>
    <s v="Sales_10"/>
    <n v="388"/>
    <n v="175"/>
    <n v="117"/>
    <n v="30"/>
    <s v="17.14"/>
    <n v="25093"/>
    <s v="12.53"/>
    <n v="23032"/>
    <n v="752790"/>
    <n v="61830"/>
    <s v="Feb"/>
    <n v="2"/>
    <n v="2026"/>
    <s v="Weekend"/>
    <n v="0.25641025641025639"/>
    <n v="0.45103092783505155"/>
    <n v="7.7319587628865982E-2"/>
    <n v="2061"/>
    <s v="Main Auto Hub"/>
  </r>
  <r>
    <s v="CUST_3374"/>
    <x v="11"/>
    <x v="0"/>
    <s v="Wednesday"/>
    <s v="No"/>
    <x v="6"/>
    <x v="6"/>
    <s v="Saxony"/>
    <x v="0"/>
    <s v="i4"/>
    <s v="Petrol"/>
    <x v="1"/>
    <s v="50+"/>
    <s v="High"/>
    <x v="1"/>
    <x v="3"/>
    <s v="Sales_9"/>
    <n v="261"/>
    <n v="138"/>
    <n v="100"/>
    <n v="34"/>
    <s v="24.64"/>
    <n v="61332"/>
    <s v="4.28"/>
    <n v="45803"/>
    <n v="2085288"/>
    <n v="527986"/>
    <s v="Feb"/>
    <n v="2"/>
    <n v="2026"/>
    <s v="Weekday"/>
    <n v="0.34"/>
    <n v="0.52873563218390807"/>
    <n v="0.13026819923371646"/>
    <n v="15529"/>
    <s v="Leipzig Mobility"/>
  </r>
  <r>
    <s v="CUST_3375"/>
    <x v="23"/>
    <x v="2"/>
    <s v="Tuesday"/>
    <s v="No"/>
    <x v="0"/>
    <x v="0"/>
    <s v="Hesse"/>
    <x v="4"/>
    <s v="Passat"/>
    <s v="Petrol"/>
    <x v="1"/>
    <s v="36-50"/>
    <s v="Low"/>
    <x v="1"/>
    <x v="3"/>
    <s v="Sales_8"/>
    <n v="339"/>
    <n v="180"/>
    <n v="104"/>
    <n v="27"/>
    <s v="15.0"/>
    <n v="27579"/>
    <s v="8.24"/>
    <n v="25026"/>
    <n v="744633"/>
    <n v="68931"/>
    <s v="Feb"/>
    <n v="2"/>
    <n v="2026"/>
    <s v="Weekday"/>
    <n v="0.25961538461538464"/>
    <n v="0.53097345132743368"/>
    <n v="7.9646017699115043E-2"/>
    <n v="2553"/>
    <s v="Main Auto Hub"/>
  </r>
  <r>
    <s v="CUST_3376"/>
    <x v="24"/>
    <x v="1"/>
    <s v="Thursday"/>
    <s v="No"/>
    <x v="8"/>
    <x v="8"/>
    <s v="Baden-WÃ¼rttemberg"/>
    <x v="0"/>
    <s v="X5"/>
    <s v="Hybrid"/>
    <x v="0"/>
    <s v="50+"/>
    <s v="Medium"/>
    <x v="0"/>
    <x v="2"/>
    <s v="Sales_7"/>
    <n v="275"/>
    <n v="139"/>
    <n v="98"/>
    <n v="45"/>
    <s v="32.37"/>
    <n v="56639"/>
    <s v="3.55"/>
    <n v="40646"/>
    <n v="2548755"/>
    <n v="719685"/>
    <s v="Feb"/>
    <n v="2"/>
    <n v="2026"/>
    <s v="Weekday"/>
    <n v="0.45918367346938777"/>
    <n v="0.50545454545454549"/>
    <n v="0.16363636363636364"/>
    <n v="15993"/>
    <s v="Stuttgart Auto Center"/>
  </r>
  <r>
    <s v="CUST_3377"/>
    <x v="6"/>
    <x v="2"/>
    <s v="Saturday"/>
    <s v="Yes"/>
    <x v="6"/>
    <x v="6"/>
    <s v="Saxony"/>
    <x v="1"/>
    <s v="Grandland"/>
    <s v="Electric"/>
    <x v="0"/>
    <s v="18-25"/>
    <s v="Low"/>
    <x v="1"/>
    <x v="0"/>
    <s v="Sales_13"/>
    <n v="297"/>
    <n v="129"/>
    <n v="82"/>
    <n v="18"/>
    <s v="13.95"/>
    <n v="20736"/>
    <s v="13.04"/>
    <n v="19146"/>
    <n v="373248"/>
    <n v="28620"/>
    <s v="Feb"/>
    <n v="2"/>
    <n v="2026"/>
    <s v="Weekend"/>
    <n v="0.21951219512195122"/>
    <n v="0.43434343434343436"/>
    <n v="6.0606060606060608E-2"/>
    <n v="1590"/>
    <s v="Leipzig Mobility"/>
  </r>
  <r>
    <s v="CUST_3378"/>
    <x v="18"/>
    <x v="0"/>
    <s v="Saturday"/>
    <s v="Yes"/>
    <x v="0"/>
    <x v="0"/>
    <s v="Hesse"/>
    <x v="3"/>
    <s v="GLE"/>
    <s v="Electric"/>
    <x v="0"/>
    <s v="50+"/>
    <s v="Low"/>
    <x v="1"/>
    <x v="0"/>
    <s v="Sales_11"/>
    <n v="245"/>
    <n v="142"/>
    <n v="103"/>
    <n v="33"/>
    <s v="23.24"/>
    <n v="63240"/>
    <s v="4.82"/>
    <n v="45863"/>
    <n v="2086920"/>
    <n v="573441"/>
    <s v="Feb"/>
    <n v="2"/>
    <n v="2026"/>
    <s v="Weekend"/>
    <n v="0.32038834951456313"/>
    <n v="0.57959183673469383"/>
    <n v="0.13469387755102041"/>
    <n v="17377"/>
    <s v="Main Auto Hub"/>
  </r>
  <r>
    <s v="CUST_3379"/>
    <x v="7"/>
    <x v="3"/>
    <s v="Monday"/>
    <s v="No"/>
    <x v="8"/>
    <x v="8"/>
    <s v="Baden-WÃ¼rttemberg"/>
    <x v="1"/>
    <s v="Corsa"/>
    <s v="Electric"/>
    <x v="2"/>
    <s v="50+"/>
    <s v="Medium"/>
    <x v="1"/>
    <x v="2"/>
    <s v="Sales_10"/>
    <n v="277"/>
    <n v="142"/>
    <n v="96"/>
    <n v="27"/>
    <s v="19.01"/>
    <n v="26419"/>
    <s v="10.31"/>
    <n v="24534"/>
    <n v="713313"/>
    <n v="50895"/>
    <s v="Feb"/>
    <n v="2"/>
    <n v="2026"/>
    <s v="Weekday"/>
    <n v="0.28125"/>
    <n v="0.5126353790613718"/>
    <n v="9.7472924187725629E-2"/>
    <n v="1885"/>
    <s v="Stuttgart Auto Center"/>
  </r>
  <r>
    <s v="CUST_3380"/>
    <x v="23"/>
    <x v="2"/>
    <s v="Tuesday"/>
    <s v="No"/>
    <x v="1"/>
    <x v="1"/>
    <s v="NRW"/>
    <x v="1"/>
    <s v="Crossland"/>
    <s v="Petrol"/>
    <x v="0"/>
    <s v="36-50"/>
    <s v="High"/>
    <x v="1"/>
    <x v="0"/>
    <s v="Sales_8"/>
    <n v="292"/>
    <n v="161"/>
    <n v="95"/>
    <n v="21"/>
    <s v="13.04"/>
    <n v="19895"/>
    <s v="12.91"/>
    <n v="17876"/>
    <n v="417795"/>
    <n v="42399"/>
    <s v="Feb"/>
    <n v="2"/>
    <n v="2026"/>
    <s v="Weekday"/>
    <n v="0.22105263157894736"/>
    <n v="0.55136986301369861"/>
    <n v="7.1917808219178078E-2"/>
    <n v="2019"/>
    <s v="Rhein Auto Group"/>
  </r>
  <r>
    <s v="CUST_3381"/>
    <x v="1"/>
    <x v="1"/>
    <s v="Wednesday"/>
    <s v="No"/>
    <x v="7"/>
    <x v="7"/>
    <s v="Bavaria"/>
    <x v="2"/>
    <s v="Q3"/>
    <s v="Petrol"/>
    <x v="0"/>
    <s v="50+"/>
    <s v="Medium"/>
    <x v="1"/>
    <x v="1"/>
    <s v="Sales_19"/>
    <n v="189"/>
    <n v="108"/>
    <n v="76"/>
    <n v="25"/>
    <s v="23.15"/>
    <n v="50231"/>
    <s v="6.89"/>
    <n v="40598"/>
    <n v="1255775"/>
    <n v="240825"/>
    <s v="Feb"/>
    <n v="2"/>
    <n v="2026"/>
    <s v="Weekday"/>
    <n v="0.32894736842105265"/>
    <n v="0.5714285714285714"/>
    <n v="0.13227513227513227"/>
    <n v="9633"/>
    <s v="Bavaria Motors"/>
  </r>
  <r>
    <s v="CUST_3382"/>
    <x v="20"/>
    <x v="0"/>
    <s v="Thursday"/>
    <s v="No"/>
    <x v="5"/>
    <x v="5"/>
    <s v="Hamburg"/>
    <x v="3"/>
    <s v="GLE"/>
    <s v="Electric"/>
    <x v="0"/>
    <s v="50+"/>
    <s v="Low"/>
    <x v="1"/>
    <x v="0"/>
    <s v="Sales_11"/>
    <n v="176"/>
    <n v="78"/>
    <n v="58"/>
    <n v="19"/>
    <s v="24.36"/>
    <n v="65240"/>
    <s v="5.88"/>
    <n v="49790"/>
    <n v="1239560"/>
    <n v="293550"/>
    <s v="Feb"/>
    <n v="2"/>
    <n v="2026"/>
    <s v="Weekday"/>
    <n v="0.32758620689655171"/>
    <n v="0.44318181818181818"/>
    <n v="0.10795454545454546"/>
    <n v="15450"/>
    <s v="Elbe Drive"/>
  </r>
  <r>
    <s v="CUST_3383"/>
    <x v="14"/>
    <x v="2"/>
    <s v="Friday"/>
    <s v="No"/>
    <x v="0"/>
    <x v="0"/>
    <s v="Hesse"/>
    <x v="1"/>
    <s v="Crossland"/>
    <s v="Hybrid"/>
    <x v="0"/>
    <s v="18-25"/>
    <s v="High"/>
    <x v="0"/>
    <x v="1"/>
    <s v="Sales_8"/>
    <n v="390"/>
    <n v="181"/>
    <n v="108"/>
    <n v="33"/>
    <s v="18.23"/>
    <n v="23258"/>
    <s v="9.48"/>
    <n v="21261"/>
    <n v="767514"/>
    <n v="65901"/>
    <s v="Feb"/>
    <n v="2"/>
    <n v="2026"/>
    <s v="Weekday"/>
    <n v="0.30555555555555558"/>
    <n v="0.46410256410256412"/>
    <n v="8.461538461538462E-2"/>
    <n v="1997"/>
    <s v="Main Auto Hub"/>
  </r>
  <r>
    <s v="CUST_3384"/>
    <x v="3"/>
    <x v="1"/>
    <s v="Sunday"/>
    <s v="Yes"/>
    <x v="1"/>
    <x v="1"/>
    <s v="NRW"/>
    <x v="0"/>
    <s v="i4"/>
    <s v="Diesel"/>
    <x v="1"/>
    <s v="36-50"/>
    <s v="Medium"/>
    <x v="0"/>
    <x v="0"/>
    <s v="Sales_10"/>
    <n v="241"/>
    <n v="136"/>
    <n v="109"/>
    <n v="34"/>
    <s v="25.0"/>
    <n v="60068"/>
    <s v="3.0"/>
    <n v="45578"/>
    <n v="2042312"/>
    <n v="492660"/>
    <s v="Feb"/>
    <n v="2"/>
    <n v="2026"/>
    <s v="Weekend"/>
    <n v="0.31192660550458717"/>
    <n v="0.56431535269709543"/>
    <n v="0.14107883817427386"/>
    <n v="14490"/>
    <s v="Rhein Auto Group"/>
  </r>
  <r>
    <s v="CUST_3385"/>
    <x v="12"/>
    <x v="3"/>
    <s v="Thursday"/>
    <s v="No"/>
    <x v="3"/>
    <x v="3"/>
    <s v="Saxony"/>
    <x v="1"/>
    <s v="Mokka"/>
    <s v="Diesel"/>
    <x v="0"/>
    <s v="18-25"/>
    <s v="High"/>
    <x v="1"/>
    <x v="1"/>
    <s v="Sales_6"/>
    <n v="369"/>
    <n v="175"/>
    <n v="101"/>
    <n v="24"/>
    <s v="13.71"/>
    <n v="25209"/>
    <s v="13.73"/>
    <n v="22562"/>
    <n v="605016"/>
    <n v="63528"/>
    <s v="Feb"/>
    <n v="2"/>
    <n v="2026"/>
    <s v="Weekday"/>
    <n v="0.23762376237623761"/>
    <n v="0.4742547425474255"/>
    <n v="6.5040650406504072E-2"/>
    <n v="2647"/>
    <s v="Saxon Wheels"/>
  </r>
  <r>
    <s v="CUST_3386"/>
    <x v="11"/>
    <x v="0"/>
    <s v="Wednesday"/>
    <s v="No"/>
    <x v="1"/>
    <x v="1"/>
    <s v="NRW"/>
    <x v="1"/>
    <s v="Astra"/>
    <s v="Electric"/>
    <x v="2"/>
    <s v="18-25"/>
    <s v="High"/>
    <x v="1"/>
    <x v="0"/>
    <s v="Sales_20"/>
    <n v="227"/>
    <n v="125"/>
    <n v="86"/>
    <n v="20"/>
    <s v="16.0"/>
    <n v="27511"/>
    <s v="7.6"/>
    <n v="24502"/>
    <n v="550220"/>
    <n v="60180"/>
    <s v="Feb"/>
    <n v="2"/>
    <n v="2026"/>
    <s v="Weekday"/>
    <n v="0.23255813953488372"/>
    <n v="0.5506607929515418"/>
    <n v="8.8105726872246701E-2"/>
    <n v="3009"/>
    <s v="Rhein Auto Group"/>
  </r>
  <r>
    <s v="CUST_3387"/>
    <x v="2"/>
    <x v="2"/>
    <s v="Monday"/>
    <s v="No"/>
    <x v="0"/>
    <x v="0"/>
    <s v="Hesse"/>
    <x v="4"/>
    <s v="Golf"/>
    <s v="Hybrid"/>
    <x v="2"/>
    <s v="50+"/>
    <s v="Medium"/>
    <x v="0"/>
    <x v="3"/>
    <s v="Sales_10"/>
    <n v="387"/>
    <n v="217"/>
    <n v="129"/>
    <n v="28"/>
    <s v="12.9"/>
    <n v="32984"/>
    <s v="7.72"/>
    <n v="28818"/>
    <n v="923552"/>
    <n v="116648"/>
    <s v="Feb"/>
    <n v="2"/>
    <n v="2026"/>
    <s v="Weekday"/>
    <n v="0.21705426356589147"/>
    <n v="0.56072351421188626"/>
    <n v="7.2351421188630485E-2"/>
    <n v="4166"/>
    <s v="Main Auto Hub"/>
  </r>
  <r>
    <s v="CUST_3388"/>
    <x v="11"/>
    <x v="0"/>
    <s v="Wednesday"/>
    <s v="No"/>
    <x v="9"/>
    <x v="9"/>
    <s v="NRW"/>
    <x v="4"/>
    <s v="Tiguan"/>
    <s v="Hybrid"/>
    <x v="0"/>
    <s v="18-25"/>
    <s v="High"/>
    <x v="1"/>
    <x v="1"/>
    <s v="Sales_15"/>
    <n v="310"/>
    <n v="158"/>
    <n v="106"/>
    <n v="21"/>
    <s v="13.29"/>
    <n v="33534"/>
    <s v="8.14"/>
    <n v="30191"/>
    <n v="704214"/>
    <n v="70203"/>
    <s v="Feb"/>
    <n v="2"/>
    <n v="2026"/>
    <s v="Weekday"/>
    <n v="0.19811320754716982"/>
    <n v="0.50967741935483868"/>
    <n v="6.7741935483870974E-2"/>
    <n v="3343"/>
    <s v="Ruhr Auto Plaza"/>
  </r>
  <r>
    <s v="CUST_3389"/>
    <x v="5"/>
    <x v="3"/>
    <s v="Saturday"/>
    <s v="Yes"/>
    <x v="2"/>
    <x v="2"/>
    <s v="Lower Saxony"/>
    <x v="0"/>
    <s v="X3"/>
    <s v="Electric"/>
    <x v="0"/>
    <s v="26-35"/>
    <s v="High"/>
    <x v="1"/>
    <x v="0"/>
    <s v="Sales_3"/>
    <n v="193"/>
    <n v="89"/>
    <n v="67"/>
    <n v="24"/>
    <s v="26.97"/>
    <n v="64400"/>
    <s v="4.99"/>
    <n v="45916"/>
    <n v="1545600"/>
    <n v="443616"/>
    <s v="Feb"/>
    <n v="2"/>
    <n v="2026"/>
    <s v="Weekend"/>
    <n v="0.35820895522388058"/>
    <n v="0.46113989637305697"/>
    <n v="0.12435233160621761"/>
    <n v="18484"/>
    <s v="Hannover Cars"/>
  </r>
  <r>
    <s v="CUST_3390"/>
    <x v="10"/>
    <x v="1"/>
    <s v="Monday"/>
    <s v="No"/>
    <x v="3"/>
    <x v="3"/>
    <s v="Saxony"/>
    <x v="4"/>
    <s v="T-Roc"/>
    <s v="Electric"/>
    <x v="0"/>
    <s v="50+"/>
    <s v="Medium"/>
    <x v="0"/>
    <x v="1"/>
    <s v="Sales_17"/>
    <n v="419"/>
    <n v="209"/>
    <n v="135"/>
    <n v="30"/>
    <s v="14.35"/>
    <n v="28115"/>
    <s v="11.65"/>
    <n v="24191"/>
    <n v="843450"/>
    <n v="117720"/>
    <s v="Feb"/>
    <n v="2"/>
    <n v="2026"/>
    <s v="Weekday"/>
    <n v="0.22222222222222221"/>
    <n v="0.49880668257756561"/>
    <n v="7.1599045346062054E-2"/>
    <n v="3924"/>
    <s v="Saxon Wheels"/>
  </r>
  <r>
    <s v="CUST_3391"/>
    <x v="15"/>
    <x v="2"/>
    <s v="Thursday"/>
    <s v="No"/>
    <x v="5"/>
    <x v="5"/>
    <s v="Hamburg"/>
    <x v="2"/>
    <s v="Q5"/>
    <s v="Diesel"/>
    <x v="0"/>
    <s v="18-25"/>
    <s v="Medium"/>
    <x v="1"/>
    <x v="1"/>
    <s v="Sales_9"/>
    <n v="223"/>
    <n v="107"/>
    <n v="69"/>
    <n v="28"/>
    <s v="26.17"/>
    <n v="51238"/>
    <s v="4.87"/>
    <n v="39811"/>
    <n v="1434664"/>
    <n v="319956"/>
    <s v="Feb"/>
    <n v="2"/>
    <n v="2026"/>
    <s v="Weekday"/>
    <n v="0.40579710144927539"/>
    <n v="0.47982062780269058"/>
    <n v="0.12556053811659193"/>
    <n v="11427"/>
    <s v="Elbe Drive"/>
  </r>
  <r>
    <s v="CUST_3392"/>
    <x v="9"/>
    <x v="0"/>
    <s v="Sunday"/>
    <s v="Yes"/>
    <x v="8"/>
    <x v="8"/>
    <s v="Baden-WÃ¼rttemberg"/>
    <x v="1"/>
    <s v="Crossland"/>
    <s v="Diesel"/>
    <x v="0"/>
    <s v="50+"/>
    <s v="Medium"/>
    <x v="1"/>
    <x v="0"/>
    <s v="Sales_17"/>
    <n v="373"/>
    <n v="169"/>
    <n v="105"/>
    <n v="21"/>
    <s v="12.43"/>
    <n v="22421"/>
    <s v="12.86"/>
    <n v="20554"/>
    <n v="470841"/>
    <n v="39207"/>
    <s v="Feb"/>
    <n v="2"/>
    <n v="2026"/>
    <s v="Weekend"/>
    <n v="0.2"/>
    <n v="0.45308310991957107"/>
    <n v="5.6300268096514748E-2"/>
    <n v="1867"/>
    <s v="Stuttgart Auto Center"/>
  </r>
  <r>
    <s v="CUST_3393"/>
    <x v="5"/>
    <x v="3"/>
    <s v="Saturday"/>
    <s v="Yes"/>
    <x v="2"/>
    <x v="2"/>
    <s v="Lower Saxony"/>
    <x v="2"/>
    <s v="A4"/>
    <s v="Hybrid"/>
    <x v="1"/>
    <s v="26-35"/>
    <s v="Medium"/>
    <x v="0"/>
    <x v="1"/>
    <s v="Sales_14"/>
    <n v="247"/>
    <n v="134"/>
    <n v="87"/>
    <n v="29"/>
    <s v="21.64"/>
    <n v="43434"/>
    <s v="6.14"/>
    <n v="33037"/>
    <n v="1259586"/>
    <n v="301513"/>
    <s v="Feb"/>
    <n v="2"/>
    <n v="2026"/>
    <s v="Weekend"/>
    <n v="0.33333333333333331"/>
    <n v="0.54251012145748989"/>
    <n v="0.11740890688259109"/>
    <n v="10397"/>
    <s v="Hannover Cars"/>
  </r>
  <r>
    <s v="CUST_3394"/>
    <x v="7"/>
    <x v="3"/>
    <s v="Monday"/>
    <s v="No"/>
    <x v="8"/>
    <x v="8"/>
    <s v="Baden-WÃ¼rttemberg"/>
    <x v="2"/>
    <s v="e-tron"/>
    <s v="Electric"/>
    <x v="0"/>
    <s v="50+"/>
    <s v="Low"/>
    <x v="0"/>
    <x v="1"/>
    <s v="Sales_2"/>
    <n v="167"/>
    <n v="103"/>
    <n v="75"/>
    <n v="27"/>
    <s v="26.21"/>
    <n v="40983"/>
    <s v="4.86"/>
    <n v="32735"/>
    <n v="1106541"/>
    <n v="222696"/>
    <s v="Feb"/>
    <n v="2"/>
    <n v="2026"/>
    <s v="Weekday"/>
    <n v="0.36"/>
    <n v="0.61676646706586824"/>
    <n v="0.16167664670658682"/>
    <n v="8248"/>
    <s v="Stuttgart Auto Center"/>
  </r>
  <r>
    <s v="CUST_3395"/>
    <x v="1"/>
    <x v="1"/>
    <s v="Wednesday"/>
    <s v="No"/>
    <x v="2"/>
    <x v="2"/>
    <s v="Lower Saxony"/>
    <x v="1"/>
    <s v="Mokka"/>
    <s v="Hybrid"/>
    <x v="0"/>
    <s v="18-25"/>
    <s v="Medium"/>
    <x v="0"/>
    <x v="2"/>
    <s v="Sales_18"/>
    <n v="309"/>
    <n v="127"/>
    <n v="86"/>
    <n v="23"/>
    <s v="18.11"/>
    <n v="21663"/>
    <s v="12.05"/>
    <n v="19498"/>
    <n v="498249"/>
    <n v="49795"/>
    <s v="Feb"/>
    <n v="2"/>
    <n v="2026"/>
    <s v="Weekday"/>
    <n v="0.26744186046511625"/>
    <n v="0.4110032362459547"/>
    <n v="7.4433656957928807E-2"/>
    <n v="2165"/>
    <s v="Hannover Cars"/>
  </r>
  <r>
    <s v="CUST_3396"/>
    <x v="6"/>
    <x v="2"/>
    <s v="Saturday"/>
    <s v="Yes"/>
    <x v="1"/>
    <x v="1"/>
    <s v="NRW"/>
    <x v="0"/>
    <s v="X3"/>
    <s v="Electric"/>
    <x v="0"/>
    <s v="18-25"/>
    <s v="High"/>
    <x v="1"/>
    <x v="1"/>
    <s v="Sales_6"/>
    <n v="269"/>
    <n v="165"/>
    <n v="125"/>
    <n v="50"/>
    <s v="30.3"/>
    <n v="66009"/>
    <s v="3.97"/>
    <n v="46292"/>
    <n v="3300450"/>
    <n v="985850"/>
    <s v="Feb"/>
    <n v="2"/>
    <n v="2026"/>
    <s v="Weekend"/>
    <n v="0.4"/>
    <n v="0.61338289962825276"/>
    <n v="0.18587360594795538"/>
    <n v="19717"/>
    <s v="Rhein Auto Group"/>
  </r>
  <r>
    <s v="CUST_3397"/>
    <x v="10"/>
    <x v="1"/>
    <s v="Monday"/>
    <s v="No"/>
    <x v="9"/>
    <x v="9"/>
    <s v="NRW"/>
    <x v="2"/>
    <s v="Q5"/>
    <s v="Petrol"/>
    <x v="0"/>
    <s v="26-35"/>
    <s v="Low"/>
    <x v="0"/>
    <x v="3"/>
    <s v="Sales_14"/>
    <n v="250"/>
    <n v="143"/>
    <n v="107"/>
    <n v="34"/>
    <s v="23.78"/>
    <n v="51938"/>
    <s v="4.18"/>
    <n v="40136"/>
    <n v="1765892"/>
    <n v="401268"/>
    <s v="Feb"/>
    <n v="2"/>
    <n v="2026"/>
    <s v="Weekday"/>
    <n v="0.31775700934579437"/>
    <n v="0.57199999999999995"/>
    <n v="0.13600000000000001"/>
    <n v="11802"/>
    <s v="Ruhr Auto Plaza"/>
  </r>
  <r>
    <s v="CUST_3398"/>
    <x v="27"/>
    <x v="3"/>
    <s v="Sunday"/>
    <s v="Yes"/>
    <x v="2"/>
    <x v="2"/>
    <s v="Lower Saxony"/>
    <x v="4"/>
    <s v="Tiguan"/>
    <s v="Hybrid"/>
    <x v="0"/>
    <s v="50+"/>
    <s v="High"/>
    <x v="1"/>
    <x v="1"/>
    <s v="Sales_16"/>
    <n v="291"/>
    <n v="154"/>
    <n v="96"/>
    <n v="20"/>
    <s v="12.99"/>
    <n v="25980"/>
    <s v="8.67"/>
    <n v="23379"/>
    <n v="519600"/>
    <n v="52020"/>
    <s v="Feb"/>
    <n v="2"/>
    <n v="2026"/>
    <s v="Weekend"/>
    <n v="0.20833333333333334"/>
    <n v="0.52920962199312716"/>
    <n v="6.8728522336769765E-2"/>
    <n v="2601"/>
    <s v="Hannover Cars"/>
  </r>
  <r>
    <s v="CUST_3399"/>
    <x v="7"/>
    <x v="3"/>
    <s v="Monday"/>
    <s v="No"/>
    <x v="3"/>
    <x v="3"/>
    <s v="Saxony"/>
    <x v="3"/>
    <s v="GLE"/>
    <s v="Diesel"/>
    <x v="0"/>
    <s v="50+"/>
    <s v="Medium"/>
    <x v="1"/>
    <x v="0"/>
    <s v="Sales_14"/>
    <n v="235"/>
    <n v="110"/>
    <n v="83"/>
    <n v="22"/>
    <s v="20.0"/>
    <n v="71031"/>
    <s v="3.22"/>
    <n v="54890"/>
    <n v="1562682"/>
    <n v="355102"/>
    <s v="Feb"/>
    <n v="2"/>
    <n v="2026"/>
    <s v="Weekday"/>
    <n v="0.26506024096385544"/>
    <n v="0.46808510638297873"/>
    <n v="9.3617021276595741E-2"/>
    <n v="16141"/>
    <s v="Saxon Wheels"/>
  </r>
  <r>
    <s v="CUST_3400"/>
    <x v="3"/>
    <x v="1"/>
    <s v="Sunday"/>
    <s v="Yes"/>
    <x v="4"/>
    <x v="4"/>
    <s v="Berlin"/>
    <x v="0"/>
    <s v="X3"/>
    <s v="Petrol"/>
    <x v="0"/>
    <s v="50+"/>
    <s v="Low"/>
    <x v="1"/>
    <x v="1"/>
    <s v="Sales_13"/>
    <n v="251"/>
    <n v="122"/>
    <n v="91"/>
    <n v="33"/>
    <s v="27.05"/>
    <n v="49897"/>
    <s v="5.41"/>
    <n v="38694"/>
    <n v="1646601"/>
    <n v="369699"/>
    <s v="Feb"/>
    <n v="2"/>
    <n v="2026"/>
    <s v="Weekend"/>
    <n v="0.36263736263736263"/>
    <n v="0.48605577689243029"/>
    <n v="0.13147410358565736"/>
    <n v="11203"/>
    <s v="Autohaus Berlin"/>
  </r>
  <r>
    <s v="CUST_3401"/>
    <x v="10"/>
    <x v="1"/>
    <s v="Monday"/>
    <s v="No"/>
    <x v="9"/>
    <x v="9"/>
    <s v="NRW"/>
    <x v="1"/>
    <s v="Crossland"/>
    <s v="Diesel"/>
    <x v="0"/>
    <s v="36-50"/>
    <s v="Medium"/>
    <x v="1"/>
    <x v="3"/>
    <s v="Sales_20"/>
    <n v="317"/>
    <n v="129"/>
    <n v="85"/>
    <n v="16"/>
    <s v="12.4"/>
    <n v="23660"/>
    <s v="7.41"/>
    <n v="21441"/>
    <n v="378560"/>
    <n v="35504"/>
    <s v="Feb"/>
    <n v="2"/>
    <n v="2026"/>
    <s v="Weekday"/>
    <n v="0.18823529411764706"/>
    <n v="0.40694006309148267"/>
    <n v="5.0473186119873815E-2"/>
    <n v="2219"/>
    <s v="Ruhr Auto Plaza"/>
  </r>
  <r>
    <s v="CUST_3402"/>
    <x v="8"/>
    <x v="3"/>
    <s v="Wednesday"/>
    <s v="No"/>
    <x v="7"/>
    <x v="7"/>
    <s v="Bavaria"/>
    <x v="1"/>
    <s v="Crossland"/>
    <s v="Petrol"/>
    <x v="0"/>
    <s v="18-25"/>
    <s v="Medium"/>
    <x v="1"/>
    <x v="3"/>
    <s v="Sales_15"/>
    <n v="275"/>
    <n v="123"/>
    <n v="70"/>
    <n v="21"/>
    <s v="17.07"/>
    <n v="26444"/>
    <s v="9.41"/>
    <n v="24584"/>
    <n v="555324"/>
    <n v="39060"/>
    <s v="Feb"/>
    <n v="2"/>
    <n v="2026"/>
    <s v="Weekday"/>
    <n v="0.3"/>
    <n v="0.44727272727272727"/>
    <n v="7.636363636363637E-2"/>
    <n v="1860"/>
    <s v="Bavaria Motors"/>
  </r>
  <r>
    <s v="CUST_3403"/>
    <x v="21"/>
    <x v="0"/>
    <s v="Tuesday"/>
    <s v="No"/>
    <x v="4"/>
    <x v="4"/>
    <s v="Berlin"/>
    <x v="4"/>
    <s v="T-Roc"/>
    <s v="Electric"/>
    <x v="0"/>
    <s v="26-35"/>
    <s v="Low"/>
    <x v="0"/>
    <x v="2"/>
    <s v="Sales_5"/>
    <n v="407"/>
    <n v="162"/>
    <n v="114"/>
    <n v="32"/>
    <s v="19.75"/>
    <n v="29253"/>
    <s v="7.78"/>
    <n v="25297"/>
    <n v="936096"/>
    <n v="126592"/>
    <s v="Feb"/>
    <n v="2"/>
    <n v="2026"/>
    <s v="Weekday"/>
    <n v="0.2807017543859649"/>
    <n v="0.39803439803439805"/>
    <n v="7.8624078624078622E-2"/>
    <n v="3956"/>
    <s v="Autohaus Berlin"/>
  </r>
  <r>
    <s v="CUST_3404"/>
    <x v="11"/>
    <x v="0"/>
    <s v="Wednesday"/>
    <s v="No"/>
    <x v="7"/>
    <x v="7"/>
    <s v="Bavaria"/>
    <x v="1"/>
    <s v="Grandland"/>
    <s v="Electric"/>
    <x v="0"/>
    <s v="18-25"/>
    <s v="Low"/>
    <x v="0"/>
    <x v="1"/>
    <s v="Sales_15"/>
    <n v="318"/>
    <n v="168"/>
    <n v="97"/>
    <n v="34"/>
    <s v="20.24"/>
    <n v="21869"/>
    <s v="12.46"/>
    <n v="20158"/>
    <n v="743546"/>
    <n v="58174"/>
    <s v="Feb"/>
    <n v="2"/>
    <n v="2026"/>
    <s v="Weekday"/>
    <n v="0.35051546391752575"/>
    <n v="0.52830188679245282"/>
    <n v="0.1069182389937107"/>
    <n v="1711"/>
    <s v="Bavaria Motors"/>
  </r>
  <r>
    <s v="CUST_3405"/>
    <x v="3"/>
    <x v="1"/>
    <s v="Sunday"/>
    <s v="Yes"/>
    <x v="3"/>
    <x v="3"/>
    <s v="Saxony"/>
    <x v="0"/>
    <s v="3 Series"/>
    <s v="Electric"/>
    <x v="1"/>
    <s v="36-50"/>
    <s v="Low"/>
    <x v="0"/>
    <x v="1"/>
    <s v="Sales_13"/>
    <n v="233"/>
    <n v="134"/>
    <n v="108"/>
    <n v="36"/>
    <s v="26.87"/>
    <n v="66677"/>
    <s v="2.46"/>
    <n v="50619"/>
    <n v="2400372"/>
    <n v="578088"/>
    <s v="Feb"/>
    <n v="2"/>
    <n v="2026"/>
    <s v="Weekend"/>
    <n v="0.33333333333333331"/>
    <n v="0.57510729613733902"/>
    <n v="0.15450643776824036"/>
    <n v="16058"/>
    <s v="Saxon Wheels"/>
  </r>
  <r>
    <s v="CUST_3406"/>
    <x v="8"/>
    <x v="3"/>
    <s v="Wednesday"/>
    <s v="No"/>
    <x v="6"/>
    <x v="6"/>
    <s v="Saxony"/>
    <x v="1"/>
    <s v="Corsa"/>
    <s v="Electric"/>
    <x v="2"/>
    <s v="26-35"/>
    <s v="High"/>
    <x v="1"/>
    <x v="0"/>
    <s v="Sales_11"/>
    <n v="362"/>
    <n v="197"/>
    <n v="123"/>
    <n v="29"/>
    <s v="14.72"/>
    <n v="19689"/>
    <s v="13.62"/>
    <n v="17536"/>
    <n v="570981"/>
    <n v="62437"/>
    <s v="Feb"/>
    <n v="2"/>
    <n v="2026"/>
    <s v="Weekday"/>
    <n v="0.23577235772357724"/>
    <n v="0.54419889502762431"/>
    <n v="8.0110497237569064E-2"/>
    <n v="2153"/>
    <s v="Leipzig Mobility"/>
  </r>
  <r>
    <s v="CUST_3407"/>
    <x v="8"/>
    <x v="3"/>
    <s v="Wednesday"/>
    <s v="No"/>
    <x v="0"/>
    <x v="0"/>
    <s v="Hesse"/>
    <x v="1"/>
    <s v="Mokka"/>
    <s v="Hybrid"/>
    <x v="0"/>
    <s v="18-25"/>
    <s v="High"/>
    <x v="1"/>
    <x v="2"/>
    <s v="Sales_4"/>
    <n v="331"/>
    <n v="170"/>
    <n v="97"/>
    <n v="28"/>
    <s v="16.47"/>
    <n v="20735"/>
    <s v="11.09"/>
    <n v="18850"/>
    <n v="580580"/>
    <n v="52780"/>
    <s v="Feb"/>
    <n v="2"/>
    <n v="2026"/>
    <s v="Weekday"/>
    <n v="0.28865979381443296"/>
    <n v="0.51359516616314205"/>
    <n v="8.4592145015105744E-2"/>
    <n v="1885"/>
    <s v="Main Auto Hub"/>
  </r>
  <r>
    <s v="CUST_3408"/>
    <x v="17"/>
    <x v="2"/>
    <s v="Sunday"/>
    <s v="Yes"/>
    <x v="3"/>
    <x v="3"/>
    <s v="Saxony"/>
    <x v="1"/>
    <s v="Mokka"/>
    <s v="Hybrid"/>
    <x v="0"/>
    <s v="18-25"/>
    <s v="Medium"/>
    <x v="0"/>
    <x v="0"/>
    <s v="Sales_14"/>
    <n v="292"/>
    <n v="115"/>
    <n v="71"/>
    <n v="16"/>
    <s v="13.91"/>
    <n v="24562"/>
    <s v="13.25"/>
    <n v="22808"/>
    <n v="392992"/>
    <n v="28064"/>
    <s v="Feb"/>
    <n v="2"/>
    <n v="2026"/>
    <s v="Weekend"/>
    <n v="0.22535211267605634"/>
    <n v="0.39383561643835618"/>
    <n v="5.4794520547945202E-2"/>
    <n v="1754"/>
    <s v="Saxon Wheels"/>
  </r>
  <r>
    <s v="CUST_3409"/>
    <x v="9"/>
    <x v="0"/>
    <s v="Sunday"/>
    <s v="Yes"/>
    <x v="5"/>
    <x v="5"/>
    <s v="Hamburg"/>
    <x v="3"/>
    <s v="GLC"/>
    <s v="Electric"/>
    <x v="0"/>
    <s v="50+"/>
    <s v="Low"/>
    <x v="1"/>
    <x v="0"/>
    <s v="Sales_12"/>
    <n v="264"/>
    <n v="153"/>
    <n v="118"/>
    <n v="36"/>
    <s v="23.53"/>
    <n v="58772"/>
    <s v="3.05"/>
    <n v="44037"/>
    <n v="2115792"/>
    <n v="530460"/>
    <s v="Feb"/>
    <n v="2"/>
    <n v="2026"/>
    <s v="Weekend"/>
    <n v="0.30508474576271188"/>
    <n v="0.57954545454545459"/>
    <n v="0.13636363636363635"/>
    <n v="14735"/>
    <s v="Elbe Drive"/>
  </r>
  <r>
    <s v="CUST_3410"/>
    <x v="9"/>
    <x v="0"/>
    <s v="Sunday"/>
    <s v="Yes"/>
    <x v="8"/>
    <x v="8"/>
    <s v="Baden-WÃ¼rttemberg"/>
    <x v="4"/>
    <s v="T-Roc"/>
    <s v="Diesel"/>
    <x v="0"/>
    <s v="26-35"/>
    <s v="Medium"/>
    <x v="0"/>
    <x v="1"/>
    <s v="Sales_15"/>
    <n v="341"/>
    <n v="185"/>
    <n v="130"/>
    <n v="34"/>
    <s v="18.38"/>
    <n v="28717"/>
    <s v="8.78"/>
    <n v="24997"/>
    <n v="976378"/>
    <n v="126480"/>
    <s v="Feb"/>
    <n v="2"/>
    <n v="2026"/>
    <s v="Weekend"/>
    <n v="0.26153846153846155"/>
    <n v="0.54252199413489732"/>
    <n v="9.9706744868035185E-2"/>
    <n v="3720"/>
    <s v="Stuttgart Auto Center"/>
  </r>
  <r>
    <s v="CUST_3411"/>
    <x v="26"/>
    <x v="1"/>
    <s v="Friday"/>
    <s v="No"/>
    <x v="5"/>
    <x v="5"/>
    <s v="Hamburg"/>
    <x v="1"/>
    <s v="Grandland"/>
    <s v="Electric"/>
    <x v="0"/>
    <s v="26-35"/>
    <s v="Medium"/>
    <x v="1"/>
    <x v="1"/>
    <s v="Sales_6"/>
    <n v="317"/>
    <n v="171"/>
    <n v="111"/>
    <n v="27"/>
    <s v="15.79"/>
    <n v="26129"/>
    <s v="7.75"/>
    <n v="24114"/>
    <n v="705483"/>
    <n v="54405"/>
    <s v="Feb"/>
    <n v="2"/>
    <n v="2026"/>
    <s v="Weekday"/>
    <n v="0.24324324324324326"/>
    <n v="0.5394321766561514"/>
    <n v="8.5173501577287064E-2"/>
    <n v="2015"/>
    <s v="Elbe Drive"/>
  </r>
  <r>
    <s v="CUST_3412"/>
    <x v="14"/>
    <x v="2"/>
    <s v="Friday"/>
    <s v="No"/>
    <x v="2"/>
    <x v="2"/>
    <s v="Lower Saxony"/>
    <x v="1"/>
    <s v="Mokka"/>
    <s v="Diesel"/>
    <x v="0"/>
    <s v="50+"/>
    <s v="Medium"/>
    <x v="0"/>
    <x v="3"/>
    <s v="Sales_9"/>
    <n v="242"/>
    <n v="104"/>
    <n v="65"/>
    <n v="17"/>
    <s v="16.35"/>
    <n v="22605"/>
    <s v="9.61"/>
    <n v="20622"/>
    <n v="384285"/>
    <n v="33711"/>
    <s v="Feb"/>
    <n v="2"/>
    <n v="2026"/>
    <s v="Weekday"/>
    <n v="0.26153846153846155"/>
    <n v="0.42975206611570249"/>
    <n v="7.0247933884297523E-2"/>
    <n v="1983"/>
    <s v="Hannover Cars"/>
  </r>
  <r>
    <s v="CUST_3413"/>
    <x v="23"/>
    <x v="2"/>
    <s v="Tuesday"/>
    <s v="No"/>
    <x v="7"/>
    <x v="7"/>
    <s v="Bavaria"/>
    <x v="0"/>
    <s v="X5"/>
    <s v="Electric"/>
    <x v="0"/>
    <s v="50+"/>
    <s v="Medium"/>
    <x v="1"/>
    <x v="2"/>
    <s v="Sales_16"/>
    <n v="208"/>
    <n v="110"/>
    <n v="82"/>
    <n v="33"/>
    <s v="30.0"/>
    <n v="51379"/>
    <s v="2.81"/>
    <n v="38141"/>
    <n v="1695507"/>
    <n v="436854"/>
    <s v="Feb"/>
    <n v="2"/>
    <n v="2026"/>
    <s v="Weekday"/>
    <n v="0.40243902439024393"/>
    <n v="0.52884615384615385"/>
    <n v="0.15865384615384615"/>
    <n v="13238"/>
    <s v="Bavaria Motors"/>
  </r>
  <r>
    <s v="CUST_3414"/>
    <x v="24"/>
    <x v="1"/>
    <s v="Thursday"/>
    <s v="No"/>
    <x v="0"/>
    <x v="0"/>
    <s v="Hesse"/>
    <x v="1"/>
    <s v="Astra"/>
    <s v="Hybrid"/>
    <x v="2"/>
    <s v="50+"/>
    <s v="High"/>
    <x v="1"/>
    <x v="1"/>
    <s v="Sales_3"/>
    <n v="324"/>
    <n v="180"/>
    <n v="119"/>
    <n v="29"/>
    <s v="16.11"/>
    <n v="22422"/>
    <s v="8.86"/>
    <n v="20227"/>
    <n v="650238"/>
    <n v="63655"/>
    <s v="Feb"/>
    <n v="2"/>
    <n v="2026"/>
    <s v="Weekday"/>
    <n v="0.24369747899159663"/>
    <n v="0.55555555555555558"/>
    <n v="8.9506172839506168E-2"/>
    <n v="2195"/>
    <s v="Main Auto Hub"/>
  </r>
  <r>
    <s v="CUST_3415"/>
    <x v="20"/>
    <x v="0"/>
    <s v="Thursday"/>
    <s v="No"/>
    <x v="2"/>
    <x v="2"/>
    <s v="Lower Saxony"/>
    <x v="1"/>
    <s v="Grandland"/>
    <s v="Electric"/>
    <x v="0"/>
    <s v="26-35"/>
    <s v="Low"/>
    <x v="0"/>
    <x v="1"/>
    <s v="Sales_13"/>
    <n v="326"/>
    <n v="143"/>
    <n v="89"/>
    <n v="25"/>
    <s v="17.48"/>
    <n v="25393"/>
    <s v="12.94"/>
    <n v="22856"/>
    <n v="634825"/>
    <n v="63425"/>
    <s v="Feb"/>
    <n v="2"/>
    <n v="2026"/>
    <s v="Weekday"/>
    <n v="0.2808988764044944"/>
    <n v="0.43865030674846628"/>
    <n v="7.6687116564417179E-2"/>
    <n v="2537"/>
    <s v="Hannover Cars"/>
  </r>
  <r>
    <s v="CUST_3416"/>
    <x v="18"/>
    <x v="0"/>
    <s v="Saturday"/>
    <s v="Yes"/>
    <x v="7"/>
    <x v="7"/>
    <s v="Bavaria"/>
    <x v="1"/>
    <s v="Crossland"/>
    <s v="Electric"/>
    <x v="0"/>
    <s v="18-25"/>
    <s v="Medium"/>
    <x v="1"/>
    <x v="1"/>
    <s v="Sales_20"/>
    <n v="347"/>
    <n v="165"/>
    <n v="99"/>
    <n v="29"/>
    <s v="17.58"/>
    <n v="23157"/>
    <s v="10.95"/>
    <n v="21462"/>
    <n v="671553"/>
    <n v="49155"/>
    <s v="Feb"/>
    <n v="2"/>
    <n v="2026"/>
    <s v="Weekend"/>
    <n v="0.29292929292929293"/>
    <n v="0.47550432276657062"/>
    <n v="8.3573487031700283E-2"/>
    <n v="1695"/>
    <s v="Bavaria Motors"/>
  </r>
  <r>
    <s v="CUST_3417"/>
    <x v="3"/>
    <x v="1"/>
    <s v="Sunday"/>
    <s v="Yes"/>
    <x v="5"/>
    <x v="5"/>
    <s v="Hamburg"/>
    <x v="3"/>
    <s v="GLC"/>
    <s v="Diesel"/>
    <x v="0"/>
    <s v="26-35"/>
    <s v="High"/>
    <x v="0"/>
    <x v="2"/>
    <s v="Sales_11"/>
    <n v="275"/>
    <n v="125"/>
    <n v="98"/>
    <n v="38"/>
    <s v="30.4"/>
    <n v="63887"/>
    <s v="3.93"/>
    <n v="49971"/>
    <n v="2427706"/>
    <n v="528808"/>
    <s v="Feb"/>
    <n v="2"/>
    <n v="2026"/>
    <s v="Weekend"/>
    <n v="0.38775510204081631"/>
    <n v="0.45454545454545453"/>
    <n v="0.13818181818181818"/>
    <n v="13916"/>
    <s v="Elbe Drive"/>
  </r>
  <r>
    <s v="CUST_3418"/>
    <x v="19"/>
    <x v="1"/>
    <s v="Saturday"/>
    <s v="Yes"/>
    <x v="6"/>
    <x v="6"/>
    <s v="Saxony"/>
    <x v="0"/>
    <s v="i4"/>
    <s v="Electric"/>
    <x v="1"/>
    <s v="36-50"/>
    <s v="Low"/>
    <x v="0"/>
    <x v="2"/>
    <s v="Sales_17"/>
    <n v="202"/>
    <n v="110"/>
    <n v="88"/>
    <n v="32"/>
    <s v="29.09"/>
    <n v="57401"/>
    <s v="3.12"/>
    <n v="41528"/>
    <n v="1836832"/>
    <n v="507936"/>
    <s v="Feb"/>
    <n v="2"/>
    <n v="2026"/>
    <s v="Weekend"/>
    <n v="0.36363636363636365"/>
    <n v="0.54455445544554459"/>
    <n v="0.15841584158415842"/>
    <n v="15873"/>
    <s v="Leipzig Mobility"/>
  </r>
  <r>
    <s v="CUST_3419"/>
    <x v="22"/>
    <x v="3"/>
    <s v="Tuesday"/>
    <s v="No"/>
    <x v="6"/>
    <x v="6"/>
    <s v="Saxony"/>
    <x v="3"/>
    <s v="E-Class"/>
    <s v="Electric"/>
    <x v="1"/>
    <s v="36-50"/>
    <s v="Medium"/>
    <x v="1"/>
    <x v="0"/>
    <s v="Sales_17"/>
    <n v="262"/>
    <n v="127"/>
    <n v="95"/>
    <n v="28"/>
    <s v="22.05"/>
    <n v="50961"/>
    <s v="3.85"/>
    <n v="39504"/>
    <n v="1426908"/>
    <n v="320796"/>
    <s v="Feb"/>
    <n v="2"/>
    <n v="2026"/>
    <s v="Weekday"/>
    <n v="0.29473684210526313"/>
    <n v="0.48473282442748089"/>
    <n v="0.10687022900763359"/>
    <n v="11457"/>
    <s v="Leipzig Mobility"/>
  </r>
  <r>
    <s v="CUST_3420"/>
    <x v="21"/>
    <x v="0"/>
    <s v="Tuesday"/>
    <s v="No"/>
    <x v="4"/>
    <x v="4"/>
    <s v="Berlin"/>
    <x v="4"/>
    <s v="Tiguan"/>
    <s v="Petrol"/>
    <x v="0"/>
    <s v="50+"/>
    <s v="High"/>
    <x v="0"/>
    <x v="0"/>
    <s v="Sales_2"/>
    <n v="267"/>
    <n v="115"/>
    <n v="75"/>
    <n v="18"/>
    <s v="15.65"/>
    <n v="29024"/>
    <s v="8.63"/>
    <n v="26129"/>
    <n v="522432"/>
    <n v="52110"/>
    <s v="Feb"/>
    <n v="2"/>
    <n v="2026"/>
    <s v="Weekday"/>
    <n v="0.24"/>
    <n v="0.43071161048689138"/>
    <n v="6.741573033707865E-2"/>
    <n v="2895"/>
    <s v="Autohaus Berlin"/>
  </r>
  <r>
    <s v="CUST_3421"/>
    <x v="9"/>
    <x v="0"/>
    <s v="Sunday"/>
    <s v="Yes"/>
    <x v="2"/>
    <x v="2"/>
    <s v="Lower Saxony"/>
    <x v="3"/>
    <s v="GLC"/>
    <s v="Electric"/>
    <x v="0"/>
    <s v="26-35"/>
    <s v="Medium"/>
    <x v="1"/>
    <x v="3"/>
    <s v="Sales_2"/>
    <n v="165"/>
    <n v="95"/>
    <n v="63"/>
    <n v="21"/>
    <s v="22.11"/>
    <n v="53196"/>
    <s v="3.74"/>
    <n v="37783"/>
    <n v="1117116"/>
    <n v="323673"/>
    <s v="Feb"/>
    <n v="2"/>
    <n v="2026"/>
    <s v="Weekend"/>
    <n v="0.33333333333333331"/>
    <n v="0.5757575757575758"/>
    <n v="0.12727272727272726"/>
    <n v="15413"/>
    <s v="Hannover Cars"/>
  </r>
  <r>
    <s v="CUST_3422"/>
    <x v="8"/>
    <x v="3"/>
    <s v="Wednesday"/>
    <s v="No"/>
    <x v="4"/>
    <x v="4"/>
    <s v="Berlin"/>
    <x v="4"/>
    <s v="T-Roc"/>
    <s v="Petrol"/>
    <x v="0"/>
    <s v="18-25"/>
    <s v="Medium"/>
    <x v="1"/>
    <x v="2"/>
    <s v="Sales_17"/>
    <n v="448"/>
    <n v="190"/>
    <n v="115"/>
    <n v="38"/>
    <s v="20.0"/>
    <n v="30707"/>
    <s v="11.67"/>
    <n v="27413"/>
    <n v="1166866"/>
    <n v="125172"/>
    <s v="Feb"/>
    <n v="2"/>
    <n v="2026"/>
    <s v="Weekday"/>
    <n v="0.33043478260869563"/>
    <n v="0.42410714285714285"/>
    <n v="8.4821428571428575E-2"/>
    <n v="3294"/>
    <s v="Autohaus Berlin"/>
  </r>
  <r>
    <s v="CUST_3423"/>
    <x v="18"/>
    <x v="0"/>
    <s v="Saturday"/>
    <s v="Yes"/>
    <x v="4"/>
    <x v="4"/>
    <s v="Berlin"/>
    <x v="3"/>
    <s v="GLC"/>
    <s v="Electric"/>
    <x v="0"/>
    <s v="50+"/>
    <s v="Medium"/>
    <x v="0"/>
    <x v="3"/>
    <s v="Sales_16"/>
    <n v="173"/>
    <n v="88"/>
    <n v="67"/>
    <n v="24"/>
    <s v="27.27"/>
    <n v="62999"/>
    <s v="4.61"/>
    <n v="46813"/>
    <n v="1511976"/>
    <n v="388464"/>
    <s v="Feb"/>
    <n v="2"/>
    <n v="2026"/>
    <s v="Weekend"/>
    <n v="0.35820895522388058"/>
    <n v="0.50867052023121384"/>
    <n v="0.13872832369942195"/>
    <n v="16186"/>
    <s v="Autohaus Berlin"/>
  </r>
  <r>
    <s v="CUST_3424"/>
    <x v="1"/>
    <x v="1"/>
    <s v="Wednesday"/>
    <s v="No"/>
    <x v="3"/>
    <x v="3"/>
    <s v="Saxony"/>
    <x v="2"/>
    <s v="A3"/>
    <s v="Diesel"/>
    <x v="2"/>
    <s v="26-35"/>
    <s v="Medium"/>
    <x v="0"/>
    <x v="1"/>
    <s v="Sales_5"/>
    <n v="204"/>
    <n v="105"/>
    <n v="78"/>
    <n v="23"/>
    <s v="21.9"/>
    <n v="49025"/>
    <s v="6.08"/>
    <n v="39251"/>
    <n v="1127575"/>
    <n v="224802"/>
    <s v="Feb"/>
    <n v="2"/>
    <n v="2026"/>
    <s v="Weekday"/>
    <n v="0.29487179487179488"/>
    <n v="0.51470588235294112"/>
    <n v="0.11274509803921569"/>
    <n v="9774"/>
    <s v="Saxon Wheels"/>
  </r>
  <r>
    <s v="CUST_3425"/>
    <x v="13"/>
    <x v="0"/>
    <s v="Friday"/>
    <s v="No"/>
    <x v="7"/>
    <x v="7"/>
    <s v="Bavaria"/>
    <x v="3"/>
    <s v="GLC"/>
    <s v="Hybrid"/>
    <x v="0"/>
    <s v="50+"/>
    <s v="High"/>
    <x v="1"/>
    <x v="3"/>
    <s v="Sales_4"/>
    <n v="202"/>
    <n v="116"/>
    <n v="91"/>
    <n v="32"/>
    <s v="27.59"/>
    <n v="72877"/>
    <s v="2.1"/>
    <n v="53544"/>
    <n v="2332064"/>
    <n v="618656"/>
    <s v="Feb"/>
    <n v="2"/>
    <n v="2026"/>
    <s v="Weekday"/>
    <n v="0.35164835164835168"/>
    <n v="0.57425742574257421"/>
    <n v="0.15841584158415842"/>
    <n v="19333"/>
    <s v="Bavaria Motors"/>
  </r>
  <r>
    <s v="CUST_3426"/>
    <x v="18"/>
    <x v="0"/>
    <s v="Saturday"/>
    <s v="Yes"/>
    <x v="6"/>
    <x v="6"/>
    <s v="Saxony"/>
    <x v="3"/>
    <s v="C-Class"/>
    <s v="Diesel"/>
    <x v="1"/>
    <s v="18-25"/>
    <s v="Medium"/>
    <x v="0"/>
    <x v="1"/>
    <s v="Sales_10"/>
    <n v="208"/>
    <n v="98"/>
    <n v="73"/>
    <n v="26"/>
    <s v="26.53"/>
    <n v="54976"/>
    <s v="3.68"/>
    <n v="42870"/>
    <n v="1429376"/>
    <n v="314756"/>
    <s v="Feb"/>
    <n v="2"/>
    <n v="2026"/>
    <s v="Weekend"/>
    <n v="0.35616438356164382"/>
    <n v="0.47115384615384615"/>
    <n v="0.125"/>
    <n v="12106"/>
    <s v="Leipzig Mobility"/>
  </r>
  <r>
    <s v="CUST_3427"/>
    <x v="5"/>
    <x v="3"/>
    <s v="Saturday"/>
    <s v="Yes"/>
    <x v="2"/>
    <x v="2"/>
    <s v="Lower Saxony"/>
    <x v="4"/>
    <s v="Passat"/>
    <s v="Electric"/>
    <x v="1"/>
    <s v="26-35"/>
    <s v="High"/>
    <x v="0"/>
    <x v="2"/>
    <s v="Sales_3"/>
    <n v="441"/>
    <n v="196"/>
    <n v="133"/>
    <n v="40"/>
    <s v="20.41"/>
    <n v="32253"/>
    <s v="6.79"/>
    <n v="28522"/>
    <n v="1290120"/>
    <n v="149240"/>
    <s v="Feb"/>
    <n v="2"/>
    <n v="2026"/>
    <s v="Weekend"/>
    <n v="0.3007518796992481"/>
    <n v="0.44444444444444442"/>
    <n v="9.0702947845804988E-2"/>
    <n v="3731"/>
    <s v="Hannover Cars"/>
  </r>
  <r>
    <s v="CUST_3428"/>
    <x v="5"/>
    <x v="3"/>
    <s v="Saturday"/>
    <s v="Yes"/>
    <x v="8"/>
    <x v="8"/>
    <s v="Baden-WÃ¼rttemberg"/>
    <x v="2"/>
    <s v="A3"/>
    <s v="Diesel"/>
    <x v="2"/>
    <s v="18-25"/>
    <s v="Medium"/>
    <x v="1"/>
    <x v="0"/>
    <s v="Sales_19"/>
    <n v="305"/>
    <n v="173"/>
    <n v="116"/>
    <n v="38"/>
    <s v="21.97"/>
    <n v="52721"/>
    <s v="5.38"/>
    <n v="41615"/>
    <n v="2003398"/>
    <n v="422028"/>
    <s v="Feb"/>
    <n v="2"/>
    <n v="2026"/>
    <s v="Weekend"/>
    <n v="0.32758620689655171"/>
    <n v="0.56721311475409841"/>
    <n v="0.12459016393442623"/>
    <n v="11106"/>
    <s v="Stuttgart Auto Center"/>
  </r>
  <r>
    <s v="CUST_3429"/>
    <x v="19"/>
    <x v="1"/>
    <s v="Saturday"/>
    <s v="Yes"/>
    <x v="6"/>
    <x v="6"/>
    <s v="Saxony"/>
    <x v="3"/>
    <s v="EQE"/>
    <s v="Diesel"/>
    <x v="1"/>
    <s v="36-50"/>
    <s v="High"/>
    <x v="0"/>
    <x v="1"/>
    <s v="Sales_8"/>
    <n v="239"/>
    <n v="111"/>
    <n v="88"/>
    <n v="27"/>
    <s v="24.32"/>
    <n v="69959"/>
    <s v="2.18"/>
    <n v="52703"/>
    <n v="1888893"/>
    <n v="465912"/>
    <s v="Feb"/>
    <n v="2"/>
    <n v="2026"/>
    <s v="Weekend"/>
    <n v="0.30681818181818182"/>
    <n v="0.46443514644351463"/>
    <n v="0.11297071129707113"/>
    <n v="17256"/>
    <s v="Leipzig Mobility"/>
  </r>
  <r>
    <s v="CUST_3430"/>
    <x v="23"/>
    <x v="2"/>
    <s v="Tuesday"/>
    <s v="No"/>
    <x v="2"/>
    <x v="2"/>
    <s v="Lower Saxony"/>
    <x v="2"/>
    <s v="A4"/>
    <s v="Electric"/>
    <x v="1"/>
    <s v="26-35"/>
    <s v="Medium"/>
    <x v="1"/>
    <x v="3"/>
    <s v="Sales_10"/>
    <n v="257"/>
    <n v="152"/>
    <n v="108"/>
    <n v="32"/>
    <s v="21.05"/>
    <n v="48062"/>
    <s v="5.61"/>
    <n v="36411"/>
    <n v="1537984"/>
    <n v="372832"/>
    <s v="Feb"/>
    <n v="2"/>
    <n v="2026"/>
    <s v="Weekday"/>
    <n v="0.29629629629629628"/>
    <n v="0.59143968871595332"/>
    <n v="0.1245136186770428"/>
    <n v="11651"/>
    <s v="Hannover Cars"/>
  </r>
  <r>
    <s v="CUST_3431"/>
    <x v="0"/>
    <x v="0"/>
    <s v="Monday"/>
    <s v="No"/>
    <x v="2"/>
    <x v="2"/>
    <s v="Lower Saxony"/>
    <x v="2"/>
    <s v="Q5"/>
    <s v="Diesel"/>
    <x v="0"/>
    <s v="18-25"/>
    <s v="Medium"/>
    <x v="0"/>
    <x v="0"/>
    <s v="Sales_1"/>
    <n v="225"/>
    <n v="118"/>
    <n v="88"/>
    <n v="27"/>
    <s v="22.88"/>
    <n v="46690"/>
    <s v="5.56"/>
    <n v="36285"/>
    <n v="1260630"/>
    <n v="280935"/>
    <s v="Feb"/>
    <n v="2"/>
    <n v="2026"/>
    <s v="Weekday"/>
    <n v="0.30681818181818182"/>
    <n v="0.52444444444444449"/>
    <n v="0.12"/>
    <n v="10405"/>
    <s v="Hannover Cars"/>
  </r>
  <r>
    <s v="CUST_3432"/>
    <x v="6"/>
    <x v="2"/>
    <s v="Saturday"/>
    <s v="Yes"/>
    <x v="5"/>
    <x v="5"/>
    <s v="Hamburg"/>
    <x v="4"/>
    <s v="Tiguan"/>
    <s v="Hybrid"/>
    <x v="0"/>
    <s v="36-50"/>
    <s v="High"/>
    <x v="1"/>
    <x v="2"/>
    <s v="Sales_1"/>
    <n v="477"/>
    <n v="201"/>
    <n v="132"/>
    <n v="39"/>
    <s v="19.4"/>
    <n v="31612"/>
    <s v="8.59"/>
    <n v="28459"/>
    <n v="1232868"/>
    <n v="122967"/>
    <s v="Feb"/>
    <n v="2"/>
    <n v="2026"/>
    <s v="Weekend"/>
    <n v="0.29545454545454547"/>
    <n v="0.42138364779874216"/>
    <n v="8.1761006289308172E-2"/>
    <n v="3153"/>
    <s v="Elbe Drive"/>
  </r>
  <r>
    <s v="CUST_3433"/>
    <x v="18"/>
    <x v="0"/>
    <s v="Saturday"/>
    <s v="Yes"/>
    <x v="2"/>
    <x v="2"/>
    <s v="Lower Saxony"/>
    <x v="2"/>
    <s v="A3"/>
    <s v="Diesel"/>
    <x v="2"/>
    <s v="36-50"/>
    <s v="Medium"/>
    <x v="1"/>
    <x v="2"/>
    <s v="Sales_1"/>
    <n v="177"/>
    <n v="88"/>
    <n v="66"/>
    <n v="23"/>
    <s v="26.14"/>
    <n v="45821"/>
    <s v="6.72"/>
    <n v="37298"/>
    <n v="1053883"/>
    <n v="196029"/>
    <s v="Feb"/>
    <n v="2"/>
    <n v="2026"/>
    <s v="Weekend"/>
    <n v="0.34848484848484851"/>
    <n v="0.49717514124293788"/>
    <n v="0.12994350282485875"/>
    <n v="8523"/>
    <s v="Hannover Cars"/>
  </r>
  <r>
    <s v="CUST_3434"/>
    <x v="9"/>
    <x v="0"/>
    <s v="Sunday"/>
    <s v="Yes"/>
    <x v="2"/>
    <x v="2"/>
    <s v="Lower Saxony"/>
    <x v="4"/>
    <s v="Tiguan"/>
    <s v="Petrol"/>
    <x v="0"/>
    <s v="50+"/>
    <s v="Medium"/>
    <x v="0"/>
    <x v="3"/>
    <s v="Sales_2"/>
    <n v="395"/>
    <n v="201"/>
    <n v="144"/>
    <n v="29"/>
    <s v="14.43"/>
    <n v="29353"/>
    <s v="11.0"/>
    <n v="25965"/>
    <n v="851237"/>
    <n v="98252"/>
    <s v="Feb"/>
    <n v="2"/>
    <n v="2026"/>
    <s v="Weekend"/>
    <n v="0.2013888888888889"/>
    <n v="0.50886075949367093"/>
    <n v="7.3417721518987344E-2"/>
    <n v="3388"/>
    <s v="Hannover Cars"/>
  </r>
  <r>
    <s v="CUST_3435"/>
    <x v="15"/>
    <x v="2"/>
    <s v="Thursday"/>
    <s v="No"/>
    <x v="2"/>
    <x v="2"/>
    <s v="Lower Saxony"/>
    <x v="4"/>
    <s v="ID.4"/>
    <s v="Hybrid"/>
    <x v="0"/>
    <s v="26-35"/>
    <s v="Low"/>
    <x v="1"/>
    <x v="3"/>
    <s v="Sales_13"/>
    <n v="467"/>
    <n v="187"/>
    <n v="108"/>
    <n v="22"/>
    <s v="11.76"/>
    <n v="28052"/>
    <s v="8.07"/>
    <n v="24841"/>
    <n v="617144"/>
    <n v="70642"/>
    <s v="Feb"/>
    <n v="2"/>
    <n v="2026"/>
    <s v="Weekday"/>
    <n v="0.20370370370370369"/>
    <n v="0.40042826552462529"/>
    <n v="4.7109207708779445E-2"/>
    <n v="3211"/>
    <s v="Hannover Cars"/>
  </r>
  <r>
    <s v="CUST_3436"/>
    <x v="1"/>
    <x v="1"/>
    <s v="Wednesday"/>
    <s v="No"/>
    <x v="9"/>
    <x v="9"/>
    <s v="NRW"/>
    <x v="3"/>
    <s v="GLC"/>
    <s v="Electric"/>
    <x v="0"/>
    <s v="18-25"/>
    <s v="Medium"/>
    <x v="0"/>
    <x v="2"/>
    <s v="Sales_8"/>
    <n v="266"/>
    <n v="119"/>
    <n v="88"/>
    <n v="31"/>
    <s v="26.05"/>
    <n v="66267"/>
    <s v="2.6"/>
    <n v="47873"/>
    <n v="2054277"/>
    <n v="570214"/>
    <s v="Feb"/>
    <n v="2"/>
    <n v="2026"/>
    <s v="Weekday"/>
    <n v="0.35227272727272729"/>
    <n v="0.44736842105263158"/>
    <n v="0.11654135338345864"/>
    <n v="18394"/>
    <s v="Ruhr Auto Plaza"/>
  </r>
  <r>
    <s v="CUST_3437"/>
    <x v="1"/>
    <x v="1"/>
    <s v="Wednesday"/>
    <s v="No"/>
    <x v="1"/>
    <x v="1"/>
    <s v="NRW"/>
    <x v="0"/>
    <s v="5 Series"/>
    <s v="Hybrid"/>
    <x v="1"/>
    <s v="50+"/>
    <s v="High"/>
    <x v="1"/>
    <x v="1"/>
    <s v="Sales_8"/>
    <n v="278"/>
    <n v="138"/>
    <n v="96"/>
    <n v="42"/>
    <s v="30.43"/>
    <n v="62654"/>
    <s v="2.82"/>
    <n v="48768"/>
    <n v="2631468"/>
    <n v="583212"/>
    <s v="Feb"/>
    <n v="2"/>
    <n v="2026"/>
    <s v="Weekday"/>
    <n v="0.4375"/>
    <n v="0.49640287769784175"/>
    <n v="0.15107913669064749"/>
    <n v="13886"/>
    <s v="Rhein Auto Group"/>
  </r>
  <r>
    <s v="CUST_3438"/>
    <x v="14"/>
    <x v="2"/>
    <s v="Friday"/>
    <s v="No"/>
    <x v="4"/>
    <x v="4"/>
    <s v="Berlin"/>
    <x v="2"/>
    <s v="A3"/>
    <s v="Hybrid"/>
    <x v="2"/>
    <s v="18-25"/>
    <s v="High"/>
    <x v="1"/>
    <x v="0"/>
    <s v="Sales_9"/>
    <n v="303"/>
    <n v="179"/>
    <n v="122"/>
    <n v="44"/>
    <s v="24.58"/>
    <n v="44078"/>
    <s v="4.29"/>
    <n v="33839"/>
    <n v="1939432"/>
    <n v="450516"/>
    <s v="Feb"/>
    <n v="2"/>
    <n v="2026"/>
    <s v="Weekday"/>
    <n v="0.36065573770491804"/>
    <n v="0.5907590759075908"/>
    <n v="0.14521452145214522"/>
    <n v="10239"/>
    <s v="Autohaus Berlin"/>
  </r>
  <r>
    <s v="CUST_3439"/>
    <x v="1"/>
    <x v="1"/>
    <s v="Wednesday"/>
    <s v="No"/>
    <x v="3"/>
    <x v="3"/>
    <s v="Saxony"/>
    <x v="1"/>
    <s v="Grandland"/>
    <s v="Hybrid"/>
    <x v="0"/>
    <s v="50+"/>
    <s v="Low"/>
    <x v="0"/>
    <x v="2"/>
    <s v="Sales_9"/>
    <n v="325"/>
    <n v="168"/>
    <n v="114"/>
    <n v="32"/>
    <s v="19.05"/>
    <n v="24267"/>
    <s v="7.46"/>
    <n v="22504"/>
    <n v="776544"/>
    <n v="56416"/>
    <s v="Feb"/>
    <n v="2"/>
    <n v="2026"/>
    <s v="Weekday"/>
    <n v="0.2807017543859649"/>
    <n v="0.51692307692307693"/>
    <n v="9.8461538461538461E-2"/>
    <n v="1763"/>
    <s v="Saxon Wheels"/>
  </r>
  <r>
    <s v="CUST_3440"/>
    <x v="21"/>
    <x v="0"/>
    <s v="Tuesday"/>
    <s v="No"/>
    <x v="7"/>
    <x v="7"/>
    <s v="Bavaria"/>
    <x v="3"/>
    <s v="EQE"/>
    <s v="Hybrid"/>
    <x v="1"/>
    <s v="50+"/>
    <s v="High"/>
    <x v="0"/>
    <x v="3"/>
    <s v="Sales_1"/>
    <n v="250"/>
    <n v="146"/>
    <n v="112"/>
    <n v="35"/>
    <s v="23.97"/>
    <n v="71419"/>
    <s v="3.0"/>
    <n v="52051"/>
    <n v="2499665"/>
    <n v="677880"/>
    <s v="Feb"/>
    <n v="2"/>
    <n v="2026"/>
    <s v="Weekday"/>
    <n v="0.3125"/>
    <n v="0.58399999999999996"/>
    <n v="0.14000000000000001"/>
    <n v="19368"/>
    <s v="Bavaria Motors"/>
  </r>
  <r>
    <s v="CUST_3441"/>
    <x v="26"/>
    <x v="1"/>
    <s v="Friday"/>
    <s v="No"/>
    <x v="2"/>
    <x v="2"/>
    <s v="Lower Saxony"/>
    <x v="3"/>
    <s v="C-Class"/>
    <s v="Diesel"/>
    <x v="1"/>
    <s v="18-25"/>
    <s v="Low"/>
    <x v="0"/>
    <x v="0"/>
    <s v="Sales_9"/>
    <n v="248"/>
    <n v="110"/>
    <n v="82"/>
    <n v="28"/>
    <s v="25.45"/>
    <n v="51917"/>
    <s v="3.96"/>
    <n v="38152"/>
    <n v="1453676"/>
    <n v="385420"/>
    <s v="Feb"/>
    <n v="2"/>
    <n v="2026"/>
    <s v="Weekday"/>
    <n v="0.34146341463414637"/>
    <n v="0.44354838709677419"/>
    <n v="0.11290322580645161"/>
    <n v="13765"/>
    <s v="Hannover Cars"/>
  </r>
  <r>
    <s v="CUST_3442"/>
    <x v="1"/>
    <x v="1"/>
    <s v="Wednesday"/>
    <s v="No"/>
    <x v="0"/>
    <x v="0"/>
    <s v="Hesse"/>
    <x v="4"/>
    <s v="Tiguan"/>
    <s v="Electric"/>
    <x v="0"/>
    <s v="26-35"/>
    <s v="Low"/>
    <x v="0"/>
    <x v="1"/>
    <s v="Sales_19"/>
    <n v="308"/>
    <n v="132"/>
    <n v="90"/>
    <n v="24"/>
    <s v="18.18"/>
    <n v="30827"/>
    <s v="11.37"/>
    <n v="27768"/>
    <n v="739848"/>
    <n v="73416"/>
    <s v="Feb"/>
    <n v="2"/>
    <n v="2026"/>
    <s v="Weekday"/>
    <n v="0.26666666666666666"/>
    <n v="0.42857142857142855"/>
    <n v="7.792207792207792E-2"/>
    <n v="3059"/>
    <s v="Main Auto Hub"/>
  </r>
  <r>
    <s v="CUST_3443"/>
    <x v="26"/>
    <x v="1"/>
    <s v="Friday"/>
    <s v="No"/>
    <x v="6"/>
    <x v="6"/>
    <s v="Saxony"/>
    <x v="4"/>
    <s v="T-Roc"/>
    <s v="Electric"/>
    <x v="0"/>
    <s v="36-50"/>
    <s v="High"/>
    <x v="1"/>
    <x v="0"/>
    <s v="Sales_12"/>
    <n v="427"/>
    <n v="219"/>
    <n v="144"/>
    <n v="24"/>
    <s v="10.96"/>
    <n v="25552"/>
    <s v="9.95"/>
    <n v="22630"/>
    <n v="613248"/>
    <n v="70128"/>
    <s v="Feb"/>
    <n v="2"/>
    <n v="2026"/>
    <s v="Weekday"/>
    <n v="0.16666666666666666"/>
    <n v="0.51288056206088994"/>
    <n v="5.6206088992974239E-2"/>
    <n v="2922"/>
    <s v="Leipzig Mobility"/>
  </r>
  <r>
    <s v="CUST_3444"/>
    <x v="4"/>
    <x v="2"/>
    <s v="Wednesday"/>
    <s v="No"/>
    <x v="3"/>
    <x v="3"/>
    <s v="Saxony"/>
    <x v="1"/>
    <s v="Grandland"/>
    <s v="Petrol"/>
    <x v="0"/>
    <s v="36-50"/>
    <s v="Medium"/>
    <x v="0"/>
    <x v="1"/>
    <s v="Sales_13"/>
    <n v="340"/>
    <n v="175"/>
    <n v="103"/>
    <n v="31"/>
    <s v="17.71"/>
    <n v="24800"/>
    <s v="8.72"/>
    <n v="22132"/>
    <n v="768800"/>
    <n v="82708"/>
    <s v="Feb"/>
    <n v="2"/>
    <n v="2026"/>
    <s v="Weekday"/>
    <n v="0.30097087378640774"/>
    <n v="0.51470588235294112"/>
    <n v="9.1176470588235289E-2"/>
    <n v="2668"/>
    <s v="Saxon Wheels"/>
  </r>
  <r>
    <s v="CUST_3445"/>
    <x v="16"/>
    <x v="1"/>
    <s v="Tuesday"/>
    <s v="No"/>
    <x v="5"/>
    <x v="5"/>
    <s v="Hamburg"/>
    <x v="1"/>
    <s v="Grandland"/>
    <s v="Electric"/>
    <x v="0"/>
    <s v="36-50"/>
    <s v="Low"/>
    <x v="1"/>
    <x v="0"/>
    <s v="Sales_14"/>
    <n v="420"/>
    <n v="183"/>
    <n v="112"/>
    <n v="29"/>
    <s v="15.85"/>
    <n v="20365"/>
    <s v="7.62"/>
    <n v="18676"/>
    <n v="590585"/>
    <n v="48981"/>
    <s v="Feb"/>
    <n v="2"/>
    <n v="2026"/>
    <s v="Weekday"/>
    <n v="0.25892857142857145"/>
    <n v="0.43571428571428572"/>
    <n v="6.9047619047619052E-2"/>
    <n v="1689"/>
    <s v="Elbe Drive"/>
  </r>
  <r>
    <s v="CUST_3446"/>
    <x v="12"/>
    <x v="3"/>
    <s v="Thursday"/>
    <s v="No"/>
    <x v="5"/>
    <x v="5"/>
    <s v="Hamburg"/>
    <x v="3"/>
    <s v="GLC"/>
    <s v="Diesel"/>
    <x v="0"/>
    <s v="26-35"/>
    <s v="Medium"/>
    <x v="0"/>
    <x v="1"/>
    <s v="Sales_8"/>
    <n v="225"/>
    <n v="133"/>
    <n v="100"/>
    <n v="36"/>
    <s v="27.07"/>
    <n v="57274"/>
    <s v="2.47"/>
    <n v="44897"/>
    <n v="2061864"/>
    <n v="445572"/>
    <s v="Feb"/>
    <n v="2"/>
    <n v="2026"/>
    <s v="Weekday"/>
    <n v="0.36"/>
    <n v="0.59111111111111114"/>
    <n v="0.16"/>
    <n v="12377"/>
    <s v="Elbe Drive"/>
  </r>
  <r>
    <s v="CUST_3447"/>
    <x v="4"/>
    <x v="2"/>
    <s v="Wednesday"/>
    <s v="No"/>
    <x v="4"/>
    <x v="4"/>
    <s v="Berlin"/>
    <x v="2"/>
    <s v="A4"/>
    <s v="Petrol"/>
    <x v="1"/>
    <s v="36-50"/>
    <s v="Medium"/>
    <x v="1"/>
    <x v="2"/>
    <s v="Sales_3"/>
    <n v="243"/>
    <n v="150"/>
    <n v="116"/>
    <n v="43"/>
    <s v="28.67"/>
    <n v="39951"/>
    <s v="5.4"/>
    <n v="31845"/>
    <n v="1717893"/>
    <n v="348558"/>
    <s v="Feb"/>
    <n v="2"/>
    <n v="2026"/>
    <s v="Weekday"/>
    <n v="0.37068965517241381"/>
    <n v="0.61728395061728392"/>
    <n v="0.17695473251028807"/>
    <n v="8106"/>
    <s v="Autohaus Berlin"/>
  </r>
  <r>
    <s v="CUST_3448"/>
    <x v="16"/>
    <x v="1"/>
    <s v="Tuesday"/>
    <s v="No"/>
    <x v="1"/>
    <x v="1"/>
    <s v="NRW"/>
    <x v="4"/>
    <s v="Passat"/>
    <s v="Electric"/>
    <x v="1"/>
    <s v="50+"/>
    <s v="Low"/>
    <x v="0"/>
    <x v="1"/>
    <s v="Sales_12"/>
    <n v="329"/>
    <n v="141"/>
    <n v="81"/>
    <n v="25"/>
    <s v="17.73"/>
    <n v="29582"/>
    <s v="9.55"/>
    <n v="26707"/>
    <n v="739550"/>
    <n v="71875"/>
    <s v="Feb"/>
    <n v="2"/>
    <n v="2026"/>
    <s v="Weekday"/>
    <n v="0.30864197530864196"/>
    <n v="0.42857142857142855"/>
    <n v="7.598784194528875E-2"/>
    <n v="2875"/>
    <s v="Rhein Auto Group"/>
  </r>
  <r>
    <s v="CUST_3449"/>
    <x v="10"/>
    <x v="1"/>
    <s v="Monday"/>
    <s v="No"/>
    <x v="9"/>
    <x v="9"/>
    <s v="NRW"/>
    <x v="2"/>
    <s v="A4"/>
    <s v="Petrol"/>
    <x v="1"/>
    <s v="18-25"/>
    <s v="Medium"/>
    <x v="1"/>
    <x v="1"/>
    <s v="Sales_17"/>
    <n v="218"/>
    <n v="115"/>
    <n v="85"/>
    <n v="27"/>
    <s v="23.48"/>
    <n v="49257"/>
    <s v="5.21"/>
    <n v="39734"/>
    <n v="1329939"/>
    <n v="257121"/>
    <s v="Feb"/>
    <n v="2"/>
    <n v="2026"/>
    <s v="Weekday"/>
    <n v="0.31764705882352939"/>
    <n v="0.52752293577981646"/>
    <n v="0.12385321100917432"/>
    <n v="9523"/>
    <s v="Ruhr Auto Plaza"/>
  </r>
  <r>
    <s v="CUST_3450"/>
    <x v="18"/>
    <x v="0"/>
    <s v="Saturday"/>
    <s v="Yes"/>
    <x v="9"/>
    <x v="9"/>
    <s v="NRW"/>
    <x v="2"/>
    <s v="A4"/>
    <s v="Hybrid"/>
    <x v="1"/>
    <s v="36-50"/>
    <s v="High"/>
    <x v="1"/>
    <x v="0"/>
    <s v="Sales_2"/>
    <n v="190"/>
    <n v="98"/>
    <n v="67"/>
    <n v="17"/>
    <s v="17.35"/>
    <n v="50519"/>
    <s v="3.0"/>
    <n v="38105"/>
    <n v="858823"/>
    <n v="211038"/>
    <s v="Feb"/>
    <n v="2"/>
    <n v="2026"/>
    <s v="Weekend"/>
    <n v="0.2537313432835821"/>
    <n v="0.51578947368421058"/>
    <n v="8.9473684210526316E-2"/>
    <n v="12414"/>
    <s v="Ruhr Auto Plaza"/>
  </r>
  <r>
    <s v="CUST_3451"/>
    <x v="5"/>
    <x v="3"/>
    <s v="Saturday"/>
    <s v="Yes"/>
    <x v="5"/>
    <x v="5"/>
    <s v="Hamburg"/>
    <x v="4"/>
    <s v="T-Roc"/>
    <s v="Petrol"/>
    <x v="0"/>
    <s v="26-35"/>
    <s v="Medium"/>
    <x v="1"/>
    <x v="0"/>
    <s v="Sales_17"/>
    <n v="272"/>
    <n v="129"/>
    <n v="91"/>
    <n v="19"/>
    <s v="14.73"/>
    <n v="32858"/>
    <s v="8.81"/>
    <n v="29502"/>
    <n v="624302"/>
    <n v="63764"/>
    <s v="Feb"/>
    <n v="2"/>
    <n v="2026"/>
    <s v="Weekend"/>
    <n v="0.2087912087912088"/>
    <n v="0.47426470588235292"/>
    <n v="6.985294117647059E-2"/>
    <n v="3356"/>
    <s v="Elbe Drive"/>
  </r>
  <r>
    <s v="CUST_3452"/>
    <x v="25"/>
    <x v="3"/>
    <s v="Friday"/>
    <s v="No"/>
    <x v="8"/>
    <x v="8"/>
    <s v="Baden-WÃ¼rttemberg"/>
    <x v="4"/>
    <s v="Tiguan"/>
    <s v="Diesel"/>
    <x v="0"/>
    <s v="18-25"/>
    <s v="High"/>
    <x v="1"/>
    <x v="2"/>
    <s v="Sales_13"/>
    <n v="360"/>
    <n v="197"/>
    <n v="117"/>
    <n v="41"/>
    <s v="20.81"/>
    <n v="25480"/>
    <s v="11.14"/>
    <n v="22136"/>
    <n v="1044680"/>
    <n v="137104"/>
    <s v="Feb"/>
    <n v="2"/>
    <n v="2026"/>
    <s v="Weekday"/>
    <n v="0.3504273504273504"/>
    <n v="0.54722222222222228"/>
    <n v="0.11388888888888889"/>
    <n v="3344"/>
    <s v="Stuttgart Auto Center"/>
  </r>
  <r>
    <s v="CUST_3453"/>
    <x v="27"/>
    <x v="3"/>
    <s v="Sunday"/>
    <s v="Yes"/>
    <x v="0"/>
    <x v="0"/>
    <s v="Hesse"/>
    <x v="1"/>
    <s v="Grandland"/>
    <s v="Petrol"/>
    <x v="0"/>
    <s v="36-50"/>
    <s v="High"/>
    <x v="1"/>
    <x v="1"/>
    <s v="Sales_19"/>
    <n v="238"/>
    <n v="101"/>
    <n v="69"/>
    <n v="16"/>
    <s v="15.84"/>
    <n v="24363"/>
    <s v="11.77"/>
    <n v="21838"/>
    <n v="389808"/>
    <n v="40400"/>
    <s v="Feb"/>
    <n v="2"/>
    <n v="2026"/>
    <s v="Weekend"/>
    <n v="0.2318840579710145"/>
    <n v="0.42436974789915966"/>
    <n v="6.7226890756302518E-2"/>
    <n v="2525"/>
    <s v="Main Auto Hub"/>
  </r>
  <r>
    <s v="CUST_3454"/>
    <x v="2"/>
    <x v="2"/>
    <s v="Monday"/>
    <s v="No"/>
    <x v="3"/>
    <x v="3"/>
    <s v="Saxony"/>
    <x v="0"/>
    <s v="5 Series"/>
    <s v="Electric"/>
    <x v="1"/>
    <s v="18-25"/>
    <s v="Medium"/>
    <x v="0"/>
    <x v="3"/>
    <s v="Sales_1"/>
    <n v="197"/>
    <n v="91"/>
    <n v="63"/>
    <n v="24"/>
    <s v="26.37"/>
    <n v="51198"/>
    <s v="3.27"/>
    <n v="37765"/>
    <n v="1228752"/>
    <n v="322392"/>
    <s v="Feb"/>
    <n v="2"/>
    <n v="2026"/>
    <s v="Weekday"/>
    <n v="0.38095238095238093"/>
    <n v="0.46192893401015228"/>
    <n v="0.12182741116751269"/>
    <n v="13433"/>
    <s v="Saxon Wheels"/>
  </r>
  <r>
    <s v="CUST_3455"/>
    <x v="27"/>
    <x v="3"/>
    <s v="Sunday"/>
    <s v="Yes"/>
    <x v="0"/>
    <x v="0"/>
    <s v="Hesse"/>
    <x v="3"/>
    <s v="GLC"/>
    <s v="Electric"/>
    <x v="0"/>
    <s v="18-25"/>
    <s v="Medium"/>
    <x v="1"/>
    <x v="2"/>
    <s v="Sales_2"/>
    <n v="237"/>
    <n v="104"/>
    <n v="69"/>
    <n v="25"/>
    <s v="24.04"/>
    <n v="58999"/>
    <s v="4.16"/>
    <n v="43522"/>
    <n v="1474975"/>
    <n v="386925"/>
    <s v="Feb"/>
    <n v="2"/>
    <n v="2026"/>
    <s v="Weekend"/>
    <n v="0.36231884057971014"/>
    <n v="0.43881856540084391"/>
    <n v="0.10548523206751055"/>
    <n v="15477"/>
    <s v="Main Auto Hub"/>
  </r>
  <r>
    <s v="CUST_3456"/>
    <x v="27"/>
    <x v="3"/>
    <s v="Sunday"/>
    <s v="Yes"/>
    <x v="9"/>
    <x v="9"/>
    <s v="NRW"/>
    <x v="3"/>
    <s v="GLE"/>
    <s v="Diesel"/>
    <x v="0"/>
    <s v="18-25"/>
    <s v="Medium"/>
    <x v="0"/>
    <x v="1"/>
    <s v="Sales_4"/>
    <n v="146"/>
    <n v="85"/>
    <n v="58"/>
    <n v="18"/>
    <s v="21.18"/>
    <n v="64650"/>
    <s v="5.08"/>
    <n v="50643"/>
    <n v="1163700"/>
    <n v="252126"/>
    <s v="Feb"/>
    <n v="2"/>
    <n v="2026"/>
    <s v="Weekend"/>
    <n v="0.31034482758620691"/>
    <n v="0.5821917808219178"/>
    <n v="0.12328767123287671"/>
    <n v="14007"/>
    <s v="Ruhr Auto Plaza"/>
  </r>
  <r>
    <s v="CUST_3457"/>
    <x v="26"/>
    <x v="1"/>
    <s v="Friday"/>
    <s v="No"/>
    <x v="9"/>
    <x v="9"/>
    <s v="NRW"/>
    <x v="1"/>
    <s v="Mokka"/>
    <s v="Electric"/>
    <x v="0"/>
    <s v="50+"/>
    <s v="Medium"/>
    <x v="1"/>
    <x v="3"/>
    <s v="Sales_8"/>
    <n v="427"/>
    <n v="211"/>
    <n v="125"/>
    <n v="25"/>
    <s v="11.85"/>
    <n v="20768"/>
    <s v="13.53"/>
    <n v="18751"/>
    <n v="519200"/>
    <n v="50425"/>
    <s v="Feb"/>
    <n v="2"/>
    <n v="2026"/>
    <s v="Weekday"/>
    <n v="0.2"/>
    <n v="0.49414519906323184"/>
    <n v="5.8548009367681501E-2"/>
    <n v="2017"/>
    <s v="Ruhr Auto Plaza"/>
  </r>
  <r>
    <s v="CUST_3458"/>
    <x v="12"/>
    <x v="3"/>
    <s v="Thursday"/>
    <s v="No"/>
    <x v="2"/>
    <x v="2"/>
    <s v="Lower Saxony"/>
    <x v="0"/>
    <s v="X5"/>
    <s v="Hybrid"/>
    <x v="0"/>
    <s v="18-25"/>
    <s v="Low"/>
    <x v="1"/>
    <x v="0"/>
    <s v="Sales_9"/>
    <n v="194"/>
    <n v="108"/>
    <n v="80"/>
    <n v="26"/>
    <s v="24.07"/>
    <n v="60652"/>
    <s v="3.3"/>
    <n v="44700"/>
    <n v="1576952"/>
    <n v="414752"/>
    <s v="Feb"/>
    <n v="2"/>
    <n v="2026"/>
    <s v="Weekday"/>
    <n v="0.32500000000000001"/>
    <n v="0.55670103092783507"/>
    <n v="0.13402061855670103"/>
    <n v="15952"/>
    <s v="Hannover Cars"/>
  </r>
  <r>
    <s v="CUST_3459"/>
    <x v="14"/>
    <x v="2"/>
    <s v="Friday"/>
    <s v="No"/>
    <x v="8"/>
    <x v="8"/>
    <s v="Baden-WÃ¼rttemberg"/>
    <x v="2"/>
    <s v="Q5"/>
    <s v="Electric"/>
    <x v="0"/>
    <s v="36-50"/>
    <s v="Medium"/>
    <x v="0"/>
    <x v="0"/>
    <s v="Sales_2"/>
    <n v="219"/>
    <n v="117"/>
    <n v="90"/>
    <n v="25"/>
    <s v="21.37"/>
    <n v="53651"/>
    <s v="5.41"/>
    <n v="42502"/>
    <n v="1341275"/>
    <n v="278725"/>
    <s v="Feb"/>
    <n v="2"/>
    <n v="2026"/>
    <s v="Weekday"/>
    <n v="0.27777777777777779"/>
    <n v="0.53424657534246578"/>
    <n v="0.11415525114155251"/>
    <n v="11149"/>
    <s v="Stuttgart Auto Center"/>
  </r>
  <r>
    <s v="CUST_3460"/>
    <x v="13"/>
    <x v="0"/>
    <s v="Friday"/>
    <s v="No"/>
    <x v="4"/>
    <x v="4"/>
    <s v="Berlin"/>
    <x v="1"/>
    <s v="Crossland"/>
    <s v="Electric"/>
    <x v="0"/>
    <s v="26-35"/>
    <s v="Medium"/>
    <x v="0"/>
    <x v="1"/>
    <s v="Sales_5"/>
    <n v="351"/>
    <n v="161"/>
    <n v="103"/>
    <n v="32"/>
    <s v="19.88"/>
    <n v="22150"/>
    <s v="9.41"/>
    <n v="20435"/>
    <n v="708800"/>
    <n v="54880"/>
    <s v="Feb"/>
    <n v="2"/>
    <n v="2026"/>
    <s v="Weekday"/>
    <n v="0.31067961165048541"/>
    <n v="0.45868945868945871"/>
    <n v="9.1168091168091173E-2"/>
    <n v="1715"/>
    <s v="Autohaus Berlin"/>
  </r>
  <r>
    <s v="CUST_3461"/>
    <x v="27"/>
    <x v="3"/>
    <s v="Sunday"/>
    <s v="Yes"/>
    <x v="2"/>
    <x v="2"/>
    <s v="Lower Saxony"/>
    <x v="1"/>
    <s v="Mokka"/>
    <s v="Diesel"/>
    <x v="0"/>
    <s v="26-35"/>
    <s v="Low"/>
    <x v="0"/>
    <x v="2"/>
    <s v="Sales_4"/>
    <n v="259"/>
    <n v="107"/>
    <n v="60"/>
    <n v="18"/>
    <s v="16.82"/>
    <n v="27093"/>
    <s v="7.79"/>
    <n v="24420"/>
    <n v="487674"/>
    <n v="48114"/>
    <s v="Feb"/>
    <n v="2"/>
    <n v="2026"/>
    <s v="Weekend"/>
    <n v="0.3"/>
    <n v="0.41312741312741313"/>
    <n v="6.9498069498069498E-2"/>
    <n v="2673"/>
    <s v="Hannover Cars"/>
  </r>
  <r>
    <s v="CUST_3462"/>
    <x v="2"/>
    <x v="2"/>
    <s v="Monday"/>
    <s v="No"/>
    <x v="5"/>
    <x v="5"/>
    <s v="Hamburg"/>
    <x v="4"/>
    <s v="Passat"/>
    <s v="Diesel"/>
    <x v="1"/>
    <s v="36-50"/>
    <s v="Medium"/>
    <x v="1"/>
    <x v="3"/>
    <s v="Sales_5"/>
    <n v="264"/>
    <n v="142"/>
    <n v="95"/>
    <n v="19"/>
    <s v="13.38"/>
    <n v="26533"/>
    <s v="10.97"/>
    <n v="22915"/>
    <n v="504127"/>
    <n v="68742"/>
    <s v="Feb"/>
    <n v="2"/>
    <n v="2026"/>
    <s v="Weekday"/>
    <n v="0.2"/>
    <n v="0.53787878787878785"/>
    <n v="7.1969696969696975E-2"/>
    <n v="3618"/>
    <s v="Elbe Drive"/>
  </r>
  <r>
    <s v="CUST_3463"/>
    <x v="22"/>
    <x v="3"/>
    <s v="Tuesday"/>
    <s v="No"/>
    <x v="7"/>
    <x v="7"/>
    <s v="Bavaria"/>
    <x v="1"/>
    <s v="Crossland"/>
    <s v="Electric"/>
    <x v="0"/>
    <s v="18-25"/>
    <s v="Low"/>
    <x v="1"/>
    <x v="1"/>
    <s v="Sales_1"/>
    <n v="332"/>
    <n v="176"/>
    <n v="103"/>
    <n v="29"/>
    <s v="16.48"/>
    <n v="23251"/>
    <s v="10.09"/>
    <n v="21082"/>
    <n v="674279"/>
    <n v="62901"/>
    <s v="Feb"/>
    <n v="2"/>
    <n v="2026"/>
    <s v="Weekday"/>
    <n v="0.28155339805825241"/>
    <n v="0.53012048192771088"/>
    <n v="8.7349397590361449E-2"/>
    <n v="2169"/>
    <s v="Bavaria Motors"/>
  </r>
  <r>
    <s v="CUST_3464"/>
    <x v="14"/>
    <x v="2"/>
    <s v="Friday"/>
    <s v="No"/>
    <x v="4"/>
    <x v="4"/>
    <s v="Berlin"/>
    <x v="4"/>
    <s v="Passat"/>
    <s v="Diesel"/>
    <x v="1"/>
    <s v="50+"/>
    <s v="Medium"/>
    <x v="0"/>
    <x v="2"/>
    <s v="Sales_11"/>
    <n v="404"/>
    <n v="228"/>
    <n v="162"/>
    <n v="51"/>
    <s v="22.37"/>
    <n v="28069"/>
    <s v="8.52"/>
    <n v="24397"/>
    <n v="1431519"/>
    <n v="187272"/>
    <s v="Feb"/>
    <n v="2"/>
    <n v="2026"/>
    <s v="Weekday"/>
    <n v="0.31481481481481483"/>
    <n v="0.5643564356435643"/>
    <n v="0.12623762376237624"/>
    <n v="3672"/>
    <s v="Autohaus Berlin"/>
  </r>
  <r>
    <s v="CUST_3465"/>
    <x v="4"/>
    <x v="2"/>
    <s v="Wednesday"/>
    <s v="No"/>
    <x v="5"/>
    <x v="5"/>
    <s v="Hamburg"/>
    <x v="3"/>
    <s v="E-Class"/>
    <s v="Hybrid"/>
    <x v="1"/>
    <s v="18-25"/>
    <s v="Low"/>
    <x v="1"/>
    <x v="0"/>
    <s v="Sales_17"/>
    <n v="260"/>
    <n v="127"/>
    <n v="100"/>
    <n v="33"/>
    <s v="25.98"/>
    <n v="61224"/>
    <s v="4.15"/>
    <n v="44986"/>
    <n v="2020392"/>
    <n v="535854"/>
    <s v="Feb"/>
    <n v="2"/>
    <n v="2026"/>
    <s v="Weekday"/>
    <n v="0.33"/>
    <n v="0.48846153846153845"/>
    <n v="0.12692307692307692"/>
    <n v="16238"/>
    <s v="Elbe Drive"/>
  </r>
  <r>
    <s v="CUST_3466"/>
    <x v="12"/>
    <x v="3"/>
    <s v="Thursday"/>
    <s v="No"/>
    <x v="0"/>
    <x v="0"/>
    <s v="Hesse"/>
    <x v="0"/>
    <s v="X3"/>
    <s v="Hybrid"/>
    <x v="0"/>
    <s v="50+"/>
    <s v="Low"/>
    <x v="0"/>
    <x v="1"/>
    <s v="Sales_9"/>
    <n v="154"/>
    <n v="95"/>
    <n v="65"/>
    <n v="29"/>
    <s v="30.53"/>
    <n v="65653"/>
    <s v="4.93"/>
    <n v="50910"/>
    <n v="1903937"/>
    <n v="427547"/>
    <s v="Feb"/>
    <n v="2"/>
    <n v="2026"/>
    <s v="Weekday"/>
    <n v="0.44615384615384618"/>
    <n v="0.61688311688311692"/>
    <n v="0.18831168831168832"/>
    <n v="14743"/>
    <s v="Main Auto Hub"/>
  </r>
  <r>
    <s v="CUST_3467"/>
    <x v="12"/>
    <x v="3"/>
    <s v="Thursday"/>
    <s v="No"/>
    <x v="0"/>
    <x v="0"/>
    <s v="Hesse"/>
    <x v="2"/>
    <s v="Q3"/>
    <s v="Hybrid"/>
    <x v="0"/>
    <s v="50+"/>
    <s v="High"/>
    <x v="0"/>
    <x v="1"/>
    <s v="Sales_3"/>
    <n v="253"/>
    <n v="152"/>
    <n v="105"/>
    <n v="33"/>
    <s v="21.71"/>
    <n v="41848"/>
    <s v="6.59"/>
    <n v="32741"/>
    <n v="1380984"/>
    <n v="300531"/>
    <s v="Feb"/>
    <n v="2"/>
    <n v="2026"/>
    <s v="Weekday"/>
    <n v="0.31428571428571428"/>
    <n v="0.60079051383399207"/>
    <n v="0.13043478260869565"/>
    <n v="9107"/>
    <s v="Main Auto Hub"/>
  </r>
  <r>
    <s v="CUST_3468"/>
    <x v="7"/>
    <x v="3"/>
    <s v="Monday"/>
    <s v="No"/>
    <x v="4"/>
    <x v="4"/>
    <s v="Berlin"/>
    <x v="0"/>
    <s v="3 Series"/>
    <s v="Petrol"/>
    <x v="1"/>
    <s v="26-35"/>
    <s v="Low"/>
    <x v="0"/>
    <x v="3"/>
    <s v="Sales_6"/>
    <n v="203"/>
    <n v="95"/>
    <n v="76"/>
    <n v="26"/>
    <s v="27.37"/>
    <n v="68459"/>
    <s v="4.68"/>
    <n v="52360"/>
    <n v="1779934"/>
    <n v="418574"/>
    <s v="Feb"/>
    <n v="2"/>
    <n v="2026"/>
    <s v="Weekday"/>
    <n v="0.34210526315789475"/>
    <n v="0.46798029556650245"/>
    <n v="0.12807881773399016"/>
    <n v="16099"/>
    <s v="Autohaus Berlin"/>
  </r>
  <r>
    <s v="CUST_3469"/>
    <x v="10"/>
    <x v="1"/>
    <s v="Monday"/>
    <s v="No"/>
    <x v="6"/>
    <x v="6"/>
    <s v="Saxony"/>
    <x v="4"/>
    <s v="Tiguan"/>
    <s v="Hybrid"/>
    <x v="0"/>
    <s v="18-25"/>
    <s v="Medium"/>
    <x v="0"/>
    <x v="3"/>
    <s v="Sales_8"/>
    <n v="402"/>
    <n v="170"/>
    <n v="109"/>
    <n v="24"/>
    <s v="14.12"/>
    <n v="28397"/>
    <s v="7.82"/>
    <n v="25268"/>
    <n v="681528"/>
    <n v="75096"/>
    <s v="Feb"/>
    <n v="2"/>
    <n v="2026"/>
    <s v="Weekday"/>
    <n v="0.22018348623853212"/>
    <n v="0.4228855721393035"/>
    <n v="5.9701492537313432E-2"/>
    <n v="3129"/>
    <s v="Leipzig Mobility"/>
  </r>
  <r>
    <s v="CUST_3470"/>
    <x v="8"/>
    <x v="3"/>
    <s v="Wednesday"/>
    <s v="No"/>
    <x v="6"/>
    <x v="6"/>
    <s v="Saxony"/>
    <x v="1"/>
    <s v="Crossland"/>
    <s v="Electric"/>
    <x v="0"/>
    <s v="36-50"/>
    <s v="Low"/>
    <x v="0"/>
    <x v="1"/>
    <s v="Sales_20"/>
    <n v="398"/>
    <n v="209"/>
    <n v="136"/>
    <n v="33"/>
    <s v="15.79"/>
    <n v="23185"/>
    <s v="9.5"/>
    <n v="20822"/>
    <n v="765105"/>
    <n v="77979"/>
    <s v="Feb"/>
    <n v="2"/>
    <n v="2026"/>
    <s v="Weekday"/>
    <n v="0.24264705882352941"/>
    <n v="0.52512562814070352"/>
    <n v="8.2914572864321606E-2"/>
    <n v="2363"/>
    <s v="Leipzig Mobility"/>
  </r>
  <r>
    <s v="CUST_3471"/>
    <x v="18"/>
    <x v="0"/>
    <s v="Saturday"/>
    <s v="Yes"/>
    <x v="3"/>
    <x v="3"/>
    <s v="Saxony"/>
    <x v="2"/>
    <s v="Q5"/>
    <s v="Hybrid"/>
    <x v="0"/>
    <s v="26-35"/>
    <s v="High"/>
    <x v="0"/>
    <x v="1"/>
    <s v="Sales_5"/>
    <n v="259"/>
    <n v="132"/>
    <n v="88"/>
    <n v="32"/>
    <s v="24.24"/>
    <n v="40849"/>
    <s v="4.5"/>
    <n v="30812"/>
    <n v="1307168"/>
    <n v="321184"/>
    <s v="Feb"/>
    <n v="2"/>
    <n v="2026"/>
    <s v="Weekend"/>
    <n v="0.36363636363636365"/>
    <n v="0.50965250965250963"/>
    <n v="0.12355212355212356"/>
    <n v="10037"/>
    <s v="Saxon Wheels"/>
  </r>
  <r>
    <s v="CUST_3472"/>
    <x v="6"/>
    <x v="2"/>
    <s v="Saturday"/>
    <s v="Yes"/>
    <x v="9"/>
    <x v="9"/>
    <s v="NRW"/>
    <x v="4"/>
    <s v="Golf"/>
    <s v="Petrol"/>
    <x v="2"/>
    <s v="18-25"/>
    <s v="Medium"/>
    <x v="0"/>
    <x v="2"/>
    <s v="Sales_5"/>
    <n v="371"/>
    <n v="200"/>
    <n v="123"/>
    <n v="39"/>
    <s v="19.5"/>
    <n v="33656"/>
    <s v="10.02"/>
    <n v="30105"/>
    <n v="1312584"/>
    <n v="138489"/>
    <s v="Feb"/>
    <n v="2"/>
    <n v="2026"/>
    <s v="Weekend"/>
    <n v="0.31707317073170732"/>
    <n v="0.53908355795148244"/>
    <n v="0.10512129380053908"/>
    <n v="3551"/>
    <s v="Ruhr Auto Plaza"/>
  </r>
  <r>
    <s v="CUST_3473"/>
    <x v="0"/>
    <x v="0"/>
    <s v="Monday"/>
    <s v="No"/>
    <x v="2"/>
    <x v="2"/>
    <s v="Lower Saxony"/>
    <x v="4"/>
    <s v="Passat"/>
    <s v="Electric"/>
    <x v="1"/>
    <s v="18-25"/>
    <s v="Medium"/>
    <x v="1"/>
    <x v="3"/>
    <s v="Sales_15"/>
    <n v="351"/>
    <n v="151"/>
    <n v="103"/>
    <n v="20"/>
    <s v="13.25"/>
    <n v="34008"/>
    <s v="7.44"/>
    <n v="30549"/>
    <n v="680160"/>
    <n v="69180"/>
    <s v="Feb"/>
    <n v="2"/>
    <n v="2026"/>
    <s v="Weekday"/>
    <n v="0.1941747572815534"/>
    <n v="0.43019943019943019"/>
    <n v="5.6980056980056981E-2"/>
    <n v="3459"/>
    <s v="Hannover Cars"/>
  </r>
  <r>
    <s v="CUST_3474"/>
    <x v="16"/>
    <x v="1"/>
    <s v="Tuesday"/>
    <s v="No"/>
    <x v="3"/>
    <x v="3"/>
    <s v="Saxony"/>
    <x v="2"/>
    <s v="e-tron"/>
    <s v="Hybrid"/>
    <x v="0"/>
    <s v="36-50"/>
    <s v="Medium"/>
    <x v="1"/>
    <x v="0"/>
    <s v="Sales_5"/>
    <n v="199"/>
    <n v="113"/>
    <n v="81"/>
    <n v="23"/>
    <s v="20.35"/>
    <n v="52081"/>
    <s v="4.88"/>
    <n v="40249"/>
    <n v="1197863"/>
    <n v="272136"/>
    <s v="Feb"/>
    <n v="2"/>
    <n v="2026"/>
    <s v="Weekday"/>
    <n v="0.2839506172839506"/>
    <n v="0.56783919597989951"/>
    <n v="0.11557788944723618"/>
    <n v="11832"/>
    <s v="Saxon Wheels"/>
  </r>
  <r>
    <s v="CUST_3475"/>
    <x v="18"/>
    <x v="0"/>
    <s v="Saturday"/>
    <s v="Yes"/>
    <x v="7"/>
    <x v="7"/>
    <s v="Bavaria"/>
    <x v="2"/>
    <s v="Q3"/>
    <s v="Hybrid"/>
    <x v="0"/>
    <s v="18-25"/>
    <s v="Low"/>
    <x v="0"/>
    <x v="3"/>
    <s v="Sales_2"/>
    <n v="289"/>
    <n v="177"/>
    <n v="114"/>
    <n v="45"/>
    <s v="25.42"/>
    <n v="40178"/>
    <s v="5.14"/>
    <n v="32077"/>
    <n v="1808010"/>
    <n v="364545"/>
    <s v="Feb"/>
    <n v="2"/>
    <n v="2026"/>
    <s v="Weekend"/>
    <n v="0.39473684210526316"/>
    <n v="0.61245674740484424"/>
    <n v="0.15570934256055363"/>
    <n v="8101"/>
    <s v="Bavaria Motors"/>
  </r>
  <r>
    <s v="CUST_3476"/>
    <x v="24"/>
    <x v="1"/>
    <s v="Thursday"/>
    <s v="No"/>
    <x v="6"/>
    <x v="6"/>
    <s v="Saxony"/>
    <x v="3"/>
    <s v="GLE"/>
    <s v="Diesel"/>
    <x v="0"/>
    <s v="36-50"/>
    <s v="Low"/>
    <x v="1"/>
    <x v="2"/>
    <s v="Sales_16"/>
    <n v="265"/>
    <n v="117"/>
    <n v="80"/>
    <n v="33"/>
    <s v="28.21"/>
    <n v="60364"/>
    <s v="5.3"/>
    <n v="43358"/>
    <n v="1992012"/>
    <n v="561198"/>
    <s v="Feb"/>
    <n v="2"/>
    <n v="2026"/>
    <s v="Weekday"/>
    <n v="0.41249999999999998"/>
    <n v="0.44150943396226416"/>
    <n v="0.12452830188679245"/>
    <n v="17006"/>
    <s v="Leipzig Mobility"/>
  </r>
  <r>
    <s v="CUST_3477"/>
    <x v="22"/>
    <x v="3"/>
    <s v="Tuesday"/>
    <s v="No"/>
    <x v="8"/>
    <x v="8"/>
    <s v="Baden-WÃ¼rttemberg"/>
    <x v="1"/>
    <s v="Mokka"/>
    <s v="Hybrid"/>
    <x v="0"/>
    <s v="18-25"/>
    <s v="High"/>
    <x v="1"/>
    <x v="2"/>
    <s v="Sales_5"/>
    <n v="365"/>
    <n v="196"/>
    <n v="135"/>
    <n v="41"/>
    <s v="20.92"/>
    <n v="21088"/>
    <s v="10.45"/>
    <n v="18879"/>
    <n v="864608"/>
    <n v="90569"/>
    <s v="Feb"/>
    <n v="2"/>
    <n v="2026"/>
    <s v="Weekday"/>
    <n v="0.3037037037037037"/>
    <n v="0.53698630136986303"/>
    <n v="0.11232876712328767"/>
    <n v="2209"/>
    <s v="Stuttgart Auto Center"/>
  </r>
  <r>
    <s v="CUST_3478"/>
    <x v="19"/>
    <x v="1"/>
    <s v="Saturday"/>
    <s v="Yes"/>
    <x v="9"/>
    <x v="9"/>
    <s v="NRW"/>
    <x v="4"/>
    <s v="ID.4"/>
    <s v="Electric"/>
    <x v="0"/>
    <s v="26-35"/>
    <s v="Medium"/>
    <x v="0"/>
    <x v="3"/>
    <s v="Sales_19"/>
    <n v="487"/>
    <n v="234"/>
    <n v="157"/>
    <n v="34"/>
    <s v="14.53"/>
    <n v="32031"/>
    <s v="9.29"/>
    <n v="28197"/>
    <n v="1089054"/>
    <n v="130356"/>
    <s v="Feb"/>
    <n v="2"/>
    <n v="2026"/>
    <s v="Weekend"/>
    <n v="0.21656050955414013"/>
    <n v="0.48049281314168379"/>
    <n v="6.9815195071868577E-2"/>
    <n v="3834"/>
    <s v="Ruhr Auto Plaza"/>
  </r>
  <r>
    <s v="CUST_3479"/>
    <x v="22"/>
    <x v="3"/>
    <s v="Tuesday"/>
    <s v="No"/>
    <x v="5"/>
    <x v="5"/>
    <s v="Hamburg"/>
    <x v="1"/>
    <s v="Corsa"/>
    <s v="Electric"/>
    <x v="2"/>
    <s v="50+"/>
    <s v="Low"/>
    <x v="0"/>
    <x v="2"/>
    <s v="Sales_5"/>
    <n v="221"/>
    <n v="92"/>
    <n v="54"/>
    <n v="19"/>
    <s v="20.65"/>
    <n v="22899"/>
    <s v="11.24"/>
    <n v="21126"/>
    <n v="435081"/>
    <n v="33687"/>
    <s v="Feb"/>
    <n v="2"/>
    <n v="2026"/>
    <s v="Weekday"/>
    <n v="0.35185185185185186"/>
    <n v="0.41628959276018102"/>
    <n v="8.5972850678733032E-2"/>
    <n v="1773"/>
    <s v="Elbe Drive"/>
  </r>
  <r>
    <s v="CUST_3480"/>
    <x v="3"/>
    <x v="1"/>
    <s v="Sunday"/>
    <s v="Yes"/>
    <x v="5"/>
    <x v="5"/>
    <s v="Hamburg"/>
    <x v="4"/>
    <s v="ID.4"/>
    <s v="Petrol"/>
    <x v="0"/>
    <s v="18-25"/>
    <s v="Medium"/>
    <x v="0"/>
    <x v="1"/>
    <s v="Sales_8"/>
    <n v="412"/>
    <n v="217"/>
    <n v="155"/>
    <n v="34"/>
    <s v="15.67"/>
    <n v="32413"/>
    <s v="10.49"/>
    <n v="27955"/>
    <n v="1102042"/>
    <n v="151572"/>
    <s v="Feb"/>
    <n v="2"/>
    <n v="2026"/>
    <s v="Weekend"/>
    <n v="0.21935483870967742"/>
    <n v="0.52669902912621358"/>
    <n v="8.2524271844660199E-2"/>
    <n v="4458"/>
    <s v="Elbe Drive"/>
  </r>
  <r>
    <s v="CUST_3481"/>
    <x v="23"/>
    <x v="2"/>
    <s v="Tuesday"/>
    <s v="No"/>
    <x v="5"/>
    <x v="5"/>
    <s v="Hamburg"/>
    <x v="1"/>
    <s v="Astra"/>
    <s v="Petrol"/>
    <x v="2"/>
    <s v="18-25"/>
    <s v="Low"/>
    <x v="0"/>
    <x v="3"/>
    <s v="Sales_18"/>
    <n v="309"/>
    <n v="125"/>
    <n v="70"/>
    <n v="23"/>
    <s v="18.4"/>
    <n v="21948"/>
    <s v="10.05"/>
    <n v="19829"/>
    <n v="504804"/>
    <n v="48737"/>
    <s v="Feb"/>
    <n v="2"/>
    <n v="2026"/>
    <s v="Weekday"/>
    <n v="0.32857142857142857"/>
    <n v="0.4045307443365696"/>
    <n v="7.4433656957928807E-2"/>
    <n v="2119"/>
    <s v="Elbe Drive"/>
  </r>
  <r>
    <s v="CUST_3482"/>
    <x v="21"/>
    <x v="0"/>
    <s v="Tuesday"/>
    <s v="No"/>
    <x v="0"/>
    <x v="0"/>
    <s v="Hesse"/>
    <x v="3"/>
    <s v="EQE"/>
    <s v="Diesel"/>
    <x v="1"/>
    <s v="36-50"/>
    <s v="Low"/>
    <x v="0"/>
    <x v="2"/>
    <s v="Sales_14"/>
    <n v="255"/>
    <n v="142"/>
    <n v="102"/>
    <n v="41"/>
    <s v="28.87"/>
    <n v="71059"/>
    <s v="3.39"/>
    <n v="55220"/>
    <n v="2913419"/>
    <n v="649399"/>
    <s v="Feb"/>
    <n v="2"/>
    <n v="2026"/>
    <s v="Weekday"/>
    <n v="0.40196078431372551"/>
    <n v="0.55686274509803924"/>
    <n v="0.16078431372549021"/>
    <n v="15839"/>
    <s v="Main Auto Hub"/>
  </r>
  <r>
    <s v="CUST_3483"/>
    <x v="6"/>
    <x v="2"/>
    <s v="Saturday"/>
    <s v="Yes"/>
    <x v="4"/>
    <x v="4"/>
    <s v="Berlin"/>
    <x v="3"/>
    <s v="E-Class"/>
    <s v="Electric"/>
    <x v="1"/>
    <s v="36-50"/>
    <s v="Low"/>
    <x v="1"/>
    <x v="1"/>
    <s v="Sales_15"/>
    <n v="198"/>
    <n v="93"/>
    <n v="71"/>
    <n v="22"/>
    <s v="23.66"/>
    <n v="66482"/>
    <s v="5.04"/>
    <n v="51372"/>
    <n v="1462604"/>
    <n v="332420"/>
    <s v="Feb"/>
    <n v="2"/>
    <n v="2026"/>
    <s v="Weekend"/>
    <n v="0.30985915492957744"/>
    <n v="0.46969696969696972"/>
    <n v="0.1111111111111111"/>
    <n v="15110"/>
    <s v="Autohaus Berlin"/>
  </r>
  <r>
    <s v="CUST_3484"/>
    <x v="3"/>
    <x v="1"/>
    <s v="Sunday"/>
    <s v="Yes"/>
    <x v="9"/>
    <x v="9"/>
    <s v="NRW"/>
    <x v="1"/>
    <s v="Astra"/>
    <s v="Hybrid"/>
    <x v="2"/>
    <s v="18-25"/>
    <s v="Medium"/>
    <x v="0"/>
    <x v="3"/>
    <s v="Sales_1"/>
    <n v="406"/>
    <n v="213"/>
    <n v="138"/>
    <n v="26"/>
    <s v="12.21"/>
    <n v="20412"/>
    <s v="10.79"/>
    <n v="18738"/>
    <n v="530712"/>
    <n v="43524"/>
    <s v="Feb"/>
    <n v="2"/>
    <n v="2026"/>
    <s v="Weekend"/>
    <n v="0.18840579710144928"/>
    <n v="0.52463054187192115"/>
    <n v="6.4039408866995079E-2"/>
    <n v="1674"/>
    <s v="Ruhr Auto Plaza"/>
  </r>
  <r>
    <s v="CUST_3485"/>
    <x v="21"/>
    <x v="0"/>
    <s v="Tuesday"/>
    <s v="No"/>
    <x v="3"/>
    <x v="3"/>
    <s v="Saxony"/>
    <x v="1"/>
    <s v="Corsa"/>
    <s v="Electric"/>
    <x v="2"/>
    <s v="36-50"/>
    <s v="High"/>
    <x v="0"/>
    <x v="3"/>
    <s v="Sales_9"/>
    <n v="236"/>
    <n v="123"/>
    <n v="75"/>
    <n v="16"/>
    <s v="13.01"/>
    <n v="22578"/>
    <s v="12.9"/>
    <n v="20886"/>
    <n v="361248"/>
    <n v="27072"/>
    <s v="Feb"/>
    <n v="2"/>
    <n v="2026"/>
    <s v="Weekday"/>
    <n v="0.21333333333333335"/>
    <n v="0.52118644067796616"/>
    <n v="6.7796610169491525E-2"/>
    <n v="1692"/>
    <s v="Saxon Wheels"/>
  </r>
  <r>
    <s v="CUST_3486"/>
    <x v="18"/>
    <x v="0"/>
    <s v="Saturday"/>
    <s v="Yes"/>
    <x v="0"/>
    <x v="0"/>
    <s v="Hesse"/>
    <x v="4"/>
    <s v="T-Roc"/>
    <s v="Diesel"/>
    <x v="0"/>
    <s v="36-50"/>
    <s v="Medium"/>
    <x v="1"/>
    <x v="0"/>
    <s v="Sales_3"/>
    <n v="420"/>
    <n v="228"/>
    <n v="161"/>
    <n v="27"/>
    <s v="11.84"/>
    <n v="32918"/>
    <s v="6.09"/>
    <n v="29577"/>
    <n v="888786"/>
    <n v="90207"/>
    <s v="Feb"/>
    <n v="2"/>
    <n v="2026"/>
    <s v="Weekend"/>
    <n v="0.16770186335403728"/>
    <n v="0.54285714285714282"/>
    <n v="6.4285714285714279E-2"/>
    <n v="3341"/>
    <s v="Main Auto Hub"/>
  </r>
  <r>
    <s v="CUST_3487"/>
    <x v="2"/>
    <x v="2"/>
    <s v="Monday"/>
    <s v="No"/>
    <x v="2"/>
    <x v="2"/>
    <s v="Lower Saxony"/>
    <x v="1"/>
    <s v="Grandland"/>
    <s v="Electric"/>
    <x v="0"/>
    <s v="26-35"/>
    <s v="High"/>
    <x v="1"/>
    <x v="2"/>
    <s v="Sales_10"/>
    <n v="278"/>
    <n v="145"/>
    <n v="98"/>
    <n v="28"/>
    <s v="19.31"/>
    <n v="22519"/>
    <s v="7.4"/>
    <n v="20215"/>
    <n v="630532"/>
    <n v="64512"/>
    <s v="Feb"/>
    <n v="2"/>
    <n v="2026"/>
    <s v="Weekday"/>
    <n v="0.2857142857142857"/>
    <n v="0.52158273381294962"/>
    <n v="0.10071942446043165"/>
    <n v="2304"/>
    <s v="Hannover Cars"/>
  </r>
  <r>
    <s v="CUST_3488"/>
    <x v="23"/>
    <x v="2"/>
    <s v="Tuesday"/>
    <s v="No"/>
    <x v="0"/>
    <x v="0"/>
    <s v="Hesse"/>
    <x v="4"/>
    <s v="Tiguan"/>
    <s v="Electric"/>
    <x v="0"/>
    <s v="26-35"/>
    <s v="High"/>
    <x v="1"/>
    <x v="3"/>
    <s v="Sales_1"/>
    <n v="369"/>
    <n v="210"/>
    <n v="127"/>
    <n v="31"/>
    <s v="14.76"/>
    <n v="32368"/>
    <s v="9.11"/>
    <n v="28172"/>
    <n v="1003408"/>
    <n v="130076"/>
    <s v="Feb"/>
    <n v="2"/>
    <n v="2026"/>
    <s v="Weekday"/>
    <n v="0.24409448818897639"/>
    <n v="0.56910569105691056"/>
    <n v="8.4010840108401083E-2"/>
    <n v="4196"/>
    <s v="Main Auto Hub"/>
  </r>
  <r>
    <s v="CUST_3489"/>
    <x v="15"/>
    <x v="2"/>
    <s v="Thursday"/>
    <s v="No"/>
    <x v="6"/>
    <x v="6"/>
    <s v="Saxony"/>
    <x v="3"/>
    <s v="GLC"/>
    <s v="Petrol"/>
    <x v="0"/>
    <s v="50+"/>
    <s v="High"/>
    <x v="1"/>
    <x v="2"/>
    <s v="Sales_7"/>
    <n v="192"/>
    <n v="85"/>
    <n v="67"/>
    <n v="21"/>
    <s v="24.71"/>
    <n v="60496"/>
    <s v="2.06"/>
    <n v="43680"/>
    <n v="1270416"/>
    <n v="353136"/>
    <s v="Feb"/>
    <n v="2"/>
    <n v="2026"/>
    <s v="Weekday"/>
    <n v="0.31343283582089554"/>
    <n v="0.44270833333333331"/>
    <n v="0.109375"/>
    <n v="16816"/>
    <s v="Leipzig Mobility"/>
  </r>
  <r>
    <s v="CUST_3490"/>
    <x v="13"/>
    <x v="0"/>
    <s v="Friday"/>
    <s v="No"/>
    <x v="1"/>
    <x v="1"/>
    <s v="NRW"/>
    <x v="4"/>
    <s v="Tiguan"/>
    <s v="Petrol"/>
    <x v="0"/>
    <s v="36-50"/>
    <s v="High"/>
    <x v="1"/>
    <x v="3"/>
    <s v="Sales_10"/>
    <n v="410"/>
    <n v="203"/>
    <n v="129"/>
    <n v="25"/>
    <s v="12.32"/>
    <n v="27170"/>
    <s v="7.92"/>
    <n v="23661"/>
    <n v="679250"/>
    <n v="87725"/>
    <s v="Feb"/>
    <n v="2"/>
    <n v="2026"/>
    <s v="Weekday"/>
    <n v="0.19379844961240311"/>
    <n v="0.49512195121951219"/>
    <n v="6.097560975609756E-2"/>
    <n v="3509"/>
    <s v="Rhein Auto Group"/>
  </r>
  <r>
    <s v="CUST_3491"/>
    <x v="10"/>
    <x v="1"/>
    <s v="Monday"/>
    <s v="No"/>
    <x v="0"/>
    <x v="0"/>
    <s v="Hesse"/>
    <x v="1"/>
    <s v="Astra"/>
    <s v="Petrol"/>
    <x v="2"/>
    <s v="18-25"/>
    <s v="Medium"/>
    <x v="1"/>
    <x v="0"/>
    <s v="Sales_15"/>
    <n v="280"/>
    <n v="142"/>
    <n v="94"/>
    <n v="19"/>
    <s v="13.38"/>
    <n v="20776"/>
    <s v="10.53"/>
    <n v="18497"/>
    <n v="394744"/>
    <n v="43301"/>
    <s v="Feb"/>
    <n v="2"/>
    <n v="2026"/>
    <s v="Weekday"/>
    <n v="0.20212765957446807"/>
    <n v="0.50714285714285712"/>
    <n v="6.7857142857142852E-2"/>
    <n v="2279"/>
    <s v="Main Auto Hub"/>
  </r>
  <r>
    <s v="CUST_3492"/>
    <x v="3"/>
    <x v="1"/>
    <s v="Sunday"/>
    <s v="Yes"/>
    <x v="1"/>
    <x v="1"/>
    <s v="NRW"/>
    <x v="2"/>
    <s v="Q5"/>
    <s v="Electric"/>
    <x v="0"/>
    <s v="36-50"/>
    <s v="Medium"/>
    <x v="0"/>
    <x v="2"/>
    <s v="Sales_18"/>
    <n v="301"/>
    <n v="178"/>
    <n v="114"/>
    <n v="49"/>
    <s v="27.53"/>
    <n v="52224"/>
    <s v="3.61"/>
    <n v="42404"/>
    <n v="2558976"/>
    <n v="481180"/>
    <s v="Feb"/>
    <n v="2"/>
    <n v="2026"/>
    <s v="Weekend"/>
    <n v="0.42982456140350878"/>
    <n v="0.59136212624584716"/>
    <n v="0.16279069767441862"/>
    <n v="9820"/>
    <s v="Rhein Auto Group"/>
  </r>
  <r>
    <s v="CUST_3493"/>
    <x v="7"/>
    <x v="3"/>
    <s v="Monday"/>
    <s v="No"/>
    <x v="5"/>
    <x v="5"/>
    <s v="Hamburg"/>
    <x v="2"/>
    <s v="A3"/>
    <s v="Petrol"/>
    <x v="2"/>
    <s v="50+"/>
    <s v="High"/>
    <x v="1"/>
    <x v="1"/>
    <s v="Sales_6"/>
    <n v="215"/>
    <n v="110"/>
    <n v="80"/>
    <n v="26"/>
    <s v="23.64"/>
    <n v="46252"/>
    <s v="3.82"/>
    <n v="36374"/>
    <n v="1202552"/>
    <n v="256828"/>
    <s v="Feb"/>
    <n v="2"/>
    <n v="2026"/>
    <s v="Weekday"/>
    <n v="0.32500000000000001"/>
    <n v="0.51162790697674421"/>
    <n v="0.12093023255813953"/>
    <n v="9878"/>
    <s v="Elbe Drive"/>
  </r>
  <r>
    <s v="CUST_3494"/>
    <x v="15"/>
    <x v="2"/>
    <s v="Thursday"/>
    <s v="No"/>
    <x v="9"/>
    <x v="9"/>
    <s v="NRW"/>
    <x v="1"/>
    <s v="Astra"/>
    <s v="Petrol"/>
    <x v="2"/>
    <s v="36-50"/>
    <s v="High"/>
    <x v="1"/>
    <x v="0"/>
    <s v="Sales_6"/>
    <n v="404"/>
    <n v="223"/>
    <n v="130"/>
    <n v="32"/>
    <s v="14.35"/>
    <n v="26983"/>
    <s v="9.93"/>
    <n v="25015"/>
    <n v="863456"/>
    <n v="62976"/>
    <s v="Feb"/>
    <n v="2"/>
    <n v="2026"/>
    <s v="Weekday"/>
    <n v="0.24615384615384617"/>
    <n v="0.55198019801980203"/>
    <n v="7.9207920792079209E-2"/>
    <n v="1968"/>
    <s v="Ruhr Auto Plaza"/>
  </r>
  <r>
    <s v="CUST_3495"/>
    <x v="22"/>
    <x v="3"/>
    <s v="Tuesday"/>
    <s v="No"/>
    <x v="1"/>
    <x v="1"/>
    <s v="NRW"/>
    <x v="1"/>
    <s v="Crossland"/>
    <s v="Diesel"/>
    <x v="0"/>
    <s v="26-35"/>
    <s v="Medium"/>
    <x v="0"/>
    <x v="3"/>
    <s v="Sales_3"/>
    <n v="345"/>
    <n v="177"/>
    <n v="111"/>
    <n v="31"/>
    <s v="17.51"/>
    <n v="23924"/>
    <s v="9.24"/>
    <n v="22186"/>
    <n v="741644"/>
    <n v="53878"/>
    <s v="Feb"/>
    <n v="2"/>
    <n v="2026"/>
    <s v="Weekday"/>
    <n v="0.27927927927927926"/>
    <n v="0.5130434782608696"/>
    <n v="8.9855072463768115E-2"/>
    <n v="1738"/>
    <s v="Rhein Auto Group"/>
  </r>
  <r>
    <s v="CUST_3496"/>
    <x v="3"/>
    <x v="1"/>
    <s v="Sunday"/>
    <s v="Yes"/>
    <x v="8"/>
    <x v="8"/>
    <s v="Baden-WÃ¼rttemberg"/>
    <x v="1"/>
    <s v="Astra"/>
    <s v="Electric"/>
    <x v="2"/>
    <s v="26-35"/>
    <s v="High"/>
    <x v="0"/>
    <x v="0"/>
    <s v="Sales_20"/>
    <n v="249"/>
    <n v="95"/>
    <n v="59"/>
    <n v="13"/>
    <s v="13.68"/>
    <n v="25987"/>
    <s v="8.17"/>
    <n v="24020"/>
    <n v="337831"/>
    <n v="25571"/>
    <s v="Feb"/>
    <n v="2"/>
    <n v="2026"/>
    <s v="Weekend"/>
    <n v="0.22033898305084745"/>
    <n v="0.38152610441767071"/>
    <n v="5.2208835341365459E-2"/>
    <n v="1967"/>
    <s v="Stuttgart Auto Center"/>
  </r>
  <r>
    <s v="CUST_3497"/>
    <x v="27"/>
    <x v="3"/>
    <s v="Sunday"/>
    <s v="Yes"/>
    <x v="0"/>
    <x v="0"/>
    <s v="Hesse"/>
    <x v="4"/>
    <s v="ID.4"/>
    <s v="Diesel"/>
    <x v="0"/>
    <s v="26-35"/>
    <s v="Low"/>
    <x v="0"/>
    <x v="2"/>
    <s v="Sales_2"/>
    <n v="335"/>
    <n v="144"/>
    <n v="84"/>
    <n v="25"/>
    <s v="17.36"/>
    <n v="33569"/>
    <s v="11.39"/>
    <n v="29710"/>
    <n v="839225"/>
    <n v="96475"/>
    <s v="Feb"/>
    <n v="2"/>
    <n v="2026"/>
    <s v="Weekend"/>
    <n v="0.29761904761904762"/>
    <n v="0.42985074626865671"/>
    <n v="7.4626865671641784E-2"/>
    <n v="3859"/>
    <s v="Main Auto Hub"/>
  </r>
  <r>
    <s v="CUST_3498"/>
    <x v="26"/>
    <x v="1"/>
    <s v="Friday"/>
    <s v="No"/>
    <x v="3"/>
    <x v="3"/>
    <s v="Saxony"/>
    <x v="1"/>
    <s v="Corsa"/>
    <s v="Petrol"/>
    <x v="2"/>
    <s v="36-50"/>
    <s v="High"/>
    <x v="1"/>
    <x v="3"/>
    <s v="Sales_20"/>
    <n v="402"/>
    <n v="198"/>
    <n v="127"/>
    <n v="28"/>
    <s v="14.14"/>
    <n v="22966"/>
    <s v="11.29"/>
    <n v="21159"/>
    <n v="643048"/>
    <n v="50596"/>
    <s v="Feb"/>
    <n v="2"/>
    <n v="2026"/>
    <s v="Weekday"/>
    <n v="0.22047244094488189"/>
    <n v="0.4925373134328358"/>
    <n v="6.965174129353234E-2"/>
    <n v="1807"/>
    <s v="Saxon Wheels"/>
  </r>
  <r>
    <s v="CUST_3499"/>
    <x v="10"/>
    <x v="1"/>
    <s v="Monday"/>
    <s v="No"/>
    <x v="0"/>
    <x v="0"/>
    <s v="Hesse"/>
    <x v="3"/>
    <s v="GLE"/>
    <s v="Hybrid"/>
    <x v="0"/>
    <s v="18-25"/>
    <s v="Low"/>
    <x v="0"/>
    <x v="2"/>
    <s v="Sales_8"/>
    <n v="248"/>
    <n v="119"/>
    <n v="81"/>
    <n v="30"/>
    <s v="25.21"/>
    <n v="61879"/>
    <s v="5.23"/>
    <n v="48365"/>
    <n v="1856370"/>
    <n v="405420"/>
    <s v="Feb"/>
    <n v="2"/>
    <n v="2026"/>
    <s v="Weekday"/>
    <n v="0.37037037037037035"/>
    <n v="0.47983870967741937"/>
    <n v="0.12096774193548387"/>
    <n v="13514"/>
    <s v="Main Auto Hub"/>
  </r>
  <r>
    <s v="CUST_3500"/>
    <x v="23"/>
    <x v="2"/>
    <s v="Tuesday"/>
    <s v="No"/>
    <x v="7"/>
    <x v="7"/>
    <s v="Bavaria"/>
    <x v="2"/>
    <s v="Q3"/>
    <s v="Electric"/>
    <x v="0"/>
    <s v="26-35"/>
    <s v="High"/>
    <x v="0"/>
    <x v="2"/>
    <s v="Sales_16"/>
    <n v="309"/>
    <n v="175"/>
    <n v="119"/>
    <n v="51"/>
    <s v="29.14"/>
    <n v="46580"/>
    <s v="5.01"/>
    <n v="34949"/>
    <n v="2375580"/>
    <n v="593181"/>
    <s v="Feb"/>
    <n v="2"/>
    <n v="2026"/>
    <s v="Weekday"/>
    <n v="0.42857142857142855"/>
    <n v="0.56634304207119746"/>
    <n v="0.1650485436893204"/>
    <n v="11631"/>
    <s v="Bavaria Motors"/>
  </r>
  <r>
    <s v="CUST_3501"/>
    <x v="1"/>
    <x v="1"/>
    <s v="Wednesday"/>
    <s v="No"/>
    <x v="6"/>
    <x v="6"/>
    <s v="Saxony"/>
    <x v="4"/>
    <s v="Golf"/>
    <s v="Hybrid"/>
    <x v="2"/>
    <s v="36-50"/>
    <s v="Medium"/>
    <x v="1"/>
    <x v="1"/>
    <s v="Sales_6"/>
    <n v="464"/>
    <n v="256"/>
    <n v="183"/>
    <n v="43"/>
    <s v="16.8"/>
    <n v="27629"/>
    <s v="11.55"/>
    <n v="24161"/>
    <n v="1188047"/>
    <n v="149124"/>
    <s v="Feb"/>
    <n v="2"/>
    <n v="2026"/>
    <s v="Weekday"/>
    <n v="0.23497267759562843"/>
    <n v="0.55172413793103448"/>
    <n v="9.2672413793103453E-2"/>
    <n v="3468"/>
    <s v="Leipzig Mobility"/>
  </r>
  <r>
    <s v="CUST_3502"/>
    <x v="19"/>
    <x v="1"/>
    <s v="Saturday"/>
    <s v="Yes"/>
    <x v="9"/>
    <x v="9"/>
    <s v="NRW"/>
    <x v="4"/>
    <s v="ID.4"/>
    <s v="Electric"/>
    <x v="0"/>
    <s v="18-25"/>
    <s v="Medium"/>
    <x v="1"/>
    <x v="3"/>
    <s v="Sales_2"/>
    <n v="342"/>
    <n v="179"/>
    <n v="111"/>
    <n v="23"/>
    <s v="12.85"/>
    <n v="34345"/>
    <s v="6.36"/>
    <n v="29725"/>
    <n v="789935"/>
    <n v="106260"/>
    <s v="Feb"/>
    <n v="2"/>
    <n v="2026"/>
    <s v="Weekend"/>
    <n v="0.2072072072072072"/>
    <n v="0.52339181286549707"/>
    <n v="6.725146198830409E-2"/>
    <n v="4620"/>
    <s v="Ruhr Auto Plaza"/>
  </r>
  <r>
    <s v="CUST_3503"/>
    <x v="3"/>
    <x v="1"/>
    <s v="Sunday"/>
    <s v="Yes"/>
    <x v="6"/>
    <x v="6"/>
    <s v="Saxony"/>
    <x v="1"/>
    <s v="Astra"/>
    <s v="Petrol"/>
    <x v="2"/>
    <s v="36-50"/>
    <s v="High"/>
    <x v="0"/>
    <x v="2"/>
    <s v="Sales_20"/>
    <n v="277"/>
    <n v="142"/>
    <n v="83"/>
    <n v="24"/>
    <s v="16.9"/>
    <n v="26102"/>
    <s v="8.6"/>
    <n v="24068"/>
    <n v="626448"/>
    <n v="48816"/>
    <s v="Feb"/>
    <n v="2"/>
    <n v="2026"/>
    <s v="Weekend"/>
    <n v="0.28915662650602408"/>
    <n v="0.5126353790613718"/>
    <n v="8.6642599277978335E-2"/>
    <n v="2034"/>
    <s v="Leipzig Mobility"/>
  </r>
  <r>
    <s v="CUST_3504"/>
    <x v="19"/>
    <x v="1"/>
    <s v="Saturday"/>
    <s v="Yes"/>
    <x v="7"/>
    <x v="7"/>
    <s v="Bavaria"/>
    <x v="1"/>
    <s v="Astra"/>
    <s v="Petrol"/>
    <x v="2"/>
    <s v="18-25"/>
    <s v="Medium"/>
    <x v="0"/>
    <x v="3"/>
    <s v="Sales_6"/>
    <n v="425"/>
    <n v="170"/>
    <n v="96"/>
    <n v="26"/>
    <s v="15.29"/>
    <n v="27363"/>
    <s v="7.37"/>
    <n v="25414"/>
    <n v="711438"/>
    <n v="50674"/>
    <s v="Feb"/>
    <n v="2"/>
    <n v="2026"/>
    <s v="Weekend"/>
    <n v="0.27083333333333331"/>
    <n v="0.4"/>
    <n v="6.1176470588235297E-2"/>
    <n v="1949"/>
    <s v="Bavaria Motors"/>
  </r>
  <r>
    <s v="CUST_3505"/>
    <x v="7"/>
    <x v="3"/>
    <s v="Monday"/>
    <s v="No"/>
    <x v="2"/>
    <x v="2"/>
    <s v="Lower Saxony"/>
    <x v="0"/>
    <s v="i4"/>
    <s v="Hybrid"/>
    <x v="1"/>
    <s v="50+"/>
    <s v="Medium"/>
    <x v="1"/>
    <x v="2"/>
    <s v="Sales_9"/>
    <n v="280"/>
    <n v="164"/>
    <n v="112"/>
    <n v="47"/>
    <s v="28.66"/>
    <n v="57856"/>
    <s v="3.61"/>
    <n v="40838"/>
    <n v="2719232"/>
    <n v="799846"/>
    <s v="Feb"/>
    <n v="2"/>
    <n v="2026"/>
    <s v="Weekday"/>
    <n v="0.41964285714285715"/>
    <n v="0.58571428571428574"/>
    <n v="0.16785714285714284"/>
    <n v="17018"/>
    <s v="Hannover Cars"/>
  </r>
  <r>
    <s v="CUST_3506"/>
    <x v="8"/>
    <x v="3"/>
    <s v="Wednesday"/>
    <s v="No"/>
    <x v="3"/>
    <x v="3"/>
    <s v="Saxony"/>
    <x v="3"/>
    <s v="E-Class"/>
    <s v="Diesel"/>
    <x v="1"/>
    <s v="36-50"/>
    <s v="Low"/>
    <x v="0"/>
    <x v="1"/>
    <s v="Sales_14"/>
    <n v="199"/>
    <n v="117"/>
    <n v="84"/>
    <n v="32"/>
    <s v="27.35"/>
    <n v="58397"/>
    <s v="2.05"/>
    <n v="42994"/>
    <n v="1868704"/>
    <n v="492896"/>
    <s v="Feb"/>
    <n v="2"/>
    <n v="2026"/>
    <s v="Weekday"/>
    <n v="0.38095238095238093"/>
    <n v="0.5879396984924623"/>
    <n v="0.16080402010050251"/>
    <n v="15403"/>
    <s v="Saxon Wheels"/>
  </r>
  <r>
    <s v="CUST_3507"/>
    <x v="19"/>
    <x v="1"/>
    <s v="Saturday"/>
    <s v="Yes"/>
    <x v="8"/>
    <x v="8"/>
    <s v="Baden-WÃ¼rttemberg"/>
    <x v="0"/>
    <s v="3 Series"/>
    <s v="Electric"/>
    <x v="1"/>
    <s v="18-25"/>
    <s v="Medium"/>
    <x v="1"/>
    <x v="3"/>
    <s v="Sales_12"/>
    <n v="244"/>
    <n v="128"/>
    <n v="92"/>
    <n v="36"/>
    <s v="28.12"/>
    <n v="61519"/>
    <s v="5.68"/>
    <n v="47225"/>
    <n v="2214684"/>
    <n v="514584"/>
    <s v="Feb"/>
    <n v="2"/>
    <n v="2026"/>
    <s v="Weekend"/>
    <n v="0.39130434782608697"/>
    <n v="0.52459016393442626"/>
    <n v="0.14754098360655737"/>
    <n v="14294"/>
    <s v="Stuttgart Auto Center"/>
  </r>
  <r>
    <s v="CUST_3508"/>
    <x v="17"/>
    <x v="2"/>
    <s v="Sunday"/>
    <s v="Yes"/>
    <x v="0"/>
    <x v="0"/>
    <s v="Hesse"/>
    <x v="3"/>
    <s v="C-Class"/>
    <s v="Petrol"/>
    <x v="1"/>
    <s v="18-25"/>
    <s v="Low"/>
    <x v="0"/>
    <x v="1"/>
    <s v="Sales_13"/>
    <n v="182"/>
    <n v="87"/>
    <n v="60"/>
    <n v="21"/>
    <s v="24.14"/>
    <n v="67518"/>
    <s v="5.48"/>
    <n v="51415"/>
    <n v="1417878"/>
    <n v="338163"/>
    <s v="Feb"/>
    <n v="2"/>
    <n v="2026"/>
    <s v="Weekend"/>
    <n v="0.35"/>
    <n v="0.47802197802197804"/>
    <n v="0.11538461538461539"/>
    <n v="16103"/>
    <s v="Main Auto Hub"/>
  </r>
  <r>
    <s v="CUST_3509"/>
    <x v="9"/>
    <x v="0"/>
    <s v="Sunday"/>
    <s v="Yes"/>
    <x v="5"/>
    <x v="5"/>
    <s v="Hamburg"/>
    <x v="0"/>
    <s v="X5"/>
    <s v="Diesel"/>
    <x v="0"/>
    <s v="26-35"/>
    <s v="Medium"/>
    <x v="1"/>
    <x v="3"/>
    <s v="Sales_7"/>
    <n v="154"/>
    <n v="82"/>
    <n v="64"/>
    <n v="22"/>
    <s v="26.83"/>
    <n v="61149"/>
    <s v="3.91"/>
    <n v="44502"/>
    <n v="1345278"/>
    <n v="366234"/>
    <s v="Feb"/>
    <n v="2"/>
    <n v="2026"/>
    <s v="Weekend"/>
    <n v="0.34375"/>
    <n v="0.53246753246753242"/>
    <n v="0.14285714285714285"/>
    <n v="16647"/>
    <s v="Elbe Drive"/>
  </r>
  <r>
    <s v="CUST_3510"/>
    <x v="20"/>
    <x v="0"/>
    <s v="Thursday"/>
    <s v="No"/>
    <x v="3"/>
    <x v="3"/>
    <s v="Saxony"/>
    <x v="3"/>
    <s v="EQE"/>
    <s v="Hybrid"/>
    <x v="1"/>
    <s v="36-50"/>
    <s v="Low"/>
    <x v="1"/>
    <x v="2"/>
    <s v="Sales_15"/>
    <n v="237"/>
    <n v="127"/>
    <n v="96"/>
    <n v="30"/>
    <s v="23.62"/>
    <n v="70726"/>
    <s v="5.62"/>
    <n v="54232"/>
    <n v="2121780"/>
    <n v="494820"/>
    <s v="Feb"/>
    <n v="2"/>
    <n v="2026"/>
    <s v="Weekday"/>
    <n v="0.3125"/>
    <n v="0.53586497890295359"/>
    <n v="0.12658227848101267"/>
    <n v="16494"/>
    <s v="Saxon Wheels"/>
  </r>
  <r>
    <s v="CUST_3511"/>
    <x v="4"/>
    <x v="2"/>
    <s v="Wednesday"/>
    <s v="No"/>
    <x v="8"/>
    <x v="8"/>
    <s v="Baden-WÃ¼rttemberg"/>
    <x v="2"/>
    <s v="A3"/>
    <s v="Electric"/>
    <x v="2"/>
    <s v="36-50"/>
    <s v="Low"/>
    <x v="1"/>
    <x v="3"/>
    <s v="Sales_1"/>
    <n v="255"/>
    <n v="142"/>
    <n v="107"/>
    <n v="33"/>
    <s v="23.24"/>
    <n v="42038"/>
    <s v="6.12"/>
    <n v="33309"/>
    <n v="1387254"/>
    <n v="288057"/>
    <s v="Feb"/>
    <n v="2"/>
    <n v="2026"/>
    <s v="Weekday"/>
    <n v="0.30841121495327101"/>
    <n v="0.55686274509803924"/>
    <n v="0.12941176470588237"/>
    <n v="8729"/>
    <s v="Stuttgart Auto Center"/>
  </r>
  <r>
    <s v="CUST_3512"/>
    <x v="2"/>
    <x v="2"/>
    <s v="Monday"/>
    <s v="No"/>
    <x v="0"/>
    <x v="0"/>
    <s v="Hesse"/>
    <x v="3"/>
    <s v="GLE"/>
    <s v="Petrol"/>
    <x v="0"/>
    <s v="18-25"/>
    <s v="High"/>
    <x v="1"/>
    <x v="1"/>
    <s v="Sales_16"/>
    <n v="270"/>
    <n v="126"/>
    <n v="87"/>
    <n v="34"/>
    <s v="26.98"/>
    <n v="59956"/>
    <s v="5.36"/>
    <n v="46224"/>
    <n v="2038504"/>
    <n v="466888"/>
    <s v="Feb"/>
    <n v="2"/>
    <n v="2026"/>
    <s v="Weekday"/>
    <n v="0.39080459770114945"/>
    <n v="0.46666666666666667"/>
    <n v="0.12592592592592591"/>
    <n v="13732"/>
    <s v="Main Auto Hub"/>
  </r>
  <r>
    <s v="CUST_3513"/>
    <x v="0"/>
    <x v="0"/>
    <s v="Monday"/>
    <s v="No"/>
    <x v="9"/>
    <x v="9"/>
    <s v="NRW"/>
    <x v="4"/>
    <s v="ID.4"/>
    <s v="Hybrid"/>
    <x v="0"/>
    <s v="36-50"/>
    <s v="High"/>
    <x v="0"/>
    <x v="3"/>
    <s v="Sales_12"/>
    <n v="306"/>
    <n v="125"/>
    <n v="76"/>
    <n v="17"/>
    <s v="13.6"/>
    <n v="28646"/>
    <s v="8.49"/>
    <n v="25768"/>
    <n v="486982"/>
    <n v="48926"/>
    <s v="Feb"/>
    <n v="2"/>
    <n v="2026"/>
    <s v="Weekday"/>
    <n v="0.22368421052631579"/>
    <n v="0.40849673202614378"/>
    <n v="5.5555555555555552E-2"/>
    <n v="2878"/>
    <s v="Ruhr Auto Plaza"/>
  </r>
  <r>
    <s v="CUST_3514"/>
    <x v="11"/>
    <x v="0"/>
    <s v="Wednesday"/>
    <s v="No"/>
    <x v="8"/>
    <x v="8"/>
    <s v="Baden-WÃ¼rttemberg"/>
    <x v="1"/>
    <s v="Crossland"/>
    <s v="Electric"/>
    <x v="0"/>
    <s v="26-35"/>
    <s v="High"/>
    <x v="1"/>
    <x v="1"/>
    <s v="Sales_13"/>
    <n v="323"/>
    <n v="153"/>
    <n v="106"/>
    <n v="25"/>
    <s v="16.34"/>
    <n v="22253"/>
    <s v="8.09"/>
    <n v="20301"/>
    <n v="556325"/>
    <n v="48800"/>
    <s v="Feb"/>
    <n v="2"/>
    <n v="2026"/>
    <s v="Weekday"/>
    <n v="0.23584905660377359"/>
    <n v="0.47368421052631576"/>
    <n v="7.7399380804953566E-2"/>
    <n v="1952"/>
    <s v="Stuttgart Auto Center"/>
  </r>
  <r>
    <s v="CUST_3515"/>
    <x v="1"/>
    <x v="1"/>
    <s v="Wednesday"/>
    <s v="No"/>
    <x v="5"/>
    <x v="5"/>
    <s v="Hamburg"/>
    <x v="3"/>
    <s v="EQE"/>
    <s v="Electric"/>
    <x v="1"/>
    <s v="36-50"/>
    <s v="Medium"/>
    <x v="1"/>
    <x v="3"/>
    <s v="Sales_3"/>
    <n v="226"/>
    <n v="112"/>
    <n v="77"/>
    <n v="27"/>
    <s v="24.11"/>
    <n v="54047"/>
    <s v="3.69"/>
    <n v="42393"/>
    <n v="1459269"/>
    <n v="314658"/>
    <s v="Feb"/>
    <n v="2"/>
    <n v="2026"/>
    <s v="Weekday"/>
    <n v="0.35064935064935066"/>
    <n v="0.49557522123893805"/>
    <n v="0.11946902654867257"/>
    <n v="11654"/>
    <s v="Elbe Drive"/>
  </r>
  <r>
    <s v="CUST_3516"/>
    <x v="11"/>
    <x v="0"/>
    <s v="Wednesday"/>
    <s v="No"/>
    <x v="8"/>
    <x v="8"/>
    <s v="Baden-WÃ¼rttemberg"/>
    <x v="1"/>
    <s v="Astra"/>
    <s v="Electric"/>
    <x v="2"/>
    <s v="50+"/>
    <s v="Medium"/>
    <x v="1"/>
    <x v="1"/>
    <s v="Sales_12"/>
    <n v="295"/>
    <n v="161"/>
    <n v="102"/>
    <n v="24"/>
    <s v="14.91"/>
    <n v="20365"/>
    <s v="11.39"/>
    <n v="18675"/>
    <n v="488760"/>
    <n v="40560"/>
    <s v="Feb"/>
    <n v="2"/>
    <n v="2026"/>
    <s v="Weekday"/>
    <n v="0.23529411764705882"/>
    <n v="0.54576271186440672"/>
    <n v="8.1355932203389825E-2"/>
    <n v="1690"/>
    <s v="Stuttgart Auto Center"/>
  </r>
  <r>
    <s v="CUST_3517"/>
    <x v="22"/>
    <x v="3"/>
    <s v="Tuesday"/>
    <s v="No"/>
    <x v="7"/>
    <x v="7"/>
    <s v="Bavaria"/>
    <x v="2"/>
    <s v="A3"/>
    <s v="Electric"/>
    <x v="2"/>
    <s v="18-25"/>
    <s v="Medium"/>
    <x v="1"/>
    <x v="3"/>
    <s v="Sales_9"/>
    <n v="195"/>
    <n v="93"/>
    <n v="69"/>
    <n v="22"/>
    <s v="23.66"/>
    <n v="40523"/>
    <s v="6.15"/>
    <n v="32161"/>
    <n v="891506"/>
    <n v="183964"/>
    <s v="Feb"/>
    <n v="2"/>
    <n v="2026"/>
    <s v="Weekday"/>
    <n v="0.3188405797101449"/>
    <n v="0.47692307692307695"/>
    <n v="0.11282051282051282"/>
    <n v="8362"/>
    <s v="Bavaria Motors"/>
  </r>
  <r>
    <s v="CUST_3518"/>
    <x v="17"/>
    <x v="2"/>
    <s v="Sunday"/>
    <s v="Yes"/>
    <x v="8"/>
    <x v="8"/>
    <s v="Baden-WÃ¼rttemberg"/>
    <x v="4"/>
    <s v="Passat"/>
    <s v="Hybrid"/>
    <x v="1"/>
    <s v="50+"/>
    <s v="Medium"/>
    <x v="0"/>
    <x v="2"/>
    <s v="Sales_13"/>
    <n v="458"/>
    <n v="249"/>
    <n v="157"/>
    <n v="51"/>
    <s v="20.48"/>
    <n v="33918"/>
    <s v="9.28"/>
    <n v="30606"/>
    <n v="1729818"/>
    <n v="168912"/>
    <s v="Feb"/>
    <n v="2"/>
    <n v="2026"/>
    <s v="Weekend"/>
    <n v="0.32484076433121017"/>
    <n v="0.54366812227074235"/>
    <n v="0.11135371179039301"/>
    <n v="3312"/>
    <s v="Stuttgart Auto Center"/>
  </r>
  <r>
    <s v="CUST_3519"/>
    <x v="12"/>
    <x v="3"/>
    <s v="Thursday"/>
    <s v="No"/>
    <x v="9"/>
    <x v="9"/>
    <s v="NRW"/>
    <x v="4"/>
    <s v="ID.4"/>
    <s v="Hybrid"/>
    <x v="0"/>
    <s v="50+"/>
    <s v="Low"/>
    <x v="1"/>
    <x v="1"/>
    <s v="Sales_19"/>
    <n v="385"/>
    <n v="177"/>
    <n v="119"/>
    <n v="23"/>
    <s v="12.99"/>
    <n v="33603"/>
    <s v="9.23"/>
    <n v="30460"/>
    <n v="772869"/>
    <n v="72289"/>
    <s v="Feb"/>
    <n v="2"/>
    <n v="2026"/>
    <s v="Weekday"/>
    <n v="0.19327731092436976"/>
    <n v="0.45974025974025973"/>
    <n v="5.9740259740259739E-2"/>
    <n v="3143"/>
    <s v="Ruhr Auto Plaza"/>
  </r>
  <r>
    <s v="CUST_3520"/>
    <x v="12"/>
    <x v="3"/>
    <s v="Thursday"/>
    <s v="No"/>
    <x v="6"/>
    <x v="6"/>
    <s v="Saxony"/>
    <x v="1"/>
    <s v="Mokka"/>
    <s v="Hybrid"/>
    <x v="0"/>
    <s v="18-25"/>
    <s v="Medium"/>
    <x v="1"/>
    <x v="2"/>
    <s v="Sales_1"/>
    <n v="400"/>
    <n v="190"/>
    <n v="108"/>
    <n v="36"/>
    <s v="18.95"/>
    <n v="22258"/>
    <s v="10.09"/>
    <n v="20331"/>
    <n v="801288"/>
    <n v="69372"/>
    <s v="Feb"/>
    <n v="2"/>
    <n v="2026"/>
    <s v="Weekday"/>
    <n v="0.33333333333333331"/>
    <n v="0.47499999999999998"/>
    <n v="0.09"/>
    <n v="1927"/>
    <s v="Leipzig Mobility"/>
  </r>
  <r>
    <s v="CUST_3521"/>
    <x v="12"/>
    <x v="3"/>
    <s v="Thursday"/>
    <s v="No"/>
    <x v="9"/>
    <x v="9"/>
    <s v="NRW"/>
    <x v="2"/>
    <s v="A3"/>
    <s v="Diesel"/>
    <x v="2"/>
    <s v="18-25"/>
    <s v="Low"/>
    <x v="1"/>
    <x v="1"/>
    <s v="Sales_5"/>
    <n v="233"/>
    <n v="107"/>
    <n v="74"/>
    <n v="24"/>
    <s v="22.43"/>
    <n v="45830"/>
    <s v="4.69"/>
    <n v="35409"/>
    <n v="1099920"/>
    <n v="250104"/>
    <s v="Feb"/>
    <n v="2"/>
    <n v="2026"/>
    <s v="Weekday"/>
    <n v="0.32432432432432434"/>
    <n v="0.45922746781115881"/>
    <n v="0.10300429184549356"/>
    <n v="10421"/>
    <s v="Ruhr Auto Plaza"/>
  </r>
  <r>
    <s v="CUST_3522"/>
    <x v="9"/>
    <x v="0"/>
    <s v="Sunday"/>
    <s v="Yes"/>
    <x v="1"/>
    <x v="1"/>
    <s v="NRW"/>
    <x v="4"/>
    <s v="ID.4"/>
    <s v="Electric"/>
    <x v="0"/>
    <s v="50+"/>
    <s v="High"/>
    <x v="0"/>
    <x v="1"/>
    <s v="Sales_6"/>
    <n v="329"/>
    <n v="154"/>
    <n v="90"/>
    <n v="27"/>
    <s v="17.53"/>
    <n v="29838"/>
    <s v="8.6"/>
    <n v="27054"/>
    <n v="805626"/>
    <n v="75168"/>
    <s v="Feb"/>
    <n v="2"/>
    <n v="2026"/>
    <s v="Weekend"/>
    <n v="0.3"/>
    <n v="0.46808510638297873"/>
    <n v="8.2066869300911852E-2"/>
    <n v="2784"/>
    <s v="Rhein Auto Group"/>
  </r>
  <r>
    <s v="CUST_3523"/>
    <x v="16"/>
    <x v="1"/>
    <s v="Tuesday"/>
    <s v="No"/>
    <x v="8"/>
    <x v="8"/>
    <s v="Baden-WÃ¼rttemberg"/>
    <x v="1"/>
    <s v="Crossland"/>
    <s v="Diesel"/>
    <x v="0"/>
    <s v="36-50"/>
    <s v="Low"/>
    <x v="1"/>
    <x v="3"/>
    <s v="Sales_20"/>
    <n v="361"/>
    <n v="139"/>
    <n v="83"/>
    <n v="21"/>
    <s v="15.11"/>
    <n v="19317"/>
    <s v="13.8"/>
    <n v="17736"/>
    <n v="405657"/>
    <n v="33201"/>
    <s v="Feb"/>
    <n v="2"/>
    <n v="2026"/>
    <s v="Weekday"/>
    <n v="0.25301204819277107"/>
    <n v="0.38504155124653738"/>
    <n v="5.817174515235457E-2"/>
    <n v="1581"/>
    <s v="Stuttgart Auto Center"/>
  </r>
  <r>
    <s v="CUST_3524"/>
    <x v="8"/>
    <x v="3"/>
    <s v="Wednesday"/>
    <s v="No"/>
    <x v="8"/>
    <x v="8"/>
    <s v="Baden-WÃ¼rttemberg"/>
    <x v="3"/>
    <s v="EQE"/>
    <s v="Diesel"/>
    <x v="1"/>
    <s v="26-35"/>
    <s v="Medium"/>
    <x v="0"/>
    <x v="0"/>
    <s v="Sales_20"/>
    <n v="263"/>
    <n v="157"/>
    <n v="115"/>
    <n v="35"/>
    <s v="22.29"/>
    <n v="69656"/>
    <s v="3.42"/>
    <n v="53637"/>
    <n v="2437960"/>
    <n v="560665"/>
    <s v="Feb"/>
    <n v="2"/>
    <n v="2026"/>
    <s v="Weekday"/>
    <n v="0.30434782608695654"/>
    <n v="0.59695817490494296"/>
    <n v="0.13307984790874525"/>
    <n v="16019"/>
    <s v="Stuttgart Auto Center"/>
  </r>
  <r>
    <s v="CUST_3525"/>
    <x v="9"/>
    <x v="0"/>
    <s v="Sunday"/>
    <s v="Yes"/>
    <x v="3"/>
    <x v="3"/>
    <s v="Saxony"/>
    <x v="2"/>
    <s v="A4"/>
    <s v="Electric"/>
    <x v="1"/>
    <s v="26-35"/>
    <s v="Low"/>
    <x v="0"/>
    <x v="0"/>
    <s v="Sales_9"/>
    <n v="312"/>
    <n v="179"/>
    <n v="117"/>
    <n v="39"/>
    <s v="21.79"/>
    <n v="41128"/>
    <s v="5.8"/>
    <n v="31274"/>
    <n v="1603992"/>
    <n v="384306"/>
    <s v="Feb"/>
    <n v="2"/>
    <n v="2026"/>
    <s v="Weekend"/>
    <n v="0.33333333333333331"/>
    <n v="0.57371794871794868"/>
    <n v="0.125"/>
    <n v="9854"/>
    <s v="Saxon Wheels"/>
  </r>
  <r>
    <s v="CUST_3526"/>
    <x v="12"/>
    <x v="3"/>
    <s v="Thursday"/>
    <s v="No"/>
    <x v="9"/>
    <x v="9"/>
    <s v="NRW"/>
    <x v="3"/>
    <s v="EQE"/>
    <s v="Hybrid"/>
    <x v="1"/>
    <s v="18-25"/>
    <s v="Medium"/>
    <x v="1"/>
    <x v="3"/>
    <s v="Sales_18"/>
    <n v="191"/>
    <n v="113"/>
    <n v="90"/>
    <n v="25"/>
    <s v="22.12"/>
    <n v="60108"/>
    <s v="3.59"/>
    <n v="44549"/>
    <n v="1502700"/>
    <n v="388975"/>
    <s v="Feb"/>
    <n v="2"/>
    <n v="2026"/>
    <s v="Weekday"/>
    <n v="0.27777777777777779"/>
    <n v="0.59162303664921467"/>
    <n v="0.13089005235602094"/>
    <n v="15559"/>
    <s v="Ruhr Auto Plaza"/>
  </r>
  <r>
    <s v="CUST_3527"/>
    <x v="22"/>
    <x v="3"/>
    <s v="Tuesday"/>
    <s v="No"/>
    <x v="0"/>
    <x v="0"/>
    <s v="Hesse"/>
    <x v="2"/>
    <s v="Q5"/>
    <s v="Electric"/>
    <x v="0"/>
    <s v="18-25"/>
    <s v="Medium"/>
    <x v="1"/>
    <x v="2"/>
    <s v="Sales_4"/>
    <n v="311"/>
    <n v="193"/>
    <n v="145"/>
    <n v="48"/>
    <s v="24.87"/>
    <n v="51311"/>
    <s v="5.11"/>
    <n v="40810"/>
    <n v="2462928"/>
    <n v="504048"/>
    <s v="Feb"/>
    <n v="2"/>
    <n v="2026"/>
    <s v="Weekday"/>
    <n v="0.33103448275862069"/>
    <n v="0.62057877813504825"/>
    <n v="0.15434083601286175"/>
    <n v="10501"/>
    <s v="Main Auto Hub"/>
  </r>
  <r>
    <s v="CUST_3528"/>
    <x v="27"/>
    <x v="3"/>
    <s v="Sunday"/>
    <s v="Yes"/>
    <x v="7"/>
    <x v="7"/>
    <s v="Bavaria"/>
    <x v="3"/>
    <s v="E-Class"/>
    <s v="Petrol"/>
    <x v="1"/>
    <s v="50+"/>
    <s v="High"/>
    <x v="1"/>
    <x v="2"/>
    <s v="Sales_12"/>
    <n v="170"/>
    <n v="89"/>
    <n v="64"/>
    <n v="27"/>
    <s v="30.34"/>
    <n v="71597"/>
    <s v="2.82"/>
    <n v="52414"/>
    <n v="1933119"/>
    <n v="517941"/>
    <s v="Feb"/>
    <n v="2"/>
    <n v="2026"/>
    <s v="Weekend"/>
    <n v="0.421875"/>
    <n v="0.52352941176470591"/>
    <n v="0.1588235294117647"/>
    <n v="19183"/>
    <s v="Bavaria Motors"/>
  </r>
  <r>
    <s v="CUST_3529"/>
    <x v="10"/>
    <x v="1"/>
    <s v="Monday"/>
    <s v="No"/>
    <x v="6"/>
    <x v="6"/>
    <s v="Saxony"/>
    <x v="1"/>
    <s v="Corsa"/>
    <s v="Diesel"/>
    <x v="2"/>
    <s v="50+"/>
    <s v="Medium"/>
    <x v="0"/>
    <x v="1"/>
    <s v="Sales_20"/>
    <n v="367"/>
    <n v="164"/>
    <n v="114"/>
    <n v="27"/>
    <s v="16.46"/>
    <n v="25820"/>
    <s v="8.42"/>
    <n v="23861"/>
    <n v="697140"/>
    <n v="52893"/>
    <s v="Feb"/>
    <n v="2"/>
    <n v="2026"/>
    <s v="Weekday"/>
    <n v="0.23684210526315788"/>
    <n v="0.44686648501362397"/>
    <n v="7.3569482288828342E-2"/>
    <n v="1959"/>
    <s v="Leipzig Mobility"/>
  </r>
  <r>
    <s v="CUST_3530"/>
    <x v="6"/>
    <x v="2"/>
    <s v="Saturday"/>
    <s v="Yes"/>
    <x v="5"/>
    <x v="5"/>
    <s v="Hamburg"/>
    <x v="1"/>
    <s v="Grandland"/>
    <s v="Electric"/>
    <x v="0"/>
    <s v="36-50"/>
    <s v="Medium"/>
    <x v="0"/>
    <x v="3"/>
    <s v="Sales_9"/>
    <n v="388"/>
    <n v="160"/>
    <n v="97"/>
    <n v="28"/>
    <s v="17.5"/>
    <n v="25841"/>
    <s v="9.39"/>
    <n v="23660"/>
    <n v="723548"/>
    <n v="61068"/>
    <s v="Feb"/>
    <n v="2"/>
    <n v="2026"/>
    <s v="Weekend"/>
    <n v="0.28865979381443296"/>
    <n v="0.41237113402061853"/>
    <n v="7.2164948453608241E-2"/>
    <n v="2181"/>
    <s v="Elbe Drive"/>
  </r>
  <r>
    <s v="CUST_3531"/>
    <x v="16"/>
    <x v="1"/>
    <s v="Tuesday"/>
    <s v="No"/>
    <x v="8"/>
    <x v="8"/>
    <s v="Baden-WÃ¼rttemberg"/>
    <x v="1"/>
    <s v="Corsa"/>
    <s v="Petrol"/>
    <x v="2"/>
    <s v="50+"/>
    <s v="Medium"/>
    <x v="0"/>
    <x v="3"/>
    <s v="Sales_6"/>
    <n v="348"/>
    <n v="132"/>
    <n v="78"/>
    <n v="21"/>
    <s v="15.91"/>
    <n v="22631"/>
    <s v="8.6"/>
    <n v="20276"/>
    <n v="475251"/>
    <n v="49455"/>
    <s v="Feb"/>
    <n v="2"/>
    <n v="2026"/>
    <s v="Weekday"/>
    <n v="0.26923076923076922"/>
    <n v="0.37931034482758619"/>
    <n v="6.0344827586206899E-2"/>
    <n v="2355"/>
    <s v="Stuttgart Auto Center"/>
  </r>
  <r>
    <s v="CUST_3532"/>
    <x v="17"/>
    <x v="2"/>
    <s v="Sunday"/>
    <s v="Yes"/>
    <x v="5"/>
    <x v="5"/>
    <s v="Hamburg"/>
    <x v="4"/>
    <s v="Golf"/>
    <s v="Diesel"/>
    <x v="2"/>
    <s v="18-25"/>
    <s v="Low"/>
    <x v="0"/>
    <x v="2"/>
    <s v="Sales_7"/>
    <n v="475"/>
    <n v="238"/>
    <n v="161"/>
    <n v="47"/>
    <s v="19.75"/>
    <n v="27458"/>
    <s v="8.28"/>
    <n v="24064"/>
    <n v="1290526"/>
    <n v="159518"/>
    <s v="Feb"/>
    <n v="2"/>
    <n v="2026"/>
    <s v="Weekend"/>
    <n v="0.29192546583850931"/>
    <n v="0.50105263157894742"/>
    <n v="9.8947368421052631E-2"/>
    <n v="3394"/>
    <s v="Elbe Drive"/>
  </r>
  <r>
    <s v="CUST_3533"/>
    <x v="27"/>
    <x v="3"/>
    <s v="Sunday"/>
    <s v="Yes"/>
    <x v="1"/>
    <x v="1"/>
    <s v="NRW"/>
    <x v="4"/>
    <s v="T-Roc"/>
    <s v="Hybrid"/>
    <x v="0"/>
    <s v="18-25"/>
    <s v="Low"/>
    <x v="1"/>
    <x v="0"/>
    <s v="Sales_7"/>
    <n v="348"/>
    <n v="146"/>
    <n v="91"/>
    <n v="20"/>
    <s v="13.7"/>
    <n v="30732"/>
    <s v="8.95"/>
    <n v="27686"/>
    <n v="614640"/>
    <n v="60920"/>
    <s v="Feb"/>
    <n v="2"/>
    <n v="2026"/>
    <s v="Weekend"/>
    <n v="0.21978021978021978"/>
    <n v="0.41954022988505746"/>
    <n v="5.7471264367816091E-2"/>
    <n v="3046"/>
    <s v="Rhein Auto Group"/>
  </r>
  <r>
    <s v="CUST_3534"/>
    <x v="10"/>
    <x v="1"/>
    <s v="Monday"/>
    <s v="No"/>
    <x v="9"/>
    <x v="9"/>
    <s v="NRW"/>
    <x v="4"/>
    <s v="Tiguan"/>
    <s v="Electric"/>
    <x v="0"/>
    <s v="26-35"/>
    <s v="High"/>
    <x v="0"/>
    <x v="3"/>
    <s v="Sales_11"/>
    <n v="320"/>
    <n v="162"/>
    <n v="94"/>
    <n v="25"/>
    <s v="15.43"/>
    <n v="32944"/>
    <s v="10.62"/>
    <n v="28762"/>
    <n v="823600"/>
    <n v="104550"/>
    <s v="Feb"/>
    <n v="2"/>
    <n v="2026"/>
    <s v="Weekday"/>
    <n v="0.26595744680851063"/>
    <n v="0.50624999999999998"/>
    <n v="7.8125E-2"/>
    <n v="4182"/>
    <s v="Ruhr Auto Plaza"/>
  </r>
  <r>
    <s v="CUST_3535"/>
    <x v="17"/>
    <x v="2"/>
    <s v="Sunday"/>
    <s v="Yes"/>
    <x v="3"/>
    <x v="3"/>
    <s v="Saxony"/>
    <x v="4"/>
    <s v="T-Roc"/>
    <s v="Electric"/>
    <x v="0"/>
    <s v="50+"/>
    <s v="High"/>
    <x v="1"/>
    <x v="0"/>
    <s v="Sales_20"/>
    <n v="307"/>
    <n v="153"/>
    <n v="103"/>
    <n v="21"/>
    <s v="13.73"/>
    <n v="27193"/>
    <s v="7.83"/>
    <n v="23541"/>
    <n v="571053"/>
    <n v="76692"/>
    <s v="Feb"/>
    <n v="2"/>
    <n v="2026"/>
    <s v="Weekend"/>
    <n v="0.20388349514563106"/>
    <n v="0.49837133550488599"/>
    <n v="6.8403908794788276E-2"/>
    <n v="3652"/>
    <s v="Saxon Wheels"/>
  </r>
  <r>
    <s v="CUST_3536"/>
    <x v="13"/>
    <x v="0"/>
    <s v="Friday"/>
    <s v="No"/>
    <x v="1"/>
    <x v="1"/>
    <s v="NRW"/>
    <x v="4"/>
    <s v="Golf"/>
    <s v="Hybrid"/>
    <x v="2"/>
    <s v="36-50"/>
    <s v="Medium"/>
    <x v="0"/>
    <x v="1"/>
    <s v="Sales_20"/>
    <n v="302"/>
    <n v="130"/>
    <n v="93"/>
    <n v="21"/>
    <s v="16.15"/>
    <n v="28931"/>
    <s v="11.92"/>
    <n v="26087"/>
    <n v="607551"/>
    <n v="59724"/>
    <s v="Feb"/>
    <n v="2"/>
    <n v="2026"/>
    <s v="Weekday"/>
    <n v="0.22580645161290322"/>
    <n v="0.43046357615894038"/>
    <n v="6.9536423841059597E-2"/>
    <n v="2844"/>
    <s v="Rhein Auto Group"/>
  </r>
  <r>
    <s v="CUST_3537"/>
    <x v="21"/>
    <x v="0"/>
    <s v="Tuesday"/>
    <s v="No"/>
    <x v="7"/>
    <x v="7"/>
    <s v="Bavaria"/>
    <x v="1"/>
    <s v="Crossland"/>
    <s v="Electric"/>
    <x v="0"/>
    <s v="26-35"/>
    <s v="Low"/>
    <x v="0"/>
    <x v="1"/>
    <s v="Sales_14"/>
    <n v="325"/>
    <n v="124"/>
    <n v="85"/>
    <n v="23"/>
    <s v="18.55"/>
    <n v="25444"/>
    <s v="13.22"/>
    <n v="23075"/>
    <n v="585212"/>
    <n v="54487"/>
    <s v="Feb"/>
    <n v="2"/>
    <n v="2026"/>
    <s v="Weekday"/>
    <n v="0.27058823529411763"/>
    <n v="0.38153846153846155"/>
    <n v="7.0769230769230765E-2"/>
    <n v="2369"/>
    <s v="Bavaria Motors"/>
  </r>
  <r>
    <s v="CUST_3538"/>
    <x v="4"/>
    <x v="2"/>
    <s v="Wednesday"/>
    <s v="No"/>
    <x v="3"/>
    <x v="3"/>
    <s v="Saxony"/>
    <x v="0"/>
    <s v="3 Series"/>
    <s v="Diesel"/>
    <x v="1"/>
    <s v="50+"/>
    <s v="Medium"/>
    <x v="0"/>
    <x v="3"/>
    <s v="Sales_7"/>
    <n v="177"/>
    <n v="95"/>
    <n v="68"/>
    <n v="24"/>
    <s v="25.26"/>
    <n v="67332"/>
    <s v="4.37"/>
    <n v="49987"/>
    <n v="1615968"/>
    <n v="416280"/>
    <s v="Feb"/>
    <n v="2"/>
    <n v="2026"/>
    <s v="Weekday"/>
    <n v="0.35294117647058826"/>
    <n v="0.53672316384180796"/>
    <n v="0.13559322033898305"/>
    <n v="17345"/>
    <s v="Saxon Wheels"/>
  </r>
  <r>
    <s v="CUST_3539"/>
    <x v="16"/>
    <x v="1"/>
    <s v="Tuesday"/>
    <s v="No"/>
    <x v="7"/>
    <x v="7"/>
    <s v="Bavaria"/>
    <x v="2"/>
    <s v="Q3"/>
    <s v="Petrol"/>
    <x v="0"/>
    <s v="36-50"/>
    <s v="Low"/>
    <x v="0"/>
    <x v="2"/>
    <s v="Sales_15"/>
    <n v="244"/>
    <n v="121"/>
    <n v="93"/>
    <n v="37"/>
    <s v="30.58"/>
    <n v="46139"/>
    <s v="5.94"/>
    <n v="35285"/>
    <n v="1707143"/>
    <n v="401598"/>
    <s v="Feb"/>
    <n v="2"/>
    <n v="2026"/>
    <s v="Weekday"/>
    <n v="0.39784946236559138"/>
    <n v="0.49590163934426229"/>
    <n v="0.15163934426229508"/>
    <n v="10854"/>
    <s v="Bavaria Motors"/>
  </r>
  <r>
    <s v="CUST_3540"/>
    <x v="23"/>
    <x v="2"/>
    <s v="Tuesday"/>
    <s v="No"/>
    <x v="2"/>
    <x v="2"/>
    <s v="Lower Saxony"/>
    <x v="4"/>
    <s v="Golf"/>
    <s v="Diesel"/>
    <x v="2"/>
    <s v="36-50"/>
    <s v="Low"/>
    <x v="0"/>
    <x v="1"/>
    <s v="Sales_7"/>
    <n v="480"/>
    <n v="222"/>
    <n v="142"/>
    <n v="42"/>
    <s v="18.92"/>
    <n v="27221"/>
    <s v="7.03"/>
    <n v="24644"/>
    <n v="1143282"/>
    <n v="108234"/>
    <s v="Feb"/>
    <n v="2"/>
    <n v="2026"/>
    <s v="Weekday"/>
    <n v="0.29577464788732394"/>
    <n v="0.46250000000000002"/>
    <n v="8.7499999999999994E-2"/>
    <n v="2577"/>
    <s v="Hannover Cars"/>
  </r>
  <r>
    <s v="CUST_3541"/>
    <x v="4"/>
    <x v="2"/>
    <s v="Wednesday"/>
    <s v="No"/>
    <x v="7"/>
    <x v="7"/>
    <s v="Bavaria"/>
    <x v="2"/>
    <s v="A4"/>
    <s v="Diesel"/>
    <x v="1"/>
    <s v="50+"/>
    <s v="Low"/>
    <x v="1"/>
    <x v="0"/>
    <s v="Sales_19"/>
    <n v="302"/>
    <n v="144"/>
    <n v="108"/>
    <n v="29"/>
    <s v="20.14"/>
    <n v="48414"/>
    <s v="5.87"/>
    <n v="39132"/>
    <n v="1404006"/>
    <n v="269178"/>
    <s v="Feb"/>
    <n v="2"/>
    <n v="2026"/>
    <s v="Weekday"/>
    <n v="0.26851851851851855"/>
    <n v="0.47682119205298013"/>
    <n v="9.602649006622517E-2"/>
    <n v="9282"/>
    <s v="Bavaria Motors"/>
  </r>
  <r>
    <s v="CUST_3542"/>
    <x v="14"/>
    <x v="2"/>
    <s v="Friday"/>
    <s v="No"/>
    <x v="3"/>
    <x v="3"/>
    <s v="Saxony"/>
    <x v="4"/>
    <s v="ID.4"/>
    <s v="Electric"/>
    <x v="0"/>
    <s v="18-25"/>
    <s v="Medium"/>
    <x v="1"/>
    <x v="2"/>
    <s v="Sales_5"/>
    <n v="501"/>
    <n v="267"/>
    <n v="171"/>
    <n v="49"/>
    <s v="18.35"/>
    <n v="34244"/>
    <s v="9.6"/>
    <n v="30975"/>
    <n v="1677956"/>
    <n v="160181"/>
    <s v="Feb"/>
    <n v="2"/>
    <n v="2026"/>
    <s v="Weekday"/>
    <n v="0.28654970760233917"/>
    <n v="0.53293413173652693"/>
    <n v="9.7804391217564873E-2"/>
    <n v="3269"/>
    <s v="Saxon Wheels"/>
  </r>
  <r>
    <s v="CUST_3543"/>
    <x v="14"/>
    <x v="2"/>
    <s v="Friday"/>
    <s v="No"/>
    <x v="2"/>
    <x v="2"/>
    <s v="Lower Saxony"/>
    <x v="2"/>
    <s v="Q5"/>
    <s v="Diesel"/>
    <x v="0"/>
    <s v="26-35"/>
    <s v="Medium"/>
    <x v="0"/>
    <x v="1"/>
    <s v="Sales_1"/>
    <n v="205"/>
    <n v="115"/>
    <n v="89"/>
    <n v="28"/>
    <s v="24.35"/>
    <n v="42985"/>
    <s v="6.61"/>
    <n v="33909"/>
    <n v="1203580"/>
    <n v="254128"/>
    <s v="Feb"/>
    <n v="2"/>
    <n v="2026"/>
    <s v="Weekday"/>
    <n v="0.3146067415730337"/>
    <n v="0.56097560975609762"/>
    <n v="0.13658536585365855"/>
    <n v="9076"/>
    <s v="Hannover Cars"/>
  </r>
  <r>
    <s v="CUST_3544"/>
    <x v="19"/>
    <x v="1"/>
    <s v="Saturday"/>
    <s v="Yes"/>
    <x v="6"/>
    <x v="6"/>
    <s v="Saxony"/>
    <x v="2"/>
    <s v="A4"/>
    <s v="Hybrid"/>
    <x v="1"/>
    <s v="26-35"/>
    <s v="Low"/>
    <x v="0"/>
    <x v="0"/>
    <s v="Sales_14"/>
    <n v="312"/>
    <n v="181"/>
    <n v="133"/>
    <n v="38"/>
    <s v="20.99"/>
    <n v="52725"/>
    <s v="6.2"/>
    <n v="39567"/>
    <n v="2003550"/>
    <n v="500004"/>
    <s v="Feb"/>
    <n v="2"/>
    <n v="2026"/>
    <s v="Weekend"/>
    <n v="0.2857142857142857"/>
    <n v="0.58012820512820518"/>
    <n v="0.12179487179487179"/>
    <n v="13158"/>
    <s v="Leipzig Mobility"/>
  </r>
  <r>
    <s v="CUST_3545"/>
    <x v="13"/>
    <x v="0"/>
    <s v="Friday"/>
    <s v="No"/>
    <x v="4"/>
    <x v="4"/>
    <s v="Berlin"/>
    <x v="3"/>
    <s v="GLE"/>
    <s v="Diesel"/>
    <x v="0"/>
    <s v="18-25"/>
    <s v="Low"/>
    <x v="0"/>
    <x v="0"/>
    <s v="Sales_17"/>
    <n v="243"/>
    <n v="115"/>
    <n v="77"/>
    <n v="27"/>
    <s v="23.48"/>
    <n v="63558"/>
    <s v="2.47"/>
    <n v="49202"/>
    <n v="1716066"/>
    <n v="387612"/>
    <s v="Feb"/>
    <n v="2"/>
    <n v="2026"/>
    <s v="Weekday"/>
    <n v="0.35064935064935066"/>
    <n v="0.47325102880658437"/>
    <n v="0.1111111111111111"/>
    <n v="14356"/>
    <s v="Autohaus Berlin"/>
  </r>
  <r>
    <s v="CUST_3546"/>
    <x v="13"/>
    <x v="0"/>
    <s v="Friday"/>
    <s v="No"/>
    <x v="9"/>
    <x v="9"/>
    <s v="NRW"/>
    <x v="2"/>
    <s v="Q5"/>
    <s v="Petrol"/>
    <x v="0"/>
    <s v="36-50"/>
    <s v="High"/>
    <x v="1"/>
    <x v="1"/>
    <s v="Sales_9"/>
    <n v="297"/>
    <n v="179"/>
    <n v="130"/>
    <n v="35"/>
    <s v="19.55"/>
    <n v="54057"/>
    <s v="5.94"/>
    <n v="41782"/>
    <n v="1891995"/>
    <n v="429625"/>
    <s v="Feb"/>
    <n v="2"/>
    <n v="2026"/>
    <s v="Weekday"/>
    <n v="0.26923076923076922"/>
    <n v="0.60269360269360273"/>
    <n v="0.11784511784511785"/>
    <n v="12275"/>
    <s v="Ruhr Auto Plaza"/>
  </r>
  <r>
    <s v="CUST_3547"/>
    <x v="8"/>
    <x v="3"/>
    <s v="Wednesday"/>
    <s v="No"/>
    <x v="8"/>
    <x v="8"/>
    <s v="Baden-WÃ¼rttemberg"/>
    <x v="3"/>
    <s v="GLC"/>
    <s v="Electric"/>
    <x v="0"/>
    <s v="50+"/>
    <s v="Medium"/>
    <x v="0"/>
    <x v="2"/>
    <s v="Sales_2"/>
    <n v="223"/>
    <n v="110"/>
    <n v="83"/>
    <n v="34"/>
    <s v="30.91"/>
    <n v="55082"/>
    <s v="5.57"/>
    <n v="42585"/>
    <n v="1872788"/>
    <n v="424898"/>
    <s v="Feb"/>
    <n v="2"/>
    <n v="2026"/>
    <s v="Weekday"/>
    <n v="0.40963855421686746"/>
    <n v="0.49327354260089684"/>
    <n v="0.15246636771300448"/>
    <n v="12497"/>
    <s v="Stuttgart Auto Center"/>
  </r>
  <r>
    <s v="CUST_3548"/>
    <x v="6"/>
    <x v="2"/>
    <s v="Saturday"/>
    <s v="Yes"/>
    <x v="3"/>
    <x v="3"/>
    <s v="Saxony"/>
    <x v="2"/>
    <s v="A4"/>
    <s v="Diesel"/>
    <x v="1"/>
    <s v="36-50"/>
    <s v="Low"/>
    <x v="0"/>
    <x v="1"/>
    <s v="Sales_3"/>
    <n v="203"/>
    <n v="117"/>
    <n v="78"/>
    <n v="27"/>
    <s v="23.08"/>
    <n v="44795"/>
    <s v="3.68"/>
    <n v="34798"/>
    <n v="1209465"/>
    <n v="269919"/>
    <s v="Feb"/>
    <n v="2"/>
    <n v="2026"/>
    <s v="Weekend"/>
    <n v="0.34615384615384615"/>
    <n v="0.57635467980295563"/>
    <n v="0.13300492610837439"/>
    <n v="9997"/>
    <s v="Saxon Wheels"/>
  </r>
  <r>
    <s v="CUST_3549"/>
    <x v="13"/>
    <x v="0"/>
    <s v="Friday"/>
    <s v="No"/>
    <x v="1"/>
    <x v="1"/>
    <s v="NRW"/>
    <x v="0"/>
    <s v="X5"/>
    <s v="Petrol"/>
    <x v="0"/>
    <s v="50+"/>
    <s v="High"/>
    <x v="1"/>
    <x v="1"/>
    <s v="Sales_18"/>
    <n v="261"/>
    <n v="161"/>
    <n v="128"/>
    <n v="45"/>
    <s v="27.95"/>
    <n v="52234"/>
    <s v="4.05"/>
    <n v="37034"/>
    <n v="2350530"/>
    <n v="684000"/>
    <s v="Feb"/>
    <n v="2"/>
    <n v="2026"/>
    <s v="Weekday"/>
    <n v="0.3515625"/>
    <n v="0.61685823754789271"/>
    <n v="0.17241379310344829"/>
    <n v="15200"/>
    <s v="Rhein Auto Group"/>
  </r>
  <r>
    <s v="CUST_3550"/>
    <x v="16"/>
    <x v="1"/>
    <s v="Tuesday"/>
    <s v="No"/>
    <x v="8"/>
    <x v="8"/>
    <s v="Baden-WÃ¼rttemberg"/>
    <x v="0"/>
    <s v="3 Series"/>
    <s v="Electric"/>
    <x v="1"/>
    <s v="18-25"/>
    <s v="Low"/>
    <x v="0"/>
    <x v="1"/>
    <s v="Sales_2"/>
    <n v="242"/>
    <n v="143"/>
    <n v="113"/>
    <n v="40"/>
    <s v="27.97"/>
    <n v="64807"/>
    <s v="3.93"/>
    <n v="46788"/>
    <n v="2592280"/>
    <n v="720760"/>
    <s v="Feb"/>
    <n v="2"/>
    <n v="2026"/>
    <s v="Weekday"/>
    <n v="0.35398230088495575"/>
    <n v="0.59090909090909094"/>
    <n v="0.16528925619834711"/>
    <n v="18019"/>
    <s v="Stuttgart Auto Center"/>
  </r>
  <r>
    <s v="CUST_3551"/>
    <x v="4"/>
    <x v="2"/>
    <s v="Wednesday"/>
    <s v="No"/>
    <x v="9"/>
    <x v="9"/>
    <s v="NRW"/>
    <x v="4"/>
    <s v="ID.4"/>
    <s v="Petrol"/>
    <x v="0"/>
    <s v="18-25"/>
    <s v="Medium"/>
    <x v="1"/>
    <x v="1"/>
    <s v="Sales_12"/>
    <n v="469"/>
    <n v="253"/>
    <n v="176"/>
    <n v="33"/>
    <s v="13.04"/>
    <n v="30917"/>
    <s v="10.65"/>
    <n v="26897"/>
    <n v="1020261"/>
    <n v="132660"/>
    <s v="Feb"/>
    <n v="2"/>
    <n v="2026"/>
    <s v="Weekday"/>
    <n v="0.1875"/>
    <n v="0.53944562899786785"/>
    <n v="7.0362473347547971E-2"/>
    <n v="4020"/>
    <s v="Ruhr Auto Plaza"/>
  </r>
  <r>
    <s v="CUST_3552"/>
    <x v="2"/>
    <x v="2"/>
    <s v="Monday"/>
    <s v="No"/>
    <x v="9"/>
    <x v="9"/>
    <s v="NRW"/>
    <x v="4"/>
    <s v="ID.4"/>
    <s v="Electric"/>
    <x v="0"/>
    <s v="18-25"/>
    <s v="High"/>
    <x v="0"/>
    <x v="3"/>
    <s v="Sales_4"/>
    <n v="333"/>
    <n v="166"/>
    <n v="116"/>
    <n v="26"/>
    <s v="15.66"/>
    <n v="31074"/>
    <s v="11.63"/>
    <n v="26873"/>
    <n v="807924"/>
    <n v="109226"/>
    <s v="Feb"/>
    <n v="2"/>
    <n v="2026"/>
    <s v="Weekday"/>
    <n v="0.22413793103448276"/>
    <n v="0.49849849849849848"/>
    <n v="7.8078078078078081E-2"/>
    <n v="4201"/>
    <s v="Ruhr Auto Plaza"/>
  </r>
  <r>
    <s v="CUST_3553"/>
    <x v="26"/>
    <x v="1"/>
    <s v="Friday"/>
    <s v="No"/>
    <x v="3"/>
    <x v="3"/>
    <s v="Saxony"/>
    <x v="1"/>
    <s v="Corsa"/>
    <s v="Diesel"/>
    <x v="2"/>
    <s v="26-35"/>
    <s v="Low"/>
    <x v="0"/>
    <x v="3"/>
    <s v="Sales_11"/>
    <n v="353"/>
    <n v="149"/>
    <n v="84"/>
    <n v="25"/>
    <s v="16.78"/>
    <n v="23820"/>
    <s v="10.46"/>
    <n v="21357"/>
    <n v="595500"/>
    <n v="61575"/>
    <s v="Feb"/>
    <n v="2"/>
    <n v="2026"/>
    <s v="Weekday"/>
    <n v="0.29761904761904762"/>
    <n v="0.42209631728045327"/>
    <n v="7.0821529745042494E-2"/>
    <n v="2463"/>
    <s v="Saxon Wheels"/>
  </r>
  <r>
    <s v="CUST_3554"/>
    <x v="13"/>
    <x v="0"/>
    <s v="Friday"/>
    <s v="No"/>
    <x v="1"/>
    <x v="1"/>
    <s v="NRW"/>
    <x v="2"/>
    <s v="A3"/>
    <s v="Diesel"/>
    <x v="2"/>
    <s v="36-50"/>
    <s v="Medium"/>
    <x v="0"/>
    <x v="2"/>
    <s v="Sales_3"/>
    <n v="240"/>
    <n v="131"/>
    <n v="100"/>
    <n v="38"/>
    <s v="29.01"/>
    <n v="53791"/>
    <s v="6.12"/>
    <n v="42183"/>
    <n v="2044058"/>
    <n v="441104"/>
    <s v="Feb"/>
    <n v="2"/>
    <n v="2026"/>
    <s v="Weekday"/>
    <n v="0.38"/>
    <n v="0.54583333333333328"/>
    <n v="0.15833333333333333"/>
    <n v="11608"/>
    <s v="Rhein Auto Group"/>
  </r>
  <r>
    <s v="CUST_3555"/>
    <x v="2"/>
    <x v="2"/>
    <s v="Monday"/>
    <s v="No"/>
    <x v="9"/>
    <x v="9"/>
    <s v="NRW"/>
    <x v="0"/>
    <s v="X3"/>
    <s v="Diesel"/>
    <x v="0"/>
    <s v="26-35"/>
    <s v="Medium"/>
    <x v="1"/>
    <x v="2"/>
    <s v="Sales_20"/>
    <n v="275"/>
    <n v="136"/>
    <n v="97"/>
    <n v="41"/>
    <s v="30.15"/>
    <n v="63931"/>
    <s v="3.32"/>
    <n v="48339"/>
    <n v="2621171"/>
    <n v="639272"/>
    <s v="Feb"/>
    <n v="2"/>
    <n v="2026"/>
    <s v="Weekday"/>
    <n v="0.42268041237113402"/>
    <n v="0.49454545454545457"/>
    <n v="0.14909090909090908"/>
    <n v="15592"/>
    <s v="Ruhr Auto Plaza"/>
  </r>
  <r>
    <s v="CUST_3556"/>
    <x v="11"/>
    <x v="0"/>
    <s v="Wednesday"/>
    <s v="No"/>
    <x v="5"/>
    <x v="5"/>
    <s v="Hamburg"/>
    <x v="3"/>
    <s v="E-Class"/>
    <s v="Hybrid"/>
    <x v="1"/>
    <s v="50+"/>
    <s v="Low"/>
    <x v="0"/>
    <x v="1"/>
    <s v="Sales_19"/>
    <n v="151"/>
    <n v="88"/>
    <n v="64"/>
    <n v="23"/>
    <s v="26.14"/>
    <n v="62725"/>
    <s v="5.05"/>
    <n v="45349"/>
    <n v="1442675"/>
    <n v="399648"/>
    <s v="Feb"/>
    <n v="2"/>
    <n v="2026"/>
    <s v="Weekday"/>
    <n v="0.359375"/>
    <n v="0.58278145695364236"/>
    <n v="0.15231788079470199"/>
    <n v="17376"/>
    <s v="Elbe Drive"/>
  </r>
  <r>
    <s v="CUST_3557"/>
    <x v="0"/>
    <x v="0"/>
    <s v="Monday"/>
    <s v="No"/>
    <x v="4"/>
    <x v="4"/>
    <s v="Berlin"/>
    <x v="3"/>
    <s v="GLC"/>
    <s v="Diesel"/>
    <x v="0"/>
    <s v="50+"/>
    <s v="High"/>
    <x v="1"/>
    <x v="3"/>
    <s v="Sales_13"/>
    <n v="200"/>
    <n v="89"/>
    <n v="69"/>
    <n v="24"/>
    <s v="26.97"/>
    <n v="58713"/>
    <s v="5.82"/>
    <n v="44515"/>
    <n v="1409112"/>
    <n v="340752"/>
    <s v="Feb"/>
    <n v="2"/>
    <n v="2026"/>
    <s v="Weekday"/>
    <n v="0.34782608695652173"/>
    <n v="0.44500000000000001"/>
    <n v="0.12"/>
    <n v="14198"/>
    <s v="Autohaus Berlin"/>
  </r>
  <r>
    <s v="CUST_3558"/>
    <x v="0"/>
    <x v="0"/>
    <s v="Monday"/>
    <s v="No"/>
    <x v="4"/>
    <x v="4"/>
    <s v="Berlin"/>
    <x v="2"/>
    <s v="Q5"/>
    <s v="Petrol"/>
    <x v="0"/>
    <s v="26-35"/>
    <s v="High"/>
    <x v="0"/>
    <x v="3"/>
    <s v="Sales_9"/>
    <n v="174"/>
    <n v="95"/>
    <n v="72"/>
    <n v="23"/>
    <s v="24.21"/>
    <n v="53551"/>
    <s v="3.54"/>
    <n v="40488"/>
    <n v="1231673"/>
    <n v="300449"/>
    <s v="Feb"/>
    <n v="2"/>
    <n v="2026"/>
    <s v="Weekday"/>
    <n v="0.31944444444444442"/>
    <n v="0.54597701149425293"/>
    <n v="0.13218390804597702"/>
    <n v="13063"/>
    <s v="Autohaus Berlin"/>
  </r>
  <r>
    <s v="CUST_3559"/>
    <x v="4"/>
    <x v="2"/>
    <s v="Wednesday"/>
    <s v="No"/>
    <x v="4"/>
    <x v="4"/>
    <s v="Berlin"/>
    <x v="0"/>
    <s v="i4"/>
    <s v="Hybrid"/>
    <x v="1"/>
    <s v="26-35"/>
    <s v="Medium"/>
    <x v="0"/>
    <x v="3"/>
    <s v="Sales_15"/>
    <n v="178"/>
    <n v="90"/>
    <n v="71"/>
    <n v="27"/>
    <s v="30.0"/>
    <n v="57458"/>
    <s v="4.06"/>
    <n v="40918"/>
    <n v="1551366"/>
    <n v="446580"/>
    <s v="Feb"/>
    <n v="2"/>
    <n v="2026"/>
    <s v="Weekday"/>
    <n v="0.38028169014084506"/>
    <n v="0.5056179775280899"/>
    <n v="0.15168539325842698"/>
    <n v="16540"/>
    <s v="Autohaus Berlin"/>
  </r>
  <r>
    <s v="CUST_3560"/>
    <x v="27"/>
    <x v="3"/>
    <s v="Sunday"/>
    <s v="Yes"/>
    <x v="4"/>
    <x v="4"/>
    <s v="Berlin"/>
    <x v="1"/>
    <s v="Corsa"/>
    <s v="Petrol"/>
    <x v="2"/>
    <s v="26-35"/>
    <s v="High"/>
    <x v="1"/>
    <x v="3"/>
    <s v="Sales_10"/>
    <n v="227"/>
    <n v="114"/>
    <n v="67"/>
    <n v="19"/>
    <s v="16.67"/>
    <n v="26581"/>
    <s v="10.12"/>
    <n v="24680"/>
    <n v="505039"/>
    <n v="36119"/>
    <s v="Feb"/>
    <n v="2"/>
    <n v="2026"/>
    <s v="Weekend"/>
    <n v="0.28358208955223879"/>
    <n v="0.50220264317180618"/>
    <n v="8.3700440528634359E-2"/>
    <n v="1901"/>
    <s v="Autohaus Berlin"/>
  </r>
  <r>
    <s v="CUST_3561"/>
    <x v="13"/>
    <x v="0"/>
    <s v="Friday"/>
    <s v="No"/>
    <x v="5"/>
    <x v="5"/>
    <s v="Hamburg"/>
    <x v="4"/>
    <s v="Golf"/>
    <s v="Petrol"/>
    <x v="2"/>
    <s v="50+"/>
    <s v="Low"/>
    <x v="0"/>
    <x v="0"/>
    <s v="Sales_3"/>
    <n v="389"/>
    <n v="199"/>
    <n v="125"/>
    <n v="31"/>
    <s v="15.58"/>
    <n v="33126"/>
    <s v="7.47"/>
    <n v="29391"/>
    <n v="1026906"/>
    <n v="115785"/>
    <s v="Feb"/>
    <n v="2"/>
    <n v="2026"/>
    <s v="Weekday"/>
    <n v="0.248"/>
    <n v="0.51156812339331614"/>
    <n v="7.9691516709511565E-2"/>
    <n v="3735"/>
    <s v="Elbe Drive"/>
  </r>
  <r>
    <s v="CUST_3562"/>
    <x v="20"/>
    <x v="0"/>
    <s v="Thursday"/>
    <s v="No"/>
    <x v="7"/>
    <x v="7"/>
    <s v="Bavaria"/>
    <x v="0"/>
    <s v="5 Series"/>
    <s v="Petrol"/>
    <x v="1"/>
    <s v="50+"/>
    <s v="High"/>
    <x v="1"/>
    <x v="2"/>
    <s v="Sales_14"/>
    <n v="175"/>
    <n v="104"/>
    <n v="77"/>
    <n v="33"/>
    <s v="31.73"/>
    <n v="61816"/>
    <s v="4.31"/>
    <n v="46947"/>
    <n v="2039928"/>
    <n v="490677"/>
    <s v="Feb"/>
    <n v="2"/>
    <n v="2026"/>
    <s v="Weekday"/>
    <n v="0.42857142857142855"/>
    <n v="0.59428571428571431"/>
    <n v="0.18857142857142858"/>
    <n v="14869"/>
    <s v="Bavaria Motors"/>
  </r>
  <r>
    <s v="CUST_3563"/>
    <x v="8"/>
    <x v="3"/>
    <s v="Wednesday"/>
    <s v="No"/>
    <x v="3"/>
    <x v="3"/>
    <s v="Saxony"/>
    <x v="3"/>
    <s v="GLE"/>
    <s v="Hybrid"/>
    <x v="0"/>
    <s v="50+"/>
    <s v="Low"/>
    <x v="0"/>
    <x v="3"/>
    <s v="Sales_14"/>
    <n v="191"/>
    <n v="101"/>
    <n v="67"/>
    <n v="25"/>
    <s v="24.75"/>
    <n v="65902"/>
    <s v="4.24"/>
    <n v="50693"/>
    <n v="1647550"/>
    <n v="380225"/>
    <s v="Feb"/>
    <n v="2"/>
    <n v="2026"/>
    <s v="Weekday"/>
    <n v="0.37313432835820898"/>
    <n v="0.52879581151832455"/>
    <n v="0.13089005235602094"/>
    <n v="15209"/>
    <s v="Saxon Wheels"/>
  </r>
  <r>
    <s v="CUST_3564"/>
    <x v="17"/>
    <x v="2"/>
    <s v="Sunday"/>
    <s v="Yes"/>
    <x v="4"/>
    <x v="4"/>
    <s v="Berlin"/>
    <x v="1"/>
    <s v="Astra"/>
    <s v="Diesel"/>
    <x v="2"/>
    <s v="36-50"/>
    <s v="Medium"/>
    <x v="1"/>
    <x v="2"/>
    <s v="Sales_9"/>
    <n v="416"/>
    <n v="187"/>
    <n v="111"/>
    <n v="37"/>
    <s v="19.79"/>
    <n v="24102"/>
    <s v="12.07"/>
    <n v="21592"/>
    <n v="891774"/>
    <n v="92870"/>
    <s v="Feb"/>
    <n v="2"/>
    <n v="2026"/>
    <s v="Weekend"/>
    <n v="0.33333333333333331"/>
    <n v="0.44951923076923078"/>
    <n v="8.8942307692307696E-2"/>
    <n v="2510"/>
    <s v="Autohaus Berlin"/>
  </r>
  <r>
    <s v="CUST_3565"/>
    <x v="21"/>
    <x v="0"/>
    <s v="Tuesday"/>
    <s v="No"/>
    <x v="8"/>
    <x v="8"/>
    <s v="Baden-WÃ¼rttemberg"/>
    <x v="2"/>
    <s v="A4"/>
    <s v="Petrol"/>
    <x v="1"/>
    <s v="36-50"/>
    <s v="Low"/>
    <x v="1"/>
    <x v="3"/>
    <s v="Sales_10"/>
    <n v="277"/>
    <n v="131"/>
    <n v="99"/>
    <n v="28"/>
    <s v="21.37"/>
    <n v="51371"/>
    <s v="6.81"/>
    <n v="40274"/>
    <n v="1438388"/>
    <n v="310716"/>
    <s v="Feb"/>
    <n v="2"/>
    <n v="2026"/>
    <s v="Weekday"/>
    <n v="0.28282828282828282"/>
    <n v="0.47292418772563177"/>
    <n v="0.10108303249097472"/>
    <n v="11097"/>
    <s v="Stuttgart Auto Center"/>
  </r>
  <r>
    <s v="CUST_3566"/>
    <x v="7"/>
    <x v="3"/>
    <s v="Monday"/>
    <s v="No"/>
    <x v="3"/>
    <x v="3"/>
    <s v="Saxony"/>
    <x v="2"/>
    <s v="e-tron"/>
    <s v="Petrol"/>
    <x v="0"/>
    <s v="26-35"/>
    <s v="Low"/>
    <x v="0"/>
    <x v="1"/>
    <s v="Sales_17"/>
    <n v="268"/>
    <n v="154"/>
    <n v="117"/>
    <n v="36"/>
    <s v="23.38"/>
    <n v="44711"/>
    <s v="4.69"/>
    <n v="34408"/>
    <n v="1609596"/>
    <n v="370908"/>
    <s v="Feb"/>
    <n v="2"/>
    <n v="2026"/>
    <s v="Weekday"/>
    <n v="0.30769230769230771"/>
    <n v="0.57462686567164178"/>
    <n v="0.13432835820895522"/>
    <n v="10303"/>
    <s v="Saxon Wheels"/>
  </r>
  <r>
    <s v="CUST_3567"/>
    <x v="10"/>
    <x v="1"/>
    <s v="Monday"/>
    <s v="No"/>
    <x v="8"/>
    <x v="8"/>
    <s v="Baden-WÃ¼rttemberg"/>
    <x v="3"/>
    <s v="E-Class"/>
    <s v="Diesel"/>
    <x v="1"/>
    <s v="50+"/>
    <s v="Low"/>
    <x v="1"/>
    <x v="2"/>
    <s v="Sales_9"/>
    <n v="150"/>
    <n v="82"/>
    <n v="58"/>
    <n v="22"/>
    <s v="26.83"/>
    <n v="66216"/>
    <s v="3.72"/>
    <n v="47499"/>
    <n v="1456752"/>
    <n v="411774"/>
    <s v="Feb"/>
    <n v="2"/>
    <n v="2026"/>
    <s v="Weekday"/>
    <n v="0.37931034482758619"/>
    <n v="0.54666666666666663"/>
    <n v="0.14666666666666667"/>
    <n v="18717"/>
    <s v="Stuttgart Auto Center"/>
  </r>
  <r>
    <s v="CUST_3568"/>
    <x v="3"/>
    <x v="1"/>
    <s v="Sunday"/>
    <s v="Yes"/>
    <x v="1"/>
    <x v="1"/>
    <s v="NRW"/>
    <x v="3"/>
    <s v="EQE"/>
    <s v="Diesel"/>
    <x v="1"/>
    <s v="50+"/>
    <s v="Medium"/>
    <x v="0"/>
    <x v="1"/>
    <s v="Sales_8"/>
    <n v="279"/>
    <n v="127"/>
    <n v="89"/>
    <n v="33"/>
    <s v="25.98"/>
    <n v="59572"/>
    <s v="4.42"/>
    <n v="46028"/>
    <n v="1965876"/>
    <n v="446952"/>
    <s v="Feb"/>
    <n v="2"/>
    <n v="2026"/>
    <s v="Weekend"/>
    <n v="0.3707865168539326"/>
    <n v="0.45519713261648748"/>
    <n v="0.11827956989247312"/>
    <n v="13544"/>
    <s v="Rhein Auto Group"/>
  </r>
  <r>
    <s v="CUST_3569"/>
    <x v="7"/>
    <x v="3"/>
    <s v="Monday"/>
    <s v="No"/>
    <x v="9"/>
    <x v="9"/>
    <s v="NRW"/>
    <x v="0"/>
    <s v="5 Series"/>
    <s v="Diesel"/>
    <x v="1"/>
    <s v="50+"/>
    <s v="High"/>
    <x v="0"/>
    <x v="0"/>
    <s v="Sales_2"/>
    <n v="186"/>
    <n v="86"/>
    <n v="63"/>
    <n v="20"/>
    <s v="23.26"/>
    <n v="51231"/>
    <s v="3.16"/>
    <n v="39468"/>
    <n v="1024620"/>
    <n v="235260"/>
    <s v="Feb"/>
    <n v="2"/>
    <n v="2026"/>
    <s v="Weekday"/>
    <n v="0.31746031746031744"/>
    <n v="0.46236559139784944"/>
    <n v="0.10752688172043011"/>
    <n v="11763"/>
    <s v="Ruhr Auto Plaza"/>
  </r>
  <r>
    <s v="CUST_3570"/>
    <x v="8"/>
    <x v="3"/>
    <s v="Wednesday"/>
    <s v="No"/>
    <x v="1"/>
    <x v="1"/>
    <s v="NRW"/>
    <x v="0"/>
    <s v="5 Series"/>
    <s v="Diesel"/>
    <x v="1"/>
    <s v="50+"/>
    <s v="Low"/>
    <x v="0"/>
    <x v="3"/>
    <s v="Sales_7"/>
    <n v="272"/>
    <n v="166"/>
    <n v="126"/>
    <n v="46"/>
    <s v="27.71"/>
    <n v="59246"/>
    <s v="5.24"/>
    <n v="42194"/>
    <n v="2725316"/>
    <n v="784392"/>
    <s v="Feb"/>
    <n v="2"/>
    <n v="2026"/>
    <s v="Weekday"/>
    <n v="0.36507936507936506"/>
    <n v="0.61029411764705888"/>
    <n v="0.16911764705882354"/>
    <n v="17052"/>
    <s v="Rhein Auto Group"/>
  </r>
  <r>
    <s v="CUST_3571"/>
    <x v="20"/>
    <x v="0"/>
    <s v="Thursday"/>
    <s v="No"/>
    <x v="2"/>
    <x v="2"/>
    <s v="Lower Saxony"/>
    <x v="0"/>
    <s v="X5"/>
    <s v="Hybrid"/>
    <x v="0"/>
    <s v="18-25"/>
    <s v="High"/>
    <x v="0"/>
    <x v="2"/>
    <s v="Sales_10"/>
    <n v="240"/>
    <n v="125"/>
    <n v="102"/>
    <n v="40"/>
    <s v="32.0"/>
    <n v="50446"/>
    <s v="3.19"/>
    <n v="38303"/>
    <n v="2017840"/>
    <n v="485720"/>
    <s v="Feb"/>
    <n v="2"/>
    <n v="2026"/>
    <s v="Weekday"/>
    <n v="0.39215686274509803"/>
    <n v="0.52083333333333337"/>
    <n v="0.16666666666666666"/>
    <n v="12143"/>
    <s v="Hannover Cars"/>
  </r>
  <r>
    <s v="CUST_3572"/>
    <x v="14"/>
    <x v="2"/>
    <s v="Friday"/>
    <s v="No"/>
    <x v="1"/>
    <x v="1"/>
    <s v="NRW"/>
    <x v="3"/>
    <s v="C-Class"/>
    <s v="Hybrid"/>
    <x v="1"/>
    <s v="50+"/>
    <s v="High"/>
    <x v="1"/>
    <x v="2"/>
    <s v="Sales_11"/>
    <n v="283"/>
    <n v="148"/>
    <n v="117"/>
    <n v="43"/>
    <s v="29.05"/>
    <n v="71532"/>
    <s v="2.24"/>
    <n v="51217"/>
    <n v="3075876"/>
    <n v="873545"/>
    <s v="Feb"/>
    <n v="2"/>
    <n v="2026"/>
    <s v="Weekday"/>
    <n v="0.36752136752136755"/>
    <n v="0.52296819787985871"/>
    <n v="0.1519434628975265"/>
    <n v="20315"/>
    <s v="Rhein Auto Group"/>
  </r>
  <r>
    <s v="CUST_3573"/>
    <x v="26"/>
    <x v="1"/>
    <s v="Friday"/>
    <s v="No"/>
    <x v="5"/>
    <x v="5"/>
    <s v="Hamburg"/>
    <x v="2"/>
    <s v="Q5"/>
    <s v="Petrol"/>
    <x v="0"/>
    <s v="26-35"/>
    <s v="High"/>
    <x v="0"/>
    <x v="3"/>
    <s v="Sales_12"/>
    <n v="162"/>
    <n v="95"/>
    <n v="72"/>
    <n v="20"/>
    <s v="21.05"/>
    <n v="44867"/>
    <s v="5.83"/>
    <n v="34690"/>
    <n v="897340"/>
    <n v="203540"/>
    <s v="Feb"/>
    <n v="2"/>
    <n v="2026"/>
    <s v="Weekday"/>
    <n v="0.27777777777777779"/>
    <n v="0.5864197530864198"/>
    <n v="0.12345679012345678"/>
    <n v="10177"/>
    <s v="Elbe Drive"/>
  </r>
  <r>
    <s v="CUST_3574"/>
    <x v="25"/>
    <x v="3"/>
    <s v="Friday"/>
    <s v="No"/>
    <x v="3"/>
    <x v="3"/>
    <s v="Saxony"/>
    <x v="0"/>
    <s v="3 Series"/>
    <s v="Petrol"/>
    <x v="1"/>
    <s v="18-25"/>
    <s v="Low"/>
    <x v="1"/>
    <x v="1"/>
    <s v="Sales_7"/>
    <n v="154"/>
    <n v="91"/>
    <n v="67"/>
    <n v="23"/>
    <s v="25.27"/>
    <n v="61055"/>
    <s v="4.21"/>
    <n v="46107"/>
    <n v="1404265"/>
    <n v="343804"/>
    <s v="Feb"/>
    <n v="2"/>
    <n v="2026"/>
    <s v="Weekday"/>
    <n v="0.34328358208955223"/>
    <n v="0.59090909090909094"/>
    <n v="0.14935064935064934"/>
    <n v="14948"/>
    <s v="Saxon Wheels"/>
  </r>
  <r>
    <s v="CUST_3575"/>
    <x v="3"/>
    <x v="1"/>
    <s v="Sunday"/>
    <s v="Yes"/>
    <x v="1"/>
    <x v="1"/>
    <s v="NRW"/>
    <x v="2"/>
    <s v="Q3"/>
    <s v="Hybrid"/>
    <x v="0"/>
    <s v="26-35"/>
    <s v="Low"/>
    <x v="0"/>
    <x v="0"/>
    <s v="Sales_11"/>
    <n v="292"/>
    <n v="159"/>
    <n v="101"/>
    <n v="38"/>
    <s v="23.9"/>
    <n v="49958"/>
    <s v="5.44"/>
    <n v="40215"/>
    <n v="1898404"/>
    <n v="370234"/>
    <s v="Feb"/>
    <n v="2"/>
    <n v="2026"/>
    <s v="Weekend"/>
    <n v="0.37623762376237624"/>
    <n v="0.54452054794520544"/>
    <n v="0.13013698630136986"/>
    <n v="9743"/>
    <s v="Rhein Auto Group"/>
  </r>
  <r>
    <s v="CUST_3576"/>
    <x v="16"/>
    <x v="1"/>
    <s v="Tuesday"/>
    <s v="No"/>
    <x v="3"/>
    <x v="3"/>
    <s v="Saxony"/>
    <x v="3"/>
    <s v="GLE"/>
    <s v="Petrol"/>
    <x v="0"/>
    <s v="26-35"/>
    <s v="High"/>
    <x v="0"/>
    <x v="3"/>
    <s v="Sales_4"/>
    <n v="163"/>
    <n v="95"/>
    <n v="74"/>
    <n v="21"/>
    <s v="22.11"/>
    <n v="70096"/>
    <s v="2.2"/>
    <n v="54241"/>
    <n v="1472016"/>
    <n v="332955"/>
    <s v="Feb"/>
    <n v="2"/>
    <n v="2026"/>
    <s v="Weekday"/>
    <n v="0.28378378378378377"/>
    <n v="0.58282208588957052"/>
    <n v="0.12883435582822086"/>
    <n v="15855"/>
    <s v="Saxon Wheels"/>
  </r>
  <r>
    <s v="CUST_3577"/>
    <x v="10"/>
    <x v="1"/>
    <s v="Monday"/>
    <s v="No"/>
    <x v="3"/>
    <x v="3"/>
    <s v="Saxony"/>
    <x v="0"/>
    <s v="i4"/>
    <s v="Hybrid"/>
    <x v="1"/>
    <s v="50+"/>
    <s v="High"/>
    <x v="1"/>
    <x v="0"/>
    <s v="Sales_17"/>
    <n v="149"/>
    <n v="72"/>
    <n v="50"/>
    <n v="19"/>
    <s v="26.39"/>
    <n v="62920"/>
    <s v="3.44"/>
    <n v="45688"/>
    <n v="1195480"/>
    <n v="327408"/>
    <s v="Feb"/>
    <n v="2"/>
    <n v="2026"/>
    <s v="Weekday"/>
    <n v="0.38"/>
    <n v="0.48322147651006714"/>
    <n v="0.12751677852348994"/>
    <n v="17232"/>
    <s v="Saxon Wheels"/>
  </r>
  <r>
    <s v="CUST_3578"/>
    <x v="1"/>
    <x v="1"/>
    <s v="Wednesday"/>
    <s v="No"/>
    <x v="5"/>
    <x v="5"/>
    <s v="Hamburg"/>
    <x v="3"/>
    <s v="EQE"/>
    <s v="Diesel"/>
    <x v="1"/>
    <s v="26-35"/>
    <s v="Low"/>
    <x v="1"/>
    <x v="0"/>
    <s v="Sales_5"/>
    <n v="155"/>
    <n v="85"/>
    <n v="62"/>
    <n v="18"/>
    <s v="21.18"/>
    <n v="60412"/>
    <s v="4.2"/>
    <n v="43657"/>
    <n v="1087416"/>
    <n v="301590"/>
    <s v="Feb"/>
    <n v="2"/>
    <n v="2026"/>
    <s v="Weekday"/>
    <n v="0.29032258064516131"/>
    <n v="0.54838709677419351"/>
    <n v="0.11612903225806452"/>
    <n v="16755"/>
    <s v="Elbe Drive"/>
  </r>
  <r>
    <s v="CUST_3579"/>
    <x v="8"/>
    <x v="3"/>
    <s v="Wednesday"/>
    <s v="No"/>
    <x v="0"/>
    <x v="0"/>
    <s v="Hesse"/>
    <x v="1"/>
    <s v="Mokka"/>
    <s v="Hybrid"/>
    <x v="0"/>
    <s v="36-50"/>
    <s v="High"/>
    <x v="1"/>
    <x v="0"/>
    <s v="Sales_15"/>
    <n v="222"/>
    <n v="87"/>
    <n v="57"/>
    <n v="13"/>
    <s v="14.94"/>
    <n v="26074"/>
    <s v="11.17"/>
    <n v="23257"/>
    <n v="338962"/>
    <n v="36621"/>
    <s v="Feb"/>
    <n v="2"/>
    <n v="2026"/>
    <s v="Weekday"/>
    <n v="0.22807017543859648"/>
    <n v="0.39189189189189189"/>
    <n v="5.8558558558558557E-2"/>
    <n v="2817"/>
    <s v="Main Auto Hub"/>
  </r>
  <r>
    <s v="CUST_3580"/>
    <x v="21"/>
    <x v="0"/>
    <s v="Tuesday"/>
    <s v="No"/>
    <x v="6"/>
    <x v="6"/>
    <s v="Saxony"/>
    <x v="3"/>
    <s v="GLC"/>
    <s v="Diesel"/>
    <x v="0"/>
    <s v="50+"/>
    <s v="Low"/>
    <x v="1"/>
    <x v="2"/>
    <s v="Sales_11"/>
    <n v="187"/>
    <n v="103"/>
    <n v="72"/>
    <n v="26"/>
    <s v="25.24"/>
    <n v="60245"/>
    <s v="5.29"/>
    <n v="47350"/>
    <n v="1566370"/>
    <n v="335270"/>
    <s v="Feb"/>
    <n v="2"/>
    <n v="2026"/>
    <s v="Weekday"/>
    <n v="0.3611111111111111"/>
    <n v="0.55080213903743314"/>
    <n v="0.13903743315508021"/>
    <n v="12895"/>
    <s v="Leipzig Mobility"/>
  </r>
  <r>
    <s v="CUST_3581"/>
    <x v="10"/>
    <x v="1"/>
    <s v="Monday"/>
    <s v="No"/>
    <x v="5"/>
    <x v="5"/>
    <s v="Hamburg"/>
    <x v="1"/>
    <s v="Grandland"/>
    <s v="Diesel"/>
    <x v="0"/>
    <s v="18-25"/>
    <s v="Medium"/>
    <x v="1"/>
    <x v="0"/>
    <s v="Sales_2"/>
    <n v="344"/>
    <n v="144"/>
    <n v="95"/>
    <n v="22"/>
    <s v="15.28"/>
    <n v="25232"/>
    <s v="8.75"/>
    <n v="22861"/>
    <n v="555104"/>
    <n v="52162"/>
    <s v="Feb"/>
    <n v="2"/>
    <n v="2026"/>
    <s v="Weekday"/>
    <n v="0.23157894736842105"/>
    <n v="0.41860465116279072"/>
    <n v="6.3953488372093026E-2"/>
    <n v="2371"/>
    <s v="Elbe Drive"/>
  </r>
  <r>
    <s v="CUST_3582"/>
    <x v="14"/>
    <x v="2"/>
    <s v="Friday"/>
    <s v="No"/>
    <x v="6"/>
    <x v="6"/>
    <s v="Saxony"/>
    <x v="4"/>
    <s v="Golf"/>
    <s v="Hybrid"/>
    <x v="2"/>
    <s v="36-50"/>
    <s v="Medium"/>
    <x v="0"/>
    <x v="2"/>
    <s v="Sales_1"/>
    <n v="335"/>
    <n v="143"/>
    <n v="102"/>
    <n v="25"/>
    <s v="17.48"/>
    <n v="31323"/>
    <s v="11.71"/>
    <n v="27439"/>
    <n v="783075"/>
    <n v="97100"/>
    <s v="Feb"/>
    <n v="2"/>
    <n v="2026"/>
    <s v="Weekday"/>
    <n v="0.24509803921568626"/>
    <n v="0.42686567164179107"/>
    <n v="7.4626865671641784E-2"/>
    <n v="3884"/>
    <s v="Leipzig Mobility"/>
  </r>
  <r>
    <s v="CUST_3583"/>
    <x v="15"/>
    <x v="2"/>
    <s v="Thursday"/>
    <s v="No"/>
    <x v="1"/>
    <x v="1"/>
    <s v="NRW"/>
    <x v="1"/>
    <s v="Astra"/>
    <s v="Electric"/>
    <x v="2"/>
    <s v="26-35"/>
    <s v="High"/>
    <x v="1"/>
    <x v="1"/>
    <s v="Sales_10"/>
    <n v="242"/>
    <n v="104"/>
    <n v="66"/>
    <n v="18"/>
    <s v="17.31"/>
    <n v="22860"/>
    <s v="8.35"/>
    <n v="21064"/>
    <n v="411480"/>
    <n v="32328"/>
    <s v="Feb"/>
    <n v="2"/>
    <n v="2026"/>
    <s v="Weekday"/>
    <n v="0.27272727272727271"/>
    <n v="0.42975206611570249"/>
    <n v="7.43801652892562E-2"/>
    <n v="1796"/>
    <s v="Rhein Auto Group"/>
  </r>
  <r>
    <s v="CUST_3584"/>
    <x v="9"/>
    <x v="0"/>
    <s v="Sunday"/>
    <s v="Yes"/>
    <x v="3"/>
    <x v="3"/>
    <s v="Saxony"/>
    <x v="2"/>
    <s v="A3"/>
    <s v="Hybrid"/>
    <x v="2"/>
    <s v="50+"/>
    <s v="Low"/>
    <x v="1"/>
    <x v="1"/>
    <s v="Sales_12"/>
    <n v="226"/>
    <n v="137"/>
    <n v="89"/>
    <n v="28"/>
    <s v="20.44"/>
    <n v="49957"/>
    <s v="4.61"/>
    <n v="37802"/>
    <n v="1398796"/>
    <n v="340340"/>
    <s v="Feb"/>
    <n v="2"/>
    <n v="2026"/>
    <s v="Weekend"/>
    <n v="0.3146067415730337"/>
    <n v="0.60619469026548678"/>
    <n v="0.12389380530973451"/>
    <n v="12155"/>
    <s v="Saxon Wheels"/>
  </r>
  <r>
    <s v="CUST_3585"/>
    <x v="6"/>
    <x v="2"/>
    <s v="Saturday"/>
    <s v="Yes"/>
    <x v="5"/>
    <x v="5"/>
    <s v="Hamburg"/>
    <x v="4"/>
    <s v="Passat"/>
    <s v="Diesel"/>
    <x v="1"/>
    <s v="50+"/>
    <s v="High"/>
    <x v="1"/>
    <x v="2"/>
    <s v="Sales_16"/>
    <n v="498"/>
    <n v="259"/>
    <n v="167"/>
    <n v="51"/>
    <s v="19.69"/>
    <n v="30140"/>
    <s v="9.95"/>
    <n v="26513"/>
    <n v="1537140"/>
    <n v="184977"/>
    <s v="Feb"/>
    <n v="2"/>
    <n v="2026"/>
    <s v="Weekend"/>
    <n v="0.30538922155688625"/>
    <n v="0.52008032128514059"/>
    <n v="0.10240963855421686"/>
    <n v="3627"/>
    <s v="Elbe Drive"/>
  </r>
  <r>
    <s v="CUST_3586"/>
    <x v="1"/>
    <x v="1"/>
    <s v="Wednesday"/>
    <s v="No"/>
    <x v="1"/>
    <x v="1"/>
    <s v="NRW"/>
    <x v="0"/>
    <s v="X3"/>
    <s v="Petrol"/>
    <x v="0"/>
    <s v="36-50"/>
    <s v="Medium"/>
    <x v="0"/>
    <x v="2"/>
    <s v="Sales_20"/>
    <n v="206"/>
    <n v="101"/>
    <n v="70"/>
    <n v="30"/>
    <s v="29.7"/>
    <n v="59614"/>
    <s v="5.48"/>
    <n v="42050"/>
    <n v="1788420"/>
    <n v="526920"/>
    <s v="Feb"/>
    <n v="2"/>
    <n v="2026"/>
    <s v="Weekday"/>
    <n v="0.42857142857142855"/>
    <n v="0.49029126213592233"/>
    <n v="0.14563106796116504"/>
    <n v="17564"/>
    <s v="Rhein Auto Group"/>
  </r>
  <r>
    <s v="CUST_3587"/>
    <x v="26"/>
    <x v="1"/>
    <s v="Friday"/>
    <s v="No"/>
    <x v="8"/>
    <x v="8"/>
    <s v="Baden-WÃ¼rttemberg"/>
    <x v="1"/>
    <s v="Mokka"/>
    <s v="Electric"/>
    <x v="0"/>
    <s v="50+"/>
    <s v="Medium"/>
    <x v="1"/>
    <x v="3"/>
    <s v="Sales_9"/>
    <n v="312"/>
    <n v="135"/>
    <n v="77"/>
    <n v="18"/>
    <s v="13.33"/>
    <n v="21503"/>
    <s v="12.94"/>
    <n v="19399"/>
    <n v="387054"/>
    <n v="37872"/>
    <s v="Feb"/>
    <n v="2"/>
    <n v="2026"/>
    <s v="Weekday"/>
    <n v="0.23376623376623376"/>
    <n v="0.43269230769230771"/>
    <n v="5.7692307692307696E-2"/>
    <n v="2104"/>
    <s v="Stuttgart Auto Center"/>
  </r>
  <r>
    <s v="CUST_3588"/>
    <x v="6"/>
    <x v="2"/>
    <s v="Saturday"/>
    <s v="Yes"/>
    <x v="9"/>
    <x v="9"/>
    <s v="NRW"/>
    <x v="4"/>
    <s v="Tiguan"/>
    <s v="Hybrid"/>
    <x v="0"/>
    <s v="50+"/>
    <s v="Medium"/>
    <x v="0"/>
    <x v="2"/>
    <s v="Sales_16"/>
    <n v="467"/>
    <n v="205"/>
    <n v="126"/>
    <n v="38"/>
    <s v="18.54"/>
    <n v="33684"/>
    <s v="9.75"/>
    <n v="30645"/>
    <n v="1279992"/>
    <n v="115482"/>
    <s v="Feb"/>
    <n v="2"/>
    <n v="2026"/>
    <s v="Weekend"/>
    <n v="0.30158730158730157"/>
    <n v="0.43897216274089934"/>
    <n v="8.137044967880086E-2"/>
    <n v="3039"/>
    <s v="Ruhr Auto Plaza"/>
  </r>
  <r>
    <s v="CUST_3589"/>
    <x v="16"/>
    <x v="1"/>
    <s v="Tuesday"/>
    <s v="No"/>
    <x v="9"/>
    <x v="9"/>
    <s v="NRW"/>
    <x v="2"/>
    <s v="Q5"/>
    <s v="Diesel"/>
    <x v="0"/>
    <s v="18-25"/>
    <s v="High"/>
    <x v="1"/>
    <x v="2"/>
    <s v="Sales_12"/>
    <n v="217"/>
    <n v="133"/>
    <n v="93"/>
    <n v="30"/>
    <s v="22.56"/>
    <n v="49640"/>
    <s v="6.44"/>
    <n v="39773"/>
    <n v="1489200"/>
    <n v="296010"/>
    <s v="Feb"/>
    <n v="2"/>
    <n v="2026"/>
    <s v="Weekday"/>
    <n v="0.32258064516129031"/>
    <n v="0.61290322580645162"/>
    <n v="0.13824884792626729"/>
    <n v="9867"/>
    <s v="Ruhr Auto Plaza"/>
  </r>
  <r>
    <s v="CUST_3590"/>
    <x v="26"/>
    <x v="1"/>
    <s v="Friday"/>
    <s v="No"/>
    <x v="4"/>
    <x v="4"/>
    <s v="Berlin"/>
    <x v="0"/>
    <s v="5 Series"/>
    <s v="Diesel"/>
    <x v="1"/>
    <s v="36-50"/>
    <s v="Low"/>
    <x v="0"/>
    <x v="3"/>
    <s v="Sales_13"/>
    <n v="261"/>
    <n v="129"/>
    <n v="91"/>
    <n v="39"/>
    <s v="30.23"/>
    <n v="62037"/>
    <s v="3.87"/>
    <n v="47022"/>
    <n v="2419443"/>
    <n v="585585"/>
    <s v="Feb"/>
    <n v="2"/>
    <n v="2026"/>
    <s v="Weekday"/>
    <n v="0.42857142857142855"/>
    <n v="0.4942528735632184"/>
    <n v="0.14942528735632185"/>
    <n v="15015"/>
    <s v="Autohaus Berlin"/>
  </r>
  <r>
    <s v="CUST_3591"/>
    <x v="15"/>
    <x v="2"/>
    <s v="Thursday"/>
    <s v="No"/>
    <x v="5"/>
    <x v="5"/>
    <s v="Hamburg"/>
    <x v="2"/>
    <s v="A4"/>
    <s v="Diesel"/>
    <x v="1"/>
    <s v="36-50"/>
    <s v="High"/>
    <x v="1"/>
    <x v="2"/>
    <s v="Sales_7"/>
    <n v="307"/>
    <n v="169"/>
    <n v="126"/>
    <n v="42"/>
    <s v="24.85"/>
    <n v="46619"/>
    <s v="4.71"/>
    <n v="37766"/>
    <n v="1957998"/>
    <n v="371826"/>
    <s v="Feb"/>
    <n v="2"/>
    <n v="2026"/>
    <s v="Weekday"/>
    <n v="0.33333333333333331"/>
    <n v="0.55048859934853422"/>
    <n v="0.13680781758957655"/>
    <n v="8853"/>
    <s v="Elbe Drive"/>
  </r>
  <r>
    <s v="CUST_3592"/>
    <x v="9"/>
    <x v="0"/>
    <s v="Sunday"/>
    <s v="Yes"/>
    <x v="9"/>
    <x v="9"/>
    <s v="NRW"/>
    <x v="3"/>
    <s v="EQE"/>
    <s v="Electric"/>
    <x v="1"/>
    <s v="18-25"/>
    <s v="High"/>
    <x v="1"/>
    <x v="2"/>
    <s v="Sales_18"/>
    <n v="242"/>
    <n v="133"/>
    <n v="97"/>
    <n v="34"/>
    <s v="25.56"/>
    <n v="56294"/>
    <s v="4.51"/>
    <n v="44032"/>
    <n v="1913996"/>
    <n v="416908"/>
    <s v="Feb"/>
    <n v="2"/>
    <n v="2026"/>
    <s v="Weekend"/>
    <n v="0.35051546391752575"/>
    <n v="0.54958677685950408"/>
    <n v="0.14049586776859505"/>
    <n v="12262"/>
    <s v="Ruhr Auto Plaza"/>
  </r>
  <r>
    <s v="CUST_3593"/>
    <x v="14"/>
    <x v="2"/>
    <s v="Friday"/>
    <s v="No"/>
    <x v="1"/>
    <x v="1"/>
    <s v="NRW"/>
    <x v="4"/>
    <s v="Passat"/>
    <s v="Hybrid"/>
    <x v="1"/>
    <s v="26-35"/>
    <s v="High"/>
    <x v="1"/>
    <x v="0"/>
    <s v="Sales_16"/>
    <n v="268"/>
    <n v="150"/>
    <n v="103"/>
    <n v="24"/>
    <s v="16.0"/>
    <n v="29017"/>
    <s v="7.42"/>
    <n v="25357"/>
    <n v="696408"/>
    <n v="87840"/>
    <s v="Feb"/>
    <n v="2"/>
    <n v="2026"/>
    <s v="Weekday"/>
    <n v="0.23300970873786409"/>
    <n v="0.55970149253731338"/>
    <n v="8.9552238805970144E-2"/>
    <n v="3660"/>
    <s v="Rhein Auto Group"/>
  </r>
  <r>
    <s v="CUST_3594"/>
    <x v="4"/>
    <x v="2"/>
    <s v="Wednesday"/>
    <s v="No"/>
    <x v="4"/>
    <x v="4"/>
    <s v="Berlin"/>
    <x v="3"/>
    <s v="GLC"/>
    <s v="Petrol"/>
    <x v="0"/>
    <s v="36-50"/>
    <s v="High"/>
    <x v="0"/>
    <x v="0"/>
    <s v="Sales_9"/>
    <n v="239"/>
    <n v="129"/>
    <n v="90"/>
    <n v="32"/>
    <s v="24.81"/>
    <n v="59337"/>
    <s v="3.57"/>
    <n v="46627"/>
    <n v="1898784"/>
    <n v="406720"/>
    <s v="Feb"/>
    <n v="2"/>
    <n v="2026"/>
    <s v="Weekday"/>
    <n v="0.35555555555555557"/>
    <n v="0.53974895397489542"/>
    <n v="0.13389121338912133"/>
    <n v="12710"/>
    <s v="Autohaus Berlin"/>
  </r>
  <r>
    <s v="CUST_3595"/>
    <x v="22"/>
    <x v="3"/>
    <s v="Tuesday"/>
    <s v="No"/>
    <x v="3"/>
    <x v="3"/>
    <s v="Saxony"/>
    <x v="2"/>
    <s v="A4"/>
    <s v="Hybrid"/>
    <x v="1"/>
    <s v="18-25"/>
    <s v="Low"/>
    <x v="1"/>
    <x v="3"/>
    <s v="Sales_13"/>
    <n v="220"/>
    <n v="132"/>
    <n v="90"/>
    <n v="30"/>
    <s v="22.73"/>
    <n v="47197"/>
    <s v="6.8"/>
    <n v="37579"/>
    <n v="1415910"/>
    <n v="288540"/>
    <s v="Feb"/>
    <n v="2"/>
    <n v="2026"/>
    <s v="Weekday"/>
    <n v="0.33333333333333331"/>
    <n v="0.6"/>
    <n v="0.13636363636363635"/>
    <n v="9618"/>
    <s v="Saxon Wheels"/>
  </r>
  <r>
    <s v="CUST_3596"/>
    <x v="25"/>
    <x v="3"/>
    <s v="Friday"/>
    <s v="No"/>
    <x v="0"/>
    <x v="0"/>
    <s v="Hesse"/>
    <x v="3"/>
    <s v="E-Class"/>
    <s v="Diesel"/>
    <x v="1"/>
    <s v="50+"/>
    <s v="Low"/>
    <x v="1"/>
    <x v="3"/>
    <s v="Sales_20"/>
    <n v="248"/>
    <n v="125"/>
    <n v="89"/>
    <n v="27"/>
    <s v="21.6"/>
    <n v="67068"/>
    <s v="5.85"/>
    <n v="51069"/>
    <n v="1810836"/>
    <n v="431973"/>
    <s v="Feb"/>
    <n v="2"/>
    <n v="2026"/>
    <s v="Weekday"/>
    <n v="0.30337078651685395"/>
    <n v="0.50403225806451613"/>
    <n v="0.10887096774193548"/>
    <n v="15999"/>
    <s v="Main Auto Hub"/>
  </r>
  <r>
    <s v="CUST_3597"/>
    <x v="24"/>
    <x v="1"/>
    <s v="Thursday"/>
    <s v="No"/>
    <x v="9"/>
    <x v="9"/>
    <s v="NRW"/>
    <x v="2"/>
    <s v="A4"/>
    <s v="Diesel"/>
    <x v="1"/>
    <s v="36-50"/>
    <s v="Medium"/>
    <x v="0"/>
    <x v="1"/>
    <s v="Sales_13"/>
    <n v="319"/>
    <n v="162"/>
    <n v="112"/>
    <n v="40"/>
    <s v="24.69"/>
    <n v="53940"/>
    <s v="5.86"/>
    <n v="41438"/>
    <n v="2157600"/>
    <n v="500080"/>
    <s v="Feb"/>
    <n v="2"/>
    <n v="2026"/>
    <s v="Weekday"/>
    <n v="0.35714285714285715"/>
    <n v="0.50783699059561127"/>
    <n v="0.12539184952978055"/>
    <n v="12502"/>
    <s v="Ruhr Auto Plaza"/>
  </r>
  <r>
    <s v="CUST_3598"/>
    <x v="15"/>
    <x v="2"/>
    <s v="Thursday"/>
    <s v="No"/>
    <x v="8"/>
    <x v="8"/>
    <s v="Baden-WÃ¼rttemberg"/>
    <x v="4"/>
    <s v="Passat"/>
    <s v="Electric"/>
    <x v="1"/>
    <s v="26-35"/>
    <s v="Medium"/>
    <x v="0"/>
    <x v="3"/>
    <s v="Sales_20"/>
    <n v="465"/>
    <n v="268"/>
    <n v="185"/>
    <n v="44"/>
    <s v="16.42"/>
    <n v="33456"/>
    <s v="11.76"/>
    <n v="28808"/>
    <n v="1472064"/>
    <n v="204512"/>
    <s v="Feb"/>
    <n v="2"/>
    <n v="2026"/>
    <s v="Weekday"/>
    <n v="0.23783783783783785"/>
    <n v="0.57634408602150533"/>
    <n v="9.4623655913978491E-2"/>
    <n v="4648"/>
    <s v="Stuttgart Auto Center"/>
  </r>
  <r>
    <s v="CUST_3599"/>
    <x v="17"/>
    <x v="2"/>
    <s v="Sunday"/>
    <s v="Yes"/>
    <x v="6"/>
    <x v="6"/>
    <s v="Saxony"/>
    <x v="2"/>
    <s v="A3"/>
    <s v="Electric"/>
    <x v="2"/>
    <s v="18-25"/>
    <s v="High"/>
    <x v="1"/>
    <x v="3"/>
    <s v="Sales_5"/>
    <n v="180"/>
    <n v="114"/>
    <n v="82"/>
    <n v="20"/>
    <s v="17.54"/>
    <n v="39636"/>
    <s v="6.61"/>
    <n v="30539"/>
    <n v="792720"/>
    <n v="181940"/>
    <s v="Feb"/>
    <n v="2"/>
    <n v="2026"/>
    <s v="Weekend"/>
    <n v="0.24390243902439024"/>
    <n v="0.6333333333333333"/>
    <n v="0.1111111111111111"/>
    <n v="9097"/>
    <s v="Leipzig Mobility"/>
  </r>
  <r>
    <s v="CUST_3600"/>
    <x v="27"/>
    <x v="3"/>
    <s v="Sunday"/>
    <s v="Yes"/>
    <x v="5"/>
    <x v="5"/>
    <s v="Hamburg"/>
    <x v="2"/>
    <s v="e-tron"/>
    <s v="Hybrid"/>
    <x v="0"/>
    <s v="18-25"/>
    <s v="Low"/>
    <x v="1"/>
    <x v="3"/>
    <s v="Sales_10"/>
    <n v="220"/>
    <n v="104"/>
    <n v="78"/>
    <n v="22"/>
    <s v="21.15"/>
    <n v="44337"/>
    <s v="6.47"/>
    <n v="35938"/>
    <n v="975414"/>
    <n v="184778"/>
    <s v="Feb"/>
    <n v="2"/>
    <n v="2026"/>
    <s v="Weekend"/>
    <n v="0.28205128205128205"/>
    <n v="0.47272727272727272"/>
    <n v="0.1"/>
    <n v="8399"/>
    <s v="Elbe Drive"/>
  </r>
  <r>
    <s v="CUST_3601"/>
    <x v="6"/>
    <x v="2"/>
    <s v="Saturday"/>
    <s v="Yes"/>
    <x v="3"/>
    <x v="3"/>
    <s v="Saxony"/>
    <x v="2"/>
    <s v="Q3"/>
    <s v="Hybrid"/>
    <x v="0"/>
    <s v="18-25"/>
    <s v="Low"/>
    <x v="1"/>
    <x v="0"/>
    <s v="Sales_15"/>
    <n v="259"/>
    <n v="162"/>
    <n v="117"/>
    <n v="34"/>
    <s v="20.99"/>
    <n v="50982"/>
    <s v="5.01"/>
    <n v="41606"/>
    <n v="1733388"/>
    <n v="318784"/>
    <s v="Feb"/>
    <n v="2"/>
    <n v="2026"/>
    <s v="Weekend"/>
    <n v="0.29059829059829062"/>
    <n v="0.62548262548262545"/>
    <n v="0.13127413127413126"/>
    <n v="9376"/>
    <s v="Saxon Wheels"/>
  </r>
  <r>
    <s v="CUST_3602"/>
    <x v="12"/>
    <x v="3"/>
    <s v="Thursday"/>
    <s v="No"/>
    <x v="4"/>
    <x v="4"/>
    <s v="Berlin"/>
    <x v="0"/>
    <s v="3 Series"/>
    <s v="Hybrid"/>
    <x v="1"/>
    <s v="36-50"/>
    <s v="High"/>
    <x v="1"/>
    <x v="1"/>
    <s v="Sales_12"/>
    <n v="204"/>
    <n v="114"/>
    <n v="88"/>
    <n v="31"/>
    <s v="27.19"/>
    <n v="61171"/>
    <s v="3.41"/>
    <n v="44959"/>
    <n v="1896301"/>
    <n v="502572"/>
    <s v="Feb"/>
    <n v="2"/>
    <n v="2026"/>
    <s v="Weekday"/>
    <n v="0.35227272727272729"/>
    <n v="0.55882352941176472"/>
    <n v="0.15196078431372548"/>
    <n v="16212"/>
    <s v="Autohaus Berlin"/>
  </r>
  <r>
    <s v="CUST_3603"/>
    <x v="16"/>
    <x v="1"/>
    <s v="Tuesday"/>
    <s v="No"/>
    <x v="5"/>
    <x v="5"/>
    <s v="Hamburg"/>
    <x v="3"/>
    <s v="EQE"/>
    <s v="Hybrid"/>
    <x v="1"/>
    <s v="26-35"/>
    <s v="Low"/>
    <x v="1"/>
    <x v="3"/>
    <s v="Sales_16"/>
    <n v="244"/>
    <n v="112"/>
    <n v="87"/>
    <n v="27"/>
    <s v="24.11"/>
    <n v="65128"/>
    <s v="4.84"/>
    <n v="48849"/>
    <n v="1758456"/>
    <n v="439533"/>
    <s v="Feb"/>
    <n v="2"/>
    <n v="2026"/>
    <s v="Weekday"/>
    <n v="0.31034482758620691"/>
    <n v="0.45901639344262296"/>
    <n v="0.11065573770491803"/>
    <n v="16279"/>
    <s v="Elbe Drive"/>
  </r>
  <r>
    <s v="CUST_3604"/>
    <x v="25"/>
    <x v="3"/>
    <s v="Friday"/>
    <s v="No"/>
    <x v="7"/>
    <x v="7"/>
    <s v="Bavaria"/>
    <x v="2"/>
    <s v="e-tron"/>
    <s v="Petrol"/>
    <x v="0"/>
    <s v="26-35"/>
    <s v="Medium"/>
    <x v="0"/>
    <x v="0"/>
    <s v="Sales_6"/>
    <n v="269"/>
    <n v="125"/>
    <n v="88"/>
    <n v="30"/>
    <s v="24.0"/>
    <n v="53373"/>
    <s v="6.68"/>
    <n v="41920"/>
    <n v="1601190"/>
    <n v="343590"/>
    <s v="Feb"/>
    <n v="2"/>
    <n v="2026"/>
    <s v="Weekday"/>
    <n v="0.34090909090909088"/>
    <n v="0.46468401486988847"/>
    <n v="0.11152416356877323"/>
    <n v="11453"/>
    <s v="Bavaria Motors"/>
  </r>
  <r>
    <s v="CUST_3605"/>
    <x v="23"/>
    <x v="2"/>
    <s v="Tuesday"/>
    <s v="No"/>
    <x v="5"/>
    <x v="5"/>
    <s v="Hamburg"/>
    <x v="4"/>
    <s v="Tiguan"/>
    <s v="Petrol"/>
    <x v="0"/>
    <s v="36-50"/>
    <s v="High"/>
    <x v="1"/>
    <x v="1"/>
    <s v="Sales_15"/>
    <n v="292"/>
    <n v="122"/>
    <n v="76"/>
    <n v="24"/>
    <s v="19.67"/>
    <n v="28898"/>
    <s v="7.03"/>
    <n v="25457"/>
    <n v="693552"/>
    <n v="82584"/>
    <s v="Feb"/>
    <n v="2"/>
    <n v="2026"/>
    <s v="Weekday"/>
    <n v="0.31578947368421051"/>
    <n v="0.4178082191780822"/>
    <n v="8.2191780821917804E-2"/>
    <n v="3441"/>
    <s v="Elbe Drive"/>
  </r>
  <r>
    <s v="CUST_3606"/>
    <x v="14"/>
    <x v="2"/>
    <s v="Friday"/>
    <s v="No"/>
    <x v="2"/>
    <x v="2"/>
    <s v="Lower Saxony"/>
    <x v="4"/>
    <s v="Passat"/>
    <s v="Electric"/>
    <x v="1"/>
    <s v="18-25"/>
    <s v="Medium"/>
    <x v="0"/>
    <x v="1"/>
    <s v="Sales_9"/>
    <n v="436"/>
    <n v="251"/>
    <n v="155"/>
    <n v="43"/>
    <s v="17.13"/>
    <n v="28222"/>
    <s v="7.92"/>
    <n v="24328"/>
    <n v="1213546"/>
    <n v="167442"/>
    <s v="Feb"/>
    <n v="2"/>
    <n v="2026"/>
    <s v="Weekday"/>
    <n v="0.27741935483870966"/>
    <n v="0.57568807339449546"/>
    <n v="9.862385321100918E-2"/>
    <n v="3894"/>
    <s v="Hannover Cars"/>
  </r>
  <r>
    <s v="CUST_3607"/>
    <x v="23"/>
    <x v="2"/>
    <s v="Tuesday"/>
    <s v="No"/>
    <x v="5"/>
    <x v="5"/>
    <s v="Hamburg"/>
    <x v="2"/>
    <s v="e-tron"/>
    <s v="Petrol"/>
    <x v="0"/>
    <s v="50+"/>
    <s v="Medium"/>
    <x v="0"/>
    <x v="3"/>
    <s v="Sales_10"/>
    <n v="289"/>
    <n v="164"/>
    <n v="119"/>
    <n v="40"/>
    <s v="24.39"/>
    <n v="50432"/>
    <s v="3.41"/>
    <n v="38591"/>
    <n v="2017280"/>
    <n v="473640"/>
    <s v="Feb"/>
    <n v="2"/>
    <n v="2026"/>
    <s v="Weekday"/>
    <n v="0.33613445378151263"/>
    <n v="0.56747404844290661"/>
    <n v="0.13840830449826991"/>
    <n v="11841"/>
    <s v="Elbe Drive"/>
  </r>
  <r>
    <s v="CUST_3608"/>
    <x v="0"/>
    <x v="0"/>
    <s v="Monday"/>
    <s v="No"/>
    <x v="8"/>
    <x v="8"/>
    <s v="Baden-WÃ¼rttemberg"/>
    <x v="3"/>
    <s v="EQE"/>
    <s v="Petrol"/>
    <x v="1"/>
    <s v="18-25"/>
    <s v="Low"/>
    <x v="0"/>
    <x v="0"/>
    <s v="Sales_20"/>
    <n v="247"/>
    <n v="122"/>
    <n v="81"/>
    <n v="32"/>
    <s v="26.23"/>
    <n v="51811"/>
    <s v="4.86"/>
    <n v="40474"/>
    <n v="1657952"/>
    <n v="362784"/>
    <s v="Feb"/>
    <n v="2"/>
    <n v="2026"/>
    <s v="Weekday"/>
    <n v="0.39506172839506171"/>
    <n v="0.49392712550607287"/>
    <n v="0.12955465587044535"/>
    <n v="11337"/>
    <s v="Stuttgart Auto Center"/>
  </r>
  <r>
    <s v="CUST_3609"/>
    <x v="21"/>
    <x v="0"/>
    <s v="Tuesday"/>
    <s v="No"/>
    <x v="2"/>
    <x v="2"/>
    <s v="Lower Saxony"/>
    <x v="3"/>
    <s v="GLC"/>
    <s v="Hybrid"/>
    <x v="0"/>
    <s v="18-25"/>
    <s v="High"/>
    <x v="0"/>
    <x v="2"/>
    <s v="Sales_3"/>
    <n v="286"/>
    <n v="146"/>
    <n v="104"/>
    <n v="44"/>
    <s v="30.14"/>
    <n v="55182"/>
    <s v="4.08"/>
    <n v="40179"/>
    <n v="2428008"/>
    <n v="660132"/>
    <s v="Feb"/>
    <n v="2"/>
    <n v="2026"/>
    <s v="Weekday"/>
    <n v="0.42307692307692307"/>
    <n v="0.51048951048951052"/>
    <n v="0.15384615384615385"/>
    <n v="15003"/>
    <s v="Hannover Cars"/>
  </r>
  <r>
    <s v="CUST_3610"/>
    <x v="8"/>
    <x v="3"/>
    <s v="Wednesday"/>
    <s v="No"/>
    <x v="2"/>
    <x v="2"/>
    <s v="Lower Saxony"/>
    <x v="4"/>
    <s v="T-Roc"/>
    <s v="Diesel"/>
    <x v="0"/>
    <s v="26-35"/>
    <s v="Medium"/>
    <x v="1"/>
    <x v="1"/>
    <s v="Sales_4"/>
    <n v="475"/>
    <n v="202"/>
    <n v="120"/>
    <n v="32"/>
    <s v="15.84"/>
    <n v="31545"/>
    <s v="10.85"/>
    <n v="28136"/>
    <n v="1009440"/>
    <n v="109088"/>
    <s v="Feb"/>
    <n v="2"/>
    <n v="2026"/>
    <s v="Weekday"/>
    <n v="0.26666666666666666"/>
    <n v="0.42526315789473684"/>
    <n v="6.7368421052631577E-2"/>
    <n v="3409"/>
    <s v="Hannover Cars"/>
  </r>
  <r>
    <s v="CUST_3611"/>
    <x v="7"/>
    <x v="3"/>
    <s v="Monday"/>
    <s v="No"/>
    <x v="6"/>
    <x v="6"/>
    <s v="Saxony"/>
    <x v="0"/>
    <s v="3 Series"/>
    <s v="Electric"/>
    <x v="1"/>
    <s v="50+"/>
    <s v="Low"/>
    <x v="1"/>
    <x v="0"/>
    <s v="Sales_5"/>
    <n v="268"/>
    <n v="136"/>
    <n v="105"/>
    <n v="30"/>
    <s v="22.06"/>
    <n v="53045"/>
    <s v="3.95"/>
    <n v="39038"/>
    <n v="1591350"/>
    <n v="420210"/>
    <s v="Feb"/>
    <n v="2"/>
    <n v="2026"/>
    <s v="Weekday"/>
    <n v="0.2857142857142857"/>
    <n v="0.5074626865671642"/>
    <n v="0.11194029850746269"/>
    <n v="14007"/>
    <s v="Leipzig Mobility"/>
  </r>
  <r>
    <s v="CUST_3612"/>
    <x v="6"/>
    <x v="2"/>
    <s v="Saturday"/>
    <s v="Yes"/>
    <x v="4"/>
    <x v="4"/>
    <s v="Berlin"/>
    <x v="2"/>
    <s v="Q5"/>
    <s v="Petrol"/>
    <x v="0"/>
    <s v="36-50"/>
    <s v="Medium"/>
    <x v="0"/>
    <x v="1"/>
    <s v="Sales_4"/>
    <n v="187"/>
    <n v="89"/>
    <n v="58"/>
    <n v="24"/>
    <s v="26.97"/>
    <n v="46352"/>
    <s v="6.94"/>
    <n v="36572"/>
    <n v="1112448"/>
    <n v="234720"/>
    <s v="Feb"/>
    <n v="2"/>
    <n v="2026"/>
    <s v="Weekend"/>
    <n v="0.41379310344827586"/>
    <n v="0.47593582887700536"/>
    <n v="0.12834224598930483"/>
    <n v="9780"/>
    <s v="Autohaus Berlin"/>
  </r>
  <r>
    <s v="CUST_3613"/>
    <x v="11"/>
    <x v="0"/>
    <s v="Wednesday"/>
    <s v="No"/>
    <x v="1"/>
    <x v="1"/>
    <s v="NRW"/>
    <x v="1"/>
    <s v="Crossland"/>
    <s v="Hybrid"/>
    <x v="0"/>
    <s v="36-50"/>
    <s v="Low"/>
    <x v="0"/>
    <x v="3"/>
    <s v="Sales_19"/>
    <n v="419"/>
    <n v="199"/>
    <n v="112"/>
    <n v="32"/>
    <s v="16.08"/>
    <n v="24348"/>
    <s v="12.54"/>
    <n v="22217"/>
    <n v="779136"/>
    <n v="68192"/>
    <s v="Feb"/>
    <n v="2"/>
    <n v="2026"/>
    <s v="Weekday"/>
    <n v="0.2857142857142857"/>
    <n v="0.47494033412887826"/>
    <n v="7.6372315035799526E-2"/>
    <n v="2131"/>
    <s v="Rhein Auto Group"/>
  </r>
  <r>
    <s v="CUST_3614"/>
    <x v="20"/>
    <x v="0"/>
    <s v="Thursday"/>
    <s v="No"/>
    <x v="2"/>
    <x v="2"/>
    <s v="Lower Saxony"/>
    <x v="1"/>
    <s v="Corsa"/>
    <s v="Diesel"/>
    <x v="2"/>
    <s v="50+"/>
    <s v="High"/>
    <x v="0"/>
    <x v="3"/>
    <s v="Sales_1"/>
    <n v="372"/>
    <n v="195"/>
    <n v="135"/>
    <n v="29"/>
    <s v="14.87"/>
    <n v="22054"/>
    <s v="13.88"/>
    <n v="19832"/>
    <n v="639566"/>
    <n v="64438"/>
    <s v="Feb"/>
    <n v="2"/>
    <n v="2026"/>
    <s v="Weekday"/>
    <n v="0.21481481481481482"/>
    <n v="0.52419354838709675"/>
    <n v="7.7956989247311828E-2"/>
    <n v="2222"/>
    <s v="Hannover Cars"/>
  </r>
  <r>
    <s v="CUST_3615"/>
    <x v="13"/>
    <x v="0"/>
    <s v="Friday"/>
    <s v="No"/>
    <x v="5"/>
    <x v="5"/>
    <s v="Hamburg"/>
    <x v="0"/>
    <s v="5 Series"/>
    <s v="Diesel"/>
    <x v="1"/>
    <s v="50+"/>
    <s v="Low"/>
    <x v="0"/>
    <x v="3"/>
    <s v="Sales_9"/>
    <n v="151"/>
    <n v="76"/>
    <n v="61"/>
    <n v="20"/>
    <s v="26.32"/>
    <n v="55888"/>
    <s v="5.19"/>
    <n v="42528"/>
    <n v="1117760"/>
    <n v="267200"/>
    <s v="Feb"/>
    <n v="2"/>
    <n v="2026"/>
    <s v="Weekday"/>
    <n v="0.32786885245901637"/>
    <n v="0.50331125827814571"/>
    <n v="0.13245033112582782"/>
    <n v="13360"/>
    <s v="Elbe Drive"/>
  </r>
  <r>
    <s v="CUST_3616"/>
    <x v="18"/>
    <x v="0"/>
    <s v="Saturday"/>
    <s v="Yes"/>
    <x v="0"/>
    <x v="0"/>
    <s v="Hesse"/>
    <x v="0"/>
    <s v="X5"/>
    <s v="Diesel"/>
    <x v="0"/>
    <s v="18-25"/>
    <s v="High"/>
    <x v="1"/>
    <x v="2"/>
    <s v="Sales_19"/>
    <n v="222"/>
    <n v="123"/>
    <n v="87"/>
    <n v="37"/>
    <s v="30.08"/>
    <n v="62791"/>
    <s v="2.45"/>
    <n v="45140"/>
    <n v="2323267"/>
    <n v="653087"/>
    <s v="Feb"/>
    <n v="2"/>
    <n v="2026"/>
    <s v="Weekend"/>
    <n v="0.42528735632183906"/>
    <n v="0.55405405405405406"/>
    <n v="0.16666666666666666"/>
    <n v="17651"/>
    <s v="Main Auto Hub"/>
  </r>
  <r>
    <s v="CUST_3617"/>
    <x v="9"/>
    <x v="0"/>
    <s v="Sunday"/>
    <s v="Yes"/>
    <x v="8"/>
    <x v="8"/>
    <s v="Baden-WÃ¼rttemberg"/>
    <x v="2"/>
    <s v="Q5"/>
    <s v="Diesel"/>
    <x v="0"/>
    <s v="26-35"/>
    <s v="High"/>
    <x v="1"/>
    <x v="2"/>
    <s v="Sales_12"/>
    <n v="211"/>
    <n v="105"/>
    <n v="72"/>
    <n v="24"/>
    <s v="22.86"/>
    <n v="55767"/>
    <s v="3.55"/>
    <n v="45393"/>
    <n v="1338408"/>
    <n v="248976"/>
    <s v="Feb"/>
    <n v="2"/>
    <n v="2026"/>
    <s v="Weekend"/>
    <n v="0.33333333333333331"/>
    <n v="0.49763033175355448"/>
    <n v="0.11374407582938388"/>
    <n v="10374"/>
    <s v="Stuttgart Auto Center"/>
  </r>
  <r>
    <s v="CUST_3618"/>
    <x v="21"/>
    <x v="0"/>
    <s v="Tuesday"/>
    <s v="No"/>
    <x v="5"/>
    <x v="5"/>
    <s v="Hamburg"/>
    <x v="0"/>
    <s v="5 Series"/>
    <s v="Diesel"/>
    <x v="1"/>
    <s v="36-50"/>
    <s v="Low"/>
    <x v="1"/>
    <x v="0"/>
    <s v="Sales_3"/>
    <n v="177"/>
    <n v="108"/>
    <n v="75"/>
    <n v="29"/>
    <s v="26.85"/>
    <n v="57534"/>
    <s v="2.65"/>
    <n v="41363"/>
    <n v="1668486"/>
    <n v="468959"/>
    <s v="Feb"/>
    <n v="2"/>
    <n v="2026"/>
    <s v="Weekday"/>
    <n v="0.38666666666666666"/>
    <n v="0.61016949152542377"/>
    <n v="0.16384180790960451"/>
    <n v="16171"/>
    <s v="Elbe Drive"/>
  </r>
  <r>
    <s v="CUST_3619"/>
    <x v="9"/>
    <x v="0"/>
    <s v="Sunday"/>
    <s v="Yes"/>
    <x v="0"/>
    <x v="0"/>
    <s v="Hesse"/>
    <x v="2"/>
    <s v="Q5"/>
    <s v="Diesel"/>
    <x v="0"/>
    <s v="36-50"/>
    <s v="Medium"/>
    <x v="0"/>
    <x v="0"/>
    <s v="Sales_13"/>
    <n v="181"/>
    <n v="94"/>
    <n v="68"/>
    <n v="20"/>
    <s v="21.28"/>
    <n v="53439"/>
    <s v="3.68"/>
    <n v="43797"/>
    <n v="1068780"/>
    <n v="192840"/>
    <s v="Feb"/>
    <n v="2"/>
    <n v="2026"/>
    <s v="Weekend"/>
    <n v="0.29411764705882354"/>
    <n v="0.51933701657458564"/>
    <n v="0.11049723756906077"/>
    <n v="9642"/>
    <s v="Main Auto Hub"/>
  </r>
  <r>
    <s v="CUST_3620"/>
    <x v="6"/>
    <x v="2"/>
    <s v="Saturday"/>
    <s v="Yes"/>
    <x v="6"/>
    <x v="6"/>
    <s v="Saxony"/>
    <x v="3"/>
    <s v="EQE"/>
    <s v="Diesel"/>
    <x v="1"/>
    <s v="36-50"/>
    <s v="Medium"/>
    <x v="1"/>
    <x v="0"/>
    <s v="Sales_13"/>
    <n v="273"/>
    <n v="159"/>
    <n v="126"/>
    <n v="35"/>
    <s v="22.01"/>
    <n v="58535"/>
    <s v="5.03"/>
    <n v="43121"/>
    <n v="2048725"/>
    <n v="539490"/>
    <s v="Feb"/>
    <n v="2"/>
    <n v="2026"/>
    <s v="Weekend"/>
    <n v="0.27777777777777779"/>
    <n v="0.58241758241758246"/>
    <n v="0.12820512820512819"/>
    <n v="15414"/>
    <s v="Leipzig Mobility"/>
  </r>
  <r>
    <s v="CUST_3621"/>
    <x v="27"/>
    <x v="3"/>
    <s v="Sunday"/>
    <s v="Yes"/>
    <x v="3"/>
    <x v="3"/>
    <s v="Saxony"/>
    <x v="0"/>
    <s v="X3"/>
    <s v="Diesel"/>
    <x v="0"/>
    <s v="50+"/>
    <s v="Low"/>
    <x v="1"/>
    <x v="1"/>
    <s v="Sales_12"/>
    <n v="190"/>
    <n v="90"/>
    <n v="65"/>
    <n v="23"/>
    <s v="25.56"/>
    <n v="63751"/>
    <s v="2.01"/>
    <n v="47584"/>
    <n v="1466273"/>
    <n v="371841"/>
    <s v="Feb"/>
    <n v="2"/>
    <n v="2026"/>
    <s v="Weekend"/>
    <n v="0.35384615384615387"/>
    <n v="0.47368421052631576"/>
    <n v="0.12105263157894737"/>
    <n v="16167"/>
    <s v="Saxon Wheels"/>
  </r>
  <r>
    <s v="CUST_3622"/>
    <x v="9"/>
    <x v="0"/>
    <s v="Sunday"/>
    <s v="Yes"/>
    <x v="0"/>
    <x v="0"/>
    <s v="Hesse"/>
    <x v="4"/>
    <s v="Golf"/>
    <s v="Hybrid"/>
    <x v="2"/>
    <s v="26-35"/>
    <s v="Low"/>
    <x v="1"/>
    <x v="3"/>
    <s v="Sales_15"/>
    <n v="399"/>
    <n v="205"/>
    <n v="121"/>
    <n v="29"/>
    <s v="14.15"/>
    <n v="25247"/>
    <s v="11.01"/>
    <n v="22643"/>
    <n v="732163"/>
    <n v="75516"/>
    <s v="Feb"/>
    <n v="2"/>
    <n v="2026"/>
    <s v="Weekend"/>
    <n v="0.23966942148760331"/>
    <n v="0.51378446115288223"/>
    <n v="7.2681704260651625E-2"/>
    <n v="2604"/>
    <s v="Main Auto Hub"/>
  </r>
  <r>
    <s v="CUST_3623"/>
    <x v="1"/>
    <x v="1"/>
    <s v="Wednesday"/>
    <s v="No"/>
    <x v="5"/>
    <x v="5"/>
    <s v="Hamburg"/>
    <x v="0"/>
    <s v="X5"/>
    <s v="Hybrid"/>
    <x v="0"/>
    <s v="26-35"/>
    <s v="Low"/>
    <x v="1"/>
    <x v="0"/>
    <s v="Sales_14"/>
    <n v="202"/>
    <n v="94"/>
    <n v="73"/>
    <n v="23"/>
    <s v="24.47"/>
    <n v="57379"/>
    <s v="5.86"/>
    <n v="42700"/>
    <n v="1319717"/>
    <n v="337617"/>
    <s v="Feb"/>
    <n v="2"/>
    <n v="2026"/>
    <s v="Weekday"/>
    <n v="0.31506849315068491"/>
    <n v="0.46534653465346537"/>
    <n v="0.11386138613861387"/>
    <n v="14679"/>
    <s v="Elbe Drive"/>
  </r>
  <r>
    <s v="CUST_3624"/>
    <x v="24"/>
    <x v="1"/>
    <s v="Thursday"/>
    <s v="No"/>
    <x v="3"/>
    <x v="3"/>
    <s v="Saxony"/>
    <x v="1"/>
    <s v="Astra"/>
    <s v="Hybrid"/>
    <x v="2"/>
    <s v="50+"/>
    <s v="High"/>
    <x v="0"/>
    <x v="2"/>
    <s v="Sales_2"/>
    <n v="399"/>
    <n v="203"/>
    <n v="139"/>
    <n v="37"/>
    <s v="18.23"/>
    <n v="22594"/>
    <s v="7.1"/>
    <n v="20433"/>
    <n v="835978"/>
    <n v="79957"/>
    <s v="Feb"/>
    <n v="2"/>
    <n v="2026"/>
    <s v="Weekday"/>
    <n v="0.26618705035971224"/>
    <n v="0.50877192982456143"/>
    <n v="9.2731829573934832E-2"/>
    <n v="2161"/>
    <s v="Saxon Wheels"/>
  </r>
  <r>
    <s v="CUST_3625"/>
    <x v="22"/>
    <x v="3"/>
    <s v="Tuesday"/>
    <s v="No"/>
    <x v="9"/>
    <x v="9"/>
    <s v="NRW"/>
    <x v="0"/>
    <s v="X3"/>
    <s v="Petrol"/>
    <x v="0"/>
    <s v="26-35"/>
    <s v="Medium"/>
    <x v="0"/>
    <x v="3"/>
    <s v="Sales_15"/>
    <n v="192"/>
    <n v="108"/>
    <n v="79"/>
    <n v="26"/>
    <s v="24.07"/>
    <n v="53995"/>
    <s v="2.91"/>
    <n v="38302"/>
    <n v="1403870"/>
    <n v="408018"/>
    <s v="Feb"/>
    <n v="2"/>
    <n v="2026"/>
    <s v="Weekday"/>
    <n v="0.32911392405063289"/>
    <n v="0.5625"/>
    <n v="0.13541666666666666"/>
    <n v="15693"/>
    <s v="Ruhr Auto Plaza"/>
  </r>
  <r>
    <s v="CUST_3626"/>
    <x v="6"/>
    <x v="2"/>
    <s v="Saturday"/>
    <s v="Yes"/>
    <x v="2"/>
    <x v="2"/>
    <s v="Lower Saxony"/>
    <x v="0"/>
    <s v="X3"/>
    <s v="Electric"/>
    <x v="0"/>
    <s v="18-25"/>
    <s v="Low"/>
    <x v="0"/>
    <x v="1"/>
    <s v="Sales_4"/>
    <n v="223"/>
    <n v="137"/>
    <n v="109"/>
    <n v="37"/>
    <s v="27.01"/>
    <n v="63400"/>
    <s v="3.36"/>
    <n v="48832"/>
    <n v="2345800"/>
    <n v="539016"/>
    <s v="Feb"/>
    <n v="2"/>
    <n v="2026"/>
    <s v="Weekend"/>
    <n v="0.33944954128440369"/>
    <n v="0.61434977578475336"/>
    <n v="0.16591928251121077"/>
    <n v="14568"/>
    <s v="Hannover Cars"/>
  </r>
  <r>
    <s v="CUST_3627"/>
    <x v="9"/>
    <x v="0"/>
    <s v="Sunday"/>
    <s v="Yes"/>
    <x v="7"/>
    <x v="7"/>
    <s v="Bavaria"/>
    <x v="4"/>
    <s v="Golf"/>
    <s v="Electric"/>
    <x v="2"/>
    <s v="26-35"/>
    <s v="Medium"/>
    <x v="1"/>
    <x v="3"/>
    <s v="Sales_3"/>
    <n v="507"/>
    <n v="227"/>
    <n v="136"/>
    <n v="34"/>
    <s v="14.98"/>
    <n v="27888"/>
    <s v="10.05"/>
    <n v="24599"/>
    <n v="948192"/>
    <n v="111826"/>
    <s v="Feb"/>
    <n v="2"/>
    <n v="2026"/>
    <s v="Weekend"/>
    <n v="0.25"/>
    <n v="0.44773175542406313"/>
    <n v="6.7061143984220903E-2"/>
    <n v="3289"/>
    <s v="Bavaria Motors"/>
  </r>
  <r>
    <s v="CUST_3628"/>
    <x v="24"/>
    <x v="1"/>
    <s v="Thursday"/>
    <s v="No"/>
    <x v="1"/>
    <x v="1"/>
    <s v="NRW"/>
    <x v="2"/>
    <s v="A3"/>
    <s v="Petrol"/>
    <x v="2"/>
    <s v="26-35"/>
    <s v="Medium"/>
    <x v="0"/>
    <x v="0"/>
    <s v="Sales_4"/>
    <n v="287"/>
    <n v="159"/>
    <n v="113"/>
    <n v="32"/>
    <s v="20.13"/>
    <n v="48847"/>
    <s v="5.66"/>
    <n v="38959"/>
    <n v="1563104"/>
    <n v="316416"/>
    <s v="Feb"/>
    <n v="2"/>
    <n v="2026"/>
    <s v="Weekday"/>
    <n v="0.2831858407079646"/>
    <n v="0.55400696864111498"/>
    <n v="0.11149825783972125"/>
    <n v="9888"/>
    <s v="Rhein Auto Group"/>
  </r>
  <r>
    <s v="CUST_3629"/>
    <x v="12"/>
    <x v="3"/>
    <s v="Thursday"/>
    <s v="No"/>
    <x v="1"/>
    <x v="1"/>
    <s v="NRW"/>
    <x v="4"/>
    <s v="T-Roc"/>
    <s v="Diesel"/>
    <x v="0"/>
    <s v="36-50"/>
    <s v="Medium"/>
    <x v="1"/>
    <x v="3"/>
    <s v="Sales_13"/>
    <n v="260"/>
    <n v="124"/>
    <n v="73"/>
    <n v="18"/>
    <s v="14.52"/>
    <n v="29228"/>
    <s v="6.8"/>
    <n v="25492"/>
    <n v="526104"/>
    <n v="67248"/>
    <s v="Feb"/>
    <n v="2"/>
    <n v="2026"/>
    <s v="Weekday"/>
    <n v="0.24657534246575341"/>
    <n v="0.47692307692307695"/>
    <n v="6.9230769230769235E-2"/>
    <n v="3736"/>
    <s v="Rhein Auto Group"/>
  </r>
  <r>
    <s v="CUST_3630"/>
    <x v="4"/>
    <x v="2"/>
    <s v="Wednesday"/>
    <s v="No"/>
    <x v="3"/>
    <x v="3"/>
    <s v="Saxony"/>
    <x v="1"/>
    <s v="Crossland"/>
    <s v="Petrol"/>
    <x v="0"/>
    <s v="50+"/>
    <s v="Medium"/>
    <x v="0"/>
    <x v="1"/>
    <s v="Sales_8"/>
    <n v="245"/>
    <n v="102"/>
    <n v="68"/>
    <n v="14"/>
    <s v="13.73"/>
    <n v="23636"/>
    <s v="9.16"/>
    <n v="21217"/>
    <n v="330904"/>
    <n v="33866"/>
    <s v="Feb"/>
    <n v="2"/>
    <n v="2026"/>
    <s v="Weekday"/>
    <n v="0.20588235294117646"/>
    <n v="0.41632653061224489"/>
    <n v="5.7142857142857141E-2"/>
    <n v="2419"/>
    <s v="Saxon Wheels"/>
  </r>
  <r>
    <s v="CUST_3631"/>
    <x v="2"/>
    <x v="2"/>
    <s v="Monday"/>
    <s v="No"/>
    <x v="4"/>
    <x v="4"/>
    <s v="Berlin"/>
    <x v="3"/>
    <s v="C-Class"/>
    <s v="Electric"/>
    <x v="1"/>
    <s v="18-25"/>
    <s v="Medium"/>
    <x v="1"/>
    <x v="3"/>
    <s v="Sales_17"/>
    <n v="234"/>
    <n v="122"/>
    <n v="85"/>
    <n v="33"/>
    <s v="27.05"/>
    <n v="56481"/>
    <s v="3.37"/>
    <n v="44609"/>
    <n v="1863873"/>
    <n v="391776"/>
    <s v="Feb"/>
    <n v="2"/>
    <n v="2026"/>
    <s v="Weekday"/>
    <n v="0.38823529411764707"/>
    <n v="0.5213675213675214"/>
    <n v="0.14102564102564102"/>
    <n v="11872"/>
    <s v="Autohaus Berlin"/>
  </r>
  <r>
    <s v="CUST_3632"/>
    <x v="10"/>
    <x v="1"/>
    <s v="Monday"/>
    <s v="No"/>
    <x v="2"/>
    <x v="2"/>
    <s v="Lower Saxony"/>
    <x v="4"/>
    <s v="Golf"/>
    <s v="Electric"/>
    <x v="2"/>
    <s v="18-25"/>
    <s v="Low"/>
    <x v="1"/>
    <x v="1"/>
    <s v="Sales_4"/>
    <n v="345"/>
    <n v="169"/>
    <n v="106"/>
    <n v="29"/>
    <s v="17.16"/>
    <n v="26156"/>
    <s v="10.95"/>
    <n v="23236"/>
    <n v="758524"/>
    <n v="84680"/>
    <s v="Feb"/>
    <n v="2"/>
    <n v="2026"/>
    <s v="Weekday"/>
    <n v="0.27358490566037735"/>
    <n v="0.48985507246376814"/>
    <n v="8.4057971014492749E-2"/>
    <n v="2920"/>
    <s v="Hannover Cars"/>
  </r>
  <r>
    <s v="CUST_3633"/>
    <x v="1"/>
    <x v="1"/>
    <s v="Wednesday"/>
    <s v="No"/>
    <x v="3"/>
    <x v="3"/>
    <s v="Saxony"/>
    <x v="4"/>
    <s v="Tiguan"/>
    <s v="Electric"/>
    <x v="0"/>
    <s v="36-50"/>
    <s v="Medium"/>
    <x v="1"/>
    <x v="1"/>
    <s v="Sales_20"/>
    <n v="494"/>
    <n v="271"/>
    <n v="177"/>
    <n v="37"/>
    <s v="13.65"/>
    <n v="26286"/>
    <s v="10.18"/>
    <n v="22973"/>
    <n v="972582"/>
    <n v="122581"/>
    <s v="Feb"/>
    <n v="2"/>
    <n v="2026"/>
    <s v="Weekday"/>
    <n v="0.20903954802259886"/>
    <n v="0.54858299595141702"/>
    <n v="7.4898785425101214E-2"/>
    <n v="3313"/>
    <s v="Saxon Wheels"/>
  </r>
  <r>
    <s v="CUST_3634"/>
    <x v="8"/>
    <x v="3"/>
    <s v="Wednesday"/>
    <s v="No"/>
    <x v="0"/>
    <x v="0"/>
    <s v="Hesse"/>
    <x v="2"/>
    <s v="A4"/>
    <s v="Electric"/>
    <x v="1"/>
    <s v="18-25"/>
    <s v="Low"/>
    <x v="1"/>
    <x v="0"/>
    <s v="Sales_6"/>
    <n v="199"/>
    <n v="105"/>
    <n v="79"/>
    <n v="19"/>
    <s v="18.1"/>
    <n v="39859"/>
    <s v="5.63"/>
    <n v="31601"/>
    <n v="757321"/>
    <n v="156902"/>
    <s v="Feb"/>
    <n v="2"/>
    <n v="2026"/>
    <s v="Weekday"/>
    <n v="0.24050632911392406"/>
    <n v="0.52763819095477382"/>
    <n v="9.5477386934673364E-2"/>
    <n v="8258"/>
    <s v="Main Auto Hub"/>
  </r>
  <r>
    <s v="CUST_3635"/>
    <x v="0"/>
    <x v="0"/>
    <s v="Monday"/>
    <s v="No"/>
    <x v="3"/>
    <x v="3"/>
    <s v="Saxony"/>
    <x v="0"/>
    <s v="X3"/>
    <s v="Diesel"/>
    <x v="0"/>
    <s v="18-25"/>
    <s v="Low"/>
    <x v="0"/>
    <x v="2"/>
    <s v="Sales_2"/>
    <n v="261"/>
    <n v="120"/>
    <n v="90"/>
    <n v="36"/>
    <s v="30.0"/>
    <n v="65395"/>
    <s v="3.45"/>
    <n v="46809"/>
    <n v="2354220"/>
    <n v="669096"/>
    <s v="Feb"/>
    <n v="2"/>
    <n v="2026"/>
    <s v="Weekday"/>
    <n v="0.4"/>
    <n v="0.45977011494252873"/>
    <n v="0.13793103448275862"/>
    <n v="18586"/>
    <s v="Saxon Wheels"/>
  </r>
  <r>
    <s v="CUST_3636"/>
    <x v="0"/>
    <x v="0"/>
    <s v="Monday"/>
    <s v="No"/>
    <x v="1"/>
    <x v="1"/>
    <s v="NRW"/>
    <x v="4"/>
    <s v="T-Roc"/>
    <s v="Petrol"/>
    <x v="0"/>
    <s v="50+"/>
    <s v="Low"/>
    <x v="1"/>
    <x v="3"/>
    <s v="Sales_1"/>
    <n v="290"/>
    <n v="129"/>
    <n v="89"/>
    <n v="21"/>
    <s v="16.28"/>
    <n v="27523"/>
    <s v="8.88"/>
    <n v="23784"/>
    <n v="577983"/>
    <n v="78519"/>
    <s v="Feb"/>
    <n v="2"/>
    <n v="2026"/>
    <s v="Weekday"/>
    <n v="0.23595505617977527"/>
    <n v="0.44482758620689655"/>
    <n v="7.2413793103448282E-2"/>
    <n v="3739"/>
    <s v="Rhein Auto Group"/>
  </r>
  <r>
    <s v="CUST_3637"/>
    <x v="1"/>
    <x v="1"/>
    <s v="Wednesday"/>
    <s v="No"/>
    <x v="6"/>
    <x v="6"/>
    <s v="Saxony"/>
    <x v="3"/>
    <s v="EQE"/>
    <s v="Diesel"/>
    <x v="1"/>
    <s v="18-25"/>
    <s v="High"/>
    <x v="1"/>
    <x v="2"/>
    <s v="Sales_12"/>
    <n v="290"/>
    <n v="129"/>
    <n v="87"/>
    <n v="36"/>
    <s v="27.91"/>
    <n v="57362"/>
    <s v="4.87"/>
    <n v="44465"/>
    <n v="2065032"/>
    <n v="464292"/>
    <s v="Feb"/>
    <n v="2"/>
    <n v="2026"/>
    <s v="Weekday"/>
    <n v="0.41379310344827586"/>
    <n v="0.44482758620689655"/>
    <n v="0.12413793103448276"/>
    <n v="12897"/>
    <s v="Leipzig Mobility"/>
  </r>
  <r>
    <s v="CUST_3638"/>
    <x v="27"/>
    <x v="3"/>
    <s v="Sunday"/>
    <s v="Yes"/>
    <x v="1"/>
    <x v="1"/>
    <s v="NRW"/>
    <x v="2"/>
    <s v="A4"/>
    <s v="Hybrid"/>
    <x v="1"/>
    <s v="50+"/>
    <s v="High"/>
    <x v="1"/>
    <x v="3"/>
    <s v="Sales_7"/>
    <n v="218"/>
    <n v="133"/>
    <n v="85"/>
    <n v="28"/>
    <s v="21.05"/>
    <n v="55816"/>
    <s v="3.42"/>
    <n v="42310"/>
    <n v="1562848"/>
    <n v="378168"/>
    <s v="Feb"/>
    <n v="2"/>
    <n v="2026"/>
    <s v="Weekend"/>
    <n v="0.32941176470588235"/>
    <n v="0.61009174311926606"/>
    <n v="0.12844036697247707"/>
    <n v="13506"/>
    <s v="Rhein Auto Group"/>
  </r>
  <r>
    <s v="CUST_3639"/>
    <x v="5"/>
    <x v="3"/>
    <s v="Saturday"/>
    <s v="Yes"/>
    <x v="5"/>
    <x v="5"/>
    <s v="Hamburg"/>
    <x v="3"/>
    <s v="E-Class"/>
    <s v="Petrol"/>
    <x v="1"/>
    <s v="18-25"/>
    <s v="Low"/>
    <x v="1"/>
    <x v="0"/>
    <s v="Sales_9"/>
    <n v="202"/>
    <n v="93"/>
    <n v="62"/>
    <n v="20"/>
    <s v="21.51"/>
    <n v="51536"/>
    <s v="5.9"/>
    <n v="37926"/>
    <n v="1030720"/>
    <n v="272200"/>
    <s v="Feb"/>
    <n v="2"/>
    <n v="2026"/>
    <s v="Weekend"/>
    <n v="0.32258064516129031"/>
    <n v="0.46039603960396042"/>
    <n v="9.9009900990099015E-2"/>
    <n v="13610"/>
    <s v="Elbe Drive"/>
  </r>
  <r>
    <s v="CUST_3640"/>
    <x v="24"/>
    <x v="1"/>
    <s v="Thursday"/>
    <s v="No"/>
    <x v="0"/>
    <x v="0"/>
    <s v="Hesse"/>
    <x v="3"/>
    <s v="E-Class"/>
    <s v="Diesel"/>
    <x v="1"/>
    <s v="36-50"/>
    <s v="Low"/>
    <x v="1"/>
    <x v="2"/>
    <s v="Sales_1"/>
    <n v="260"/>
    <n v="142"/>
    <n v="109"/>
    <n v="38"/>
    <s v="26.76"/>
    <n v="56927"/>
    <s v="2.13"/>
    <n v="42552"/>
    <n v="2163226"/>
    <n v="546250"/>
    <s v="Feb"/>
    <n v="2"/>
    <n v="2026"/>
    <s v="Weekday"/>
    <n v="0.34862385321100919"/>
    <n v="0.5461538461538461"/>
    <n v="0.14615384615384616"/>
    <n v="14375"/>
    <s v="Main Auto Hub"/>
  </r>
  <r>
    <s v="CUST_3641"/>
    <x v="2"/>
    <x v="2"/>
    <s v="Monday"/>
    <s v="No"/>
    <x v="5"/>
    <x v="5"/>
    <s v="Hamburg"/>
    <x v="2"/>
    <s v="Q3"/>
    <s v="Diesel"/>
    <x v="0"/>
    <s v="18-25"/>
    <s v="High"/>
    <x v="0"/>
    <x v="2"/>
    <s v="Sales_17"/>
    <n v="220"/>
    <n v="125"/>
    <n v="90"/>
    <n v="34"/>
    <s v="27.2"/>
    <n v="44219"/>
    <s v="3.04"/>
    <n v="35639"/>
    <n v="1503446"/>
    <n v="291720"/>
    <s v="Feb"/>
    <n v="2"/>
    <n v="2026"/>
    <s v="Weekday"/>
    <n v="0.37777777777777777"/>
    <n v="0.56818181818181823"/>
    <n v="0.15454545454545454"/>
    <n v="8580"/>
    <s v="Elbe Drive"/>
  </r>
  <r>
    <s v="CUST_3642"/>
    <x v="11"/>
    <x v="0"/>
    <s v="Wednesday"/>
    <s v="No"/>
    <x v="2"/>
    <x v="2"/>
    <s v="Lower Saxony"/>
    <x v="1"/>
    <s v="Crossland"/>
    <s v="Hybrid"/>
    <x v="0"/>
    <s v="26-35"/>
    <s v="Medium"/>
    <x v="0"/>
    <x v="0"/>
    <s v="Sales_5"/>
    <n v="316"/>
    <n v="131"/>
    <n v="77"/>
    <n v="22"/>
    <s v="16.79"/>
    <n v="25058"/>
    <s v="8.7"/>
    <n v="22339"/>
    <n v="551276"/>
    <n v="59818"/>
    <s v="Feb"/>
    <n v="2"/>
    <n v="2026"/>
    <s v="Weekday"/>
    <n v="0.2857142857142857"/>
    <n v="0.41455696202531644"/>
    <n v="6.9620253164556958E-2"/>
    <n v="2719"/>
    <s v="Hannover Cars"/>
  </r>
  <r>
    <s v="CUST_3643"/>
    <x v="13"/>
    <x v="0"/>
    <s v="Friday"/>
    <s v="No"/>
    <x v="3"/>
    <x v="3"/>
    <s v="Saxony"/>
    <x v="1"/>
    <s v="Crossland"/>
    <s v="Petrol"/>
    <x v="0"/>
    <s v="50+"/>
    <s v="Low"/>
    <x v="0"/>
    <x v="2"/>
    <s v="Sales_18"/>
    <n v="377"/>
    <n v="199"/>
    <n v="121"/>
    <n v="39"/>
    <s v="19.6"/>
    <n v="23795"/>
    <s v="13.65"/>
    <n v="21793"/>
    <n v="928005"/>
    <n v="78078"/>
    <s v="Feb"/>
    <n v="2"/>
    <n v="2026"/>
    <s v="Weekday"/>
    <n v="0.32231404958677684"/>
    <n v="0.52785145888594165"/>
    <n v="0.10344827586206896"/>
    <n v="2002"/>
    <s v="Saxon Wheels"/>
  </r>
  <r>
    <s v="CUST_3644"/>
    <x v="24"/>
    <x v="1"/>
    <s v="Thursday"/>
    <s v="No"/>
    <x v="8"/>
    <x v="8"/>
    <s v="Baden-WÃ¼rttemberg"/>
    <x v="2"/>
    <s v="A3"/>
    <s v="Hybrid"/>
    <x v="2"/>
    <s v="36-50"/>
    <s v="Low"/>
    <x v="0"/>
    <x v="3"/>
    <s v="Sales_2"/>
    <n v="173"/>
    <n v="95"/>
    <n v="68"/>
    <n v="21"/>
    <s v="22.11"/>
    <n v="42549"/>
    <s v="4.1"/>
    <n v="32711"/>
    <n v="893529"/>
    <n v="206598"/>
    <s v="Feb"/>
    <n v="2"/>
    <n v="2026"/>
    <s v="Weekday"/>
    <n v="0.30882352941176472"/>
    <n v="0.54913294797687862"/>
    <n v="0.12138728323699421"/>
    <n v="9838"/>
    <s v="Stuttgart Auto Center"/>
  </r>
  <r>
    <s v="CUST_3645"/>
    <x v="18"/>
    <x v="0"/>
    <s v="Saturday"/>
    <s v="Yes"/>
    <x v="7"/>
    <x v="7"/>
    <s v="Bavaria"/>
    <x v="1"/>
    <s v="Crossland"/>
    <s v="Petrol"/>
    <x v="0"/>
    <s v="50+"/>
    <s v="High"/>
    <x v="1"/>
    <x v="1"/>
    <s v="Sales_2"/>
    <n v="388"/>
    <n v="175"/>
    <n v="101"/>
    <n v="28"/>
    <s v="16.0"/>
    <n v="22479"/>
    <s v="8.09"/>
    <n v="20714"/>
    <n v="629412"/>
    <n v="49420"/>
    <s v="Feb"/>
    <n v="2"/>
    <n v="2026"/>
    <s v="Weekend"/>
    <n v="0.27722772277227725"/>
    <n v="0.45103092783505155"/>
    <n v="7.2164948453608241E-2"/>
    <n v="1765"/>
    <s v="Bavaria Motors"/>
  </r>
  <r>
    <s v="CUST_3646"/>
    <x v="0"/>
    <x v="0"/>
    <s v="Monday"/>
    <s v="No"/>
    <x v="8"/>
    <x v="8"/>
    <s v="Baden-WÃ¼rttemberg"/>
    <x v="4"/>
    <s v="Passat"/>
    <s v="Electric"/>
    <x v="1"/>
    <s v="26-35"/>
    <s v="Medium"/>
    <x v="0"/>
    <x v="2"/>
    <s v="Sales_19"/>
    <n v="393"/>
    <n v="191"/>
    <n v="123"/>
    <n v="40"/>
    <s v="20.94"/>
    <n v="28333"/>
    <s v="11.89"/>
    <n v="25059"/>
    <n v="1133320"/>
    <n v="130960"/>
    <s v="Feb"/>
    <n v="2"/>
    <n v="2026"/>
    <s v="Weekday"/>
    <n v="0.32520325203252032"/>
    <n v="0.48600508905852419"/>
    <n v="0.10178117048346055"/>
    <n v="3274"/>
    <s v="Stuttgart Auto Center"/>
  </r>
  <r>
    <s v="CUST_3647"/>
    <x v="12"/>
    <x v="3"/>
    <s v="Thursday"/>
    <s v="No"/>
    <x v="4"/>
    <x v="4"/>
    <s v="Berlin"/>
    <x v="4"/>
    <s v="ID.4"/>
    <s v="Petrol"/>
    <x v="0"/>
    <s v="18-25"/>
    <s v="High"/>
    <x v="0"/>
    <x v="3"/>
    <s v="Sales_19"/>
    <n v="322"/>
    <n v="129"/>
    <n v="89"/>
    <n v="23"/>
    <s v="17.83"/>
    <n v="31287"/>
    <s v="8.06"/>
    <n v="28296"/>
    <n v="719601"/>
    <n v="68793"/>
    <s v="Feb"/>
    <n v="2"/>
    <n v="2026"/>
    <s v="Weekday"/>
    <n v="0.25842696629213485"/>
    <n v="0.40062111801242234"/>
    <n v="7.1428571428571425E-2"/>
    <n v="2991"/>
    <s v="Autohaus Berlin"/>
  </r>
  <r>
    <s v="CUST_3648"/>
    <x v="27"/>
    <x v="3"/>
    <s v="Sunday"/>
    <s v="Yes"/>
    <x v="1"/>
    <x v="1"/>
    <s v="NRW"/>
    <x v="4"/>
    <s v="Golf"/>
    <s v="Diesel"/>
    <x v="2"/>
    <s v="26-35"/>
    <s v="Medium"/>
    <x v="1"/>
    <x v="3"/>
    <s v="Sales_1"/>
    <n v="414"/>
    <n v="184"/>
    <n v="121"/>
    <n v="29"/>
    <s v="15.76"/>
    <n v="32789"/>
    <s v="10.09"/>
    <n v="29786"/>
    <n v="950881"/>
    <n v="87087"/>
    <s v="Feb"/>
    <n v="2"/>
    <n v="2026"/>
    <s v="Weekend"/>
    <n v="0.23966942148760331"/>
    <n v="0.44444444444444442"/>
    <n v="7.0048309178743967E-2"/>
    <n v="3003"/>
    <s v="Rhein Auto Group"/>
  </r>
  <r>
    <s v="CUST_3649"/>
    <x v="12"/>
    <x v="3"/>
    <s v="Thursday"/>
    <s v="No"/>
    <x v="4"/>
    <x v="4"/>
    <s v="Berlin"/>
    <x v="0"/>
    <s v="i4"/>
    <s v="Electric"/>
    <x v="1"/>
    <s v="18-25"/>
    <s v="High"/>
    <x v="1"/>
    <x v="1"/>
    <s v="Sales_4"/>
    <n v="141"/>
    <n v="73"/>
    <n v="52"/>
    <n v="21"/>
    <s v="28.77"/>
    <n v="67054"/>
    <s v="5.08"/>
    <n v="47473"/>
    <n v="1408134"/>
    <n v="411201"/>
    <s v="Feb"/>
    <n v="2"/>
    <n v="2026"/>
    <s v="Weekday"/>
    <n v="0.40384615384615385"/>
    <n v="0.51773049645390068"/>
    <n v="0.14893617021276595"/>
    <n v="19581"/>
    <s v="Autohaus Berlin"/>
  </r>
  <r>
    <s v="CUST_3650"/>
    <x v="11"/>
    <x v="0"/>
    <s v="Wednesday"/>
    <s v="No"/>
    <x v="0"/>
    <x v="0"/>
    <s v="Hesse"/>
    <x v="0"/>
    <s v="X3"/>
    <s v="Diesel"/>
    <x v="0"/>
    <s v="50+"/>
    <s v="High"/>
    <x v="1"/>
    <x v="1"/>
    <s v="Sales_19"/>
    <n v="254"/>
    <n v="135"/>
    <n v="92"/>
    <n v="35"/>
    <s v="25.93"/>
    <n v="53474"/>
    <s v="4.46"/>
    <n v="39289"/>
    <n v="1871590"/>
    <n v="496475"/>
    <s v="Feb"/>
    <n v="2"/>
    <n v="2026"/>
    <s v="Weekday"/>
    <n v="0.38043478260869568"/>
    <n v="0.53149606299212604"/>
    <n v="0.13779527559055119"/>
    <n v="14185"/>
    <s v="Main Auto Hub"/>
  </r>
  <r>
    <s v="CUST_3651"/>
    <x v="10"/>
    <x v="1"/>
    <s v="Monday"/>
    <s v="No"/>
    <x v="6"/>
    <x v="6"/>
    <s v="Saxony"/>
    <x v="2"/>
    <s v="A4"/>
    <s v="Petrol"/>
    <x v="1"/>
    <s v="36-50"/>
    <s v="Medium"/>
    <x v="0"/>
    <x v="0"/>
    <s v="Sales_8"/>
    <n v="263"/>
    <n v="121"/>
    <n v="91"/>
    <n v="25"/>
    <s v="20.66"/>
    <n v="48504"/>
    <s v="5.4"/>
    <n v="38464"/>
    <n v="1212600"/>
    <n v="251000"/>
    <s v="Feb"/>
    <n v="2"/>
    <n v="2026"/>
    <s v="Weekday"/>
    <n v="0.27472527472527475"/>
    <n v="0.46007604562737642"/>
    <n v="9.5057034220532313E-2"/>
    <n v="10040"/>
    <s v="Leipzig Mobility"/>
  </r>
  <r>
    <s v="CUST_3652"/>
    <x v="22"/>
    <x v="3"/>
    <s v="Tuesday"/>
    <s v="No"/>
    <x v="9"/>
    <x v="9"/>
    <s v="NRW"/>
    <x v="3"/>
    <s v="E-Class"/>
    <s v="Electric"/>
    <x v="1"/>
    <s v="18-25"/>
    <s v="High"/>
    <x v="0"/>
    <x v="2"/>
    <s v="Sales_7"/>
    <n v="217"/>
    <n v="117"/>
    <n v="79"/>
    <n v="34"/>
    <s v="29.06"/>
    <n v="56359"/>
    <s v="3.83"/>
    <n v="43428"/>
    <n v="1916206"/>
    <n v="439654"/>
    <s v="Feb"/>
    <n v="2"/>
    <n v="2026"/>
    <s v="Weekday"/>
    <n v="0.43037974683544306"/>
    <n v="0.53917050691244239"/>
    <n v="0.15668202764976957"/>
    <n v="12931"/>
    <s v="Ruhr Auto Plaza"/>
  </r>
  <r>
    <s v="CUST_3653"/>
    <x v="13"/>
    <x v="0"/>
    <s v="Friday"/>
    <s v="No"/>
    <x v="7"/>
    <x v="7"/>
    <s v="Bavaria"/>
    <x v="0"/>
    <s v="i4"/>
    <s v="Petrol"/>
    <x v="1"/>
    <s v="50+"/>
    <s v="Low"/>
    <x v="1"/>
    <x v="1"/>
    <s v="Sales_13"/>
    <n v="184"/>
    <n v="85"/>
    <n v="69"/>
    <n v="26"/>
    <s v="30.59"/>
    <n v="66566"/>
    <s v="3.28"/>
    <n v="49542"/>
    <n v="1730716"/>
    <n v="442624"/>
    <s v="Feb"/>
    <n v="2"/>
    <n v="2026"/>
    <s v="Weekday"/>
    <n v="0.37681159420289856"/>
    <n v="0.46195652173913043"/>
    <n v="0.14130434782608695"/>
    <n v="17024"/>
    <s v="Bavaria Motors"/>
  </r>
  <r>
    <s v="CUST_3654"/>
    <x v="15"/>
    <x v="2"/>
    <s v="Thursday"/>
    <s v="No"/>
    <x v="4"/>
    <x v="4"/>
    <s v="Berlin"/>
    <x v="1"/>
    <s v="Astra"/>
    <s v="Petrol"/>
    <x v="2"/>
    <s v="36-50"/>
    <s v="High"/>
    <x v="0"/>
    <x v="2"/>
    <s v="Sales_12"/>
    <n v="302"/>
    <n v="165"/>
    <n v="106"/>
    <n v="30"/>
    <s v="18.18"/>
    <n v="25668"/>
    <s v="12.76"/>
    <n v="23483"/>
    <n v="770040"/>
    <n v="65550"/>
    <s v="Feb"/>
    <n v="2"/>
    <n v="2026"/>
    <s v="Weekday"/>
    <n v="0.28301886792452829"/>
    <n v="0.54635761589403975"/>
    <n v="9.9337748344370855E-2"/>
    <n v="2185"/>
    <s v="Autohaus Berlin"/>
  </r>
  <r>
    <s v="CUST_3655"/>
    <x v="9"/>
    <x v="0"/>
    <s v="Sunday"/>
    <s v="Yes"/>
    <x v="4"/>
    <x v="4"/>
    <s v="Berlin"/>
    <x v="0"/>
    <s v="X5"/>
    <s v="Electric"/>
    <x v="0"/>
    <s v="36-50"/>
    <s v="Medium"/>
    <x v="1"/>
    <x v="0"/>
    <s v="Sales_14"/>
    <n v="234"/>
    <n v="124"/>
    <n v="100"/>
    <n v="35"/>
    <s v="28.23"/>
    <n v="66367"/>
    <s v="5.08"/>
    <n v="49134"/>
    <n v="2322845"/>
    <n v="603155"/>
    <s v="Feb"/>
    <n v="2"/>
    <n v="2026"/>
    <s v="Weekend"/>
    <n v="0.35"/>
    <n v="0.52991452991452992"/>
    <n v="0.14957264957264957"/>
    <n v="17233"/>
    <s v="Autohaus Berlin"/>
  </r>
  <r>
    <s v="CUST_3656"/>
    <x v="22"/>
    <x v="3"/>
    <s v="Tuesday"/>
    <s v="No"/>
    <x v="2"/>
    <x v="2"/>
    <s v="Lower Saxony"/>
    <x v="1"/>
    <s v="Crossland"/>
    <s v="Hybrid"/>
    <x v="0"/>
    <s v="18-25"/>
    <s v="Low"/>
    <x v="1"/>
    <x v="1"/>
    <s v="Sales_6"/>
    <n v="308"/>
    <n v="144"/>
    <n v="92"/>
    <n v="21"/>
    <s v="14.58"/>
    <n v="26270"/>
    <s v="9.88"/>
    <n v="24081"/>
    <n v="551670"/>
    <n v="45969"/>
    <s v="Feb"/>
    <n v="2"/>
    <n v="2026"/>
    <s v="Weekday"/>
    <n v="0.22826086956521738"/>
    <n v="0.46753246753246752"/>
    <n v="6.8181818181818177E-2"/>
    <n v="2189"/>
    <s v="Hannover Cars"/>
  </r>
  <r>
    <s v="CUST_3657"/>
    <x v="4"/>
    <x v="2"/>
    <s v="Wednesday"/>
    <s v="No"/>
    <x v="2"/>
    <x v="2"/>
    <s v="Lower Saxony"/>
    <x v="0"/>
    <s v="X3"/>
    <s v="Diesel"/>
    <x v="0"/>
    <s v="18-25"/>
    <s v="Low"/>
    <x v="0"/>
    <x v="1"/>
    <s v="Sales_20"/>
    <n v="216"/>
    <n v="131"/>
    <n v="93"/>
    <n v="41"/>
    <s v="31.3"/>
    <n v="64524"/>
    <s v="5.71"/>
    <n v="49300"/>
    <n v="2645484"/>
    <n v="624184"/>
    <s v="Feb"/>
    <n v="2"/>
    <n v="2026"/>
    <s v="Weekday"/>
    <n v="0.44086021505376344"/>
    <n v="0.60648148148148151"/>
    <n v="0.18981481481481483"/>
    <n v="15224"/>
    <s v="Hannover Cars"/>
  </r>
  <r>
    <s v="CUST_3658"/>
    <x v="8"/>
    <x v="3"/>
    <s v="Wednesday"/>
    <s v="No"/>
    <x v="4"/>
    <x v="4"/>
    <s v="Berlin"/>
    <x v="0"/>
    <s v="X3"/>
    <s v="Electric"/>
    <x v="0"/>
    <s v="26-35"/>
    <s v="Medium"/>
    <x v="1"/>
    <x v="1"/>
    <s v="Sales_19"/>
    <n v="224"/>
    <n v="128"/>
    <n v="94"/>
    <n v="40"/>
    <s v="31.25"/>
    <n v="69397"/>
    <s v="2.1"/>
    <n v="50608"/>
    <n v="2775880"/>
    <n v="751560"/>
    <s v="Feb"/>
    <n v="2"/>
    <n v="2026"/>
    <s v="Weekday"/>
    <n v="0.42553191489361702"/>
    <n v="0.5714285714285714"/>
    <n v="0.17857142857142858"/>
    <n v="18789"/>
    <s v="Autohaus Berlin"/>
  </r>
  <r>
    <s v="CUST_3659"/>
    <x v="26"/>
    <x v="1"/>
    <s v="Friday"/>
    <s v="No"/>
    <x v="8"/>
    <x v="8"/>
    <s v="Baden-WÃ¼rttemberg"/>
    <x v="3"/>
    <s v="EQE"/>
    <s v="Electric"/>
    <x v="1"/>
    <s v="18-25"/>
    <s v="Low"/>
    <x v="1"/>
    <x v="1"/>
    <s v="Sales_3"/>
    <n v="197"/>
    <n v="114"/>
    <n v="83"/>
    <n v="27"/>
    <s v="23.68"/>
    <n v="63098"/>
    <s v="4.37"/>
    <n v="45543"/>
    <n v="1703646"/>
    <n v="473985"/>
    <s v="Feb"/>
    <n v="2"/>
    <n v="2026"/>
    <s v="Weekday"/>
    <n v="0.3253012048192771"/>
    <n v="0.57868020304568524"/>
    <n v="0.13705583756345177"/>
    <n v="17555"/>
    <s v="Stuttgart Auto Center"/>
  </r>
  <r>
    <s v="CUST_3660"/>
    <x v="7"/>
    <x v="3"/>
    <s v="Monday"/>
    <s v="No"/>
    <x v="8"/>
    <x v="8"/>
    <s v="Baden-WÃ¼rttemberg"/>
    <x v="3"/>
    <s v="GLC"/>
    <s v="Diesel"/>
    <x v="0"/>
    <s v="50+"/>
    <s v="Medium"/>
    <x v="1"/>
    <x v="1"/>
    <s v="Sales_2"/>
    <n v="207"/>
    <n v="122"/>
    <n v="85"/>
    <n v="30"/>
    <s v="24.59"/>
    <n v="60813"/>
    <s v="5.6"/>
    <n v="45442"/>
    <n v="1824390"/>
    <n v="461130"/>
    <s v="Feb"/>
    <n v="2"/>
    <n v="2026"/>
    <s v="Weekday"/>
    <n v="0.35294117647058826"/>
    <n v="0.58937198067632846"/>
    <n v="0.14492753623188406"/>
    <n v="15371"/>
    <s v="Stuttgart Auto Center"/>
  </r>
  <r>
    <s v="CUST_3661"/>
    <x v="14"/>
    <x v="2"/>
    <s v="Friday"/>
    <s v="No"/>
    <x v="0"/>
    <x v="0"/>
    <s v="Hesse"/>
    <x v="1"/>
    <s v="Corsa"/>
    <s v="Hybrid"/>
    <x v="2"/>
    <s v="50+"/>
    <s v="Medium"/>
    <x v="0"/>
    <x v="3"/>
    <s v="Sales_20"/>
    <n v="266"/>
    <n v="128"/>
    <n v="81"/>
    <n v="21"/>
    <s v="16.41"/>
    <n v="22030"/>
    <s v="8.83"/>
    <n v="20367"/>
    <n v="462630"/>
    <n v="34923"/>
    <s v="Feb"/>
    <n v="2"/>
    <n v="2026"/>
    <s v="Weekday"/>
    <n v="0.25925925925925924"/>
    <n v="0.48120300751879697"/>
    <n v="7.8947368421052627E-2"/>
    <n v="1663"/>
    <s v="Main Auto Hub"/>
  </r>
  <r>
    <s v="CUST_3662"/>
    <x v="20"/>
    <x v="0"/>
    <s v="Thursday"/>
    <s v="No"/>
    <x v="8"/>
    <x v="8"/>
    <s v="Baden-WÃ¼rttemberg"/>
    <x v="0"/>
    <s v="5 Series"/>
    <s v="Diesel"/>
    <x v="1"/>
    <s v="26-35"/>
    <s v="High"/>
    <x v="0"/>
    <x v="3"/>
    <s v="Sales_18"/>
    <n v="246"/>
    <n v="127"/>
    <n v="95"/>
    <n v="37"/>
    <s v="29.13"/>
    <n v="62799"/>
    <s v="5.76"/>
    <n v="46054"/>
    <n v="2323563"/>
    <n v="619565"/>
    <s v="Feb"/>
    <n v="2"/>
    <n v="2026"/>
    <s v="Weekday"/>
    <n v="0.38947368421052631"/>
    <n v="0.51626016260162599"/>
    <n v="0.15040650406504066"/>
    <n v="16745"/>
    <s v="Stuttgart Auto Center"/>
  </r>
  <r>
    <s v="CUST_3663"/>
    <x v="27"/>
    <x v="3"/>
    <s v="Sunday"/>
    <s v="Yes"/>
    <x v="2"/>
    <x v="2"/>
    <s v="Lower Saxony"/>
    <x v="1"/>
    <s v="Corsa"/>
    <s v="Electric"/>
    <x v="2"/>
    <s v="50+"/>
    <s v="Low"/>
    <x v="1"/>
    <x v="2"/>
    <s v="Sales_16"/>
    <n v="281"/>
    <n v="155"/>
    <n v="88"/>
    <n v="28"/>
    <s v="18.06"/>
    <n v="26287"/>
    <s v="10.15"/>
    <n v="24274"/>
    <n v="736036"/>
    <n v="56364"/>
    <s v="Feb"/>
    <n v="2"/>
    <n v="2026"/>
    <s v="Weekend"/>
    <n v="0.31818181818181818"/>
    <n v="0.55160142348754448"/>
    <n v="9.9644128113879002E-2"/>
    <n v="2013"/>
    <s v="Hannover Cars"/>
  </r>
  <r>
    <s v="CUST_3664"/>
    <x v="24"/>
    <x v="1"/>
    <s v="Thursday"/>
    <s v="No"/>
    <x v="5"/>
    <x v="5"/>
    <s v="Hamburg"/>
    <x v="4"/>
    <s v="Golf"/>
    <s v="Electric"/>
    <x v="2"/>
    <s v="36-50"/>
    <s v="Medium"/>
    <x v="1"/>
    <x v="3"/>
    <s v="Sales_6"/>
    <n v="504"/>
    <n v="266"/>
    <n v="181"/>
    <n v="40"/>
    <s v="15.04"/>
    <n v="31317"/>
    <s v="10.55"/>
    <n v="27772"/>
    <n v="1252680"/>
    <n v="141800"/>
    <s v="Feb"/>
    <n v="2"/>
    <n v="2026"/>
    <s v="Weekday"/>
    <n v="0.22099447513812154"/>
    <n v="0.52777777777777779"/>
    <n v="7.9365079365079361E-2"/>
    <n v="3545"/>
    <s v="Elbe Drive"/>
  </r>
  <r>
    <s v="CUST_3665"/>
    <x v="25"/>
    <x v="3"/>
    <s v="Friday"/>
    <s v="No"/>
    <x v="6"/>
    <x v="6"/>
    <s v="Saxony"/>
    <x v="1"/>
    <s v="Mokka"/>
    <s v="Diesel"/>
    <x v="0"/>
    <s v="36-50"/>
    <s v="Medium"/>
    <x v="1"/>
    <x v="1"/>
    <s v="Sales_2"/>
    <n v="366"/>
    <n v="189"/>
    <n v="131"/>
    <n v="28"/>
    <s v="14.81"/>
    <n v="27113"/>
    <s v="7.55"/>
    <n v="24516"/>
    <n v="759164"/>
    <n v="72716"/>
    <s v="Feb"/>
    <n v="2"/>
    <n v="2026"/>
    <s v="Weekday"/>
    <n v="0.21374045801526717"/>
    <n v="0.51639344262295084"/>
    <n v="7.650273224043716E-2"/>
    <n v="2597"/>
    <s v="Leipzig Mobility"/>
  </r>
  <r>
    <s v="CUST_3666"/>
    <x v="18"/>
    <x v="0"/>
    <s v="Saturday"/>
    <s v="Yes"/>
    <x v="8"/>
    <x v="8"/>
    <s v="Baden-WÃ¼rttemberg"/>
    <x v="2"/>
    <s v="A3"/>
    <s v="Hybrid"/>
    <x v="2"/>
    <s v="26-35"/>
    <s v="Medium"/>
    <x v="1"/>
    <x v="0"/>
    <s v="Sales_9"/>
    <n v="246"/>
    <n v="126"/>
    <n v="90"/>
    <n v="25"/>
    <s v="19.84"/>
    <n v="42658"/>
    <s v="6.55"/>
    <n v="34329"/>
    <n v="1066450"/>
    <n v="208225"/>
    <s v="Feb"/>
    <n v="2"/>
    <n v="2026"/>
    <s v="Weekend"/>
    <n v="0.27777777777777779"/>
    <n v="0.51219512195121952"/>
    <n v="0.1016260162601626"/>
    <n v="8329"/>
    <s v="Stuttgart Auto Center"/>
  </r>
  <r>
    <s v="CUST_3667"/>
    <x v="5"/>
    <x v="3"/>
    <s v="Saturday"/>
    <s v="Yes"/>
    <x v="6"/>
    <x v="6"/>
    <s v="Saxony"/>
    <x v="0"/>
    <s v="i4"/>
    <s v="Hybrid"/>
    <x v="1"/>
    <s v="36-50"/>
    <s v="High"/>
    <x v="1"/>
    <x v="3"/>
    <s v="Sales_8"/>
    <n v="254"/>
    <n v="157"/>
    <n v="117"/>
    <n v="36"/>
    <s v="22.93"/>
    <n v="53748"/>
    <s v="3.76"/>
    <n v="38013"/>
    <n v="1934928"/>
    <n v="566460"/>
    <s v="Feb"/>
    <n v="2"/>
    <n v="2026"/>
    <s v="Weekend"/>
    <n v="0.30769230769230771"/>
    <n v="0.61811023622047245"/>
    <n v="0.14173228346456693"/>
    <n v="15735"/>
    <s v="Leipzig Mobility"/>
  </r>
  <r>
    <s v="CUST_3668"/>
    <x v="25"/>
    <x v="3"/>
    <s v="Friday"/>
    <s v="No"/>
    <x v="3"/>
    <x v="3"/>
    <s v="Saxony"/>
    <x v="0"/>
    <s v="X5"/>
    <s v="Hybrid"/>
    <x v="0"/>
    <s v="18-25"/>
    <s v="High"/>
    <x v="1"/>
    <x v="1"/>
    <s v="Sales_6"/>
    <n v="149"/>
    <n v="74"/>
    <n v="55"/>
    <n v="21"/>
    <s v="28.38"/>
    <n v="53170"/>
    <s v="2.35"/>
    <n v="39621"/>
    <n v="1116570"/>
    <n v="284529"/>
    <s v="Feb"/>
    <n v="2"/>
    <n v="2026"/>
    <s v="Weekday"/>
    <n v="0.38181818181818183"/>
    <n v="0.49664429530201343"/>
    <n v="0.14093959731543623"/>
    <n v="13549"/>
    <s v="Saxon Wheels"/>
  </r>
  <r>
    <s v="CUST_3669"/>
    <x v="1"/>
    <x v="1"/>
    <s v="Wednesday"/>
    <s v="No"/>
    <x v="9"/>
    <x v="9"/>
    <s v="NRW"/>
    <x v="1"/>
    <s v="Grandland"/>
    <s v="Diesel"/>
    <x v="0"/>
    <s v="50+"/>
    <s v="Medium"/>
    <x v="0"/>
    <x v="1"/>
    <s v="Sales_11"/>
    <n v="370"/>
    <n v="159"/>
    <n v="98"/>
    <n v="27"/>
    <s v="16.98"/>
    <n v="23238"/>
    <s v="10.54"/>
    <n v="21197"/>
    <n v="627426"/>
    <n v="55107"/>
    <s v="Feb"/>
    <n v="2"/>
    <n v="2026"/>
    <s v="Weekday"/>
    <n v="0.27551020408163263"/>
    <n v="0.42972972972972973"/>
    <n v="7.2972972972972977E-2"/>
    <n v="2041"/>
    <s v="Ruhr Auto Plaza"/>
  </r>
  <r>
    <s v="CUST_3670"/>
    <x v="6"/>
    <x v="2"/>
    <s v="Saturday"/>
    <s v="Yes"/>
    <x v="4"/>
    <x v="4"/>
    <s v="Berlin"/>
    <x v="0"/>
    <s v="X3"/>
    <s v="Electric"/>
    <x v="0"/>
    <s v="18-25"/>
    <s v="High"/>
    <x v="1"/>
    <x v="3"/>
    <s v="Sales_11"/>
    <n v="158"/>
    <n v="71"/>
    <n v="52"/>
    <n v="17"/>
    <s v="23.94"/>
    <n v="68212"/>
    <s v="5.09"/>
    <n v="51256"/>
    <n v="1159604"/>
    <n v="288252"/>
    <s v="Feb"/>
    <n v="2"/>
    <n v="2026"/>
    <s v="Weekend"/>
    <n v="0.32692307692307693"/>
    <n v="0.44936708860759494"/>
    <n v="0.10759493670886076"/>
    <n v="16956"/>
    <s v="Autohaus Berlin"/>
  </r>
  <r>
    <s v="CUST_3671"/>
    <x v="9"/>
    <x v="0"/>
    <s v="Sunday"/>
    <s v="Yes"/>
    <x v="6"/>
    <x v="6"/>
    <s v="Saxony"/>
    <x v="1"/>
    <s v="Crossland"/>
    <s v="Hybrid"/>
    <x v="0"/>
    <s v="18-25"/>
    <s v="High"/>
    <x v="1"/>
    <x v="1"/>
    <s v="Sales_15"/>
    <n v="385"/>
    <n v="154"/>
    <n v="96"/>
    <n v="22"/>
    <s v="14.29"/>
    <n v="26986"/>
    <s v="8.24"/>
    <n v="24568"/>
    <n v="593692"/>
    <n v="53196"/>
    <s v="Feb"/>
    <n v="2"/>
    <n v="2026"/>
    <s v="Weekend"/>
    <n v="0.22916666666666666"/>
    <n v="0.4"/>
    <n v="5.7142857142857141E-2"/>
    <n v="2418"/>
    <s v="Leipzig Mobility"/>
  </r>
  <r>
    <s v="CUST_3672"/>
    <x v="15"/>
    <x v="2"/>
    <s v="Thursday"/>
    <s v="No"/>
    <x v="7"/>
    <x v="7"/>
    <s v="Bavaria"/>
    <x v="2"/>
    <s v="e-tron"/>
    <s v="Hybrid"/>
    <x v="0"/>
    <s v="18-25"/>
    <s v="Medium"/>
    <x v="0"/>
    <x v="1"/>
    <s v="Sales_8"/>
    <n v="189"/>
    <n v="119"/>
    <n v="88"/>
    <n v="31"/>
    <s v="26.05"/>
    <n v="49523"/>
    <s v="4.05"/>
    <n v="38729"/>
    <n v="1535213"/>
    <n v="334614"/>
    <s v="Feb"/>
    <n v="2"/>
    <n v="2026"/>
    <s v="Weekday"/>
    <n v="0.35227272727272729"/>
    <n v="0.62962962962962965"/>
    <n v="0.16402116402116401"/>
    <n v="10794"/>
    <s v="Bavaria Motors"/>
  </r>
  <r>
    <s v="CUST_3673"/>
    <x v="17"/>
    <x v="2"/>
    <s v="Sunday"/>
    <s v="Yes"/>
    <x v="3"/>
    <x v="3"/>
    <s v="Saxony"/>
    <x v="2"/>
    <s v="A4"/>
    <s v="Electric"/>
    <x v="1"/>
    <s v="26-35"/>
    <s v="Medium"/>
    <x v="1"/>
    <x v="3"/>
    <s v="Sales_6"/>
    <n v="236"/>
    <n v="140"/>
    <n v="103"/>
    <n v="25"/>
    <s v="17.86"/>
    <n v="44225"/>
    <s v="5.06"/>
    <n v="33799"/>
    <n v="1105625"/>
    <n v="260650"/>
    <s v="Feb"/>
    <n v="2"/>
    <n v="2026"/>
    <s v="Weekend"/>
    <n v="0.24271844660194175"/>
    <n v="0.59322033898305082"/>
    <n v="0.1059322033898305"/>
    <n v="10426"/>
    <s v="Saxon Wheels"/>
  </r>
  <r>
    <s v="CUST_3674"/>
    <x v="17"/>
    <x v="2"/>
    <s v="Sunday"/>
    <s v="Yes"/>
    <x v="9"/>
    <x v="9"/>
    <s v="NRW"/>
    <x v="2"/>
    <s v="e-tron"/>
    <s v="Electric"/>
    <x v="0"/>
    <s v="26-35"/>
    <s v="Low"/>
    <x v="0"/>
    <x v="2"/>
    <s v="Sales_1"/>
    <n v="228"/>
    <n v="109"/>
    <n v="73"/>
    <n v="29"/>
    <s v="26.61"/>
    <n v="52546"/>
    <s v="5.22"/>
    <n v="41713"/>
    <n v="1523834"/>
    <n v="314157"/>
    <s v="Feb"/>
    <n v="2"/>
    <n v="2026"/>
    <s v="Weekend"/>
    <n v="0.39726027397260272"/>
    <n v="0.47807017543859648"/>
    <n v="0.12719298245614036"/>
    <n v="10833"/>
    <s v="Ruhr Auto Plaza"/>
  </r>
  <r>
    <s v="CUST_3675"/>
    <x v="16"/>
    <x v="1"/>
    <s v="Tuesday"/>
    <s v="No"/>
    <x v="7"/>
    <x v="7"/>
    <s v="Bavaria"/>
    <x v="4"/>
    <s v="Golf"/>
    <s v="Electric"/>
    <x v="2"/>
    <s v="26-35"/>
    <s v="High"/>
    <x v="0"/>
    <x v="3"/>
    <s v="Sales_9"/>
    <n v="516"/>
    <n v="258"/>
    <n v="172"/>
    <n v="43"/>
    <s v="16.67"/>
    <n v="28227"/>
    <s v="7.08"/>
    <n v="25458"/>
    <n v="1213761"/>
    <n v="119067"/>
    <s v="Feb"/>
    <n v="2"/>
    <n v="2026"/>
    <s v="Weekday"/>
    <n v="0.25"/>
    <n v="0.5"/>
    <n v="8.3333333333333329E-2"/>
    <n v="2769"/>
    <s v="Bavaria Motors"/>
  </r>
  <r>
    <s v="CUST_3676"/>
    <x v="27"/>
    <x v="3"/>
    <s v="Sunday"/>
    <s v="Yes"/>
    <x v="8"/>
    <x v="8"/>
    <s v="Baden-WÃ¼rttemberg"/>
    <x v="4"/>
    <s v="ID.4"/>
    <s v="Electric"/>
    <x v="0"/>
    <s v="36-50"/>
    <s v="Low"/>
    <x v="1"/>
    <x v="3"/>
    <s v="Sales_16"/>
    <n v="385"/>
    <n v="184"/>
    <n v="125"/>
    <n v="27"/>
    <s v="14.67"/>
    <n v="26162"/>
    <s v="7.8"/>
    <n v="23015"/>
    <n v="706374"/>
    <n v="84969"/>
    <s v="Feb"/>
    <n v="2"/>
    <n v="2026"/>
    <s v="Weekend"/>
    <n v="0.216"/>
    <n v="0.47792207792207791"/>
    <n v="7.0129870129870125E-2"/>
    <n v="3147"/>
    <s v="Stuttgart Auto Center"/>
  </r>
  <r>
    <s v="CUST_3677"/>
    <x v="1"/>
    <x v="1"/>
    <s v="Wednesday"/>
    <s v="No"/>
    <x v="1"/>
    <x v="1"/>
    <s v="NRW"/>
    <x v="3"/>
    <s v="GLE"/>
    <s v="Diesel"/>
    <x v="0"/>
    <s v="50+"/>
    <s v="Low"/>
    <x v="0"/>
    <x v="3"/>
    <s v="Sales_7"/>
    <n v="266"/>
    <n v="119"/>
    <n v="84"/>
    <n v="31"/>
    <s v="26.05"/>
    <n v="64439"/>
    <s v="3.37"/>
    <n v="48306"/>
    <n v="1997609"/>
    <n v="500123"/>
    <s v="Feb"/>
    <n v="2"/>
    <n v="2026"/>
    <s v="Weekday"/>
    <n v="0.36904761904761907"/>
    <n v="0.44736842105263158"/>
    <n v="0.11654135338345864"/>
    <n v="16133"/>
    <s v="Rhein Auto Group"/>
  </r>
  <r>
    <s v="CUST_3678"/>
    <x v="5"/>
    <x v="3"/>
    <s v="Saturday"/>
    <s v="Yes"/>
    <x v="5"/>
    <x v="5"/>
    <s v="Hamburg"/>
    <x v="2"/>
    <s v="A4"/>
    <s v="Diesel"/>
    <x v="1"/>
    <s v="36-50"/>
    <s v="Low"/>
    <x v="1"/>
    <x v="1"/>
    <s v="Sales_8"/>
    <n v="236"/>
    <n v="142"/>
    <n v="96"/>
    <n v="33"/>
    <s v="23.24"/>
    <n v="42060"/>
    <s v="5.5"/>
    <n v="34140"/>
    <n v="1387980"/>
    <n v="261360"/>
    <s v="Feb"/>
    <n v="2"/>
    <n v="2026"/>
    <s v="Weekend"/>
    <n v="0.34375"/>
    <n v="0.60169491525423724"/>
    <n v="0.13983050847457626"/>
    <n v="7920"/>
    <s v="Elbe Drive"/>
  </r>
  <r>
    <s v="CUST_3679"/>
    <x v="25"/>
    <x v="3"/>
    <s v="Friday"/>
    <s v="No"/>
    <x v="5"/>
    <x v="5"/>
    <s v="Hamburg"/>
    <x v="2"/>
    <s v="Q5"/>
    <s v="Diesel"/>
    <x v="0"/>
    <s v="50+"/>
    <s v="Medium"/>
    <x v="1"/>
    <x v="3"/>
    <s v="Sales_2"/>
    <n v="174"/>
    <n v="96"/>
    <n v="67"/>
    <n v="21"/>
    <s v="21.88"/>
    <n v="46851"/>
    <s v="6.11"/>
    <n v="37000"/>
    <n v="983871"/>
    <n v="206871"/>
    <s v="Feb"/>
    <n v="2"/>
    <n v="2026"/>
    <s v="Weekday"/>
    <n v="0.31343283582089554"/>
    <n v="0.55172413793103448"/>
    <n v="0.1206896551724138"/>
    <n v="9851"/>
    <s v="Elbe Drive"/>
  </r>
  <r>
    <s v="CUST_3680"/>
    <x v="17"/>
    <x v="2"/>
    <s v="Sunday"/>
    <s v="Yes"/>
    <x v="6"/>
    <x v="6"/>
    <s v="Saxony"/>
    <x v="3"/>
    <s v="C-Class"/>
    <s v="Hybrid"/>
    <x v="1"/>
    <s v="50+"/>
    <s v="Low"/>
    <x v="0"/>
    <x v="1"/>
    <s v="Sales_16"/>
    <n v="259"/>
    <n v="136"/>
    <n v="104"/>
    <n v="31"/>
    <s v="22.79"/>
    <n v="53684"/>
    <s v="4.25"/>
    <n v="39211"/>
    <n v="1664204"/>
    <n v="448663"/>
    <s v="Feb"/>
    <n v="2"/>
    <n v="2026"/>
    <s v="Weekend"/>
    <n v="0.29807692307692307"/>
    <n v="0.52509652509652505"/>
    <n v="0.11969111969111969"/>
    <n v="14473"/>
    <s v="Leipzig Mobility"/>
  </r>
  <r>
    <s v="CUST_3681"/>
    <x v="23"/>
    <x v="2"/>
    <s v="Tuesday"/>
    <s v="No"/>
    <x v="9"/>
    <x v="9"/>
    <s v="NRW"/>
    <x v="2"/>
    <s v="Q5"/>
    <s v="Diesel"/>
    <x v="0"/>
    <s v="18-25"/>
    <s v="Medium"/>
    <x v="1"/>
    <x v="3"/>
    <s v="Sales_9"/>
    <n v="216"/>
    <n v="104"/>
    <n v="66"/>
    <n v="20"/>
    <s v="19.23"/>
    <n v="40253"/>
    <s v="6.16"/>
    <n v="31907"/>
    <n v="805060"/>
    <n v="166920"/>
    <s v="Feb"/>
    <n v="2"/>
    <n v="2026"/>
    <s v="Weekday"/>
    <n v="0.30303030303030304"/>
    <n v="0.48148148148148145"/>
    <n v="9.2592592592592587E-2"/>
    <n v="8346"/>
    <s v="Ruhr Auto Plaza"/>
  </r>
  <r>
    <s v="CUST_3682"/>
    <x v="17"/>
    <x v="2"/>
    <s v="Sunday"/>
    <s v="Yes"/>
    <x v="5"/>
    <x v="5"/>
    <s v="Hamburg"/>
    <x v="1"/>
    <s v="Mokka"/>
    <s v="Hybrid"/>
    <x v="0"/>
    <s v="50+"/>
    <s v="High"/>
    <x v="1"/>
    <x v="1"/>
    <s v="Sales_7"/>
    <n v="339"/>
    <n v="133"/>
    <n v="90"/>
    <n v="21"/>
    <s v="15.79"/>
    <n v="24869"/>
    <s v="12.11"/>
    <n v="22608"/>
    <n v="522249"/>
    <n v="47481"/>
    <s v="Feb"/>
    <n v="2"/>
    <n v="2026"/>
    <s v="Weekend"/>
    <n v="0.23333333333333334"/>
    <n v="0.39233038348082594"/>
    <n v="6.1946902654867256E-2"/>
    <n v="2261"/>
    <s v="Elbe Drive"/>
  </r>
  <r>
    <s v="CUST_3683"/>
    <x v="16"/>
    <x v="1"/>
    <s v="Tuesday"/>
    <s v="No"/>
    <x v="8"/>
    <x v="8"/>
    <s v="Baden-WÃ¼rttemberg"/>
    <x v="2"/>
    <s v="e-tron"/>
    <s v="Diesel"/>
    <x v="0"/>
    <s v="36-50"/>
    <s v="High"/>
    <x v="0"/>
    <x v="1"/>
    <s v="Sales_8"/>
    <n v="170"/>
    <n v="81"/>
    <n v="56"/>
    <n v="18"/>
    <s v="22.22"/>
    <n v="42379"/>
    <s v="5.85"/>
    <n v="34577"/>
    <n v="762822"/>
    <n v="140436"/>
    <s v="Feb"/>
    <n v="2"/>
    <n v="2026"/>
    <s v="Weekday"/>
    <n v="0.32142857142857145"/>
    <n v="0.47647058823529409"/>
    <n v="0.10588235294117647"/>
    <n v="7802"/>
    <s v="Stuttgart Auto Center"/>
  </r>
  <r>
    <s v="CUST_3684"/>
    <x v="18"/>
    <x v="0"/>
    <s v="Saturday"/>
    <s v="Yes"/>
    <x v="7"/>
    <x v="7"/>
    <s v="Bavaria"/>
    <x v="0"/>
    <s v="X5"/>
    <s v="Diesel"/>
    <x v="0"/>
    <s v="18-25"/>
    <s v="Medium"/>
    <x v="1"/>
    <x v="1"/>
    <s v="Sales_6"/>
    <n v="241"/>
    <n v="136"/>
    <n v="101"/>
    <n v="42"/>
    <s v="30.88"/>
    <n v="53042"/>
    <s v="3.18"/>
    <n v="41079"/>
    <n v="2227764"/>
    <n v="502446"/>
    <s v="Feb"/>
    <n v="2"/>
    <n v="2026"/>
    <s v="Weekend"/>
    <n v="0.41584158415841582"/>
    <n v="0.56431535269709543"/>
    <n v="0.17427385892116182"/>
    <n v="11963"/>
    <s v="Bavaria Motors"/>
  </r>
  <r>
    <s v="CUST_3685"/>
    <x v="17"/>
    <x v="2"/>
    <s v="Sunday"/>
    <s v="Yes"/>
    <x v="8"/>
    <x v="8"/>
    <s v="Baden-WÃ¼rttemberg"/>
    <x v="1"/>
    <s v="Crossland"/>
    <s v="Petrol"/>
    <x v="0"/>
    <s v="50+"/>
    <s v="Medium"/>
    <x v="0"/>
    <x v="0"/>
    <s v="Sales_8"/>
    <n v="286"/>
    <n v="150"/>
    <n v="85"/>
    <n v="22"/>
    <s v="14.67"/>
    <n v="24469"/>
    <s v="13.77"/>
    <n v="22604"/>
    <n v="538318"/>
    <n v="41030"/>
    <s v="Feb"/>
    <n v="2"/>
    <n v="2026"/>
    <s v="Weekend"/>
    <n v="0.25882352941176473"/>
    <n v="0.52447552447552448"/>
    <n v="7.6923076923076927E-2"/>
    <n v="1865"/>
    <s v="Stuttgart Auto Center"/>
  </r>
  <r>
    <s v="CUST_3686"/>
    <x v="2"/>
    <x v="2"/>
    <s v="Monday"/>
    <s v="No"/>
    <x v="7"/>
    <x v="7"/>
    <s v="Bavaria"/>
    <x v="3"/>
    <s v="EQE"/>
    <s v="Petrol"/>
    <x v="1"/>
    <s v="26-35"/>
    <s v="High"/>
    <x v="0"/>
    <x v="0"/>
    <s v="Sales_12"/>
    <n v="174"/>
    <n v="97"/>
    <n v="69"/>
    <n v="24"/>
    <s v="24.74"/>
    <n v="57797"/>
    <s v="4.77"/>
    <n v="45316"/>
    <n v="1387128"/>
    <n v="299544"/>
    <s v="Feb"/>
    <n v="2"/>
    <n v="2026"/>
    <s v="Weekday"/>
    <n v="0.34782608695652173"/>
    <n v="0.55747126436781613"/>
    <n v="0.13793103448275862"/>
    <n v="12481"/>
    <s v="Bavaria Motors"/>
  </r>
  <r>
    <s v="CUST_3687"/>
    <x v="24"/>
    <x v="1"/>
    <s v="Thursday"/>
    <s v="No"/>
    <x v="4"/>
    <x v="4"/>
    <s v="Berlin"/>
    <x v="0"/>
    <s v="i4"/>
    <s v="Petrol"/>
    <x v="1"/>
    <s v="26-35"/>
    <s v="High"/>
    <x v="1"/>
    <x v="0"/>
    <s v="Sales_4"/>
    <n v="239"/>
    <n v="136"/>
    <n v="109"/>
    <n v="40"/>
    <s v="29.41"/>
    <n v="60800"/>
    <s v="4.58"/>
    <n v="45599"/>
    <n v="2432000"/>
    <n v="608040"/>
    <s v="Feb"/>
    <n v="2"/>
    <n v="2026"/>
    <s v="Weekday"/>
    <n v="0.3669724770642202"/>
    <n v="0.56903765690376573"/>
    <n v="0.16736401673640167"/>
    <n v="15201"/>
    <s v="Autohaus Berlin"/>
  </r>
  <r>
    <s v="CUST_3688"/>
    <x v="13"/>
    <x v="0"/>
    <s v="Friday"/>
    <s v="No"/>
    <x v="3"/>
    <x v="3"/>
    <s v="Saxony"/>
    <x v="0"/>
    <s v="5 Series"/>
    <s v="Electric"/>
    <x v="1"/>
    <s v="50+"/>
    <s v="Low"/>
    <x v="0"/>
    <x v="1"/>
    <s v="Sales_1"/>
    <n v="211"/>
    <n v="108"/>
    <n v="80"/>
    <n v="31"/>
    <s v="28.7"/>
    <n v="68216"/>
    <s v="2.78"/>
    <n v="50206"/>
    <n v="2114696"/>
    <n v="558310"/>
    <s v="Feb"/>
    <n v="2"/>
    <n v="2026"/>
    <s v="Weekday"/>
    <n v="0.38750000000000001"/>
    <n v="0.51184834123222744"/>
    <n v="0.14691943127962084"/>
    <n v="18010"/>
    <s v="Saxon Wheels"/>
  </r>
  <r>
    <s v="CUST_3689"/>
    <x v="21"/>
    <x v="0"/>
    <s v="Tuesday"/>
    <s v="No"/>
    <x v="5"/>
    <x v="5"/>
    <s v="Hamburg"/>
    <x v="2"/>
    <s v="e-tron"/>
    <s v="Hybrid"/>
    <x v="0"/>
    <s v="36-50"/>
    <s v="Medium"/>
    <x v="0"/>
    <x v="2"/>
    <s v="Sales_7"/>
    <n v="233"/>
    <n v="141"/>
    <n v="90"/>
    <n v="38"/>
    <s v="26.95"/>
    <n v="51865"/>
    <s v="6.79"/>
    <n v="40695"/>
    <n v="1970870"/>
    <n v="424460"/>
    <s v="Feb"/>
    <n v="2"/>
    <n v="2026"/>
    <s v="Weekday"/>
    <n v="0.42222222222222222"/>
    <n v="0.60515021459227469"/>
    <n v="0.1630901287553648"/>
    <n v="11170"/>
    <s v="Elbe Drive"/>
  </r>
  <r>
    <s v="CUST_3690"/>
    <x v="26"/>
    <x v="1"/>
    <s v="Friday"/>
    <s v="No"/>
    <x v="5"/>
    <x v="5"/>
    <s v="Hamburg"/>
    <x v="1"/>
    <s v="Crossland"/>
    <s v="Petrol"/>
    <x v="0"/>
    <s v="36-50"/>
    <s v="Medium"/>
    <x v="1"/>
    <x v="1"/>
    <s v="Sales_1"/>
    <n v="363"/>
    <n v="151"/>
    <n v="97"/>
    <n v="28"/>
    <s v="18.54"/>
    <n v="23875"/>
    <s v="10.88"/>
    <n v="21678"/>
    <n v="668500"/>
    <n v="61516"/>
    <s v="Feb"/>
    <n v="2"/>
    <n v="2026"/>
    <s v="Weekday"/>
    <n v="0.28865979381443296"/>
    <n v="0.41597796143250687"/>
    <n v="7.7134986225895319E-2"/>
    <n v="2197"/>
    <s v="Elbe Drive"/>
  </r>
  <r>
    <s v="CUST_3691"/>
    <x v="5"/>
    <x v="3"/>
    <s v="Saturday"/>
    <s v="Yes"/>
    <x v="9"/>
    <x v="9"/>
    <s v="NRW"/>
    <x v="2"/>
    <s v="e-tron"/>
    <s v="Hybrid"/>
    <x v="0"/>
    <s v="36-50"/>
    <s v="Medium"/>
    <x v="1"/>
    <x v="2"/>
    <s v="Sales_6"/>
    <n v="181"/>
    <n v="93"/>
    <n v="66"/>
    <n v="20"/>
    <s v="21.51"/>
    <n v="45723"/>
    <s v="5.91"/>
    <n v="35141"/>
    <n v="914460"/>
    <n v="211640"/>
    <s v="Feb"/>
    <n v="2"/>
    <n v="2026"/>
    <s v="Weekend"/>
    <n v="0.30303030303030304"/>
    <n v="0.51381215469613262"/>
    <n v="0.11049723756906077"/>
    <n v="10582"/>
    <s v="Ruhr Auto Plaza"/>
  </r>
  <r>
    <s v="CUST_3692"/>
    <x v="19"/>
    <x v="1"/>
    <s v="Saturday"/>
    <s v="Yes"/>
    <x v="7"/>
    <x v="7"/>
    <s v="Bavaria"/>
    <x v="2"/>
    <s v="A3"/>
    <s v="Electric"/>
    <x v="2"/>
    <s v="36-50"/>
    <s v="High"/>
    <x v="1"/>
    <x v="3"/>
    <s v="Sales_11"/>
    <n v="166"/>
    <n v="82"/>
    <n v="58"/>
    <n v="17"/>
    <s v="20.73"/>
    <n v="54451"/>
    <s v="4.88"/>
    <n v="42129"/>
    <n v="925667"/>
    <n v="209474"/>
    <s v="Feb"/>
    <n v="2"/>
    <n v="2026"/>
    <s v="Weekend"/>
    <n v="0.29310344827586204"/>
    <n v="0.49397590361445781"/>
    <n v="0.10240963855421686"/>
    <n v="12322"/>
    <s v="Bavaria Motors"/>
  </r>
  <r>
    <s v="CUST_3693"/>
    <x v="25"/>
    <x v="3"/>
    <s v="Friday"/>
    <s v="No"/>
    <x v="5"/>
    <x v="5"/>
    <s v="Hamburg"/>
    <x v="4"/>
    <s v="ID.4"/>
    <s v="Hybrid"/>
    <x v="0"/>
    <s v="36-50"/>
    <s v="Low"/>
    <x v="0"/>
    <x v="0"/>
    <s v="Sales_7"/>
    <n v="482"/>
    <n v="259"/>
    <n v="177"/>
    <n v="38"/>
    <s v="14.67"/>
    <n v="27872"/>
    <s v="8.7"/>
    <n v="24181"/>
    <n v="1059136"/>
    <n v="140258"/>
    <s v="Feb"/>
    <n v="2"/>
    <n v="2026"/>
    <s v="Weekday"/>
    <n v="0.21468926553672316"/>
    <n v="0.53734439834024894"/>
    <n v="7.8838174273858919E-2"/>
    <n v="3691"/>
    <s v="Elbe Drive"/>
  </r>
  <r>
    <s v="CUST_3694"/>
    <x v="26"/>
    <x v="1"/>
    <s v="Friday"/>
    <s v="No"/>
    <x v="4"/>
    <x v="4"/>
    <s v="Berlin"/>
    <x v="0"/>
    <s v="3 Series"/>
    <s v="Electric"/>
    <x v="1"/>
    <s v="18-25"/>
    <s v="Medium"/>
    <x v="1"/>
    <x v="0"/>
    <s v="Sales_18"/>
    <n v="213"/>
    <n v="124"/>
    <n v="101"/>
    <n v="35"/>
    <s v="28.23"/>
    <n v="64835"/>
    <s v="4.77"/>
    <n v="49528"/>
    <n v="2269225"/>
    <n v="535745"/>
    <s v="Feb"/>
    <n v="2"/>
    <n v="2026"/>
    <s v="Weekday"/>
    <n v="0.34653465346534651"/>
    <n v="0.5821596244131455"/>
    <n v="0.16431924882629109"/>
    <n v="15307"/>
    <s v="Autohaus Berlin"/>
  </r>
  <r>
    <s v="CUST_3695"/>
    <x v="16"/>
    <x v="1"/>
    <s v="Tuesday"/>
    <s v="No"/>
    <x v="1"/>
    <x v="1"/>
    <s v="NRW"/>
    <x v="3"/>
    <s v="GLC"/>
    <s v="Diesel"/>
    <x v="0"/>
    <s v="36-50"/>
    <s v="Low"/>
    <x v="1"/>
    <x v="0"/>
    <s v="Sales_12"/>
    <n v="245"/>
    <n v="125"/>
    <n v="93"/>
    <n v="27"/>
    <s v="21.6"/>
    <n v="68419"/>
    <s v="2.15"/>
    <n v="51726"/>
    <n v="1847313"/>
    <n v="450711"/>
    <s v="Feb"/>
    <n v="2"/>
    <n v="2026"/>
    <s v="Weekday"/>
    <n v="0.29032258064516131"/>
    <n v="0.51020408163265307"/>
    <n v="0.11020408163265306"/>
    <n v="16693"/>
    <s v="Rhein Auto Group"/>
  </r>
  <r>
    <s v="CUST_3696"/>
    <x v="21"/>
    <x v="0"/>
    <s v="Tuesday"/>
    <s v="No"/>
    <x v="6"/>
    <x v="6"/>
    <s v="Saxony"/>
    <x v="4"/>
    <s v="Passat"/>
    <s v="Petrol"/>
    <x v="1"/>
    <s v="18-25"/>
    <s v="Low"/>
    <x v="1"/>
    <x v="1"/>
    <s v="Sales_17"/>
    <n v="292"/>
    <n v="135"/>
    <n v="82"/>
    <n v="19"/>
    <s v="14.07"/>
    <n v="26054"/>
    <s v="7.79"/>
    <n v="23387"/>
    <n v="495026"/>
    <n v="50673"/>
    <s v="Feb"/>
    <n v="2"/>
    <n v="2026"/>
    <s v="Weekday"/>
    <n v="0.23170731707317074"/>
    <n v="0.46232876712328769"/>
    <n v="6.5068493150684928E-2"/>
    <n v="2667"/>
    <s v="Leipzig Mobility"/>
  </r>
  <r>
    <s v="CUST_3697"/>
    <x v="17"/>
    <x v="2"/>
    <s v="Sunday"/>
    <s v="Yes"/>
    <x v="6"/>
    <x v="6"/>
    <s v="Saxony"/>
    <x v="4"/>
    <s v="ID.4"/>
    <s v="Electric"/>
    <x v="0"/>
    <s v="36-50"/>
    <s v="High"/>
    <x v="1"/>
    <x v="2"/>
    <s v="Sales_10"/>
    <n v="372"/>
    <n v="167"/>
    <n v="116"/>
    <n v="26"/>
    <s v="15.57"/>
    <n v="27255"/>
    <s v="8.32"/>
    <n v="24488"/>
    <n v="708630"/>
    <n v="71942"/>
    <s v="Feb"/>
    <n v="2"/>
    <n v="2026"/>
    <s v="Weekend"/>
    <n v="0.22413793103448276"/>
    <n v="0.44892473118279569"/>
    <n v="6.9892473118279563E-2"/>
    <n v="2767"/>
    <s v="Leipzig Mobility"/>
  </r>
  <r>
    <s v="CUST_3698"/>
    <x v="4"/>
    <x v="2"/>
    <s v="Wednesday"/>
    <s v="No"/>
    <x v="1"/>
    <x v="1"/>
    <s v="NRW"/>
    <x v="3"/>
    <s v="GLE"/>
    <s v="Electric"/>
    <x v="0"/>
    <s v="26-35"/>
    <s v="Medium"/>
    <x v="1"/>
    <x v="0"/>
    <s v="Sales_12"/>
    <n v="190"/>
    <n v="109"/>
    <n v="72"/>
    <n v="22"/>
    <s v="20.18"/>
    <n v="54333"/>
    <s v="3.82"/>
    <n v="38586"/>
    <n v="1195326"/>
    <n v="346434"/>
    <s v="Feb"/>
    <n v="2"/>
    <n v="2026"/>
    <s v="Weekday"/>
    <n v="0.30555555555555558"/>
    <n v="0.5736842105263158"/>
    <n v="0.11578947368421053"/>
    <n v="15747"/>
    <s v="Rhein Auto Group"/>
  </r>
  <r>
    <s v="CUST_3699"/>
    <x v="15"/>
    <x v="2"/>
    <s v="Thursday"/>
    <s v="No"/>
    <x v="5"/>
    <x v="5"/>
    <s v="Hamburg"/>
    <x v="1"/>
    <s v="Mokka"/>
    <s v="Petrol"/>
    <x v="0"/>
    <s v="50+"/>
    <s v="High"/>
    <x v="0"/>
    <x v="0"/>
    <s v="Sales_7"/>
    <n v="312"/>
    <n v="159"/>
    <n v="89"/>
    <n v="21"/>
    <s v="13.21"/>
    <n v="22023"/>
    <s v="7.68"/>
    <n v="19752"/>
    <n v="462483"/>
    <n v="47691"/>
    <s v="Feb"/>
    <n v="2"/>
    <n v="2026"/>
    <s v="Weekday"/>
    <n v="0.23595505617977527"/>
    <n v="0.50961538461538458"/>
    <n v="6.7307692307692304E-2"/>
    <n v="2271"/>
    <s v="Elbe Drive"/>
  </r>
  <r>
    <s v="CUST_3700"/>
    <x v="25"/>
    <x v="3"/>
    <s v="Friday"/>
    <s v="No"/>
    <x v="5"/>
    <x v="5"/>
    <s v="Hamburg"/>
    <x v="0"/>
    <s v="5 Series"/>
    <s v="Hybrid"/>
    <x v="1"/>
    <s v="26-35"/>
    <s v="Medium"/>
    <x v="1"/>
    <x v="0"/>
    <s v="Sales_3"/>
    <n v="222"/>
    <n v="132"/>
    <n v="94"/>
    <n v="38"/>
    <s v="28.79"/>
    <n v="59223"/>
    <s v="3.68"/>
    <n v="44340"/>
    <n v="2250474"/>
    <n v="565554"/>
    <s v="Feb"/>
    <n v="2"/>
    <n v="2026"/>
    <s v="Weekday"/>
    <n v="0.40425531914893614"/>
    <n v="0.59459459459459463"/>
    <n v="0.17117117117117117"/>
    <n v="14883"/>
    <s v="Elbe Drive"/>
  </r>
  <r>
    <s v="CUST_3701"/>
    <x v="4"/>
    <x v="2"/>
    <s v="Wednesday"/>
    <s v="No"/>
    <x v="1"/>
    <x v="1"/>
    <s v="NRW"/>
    <x v="3"/>
    <s v="GLE"/>
    <s v="Diesel"/>
    <x v="0"/>
    <s v="26-35"/>
    <s v="Low"/>
    <x v="0"/>
    <x v="2"/>
    <s v="Sales_13"/>
    <n v="166"/>
    <n v="96"/>
    <n v="65"/>
    <n v="26"/>
    <s v="27.08"/>
    <n v="60355"/>
    <s v="5.26"/>
    <n v="45033"/>
    <n v="1569230"/>
    <n v="398372"/>
    <s v="Feb"/>
    <n v="2"/>
    <n v="2026"/>
    <s v="Weekday"/>
    <n v="0.4"/>
    <n v="0.57831325301204817"/>
    <n v="0.15662650602409639"/>
    <n v="15322"/>
    <s v="Rhein Auto Group"/>
  </r>
  <r>
    <s v="CUST_3702"/>
    <x v="15"/>
    <x v="2"/>
    <s v="Thursday"/>
    <s v="No"/>
    <x v="3"/>
    <x v="3"/>
    <s v="Saxony"/>
    <x v="0"/>
    <s v="X5"/>
    <s v="Electric"/>
    <x v="0"/>
    <s v="36-50"/>
    <s v="High"/>
    <x v="0"/>
    <x v="0"/>
    <s v="Sales_4"/>
    <n v="211"/>
    <n v="114"/>
    <n v="91"/>
    <n v="31"/>
    <s v="27.19"/>
    <n v="62193"/>
    <s v="3.3"/>
    <n v="47066"/>
    <n v="1927983"/>
    <n v="468937"/>
    <s v="Feb"/>
    <n v="2"/>
    <n v="2026"/>
    <s v="Weekday"/>
    <n v="0.34065934065934067"/>
    <n v="0.54028436018957349"/>
    <n v="0.14691943127962084"/>
    <n v="15127"/>
    <s v="Saxon Wheels"/>
  </r>
  <r>
    <s v="CUST_3703"/>
    <x v="2"/>
    <x v="2"/>
    <s v="Monday"/>
    <s v="No"/>
    <x v="7"/>
    <x v="7"/>
    <s v="Bavaria"/>
    <x v="3"/>
    <s v="GLC"/>
    <s v="Hybrid"/>
    <x v="0"/>
    <s v="26-35"/>
    <s v="Low"/>
    <x v="0"/>
    <x v="2"/>
    <s v="Sales_18"/>
    <n v="242"/>
    <n v="119"/>
    <n v="81"/>
    <n v="37"/>
    <s v="31.09"/>
    <n v="67353"/>
    <s v="4.11"/>
    <n v="50407"/>
    <n v="2492061"/>
    <n v="627002"/>
    <s v="Feb"/>
    <n v="2"/>
    <n v="2026"/>
    <s v="Weekday"/>
    <n v="0.4567901234567901"/>
    <n v="0.49173553719008267"/>
    <n v="0.15289256198347106"/>
    <n v="16946"/>
    <s v="Bavaria Motors"/>
  </r>
  <r>
    <s v="CUST_3704"/>
    <x v="16"/>
    <x v="1"/>
    <s v="Tuesday"/>
    <s v="No"/>
    <x v="7"/>
    <x v="7"/>
    <s v="Bavaria"/>
    <x v="3"/>
    <s v="E-Class"/>
    <s v="Diesel"/>
    <x v="1"/>
    <s v="50+"/>
    <s v="Medium"/>
    <x v="1"/>
    <x v="1"/>
    <s v="Sales_18"/>
    <n v="243"/>
    <n v="119"/>
    <n v="83"/>
    <n v="33"/>
    <s v="27.73"/>
    <n v="67694"/>
    <s v="3.92"/>
    <n v="50156"/>
    <n v="2233902"/>
    <n v="578754"/>
    <s v="Feb"/>
    <n v="2"/>
    <n v="2026"/>
    <s v="Weekday"/>
    <n v="0.39759036144578314"/>
    <n v="0.48971193415637859"/>
    <n v="0.13580246913580246"/>
    <n v="17538"/>
    <s v="Bavaria Motors"/>
  </r>
  <r>
    <s v="CUST_3705"/>
    <x v="0"/>
    <x v="0"/>
    <s v="Monday"/>
    <s v="No"/>
    <x v="5"/>
    <x v="5"/>
    <s v="Hamburg"/>
    <x v="3"/>
    <s v="C-Class"/>
    <s v="Diesel"/>
    <x v="1"/>
    <s v="18-25"/>
    <s v="Low"/>
    <x v="1"/>
    <x v="3"/>
    <s v="Sales_1"/>
    <n v="237"/>
    <n v="118"/>
    <n v="83"/>
    <n v="29"/>
    <s v="24.58"/>
    <n v="54008"/>
    <s v="4.21"/>
    <n v="41173"/>
    <n v="1566232"/>
    <n v="372215"/>
    <s v="Feb"/>
    <n v="2"/>
    <n v="2026"/>
    <s v="Weekday"/>
    <n v="0.3493975903614458"/>
    <n v="0.49789029535864981"/>
    <n v="0.12236286919831224"/>
    <n v="12835"/>
    <s v="Elbe Drive"/>
  </r>
  <r>
    <s v="CUST_3706"/>
    <x v="20"/>
    <x v="0"/>
    <s v="Thursday"/>
    <s v="No"/>
    <x v="5"/>
    <x v="5"/>
    <s v="Hamburg"/>
    <x v="4"/>
    <s v="ID.4"/>
    <s v="Petrol"/>
    <x v="0"/>
    <s v="36-50"/>
    <s v="Low"/>
    <x v="1"/>
    <x v="3"/>
    <s v="Sales_12"/>
    <n v="390"/>
    <n v="205"/>
    <n v="124"/>
    <n v="33"/>
    <s v="16.1"/>
    <n v="32345"/>
    <s v="8.13"/>
    <n v="28272"/>
    <n v="1067385"/>
    <n v="134409"/>
    <s v="Feb"/>
    <n v="2"/>
    <n v="2026"/>
    <s v="Weekday"/>
    <n v="0.2661290322580645"/>
    <n v="0.52564102564102566"/>
    <n v="8.461538461538462E-2"/>
    <n v="4073"/>
    <s v="Elbe Drive"/>
  </r>
  <r>
    <s v="CUST_3707"/>
    <x v="13"/>
    <x v="0"/>
    <s v="Friday"/>
    <s v="No"/>
    <x v="4"/>
    <x v="4"/>
    <s v="Berlin"/>
    <x v="4"/>
    <s v="Tiguan"/>
    <s v="Electric"/>
    <x v="0"/>
    <s v="36-50"/>
    <s v="Medium"/>
    <x v="0"/>
    <x v="3"/>
    <s v="Sales_3"/>
    <n v="304"/>
    <n v="134"/>
    <n v="91"/>
    <n v="23"/>
    <s v="17.16"/>
    <n v="29571"/>
    <s v="11.39"/>
    <n v="26396"/>
    <n v="680133"/>
    <n v="73025"/>
    <s v="Feb"/>
    <n v="2"/>
    <n v="2026"/>
    <s v="Weekday"/>
    <n v="0.25274725274725274"/>
    <n v="0.44078947368421051"/>
    <n v="7.5657894736842105E-2"/>
    <n v="3175"/>
    <s v="Autohaus Berlin"/>
  </r>
  <r>
    <s v="CUST_3708"/>
    <x v="21"/>
    <x v="0"/>
    <s v="Tuesday"/>
    <s v="No"/>
    <x v="9"/>
    <x v="9"/>
    <s v="NRW"/>
    <x v="4"/>
    <s v="T-Roc"/>
    <s v="Petrol"/>
    <x v="0"/>
    <s v="50+"/>
    <s v="High"/>
    <x v="0"/>
    <x v="3"/>
    <s v="Sales_6"/>
    <n v="450"/>
    <n v="227"/>
    <n v="161"/>
    <n v="29"/>
    <s v="12.78"/>
    <n v="29500"/>
    <s v="6.3"/>
    <n v="26362"/>
    <n v="855500"/>
    <n v="91002"/>
    <s v="Feb"/>
    <n v="2"/>
    <n v="2026"/>
    <s v="Weekday"/>
    <n v="0.18012422360248448"/>
    <n v="0.50444444444444447"/>
    <n v="6.4444444444444443E-2"/>
    <n v="3138"/>
    <s v="Ruhr Auto Plaza"/>
  </r>
  <r>
    <s v="CUST_3709"/>
    <x v="20"/>
    <x v="0"/>
    <s v="Thursday"/>
    <s v="No"/>
    <x v="9"/>
    <x v="9"/>
    <s v="NRW"/>
    <x v="0"/>
    <s v="3 Series"/>
    <s v="Hybrid"/>
    <x v="1"/>
    <s v="50+"/>
    <s v="Medium"/>
    <x v="1"/>
    <x v="0"/>
    <s v="Sales_6"/>
    <n v="147"/>
    <n v="78"/>
    <n v="54"/>
    <n v="18"/>
    <s v="23.08"/>
    <n v="58566"/>
    <s v="2.65"/>
    <n v="41677"/>
    <n v="1054188"/>
    <n v="304002"/>
    <s v="Feb"/>
    <n v="2"/>
    <n v="2026"/>
    <s v="Weekday"/>
    <n v="0.33333333333333331"/>
    <n v="0.53061224489795922"/>
    <n v="0.12244897959183673"/>
    <n v="16889"/>
    <s v="Ruhr Auto Plaza"/>
  </r>
  <r>
    <s v="CUST_3710"/>
    <x v="7"/>
    <x v="3"/>
    <s v="Monday"/>
    <s v="No"/>
    <x v="8"/>
    <x v="8"/>
    <s v="Baden-WÃ¼rttemberg"/>
    <x v="1"/>
    <s v="Crossland"/>
    <s v="Petrol"/>
    <x v="0"/>
    <s v="26-35"/>
    <s v="Low"/>
    <x v="0"/>
    <x v="2"/>
    <s v="Sales_6"/>
    <n v="296"/>
    <n v="117"/>
    <n v="71"/>
    <n v="26"/>
    <s v="22.22"/>
    <n v="25387"/>
    <s v="13.91"/>
    <n v="22996"/>
    <n v="660062"/>
    <n v="62166"/>
    <s v="Feb"/>
    <n v="2"/>
    <n v="2026"/>
    <s v="Weekday"/>
    <n v="0.36619718309859156"/>
    <n v="0.39527027027027029"/>
    <n v="8.7837837837837843E-2"/>
    <n v="2391"/>
    <s v="Stuttgart Auto Center"/>
  </r>
  <r>
    <s v="CUST_3711"/>
    <x v="10"/>
    <x v="1"/>
    <s v="Monday"/>
    <s v="No"/>
    <x v="7"/>
    <x v="7"/>
    <s v="Bavaria"/>
    <x v="0"/>
    <s v="X3"/>
    <s v="Petrol"/>
    <x v="0"/>
    <s v="18-25"/>
    <s v="Low"/>
    <x v="0"/>
    <x v="1"/>
    <s v="Sales_18"/>
    <n v="185"/>
    <n v="113"/>
    <n v="88"/>
    <n v="36"/>
    <s v="31.86"/>
    <n v="65954"/>
    <s v="4.96"/>
    <n v="47100"/>
    <n v="2374344"/>
    <n v="678744"/>
    <s v="Feb"/>
    <n v="2"/>
    <n v="2026"/>
    <s v="Weekday"/>
    <n v="0.40909090909090912"/>
    <n v="0.61081081081081079"/>
    <n v="0.19459459459459461"/>
    <n v="18854"/>
    <s v="Bavaria Motors"/>
  </r>
  <r>
    <s v="CUST_3712"/>
    <x v="21"/>
    <x v="0"/>
    <s v="Tuesday"/>
    <s v="No"/>
    <x v="5"/>
    <x v="5"/>
    <s v="Hamburg"/>
    <x v="0"/>
    <s v="5 Series"/>
    <s v="Petrol"/>
    <x v="1"/>
    <s v="18-25"/>
    <s v="Low"/>
    <x v="0"/>
    <x v="1"/>
    <s v="Sales_8"/>
    <n v="211"/>
    <n v="121"/>
    <n v="90"/>
    <n v="35"/>
    <s v="28.93"/>
    <n v="59499"/>
    <s v="4.22"/>
    <n v="43020"/>
    <n v="2082465"/>
    <n v="576765"/>
    <s v="Feb"/>
    <n v="2"/>
    <n v="2026"/>
    <s v="Weekday"/>
    <n v="0.3888888888888889"/>
    <n v="0.57345971563981046"/>
    <n v="0.16587677725118483"/>
    <n v="16479"/>
    <s v="Elbe Drive"/>
  </r>
  <r>
    <s v="CUST_3713"/>
    <x v="3"/>
    <x v="1"/>
    <s v="Sunday"/>
    <s v="Yes"/>
    <x v="2"/>
    <x v="2"/>
    <s v="Lower Saxony"/>
    <x v="3"/>
    <s v="GLE"/>
    <s v="Electric"/>
    <x v="0"/>
    <s v="50+"/>
    <s v="Low"/>
    <x v="0"/>
    <x v="3"/>
    <s v="Sales_15"/>
    <n v="149"/>
    <n v="86"/>
    <n v="64"/>
    <n v="19"/>
    <s v="22.09"/>
    <n v="65326"/>
    <s v="5.06"/>
    <n v="49450"/>
    <n v="1241194"/>
    <n v="301644"/>
    <s v="Feb"/>
    <n v="2"/>
    <n v="2026"/>
    <s v="Weekend"/>
    <n v="0.296875"/>
    <n v="0.57718120805369133"/>
    <n v="0.12751677852348994"/>
    <n v="15876"/>
    <s v="Hannover Cars"/>
  </r>
  <r>
    <s v="CUST_3714"/>
    <x v="27"/>
    <x v="3"/>
    <s v="Sunday"/>
    <s v="Yes"/>
    <x v="2"/>
    <x v="2"/>
    <s v="Lower Saxony"/>
    <x v="4"/>
    <s v="Golf"/>
    <s v="Petrol"/>
    <x v="2"/>
    <s v="50+"/>
    <s v="Medium"/>
    <x v="1"/>
    <x v="1"/>
    <s v="Sales_9"/>
    <n v="477"/>
    <n v="194"/>
    <n v="122"/>
    <n v="26"/>
    <s v="13.4"/>
    <n v="25985"/>
    <s v="10.31"/>
    <n v="22473"/>
    <n v="675610"/>
    <n v="91312"/>
    <s v="Feb"/>
    <n v="2"/>
    <n v="2026"/>
    <s v="Weekend"/>
    <n v="0.21311475409836064"/>
    <n v="0.40670859538784065"/>
    <n v="5.450733752620545E-2"/>
    <n v="3512"/>
    <s v="Hannover Cars"/>
  </r>
  <r>
    <s v="CUST_3715"/>
    <x v="16"/>
    <x v="1"/>
    <s v="Tuesday"/>
    <s v="No"/>
    <x v="2"/>
    <x v="2"/>
    <s v="Lower Saxony"/>
    <x v="2"/>
    <s v="A3"/>
    <s v="Electric"/>
    <x v="2"/>
    <s v="18-25"/>
    <s v="Medium"/>
    <x v="0"/>
    <x v="2"/>
    <s v="Sales_6"/>
    <n v="193"/>
    <n v="99"/>
    <n v="63"/>
    <n v="24"/>
    <s v="24.24"/>
    <n v="42320"/>
    <s v="3.44"/>
    <n v="32920"/>
    <n v="1015680"/>
    <n v="225600"/>
    <s v="Feb"/>
    <n v="2"/>
    <n v="2026"/>
    <s v="Weekday"/>
    <n v="0.38095238095238093"/>
    <n v="0.51295336787564771"/>
    <n v="0.12435233160621761"/>
    <n v="9400"/>
    <s v="Hannover Cars"/>
  </r>
  <r>
    <s v="CUST_3716"/>
    <x v="17"/>
    <x v="2"/>
    <s v="Sunday"/>
    <s v="Yes"/>
    <x v="0"/>
    <x v="0"/>
    <s v="Hesse"/>
    <x v="3"/>
    <s v="GLE"/>
    <s v="Electric"/>
    <x v="0"/>
    <s v="36-50"/>
    <s v="High"/>
    <x v="0"/>
    <x v="1"/>
    <s v="Sales_2"/>
    <n v="251"/>
    <n v="144"/>
    <n v="103"/>
    <n v="38"/>
    <s v="26.39"/>
    <n v="70152"/>
    <s v="4.09"/>
    <n v="51741"/>
    <n v="2665776"/>
    <n v="699618"/>
    <s v="Feb"/>
    <n v="2"/>
    <n v="2026"/>
    <s v="Weekend"/>
    <n v="0.36893203883495146"/>
    <n v="0.57370517928286857"/>
    <n v="0.15139442231075698"/>
    <n v="18411"/>
    <s v="Main Auto Hub"/>
  </r>
  <r>
    <s v="CUST_3717"/>
    <x v="5"/>
    <x v="3"/>
    <s v="Saturday"/>
    <s v="Yes"/>
    <x v="2"/>
    <x v="2"/>
    <s v="Lower Saxony"/>
    <x v="1"/>
    <s v="Mokka"/>
    <s v="Petrol"/>
    <x v="0"/>
    <s v="50+"/>
    <s v="Low"/>
    <x v="1"/>
    <x v="1"/>
    <s v="Sales_14"/>
    <n v="346"/>
    <n v="183"/>
    <n v="124"/>
    <n v="26"/>
    <s v="14.21"/>
    <n v="20745"/>
    <s v="7.31"/>
    <n v="19025"/>
    <n v="539370"/>
    <n v="44720"/>
    <s v="Feb"/>
    <n v="2"/>
    <n v="2026"/>
    <s v="Weekend"/>
    <n v="0.20967741935483872"/>
    <n v="0.52890173410404628"/>
    <n v="7.5144508670520235E-2"/>
    <n v="1720"/>
    <s v="Hannover Cars"/>
  </r>
  <r>
    <s v="CUST_3718"/>
    <x v="23"/>
    <x v="2"/>
    <s v="Tuesday"/>
    <s v="No"/>
    <x v="8"/>
    <x v="8"/>
    <s v="Baden-WÃ¼rttemberg"/>
    <x v="1"/>
    <s v="Corsa"/>
    <s v="Diesel"/>
    <x v="2"/>
    <s v="50+"/>
    <s v="High"/>
    <x v="1"/>
    <x v="3"/>
    <s v="Sales_17"/>
    <n v="367"/>
    <n v="163"/>
    <n v="113"/>
    <n v="23"/>
    <s v="14.11"/>
    <n v="23849"/>
    <s v="7.68"/>
    <n v="21252"/>
    <n v="548527"/>
    <n v="59731"/>
    <s v="Feb"/>
    <n v="2"/>
    <n v="2026"/>
    <s v="Weekday"/>
    <n v="0.20353982300884957"/>
    <n v="0.44414168937329701"/>
    <n v="6.2670299727520432E-2"/>
    <n v="2597"/>
    <s v="Stuttgart Auto Center"/>
  </r>
  <r>
    <s v="CUST_3719"/>
    <x v="6"/>
    <x v="2"/>
    <s v="Saturday"/>
    <s v="Yes"/>
    <x v="4"/>
    <x v="4"/>
    <s v="Berlin"/>
    <x v="1"/>
    <s v="Corsa"/>
    <s v="Hybrid"/>
    <x v="2"/>
    <s v="36-50"/>
    <s v="Low"/>
    <x v="1"/>
    <x v="1"/>
    <s v="Sales_15"/>
    <n v="303"/>
    <n v="157"/>
    <n v="105"/>
    <n v="26"/>
    <s v="16.56"/>
    <n v="24130"/>
    <s v="13.4"/>
    <n v="21911"/>
    <n v="627380"/>
    <n v="57694"/>
    <s v="Feb"/>
    <n v="2"/>
    <n v="2026"/>
    <s v="Weekend"/>
    <n v="0.24761904761904763"/>
    <n v="0.5181518151815182"/>
    <n v="8.5808580858085806E-2"/>
    <n v="2219"/>
    <s v="Autohaus Berlin"/>
  </r>
  <r>
    <s v="CUST_3720"/>
    <x v="12"/>
    <x v="3"/>
    <s v="Thursday"/>
    <s v="No"/>
    <x v="3"/>
    <x v="3"/>
    <s v="Saxony"/>
    <x v="3"/>
    <s v="E-Class"/>
    <s v="Hybrid"/>
    <x v="1"/>
    <s v="18-25"/>
    <s v="High"/>
    <x v="1"/>
    <x v="3"/>
    <s v="Sales_1"/>
    <n v="219"/>
    <n v="109"/>
    <n v="79"/>
    <n v="24"/>
    <s v="22.02"/>
    <n v="67889"/>
    <s v="2.5"/>
    <n v="51516"/>
    <n v="1629336"/>
    <n v="392952"/>
    <s v="Feb"/>
    <n v="2"/>
    <n v="2026"/>
    <s v="Weekday"/>
    <n v="0.30379746835443039"/>
    <n v="0.49771689497716892"/>
    <n v="0.1095890410958904"/>
    <n v="16373"/>
    <s v="Saxon Wheels"/>
  </r>
  <r>
    <s v="CUST_3721"/>
    <x v="25"/>
    <x v="3"/>
    <s v="Friday"/>
    <s v="No"/>
    <x v="3"/>
    <x v="3"/>
    <s v="Saxony"/>
    <x v="0"/>
    <s v="3 Series"/>
    <s v="Diesel"/>
    <x v="1"/>
    <s v="18-25"/>
    <s v="High"/>
    <x v="1"/>
    <x v="1"/>
    <s v="Sales_20"/>
    <n v="269"/>
    <n v="128"/>
    <n v="100"/>
    <n v="33"/>
    <s v="25.78"/>
    <n v="52633"/>
    <s v="5.63"/>
    <n v="37116"/>
    <n v="1736889"/>
    <n v="512061"/>
    <s v="Feb"/>
    <n v="2"/>
    <n v="2026"/>
    <s v="Weekday"/>
    <n v="0.33"/>
    <n v="0.47583643122676578"/>
    <n v="0.12267657992565056"/>
    <n v="15517"/>
    <s v="Saxon Wheels"/>
  </r>
  <r>
    <s v="CUST_3722"/>
    <x v="20"/>
    <x v="0"/>
    <s v="Thursday"/>
    <s v="No"/>
    <x v="3"/>
    <x v="3"/>
    <s v="Saxony"/>
    <x v="1"/>
    <s v="Grandland"/>
    <s v="Hybrid"/>
    <x v="0"/>
    <s v="50+"/>
    <s v="Medium"/>
    <x v="0"/>
    <x v="2"/>
    <s v="Sales_14"/>
    <n v="375"/>
    <n v="179"/>
    <n v="104"/>
    <n v="35"/>
    <s v="19.55"/>
    <n v="19139"/>
    <s v="13.34"/>
    <n v="17441"/>
    <n v="669865"/>
    <n v="59430"/>
    <s v="Feb"/>
    <n v="2"/>
    <n v="2026"/>
    <s v="Weekday"/>
    <n v="0.33653846153846156"/>
    <n v="0.47733333333333333"/>
    <n v="9.3333333333333338E-2"/>
    <n v="1698"/>
    <s v="Saxon Wheels"/>
  </r>
  <r>
    <s v="CUST_3723"/>
    <x v="0"/>
    <x v="0"/>
    <s v="Monday"/>
    <s v="No"/>
    <x v="5"/>
    <x v="5"/>
    <s v="Hamburg"/>
    <x v="1"/>
    <s v="Corsa"/>
    <s v="Diesel"/>
    <x v="2"/>
    <s v="50+"/>
    <s v="Medium"/>
    <x v="0"/>
    <x v="2"/>
    <s v="Sales_2"/>
    <n v="248"/>
    <n v="128"/>
    <n v="88"/>
    <n v="26"/>
    <s v="20.31"/>
    <n v="22456"/>
    <s v="8.34"/>
    <n v="20289"/>
    <n v="583856"/>
    <n v="56342"/>
    <s v="Feb"/>
    <n v="2"/>
    <n v="2026"/>
    <s v="Weekday"/>
    <n v="0.29545454545454547"/>
    <n v="0.5161290322580645"/>
    <n v="0.10483870967741936"/>
    <n v="2167"/>
    <s v="Elbe Drive"/>
  </r>
  <r>
    <s v="CUST_3724"/>
    <x v="11"/>
    <x v="0"/>
    <s v="Wednesday"/>
    <s v="No"/>
    <x v="1"/>
    <x v="1"/>
    <s v="NRW"/>
    <x v="4"/>
    <s v="T-Roc"/>
    <s v="Hybrid"/>
    <x v="0"/>
    <s v="26-35"/>
    <s v="Low"/>
    <x v="0"/>
    <x v="0"/>
    <s v="Sales_9"/>
    <n v="275"/>
    <n v="119"/>
    <n v="83"/>
    <n v="18"/>
    <s v="15.13"/>
    <n v="33479"/>
    <s v="9.15"/>
    <n v="29118"/>
    <n v="602622"/>
    <n v="78498"/>
    <s v="Feb"/>
    <n v="2"/>
    <n v="2026"/>
    <s v="Weekday"/>
    <n v="0.21686746987951808"/>
    <n v="0.43272727272727274"/>
    <n v="6.545454545454546E-2"/>
    <n v="4361"/>
    <s v="Rhein Auto Group"/>
  </r>
  <r>
    <s v="CUST_3725"/>
    <x v="4"/>
    <x v="2"/>
    <s v="Wednesday"/>
    <s v="No"/>
    <x v="2"/>
    <x v="2"/>
    <s v="Lower Saxony"/>
    <x v="1"/>
    <s v="Mokka"/>
    <s v="Diesel"/>
    <x v="0"/>
    <s v="18-25"/>
    <s v="Medium"/>
    <x v="0"/>
    <x v="1"/>
    <s v="Sales_8"/>
    <n v="422"/>
    <n v="221"/>
    <n v="149"/>
    <n v="34"/>
    <s v="15.38"/>
    <n v="21214"/>
    <s v="9.87"/>
    <n v="19689"/>
    <n v="721276"/>
    <n v="51850"/>
    <s v="Feb"/>
    <n v="2"/>
    <n v="2026"/>
    <s v="Weekday"/>
    <n v="0.22818791946308725"/>
    <n v="0.523696682464455"/>
    <n v="8.0568720379146919E-2"/>
    <n v="1525"/>
    <s v="Hannover Cars"/>
  </r>
  <r>
    <s v="CUST_3726"/>
    <x v="21"/>
    <x v="0"/>
    <s v="Tuesday"/>
    <s v="No"/>
    <x v="2"/>
    <x v="2"/>
    <s v="Lower Saxony"/>
    <x v="2"/>
    <s v="e-tron"/>
    <s v="Diesel"/>
    <x v="0"/>
    <s v="50+"/>
    <s v="High"/>
    <x v="0"/>
    <x v="0"/>
    <s v="Sales_10"/>
    <n v="275"/>
    <n v="158"/>
    <n v="106"/>
    <n v="30"/>
    <s v="18.99"/>
    <n v="47040"/>
    <s v="3.72"/>
    <n v="38097"/>
    <n v="1411200"/>
    <n v="268290"/>
    <s v="Feb"/>
    <n v="2"/>
    <n v="2026"/>
    <s v="Weekday"/>
    <n v="0.28301886792452829"/>
    <n v="0.57454545454545458"/>
    <n v="0.10909090909090909"/>
    <n v="8943"/>
    <s v="Hannover Cars"/>
  </r>
  <r>
    <s v="CUST_3727"/>
    <x v="23"/>
    <x v="2"/>
    <s v="Tuesday"/>
    <s v="No"/>
    <x v="0"/>
    <x v="0"/>
    <s v="Hesse"/>
    <x v="0"/>
    <s v="i4"/>
    <s v="Diesel"/>
    <x v="1"/>
    <s v="26-35"/>
    <s v="High"/>
    <x v="0"/>
    <x v="1"/>
    <s v="Sales_18"/>
    <n v="243"/>
    <n v="146"/>
    <n v="112"/>
    <n v="44"/>
    <s v="30.14"/>
    <n v="62461"/>
    <s v="4.58"/>
    <n v="45404"/>
    <n v="2748284"/>
    <n v="750508"/>
    <s v="Feb"/>
    <n v="2"/>
    <n v="2026"/>
    <s v="Weekday"/>
    <n v="0.39285714285714285"/>
    <n v="0.60082304526748975"/>
    <n v="0.18106995884773663"/>
    <n v="17057"/>
    <s v="Main Auto Hub"/>
  </r>
  <r>
    <s v="CUST_3728"/>
    <x v="10"/>
    <x v="1"/>
    <s v="Monday"/>
    <s v="No"/>
    <x v="3"/>
    <x v="3"/>
    <s v="Saxony"/>
    <x v="1"/>
    <s v="Mokka"/>
    <s v="Petrol"/>
    <x v="0"/>
    <s v="18-25"/>
    <s v="Low"/>
    <x v="1"/>
    <x v="0"/>
    <s v="Sales_1"/>
    <n v="413"/>
    <n v="185"/>
    <n v="128"/>
    <n v="27"/>
    <s v="14.59"/>
    <n v="20924"/>
    <s v="7.77"/>
    <n v="19086"/>
    <n v="564948"/>
    <n v="49626"/>
    <s v="Feb"/>
    <n v="2"/>
    <n v="2026"/>
    <s v="Weekday"/>
    <n v="0.2109375"/>
    <n v="0.44794188861985473"/>
    <n v="6.5375302663438259E-2"/>
    <n v="1838"/>
    <s v="Saxon Wheels"/>
  </r>
  <r>
    <s v="CUST_3729"/>
    <x v="12"/>
    <x v="3"/>
    <s v="Thursday"/>
    <s v="No"/>
    <x v="5"/>
    <x v="5"/>
    <s v="Hamburg"/>
    <x v="0"/>
    <s v="X3"/>
    <s v="Petrol"/>
    <x v="0"/>
    <s v="50+"/>
    <s v="High"/>
    <x v="0"/>
    <x v="1"/>
    <s v="Sales_20"/>
    <n v="276"/>
    <n v="141"/>
    <n v="97"/>
    <n v="40"/>
    <s v="28.37"/>
    <n v="61242"/>
    <s v="5.39"/>
    <n v="45736"/>
    <n v="2449680"/>
    <n v="620240"/>
    <s v="Feb"/>
    <n v="2"/>
    <n v="2026"/>
    <s v="Weekday"/>
    <n v="0.41237113402061853"/>
    <n v="0.51086956521739135"/>
    <n v="0.14492753623188406"/>
    <n v="15506"/>
    <s v="Elbe Drive"/>
  </r>
  <r>
    <s v="CUST_3730"/>
    <x v="1"/>
    <x v="1"/>
    <s v="Wednesday"/>
    <s v="No"/>
    <x v="5"/>
    <x v="5"/>
    <s v="Hamburg"/>
    <x v="2"/>
    <s v="Q3"/>
    <s v="Hybrid"/>
    <x v="0"/>
    <s v="50+"/>
    <s v="Medium"/>
    <x v="1"/>
    <x v="2"/>
    <s v="Sales_3"/>
    <n v="302"/>
    <n v="141"/>
    <n v="106"/>
    <n v="37"/>
    <s v="26.24"/>
    <n v="51094"/>
    <s v="4.76"/>
    <n v="39355"/>
    <n v="1890478"/>
    <n v="434343"/>
    <s v="Feb"/>
    <n v="2"/>
    <n v="2026"/>
    <s v="Weekday"/>
    <n v="0.34905660377358488"/>
    <n v="0.46688741721854304"/>
    <n v="0.12251655629139073"/>
    <n v="11739"/>
    <s v="Elbe Drive"/>
  </r>
  <r>
    <s v="CUST_3731"/>
    <x v="11"/>
    <x v="0"/>
    <s v="Wednesday"/>
    <s v="No"/>
    <x v="6"/>
    <x v="6"/>
    <s v="Saxony"/>
    <x v="0"/>
    <s v="5 Series"/>
    <s v="Electric"/>
    <x v="1"/>
    <s v="26-35"/>
    <s v="High"/>
    <x v="1"/>
    <x v="2"/>
    <s v="Sales_4"/>
    <n v="202"/>
    <n v="106"/>
    <n v="80"/>
    <n v="30"/>
    <s v="28.3"/>
    <n v="57902"/>
    <s v="3.83"/>
    <n v="41811"/>
    <n v="1737060"/>
    <n v="482730"/>
    <s v="Feb"/>
    <n v="2"/>
    <n v="2026"/>
    <s v="Weekday"/>
    <n v="0.375"/>
    <n v="0.52475247524752477"/>
    <n v="0.14851485148514851"/>
    <n v="16091"/>
    <s v="Leipzig Mobility"/>
  </r>
  <r>
    <s v="CUST_3732"/>
    <x v="0"/>
    <x v="0"/>
    <s v="Monday"/>
    <s v="No"/>
    <x v="4"/>
    <x v="4"/>
    <s v="Berlin"/>
    <x v="1"/>
    <s v="Grandland"/>
    <s v="Hybrid"/>
    <x v="0"/>
    <s v="36-50"/>
    <s v="Medium"/>
    <x v="0"/>
    <x v="0"/>
    <s v="Sales_6"/>
    <n v="345"/>
    <n v="136"/>
    <n v="78"/>
    <n v="25"/>
    <s v="18.38"/>
    <n v="23918"/>
    <s v="10.74"/>
    <n v="21966"/>
    <n v="597950"/>
    <n v="48800"/>
    <s v="Feb"/>
    <n v="2"/>
    <n v="2026"/>
    <s v="Weekday"/>
    <n v="0.32051282051282054"/>
    <n v="0.39420289855072466"/>
    <n v="7.2463768115942032E-2"/>
    <n v="1952"/>
    <s v="Autohaus Berlin"/>
  </r>
  <r>
    <s v="CUST_3733"/>
    <x v="22"/>
    <x v="3"/>
    <s v="Tuesday"/>
    <s v="No"/>
    <x v="1"/>
    <x v="1"/>
    <s v="NRW"/>
    <x v="2"/>
    <s v="Q3"/>
    <s v="Electric"/>
    <x v="0"/>
    <s v="50+"/>
    <s v="Low"/>
    <x v="0"/>
    <x v="2"/>
    <s v="Sales_14"/>
    <n v="171"/>
    <n v="103"/>
    <n v="78"/>
    <n v="29"/>
    <s v="28.16"/>
    <n v="49577"/>
    <s v="3.4"/>
    <n v="38070"/>
    <n v="1437733"/>
    <n v="333703"/>
    <s v="Feb"/>
    <n v="2"/>
    <n v="2026"/>
    <s v="Weekday"/>
    <n v="0.37179487179487181"/>
    <n v="0.60233918128654973"/>
    <n v="0.16959064327485379"/>
    <n v="11507"/>
    <s v="Rhein Auto Group"/>
  </r>
  <r>
    <s v="CUST_3734"/>
    <x v="25"/>
    <x v="3"/>
    <s v="Friday"/>
    <s v="No"/>
    <x v="1"/>
    <x v="1"/>
    <s v="NRW"/>
    <x v="3"/>
    <s v="GLE"/>
    <s v="Petrol"/>
    <x v="0"/>
    <s v="18-25"/>
    <s v="Low"/>
    <x v="0"/>
    <x v="3"/>
    <s v="Sales_9"/>
    <n v="288"/>
    <n v="135"/>
    <n v="96"/>
    <n v="33"/>
    <s v="24.44"/>
    <n v="61131"/>
    <s v="2.64"/>
    <n v="46929"/>
    <n v="2017323"/>
    <n v="468666"/>
    <s v="Feb"/>
    <n v="2"/>
    <n v="2026"/>
    <s v="Weekday"/>
    <n v="0.34375"/>
    <n v="0.46875"/>
    <n v="0.11458333333333333"/>
    <n v="14202"/>
    <s v="Rhein Auto Group"/>
  </r>
  <r>
    <s v="CUST_3735"/>
    <x v="12"/>
    <x v="3"/>
    <s v="Thursday"/>
    <s v="No"/>
    <x v="8"/>
    <x v="8"/>
    <s v="Baden-WÃ¼rttemberg"/>
    <x v="1"/>
    <s v="Astra"/>
    <s v="Hybrid"/>
    <x v="2"/>
    <s v="18-25"/>
    <s v="High"/>
    <x v="0"/>
    <x v="1"/>
    <s v="Sales_8"/>
    <n v="384"/>
    <n v="173"/>
    <n v="97"/>
    <n v="34"/>
    <s v="19.65"/>
    <n v="19697"/>
    <s v="13.86"/>
    <n v="17810"/>
    <n v="669698"/>
    <n v="64158"/>
    <s v="Feb"/>
    <n v="2"/>
    <n v="2026"/>
    <s v="Weekday"/>
    <n v="0.35051546391752575"/>
    <n v="0.45052083333333331"/>
    <n v="8.8541666666666671E-2"/>
    <n v="1887"/>
    <s v="Stuttgart Auto Center"/>
  </r>
  <r>
    <s v="CUST_3736"/>
    <x v="22"/>
    <x v="3"/>
    <s v="Tuesday"/>
    <s v="No"/>
    <x v="8"/>
    <x v="8"/>
    <s v="Baden-WÃ¼rttemberg"/>
    <x v="4"/>
    <s v="T-Roc"/>
    <s v="Hybrid"/>
    <x v="0"/>
    <s v="36-50"/>
    <s v="Medium"/>
    <x v="1"/>
    <x v="3"/>
    <s v="Sales_7"/>
    <n v="420"/>
    <n v="206"/>
    <n v="144"/>
    <n v="34"/>
    <s v="16.5"/>
    <n v="28638"/>
    <s v="11.61"/>
    <n v="25618"/>
    <n v="973692"/>
    <n v="102680"/>
    <s v="Feb"/>
    <n v="2"/>
    <n v="2026"/>
    <s v="Weekday"/>
    <n v="0.2361111111111111"/>
    <n v="0.49047619047619045"/>
    <n v="8.0952380952380956E-2"/>
    <n v="3020"/>
    <s v="Stuttgart Auto Center"/>
  </r>
  <r>
    <s v="CUST_3737"/>
    <x v="1"/>
    <x v="1"/>
    <s v="Wednesday"/>
    <s v="No"/>
    <x v="7"/>
    <x v="7"/>
    <s v="Bavaria"/>
    <x v="2"/>
    <s v="A3"/>
    <s v="Electric"/>
    <x v="2"/>
    <s v="18-25"/>
    <s v="Medium"/>
    <x v="1"/>
    <x v="1"/>
    <s v="Sales_13"/>
    <n v="194"/>
    <n v="91"/>
    <n v="59"/>
    <n v="23"/>
    <s v="25.27"/>
    <n v="53463"/>
    <s v="3.96"/>
    <n v="42721"/>
    <n v="1229649"/>
    <n v="247066"/>
    <s v="Feb"/>
    <n v="2"/>
    <n v="2026"/>
    <s v="Weekday"/>
    <n v="0.38983050847457629"/>
    <n v="0.46907216494845361"/>
    <n v="0.11855670103092783"/>
    <n v="10742"/>
    <s v="Bavaria Motors"/>
  </r>
  <r>
    <s v="CUST_3738"/>
    <x v="25"/>
    <x v="3"/>
    <s v="Friday"/>
    <s v="No"/>
    <x v="8"/>
    <x v="8"/>
    <s v="Baden-WÃ¼rttemberg"/>
    <x v="2"/>
    <s v="Q3"/>
    <s v="Electric"/>
    <x v="0"/>
    <s v="50+"/>
    <s v="Medium"/>
    <x v="1"/>
    <x v="2"/>
    <s v="Sales_10"/>
    <n v="199"/>
    <n v="99"/>
    <n v="75"/>
    <n v="26"/>
    <s v="26.26"/>
    <n v="49684"/>
    <s v="5.89"/>
    <n v="39775"/>
    <n v="1291784"/>
    <n v="257634"/>
    <s v="Feb"/>
    <n v="2"/>
    <n v="2026"/>
    <s v="Weekday"/>
    <n v="0.34666666666666668"/>
    <n v="0.49748743718592964"/>
    <n v="0.1306532663316583"/>
    <n v="9909"/>
    <s v="Stuttgart Auto Center"/>
  </r>
  <r>
    <s v="CUST_3739"/>
    <x v="20"/>
    <x v="0"/>
    <s v="Thursday"/>
    <s v="No"/>
    <x v="5"/>
    <x v="5"/>
    <s v="Hamburg"/>
    <x v="3"/>
    <s v="EQE"/>
    <s v="Petrol"/>
    <x v="1"/>
    <s v="36-50"/>
    <s v="Medium"/>
    <x v="0"/>
    <x v="1"/>
    <s v="Sales_4"/>
    <n v="164"/>
    <n v="75"/>
    <n v="55"/>
    <n v="20"/>
    <s v="26.67"/>
    <n v="66781"/>
    <s v="5.1"/>
    <n v="48087"/>
    <n v="1335620"/>
    <n v="373880"/>
    <s v="Feb"/>
    <n v="2"/>
    <n v="2026"/>
    <s v="Weekday"/>
    <n v="0.36363636363636365"/>
    <n v="0.45731707317073172"/>
    <n v="0.12195121951219512"/>
    <n v="18694"/>
    <s v="Elbe Drive"/>
  </r>
  <r>
    <s v="CUST_3740"/>
    <x v="22"/>
    <x v="3"/>
    <s v="Tuesday"/>
    <s v="No"/>
    <x v="1"/>
    <x v="1"/>
    <s v="NRW"/>
    <x v="1"/>
    <s v="Astra"/>
    <s v="Hybrid"/>
    <x v="2"/>
    <s v="18-25"/>
    <s v="Low"/>
    <x v="1"/>
    <x v="1"/>
    <s v="Sales_13"/>
    <n v="233"/>
    <n v="127"/>
    <n v="76"/>
    <n v="19"/>
    <s v="14.96"/>
    <n v="23631"/>
    <s v="12.33"/>
    <n v="21470"/>
    <n v="448989"/>
    <n v="41059"/>
    <s v="Feb"/>
    <n v="2"/>
    <n v="2026"/>
    <s v="Weekday"/>
    <n v="0.25"/>
    <n v="0.54506437768240346"/>
    <n v="8.15450643776824E-2"/>
    <n v="2161"/>
    <s v="Rhein Auto Group"/>
  </r>
  <r>
    <s v="CUST_3741"/>
    <x v="23"/>
    <x v="2"/>
    <s v="Tuesday"/>
    <s v="No"/>
    <x v="3"/>
    <x v="3"/>
    <s v="Saxony"/>
    <x v="0"/>
    <s v="5 Series"/>
    <s v="Hybrid"/>
    <x v="1"/>
    <s v="50+"/>
    <s v="Low"/>
    <x v="0"/>
    <x v="2"/>
    <s v="Sales_10"/>
    <n v="237"/>
    <n v="137"/>
    <n v="110"/>
    <n v="45"/>
    <s v="32.85"/>
    <n v="56893"/>
    <s v="3.75"/>
    <n v="42577"/>
    <n v="2560185"/>
    <n v="644220"/>
    <s v="Feb"/>
    <n v="2"/>
    <n v="2026"/>
    <s v="Weekday"/>
    <n v="0.40909090909090912"/>
    <n v="0.57805907172995785"/>
    <n v="0.189873417721519"/>
    <n v="14316"/>
    <s v="Saxon Wheels"/>
  </r>
  <r>
    <s v="CUST_3742"/>
    <x v="3"/>
    <x v="1"/>
    <s v="Sunday"/>
    <s v="Yes"/>
    <x v="9"/>
    <x v="9"/>
    <s v="NRW"/>
    <x v="3"/>
    <s v="C-Class"/>
    <s v="Petrol"/>
    <x v="1"/>
    <s v="36-50"/>
    <s v="Medium"/>
    <x v="0"/>
    <x v="0"/>
    <s v="Sales_14"/>
    <n v="238"/>
    <n v="121"/>
    <n v="85"/>
    <n v="28"/>
    <s v="23.14"/>
    <n v="66729"/>
    <s v="2.58"/>
    <n v="49091"/>
    <n v="1868412"/>
    <n v="493864"/>
    <s v="Feb"/>
    <n v="2"/>
    <n v="2026"/>
    <s v="Weekend"/>
    <n v="0.32941176470588235"/>
    <n v="0.50840336134453779"/>
    <n v="0.11764705882352941"/>
    <n v="17638"/>
    <s v="Ruhr Auto Plaza"/>
  </r>
  <r>
    <s v="CUST_3743"/>
    <x v="5"/>
    <x v="3"/>
    <s v="Saturday"/>
    <s v="Yes"/>
    <x v="0"/>
    <x v="0"/>
    <s v="Hesse"/>
    <x v="3"/>
    <s v="GLE"/>
    <s v="Diesel"/>
    <x v="0"/>
    <s v="26-35"/>
    <s v="Medium"/>
    <x v="0"/>
    <x v="2"/>
    <s v="Sales_16"/>
    <n v="258"/>
    <n v="126"/>
    <n v="89"/>
    <n v="32"/>
    <s v="25.4"/>
    <n v="51856"/>
    <s v="4.19"/>
    <n v="37917"/>
    <n v="1659392"/>
    <n v="446048"/>
    <s v="Feb"/>
    <n v="2"/>
    <n v="2026"/>
    <s v="Weekend"/>
    <n v="0.3595505617977528"/>
    <n v="0.48837209302325579"/>
    <n v="0.12403100775193798"/>
    <n v="13939"/>
    <s v="Main Auto Hub"/>
  </r>
  <r>
    <s v="CUST_3744"/>
    <x v="3"/>
    <x v="1"/>
    <s v="Sunday"/>
    <s v="Yes"/>
    <x v="2"/>
    <x v="2"/>
    <s v="Lower Saxony"/>
    <x v="2"/>
    <s v="Q3"/>
    <s v="Electric"/>
    <x v="0"/>
    <s v="50+"/>
    <s v="Low"/>
    <x v="0"/>
    <x v="2"/>
    <s v="Sales_5"/>
    <n v="196"/>
    <n v="94"/>
    <n v="67"/>
    <n v="24"/>
    <s v="25.53"/>
    <n v="48465"/>
    <s v="3.52"/>
    <n v="37541"/>
    <n v="1163160"/>
    <n v="262176"/>
    <s v="Feb"/>
    <n v="2"/>
    <n v="2026"/>
    <s v="Weekend"/>
    <n v="0.35820895522388058"/>
    <n v="0.47959183673469385"/>
    <n v="0.12244897959183673"/>
    <n v="10924"/>
    <s v="Hannover Cars"/>
  </r>
  <r>
    <s v="CUST_3745"/>
    <x v="9"/>
    <x v="0"/>
    <s v="Sunday"/>
    <s v="Yes"/>
    <x v="1"/>
    <x v="1"/>
    <s v="NRW"/>
    <x v="3"/>
    <s v="C-Class"/>
    <s v="Petrol"/>
    <x v="1"/>
    <s v="36-50"/>
    <s v="Low"/>
    <x v="0"/>
    <x v="0"/>
    <s v="Sales_19"/>
    <n v="270"/>
    <n v="130"/>
    <n v="91"/>
    <n v="29"/>
    <s v="22.31"/>
    <n v="52079"/>
    <s v="5.17"/>
    <n v="40669"/>
    <n v="1510291"/>
    <n v="330890"/>
    <s v="Feb"/>
    <n v="2"/>
    <n v="2026"/>
    <s v="Weekend"/>
    <n v="0.31868131868131866"/>
    <n v="0.48148148148148145"/>
    <n v="0.10740740740740741"/>
    <n v="11410"/>
    <s v="Rhein Auto Group"/>
  </r>
  <r>
    <s v="CUST_3746"/>
    <x v="23"/>
    <x v="2"/>
    <s v="Tuesday"/>
    <s v="No"/>
    <x v="6"/>
    <x v="6"/>
    <s v="Saxony"/>
    <x v="3"/>
    <s v="C-Class"/>
    <s v="Hybrid"/>
    <x v="1"/>
    <s v="36-50"/>
    <s v="Low"/>
    <x v="1"/>
    <x v="1"/>
    <s v="Sales_16"/>
    <n v="153"/>
    <n v="86"/>
    <n v="66"/>
    <n v="20"/>
    <s v="23.26"/>
    <n v="65184"/>
    <s v="2.18"/>
    <n v="46687"/>
    <n v="1303680"/>
    <n v="369940"/>
    <s v="Feb"/>
    <n v="2"/>
    <n v="2026"/>
    <s v="Weekday"/>
    <n v="0.30303030303030304"/>
    <n v="0.56209150326797386"/>
    <n v="0.13071895424836602"/>
    <n v="18497"/>
    <s v="Leipzig Mobility"/>
  </r>
  <r>
    <s v="CUST_3747"/>
    <x v="14"/>
    <x v="2"/>
    <s v="Friday"/>
    <s v="No"/>
    <x v="1"/>
    <x v="1"/>
    <s v="NRW"/>
    <x v="4"/>
    <s v="T-Roc"/>
    <s v="Petrol"/>
    <x v="0"/>
    <s v="26-35"/>
    <s v="High"/>
    <x v="1"/>
    <x v="1"/>
    <s v="Sales_6"/>
    <n v="263"/>
    <n v="115"/>
    <n v="79"/>
    <n v="20"/>
    <s v="17.39"/>
    <n v="28621"/>
    <s v="8.12"/>
    <n v="25533"/>
    <n v="572420"/>
    <n v="61760"/>
    <s v="Feb"/>
    <n v="2"/>
    <n v="2026"/>
    <s v="Weekday"/>
    <n v="0.25316455696202533"/>
    <n v="0.43726235741444869"/>
    <n v="7.6045627376425853E-2"/>
    <n v="3088"/>
    <s v="Rhein Auto Group"/>
  </r>
  <r>
    <s v="CUST_3748"/>
    <x v="23"/>
    <x v="2"/>
    <s v="Tuesday"/>
    <s v="No"/>
    <x v="4"/>
    <x v="4"/>
    <s v="Berlin"/>
    <x v="3"/>
    <s v="C-Class"/>
    <s v="Electric"/>
    <x v="1"/>
    <s v="26-35"/>
    <s v="Low"/>
    <x v="1"/>
    <x v="0"/>
    <s v="Sales_18"/>
    <n v="197"/>
    <n v="96"/>
    <n v="71"/>
    <n v="21"/>
    <s v="21.88"/>
    <n v="65176"/>
    <s v="5.73"/>
    <n v="51431"/>
    <n v="1368696"/>
    <n v="288645"/>
    <s v="Feb"/>
    <n v="2"/>
    <n v="2026"/>
    <s v="Weekday"/>
    <n v="0.29577464788732394"/>
    <n v="0.48730964467005078"/>
    <n v="0.1065989847715736"/>
    <n v="13745"/>
    <s v="Autohaus Berlin"/>
  </r>
  <r>
    <s v="CUST_3749"/>
    <x v="21"/>
    <x v="0"/>
    <s v="Tuesday"/>
    <s v="No"/>
    <x v="6"/>
    <x v="6"/>
    <s v="Saxony"/>
    <x v="3"/>
    <s v="GLE"/>
    <s v="Petrol"/>
    <x v="0"/>
    <s v="26-35"/>
    <s v="High"/>
    <x v="1"/>
    <x v="1"/>
    <s v="Sales_14"/>
    <n v="289"/>
    <n v="164"/>
    <n v="113"/>
    <n v="43"/>
    <s v="26.22"/>
    <n v="52367"/>
    <s v="5.46"/>
    <n v="38134"/>
    <n v="2251781"/>
    <n v="612019"/>
    <s v="Feb"/>
    <n v="2"/>
    <n v="2026"/>
    <s v="Weekday"/>
    <n v="0.38053097345132741"/>
    <n v="0.56747404844290661"/>
    <n v="0.14878892733564014"/>
    <n v="14233"/>
    <s v="Leipzig Mobility"/>
  </r>
  <r>
    <s v="CUST_3750"/>
    <x v="0"/>
    <x v="0"/>
    <s v="Monday"/>
    <s v="No"/>
    <x v="8"/>
    <x v="8"/>
    <s v="Baden-WÃ¼rttemberg"/>
    <x v="4"/>
    <s v="Golf"/>
    <s v="Hybrid"/>
    <x v="2"/>
    <s v="50+"/>
    <s v="Medium"/>
    <x v="1"/>
    <x v="3"/>
    <s v="Sales_4"/>
    <n v="482"/>
    <n v="227"/>
    <n v="133"/>
    <n v="34"/>
    <s v="14.98"/>
    <n v="29266"/>
    <s v="8.46"/>
    <n v="26379"/>
    <n v="995044"/>
    <n v="98158"/>
    <s v="Feb"/>
    <n v="2"/>
    <n v="2026"/>
    <s v="Weekday"/>
    <n v="0.25563909774436089"/>
    <n v="0.47095435684647302"/>
    <n v="7.0539419087136929E-2"/>
    <n v="2887"/>
    <s v="Stuttgart Auto Center"/>
  </r>
  <r>
    <s v="CUST_3751"/>
    <x v="14"/>
    <x v="2"/>
    <s v="Friday"/>
    <s v="No"/>
    <x v="2"/>
    <x v="2"/>
    <s v="Lower Saxony"/>
    <x v="0"/>
    <s v="5 Series"/>
    <s v="Hybrid"/>
    <x v="1"/>
    <s v="18-25"/>
    <s v="Medium"/>
    <x v="1"/>
    <x v="1"/>
    <s v="Sales_19"/>
    <n v="205"/>
    <n v="117"/>
    <n v="95"/>
    <n v="35"/>
    <s v="29.91"/>
    <n v="59720"/>
    <s v="2.84"/>
    <n v="45512"/>
    <n v="2090200"/>
    <n v="497280"/>
    <s v="Feb"/>
    <n v="2"/>
    <n v="2026"/>
    <s v="Weekday"/>
    <n v="0.36842105263157893"/>
    <n v="0.57073170731707312"/>
    <n v="0.17073170731707318"/>
    <n v="14208"/>
    <s v="Hannover Cars"/>
  </r>
  <r>
    <s v="CUST_3752"/>
    <x v="6"/>
    <x v="2"/>
    <s v="Saturday"/>
    <s v="Yes"/>
    <x v="5"/>
    <x v="5"/>
    <s v="Hamburg"/>
    <x v="1"/>
    <s v="Corsa"/>
    <s v="Hybrid"/>
    <x v="2"/>
    <s v="50+"/>
    <s v="Medium"/>
    <x v="1"/>
    <x v="3"/>
    <s v="Sales_3"/>
    <n v="356"/>
    <n v="149"/>
    <n v="101"/>
    <n v="22"/>
    <s v="14.77"/>
    <n v="22631"/>
    <s v="8.94"/>
    <n v="20393"/>
    <n v="497882"/>
    <n v="49236"/>
    <s v="Feb"/>
    <n v="2"/>
    <n v="2026"/>
    <s v="Weekend"/>
    <n v="0.21782178217821782"/>
    <n v="0.41853932584269665"/>
    <n v="6.1797752808988762E-2"/>
    <n v="2238"/>
    <s v="Elbe Drive"/>
  </r>
  <r>
    <s v="CUST_3753"/>
    <x v="16"/>
    <x v="1"/>
    <s v="Tuesday"/>
    <s v="No"/>
    <x v="7"/>
    <x v="7"/>
    <s v="Bavaria"/>
    <x v="1"/>
    <s v="Crossland"/>
    <s v="Hybrid"/>
    <x v="0"/>
    <s v="26-35"/>
    <s v="Medium"/>
    <x v="0"/>
    <x v="3"/>
    <s v="Sales_2"/>
    <n v="365"/>
    <n v="139"/>
    <n v="78"/>
    <n v="27"/>
    <s v="19.42"/>
    <n v="21550"/>
    <s v="8.45"/>
    <n v="19842"/>
    <n v="581850"/>
    <n v="46116"/>
    <s v="Feb"/>
    <n v="2"/>
    <n v="2026"/>
    <s v="Weekday"/>
    <n v="0.34615384615384615"/>
    <n v="0.38082191780821917"/>
    <n v="7.3972602739726029E-2"/>
    <n v="1708"/>
    <s v="Bavaria Motors"/>
  </r>
  <r>
    <s v="CUST_3754"/>
    <x v="16"/>
    <x v="1"/>
    <s v="Tuesday"/>
    <s v="No"/>
    <x v="7"/>
    <x v="7"/>
    <s v="Bavaria"/>
    <x v="0"/>
    <s v="X5"/>
    <s v="Petrol"/>
    <x v="0"/>
    <s v="18-25"/>
    <s v="Medium"/>
    <x v="1"/>
    <x v="0"/>
    <s v="Sales_11"/>
    <n v="173"/>
    <n v="89"/>
    <n v="66"/>
    <n v="24"/>
    <s v="26.97"/>
    <n v="60610"/>
    <s v="2.87"/>
    <n v="46886"/>
    <n v="1454640"/>
    <n v="329376"/>
    <s v="Feb"/>
    <n v="2"/>
    <n v="2026"/>
    <s v="Weekday"/>
    <n v="0.36363636363636365"/>
    <n v="0.51445086705202314"/>
    <n v="0.13872832369942195"/>
    <n v="13724"/>
    <s v="Bavaria Motors"/>
  </r>
  <r>
    <s v="CUST_3755"/>
    <x v="19"/>
    <x v="1"/>
    <s v="Saturday"/>
    <s v="Yes"/>
    <x v="4"/>
    <x v="4"/>
    <s v="Berlin"/>
    <x v="0"/>
    <s v="5 Series"/>
    <s v="Diesel"/>
    <x v="1"/>
    <s v="50+"/>
    <s v="Medium"/>
    <x v="0"/>
    <x v="0"/>
    <s v="Sales_7"/>
    <n v="223"/>
    <n v="130"/>
    <n v="100"/>
    <n v="37"/>
    <s v="28.46"/>
    <n v="62125"/>
    <s v="5.54"/>
    <n v="45444"/>
    <n v="2298625"/>
    <n v="617197"/>
    <s v="Feb"/>
    <n v="2"/>
    <n v="2026"/>
    <s v="Weekend"/>
    <n v="0.37"/>
    <n v="0.5829596412556054"/>
    <n v="0.16591928251121077"/>
    <n v="16681"/>
    <s v="Autohaus Berlin"/>
  </r>
  <r>
    <s v="CUST_3756"/>
    <x v="22"/>
    <x v="3"/>
    <s v="Tuesday"/>
    <s v="No"/>
    <x v="9"/>
    <x v="9"/>
    <s v="NRW"/>
    <x v="1"/>
    <s v="Grandland"/>
    <s v="Electric"/>
    <x v="0"/>
    <s v="18-25"/>
    <s v="Low"/>
    <x v="1"/>
    <x v="0"/>
    <s v="Sales_6"/>
    <n v="330"/>
    <n v="168"/>
    <n v="110"/>
    <n v="18"/>
    <s v="10.71"/>
    <n v="25485"/>
    <s v="7.44"/>
    <n v="23036"/>
    <n v="458730"/>
    <n v="44082"/>
    <s v="Feb"/>
    <n v="2"/>
    <n v="2026"/>
    <s v="Weekday"/>
    <n v="0.16363636363636364"/>
    <n v="0.50909090909090904"/>
    <n v="5.4545454545454543E-2"/>
    <n v="2449"/>
    <s v="Ruhr Auto Plaza"/>
  </r>
  <r>
    <s v="CUST_3757"/>
    <x v="24"/>
    <x v="1"/>
    <s v="Thursday"/>
    <s v="No"/>
    <x v="2"/>
    <x v="2"/>
    <s v="Lower Saxony"/>
    <x v="3"/>
    <s v="GLC"/>
    <s v="Diesel"/>
    <x v="0"/>
    <s v="18-25"/>
    <s v="High"/>
    <x v="0"/>
    <x v="0"/>
    <s v="Sales_10"/>
    <n v="238"/>
    <n v="135"/>
    <n v="94"/>
    <n v="32"/>
    <s v="23.7"/>
    <n v="67730"/>
    <s v="4.04"/>
    <n v="49140"/>
    <n v="2167360"/>
    <n v="594880"/>
    <s v="Feb"/>
    <n v="2"/>
    <n v="2026"/>
    <s v="Weekday"/>
    <n v="0.34042553191489361"/>
    <n v="0.5672268907563025"/>
    <n v="0.13445378151260504"/>
    <n v="18590"/>
    <s v="Hannover Cars"/>
  </r>
  <r>
    <s v="CUST_3758"/>
    <x v="25"/>
    <x v="3"/>
    <s v="Friday"/>
    <s v="No"/>
    <x v="6"/>
    <x v="6"/>
    <s v="Saxony"/>
    <x v="1"/>
    <s v="Corsa"/>
    <s v="Electric"/>
    <x v="2"/>
    <s v="50+"/>
    <s v="Low"/>
    <x v="1"/>
    <x v="2"/>
    <s v="Sales_14"/>
    <n v="373"/>
    <n v="195"/>
    <n v="119"/>
    <n v="37"/>
    <s v="18.97"/>
    <n v="22283"/>
    <s v="8.65"/>
    <n v="20630"/>
    <n v="824471"/>
    <n v="61161"/>
    <s v="Feb"/>
    <n v="2"/>
    <n v="2026"/>
    <s v="Weekday"/>
    <n v="0.31092436974789917"/>
    <n v="0.52278820375335122"/>
    <n v="9.9195710455764072E-2"/>
    <n v="1653"/>
    <s v="Leipzig Mobility"/>
  </r>
  <r>
    <s v="CUST_3759"/>
    <x v="22"/>
    <x v="3"/>
    <s v="Tuesday"/>
    <s v="No"/>
    <x v="1"/>
    <x v="1"/>
    <s v="NRW"/>
    <x v="4"/>
    <s v="T-Roc"/>
    <s v="Petrol"/>
    <x v="0"/>
    <s v="26-35"/>
    <s v="High"/>
    <x v="0"/>
    <x v="2"/>
    <s v="Sales_20"/>
    <n v="322"/>
    <n v="161"/>
    <n v="106"/>
    <n v="30"/>
    <s v="18.63"/>
    <n v="30405"/>
    <s v="9.05"/>
    <n v="27295"/>
    <n v="912150"/>
    <n v="93300"/>
    <s v="Feb"/>
    <n v="2"/>
    <n v="2026"/>
    <s v="Weekday"/>
    <n v="0.28301886792452829"/>
    <n v="0.5"/>
    <n v="9.3167701863354033E-2"/>
    <n v="3110"/>
    <s v="Rhein Auto Group"/>
  </r>
  <r>
    <s v="CUST_3760"/>
    <x v="8"/>
    <x v="3"/>
    <s v="Wednesday"/>
    <s v="No"/>
    <x v="8"/>
    <x v="8"/>
    <s v="Baden-WÃ¼rttemberg"/>
    <x v="0"/>
    <s v="3 Series"/>
    <s v="Petrol"/>
    <x v="1"/>
    <s v="36-50"/>
    <s v="Low"/>
    <x v="1"/>
    <x v="1"/>
    <s v="Sales_7"/>
    <n v="280"/>
    <n v="154"/>
    <n v="118"/>
    <n v="42"/>
    <s v="27.27"/>
    <n v="53587"/>
    <s v="5.61"/>
    <n v="38375"/>
    <n v="2250654"/>
    <n v="638904"/>
    <s v="Feb"/>
    <n v="2"/>
    <n v="2026"/>
    <s v="Weekday"/>
    <n v="0.3559322033898305"/>
    <n v="0.55000000000000004"/>
    <n v="0.15"/>
    <n v="15212"/>
    <s v="Stuttgart Auto Center"/>
  </r>
  <r>
    <s v="CUST_3761"/>
    <x v="0"/>
    <x v="0"/>
    <s v="Monday"/>
    <s v="No"/>
    <x v="0"/>
    <x v="0"/>
    <s v="Hesse"/>
    <x v="2"/>
    <s v="Q5"/>
    <s v="Hybrid"/>
    <x v="0"/>
    <s v="36-50"/>
    <s v="High"/>
    <x v="1"/>
    <x v="2"/>
    <s v="Sales_9"/>
    <n v="269"/>
    <n v="144"/>
    <n v="95"/>
    <n v="38"/>
    <s v="26.39"/>
    <n v="53876"/>
    <s v="6.28"/>
    <n v="43611"/>
    <n v="2047288"/>
    <n v="390070"/>
    <s v="Feb"/>
    <n v="2"/>
    <n v="2026"/>
    <s v="Weekday"/>
    <n v="0.4"/>
    <n v="0.53531598513011147"/>
    <n v="0.14126394052044611"/>
    <n v="10265"/>
    <s v="Main Auto Hub"/>
  </r>
  <r>
    <s v="CUST_3762"/>
    <x v="25"/>
    <x v="3"/>
    <s v="Friday"/>
    <s v="No"/>
    <x v="3"/>
    <x v="3"/>
    <s v="Saxony"/>
    <x v="1"/>
    <s v="Corsa"/>
    <s v="Petrol"/>
    <x v="2"/>
    <s v="18-25"/>
    <s v="Low"/>
    <x v="1"/>
    <x v="1"/>
    <s v="Sales_17"/>
    <n v="248"/>
    <n v="129"/>
    <n v="85"/>
    <n v="21"/>
    <s v="16.28"/>
    <n v="23377"/>
    <s v="13.7"/>
    <n v="21412"/>
    <n v="490917"/>
    <n v="41265"/>
    <s v="Feb"/>
    <n v="2"/>
    <n v="2026"/>
    <s v="Weekday"/>
    <n v="0.24705882352941178"/>
    <n v="0.52016129032258063"/>
    <n v="8.4677419354838704E-2"/>
    <n v="1965"/>
    <s v="Saxon Wheels"/>
  </r>
  <r>
    <s v="CUST_3763"/>
    <x v="19"/>
    <x v="1"/>
    <s v="Saturday"/>
    <s v="Yes"/>
    <x v="0"/>
    <x v="0"/>
    <s v="Hesse"/>
    <x v="1"/>
    <s v="Mokka"/>
    <s v="Petrol"/>
    <x v="0"/>
    <s v="36-50"/>
    <s v="Medium"/>
    <x v="0"/>
    <x v="1"/>
    <s v="Sales_10"/>
    <n v="413"/>
    <n v="197"/>
    <n v="128"/>
    <n v="36"/>
    <s v="18.27"/>
    <n v="23511"/>
    <s v="12.67"/>
    <n v="21463"/>
    <n v="846396"/>
    <n v="73728"/>
    <s v="Feb"/>
    <n v="2"/>
    <n v="2026"/>
    <s v="Weekend"/>
    <n v="0.28125"/>
    <n v="0.47699757869249393"/>
    <n v="8.7167070217917669E-2"/>
    <n v="2048"/>
    <s v="Main Auto Hub"/>
  </r>
  <r>
    <s v="CUST_3764"/>
    <x v="1"/>
    <x v="1"/>
    <s v="Wednesday"/>
    <s v="No"/>
    <x v="3"/>
    <x v="3"/>
    <s v="Saxony"/>
    <x v="2"/>
    <s v="Q3"/>
    <s v="Diesel"/>
    <x v="0"/>
    <s v="26-35"/>
    <s v="Medium"/>
    <x v="0"/>
    <x v="2"/>
    <s v="Sales_11"/>
    <n v="247"/>
    <n v="132"/>
    <n v="95"/>
    <n v="36"/>
    <s v="27.27"/>
    <n v="44102"/>
    <s v="5.64"/>
    <n v="34348"/>
    <n v="1587672"/>
    <n v="351144"/>
    <s v="Feb"/>
    <n v="2"/>
    <n v="2026"/>
    <s v="Weekday"/>
    <n v="0.37894736842105264"/>
    <n v="0.53441295546558709"/>
    <n v="0.145748987854251"/>
    <n v="9754"/>
    <s v="Saxon Wheels"/>
  </r>
  <r>
    <s v="CUST_3765"/>
    <x v="14"/>
    <x v="2"/>
    <s v="Friday"/>
    <s v="No"/>
    <x v="8"/>
    <x v="8"/>
    <s v="Baden-WÃ¼rttemberg"/>
    <x v="3"/>
    <s v="EQE"/>
    <s v="Petrol"/>
    <x v="1"/>
    <s v="50+"/>
    <s v="Medium"/>
    <x v="0"/>
    <x v="3"/>
    <s v="Sales_13"/>
    <n v="203"/>
    <n v="119"/>
    <n v="79"/>
    <n v="32"/>
    <s v="26.89"/>
    <n v="70530"/>
    <s v="4.99"/>
    <n v="55264"/>
    <n v="2256960"/>
    <n v="488512"/>
    <s v="Feb"/>
    <n v="2"/>
    <n v="2026"/>
    <s v="Weekday"/>
    <n v="0.4050632911392405"/>
    <n v="0.58620689655172409"/>
    <n v="0.15763546798029557"/>
    <n v="15266"/>
    <s v="Stuttgart Auto Center"/>
  </r>
  <r>
    <s v="CUST_3766"/>
    <x v="24"/>
    <x v="1"/>
    <s v="Thursday"/>
    <s v="No"/>
    <x v="8"/>
    <x v="8"/>
    <s v="Baden-WÃ¼rttemberg"/>
    <x v="0"/>
    <s v="i4"/>
    <s v="Electric"/>
    <x v="1"/>
    <s v="26-35"/>
    <s v="High"/>
    <x v="1"/>
    <x v="3"/>
    <s v="Sales_14"/>
    <n v="236"/>
    <n v="116"/>
    <n v="92"/>
    <n v="28"/>
    <s v="24.14"/>
    <n v="57638"/>
    <s v="4.08"/>
    <n v="44138"/>
    <n v="1613864"/>
    <n v="378000"/>
    <s v="Feb"/>
    <n v="2"/>
    <n v="2026"/>
    <s v="Weekday"/>
    <n v="0.30434782608695654"/>
    <n v="0.49152542372881358"/>
    <n v="0.11864406779661017"/>
    <n v="13500"/>
    <s v="Stuttgart Auto Center"/>
  </r>
  <r>
    <s v="CUST_3767"/>
    <x v="10"/>
    <x v="1"/>
    <s v="Monday"/>
    <s v="No"/>
    <x v="2"/>
    <x v="2"/>
    <s v="Lower Saxony"/>
    <x v="1"/>
    <s v="Crossland"/>
    <s v="Diesel"/>
    <x v="0"/>
    <s v="36-50"/>
    <s v="Low"/>
    <x v="1"/>
    <x v="2"/>
    <s v="Sales_16"/>
    <n v="249"/>
    <n v="111"/>
    <n v="64"/>
    <n v="22"/>
    <s v="19.82"/>
    <n v="22511"/>
    <s v="7.33"/>
    <n v="20586"/>
    <n v="495242"/>
    <n v="42350"/>
    <s v="Feb"/>
    <n v="2"/>
    <n v="2026"/>
    <s v="Weekday"/>
    <n v="0.34375"/>
    <n v="0.44578313253012047"/>
    <n v="8.8353413654618476E-2"/>
    <n v="1925"/>
    <s v="Hannover Cars"/>
  </r>
  <r>
    <s v="CUST_3768"/>
    <x v="19"/>
    <x v="1"/>
    <s v="Saturday"/>
    <s v="Yes"/>
    <x v="3"/>
    <x v="3"/>
    <s v="Saxony"/>
    <x v="2"/>
    <s v="Q5"/>
    <s v="Petrol"/>
    <x v="0"/>
    <s v="26-35"/>
    <s v="Low"/>
    <x v="0"/>
    <x v="3"/>
    <s v="Sales_8"/>
    <n v="187"/>
    <n v="87"/>
    <n v="64"/>
    <n v="18"/>
    <s v="20.69"/>
    <n v="44616"/>
    <s v="5.15"/>
    <n v="35976"/>
    <n v="803088"/>
    <n v="155520"/>
    <s v="Feb"/>
    <n v="2"/>
    <n v="2026"/>
    <s v="Weekend"/>
    <n v="0.28125"/>
    <n v="0.46524064171122997"/>
    <n v="9.6256684491978606E-2"/>
    <n v="8640"/>
    <s v="Saxon Wheels"/>
  </r>
  <r>
    <s v="CUST_3769"/>
    <x v="10"/>
    <x v="1"/>
    <s v="Monday"/>
    <s v="No"/>
    <x v="2"/>
    <x v="2"/>
    <s v="Lower Saxony"/>
    <x v="2"/>
    <s v="e-tron"/>
    <s v="Petrol"/>
    <x v="0"/>
    <s v="18-25"/>
    <s v="Low"/>
    <x v="0"/>
    <x v="1"/>
    <s v="Sales_13"/>
    <n v="232"/>
    <n v="126"/>
    <n v="95"/>
    <n v="32"/>
    <s v="25.4"/>
    <n v="49186"/>
    <s v="4.69"/>
    <n v="39599"/>
    <n v="1573952"/>
    <n v="306784"/>
    <s v="Feb"/>
    <n v="2"/>
    <n v="2026"/>
    <s v="Weekday"/>
    <n v="0.33684210526315789"/>
    <n v="0.5431034482758621"/>
    <n v="0.13793103448275862"/>
    <n v="9587"/>
    <s v="Hannover Cars"/>
  </r>
  <r>
    <s v="CUST_3770"/>
    <x v="0"/>
    <x v="0"/>
    <s v="Monday"/>
    <s v="No"/>
    <x v="1"/>
    <x v="1"/>
    <s v="NRW"/>
    <x v="2"/>
    <s v="A3"/>
    <s v="Petrol"/>
    <x v="2"/>
    <s v="50+"/>
    <s v="Low"/>
    <x v="1"/>
    <x v="2"/>
    <s v="Sales_15"/>
    <n v="237"/>
    <n v="120"/>
    <n v="76"/>
    <n v="32"/>
    <s v="26.67"/>
    <n v="44784"/>
    <s v="4.39"/>
    <n v="33771"/>
    <n v="1433088"/>
    <n v="352416"/>
    <s v="Feb"/>
    <n v="2"/>
    <n v="2026"/>
    <s v="Weekday"/>
    <n v="0.42105263157894735"/>
    <n v="0.50632911392405067"/>
    <n v="0.13502109704641349"/>
    <n v="11013"/>
    <s v="Rhein Auto Group"/>
  </r>
  <r>
    <s v="CUST_3771"/>
    <x v="24"/>
    <x v="1"/>
    <s v="Thursday"/>
    <s v="No"/>
    <x v="1"/>
    <x v="1"/>
    <s v="NRW"/>
    <x v="0"/>
    <s v="5 Series"/>
    <s v="Hybrid"/>
    <x v="1"/>
    <s v="18-25"/>
    <s v="Low"/>
    <x v="0"/>
    <x v="3"/>
    <s v="Sales_2"/>
    <n v="272"/>
    <n v="159"/>
    <n v="126"/>
    <n v="43"/>
    <s v="27.04"/>
    <n v="53033"/>
    <s v="4.37"/>
    <n v="38351"/>
    <n v="2280419"/>
    <n v="631326"/>
    <s v="Feb"/>
    <n v="2"/>
    <n v="2026"/>
    <s v="Weekday"/>
    <n v="0.34126984126984128"/>
    <n v="0.5845588235294118"/>
    <n v="0.15808823529411764"/>
    <n v="14682"/>
    <s v="Rhein Auto Group"/>
  </r>
  <r>
    <s v="CUST_3772"/>
    <x v="5"/>
    <x v="3"/>
    <s v="Saturday"/>
    <s v="Yes"/>
    <x v="5"/>
    <x v="5"/>
    <s v="Hamburg"/>
    <x v="1"/>
    <s v="Astra"/>
    <s v="Diesel"/>
    <x v="2"/>
    <s v="50+"/>
    <s v="High"/>
    <x v="1"/>
    <x v="0"/>
    <s v="Sales_3"/>
    <n v="266"/>
    <n v="147"/>
    <n v="86"/>
    <n v="18"/>
    <s v="12.24"/>
    <n v="20700"/>
    <s v="7.16"/>
    <n v="18765"/>
    <n v="372600"/>
    <n v="34830"/>
    <s v="Feb"/>
    <n v="2"/>
    <n v="2026"/>
    <s v="Weekend"/>
    <n v="0.20930232558139536"/>
    <n v="0.55263157894736847"/>
    <n v="6.7669172932330823E-2"/>
    <n v="1935"/>
    <s v="Elbe Drive"/>
  </r>
  <r>
    <s v="CUST_3773"/>
    <x v="12"/>
    <x v="3"/>
    <s v="Thursday"/>
    <s v="No"/>
    <x v="5"/>
    <x v="5"/>
    <s v="Hamburg"/>
    <x v="0"/>
    <s v="X3"/>
    <s v="Diesel"/>
    <x v="0"/>
    <s v="18-25"/>
    <s v="High"/>
    <x v="1"/>
    <x v="3"/>
    <s v="Sales_1"/>
    <n v="235"/>
    <n v="138"/>
    <n v="102"/>
    <n v="34"/>
    <s v="24.64"/>
    <n v="58180"/>
    <s v="3.08"/>
    <n v="40979"/>
    <n v="1978120"/>
    <n v="584834"/>
    <s v="Feb"/>
    <n v="2"/>
    <n v="2026"/>
    <s v="Weekday"/>
    <n v="0.33333333333333331"/>
    <n v="0.58723404255319145"/>
    <n v="0.14468085106382977"/>
    <n v="17201"/>
    <s v="Elbe Drive"/>
  </r>
  <r>
    <s v="CUST_3774"/>
    <x v="5"/>
    <x v="3"/>
    <s v="Saturday"/>
    <s v="Yes"/>
    <x v="1"/>
    <x v="1"/>
    <s v="NRW"/>
    <x v="2"/>
    <s v="A4"/>
    <s v="Hybrid"/>
    <x v="1"/>
    <s v="26-35"/>
    <s v="High"/>
    <x v="1"/>
    <x v="1"/>
    <s v="Sales_1"/>
    <n v="203"/>
    <n v="100"/>
    <n v="68"/>
    <n v="22"/>
    <s v="22.0"/>
    <n v="54395"/>
    <s v="6.16"/>
    <n v="43756"/>
    <n v="1196690"/>
    <n v="234058"/>
    <s v="Feb"/>
    <n v="2"/>
    <n v="2026"/>
    <s v="Weekend"/>
    <n v="0.3235294117647059"/>
    <n v="0.49261083743842365"/>
    <n v="0.10837438423645321"/>
    <n v="10639"/>
    <s v="Rhein Auto Group"/>
  </r>
  <r>
    <s v="CUST_3775"/>
    <x v="20"/>
    <x v="0"/>
    <s v="Thursday"/>
    <s v="No"/>
    <x v="2"/>
    <x v="2"/>
    <s v="Lower Saxony"/>
    <x v="0"/>
    <s v="X3"/>
    <s v="Electric"/>
    <x v="0"/>
    <s v="50+"/>
    <s v="High"/>
    <x v="1"/>
    <x v="0"/>
    <s v="Sales_19"/>
    <n v="256"/>
    <n v="158"/>
    <n v="127"/>
    <n v="38"/>
    <s v="24.05"/>
    <n v="61844"/>
    <s v="2.6"/>
    <n v="43393"/>
    <n v="2350072"/>
    <n v="701138"/>
    <s v="Feb"/>
    <n v="2"/>
    <n v="2026"/>
    <s v="Weekday"/>
    <n v="0.29921259842519687"/>
    <n v="0.6171875"/>
    <n v="0.1484375"/>
    <n v="18451"/>
    <s v="Hannover Cars"/>
  </r>
  <r>
    <s v="CUST_3776"/>
    <x v="0"/>
    <x v="0"/>
    <s v="Monday"/>
    <s v="No"/>
    <x v="0"/>
    <x v="0"/>
    <s v="Hesse"/>
    <x v="3"/>
    <s v="GLE"/>
    <s v="Diesel"/>
    <x v="0"/>
    <s v="18-25"/>
    <s v="High"/>
    <x v="1"/>
    <x v="2"/>
    <s v="Sales_17"/>
    <n v="192"/>
    <n v="110"/>
    <n v="73"/>
    <n v="31"/>
    <s v="28.18"/>
    <n v="53924"/>
    <s v="2.45"/>
    <n v="38516"/>
    <n v="1671644"/>
    <n v="477648"/>
    <s v="Feb"/>
    <n v="2"/>
    <n v="2026"/>
    <s v="Weekday"/>
    <n v="0.42465753424657532"/>
    <n v="0.57291666666666663"/>
    <n v="0.16145833333333334"/>
    <n v="15408"/>
    <s v="Main Auto Hub"/>
  </r>
  <r>
    <s v="CUST_3777"/>
    <x v="17"/>
    <x v="2"/>
    <s v="Sunday"/>
    <s v="Yes"/>
    <x v="4"/>
    <x v="4"/>
    <s v="Berlin"/>
    <x v="2"/>
    <s v="A3"/>
    <s v="Electric"/>
    <x v="2"/>
    <s v="50+"/>
    <s v="Medium"/>
    <x v="1"/>
    <x v="0"/>
    <s v="Sales_12"/>
    <n v="240"/>
    <n v="113"/>
    <n v="87"/>
    <n v="27"/>
    <s v="23.89"/>
    <n v="52265"/>
    <s v="3.74"/>
    <n v="42488"/>
    <n v="1411155"/>
    <n v="263979"/>
    <s v="Feb"/>
    <n v="2"/>
    <n v="2026"/>
    <s v="Weekend"/>
    <n v="0.31034482758620691"/>
    <n v="0.47083333333333333"/>
    <n v="0.1125"/>
    <n v="9777"/>
    <s v="Autohaus Berlin"/>
  </r>
  <r>
    <s v="CUST_3778"/>
    <x v="24"/>
    <x v="1"/>
    <s v="Thursday"/>
    <s v="No"/>
    <x v="7"/>
    <x v="7"/>
    <s v="Bavaria"/>
    <x v="4"/>
    <s v="ID.4"/>
    <s v="Petrol"/>
    <x v="0"/>
    <s v="18-25"/>
    <s v="High"/>
    <x v="0"/>
    <x v="3"/>
    <s v="Sales_4"/>
    <n v="321"/>
    <n v="166"/>
    <n v="111"/>
    <n v="28"/>
    <s v="16.87"/>
    <n v="29961"/>
    <s v="11.96"/>
    <n v="26519"/>
    <n v="838908"/>
    <n v="96376"/>
    <s v="Feb"/>
    <n v="2"/>
    <n v="2026"/>
    <s v="Weekday"/>
    <n v="0.25225225225225223"/>
    <n v="0.51713395638629278"/>
    <n v="8.7227414330218064E-2"/>
    <n v="3442"/>
    <s v="Bavaria Motors"/>
  </r>
  <r>
    <s v="CUST_3779"/>
    <x v="20"/>
    <x v="0"/>
    <s v="Thursday"/>
    <s v="No"/>
    <x v="1"/>
    <x v="1"/>
    <s v="NRW"/>
    <x v="0"/>
    <s v="X5"/>
    <s v="Hybrid"/>
    <x v="0"/>
    <s v="50+"/>
    <s v="High"/>
    <x v="0"/>
    <x v="0"/>
    <s v="Sales_2"/>
    <n v="153"/>
    <n v="89"/>
    <n v="60"/>
    <n v="25"/>
    <s v="28.09"/>
    <n v="52833"/>
    <s v="5.67"/>
    <n v="39665"/>
    <n v="1320825"/>
    <n v="329200"/>
    <s v="Feb"/>
    <n v="2"/>
    <n v="2026"/>
    <s v="Weekday"/>
    <n v="0.41666666666666669"/>
    <n v="0.5816993464052288"/>
    <n v="0.16339869281045752"/>
    <n v="13168"/>
    <s v="Rhein Auto Group"/>
  </r>
  <r>
    <s v="CUST_3780"/>
    <x v="25"/>
    <x v="3"/>
    <s v="Friday"/>
    <s v="No"/>
    <x v="5"/>
    <x v="5"/>
    <s v="Hamburg"/>
    <x v="2"/>
    <s v="Q3"/>
    <s v="Petrol"/>
    <x v="0"/>
    <s v="18-25"/>
    <s v="Low"/>
    <x v="1"/>
    <x v="2"/>
    <s v="Sales_15"/>
    <n v="232"/>
    <n v="143"/>
    <n v="104"/>
    <n v="40"/>
    <s v="27.97"/>
    <n v="44837"/>
    <s v="5.2"/>
    <n v="34067"/>
    <n v="1793480"/>
    <n v="430800"/>
    <s v="Feb"/>
    <n v="2"/>
    <n v="2026"/>
    <s v="Weekday"/>
    <n v="0.38461538461538464"/>
    <n v="0.61637931034482762"/>
    <n v="0.17241379310344829"/>
    <n v="10770"/>
    <s v="Elbe Drive"/>
  </r>
  <r>
    <s v="CUST_3781"/>
    <x v="18"/>
    <x v="0"/>
    <s v="Saturday"/>
    <s v="Yes"/>
    <x v="3"/>
    <x v="3"/>
    <s v="Saxony"/>
    <x v="4"/>
    <s v="T-Roc"/>
    <s v="Diesel"/>
    <x v="0"/>
    <s v="18-25"/>
    <s v="High"/>
    <x v="0"/>
    <x v="0"/>
    <s v="Sales_6"/>
    <n v="404"/>
    <n v="186"/>
    <n v="124"/>
    <n v="28"/>
    <s v="15.05"/>
    <n v="32765"/>
    <s v="7.28"/>
    <n v="29164"/>
    <n v="917420"/>
    <n v="100828"/>
    <s v="Feb"/>
    <n v="2"/>
    <n v="2026"/>
    <s v="Weekend"/>
    <n v="0.22580645161290322"/>
    <n v="0.46039603960396042"/>
    <n v="6.9306930693069313E-2"/>
    <n v="3601"/>
    <s v="Saxon Wheels"/>
  </r>
  <r>
    <s v="CUST_3782"/>
    <x v="18"/>
    <x v="0"/>
    <s v="Saturday"/>
    <s v="Yes"/>
    <x v="3"/>
    <x v="3"/>
    <s v="Saxony"/>
    <x v="1"/>
    <s v="Corsa"/>
    <s v="Electric"/>
    <x v="2"/>
    <s v="18-25"/>
    <s v="High"/>
    <x v="0"/>
    <x v="1"/>
    <s v="Sales_12"/>
    <n v="344"/>
    <n v="138"/>
    <n v="94"/>
    <n v="21"/>
    <s v="15.22"/>
    <n v="23143"/>
    <s v="12.1"/>
    <n v="20822"/>
    <n v="486003"/>
    <n v="48741"/>
    <s v="Feb"/>
    <n v="2"/>
    <n v="2026"/>
    <s v="Weekend"/>
    <n v="0.22340425531914893"/>
    <n v="0.40116279069767441"/>
    <n v="6.1046511627906974E-2"/>
    <n v="2321"/>
    <s v="Saxon Wheels"/>
  </r>
  <r>
    <s v="CUST_3783"/>
    <x v="16"/>
    <x v="1"/>
    <s v="Tuesday"/>
    <s v="No"/>
    <x v="2"/>
    <x v="2"/>
    <s v="Lower Saxony"/>
    <x v="3"/>
    <s v="EQE"/>
    <s v="Diesel"/>
    <x v="1"/>
    <s v="26-35"/>
    <s v="Medium"/>
    <x v="1"/>
    <x v="1"/>
    <s v="Sales_8"/>
    <n v="236"/>
    <n v="114"/>
    <n v="76"/>
    <n v="30"/>
    <s v="26.32"/>
    <n v="54649"/>
    <s v="2.35"/>
    <n v="40681"/>
    <n v="1639470"/>
    <n v="419040"/>
    <s v="Feb"/>
    <n v="2"/>
    <n v="2026"/>
    <s v="Weekday"/>
    <n v="0.39473684210526316"/>
    <n v="0.48305084745762711"/>
    <n v="0.1271186440677966"/>
    <n v="13968"/>
    <s v="Hannover Cars"/>
  </r>
  <r>
    <s v="CUST_3784"/>
    <x v="8"/>
    <x v="3"/>
    <s v="Wednesday"/>
    <s v="No"/>
    <x v="7"/>
    <x v="7"/>
    <s v="Bavaria"/>
    <x v="1"/>
    <s v="Crossland"/>
    <s v="Diesel"/>
    <x v="0"/>
    <s v="36-50"/>
    <s v="Low"/>
    <x v="0"/>
    <x v="0"/>
    <s v="Sales_8"/>
    <n v="359"/>
    <n v="174"/>
    <n v="97"/>
    <n v="26"/>
    <s v="14.94"/>
    <n v="27010"/>
    <s v="7.47"/>
    <n v="24695"/>
    <n v="702260"/>
    <n v="60190"/>
    <s v="Feb"/>
    <n v="2"/>
    <n v="2026"/>
    <s v="Weekday"/>
    <n v="0.26804123711340205"/>
    <n v="0.48467966573816157"/>
    <n v="7.2423398328690811E-2"/>
    <n v="2315"/>
    <s v="Bavaria Motors"/>
  </r>
  <r>
    <s v="CUST_3785"/>
    <x v="8"/>
    <x v="3"/>
    <s v="Wednesday"/>
    <s v="No"/>
    <x v="0"/>
    <x v="0"/>
    <s v="Hesse"/>
    <x v="2"/>
    <s v="Q5"/>
    <s v="Hybrid"/>
    <x v="0"/>
    <s v="50+"/>
    <s v="High"/>
    <x v="0"/>
    <x v="1"/>
    <s v="Sales_17"/>
    <n v="199"/>
    <n v="106"/>
    <n v="80"/>
    <n v="24"/>
    <s v="22.64"/>
    <n v="48235"/>
    <s v="4.16"/>
    <n v="38133"/>
    <n v="1157640"/>
    <n v="242448"/>
    <s v="Feb"/>
    <n v="2"/>
    <n v="2026"/>
    <s v="Weekday"/>
    <n v="0.3"/>
    <n v="0.53266331658291455"/>
    <n v="0.12060301507537688"/>
    <n v="10102"/>
    <s v="Main Auto Hub"/>
  </r>
  <r>
    <s v="CUST_3786"/>
    <x v="27"/>
    <x v="3"/>
    <s v="Sunday"/>
    <s v="Yes"/>
    <x v="0"/>
    <x v="0"/>
    <s v="Hesse"/>
    <x v="3"/>
    <s v="GLE"/>
    <s v="Hybrid"/>
    <x v="0"/>
    <s v="18-25"/>
    <s v="High"/>
    <x v="0"/>
    <x v="2"/>
    <s v="Sales_11"/>
    <n v="242"/>
    <n v="144"/>
    <n v="96"/>
    <n v="41"/>
    <s v="28.47"/>
    <n v="72119"/>
    <s v="3.8"/>
    <n v="55933"/>
    <n v="2956879"/>
    <n v="663626"/>
    <s v="Feb"/>
    <n v="2"/>
    <n v="2026"/>
    <s v="Weekend"/>
    <n v="0.42708333333333331"/>
    <n v="0.5950413223140496"/>
    <n v="0.16942148760330578"/>
    <n v="16186"/>
    <s v="Main Auto Hub"/>
  </r>
  <r>
    <s v="CUST_3787"/>
    <x v="22"/>
    <x v="3"/>
    <s v="Tuesday"/>
    <s v="No"/>
    <x v="3"/>
    <x v="3"/>
    <s v="Saxony"/>
    <x v="1"/>
    <s v="Mokka"/>
    <s v="Petrol"/>
    <x v="0"/>
    <s v="26-35"/>
    <s v="High"/>
    <x v="1"/>
    <x v="0"/>
    <s v="Sales_18"/>
    <n v="426"/>
    <n v="188"/>
    <n v="120"/>
    <n v="21"/>
    <s v="11.17"/>
    <n v="21059"/>
    <s v="13.35"/>
    <n v="18995"/>
    <n v="442239"/>
    <n v="43344"/>
    <s v="Feb"/>
    <n v="2"/>
    <n v="2026"/>
    <s v="Weekday"/>
    <n v="0.17499999999999999"/>
    <n v="0.44131455399061031"/>
    <n v="4.9295774647887321E-2"/>
    <n v="2064"/>
    <s v="Saxon Wheels"/>
  </r>
  <r>
    <s v="CUST_3788"/>
    <x v="24"/>
    <x v="1"/>
    <s v="Thursday"/>
    <s v="No"/>
    <x v="8"/>
    <x v="8"/>
    <s v="Baden-WÃ¼rttemberg"/>
    <x v="2"/>
    <s v="Q3"/>
    <s v="Petrol"/>
    <x v="0"/>
    <s v="18-25"/>
    <s v="Medium"/>
    <x v="0"/>
    <x v="2"/>
    <s v="Sales_16"/>
    <n v="236"/>
    <n v="115"/>
    <n v="85"/>
    <n v="33"/>
    <s v="28.7"/>
    <n v="54499"/>
    <s v="3.16"/>
    <n v="42499"/>
    <n v="1798467"/>
    <n v="396000"/>
    <s v="Feb"/>
    <n v="2"/>
    <n v="2026"/>
    <s v="Weekday"/>
    <n v="0.38823529411764707"/>
    <n v="0.48728813559322032"/>
    <n v="0.13983050847457626"/>
    <n v="12000"/>
    <s v="Stuttgart Auto Center"/>
  </r>
  <r>
    <s v="CUST_3789"/>
    <x v="26"/>
    <x v="1"/>
    <s v="Friday"/>
    <s v="No"/>
    <x v="2"/>
    <x v="2"/>
    <s v="Lower Saxony"/>
    <x v="2"/>
    <s v="A3"/>
    <s v="Electric"/>
    <x v="2"/>
    <s v="36-50"/>
    <s v="Medium"/>
    <x v="0"/>
    <x v="3"/>
    <s v="Sales_8"/>
    <n v="210"/>
    <n v="114"/>
    <n v="85"/>
    <n v="24"/>
    <s v="21.05"/>
    <n v="40445"/>
    <s v="6.14"/>
    <n v="32807"/>
    <n v="970680"/>
    <n v="183312"/>
    <s v="Feb"/>
    <n v="2"/>
    <n v="2026"/>
    <s v="Weekday"/>
    <n v="0.28235294117647058"/>
    <n v="0.54285714285714282"/>
    <n v="0.11428571428571428"/>
    <n v="7638"/>
    <s v="Hannover Cars"/>
  </r>
  <r>
    <s v="CUST_3790"/>
    <x v="19"/>
    <x v="1"/>
    <s v="Saturday"/>
    <s v="Yes"/>
    <x v="1"/>
    <x v="1"/>
    <s v="NRW"/>
    <x v="3"/>
    <s v="E-Class"/>
    <s v="Hybrid"/>
    <x v="1"/>
    <s v="50+"/>
    <s v="Medium"/>
    <x v="0"/>
    <x v="0"/>
    <s v="Sales_12"/>
    <n v="272"/>
    <n v="140"/>
    <n v="92"/>
    <n v="35"/>
    <s v="25.0"/>
    <n v="56452"/>
    <s v="4.35"/>
    <n v="42100"/>
    <n v="1975820"/>
    <n v="502320"/>
    <s v="Feb"/>
    <n v="2"/>
    <n v="2026"/>
    <s v="Weekend"/>
    <n v="0.38043478260869568"/>
    <n v="0.51470588235294112"/>
    <n v="0.12867647058823528"/>
    <n v="14352"/>
    <s v="Rhein Auto Group"/>
  </r>
  <r>
    <s v="CUST_3791"/>
    <x v="22"/>
    <x v="3"/>
    <s v="Tuesday"/>
    <s v="No"/>
    <x v="1"/>
    <x v="1"/>
    <s v="NRW"/>
    <x v="4"/>
    <s v="Passat"/>
    <s v="Petrol"/>
    <x v="1"/>
    <s v="36-50"/>
    <s v="Low"/>
    <x v="0"/>
    <x v="0"/>
    <s v="Sales_15"/>
    <n v="336"/>
    <n v="184"/>
    <n v="111"/>
    <n v="31"/>
    <s v="16.85"/>
    <n v="29895"/>
    <s v="9.32"/>
    <n v="26977"/>
    <n v="926745"/>
    <n v="90458"/>
    <s v="Feb"/>
    <n v="2"/>
    <n v="2026"/>
    <s v="Weekday"/>
    <n v="0.27927927927927926"/>
    <n v="0.54761904761904767"/>
    <n v="9.2261904761904767E-2"/>
    <n v="2918"/>
    <s v="Rhein Auto Group"/>
  </r>
  <r>
    <s v="CUST_3792"/>
    <x v="12"/>
    <x v="3"/>
    <s v="Thursday"/>
    <s v="No"/>
    <x v="0"/>
    <x v="0"/>
    <s v="Hesse"/>
    <x v="3"/>
    <s v="EQE"/>
    <s v="Electric"/>
    <x v="1"/>
    <s v="26-35"/>
    <s v="Low"/>
    <x v="1"/>
    <x v="0"/>
    <s v="Sales_15"/>
    <n v="168"/>
    <n v="97"/>
    <n v="75"/>
    <n v="23"/>
    <s v="23.71"/>
    <n v="60125"/>
    <s v="4.36"/>
    <n v="45415"/>
    <n v="1382875"/>
    <n v="338330"/>
    <s v="Feb"/>
    <n v="2"/>
    <n v="2026"/>
    <s v="Weekday"/>
    <n v="0.30666666666666664"/>
    <n v="0.57738095238095233"/>
    <n v="0.13690476190476192"/>
    <n v="14710"/>
    <s v="Main Auto Hub"/>
  </r>
  <r>
    <s v="CUST_3793"/>
    <x v="11"/>
    <x v="0"/>
    <s v="Wednesday"/>
    <s v="No"/>
    <x v="1"/>
    <x v="1"/>
    <s v="NRW"/>
    <x v="4"/>
    <s v="T-Roc"/>
    <s v="Diesel"/>
    <x v="0"/>
    <s v="50+"/>
    <s v="Low"/>
    <x v="0"/>
    <x v="2"/>
    <s v="Sales_16"/>
    <n v="395"/>
    <n v="219"/>
    <n v="132"/>
    <n v="46"/>
    <s v="21.0"/>
    <n v="29708"/>
    <s v="11.05"/>
    <n v="25584"/>
    <n v="1366568"/>
    <n v="189704"/>
    <s v="Feb"/>
    <n v="2"/>
    <n v="2026"/>
    <s v="Weekday"/>
    <n v="0.34848484848484851"/>
    <n v="0.5544303797468354"/>
    <n v="0.11645569620253164"/>
    <n v="4124"/>
    <s v="Rhein Auto Group"/>
  </r>
  <r>
    <s v="CUST_3794"/>
    <x v="13"/>
    <x v="0"/>
    <s v="Friday"/>
    <s v="No"/>
    <x v="4"/>
    <x v="4"/>
    <s v="Berlin"/>
    <x v="0"/>
    <s v="X5"/>
    <s v="Petrol"/>
    <x v="0"/>
    <s v="26-35"/>
    <s v="Medium"/>
    <x v="0"/>
    <x v="3"/>
    <s v="Sales_15"/>
    <n v="236"/>
    <n v="111"/>
    <n v="87"/>
    <n v="32"/>
    <s v="28.83"/>
    <n v="55646"/>
    <s v="5.26"/>
    <n v="42467"/>
    <n v="1780672"/>
    <n v="421728"/>
    <s v="Feb"/>
    <n v="2"/>
    <n v="2026"/>
    <s v="Weekday"/>
    <n v="0.36781609195402298"/>
    <n v="0.47033898305084748"/>
    <n v="0.13559322033898305"/>
    <n v="13179"/>
    <s v="Autohaus Berlin"/>
  </r>
  <r>
    <s v="CUST_3795"/>
    <x v="19"/>
    <x v="1"/>
    <s v="Saturday"/>
    <s v="Yes"/>
    <x v="8"/>
    <x v="8"/>
    <s v="Baden-WÃ¼rttemberg"/>
    <x v="2"/>
    <s v="A4"/>
    <s v="Diesel"/>
    <x v="1"/>
    <s v="26-35"/>
    <s v="High"/>
    <x v="1"/>
    <x v="0"/>
    <s v="Sales_6"/>
    <n v="190"/>
    <n v="101"/>
    <n v="76"/>
    <n v="20"/>
    <s v="19.8"/>
    <n v="53840"/>
    <s v="3.39"/>
    <n v="40606"/>
    <n v="1076800"/>
    <n v="264680"/>
    <s v="Feb"/>
    <n v="2"/>
    <n v="2026"/>
    <s v="Weekend"/>
    <n v="0.26315789473684209"/>
    <n v="0.53157894736842104"/>
    <n v="0.10526315789473684"/>
    <n v="13234"/>
    <s v="Stuttgart Auto Center"/>
  </r>
  <r>
    <s v="CUST_3796"/>
    <x v="10"/>
    <x v="1"/>
    <s v="Monday"/>
    <s v="No"/>
    <x v="7"/>
    <x v="7"/>
    <s v="Bavaria"/>
    <x v="3"/>
    <s v="C-Class"/>
    <s v="Petrol"/>
    <x v="1"/>
    <s v="18-25"/>
    <s v="Medium"/>
    <x v="1"/>
    <x v="1"/>
    <s v="Sales_8"/>
    <n v="149"/>
    <n v="67"/>
    <n v="51"/>
    <n v="19"/>
    <s v="28.36"/>
    <n v="72086"/>
    <s v="2.08"/>
    <n v="53270"/>
    <n v="1369634"/>
    <n v="357504"/>
    <s v="Feb"/>
    <n v="2"/>
    <n v="2026"/>
    <s v="Weekday"/>
    <n v="0.37254901960784315"/>
    <n v="0.44966442953020136"/>
    <n v="0.12751677852348994"/>
    <n v="18816"/>
    <s v="Bavaria Motors"/>
  </r>
  <r>
    <s v="CUST_3797"/>
    <x v="12"/>
    <x v="3"/>
    <s v="Thursday"/>
    <s v="No"/>
    <x v="1"/>
    <x v="1"/>
    <s v="NRW"/>
    <x v="4"/>
    <s v="Passat"/>
    <s v="Electric"/>
    <x v="1"/>
    <s v="18-25"/>
    <s v="Low"/>
    <x v="0"/>
    <x v="2"/>
    <s v="Sales_9"/>
    <n v="487"/>
    <n v="280"/>
    <n v="191"/>
    <n v="50"/>
    <s v="17.86"/>
    <n v="30100"/>
    <s v="11.52"/>
    <n v="26040"/>
    <n v="1505000"/>
    <n v="203000"/>
    <s v="Feb"/>
    <n v="2"/>
    <n v="2026"/>
    <s v="Weekday"/>
    <n v="0.26178010471204188"/>
    <n v="0.57494866529774125"/>
    <n v="0.10266940451745379"/>
    <n v="4060"/>
    <s v="Rhein Auto Group"/>
  </r>
  <r>
    <s v="CUST_3798"/>
    <x v="9"/>
    <x v="0"/>
    <s v="Sunday"/>
    <s v="Yes"/>
    <x v="0"/>
    <x v="0"/>
    <s v="Hesse"/>
    <x v="1"/>
    <s v="Astra"/>
    <s v="Electric"/>
    <x v="2"/>
    <s v="36-50"/>
    <s v="Medium"/>
    <x v="0"/>
    <x v="0"/>
    <s v="Sales_12"/>
    <n v="230"/>
    <n v="118"/>
    <n v="70"/>
    <n v="15"/>
    <s v="12.71"/>
    <n v="26212"/>
    <s v="10.19"/>
    <n v="23944"/>
    <n v="393180"/>
    <n v="34020"/>
    <s v="Feb"/>
    <n v="2"/>
    <n v="2026"/>
    <s v="Weekend"/>
    <n v="0.21428571428571427"/>
    <n v="0.5130434782608696"/>
    <n v="6.5217391304347824E-2"/>
    <n v="2268"/>
    <s v="Main Auto Hub"/>
  </r>
  <r>
    <s v="CUST_3799"/>
    <x v="24"/>
    <x v="1"/>
    <s v="Thursday"/>
    <s v="No"/>
    <x v="2"/>
    <x v="2"/>
    <s v="Lower Saxony"/>
    <x v="0"/>
    <s v="X5"/>
    <s v="Electric"/>
    <x v="0"/>
    <s v="50+"/>
    <s v="High"/>
    <x v="1"/>
    <x v="2"/>
    <s v="Sales_15"/>
    <n v="263"/>
    <n v="144"/>
    <n v="115"/>
    <n v="46"/>
    <s v="31.94"/>
    <n v="57775"/>
    <s v="2.64"/>
    <n v="42838"/>
    <n v="2657650"/>
    <n v="687102"/>
    <s v="Feb"/>
    <n v="2"/>
    <n v="2026"/>
    <s v="Weekday"/>
    <n v="0.4"/>
    <n v="0.54752851711026618"/>
    <n v="0.17490494296577946"/>
    <n v="14937"/>
    <s v="Hannover Cars"/>
  </r>
  <r>
    <s v="CUST_3800"/>
    <x v="21"/>
    <x v="0"/>
    <s v="Tuesday"/>
    <s v="No"/>
    <x v="4"/>
    <x v="4"/>
    <s v="Berlin"/>
    <x v="2"/>
    <s v="A4"/>
    <s v="Electric"/>
    <x v="1"/>
    <s v="36-50"/>
    <s v="High"/>
    <x v="1"/>
    <x v="2"/>
    <s v="Sales_16"/>
    <n v="281"/>
    <n v="163"/>
    <n v="121"/>
    <n v="41"/>
    <s v="25.15"/>
    <n v="51326"/>
    <s v="5.09"/>
    <n v="39527"/>
    <n v="2104366"/>
    <n v="483759"/>
    <s v="Feb"/>
    <n v="2"/>
    <n v="2026"/>
    <s v="Weekday"/>
    <n v="0.33884297520661155"/>
    <n v="0.58007117437722422"/>
    <n v="0.14590747330960854"/>
    <n v="11799"/>
    <s v="Autohaus Berlin"/>
  </r>
  <r>
    <s v="CUST_3801"/>
    <x v="21"/>
    <x v="0"/>
    <s v="Tuesday"/>
    <s v="No"/>
    <x v="4"/>
    <x v="4"/>
    <s v="Berlin"/>
    <x v="4"/>
    <s v="Golf"/>
    <s v="Diesel"/>
    <x v="2"/>
    <s v="36-50"/>
    <s v="Low"/>
    <x v="0"/>
    <x v="3"/>
    <s v="Sales_5"/>
    <n v="291"/>
    <n v="156"/>
    <n v="108"/>
    <n v="26"/>
    <s v="16.67"/>
    <n v="27243"/>
    <s v="7.51"/>
    <n v="24266"/>
    <n v="708318"/>
    <n v="77402"/>
    <s v="Feb"/>
    <n v="2"/>
    <n v="2026"/>
    <s v="Weekday"/>
    <n v="0.24074074074074073"/>
    <n v="0.53608247422680411"/>
    <n v="8.9347079037800689E-2"/>
    <n v="2977"/>
    <s v="Autohaus Berlin"/>
  </r>
  <r>
    <s v="CUST_3802"/>
    <x v="6"/>
    <x v="2"/>
    <s v="Saturday"/>
    <s v="Yes"/>
    <x v="1"/>
    <x v="1"/>
    <s v="NRW"/>
    <x v="2"/>
    <s v="Q3"/>
    <s v="Electric"/>
    <x v="0"/>
    <s v="26-35"/>
    <s v="Medium"/>
    <x v="1"/>
    <x v="2"/>
    <s v="Sales_12"/>
    <n v="290"/>
    <n v="143"/>
    <n v="97"/>
    <n v="37"/>
    <s v="25.87"/>
    <n v="42049"/>
    <s v="6.47"/>
    <n v="33217"/>
    <n v="1555813"/>
    <n v="326784"/>
    <s v="Feb"/>
    <n v="2"/>
    <n v="2026"/>
    <s v="Weekend"/>
    <n v="0.38144329896907214"/>
    <n v="0.49310344827586206"/>
    <n v="0.12758620689655173"/>
    <n v="8832"/>
    <s v="Rhein Auto Group"/>
  </r>
  <r>
    <s v="CUST_3803"/>
    <x v="1"/>
    <x v="1"/>
    <s v="Wednesday"/>
    <s v="No"/>
    <x v="8"/>
    <x v="8"/>
    <s v="Baden-WÃ¼rttemberg"/>
    <x v="1"/>
    <s v="Crossland"/>
    <s v="Diesel"/>
    <x v="0"/>
    <s v="36-50"/>
    <s v="Low"/>
    <x v="1"/>
    <x v="3"/>
    <s v="Sales_3"/>
    <n v="416"/>
    <n v="221"/>
    <n v="140"/>
    <n v="35"/>
    <s v="15.84"/>
    <n v="25243"/>
    <s v="11.43"/>
    <n v="22786"/>
    <n v="883505"/>
    <n v="85995"/>
    <s v="Feb"/>
    <n v="2"/>
    <n v="2026"/>
    <s v="Weekday"/>
    <n v="0.25"/>
    <n v="0.53125"/>
    <n v="8.4134615384615391E-2"/>
    <n v="2457"/>
    <s v="Stuttgart Auto Center"/>
  </r>
  <r>
    <s v="CUST_3804"/>
    <x v="9"/>
    <x v="0"/>
    <s v="Sunday"/>
    <s v="Yes"/>
    <x v="4"/>
    <x v="4"/>
    <s v="Berlin"/>
    <x v="1"/>
    <s v="Grandland"/>
    <s v="Electric"/>
    <x v="0"/>
    <s v="26-35"/>
    <s v="Medium"/>
    <x v="0"/>
    <x v="2"/>
    <s v="Sales_16"/>
    <n v="244"/>
    <n v="123"/>
    <n v="78"/>
    <n v="27"/>
    <s v="21.95"/>
    <n v="26730"/>
    <s v="7.36"/>
    <n v="23871"/>
    <n v="721710"/>
    <n v="77193"/>
    <s v="Feb"/>
    <n v="2"/>
    <n v="2026"/>
    <s v="Weekend"/>
    <n v="0.34615384615384615"/>
    <n v="0.50409836065573765"/>
    <n v="0.11065573770491803"/>
    <n v="2859"/>
    <s v="Autohaus Berlin"/>
  </r>
  <r>
    <s v="CUST_3805"/>
    <x v="25"/>
    <x v="3"/>
    <s v="Friday"/>
    <s v="No"/>
    <x v="7"/>
    <x v="7"/>
    <s v="Bavaria"/>
    <x v="0"/>
    <s v="3 Series"/>
    <s v="Petrol"/>
    <x v="1"/>
    <s v="36-50"/>
    <s v="Low"/>
    <x v="1"/>
    <x v="0"/>
    <s v="Sales_13"/>
    <n v="233"/>
    <n v="143"/>
    <n v="113"/>
    <n v="39"/>
    <s v="27.27"/>
    <n v="69003"/>
    <s v="2.47"/>
    <n v="53458"/>
    <n v="2691117"/>
    <n v="606255"/>
    <s v="Feb"/>
    <n v="2"/>
    <n v="2026"/>
    <s v="Weekday"/>
    <n v="0.34513274336283184"/>
    <n v="0.61373390557939911"/>
    <n v="0.16738197424892703"/>
    <n v="15545"/>
    <s v="Bavaria Motors"/>
  </r>
  <r>
    <s v="CUST_3806"/>
    <x v="19"/>
    <x v="1"/>
    <s v="Saturday"/>
    <s v="Yes"/>
    <x v="7"/>
    <x v="7"/>
    <s v="Bavaria"/>
    <x v="3"/>
    <s v="EQE"/>
    <s v="Diesel"/>
    <x v="1"/>
    <s v="18-25"/>
    <s v="Low"/>
    <x v="0"/>
    <x v="3"/>
    <s v="Sales_14"/>
    <n v="287"/>
    <n v="133"/>
    <n v="98"/>
    <n v="33"/>
    <s v="24.81"/>
    <n v="60892"/>
    <s v="5.67"/>
    <n v="47873"/>
    <n v="2009436"/>
    <n v="429627"/>
    <s v="Feb"/>
    <n v="2"/>
    <n v="2026"/>
    <s v="Weekend"/>
    <n v="0.33673469387755101"/>
    <n v="0.46341463414634149"/>
    <n v="0.11498257839721254"/>
    <n v="13019"/>
    <s v="Bavaria Motors"/>
  </r>
  <r>
    <s v="CUST_3807"/>
    <x v="12"/>
    <x v="3"/>
    <s v="Thursday"/>
    <s v="No"/>
    <x v="6"/>
    <x v="6"/>
    <s v="Saxony"/>
    <x v="0"/>
    <s v="X5"/>
    <s v="Petrol"/>
    <x v="0"/>
    <s v="26-35"/>
    <s v="Medium"/>
    <x v="0"/>
    <x v="0"/>
    <s v="Sales_13"/>
    <n v="232"/>
    <n v="106"/>
    <n v="83"/>
    <n v="26"/>
    <s v="24.53"/>
    <n v="62461"/>
    <s v="2.01"/>
    <n v="48104"/>
    <n v="1623986"/>
    <n v="373282"/>
    <s v="Feb"/>
    <n v="2"/>
    <n v="2026"/>
    <s v="Weekday"/>
    <n v="0.31325301204819278"/>
    <n v="0.45689655172413796"/>
    <n v="0.11206896551724138"/>
    <n v="14357"/>
    <s v="Leipzig Mobility"/>
  </r>
  <r>
    <s v="CUST_3808"/>
    <x v="15"/>
    <x v="2"/>
    <s v="Thursday"/>
    <s v="No"/>
    <x v="6"/>
    <x v="6"/>
    <s v="Saxony"/>
    <x v="0"/>
    <s v="X3"/>
    <s v="Diesel"/>
    <x v="0"/>
    <s v="36-50"/>
    <s v="High"/>
    <x v="0"/>
    <x v="1"/>
    <s v="Sales_3"/>
    <n v="214"/>
    <n v="113"/>
    <n v="89"/>
    <n v="32"/>
    <s v="28.32"/>
    <n v="69244"/>
    <s v="2.71"/>
    <n v="52048"/>
    <n v="2215808"/>
    <n v="550272"/>
    <s v="Feb"/>
    <n v="2"/>
    <n v="2026"/>
    <s v="Weekday"/>
    <n v="0.3595505617977528"/>
    <n v="0.5280373831775701"/>
    <n v="0.14953271028037382"/>
    <n v="17196"/>
    <s v="Leipzig Mobility"/>
  </r>
  <r>
    <s v="CUST_3809"/>
    <x v="8"/>
    <x v="3"/>
    <s v="Wednesday"/>
    <s v="No"/>
    <x v="2"/>
    <x v="2"/>
    <s v="Lower Saxony"/>
    <x v="3"/>
    <s v="E-Class"/>
    <s v="Petrol"/>
    <x v="1"/>
    <s v="26-35"/>
    <s v="High"/>
    <x v="1"/>
    <x v="2"/>
    <s v="Sales_8"/>
    <n v="257"/>
    <n v="117"/>
    <n v="88"/>
    <n v="34"/>
    <s v="29.06"/>
    <n v="64302"/>
    <s v="5.34"/>
    <n v="46021"/>
    <n v="2186268"/>
    <n v="621554"/>
    <s v="Feb"/>
    <n v="2"/>
    <n v="2026"/>
    <s v="Weekday"/>
    <n v="0.38636363636363635"/>
    <n v="0.45525291828793774"/>
    <n v="0.13229571984435798"/>
    <n v="18281"/>
    <s v="Hannover Cars"/>
  </r>
  <r>
    <s v="CUST_3810"/>
    <x v="13"/>
    <x v="0"/>
    <s v="Friday"/>
    <s v="No"/>
    <x v="2"/>
    <x v="2"/>
    <s v="Lower Saxony"/>
    <x v="0"/>
    <s v="3 Series"/>
    <s v="Hybrid"/>
    <x v="1"/>
    <s v="26-35"/>
    <s v="Low"/>
    <x v="0"/>
    <x v="2"/>
    <s v="Sales_2"/>
    <n v="161"/>
    <n v="93"/>
    <n v="65"/>
    <n v="30"/>
    <s v="32.26"/>
    <n v="68151"/>
    <s v="4.53"/>
    <n v="51039"/>
    <n v="2044530"/>
    <n v="513360"/>
    <s v="Feb"/>
    <n v="2"/>
    <n v="2026"/>
    <s v="Weekday"/>
    <n v="0.46153846153846156"/>
    <n v="0.57763975155279501"/>
    <n v="0.18633540372670807"/>
    <n v="17112"/>
    <s v="Hannover Cars"/>
  </r>
  <r>
    <s v="CUST_3811"/>
    <x v="14"/>
    <x v="2"/>
    <s v="Friday"/>
    <s v="No"/>
    <x v="3"/>
    <x v="3"/>
    <s v="Saxony"/>
    <x v="0"/>
    <s v="X5"/>
    <s v="Hybrid"/>
    <x v="0"/>
    <s v="50+"/>
    <s v="Low"/>
    <x v="1"/>
    <x v="1"/>
    <s v="Sales_6"/>
    <n v="182"/>
    <n v="91"/>
    <n v="64"/>
    <n v="24"/>
    <s v="26.37"/>
    <n v="67241"/>
    <s v="2.51"/>
    <n v="49107"/>
    <n v="1613784"/>
    <n v="435216"/>
    <s v="Feb"/>
    <n v="2"/>
    <n v="2026"/>
    <s v="Weekday"/>
    <n v="0.375"/>
    <n v="0.5"/>
    <n v="0.13186813186813187"/>
    <n v="18134"/>
    <s v="Saxon Wheels"/>
  </r>
  <r>
    <s v="CUST_3812"/>
    <x v="18"/>
    <x v="0"/>
    <s v="Saturday"/>
    <s v="Yes"/>
    <x v="4"/>
    <x v="4"/>
    <s v="Berlin"/>
    <x v="4"/>
    <s v="ID.4"/>
    <s v="Diesel"/>
    <x v="0"/>
    <s v="18-25"/>
    <s v="High"/>
    <x v="1"/>
    <x v="0"/>
    <s v="Sales_19"/>
    <n v="424"/>
    <n v="215"/>
    <n v="133"/>
    <n v="32"/>
    <s v="14.88"/>
    <n v="30315"/>
    <s v="7.28"/>
    <n v="27361"/>
    <n v="970080"/>
    <n v="94528"/>
    <s v="Feb"/>
    <n v="2"/>
    <n v="2026"/>
    <s v="Weekend"/>
    <n v="0.24060150375939848"/>
    <n v="0.50707547169811318"/>
    <n v="7.5471698113207544E-2"/>
    <n v="2954"/>
    <s v="Autohaus Berlin"/>
  </r>
  <r>
    <s v="CUST_3813"/>
    <x v="18"/>
    <x v="0"/>
    <s v="Saturday"/>
    <s v="Yes"/>
    <x v="0"/>
    <x v="0"/>
    <s v="Hesse"/>
    <x v="1"/>
    <s v="Grandland"/>
    <s v="Hybrid"/>
    <x v="0"/>
    <s v="26-35"/>
    <s v="Low"/>
    <x v="1"/>
    <x v="1"/>
    <s v="Sales_5"/>
    <n v="274"/>
    <n v="141"/>
    <n v="89"/>
    <n v="18"/>
    <s v="12.77"/>
    <n v="21369"/>
    <s v="12.93"/>
    <n v="19324"/>
    <n v="384642"/>
    <n v="36810"/>
    <s v="Feb"/>
    <n v="2"/>
    <n v="2026"/>
    <s v="Weekend"/>
    <n v="0.20224719101123595"/>
    <n v="0.51459854014598538"/>
    <n v="6.569343065693431E-2"/>
    <n v="2045"/>
    <s v="Main Auto Hub"/>
  </r>
  <r>
    <s v="CUST_3814"/>
    <x v="7"/>
    <x v="3"/>
    <s v="Monday"/>
    <s v="No"/>
    <x v="9"/>
    <x v="9"/>
    <s v="NRW"/>
    <x v="4"/>
    <s v="ID.4"/>
    <s v="Hybrid"/>
    <x v="0"/>
    <s v="26-35"/>
    <s v="Low"/>
    <x v="0"/>
    <x v="3"/>
    <s v="Sales_4"/>
    <n v="412"/>
    <n v="215"/>
    <n v="140"/>
    <n v="31"/>
    <s v="14.42"/>
    <n v="32033"/>
    <s v="11.27"/>
    <n v="27668"/>
    <n v="993023"/>
    <n v="135315"/>
    <s v="Feb"/>
    <n v="2"/>
    <n v="2026"/>
    <s v="Weekday"/>
    <n v="0.22142857142857142"/>
    <n v="0.52184466019417475"/>
    <n v="7.5242718446601936E-2"/>
    <n v="4365"/>
    <s v="Ruhr Auto Plaza"/>
  </r>
  <r>
    <s v="CUST_3815"/>
    <x v="14"/>
    <x v="2"/>
    <s v="Friday"/>
    <s v="No"/>
    <x v="7"/>
    <x v="7"/>
    <s v="Bavaria"/>
    <x v="2"/>
    <s v="Q5"/>
    <s v="Electric"/>
    <x v="0"/>
    <s v="26-35"/>
    <s v="Low"/>
    <x v="0"/>
    <x v="1"/>
    <s v="Sales_5"/>
    <n v="317"/>
    <n v="199"/>
    <n v="146"/>
    <n v="53"/>
    <s v="26.63"/>
    <n v="41321"/>
    <s v="5.98"/>
    <n v="31288"/>
    <n v="2190013"/>
    <n v="531749"/>
    <s v="Feb"/>
    <n v="2"/>
    <n v="2026"/>
    <s v="Weekday"/>
    <n v="0.36301369863013699"/>
    <n v="0.62776025236593058"/>
    <n v="0.16719242902208201"/>
    <n v="10033"/>
    <s v="Bavaria Motors"/>
  </r>
  <r>
    <s v="CUST_3816"/>
    <x v="3"/>
    <x v="1"/>
    <s v="Sunday"/>
    <s v="Yes"/>
    <x v="9"/>
    <x v="9"/>
    <s v="NRW"/>
    <x v="1"/>
    <s v="Crossland"/>
    <s v="Petrol"/>
    <x v="0"/>
    <s v="18-25"/>
    <s v="Medium"/>
    <x v="0"/>
    <x v="2"/>
    <s v="Sales_8"/>
    <n v="395"/>
    <n v="150"/>
    <n v="100"/>
    <n v="23"/>
    <s v="15.33"/>
    <n v="24421"/>
    <s v="9.28"/>
    <n v="22070"/>
    <n v="561683"/>
    <n v="54073"/>
    <s v="Feb"/>
    <n v="2"/>
    <n v="2026"/>
    <s v="Weekend"/>
    <n v="0.23"/>
    <n v="0.379746835443038"/>
    <n v="5.8227848101265821E-2"/>
    <n v="2351"/>
    <s v="Ruhr Auto Plaza"/>
  </r>
  <r>
    <s v="CUST_3817"/>
    <x v="2"/>
    <x v="2"/>
    <s v="Monday"/>
    <s v="No"/>
    <x v="5"/>
    <x v="5"/>
    <s v="Hamburg"/>
    <x v="3"/>
    <s v="C-Class"/>
    <s v="Hybrid"/>
    <x v="1"/>
    <s v="18-25"/>
    <s v="Low"/>
    <x v="1"/>
    <x v="1"/>
    <s v="Sales_8"/>
    <n v="279"/>
    <n v="142"/>
    <n v="100"/>
    <n v="40"/>
    <s v="28.17"/>
    <n v="51283"/>
    <s v="4.96"/>
    <n v="38129"/>
    <n v="2051320"/>
    <n v="526160"/>
    <s v="Feb"/>
    <n v="2"/>
    <n v="2026"/>
    <s v="Weekday"/>
    <n v="0.4"/>
    <n v="0.50896057347670254"/>
    <n v="0.14336917562724014"/>
    <n v="13154"/>
    <s v="Elbe Drive"/>
  </r>
  <r>
    <s v="CUST_3818"/>
    <x v="1"/>
    <x v="1"/>
    <s v="Wednesday"/>
    <s v="No"/>
    <x v="4"/>
    <x v="4"/>
    <s v="Berlin"/>
    <x v="3"/>
    <s v="E-Class"/>
    <s v="Petrol"/>
    <x v="1"/>
    <s v="18-25"/>
    <s v="Medium"/>
    <x v="1"/>
    <x v="0"/>
    <s v="Sales_8"/>
    <n v="252"/>
    <n v="145"/>
    <n v="103"/>
    <n v="38"/>
    <s v="26.21"/>
    <n v="67342"/>
    <s v="5.7"/>
    <n v="48312"/>
    <n v="2558996"/>
    <n v="723140"/>
    <s v="Feb"/>
    <n v="2"/>
    <n v="2026"/>
    <s v="Weekday"/>
    <n v="0.36893203883495146"/>
    <n v="0.57539682539682535"/>
    <n v="0.15079365079365079"/>
    <n v="19030"/>
    <s v="Autohaus Berlin"/>
  </r>
  <r>
    <s v="CUST_3819"/>
    <x v="13"/>
    <x v="0"/>
    <s v="Friday"/>
    <s v="No"/>
    <x v="7"/>
    <x v="7"/>
    <s v="Bavaria"/>
    <x v="4"/>
    <s v="Tiguan"/>
    <s v="Electric"/>
    <x v="0"/>
    <s v="18-25"/>
    <s v="High"/>
    <x v="0"/>
    <x v="3"/>
    <s v="Sales_15"/>
    <n v="391"/>
    <n v="220"/>
    <n v="148"/>
    <n v="39"/>
    <s v="17.73"/>
    <n v="31940"/>
    <s v="8.48"/>
    <n v="27627"/>
    <n v="1245660"/>
    <n v="168207"/>
    <s v="Feb"/>
    <n v="2"/>
    <n v="2026"/>
    <s v="Weekday"/>
    <n v="0.26351351351351349"/>
    <n v="0.5626598465473146"/>
    <n v="9.9744245524296671E-2"/>
    <n v="4313"/>
    <s v="Bavaria Motors"/>
  </r>
  <r>
    <s v="CUST_3820"/>
    <x v="5"/>
    <x v="3"/>
    <s v="Saturday"/>
    <s v="Yes"/>
    <x v="8"/>
    <x v="8"/>
    <s v="Baden-WÃ¼rttemberg"/>
    <x v="4"/>
    <s v="T-Roc"/>
    <s v="Petrol"/>
    <x v="0"/>
    <s v="36-50"/>
    <s v="Low"/>
    <x v="0"/>
    <x v="0"/>
    <s v="Sales_2"/>
    <n v="367"/>
    <n v="175"/>
    <n v="112"/>
    <n v="28"/>
    <s v="16.0"/>
    <n v="27177"/>
    <s v="11.81"/>
    <n v="24002"/>
    <n v="760956"/>
    <n v="88900"/>
    <s v="Feb"/>
    <n v="2"/>
    <n v="2026"/>
    <s v="Weekend"/>
    <n v="0.25"/>
    <n v="0.4768392370572207"/>
    <n v="7.6294277929155316E-2"/>
    <n v="3175"/>
    <s v="Stuttgart Auto Center"/>
  </r>
  <r>
    <s v="CUST_3821"/>
    <x v="16"/>
    <x v="1"/>
    <s v="Tuesday"/>
    <s v="No"/>
    <x v="1"/>
    <x v="1"/>
    <s v="NRW"/>
    <x v="2"/>
    <s v="A3"/>
    <s v="Petrol"/>
    <x v="2"/>
    <s v="36-50"/>
    <s v="Low"/>
    <x v="1"/>
    <x v="1"/>
    <s v="Sales_1"/>
    <n v="239"/>
    <n v="119"/>
    <n v="78"/>
    <n v="29"/>
    <s v="24.37"/>
    <n v="47249"/>
    <s v="3.54"/>
    <n v="36357"/>
    <n v="1370221"/>
    <n v="315868"/>
    <s v="Feb"/>
    <n v="2"/>
    <n v="2026"/>
    <s v="Weekday"/>
    <n v="0.37179487179487181"/>
    <n v="0.497907949790795"/>
    <n v="0.12133891213389121"/>
    <n v="10892"/>
    <s v="Rhein Auto Group"/>
  </r>
  <r>
    <s v="CUST_3822"/>
    <x v="24"/>
    <x v="1"/>
    <s v="Thursday"/>
    <s v="No"/>
    <x v="7"/>
    <x v="7"/>
    <s v="Bavaria"/>
    <x v="3"/>
    <s v="GLC"/>
    <s v="Hybrid"/>
    <x v="0"/>
    <s v="18-25"/>
    <s v="Medium"/>
    <x v="0"/>
    <x v="0"/>
    <s v="Sales_8"/>
    <n v="236"/>
    <n v="109"/>
    <n v="82"/>
    <n v="27"/>
    <s v="24.77"/>
    <n v="56764"/>
    <s v="5.09"/>
    <n v="43311"/>
    <n v="1532628"/>
    <n v="363231"/>
    <s v="Feb"/>
    <n v="2"/>
    <n v="2026"/>
    <s v="Weekday"/>
    <n v="0.32926829268292684"/>
    <n v="0.46186440677966101"/>
    <n v="0.11440677966101695"/>
    <n v="13453"/>
    <s v="Bavaria Motors"/>
  </r>
  <r>
    <s v="CUST_3823"/>
    <x v="9"/>
    <x v="0"/>
    <s v="Sunday"/>
    <s v="Yes"/>
    <x v="7"/>
    <x v="7"/>
    <s v="Bavaria"/>
    <x v="1"/>
    <s v="Astra"/>
    <s v="Hybrid"/>
    <x v="2"/>
    <s v="36-50"/>
    <s v="Low"/>
    <x v="0"/>
    <x v="2"/>
    <s v="Sales_1"/>
    <n v="311"/>
    <n v="141"/>
    <n v="92"/>
    <n v="29"/>
    <s v="20.57"/>
    <n v="22617"/>
    <s v="12.23"/>
    <n v="20501"/>
    <n v="655893"/>
    <n v="61364"/>
    <s v="Feb"/>
    <n v="2"/>
    <n v="2026"/>
    <s v="Weekend"/>
    <n v="0.31521739130434784"/>
    <n v="0.45337620578778137"/>
    <n v="9.3247588424437297E-2"/>
    <n v="2116"/>
    <s v="Bavaria Motors"/>
  </r>
  <r>
    <s v="CUST_3824"/>
    <x v="15"/>
    <x v="2"/>
    <s v="Thursday"/>
    <s v="No"/>
    <x v="0"/>
    <x v="0"/>
    <s v="Hesse"/>
    <x v="0"/>
    <s v="i4"/>
    <s v="Petrol"/>
    <x v="1"/>
    <s v="18-25"/>
    <s v="High"/>
    <x v="1"/>
    <x v="2"/>
    <s v="Sales_12"/>
    <n v="188"/>
    <n v="106"/>
    <n v="79"/>
    <n v="30"/>
    <s v="28.3"/>
    <n v="59530"/>
    <s v="2.12"/>
    <n v="43658"/>
    <n v="1785900"/>
    <n v="476160"/>
    <s v="Feb"/>
    <n v="2"/>
    <n v="2026"/>
    <s v="Weekday"/>
    <n v="0.379746835443038"/>
    <n v="0.56382978723404253"/>
    <n v="0.15957446808510639"/>
    <n v="15872"/>
    <s v="Main Auto Hub"/>
  </r>
  <r>
    <s v="CUST_3825"/>
    <x v="3"/>
    <x v="1"/>
    <s v="Sunday"/>
    <s v="Yes"/>
    <x v="0"/>
    <x v="0"/>
    <s v="Hesse"/>
    <x v="0"/>
    <s v="i4"/>
    <s v="Hybrid"/>
    <x v="1"/>
    <s v="36-50"/>
    <s v="Low"/>
    <x v="1"/>
    <x v="2"/>
    <s v="Sales_14"/>
    <n v="271"/>
    <n v="131"/>
    <n v="100"/>
    <n v="39"/>
    <s v="29.77"/>
    <n v="61660"/>
    <s v="4.54"/>
    <n v="44827"/>
    <n v="2404740"/>
    <n v="656487"/>
    <s v="Feb"/>
    <n v="2"/>
    <n v="2026"/>
    <s v="Weekend"/>
    <n v="0.39"/>
    <n v="0.48339483394833949"/>
    <n v="0.14391143911439114"/>
    <n v="16833"/>
    <s v="Main Auto Hub"/>
  </r>
  <r>
    <s v="CUST_3826"/>
    <x v="11"/>
    <x v="0"/>
    <s v="Wednesday"/>
    <s v="No"/>
    <x v="7"/>
    <x v="7"/>
    <s v="Bavaria"/>
    <x v="1"/>
    <s v="Crossland"/>
    <s v="Petrol"/>
    <x v="0"/>
    <s v="18-25"/>
    <s v="High"/>
    <x v="1"/>
    <x v="3"/>
    <s v="Sales_6"/>
    <n v="277"/>
    <n v="108"/>
    <n v="70"/>
    <n v="19"/>
    <s v="17.59"/>
    <n v="25668"/>
    <s v="10.12"/>
    <n v="23133"/>
    <n v="487692"/>
    <n v="48165"/>
    <s v="Feb"/>
    <n v="2"/>
    <n v="2026"/>
    <s v="Weekday"/>
    <n v="0.27142857142857141"/>
    <n v="0.38989169675090252"/>
    <n v="6.8592057761732855E-2"/>
    <n v="2535"/>
    <s v="Bavaria Motors"/>
  </r>
  <r>
    <s v="CUST_3827"/>
    <x v="26"/>
    <x v="1"/>
    <s v="Friday"/>
    <s v="No"/>
    <x v="1"/>
    <x v="1"/>
    <s v="NRW"/>
    <x v="4"/>
    <s v="Passat"/>
    <s v="Petrol"/>
    <x v="1"/>
    <s v="36-50"/>
    <s v="High"/>
    <x v="1"/>
    <x v="1"/>
    <s v="Sales_14"/>
    <n v="430"/>
    <n v="192"/>
    <n v="118"/>
    <n v="28"/>
    <s v="14.58"/>
    <n v="26241"/>
    <s v="9.67"/>
    <n v="23309"/>
    <n v="734748"/>
    <n v="82096"/>
    <s v="Feb"/>
    <n v="2"/>
    <n v="2026"/>
    <s v="Weekday"/>
    <n v="0.23728813559322035"/>
    <n v="0.44651162790697674"/>
    <n v="6.5116279069767441E-2"/>
    <n v="2932"/>
    <s v="Rhein Auto Group"/>
  </r>
  <r>
    <s v="CUST_3828"/>
    <x v="21"/>
    <x v="0"/>
    <s v="Tuesday"/>
    <s v="No"/>
    <x v="8"/>
    <x v="8"/>
    <s v="Baden-WÃ¼rttemberg"/>
    <x v="0"/>
    <s v="i4"/>
    <s v="Diesel"/>
    <x v="1"/>
    <s v="18-25"/>
    <s v="High"/>
    <x v="0"/>
    <x v="3"/>
    <s v="Sales_10"/>
    <n v="159"/>
    <n v="91"/>
    <n v="65"/>
    <n v="23"/>
    <s v="25.27"/>
    <n v="64319"/>
    <s v="4.75"/>
    <n v="47999"/>
    <n v="1479337"/>
    <n v="375360"/>
    <s v="Feb"/>
    <n v="2"/>
    <n v="2026"/>
    <s v="Weekday"/>
    <n v="0.35384615384615387"/>
    <n v="0.57232704402515722"/>
    <n v="0.14465408805031446"/>
    <n v="16320"/>
    <s v="Stuttgart Auto Center"/>
  </r>
  <r>
    <s v="CUST_3829"/>
    <x v="19"/>
    <x v="1"/>
    <s v="Saturday"/>
    <s v="Yes"/>
    <x v="4"/>
    <x v="4"/>
    <s v="Berlin"/>
    <x v="0"/>
    <s v="X5"/>
    <s v="Electric"/>
    <x v="0"/>
    <s v="26-35"/>
    <s v="Medium"/>
    <x v="0"/>
    <x v="2"/>
    <s v="Sales_17"/>
    <n v="171"/>
    <n v="87"/>
    <n v="63"/>
    <n v="29"/>
    <s v="33.33"/>
    <n v="65454"/>
    <s v="2.85"/>
    <n v="46849"/>
    <n v="1898166"/>
    <n v="539545"/>
    <s v="Feb"/>
    <n v="2"/>
    <n v="2026"/>
    <s v="Weekend"/>
    <n v="0.46031746031746029"/>
    <n v="0.50877192982456143"/>
    <n v="0.16959064327485379"/>
    <n v="18605"/>
    <s v="Autohaus Berlin"/>
  </r>
  <r>
    <s v="CUST_3830"/>
    <x v="27"/>
    <x v="3"/>
    <s v="Sunday"/>
    <s v="Yes"/>
    <x v="2"/>
    <x v="2"/>
    <s v="Lower Saxony"/>
    <x v="2"/>
    <s v="Q3"/>
    <s v="Petrol"/>
    <x v="0"/>
    <s v="26-35"/>
    <s v="Low"/>
    <x v="1"/>
    <x v="1"/>
    <s v="Sales_18"/>
    <n v="226"/>
    <n v="127"/>
    <n v="83"/>
    <n v="30"/>
    <s v="23.62"/>
    <n v="52843"/>
    <s v="3.62"/>
    <n v="43184"/>
    <n v="1585290"/>
    <n v="289770"/>
    <s v="Feb"/>
    <n v="2"/>
    <n v="2026"/>
    <s v="Weekend"/>
    <n v="0.36144578313253012"/>
    <n v="0.56194690265486724"/>
    <n v="0.13274336283185842"/>
    <n v="9659"/>
    <s v="Hannover Cars"/>
  </r>
  <r>
    <s v="CUST_3831"/>
    <x v="18"/>
    <x v="0"/>
    <s v="Saturday"/>
    <s v="Yes"/>
    <x v="4"/>
    <x v="4"/>
    <s v="Berlin"/>
    <x v="2"/>
    <s v="Q5"/>
    <s v="Petrol"/>
    <x v="0"/>
    <s v="50+"/>
    <s v="Medium"/>
    <x v="1"/>
    <x v="2"/>
    <s v="Sales_17"/>
    <n v="243"/>
    <n v="129"/>
    <n v="98"/>
    <n v="34"/>
    <s v="26.36"/>
    <n v="48227"/>
    <s v="3.11"/>
    <n v="39490"/>
    <n v="1639718"/>
    <n v="297058"/>
    <s v="Feb"/>
    <n v="2"/>
    <n v="2026"/>
    <s v="Weekend"/>
    <n v="0.34693877551020408"/>
    <n v="0.53086419753086422"/>
    <n v="0.13991769547325103"/>
    <n v="8737"/>
    <s v="Autohaus Berlin"/>
  </r>
  <r>
    <s v="CUST_3832"/>
    <x v="13"/>
    <x v="0"/>
    <s v="Friday"/>
    <s v="No"/>
    <x v="4"/>
    <x v="4"/>
    <s v="Berlin"/>
    <x v="2"/>
    <s v="e-tron"/>
    <s v="Diesel"/>
    <x v="0"/>
    <s v="26-35"/>
    <s v="Low"/>
    <x v="0"/>
    <x v="1"/>
    <s v="Sales_11"/>
    <n v="220"/>
    <n v="129"/>
    <n v="96"/>
    <n v="35"/>
    <s v="27.13"/>
    <n v="42074"/>
    <s v="6.24"/>
    <n v="31747"/>
    <n v="1472590"/>
    <n v="361445"/>
    <s v="Feb"/>
    <n v="2"/>
    <n v="2026"/>
    <s v="Weekday"/>
    <n v="0.36458333333333331"/>
    <n v="0.58636363636363631"/>
    <n v="0.15909090909090909"/>
    <n v="10327"/>
    <s v="Autohaus Berlin"/>
  </r>
  <r>
    <s v="CUST_3833"/>
    <x v="22"/>
    <x v="3"/>
    <s v="Tuesday"/>
    <s v="No"/>
    <x v="5"/>
    <x v="5"/>
    <s v="Hamburg"/>
    <x v="3"/>
    <s v="GLC"/>
    <s v="Diesel"/>
    <x v="0"/>
    <s v="18-25"/>
    <s v="Medium"/>
    <x v="1"/>
    <x v="2"/>
    <s v="Sales_5"/>
    <n v="222"/>
    <n v="124"/>
    <n v="89"/>
    <n v="37"/>
    <s v="29.84"/>
    <n v="70022"/>
    <s v="5.08"/>
    <n v="55146"/>
    <n v="2590814"/>
    <n v="550412"/>
    <s v="Feb"/>
    <n v="2"/>
    <n v="2026"/>
    <s v="Weekday"/>
    <n v="0.4157303370786517"/>
    <n v="0.55855855855855852"/>
    <n v="0.16666666666666666"/>
    <n v="14876"/>
    <s v="Elbe Drive"/>
  </r>
  <r>
    <s v="CUST_3834"/>
    <x v="22"/>
    <x v="3"/>
    <s v="Tuesday"/>
    <s v="No"/>
    <x v="7"/>
    <x v="7"/>
    <s v="Bavaria"/>
    <x v="3"/>
    <s v="GLC"/>
    <s v="Petrol"/>
    <x v="0"/>
    <s v="18-25"/>
    <s v="Low"/>
    <x v="1"/>
    <x v="3"/>
    <s v="Sales_10"/>
    <n v="271"/>
    <n v="139"/>
    <n v="102"/>
    <n v="35"/>
    <s v="25.18"/>
    <n v="53948"/>
    <s v="3.4"/>
    <n v="39958"/>
    <n v="1888180"/>
    <n v="489650"/>
    <s v="Feb"/>
    <n v="2"/>
    <n v="2026"/>
    <s v="Weekday"/>
    <n v="0.34313725490196079"/>
    <n v="0.51291512915129156"/>
    <n v="0.12915129151291513"/>
    <n v="13990"/>
    <s v="Bavaria Motors"/>
  </r>
  <r>
    <s v="CUST_3835"/>
    <x v="4"/>
    <x v="2"/>
    <s v="Wednesday"/>
    <s v="No"/>
    <x v="5"/>
    <x v="5"/>
    <s v="Hamburg"/>
    <x v="3"/>
    <s v="C-Class"/>
    <s v="Hybrid"/>
    <x v="1"/>
    <s v="36-50"/>
    <s v="Medium"/>
    <x v="0"/>
    <x v="0"/>
    <s v="Sales_13"/>
    <n v="235"/>
    <n v="124"/>
    <n v="90"/>
    <n v="28"/>
    <s v="22.58"/>
    <n v="66392"/>
    <s v="2.09"/>
    <n v="51772"/>
    <n v="1858976"/>
    <n v="409360"/>
    <s v="Feb"/>
    <n v="2"/>
    <n v="2026"/>
    <s v="Weekday"/>
    <n v="0.31111111111111112"/>
    <n v="0.52765957446808509"/>
    <n v="0.11914893617021277"/>
    <n v="14620"/>
    <s v="Elbe Drive"/>
  </r>
  <r>
    <s v="CUST_3836"/>
    <x v="12"/>
    <x v="3"/>
    <s v="Thursday"/>
    <s v="No"/>
    <x v="0"/>
    <x v="0"/>
    <s v="Hesse"/>
    <x v="4"/>
    <s v="ID.4"/>
    <s v="Hybrid"/>
    <x v="0"/>
    <s v="26-35"/>
    <s v="Medium"/>
    <x v="0"/>
    <x v="0"/>
    <s v="Sales_6"/>
    <n v="489"/>
    <n v="236"/>
    <n v="167"/>
    <n v="39"/>
    <s v="16.53"/>
    <n v="33756"/>
    <s v="7.05"/>
    <n v="29482"/>
    <n v="1316484"/>
    <n v="166686"/>
    <s v="Feb"/>
    <n v="2"/>
    <n v="2026"/>
    <s v="Weekday"/>
    <n v="0.23353293413173654"/>
    <n v="0.48261758691206547"/>
    <n v="7.9754601226993863E-2"/>
    <n v="4274"/>
    <s v="Main Auto Hub"/>
  </r>
  <r>
    <s v="CUST_3837"/>
    <x v="26"/>
    <x v="1"/>
    <s v="Friday"/>
    <s v="No"/>
    <x v="6"/>
    <x v="6"/>
    <s v="Saxony"/>
    <x v="0"/>
    <s v="i4"/>
    <s v="Electric"/>
    <x v="1"/>
    <s v="26-35"/>
    <s v="Low"/>
    <x v="0"/>
    <x v="1"/>
    <s v="Sales_1"/>
    <n v="261"/>
    <n v="143"/>
    <n v="114"/>
    <n v="42"/>
    <s v="29.37"/>
    <n v="49070"/>
    <s v="5.64"/>
    <n v="38205"/>
    <n v="2060940"/>
    <n v="456330"/>
    <s v="Feb"/>
    <n v="2"/>
    <n v="2026"/>
    <s v="Weekday"/>
    <n v="0.36842105263157893"/>
    <n v="0.54789272030651337"/>
    <n v="0.16091954022988506"/>
    <n v="10865"/>
    <s v="Leipzig Mobility"/>
  </r>
  <r>
    <s v="CUST_3838"/>
    <x v="14"/>
    <x v="2"/>
    <s v="Friday"/>
    <s v="No"/>
    <x v="3"/>
    <x v="3"/>
    <s v="Saxony"/>
    <x v="1"/>
    <s v="Crossland"/>
    <s v="Electric"/>
    <x v="0"/>
    <s v="50+"/>
    <s v="Medium"/>
    <x v="0"/>
    <x v="0"/>
    <s v="Sales_6"/>
    <n v="371"/>
    <n v="149"/>
    <n v="98"/>
    <n v="21"/>
    <s v="14.09"/>
    <n v="20774"/>
    <s v="11.59"/>
    <n v="19053"/>
    <n v="436254"/>
    <n v="36141"/>
    <s v="Feb"/>
    <n v="2"/>
    <n v="2026"/>
    <s v="Weekday"/>
    <n v="0.21428571428571427"/>
    <n v="0.40161725067385445"/>
    <n v="5.6603773584905662E-2"/>
    <n v="1721"/>
    <s v="Saxon Wheels"/>
  </r>
  <r>
    <s v="CUST_3839"/>
    <x v="27"/>
    <x v="3"/>
    <s v="Sunday"/>
    <s v="Yes"/>
    <x v="3"/>
    <x v="3"/>
    <s v="Saxony"/>
    <x v="2"/>
    <s v="A3"/>
    <s v="Electric"/>
    <x v="2"/>
    <s v="50+"/>
    <s v="Low"/>
    <x v="0"/>
    <x v="0"/>
    <s v="Sales_15"/>
    <n v="161"/>
    <n v="90"/>
    <n v="64"/>
    <n v="16"/>
    <s v="17.78"/>
    <n v="44161"/>
    <s v="4.16"/>
    <n v="35711"/>
    <n v="706576"/>
    <n v="135200"/>
    <s v="Feb"/>
    <n v="2"/>
    <n v="2026"/>
    <s v="Weekend"/>
    <n v="0.25"/>
    <n v="0.55900621118012417"/>
    <n v="9.9378881987577633E-2"/>
    <n v="8450"/>
    <s v="Saxon Wheels"/>
  </r>
  <r>
    <s v="CUST_3840"/>
    <x v="16"/>
    <x v="1"/>
    <s v="Tuesday"/>
    <s v="No"/>
    <x v="7"/>
    <x v="7"/>
    <s v="Bavaria"/>
    <x v="0"/>
    <s v="i4"/>
    <s v="Diesel"/>
    <x v="1"/>
    <s v="26-35"/>
    <s v="Medium"/>
    <x v="0"/>
    <x v="3"/>
    <s v="Sales_4"/>
    <n v="159"/>
    <n v="91"/>
    <n v="74"/>
    <n v="28"/>
    <s v="30.77"/>
    <n v="56504"/>
    <s v="2.04"/>
    <n v="41849"/>
    <n v="1582112"/>
    <n v="410340"/>
    <s v="Feb"/>
    <n v="2"/>
    <n v="2026"/>
    <s v="Weekday"/>
    <n v="0.3783783783783784"/>
    <n v="0.57232704402515722"/>
    <n v="0.1761006289308176"/>
    <n v="14655"/>
    <s v="Bavaria Motors"/>
  </r>
  <r>
    <s v="CUST_3841"/>
    <x v="21"/>
    <x v="0"/>
    <s v="Tuesday"/>
    <s v="No"/>
    <x v="3"/>
    <x v="3"/>
    <s v="Saxony"/>
    <x v="2"/>
    <s v="e-tron"/>
    <s v="Petrol"/>
    <x v="0"/>
    <s v="26-35"/>
    <s v="Low"/>
    <x v="0"/>
    <x v="3"/>
    <s v="Sales_2"/>
    <n v="181"/>
    <n v="106"/>
    <n v="73"/>
    <n v="24"/>
    <s v="22.64"/>
    <n v="41028"/>
    <s v="5.01"/>
    <n v="32317"/>
    <n v="984672"/>
    <n v="209064"/>
    <s v="Feb"/>
    <n v="2"/>
    <n v="2026"/>
    <s v="Weekday"/>
    <n v="0.32876712328767121"/>
    <n v="0.58563535911602205"/>
    <n v="0.13259668508287292"/>
    <n v="8711"/>
    <s v="Saxon Wheels"/>
  </r>
  <r>
    <s v="CUST_3842"/>
    <x v="27"/>
    <x v="3"/>
    <s v="Sunday"/>
    <s v="Yes"/>
    <x v="4"/>
    <x v="4"/>
    <s v="Berlin"/>
    <x v="4"/>
    <s v="T-Roc"/>
    <s v="Electric"/>
    <x v="0"/>
    <s v="36-50"/>
    <s v="Low"/>
    <x v="0"/>
    <x v="1"/>
    <s v="Sales_7"/>
    <n v="364"/>
    <n v="179"/>
    <n v="128"/>
    <n v="32"/>
    <s v="17.88"/>
    <n v="34719"/>
    <s v="6.98"/>
    <n v="31290"/>
    <n v="1111008"/>
    <n v="109728"/>
    <s v="Feb"/>
    <n v="2"/>
    <n v="2026"/>
    <s v="Weekend"/>
    <n v="0.25"/>
    <n v="0.49175824175824173"/>
    <n v="8.7912087912087919E-2"/>
    <n v="3429"/>
    <s v="Autohaus Berlin"/>
  </r>
  <r>
    <s v="CUST_3843"/>
    <x v="12"/>
    <x v="3"/>
    <s v="Thursday"/>
    <s v="No"/>
    <x v="9"/>
    <x v="9"/>
    <s v="NRW"/>
    <x v="1"/>
    <s v="Astra"/>
    <s v="Petrol"/>
    <x v="2"/>
    <s v="36-50"/>
    <s v="Low"/>
    <x v="1"/>
    <x v="2"/>
    <s v="Sales_4"/>
    <n v="384"/>
    <n v="213"/>
    <n v="138"/>
    <n v="41"/>
    <s v="19.25"/>
    <n v="23522"/>
    <s v="8.4"/>
    <n v="21022"/>
    <n v="964402"/>
    <n v="102500"/>
    <s v="Feb"/>
    <n v="2"/>
    <n v="2026"/>
    <s v="Weekday"/>
    <n v="0.29710144927536231"/>
    <n v="0.5546875"/>
    <n v="0.10677083333333333"/>
    <n v="2500"/>
    <s v="Ruhr Auto Plaza"/>
  </r>
  <r>
    <s v="CUST_3844"/>
    <x v="7"/>
    <x v="3"/>
    <s v="Monday"/>
    <s v="No"/>
    <x v="5"/>
    <x v="5"/>
    <s v="Hamburg"/>
    <x v="1"/>
    <s v="Crossland"/>
    <s v="Diesel"/>
    <x v="0"/>
    <s v="18-25"/>
    <s v="Medium"/>
    <x v="0"/>
    <x v="3"/>
    <s v="Sales_10"/>
    <n v="249"/>
    <n v="119"/>
    <n v="69"/>
    <n v="20"/>
    <s v="16.81"/>
    <n v="21410"/>
    <s v="12.76"/>
    <n v="19379"/>
    <n v="428200"/>
    <n v="40620"/>
    <s v="Feb"/>
    <n v="2"/>
    <n v="2026"/>
    <s v="Weekday"/>
    <n v="0.28985507246376813"/>
    <n v="0.47791164658634538"/>
    <n v="8.0321285140562249E-2"/>
    <n v="2031"/>
    <s v="Elbe Drive"/>
  </r>
  <r>
    <s v="CUST_3845"/>
    <x v="1"/>
    <x v="1"/>
    <s v="Wednesday"/>
    <s v="No"/>
    <x v="6"/>
    <x v="6"/>
    <s v="Saxony"/>
    <x v="0"/>
    <s v="i4"/>
    <s v="Petrol"/>
    <x v="1"/>
    <s v="50+"/>
    <s v="Low"/>
    <x v="0"/>
    <x v="0"/>
    <s v="Sales_9"/>
    <n v="181"/>
    <n v="102"/>
    <n v="76"/>
    <n v="26"/>
    <s v="25.49"/>
    <n v="61476"/>
    <s v="4.65"/>
    <n v="43540"/>
    <n v="1598376"/>
    <n v="466336"/>
    <s v="Feb"/>
    <n v="2"/>
    <n v="2026"/>
    <s v="Weekday"/>
    <n v="0.34210526315789475"/>
    <n v="0.56353591160220995"/>
    <n v="0.143646408839779"/>
    <n v="17936"/>
    <s v="Leipzig Mobility"/>
  </r>
  <r>
    <s v="CUST_3846"/>
    <x v="18"/>
    <x v="0"/>
    <s v="Saturday"/>
    <s v="Yes"/>
    <x v="1"/>
    <x v="1"/>
    <s v="NRW"/>
    <x v="4"/>
    <s v="T-Roc"/>
    <s v="Electric"/>
    <x v="0"/>
    <s v="26-35"/>
    <s v="Medium"/>
    <x v="0"/>
    <x v="1"/>
    <s v="Sales_3"/>
    <n v="520"/>
    <n v="280"/>
    <n v="180"/>
    <n v="47"/>
    <s v="16.79"/>
    <n v="35209"/>
    <s v="6.43"/>
    <n v="30624"/>
    <n v="1654823"/>
    <n v="215495"/>
    <s v="Feb"/>
    <n v="2"/>
    <n v="2026"/>
    <s v="Weekend"/>
    <n v="0.26111111111111113"/>
    <n v="0.53846153846153844"/>
    <n v="9.0384615384615383E-2"/>
    <n v="4585"/>
    <s v="Rhein Auto Group"/>
  </r>
  <r>
    <s v="CUST_3847"/>
    <x v="14"/>
    <x v="2"/>
    <s v="Friday"/>
    <s v="No"/>
    <x v="8"/>
    <x v="8"/>
    <s v="Baden-WÃ¼rttemberg"/>
    <x v="1"/>
    <s v="Crossland"/>
    <s v="Hybrid"/>
    <x v="0"/>
    <s v="50+"/>
    <s v="Medium"/>
    <x v="0"/>
    <x v="3"/>
    <s v="Sales_15"/>
    <n v="284"/>
    <n v="124"/>
    <n v="84"/>
    <n v="18"/>
    <s v="14.52"/>
    <n v="20646"/>
    <s v="8.09"/>
    <n v="18689"/>
    <n v="371628"/>
    <n v="35226"/>
    <s v="Feb"/>
    <n v="2"/>
    <n v="2026"/>
    <s v="Weekday"/>
    <n v="0.21428571428571427"/>
    <n v="0.43661971830985913"/>
    <n v="6.3380281690140844E-2"/>
    <n v="1957"/>
    <s v="Stuttgart Auto Center"/>
  </r>
  <r>
    <s v="CUST_3848"/>
    <x v="19"/>
    <x v="1"/>
    <s v="Saturday"/>
    <s v="Yes"/>
    <x v="9"/>
    <x v="9"/>
    <s v="NRW"/>
    <x v="2"/>
    <s v="A4"/>
    <s v="Petrol"/>
    <x v="1"/>
    <s v="18-25"/>
    <s v="High"/>
    <x v="0"/>
    <x v="3"/>
    <s v="Sales_6"/>
    <n v="300"/>
    <n v="141"/>
    <n v="104"/>
    <n v="32"/>
    <s v="22.7"/>
    <n v="41666"/>
    <s v="5.9"/>
    <n v="31462"/>
    <n v="1333312"/>
    <n v="326528"/>
    <s v="Feb"/>
    <n v="2"/>
    <n v="2026"/>
    <s v="Weekend"/>
    <n v="0.30769230769230771"/>
    <n v="0.47"/>
    <n v="0.10666666666666667"/>
    <n v="10204"/>
    <s v="Ruhr Auto Plaza"/>
  </r>
  <r>
    <s v="CUST_3849"/>
    <x v="19"/>
    <x v="1"/>
    <s v="Saturday"/>
    <s v="Yes"/>
    <x v="6"/>
    <x v="6"/>
    <s v="Saxony"/>
    <x v="3"/>
    <s v="EQE"/>
    <s v="Hybrid"/>
    <x v="1"/>
    <s v="50+"/>
    <s v="Medium"/>
    <x v="0"/>
    <x v="3"/>
    <s v="Sales_15"/>
    <n v="200"/>
    <n v="91"/>
    <n v="65"/>
    <n v="20"/>
    <s v="21.98"/>
    <n v="52495"/>
    <s v="2.42"/>
    <n v="38593"/>
    <n v="1049900"/>
    <n v="278040"/>
    <s v="Feb"/>
    <n v="2"/>
    <n v="2026"/>
    <s v="Weekend"/>
    <n v="0.30769230769230771"/>
    <n v="0.45500000000000002"/>
    <n v="0.1"/>
    <n v="13902"/>
    <s v="Leipzig Mobility"/>
  </r>
  <r>
    <s v="CUST_3850"/>
    <x v="17"/>
    <x v="2"/>
    <s v="Sunday"/>
    <s v="Yes"/>
    <x v="5"/>
    <x v="5"/>
    <s v="Hamburg"/>
    <x v="1"/>
    <s v="Mokka"/>
    <s v="Petrol"/>
    <x v="0"/>
    <s v="36-50"/>
    <s v="Low"/>
    <x v="0"/>
    <x v="1"/>
    <s v="Sales_8"/>
    <n v="357"/>
    <n v="177"/>
    <n v="115"/>
    <n v="33"/>
    <s v="18.64"/>
    <n v="25459"/>
    <s v="7.58"/>
    <n v="23436"/>
    <n v="840147"/>
    <n v="66759"/>
    <s v="Feb"/>
    <n v="2"/>
    <n v="2026"/>
    <s v="Weekend"/>
    <n v="0.28695652173913044"/>
    <n v="0.49579831932773111"/>
    <n v="9.2436974789915971E-2"/>
    <n v="2023"/>
    <s v="Elbe Drive"/>
  </r>
  <r>
    <s v="CUST_3851"/>
    <x v="4"/>
    <x v="2"/>
    <s v="Wednesday"/>
    <s v="No"/>
    <x v="1"/>
    <x v="1"/>
    <s v="NRW"/>
    <x v="3"/>
    <s v="C-Class"/>
    <s v="Diesel"/>
    <x v="1"/>
    <s v="26-35"/>
    <s v="Medium"/>
    <x v="0"/>
    <x v="0"/>
    <s v="Sales_12"/>
    <n v="176"/>
    <n v="79"/>
    <n v="55"/>
    <n v="17"/>
    <s v="21.52"/>
    <n v="56073"/>
    <s v="3.67"/>
    <n v="43226"/>
    <n v="953241"/>
    <n v="218399"/>
    <s v="Feb"/>
    <n v="2"/>
    <n v="2026"/>
    <s v="Weekday"/>
    <n v="0.30909090909090908"/>
    <n v="0.44886363636363635"/>
    <n v="9.6590909090909088E-2"/>
    <n v="12847"/>
    <s v="Rhein Auto Group"/>
  </r>
  <r>
    <s v="CUST_3852"/>
    <x v="25"/>
    <x v="3"/>
    <s v="Friday"/>
    <s v="No"/>
    <x v="9"/>
    <x v="9"/>
    <s v="NRW"/>
    <x v="3"/>
    <s v="EQE"/>
    <s v="Hybrid"/>
    <x v="1"/>
    <s v="26-35"/>
    <s v="High"/>
    <x v="1"/>
    <x v="1"/>
    <s v="Sales_1"/>
    <n v="180"/>
    <n v="84"/>
    <n v="59"/>
    <n v="21"/>
    <s v="25.0"/>
    <n v="62548"/>
    <s v="5.39"/>
    <n v="45712"/>
    <n v="1313508"/>
    <n v="353556"/>
    <s v="Feb"/>
    <n v="2"/>
    <n v="2026"/>
    <s v="Weekday"/>
    <n v="0.3559322033898305"/>
    <n v="0.46666666666666667"/>
    <n v="0.11666666666666667"/>
    <n v="16836"/>
    <s v="Ruhr Auto Plaza"/>
  </r>
  <r>
    <s v="CUST_3853"/>
    <x v="0"/>
    <x v="0"/>
    <s v="Monday"/>
    <s v="No"/>
    <x v="3"/>
    <x v="3"/>
    <s v="Saxony"/>
    <x v="2"/>
    <s v="A4"/>
    <s v="Electric"/>
    <x v="1"/>
    <s v="50+"/>
    <s v="High"/>
    <x v="0"/>
    <x v="2"/>
    <s v="Sales_9"/>
    <n v="221"/>
    <n v="129"/>
    <n v="95"/>
    <n v="31"/>
    <s v="24.03"/>
    <n v="45741"/>
    <s v="5.25"/>
    <n v="36762"/>
    <n v="1417971"/>
    <n v="278349"/>
    <s v="Feb"/>
    <n v="2"/>
    <n v="2026"/>
    <s v="Weekday"/>
    <n v="0.32631578947368423"/>
    <n v="0.58371040723981904"/>
    <n v="0.14027149321266968"/>
    <n v="8979"/>
    <s v="Saxon Wheels"/>
  </r>
  <r>
    <s v="CUST_3854"/>
    <x v="27"/>
    <x v="3"/>
    <s v="Sunday"/>
    <s v="Yes"/>
    <x v="4"/>
    <x v="4"/>
    <s v="Berlin"/>
    <x v="3"/>
    <s v="GLE"/>
    <s v="Diesel"/>
    <x v="0"/>
    <s v="36-50"/>
    <s v="High"/>
    <x v="0"/>
    <x v="2"/>
    <s v="Sales_1"/>
    <n v="157"/>
    <n v="82"/>
    <n v="59"/>
    <n v="25"/>
    <s v="30.49"/>
    <n v="64740"/>
    <s v="5.47"/>
    <n v="50257"/>
    <n v="1618500"/>
    <n v="362075"/>
    <s v="Feb"/>
    <n v="2"/>
    <n v="2026"/>
    <s v="Weekend"/>
    <n v="0.42372881355932202"/>
    <n v="0.52229299363057324"/>
    <n v="0.15923566878980891"/>
    <n v="14483"/>
    <s v="Autohaus Berlin"/>
  </r>
  <r>
    <s v="CUST_3855"/>
    <x v="20"/>
    <x v="0"/>
    <s v="Thursday"/>
    <s v="No"/>
    <x v="2"/>
    <x v="2"/>
    <s v="Lower Saxony"/>
    <x v="3"/>
    <s v="GLC"/>
    <s v="Hybrid"/>
    <x v="0"/>
    <s v="50+"/>
    <s v="Low"/>
    <x v="0"/>
    <x v="3"/>
    <s v="Sales_14"/>
    <n v="265"/>
    <n v="146"/>
    <n v="96"/>
    <n v="33"/>
    <s v="22.6"/>
    <n v="62649"/>
    <s v="4.22"/>
    <n v="46197"/>
    <n v="2067417"/>
    <n v="542916"/>
    <s v="Feb"/>
    <n v="2"/>
    <n v="2026"/>
    <s v="Weekday"/>
    <n v="0.34375"/>
    <n v="0.55094339622641508"/>
    <n v="0.12452830188679245"/>
    <n v="16452"/>
    <s v="Hannover Cars"/>
  </r>
  <r>
    <s v="CUST_3856"/>
    <x v="0"/>
    <x v="0"/>
    <s v="Monday"/>
    <s v="No"/>
    <x v="1"/>
    <x v="1"/>
    <s v="NRW"/>
    <x v="3"/>
    <s v="GLE"/>
    <s v="Hybrid"/>
    <x v="0"/>
    <s v="18-25"/>
    <s v="Medium"/>
    <x v="1"/>
    <x v="1"/>
    <s v="Sales_15"/>
    <n v="202"/>
    <n v="108"/>
    <n v="84"/>
    <n v="28"/>
    <s v="25.93"/>
    <n v="69323"/>
    <s v="2.54"/>
    <n v="49883"/>
    <n v="1941044"/>
    <n v="544320"/>
    <s v="Feb"/>
    <n v="2"/>
    <n v="2026"/>
    <s v="Weekday"/>
    <n v="0.33333333333333331"/>
    <n v="0.53465346534653468"/>
    <n v="0.13861386138613863"/>
    <n v="19440"/>
    <s v="Rhein Auto Group"/>
  </r>
  <r>
    <s v="CUST_3857"/>
    <x v="12"/>
    <x v="3"/>
    <s v="Thursday"/>
    <s v="No"/>
    <x v="2"/>
    <x v="2"/>
    <s v="Lower Saxony"/>
    <x v="2"/>
    <s v="e-tron"/>
    <s v="Hybrid"/>
    <x v="0"/>
    <s v="50+"/>
    <s v="Medium"/>
    <x v="1"/>
    <x v="2"/>
    <s v="Sales_11"/>
    <n v="270"/>
    <n v="135"/>
    <n v="88"/>
    <n v="33"/>
    <s v="24.44"/>
    <n v="43204"/>
    <s v="4.98"/>
    <n v="33882"/>
    <n v="1425732"/>
    <n v="307626"/>
    <s v="Feb"/>
    <n v="2"/>
    <n v="2026"/>
    <s v="Weekday"/>
    <n v="0.375"/>
    <n v="0.5"/>
    <n v="0.12222222222222222"/>
    <n v="9322"/>
    <s v="Hannover Cars"/>
  </r>
  <r>
    <s v="CUST_3858"/>
    <x v="20"/>
    <x v="0"/>
    <s v="Thursday"/>
    <s v="No"/>
    <x v="6"/>
    <x v="6"/>
    <s v="Saxony"/>
    <x v="2"/>
    <s v="Q3"/>
    <s v="Petrol"/>
    <x v="0"/>
    <s v="50+"/>
    <s v="High"/>
    <x v="1"/>
    <x v="1"/>
    <s v="Sales_18"/>
    <n v="310"/>
    <n v="169"/>
    <n v="122"/>
    <n v="34"/>
    <s v="20.12"/>
    <n v="49767"/>
    <s v="4.56"/>
    <n v="38865"/>
    <n v="1692078"/>
    <n v="370668"/>
    <s v="Feb"/>
    <n v="2"/>
    <n v="2026"/>
    <s v="Weekday"/>
    <n v="0.27868852459016391"/>
    <n v="0.54516129032258065"/>
    <n v="0.10967741935483871"/>
    <n v="10902"/>
    <s v="Leipzig Mobility"/>
  </r>
  <r>
    <s v="CUST_3859"/>
    <x v="3"/>
    <x v="1"/>
    <s v="Sunday"/>
    <s v="Yes"/>
    <x v="1"/>
    <x v="1"/>
    <s v="NRW"/>
    <x v="2"/>
    <s v="A3"/>
    <s v="Electric"/>
    <x v="2"/>
    <s v="50+"/>
    <s v="Low"/>
    <x v="0"/>
    <x v="2"/>
    <s v="Sales_15"/>
    <n v="303"/>
    <n v="169"/>
    <n v="127"/>
    <n v="45"/>
    <s v="26.63"/>
    <n v="41381"/>
    <s v="6.42"/>
    <n v="32355"/>
    <n v="1862145"/>
    <n v="406170"/>
    <s v="Feb"/>
    <n v="2"/>
    <n v="2026"/>
    <s v="Weekend"/>
    <n v="0.3543307086614173"/>
    <n v="0.55775577557755773"/>
    <n v="0.14851485148514851"/>
    <n v="9026"/>
    <s v="Rhein Auto Group"/>
  </r>
  <r>
    <s v="CUST_3860"/>
    <x v="11"/>
    <x v="0"/>
    <s v="Wednesday"/>
    <s v="No"/>
    <x v="7"/>
    <x v="7"/>
    <s v="Bavaria"/>
    <x v="1"/>
    <s v="Grandland"/>
    <s v="Hybrid"/>
    <x v="0"/>
    <s v="36-50"/>
    <s v="High"/>
    <x v="0"/>
    <x v="1"/>
    <s v="Sales_12"/>
    <n v="412"/>
    <n v="182"/>
    <n v="113"/>
    <n v="33"/>
    <s v="18.13"/>
    <n v="26862"/>
    <s v="8.8"/>
    <n v="24679"/>
    <n v="886446"/>
    <n v="72039"/>
    <s v="Feb"/>
    <n v="2"/>
    <n v="2026"/>
    <s v="Weekday"/>
    <n v="0.29203539823008851"/>
    <n v="0.44174757281553401"/>
    <n v="8.0097087378640783E-2"/>
    <n v="2183"/>
    <s v="Bavaria Motors"/>
  </r>
  <r>
    <s v="CUST_3861"/>
    <x v="13"/>
    <x v="0"/>
    <s v="Friday"/>
    <s v="No"/>
    <x v="6"/>
    <x v="6"/>
    <s v="Saxony"/>
    <x v="0"/>
    <s v="i4"/>
    <s v="Hybrid"/>
    <x v="1"/>
    <s v="50+"/>
    <s v="High"/>
    <x v="1"/>
    <x v="1"/>
    <s v="Sales_1"/>
    <n v="150"/>
    <n v="86"/>
    <n v="59"/>
    <n v="25"/>
    <s v="29.07"/>
    <n v="61511"/>
    <s v="4.72"/>
    <n v="46956"/>
    <n v="1537775"/>
    <n v="363875"/>
    <s v="Feb"/>
    <n v="2"/>
    <n v="2026"/>
    <s v="Weekday"/>
    <n v="0.42372881355932202"/>
    <n v="0.57333333333333336"/>
    <n v="0.16666666666666666"/>
    <n v="14555"/>
    <s v="Leipzig Mobility"/>
  </r>
  <r>
    <s v="CUST_3862"/>
    <x v="11"/>
    <x v="0"/>
    <s v="Wednesday"/>
    <s v="No"/>
    <x v="2"/>
    <x v="2"/>
    <s v="Lower Saxony"/>
    <x v="0"/>
    <s v="5 Series"/>
    <s v="Petrol"/>
    <x v="1"/>
    <s v="18-25"/>
    <s v="Medium"/>
    <x v="1"/>
    <x v="2"/>
    <s v="Sales_15"/>
    <n v="230"/>
    <n v="128"/>
    <n v="92"/>
    <n v="36"/>
    <s v="28.12"/>
    <n v="60751"/>
    <s v="5.27"/>
    <n v="42716"/>
    <n v="2187036"/>
    <n v="649260"/>
    <s v="Feb"/>
    <n v="2"/>
    <n v="2026"/>
    <s v="Weekday"/>
    <n v="0.39130434782608697"/>
    <n v="0.55652173913043479"/>
    <n v="0.15652173913043479"/>
    <n v="18035"/>
    <s v="Hannover Cars"/>
  </r>
  <r>
    <s v="CUST_3863"/>
    <x v="10"/>
    <x v="1"/>
    <s v="Monday"/>
    <s v="No"/>
    <x v="2"/>
    <x v="2"/>
    <s v="Lower Saxony"/>
    <x v="1"/>
    <s v="Grandland"/>
    <s v="Diesel"/>
    <x v="0"/>
    <s v="26-35"/>
    <s v="Medium"/>
    <x v="1"/>
    <x v="0"/>
    <s v="Sales_3"/>
    <n v="235"/>
    <n v="117"/>
    <n v="67"/>
    <n v="14"/>
    <s v="11.97"/>
    <n v="26224"/>
    <s v="9.96"/>
    <n v="23489"/>
    <n v="367136"/>
    <n v="38290"/>
    <s v="Feb"/>
    <n v="2"/>
    <n v="2026"/>
    <s v="Weekday"/>
    <n v="0.20895522388059701"/>
    <n v="0.49787234042553191"/>
    <n v="5.9574468085106386E-2"/>
    <n v="2735"/>
    <s v="Hannover Cars"/>
  </r>
  <r>
    <s v="CUST_3864"/>
    <x v="20"/>
    <x v="0"/>
    <s v="Thursday"/>
    <s v="No"/>
    <x v="0"/>
    <x v="0"/>
    <s v="Hesse"/>
    <x v="0"/>
    <s v="i4"/>
    <s v="Electric"/>
    <x v="1"/>
    <s v="26-35"/>
    <s v="Low"/>
    <x v="1"/>
    <x v="3"/>
    <s v="Sales_11"/>
    <n v="191"/>
    <n v="106"/>
    <n v="81"/>
    <n v="29"/>
    <s v="27.36"/>
    <n v="61447"/>
    <s v="5.72"/>
    <n v="45745"/>
    <n v="1781963"/>
    <n v="455358"/>
    <s v="Feb"/>
    <n v="2"/>
    <n v="2026"/>
    <s v="Weekday"/>
    <n v="0.35802469135802467"/>
    <n v="0.55497382198952883"/>
    <n v="0.15183246073298429"/>
    <n v="15702"/>
    <s v="Main Auto Hub"/>
  </r>
  <r>
    <s v="CUST_3865"/>
    <x v="23"/>
    <x v="2"/>
    <s v="Tuesday"/>
    <s v="No"/>
    <x v="2"/>
    <x v="2"/>
    <s v="Lower Saxony"/>
    <x v="4"/>
    <s v="Tiguan"/>
    <s v="Diesel"/>
    <x v="0"/>
    <s v="26-35"/>
    <s v="High"/>
    <x v="0"/>
    <x v="1"/>
    <s v="Sales_20"/>
    <n v="496"/>
    <n v="240"/>
    <n v="163"/>
    <n v="46"/>
    <s v="19.17"/>
    <n v="25953"/>
    <s v="11.66"/>
    <n v="22651"/>
    <n v="1193838"/>
    <n v="151892"/>
    <s v="Feb"/>
    <n v="2"/>
    <n v="2026"/>
    <s v="Weekday"/>
    <n v="0.2822085889570552"/>
    <n v="0.4838709677419355"/>
    <n v="9.2741935483870969E-2"/>
    <n v="3302"/>
    <s v="Hannover Cars"/>
  </r>
  <r>
    <s v="CUST_3866"/>
    <x v="3"/>
    <x v="1"/>
    <s v="Sunday"/>
    <s v="Yes"/>
    <x v="2"/>
    <x v="2"/>
    <s v="Lower Saxony"/>
    <x v="4"/>
    <s v="Golf"/>
    <s v="Electric"/>
    <x v="2"/>
    <s v="50+"/>
    <s v="Medium"/>
    <x v="1"/>
    <x v="1"/>
    <s v="Sales_7"/>
    <n v="427"/>
    <n v="213"/>
    <n v="142"/>
    <n v="30"/>
    <s v="14.08"/>
    <n v="27674"/>
    <s v="6.92"/>
    <n v="24739"/>
    <n v="830220"/>
    <n v="88050"/>
    <s v="Feb"/>
    <n v="2"/>
    <n v="2026"/>
    <s v="Weekend"/>
    <n v="0.21126760563380281"/>
    <n v="0.49882903981264637"/>
    <n v="7.0257611241217793E-2"/>
    <n v="2935"/>
    <s v="Hannover Cars"/>
  </r>
  <r>
    <s v="CUST_3867"/>
    <x v="18"/>
    <x v="0"/>
    <s v="Saturday"/>
    <s v="Yes"/>
    <x v="5"/>
    <x v="5"/>
    <s v="Hamburg"/>
    <x v="4"/>
    <s v="ID.4"/>
    <s v="Diesel"/>
    <x v="0"/>
    <s v="26-35"/>
    <s v="Low"/>
    <x v="0"/>
    <x v="0"/>
    <s v="Sales_19"/>
    <n v="422"/>
    <n v="242"/>
    <n v="144"/>
    <n v="40"/>
    <s v="16.53"/>
    <n v="29022"/>
    <s v="7.61"/>
    <n v="24982"/>
    <n v="1160880"/>
    <n v="161600"/>
    <s v="Feb"/>
    <n v="2"/>
    <n v="2026"/>
    <s v="Weekend"/>
    <n v="0.27777777777777779"/>
    <n v="0.57345971563981046"/>
    <n v="9.4786729857819899E-2"/>
    <n v="4040"/>
    <s v="Elbe Drive"/>
  </r>
  <r>
    <s v="CUST_3868"/>
    <x v="4"/>
    <x v="2"/>
    <s v="Wednesday"/>
    <s v="No"/>
    <x v="3"/>
    <x v="3"/>
    <s v="Saxony"/>
    <x v="4"/>
    <s v="T-Roc"/>
    <s v="Electric"/>
    <x v="0"/>
    <s v="36-50"/>
    <s v="Low"/>
    <x v="0"/>
    <x v="1"/>
    <s v="Sales_6"/>
    <n v="497"/>
    <n v="265"/>
    <n v="163"/>
    <n v="45"/>
    <s v="16.98"/>
    <n v="27367"/>
    <s v="8.91"/>
    <n v="23828"/>
    <n v="1231515"/>
    <n v="159255"/>
    <s v="Feb"/>
    <n v="2"/>
    <n v="2026"/>
    <s v="Weekday"/>
    <n v="0.27607361963190186"/>
    <n v="0.53319919517102621"/>
    <n v="9.0543259557344061E-2"/>
    <n v="3539"/>
    <s v="Saxon Wheels"/>
  </r>
  <r>
    <s v="CUST_3869"/>
    <x v="4"/>
    <x v="2"/>
    <s v="Wednesday"/>
    <s v="No"/>
    <x v="2"/>
    <x v="2"/>
    <s v="Lower Saxony"/>
    <x v="1"/>
    <s v="Astra"/>
    <s v="Hybrid"/>
    <x v="2"/>
    <s v="18-25"/>
    <s v="High"/>
    <x v="0"/>
    <x v="3"/>
    <s v="Sales_12"/>
    <n v="332"/>
    <n v="134"/>
    <n v="90"/>
    <n v="20"/>
    <s v="14.93"/>
    <n v="25806"/>
    <s v="13.33"/>
    <n v="23111"/>
    <n v="516120"/>
    <n v="53900"/>
    <s v="Feb"/>
    <n v="2"/>
    <n v="2026"/>
    <s v="Weekday"/>
    <n v="0.22222222222222221"/>
    <n v="0.40361445783132532"/>
    <n v="6.0240963855421686E-2"/>
    <n v="2695"/>
    <s v="Hannover Cars"/>
  </r>
  <r>
    <s v="CUST_3870"/>
    <x v="4"/>
    <x v="2"/>
    <s v="Wednesday"/>
    <s v="No"/>
    <x v="4"/>
    <x v="4"/>
    <s v="Berlin"/>
    <x v="3"/>
    <s v="GLE"/>
    <s v="Hybrid"/>
    <x v="0"/>
    <s v="50+"/>
    <s v="Low"/>
    <x v="1"/>
    <x v="2"/>
    <s v="Sales_1"/>
    <n v="226"/>
    <n v="126"/>
    <n v="91"/>
    <n v="33"/>
    <s v="26.19"/>
    <n v="67736"/>
    <s v="4.83"/>
    <n v="52376"/>
    <n v="2235288"/>
    <n v="506880"/>
    <s v="Feb"/>
    <n v="2"/>
    <n v="2026"/>
    <s v="Weekday"/>
    <n v="0.36263736263736263"/>
    <n v="0.55752212389380529"/>
    <n v="0.14601769911504425"/>
    <n v="15360"/>
    <s v="Autohaus Berlin"/>
  </r>
  <r>
    <s v="CUST_3871"/>
    <x v="0"/>
    <x v="0"/>
    <s v="Monday"/>
    <s v="No"/>
    <x v="5"/>
    <x v="5"/>
    <s v="Hamburg"/>
    <x v="2"/>
    <s v="Q5"/>
    <s v="Petrol"/>
    <x v="0"/>
    <s v="18-25"/>
    <s v="High"/>
    <x v="0"/>
    <x v="3"/>
    <s v="Sales_5"/>
    <n v="233"/>
    <n v="146"/>
    <n v="102"/>
    <n v="33"/>
    <s v="22.6"/>
    <n v="40460"/>
    <s v="4.47"/>
    <n v="32206"/>
    <n v="1335180"/>
    <n v="272382"/>
    <s v="Feb"/>
    <n v="2"/>
    <n v="2026"/>
    <s v="Weekday"/>
    <n v="0.3235294117647059"/>
    <n v="0.62660944206008584"/>
    <n v="0.14163090128755365"/>
    <n v="8254"/>
    <s v="Elbe Drive"/>
  </r>
  <r>
    <s v="CUST_3872"/>
    <x v="4"/>
    <x v="2"/>
    <s v="Wednesday"/>
    <s v="No"/>
    <x v="0"/>
    <x v="0"/>
    <s v="Hesse"/>
    <x v="1"/>
    <s v="Corsa"/>
    <s v="Petrol"/>
    <x v="2"/>
    <s v="36-50"/>
    <s v="High"/>
    <x v="0"/>
    <x v="0"/>
    <s v="Sales_20"/>
    <n v="288"/>
    <n v="135"/>
    <n v="82"/>
    <n v="20"/>
    <s v="14.81"/>
    <n v="23768"/>
    <s v="9.73"/>
    <n v="21816"/>
    <n v="475360"/>
    <n v="39040"/>
    <s v="Feb"/>
    <n v="2"/>
    <n v="2026"/>
    <s v="Weekday"/>
    <n v="0.24390243902439024"/>
    <n v="0.46875"/>
    <n v="6.9444444444444448E-2"/>
    <n v="1952"/>
    <s v="Main Auto Hub"/>
  </r>
  <r>
    <s v="CUST_3873"/>
    <x v="7"/>
    <x v="3"/>
    <s v="Monday"/>
    <s v="No"/>
    <x v="0"/>
    <x v="0"/>
    <s v="Hesse"/>
    <x v="1"/>
    <s v="Mokka"/>
    <s v="Diesel"/>
    <x v="0"/>
    <s v="26-35"/>
    <s v="High"/>
    <x v="1"/>
    <x v="0"/>
    <s v="Sales_10"/>
    <n v="272"/>
    <n v="123"/>
    <n v="71"/>
    <n v="14"/>
    <s v="11.38"/>
    <n v="22540"/>
    <s v="10.76"/>
    <n v="20279"/>
    <n v="315560"/>
    <n v="31654"/>
    <s v="Feb"/>
    <n v="2"/>
    <n v="2026"/>
    <s v="Weekday"/>
    <n v="0.19718309859154928"/>
    <n v="0.45220588235294118"/>
    <n v="5.1470588235294115E-2"/>
    <n v="2261"/>
    <s v="Main Auto Hub"/>
  </r>
  <r>
    <s v="CUST_3874"/>
    <x v="15"/>
    <x v="2"/>
    <s v="Thursday"/>
    <s v="No"/>
    <x v="6"/>
    <x v="6"/>
    <s v="Saxony"/>
    <x v="2"/>
    <s v="A3"/>
    <s v="Hybrid"/>
    <x v="2"/>
    <s v="36-50"/>
    <s v="High"/>
    <x v="0"/>
    <x v="1"/>
    <s v="Sales_14"/>
    <n v="257"/>
    <n v="140"/>
    <n v="93"/>
    <n v="33"/>
    <s v="23.57"/>
    <n v="46778"/>
    <s v="6.79"/>
    <n v="37933"/>
    <n v="1543674"/>
    <n v="291885"/>
    <s v="Feb"/>
    <n v="2"/>
    <n v="2026"/>
    <s v="Weekday"/>
    <n v="0.35483870967741937"/>
    <n v="0.54474708171206221"/>
    <n v="0.12840466926070038"/>
    <n v="8845"/>
    <s v="Leipzig Mobility"/>
  </r>
  <r>
    <s v="CUST_3875"/>
    <x v="14"/>
    <x v="2"/>
    <s v="Friday"/>
    <s v="No"/>
    <x v="5"/>
    <x v="5"/>
    <s v="Hamburg"/>
    <x v="3"/>
    <s v="C-Class"/>
    <s v="Electric"/>
    <x v="1"/>
    <s v="50+"/>
    <s v="Low"/>
    <x v="0"/>
    <x v="2"/>
    <s v="Sales_18"/>
    <n v="207"/>
    <n v="105"/>
    <n v="76"/>
    <n v="30"/>
    <s v="28.57"/>
    <n v="71122"/>
    <s v="3.33"/>
    <n v="53240"/>
    <n v="2133660"/>
    <n v="536460"/>
    <s v="Feb"/>
    <n v="2"/>
    <n v="2026"/>
    <s v="Weekday"/>
    <n v="0.39473684210526316"/>
    <n v="0.50724637681159424"/>
    <n v="0.14492753623188406"/>
    <n v="17882"/>
    <s v="Elbe Drive"/>
  </r>
  <r>
    <s v="CUST_3876"/>
    <x v="3"/>
    <x v="1"/>
    <s v="Sunday"/>
    <s v="Yes"/>
    <x v="3"/>
    <x v="3"/>
    <s v="Saxony"/>
    <x v="2"/>
    <s v="Q3"/>
    <s v="Electric"/>
    <x v="0"/>
    <s v="36-50"/>
    <s v="Low"/>
    <x v="1"/>
    <x v="3"/>
    <s v="Sales_14"/>
    <n v="239"/>
    <n v="122"/>
    <n v="86"/>
    <n v="21"/>
    <s v="17.21"/>
    <n v="44816"/>
    <s v="3.89"/>
    <n v="36270"/>
    <n v="941136"/>
    <n v="179466"/>
    <s v="Feb"/>
    <n v="2"/>
    <n v="2026"/>
    <s v="Weekend"/>
    <n v="0.2441860465116279"/>
    <n v="0.5104602510460251"/>
    <n v="8.7866108786610872E-2"/>
    <n v="8546"/>
    <s v="Saxon Wheels"/>
  </r>
  <r>
    <s v="CUST_3877"/>
    <x v="26"/>
    <x v="1"/>
    <s v="Friday"/>
    <s v="No"/>
    <x v="8"/>
    <x v="8"/>
    <s v="Baden-WÃ¼rttemberg"/>
    <x v="4"/>
    <s v="ID.4"/>
    <s v="Hybrid"/>
    <x v="0"/>
    <s v="50+"/>
    <s v="High"/>
    <x v="0"/>
    <x v="0"/>
    <s v="Sales_15"/>
    <n v="416"/>
    <n v="204"/>
    <n v="127"/>
    <n v="36"/>
    <s v="17.65"/>
    <n v="29995"/>
    <s v="6.36"/>
    <n v="26713"/>
    <n v="1079820"/>
    <n v="118152"/>
    <s v="Feb"/>
    <n v="2"/>
    <n v="2026"/>
    <s v="Weekday"/>
    <n v="0.28346456692913385"/>
    <n v="0.49038461538461536"/>
    <n v="8.6538461538461536E-2"/>
    <n v="3282"/>
    <s v="Stuttgart Auto Center"/>
  </r>
  <r>
    <s v="CUST_3878"/>
    <x v="8"/>
    <x v="3"/>
    <s v="Wednesday"/>
    <s v="No"/>
    <x v="0"/>
    <x v="0"/>
    <s v="Hesse"/>
    <x v="1"/>
    <s v="Corsa"/>
    <s v="Hybrid"/>
    <x v="2"/>
    <s v="18-25"/>
    <s v="High"/>
    <x v="0"/>
    <x v="2"/>
    <s v="Sales_8"/>
    <n v="418"/>
    <n v="181"/>
    <n v="126"/>
    <n v="37"/>
    <s v="20.44"/>
    <n v="20832"/>
    <s v="9.9"/>
    <n v="18943"/>
    <n v="770784"/>
    <n v="69893"/>
    <s v="Feb"/>
    <n v="2"/>
    <n v="2026"/>
    <s v="Weekday"/>
    <n v="0.29365079365079366"/>
    <n v="0.43301435406698563"/>
    <n v="8.8516746411483258E-2"/>
    <n v="1889"/>
    <s v="Main Auto Hub"/>
  </r>
  <r>
    <s v="CUST_3879"/>
    <x v="12"/>
    <x v="3"/>
    <s v="Thursday"/>
    <s v="No"/>
    <x v="4"/>
    <x v="4"/>
    <s v="Berlin"/>
    <x v="1"/>
    <s v="Mokka"/>
    <s v="Electric"/>
    <x v="0"/>
    <s v="26-35"/>
    <s v="Medium"/>
    <x v="1"/>
    <x v="1"/>
    <s v="Sales_13"/>
    <n v="422"/>
    <n v="222"/>
    <n v="144"/>
    <n v="37"/>
    <s v="16.67"/>
    <n v="19771"/>
    <s v="11.89"/>
    <n v="17701"/>
    <n v="731527"/>
    <n v="76590"/>
    <s v="Feb"/>
    <n v="2"/>
    <n v="2026"/>
    <s v="Weekday"/>
    <n v="0.25694444444444442"/>
    <n v="0.52606635071090047"/>
    <n v="8.7677725118483416E-2"/>
    <n v="2070"/>
    <s v="Autohaus Berlin"/>
  </r>
  <r>
    <s v="CUST_3880"/>
    <x v="15"/>
    <x v="2"/>
    <s v="Thursday"/>
    <s v="No"/>
    <x v="8"/>
    <x v="8"/>
    <s v="Baden-WÃ¼rttemberg"/>
    <x v="2"/>
    <s v="Q5"/>
    <s v="Petrol"/>
    <x v="0"/>
    <s v="50+"/>
    <s v="Medium"/>
    <x v="0"/>
    <x v="0"/>
    <s v="Sales_13"/>
    <n v="280"/>
    <n v="140"/>
    <n v="95"/>
    <n v="34"/>
    <s v="24.29"/>
    <n v="40985"/>
    <s v="3.34"/>
    <n v="31170"/>
    <n v="1393490"/>
    <n v="333710"/>
    <s v="Feb"/>
    <n v="2"/>
    <n v="2026"/>
    <s v="Weekday"/>
    <n v="0.35789473684210527"/>
    <n v="0.5"/>
    <n v="0.12142857142857143"/>
    <n v="9815"/>
    <s v="Stuttgart Auto Center"/>
  </r>
  <r>
    <s v="CUST_3881"/>
    <x v="14"/>
    <x v="2"/>
    <s v="Friday"/>
    <s v="No"/>
    <x v="6"/>
    <x v="6"/>
    <s v="Saxony"/>
    <x v="0"/>
    <s v="i4"/>
    <s v="Electric"/>
    <x v="1"/>
    <s v="26-35"/>
    <s v="Medium"/>
    <x v="0"/>
    <x v="2"/>
    <s v="Sales_14"/>
    <n v="165"/>
    <n v="81"/>
    <n v="55"/>
    <n v="25"/>
    <s v="30.86"/>
    <n v="57292"/>
    <s v="3.5"/>
    <n v="42302"/>
    <n v="1432300"/>
    <n v="374750"/>
    <s v="Feb"/>
    <n v="2"/>
    <n v="2026"/>
    <s v="Weekday"/>
    <n v="0.45454545454545453"/>
    <n v="0.49090909090909091"/>
    <n v="0.15151515151515152"/>
    <n v="14990"/>
    <s v="Leipzig Mobility"/>
  </r>
  <r>
    <s v="CUST_3882"/>
    <x v="22"/>
    <x v="3"/>
    <s v="Tuesday"/>
    <s v="No"/>
    <x v="7"/>
    <x v="7"/>
    <s v="Bavaria"/>
    <x v="1"/>
    <s v="Astra"/>
    <s v="Petrol"/>
    <x v="2"/>
    <s v="50+"/>
    <s v="Medium"/>
    <x v="1"/>
    <x v="0"/>
    <s v="Sales_10"/>
    <n v="275"/>
    <n v="108"/>
    <n v="68"/>
    <n v="17"/>
    <s v="15.74"/>
    <n v="23282"/>
    <s v="10.51"/>
    <n v="20923"/>
    <n v="395794"/>
    <n v="40103"/>
    <s v="Feb"/>
    <n v="2"/>
    <n v="2026"/>
    <s v="Weekday"/>
    <n v="0.25"/>
    <n v="0.3927272727272727"/>
    <n v="6.1818181818181821E-2"/>
    <n v="2359"/>
    <s v="Bavaria Motors"/>
  </r>
  <r>
    <s v="CUST_3883"/>
    <x v="12"/>
    <x v="3"/>
    <s v="Thursday"/>
    <s v="No"/>
    <x v="5"/>
    <x v="5"/>
    <s v="Hamburg"/>
    <x v="3"/>
    <s v="GLC"/>
    <s v="Electric"/>
    <x v="0"/>
    <s v="50+"/>
    <s v="High"/>
    <x v="0"/>
    <x v="2"/>
    <s v="Sales_18"/>
    <n v="216"/>
    <n v="116"/>
    <n v="92"/>
    <n v="34"/>
    <s v="29.31"/>
    <n v="52724"/>
    <s v="5.61"/>
    <n v="39526"/>
    <n v="1792616"/>
    <n v="448732"/>
    <s v="Feb"/>
    <n v="2"/>
    <n v="2026"/>
    <s v="Weekday"/>
    <n v="0.36956521739130432"/>
    <n v="0.53703703703703709"/>
    <n v="0.15740740740740741"/>
    <n v="13198"/>
    <s v="Elbe Drive"/>
  </r>
  <r>
    <s v="CUST_3884"/>
    <x v="5"/>
    <x v="3"/>
    <s v="Saturday"/>
    <s v="Yes"/>
    <x v="5"/>
    <x v="5"/>
    <s v="Hamburg"/>
    <x v="1"/>
    <s v="Astra"/>
    <s v="Diesel"/>
    <x v="2"/>
    <s v="50+"/>
    <s v="Medium"/>
    <x v="1"/>
    <x v="2"/>
    <s v="Sales_1"/>
    <n v="289"/>
    <n v="140"/>
    <n v="84"/>
    <n v="27"/>
    <s v="19.29"/>
    <n v="23909"/>
    <s v="8.85"/>
    <n v="21350"/>
    <n v="645543"/>
    <n v="69093"/>
    <s v="Feb"/>
    <n v="2"/>
    <n v="2026"/>
    <s v="Weekend"/>
    <n v="0.32142857142857145"/>
    <n v="0.48442906574394462"/>
    <n v="9.3425605536332182E-2"/>
    <n v="2559"/>
    <s v="Elbe Drive"/>
  </r>
  <r>
    <s v="CUST_3885"/>
    <x v="27"/>
    <x v="3"/>
    <s v="Sunday"/>
    <s v="Yes"/>
    <x v="1"/>
    <x v="1"/>
    <s v="NRW"/>
    <x v="1"/>
    <s v="Astra"/>
    <s v="Petrol"/>
    <x v="2"/>
    <s v="50+"/>
    <s v="Low"/>
    <x v="1"/>
    <x v="2"/>
    <s v="Sales_3"/>
    <n v="307"/>
    <n v="141"/>
    <n v="81"/>
    <n v="25"/>
    <s v="17.73"/>
    <n v="21293"/>
    <s v="11.66"/>
    <n v="19512"/>
    <n v="532325"/>
    <n v="44525"/>
    <s v="Feb"/>
    <n v="2"/>
    <n v="2026"/>
    <s v="Weekend"/>
    <n v="0.30864197530864196"/>
    <n v="0.45928338762214982"/>
    <n v="8.143322475570032E-2"/>
    <n v="1781"/>
    <s v="Rhein Auto Group"/>
  </r>
  <r>
    <s v="CUST_3886"/>
    <x v="14"/>
    <x v="2"/>
    <s v="Friday"/>
    <s v="No"/>
    <x v="8"/>
    <x v="8"/>
    <s v="Baden-WÃ¼rttemberg"/>
    <x v="1"/>
    <s v="Corsa"/>
    <s v="Petrol"/>
    <x v="2"/>
    <s v="18-25"/>
    <s v="Medium"/>
    <x v="0"/>
    <x v="0"/>
    <s v="Sales_11"/>
    <n v="283"/>
    <n v="117"/>
    <n v="67"/>
    <n v="16"/>
    <s v="13.68"/>
    <n v="23790"/>
    <s v="12.84"/>
    <n v="21202"/>
    <n v="380640"/>
    <n v="41408"/>
    <s v="Feb"/>
    <n v="2"/>
    <n v="2026"/>
    <s v="Weekday"/>
    <n v="0.23880597014925373"/>
    <n v="0.41342756183745583"/>
    <n v="5.6537102473498232E-2"/>
    <n v="2588"/>
    <s v="Stuttgart Auto Center"/>
  </r>
  <r>
    <s v="CUST_3887"/>
    <x v="25"/>
    <x v="3"/>
    <s v="Friday"/>
    <s v="No"/>
    <x v="1"/>
    <x v="1"/>
    <s v="NRW"/>
    <x v="4"/>
    <s v="Golf"/>
    <s v="Electric"/>
    <x v="2"/>
    <s v="26-35"/>
    <s v="Low"/>
    <x v="0"/>
    <x v="3"/>
    <s v="Sales_7"/>
    <n v="263"/>
    <n v="146"/>
    <n v="89"/>
    <n v="23"/>
    <s v="15.75"/>
    <n v="29572"/>
    <s v="7.56"/>
    <n v="26519"/>
    <n v="680156"/>
    <n v="70219"/>
    <s v="Feb"/>
    <n v="2"/>
    <n v="2026"/>
    <s v="Weekday"/>
    <n v="0.25842696629213485"/>
    <n v="0.55513307984790872"/>
    <n v="8.7452471482889732E-2"/>
    <n v="3053"/>
    <s v="Rhein Auto Group"/>
  </r>
  <r>
    <s v="CUST_3888"/>
    <x v="14"/>
    <x v="2"/>
    <s v="Friday"/>
    <s v="No"/>
    <x v="6"/>
    <x v="6"/>
    <s v="Saxony"/>
    <x v="1"/>
    <s v="Astra"/>
    <s v="Electric"/>
    <x v="2"/>
    <s v="18-25"/>
    <s v="Medium"/>
    <x v="0"/>
    <x v="1"/>
    <s v="Sales_11"/>
    <n v="274"/>
    <n v="139"/>
    <n v="92"/>
    <n v="24"/>
    <s v="17.27"/>
    <n v="20761"/>
    <s v="12.69"/>
    <n v="18991"/>
    <n v="498264"/>
    <n v="42480"/>
    <s v="Feb"/>
    <n v="2"/>
    <n v="2026"/>
    <s v="Weekday"/>
    <n v="0.2608695652173913"/>
    <n v="0.50729927007299269"/>
    <n v="8.7591240875912413E-2"/>
    <n v="1770"/>
    <s v="Leipzig Mobility"/>
  </r>
  <r>
    <s v="CUST_3889"/>
    <x v="20"/>
    <x v="0"/>
    <s v="Thursday"/>
    <s v="No"/>
    <x v="8"/>
    <x v="8"/>
    <s v="Baden-WÃ¼rttemberg"/>
    <x v="3"/>
    <s v="GLE"/>
    <s v="Electric"/>
    <x v="0"/>
    <s v="50+"/>
    <s v="Low"/>
    <x v="1"/>
    <x v="0"/>
    <s v="Sales_2"/>
    <n v="196"/>
    <n v="117"/>
    <n v="78"/>
    <n v="25"/>
    <s v="21.37"/>
    <n v="63430"/>
    <s v="5.37"/>
    <n v="45697"/>
    <n v="1585750"/>
    <n v="443325"/>
    <s v="Feb"/>
    <n v="2"/>
    <n v="2026"/>
    <s v="Weekday"/>
    <n v="0.32051282051282054"/>
    <n v="0.59693877551020413"/>
    <n v="0.12755102040816327"/>
    <n v="17733"/>
    <s v="Stuttgart Auto Center"/>
  </r>
  <r>
    <s v="CUST_3890"/>
    <x v="0"/>
    <x v="0"/>
    <s v="Monday"/>
    <s v="No"/>
    <x v="7"/>
    <x v="7"/>
    <s v="Bavaria"/>
    <x v="1"/>
    <s v="Corsa"/>
    <s v="Electric"/>
    <x v="2"/>
    <s v="26-35"/>
    <s v="Low"/>
    <x v="1"/>
    <x v="3"/>
    <s v="Sales_19"/>
    <n v="378"/>
    <n v="145"/>
    <n v="85"/>
    <n v="24"/>
    <s v="16.55"/>
    <n v="25607"/>
    <s v="9.83"/>
    <n v="23670"/>
    <n v="614568"/>
    <n v="46488"/>
    <s v="Feb"/>
    <n v="2"/>
    <n v="2026"/>
    <s v="Weekday"/>
    <n v="0.28235294117647058"/>
    <n v="0.3835978835978836"/>
    <n v="6.3492063492063489E-2"/>
    <n v="1937"/>
    <s v="Bavaria Motors"/>
  </r>
  <r>
    <s v="CUST_3891"/>
    <x v="19"/>
    <x v="1"/>
    <s v="Saturday"/>
    <s v="Yes"/>
    <x v="6"/>
    <x v="6"/>
    <s v="Saxony"/>
    <x v="1"/>
    <s v="Grandland"/>
    <s v="Hybrid"/>
    <x v="0"/>
    <s v="36-50"/>
    <s v="High"/>
    <x v="1"/>
    <x v="3"/>
    <s v="Sales_10"/>
    <n v="227"/>
    <n v="86"/>
    <n v="49"/>
    <n v="11"/>
    <s v="12.79"/>
    <n v="25693"/>
    <s v="11.83"/>
    <n v="23669"/>
    <n v="282623"/>
    <n v="22264"/>
    <s v="Feb"/>
    <n v="2"/>
    <n v="2026"/>
    <s v="Weekend"/>
    <n v="0.22448979591836735"/>
    <n v="0.3788546255506608"/>
    <n v="4.8458149779735685E-2"/>
    <n v="2024"/>
    <s v="Leipzig Mobility"/>
  </r>
  <r>
    <s v="CUST_3892"/>
    <x v="6"/>
    <x v="2"/>
    <s v="Saturday"/>
    <s v="Yes"/>
    <x v="6"/>
    <x v="6"/>
    <s v="Saxony"/>
    <x v="2"/>
    <s v="Q5"/>
    <s v="Electric"/>
    <x v="0"/>
    <s v="50+"/>
    <s v="Low"/>
    <x v="0"/>
    <x v="0"/>
    <s v="Sales_6"/>
    <n v="302"/>
    <n v="148"/>
    <n v="106"/>
    <n v="31"/>
    <s v="20.95"/>
    <n v="47614"/>
    <s v="3.48"/>
    <n v="37055"/>
    <n v="1476034"/>
    <n v="327329"/>
    <s v="Feb"/>
    <n v="2"/>
    <n v="2026"/>
    <s v="Weekend"/>
    <n v="0.29245283018867924"/>
    <n v="0.49006622516556292"/>
    <n v="0.10264900662251655"/>
    <n v="10559"/>
    <s v="Leipzig Mobility"/>
  </r>
  <r>
    <s v="CUST_3893"/>
    <x v="14"/>
    <x v="2"/>
    <s v="Friday"/>
    <s v="No"/>
    <x v="7"/>
    <x v="7"/>
    <s v="Bavaria"/>
    <x v="0"/>
    <s v="X3"/>
    <s v="Diesel"/>
    <x v="0"/>
    <s v="36-50"/>
    <s v="High"/>
    <x v="1"/>
    <x v="1"/>
    <s v="Sales_17"/>
    <n v="178"/>
    <n v="86"/>
    <n v="62"/>
    <n v="27"/>
    <s v="31.4"/>
    <n v="56138"/>
    <s v="3.91"/>
    <n v="43218"/>
    <n v="1515726"/>
    <n v="348840"/>
    <s v="Feb"/>
    <n v="2"/>
    <n v="2026"/>
    <s v="Weekday"/>
    <n v="0.43548387096774194"/>
    <n v="0.48314606741573035"/>
    <n v="0.15168539325842698"/>
    <n v="12920"/>
    <s v="Bavaria Motors"/>
  </r>
  <r>
    <s v="CUST_3894"/>
    <x v="21"/>
    <x v="0"/>
    <s v="Tuesday"/>
    <s v="No"/>
    <x v="8"/>
    <x v="8"/>
    <s v="Baden-WÃ¼rttemberg"/>
    <x v="0"/>
    <s v="i4"/>
    <s v="Hybrid"/>
    <x v="1"/>
    <s v="50+"/>
    <s v="Medium"/>
    <x v="1"/>
    <x v="3"/>
    <s v="Sales_14"/>
    <n v="241"/>
    <n v="137"/>
    <n v="101"/>
    <n v="35"/>
    <s v="25.55"/>
    <n v="65521"/>
    <s v="3.48"/>
    <n v="47822"/>
    <n v="2293235"/>
    <n v="619465"/>
    <s v="Feb"/>
    <n v="2"/>
    <n v="2026"/>
    <s v="Weekday"/>
    <n v="0.34653465346534651"/>
    <n v="0.56846473029045641"/>
    <n v="0.14522821576763487"/>
    <n v="17699"/>
    <s v="Stuttgart Auto Center"/>
  </r>
  <r>
    <s v="CUST_3895"/>
    <x v="3"/>
    <x v="1"/>
    <s v="Sunday"/>
    <s v="Yes"/>
    <x v="0"/>
    <x v="0"/>
    <s v="Hesse"/>
    <x v="3"/>
    <s v="GLC"/>
    <s v="Hybrid"/>
    <x v="0"/>
    <s v="50+"/>
    <s v="High"/>
    <x v="0"/>
    <x v="1"/>
    <s v="Sales_7"/>
    <n v="225"/>
    <n v="130"/>
    <n v="89"/>
    <n v="32"/>
    <s v="24.62"/>
    <n v="51947"/>
    <s v="2.92"/>
    <n v="40210"/>
    <n v="1662304"/>
    <n v="375584"/>
    <s v="Feb"/>
    <n v="2"/>
    <n v="2026"/>
    <s v="Weekend"/>
    <n v="0.3595505617977528"/>
    <n v="0.57777777777777772"/>
    <n v="0.14222222222222222"/>
    <n v="11737"/>
    <s v="Main Auto Hub"/>
  </r>
  <r>
    <s v="CUST_3896"/>
    <x v="24"/>
    <x v="1"/>
    <s v="Thursday"/>
    <s v="No"/>
    <x v="7"/>
    <x v="7"/>
    <s v="Bavaria"/>
    <x v="4"/>
    <s v="Passat"/>
    <s v="Hybrid"/>
    <x v="1"/>
    <s v="26-35"/>
    <s v="Medium"/>
    <x v="0"/>
    <x v="3"/>
    <s v="Sales_3"/>
    <n v="361"/>
    <n v="173"/>
    <n v="119"/>
    <n v="29"/>
    <s v="16.76"/>
    <n v="32487"/>
    <s v="11.7"/>
    <n v="28552"/>
    <n v="942123"/>
    <n v="114115"/>
    <s v="Feb"/>
    <n v="2"/>
    <n v="2026"/>
    <s v="Weekday"/>
    <n v="0.24369747899159663"/>
    <n v="0.47922437673130192"/>
    <n v="8.0332409972299165E-2"/>
    <n v="3935"/>
    <s v="Bavaria Motors"/>
  </r>
  <r>
    <s v="CUST_3897"/>
    <x v="16"/>
    <x v="1"/>
    <s v="Tuesday"/>
    <s v="No"/>
    <x v="0"/>
    <x v="0"/>
    <s v="Hesse"/>
    <x v="3"/>
    <s v="GLC"/>
    <s v="Electric"/>
    <x v="0"/>
    <s v="18-25"/>
    <s v="Medium"/>
    <x v="0"/>
    <x v="3"/>
    <s v="Sales_18"/>
    <n v="194"/>
    <n v="113"/>
    <n v="79"/>
    <n v="27"/>
    <s v="23.89"/>
    <n v="64727"/>
    <s v="5.38"/>
    <n v="46891"/>
    <n v="1747629"/>
    <n v="481572"/>
    <s v="Feb"/>
    <n v="2"/>
    <n v="2026"/>
    <s v="Weekday"/>
    <n v="0.34177215189873417"/>
    <n v="0.58247422680412375"/>
    <n v="0.13917525773195877"/>
    <n v="17836"/>
    <s v="Main Auto Hub"/>
  </r>
  <r>
    <s v="CUST_3898"/>
    <x v="17"/>
    <x v="2"/>
    <s v="Sunday"/>
    <s v="Yes"/>
    <x v="2"/>
    <x v="2"/>
    <s v="Lower Saxony"/>
    <x v="2"/>
    <s v="Q3"/>
    <s v="Hybrid"/>
    <x v="0"/>
    <s v="36-50"/>
    <s v="Low"/>
    <x v="0"/>
    <x v="3"/>
    <s v="Sales_7"/>
    <n v="242"/>
    <n v="153"/>
    <n v="114"/>
    <n v="32"/>
    <s v="20.92"/>
    <n v="48818"/>
    <s v="4.83"/>
    <n v="36977"/>
    <n v="1562176"/>
    <n v="378912"/>
    <s v="Feb"/>
    <n v="2"/>
    <n v="2026"/>
    <s v="Weekend"/>
    <n v="0.2807017543859649"/>
    <n v="0.63223140495867769"/>
    <n v="0.13223140495867769"/>
    <n v="11841"/>
    <s v="Hannover Cars"/>
  </r>
  <r>
    <s v="CUST_3899"/>
    <x v="4"/>
    <x v="2"/>
    <s v="Wednesday"/>
    <s v="No"/>
    <x v="3"/>
    <x v="3"/>
    <s v="Saxony"/>
    <x v="2"/>
    <s v="e-tron"/>
    <s v="Diesel"/>
    <x v="0"/>
    <s v="36-50"/>
    <s v="High"/>
    <x v="1"/>
    <x v="3"/>
    <s v="Sales_16"/>
    <n v="265"/>
    <n v="130"/>
    <n v="95"/>
    <n v="25"/>
    <s v="19.23"/>
    <n v="42603"/>
    <s v="6.72"/>
    <n v="32296"/>
    <n v="1065075"/>
    <n v="257675"/>
    <s v="Feb"/>
    <n v="2"/>
    <n v="2026"/>
    <s v="Weekday"/>
    <n v="0.26315789473684209"/>
    <n v="0.49056603773584906"/>
    <n v="9.4339622641509441E-2"/>
    <n v="10307"/>
    <s v="Saxon Wheels"/>
  </r>
  <r>
    <s v="CUST_3900"/>
    <x v="9"/>
    <x v="0"/>
    <s v="Sunday"/>
    <s v="Yes"/>
    <x v="4"/>
    <x v="4"/>
    <s v="Berlin"/>
    <x v="0"/>
    <s v="X5"/>
    <s v="Electric"/>
    <x v="0"/>
    <s v="36-50"/>
    <s v="High"/>
    <x v="0"/>
    <x v="1"/>
    <s v="Sales_14"/>
    <n v="142"/>
    <n v="73"/>
    <n v="55"/>
    <n v="22"/>
    <s v="30.14"/>
    <n v="52002"/>
    <s v="4.49"/>
    <n v="37181"/>
    <n v="1144044"/>
    <n v="326062"/>
    <s v="Feb"/>
    <n v="2"/>
    <n v="2026"/>
    <s v="Weekend"/>
    <n v="0.4"/>
    <n v="0.5140845070422535"/>
    <n v="0.15492957746478872"/>
    <n v="14821"/>
    <s v="Autohaus Berlin"/>
  </r>
  <r>
    <s v="CUST_3901"/>
    <x v="0"/>
    <x v="0"/>
    <s v="Monday"/>
    <s v="No"/>
    <x v="1"/>
    <x v="1"/>
    <s v="NRW"/>
    <x v="4"/>
    <s v="T-Roc"/>
    <s v="Diesel"/>
    <x v="0"/>
    <s v="18-25"/>
    <s v="Medium"/>
    <x v="0"/>
    <x v="3"/>
    <s v="Sales_8"/>
    <n v="295"/>
    <n v="134"/>
    <n v="79"/>
    <n v="23"/>
    <s v="17.16"/>
    <n v="34464"/>
    <s v="6.81"/>
    <n v="30332"/>
    <n v="792672"/>
    <n v="95036"/>
    <s v="Feb"/>
    <n v="2"/>
    <n v="2026"/>
    <s v="Weekday"/>
    <n v="0.29113924050632911"/>
    <n v="0.45423728813559322"/>
    <n v="7.796610169491526E-2"/>
    <n v="4132"/>
    <s v="Rhein Auto Group"/>
  </r>
  <r>
    <s v="CUST_3902"/>
    <x v="26"/>
    <x v="1"/>
    <s v="Friday"/>
    <s v="No"/>
    <x v="4"/>
    <x v="4"/>
    <s v="Berlin"/>
    <x v="4"/>
    <s v="Tiguan"/>
    <s v="Diesel"/>
    <x v="0"/>
    <s v="18-25"/>
    <s v="Low"/>
    <x v="0"/>
    <x v="2"/>
    <s v="Sales_4"/>
    <n v="268"/>
    <n v="118"/>
    <n v="76"/>
    <n v="23"/>
    <s v="19.49"/>
    <n v="25833"/>
    <s v="11.79"/>
    <n v="23425"/>
    <n v="594159"/>
    <n v="55384"/>
    <s v="Feb"/>
    <n v="2"/>
    <n v="2026"/>
    <s v="Weekday"/>
    <n v="0.30263157894736842"/>
    <n v="0.44029850746268656"/>
    <n v="8.5820895522388058E-2"/>
    <n v="2408"/>
    <s v="Autohaus Berlin"/>
  </r>
  <r>
    <s v="CUST_3903"/>
    <x v="16"/>
    <x v="1"/>
    <s v="Tuesday"/>
    <s v="No"/>
    <x v="4"/>
    <x v="4"/>
    <s v="Berlin"/>
    <x v="4"/>
    <s v="T-Roc"/>
    <s v="Hybrid"/>
    <x v="0"/>
    <s v="36-50"/>
    <s v="High"/>
    <x v="1"/>
    <x v="3"/>
    <s v="Sales_8"/>
    <n v="284"/>
    <n v="130"/>
    <n v="90"/>
    <n v="23"/>
    <s v="17.69"/>
    <n v="28882"/>
    <s v="11.39"/>
    <n v="25617"/>
    <n v="664286"/>
    <n v="75095"/>
    <s v="Feb"/>
    <n v="2"/>
    <n v="2026"/>
    <s v="Weekday"/>
    <n v="0.25555555555555554"/>
    <n v="0.45774647887323944"/>
    <n v="8.098591549295775E-2"/>
    <n v="3265"/>
    <s v="Autohaus Berlin"/>
  </r>
  <r>
    <s v="CUST_3904"/>
    <x v="12"/>
    <x v="3"/>
    <s v="Thursday"/>
    <s v="No"/>
    <x v="3"/>
    <x v="3"/>
    <s v="Saxony"/>
    <x v="0"/>
    <s v="3 Series"/>
    <s v="Petrol"/>
    <x v="1"/>
    <s v="18-25"/>
    <s v="Low"/>
    <x v="0"/>
    <x v="0"/>
    <s v="Sales_2"/>
    <n v="157"/>
    <n v="81"/>
    <n v="62"/>
    <n v="20"/>
    <s v="24.69"/>
    <n v="53302"/>
    <s v="4.66"/>
    <n v="38666"/>
    <n v="1066040"/>
    <n v="292720"/>
    <s v="Feb"/>
    <n v="2"/>
    <n v="2026"/>
    <s v="Weekday"/>
    <n v="0.32258064516129031"/>
    <n v="0.51592356687898089"/>
    <n v="0.12738853503184713"/>
    <n v="14636"/>
    <s v="Saxon Wheels"/>
  </r>
  <r>
    <s v="CUST_3905"/>
    <x v="14"/>
    <x v="2"/>
    <s v="Friday"/>
    <s v="No"/>
    <x v="4"/>
    <x v="4"/>
    <s v="Berlin"/>
    <x v="0"/>
    <s v="X5"/>
    <s v="Hybrid"/>
    <x v="0"/>
    <s v="18-25"/>
    <s v="High"/>
    <x v="1"/>
    <x v="3"/>
    <s v="Sales_16"/>
    <n v="140"/>
    <n v="83"/>
    <n v="64"/>
    <n v="24"/>
    <s v="28.92"/>
    <n v="66183"/>
    <s v="3.27"/>
    <n v="49332"/>
    <n v="1588392"/>
    <n v="404424"/>
    <s v="Feb"/>
    <n v="2"/>
    <n v="2026"/>
    <s v="Weekday"/>
    <n v="0.375"/>
    <n v="0.59285714285714286"/>
    <n v="0.17142857142857143"/>
    <n v="16851"/>
    <s v="Autohaus Berlin"/>
  </r>
  <r>
    <s v="CUST_3906"/>
    <x v="26"/>
    <x v="1"/>
    <s v="Friday"/>
    <s v="No"/>
    <x v="6"/>
    <x v="6"/>
    <s v="Saxony"/>
    <x v="4"/>
    <s v="T-Roc"/>
    <s v="Diesel"/>
    <x v="0"/>
    <s v="26-35"/>
    <s v="High"/>
    <x v="1"/>
    <x v="3"/>
    <s v="Sales_11"/>
    <n v="299"/>
    <n v="170"/>
    <n v="106"/>
    <n v="26"/>
    <s v="15.29"/>
    <n v="27066"/>
    <s v="10.67"/>
    <n v="23466"/>
    <n v="703716"/>
    <n v="93600"/>
    <s v="Feb"/>
    <n v="2"/>
    <n v="2026"/>
    <s v="Weekday"/>
    <n v="0.24528301886792453"/>
    <n v="0.56856187290969895"/>
    <n v="8.6956521739130432E-2"/>
    <n v="3600"/>
    <s v="Leipzig Mobility"/>
  </r>
  <r>
    <s v="CUST_3907"/>
    <x v="25"/>
    <x v="3"/>
    <s v="Friday"/>
    <s v="No"/>
    <x v="1"/>
    <x v="1"/>
    <s v="NRW"/>
    <x v="0"/>
    <s v="i4"/>
    <s v="Electric"/>
    <x v="1"/>
    <s v="50+"/>
    <s v="High"/>
    <x v="1"/>
    <x v="0"/>
    <s v="Sales_7"/>
    <n v="280"/>
    <n v="133"/>
    <n v="101"/>
    <n v="37"/>
    <s v="27.82"/>
    <n v="51555"/>
    <s v="5.0"/>
    <n v="37995"/>
    <n v="1907535"/>
    <n v="501720"/>
    <s v="Feb"/>
    <n v="2"/>
    <n v="2026"/>
    <s v="Weekday"/>
    <n v="0.36633663366336633"/>
    <n v="0.47499999999999998"/>
    <n v="0.13214285714285715"/>
    <n v="13560"/>
    <s v="Rhein Auto Group"/>
  </r>
  <r>
    <s v="CUST_3908"/>
    <x v="24"/>
    <x v="1"/>
    <s v="Thursday"/>
    <s v="No"/>
    <x v="7"/>
    <x v="7"/>
    <s v="Bavaria"/>
    <x v="3"/>
    <s v="GLC"/>
    <s v="Electric"/>
    <x v="0"/>
    <s v="18-25"/>
    <s v="Low"/>
    <x v="1"/>
    <x v="3"/>
    <s v="Sales_14"/>
    <n v="154"/>
    <n v="90"/>
    <n v="60"/>
    <n v="21"/>
    <s v="23.33"/>
    <n v="57854"/>
    <s v="4.52"/>
    <n v="42610"/>
    <n v="1214934"/>
    <n v="320124"/>
    <s v="Feb"/>
    <n v="2"/>
    <n v="2026"/>
    <s v="Weekday"/>
    <n v="0.35"/>
    <n v="0.58441558441558439"/>
    <n v="0.13636363636363635"/>
    <n v="15244"/>
    <s v="Bavaria Motors"/>
  </r>
  <r>
    <s v="CUST_3909"/>
    <x v="16"/>
    <x v="1"/>
    <s v="Tuesday"/>
    <s v="No"/>
    <x v="9"/>
    <x v="9"/>
    <s v="NRW"/>
    <x v="3"/>
    <s v="GLE"/>
    <s v="Electric"/>
    <x v="0"/>
    <s v="26-35"/>
    <s v="High"/>
    <x v="0"/>
    <x v="2"/>
    <s v="Sales_8"/>
    <n v="234"/>
    <n v="107"/>
    <n v="79"/>
    <n v="26"/>
    <s v="24.3"/>
    <n v="70979"/>
    <s v="4.34"/>
    <n v="52332"/>
    <n v="1845454"/>
    <n v="484822"/>
    <s v="Feb"/>
    <n v="2"/>
    <n v="2026"/>
    <s v="Weekday"/>
    <n v="0.32911392405063289"/>
    <n v="0.45726495726495725"/>
    <n v="0.1111111111111111"/>
    <n v="18647"/>
    <s v="Ruhr Auto Plaza"/>
  </r>
  <r>
    <s v="CUST_3910"/>
    <x v="9"/>
    <x v="0"/>
    <s v="Sunday"/>
    <s v="Yes"/>
    <x v="0"/>
    <x v="0"/>
    <s v="Hesse"/>
    <x v="4"/>
    <s v="Passat"/>
    <s v="Petrol"/>
    <x v="1"/>
    <s v="50+"/>
    <s v="Medium"/>
    <x v="1"/>
    <x v="3"/>
    <s v="Sales_20"/>
    <n v="498"/>
    <n v="233"/>
    <n v="164"/>
    <n v="29"/>
    <s v="12.45"/>
    <n v="26477"/>
    <s v="8.16"/>
    <n v="22942"/>
    <n v="767833"/>
    <n v="102515"/>
    <s v="Feb"/>
    <n v="2"/>
    <n v="2026"/>
    <s v="Weekend"/>
    <n v="0.17682926829268292"/>
    <n v="0.46787148594377509"/>
    <n v="5.8232931726907633E-2"/>
    <n v="3535"/>
    <s v="Main Auto Hub"/>
  </r>
  <r>
    <s v="CUST_3911"/>
    <x v="27"/>
    <x v="3"/>
    <s v="Sunday"/>
    <s v="Yes"/>
    <x v="0"/>
    <x v="0"/>
    <s v="Hesse"/>
    <x v="3"/>
    <s v="C-Class"/>
    <s v="Hybrid"/>
    <x v="1"/>
    <s v="50+"/>
    <s v="Medium"/>
    <x v="0"/>
    <x v="3"/>
    <s v="Sales_12"/>
    <n v="263"/>
    <n v="124"/>
    <n v="84"/>
    <n v="29"/>
    <s v="23.39"/>
    <n v="53352"/>
    <s v="4.52"/>
    <n v="38589"/>
    <n v="1547208"/>
    <n v="428127"/>
    <s v="Feb"/>
    <n v="2"/>
    <n v="2026"/>
    <s v="Weekend"/>
    <n v="0.34523809523809523"/>
    <n v="0.47148288973384028"/>
    <n v="0.11026615969581749"/>
    <n v="14763"/>
    <s v="Main Auto Hub"/>
  </r>
  <r>
    <s v="CUST_3912"/>
    <x v="13"/>
    <x v="0"/>
    <s v="Friday"/>
    <s v="No"/>
    <x v="5"/>
    <x v="5"/>
    <s v="Hamburg"/>
    <x v="3"/>
    <s v="GLC"/>
    <s v="Electric"/>
    <x v="0"/>
    <s v="26-35"/>
    <s v="Medium"/>
    <x v="0"/>
    <x v="3"/>
    <s v="Sales_2"/>
    <n v="249"/>
    <n v="116"/>
    <n v="80"/>
    <n v="29"/>
    <s v="25.0"/>
    <n v="59374"/>
    <s v="3.83"/>
    <n v="45421"/>
    <n v="1721846"/>
    <n v="404637"/>
    <s v="Feb"/>
    <n v="2"/>
    <n v="2026"/>
    <s v="Weekday"/>
    <n v="0.36249999999999999"/>
    <n v="0.46586345381526106"/>
    <n v="0.11646586345381527"/>
    <n v="13953"/>
    <s v="Elbe Drive"/>
  </r>
  <r>
    <s v="CUST_3913"/>
    <x v="1"/>
    <x v="1"/>
    <s v="Wednesday"/>
    <s v="No"/>
    <x v="9"/>
    <x v="9"/>
    <s v="NRW"/>
    <x v="0"/>
    <s v="3 Series"/>
    <s v="Hybrid"/>
    <x v="1"/>
    <s v="26-35"/>
    <s v="Medium"/>
    <x v="0"/>
    <x v="2"/>
    <s v="Sales_6"/>
    <n v="203"/>
    <n v="92"/>
    <n v="66"/>
    <n v="28"/>
    <s v="30.43"/>
    <n v="64058"/>
    <s v="2.73"/>
    <n v="49544"/>
    <n v="1793624"/>
    <n v="406392"/>
    <s v="Feb"/>
    <n v="2"/>
    <n v="2026"/>
    <s v="Weekday"/>
    <n v="0.42424242424242425"/>
    <n v="0.45320197044334976"/>
    <n v="0.13793103448275862"/>
    <n v="14514"/>
    <s v="Ruhr Auto Plaza"/>
  </r>
  <r>
    <s v="CUST_3914"/>
    <x v="14"/>
    <x v="2"/>
    <s v="Friday"/>
    <s v="No"/>
    <x v="7"/>
    <x v="7"/>
    <s v="Bavaria"/>
    <x v="4"/>
    <s v="Golf"/>
    <s v="Electric"/>
    <x v="2"/>
    <s v="50+"/>
    <s v="High"/>
    <x v="1"/>
    <x v="3"/>
    <s v="Sales_7"/>
    <n v="328"/>
    <n v="141"/>
    <n v="98"/>
    <n v="21"/>
    <s v="14.89"/>
    <n v="25889"/>
    <s v="8.62"/>
    <n v="23464"/>
    <n v="543669"/>
    <n v="50925"/>
    <s v="Feb"/>
    <n v="2"/>
    <n v="2026"/>
    <s v="Weekday"/>
    <n v="0.21428571428571427"/>
    <n v="0.4298780487804878"/>
    <n v="6.402439024390244E-2"/>
    <n v="2425"/>
    <s v="Bavaria Motors"/>
  </r>
  <r>
    <s v="CUST_3915"/>
    <x v="21"/>
    <x v="0"/>
    <s v="Tuesday"/>
    <s v="No"/>
    <x v="0"/>
    <x v="0"/>
    <s v="Hesse"/>
    <x v="4"/>
    <s v="ID.4"/>
    <s v="Petrol"/>
    <x v="0"/>
    <s v="36-50"/>
    <s v="High"/>
    <x v="1"/>
    <x v="1"/>
    <s v="Sales_13"/>
    <n v="360"/>
    <n v="154"/>
    <n v="96"/>
    <n v="22"/>
    <s v="14.29"/>
    <n v="31001"/>
    <s v="11.78"/>
    <n v="27644"/>
    <n v="682022"/>
    <n v="73854"/>
    <s v="Feb"/>
    <n v="2"/>
    <n v="2026"/>
    <s v="Weekday"/>
    <n v="0.22916666666666666"/>
    <n v="0.42777777777777776"/>
    <n v="6.1111111111111109E-2"/>
    <n v="3357"/>
    <s v="Main Auto Hub"/>
  </r>
  <r>
    <s v="CUST_3916"/>
    <x v="12"/>
    <x v="3"/>
    <s v="Thursday"/>
    <s v="No"/>
    <x v="9"/>
    <x v="9"/>
    <s v="NRW"/>
    <x v="2"/>
    <s v="Q5"/>
    <s v="Petrol"/>
    <x v="0"/>
    <s v="36-50"/>
    <s v="Low"/>
    <x v="1"/>
    <x v="0"/>
    <s v="Sales_19"/>
    <n v="214"/>
    <n v="124"/>
    <n v="80"/>
    <n v="27"/>
    <s v="21.77"/>
    <n v="48869"/>
    <s v="4.82"/>
    <n v="39292"/>
    <n v="1319463"/>
    <n v="258579"/>
    <s v="Feb"/>
    <n v="2"/>
    <n v="2026"/>
    <s v="Weekday"/>
    <n v="0.33750000000000002"/>
    <n v="0.57943925233644855"/>
    <n v="0.12616822429906541"/>
    <n v="9577"/>
    <s v="Ruhr Auto Plaza"/>
  </r>
  <r>
    <s v="CUST_3917"/>
    <x v="10"/>
    <x v="1"/>
    <s v="Monday"/>
    <s v="No"/>
    <x v="3"/>
    <x v="3"/>
    <s v="Saxony"/>
    <x v="2"/>
    <s v="A4"/>
    <s v="Hybrid"/>
    <x v="1"/>
    <s v="18-25"/>
    <s v="Low"/>
    <x v="0"/>
    <x v="2"/>
    <s v="Sales_10"/>
    <n v="175"/>
    <n v="85"/>
    <n v="56"/>
    <n v="20"/>
    <s v="23.53"/>
    <n v="43721"/>
    <s v="6.26"/>
    <n v="35636"/>
    <n v="874420"/>
    <n v="161700"/>
    <s v="Feb"/>
    <n v="2"/>
    <n v="2026"/>
    <s v="Weekday"/>
    <n v="0.35714285714285715"/>
    <n v="0.48571428571428571"/>
    <n v="0.11428571428571428"/>
    <n v="8085"/>
    <s v="Saxon Wheels"/>
  </r>
  <r>
    <s v="CUST_3918"/>
    <x v="25"/>
    <x v="3"/>
    <s v="Friday"/>
    <s v="No"/>
    <x v="4"/>
    <x v="4"/>
    <s v="Berlin"/>
    <x v="3"/>
    <s v="EQE"/>
    <s v="Petrol"/>
    <x v="1"/>
    <s v="18-25"/>
    <s v="Medium"/>
    <x v="1"/>
    <x v="1"/>
    <s v="Sales_11"/>
    <n v="232"/>
    <n v="121"/>
    <n v="96"/>
    <n v="32"/>
    <s v="26.45"/>
    <n v="61274"/>
    <s v="2.49"/>
    <n v="46681"/>
    <n v="1960768"/>
    <n v="466976"/>
    <s v="Feb"/>
    <n v="2"/>
    <n v="2026"/>
    <s v="Weekday"/>
    <n v="0.33333333333333331"/>
    <n v="0.52155172413793105"/>
    <n v="0.13793103448275862"/>
    <n v="14593"/>
    <s v="Autohaus Berlin"/>
  </r>
  <r>
    <s v="CUST_3919"/>
    <x v="8"/>
    <x v="3"/>
    <s v="Wednesday"/>
    <s v="No"/>
    <x v="7"/>
    <x v="7"/>
    <s v="Bavaria"/>
    <x v="2"/>
    <s v="e-tron"/>
    <s v="Electric"/>
    <x v="0"/>
    <s v="18-25"/>
    <s v="Medium"/>
    <x v="0"/>
    <x v="3"/>
    <s v="Sales_2"/>
    <n v="265"/>
    <n v="168"/>
    <n v="120"/>
    <n v="38"/>
    <s v="22.62"/>
    <n v="53574"/>
    <s v="6.67"/>
    <n v="40747"/>
    <n v="2035812"/>
    <n v="487426"/>
    <s v="Feb"/>
    <n v="2"/>
    <n v="2026"/>
    <s v="Weekday"/>
    <n v="0.31666666666666665"/>
    <n v="0.63396226415094337"/>
    <n v="0.14339622641509434"/>
    <n v="12827"/>
    <s v="Bavaria Motors"/>
  </r>
  <r>
    <s v="CUST_3920"/>
    <x v="27"/>
    <x v="3"/>
    <s v="Sunday"/>
    <s v="Yes"/>
    <x v="4"/>
    <x v="4"/>
    <s v="Berlin"/>
    <x v="1"/>
    <s v="Crossland"/>
    <s v="Diesel"/>
    <x v="0"/>
    <s v="18-25"/>
    <s v="Low"/>
    <x v="1"/>
    <x v="0"/>
    <s v="Sales_4"/>
    <n v="334"/>
    <n v="143"/>
    <n v="81"/>
    <n v="21"/>
    <s v="14.69"/>
    <n v="23369"/>
    <s v="10.52"/>
    <n v="21075"/>
    <n v="490749"/>
    <n v="48174"/>
    <s v="Feb"/>
    <n v="2"/>
    <n v="2026"/>
    <s v="Weekend"/>
    <n v="0.25925925925925924"/>
    <n v="0.42814371257485029"/>
    <n v="6.2874251497005984E-2"/>
    <n v="2294"/>
    <s v="Autohaus Berlin"/>
  </r>
  <r>
    <s v="CUST_3921"/>
    <x v="8"/>
    <x v="3"/>
    <s v="Wednesday"/>
    <s v="No"/>
    <x v="5"/>
    <x v="5"/>
    <s v="Hamburg"/>
    <x v="3"/>
    <s v="EQE"/>
    <s v="Electric"/>
    <x v="1"/>
    <s v="36-50"/>
    <s v="Medium"/>
    <x v="0"/>
    <x v="0"/>
    <s v="Sales_6"/>
    <n v="184"/>
    <n v="86"/>
    <n v="57"/>
    <n v="20"/>
    <s v="23.26"/>
    <n v="50674"/>
    <s v="5.75"/>
    <n v="39620"/>
    <n v="1013480"/>
    <n v="221080"/>
    <s v="Feb"/>
    <n v="2"/>
    <n v="2026"/>
    <s v="Weekday"/>
    <n v="0.35087719298245612"/>
    <n v="0.46739130434782611"/>
    <n v="0.10869565217391304"/>
    <n v="11054"/>
    <s v="Elbe Drive"/>
  </r>
  <r>
    <s v="CUST_3922"/>
    <x v="4"/>
    <x v="2"/>
    <s v="Wednesday"/>
    <s v="No"/>
    <x v="9"/>
    <x v="9"/>
    <s v="NRW"/>
    <x v="4"/>
    <s v="Golf"/>
    <s v="Petrol"/>
    <x v="2"/>
    <s v="26-35"/>
    <s v="High"/>
    <x v="1"/>
    <x v="0"/>
    <s v="Sales_6"/>
    <n v="265"/>
    <n v="123"/>
    <n v="76"/>
    <n v="14"/>
    <s v="11.38"/>
    <n v="25282"/>
    <s v="11.74"/>
    <n v="22173"/>
    <n v="353948"/>
    <n v="43526"/>
    <s v="Feb"/>
    <n v="2"/>
    <n v="2026"/>
    <s v="Weekday"/>
    <n v="0.18421052631578946"/>
    <n v="0.46415094339622642"/>
    <n v="5.2830188679245285E-2"/>
    <n v="3109"/>
    <s v="Ruhr Auto Plaza"/>
  </r>
  <r>
    <s v="CUST_3923"/>
    <x v="6"/>
    <x v="2"/>
    <s v="Saturday"/>
    <s v="Yes"/>
    <x v="1"/>
    <x v="1"/>
    <s v="NRW"/>
    <x v="0"/>
    <s v="X3"/>
    <s v="Petrol"/>
    <x v="0"/>
    <s v="36-50"/>
    <s v="Medium"/>
    <x v="0"/>
    <x v="2"/>
    <s v="Sales_10"/>
    <n v="182"/>
    <n v="87"/>
    <n v="70"/>
    <n v="28"/>
    <s v="32.18"/>
    <n v="58437"/>
    <s v="3.77"/>
    <n v="45096"/>
    <n v="1636236"/>
    <n v="373548"/>
    <s v="Feb"/>
    <n v="2"/>
    <n v="2026"/>
    <s v="Weekend"/>
    <n v="0.4"/>
    <n v="0.47802197802197804"/>
    <n v="0.15384615384615385"/>
    <n v="13341"/>
    <s v="Rhein Auto Group"/>
  </r>
  <r>
    <s v="CUST_3924"/>
    <x v="27"/>
    <x v="3"/>
    <s v="Sunday"/>
    <s v="Yes"/>
    <x v="2"/>
    <x v="2"/>
    <s v="Lower Saxony"/>
    <x v="2"/>
    <s v="Q3"/>
    <s v="Petrol"/>
    <x v="0"/>
    <s v="18-25"/>
    <s v="Medium"/>
    <x v="0"/>
    <x v="0"/>
    <s v="Sales_5"/>
    <n v="312"/>
    <n v="199"/>
    <n v="133"/>
    <n v="45"/>
    <s v="22.61"/>
    <n v="48873"/>
    <s v="3.07"/>
    <n v="39195"/>
    <n v="2199285"/>
    <n v="435510"/>
    <s v="Feb"/>
    <n v="2"/>
    <n v="2026"/>
    <s v="Weekend"/>
    <n v="0.33834586466165412"/>
    <n v="0.63782051282051277"/>
    <n v="0.14423076923076922"/>
    <n v="9678"/>
    <s v="Hannover Cars"/>
  </r>
  <r>
    <s v="CUST_3925"/>
    <x v="27"/>
    <x v="3"/>
    <s v="Sunday"/>
    <s v="Yes"/>
    <x v="5"/>
    <x v="5"/>
    <s v="Hamburg"/>
    <x v="2"/>
    <s v="e-tron"/>
    <s v="Diesel"/>
    <x v="0"/>
    <s v="18-25"/>
    <s v="Medium"/>
    <x v="0"/>
    <x v="0"/>
    <s v="Sales_15"/>
    <n v="184"/>
    <n v="94"/>
    <n v="71"/>
    <n v="20"/>
    <s v="21.28"/>
    <n v="49356"/>
    <s v="4.86"/>
    <n v="39928"/>
    <n v="987120"/>
    <n v="188560"/>
    <s v="Feb"/>
    <n v="2"/>
    <n v="2026"/>
    <s v="Weekend"/>
    <n v="0.28169014084507044"/>
    <n v="0.51086956521739135"/>
    <n v="0.10869565217391304"/>
    <n v="9428"/>
    <s v="Elbe Drive"/>
  </r>
  <r>
    <s v="CUST_3926"/>
    <x v="18"/>
    <x v="0"/>
    <s v="Saturday"/>
    <s v="Yes"/>
    <x v="8"/>
    <x v="8"/>
    <s v="Baden-WÃ¼rttemberg"/>
    <x v="1"/>
    <s v="Corsa"/>
    <s v="Electric"/>
    <x v="2"/>
    <s v="36-50"/>
    <s v="High"/>
    <x v="1"/>
    <x v="2"/>
    <s v="Sales_1"/>
    <n v="321"/>
    <n v="138"/>
    <n v="94"/>
    <n v="27"/>
    <s v="19.57"/>
    <n v="26883"/>
    <s v="10.11"/>
    <n v="24223"/>
    <n v="725841"/>
    <n v="71820"/>
    <s v="Feb"/>
    <n v="2"/>
    <n v="2026"/>
    <s v="Weekend"/>
    <n v="0.28723404255319152"/>
    <n v="0.42990654205607476"/>
    <n v="8.4112149532710276E-2"/>
    <n v="2660"/>
    <s v="Stuttgart Auto Center"/>
  </r>
  <r>
    <s v="CUST_3927"/>
    <x v="5"/>
    <x v="3"/>
    <s v="Saturday"/>
    <s v="Yes"/>
    <x v="9"/>
    <x v="9"/>
    <s v="NRW"/>
    <x v="3"/>
    <s v="EQE"/>
    <s v="Petrol"/>
    <x v="1"/>
    <s v="50+"/>
    <s v="Medium"/>
    <x v="1"/>
    <x v="0"/>
    <s v="Sales_17"/>
    <n v="146"/>
    <n v="77"/>
    <n v="60"/>
    <n v="17"/>
    <s v="22.08"/>
    <n v="64895"/>
    <s v="4.65"/>
    <n v="46431"/>
    <n v="1103215"/>
    <n v="313888"/>
    <s v="Feb"/>
    <n v="2"/>
    <n v="2026"/>
    <s v="Weekend"/>
    <n v="0.28333333333333333"/>
    <n v="0.5273972602739726"/>
    <n v="0.11643835616438356"/>
    <n v="18464"/>
    <s v="Ruhr Auto Plaza"/>
  </r>
  <r>
    <s v="CUST_3928"/>
    <x v="14"/>
    <x v="2"/>
    <s v="Friday"/>
    <s v="No"/>
    <x v="8"/>
    <x v="8"/>
    <s v="Baden-WÃ¼rttemberg"/>
    <x v="3"/>
    <s v="EQE"/>
    <s v="Hybrid"/>
    <x v="1"/>
    <s v="36-50"/>
    <s v="Low"/>
    <x v="1"/>
    <x v="3"/>
    <s v="Sales_7"/>
    <n v="175"/>
    <n v="102"/>
    <n v="71"/>
    <n v="25"/>
    <s v="24.51"/>
    <n v="64884"/>
    <s v="2.24"/>
    <n v="47774"/>
    <n v="1622100"/>
    <n v="427750"/>
    <s v="Feb"/>
    <n v="2"/>
    <n v="2026"/>
    <s v="Weekday"/>
    <n v="0.352112676056338"/>
    <n v="0.58285714285714285"/>
    <n v="0.14285714285714285"/>
    <n v="17110"/>
    <s v="Stuttgart Auto Center"/>
  </r>
  <r>
    <s v="CUST_3929"/>
    <x v="17"/>
    <x v="2"/>
    <s v="Sunday"/>
    <s v="Yes"/>
    <x v="3"/>
    <x v="3"/>
    <s v="Saxony"/>
    <x v="0"/>
    <s v="X5"/>
    <s v="Diesel"/>
    <x v="0"/>
    <s v="50+"/>
    <s v="Medium"/>
    <x v="0"/>
    <x v="0"/>
    <s v="Sales_1"/>
    <n v="176"/>
    <n v="105"/>
    <n v="82"/>
    <n v="28"/>
    <s v="26.67"/>
    <n v="58279"/>
    <s v="2.66"/>
    <n v="42987"/>
    <n v="1631812"/>
    <n v="428176"/>
    <s v="Feb"/>
    <n v="2"/>
    <n v="2026"/>
    <s v="Weekend"/>
    <n v="0.34146341463414637"/>
    <n v="0.59659090909090906"/>
    <n v="0.15909090909090909"/>
    <n v="15292"/>
    <s v="Saxon Wheels"/>
  </r>
  <r>
    <s v="CUST_3930"/>
    <x v="6"/>
    <x v="2"/>
    <s v="Saturday"/>
    <s v="Yes"/>
    <x v="4"/>
    <x v="4"/>
    <s v="Berlin"/>
    <x v="2"/>
    <s v="Q3"/>
    <s v="Hybrid"/>
    <x v="0"/>
    <s v="36-50"/>
    <s v="Low"/>
    <x v="1"/>
    <x v="3"/>
    <s v="Sales_9"/>
    <n v="196"/>
    <n v="97"/>
    <n v="71"/>
    <n v="22"/>
    <s v="22.68"/>
    <n v="45702"/>
    <s v="6.38"/>
    <n v="35484"/>
    <n v="1005444"/>
    <n v="224796"/>
    <s v="Feb"/>
    <n v="2"/>
    <n v="2026"/>
    <s v="Weekend"/>
    <n v="0.30985915492957744"/>
    <n v="0.49489795918367346"/>
    <n v="0.11224489795918367"/>
    <n v="10218"/>
    <s v="Autohaus Berlin"/>
  </r>
  <r>
    <s v="CUST_3931"/>
    <x v="7"/>
    <x v="3"/>
    <s v="Monday"/>
    <s v="No"/>
    <x v="7"/>
    <x v="7"/>
    <s v="Bavaria"/>
    <x v="1"/>
    <s v="Corsa"/>
    <s v="Hybrid"/>
    <x v="2"/>
    <s v="26-35"/>
    <s v="Low"/>
    <x v="1"/>
    <x v="3"/>
    <s v="Sales_13"/>
    <n v="303"/>
    <n v="116"/>
    <n v="70"/>
    <n v="20"/>
    <s v="17.24"/>
    <n v="25035"/>
    <s v="8.1"/>
    <n v="22824"/>
    <n v="500700"/>
    <n v="44220"/>
    <s v="Feb"/>
    <n v="2"/>
    <n v="2026"/>
    <s v="Weekday"/>
    <n v="0.2857142857142857"/>
    <n v="0.38283828382838286"/>
    <n v="6.6006600660066E-2"/>
    <n v="2211"/>
    <s v="Bavaria Motors"/>
  </r>
  <r>
    <s v="CUST_3932"/>
    <x v="4"/>
    <x v="2"/>
    <s v="Wednesday"/>
    <s v="No"/>
    <x v="3"/>
    <x v="3"/>
    <s v="Saxony"/>
    <x v="0"/>
    <s v="X3"/>
    <s v="Diesel"/>
    <x v="0"/>
    <s v="26-35"/>
    <s v="Low"/>
    <x v="0"/>
    <x v="1"/>
    <s v="Sales_10"/>
    <n v="218"/>
    <n v="130"/>
    <n v="102"/>
    <n v="40"/>
    <s v="30.77"/>
    <n v="68335"/>
    <s v="4.56"/>
    <n v="52954"/>
    <n v="2733400"/>
    <n v="615240"/>
    <s v="Feb"/>
    <n v="2"/>
    <n v="2026"/>
    <s v="Weekday"/>
    <n v="0.39215686274509803"/>
    <n v="0.59633027522935778"/>
    <n v="0.1834862385321101"/>
    <n v="15381"/>
    <s v="Saxon Wheels"/>
  </r>
  <r>
    <s v="CUST_3933"/>
    <x v="16"/>
    <x v="1"/>
    <s v="Tuesday"/>
    <s v="No"/>
    <x v="9"/>
    <x v="9"/>
    <s v="NRW"/>
    <x v="4"/>
    <s v="Golf"/>
    <s v="Diesel"/>
    <x v="2"/>
    <s v="26-35"/>
    <s v="Medium"/>
    <x v="0"/>
    <x v="0"/>
    <s v="Sales_3"/>
    <n v="470"/>
    <n v="221"/>
    <n v="142"/>
    <n v="30"/>
    <s v="13.57"/>
    <n v="30870"/>
    <s v="11.91"/>
    <n v="27562"/>
    <n v="926100"/>
    <n v="99240"/>
    <s v="Feb"/>
    <n v="2"/>
    <n v="2026"/>
    <s v="Weekday"/>
    <n v="0.21126760563380281"/>
    <n v="0.47021276595744682"/>
    <n v="6.3829787234042548E-2"/>
    <n v="3308"/>
    <s v="Ruhr Auto Plaza"/>
  </r>
  <r>
    <s v="CUST_3934"/>
    <x v="8"/>
    <x v="3"/>
    <s v="Wednesday"/>
    <s v="No"/>
    <x v="0"/>
    <x v="0"/>
    <s v="Hesse"/>
    <x v="1"/>
    <s v="Mokka"/>
    <s v="Diesel"/>
    <x v="0"/>
    <s v="50+"/>
    <s v="Low"/>
    <x v="0"/>
    <x v="1"/>
    <s v="Sales_18"/>
    <n v="390"/>
    <n v="152"/>
    <n v="102"/>
    <n v="24"/>
    <s v="15.79"/>
    <n v="24811"/>
    <s v="7.51"/>
    <n v="22842"/>
    <n v="595464"/>
    <n v="47256"/>
    <s v="Feb"/>
    <n v="2"/>
    <n v="2026"/>
    <s v="Weekday"/>
    <n v="0.23529411764705882"/>
    <n v="0.38974358974358975"/>
    <n v="6.1538461538461542E-2"/>
    <n v="1969"/>
    <s v="Main Auto Hub"/>
  </r>
  <r>
    <s v="CUST_3935"/>
    <x v="11"/>
    <x v="0"/>
    <s v="Wednesday"/>
    <s v="No"/>
    <x v="3"/>
    <x v="3"/>
    <s v="Saxony"/>
    <x v="4"/>
    <s v="ID.4"/>
    <s v="Diesel"/>
    <x v="0"/>
    <s v="26-35"/>
    <s v="Low"/>
    <x v="0"/>
    <x v="0"/>
    <s v="Sales_14"/>
    <n v="504"/>
    <n v="244"/>
    <n v="142"/>
    <n v="33"/>
    <s v="13.52"/>
    <n v="27335"/>
    <s v="8.13"/>
    <n v="24561"/>
    <n v="902055"/>
    <n v="91542"/>
    <s v="Feb"/>
    <n v="2"/>
    <n v="2026"/>
    <s v="Weekday"/>
    <n v="0.23239436619718309"/>
    <n v="0.48412698412698413"/>
    <n v="6.5476190476190479E-2"/>
    <n v="2774"/>
    <s v="Saxon Wheels"/>
  </r>
  <r>
    <s v="CUST_3936"/>
    <x v="13"/>
    <x v="0"/>
    <s v="Friday"/>
    <s v="No"/>
    <x v="9"/>
    <x v="9"/>
    <s v="NRW"/>
    <x v="2"/>
    <s v="A4"/>
    <s v="Electric"/>
    <x v="1"/>
    <s v="18-25"/>
    <s v="Low"/>
    <x v="0"/>
    <x v="3"/>
    <s v="Sales_13"/>
    <n v="193"/>
    <n v="110"/>
    <n v="76"/>
    <n v="23"/>
    <s v="20.91"/>
    <n v="47562"/>
    <s v="5.99"/>
    <n v="35819"/>
    <n v="1093926"/>
    <n v="270089"/>
    <s v="Feb"/>
    <n v="2"/>
    <n v="2026"/>
    <s v="Weekday"/>
    <n v="0.30263157894736842"/>
    <n v="0.56994818652849744"/>
    <n v="0.11917098445595854"/>
    <n v="11743"/>
    <s v="Ruhr Auto Plaza"/>
  </r>
  <r>
    <s v="CUST_3937"/>
    <x v="7"/>
    <x v="3"/>
    <s v="Monday"/>
    <s v="No"/>
    <x v="6"/>
    <x v="6"/>
    <s v="Saxony"/>
    <x v="1"/>
    <s v="Mokka"/>
    <s v="Electric"/>
    <x v="0"/>
    <s v="26-35"/>
    <s v="Medium"/>
    <x v="1"/>
    <x v="2"/>
    <s v="Sales_18"/>
    <n v="364"/>
    <n v="194"/>
    <n v="121"/>
    <n v="33"/>
    <s v="17.01"/>
    <n v="20116"/>
    <s v="11.71"/>
    <n v="18224"/>
    <n v="663828"/>
    <n v="62436"/>
    <s v="Feb"/>
    <n v="2"/>
    <n v="2026"/>
    <s v="Weekday"/>
    <n v="0.27272727272727271"/>
    <n v="0.53296703296703296"/>
    <n v="9.0659340659340656E-2"/>
    <n v="1892"/>
    <s v="Leipzig Mobility"/>
  </r>
  <r>
    <s v="CUST_3938"/>
    <x v="16"/>
    <x v="1"/>
    <s v="Tuesday"/>
    <s v="No"/>
    <x v="4"/>
    <x v="4"/>
    <s v="Berlin"/>
    <x v="1"/>
    <s v="Mokka"/>
    <s v="Electric"/>
    <x v="0"/>
    <s v="36-50"/>
    <s v="Low"/>
    <x v="1"/>
    <x v="2"/>
    <s v="Sales_7"/>
    <n v="305"/>
    <n v="148"/>
    <n v="100"/>
    <n v="31"/>
    <s v="20.95"/>
    <n v="21295"/>
    <s v="12.59"/>
    <n v="19696"/>
    <n v="660145"/>
    <n v="49569"/>
    <s v="Feb"/>
    <n v="2"/>
    <n v="2026"/>
    <s v="Weekday"/>
    <n v="0.31"/>
    <n v="0.48524590163934428"/>
    <n v="0.10163934426229508"/>
    <n v="1599"/>
    <s v="Autohaus Berlin"/>
  </r>
  <r>
    <s v="CUST_3939"/>
    <x v="13"/>
    <x v="0"/>
    <s v="Friday"/>
    <s v="No"/>
    <x v="2"/>
    <x v="2"/>
    <s v="Lower Saxony"/>
    <x v="1"/>
    <s v="Mokka"/>
    <s v="Hybrid"/>
    <x v="0"/>
    <s v="50+"/>
    <s v="Low"/>
    <x v="0"/>
    <x v="1"/>
    <s v="Sales_16"/>
    <n v="414"/>
    <n v="176"/>
    <n v="103"/>
    <n v="26"/>
    <s v="14.77"/>
    <n v="20305"/>
    <s v="11.19"/>
    <n v="18884"/>
    <n v="527930"/>
    <n v="36946"/>
    <s v="Feb"/>
    <n v="2"/>
    <n v="2026"/>
    <s v="Weekday"/>
    <n v="0.25242718446601942"/>
    <n v="0.4251207729468599"/>
    <n v="6.280193236714976E-2"/>
    <n v="1421"/>
    <s v="Hannover Cars"/>
  </r>
  <r>
    <s v="CUST_3940"/>
    <x v="9"/>
    <x v="0"/>
    <s v="Sunday"/>
    <s v="Yes"/>
    <x v="6"/>
    <x v="6"/>
    <s v="Saxony"/>
    <x v="0"/>
    <s v="X3"/>
    <s v="Electric"/>
    <x v="0"/>
    <s v="36-50"/>
    <s v="High"/>
    <x v="0"/>
    <x v="3"/>
    <s v="Sales_8"/>
    <n v="267"/>
    <n v="164"/>
    <n v="111"/>
    <n v="40"/>
    <s v="24.39"/>
    <n v="52988"/>
    <s v="4.49"/>
    <n v="39985"/>
    <n v="2119520"/>
    <n v="520120"/>
    <s v="Feb"/>
    <n v="2"/>
    <n v="2026"/>
    <s v="Weekend"/>
    <n v="0.36036036036036034"/>
    <n v="0.61423220973782766"/>
    <n v="0.14981273408239701"/>
    <n v="13003"/>
    <s v="Leipzig Mobility"/>
  </r>
  <r>
    <s v="CUST_3941"/>
    <x v="16"/>
    <x v="1"/>
    <s v="Tuesday"/>
    <s v="No"/>
    <x v="0"/>
    <x v="0"/>
    <s v="Hesse"/>
    <x v="2"/>
    <s v="e-tron"/>
    <s v="Diesel"/>
    <x v="0"/>
    <s v="36-50"/>
    <s v="Medium"/>
    <x v="0"/>
    <x v="1"/>
    <s v="Sales_11"/>
    <n v="241"/>
    <n v="119"/>
    <n v="79"/>
    <n v="28"/>
    <s v="23.53"/>
    <n v="49679"/>
    <s v="6.05"/>
    <n v="37443"/>
    <n v="1391012"/>
    <n v="342608"/>
    <s v="Feb"/>
    <n v="2"/>
    <n v="2026"/>
    <s v="Weekday"/>
    <n v="0.35443037974683544"/>
    <n v="0.49377593360995853"/>
    <n v="0.11618257261410789"/>
    <n v="12236"/>
    <s v="Main Auto Hub"/>
  </r>
  <r>
    <s v="CUST_3942"/>
    <x v="1"/>
    <x v="1"/>
    <s v="Wednesday"/>
    <s v="No"/>
    <x v="9"/>
    <x v="9"/>
    <s v="NRW"/>
    <x v="4"/>
    <s v="ID.4"/>
    <s v="Petrol"/>
    <x v="0"/>
    <s v="18-25"/>
    <s v="Low"/>
    <x v="0"/>
    <x v="2"/>
    <s v="Sales_12"/>
    <n v="397"/>
    <n v="216"/>
    <n v="144"/>
    <n v="40"/>
    <s v="18.52"/>
    <n v="33143"/>
    <s v="11.99"/>
    <n v="28563"/>
    <n v="1325720"/>
    <n v="183200"/>
    <s v="Feb"/>
    <n v="2"/>
    <n v="2026"/>
    <s v="Weekday"/>
    <n v="0.27777777777777779"/>
    <n v="0.54408060453400509"/>
    <n v="0.10075566750629723"/>
    <n v="4580"/>
    <s v="Ruhr Auto Plaza"/>
  </r>
  <r>
    <s v="CUST_3943"/>
    <x v="1"/>
    <x v="1"/>
    <s v="Wednesday"/>
    <s v="No"/>
    <x v="5"/>
    <x v="5"/>
    <s v="Hamburg"/>
    <x v="4"/>
    <s v="Tiguan"/>
    <s v="Electric"/>
    <x v="0"/>
    <s v="18-25"/>
    <s v="Medium"/>
    <x v="0"/>
    <x v="1"/>
    <s v="Sales_3"/>
    <n v="339"/>
    <n v="161"/>
    <n v="101"/>
    <n v="26"/>
    <s v="16.15"/>
    <n v="28838"/>
    <s v="8.02"/>
    <n v="26159"/>
    <n v="749788"/>
    <n v="69654"/>
    <s v="Feb"/>
    <n v="2"/>
    <n v="2026"/>
    <s v="Weekday"/>
    <n v="0.25742574257425743"/>
    <n v="0.47492625368731561"/>
    <n v="7.6696165191740412E-2"/>
    <n v="2679"/>
    <s v="Elbe Drive"/>
  </r>
  <r>
    <s v="CUST_3944"/>
    <x v="15"/>
    <x v="2"/>
    <s v="Thursday"/>
    <s v="No"/>
    <x v="2"/>
    <x v="2"/>
    <s v="Lower Saxony"/>
    <x v="2"/>
    <s v="e-tron"/>
    <s v="Diesel"/>
    <x v="0"/>
    <s v="50+"/>
    <s v="Low"/>
    <x v="1"/>
    <x v="2"/>
    <s v="Sales_15"/>
    <n v="264"/>
    <n v="153"/>
    <n v="113"/>
    <n v="37"/>
    <s v="24.18"/>
    <n v="47291"/>
    <s v="6.31"/>
    <n v="36243"/>
    <n v="1749767"/>
    <n v="408776"/>
    <s v="Feb"/>
    <n v="2"/>
    <n v="2026"/>
    <s v="Weekday"/>
    <n v="0.32743362831858408"/>
    <n v="0.57954545454545459"/>
    <n v="0.14015151515151514"/>
    <n v="11048"/>
    <s v="Hannover Cars"/>
  </r>
  <r>
    <s v="CUST_3945"/>
    <x v="13"/>
    <x v="0"/>
    <s v="Friday"/>
    <s v="No"/>
    <x v="1"/>
    <x v="1"/>
    <s v="NRW"/>
    <x v="1"/>
    <s v="Mokka"/>
    <s v="Petrol"/>
    <x v="0"/>
    <s v="50+"/>
    <s v="Low"/>
    <x v="0"/>
    <x v="1"/>
    <s v="Sales_19"/>
    <n v="361"/>
    <n v="184"/>
    <n v="122"/>
    <n v="37"/>
    <s v="20.11"/>
    <n v="23461"/>
    <s v="8.84"/>
    <n v="21776"/>
    <n v="868057"/>
    <n v="62345"/>
    <s v="Feb"/>
    <n v="2"/>
    <n v="2026"/>
    <s v="Weekday"/>
    <n v="0.30327868852459017"/>
    <n v="0.50969529085872578"/>
    <n v="0.10249307479224377"/>
    <n v="1685"/>
    <s v="Rhein Auto Group"/>
  </r>
  <r>
    <s v="CUST_3946"/>
    <x v="4"/>
    <x v="2"/>
    <s v="Wednesday"/>
    <s v="No"/>
    <x v="0"/>
    <x v="0"/>
    <s v="Hesse"/>
    <x v="0"/>
    <s v="5 Series"/>
    <s v="Diesel"/>
    <x v="1"/>
    <s v="18-25"/>
    <s v="Medium"/>
    <x v="0"/>
    <x v="0"/>
    <s v="Sales_14"/>
    <n v="171"/>
    <n v="99"/>
    <n v="79"/>
    <n v="28"/>
    <s v="28.28"/>
    <n v="60920"/>
    <s v="3.21"/>
    <n v="42994"/>
    <n v="1705760"/>
    <n v="501928"/>
    <s v="Feb"/>
    <n v="2"/>
    <n v="2026"/>
    <s v="Weekday"/>
    <n v="0.35443037974683544"/>
    <n v="0.57894736842105265"/>
    <n v="0.16374269005847952"/>
    <n v="17926"/>
    <s v="Main Auto Hub"/>
  </r>
  <r>
    <s v="CUST_3947"/>
    <x v="20"/>
    <x v="0"/>
    <s v="Thursday"/>
    <s v="No"/>
    <x v="8"/>
    <x v="8"/>
    <s v="Baden-WÃ¼rttemberg"/>
    <x v="2"/>
    <s v="Q3"/>
    <s v="Diesel"/>
    <x v="0"/>
    <s v="36-50"/>
    <s v="High"/>
    <x v="1"/>
    <x v="1"/>
    <s v="Sales_13"/>
    <n v="312"/>
    <n v="164"/>
    <n v="109"/>
    <n v="38"/>
    <s v="23.17"/>
    <n v="47215"/>
    <s v="3.14"/>
    <n v="35601"/>
    <n v="1794170"/>
    <n v="441332"/>
    <s v="Feb"/>
    <n v="2"/>
    <n v="2026"/>
    <s v="Weekday"/>
    <n v="0.34862385321100919"/>
    <n v="0.52564102564102566"/>
    <n v="0.12179487179487179"/>
    <n v="11614"/>
    <s v="Stuttgart Auto Center"/>
  </r>
  <r>
    <s v="CUST_3948"/>
    <x v="14"/>
    <x v="2"/>
    <s v="Friday"/>
    <s v="No"/>
    <x v="6"/>
    <x v="6"/>
    <s v="Saxony"/>
    <x v="3"/>
    <s v="GLC"/>
    <s v="Petrol"/>
    <x v="0"/>
    <s v="36-50"/>
    <s v="Medium"/>
    <x v="0"/>
    <x v="0"/>
    <s v="Sales_3"/>
    <n v="189"/>
    <n v="102"/>
    <n v="69"/>
    <n v="21"/>
    <s v="20.59"/>
    <n v="65127"/>
    <s v="2.67"/>
    <n v="50100"/>
    <n v="1367667"/>
    <n v="315567"/>
    <s v="Feb"/>
    <n v="2"/>
    <n v="2026"/>
    <s v="Weekday"/>
    <n v="0.30434782608695654"/>
    <n v="0.53968253968253965"/>
    <n v="0.1111111111111111"/>
    <n v="15027"/>
    <s v="Leipzig Mobility"/>
  </r>
  <r>
    <s v="CUST_3949"/>
    <x v="0"/>
    <x v="0"/>
    <s v="Monday"/>
    <s v="No"/>
    <x v="5"/>
    <x v="5"/>
    <s v="Hamburg"/>
    <x v="2"/>
    <s v="Q5"/>
    <s v="Petrol"/>
    <x v="0"/>
    <s v="36-50"/>
    <s v="High"/>
    <x v="1"/>
    <x v="3"/>
    <s v="Sales_2"/>
    <n v="248"/>
    <n v="157"/>
    <n v="118"/>
    <n v="33"/>
    <s v="21.02"/>
    <n v="47691"/>
    <s v="6.06"/>
    <n v="38577"/>
    <n v="1573803"/>
    <n v="300762"/>
    <s v="Feb"/>
    <n v="2"/>
    <n v="2026"/>
    <s v="Weekday"/>
    <n v="0.27966101694915252"/>
    <n v="0.63306451612903225"/>
    <n v="0.13306451612903225"/>
    <n v="9114"/>
    <s v="Elbe Drive"/>
  </r>
  <r>
    <s v="CUST_3950"/>
    <x v="25"/>
    <x v="3"/>
    <s v="Friday"/>
    <s v="No"/>
    <x v="5"/>
    <x v="5"/>
    <s v="Hamburg"/>
    <x v="4"/>
    <s v="Passat"/>
    <s v="Electric"/>
    <x v="1"/>
    <s v="36-50"/>
    <s v="Medium"/>
    <x v="1"/>
    <x v="2"/>
    <s v="Sales_17"/>
    <n v="381"/>
    <n v="202"/>
    <n v="138"/>
    <n v="35"/>
    <s v="17.33"/>
    <n v="27472"/>
    <s v="8.32"/>
    <n v="24404"/>
    <n v="961520"/>
    <n v="107380"/>
    <s v="Feb"/>
    <n v="2"/>
    <n v="2026"/>
    <s v="Weekday"/>
    <n v="0.25362318840579712"/>
    <n v="0.53018372703412076"/>
    <n v="9.1863517060367453E-2"/>
    <n v="3068"/>
    <s v="Elbe Drive"/>
  </r>
  <r>
    <s v="CUST_3951"/>
    <x v="22"/>
    <x v="3"/>
    <s v="Tuesday"/>
    <s v="No"/>
    <x v="8"/>
    <x v="8"/>
    <s v="Baden-WÃ¼rttemberg"/>
    <x v="1"/>
    <s v="Grandland"/>
    <s v="Petrol"/>
    <x v="0"/>
    <s v="26-35"/>
    <s v="High"/>
    <x v="1"/>
    <x v="2"/>
    <s v="Sales_4"/>
    <n v="427"/>
    <n v="213"/>
    <n v="123"/>
    <n v="36"/>
    <s v="16.9"/>
    <n v="20520"/>
    <s v="10.11"/>
    <n v="18949"/>
    <n v="738720"/>
    <n v="56556"/>
    <s v="Feb"/>
    <n v="2"/>
    <n v="2026"/>
    <s v="Weekday"/>
    <n v="0.29268292682926828"/>
    <n v="0.49882903981264637"/>
    <n v="8.4309133489461355E-2"/>
    <n v="1571"/>
    <s v="Stuttgart Auto Center"/>
  </r>
  <r>
    <s v="CUST_3952"/>
    <x v="18"/>
    <x v="0"/>
    <s v="Saturday"/>
    <s v="Yes"/>
    <x v="2"/>
    <x v="2"/>
    <s v="Lower Saxony"/>
    <x v="1"/>
    <s v="Mokka"/>
    <s v="Hybrid"/>
    <x v="0"/>
    <s v="18-25"/>
    <s v="Medium"/>
    <x v="0"/>
    <x v="1"/>
    <s v="Sales_18"/>
    <n v="377"/>
    <n v="191"/>
    <n v="121"/>
    <n v="33"/>
    <s v="17.28"/>
    <n v="20975"/>
    <s v="8.13"/>
    <n v="19116"/>
    <n v="692175"/>
    <n v="61347"/>
    <s v="Feb"/>
    <n v="2"/>
    <n v="2026"/>
    <s v="Weekend"/>
    <n v="0.27272727272727271"/>
    <n v="0.50663129973474796"/>
    <n v="8.7533156498673742E-2"/>
    <n v="1859"/>
    <s v="Hannover Cars"/>
  </r>
  <r>
    <s v="CUST_3953"/>
    <x v="3"/>
    <x v="1"/>
    <s v="Sunday"/>
    <s v="Yes"/>
    <x v="5"/>
    <x v="5"/>
    <s v="Hamburg"/>
    <x v="0"/>
    <s v="5 Series"/>
    <s v="Petrol"/>
    <x v="1"/>
    <s v="36-50"/>
    <s v="Low"/>
    <x v="1"/>
    <x v="2"/>
    <s v="Sales_8"/>
    <n v="233"/>
    <n v="127"/>
    <n v="100"/>
    <n v="38"/>
    <s v="29.92"/>
    <n v="56436"/>
    <s v="4.72"/>
    <n v="41168"/>
    <n v="2144568"/>
    <n v="580184"/>
    <s v="Feb"/>
    <n v="2"/>
    <n v="2026"/>
    <s v="Weekend"/>
    <n v="0.38"/>
    <n v="0.54506437768240346"/>
    <n v="0.1630901287553648"/>
    <n v="15268"/>
    <s v="Elbe Drive"/>
  </r>
  <r>
    <s v="CUST_3954"/>
    <x v="6"/>
    <x v="2"/>
    <s v="Saturday"/>
    <s v="Yes"/>
    <x v="7"/>
    <x v="7"/>
    <s v="Bavaria"/>
    <x v="4"/>
    <s v="T-Roc"/>
    <s v="Hybrid"/>
    <x v="0"/>
    <s v="36-50"/>
    <s v="Medium"/>
    <x v="0"/>
    <x v="0"/>
    <s v="Sales_1"/>
    <n v="271"/>
    <n v="127"/>
    <n v="76"/>
    <n v="21"/>
    <s v="16.54"/>
    <n v="28942"/>
    <s v="8.66"/>
    <n v="25340"/>
    <n v="607782"/>
    <n v="75642"/>
    <s v="Feb"/>
    <n v="2"/>
    <n v="2026"/>
    <s v="Weekend"/>
    <n v="0.27631578947368424"/>
    <n v="0.46863468634686345"/>
    <n v="7.7490774907749083E-2"/>
    <n v="3602"/>
    <s v="Bavaria Motors"/>
  </r>
  <r>
    <s v="CUST_3955"/>
    <x v="6"/>
    <x v="2"/>
    <s v="Saturday"/>
    <s v="Yes"/>
    <x v="1"/>
    <x v="1"/>
    <s v="NRW"/>
    <x v="1"/>
    <s v="Astra"/>
    <s v="Electric"/>
    <x v="2"/>
    <s v="18-25"/>
    <s v="Low"/>
    <x v="0"/>
    <x v="3"/>
    <s v="Sales_8"/>
    <n v="287"/>
    <n v="133"/>
    <n v="80"/>
    <n v="17"/>
    <s v="12.78"/>
    <n v="20687"/>
    <s v="11.27"/>
    <n v="19106"/>
    <n v="351679"/>
    <n v="26877"/>
    <s v="Feb"/>
    <n v="2"/>
    <n v="2026"/>
    <s v="Weekend"/>
    <n v="0.21249999999999999"/>
    <n v="0.46341463414634149"/>
    <n v="5.9233449477351915E-2"/>
    <n v="1581"/>
    <s v="Rhein Auto Group"/>
  </r>
  <r>
    <s v="CUST_3956"/>
    <x v="25"/>
    <x v="3"/>
    <s v="Friday"/>
    <s v="No"/>
    <x v="1"/>
    <x v="1"/>
    <s v="NRW"/>
    <x v="0"/>
    <s v="5 Series"/>
    <s v="Electric"/>
    <x v="1"/>
    <s v="50+"/>
    <s v="Medium"/>
    <x v="0"/>
    <x v="2"/>
    <s v="Sales_2"/>
    <n v="188"/>
    <n v="96"/>
    <n v="71"/>
    <n v="28"/>
    <s v="29.17"/>
    <n v="65246"/>
    <s v="2.79"/>
    <n v="47214"/>
    <n v="1826888"/>
    <n v="504896"/>
    <s v="Feb"/>
    <n v="2"/>
    <n v="2026"/>
    <s v="Weekday"/>
    <n v="0.39436619718309857"/>
    <n v="0.51063829787234039"/>
    <n v="0.14893617021276595"/>
    <n v="18032"/>
    <s v="Rhein Auto Group"/>
  </r>
  <r>
    <s v="CUST_3957"/>
    <x v="9"/>
    <x v="0"/>
    <s v="Sunday"/>
    <s v="Yes"/>
    <x v="4"/>
    <x v="4"/>
    <s v="Berlin"/>
    <x v="3"/>
    <s v="E-Class"/>
    <s v="Hybrid"/>
    <x v="1"/>
    <s v="26-35"/>
    <s v="Medium"/>
    <x v="0"/>
    <x v="3"/>
    <s v="Sales_14"/>
    <n v="205"/>
    <n v="115"/>
    <n v="85"/>
    <n v="27"/>
    <s v="23.48"/>
    <n v="69709"/>
    <s v="5.38"/>
    <n v="51592"/>
    <n v="1882143"/>
    <n v="489159"/>
    <s v="Feb"/>
    <n v="2"/>
    <n v="2026"/>
    <s v="Weekend"/>
    <n v="0.31764705882352939"/>
    <n v="0.56097560975609762"/>
    <n v="0.13170731707317074"/>
    <n v="18117"/>
    <s v="Autohaus Berlin"/>
  </r>
  <r>
    <s v="CUST_3958"/>
    <x v="6"/>
    <x v="2"/>
    <s v="Saturday"/>
    <s v="Yes"/>
    <x v="1"/>
    <x v="1"/>
    <s v="NRW"/>
    <x v="0"/>
    <s v="i4"/>
    <s v="Hybrid"/>
    <x v="1"/>
    <s v="50+"/>
    <s v="High"/>
    <x v="1"/>
    <x v="3"/>
    <s v="Sales_9"/>
    <n v="175"/>
    <n v="88"/>
    <n v="66"/>
    <n v="22"/>
    <s v="25.0"/>
    <n v="52927"/>
    <s v="5.59"/>
    <n v="40700"/>
    <n v="1164394"/>
    <n v="268994"/>
    <s v="Feb"/>
    <n v="2"/>
    <n v="2026"/>
    <s v="Weekend"/>
    <n v="0.33333333333333331"/>
    <n v="0.50285714285714289"/>
    <n v="0.12571428571428572"/>
    <n v="12227"/>
    <s v="Rhein Auto Group"/>
  </r>
  <r>
    <s v="CUST_3959"/>
    <x v="20"/>
    <x v="0"/>
    <s v="Thursday"/>
    <s v="No"/>
    <x v="9"/>
    <x v="9"/>
    <s v="NRW"/>
    <x v="0"/>
    <s v="5 Series"/>
    <s v="Electric"/>
    <x v="1"/>
    <s v="18-25"/>
    <s v="Low"/>
    <x v="0"/>
    <x v="3"/>
    <s v="Sales_20"/>
    <n v="166"/>
    <n v="98"/>
    <n v="67"/>
    <n v="24"/>
    <s v="24.49"/>
    <n v="67201"/>
    <s v="5.54"/>
    <n v="47053"/>
    <n v="1612824"/>
    <n v="483552"/>
    <s v="Feb"/>
    <n v="2"/>
    <n v="2026"/>
    <s v="Weekday"/>
    <n v="0.35820895522388058"/>
    <n v="0.59036144578313254"/>
    <n v="0.14457831325301204"/>
    <n v="20148"/>
    <s v="Ruhr Auto Plaza"/>
  </r>
  <r>
    <s v="CUST_3960"/>
    <x v="25"/>
    <x v="3"/>
    <s v="Friday"/>
    <s v="No"/>
    <x v="4"/>
    <x v="4"/>
    <s v="Berlin"/>
    <x v="3"/>
    <s v="C-Class"/>
    <s v="Petrol"/>
    <x v="1"/>
    <s v="26-35"/>
    <s v="High"/>
    <x v="1"/>
    <x v="1"/>
    <s v="Sales_10"/>
    <n v="169"/>
    <n v="77"/>
    <n v="58"/>
    <n v="21"/>
    <s v="27.27"/>
    <n v="50237"/>
    <s v="4.09"/>
    <n v="37588"/>
    <n v="1054977"/>
    <n v="265629"/>
    <s v="Feb"/>
    <n v="2"/>
    <n v="2026"/>
    <s v="Weekday"/>
    <n v="0.36206896551724138"/>
    <n v="0.45562130177514792"/>
    <n v="0.1242603550295858"/>
    <n v="12649"/>
    <s v="Autohaus Berlin"/>
  </r>
  <r>
    <s v="CUST_3961"/>
    <x v="2"/>
    <x v="2"/>
    <s v="Monday"/>
    <s v="No"/>
    <x v="9"/>
    <x v="9"/>
    <s v="NRW"/>
    <x v="1"/>
    <s v="Corsa"/>
    <s v="Petrol"/>
    <x v="2"/>
    <s v="26-35"/>
    <s v="Low"/>
    <x v="0"/>
    <x v="1"/>
    <s v="Sales_18"/>
    <n v="329"/>
    <n v="180"/>
    <n v="105"/>
    <n v="27"/>
    <s v="15.0"/>
    <n v="25350"/>
    <s v="11.9"/>
    <n v="22926"/>
    <n v="684450"/>
    <n v="65448"/>
    <s v="Feb"/>
    <n v="2"/>
    <n v="2026"/>
    <s v="Weekday"/>
    <n v="0.25714285714285712"/>
    <n v="0.54711246200607899"/>
    <n v="8.2066869300911852E-2"/>
    <n v="2424"/>
    <s v="Ruhr Auto Plaza"/>
  </r>
  <r>
    <s v="CUST_3962"/>
    <x v="14"/>
    <x v="2"/>
    <s v="Friday"/>
    <s v="No"/>
    <x v="3"/>
    <x v="3"/>
    <s v="Saxony"/>
    <x v="1"/>
    <s v="Grandland"/>
    <s v="Petrol"/>
    <x v="0"/>
    <s v="50+"/>
    <s v="High"/>
    <x v="1"/>
    <x v="2"/>
    <s v="Sales_7"/>
    <n v="270"/>
    <n v="126"/>
    <n v="82"/>
    <n v="20"/>
    <s v="15.87"/>
    <n v="23682"/>
    <s v="13.13"/>
    <n v="21440"/>
    <n v="473640"/>
    <n v="44840"/>
    <s v="Feb"/>
    <n v="2"/>
    <n v="2026"/>
    <s v="Weekday"/>
    <n v="0.24390243902439024"/>
    <n v="0.46666666666666667"/>
    <n v="7.407407407407407E-2"/>
    <n v="2242"/>
    <s v="Saxon Wheels"/>
  </r>
  <r>
    <s v="CUST_3963"/>
    <x v="23"/>
    <x v="2"/>
    <s v="Tuesday"/>
    <s v="No"/>
    <x v="2"/>
    <x v="2"/>
    <s v="Lower Saxony"/>
    <x v="2"/>
    <s v="Q3"/>
    <s v="Diesel"/>
    <x v="0"/>
    <s v="50+"/>
    <s v="Low"/>
    <x v="0"/>
    <x v="3"/>
    <s v="Sales_2"/>
    <n v="176"/>
    <n v="90"/>
    <n v="66"/>
    <n v="21"/>
    <s v="23.33"/>
    <n v="50199"/>
    <s v="5.25"/>
    <n v="37865"/>
    <n v="1054179"/>
    <n v="259014"/>
    <s v="Feb"/>
    <n v="2"/>
    <n v="2026"/>
    <s v="Weekday"/>
    <n v="0.31818181818181818"/>
    <n v="0.51136363636363635"/>
    <n v="0.11931818181818182"/>
    <n v="12334"/>
    <s v="Hannover Cars"/>
  </r>
  <r>
    <s v="CUST_3964"/>
    <x v="12"/>
    <x v="3"/>
    <s v="Thursday"/>
    <s v="No"/>
    <x v="9"/>
    <x v="9"/>
    <s v="NRW"/>
    <x v="0"/>
    <s v="i4"/>
    <s v="Electric"/>
    <x v="1"/>
    <s v="36-50"/>
    <s v="High"/>
    <x v="0"/>
    <x v="1"/>
    <s v="Sales_1"/>
    <n v="157"/>
    <n v="71"/>
    <n v="57"/>
    <n v="19"/>
    <s v="26.76"/>
    <n v="63497"/>
    <s v="4.77"/>
    <n v="49008"/>
    <n v="1206443"/>
    <n v="275291"/>
    <s v="Feb"/>
    <n v="2"/>
    <n v="2026"/>
    <s v="Weekday"/>
    <n v="0.33333333333333331"/>
    <n v="0.45222929936305734"/>
    <n v="0.12101910828025478"/>
    <n v="14489"/>
    <s v="Ruhr Auto Plaza"/>
  </r>
  <r>
    <s v="CUST_3965"/>
    <x v="17"/>
    <x v="2"/>
    <s v="Sunday"/>
    <s v="Yes"/>
    <x v="9"/>
    <x v="9"/>
    <s v="NRW"/>
    <x v="0"/>
    <s v="5 Series"/>
    <s v="Hybrid"/>
    <x v="1"/>
    <s v="18-25"/>
    <s v="High"/>
    <x v="0"/>
    <x v="0"/>
    <s v="Sales_7"/>
    <n v="204"/>
    <n v="120"/>
    <n v="86"/>
    <n v="30"/>
    <s v="25.0"/>
    <n v="67052"/>
    <s v="3.55"/>
    <n v="48765"/>
    <n v="2011560"/>
    <n v="548610"/>
    <s v="Feb"/>
    <n v="2"/>
    <n v="2026"/>
    <s v="Weekend"/>
    <n v="0.34883720930232559"/>
    <n v="0.58823529411764708"/>
    <n v="0.14705882352941177"/>
    <n v="18287"/>
    <s v="Ruhr Auto Plaza"/>
  </r>
  <r>
    <s v="CUST_3966"/>
    <x v="10"/>
    <x v="1"/>
    <s v="Monday"/>
    <s v="No"/>
    <x v="2"/>
    <x v="2"/>
    <s v="Lower Saxony"/>
    <x v="4"/>
    <s v="Tiguan"/>
    <s v="Petrol"/>
    <x v="0"/>
    <s v="26-35"/>
    <s v="Low"/>
    <x v="1"/>
    <x v="1"/>
    <s v="Sales_9"/>
    <n v="354"/>
    <n v="198"/>
    <n v="130"/>
    <n v="30"/>
    <s v="15.15"/>
    <n v="28907"/>
    <s v="11.89"/>
    <n v="25731"/>
    <n v="867210"/>
    <n v="95280"/>
    <s v="Feb"/>
    <n v="2"/>
    <n v="2026"/>
    <s v="Weekday"/>
    <n v="0.23076923076923078"/>
    <n v="0.55932203389830504"/>
    <n v="8.4745762711864403E-2"/>
    <n v="3176"/>
    <s v="Hannover Cars"/>
  </r>
  <r>
    <s v="CUST_3967"/>
    <x v="4"/>
    <x v="2"/>
    <s v="Wednesday"/>
    <s v="No"/>
    <x v="9"/>
    <x v="9"/>
    <s v="NRW"/>
    <x v="0"/>
    <s v="X5"/>
    <s v="Hybrid"/>
    <x v="0"/>
    <s v="26-35"/>
    <s v="Low"/>
    <x v="0"/>
    <x v="2"/>
    <s v="Sales_9"/>
    <n v="194"/>
    <n v="96"/>
    <n v="77"/>
    <n v="29"/>
    <s v="30.21"/>
    <n v="64828"/>
    <s v="5.8"/>
    <n v="50070"/>
    <n v="1880012"/>
    <n v="427982"/>
    <s v="Feb"/>
    <n v="2"/>
    <n v="2026"/>
    <s v="Weekday"/>
    <n v="0.37662337662337664"/>
    <n v="0.49484536082474229"/>
    <n v="0.14948453608247422"/>
    <n v="14758"/>
    <s v="Ruhr Auto Plaza"/>
  </r>
  <r>
    <s v="CUST_3968"/>
    <x v="24"/>
    <x v="1"/>
    <s v="Thursday"/>
    <s v="No"/>
    <x v="9"/>
    <x v="9"/>
    <s v="NRW"/>
    <x v="2"/>
    <s v="Q5"/>
    <s v="Electric"/>
    <x v="0"/>
    <s v="50+"/>
    <s v="Medium"/>
    <x v="0"/>
    <x v="2"/>
    <s v="Sales_2"/>
    <n v="184"/>
    <n v="113"/>
    <n v="77"/>
    <n v="27"/>
    <s v="23.89"/>
    <n v="43008"/>
    <s v="5.84"/>
    <n v="34562"/>
    <n v="1161216"/>
    <n v="228042"/>
    <s v="Feb"/>
    <n v="2"/>
    <n v="2026"/>
    <s v="Weekday"/>
    <n v="0.35064935064935066"/>
    <n v="0.61413043478260865"/>
    <n v="0.14673913043478262"/>
    <n v="8446"/>
    <s v="Ruhr Auto Plaza"/>
  </r>
  <r>
    <s v="CUST_3969"/>
    <x v="21"/>
    <x v="0"/>
    <s v="Tuesday"/>
    <s v="No"/>
    <x v="2"/>
    <x v="2"/>
    <s v="Lower Saxony"/>
    <x v="1"/>
    <s v="Grandland"/>
    <s v="Electric"/>
    <x v="0"/>
    <s v="36-50"/>
    <s v="Medium"/>
    <x v="0"/>
    <x v="1"/>
    <s v="Sales_12"/>
    <n v="238"/>
    <n v="133"/>
    <n v="77"/>
    <n v="24"/>
    <s v="18.05"/>
    <n v="21126"/>
    <s v="7.69"/>
    <n v="19621"/>
    <n v="507024"/>
    <n v="36120"/>
    <s v="Feb"/>
    <n v="2"/>
    <n v="2026"/>
    <s v="Weekday"/>
    <n v="0.31168831168831168"/>
    <n v="0.55882352941176472"/>
    <n v="0.10084033613445378"/>
    <n v="1505"/>
    <s v="Hannover Cars"/>
  </r>
  <r>
    <s v="CUST_3970"/>
    <x v="25"/>
    <x v="3"/>
    <s v="Friday"/>
    <s v="No"/>
    <x v="9"/>
    <x v="9"/>
    <s v="NRW"/>
    <x v="2"/>
    <s v="A3"/>
    <s v="Hybrid"/>
    <x v="2"/>
    <s v="18-25"/>
    <s v="High"/>
    <x v="1"/>
    <x v="2"/>
    <s v="Sales_10"/>
    <n v="287"/>
    <n v="137"/>
    <n v="96"/>
    <n v="30"/>
    <s v="21.9"/>
    <n v="51949"/>
    <s v="3.14"/>
    <n v="41197"/>
    <n v="1558470"/>
    <n v="322560"/>
    <s v="Feb"/>
    <n v="2"/>
    <n v="2026"/>
    <s v="Weekday"/>
    <n v="0.3125"/>
    <n v="0.47735191637630664"/>
    <n v="0.10452961672473868"/>
    <n v="10752"/>
    <s v="Ruhr Auto Plaza"/>
  </r>
  <r>
    <s v="CUST_3971"/>
    <x v="22"/>
    <x v="3"/>
    <s v="Tuesday"/>
    <s v="No"/>
    <x v="1"/>
    <x v="1"/>
    <s v="NRW"/>
    <x v="1"/>
    <s v="Mokka"/>
    <s v="Hybrid"/>
    <x v="0"/>
    <s v="36-50"/>
    <s v="High"/>
    <x v="1"/>
    <x v="0"/>
    <s v="Sales_16"/>
    <n v="279"/>
    <n v="113"/>
    <n v="65"/>
    <n v="14"/>
    <s v="12.39"/>
    <n v="23223"/>
    <s v="13.87"/>
    <n v="21358"/>
    <n v="325122"/>
    <n v="26110"/>
    <s v="Feb"/>
    <n v="2"/>
    <n v="2026"/>
    <s v="Weekday"/>
    <n v="0.2153846153846154"/>
    <n v="0.4050179211469534"/>
    <n v="5.0179211469534052E-2"/>
    <n v="1865"/>
    <s v="Rhein Auto Group"/>
  </r>
  <r>
    <s v="CUST_3972"/>
    <x v="27"/>
    <x v="3"/>
    <s v="Sunday"/>
    <s v="Yes"/>
    <x v="4"/>
    <x v="4"/>
    <s v="Berlin"/>
    <x v="1"/>
    <s v="Crossland"/>
    <s v="Electric"/>
    <x v="0"/>
    <s v="26-35"/>
    <s v="Medium"/>
    <x v="1"/>
    <x v="3"/>
    <s v="Sales_12"/>
    <n v="307"/>
    <n v="148"/>
    <n v="96"/>
    <n v="23"/>
    <s v="15.54"/>
    <n v="22016"/>
    <s v="12.44"/>
    <n v="19818"/>
    <n v="506368"/>
    <n v="50554"/>
    <s v="Feb"/>
    <n v="2"/>
    <n v="2026"/>
    <s v="Weekend"/>
    <n v="0.23958333333333334"/>
    <n v="0.48208469055374592"/>
    <n v="7.4918566775244305E-2"/>
    <n v="2198"/>
    <s v="Autohaus Berlin"/>
  </r>
  <r>
    <s v="CUST_3973"/>
    <x v="7"/>
    <x v="3"/>
    <s v="Monday"/>
    <s v="No"/>
    <x v="6"/>
    <x v="6"/>
    <s v="Saxony"/>
    <x v="2"/>
    <s v="A3"/>
    <s v="Petrol"/>
    <x v="2"/>
    <s v="18-25"/>
    <s v="Medium"/>
    <x v="1"/>
    <x v="3"/>
    <s v="Sales_15"/>
    <n v="307"/>
    <n v="179"/>
    <n v="136"/>
    <n v="33"/>
    <s v="18.44"/>
    <n v="42692"/>
    <s v="6.93"/>
    <n v="34153"/>
    <n v="1408836"/>
    <n v="281787"/>
    <s v="Feb"/>
    <n v="2"/>
    <n v="2026"/>
    <s v="Weekday"/>
    <n v="0.24264705882352941"/>
    <n v="0.58306188925081437"/>
    <n v="0.10749185667752444"/>
    <n v="8539"/>
    <s v="Leipzig Mobility"/>
  </r>
  <r>
    <s v="CUST_3974"/>
    <x v="18"/>
    <x v="0"/>
    <s v="Saturday"/>
    <s v="Yes"/>
    <x v="8"/>
    <x v="8"/>
    <s v="Baden-WÃ¼rttemberg"/>
    <x v="0"/>
    <s v="3 Series"/>
    <s v="Petrol"/>
    <x v="1"/>
    <s v="50+"/>
    <s v="Low"/>
    <x v="1"/>
    <x v="1"/>
    <s v="Sales_4"/>
    <n v="278"/>
    <n v="170"/>
    <n v="134"/>
    <n v="52"/>
    <s v="30.59"/>
    <n v="62910"/>
    <s v="5.77"/>
    <n v="48184"/>
    <n v="3271320"/>
    <n v="765752"/>
    <s v="Feb"/>
    <n v="2"/>
    <n v="2026"/>
    <s v="Weekend"/>
    <n v="0.38805970149253732"/>
    <n v="0.61151079136690645"/>
    <n v="0.18705035971223022"/>
    <n v="14726"/>
    <s v="Stuttgart Auto Center"/>
  </r>
  <r>
    <s v="CUST_3975"/>
    <x v="3"/>
    <x v="1"/>
    <s v="Sunday"/>
    <s v="Yes"/>
    <x v="5"/>
    <x v="5"/>
    <s v="Hamburg"/>
    <x v="3"/>
    <s v="E-Class"/>
    <s v="Hybrid"/>
    <x v="1"/>
    <s v="18-25"/>
    <s v="High"/>
    <x v="0"/>
    <x v="0"/>
    <s v="Sales_16"/>
    <n v="276"/>
    <n v="140"/>
    <n v="105"/>
    <n v="35"/>
    <s v="25.0"/>
    <n v="69827"/>
    <s v="4.24"/>
    <n v="51064"/>
    <n v="2443945"/>
    <n v="656705"/>
    <s v="Feb"/>
    <n v="2"/>
    <n v="2026"/>
    <s v="Weekend"/>
    <n v="0.33333333333333331"/>
    <n v="0.50724637681159424"/>
    <n v="0.12681159420289856"/>
    <n v="18763"/>
    <s v="Elbe Drive"/>
  </r>
  <r>
    <s v="CUST_3976"/>
    <x v="6"/>
    <x v="2"/>
    <s v="Saturday"/>
    <s v="Yes"/>
    <x v="3"/>
    <x v="3"/>
    <s v="Saxony"/>
    <x v="0"/>
    <s v="X3"/>
    <s v="Electric"/>
    <x v="0"/>
    <s v="26-35"/>
    <s v="Low"/>
    <x v="1"/>
    <x v="0"/>
    <s v="Sales_12"/>
    <n v="172"/>
    <n v="105"/>
    <n v="80"/>
    <n v="27"/>
    <s v="25.71"/>
    <n v="51843"/>
    <s v="2.09"/>
    <n v="40022"/>
    <n v="1399761"/>
    <n v="319167"/>
    <s v="Feb"/>
    <n v="2"/>
    <n v="2026"/>
    <s v="Weekend"/>
    <n v="0.33750000000000002"/>
    <n v="0.61046511627906974"/>
    <n v="0.15697674418604651"/>
    <n v="11821"/>
    <s v="Saxon Wheels"/>
  </r>
  <r>
    <s v="CUST_3977"/>
    <x v="11"/>
    <x v="0"/>
    <s v="Wednesday"/>
    <s v="No"/>
    <x v="4"/>
    <x v="4"/>
    <s v="Berlin"/>
    <x v="1"/>
    <s v="Crossland"/>
    <s v="Petrol"/>
    <x v="0"/>
    <s v="36-50"/>
    <s v="Low"/>
    <x v="0"/>
    <x v="3"/>
    <s v="Sales_1"/>
    <n v="224"/>
    <n v="125"/>
    <n v="76"/>
    <n v="21"/>
    <s v="16.8"/>
    <n v="25165"/>
    <s v="10.51"/>
    <n v="23192"/>
    <n v="528465"/>
    <n v="41433"/>
    <s v="Feb"/>
    <n v="2"/>
    <n v="2026"/>
    <s v="Weekday"/>
    <n v="0.27631578947368424"/>
    <n v="0.5580357142857143"/>
    <n v="9.375E-2"/>
    <n v="1973"/>
    <s v="Autohaus Berlin"/>
  </r>
  <r>
    <s v="CUST_3978"/>
    <x v="5"/>
    <x v="3"/>
    <s v="Saturday"/>
    <s v="Yes"/>
    <x v="8"/>
    <x v="8"/>
    <s v="Baden-WÃ¼rttemberg"/>
    <x v="1"/>
    <s v="Corsa"/>
    <s v="Hybrid"/>
    <x v="2"/>
    <s v="26-35"/>
    <s v="Medium"/>
    <x v="0"/>
    <x v="1"/>
    <s v="Sales_13"/>
    <n v="327"/>
    <n v="151"/>
    <n v="88"/>
    <n v="27"/>
    <s v="17.88"/>
    <n v="20672"/>
    <s v="7.21"/>
    <n v="18927"/>
    <n v="558144"/>
    <n v="47115"/>
    <s v="Feb"/>
    <n v="2"/>
    <n v="2026"/>
    <s v="Weekend"/>
    <n v="0.30681818181818182"/>
    <n v="0.46177370030581039"/>
    <n v="8.2568807339449546E-2"/>
    <n v="1745"/>
    <s v="Stuttgart Auto Center"/>
  </r>
  <r>
    <s v="CUST_3979"/>
    <x v="2"/>
    <x v="2"/>
    <s v="Monday"/>
    <s v="No"/>
    <x v="0"/>
    <x v="0"/>
    <s v="Hesse"/>
    <x v="1"/>
    <s v="Mokka"/>
    <s v="Electric"/>
    <x v="0"/>
    <s v="18-25"/>
    <s v="High"/>
    <x v="0"/>
    <x v="1"/>
    <s v="Sales_12"/>
    <n v="342"/>
    <n v="131"/>
    <n v="85"/>
    <n v="19"/>
    <s v="14.5"/>
    <n v="22944"/>
    <s v="10.33"/>
    <n v="20925"/>
    <n v="435936"/>
    <n v="38361"/>
    <s v="Feb"/>
    <n v="2"/>
    <n v="2026"/>
    <s v="Weekday"/>
    <n v="0.22352941176470589"/>
    <n v="0.38304093567251463"/>
    <n v="5.5555555555555552E-2"/>
    <n v="2019"/>
    <s v="Main Auto Hub"/>
  </r>
  <r>
    <s v="CUST_3980"/>
    <x v="3"/>
    <x v="1"/>
    <s v="Sunday"/>
    <s v="Yes"/>
    <x v="1"/>
    <x v="1"/>
    <s v="NRW"/>
    <x v="4"/>
    <s v="ID.4"/>
    <s v="Hybrid"/>
    <x v="0"/>
    <s v="18-25"/>
    <s v="Low"/>
    <x v="0"/>
    <x v="0"/>
    <s v="Sales_5"/>
    <n v="345"/>
    <n v="159"/>
    <n v="95"/>
    <n v="23"/>
    <s v="14.47"/>
    <n v="30206"/>
    <s v="6.85"/>
    <n v="26846"/>
    <n v="694738"/>
    <n v="77280"/>
    <s v="Feb"/>
    <n v="2"/>
    <n v="2026"/>
    <s v="Weekend"/>
    <n v="0.24210526315789474"/>
    <n v="0.46086956521739131"/>
    <n v="6.6666666666666666E-2"/>
    <n v="3360"/>
    <s v="Rhein Auto Group"/>
  </r>
  <r>
    <s v="CUST_3981"/>
    <x v="1"/>
    <x v="1"/>
    <s v="Wednesday"/>
    <s v="No"/>
    <x v="1"/>
    <x v="1"/>
    <s v="NRW"/>
    <x v="3"/>
    <s v="GLE"/>
    <s v="Electric"/>
    <x v="0"/>
    <s v="18-25"/>
    <s v="Medium"/>
    <x v="0"/>
    <x v="3"/>
    <s v="Sales_8"/>
    <n v="221"/>
    <n v="121"/>
    <n v="82"/>
    <n v="30"/>
    <s v="24.79"/>
    <n v="70715"/>
    <s v="2.39"/>
    <n v="55533"/>
    <n v="2121450"/>
    <n v="455460"/>
    <s v="Feb"/>
    <n v="2"/>
    <n v="2026"/>
    <s v="Weekday"/>
    <n v="0.36585365853658536"/>
    <n v="0.54751131221719462"/>
    <n v="0.13574660633484162"/>
    <n v="15182"/>
    <s v="Rhein Auto Group"/>
  </r>
  <r>
    <s v="CUST_3982"/>
    <x v="27"/>
    <x v="3"/>
    <s v="Sunday"/>
    <s v="Yes"/>
    <x v="8"/>
    <x v="8"/>
    <s v="Baden-WÃ¼rttemberg"/>
    <x v="3"/>
    <s v="E-Class"/>
    <s v="Hybrid"/>
    <x v="1"/>
    <s v="36-50"/>
    <s v="Low"/>
    <x v="0"/>
    <x v="2"/>
    <s v="Sales_15"/>
    <n v="147"/>
    <n v="74"/>
    <n v="55"/>
    <n v="20"/>
    <s v="27.03"/>
    <n v="64079"/>
    <s v="3.76"/>
    <n v="49572"/>
    <n v="1281580"/>
    <n v="290140"/>
    <s v="Feb"/>
    <n v="2"/>
    <n v="2026"/>
    <s v="Weekend"/>
    <n v="0.36363636363636365"/>
    <n v="0.50340136054421769"/>
    <n v="0.1360544217687075"/>
    <n v="14507"/>
    <s v="Stuttgart Auto Center"/>
  </r>
  <r>
    <s v="CUST_3983"/>
    <x v="23"/>
    <x v="2"/>
    <s v="Tuesday"/>
    <s v="No"/>
    <x v="1"/>
    <x v="1"/>
    <s v="NRW"/>
    <x v="0"/>
    <s v="i4"/>
    <s v="Hybrid"/>
    <x v="1"/>
    <s v="18-25"/>
    <s v="Medium"/>
    <x v="0"/>
    <x v="1"/>
    <s v="Sales_7"/>
    <n v="147"/>
    <n v="77"/>
    <n v="59"/>
    <n v="25"/>
    <s v="32.47"/>
    <n v="54937"/>
    <s v="2.58"/>
    <n v="42252"/>
    <n v="1373425"/>
    <n v="317125"/>
    <s v="Feb"/>
    <n v="2"/>
    <n v="2026"/>
    <s v="Weekday"/>
    <n v="0.42372881355932202"/>
    <n v="0.52380952380952384"/>
    <n v="0.17006802721088435"/>
    <n v="12685"/>
    <s v="Rhein Auto Group"/>
  </r>
  <r>
    <s v="CUST_3984"/>
    <x v="0"/>
    <x v="0"/>
    <s v="Monday"/>
    <s v="No"/>
    <x v="4"/>
    <x v="4"/>
    <s v="Berlin"/>
    <x v="3"/>
    <s v="E-Class"/>
    <s v="Electric"/>
    <x v="1"/>
    <s v="26-35"/>
    <s v="Low"/>
    <x v="1"/>
    <x v="2"/>
    <s v="Sales_10"/>
    <n v="256"/>
    <n v="142"/>
    <n v="99"/>
    <n v="44"/>
    <s v="30.99"/>
    <n v="68317"/>
    <s v="4.54"/>
    <n v="53968"/>
    <n v="3005948"/>
    <n v="631356"/>
    <s v="Feb"/>
    <n v="2"/>
    <n v="2026"/>
    <s v="Weekday"/>
    <n v="0.44444444444444442"/>
    <n v="0.5546875"/>
    <n v="0.171875"/>
    <n v="14349"/>
    <s v="Autohaus Berlin"/>
  </r>
  <r>
    <s v="CUST_3985"/>
    <x v="18"/>
    <x v="0"/>
    <s v="Saturday"/>
    <s v="Yes"/>
    <x v="2"/>
    <x v="2"/>
    <s v="Lower Saxony"/>
    <x v="0"/>
    <s v="5 Series"/>
    <s v="Hybrid"/>
    <x v="1"/>
    <s v="26-35"/>
    <s v="Low"/>
    <x v="1"/>
    <x v="0"/>
    <s v="Sales_12"/>
    <n v="171"/>
    <n v="84"/>
    <n v="68"/>
    <n v="23"/>
    <s v="27.38"/>
    <n v="52923"/>
    <s v="5.72"/>
    <n v="39166"/>
    <n v="1217229"/>
    <n v="316411"/>
    <s v="Feb"/>
    <n v="2"/>
    <n v="2026"/>
    <s v="Weekend"/>
    <n v="0.33823529411764708"/>
    <n v="0.49122807017543857"/>
    <n v="0.13450292397660818"/>
    <n v="13757"/>
    <s v="Hannover Cars"/>
  </r>
  <r>
    <s v="CUST_3986"/>
    <x v="8"/>
    <x v="3"/>
    <s v="Wednesday"/>
    <s v="No"/>
    <x v="8"/>
    <x v="8"/>
    <s v="Baden-WÃ¼rttemberg"/>
    <x v="4"/>
    <s v="Golf"/>
    <s v="Diesel"/>
    <x v="2"/>
    <s v="26-35"/>
    <s v="Low"/>
    <x v="0"/>
    <x v="3"/>
    <s v="Sales_19"/>
    <n v="449"/>
    <n v="230"/>
    <n v="149"/>
    <n v="34"/>
    <s v="14.78"/>
    <n v="31279"/>
    <s v="6.82"/>
    <n v="27707"/>
    <n v="1063486"/>
    <n v="121448"/>
    <s v="Feb"/>
    <n v="2"/>
    <n v="2026"/>
    <s v="Weekday"/>
    <n v="0.22818791946308725"/>
    <n v="0.51224944320712695"/>
    <n v="7.5723830734966593E-2"/>
    <n v="3572"/>
    <s v="Stuttgart Auto Center"/>
  </r>
  <r>
    <s v="CUST_3987"/>
    <x v="3"/>
    <x v="1"/>
    <s v="Sunday"/>
    <s v="Yes"/>
    <x v="7"/>
    <x v="7"/>
    <s v="Bavaria"/>
    <x v="3"/>
    <s v="C-Class"/>
    <s v="Hybrid"/>
    <x v="1"/>
    <s v="18-25"/>
    <s v="Medium"/>
    <x v="1"/>
    <x v="3"/>
    <s v="Sales_15"/>
    <n v="180"/>
    <n v="81"/>
    <n v="61"/>
    <n v="18"/>
    <s v="22.22"/>
    <n v="61655"/>
    <s v="5.57"/>
    <n v="48008"/>
    <n v="1109790"/>
    <n v="245646"/>
    <s v="Feb"/>
    <n v="2"/>
    <n v="2026"/>
    <s v="Weekend"/>
    <n v="0.29508196721311475"/>
    <n v="0.45"/>
    <n v="0.1"/>
    <n v="13647"/>
    <s v="Bavaria Motors"/>
  </r>
  <r>
    <s v="CUST_3988"/>
    <x v="22"/>
    <x v="3"/>
    <s v="Tuesday"/>
    <s v="No"/>
    <x v="7"/>
    <x v="7"/>
    <s v="Bavaria"/>
    <x v="4"/>
    <s v="Golf"/>
    <s v="Diesel"/>
    <x v="2"/>
    <s v="36-50"/>
    <s v="Medium"/>
    <x v="1"/>
    <x v="3"/>
    <s v="Sales_3"/>
    <n v="309"/>
    <n v="174"/>
    <n v="116"/>
    <n v="32"/>
    <s v="18.39"/>
    <n v="30808"/>
    <s v="6.77"/>
    <n v="26927"/>
    <n v="985856"/>
    <n v="124192"/>
    <s v="Feb"/>
    <n v="2"/>
    <n v="2026"/>
    <s v="Weekday"/>
    <n v="0.27586206896551724"/>
    <n v="0.56310679611650483"/>
    <n v="0.10355987055016182"/>
    <n v="3881"/>
    <s v="Bavaria Motors"/>
  </r>
  <r>
    <s v="CUST_3989"/>
    <x v="23"/>
    <x v="2"/>
    <s v="Tuesday"/>
    <s v="No"/>
    <x v="0"/>
    <x v="0"/>
    <s v="Hesse"/>
    <x v="4"/>
    <s v="ID.4"/>
    <s v="Electric"/>
    <x v="0"/>
    <s v="18-25"/>
    <s v="Medium"/>
    <x v="1"/>
    <x v="3"/>
    <s v="Sales_1"/>
    <n v="437"/>
    <n v="236"/>
    <n v="159"/>
    <n v="35"/>
    <s v="14.83"/>
    <n v="28650"/>
    <s v="9.04"/>
    <n v="24969"/>
    <n v="1002750"/>
    <n v="128835"/>
    <s v="Feb"/>
    <n v="2"/>
    <n v="2026"/>
    <s v="Weekday"/>
    <n v="0.22012578616352202"/>
    <n v="0.54004576659038905"/>
    <n v="8.0091533180778038E-2"/>
    <n v="3681"/>
    <s v="Main Auto Hub"/>
  </r>
  <r>
    <s v="CUST_3990"/>
    <x v="16"/>
    <x v="1"/>
    <s v="Tuesday"/>
    <s v="No"/>
    <x v="7"/>
    <x v="7"/>
    <s v="Bavaria"/>
    <x v="2"/>
    <s v="A3"/>
    <s v="Hybrid"/>
    <x v="2"/>
    <s v="50+"/>
    <s v="High"/>
    <x v="0"/>
    <x v="1"/>
    <s v="Sales_5"/>
    <n v="203"/>
    <n v="99"/>
    <n v="71"/>
    <n v="24"/>
    <s v="24.24"/>
    <n v="47415"/>
    <s v="3.99"/>
    <n v="37356"/>
    <n v="1137960"/>
    <n v="241416"/>
    <s v="Feb"/>
    <n v="2"/>
    <n v="2026"/>
    <s v="Weekday"/>
    <n v="0.3380281690140845"/>
    <n v="0.48768472906403942"/>
    <n v="0.11822660098522167"/>
    <n v="10059"/>
    <s v="Bavaria Motors"/>
  </r>
  <r>
    <s v="CUST_3991"/>
    <x v="21"/>
    <x v="0"/>
    <s v="Tuesday"/>
    <s v="No"/>
    <x v="1"/>
    <x v="1"/>
    <s v="NRW"/>
    <x v="1"/>
    <s v="Corsa"/>
    <s v="Hybrid"/>
    <x v="2"/>
    <s v="18-25"/>
    <s v="High"/>
    <x v="1"/>
    <x v="3"/>
    <s v="Sales_2"/>
    <n v="390"/>
    <n v="174"/>
    <n v="101"/>
    <n v="28"/>
    <s v="16.09"/>
    <n v="24932"/>
    <s v="11.29"/>
    <n v="22436"/>
    <n v="698096"/>
    <n v="69888"/>
    <s v="Feb"/>
    <n v="2"/>
    <n v="2026"/>
    <s v="Weekday"/>
    <n v="0.27722772277227725"/>
    <n v="0.44615384615384618"/>
    <n v="7.179487179487179E-2"/>
    <n v="2496"/>
    <s v="Rhein Auto Group"/>
  </r>
  <r>
    <s v="CUST_3992"/>
    <x v="20"/>
    <x v="0"/>
    <s v="Thursday"/>
    <s v="No"/>
    <x v="6"/>
    <x v="6"/>
    <s v="Saxony"/>
    <x v="4"/>
    <s v="T-Roc"/>
    <s v="Petrol"/>
    <x v="0"/>
    <s v="50+"/>
    <s v="Medium"/>
    <x v="0"/>
    <x v="0"/>
    <s v="Sales_1"/>
    <n v="502"/>
    <n v="259"/>
    <n v="162"/>
    <n v="38"/>
    <s v="14.67"/>
    <n v="32902"/>
    <s v="9.54"/>
    <n v="28342"/>
    <n v="1250276"/>
    <n v="173280"/>
    <s v="Feb"/>
    <n v="2"/>
    <n v="2026"/>
    <s v="Weekday"/>
    <n v="0.23456790123456789"/>
    <n v="0.51593625498007967"/>
    <n v="7.5697211155378488E-2"/>
    <n v="4560"/>
    <s v="Leipzig Mobility"/>
  </r>
  <r>
    <s v="CUST_3993"/>
    <x v="1"/>
    <x v="1"/>
    <s v="Wednesday"/>
    <s v="No"/>
    <x v="4"/>
    <x v="4"/>
    <s v="Berlin"/>
    <x v="0"/>
    <s v="i4"/>
    <s v="Petrol"/>
    <x v="1"/>
    <s v="26-35"/>
    <s v="High"/>
    <x v="1"/>
    <x v="1"/>
    <s v="Sales_13"/>
    <n v="205"/>
    <n v="92"/>
    <n v="72"/>
    <n v="25"/>
    <s v="27.17"/>
    <n v="63550"/>
    <s v="3.34"/>
    <n v="49015"/>
    <n v="1588750"/>
    <n v="363375"/>
    <s v="Feb"/>
    <n v="2"/>
    <n v="2026"/>
    <s v="Weekday"/>
    <n v="0.34722222222222221"/>
    <n v="0.44878048780487806"/>
    <n v="0.12195121951219512"/>
    <n v="14535"/>
    <s v="Autohaus Berlin"/>
  </r>
  <r>
    <s v="CUST_3994"/>
    <x v="13"/>
    <x v="0"/>
    <s v="Friday"/>
    <s v="No"/>
    <x v="2"/>
    <x v="2"/>
    <s v="Lower Saxony"/>
    <x v="1"/>
    <s v="Mokka"/>
    <s v="Petrol"/>
    <x v="0"/>
    <s v="18-25"/>
    <s v="Medium"/>
    <x v="1"/>
    <x v="3"/>
    <s v="Sales_15"/>
    <n v="240"/>
    <n v="92"/>
    <n v="62"/>
    <n v="11"/>
    <s v="11.96"/>
    <n v="26239"/>
    <s v="8.54"/>
    <n v="24363"/>
    <n v="288629"/>
    <n v="20636"/>
    <s v="Feb"/>
    <n v="2"/>
    <n v="2026"/>
    <s v="Weekday"/>
    <n v="0.17741935483870969"/>
    <n v="0.38333333333333336"/>
    <n v="4.583333333333333E-2"/>
    <n v="1876"/>
    <s v="Hannover Cars"/>
  </r>
  <r>
    <s v="CUST_3995"/>
    <x v="5"/>
    <x v="3"/>
    <s v="Saturday"/>
    <s v="Yes"/>
    <x v="4"/>
    <x v="4"/>
    <s v="Berlin"/>
    <x v="1"/>
    <s v="Grandland"/>
    <s v="Hybrid"/>
    <x v="0"/>
    <s v="50+"/>
    <s v="Medium"/>
    <x v="0"/>
    <x v="3"/>
    <s v="Sales_1"/>
    <n v="340"/>
    <n v="168"/>
    <n v="108"/>
    <n v="30"/>
    <s v="17.86"/>
    <n v="20164"/>
    <s v="10.02"/>
    <n v="18407"/>
    <n v="604920"/>
    <n v="52710"/>
    <s v="Feb"/>
    <n v="2"/>
    <n v="2026"/>
    <s v="Weekend"/>
    <n v="0.27777777777777779"/>
    <n v="0.49411764705882355"/>
    <n v="8.8235294117647065E-2"/>
    <n v="1757"/>
    <s v="Autohaus Berlin"/>
  </r>
  <r>
    <s v="CUST_3996"/>
    <x v="20"/>
    <x v="0"/>
    <s v="Thursday"/>
    <s v="No"/>
    <x v="9"/>
    <x v="9"/>
    <s v="NRW"/>
    <x v="4"/>
    <s v="Passat"/>
    <s v="Electric"/>
    <x v="1"/>
    <s v="26-35"/>
    <s v="Medium"/>
    <x v="0"/>
    <x v="0"/>
    <s v="Sales_13"/>
    <n v="368"/>
    <n v="160"/>
    <n v="101"/>
    <n v="21"/>
    <s v="13.12"/>
    <n v="26591"/>
    <s v="8.31"/>
    <n v="23909"/>
    <n v="558411"/>
    <n v="56322"/>
    <s v="Feb"/>
    <n v="2"/>
    <n v="2026"/>
    <s v="Weekday"/>
    <n v="0.20792079207920791"/>
    <n v="0.43478260869565216"/>
    <n v="5.7065217391304345E-2"/>
    <n v="2682"/>
    <s v="Ruhr Auto Plaza"/>
  </r>
  <r>
    <s v="CUST_3997"/>
    <x v="1"/>
    <x v="1"/>
    <s v="Wednesday"/>
    <s v="No"/>
    <x v="3"/>
    <x v="3"/>
    <s v="Saxony"/>
    <x v="1"/>
    <s v="Crossland"/>
    <s v="Petrol"/>
    <x v="0"/>
    <s v="26-35"/>
    <s v="Low"/>
    <x v="0"/>
    <x v="0"/>
    <s v="Sales_11"/>
    <n v="428"/>
    <n v="222"/>
    <n v="136"/>
    <n v="32"/>
    <s v="14.41"/>
    <n v="22258"/>
    <s v="8.54"/>
    <n v="20022"/>
    <n v="712256"/>
    <n v="71552"/>
    <s v="Feb"/>
    <n v="2"/>
    <n v="2026"/>
    <s v="Weekday"/>
    <n v="0.23529411764705882"/>
    <n v="0.51869158878504673"/>
    <n v="7.476635514018691E-2"/>
    <n v="2236"/>
    <s v="Saxon Wheels"/>
  </r>
  <r>
    <s v="CUST_3998"/>
    <x v="19"/>
    <x v="1"/>
    <s v="Saturday"/>
    <s v="Yes"/>
    <x v="1"/>
    <x v="1"/>
    <s v="NRW"/>
    <x v="0"/>
    <s v="i4"/>
    <s v="Electric"/>
    <x v="1"/>
    <s v="18-25"/>
    <s v="High"/>
    <x v="0"/>
    <x v="2"/>
    <s v="Sales_15"/>
    <n v="239"/>
    <n v="143"/>
    <n v="103"/>
    <n v="48"/>
    <s v="33.57"/>
    <n v="54987"/>
    <s v="5.91"/>
    <n v="42153"/>
    <n v="2639376"/>
    <n v="616032"/>
    <s v="Feb"/>
    <n v="2"/>
    <n v="2026"/>
    <s v="Weekend"/>
    <n v="0.46601941747572817"/>
    <n v="0.59832635983263593"/>
    <n v="0.20083682008368201"/>
    <n v="12834"/>
    <s v="Rhein Auto Group"/>
  </r>
  <r>
    <s v="CUST_3999"/>
    <x v="19"/>
    <x v="1"/>
    <s v="Saturday"/>
    <s v="Yes"/>
    <x v="9"/>
    <x v="9"/>
    <s v="NRW"/>
    <x v="2"/>
    <s v="Q5"/>
    <s v="Petrol"/>
    <x v="0"/>
    <s v="18-25"/>
    <s v="Medium"/>
    <x v="0"/>
    <x v="1"/>
    <s v="Sales_4"/>
    <n v="210"/>
    <n v="104"/>
    <n v="71"/>
    <n v="23"/>
    <s v="22.12"/>
    <n v="43740"/>
    <s v="6.52"/>
    <n v="32913"/>
    <n v="1006020"/>
    <n v="249021"/>
    <s v="Feb"/>
    <n v="2"/>
    <n v="2026"/>
    <s v="Weekend"/>
    <n v="0.323943661971831"/>
    <n v="0.49523809523809526"/>
    <n v="0.10952380952380952"/>
    <n v="10827"/>
    <s v="Ruhr Auto Plaza"/>
  </r>
  <r>
    <s v="CUST_4000"/>
    <x v="1"/>
    <x v="1"/>
    <s v="Wednesday"/>
    <s v="No"/>
    <x v="8"/>
    <x v="8"/>
    <s v="Baden-WÃ¼rttemberg"/>
    <x v="3"/>
    <s v="E-Class"/>
    <s v="Hybrid"/>
    <x v="1"/>
    <s v="36-50"/>
    <s v="Medium"/>
    <x v="1"/>
    <x v="2"/>
    <s v="Sales_7"/>
    <n v="168"/>
    <n v="98"/>
    <n v="74"/>
    <n v="27"/>
    <s v="27.55"/>
    <n v="60048"/>
    <s v="5.19"/>
    <n v="42800"/>
    <n v="1621296"/>
    <n v="465696"/>
    <s v="Feb"/>
    <n v="2"/>
    <n v="2026"/>
    <s v="Weekday"/>
    <n v="0.36486486486486486"/>
    <n v="0.58333333333333337"/>
    <n v="0.16071428571428573"/>
    <n v="17248"/>
    <s v="Stuttgart Auto Center"/>
  </r>
  <r>
    <s v="CUST_4001"/>
    <x v="21"/>
    <x v="0"/>
    <s v="Tuesday"/>
    <s v="No"/>
    <x v="1"/>
    <x v="1"/>
    <s v="NRW"/>
    <x v="2"/>
    <s v="A3"/>
    <s v="Electric"/>
    <x v="2"/>
    <s v="36-50"/>
    <s v="High"/>
    <x v="0"/>
    <x v="1"/>
    <s v="Sales_5"/>
    <n v="216"/>
    <n v="102"/>
    <n v="65"/>
    <n v="27"/>
    <s v="26.47"/>
    <n v="45775"/>
    <s v="3.67"/>
    <n v="35169"/>
    <n v="1235925"/>
    <n v="286362"/>
    <s v="Feb"/>
    <n v="2"/>
    <n v="2026"/>
    <s v="Weekday"/>
    <n v="0.41538461538461541"/>
    <n v="0.47222222222222221"/>
    <n v="0.125"/>
    <n v="10606"/>
    <s v="Rhein Auto Group"/>
  </r>
  <r>
    <s v="CUST_4002"/>
    <x v="6"/>
    <x v="2"/>
    <s v="Saturday"/>
    <s v="Yes"/>
    <x v="0"/>
    <x v="0"/>
    <s v="Hesse"/>
    <x v="0"/>
    <s v="5 Series"/>
    <s v="Diesel"/>
    <x v="1"/>
    <s v="26-35"/>
    <s v="Low"/>
    <x v="1"/>
    <x v="3"/>
    <s v="Sales_20"/>
    <n v="203"/>
    <n v="99"/>
    <n v="70"/>
    <n v="24"/>
    <s v="24.24"/>
    <n v="57510"/>
    <s v="2.72"/>
    <n v="40705"/>
    <n v="1380240"/>
    <n v="403320"/>
    <s v="Feb"/>
    <n v="2"/>
    <n v="2026"/>
    <s v="Weekend"/>
    <n v="0.34285714285714286"/>
    <n v="0.48768472906403942"/>
    <n v="0.11822660098522167"/>
    <n v="16805"/>
    <s v="Main Auto Hub"/>
  </r>
  <r>
    <s v="CUST_4003"/>
    <x v="19"/>
    <x v="1"/>
    <s v="Saturday"/>
    <s v="Yes"/>
    <x v="4"/>
    <x v="4"/>
    <s v="Berlin"/>
    <x v="2"/>
    <s v="Q5"/>
    <s v="Diesel"/>
    <x v="0"/>
    <s v="36-50"/>
    <s v="Low"/>
    <x v="0"/>
    <x v="1"/>
    <s v="Sales_20"/>
    <n v="203"/>
    <n v="100"/>
    <n v="76"/>
    <n v="27"/>
    <s v="27.0"/>
    <n v="50182"/>
    <s v="5.77"/>
    <n v="37977"/>
    <n v="1354914"/>
    <n v="329535"/>
    <s v="Feb"/>
    <n v="2"/>
    <n v="2026"/>
    <s v="Weekend"/>
    <n v="0.35526315789473684"/>
    <n v="0.49261083743842365"/>
    <n v="0.13300492610837439"/>
    <n v="12205"/>
    <s v="Autohaus Berlin"/>
  </r>
  <r>
    <s v="CUST_4004"/>
    <x v="13"/>
    <x v="0"/>
    <s v="Friday"/>
    <s v="No"/>
    <x v="1"/>
    <x v="1"/>
    <s v="NRW"/>
    <x v="2"/>
    <s v="Q3"/>
    <s v="Diesel"/>
    <x v="0"/>
    <s v="18-25"/>
    <s v="High"/>
    <x v="0"/>
    <x v="0"/>
    <s v="Sales_8"/>
    <n v="166"/>
    <n v="98"/>
    <n v="70"/>
    <n v="20"/>
    <s v="20.41"/>
    <n v="55325"/>
    <s v="4.4"/>
    <n v="42437"/>
    <n v="1106500"/>
    <n v="257760"/>
    <s v="Feb"/>
    <n v="2"/>
    <n v="2026"/>
    <s v="Weekday"/>
    <n v="0.2857142857142857"/>
    <n v="0.59036144578313254"/>
    <n v="0.12048192771084337"/>
    <n v="12888"/>
    <s v="Rhein Auto Group"/>
  </r>
  <r>
    <s v="CUST_4005"/>
    <x v="12"/>
    <x v="3"/>
    <s v="Thursday"/>
    <s v="No"/>
    <x v="3"/>
    <x v="3"/>
    <s v="Saxony"/>
    <x v="2"/>
    <s v="A3"/>
    <s v="Electric"/>
    <x v="2"/>
    <s v="50+"/>
    <s v="High"/>
    <x v="1"/>
    <x v="3"/>
    <s v="Sales_10"/>
    <n v="307"/>
    <n v="143"/>
    <n v="106"/>
    <n v="30"/>
    <s v="20.98"/>
    <n v="51814"/>
    <s v="6.88"/>
    <n v="39557"/>
    <n v="1554420"/>
    <n v="367710"/>
    <s v="Feb"/>
    <n v="2"/>
    <n v="2026"/>
    <s v="Weekday"/>
    <n v="0.28301886792452829"/>
    <n v="0.46579804560260585"/>
    <n v="9.7719869706840393E-2"/>
    <n v="12257"/>
    <s v="Saxon Wheels"/>
  </r>
  <r>
    <s v="CUST_4006"/>
    <x v="7"/>
    <x v="3"/>
    <s v="Monday"/>
    <s v="No"/>
    <x v="6"/>
    <x v="6"/>
    <s v="Saxony"/>
    <x v="3"/>
    <s v="EQE"/>
    <s v="Diesel"/>
    <x v="1"/>
    <s v="50+"/>
    <s v="Low"/>
    <x v="1"/>
    <x v="1"/>
    <s v="Sales_2"/>
    <n v="164"/>
    <n v="94"/>
    <n v="68"/>
    <n v="23"/>
    <s v="24.47"/>
    <n v="52146"/>
    <s v="5.5"/>
    <n v="38502"/>
    <n v="1199358"/>
    <n v="313812"/>
    <s v="Feb"/>
    <n v="2"/>
    <n v="2026"/>
    <s v="Weekday"/>
    <n v="0.33823529411764708"/>
    <n v="0.57317073170731703"/>
    <n v="0.1402439024390244"/>
    <n v="13644"/>
    <s v="Leipzig Mobility"/>
  </r>
  <r>
    <s v="CUST_4007"/>
    <x v="15"/>
    <x v="2"/>
    <s v="Thursday"/>
    <s v="No"/>
    <x v="5"/>
    <x v="5"/>
    <s v="Hamburg"/>
    <x v="1"/>
    <s v="Corsa"/>
    <s v="Petrol"/>
    <x v="2"/>
    <s v="18-25"/>
    <s v="High"/>
    <x v="0"/>
    <x v="0"/>
    <s v="Sales_10"/>
    <n v="323"/>
    <n v="161"/>
    <n v="109"/>
    <n v="28"/>
    <s v="17.39"/>
    <n v="21499"/>
    <s v="9.47"/>
    <n v="19565"/>
    <n v="601972"/>
    <n v="54152"/>
    <s v="Feb"/>
    <n v="2"/>
    <n v="2026"/>
    <s v="Weekday"/>
    <n v="0.25688073394495414"/>
    <n v="0.49845201238390091"/>
    <n v="8.6687306501547989E-2"/>
    <n v="1934"/>
    <s v="Elbe Drive"/>
  </r>
  <r>
    <s v="CUST_4008"/>
    <x v="13"/>
    <x v="0"/>
    <s v="Friday"/>
    <s v="No"/>
    <x v="4"/>
    <x v="4"/>
    <s v="Berlin"/>
    <x v="1"/>
    <s v="Corsa"/>
    <s v="Petrol"/>
    <x v="2"/>
    <s v="36-50"/>
    <s v="High"/>
    <x v="1"/>
    <x v="1"/>
    <s v="Sales_7"/>
    <n v="256"/>
    <n v="108"/>
    <n v="65"/>
    <n v="19"/>
    <s v="17.59"/>
    <n v="20729"/>
    <s v="9.52"/>
    <n v="18545"/>
    <n v="393851"/>
    <n v="41496"/>
    <s v="Feb"/>
    <n v="2"/>
    <n v="2026"/>
    <s v="Weekday"/>
    <n v="0.29230769230769232"/>
    <n v="0.421875"/>
    <n v="7.421875E-2"/>
    <n v="2184"/>
    <s v="Autohaus Berlin"/>
  </r>
  <r>
    <s v="CUST_4009"/>
    <x v="15"/>
    <x v="2"/>
    <s v="Thursday"/>
    <s v="No"/>
    <x v="1"/>
    <x v="1"/>
    <s v="NRW"/>
    <x v="0"/>
    <s v="X5"/>
    <s v="Petrol"/>
    <x v="0"/>
    <s v="50+"/>
    <s v="Low"/>
    <x v="1"/>
    <x v="0"/>
    <s v="Sales_4"/>
    <n v="241"/>
    <n v="115"/>
    <n v="79"/>
    <n v="29"/>
    <s v="25.22"/>
    <n v="52900"/>
    <s v="3.31"/>
    <n v="37897"/>
    <n v="1534100"/>
    <n v="435087"/>
    <s v="Feb"/>
    <n v="2"/>
    <n v="2026"/>
    <s v="Weekday"/>
    <n v="0.36708860759493672"/>
    <n v="0.47717842323651455"/>
    <n v="0.12033195020746888"/>
    <n v="15003"/>
    <s v="Rhein Auto Group"/>
  </r>
  <r>
    <s v="CUST_4010"/>
    <x v="6"/>
    <x v="2"/>
    <s v="Saturday"/>
    <s v="Yes"/>
    <x v="7"/>
    <x v="7"/>
    <s v="Bavaria"/>
    <x v="1"/>
    <s v="Corsa"/>
    <s v="Petrol"/>
    <x v="2"/>
    <s v="26-35"/>
    <s v="Low"/>
    <x v="1"/>
    <x v="0"/>
    <s v="Sales_13"/>
    <n v="336"/>
    <n v="165"/>
    <n v="110"/>
    <n v="25"/>
    <s v="15.15"/>
    <n v="21292"/>
    <s v="13.34"/>
    <n v="19177"/>
    <n v="532300"/>
    <n v="52875"/>
    <s v="Feb"/>
    <n v="2"/>
    <n v="2026"/>
    <s v="Weekend"/>
    <n v="0.22727272727272727"/>
    <n v="0.49107142857142855"/>
    <n v="7.4404761904761904E-2"/>
    <n v="2115"/>
    <s v="Bavaria Motors"/>
  </r>
  <r>
    <s v="CUST_4011"/>
    <x v="16"/>
    <x v="1"/>
    <s v="Tuesday"/>
    <s v="No"/>
    <x v="5"/>
    <x v="5"/>
    <s v="Hamburg"/>
    <x v="4"/>
    <s v="Passat"/>
    <s v="Petrol"/>
    <x v="1"/>
    <s v="26-35"/>
    <s v="Low"/>
    <x v="0"/>
    <x v="3"/>
    <s v="Sales_6"/>
    <n v="476"/>
    <n v="195"/>
    <n v="127"/>
    <n v="34"/>
    <s v="17.44"/>
    <n v="29207"/>
    <s v="10.07"/>
    <n v="25191"/>
    <n v="993038"/>
    <n v="136544"/>
    <s v="Feb"/>
    <n v="2"/>
    <n v="2026"/>
    <s v="Weekday"/>
    <n v="0.26771653543307089"/>
    <n v="0.40966386554621848"/>
    <n v="7.1428571428571425E-2"/>
    <n v="4016"/>
    <s v="Elbe Drive"/>
  </r>
  <r>
    <s v="CUST_4012"/>
    <x v="27"/>
    <x v="3"/>
    <s v="Sunday"/>
    <s v="Yes"/>
    <x v="4"/>
    <x v="4"/>
    <s v="Berlin"/>
    <x v="2"/>
    <s v="A4"/>
    <s v="Petrol"/>
    <x v="1"/>
    <s v="50+"/>
    <s v="High"/>
    <x v="0"/>
    <x v="3"/>
    <s v="Sales_13"/>
    <n v="253"/>
    <n v="152"/>
    <n v="104"/>
    <n v="34"/>
    <s v="22.37"/>
    <n v="53679"/>
    <s v="3.48"/>
    <n v="42334"/>
    <n v="1825086"/>
    <n v="385730"/>
    <s v="Feb"/>
    <n v="2"/>
    <n v="2026"/>
    <s v="Weekend"/>
    <n v="0.32692307692307693"/>
    <n v="0.60079051383399207"/>
    <n v="0.13438735177865613"/>
    <n v="11345"/>
    <s v="Autohaus Berlin"/>
  </r>
  <r>
    <s v="CUST_4013"/>
    <x v="5"/>
    <x v="3"/>
    <s v="Saturday"/>
    <s v="Yes"/>
    <x v="2"/>
    <x v="2"/>
    <s v="Lower Saxony"/>
    <x v="1"/>
    <s v="Astra"/>
    <s v="Hybrid"/>
    <x v="2"/>
    <s v="18-25"/>
    <s v="Medium"/>
    <x v="1"/>
    <x v="3"/>
    <s v="Sales_1"/>
    <n v="333"/>
    <n v="130"/>
    <n v="81"/>
    <n v="15"/>
    <s v="11.54"/>
    <n v="19860"/>
    <s v="11.44"/>
    <n v="17847"/>
    <n v="297900"/>
    <n v="30195"/>
    <s v="Feb"/>
    <n v="2"/>
    <n v="2026"/>
    <s v="Weekend"/>
    <n v="0.18518518518518517"/>
    <n v="0.39039039039039036"/>
    <n v="4.5045045045045043E-2"/>
    <n v="2013"/>
    <s v="Hannover Cars"/>
  </r>
  <r>
    <s v="CUST_4014"/>
    <x v="4"/>
    <x v="2"/>
    <s v="Wednesday"/>
    <s v="No"/>
    <x v="6"/>
    <x v="6"/>
    <s v="Saxony"/>
    <x v="2"/>
    <s v="Q3"/>
    <s v="Diesel"/>
    <x v="0"/>
    <s v="36-50"/>
    <s v="Medium"/>
    <x v="1"/>
    <x v="3"/>
    <s v="Sales_4"/>
    <n v="194"/>
    <n v="121"/>
    <n v="79"/>
    <n v="24"/>
    <s v="19.83"/>
    <n v="48834"/>
    <s v="4.36"/>
    <n v="36773"/>
    <n v="1172016"/>
    <n v="289464"/>
    <s v="Feb"/>
    <n v="2"/>
    <n v="2026"/>
    <s v="Weekday"/>
    <n v="0.30379746835443039"/>
    <n v="0.62371134020618557"/>
    <n v="0.12371134020618557"/>
    <n v="12061"/>
    <s v="Leipzig Mobility"/>
  </r>
  <r>
    <s v="CUST_4015"/>
    <x v="2"/>
    <x v="2"/>
    <s v="Monday"/>
    <s v="No"/>
    <x v="8"/>
    <x v="8"/>
    <s v="Baden-WÃ¼rttemberg"/>
    <x v="3"/>
    <s v="C-Class"/>
    <s v="Diesel"/>
    <x v="1"/>
    <s v="50+"/>
    <s v="High"/>
    <x v="0"/>
    <x v="3"/>
    <s v="Sales_17"/>
    <n v="190"/>
    <n v="107"/>
    <n v="85"/>
    <n v="26"/>
    <s v="24.3"/>
    <n v="56763"/>
    <s v="4.08"/>
    <n v="42814"/>
    <n v="1475838"/>
    <n v="362674"/>
    <s v="Feb"/>
    <n v="2"/>
    <n v="2026"/>
    <s v="Weekday"/>
    <n v="0.30588235294117649"/>
    <n v="0.56315789473684208"/>
    <n v="0.1368421052631579"/>
    <n v="13949"/>
    <s v="Stuttgart Auto Center"/>
  </r>
  <r>
    <s v="CUST_4016"/>
    <x v="18"/>
    <x v="0"/>
    <s v="Saturday"/>
    <s v="Yes"/>
    <x v="3"/>
    <x v="3"/>
    <s v="Saxony"/>
    <x v="2"/>
    <s v="Q5"/>
    <s v="Hybrid"/>
    <x v="0"/>
    <s v="18-25"/>
    <s v="Medium"/>
    <x v="1"/>
    <x v="2"/>
    <s v="Sales_17"/>
    <n v="212"/>
    <n v="117"/>
    <n v="89"/>
    <n v="30"/>
    <s v="25.64"/>
    <n v="43143"/>
    <s v="5.37"/>
    <n v="33386"/>
    <n v="1294290"/>
    <n v="292710"/>
    <s v="Feb"/>
    <n v="2"/>
    <n v="2026"/>
    <s v="Weekend"/>
    <n v="0.33707865168539325"/>
    <n v="0.55188679245283023"/>
    <n v="0.14150943396226415"/>
    <n v="9757"/>
    <s v="Saxon Wheels"/>
  </r>
  <r>
    <s v="CUST_4017"/>
    <x v="2"/>
    <x v="2"/>
    <s v="Monday"/>
    <s v="No"/>
    <x v="0"/>
    <x v="0"/>
    <s v="Hesse"/>
    <x v="4"/>
    <s v="Golf"/>
    <s v="Hybrid"/>
    <x v="2"/>
    <s v="26-35"/>
    <s v="High"/>
    <x v="0"/>
    <x v="1"/>
    <s v="Sales_12"/>
    <n v="435"/>
    <n v="248"/>
    <n v="173"/>
    <n v="43"/>
    <s v="17.34"/>
    <n v="35125"/>
    <s v="7.52"/>
    <n v="31762"/>
    <n v="1510375"/>
    <n v="144609"/>
    <s v="Feb"/>
    <n v="2"/>
    <n v="2026"/>
    <s v="Weekday"/>
    <n v="0.24855491329479767"/>
    <n v="0.57011494252873562"/>
    <n v="9.8850574712643677E-2"/>
    <n v="3363"/>
    <s v="Main Auto Hub"/>
  </r>
  <r>
    <s v="CUST_4018"/>
    <x v="11"/>
    <x v="0"/>
    <s v="Wednesday"/>
    <s v="No"/>
    <x v="5"/>
    <x v="5"/>
    <s v="Hamburg"/>
    <x v="3"/>
    <s v="E-Class"/>
    <s v="Hybrid"/>
    <x v="1"/>
    <s v="18-25"/>
    <s v="High"/>
    <x v="0"/>
    <x v="3"/>
    <s v="Sales_14"/>
    <n v="270"/>
    <n v="150"/>
    <n v="113"/>
    <n v="37"/>
    <s v="24.67"/>
    <n v="68359"/>
    <s v="4.22"/>
    <n v="50563"/>
    <n v="2529283"/>
    <n v="658452"/>
    <s v="Feb"/>
    <n v="2"/>
    <n v="2026"/>
    <s v="Weekday"/>
    <n v="0.32743362831858408"/>
    <n v="0.55555555555555558"/>
    <n v="0.13703703703703704"/>
    <n v="17796"/>
    <s v="Elbe Drive"/>
  </r>
  <r>
    <s v="CUST_4019"/>
    <x v="2"/>
    <x v="2"/>
    <s v="Monday"/>
    <s v="No"/>
    <x v="3"/>
    <x v="3"/>
    <s v="Saxony"/>
    <x v="0"/>
    <s v="5 Series"/>
    <s v="Electric"/>
    <x v="1"/>
    <s v="50+"/>
    <s v="Medium"/>
    <x v="1"/>
    <x v="1"/>
    <s v="Sales_18"/>
    <n v="175"/>
    <n v="85"/>
    <n v="63"/>
    <n v="25"/>
    <s v="29.41"/>
    <n v="55563"/>
    <s v="4.29"/>
    <n v="43011"/>
    <n v="1389075"/>
    <n v="313800"/>
    <s v="Feb"/>
    <n v="2"/>
    <n v="2026"/>
    <s v="Weekday"/>
    <n v="0.3968253968253968"/>
    <n v="0.48571428571428571"/>
    <n v="0.14285714285714285"/>
    <n v="12552"/>
    <s v="Saxon Wheels"/>
  </r>
  <r>
    <s v="CUST_4020"/>
    <x v="21"/>
    <x v="0"/>
    <s v="Tuesday"/>
    <s v="No"/>
    <x v="7"/>
    <x v="7"/>
    <s v="Bavaria"/>
    <x v="2"/>
    <s v="A3"/>
    <s v="Hybrid"/>
    <x v="2"/>
    <s v="26-35"/>
    <s v="Low"/>
    <x v="0"/>
    <x v="2"/>
    <s v="Sales_12"/>
    <n v="206"/>
    <n v="103"/>
    <n v="74"/>
    <n v="30"/>
    <s v="29.13"/>
    <n v="39882"/>
    <s v="6.32"/>
    <n v="32014"/>
    <n v="1196460"/>
    <n v="236040"/>
    <s v="Feb"/>
    <n v="2"/>
    <n v="2026"/>
    <s v="Weekday"/>
    <n v="0.40540540540540543"/>
    <n v="0.5"/>
    <n v="0.14563106796116504"/>
    <n v="7868"/>
    <s v="Bavaria Motors"/>
  </r>
  <r>
    <s v="CUST_4021"/>
    <x v="26"/>
    <x v="1"/>
    <s v="Friday"/>
    <s v="No"/>
    <x v="2"/>
    <x v="2"/>
    <s v="Lower Saxony"/>
    <x v="2"/>
    <s v="A3"/>
    <s v="Petrol"/>
    <x v="2"/>
    <s v="50+"/>
    <s v="High"/>
    <x v="1"/>
    <x v="0"/>
    <s v="Sales_13"/>
    <n v="286"/>
    <n v="175"/>
    <n v="128"/>
    <n v="35"/>
    <s v="20.0"/>
    <n v="53091"/>
    <s v="4.9"/>
    <n v="40323"/>
    <n v="1858185"/>
    <n v="446880"/>
    <s v="Feb"/>
    <n v="2"/>
    <n v="2026"/>
    <s v="Weekday"/>
    <n v="0.2734375"/>
    <n v="0.61188811188811187"/>
    <n v="0.12237762237762238"/>
    <n v="12768"/>
    <s v="Hannover Cars"/>
  </r>
  <r>
    <s v="CUST_4022"/>
    <x v="17"/>
    <x v="2"/>
    <s v="Sunday"/>
    <s v="Yes"/>
    <x v="7"/>
    <x v="7"/>
    <s v="Bavaria"/>
    <x v="3"/>
    <s v="GLC"/>
    <s v="Diesel"/>
    <x v="0"/>
    <s v="26-35"/>
    <s v="Medium"/>
    <x v="0"/>
    <x v="3"/>
    <s v="Sales_7"/>
    <n v="216"/>
    <n v="119"/>
    <n v="79"/>
    <n v="33"/>
    <s v="27.73"/>
    <n v="56696"/>
    <s v="5.19"/>
    <n v="44605"/>
    <n v="1870968"/>
    <n v="399003"/>
    <s v="Feb"/>
    <n v="2"/>
    <n v="2026"/>
    <s v="Weekend"/>
    <n v="0.41772151898734178"/>
    <n v="0.55092592592592593"/>
    <n v="0.15277777777777779"/>
    <n v="12091"/>
    <s v="Bavaria Motors"/>
  </r>
  <r>
    <s v="CUST_4023"/>
    <x v="9"/>
    <x v="0"/>
    <s v="Sunday"/>
    <s v="Yes"/>
    <x v="7"/>
    <x v="7"/>
    <s v="Bavaria"/>
    <x v="1"/>
    <s v="Astra"/>
    <s v="Electric"/>
    <x v="2"/>
    <s v="50+"/>
    <s v="High"/>
    <x v="1"/>
    <x v="0"/>
    <s v="Sales_1"/>
    <n v="277"/>
    <n v="150"/>
    <n v="85"/>
    <n v="21"/>
    <s v="14.0"/>
    <n v="24952"/>
    <s v="10.89"/>
    <n v="22261"/>
    <n v="523992"/>
    <n v="56511"/>
    <s v="Feb"/>
    <n v="2"/>
    <n v="2026"/>
    <s v="Weekend"/>
    <n v="0.24705882352941178"/>
    <n v="0.54151624548736466"/>
    <n v="7.5812274368231042E-2"/>
    <n v="2691"/>
    <s v="Bavaria Motors"/>
  </r>
  <r>
    <s v="CUST_4024"/>
    <x v="26"/>
    <x v="1"/>
    <s v="Friday"/>
    <s v="No"/>
    <x v="6"/>
    <x v="6"/>
    <s v="Saxony"/>
    <x v="0"/>
    <s v="3 Series"/>
    <s v="Diesel"/>
    <x v="1"/>
    <s v="26-35"/>
    <s v="Medium"/>
    <x v="1"/>
    <x v="0"/>
    <s v="Sales_2"/>
    <n v="177"/>
    <n v="88"/>
    <n v="63"/>
    <n v="23"/>
    <s v="26.14"/>
    <n v="57123"/>
    <s v="5.25"/>
    <n v="42970"/>
    <n v="1313829"/>
    <n v="325519"/>
    <s v="Feb"/>
    <n v="2"/>
    <n v="2026"/>
    <s v="Weekday"/>
    <n v="0.36507936507936506"/>
    <n v="0.49717514124293788"/>
    <n v="0.12994350282485875"/>
    <n v="14153"/>
    <s v="Leipzig Mobility"/>
  </r>
  <r>
    <s v="CUST_4025"/>
    <x v="16"/>
    <x v="1"/>
    <s v="Tuesday"/>
    <s v="No"/>
    <x v="1"/>
    <x v="1"/>
    <s v="NRW"/>
    <x v="1"/>
    <s v="Grandland"/>
    <s v="Diesel"/>
    <x v="0"/>
    <s v="18-25"/>
    <s v="High"/>
    <x v="1"/>
    <x v="0"/>
    <s v="Sales_19"/>
    <n v="273"/>
    <n v="110"/>
    <n v="63"/>
    <n v="15"/>
    <s v="13.64"/>
    <n v="25868"/>
    <s v="13.68"/>
    <n v="23145"/>
    <n v="388020"/>
    <n v="40845"/>
    <s v="Feb"/>
    <n v="2"/>
    <n v="2026"/>
    <s v="Weekday"/>
    <n v="0.23809523809523808"/>
    <n v="0.40293040293040294"/>
    <n v="5.4945054945054944E-2"/>
    <n v="2723"/>
    <s v="Rhein Auto Group"/>
  </r>
  <r>
    <s v="CUST_4026"/>
    <x v="12"/>
    <x v="3"/>
    <s v="Thursday"/>
    <s v="No"/>
    <x v="0"/>
    <x v="0"/>
    <s v="Hesse"/>
    <x v="1"/>
    <s v="Mokka"/>
    <s v="Hybrid"/>
    <x v="0"/>
    <s v="26-35"/>
    <s v="Medium"/>
    <x v="1"/>
    <x v="0"/>
    <s v="Sales_17"/>
    <n v="289"/>
    <n v="150"/>
    <n v="93"/>
    <n v="17"/>
    <s v="11.33"/>
    <n v="26528"/>
    <s v="8.36"/>
    <n v="24282"/>
    <n v="450976"/>
    <n v="38182"/>
    <s v="Feb"/>
    <n v="2"/>
    <n v="2026"/>
    <s v="Weekday"/>
    <n v="0.18279569892473119"/>
    <n v="0.51903114186851207"/>
    <n v="5.8823529411764705E-2"/>
    <n v="2246"/>
    <s v="Main Auto Hub"/>
  </r>
  <r>
    <s v="CUST_4027"/>
    <x v="12"/>
    <x v="3"/>
    <s v="Thursday"/>
    <s v="No"/>
    <x v="9"/>
    <x v="9"/>
    <s v="NRW"/>
    <x v="3"/>
    <s v="E-Class"/>
    <s v="Hybrid"/>
    <x v="1"/>
    <s v="26-35"/>
    <s v="High"/>
    <x v="0"/>
    <x v="1"/>
    <s v="Sales_6"/>
    <n v="225"/>
    <n v="100"/>
    <n v="70"/>
    <n v="26"/>
    <s v="26.0"/>
    <n v="64410"/>
    <s v="4.32"/>
    <n v="49531"/>
    <n v="1674660"/>
    <n v="386854"/>
    <s v="Feb"/>
    <n v="2"/>
    <n v="2026"/>
    <s v="Weekday"/>
    <n v="0.37142857142857144"/>
    <n v="0.44444444444444442"/>
    <n v="0.11555555555555555"/>
    <n v="14879"/>
    <s v="Ruhr Auto Plaza"/>
  </r>
  <r>
    <s v="CUST_4028"/>
    <x v="16"/>
    <x v="1"/>
    <s v="Tuesday"/>
    <s v="No"/>
    <x v="3"/>
    <x v="3"/>
    <s v="Saxony"/>
    <x v="0"/>
    <s v="5 Series"/>
    <s v="Diesel"/>
    <x v="1"/>
    <s v="26-35"/>
    <s v="High"/>
    <x v="0"/>
    <x v="2"/>
    <s v="Sales_8"/>
    <n v="183"/>
    <n v="84"/>
    <n v="59"/>
    <n v="25"/>
    <s v="29.76"/>
    <n v="58288"/>
    <s v="4.0"/>
    <n v="43806"/>
    <n v="1457200"/>
    <n v="362050"/>
    <s v="Feb"/>
    <n v="2"/>
    <n v="2026"/>
    <s v="Weekday"/>
    <n v="0.42372881355932202"/>
    <n v="0.45901639344262296"/>
    <n v="0.13661202185792351"/>
    <n v="14482"/>
    <s v="Saxon Wheels"/>
  </r>
  <r>
    <s v="CUST_4029"/>
    <x v="9"/>
    <x v="0"/>
    <s v="Sunday"/>
    <s v="Yes"/>
    <x v="8"/>
    <x v="8"/>
    <s v="Baden-WÃ¼rttemberg"/>
    <x v="3"/>
    <s v="GLC"/>
    <s v="Hybrid"/>
    <x v="0"/>
    <s v="36-50"/>
    <s v="High"/>
    <x v="1"/>
    <x v="3"/>
    <s v="Sales_20"/>
    <n v="168"/>
    <n v="87"/>
    <n v="67"/>
    <n v="20"/>
    <s v="22.99"/>
    <n v="66464"/>
    <s v="5.31"/>
    <n v="48793"/>
    <n v="1329280"/>
    <n v="353420"/>
    <s v="Feb"/>
    <n v="2"/>
    <n v="2026"/>
    <s v="Weekend"/>
    <n v="0.29850746268656714"/>
    <n v="0.5178571428571429"/>
    <n v="0.11904761904761904"/>
    <n v="17671"/>
    <s v="Stuttgart Auto Center"/>
  </r>
  <r>
    <s v="CUST_4030"/>
    <x v="8"/>
    <x v="3"/>
    <s v="Wednesday"/>
    <s v="No"/>
    <x v="1"/>
    <x v="1"/>
    <s v="NRW"/>
    <x v="4"/>
    <s v="Passat"/>
    <s v="Hybrid"/>
    <x v="1"/>
    <s v="50+"/>
    <s v="High"/>
    <x v="1"/>
    <x v="1"/>
    <s v="Sales_11"/>
    <n v="442"/>
    <n v="250"/>
    <n v="169"/>
    <n v="38"/>
    <s v="15.2"/>
    <n v="30184"/>
    <s v="11.55"/>
    <n v="26107"/>
    <n v="1146992"/>
    <n v="154926"/>
    <s v="Feb"/>
    <n v="2"/>
    <n v="2026"/>
    <s v="Weekday"/>
    <n v="0.22485207100591717"/>
    <n v="0.56561085972850678"/>
    <n v="8.5972850678733032E-2"/>
    <n v="4077"/>
    <s v="Rhein Auto Group"/>
  </r>
  <r>
    <s v="CUST_4031"/>
    <x v="20"/>
    <x v="0"/>
    <s v="Thursday"/>
    <s v="No"/>
    <x v="1"/>
    <x v="1"/>
    <s v="NRW"/>
    <x v="3"/>
    <s v="EQE"/>
    <s v="Diesel"/>
    <x v="1"/>
    <s v="50+"/>
    <s v="High"/>
    <x v="1"/>
    <x v="1"/>
    <s v="Sales_18"/>
    <n v="283"/>
    <n v="129"/>
    <n v="96"/>
    <n v="32"/>
    <s v="24.81"/>
    <n v="51154"/>
    <s v="4.07"/>
    <n v="39545"/>
    <n v="1636928"/>
    <n v="371488"/>
    <s v="Feb"/>
    <n v="2"/>
    <n v="2026"/>
    <s v="Weekday"/>
    <n v="0.33333333333333331"/>
    <n v="0.45583038869257952"/>
    <n v="0.11307420494699646"/>
    <n v="11609"/>
    <s v="Rhein Auto Group"/>
  </r>
  <r>
    <s v="CUST_4032"/>
    <x v="12"/>
    <x v="3"/>
    <s v="Thursday"/>
    <s v="No"/>
    <x v="1"/>
    <x v="1"/>
    <s v="NRW"/>
    <x v="3"/>
    <s v="EQE"/>
    <s v="Electric"/>
    <x v="1"/>
    <s v="18-25"/>
    <s v="Medium"/>
    <x v="1"/>
    <x v="0"/>
    <s v="Sales_15"/>
    <n v="279"/>
    <n v="139"/>
    <n v="101"/>
    <n v="30"/>
    <s v="21.58"/>
    <n v="65611"/>
    <s v="4.19"/>
    <n v="46904"/>
    <n v="1968330"/>
    <n v="561210"/>
    <s v="Feb"/>
    <n v="2"/>
    <n v="2026"/>
    <s v="Weekday"/>
    <n v="0.29702970297029702"/>
    <n v="0.49820788530465948"/>
    <n v="0.10752688172043011"/>
    <n v="18707"/>
    <s v="Rhein Auto Group"/>
  </r>
  <r>
    <s v="CUST_4033"/>
    <x v="13"/>
    <x v="0"/>
    <s v="Friday"/>
    <s v="No"/>
    <x v="0"/>
    <x v="0"/>
    <s v="Hesse"/>
    <x v="1"/>
    <s v="Corsa"/>
    <s v="Hybrid"/>
    <x v="2"/>
    <s v="50+"/>
    <s v="Medium"/>
    <x v="0"/>
    <x v="0"/>
    <s v="Sales_6"/>
    <n v="427"/>
    <n v="193"/>
    <n v="113"/>
    <n v="23"/>
    <s v="11.92"/>
    <n v="25917"/>
    <s v="7.49"/>
    <n v="24034"/>
    <n v="596091"/>
    <n v="43309"/>
    <s v="Feb"/>
    <n v="2"/>
    <n v="2026"/>
    <s v="Weekday"/>
    <n v="0.20353982300884957"/>
    <n v="0.45199063231850117"/>
    <n v="5.3864168618266976E-2"/>
    <n v="1883"/>
    <s v="Main Auto Hub"/>
  </r>
  <r>
    <s v="CUST_4034"/>
    <x v="18"/>
    <x v="0"/>
    <s v="Saturday"/>
    <s v="Yes"/>
    <x v="5"/>
    <x v="5"/>
    <s v="Hamburg"/>
    <x v="1"/>
    <s v="Astra"/>
    <s v="Electric"/>
    <x v="2"/>
    <s v="18-25"/>
    <s v="Medium"/>
    <x v="0"/>
    <x v="1"/>
    <s v="Sales_4"/>
    <n v="414"/>
    <n v="214"/>
    <n v="141"/>
    <n v="39"/>
    <s v="18.22"/>
    <n v="26472"/>
    <s v="8.75"/>
    <n v="24457"/>
    <n v="1032408"/>
    <n v="78585"/>
    <s v="Feb"/>
    <n v="2"/>
    <n v="2026"/>
    <s v="Weekend"/>
    <n v="0.27659574468085107"/>
    <n v="0.51690821256038644"/>
    <n v="9.420289855072464E-2"/>
    <n v="2015"/>
    <s v="Elbe Drive"/>
  </r>
  <r>
    <s v="CUST_4035"/>
    <x v="12"/>
    <x v="3"/>
    <s v="Thursday"/>
    <s v="No"/>
    <x v="6"/>
    <x v="6"/>
    <s v="Saxony"/>
    <x v="0"/>
    <s v="X3"/>
    <s v="Hybrid"/>
    <x v="0"/>
    <s v="26-35"/>
    <s v="Medium"/>
    <x v="1"/>
    <x v="1"/>
    <s v="Sales_14"/>
    <n v="165"/>
    <n v="92"/>
    <n v="67"/>
    <n v="23"/>
    <s v="25.0"/>
    <n v="57281"/>
    <s v="5.99"/>
    <n v="44263"/>
    <n v="1317463"/>
    <n v="299414"/>
    <s v="Feb"/>
    <n v="2"/>
    <n v="2026"/>
    <s v="Weekday"/>
    <n v="0.34328358208955223"/>
    <n v="0.55757575757575761"/>
    <n v="0.1393939393939394"/>
    <n v="13018"/>
    <s v="Leipzig Mobility"/>
  </r>
  <r>
    <s v="CUST_4036"/>
    <x v="18"/>
    <x v="0"/>
    <s v="Saturday"/>
    <s v="Yes"/>
    <x v="6"/>
    <x v="6"/>
    <s v="Saxony"/>
    <x v="0"/>
    <s v="X3"/>
    <s v="Petrol"/>
    <x v="0"/>
    <s v="36-50"/>
    <s v="Medium"/>
    <x v="1"/>
    <x v="2"/>
    <s v="Sales_13"/>
    <n v="243"/>
    <n v="134"/>
    <n v="99"/>
    <n v="38"/>
    <s v="28.36"/>
    <n v="53795"/>
    <s v="2.15"/>
    <n v="41194"/>
    <n v="2044210"/>
    <n v="478838"/>
    <s v="Feb"/>
    <n v="2"/>
    <n v="2026"/>
    <s v="Weekend"/>
    <n v="0.38383838383838381"/>
    <n v="0.55144032921810704"/>
    <n v="0.15637860082304528"/>
    <n v="12601"/>
    <s v="Leipzig Mobility"/>
  </r>
  <r>
    <s v="CUST_4037"/>
    <x v="6"/>
    <x v="2"/>
    <s v="Saturday"/>
    <s v="Yes"/>
    <x v="7"/>
    <x v="7"/>
    <s v="Bavaria"/>
    <x v="0"/>
    <s v="X5"/>
    <s v="Electric"/>
    <x v="0"/>
    <s v="26-35"/>
    <s v="Medium"/>
    <x v="1"/>
    <x v="3"/>
    <s v="Sales_14"/>
    <n v="191"/>
    <n v="90"/>
    <n v="70"/>
    <n v="27"/>
    <s v="30.0"/>
    <n v="66257"/>
    <s v="5.58"/>
    <n v="51492"/>
    <n v="1788939"/>
    <n v="398655"/>
    <s v="Feb"/>
    <n v="2"/>
    <n v="2026"/>
    <s v="Weekend"/>
    <n v="0.38571428571428573"/>
    <n v="0.47120418848167539"/>
    <n v="0.14136125654450263"/>
    <n v="14765"/>
    <s v="Bavaria Motors"/>
  </r>
  <r>
    <s v="CUST_4038"/>
    <x v="19"/>
    <x v="1"/>
    <s v="Saturday"/>
    <s v="Yes"/>
    <x v="9"/>
    <x v="9"/>
    <s v="NRW"/>
    <x v="4"/>
    <s v="Tiguan"/>
    <s v="Diesel"/>
    <x v="0"/>
    <s v="50+"/>
    <s v="Medium"/>
    <x v="0"/>
    <x v="3"/>
    <s v="Sales_15"/>
    <n v="454"/>
    <n v="251"/>
    <n v="164"/>
    <n v="32"/>
    <s v="12.75"/>
    <n v="29821"/>
    <s v="7.06"/>
    <n v="26909"/>
    <n v="954272"/>
    <n v="93184"/>
    <s v="Feb"/>
    <n v="2"/>
    <n v="2026"/>
    <s v="Weekend"/>
    <n v="0.1951219512195122"/>
    <n v="0.55286343612334798"/>
    <n v="7.0484581497797363E-2"/>
    <n v="2912"/>
    <s v="Ruhr Auto Plaza"/>
  </r>
  <r>
    <s v="CUST_4039"/>
    <x v="18"/>
    <x v="0"/>
    <s v="Saturday"/>
    <s v="Yes"/>
    <x v="4"/>
    <x v="4"/>
    <s v="Berlin"/>
    <x v="1"/>
    <s v="Crossland"/>
    <s v="Hybrid"/>
    <x v="0"/>
    <s v="50+"/>
    <s v="Medium"/>
    <x v="1"/>
    <x v="1"/>
    <s v="Sales_12"/>
    <n v="272"/>
    <n v="128"/>
    <n v="85"/>
    <n v="23"/>
    <s v="17.97"/>
    <n v="20455"/>
    <s v="8.74"/>
    <n v="18408"/>
    <n v="470465"/>
    <n v="47081"/>
    <s v="Feb"/>
    <n v="2"/>
    <n v="2026"/>
    <s v="Weekend"/>
    <n v="0.27058823529411763"/>
    <n v="0.47058823529411764"/>
    <n v="8.455882352941177E-2"/>
    <n v="2047"/>
    <s v="Autohaus Berlin"/>
  </r>
  <r>
    <s v="CUST_4040"/>
    <x v="15"/>
    <x v="2"/>
    <s v="Thursday"/>
    <s v="No"/>
    <x v="6"/>
    <x v="6"/>
    <s v="Saxony"/>
    <x v="3"/>
    <s v="EQE"/>
    <s v="Diesel"/>
    <x v="1"/>
    <s v="26-35"/>
    <s v="Low"/>
    <x v="1"/>
    <x v="2"/>
    <s v="Sales_7"/>
    <n v="213"/>
    <n v="117"/>
    <n v="78"/>
    <n v="28"/>
    <s v="23.93"/>
    <n v="55479"/>
    <s v="3.55"/>
    <n v="41932"/>
    <n v="1553412"/>
    <n v="379316"/>
    <s v="Feb"/>
    <n v="2"/>
    <n v="2026"/>
    <s v="Weekday"/>
    <n v="0.35897435897435898"/>
    <n v="0.54929577464788737"/>
    <n v="0.13145539906103287"/>
    <n v="13547"/>
    <s v="Leipzig Mobility"/>
  </r>
  <r>
    <s v="CUST_4041"/>
    <x v="9"/>
    <x v="0"/>
    <s v="Sunday"/>
    <s v="Yes"/>
    <x v="9"/>
    <x v="9"/>
    <s v="NRW"/>
    <x v="1"/>
    <s v="Astra"/>
    <s v="Hybrid"/>
    <x v="2"/>
    <s v="18-25"/>
    <s v="High"/>
    <x v="0"/>
    <x v="1"/>
    <s v="Sales_4"/>
    <n v="266"/>
    <n v="114"/>
    <n v="76"/>
    <n v="18"/>
    <s v="15.79"/>
    <n v="25238"/>
    <s v="12.12"/>
    <n v="22717"/>
    <n v="454284"/>
    <n v="45378"/>
    <s v="Feb"/>
    <n v="2"/>
    <n v="2026"/>
    <s v="Weekend"/>
    <n v="0.23684210526315788"/>
    <n v="0.42857142857142855"/>
    <n v="6.7669172932330823E-2"/>
    <n v="2521"/>
    <s v="Ruhr Auto Plaza"/>
  </r>
  <r>
    <s v="CUST_4042"/>
    <x v="17"/>
    <x v="2"/>
    <s v="Sunday"/>
    <s v="Yes"/>
    <x v="1"/>
    <x v="1"/>
    <s v="NRW"/>
    <x v="3"/>
    <s v="GLC"/>
    <s v="Petrol"/>
    <x v="0"/>
    <s v="18-25"/>
    <s v="Low"/>
    <x v="1"/>
    <x v="2"/>
    <s v="Sales_11"/>
    <n v="150"/>
    <n v="70"/>
    <n v="54"/>
    <n v="20"/>
    <s v="28.57"/>
    <n v="67728"/>
    <s v="4.8"/>
    <n v="50058"/>
    <n v="1354560"/>
    <n v="353400"/>
    <s v="Feb"/>
    <n v="2"/>
    <n v="2026"/>
    <s v="Weekend"/>
    <n v="0.37037037037037035"/>
    <n v="0.46666666666666667"/>
    <n v="0.13333333333333333"/>
    <n v="17670"/>
    <s v="Rhein Auto Group"/>
  </r>
  <r>
    <s v="CUST_4043"/>
    <x v="22"/>
    <x v="3"/>
    <s v="Tuesday"/>
    <s v="No"/>
    <x v="4"/>
    <x v="4"/>
    <s v="Berlin"/>
    <x v="1"/>
    <s v="Corsa"/>
    <s v="Diesel"/>
    <x v="2"/>
    <s v="36-50"/>
    <s v="Low"/>
    <x v="0"/>
    <x v="0"/>
    <s v="Sales_3"/>
    <n v="287"/>
    <n v="132"/>
    <n v="75"/>
    <n v="19"/>
    <s v="14.39"/>
    <n v="21116"/>
    <s v="9.57"/>
    <n v="19384"/>
    <n v="401204"/>
    <n v="32908"/>
    <s v="Feb"/>
    <n v="2"/>
    <n v="2026"/>
    <s v="Weekday"/>
    <n v="0.25333333333333335"/>
    <n v="0.45993031358885017"/>
    <n v="6.6202090592334492E-2"/>
    <n v="1732"/>
    <s v="Autohaus Berlin"/>
  </r>
  <r>
    <s v="CUST_4044"/>
    <x v="13"/>
    <x v="0"/>
    <s v="Friday"/>
    <s v="No"/>
    <x v="6"/>
    <x v="6"/>
    <s v="Saxony"/>
    <x v="3"/>
    <s v="GLC"/>
    <s v="Diesel"/>
    <x v="0"/>
    <s v="26-35"/>
    <s v="High"/>
    <x v="1"/>
    <x v="0"/>
    <s v="Sales_20"/>
    <n v="217"/>
    <n v="128"/>
    <n v="93"/>
    <n v="29"/>
    <s v="22.66"/>
    <n v="58007"/>
    <s v="5.79"/>
    <n v="41559"/>
    <n v="1682203"/>
    <n v="476992"/>
    <s v="Feb"/>
    <n v="2"/>
    <n v="2026"/>
    <s v="Weekday"/>
    <n v="0.31182795698924731"/>
    <n v="0.58986175115207373"/>
    <n v="0.13364055299539171"/>
    <n v="16448"/>
    <s v="Leipzig Mobility"/>
  </r>
  <r>
    <s v="CUST_4045"/>
    <x v="22"/>
    <x v="3"/>
    <s v="Tuesday"/>
    <s v="No"/>
    <x v="1"/>
    <x v="1"/>
    <s v="NRW"/>
    <x v="1"/>
    <s v="Mokka"/>
    <s v="Petrol"/>
    <x v="0"/>
    <s v="36-50"/>
    <s v="Low"/>
    <x v="0"/>
    <x v="1"/>
    <s v="Sales_15"/>
    <n v="306"/>
    <n v="137"/>
    <n v="84"/>
    <n v="26"/>
    <s v="18.98"/>
    <n v="23638"/>
    <s v="13.82"/>
    <n v="21632"/>
    <n v="614588"/>
    <n v="52156"/>
    <s v="Feb"/>
    <n v="2"/>
    <n v="2026"/>
    <s v="Weekday"/>
    <n v="0.30952380952380953"/>
    <n v="0.44771241830065361"/>
    <n v="8.4967320261437912E-2"/>
    <n v="2006"/>
    <s v="Rhein Auto Group"/>
  </r>
  <r>
    <s v="CUST_4046"/>
    <x v="11"/>
    <x v="0"/>
    <s v="Wednesday"/>
    <s v="No"/>
    <x v="1"/>
    <x v="1"/>
    <s v="NRW"/>
    <x v="2"/>
    <s v="Q5"/>
    <s v="Electric"/>
    <x v="0"/>
    <s v="26-35"/>
    <s v="High"/>
    <x v="1"/>
    <x v="1"/>
    <s v="Sales_16"/>
    <n v="295"/>
    <n v="154"/>
    <n v="112"/>
    <n v="37"/>
    <s v="24.03"/>
    <n v="53130"/>
    <s v="3.74"/>
    <n v="41872"/>
    <n v="1965810"/>
    <n v="416546"/>
    <s v="Feb"/>
    <n v="2"/>
    <n v="2026"/>
    <s v="Weekday"/>
    <n v="0.33035714285714285"/>
    <n v="0.52203389830508473"/>
    <n v="0.12542372881355932"/>
    <n v="11258"/>
    <s v="Rhein Auto Group"/>
  </r>
  <r>
    <s v="CUST_4047"/>
    <x v="19"/>
    <x v="1"/>
    <s v="Saturday"/>
    <s v="Yes"/>
    <x v="5"/>
    <x v="5"/>
    <s v="Hamburg"/>
    <x v="0"/>
    <s v="X5"/>
    <s v="Hybrid"/>
    <x v="0"/>
    <s v="36-50"/>
    <s v="High"/>
    <x v="0"/>
    <x v="1"/>
    <s v="Sales_20"/>
    <n v="256"/>
    <n v="133"/>
    <n v="96"/>
    <n v="39"/>
    <s v="29.32"/>
    <n v="51014"/>
    <s v="5.8"/>
    <n v="36456"/>
    <n v="1989546"/>
    <n v="567762"/>
    <s v="Feb"/>
    <n v="2"/>
    <n v="2026"/>
    <s v="Weekend"/>
    <n v="0.40625"/>
    <n v="0.51953125"/>
    <n v="0.15234375"/>
    <n v="14558"/>
    <s v="Elbe Drive"/>
  </r>
  <r>
    <s v="CUST_4048"/>
    <x v="22"/>
    <x v="3"/>
    <s v="Tuesday"/>
    <s v="No"/>
    <x v="7"/>
    <x v="7"/>
    <s v="Bavaria"/>
    <x v="0"/>
    <s v="i4"/>
    <s v="Electric"/>
    <x v="1"/>
    <s v="26-35"/>
    <s v="Medium"/>
    <x v="1"/>
    <x v="3"/>
    <s v="Sales_10"/>
    <n v="212"/>
    <n v="125"/>
    <n v="89"/>
    <n v="38"/>
    <s v="30.4"/>
    <n v="53966"/>
    <s v="3.19"/>
    <n v="40976"/>
    <n v="2050708"/>
    <n v="493620"/>
    <s v="Feb"/>
    <n v="2"/>
    <n v="2026"/>
    <s v="Weekday"/>
    <n v="0.42696629213483145"/>
    <n v="0.589622641509434"/>
    <n v="0.17924528301886791"/>
    <n v="12990"/>
    <s v="Bavaria Motors"/>
  </r>
  <r>
    <s v="CUST_4049"/>
    <x v="1"/>
    <x v="1"/>
    <s v="Wednesday"/>
    <s v="No"/>
    <x v="0"/>
    <x v="0"/>
    <s v="Hesse"/>
    <x v="2"/>
    <s v="Q3"/>
    <s v="Hybrid"/>
    <x v="0"/>
    <s v="26-35"/>
    <s v="Medium"/>
    <x v="0"/>
    <x v="0"/>
    <s v="Sales_3"/>
    <n v="173"/>
    <n v="87"/>
    <n v="60"/>
    <n v="19"/>
    <s v="21.84"/>
    <n v="53951"/>
    <s v="4.23"/>
    <n v="42542"/>
    <n v="1025069"/>
    <n v="216771"/>
    <s v="Feb"/>
    <n v="2"/>
    <n v="2026"/>
    <s v="Weekday"/>
    <n v="0.31666666666666665"/>
    <n v="0.50289017341040465"/>
    <n v="0.10982658959537572"/>
    <n v="11409"/>
    <s v="Main Auto Hub"/>
  </r>
  <r>
    <s v="CUST_4050"/>
    <x v="4"/>
    <x v="2"/>
    <s v="Wednesday"/>
    <s v="No"/>
    <x v="2"/>
    <x v="2"/>
    <s v="Lower Saxony"/>
    <x v="3"/>
    <s v="C-Class"/>
    <s v="Petrol"/>
    <x v="1"/>
    <s v="50+"/>
    <s v="Low"/>
    <x v="1"/>
    <x v="0"/>
    <s v="Sales_11"/>
    <n v="148"/>
    <n v="76"/>
    <n v="50"/>
    <n v="15"/>
    <s v="19.74"/>
    <n v="60551"/>
    <s v="3.23"/>
    <n v="43232"/>
    <n v="908265"/>
    <n v="259785"/>
    <s v="Feb"/>
    <n v="2"/>
    <n v="2026"/>
    <s v="Weekday"/>
    <n v="0.3"/>
    <n v="0.51351351351351349"/>
    <n v="0.10135135135135136"/>
    <n v="17319"/>
    <s v="Hannover Cars"/>
  </r>
  <r>
    <s v="CUST_4051"/>
    <x v="1"/>
    <x v="1"/>
    <s v="Wednesday"/>
    <s v="No"/>
    <x v="8"/>
    <x v="8"/>
    <s v="Baden-WÃ¼rttemberg"/>
    <x v="2"/>
    <s v="A3"/>
    <s v="Hybrid"/>
    <x v="2"/>
    <s v="18-25"/>
    <s v="Low"/>
    <x v="1"/>
    <x v="2"/>
    <s v="Sales_20"/>
    <n v="278"/>
    <n v="139"/>
    <n v="106"/>
    <n v="35"/>
    <s v="25.18"/>
    <n v="44354"/>
    <s v="6.66"/>
    <n v="34886"/>
    <n v="1552390"/>
    <n v="331380"/>
    <s v="Feb"/>
    <n v="2"/>
    <n v="2026"/>
    <s v="Weekday"/>
    <n v="0.330188679245283"/>
    <n v="0.5"/>
    <n v="0.12589928057553956"/>
    <n v="9468"/>
    <s v="Stuttgart Auto Center"/>
  </r>
  <r>
    <s v="CUST_4052"/>
    <x v="14"/>
    <x v="2"/>
    <s v="Friday"/>
    <s v="No"/>
    <x v="8"/>
    <x v="8"/>
    <s v="Baden-WÃ¼rttemberg"/>
    <x v="3"/>
    <s v="GLC"/>
    <s v="Diesel"/>
    <x v="0"/>
    <s v="26-35"/>
    <s v="High"/>
    <x v="1"/>
    <x v="0"/>
    <s v="Sales_1"/>
    <n v="264"/>
    <n v="132"/>
    <n v="97"/>
    <n v="29"/>
    <s v="21.97"/>
    <n v="71652"/>
    <s v="4.31"/>
    <n v="55370"/>
    <n v="2077908"/>
    <n v="472178"/>
    <s v="Feb"/>
    <n v="2"/>
    <n v="2026"/>
    <s v="Weekday"/>
    <n v="0.29896907216494845"/>
    <n v="0.5"/>
    <n v="0.10984848484848485"/>
    <n v="16282"/>
    <s v="Stuttgart Auto Center"/>
  </r>
  <r>
    <s v="CUST_4053"/>
    <x v="21"/>
    <x v="0"/>
    <s v="Tuesday"/>
    <s v="No"/>
    <x v="5"/>
    <x v="5"/>
    <s v="Hamburg"/>
    <x v="0"/>
    <s v="X5"/>
    <s v="Diesel"/>
    <x v="0"/>
    <s v="36-50"/>
    <s v="Medium"/>
    <x v="0"/>
    <x v="1"/>
    <s v="Sales_18"/>
    <n v="177"/>
    <n v="95"/>
    <n v="65"/>
    <n v="29"/>
    <s v="30.53"/>
    <n v="69287"/>
    <s v="3.73"/>
    <n v="51877"/>
    <n v="2009323"/>
    <n v="504890"/>
    <s v="Feb"/>
    <n v="2"/>
    <n v="2026"/>
    <s v="Weekday"/>
    <n v="0.44615384615384618"/>
    <n v="0.53672316384180796"/>
    <n v="0.16384180790960451"/>
    <n v="17410"/>
    <s v="Elbe Drive"/>
  </r>
  <r>
    <s v="CUST_4054"/>
    <x v="18"/>
    <x v="0"/>
    <s v="Saturday"/>
    <s v="Yes"/>
    <x v="2"/>
    <x v="2"/>
    <s v="Lower Saxony"/>
    <x v="0"/>
    <s v="3 Series"/>
    <s v="Petrol"/>
    <x v="1"/>
    <s v="36-50"/>
    <s v="Low"/>
    <x v="0"/>
    <x v="1"/>
    <s v="Sales_12"/>
    <n v="209"/>
    <n v="103"/>
    <n v="74"/>
    <n v="32"/>
    <s v="31.07"/>
    <n v="58873"/>
    <s v="5.51"/>
    <n v="43214"/>
    <n v="1883936"/>
    <n v="501088"/>
    <s v="Feb"/>
    <n v="2"/>
    <n v="2026"/>
    <s v="Weekend"/>
    <n v="0.43243243243243246"/>
    <n v="0.49282296650717705"/>
    <n v="0.15311004784688995"/>
    <n v="15659"/>
    <s v="Hannover Cars"/>
  </r>
  <r>
    <s v="CUST_4055"/>
    <x v="27"/>
    <x v="3"/>
    <s v="Sunday"/>
    <s v="Yes"/>
    <x v="8"/>
    <x v="8"/>
    <s v="Baden-WÃ¼rttemberg"/>
    <x v="2"/>
    <s v="Q5"/>
    <s v="Electric"/>
    <x v="0"/>
    <s v="50+"/>
    <s v="Medium"/>
    <x v="0"/>
    <x v="1"/>
    <s v="Sales_12"/>
    <n v="275"/>
    <n v="138"/>
    <n v="103"/>
    <n v="32"/>
    <s v="23.19"/>
    <n v="44278"/>
    <s v="5.91"/>
    <n v="35770"/>
    <n v="1416896"/>
    <n v="272256"/>
    <s v="Feb"/>
    <n v="2"/>
    <n v="2026"/>
    <s v="Weekend"/>
    <n v="0.31067961165048541"/>
    <n v="0.50181818181818183"/>
    <n v="0.11636363636363636"/>
    <n v="8508"/>
    <s v="Stuttgart Auto Center"/>
  </r>
  <r>
    <s v="CUST_4056"/>
    <x v="2"/>
    <x v="2"/>
    <s v="Monday"/>
    <s v="No"/>
    <x v="0"/>
    <x v="0"/>
    <s v="Hesse"/>
    <x v="4"/>
    <s v="Passat"/>
    <s v="Electric"/>
    <x v="1"/>
    <s v="18-25"/>
    <s v="Low"/>
    <x v="0"/>
    <x v="2"/>
    <s v="Sales_14"/>
    <n v="267"/>
    <n v="148"/>
    <n v="103"/>
    <n v="27"/>
    <s v="18.24"/>
    <n v="29636"/>
    <s v="8.57"/>
    <n v="25962"/>
    <n v="800172"/>
    <n v="99198"/>
    <s v="Feb"/>
    <n v="2"/>
    <n v="2026"/>
    <s v="Weekday"/>
    <n v="0.26213592233009708"/>
    <n v="0.55430711610486894"/>
    <n v="0.10112359550561797"/>
    <n v="3674"/>
    <s v="Main Auto Hub"/>
  </r>
  <r>
    <s v="CUST_4057"/>
    <x v="18"/>
    <x v="0"/>
    <s v="Saturday"/>
    <s v="Yes"/>
    <x v="6"/>
    <x v="6"/>
    <s v="Saxony"/>
    <x v="0"/>
    <s v="X5"/>
    <s v="Electric"/>
    <x v="0"/>
    <s v="50+"/>
    <s v="Medium"/>
    <x v="1"/>
    <x v="3"/>
    <s v="Sales_15"/>
    <n v="163"/>
    <n v="88"/>
    <n v="67"/>
    <n v="22"/>
    <s v="25.0"/>
    <n v="53877"/>
    <s v="2.36"/>
    <n v="37927"/>
    <n v="1185294"/>
    <n v="350900"/>
    <s v="Feb"/>
    <n v="2"/>
    <n v="2026"/>
    <s v="Weekend"/>
    <n v="0.32835820895522388"/>
    <n v="0.53987730061349692"/>
    <n v="0.13496932515337423"/>
    <n v="15950"/>
    <s v="Leipzig Mobility"/>
  </r>
  <r>
    <s v="CUST_4058"/>
    <x v="22"/>
    <x v="3"/>
    <s v="Tuesday"/>
    <s v="No"/>
    <x v="9"/>
    <x v="9"/>
    <s v="NRW"/>
    <x v="3"/>
    <s v="C-Class"/>
    <s v="Petrol"/>
    <x v="1"/>
    <s v="26-35"/>
    <s v="Low"/>
    <x v="0"/>
    <x v="2"/>
    <s v="Sales_13"/>
    <n v="288"/>
    <n v="171"/>
    <n v="114"/>
    <n v="42"/>
    <s v="24.56"/>
    <n v="55506"/>
    <s v="5.92"/>
    <n v="39409"/>
    <n v="2331252"/>
    <n v="676074"/>
    <s v="Feb"/>
    <n v="2"/>
    <n v="2026"/>
    <s v="Weekday"/>
    <n v="0.36842105263157893"/>
    <n v="0.59375"/>
    <n v="0.14583333333333334"/>
    <n v="16097"/>
    <s v="Ruhr Auto Plaza"/>
  </r>
  <r>
    <s v="CUST_4059"/>
    <x v="5"/>
    <x v="3"/>
    <s v="Saturday"/>
    <s v="Yes"/>
    <x v="6"/>
    <x v="6"/>
    <s v="Saxony"/>
    <x v="3"/>
    <s v="EQE"/>
    <s v="Petrol"/>
    <x v="1"/>
    <s v="50+"/>
    <s v="High"/>
    <x v="0"/>
    <x v="1"/>
    <s v="Sales_2"/>
    <n v="258"/>
    <n v="148"/>
    <n v="103"/>
    <n v="39"/>
    <s v="26.35"/>
    <n v="52539"/>
    <s v="4.92"/>
    <n v="37492"/>
    <n v="2049021"/>
    <n v="586833"/>
    <s v="Feb"/>
    <n v="2"/>
    <n v="2026"/>
    <s v="Weekend"/>
    <n v="0.37864077669902912"/>
    <n v="0.5736434108527132"/>
    <n v="0.15116279069767441"/>
    <n v="15047"/>
    <s v="Leipzig Mobility"/>
  </r>
  <r>
    <s v="CUST_4060"/>
    <x v="19"/>
    <x v="1"/>
    <s v="Saturday"/>
    <s v="Yes"/>
    <x v="1"/>
    <x v="1"/>
    <s v="NRW"/>
    <x v="0"/>
    <s v="5 Series"/>
    <s v="Hybrid"/>
    <x v="1"/>
    <s v="18-25"/>
    <s v="Medium"/>
    <x v="1"/>
    <x v="0"/>
    <s v="Sales_18"/>
    <n v="186"/>
    <n v="113"/>
    <n v="90"/>
    <n v="31"/>
    <s v="27.43"/>
    <n v="58057"/>
    <s v="3.1"/>
    <n v="44860"/>
    <n v="1799767"/>
    <n v="409107"/>
    <s v="Feb"/>
    <n v="2"/>
    <n v="2026"/>
    <s v="Weekend"/>
    <n v="0.34444444444444444"/>
    <n v="0.60752688172043012"/>
    <n v="0.16666666666666666"/>
    <n v="13197"/>
    <s v="Rhein Auto Group"/>
  </r>
  <r>
    <s v="CUST_4061"/>
    <x v="11"/>
    <x v="0"/>
    <s v="Wednesday"/>
    <s v="No"/>
    <x v="5"/>
    <x v="5"/>
    <s v="Hamburg"/>
    <x v="3"/>
    <s v="GLC"/>
    <s v="Diesel"/>
    <x v="0"/>
    <s v="50+"/>
    <s v="High"/>
    <x v="1"/>
    <x v="3"/>
    <s v="Sales_9"/>
    <n v="282"/>
    <n v="162"/>
    <n v="115"/>
    <n v="37"/>
    <s v="22.84"/>
    <n v="59491"/>
    <s v="4.26"/>
    <n v="42530"/>
    <n v="2201167"/>
    <n v="627557"/>
    <s v="Feb"/>
    <n v="2"/>
    <n v="2026"/>
    <s v="Weekday"/>
    <n v="0.32173913043478258"/>
    <n v="0.57446808510638303"/>
    <n v="0.13120567375886524"/>
    <n v="16961"/>
    <s v="Elbe Drive"/>
  </r>
  <r>
    <s v="CUST_4062"/>
    <x v="4"/>
    <x v="2"/>
    <s v="Wednesday"/>
    <s v="No"/>
    <x v="3"/>
    <x v="3"/>
    <s v="Saxony"/>
    <x v="1"/>
    <s v="Corsa"/>
    <s v="Hybrid"/>
    <x v="2"/>
    <s v="26-35"/>
    <s v="High"/>
    <x v="1"/>
    <x v="2"/>
    <s v="Sales_20"/>
    <n v="271"/>
    <n v="110"/>
    <n v="75"/>
    <n v="20"/>
    <s v="18.18"/>
    <n v="23495"/>
    <s v="13.84"/>
    <n v="21229"/>
    <n v="469900"/>
    <n v="45320"/>
    <s v="Feb"/>
    <n v="2"/>
    <n v="2026"/>
    <s v="Weekday"/>
    <n v="0.26666666666666666"/>
    <n v="0.4059040590405904"/>
    <n v="7.3800738007380073E-2"/>
    <n v="2266"/>
    <s v="Saxon Wheels"/>
  </r>
  <r>
    <s v="CUST_4063"/>
    <x v="19"/>
    <x v="1"/>
    <s v="Saturday"/>
    <s v="Yes"/>
    <x v="6"/>
    <x v="6"/>
    <s v="Saxony"/>
    <x v="3"/>
    <s v="C-Class"/>
    <s v="Electric"/>
    <x v="1"/>
    <s v="18-25"/>
    <s v="Medium"/>
    <x v="0"/>
    <x v="2"/>
    <s v="Sales_15"/>
    <n v="238"/>
    <n v="124"/>
    <n v="83"/>
    <n v="33"/>
    <s v="26.61"/>
    <n v="59176"/>
    <s v="5.8"/>
    <n v="45540"/>
    <n v="1952808"/>
    <n v="449988"/>
    <s v="Feb"/>
    <n v="2"/>
    <n v="2026"/>
    <s v="Weekend"/>
    <n v="0.39759036144578314"/>
    <n v="0.52100840336134457"/>
    <n v="0.13865546218487396"/>
    <n v="13636"/>
    <s v="Leipzig Mobility"/>
  </r>
  <r>
    <s v="CUST_4064"/>
    <x v="20"/>
    <x v="0"/>
    <s v="Thursday"/>
    <s v="No"/>
    <x v="0"/>
    <x v="0"/>
    <s v="Hesse"/>
    <x v="1"/>
    <s v="Grandland"/>
    <s v="Hybrid"/>
    <x v="0"/>
    <s v="26-35"/>
    <s v="Medium"/>
    <x v="0"/>
    <x v="1"/>
    <s v="Sales_6"/>
    <n v="248"/>
    <n v="128"/>
    <n v="80"/>
    <n v="20"/>
    <s v="15.62"/>
    <n v="20800"/>
    <s v="12.35"/>
    <n v="18651"/>
    <n v="416000"/>
    <n v="42980"/>
    <s v="Feb"/>
    <n v="2"/>
    <n v="2026"/>
    <s v="Weekday"/>
    <n v="0.25"/>
    <n v="0.5161290322580645"/>
    <n v="8.0645161290322578E-2"/>
    <n v="2149"/>
    <s v="Main Auto Hub"/>
  </r>
  <r>
    <s v="CUST_4065"/>
    <x v="5"/>
    <x v="3"/>
    <s v="Saturday"/>
    <s v="Yes"/>
    <x v="1"/>
    <x v="1"/>
    <s v="NRW"/>
    <x v="2"/>
    <s v="A4"/>
    <s v="Diesel"/>
    <x v="1"/>
    <s v="26-35"/>
    <s v="Low"/>
    <x v="0"/>
    <x v="0"/>
    <s v="Sales_11"/>
    <n v="308"/>
    <n v="165"/>
    <n v="113"/>
    <n v="37"/>
    <s v="22.42"/>
    <n v="46688"/>
    <s v="6.49"/>
    <n v="37410"/>
    <n v="1727456"/>
    <n v="343286"/>
    <s v="Feb"/>
    <n v="2"/>
    <n v="2026"/>
    <s v="Weekend"/>
    <n v="0.32743362831858408"/>
    <n v="0.5357142857142857"/>
    <n v="0.12012987012987013"/>
    <n v="9278"/>
    <s v="Rhein Auto Group"/>
  </r>
  <r>
    <s v="CUST_4066"/>
    <x v="12"/>
    <x v="3"/>
    <s v="Thursday"/>
    <s v="No"/>
    <x v="2"/>
    <x v="2"/>
    <s v="Lower Saxony"/>
    <x v="4"/>
    <s v="Passat"/>
    <s v="Diesel"/>
    <x v="1"/>
    <s v="26-35"/>
    <s v="High"/>
    <x v="0"/>
    <x v="3"/>
    <s v="Sales_11"/>
    <n v="317"/>
    <n v="179"/>
    <n v="125"/>
    <n v="26"/>
    <s v="14.53"/>
    <n v="28536"/>
    <s v="6.47"/>
    <n v="25465"/>
    <n v="741936"/>
    <n v="79846"/>
    <s v="Feb"/>
    <n v="2"/>
    <n v="2026"/>
    <s v="Weekday"/>
    <n v="0.20799999999999999"/>
    <n v="0.56466876971608837"/>
    <n v="8.2018927444794956E-2"/>
    <n v="3071"/>
    <s v="Hannover Cars"/>
  </r>
  <r>
    <s v="CUST_4067"/>
    <x v="18"/>
    <x v="0"/>
    <s v="Saturday"/>
    <s v="Yes"/>
    <x v="6"/>
    <x v="6"/>
    <s v="Saxony"/>
    <x v="3"/>
    <s v="EQE"/>
    <s v="Diesel"/>
    <x v="1"/>
    <s v="26-35"/>
    <s v="High"/>
    <x v="1"/>
    <x v="2"/>
    <s v="Sales_2"/>
    <n v="246"/>
    <n v="126"/>
    <n v="96"/>
    <n v="33"/>
    <s v="26.19"/>
    <n v="56862"/>
    <s v="4.76"/>
    <n v="43028"/>
    <n v="1876446"/>
    <n v="456522"/>
    <s v="Feb"/>
    <n v="2"/>
    <n v="2026"/>
    <s v="Weekend"/>
    <n v="0.34375"/>
    <n v="0.51219512195121952"/>
    <n v="0.13414634146341464"/>
    <n v="13834"/>
    <s v="Leipzig Mobility"/>
  </r>
  <r>
    <s v="CUST_4068"/>
    <x v="4"/>
    <x v="2"/>
    <s v="Wednesday"/>
    <s v="No"/>
    <x v="1"/>
    <x v="1"/>
    <s v="NRW"/>
    <x v="3"/>
    <s v="GLC"/>
    <s v="Hybrid"/>
    <x v="0"/>
    <s v="50+"/>
    <s v="High"/>
    <x v="1"/>
    <x v="3"/>
    <s v="Sales_4"/>
    <n v="171"/>
    <n v="76"/>
    <n v="50"/>
    <n v="17"/>
    <s v="22.37"/>
    <n v="65921"/>
    <s v="2.81"/>
    <n v="48258"/>
    <n v="1120657"/>
    <n v="300271"/>
    <s v="Feb"/>
    <n v="2"/>
    <n v="2026"/>
    <s v="Weekday"/>
    <n v="0.34"/>
    <n v="0.44444444444444442"/>
    <n v="9.9415204678362568E-2"/>
    <n v="17663"/>
    <s v="Rhein Auto Group"/>
  </r>
  <r>
    <s v="CUST_4069"/>
    <x v="18"/>
    <x v="0"/>
    <s v="Saturday"/>
    <s v="Yes"/>
    <x v="3"/>
    <x v="3"/>
    <s v="Saxony"/>
    <x v="3"/>
    <s v="GLE"/>
    <s v="Diesel"/>
    <x v="0"/>
    <s v="36-50"/>
    <s v="High"/>
    <x v="1"/>
    <x v="2"/>
    <s v="Sales_12"/>
    <n v="150"/>
    <n v="74"/>
    <n v="52"/>
    <n v="18"/>
    <s v="24.32"/>
    <n v="65522"/>
    <s v="4.64"/>
    <n v="46700"/>
    <n v="1179396"/>
    <n v="338796"/>
    <s v="Feb"/>
    <n v="2"/>
    <n v="2026"/>
    <s v="Weekend"/>
    <n v="0.34615384615384615"/>
    <n v="0.49333333333333335"/>
    <n v="0.12"/>
    <n v="18822"/>
    <s v="Saxon Wheels"/>
  </r>
  <r>
    <s v="CUST_4070"/>
    <x v="4"/>
    <x v="2"/>
    <s v="Wednesday"/>
    <s v="No"/>
    <x v="4"/>
    <x v="4"/>
    <s v="Berlin"/>
    <x v="4"/>
    <s v="Passat"/>
    <s v="Hybrid"/>
    <x v="1"/>
    <s v="50+"/>
    <s v="High"/>
    <x v="1"/>
    <x v="3"/>
    <s v="Sales_5"/>
    <n v="313"/>
    <n v="170"/>
    <n v="104"/>
    <n v="30"/>
    <s v="17.65"/>
    <n v="34738"/>
    <s v="7.7"/>
    <n v="30589"/>
    <n v="1042140"/>
    <n v="124470"/>
    <s v="Feb"/>
    <n v="2"/>
    <n v="2026"/>
    <s v="Weekday"/>
    <n v="0.28846153846153844"/>
    <n v="0.54313099041533541"/>
    <n v="9.5846645367412137E-2"/>
    <n v="4149"/>
    <s v="Autohaus Berlin"/>
  </r>
  <r>
    <s v="CUST_4071"/>
    <x v="25"/>
    <x v="3"/>
    <s v="Friday"/>
    <s v="No"/>
    <x v="1"/>
    <x v="1"/>
    <s v="NRW"/>
    <x v="0"/>
    <s v="X5"/>
    <s v="Hybrid"/>
    <x v="0"/>
    <s v="36-50"/>
    <s v="High"/>
    <x v="0"/>
    <x v="3"/>
    <s v="Sales_9"/>
    <n v="162"/>
    <n v="83"/>
    <n v="60"/>
    <n v="25"/>
    <s v="30.12"/>
    <n v="58714"/>
    <s v="3.24"/>
    <n v="43714"/>
    <n v="1467850"/>
    <n v="375000"/>
    <s v="Feb"/>
    <n v="2"/>
    <n v="2026"/>
    <s v="Weekday"/>
    <n v="0.41666666666666669"/>
    <n v="0.51234567901234573"/>
    <n v="0.15432098765432098"/>
    <n v="15000"/>
    <s v="Rhein Auto Group"/>
  </r>
  <r>
    <s v="CUST_4072"/>
    <x v="0"/>
    <x v="0"/>
    <s v="Monday"/>
    <s v="No"/>
    <x v="3"/>
    <x v="3"/>
    <s v="Saxony"/>
    <x v="3"/>
    <s v="E-Class"/>
    <s v="Diesel"/>
    <x v="1"/>
    <s v="36-50"/>
    <s v="Medium"/>
    <x v="1"/>
    <x v="1"/>
    <s v="Sales_5"/>
    <n v="208"/>
    <n v="106"/>
    <n v="72"/>
    <n v="25"/>
    <s v="23.58"/>
    <n v="51510"/>
    <s v="3.03"/>
    <n v="39028"/>
    <n v="1287750"/>
    <n v="312050"/>
    <s v="Feb"/>
    <n v="2"/>
    <n v="2026"/>
    <s v="Weekday"/>
    <n v="0.34722222222222221"/>
    <n v="0.50961538461538458"/>
    <n v="0.1201923076923077"/>
    <n v="12482"/>
    <s v="Saxon Wheels"/>
  </r>
  <r>
    <s v="CUST_4073"/>
    <x v="12"/>
    <x v="3"/>
    <s v="Thursday"/>
    <s v="No"/>
    <x v="5"/>
    <x v="5"/>
    <s v="Hamburg"/>
    <x v="2"/>
    <s v="Q3"/>
    <s v="Electric"/>
    <x v="0"/>
    <s v="36-50"/>
    <s v="Low"/>
    <x v="0"/>
    <x v="3"/>
    <s v="Sales_7"/>
    <n v="253"/>
    <n v="135"/>
    <n v="95"/>
    <n v="32"/>
    <s v="23.7"/>
    <n v="51939"/>
    <s v="4.48"/>
    <n v="41715"/>
    <n v="1662048"/>
    <n v="327168"/>
    <s v="Feb"/>
    <n v="2"/>
    <n v="2026"/>
    <s v="Weekday"/>
    <n v="0.33684210526315789"/>
    <n v="0.53359683794466406"/>
    <n v="0.12648221343873517"/>
    <n v="10224"/>
    <s v="Elbe Drive"/>
  </r>
  <r>
    <s v="CUST_4074"/>
    <x v="14"/>
    <x v="2"/>
    <s v="Friday"/>
    <s v="No"/>
    <x v="5"/>
    <x v="5"/>
    <s v="Hamburg"/>
    <x v="0"/>
    <s v="X5"/>
    <s v="Hybrid"/>
    <x v="0"/>
    <s v="26-35"/>
    <s v="High"/>
    <x v="0"/>
    <x v="0"/>
    <s v="Sales_4"/>
    <n v="173"/>
    <n v="102"/>
    <n v="72"/>
    <n v="27"/>
    <s v="26.47"/>
    <n v="57473"/>
    <s v="4.03"/>
    <n v="42832"/>
    <n v="1551771"/>
    <n v="395307"/>
    <s v="Feb"/>
    <n v="2"/>
    <n v="2026"/>
    <s v="Weekday"/>
    <n v="0.375"/>
    <n v="0.58959537572254339"/>
    <n v="0.15606936416184972"/>
    <n v="14641"/>
    <s v="Elbe Drive"/>
  </r>
  <r>
    <s v="CUST_4075"/>
    <x v="4"/>
    <x v="2"/>
    <s v="Wednesday"/>
    <s v="No"/>
    <x v="4"/>
    <x v="4"/>
    <s v="Berlin"/>
    <x v="0"/>
    <s v="X5"/>
    <s v="Diesel"/>
    <x v="0"/>
    <s v="36-50"/>
    <s v="High"/>
    <x v="1"/>
    <x v="3"/>
    <s v="Sales_12"/>
    <n v="212"/>
    <n v="126"/>
    <n v="99"/>
    <n v="33"/>
    <s v="26.19"/>
    <n v="66243"/>
    <s v="3.93"/>
    <n v="46690"/>
    <n v="2186019"/>
    <n v="645249"/>
    <s v="Feb"/>
    <n v="2"/>
    <n v="2026"/>
    <s v="Weekday"/>
    <n v="0.33333333333333331"/>
    <n v="0.59433962264150941"/>
    <n v="0.15566037735849056"/>
    <n v="19553"/>
    <s v="Autohaus Berlin"/>
  </r>
  <r>
    <s v="CUST_4076"/>
    <x v="14"/>
    <x v="2"/>
    <s v="Friday"/>
    <s v="No"/>
    <x v="3"/>
    <x v="3"/>
    <s v="Saxony"/>
    <x v="3"/>
    <s v="EQE"/>
    <s v="Diesel"/>
    <x v="1"/>
    <s v="26-35"/>
    <s v="High"/>
    <x v="0"/>
    <x v="0"/>
    <s v="Sales_15"/>
    <n v="166"/>
    <n v="79"/>
    <n v="61"/>
    <n v="18"/>
    <s v="22.78"/>
    <n v="67964"/>
    <s v="5.93"/>
    <n v="53635"/>
    <n v="1223352"/>
    <n v="257922"/>
    <s v="Feb"/>
    <n v="2"/>
    <n v="2026"/>
    <s v="Weekday"/>
    <n v="0.29508196721311475"/>
    <n v="0.4759036144578313"/>
    <n v="0.10843373493975904"/>
    <n v="14329"/>
    <s v="Saxon Wheels"/>
  </r>
  <r>
    <s v="CUST_4077"/>
    <x v="20"/>
    <x v="0"/>
    <s v="Thursday"/>
    <s v="No"/>
    <x v="2"/>
    <x v="2"/>
    <s v="Lower Saxony"/>
    <x v="4"/>
    <s v="Golf"/>
    <s v="Electric"/>
    <x v="2"/>
    <s v="36-50"/>
    <s v="Medium"/>
    <x v="1"/>
    <x v="0"/>
    <s v="Sales_5"/>
    <n v="334"/>
    <n v="181"/>
    <n v="125"/>
    <n v="25"/>
    <s v="13.81"/>
    <n v="28009"/>
    <s v="8.16"/>
    <n v="25462"/>
    <n v="700225"/>
    <n v="63675"/>
    <s v="Feb"/>
    <n v="2"/>
    <n v="2026"/>
    <s v="Weekday"/>
    <n v="0.2"/>
    <n v="0.54191616766467066"/>
    <n v="7.4850299401197598E-2"/>
    <n v="2547"/>
    <s v="Hannover Cars"/>
  </r>
  <r>
    <s v="CUST_4078"/>
    <x v="16"/>
    <x v="1"/>
    <s v="Tuesday"/>
    <s v="No"/>
    <x v="2"/>
    <x v="2"/>
    <s v="Lower Saxony"/>
    <x v="0"/>
    <s v="5 Series"/>
    <s v="Petrol"/>
    <x v="1"/>
    <s v="50+"/>
    <s v="Medium"/>
    <x v="0"/>
    <x v="1"/>
    <s v="Sales_8"/>
    <n v="191"/>
    <n v="92"/>
    <n v="73"/>
    <n v="25"/>
    <s v="27.17"/>
    <n v="68915"/>
    <s v="2.64"/>
    <n v="52913"/>
    <n v="1722875"/>
    <n v="400050"/>
    <s v="Feb"/>
    <n v="2"/>
    <n v="2026"/>
    <s v="Weekday"/>
    <n v="0.34246575342465752"/>
    <n v="0.48167539267015708"/>
    <n v="0.13089005235602094"/>
    <n v="16002"/>
    <s v="Hannover Cars"/>
  </r>
  <r>
    <s v="CUST_4079"/>
    <x v="24"/>
    <x v="1"/>
    <s v="Thursday"/>
    <s v="No"/>
    <x v="5"/>
    <x v="5"/>
    <s v="Hamburg"/>
    <x v="2"/>
    <s v="e-tron"/>
    <s v="Hybrid"/>
    <x v="0"/>
    <s v="50+"/>
    <s v="Low"/>
    <x v="1"/>
    <x v="2"/>
    <s v="Sales_19"/>
    <n v="251"/>
    <n v="137"/>
    <n v="98"/>
    <n v="34"/>
    <s v="24.82"/>
    <n v="44321"/>
    <s v="5.47"/>
    <n v="33341"/>
    <n v="1506914"/>
    <n v="373320"/>
    <s v="Feb"/>
    <n v="2"/>
    <n v="2026"/>
    <s v="Weekday"/>
    <n v="0.34693877551020408"/>
    <n v="0.54581673306772904"/>
    <n v="0.13545816733067728"/>
    <n v="10980"/>
    <s v="Elbe Drive"/>
  </r>
  <r>
    <s v="CUST_4080"/>
    <x v="2"/>
    <x v="2"/>
    <s v="Monday"/>
    <s v="No"/>
    <x v="6"/>
    <x v="6"/>
    <s v="Saxony"/>
    <x v="3"/>
    <s v="GLE"/>
    <s v="Petrol"/>
    <x v="0"/>
    <s v="18-25"/>
    <s v="High"/>
    <x v="1"/>
    <x v="3"/>
    <s v="Sales_13"/>
    <n v="186"/>
    <n v="100"/>
    <n v="72"/>
    <n v="23"/>
    <s v="23.0"/>
    <n v="66694"/>
    <s v="3.02"/>
    <n v="50273"/>
    <n v="1533962"/>
    <n v="377683"/>
    <s v="Feb"/>
    <n v="2"/>
    <n v="2026"/>
    <s v="Weekday"/>
    <n v="0.31944444444444442"/>
    <n v="0.5376344086021505"/>
    <n v="0.12365591397849462"/>
    <n v="16421"/>
    <s v="Leipzig Mobility"/>
  </r>
  <r>
    <s v="CUST_4081"/>
    <x v="27"/>
    <x v="3"/>
    <s v="Sunday"/>
    <s v="Yes"/>
    <x v="7"/>
    <x v="7"/>
    <s v="Bavaria"/>
    <x v="1"/>
    <s v="Crossland"/>
    <s v="Diesel"/>
    <x v="0"/>
    <s v="26-35"/>
    <s v="Low"/>
    <x v="1"/>
    <x v="3"/>
    <s v="Sales_4"/>
    <n v="429"/>
    <n v="165"/>
    <n v="92"/>
    <n v="27"/>
    <s v="16.36"/>
    <n v="20354"/>
    <s v="11.06"/>
    <n v="18452"/>
    <n v="549558"/>
    <n v="51354"/>
    <s v="Feb"/>
    <n v="2"/>
    <n v="2026"/>
    <s v="Weekend"/>
    <n v="0.29347826086956524"/>
    <n v="0.38461538461538464"/>
    <n v="6.2937062937062943E-2"/>
    <n v="1902"/>
    <s v="Bavaria Motors"/>
  </r>
  <r>
    <s v="CUST_4082"/>
    <x v="2"/>
    <x v="2"/>
    <s v="Monday"/>
    <s v="No"/>
    <x v="3"/>
    <x v="3"/>
    <s v="Saxony"/>
    <x v="3"/>
    <s v="GLE"/>
    <s v="Petrol"/>
    <x v="0"/>
    <s v="18-25"/>
    <s v="Medium"/>
    <x v="1"/>
    <x v="2"/>
    <s v="Sales_4"/>
    <n v="263"/>
    <n v="117"/>
    <n v="81"/>
    <n v="33"/>
    <s v="28.21"/>
    <n v="63077"/>
    <s v="4.01"/>
    <n v="47951"/>
    <n v="2081541"/>
    <n v="499158"/>
    <s v="Feb"/>
    <n v="2"/>
    <n v="2026"/>
    <s v="Weekday"/>
    <n v="0.40740740740740738"/>
    <n v="0.44486692015209123"/>
    <n v="0.12547528517110265"/>
    <n v="15126"/>
    <s v="Saxon Wheels"/>
  </r>
  <r>
    <s v="CUST_4083"/>
    <x v="14"/>
    <x v="2"/>
    <s v="Friday"/>
    <s v="No"/>
    <x v="0"/>
    <x v="0"/>
    <s v="Hesse"/>
    <x v="0"/>
    <s v="X5"/>
    <s v="Hybrid"/>
    <x v="0"/>
    <s v="36-50"/>
    <s v="Low"/>
    <x v="1"/>
    <x v="2"/>
    <s v="Sales_10"/>
    <n v="268"/>
    <n v="165"/>
    <n v="131"/>
    <n v="52"/>
    <s v="31.52"/>
    <n v="56823"/>
    <s v="5.47"/>
    <n v="41557"/>
    <n v="2954796"/>
    <n v="793832"/>
    <s v="Feb"/>
    <n v="2"/>
    <n v="2026"/>
    <s v="Weekday"/>
    <n v="0.39694656488549618"/>
    <n v="0.61567164179104472"/>
    <n v="0.19402985074626866"/>
    <n v="15266"/>
    <s v="Main Auto Hub"/>
  </r>
  <r>
    <s v="CUST_4084"/>
    <x v="27"/>
    <x v="3"/>
    <s v="Sunday"/>
    <s v="Yes"/>
    <x v="3"/>
    <x v="3"/>
    <s v="Saxony"/>
    <x v="0"/>
    <s v="3 Series"/>
    <s v="Electric"/>
    <x v="1"/>
    <s v="36-50"/>
    <s v="High"/>
    <x v="1"/>
    <x v="0"/>
    <s v="Sales_16"/>
    <n v="181"/>
    <n v="90"/>
    <n v="64"/>
    <n v="21"/>
    <s v="23.33"/>
    <n v="49262"/>
    <s v="5.31"/>
    <n v="35382"/>
    <n v="1034502"/>
    <n v="291480"/>
    <s v="Feb"/>
    <n v="2"/>
    <n v="2026"/>
    <s v="Weekend"/>
    <n v="0.328125"/>
    <n v="0.49723756906077349"/>
    <n v="0.11602209944751381"/>
    <n v="13880"/>
    <s v="Saxon Wheels"/>
  </r>
  <r>
    <s v="CUST_4085"/>
    <x v="16"/>
    <x v="1"/>
    <s v="Tuesday"/>
    <s v="No"/>
    <x v="2"/>
    <x v="2"/>
    <s v="Lower Saxony"/>
    <x v="1"/>
    <s v="Grandland"/>
    <s v="Electric"/>
    <x v="0"/>
    <s v="50+"/>
    <s v="High"/>
    <x v="0"/>
    <x v="3"/>
    <s v="Sales_9"/>
    <n v="262"/>
    <n v="141"/>
    <n v="95"/>
    <n v="21"/>
    <s v="14.89"/>
    <n v="20933"/>
    <s v="7.03"/>
    <n v="19157"/>
    <n v="439593"/>
    <n v="37296"/>
    <s v="Feb"/>
    <n v="2"/>
    <n v="2026"/>
    <s v="Weekday"/>
    <n v="0.22105263157894736"/>
    <n v="0.53816793893129766"/>
    <n v="8.0152671755725186E-2"/>
    <n v="1776"/>
    <s v="Hannover Cars"/>
  </r>
  <r>
    <s v="CUST_4086"/>
    <x v="18"/>
    <x v="0"/>
    <s v="Saturday"/>
    <s v="Yes"/>
    <x v="5"/>
    <x v="5"/>
    <s v="Hamburg"/>
    <x v="4"/>
    <s v="Passat"/>
    <s v="Petrol"/>
    <x v="1"/>
    <s v="18-25"/>
    <s v="Medium"/>
    <x v="1"/>
    <x v="0"/>
    <s v="Sales_9"/>
    <n v="337"/>
    <n v="145"/>
    <n v="95"/>
    <n v="19"/>
    <s v="13.1"/>
    <n v="28466"/>
    <s v="11.36"/>
    <n v="25029"/>
    <n v="540854"/>
    <n v="65303"/>
    <s v="Feb"/>
    <n v="2"/>
    <n v="2026"/>
    <s v="Weekend"/>
    <n v="0.2"/>
    <n v="0.43026706231454004"/>
    <n v="5.637982195845697E-2"/>
    <n v="3437"/>
    <s v="Elbe Drive"/>
  </r>
  <r>
    <s v="CUST_4087"/>
    <x v="10"/>
    <x v="1"/>
    <s v="Monday"/>
    <s v="No"/>
    <x v="4"/>
    <x v="4"/>
    <s v="Berlin"/>
    <x v="2"/>
    <s v="A3"/>
    <s v="Petrol"/>
    <x v="2"/>
    <s v="18-25"/>
    <s v="High"/>
    <x v="0"/>
    <x v="0"/>
    <s v="Sales_13"/>
    <n v="278"/>
    <n v="152"/>
    <n v="117"/>
    <n v="36"/>
    <s v="23.68"/>
    <n v="47387"/>
    <s v="6.7"/>
    <n v="38429"/>
    <n v="1705932"/>
    <n v="322488"/>
    <s v="Feb"/>
    <n v="2"/>
    <n v="2026"/>
    <s v="Weekday"/>
    <n v="0.30769230769230771"/>
    <n v="0.5467625899280576"/>
    <n v="0.12949640287769784"/>
    <n v="8958"/>
    <s v="Autohaus Berlin"/>
  </r>
  <r>
    <s v="CUST_4088"/>
    <x v="5"/>
    <x v="3"/>
    <s v="Saturday"/>
    <s v="Yes"/>
    <x v="0"/>
    <x v="0"/>
    <s v="Hesse"/>
    <x v="1"/>
    <s v="Mokka"/>
    <s v="Hybrid"/>
    <x v="0"/>
    <s v="26-35"/>
    <s v="Medium"/>
    <x v="0"/>
    <x v="3"/>
    <s v="Sales_4"/>
    <n v="426"/>
    <n v="223"/>
    <n v="127"/>
    <n v="35"/>
    <s v="15.7"/>
    <n v="24591"/>
    <s v="12.48"/>
    <n v="22773"/>
    <n v="860685"/>
    <n v="63630"/>
    <s v="Feb"/>
    <n v="2"/>
    <n v="2026"/>
    <s v="Weekend"/>
    <n v="0.27559055118110237"/>
    <n v="0.52347417840375587"/>
    <n v="8.2159624413145546E-2"/>
    <n v="1818"/>
    <s v="Main Auto Hub"/>
  </r>
  <r>
    <s v="CUST_4089"/>
    <x v="26"/>
    <x v="1"/>
    <s v="Friday"/>
    <s v="No"/>
    <x v="2"/>
    <x v="2"/>
    <s v="Lower Saxony"/>
    <x v="2"/>
    <s v="Q5"/>
    <s v="Hybrid"/>
    <x v="0"/>
    <s v="50+"/>
    <s v="Medium"/>
    <x v="0"/>
    <x v="2"/>
    <s v="Sales_16"/>
    <n v="167"/>
    <n v="80"/>
    <n v="62"/>
    <n v="21"/>
    <s v="26.25"/>
    <n v="54215"/>
    <s v="3.77"/>
    <n v="42177"/>
    <n v="1138515"/>
    <n v="252798"/>
    <s v="Feb"/>
    <n v="2"/>
    <n v="2026"/>
    <s v="Weekday"/>
    <n v="0.33870967741935482"/>
    <n v="0.47904191616766467"/>
    <n v="0.12574850299401197"/>
    <n v="12038"/>
    <s v="Hannover Cars"/>
  </r>
  <r>
    <s v="CUST_4090"/>
    <x v="21"/>
    <x v="0"/>
    <s v="Tuesday"/>
    <s v="No"/>
    <x v="8"/>
    <x v="8"/>
    <s v="Baden-WÃ¼rttemberg"/>
    <x v="1"/>
    <s v="Corsa"/>
    <s v="Petrol"/>
    <x v="2"/>
    <s v="50+"/>
    <s v="Medium"/>
    <x v="1"/>
    <x v="1"/>
    <s v="Sales_11"/>
    <n v="322"/>
    <n v="151"/>
    <n v="94"/>
    <n v="29"/>
    <s v="19.21"/>
    <n v="24261"/>
    <s v="7.61"/>
    <n v="22499"/>
    <n v="703569"/>
    <n v="51098"/>
    <s v="Feb"/>
    <n v="2"/>
    <n v="2026"/>
    <s v="Weekday"/>
    <n v="0.30851063829787234"/>
    <n v="0.46894409937888198"/>
    <n v="9.0062111801242239E-2"/>
    <n v="1762"/>
    <s v="Stuttgart Auto Center"/>
  </r>
  <r>
    <s v="CUST_4091"/>
    <x v="8"/>
    <x v="3"/>
    <s v="Wednesday"/>
    <s v="No"/>
    <x v="7"/>
    <x v="7"/>
    <s v="Bavaria"/>
    <x v="3"/>
    <s v="C-Class"/>
    <s v="Diesel"/>
    <x v="1"/>
    <s v="26-35"/>
    <s v="High"/>
    <x v="1"/>
    <x v="3"/>
    <s v="Sales_19"/>
    <n v="213"/>
    <n v="115"/>
    <n v="78"/>
    <n v="31"/>
    <s v="26.96"/>
    <n v="63571"/>
    <s v="5.55"/>
    <n v="48609"/>
    <n v="1970701"/>
    <n v="463822"/>
    <s v="Feb"/>
    <n v="2"/>
    <n v="2026"/>
    <s v="Weekday"/>
    <n v="0.39743589743589741"/>
    <n v="0.539906103286385"/>
    <n v="0.14553990610328638"/>
    <n v="14962"/>
    <s v="Bavaria Motors"/>
  </r>
  <r>
    <s v="CUST_4092"/>
    <x v="14"/>
    <x v="2"/>
    <s v="Friday"/>
    <s v="No"/>
    <x v="2"/>
    <x v="2"/>
    <s v="Lower Saxony"/>
    <x v="4"/>
    <s v="Passat"/>
    <s v="Petrol"/>
    <x v="1"/>
    <s v="26-35"/>
    <s v="Low"/>
    <x v="1"/>
    <x v="2"/>
    <s v="Sales_12"/>
    <n v="498"/>
    <n v="200"/>
    <n v="116"/>
    <n v="35"/>
    <s v="17.5"/>
    <n v="26085"/>
    <s v="11.45"/>
    <n v="22674"/>
    <n v="912975"/>
    <n v="119385"/>
    <s v="Feb"/>
    <n v="2"/>
    <n v="2026"/>
    <s v="Weekday"/>
    <n v="0.30172413793103448"/>
    <n v="0.40160642570281124"/>
    <n v="7.0281124497991967E-2"/>
    <n v="3411"/>
    <s v="Hannover Cars"/>
  </r>
  <r>
    <s v="CUST_4093"/>
    <x v="22"/>
    <x v="3"/>
    <s v="Tuesday"/>
    <s v="No"/>
    <x v="3"/>
    <x v="3"/>
    <s v="Saxony"/>
    <x v="1"/>
    <s v="Grandland"/>
    <s v="Hybrid"/>
    <x v="0"/>
    <s v="18-25"/>
    <s v="Low"/>
    <x v="1"/>
    <x v="0"/>
    <s v="Sales_6"/>
    <n v="352"/>
    <n v="153"/>
    <n v="105"/>
    <n v="18"/>
    <s v="11.76"/>
    <n v="25733"/>
    <s v="9.52"/>
    <n v="23282"/>
    <n v="463194"/>
    <n v="44118"/>
    <s v="Feb"/>
    <n v="2"/>
    <n v="2026"/>
    <s v="Weekday"/>
    <n v="0.17142857142857143"/>
    <n v="0.43465909090909088"/>
    <n v="5.113636363636364E-2"/>
    <n v="2451"/>
    <s v="Saxon Wheels"/>
  </r>
  <r>
    <s v="CUST_4094"/>
    <x v="21"/>
    <x v="0"/>
    <s v="Tuesday"/>
    <s v="No"/>
    <x v="5"/>
    <x v="5"/>
    <s v="Hamburg"/>
    <x v="2"/>
    <s v="e-tron"/>
    <s v="Electric"/>
    <x v="0"/>
    <s v="26-35"/>
    <s v="Medium"/>
    <x v="0"/>
    <x v="1"/>
    <s v="Sales_3"/>
    <n v="166"/>
    <n v="85"/>
    <n v="55"/>
    <n v="21"/>
    <s v="24.71"/>
    <n v="51196"/>
    <s v="5.96"/>
    <n v="39549"/>
    <n v="1075116"/>
    <n v="244587"/>
    <s v="Feb"/>
    <n v="2"/>
    <n v="2026"/>
    <s v="Weekday"/>
    <n v="0.38181818181818183"/>
    <n v="0.51204819277108438"/>
    <n v="0.12650602409638553"/>
    <n v="11647"/>
    <s v="Elbe Drive"/>
  </r>
  <r>
    <s v="CUST_4095"/>
    <x v="16"/>
    <x v="1"/>
    <s v="Tuesday"/>
    <s v="No"/>
    <x v="5"/>
    <x v="5"/>
    <s v="Hamburg"/>
    <x v="4"/>
    <s v="T-Roc"/>
    <s v="Diesel"/>
    <x v="0"/>
    <s v="36-50"/>
    <s v="Medium"/>
    <x v="1"/>
    <x v="2"/>
    <s v="Sales_10"/>
    <n v="471"/>
    <n v="261"/>
    <n v="177"/>
    <n v="53"/>
    <s v="20.31"/>
    <n v="27130"/>
    <s v="10.3"/>
    <n v="24296"/>
    <n v="1437890"/>
    <n v="150202"/>
    <s v="Feb"/>
    <n v="2"/>
    <n v="2026"/>
    <s v="Weekday"/>
    <n v="0.29943502824858759"/>
    <n v="0.55414012738853502"/>
    <n v="0.11252653927813164"/>
    <n v="2834"/>
    <s v="Elbe Drive"/>
  </r>
  <r>
    <s v="CUST_4096"/>
    <x v="2"/>
    <x v="2"/>
    <s v="Monday"/>
    <s v="No"/>
    <x v="2"/>
    <x v="2"/>
    <s v="Lower Saxony"/>
    <x v="4"/>
    <s v="Passat"/>
    <s v="Hybrid"/>
    <x v="1"/>
    <s v="18-25"/>
    <s v="Medium"/>
    <x v="1"/>
    <x v="1"/>
    <s v="Sales_14"/>
    <n v="314"/>
    <n v="177"/>
    <n v="117"/>
    <n v="27"/>
    <s v="15.25"/>
    <n v="27049"/>
    <s v="8.07"/>
    <n v="23922"/>
    <n v="730323"/>
    <n v="84429"/>
    <s v="Feb"/>
    <n v="2"/>
    <n v="2026"/>
    <s v="Weekday"/>
    <n v="0.23076923076923078"/>
    <n v="0.56369426751592355"/>
    <n v="8.598726114649681E-2"/>
    <n v="3127"/>
    <s v="Hannover Cars"/>
  </r>
  <r>
    <s v="CUST_4097"/>
    <x v="23"/>
    <x v="2"/>
    <s v="Tuesday"/>
    <s v="No"/>
    <x v="7"/>
    <x v="7"/>
    <s v="Bavaria"/>
    <x v="3"/>
    <s v="EQE"/>
    <s v="Diesel"/>
    <x v="1"/>
    <s v="36-50"/>
    <s v="Low"/>
    <x v="0"/>
    <x v="2"/>
    <s v="Sales_4"/>
    <n v="192"/>
    <n v="112"/>
    <n v="80"/>
    <n v="33"/>
    <s v="29.46"/>
    <n v="51971"/>
    <s v="3.79"/>
    <n v="37497"/>
    <n v="1715043"/>
    <n v="477642"/>
    <s v="Feb"/>
    <n v="2"/>
    <n v="2026"/>
    <s v="Weekday"/>
    <n v="0.41249999999999998"/>
    <n v="0.58333333333333337"/>
    <n v="0.171875"/>
    <n v="14474"/>
    <s v="Bavaria Motors"/>
  </r>
  <r>
    <s v="CUST_4098"/>
    <x v="19"/>
    <x v="1"/>
    <s v="Saturday"/>
    <s v="Yes"/>
    <x v="3"/>
    <x v="3"/>
    <s v="Saxony"/>
    <x v="3"/>
    <s v="GLC"/>
    <s v="Electric"/>
    <x v="0"/>
    <s v="26-35"/>
    <s v="High"/>
    <x v="0"/>
    <x v="1"/>
    <s v="Sales_16"/>
    <n v="234"/>
    <n v="128"/>
    <n v="97"/>
    <n v="33"/>
    <s v="25.78"/>
    <n v="57488"/>
    <s v="4.35"/>
    <n v="40909"/>
    <n v="1897104"/>
    <n v="547107"/>
    <s v="Feb"/>
    <n v="2"/>
    <n v="2026"/>
    <s v="Weekend"/>
    <n v="0.34020618556701032"/>
    <n v="0.54700854700854706"/>
    <n v="0.14102564102564102"/>
    <n v="16579"/>
    <s v="Saxon Wheels"/>
  </r>
  <r>
    <s v="CUST_4099"/>
    <x v="20"/>
    <x v="0"/>
    <s v="Thursday"/>
    <s v="No"/>
    <x v="4"/>
    <x v="4"/>
    <s v="Berlin"/>
    <x v="3"/>
    <s v="E-Class"/>
    <s v="Diesel"/>
    <x v="1"/>
    <s v="26-35"/>
    <s v="Medium"/>
    <x v="1"/>
    <x v="0"/>
    <s v="Sales_16"/>
    <n v="153"/>
    <n v="75"/>
    <n v="54"/>
    <n v="18"/>
    <s v="24.0"/>
    <n v="57676"/>
    <s v="3.17"/>
    <n v="44908"/>
    <n v="1038168"/>
    <n v="229824"/>
    <s v="Feb"/>
    <n v="2"/>
    <n v="2026"/>
    <s v="Weekday"/>
    <n v="0.33333333333333331"/>
    <n v="0.49019607843137253"/>
    <n v="0.11764705882352941"/>
    <n v="12768"/>
    <s v="Autohaus Berlin"/>
  </r>
  <r>
    <s v="CUST_4100"/>
    <x v="2"/>
    <x v="2"/>
    <s v="Monday"/>
    <s v="No"/>
    <x v="7"/>
    <x v="7"/>
    <s v="Bavaria"/>
    <x v="2"/>
    <s v="A4"/>
    <s v="Hybrid"/>
    <x v="1"/>
    <s v="26-35"/>
    <s v="Medium"/>
    <x v="0"/>
    <x v="2"/>
    <s v="Sales_16"/>
    <n v="276"/>
    <n v="170"/>
    <n v="113"/>
    <n v="51"/>
    <s v="30.0"/>
    <n v="41160"/>
    <s v="5.01"/>
    <n v="33269"/>
    <n v="2099160"/>
    <n v="402441"/>
    <s v="Feb"/>
    <n v="2"/>
    <n v="2026"/>
    <s v="Weekday"/>
    <n v="0.45132743362831856"/>
    <n v="0.61594202898550721"/>
    <n v="0.18478260869565216"/>
    <n v="7891"/>
    <s v="Bavaria Motors"/>
  </r>
  <r>
    <s v="CUST_4101"/>
    <x v="7"/>
    <x v="3"/>
    <s v="Monday"/>
    <s v="No"/>
    <x v="5"/>
    <x v="5"/>
    <s v="Hamburg"/>
    <x v="4"/>
    <s v="ID.4"/>
    <s v="Petrol"/>
    <x v="0"/>
    <s v="36-50"/>
    <s v="High"/>
    <x v="1"/>
    <x v="1"/>
    <s v="Sales_3"/>
    <n v="379"/>
    <n v="173"/>
    <n v="108"/>
    <n v="29"/>
    <s v="16.76"/>
    <n v="26379"/>
    <s v="10.06"/>
    <n v="23007"/>
    <n v="764991"/>
    <n v="97788"/>
    <s v="Feb"/>
    <n v="2"/>
    <n v="2026"/>
    <s v="Weekday"/>
    <n v="0.26851851851851855"/>
    <n v="0.45646437994722955"/>
    <n v="7.6517150395778361E-2"/>
    <n v="3372"/>
    <s v="Elbe Drive"/>
  </r>
  <r>
    <s v="CUST_4102"/>
    <x v="12"/>
    <x v="3"/>
    <s v="Thursday"/>
    <s v="No"/>
    <x v="6"/>
    <x v="6"/>
    <s v="Saxony"/>
    <x v="4"/>
    <s v="T-Roc"/>
    <s v="Petrol"/>
    <x v="0"/>
    <s v="18-25"/>
    <s v="Low"/>
    <x v="0"/>
    <x v="1"/>
    <s v="Sales_5"/>
    <n v="388"/>
    <n v="191"/>
    <n v="115"/>
    <n v="31"/>
    <s v="16.23"/>
    <n v="27689"/>
    <s v="7.76"/>
    <n v="23842"/>
    <n v="858359"/>
    <n v="119257"/>
    <s v="Feb"/>
    <n v="2"/>
    <n v="2026"/>
    <s v="Weekday"/>
    <n v="0.26956521739130435"/>
    <n v="0.49226804123711343"/>
    <n v="7.9896907216494839E-2"/>
    <n v="3847"/>
    <s v="Leipzig Mobility"/>
  </r>
  <r>
    <s v="CUST_4103"/>
    <x v="18"/>
    <x v="0"/>
    <s v="Saturday"/>
    <s v="Yes"/>
    <x v="6"/>
    <x v="6"/>
    <s v="Saxony"/>
    <x v="3"/>
    <s v="GLE"/>
    <s v="Petrol"/>
    <x v="0"/>
    <s v="36-50"/>
    <s v="High"/>
    <x v="0"/>
    <x v="0"/>
    <s v="Sales_19"/>
    <n v="232"/>
    <n v="102"/>
    <n v="69"/>
    <n v="24"/>
    <s v="23.53"/>
    <n v="62976"/>
    <s v="3.77"/>
    <n v="49328"/>
    <n v="1511424"/>
    <n v="327552"/>
    <s v="Feb"/>
    <n v="2"/>
    <n v="2026"/>
    <s v="Weekend"/>
    <n v="0.34782608695652173"/>
    <n v="0.43965517241379309"/>
    <n v="0.10344827586206896"/>
    <n v="13648"/>
    <s v="Leipzig Mobility"/>
  </r>
  <r>
    <s v="CUST_4104"/>
    <x v="10"/>
    <x v="1"/>
    <s v="Monday"/>
    <s v="No"/>
    <x v="1"/>
    <x v="1"/>
    <s v="NRW"/>
    <x v="3"/>
    <s v="C-Class"/>
    <s v="Electric"/>
    <x v="1"/>
    <s v="26-35"/>
    <s v="High"/>
    <x v="1"/>
    <x v="1"/>
    <s v="Sales_13"/>
    <n v="164"/>
    <n v="74"/>
    <n v="53"/>
    <n v="18"/>
    <s v="24.32"/>
    <n v="56628"/>
    <s v="4.26"/>
    <n v="43056"/>
    <n v="1019304"/>
    <n v="244296"/>
    <s v="Feb"/>
    <n v="2"/>
    <n v="2026"/>
    <s v="Weekday"/>
    <n v="0.33962264150943394"/>
    <n v="0.45121951219512196"/>
    <n v="0.10975609756097561"/>
    <n v="13572"/>
    <s v="Rhein Auto Group"/>
  </r>
  <r>
    <s v="CUST_4105"/>
    <x v="3"/>
    <x v="1"/>
    <s v="Sunday"/>
    <s v="Yes"/>
    <x v="4"/>
    <x v="4"/>
    <s v="Berlin"/>
    <x v="4"/>
    <s v="Passat"/>
    <s v="Petrol"/>
    <x v="1"/>
    <s v="36-50"/>
    <s v="Low"/>
    <x v="1"/>
    <x v="1"/>
    <s v="Sales_12"/>
    <n v="359"/>
    <n v="155"/>
    <n v="106"/>
    <n v="28"/>
    <s v="18.06"/>
    <n v="27342"/>
    <s v="6.98"/>
    <n v="24372"/>
    <n v="765576"/>
    <n v="83160"/>
    <s v="Feb"/>
    <n v="2"/>
    <n v="2026"/>
    <s v="Weekend"/>
    <n v="0.26415094339622641"/>
    <n v="0.43175487465181056"/>
    <n v="7.7994428969359333E-2"/>
    <n v="2970"/>
    <s v="Autohaus Berlin"/>
  </r>
  <r>
    <s v="CUST_4106"/>
    <x v="12"/>
    <x v="3"/>
    <s v="Thursday"/>
    <s v="No"/>
    <x v="6"/>
    <x v="6"/>
    <s v="Saxony"/>
    <x v="1"/>
    <s v="Astra"/>
    <s v="Petrol"/>
    <x v="2"/>
    <s v="50+"/>
    <s v="Low"/>
    <x v="1"/>
    <x v="3"/>
    <s v="Sales_4"/>
    <n v="344"/>
    <n v="142"/>
    <n v="80"/>
    <n v="22"/>
    <s v="15.49"/>
    <n v="24324"/>
    <s v="12.54"/>
    <n v="21901"/>
    <n v="535128"/>
    <n v="53306"/>
    <s v="Feb"/>
    <n v="2"/>
    <n v="2026"/>
    <s v="Weekday"/>
    <n v="0.27500000000000002"/>
    <n v="0.41279069767441862"/>
    <n v="6.3953488372093026E-2"/>
    <n v="2423"/>
    <s v="Leipzig Mobility"/>
  </r>
  <r>
    <s v="CUST_4107"/>
    <x v="12"/>
    <x v="3"/>
    <s v="Thursday"/>
    <s v="No"/>
    <x v="7"/>
    <x v="7"/>
    <s v="Bavaria"/>
    <x v="0"/>
    <s v="i4"/>
    <s v="Petrol"/>
    <x v="1"/>
    <s v="18-25"/>
    <s v="High"/>
    <x v="0"/>
    <x v="3"/>
    <s v="Sales_6"/>
    <n v="153"/>
    <n v="86"/>
    <n v="61"/>
    <n v="23"/>
    <s v="26.74"/>
    <n v="55429"/>
    <s v="3.85"/>
    <n v="41361"/>
    <n v="1274867"/>
    <n v="323564"/>
    <s v="Feb"/>
    <n v="2"/>
    <n v="2026"/>
    <s v="Weekday"/>
    <n v="0.37704918032786883"/>
    <n v="0.56209150326797386"/>
    <n v="0.15032679738562091"/>
    <n v="14068"/>
    <s v="Bavaria Motors"/>
  </r>
  <r>
    <s v="CUST_4108"/>
    <x v="4"/>
    <x v="2"/>
    <s v="Wednesday"/>
    <s v="No"/>
    <x v="9"/>
    <x v="9"/>
    <s v="NRW"/>
    <x v="1"/>
    <s v="Crossland"/>
    <s v="Diesel"/>
    <x v="0"/>
    <s v="18-25"/>
    <s v="Low"/>
    <x v="0"/>
    <x v="3"/>
    <s v="Sales_14"/>
    <n v="229"/>
    <n v="88"/>
    <n v="55"/>
    <n v="11"/>
    <s v="12.5"/>
    <n v="22532"/>
    <s v="9.53"/>
    <n v="20056"/>
    <n v="247852"/>
    <n v="27236"/>
    <s v="Feb"/>
    <n v="2"/>
    <n v="2026"/>
    <s v="Weekday"/>
    <n v="0.2"/>
    <n v="0.38427947598253276"/>
    <n v="4.8034934497816595E-2"/>
    <n v="2476"/>
    <s v="Ruhr Auto Plaza"/>
  </r>
  <r>
    <s v="CUST_4109"/>
    <x v="27"/>
    <x v="3"/>
    <s v="Sunday"/>
    <s v="Yes"/>
    <x v="5"/>
    <x v="5"/>
    <s v="Hamburg"/>
    <x v="0"/>
    <s v="i4"/>
    <s v="Electric"/>
    <x v="1"/>
    <s v="50+"/>
    <s v="Low"/>
    <x v="0"/>
    <x v="2"/>
    <s v="Sales_20"/>
    <n v="227"/>
    <n v="132"/>
    <n v="104"/>
    <n v="44"/>
    <s v="33.33"/>
    <n v="54695"/>
    <s v="3.83"/>
    <n v="41808"/>
    <n v="2406580"/>
    <n v="567028"/>
    <s v="Feb"/>
    <n v="2"/>
    <n v="2026"/>
    <s v="Weekend"/>
    <n v="0.42307692307692307"/>
    <n v="0.58149779735682816"/>
    <n v="0.19383259911894274"/>
    <n v="12887"/>
    <s v="Elbe Drive"/>
  </r>
  <r>
    <s v="CUST_4110"/>
    <x v="16"/>
    <x v="1"/>
    <s v="Tuesday"/>
    <s v="No"/>
    <x v="1"/>
    <x v="1"/>
    <s v="NRW"/>
    <x v="4"/>
    <s v="Passat"/>
    <s v="Hybrid"/>
    <x v="1"/>
    <s v="50+"/>
    <s v="Medium"/>
    <x v="0"/>
    <x v="1"/>
    <s v="Sales_14"/>
    <n v="316"/>
    <n v="141"/>
    <n v="98"/>
    <n v="25"/>
    <s v="17.73"/>
    <n v="26733"/>
    <s v="11.52"/>
    <n v="23361"/>
    <n v="668325"/>
    <n v="84300"/>
    <s v="Feb"/>
    <n v="2"/>
    <n v="2026"/>
    <s v="Weekday"/>
    <n v="0.25510204081632654"/>
    <n v="0.44620253164556961"/>
    <n v="7.9113924050632917E-2"/>
    <n v="3372"/>
    <s v="Rhein Auto Group"/>
  </r>
  <r>
    <s v="CUST_4111"/>
    <x v="14"/>
    <x v="2"/>
    <s v="Friday"/>
    <s v="No"/>
    <x v="3"/>
    <x v="3"/>
    <s v="Saxony"/>
    <x v="0"/>
    <s v="i4"/>
    <s v="Hybrid"/>
    <x v="1"/>
    <s v="18-25"/>
    <s v="Medium"/>
    <x v="0"/>
    <x v="0"/>
    <s v="Sales_16"/>
    <n v="196"/>
    <n v="110"/>
    <n v="75"/>
    <n v="28"/>
    <s v="25.45"/>
    <n v="53147"/>
    <s v="3.94"/>
    <n v="37319"/>
    <n v="1488116"/>
    <n v="443184"/>
    <s v="Feb"/>
    <n v="2"/>
    <n v="2026"/>
    <s v="Weekday"/>
    <n v="0.37333333333333335"/>
    <n v="0.56122448979591832"/>
    <n v="0.14285714285714285"/>
    <n v="15828"/>
    <s v="Saxon Wheels"/>
  </r>
  <r>
    <s v="CUST_4112"/>
    <x v="1"/>
    <x v="1"/>
    <s v="Wednesday"/>
    <s v="No"/>
    <x v="9"/>
    <x v="9"/>
    <s v="NRW"/>
    <x v="0"/>
    <s v="i4"/>
    <s v="Petrol"/>
    <x v="1"/>
    <s v="50+"/>
    <s v="Low"/>
    <x v="0"/>
    <x v="3"/>
    <s v="Sales_15"/>
    <n v="222"/>
    <n v="105"/>
    <n v="72"/>
    <n v="30"/>
    <s v="28.57"/>
    <n v="54201"/>
    <s v="4.31"/>
    <n v="40307"/>
    <n v="1626030"/>
    <n v="416820"/>
    <s v="Feb"/>
    <n v="2"/>
    <n v="2026"/>
    <s v="Weekday"/>
    <n v="0.41666666666666669"/>
    <n v="0.47297297297297297"/>
    <n v="0.13513513513513514"/>
    <n v="13894"/>
    <s v="Ruhr Auto Plaza"/>
  </r>
  <r>
    <s v="CUST_4113"/>
    <x v="12"/>
    <x v="3"/>
    <s v="Thursday"/>
    <s v="No"/>
    <x v="2"/>
    <x v="2"/>
    <s v="Lower Saxony"/>
    <x v="3"/>
    <s v="C-Class"/>
    <s v="Diesel"/>
    <x v="1"/>
    <s v="50+"/>
    <s v="Low"/>
    <x v="0"/>
    <x v="0"/>
    <s v="Sales_9"/>
    <n v="238"/>
    <n v="111"/>
    <n v="74"/>
    <n v="26"/>
    <s v="23.42"/>
    <n v="66978"/>
    <s v="3.63"/>
    <n v="50002"/>
    <n v="1741428"/>
    <n v="441376"/>
    <s v="Feb"/>
    <n v="2"/>
    <n v="2026"/>
    <s v="Weekday"/>
    <n v="0.35135135135135137"/>
    <n v="0.46638655462184875"/>
    <n v="0.1092436974789916"/>
    <n v="16976"/>
    <s v="Hannover Cars"/>
  </r>
  <r>
    <s v="CUST_4114"/>
    <x v="13"/>
    <x v="0"/>
    <s v="Friday"/>
    <s v="No"/>
    <x v="1"/>
    <x v="1"/>
    <s v="NRW"/>
    <x v="1"/>
    <s v="Crossland"/>
    <s v="Petrol"/>
    <x v="0"/>
    <s v="18-25"/>
    <s v="High"/>
    <x v="1"/>
    <x v="3"/>
    <s v="Sales_5"/>
    <n v="412"/>
    <n v="215"/>
    <n v="126"/>
    <n v="35"/>
    <s v="16.28"/>
    <n v="21798"/>
    <s v="7.75"/>
    <n v="20272"/>
    <n v="762930"/>
    <n v="53410"/>
    <s v="Feb"/>
    <n v="2"/>
    <n v="2026"/>
    <s v="Weekday"/>
    <n v="0.27777777777777779"/>
    <n v="0.52184466019417475"/>
    <n v="8.4951456310679616E-2"/>
    <n v="1526"/>
    <s v="Rhein Auto Group"/>
  </r>
  <r>
    <s v="CUST_4115"/>
    <x v="21"/>
    <x v="0"/>
    <s v="Tuesday"/>
    <s v="No"/>
    <x v="7"/>
    <x v="7"/>
    <s v="Bavaria"/>
    <x v="3"/>
    <s v="C-Class"/>
    <s v="Electric"/>
    <x v="1"/>
    <s v="36-50"/>
    <s v="High"/>
    <x v="1"/>
    <x v="1"/>
    <s v="Sales_2"/>
    <n v="192"/>
    <n v="110"/>
    <n v="76"/>
    <n v="28"/>
    <s v="25.45"/>
    <n v="54037"/>
    <s v="3.85"/>
    <n v="40673"/>
    <n v="1513036"/>
    <n v="374192"/>
    <s v="Feb"/>
    <n v="2"/>
    <n v="2026"/>
    <s v="Weekday"/>
    <n v="0.36842105263157893"/>
    <n v="0.57291666666666663"/>
    <n v="0.14583333333333334"/>
    <n v="13364"/>
    <s v="Bavaria Motors"/>
  </r>
  <r>
    <s v="CUST_4116"/>
    <x v="23"/>
    <x v="2"/>
    <s v="Tuesday"/>
    <s v="No"/>
    <x v="6"/>
    <x v="6"/>
    <s v="Saxony"/>
    <x v="4"/>
    <s v="Tiguan"/>
    <s v="Electric"/>
    <x v="0"/>
    <s v="50+"/>
    <s v="Low"/>
    <x v="0"/>
    <x v="2"/>
    <s v="Sales_5"/>
    <n v="283"/>
    <n v="163"/>
    <n v="105"/>
    <n v="33"/>
    <s v="20.25"/>
    <n v="32295"/>
    <s v="11.46"/>
    <n v="28064"/>
    <n v="1065735"/>
    <n v="139623"/>
    <s v="Feb"/>
    <n v="2"/>
    <n v="2026"/>
    <s v="Weekday"/>
    <n v="0.31428571428571428"/>
    <n v="0.57597173144876324"/>
    <n v="0.1166077738515901"/>
    <n v="4231"/>
    <s v="Leipzig Mobility"/>
  </r>
  <r>
    <s v="CUST_4117"/>
    <x v="10"/>
    <x v="1"/>
    <s v="Monday"/>
    <s v="No"/>
    <x v="5"/>
    <x v="5"/>
    <s v="Hamburg"/>
    <x v="0"/>
    <s v="3 Series"/>
    <s v="Diesel"/>
    <x v="1"/>
    <s v="50+"/>
    <s v="Medium"/>
    <x v="1"/>
    <x v="0"/>
    <s v="Sales_13"/>
    <n v="248"/>
    <n v="123"/>
    <n v="94"/>
    <n v="31"/>
    <s v="25.2"/>
    <n v="57788"/>
    <s v="3.26"/>
    <n v="42118"/>
    <n v="1791428"/>
    <n v="485770"/>
    <s v="Feb"/>
    <n v="2"/>
    <n v="2026"/>
    <s v="Weekday"/>
    <n v="0.32978723404255317"/>
    <n v="0.49596774193548387"/>
    <n v="0.125"/>
    <n v="15670"/>
    <s v="Elbe Drive"/>
  </r>
  <r>
    <s v="CUST_4118"/>
    <x v="2"/>
    <x v="2"/>
    <s v="Monday"/>
    <s v="No"/>
    <x v="9"/>
    <x v="9"/>
    <s v="NRW"/>
    <x v="3"/>
    <s v="GLE"/>
    <s v="Petrol"/>
    <x v="0"/>
    <s v="18-25"/>
    <s v="High"/>
    <x v="1"/>
    <x v="3"/>
    <s v="Sales_12"/>
    <n v="151"/>
    <n v="84"/>
    <n v="63"/>
    <n v="19"/>
    <s v="22.62"/>
    <n v="67683"/>
    <s v="5.85"/>
    <n v="52588"/>
    <n v="1285977"/>
    <n v="286805"/>
    <s v="Feb"/>
    <n v="2"/>
    <n v="2026"/>
    <s v="Weekday"/>
    <n v="0.30158730158730157"/>
    <n v="0.55629139072847678"/>
    <n v="0.12582781456953643"/>
    <n v="15095"/>
    <s v="Ruhr Auto Plaza"/>
  </r>
  <r>
    <s v="CUST_4119"/>
    <x v="0"/>
    <x v="0"/>
    <s v="Monday"/>
    <s v="No"/>
    <x v="1"/>
    <x v="1"/>
    <s v="NRW"/>
    <x v="2"/>
    <s v="e-tron"/>
    <s v="Electric"/>
    <x v="0"/>
    <s v="18-25"/>
    <s v="Low"/>
    <x v="0"/>
    <x v="0"/>
    <s v="Sales_10"/>
    <n v="311"/>
    <n v="167"/>
    <n v="116"/>
    <n v="35"/>
    <s v="20.96"/>
    <n v="44242"/>
    <s v="4.1"/>
    <n v="33810"/>
    <n v="1548470"/>
    <n v="365120"/>
    <s v="Feb"/>
    <n v="2"/>
    <n v="2026"/>
    <s v="Weekday"/>
    <n v="0.30172413793103448"/>
    <n v="0.53697749196141475"/>
    <n v="0.11254019292604502"/>
    <n v="10432"/>
    <s v="Rhein Auto Group"/>
  </r>
  <r>
    <s v="CUST_4120"/>
    <x v="24"/>
    <x v="1"/>
    <s v="Thursday"/>
    <s v="No"/>
    <x v="2"/>
    <x v="2"/>
    <s v="Lower Saxony"/>
    <x v="3"/>
    <s v="E-Class"/>
    <s v="Hybrid"/>
    <x v="1"/>
    <s v="18-25"/>
    <s v="High"/>
    <x v="0"/>
    <x v="0"/>
    <s v="Sales_3"/>
    <n v="274"/>
    <n v="135"/>
    <n v="98"/>
    <n v="35"/>
    <s v="25.93"/>
    <n v="56520"/>
    <s v="3.23"/>
    <n v="42318"/>
    <n v="1978200"/>
    <n v="497070"/>
    <s v="Feb"/>
    <n v="2"/>
    <n v="2026"/>
    <s v="Weekday"/>
    <n v="0.35714285714285715"/>
    <n v="0.49270072992700731"/>
    <n v="0.12773722627737227"/>
    <n v="14202"/>
    <s v="Hannover Cars"/>
  </r>
  <r>
    <s v="CUST_4121"/>
    <x v="5"/>
    <x v="3"/>
    <s v="Saturday"/>
    <s v="Yes"/>
    <x v="3"/>
    <x v="3"/>
    <s v="Saxony"/>
    <x v="4"/>
    <s v="Tiguan"/>
    <s v="Petrol"/>
    <x v="0"/>
    <s v="26-35"/>
    <s v="High"/>
    <x v="1"/>
    <x v="1"/>
    <s v="Sales_10"/>
    <n v="310"/>
    <n v="161"/>
    <n v="95"/>
    <n v="23"/>
    <s v="14.29"/>
    <n v="28436"/>
    <s v="7.69"/>
    <n v="24467"/>
    <n v="654028"/>
    <n v="91287"/>
    <s v="Feb"/>
    <n v="2"/>
    <n v="2026"/>
    <s v="Weekend"/>
    <n v="0.24210526315789474"/>
    <n v="0.51935483870967747"/>
    <n v="7.4193548387096769E-2"/>
    <n v="3969"/>
    <s v="Saxon Wheels"/>
  </r>
  <r>
    <s v="CUST_4122"/>
    <x v="2"/>
    <x v="2"/>
    <s v="Monday"/>
    <s v="No"/>
    <x v="5"/>
    <x v="5"/>
    <s v="Hamburg"/>
    <x v="2"/>
    <s v="A3"/>
    <s v="Electric"/>
    <x v="2"/>
    <s v="50+"/>
    <s v="Low"/>
    <x v="0"/>
    <x v="0"/>
    <s v="Sales_17"/>
    <n v="166"/>
    <n v="105"/>
    <n v="71"/>
    <n v="21"/>
    <s v="20.0"/>
    <n v="52962"/>
    <s v="3.89"/>
    <n v="42188"/>
    <n v="1112202"/>
    <n v="226254"/>
    <s v="Feb"/>
    <n v="2"/>
    <n v="2026"/>
    <s v="Weekday"/>
    <n v="0.29577464788732394"/>
    <n v="0.63253012048192769"/>
    <n v="0.12650602409638553"/>
    <n v="10774"/>
    <s v="Elbe Drive"/>
  </r>
  <r>
    <s v="CUST_4123"/>
    <x v="4"/>
    <x v="2"/>
    <s v="Wednesday"/>
    <s v="No"/>
    <x v="7"/>
    <x v="7"/>
    <s v="Bavaria"/>
    <x v="4"/>
    <s v="ID.4"/>
    <s v="Petrol"/>
    <x v="0"/>
    <s v="36-50"/>
    <s v="Medium"/>
    <x v="1"/>
    <x v="0"/>
    <s v="Sales_12"/>
    <n v="276"/>
    <n v="119"/>
    <n v="83"/>
    <n v="19"/>
    <s v="15.97"/>
    <n v="25189"/>
    <s v="10.95"/>
    <n v="21911"/>
    <n v="478591"/>
    <n v="62282"/>
    <s v="Feb"/>
    <n v="2"/>
    <n v="2026"/>
    <s v="Weekday"/>
    <n v="0.2289156626506024"/>
    <n v="0.4311594202898551"/>
    <n v="6.8840579710144928E-2"/>
    <n v="3278"/>
    <s v="Bavaria Motors"/>
  </r>
  <r>
    <s v="CUST_4124"/>
    <x v="21"/>
    <x v="0"/>
    <s v="Tuesday"/>
    <s v="No"/>
    <x v="5"/>
    <x v="5"/>
    <s v="Hamburg"/>
    <x v="3"/>
    <s v="EQE"/>
    <s v="Hybrid"/>
    <x v="1"/>
    <s v="36-50"/>
    <s v="Low"/>
    <x v="1"/>
    <x v="3"/>
    <s v="Sales_7"/>
    <n v="243"/>
    <n v="119"/>
    <n v="88"/>
    <n v="26"/>
    <s v="21.85"/>
    <n v="61430"/>
    <s v="2.87"/>
    <n v="47897"/>
    <n v="1597180"/>
    <n v="351858"/>
    <s v="Feb"/>
    <n v="2"/>
    <n v="2026"/>
    <s v="Weekday"/>
    <n v="0.29545454545454547"/>
    <n v="0.48971193415637859"/>
    <n v="0.10699588477366255"/>
    <n v="13533"/>
    <s v="Elbe Drive"/>
  </r>
  <r>
    <s v="CUST_4125"/>
    <x v="9"/>
    <x v="0"/>
    <s v="Sunday"/>
    <s v="Yes"/>
    <x v="1"/>
    <x v="1"/>
    <s v="NRW"/>
    <x v="2"/>
    <s v="A4"/>
    <s v="Diesel"/>
    <x v="1"/>
    <s v="26-35"/>
    <s v="Medium"/>
    <x v="0"/>
    <x v="1"/>
    <s v="Sales_2"/>
    <n v="299"/>
    <n v="180"/>
    <n v="127"/>
    <n v="42"/>
    <s v="23.33"/>
    <n v="47598"/>
    <s v="6.82"/>
    <n v="37791"/>
    <n v="1999116"/>
    <n v="411894"/>
    <s v="Feb"/>
    <n v="2"/>
    <n v="2026"/>
    <s v="Weekend"/>
    <n v="0.33070866141732286"/>
    <n v="0.60200668896321075"/>
    <n v="0.14046822742474915"/>
    <n v="9807"/>
    <s v="Rhein Auto Group"/>
  </r>
  <r>
    <s v="CUST_4126"/>
    <x v="19"/>
    <x v="1"/>
    <s v="Saturday"/>
    <s v="Yes"/>
    <x v="4"/>
    <x v="4"/>
    <s v="Berlin"/>
    <x v="0"/>
    <s v="X3"/>
    <s v="Diesel"/>
    <x v="0"/>
    <s v="36-50"/>
    <s v="Medium"/>
    <x v="1"/>
    <x v="1"/>
    <s v="Sales_18"/>
    <n v="167"/>
    <n v="77"/>
    <n v="59"/>
    <n v="20"/>
    <s v="25.97"/>
    <n v="62603"/>
    <s v="4.47"/>
    <n v="47584"/>
    <n v="1252060"/>
    <n v="300380"/>
    <s v="Feb"/>
    <n v="2"/>
    <n v="2026"/>
    <s v="Weekend"/>
    <n v="0.33898305084745761"/>
    <n v="0.46107784431137727"/>
    <n v="0.11976047904191617"/>
    <n v="15019"/>
    <s v="Autohaus Berlin"/>
  </r>
  <r>
    <s v="CUST_4127"/>
    <x v="16"/>
    <x v="1"/>
    <s v="Tuesday"/>
    <s v="No"/>
    <x v="6"/>
    <x v="6"/>
    <s v="Saxony"/>
    <x v="0"/>
    <s v="3 Series"/>
    <s v="Electric"/>
    <x v="1"/>
    <s v="36-50"/>
    <s v="Low"/>
    <x v="0"/>
    <x v="1"/>
    <s v="Sales_1"/>
    <n v="266"/>
    <n v="158"/>
    <n v="124"/>
    <n v="47"/>
    <s v="29.75"/>
    <n v="60619"/>
    <s v="4.03"/>
    <n v="45183"/>
    <n v="2849093"/>
    <n v="725492"/>
    <s v="Feb"/>
    <n v="2"/>
    <n v="2026"/>
    <s v="Weekday"/>
    <n v="0.37903225806451613"/>
    <n v="0.59398496240601506"/>
    <n v="0.17669172932330826"/>
    <n v="15436"/>
    <s v="Leipzig Mobility"/>
  </r>
  <r>
    <s v="CUST_4128"/>
    <x v="22"/>
    <x v="3"/>
    <s v="Tuesday"/>
    <s v="No"/>
    <x v="6"/>
    <x v="6"/>
    <s v="Saxony"/>
    <x v="3"/>
    <s v="EQE"/>
    <s v="Diesel"/>
    <x v="1"/>
    <s v="26-35"/>
    <s v="High"/>
    <x v="1"/>
    <x v="1"/>
    <s v="Sales_10"/>
    <n v="217"/>
    <n v="112"/>
    <n v="80"/>
    <n v="25"/>
    <s v="22.32"/>
    <n v="65210"/>
    <s v="2.06"/>
    <n v="46678"/>
    <n v="1630250"/>
    <n v="463300"/>
    <s v="Feb"/>
    <n v="2"/>
    <n v="2026"/>
    <s v="Weekday"/>
    <n v="0.3125"/>
    <n v="0.5161290322580645"/>
    <n v="0.1152073732718894"/>
    <n v="18532"/>
    <s v="Leipzig Mobility"/>
  </r>
  <r>
    <s v="CUST_4129"/>
    <x v="15"/>
    <x v="2"/>
    <s v="Thursday"/>
    <s v="No"/>
    <x v="0"/>
    <x v="0"/>
    <s v="Hesse"/>
    <x v="0"/>
    <s v="i4"/>
    <s v="Petrol"/>
    <x v="1"/>
    <s v="50+"/>
    <s v="Medium"/>
    <x v="0"/>
    <x v="3"/>
    <s v="Sales_5"/>
    <n v="151"/>
    <n v="85"/>
    <n v="61"/>
    <n v="20"/>
    <s v="23.53"/>
    <n v="61164"/>
    <s v="2.19"/>
    <n v="43697"/>
    <n v="1223280"/>
    <n v="349340"/>
    <s v="Feb"/>
    <n v="2"/>
    <n v="2026"/>
    <s v="Weekday"/>
    <n v="0.32786885245901637"/>
    <n v="0.5629139072847682"/>
    <n v="0.13245033112582782"/>
    <n v="17467"/>
    <s v="Main Auto Hub"/>
  </r>
  <r>
    <s v="CUST_4130"/>
    <x v="16"/>
    <x v="1"/>
    <s v="Tuesday"/>
    <s v="No"/>
    <x v="4"/>
    <x v="4"/>
    <s v="Berlin"/>
    <x v="1"/>
    <s v="Mokka"/>
    <s v="Electric"/>
    <x v="0"/>
    <s v="50+"/>
    <s v="Low"/>
    <x v="1"/>
    <x v="1"/>
    <s v="Sales_12"/>
    <n v="404"/>
    <n v="187"/>
    <n v="112"/>
    <n v="31"/>
    <s v="16.58"/>
    <n v="25597"/>
    <s v="12.54"/>
    <n v="23794"/>
    <n v="793507"/>
    <n v="55893"/>
    <s v="Feb"/>
    <n v="2"/>
    <n v="2026"/>
    <s v="Weekday"/>
    <n v="0.2767857142857143"/>
    <n v="0.46287128712871289"/>
    <n v="7.6732673267326731E-2"/>
    <n v="1803"/>
    <s v="Autohaus Berlin"/>
  </r>
  <r>
    <s v="CUST_4131"/>
    <x v="10"/>
    <x v="1"/>
    <s v="Monday"/>
    <s v="No"/>
    <x v="6"/>
    <x v="6"/>
    <s v="Saxony"/>
    <x v="2"/>
    <s v="Q3"/>
    <s v="Hybrid"/>
    <x v="0"/>
    <s v="26-35"/>
    <s v="Medium"/>
    <x v="0"/>
    <x v="1"/>
    <s v="Sales_6"/>
    <n v="305"/>
    <n v="157"/>
    <n v="101"/>
    <n v="33"/>
    <s v="21.02"/>
    <n v="45409"/>
    <s v="6.61"/>
    <n v="34205"/>
    <n v="1498497"/>
    <n v="369732"/>
    <s v="Feb"/>
    <n v="2"/>
    <n v="2026"/>
    <s v="Weekday"/>
    <n v="0.32673267326732675"/>
    <n v="0.51475409836065578"/>
    <n v="0.10819672131147541"/>
    <n v="11204"/>
    <s v="Leipzig Mobility"/>
  </r>
  <r>
    <s v="CUST_4132"/>
    <x v="17"/>
    <x v="2"/>
    <s v="Sunday"/>
    <s v="Yes"/>
    <x v="1"/>
    <x v="1"/>
    <s v="NRW"/>
    <x v="1"/>
    <s v="Astra"/>
    <s v="Electric"/>
    <x v="2"/>
    <s v="50+"/>
    <s v="High"/>
    <x v="0"/>
    <x v="0"/>
    <s v="Sales_13"/>
    <n v="269"/>
    <n v="119"/>
    <n v="71"/>
    <n v="17"/>
    <s v="14.29"/>
    <n v="23050"/>
    <s v="12.87"/>
    <n v="20945"/>
    <n v="391850"/>
    <n v="35785"/>
    <s v="Feb"/>
    <n v="2"/>
    <n v="2026"/>
    <s v="Weekend"/>
    <n v="0.23943661971830985"/>
    <n v="0.44237918215613381"/>
    <n v="6.3197026022304828E-2"/>
    <n v="2105"/>
    <s v="Rhein Auto Group"/>
  </r>
  <r>
    <s v="CUST_4133"/>
    <x v="0"/>
    <x v="0"/>
    <s v="Monday"/>
    <s v="No"/>
    <x v="4"/>
    <x v="4"/>
    <s v="Berlin"/>
    <x v="2"/>
    <s v="Q3"/>
    <s v="Hybrid"/>
    <x v="0"/>
    <s v="18-25"/>
    <s v="Medium"/>
    <x v="0"/>
    <x v="3"/>
    <s v="Sales_16"/>
    <n v="277"/>
    <n v="169"/>
    <n v="120"/>
    <n v="39"/>
    <s v="23.08"/>
    <n v="46509"/>
    <s v="6.72"/>
    <n v="36499"/>
    <n v="1813851"/>
    <n v="390390"/>
    <s v="Feb"/>
    <n v="2"/>
    <n v="2026"/>
    <s v="Weekday"/>
    <n v="0.32500000000000001"/>
    <n v="0.61010830324909748"/>
    <n v="0.1407942238267148"/>
    <n v="10010"/>
    <s v="Autohaus Berlin"/>
  </r>
  <r>
    <s v="CUST_4134"/>
    <x v="15"/>
    <x v="2"/>
    <s v="Thursday"/>
    <s v="No"/>
    <x v="6"/>
    <x v="6"/>
    <s v="Saxony"/>
    <x v="4"/>
    <s v="Tiguan"/>
    <s v="Electric"/>
    <x v="0"/>
    <s v="36-50"/>
    <s v="Medium"/>
    <x v="1"/>
    <x v="0"/>
    <s v="Sales_2"/>
    <n v="292"/>
    <n v="140"/>
    <n v="87"/>
    <n v="18"/>
    <s v="12.86"/>
    <n v="27636"/>
    <s v="11.72"/>
    <n v="24585"/>
    <n v="497448"/>
    <n v="54918"/>
    <s v="Feb"/>
    <n v="2"/>
    <n v="2026"/>
    <s v="Weekday"/>
    <n v="0.20689655172413793"/>
    <n v="0.47945205479452052"/>
    <n v="6.1643835616438353E-2"/>
    <n v="3051"/>
    <s v="Leipzig Mobility"/>
  </r>
  <r>
    <s v="CUST_4135"/>
    <x v="4"/>
    <x v="2"/>
    <s v="Wednesday"/>
    <s v="No"/>
    <x v="7"/>
    <x v="7"/>
    <s v="Bavaria"/>
    <x v="2"/>
    <s v="Q3"/>
    <s v="Hybrid"/>
    <x v="0"/>
    <s v="36-50"/>
    <s v="Low"/>
    <x v="1"/>
    <x v="2"/>
    <s v="Sales_14"/>
    <n v="245"/>
    <n v="145"/>
    <n v="103"/>
    <n v="42"/>
    <s v="28.97"/>
    <n v="45660"/>
    <s v="5.29"/>
    <n v="34509"/>
    <n v="1917720"/>
    <n v="468342"/>
    <s v="Feb"/>
    <n v="2"/>
    <n v="2026"/>
    <s v="Weekday"/>
    <n v="0.40776699029126212"/>
    <n v="0.59183673469387754"/>
    <n v="0.17142857142857143"/>
    <n v="11151"/>
    <s v="Bavaria Motors"/>
  </r>
  <r>
    <s v="CUST_4136"/>
    <x v="6"/>
    <x v="2"/>
    <s v="Saturday"/>
    <s v="Yes"/>
    <x v="6"/>
    <x v="6"/>
    <s v="Saxony"/>
    <x v="4"/>
    <s v="Tiguan"/>
    <s v="Petrol"/>
    <x v="0"/>
    <s v="18-25"/>
    <s v="High"/>
    <x v="0"/>
    <x v="0"/>
    <s v="Sales_11"/>
    <n v="452"/>
    <n v="200"/>
    <n v="130"/>
    <n v="26"/>
    <s v="13.0"/>
    <n v="29467"/>
    <s v="6.54"/>
    <n v="26669"/>
    <n v="766142"/>
    <n v="72748"/>
    <s v="Feb"/>
    <n v="2"/>
    <n v="2026"/>
    <s v="Weekend"/>
    <n v="0.2"/>
    <n v="0.44247787610619471"/>
    <n v="5.7522123893805309E-2"/>
    <n v="2798"/>
    <s v="Leipzig Mobility"/>
  </r>
  <r>
    <s v="CUST_4137"/>
    <x v="3"/>
    <x v="1"/>
    <s v="Sunday"/>
    <s v="Yes"/>
    <x v="1"/>
    <x v="1"/>
    <s v="NRW"/>
    <x v="4"/>
    <s v="ID.4"/>
    <s v="Diesel"/>
    <x v="0"/>
    <s v="36-50"/>
    <s v="High"/>
    <x v="0"/>
    <x v="3"/>
    <s v="Sales_11"/>
    <n v="468"/>
    <n v="235"/>
    <n v="153"/>
    <n v="36"/>
    <s v="15.32"/>
    <n v="29442"/>
    <s v="10.94"/>
    <n v="26711"/>
    <n v="1059912"/>
    <n v="98316"/>
    <s v="Feb"/>
    <n v="2"/>
    <n v="2026"/>
    <s v="Weekend"/>
    <n v="0.23529411764705882"/>
    <n v="0.50213675213675213"/>
    <n v="7.6923076923076927E-2"/>
    <n v="2731"/>
    <s v="Rhein Auto Group"/>
  </r>
  <r>
    <s v="CUST_4138"/>
    <x v="8"/>
    <x v="3"/>
    <s v="Wednesday"/>
    <s v="No"/>
    <x v="9"/>
    <x v="9"/>
    <s v="NRW"/>
    <x v="1"/>
    <s v="Crossland"/>
    <s v="Hybrid"/>
    <x v="0"/>
    <s v="36-50"/>
    <s v="High"/>
    <x v="1"/>
    <x v="1"/>
    <s v="Sales_10"/>
    <n v="232"/>
    <n v="119"/>
    <n v="69"/>
    <n v="15"/>
    <s v="12.61"/>
    <n v="20689"/>
    <s v="13.64"/>
    <n v="19169"/>
    <n v="310335"/>
    <n v="22800"/>
    <s v="Feb"/>
    <n v="2"/>
    <n v="2026"/>
    <s v="Weekday"/>
    <n v="0.21739130434782608"/>
    <n v="0.51293103448275867"/>
    <n v="6.4655172413793108E-2"/>
    <n v="1520"/>
    <s v="Ruhr Auto Plaza"/>
  </r>
  <r>
    <s v="CUST_4139"/>
    <x v="11"/>
    <x v="0"/>
    <s v="Wednesday"/>
    <s v="No"/>
    <x v="3"/>
    <x v="3"/>
    <s v="Saxony"/>
    <x v="4"/>
    <s v="Passat"/>
    <s v="Diesel"/>
    <x v="1"/>
    <s v="36-50"/>
    <s v="High"/>
    <x v="0"/>
    <x v="3"/>
    <s v="Sales_7"/>
    <n v="391"/>
    <n v="190"/>
    <n v="132"/>
    <n v="27"/>
    <s v="14.21"/>
    <n v="26336"/>
    <s v="9.36"/>
    <n v="23816"/>
    <n v="711072"/>
    <n v="68040"/>
    <s v="Feb"/>
    <n v="2"/>
    <n v="2026"/>
    <s v="Weekday"/>
    <n v="0.20454545454545456"/>
    <n v="0.48593350383631712"/>
    <n v="6.9053708439897693E-2"/>
    <n v="2520"/>
    <s v="Saxon Wheels"/>
  </r>
  <r>
    <s v="CUST_4140"/>
    <x v="19"/>
    <x v="1"/>
    <s v="Saturday"/>
    <s v="Yes"/>
    <x v="4"/>
    <x v="4"/>
    <s v="Berlin"/>
    <x v="3"/>
    <s v="GLE"/>
    <s v="Electric"/>
    <x v="0"/>
    <s v="50+"/>
    <s v="High"/>
    <x v="1"/>
    <x v="0"/>
    <s v="Sales_16"/>
    <n v="224"/>
    <n v="102"/>
    <n v="75"/>
    <n v="25"/>
    <s v="24.51"/>
    <n v="69804"/>
    <s v="2.32"/>
    <n v="53342"/>
    <n v="1745100"/>
    <n v="411550"/>
    <s v="Feb"/>
    <n v="2"/>
    <n v="2026"/>
    <s v="Weekend"/>
    <n v="0.33333333333333331"/>
    <n v="0.45535714285714285"/>
    <n v="0.11160714285714286"/>
    <n v="16462"/>
    <s v="Autohaus Berlin"/>
  </r>
  <r>
    <s v="CUST_4141"/>
    <x v="9"/>
    <x v="0"/>
    <s v="Sunday"/>
    <s v="Yes"/>
    <x v="7"/>
    <x v="7"/>
    <s v="Bavaria"/>
    <x v="1"/>
    <s v="Corsa"/>
    <s v="Hybrid"/>
    <x v="2"/>
    <s v="18-25"/>
    <s v="Low"/>
    <x v="1"/>
    <x v="1"/>
    <s v="Sales_13"/>
    <n v="426"/>
    <n v="192"/>
    <n v="132"/>
    <n v="36"/>
    <s v="18.75"/>
    <n v="22167"/>
    <s v="13.3"/>
    <n v="19744"/>
    <n v="798012"/>
    <n v="87228"/>
    <s v="Feb"/>
    <n v="2"/>
    <n v="2026"/>
    <s v="Weekend"/>
    <n v="0.27272727272727271"/>
    <n v="0.45070422535211269"/>
    <n v="8.4507042253521125E-2"/>
    <n v="2423"/>
    <s v="Bavaria Motors"/>
  </r>
  <r>
    <s v="CUST_4142"/>
    <x v="27"/>
    <x v="3"/>
    <s v="Sunday"/>
    <s v="Yes"/>
    <x v="4"/>
    <x v="4"/>
    <s v="Berlin"/>
    <x v="0"/>
    <s v="X5"/>
    <s v="Hybrid"/>
    <x v="0"/>
    <s v="18-25"/>
    <s v="Low"/>
    <x v="1"/>
    <x v="2"/>
    <s v="Sales_12"/>
    <n v="142"/>
    <n v="79"/>
    <n v="54"/>
    <n v="25"/>
    <s v="31.65"/>
    <n v="61116"/>
    <s v="5.06"/>
    <n v="45180"/>
    <n v="1527900"/>
    <n v="398400"/>
    <s v="Feb"/>
    <n v="2"/>
    <n v="2026"/>
    <s v="Weekend"/>
    <n v="0.46296296296296297"/>
    <n v="0.55633802816901412"/>
    <n v="0.176056338028169"/>
    <n v="15936"/>
    <s v="Autohaus Berlin"/>
  </r>
  <r>
    <s v="CUST_4143"/>
    <x v="25"/>
    <x v="3"/>
    <s v="Friday"/>
    <s v="No"/>
    <x v="1"/>
    <x v="1"/>
    <s v="NRW"/>
    <x v="2"/>
    <s v="A3"/>
    <s v="Electric"/>
    <x v="2"/>
    <s v="18-25"/>
    <s v="Medium"/>
    <x v="0"/>
    <x v="2"/>
    <s v="Sales_3"/>
    <n v="213"/>
    <n v="104"/>
    <n v="72"/>
    <n v="30"/>
    <s v="28.85"/>
    <n v="46373"/>
    <s v="4.16"/>
    <n v="36842"/>
    <n v="1391190"/>
    <n v="285930"/>
    <s v="Feb"/>
    <n v="2"/>
    <n v="2026"/>
    <s v="Weekday"/>
    <n v="0.41666666666666669"/>
    <n v="0.48826291079812206"/>
    <n v="0.14084507042253522"/>
    <n v="9531"/>
    <s v="Rhein Auto Group"/>
  </r>
  <r>
    <s v="CUST_4144"/>
    <x v="3"/>
    <x v="1"/>
    <s v="Sunday"/>
    <s v="Yes"/>
    <x v="4"/>
    <x v="4"/>
    <s v="Berlin"/>
    <x v="1"/>
    <s v="Astra"/>
    <s v="Hybrid"/>
    <x v="2"/>
    <s v="36-50"/>
    <s v="Low"/>
    <x v="1"/>
    <x v="1"/>
    <s v="Sales_7"/>
    <n v="257"/>
    <n v="130"/>
    <n v="80"/>
    <n v="23"/>
    <s v="17.69"/>
    <n v="26973"/>
    <s v="9.04"/>
    <n v="24242"/>
    <n v="620379"/>
    <n v="62813"/>
    <s v="Feb"/>
    <n v="2"/>
    <n v="2026"/>
    <s v="Weekend"/>
    <n v="0.28749999999999998"/>
    <n v="0.50583657587548636"/>
    <n v="8.9494163424124515E-2"/>
    <n v="2731"/>
    <s v="Autohaus Berlin"/>
  </r>
  <r>
    <s v="CUST_4145"/>
    <x v="0"/>
    <x v="0"/>
    <s v="Monday"/>
    <s v="No"/>
    <x v="2"/>
    <x v="2"/>
    <s v="Lower Saxony"/>
    <x v="2"/>
    <s v="Q3"/>
    <s v="Diesel"/>
    <x v="0"/>
    <s v="36-50"/>
    <s v="Medium"/>
    <x v="1"/>
    <x v="1"/>
    <s v="Sales_12"/>
    <n v="219"/>
    <n v="112"/>
    <n v="83"/>
    <n v="28"/>
    <s v="25.0"/>
    <n v="44162"/>
    <s v="3.95"/>
    <n v="34882"/>
    <n v="1236536"/>
    <n v="259840"/>
    <s v="Feb"/>
    <n v="2"/>
    <n v="2026"/>
    <s v="Weekday"/>
    <n v="0.33734939759036142"/>
    <n v="0.51141552511415522"/>
    <n v="0.12785388127853881"/>
    <n v="9280"/>
    <s v="Hannover Cars"/>
  </r>
  <r>
    <s v="CUST_4146"/>
    <x v="0"/>
    <x v="0"/>
    <s v="Monday"/>
    <s v="No"/>
    <x v="0"/>
    <x v="0"/>
    <s v="Hesse"/>
    <x v="1"/>
    <s v="Astra"/>
    <s v="Hybrid"/>
    <x v="2"/>
    <s v="36-50"/>
    <s v="Low"/>
    <x v="0"/>
    <x v="2"/>
    <s v="Sales_14"/>
    <n v="408"/>
    <n v="206"/>
    <n v="144"/>
    <n v="35"/>
    <s v="16.99"/>
    <n v="21992"/>
    <s v="8.41"/>
    <n v="20407"/>
    <n v="769720"/>
    <n v="55475"/>
    <s v="Feb"/>
    <n v="2"/>
    <n v="2026"/>
    <s v="Weekday"/>
    <n v="0.24305555555555555"/>
    <n v="0.50490196078431371"/>
    <n v="8.5784313725490197E-2"/>
    <n v="1585"/>
    <s v="Main Auto Hub"/>
  </r>
  <r>
    <s v="CUST_4147"/>
    <x v="27"/>
    <x v="3"/>
    <s v="Sunday"/>
    <s v="Yes"/>
    <x v="9"/>
    <x v="9"/>
    <s v="NRW"/>
    <x v="0"/>
    <s v="X5"/>
    <s v="Diesel"/>
    <x v="0"/>
    <s v="26-35"/>
    <s v="Low"/>
    <x v="1"/>
    <x v="3"/>
    <s v="Sales_12"/>
    <n v="158"/>
    <n v="71"/>
    <n v="54"/>
    <n v="19"/>
    <s v="26.76"/>
    <n v="61385"/>
    <s v="5.81"/>
    <n v="45882"/>
    <n v="1166315"/>
    <n v="294557"/>
    <s v="Feb"/>
    <n v="2"/>
    <n v="2026"/>
    <s v="Weekend"/>
    <n v="0.35185185185185186"/>
    <n v="0.44936708860759494"/>
    <n v="0.12025316455696203"/>
    <n v="15503"/>
    <s v="Ruhr Auto Plaza"/>
  </r>
  <r>
    <s v="CUST_4148"/>
    <x v="25"/>
    <x v="3"/>
    <s v="Friday"/>
    <s v="No"/>
    <x v="2"/>
    <x v="2"/>
    <s v="Lower Saxony"/>
    <x v="2"/>
    <s v="Q3"/>
    <s v="Electric"/>
    <x v="0"/>
    <s v="26-35"/>
    <s v="High"/>
    <x v="1"/>
    <x v="2"/>
    <s v="Sales_1"/>
    <n v="275"/>
    <n v="143"/>
    <n v="92"/>
    <n v="39"/>
    <s v="27.27"/>
    <n v="39762"/>
    <s v="5.96"/>
    <n v="29985"/>
    <n v="1550718"/>
    <n v="381303"/>
    <s v="Feb"/>
    <n v="2"/>
    <n v="2026"/>
    <s v="Weekday"/>
    <n v="0.42391304347826086"/>
    <n v="0.52"/>
    <n v="0.14181818181818182"/>
    <n v="9777"/>
    <s v="Hannover Cars"/>
  </r>
  <r>
    <s v="CUST_4149"/>
    <x v="14"/>
    <x v="2"/>
    <s v="Friday"/>
    <s v="No"/>
    <x v="0"/>
    <x v="0"/>
    <s v="Hesse"/>
    <x v="3"/>
    <s v="GLC"/>
    <s v="Diesel"/>
    <x v="0"/>
    <s v="18-25"/>
    <s v="Low"/>
    <x v="0"/>
    <x v="2"/>
    <s v="Sales_12"/>
    <n v="240"/>
    <n v="141"/>
    <n v="108"/>
    <n v="41"/>
    <s v="29.08"/>
    <n v="55017"/>
    <s v="2.8"/>
    <n v="39830"/>
    <n v="2255697"/>
    <n v="622667"/>
    <s v="Feb"/>
    <n v="2"/>
    <n v="2026"/>
    <s v="Weekday"/>
    <n v="0.37962962962962965"/>
    <n v="0.58750000000000002"/>
    <n v="0.17083333333333334"/>
    <n v="15187"/>
    <s v="Main Auto Hub"/>
  </r>
  <r>
    <s v="CUST_4150"/>
    <x v="16"/>
    <x v="1"/>
    <s v="Tuesday"/>
    <s v="No"/>
    <x v="1"/>
    <x v="1"/>
    <s v="NRW"/>
    <x v="4"/>
    <s v="Golf"/>
    <s v="Electric"/>
    <x v="2"/>
    <s v="50+"/>
    <s v="Medium"/>
    <x v="1"/>
    <x v="2"/>
    <s v="Sales_19"/>
    <n v="372"/>
    <n v="156"/>
    <n v="93"/>
    <n v="29"/>
    <s v="18.59"/>
    <n v="31602"/>
    <s v="7.39"/>
    <n v="27275"/>
    <n v="916458"/>
    <n v="125483"/>
    <s v="Feb"/>
    <n v="2"/>
    <n v="2026"/>
    <s v="Weekday"/>
    <n v="0.31182795698924731"/>
    <n v="0.41935483870967744"/>
    <n v="7.7956989247311828E-2"/>
    <n v="4327"/>
    <s v="Rhein Auto Group"/>
  </r>
  <r>
    <s v="CUST_4151"/>
    <x v="7"/>
    <x v="3"/>
    <s v="Monday"/>
    <s v="No"/>
    <x v="3"/>
    <x v="3"/>
    <s v="Saxony"/>
    <x v="2"/>
    <s v="Q5"/>
    <s v="Hybrid"/>
    <x v="0"/>
    <s v="18-25"/>
    <s v="Medium"/>
    <x v="1"/>
    <x v="0"/>
    <s v="Sales_1"/>
    <n v="303"/>
    <n v="178"/>
    <n v="127"/>
    <n v="38"/>
    <s v="21.35"/>
    <n v="49891"/>
    <s v="4.7"/>
    <n v="37821"/>
    <n v="1895858"/>
    <n v="458660"/>
    <s v="Feb"/>
    <n v="2"/>
    <n v="2026"/>
    <s v="Weekday"/>
    <n v="0.29921259842519687"/>
    <n v="0.58745874587458746"/>
    <n v="0.1254125412541254"/>
    <n v="12070"/>
    <s v="Saxon Wheels"/>
  </r>
  <r>
    <s v="CUST_4152"/>
    <x v="14"/>
    <x v="2"/>
    <s v="Friday"/>
    <s v="No"/>
    <x v="4"/>
    <x v="4"/>
    <s v="Berlin"/>
    <x v="3"/>
    <s v="GLE"/>
    <s v="Petrol"/>
    <x v="0"/>
    <s v="18-25"/>
    <s v="Low"/>
    <x v="1"/>
    <x v="3"/>
    <s v="Sales_19"/>
    <n v="220"/>
    <n v="104"/>
    <n v="78"/>
    <n v="28"/>
    <s v="26.92"/>
    <n v="66843"/>
    <s v="4.81"/>
    <n v="47795"/>
    <n v="1871604"/>
    <n v="533344"/>
    <s v="Feb"/>
    <n v="2"/>
    <n v="2026"/>
    <s v="Weekday"/>
    <n v="0.35897435897435898"/>
    <n v="0.47272727272727272"/>
    <n v="0.12727272727272726"/>
    <n v="19048"/>
    <s v="Autohaus Berlin"/>
  </r>
  <r>
    <s v="CUST_4153"/>
    <x v="16"/>
    <x v="1"/>
    <s v="Tuesday"/>
    <s v="No"/>
    <x v="1"/>
    <x v="1"/>
    <s v="NRW"/>
    <x v="4"/>
    <s v="Tiguan"/>
    <s v="Hybrid"/>
    <x v="0"/>
    <s v="50+"/>
    <s v="Low"/>
    <x v="1"/>
    <x v="3"/>
    <s v="Sales_9"/>
    <n v="332"/>
    <n v="149"/>
    <n v="104"/>
    <n v="23"/>
    <s v="15.44"/>
    <n v="30245"/>
    <s v="7.7"/>
    <n v="27452"/>
    <n v="695635"/>
    <n v="64239"/>
    <s v="Feb"/>
    <n v="2"/>
    <n v="2026"/>
    <s v="Weekday"/>
    <n v="0.22115384615384615"/>
    <n v="0.44879518072289154"/>
    <n v="6.9277108433734941E-2"/>
    <n v="2793"/>
    <s v="Rhein Auto Group"/>
  </r>
  <r>
    <s v="CUST_4154"/>
    <x v="21"/>
    <x v="0"/>
    <s v="Tuesday"/>
    <s v="No"/>
    <x v="6"/>
    <x v="6"/>
    <s v="Saxony"/>
    <x v="2"/>
    <s v="Q5"/>
    <s v="Diesel"/>
    <x v="0"/>
    <s v="18-25"/>
    <s v="Low"/>
    <x v="0"/>
    <x v="3"/>
    <s v="Sales_5"/>
    <n v="285"/>
    <n v="134"/>
    <n v="87"/>
    <n v="30"/>
    <s v="22.39"/>
    <n v="44528"/>
    <s v="5.27"/>
    <n v="33538"/>
    <n v="1335840"/>
    <n v="329700"/>
    <s v="Feb"/>
    <n v="2"/>
    <n v="2026"/>
    <s v="Weekday"/>
    <n v="0.34482758620689657"/>
    <n v="0.47017543859649125"/>
    <n v="0.10526315789473684"/>
    <n v="10990"/>
    <s v="Leipzig Mobility"/>
  </r>
  <r>
    <s v="CUST_4155"/>
    <x v="4"/>
    <x v="2"/>
    <s v="Wednesday"/>
    <s v="No"/>
    <x v="8"/>
    <x v="8"/>
    <s v="Baden-WÃ¼rttemberg"/>
    <x v="1"/>
    <s v="Astra"/>
    <s v="Electric"/>
    <x v="2"/>
    <s v="26-35"/>
    <s v="Medium"/>
    <x v="0"/>
    <x v="0"/>
    <s v="Sales_4"/>
    <n v="235"/>
    <n v="109"/>
    <n v="64"/>
    <n v="15"/>
    <s v="13.76"/>
    <n v="22565"/>
    <s v="12.13"/>
    <n v="20116"/>
    <n v="338475"/>
    <n v="36735"/>
    <s v="Feb"/>
    <n v="2"/>
    <n v="2026"/>
    <s v="Weekday"/>
    <n v="0.234375"/>
    <n v="0.46382978723404256"/>
    <n v="6.3829787234042548E-2"/>
    <n v="2449"/>
    <s v="Stuttgart Auto Center"/>
  </r>
  <r>
    <s v="CUST_4156"/>
    <x v="6"/>
    <x v="2"/>
    <s v="Saturday"/>
    <s v="Yes"/>
    <x v="4"/>
    <x v="4"/>
    <s v="Berlin"/>
    <x v="3"/>
    <s v="C-Class"/>
    <s v="Hybrid"/>
    <x v="1"/>
    <s v="26-35"/>
    <s v="High"/>
    <x v="1"/>
    <x v="1"/>
    <s v="Sales_8"/>
    <n v="287"/>
    <n v="167"/>
    <n v="133"/>
    <n v="40"/>
    <s v="23.95"/>
    <n v="50534"/>
    <s v="2.96"/>
    <n v="37092"/>
    <n v="2021360"/>
    <n v="537680"/>
    <s v="Feb"/>
    <n v="2"/>
    <n v="2026"/>
    <s v="Weekend"/>
    <n v="0.3007518796992481"/>
    <n v="0.58188153310104529"/>
    <n v="0.13937282229965156"/>
    <n v="13442"/>
    <s v="Autohaus Berlin"/>
  </r>
  <r>
    <s v="CUST_4157"/>
    <x v="24"/>
    <x v="1"/>
    <s v="Thursday"/>
    <s v="No"/>
    <x v="1"/>
    <x v="1"/>
    <s v="NRW"/>
    <x v="4"/>
    <s v="Golf"/>
    <s v="Electric"/>
    <x v="2"/>
    <s v="50+"/>
    <s v="Low"/>
    <x v="1"/>
    <x v="1"/>
    <s v="Sales_15"/>
    <n v="481"/>
    <n v="220"/>
    <n v="151"/>
    <n v="37"/>
    <s v="16.82"/>
    <n v="33344"/>
    <s v="7.27"/>
    <n v="30064"/>
    <n v="1233728"/>
    <n v="121360"/>
    <s v="Feb"/>
    <n v="2"/>
    <n v="2026"/>
    <s v="Weekday"/>
    <n v="0.24503311258278146"/>
    <n v="0.45738045738045741"/>
    <n v="7.6923076923076927E-2"/>
    <n v="3280"/>
    <s v="Rhein Auto Group"/>
  </r>
  <r>
    <s v="CUST_4158"/>
    <x v="3"/>
    <x v="1"/>
    <s v="Sunday"/>
    <s v="Yes"/>
    <x v="2"/>
    <x v="2"/>
    <s v="Lower Saxony"/>
    <x v="0"/>
    <s v="X3"/>
    <s v="Hybrid"/>
    <x v="0"/>
    <s v="50+"/>
    <s v="Medium"/>
    <x v="1"/>
    <x v="2"/>
    <s v="Sales_15"/>
    <n v="224"/>
    <n v="106"/>
    <n v="81"/>
    <n v="33"/>
    <s v="31.13"/>
    <n v="67100"/>
    <s v="5.54"/>
    <n v="47711"/>
    <n v="2214300"/>
    <n v="639837"/>
    <s v="Feb"/>
    <n v="2"/>
    <n v="2026"/>
    <s v="Weekend"/>
    <n v="0.40740740740740738"/>
    <n v="0.4732142857142857"/>
    <n v="0.14732142857142858"/>
    <n v="19389"/>
    <s v="Hannover Cars"/>
  </r>
  <r>
    <s v="CUST_4159"/>
    <x v="20"/>
    <x v="0"/>
    <s v="Thursday"/>
    <s v="No"/>
    <x v="1"/>
    <x v="1"/>
    <s v="NRW"/>
    <x v="3"/>
    <s v="GLE"/>
    <s v="Hybrid"/>
    <x v="0"/>
    <s v="18-25"/>
    <s v="Low"/>
    <x v="1"/>
    <x v="3"/>
    <s v="Sales_1"/>
    <n v="158"/>
    <n v="72"/>
    <n v="56"/>
    <n v="16"/>
    <s v="22.22"/>
    <n v="57994"/>
    <s v="2.67"/>
    <n v="42026"/>
    <n v="927904"/>
    <n v="255488"/>
    <s v="Feb"/>
    <n v="2"/>
    <n v="2026"/>
    <s v="Weekday"/>
    <n v="0.2857142857142857"/>
    <n v="0.45569620253164556"/>
    <n v="0.10126582278481013"/>
    <n v="15968"/>
    <s v="Rhein Auto Group"/>
  </r>
  <r>
    <s v="CUST_4160"/>
    <x v="15"/>
    <x v="2"/>
    <s v="Thursday"/>
    <s v="No"/>
    <x v="7"/>
    <x v="7"/>
    <s v="Bavaria"/>
    <x v="3"/>
    <s v="GLE"/>
    <s v="Electric"/>
    <x v="0"/>
    <s v="18-25"/>
    <s v="Low"/>
    <x v="1"/>
    <x v="3"/>
    <s v="Sales_9"/>
    <n v="200"/>
    <n v="119"/>
    <n v="90"/>
    <n v="30"/>
    <s v="25.21"/>
    <n v="58288"/>
    <s v="2.06"/>
    <n v="42049"/>
    <n v="1748640"/>
    <n v="487170"/>
    <s v="Feb"/>
    <n v="2"/>
    <n v="2026"/>
    <s v="Weekday"/>
    <n v="0.33333333333333331"/>
    <n v="0.59499999999999997"/>
    <n v="0.15"/>
    <n v="16239"/>
    <s v="Bavaria Motors"/>
  </r>
  <r>
    <s v="CUST_4161"/>
    <x v="19"/>
    <x v="1"/>
    <s v="Saturday"/>
    <s v="Yes"/>
    <x v="4"/>
    <x v="4"/>
    <s v="Berlin"/>
    <x v="2"/>
    <s v="e-tron"/>
    <s v="Hybrid"/>
    <x v="0"/>
    <s v="18-25"/>
    <s v="Low"/>
    <x v="0"/>
    <x v="1"/>
    <s v="Sales_6"/>
    <n v="165"/>
    <n v="91"/>
    <n v="61"/>
    <n v="24"/>
    <s v="26.37"/>
    <n v="44671"/>
    <s v="4.86"/>
    <n v="34446"/>
    <n v="1072104"/>
    <n v="245400"/>
    <s v="Feb"/>
    <n v="2"/>
    <n v="2026"/>
    <s v="Weekend"/>
    <n v="0.39344262295081966"/>
    <n v="0.55151515151515151"/>
    <n v="0.14545454545454545"/>
    <n v="10225"/>
    <s v="Autohaus Berlin"/>
  </r>
  <r>
    <s v="CUST_4162"/>
    <x v="24"/>
    <x v="1"/>
    <s v="Thursday"/>
    <s v="No"/>
    <x v="9"/>
    <x v="9"/>
    <s v="NRW"/>
    <x v="4"/>
    <s v="Passat"/>
    <s v="Diesel"/>
    <x v="1"/>
    <s v="18-25"/>
    <s v="High"/>
    <x v="1"/>
    <x v="1"/>
    <s v="Sales_17"/>
    <n v="409"/>
    <n v="202"/>
    <n v="118"/>
    <n v="30"/>
    <s v="14.85"/>
    <n v="32869"/>
    <s v="7.51"/>
    <n v="28813"/>
    <n v="986070"/>
    <n v="121680"/>
    <s v="Feb"/>
    <n v="2"/>
    <n v="2026"/>
    <s v="Weekday"/>
    <n v="0.25423728813559321"/>
    <n v="0.49388753056234719"/>
    <n v="7.3349633251833746E-2"/>
    <n v="4056"/>
    <s v="Ruhr Auto Plaza"/>
  </r>
  <r>
    <s v="CUST_4163"/>
    <x v="24"/>
    <x v="1"/>
    <s v="Thursday"/>
    <s v="No"/>
    <x v="9"/>
    <x v="9"/>
    <s v="NRW"/>
    <x v="0"/>
    <s v="X5"/>
    <s v="Petrol"/>
    <x v="0"/>
    <s v="26-35"/>
    <s v="High"/>
    <x v="1"/>
    <x v="3"/>
    <s v="Sales_19"/>
    <n v="146"/>
    <n v="73"/>
    <n v="50"/>
    <n v="19"/>
    <s v="26.03"/>
    <n v="59169"/>
    <s v="3.01"/>
    <n v="43330"/>
    <n v="1124211"/>
    <n v="300941"/>
    <s v="Feb"/>
    <n v="2"/>
    <n v="2026"/>
    <s v="Weekday"/>
    <n v="0.38"/>
    <n v="0.5"/>
    <n v="0.13013698630136986"/>
    <n v="15839"/>
    <s v="Ruhr Auto Plaza"/>
  </r>
  <r>
    <s v="CUST_4164"/>
    <x v="11"/>
    <x v="0"/>
    <s v="Wednesday"/>
    <s v="No"/>
    <x v="0"/>
    <x v="0"/>
    <s v="Hesse"/>
    <x v="2"/>
    <s v="Q3"/>
    <s v="Diesel"/>
    <x v="0"/>
    <s v="26-35"/>
    <s v="Low"/>
    <x v="0"/>
    <x v="2"/>
    <s v="Sales_7"/>
    <n v="282"/>
    <n v="159"/>
    <n v="104"/>
    <n v="37"/>
    <s v="23.27"/>
    <n v="46775"/>
    <s v="5.94"/>
    <n v="36640"/>
    <n v="1730675"/>
    <n v="374995"/>
    <s v="Feb"/>
    <n v="2"/>
    <n v="2026"/>
    <s v="Weekday"/>
    <n v="0.35576923076923078"/>
    <n v="0.56382978723404253"/>
    <n v="0.13120567375886524"/>
    <n v="10135"/>
    <s v="Main Auto Hub"/>
  </r>
  <r>
    <s v="CUST_4165"/>
    <x v="11"/>
    <x v="0"/>
    <s v="Wednesday"/>
    <s v="No"/>
    <x v="6"/>
    <x v="6"/>
    <s v="Saxony"/>
    <x v="4"/>
    <s v="Passat"/>
    <s v="Diesel"/>
    <x v="1"/>
    <s v="18-25"/>
    <s v="High"/>
    <x v="0"/>
    <x v="3"/>
    <s v="Sales_20"/>
    <n v="318"/>
    <n v="175"/>
    <n v="109"/>
    <n v="26"/>
    <s v="14.86"/>
    <n v="32116"/>
    <s v="6.59"/>
    <n v="28936"/>
    <n v="835016"/>
    <n v="82680"/>
    <s v="Feb"/>
    <n v="2"/>
    <n v="2026"/>
    <s v="Weekday"/>
    <n v="0.23853211009174313"/>
    <n v="0.55031446540880502"/>
    <n v="8.1761006289308172E-2"/>
    <n v="3180"/>
    <s v="Leipzig Mobility"/>
  </r>
  <r>
    <s v="CUST_4166"/>
    <x v="26"/>
    <x v="1"/>
    <s v="Friday"/>
    <s v="No"/>
    <x v="0"/>
    <x v="0"/>
    <s v="Hesse"/>
    <x v="4"/>
    <s v="Tiguan"/>
    <s v="Petrol"/>
    <x v="0"/>
    <s v="50+"/>
    <s v="Medium"/>
    <x v="0"/>
    <x v="3"/>
    <s v="Sales_10"/>
    <n v="462"/>
    <n v="250"/>
    <n v="171"/>
    <n v="36"/>
    <s v="14.4"/>
    <n v="27781"/>
    <s v="10.71"/>
    <n v="24384"/>
    <n v="1000116"/>
    <n v="122292"/>
    <s v="Feb"/>
    <n v="2"/>
    <n v="2026"/>
    <s v="Weekday"/>
    <n v="0.21052631578947367"/>
    <n v="0.54112554112554112"/>
    <n v="7.792207792207792E-2"/>
    <n v="3397"/>
    <s v="Main Auto Hub"/>
  </r>
  <r>
    <s v="CUST_4167"/>
    <x v="19"/>
    <x v="1"/>
    <s v="Saturday"/>
    <s v="Yes"/>
    <x v="1"/>
    <x v="1"/>
    <s v="NRW"/>
    <x v="1"/>
    <s v="Mokka"/>
    <s v="Electric"/>
    <x v="0"/>
    <s v="18-25"/>
    <s v="Medium"/>
    <x v="1"/>
    <x v="3"/>
    <s v="Sales_18"/>
    <n v="222"/>
    <n v="89"/>
    <n v="58"/>
    <n v="14"/>
    <s v="15.73"/>
    <n v="21986"/>
    <s v="11.2"/>
    <n v="19635"/>
    <n v="307804"/>
    <n v="32914"/>
    <s v="Feb"/>
    <n v="2"/>
    <n v="2026"/>
    <s v="Weekend"/>
    <n v="0.2413793103448276"/>
    <n v="0.40090090090090091"/>
    <n v="6.3063063063063057E-2"/>
    <n v="2351"/>
    <s v="Rhein Auto Group"/>
  </r>
  <r>
    <s v="CUST_4168"/>
    <x v="5"/>
    <x v="3"/>
    <s v="Saturday"/>
    <s v="Yes"/>
    <x v="9"/>
    <x v="9"/>
    <s v="NRW"/>
    <x v="3"/>
    <s v="C-Class"/>
    <s v="Petrol"/>
    <x v="1"/>
    <s v="50+"/>
    <s v="Low"/>
    <x v="0"/>
    <x v="2"/>
    <s v="Sales_12"/>
    <n v="226"/>
    <n v="115"/>
    <n v="89"/>
    <n v="28"/>
    <s v="24.35"/>
    <n v="55330"/>
    <s v="2.08"/>
    <n v="42138"/>
    <n v="1549240"/>
    <n v="369376"/>
    <s v="Feb"/>
    <n v="2"/>
    <n v="2026"/>
    <s v="Weekend"/>
    <n v="0.3146067415730337"/>
    <n v="0.50884955752212391"/>
    <n v="0.12389380530973451"/>
    <n v="13192"/>
    <s v="Ruhr Auto Plaza"/>
  </r>
  <r>
    <s v="CUST_4169"/>
    <x v="6"/>
    <x v="2"/>
    <s v="Saturday"/>
    <s v="Yes"/>
    <x v="8"/>
    <x v="8"/>
    <s v="Baden-WÃ¼rttemberg"/>
    <x v="1"/>
    <s v="Corsa"/>
    <s v="Hybrid"/>
    <x v="2"/>
    <s v="18-25"/>
    <s v="High"/>
    <x v="1"/>
    <x v="2"/>
    <s v="Sales_2"/>
    <n v="348"/>
    <n v="147"/>
    <n v="99"/>
    <n v="24"/>
    <s v="16.33"/>
    <n v="23887"/>
    <s v="10.13"/>
    <n v="22062"/>
    <n v="573288"/>
    <n v="43800"/>
    <s v="Feb"/>
    <n v="2"/>
    <n v="2026"/>
    <s v="Weekend"/>
    <n v="0.24242424242424243"/>
    <n v="0.42241379310344829"/>
    <n v="6.8965517241379309E-2"/>
    <n v="1825"/>
    <s v="Stuttgart Auto Center"/>
  </r>
  <r>
    <s v="CUST_4170"/>
    <x v="14"/>
    <x v="2"/>
    <s v="Friday"/>
    <s v="No"/>
    <x v="4"/>
    <x v="4"/>
    <s v="Berlin"/>
    <x v="3"/>
    <s v="GLE"/>
    <s v="Hybrid"/>
    <x v="0"/>
    <s v="36-50"/>
    <s v="Medium"/>
    <x v="1"/>
    <x v="2"/>
    <s v="Sales_9"/>
    <n v="237"/>
    <n v="117"/>
    <n v="83"/>
    <n v="34"/>
    <s v="29.06"/>
    <n v="70079"/>
    <s v="5.97"/>
    <n v="53655"/>
    <n v="2382686"/>
    <n v="558416"/>
    <s v="Feb"/>
    <n v="2"/>
    <n v="2026"/>
    <s v="Weekday"/>
    <n v="0.40963855421686746"/>
    <n v="0.49367088607594939"/>
    <n v="0.14345991561181434"/>
    <n v="16424"/>
    <s v="Autohaus Berlin"/>
  </r>
  <r>
    <s v="CUST_4171"/>
    <x v="2"/>
    <x v="2"/>
    <s v="Monday"/>
    <s v="No"/>
    <x v="2"/>
    <x v="2"/>
    <s v="Lower Saxony"/>
    <x v="2"/>
    <s v="Q3"/>
    <s v="Hybrid"/>
    <x v="0"/>
    <s v="36-50"/>
    <s v="High"/>
    <x v="1"/>
    <x v="0"/>
    <s v="Sales_16"/>
    <n v="213"/>
    <n v="103"/>
    <n v="76"/>
    <n v="20"/>
    <s v="19.42"/>
    <n v="43969"/>
    <s v="4.28"/>
    <n v="34315"/>
    <n v="879380"/>
    <n v="193080"/>
    <s v="Feb"/>
    <n v="2"/>
    <n v="2026"/>
    <s v="Weekday"/>
    <n v="0.26315789473684209"/>
    <n v="0.48356807511737088"/>
    <n v="9.3896713615023469E-2"/>
    <n v="9654"/>
    <s v="Hannover Cars"/>
  </r>
  <r>
    <s v="CUST_4172"/>
    <x v="4"/>
    <x v="2"/>
    <s v="Wednesday"/>
    <s v="No"/>
    <x v="2"/>
    <x v="2"/>
    <s v="Lower Saxony"/>
    <x v="0"/>
    <s v="X3"/>
    <s v="Diesel"/>
    <x v="0"/>
    <s v="26-35"/>
    <s v="High"/>
    <x v="0"/>
    <x v="2"/>
    <s v="Sales_9"/>
    <n v="205"/>
    <n v="114"/>
    <n v="87"/>
    <n v="33"/>
    <s v="28.95"/>
    <n v="53005"/>
    <s v="5.79"/>
    <n v="39057"/>
    <n v="1749165"/>
    <n v="460284"/>
    <s v="Feb"/>
    <n v="2"/>
    <n v="2026"/>
    <s v="Weekday"/>
    <n v="0.37931034482758619"/>
    <n v="0.55609756097560981"/>
    <n v="0.16097560975609757"/>
    <n v="13948"/>
    <s v="Hannover Cars"/>
  </r>
  <r>
    <s v="CUST_4173"/>
    <x v="9"/>
    <x v="0"/>
    <s v="Sunday"/>
    <s v="Yes"/>
    <x v="6"/>
    <x v="6"/>
    <s v="Saxony"/>
    <x v="1"/>
    <s v="Mokka"/>
    <s v="Petrol"/>
    <x v="0"/>
    <s v="18-25"/>
    <s v="Medium"/>
    <x v="0"/>
    <x v="0"/>
    <s v="Sales_6"/>
    <n v="220"/>
    <n v="86"/>
    <n v="52"/>
    <n v="11"/>
    <s v="12.79"/>
    <n v="22409"/>
    <s v="8.52"/>
    <n v="20415"/>
    <n v="246499"/>
    <n v="21934"/>
    <s v="Feb"/>
    <n v="2"/>
    <n v="2026"/>
    <s v="Weekend"/>
    <n v="0.21153846153846154"/>
    <n v="0.39090909090909093"/>
    <n v="0.05"/>
    <n v="1994"/>
    <s v="Leipzig Mobility"/>
  </r>
  <r>
    <s v="CUST_4174"/>
    <x v="25"/>
    <x v="3"/>
    <s v="Friday"/>
    <s v="No"/>
    <x v="7"/>
    <x v="7"/>
    <s v="Bavaria"/>
    <x v="3"/>
    <s v="GLC"/>
    <s v="Hybrid"/>
    <x v="0"/>
    <s v="18-25"/>
    <s v="Medium"/>
    <x v="0"/>
    <x v="1"/>
    <s v="Sales_2"/>
    <n v="289"/>
    <n v="138"/>
    <n v="99"/>
    <n v="37"/>
    <s v="26.81"/>
    <n v="58060"/>
    <s v="2.08"/>
    <n v="42968"/>
    <n v="2148220"/>
    <n v="558404"/>
    <s v="Feb"/>
    <n v="2"/>
    <n v="2026"/>
    <s v="Weekday"/>
    <n v="0.37373737373737376"/>
    <n v="0.47750865051903113"/>
    <n v="0.12802768166089964"/>
    <n v="15092"/>
    <s v="Bavaria Motors"/>
  </r>
  <r>
    <s v="CUST_4175"/>
    <x v="22"/>
    <x v="3"/>
    <s v="Tuesday"/>
    <s v="No"/>
    <x v="9"/>
    <x v="9"/>
    <s v="NRW"/>
    <x v="3"/>
    <s v="E-Class"/>
    <s v="Diesel"/>
    <x v="1"/>
    <s v="36-50"/>
    <s v="Low"/>
    <x v="1"/>
    <x v="0"/>
    <s v="Sales_5"/>
    <n v="260"/>
    <n v="137"/>
    <n v="100"/>
    <n v="30"/>
    <s v="21.9"/>
    <n v="69879"/>
    <s v="2.49"/>
    <n v="52390"/>
    <n v="2096370"/>
    <n v="524670"/>
    <s v="Feb"/>
    <n v="2"/>
    <n v="2026"/>
    <s v="Weekday"/>
    <n v="0.3"/>
    <n v="0.52692307692307694"/>
    <n v="0.11538461538461539"/>
    <n v="17489"/>
    <s v="Ruhr Auto Plaza"/>
  </r>
  <r>
    <s v="CUST_4176"/>
    <x v="11"/>
    <x v="0"/>
    <s v="Wednesday"/>
    <s v="No"/>
    <x v="5"/>
    <x v="5"/>
    <s v="Hamburg"/>
    <x v="2"/>
    <s v="e-tron"/>
    <s v="Hybrid"/>
    <x v="0"/>
    <s v="36-50"/>
    <s v="Low"/>
    <x v="1"/>
    <x v="2"/>
    <s v="Sales_16"/>
    <n v="257"/>
    <n v="118"/>
    <n v="87"/>
    <n v="31"/>
    <s v="26.27"/>
    <n v="52525"/>
    <s v="5.35"/>
    <n v="42906"/>
    <n v="1628275"/>
    <n v="298189"/>
    <s v="Feb"/>
    <n v="2"/>
    <n v="2026"/>
    <s v="Weekday"/>
    <n v="0.35632183908045978"/>
    <n v="0.45914396887159531"/>
    <n v="0.12062256809338522"/>
    <n v="9619"/>
    <s v="Elbe Drive"/>
  </r>
  <r>
    <s v="CUST_4177"/>
    <x v="13"/>
    <x v="0"/>
    <s v="Friday"/>
    <s v="No"/>
    <x v="7"/>
    <x v="7"/>
    <s v="Bavaria"/>
    <x v="0"/>
    <s v="i4"/>
    <s v="Diesel"/>
    <x v="1"/>
    <s v="18-25"/>
    <s v="High"/>
    <x v="1"/>
    <x v="1"/>
    <s v="Sales_12"/>
    <n v="184"/>
    <n v="97"/>
    <n v="76"/>
    <n v="29"/>
    <s v="29.9"/>
    <n v="65466"/>
    <s v="3.46"/>
    <n v="48202"/>
    <n v="1898514"/>
    <n v="500656"/>
    <s v="Feb"/>
    <n v="2"/>
    <n v="2026"/>
    <s v="Weekday"/>
    <n v="0.38157894736842107"/>
    <n v="0.52717391304347827"/>
    <n v="0.15760869565217392"/>
    <n v="17264"/>
    <s v="Bavaria Motors"/>
  </r>
  <r>
    <s v="CUST_4178"/>
    <x v="6"/>
    <x v="2"/>
    <s v="Saturday"/>
    <s v="Yes"/>
    <x v="8"/>
    <x v="8"/>
    <s v="Baden-WÃ¼rttemberg"/>
    <x v="3"/>
    <s v="GLC"/>
    <s v="Hybrid"/>
    <x v="0"/>
    <s v="26-35"/>
    <s v="Medium"/>
    <x v="0"/>
    <x v="2"/>
    <s v="Sales_20"/>
    <n v="210"/>
    <n v="115"/>
    <n v="87"/>
    <n v="34"/>
    <s v="29.57"/>
    <n v="57872"/>
    <s v="5.31"/>
    <n v="43557"/>
    <n v="1967648"/>
    <n v="486710"/>
    <s v="Feb"/>
    <n v="2"/>
    <n v="2026"/>
    <s v="Weekend"/>
    <n v="0.39080459770114945"/>
    <n v="0.54761904761904767"/>
    <n v="0.16190476190476191"/>
    <n v="14315"/>
    <s v="Stuttgart Auto Center"/>
  </r>
  <r>
    <s v="CUST_4179"/>
    <x v="11"/>
    <x v="0"/>
    <s v="Wednesday"/>
    <s v="No"/>
    <x v="0"/>
    <x v="0"/>
    <s v="Hesse"/>
    <x v="1"/>
    <s v="Corsa"/>
    <s v="Diesel"/>
    <x v="2"/>
    <s v="18-25"/>
    <s v="Medium"/>
    <x v="1"/>
    <x v="1"/>
    <s v="Sales_12"/>
    <n v="336"/>
    <n v="182"/>
    <n v="102"/>
    <n v="28"/>
    <s v="15.38"/>
    <n v="25142"/>
    <s v="9.43"/>
    <n v="23009"/>
    <n v="703976"/>
    <n v="59724"/>
    <s v="Feb"/>
    <n v="2"/>
    <n v="2026"/>
    <s v="Weekday"/>
    <n v="0.27450980392156865"/>
    <n v="0.54166666666666663"/>
    <n v="8.3333333333333329E-2"/>
    <n v="2133"/>
    <s v="Main Auto Hub"/>
  </r>
  <r>
    <s v="CUST_4180"/>
    <x v="6"/>
    <x v="2"/>
    <s v="Saturday"/>
    <s v="Yes"/>
    <x v="6"/>
    <x v="6"/>
    <s v="Saxony"/>
    <x v="3"/>
    <s v="C-Class"/>
    <s v="Diesel"/>
    <x v="1"/>
    <s v="18-25"/>
    <s v="Low"/>
    <x v="1"/>
    <x v="0"/>
    <s v="Sales_7"/>
    <n v="153"/>
    <n v="81"/>
    <n v="54"/>
    <n v="17"/>
    <s v="20.99"/>
    <n v="57956"/>
    <s v="2.39"/>
    <n v="45015"/>
    <n v="985252"/>
    <n v="219997"/>
    <s v="Feb"/>
    <n v="2"/>
    <n v="2026"/>
    <s v="Weekend"/>
    <n v="0.31481481481481483"/>
    <n v="0.52941176470588236"/>
    <n v="0.1111111111111111"/>
    <n v="12941"/>
    <s v="Leipzig Mobility"/>
  </r>
  <r>
    <s v="CUST_4181"/>
    <x v="15"/>
    <x v="2"/>
    <s v="Thursday"/>
    <s v="No"/>
    <x v="1"/>
    <x v="1"/>
    <s v="NRW"/>
    <x v="2"/>
    <s v="A3"/>
    <s v="Hybrid"/>
    <x v="2"/>
    <s v="18-25"/>
    <s v="High"/>
    <x v="0"/>
    <x v="0"/>
    <s v="Sales_6"/>
    <n v="281"/>
    <n v="160"/>
    <n v="120"/>
    <n v="32"/>
    <s v="20.0"/>
    <n v="54328"/>
    <s v="3.99"/>
    <n v="43359"/>
    <n v="1738496"/>
    <n v="351008"/>
    <s v="Feb"/>
    <n v="2"/>
    <n v="2026"/>
    <s v="Weekday"/>
    <n v="0.26666666666666666"/>
    <n v="0.56939501779359436"/>
    <n v="0.11387900355871886"/>
    <n v="10969"/>
    <s v="Rhein Auto Group"/>
  </r>
  <r>
    <s v="CUST_4182"/>
    <x v="4"/>
    <x v="2"/>
    <s v="Wednesday"/>
    <s v="No"/>
    <x v="3"/>
    <x v="3"/>
    <s v="Saxony"/>
    <x v="4"/>
    <s v="Golf"/>
    <s v="Petrol"/>
    <x v="2"/>
    <s v="26-35"/>
    <s v="Medium"/>
    <x v="0"/>
    <x v="0"/>
    <s v="Sales_15"/>
    <n v="426"/>
    <n v="178"/>
    <n v="112"/>
    <n v="29"/>
    <s v="16.29"/>
    <n v="32522"/>
    <s v="8.98"/>
    <n v="29061"/>
    <n v="943138"/>
    <n v="100369"/>
    <s v="Feb"/>
    <n v="2"/>
    <n v="2026"/>
    <s v="Weekday"/>
    <n v="0.25892857142857145"/>
    <n v="0.41784037558685444"/>
    <n v="6.8075117370892016E-2"/>
    <n v="3461"/>
    <s v="Saxon Wheels"/>
  </r>
  <r>
    <s v="CUST_4183"/>
    <x v="18"/>
    <x v="0"/>
    <s v="Saturday"/>
    <s v="Yes"/>
    <x v="7"/>
    <x v="7"/>
    <s v="Bavaria"/>
    <x v="0"/>
    <s v="X3"/>
    <s v="Electric"/>
    <x v="0"/>
    <s v="50+"/>
    <s v="Medium"/>
    <x v="0"/>
    <x v="3"/>
    <s v="Sales_18"/>
    <n v="197"/>
    <n v="119"/>
    <n v="87"/>
    <n v="34"/>
    <s v="28.57"/>
    <n v="58964"/>
    <s v="5.11"/>
    <n v="41726"/>
    <n v="2004776"/>
    <n v="586092"/>
    <s v="Feb"/>
    <n v="2"/>
    <n v="2026"/>
    <s v="Weekend"/>
    <n v="0.39080459770114945"/>
    <n v="0.60406091370558379"/>
    <n v="0.17258883248730963"/>
    <n v="17238"/>
    <s v="Bavaria Motors"/>
  </r>
  <r>
    <s v="CUST_4184"/>
    <x v="19"/>
    <x v="1"/>
    <s v="Saturday"/>
    <s v="Yes"/>
    <x v="8"/>
    <x v="8"/>
    <s v="Baden-WÃ¼rttemberg"/>
    <x v="0"/>
    <s v="X3"/>
    <s v="Electric"/>
    <x v="0"/>
    <s v="36-50"/>
    <s v="High"/>
    <x v="0"/>
    <x v="0"/>
    <s v="Sales_10"/>
    <n v="143"/>
    <n v="85"/>
    <n v="60"/>
    <n v="24"/>
    <s v="28.24"/>
    <n v="58181"/>
    <s v="5.39"/>
    <n v="40878"/>
    <n v="1396344"/>
    <n v="415272"/>
    <s v="Feb"/>
    <n v="2"/>
    <n v="2026"/>
    <s v="Weekend"/>
    <n v="0.4"/>
    <n v="0.59440559440559437"/>
    <n v="0.16783216783216784"/>
    <n v="17303"/>
    <s v="Stuttgart Auto Center"/>
  </r>
  <r>
    <s v="CUST_4185"/>
    <x v="0"/>
    <x v="0"/>
    <s v="Monday"/>
    <s v="No"/>
    <x v="5"/>
    <x v="5"/>
    <s v="Hamburg"/>
    <x v="4"/>
    <s v="T-Roc"/>
    <s v="Electric"/>
    <x v="0"/>
    <s v="36-50"/>
    <s v="Medium"/>
    <x v="0"/>
    <x v="0"/>
    <s v="Sales_17"/>
    <n v="388"/>
    <n v="206"/>
    <n v="146"/>
    <n v="32"/>
    <s v="15.53"/>
    <n v="31994"/>
    <s v="9.73"/>
    <n v="27824"/>
    <n v="1023808"/>
    <n v="133440"/>
    <s v="Feb"/>
    <n v="2"/>
    <n v="2026"/>
    <s v="Weekday"/>
    <n v="0.21917808219178081"/>
    <n v="0.53092783505154639"/>
    <n v="8.247422680412371E-2"/>
    <n v="4170"/>
    <s v="Elbe Drive"/>
  </r>
  <r>
    <s v="CUST_4186"/>
    <x v="18"/>
    <x v="0"/>
    <s v="Saturday"/>
    <s v="Yes"/>
    <x v="8"/>
    <x v="8"/>
    <s v="Baden-WÃ¼rttemberg"/>
    <x v="3"/>
    <s v="GLC"/>
    <s v="Hybrid"/>
    <x v="0"/>
    <s v="26-35"/>
    <s v="Low"/>
    <x v="1"/>
    <x v="3"/>
    <s v="Sales_4"/>
    <n v="200"/>
    <n v="102"/>
    <n v="81"/>
    <n v="22"/>
    <s v="21.57"/>
    <n v="58586"/>
    <s v="2.32"/>
    <n v="42512"/>
    <n v="1288892"/>
    <n v="353628"/>
    <s v="Feb"/>
    <n v="2"/>
    <n v="2026"/>
    <s v="Weekend"/>
    <n v="0.27160493827160492"/>
    <n v="0.51"/>
    <n v="0.11"/>
    <n v="16074"/>
    <s v="Stuttgart Auto Center"/>
  </r>
  <r>
    <s v="CUST_4187"/>
    <x v="26"/>
    <x v="1"/>
    <s v="Friday"/>
    <s v="No"/>
    <x v="9"/>
    <x v="9"/>
    <s v="NRW"/>
    <x v="4"/>
    <s v="T-Roc"/>
    <s v="Hybrid"/>
    <x v="0"/>
    <s v="18-25"/>
    <s v="Low"/>
    <x v="1"/>
    <x v="3"/>
    <s v="Sales_5"/>
    <n v="484"/>
    <n v="218"/>
    <n v="135"/>
    <n v="34"/>
    <s v="15.6"/>
    <n v="25964"/>
    <s v="9.48"/>
    <n v="22938"/>
    <n v="882776"/>
    <n v="102884"/>
    <s v="Feb"/>
    <n v="2"/>
    <n v="2026"/>
    <s v="Weekday"/>
    <n v="0.25185185185185183"/>
    <n v="0.45041322314049587"/>
    <n v="7.0247933884297523E-2"/>
    <n v="3026"/>
    <s v="Ruhr Auto Plaza"/>
  </r>
  <r>
    <s v="CUST_4188"/>
    <x v="18"/>
    <x v="0"/>
    <s v="Saturday"/>
    <s v="Yes"/>
    <x v="3"/>
    <x v="3"/>
    <s v="Saxony"/>
    <x v="3"/>
    <s v="C-Class"/>
    <s v="Hybrid"/>
    <x v="1"/>
    <s v="50+"/>
    <s v="Medium"/>
    <x v="0"/>
    <x v="0"/>
    <s v="Sales_12"/>
    <n v="161"/>
    <n v="91"/>
    <n v="72"/>
    <n v="21"/>
    <s v="23.08"/>
    <n v="64812"/>
    <s v="4.37"/>
    <n v="50876"/>
    <n v="1361052"/>
    <n v="292656"/>
    <s v="Feb"/>
    <n v="2"/>
    <n v="2026"/>
    <s v="Weekend"/>
    <n v="0.29166666666666669"/>
    <n v="0.56521739130434778"/>
    <n v="0.13043478260869565"/>
    <n v="13936"/>
    <s v="Saxon Wheels"/>
  </r>
  <r>
    <s v="CUST_4189"/>
    <x v="12"/>
    <x v="3"/>
    <s v="Thursday"/>
    <s v="No"/>
    <x v="5"/>
    <x v="5"/>
    <s v="Hamburg"/>
    <x v="2"/>
    <s v="A3"/>
    <s v="Diesel"/>
    <x v="2"/>
    <s v="36-50"/>
    <s v="Medium"/>
    <x v="0"/>
    <x v="3"/>
    <s v="Sales_10"/>
    <n v="162"/>
    <n v="92"/>
    <n v="59"/>
    <n v="23"/>
    <s v="25.0"/>
    <n v="46076"/>
    <s v="5.63"/>
    <n v="35978"/>
    <n v="1059748"/>
    <n v="232254"/>
    <s v="Feb"/>
    <n v="2"/>
    <n v="2026"/>
    <s v="Weekday"/>
    <n v="0.38983050847457629"/>
    <n v="0.5679012345679012"/>
    <n v="0.1419753086419753"/>
    <n v="10098"/>
    <s v="Elbe Drive"/>
  </r>
  <r>
    <s v="CUST_4190"/>
    <x v="5"/>
    <x v="3"/>
    <s v="Saturday"/>
    <s v="Yes"/>
    <x v="7"/>
    <x v="7"/>
    <s v="Bavaria"/>
    <x v="1"/>
    <s v="Astra"/>
    <s v="Electric"/>
    <x v="2"/>
    <s v="36-50"/>
    <s v="High"/>
    <x v="1"/>
    <x v="3"/>
    <s v="Sales_19"/>
    <n v="293"/>
    <n v="120"/>
    <n v="83"/>
    <n v="20"/>
    <s v="16.67"/>
    <n v="23676"/>
    <s v="10.09"/>
    <n v="21259"/>
    <n v="473520"/>
    <n v="48340"/>
    <s v="Feb"/>
    <n v="2"/>
    <n v="2026"/>
    <s v="Weekend"/>
    <n v="0.24096385542168675"/>
    <n v="0.40955631399317405"/>
    <n v="6.8259385665529013E-2"/>
    <n v="2417"/>
    <s v="Bavaria Motors"/>
  </r>
  <r>
    <s v="CUST_4191"/>
    <x v="10"/>
    <x v="1"/>
    <s v="Monday"/>
    <s v="No"/>
    <x v="1"/>
    <x v="1"/>
    <s v="NRW"/>
    <x v="0"/>
    <s v="X5"/>
    <s v="Petrol"/>
    <x v="0"/>
    <s v="26-35"/>
    <s v="Low"/>
    <x v="0"/>
    <x v="2"/>
    <s v="Sales_16"/>
    <n v="181"/>
    <n v="89"/>
    <n v="61"/>
    <n v="30"/>
    <s v="33.71"/>
    <n v="50915"/>
    <s v="4.92"/>
    <n v="38819"/>
    <n v="1527450"/>
    <n v="362880"/>
    <s v="Feb"/>
    <n v="2"/>
    <n v="2026"/>
    <s v="Weekday"/>
    <n v="0.49180327868852458"/>
    <n v="0.49171270718232046"/>
    <n v="0.16574585635359115"/>
    <n v="12096"/>
    <s v="Rhein Auto Group"/>
  </r>
  <r>
    <s v="CUST_4192"/>
    <x v="18"/>
    <x v="0"/>
    <s v="Saturday"/>
    <s v="Yes"/>
    <x v="6"/>
    <x v="6"/>
    <s v="Saxony"/>
    <x v="1"/>
    <s v="Mokka"/>
    <s v="Petrol"/>
    <x v="0"/>
    <s v="18-25"/>
    <s v="High"/>
    <x v="1"/>
    <x v="1"/>
    <s v="Sales_3"/>
    <n v="227"/>
    <n v="110"/>
    <n v="62"/>
    <n v="17"/>
    <s v="15.45"/>
    <n v="25005"/>
    <s v="12.18"/>
    <n v="22949"/>
    <n v="425085"/>
    <n v="34952"/>
    <s v="Feb"/>
    <n v="2"/>
    <n v="2026"/>
    <s v="Weekend"/>
    <n v="0.27419354838709675"/>
    <n v="0.48458149779735682"/>
    <n v="7.4889867841409691E-2"/>
    <n v="2056"/>
    <s v="Leipzig Mobility"/>
  </r>
  <r>
    <s v="CUST_4193"/>
    <x v="7"/>
    <x v="3"/>
    <s v="Monday"/>
    <s v="No"/>
    <x v="1"/>
    <x v="1"/>
    <s v="NRW"/>
    <x v="4"/>
    <s v="ID.4"/>
    <s v="Electric"/>
    <x v="0"/>
    <s v="50+"/>
    <s v="Low"/>
    <x v="0"/>
    <x v="2"/>
    <s v="Sales_18"/>
    <n v="342"/>
    <n v="139"/>
    <n v="90"/>
    <n v="26"/>
    <s v="18.71"/>
    <n v="32007"/>
    <s v="6.81"/>
    <n v="27802"/>
    <n v="832182"/>
    <n v="109330"/>
    <s v="Feb"/>
    <n v="2"/>
    <n v="2026"/>
    <s v="Weekday"/>
    <n v="0.28888888888888886"/>
    <n v="0.4064327485380117"/>
    <n v="7.6023391812865493E-2"/>
    <n v="4205"/>
    <s v="Rhein Auto Group"/>
  </r>
  <r>
    <s v="CUST_4194"/>
    <x v="1"/>
    <x v="1"/>
    <s v="Wednesday"/>
    <s v="No"/>
    <x v="5"/>
    <x v="5"/>
    <s v="Hamburg"/>
    <x v="2"/>
    <s v="Q5"/>
    <s v="Electric"/>
    <x v="0"/>
    <s v="26-35"/>
    <s v="Low"/>
    <x v="1"/>
    <x v="2"/>
    <s v="Sales_10"/>
    <n v="275"/>
    <n v="175"/>
    <n v="114"/>
    <n v="42"/>
    <s v="24.0"/>
    <n v="50154"/>
    <s v="5.67"/>
    <n v="40520"/>
    <n v="2106468"/>
    <n v="404628"/>
    <s v="Feb"/>
    <n v="2"/>
    <n v="2026"/>
    <s v="Weekday"/>
    <n v="0.36842105263157893"/>
    <n v="0.63636363636363635"/>
    <n v="0.15272727272727274"/>
    <n v="9634"/>
    <s v="Elbe Drive"/>
  </r>
  <r>
    <s v="CUST_4195"/>
    <x v="23"/>
    <x v="2"/>
    <s v="Tuesday"/>
    <s v="No"/>
    <x v="9"/>
    <x v="9"/>
    <s v="NRW"/>
    <x v="0"/>
    <s v="X5"/>
    <s v="Hybrid"/>
    <x v="0"/>
    <s v="26-35"/>
    <s v="Low"/>
    <x v="0"/>
    <x v="0"/>
    <s v="Sales_9"/>
    <n v="226"/>
    <n v="124"/>
    <n v="97"/>
    <n v="33"/>
    <s v="26.61"/>
    <n v="56662"/>
    <s v="5.95"/>
    <n v="42697"/>
    <n v="1869846"/>
    <n v="460845"/>
    <s v="Feb"/>
    <n v="2"/>
    <n v="2026"/>
    <s v="Weekday"/>
    <n v="0.34020618556701032"/>
    <n v="0.54867256637168138"/>
    <n v="0.14601769911504425"/>
    <n v="13965"/>
    <s v="Ruhr Auto Plaza"/>
  </r>
  <r>
    <s v="CUST_4196"/>
    <x v="7"/>
    <x v="3"/>
    <s v="Monday"/>
    <s v="No"/>
    <x v="1"/>
    <x v="1"/>
    <s v="NRW"/>
    <x v="4"/>
    <s v="T-Roc"/>
    <s v="Hybrid"/>
    <x v="0"/>
    <s v="36-50"/>
    <s v="Medium"/>
    <x v="1"/>
    <x v="1"/>
    <s v="Sales_8"/>
    <n v="322"/>
    <n v="173"/>
    <n v="122"/>
    <n v="32"/>
    <s v="18.5"/>
    <n v="33088"/>
    <s v="8.64"/>
    <n v="29213"/>
    <n v="1058816"/>
    <n v="124000"/>
    <s v="Feb"/>
    <n v="2"/>
    <n v="2026"/>
    <s v="Weekday"/>
    <n v="0.26229508196721313"/>
    <n v="0.53726708074534157"/>
    <n v="9.9378881987577633E-2"/>
    <n v="3875"/>
    <s v="Rhein Auto Group"/>
  </r>
  <r>
    <s v="CUST_4197"/>
    <x v="19"/>
    <x v="1"/>
    <s v="Saturday"/>
    <s v="Yes"/>
    <x v="3"/>
    <x v="3"/>
    <s v="Saxony"/>
    <x v="4"/>
    <s v="Tiguan"/>
    <s v="Hybrid"/>
    <x v="0"/>
    <s v="50+"/>
    <s v="Low"/>
    <x v="1"/>
    <x v="1"/>
    <s v="Sales_12"/>
    <n v="474"/>
    <n v="209"/>
    <n v="129"/>
    <n v="35"/>
    <s v="16.75"/>
    <n v="27086"/>
    <s v="10.73"/>
    <n v="24108"/>
    <n v="948010"/>
    <n v="104230"/>
    <s v="Feb"/>
    <n v="2"/>
    <n v="2026"/>
    <s v="Weekend"/>
    <n v="0.27131782945736432"/>
    <n v="0.44092827004219409"/>
    <n v="7.3839662447257384E-2"/>
    <n v="2978"/>
    <s v="Saxon Wheels"/>
  </r>
  <r>
    <s v="CUST_4198"/>
    <x v="26"/>
    <x v="1"/>
    <s v="Friday"/>
    <s v="No"/>
    <x v="2"/>
    <x v="2"/>
    <s v="Lower Saxony"/>
    <x v="1"/>
    <s v="Astra"/>
    <s v="Diesel"/>
    <x v="2"/>
    <s v="18-25"/>
    <s v="Low"/>
    <x v="1"/>
    <x v="2"/>
    <s v="Sales_15"/>
    <n v="239"/>
    <n v="108"/>
    <n v="61"/>
    <n v="20"/>
    <s v="18.52"/>
    <n v="21672"/>
    <s v="10.53"/>
    <n v="19843"/>
    <n v="433440"/>
    <n v="36580"/>
    <s v="Feb"/>
    <n v="2"/>
    <n v="2026"/>
    <s v="Weekday"/>
    <n v="0.32786885245901637"/>
    <n v="0.45188284518828453"/>
    <n v="8.3682008368200833E-2"/>
    <n v="1829"/>
    <s v="Hannover Cars"/>
  </r>
  <r>
    <s v="CUST_4199"/>
    <x v="18"/>
    <x v="0"/>
    <s v="Saturday"/>
    <s v="Yes"/>
    <x v="0"/>
    <x v="0"/>
    <s v="Hesse"/>
    <x v="3"/>
    <s v="EQE"/>
    <s v="Diesel"/>
    <x v="1"/>
    <s v="36-50"/>
    <s v="Medium"/>
    <x v="1"/>
    <x v="3"/>
    <s v="Sales_11"/>
    <n v="225"/>
    <n v="100"/>
    <n v="70"/>
    <n v="23"/>
    <s v="23.0"/>
    <n v="54506"/>
    <s v="2.28"/>
    <n v="42369"/>
    <n v="1253638"/>
    <n v="279151"/>
    <s v="Feb"/>
    <n v="2"/>
    <n v="2026"/>
    <s v="Weekend"/>
    <n v="0.32857142857142857"/>
    <n v="0.44444444444444442"/>
    <n v="0.10222222222222223"/>
    <n v="12137"/>
    <s v="Main Auto Hub"/>
  </r>
  <r>
    <s v="CUST_4200"/>
    <x v="2"/>
    <x v="2"/>
    <s v="Monday"/>
    <s v="No"/>
    <x v="4"/>
    <x v="4"/>
    <s v="Berlin"/>
    <x v="3"/>
    <s v="GLE"/>
    <s v="Petrol"/>
    <x v="0"/>
    <s v="36-50"/>
    <s v="Low"/>
    <x v="0"/>
    <x v="1"/>
    <s v="Sales_11"/>
    <n v="158"/>
    <n v="71"/>
    <n v="53"/>
    <n v="18"/>
    <s v="25.35"/>
    <n v="61978"/>
    <s v="3.83"/>
    <n v="48344"/>
    <n v="1115604"/>
    <n v="245412"/>
    <s v="Feb"/>
    <n v="2"/>
    <n v="2026"/>
    <s v="Weekday"/>
    <n v="0.33962264150943394"/>
    <n v="0.44936708860759494"/>
    <n v="0.11392405063291139"/>
    <n v="13634"/>
    <s v="Autohaus Berlin"/>
  </r>
  <r>
    <s v="CUST_4201"/>
    <x v="22"/>
    <x v="3"/>
    <s v="Tuesday"/>
    <s v="No"/>
    <x v="8"/>
    <x v="8"/>
    <s v="Baden-WÃ¼rttemberg"/>
    <x v="3"/>
    <s v="GLC"/>
    <s v="Hybrid"/>
    <x v="0"/>
    <s v="26-35"/>
    <s v="High"/>
    <x v="0"/>
    <x v="2"/>
    <s v="Sales_15"/>
    <n v="268"/>
    <n v="150"/>
    <n v="115"/>
    <n v="46"/>
    <s v="30.67"/>
    <n v="54924"/>
    <s v="3.68"/>
    <n v="41194"/>
    <n v="2526504"/>
    <n v="631580"/>
    <s v="Feb"/>
    <n v="2"/>
    <n v="2026"/>
    <s v="Weekday"/>
    <n v="0.4"/>
    <n v="0.55970149253731338"/>
    <n v="0.17164179104477612"/>
    <n v="13730"/>
    <s v="Stuttgart Auto Center"/>
  </r>
  <r>
    <s v="CUST_4202"/>
    <x v="8"/>
    <x v="3"/>
    <s v="Wednesday"/>
    <s v="No"/>
    <x v="6"/>
    <x v="6"/>
    <s v="Saxony"/>
    <x v="2"/>
    <s v="A4"/>
    <s v="Electric"/>
    <x v="1"/>
    <s v="36-50"/>
    <s v="High"/>
    <x v="1"/>
    <x v="3"/>
    <s v="Sales_15"/>
    <n v="239"/>
    <n v="139"/>
    <n v="90"/>
    <n v="31"/>
    <s v="22.3"/>
    <n v="47348"/>
    <s v="5.78"/>
    <n v="36331"/>
    <n v="1467788"/>
    <n v="341527"/>
    <s v="Feb"/>
    <n v="2"/>
    <n v="2026"/>
    <s v="Weekday"/>
    <n v="0.34444444444444444"/>
    <n v="0.58158995815899583"/>
    <n v="0.1297071129707113"/>
    <n v="11017"/>
    <s v="Leipzig Mobility"/>
  </r>
  <r>
    <s v="CUST_4203"/>
    <x v="17"/>
    <x v="2"/>
    <s v="Sunday"/>
    <s v="Yes"/>
    <x v="9"/>
    <x v="9"/>
    <s v="NRW"/>
    <x v="0"/>
    <s v="i4"/>
    <s v="Petrol"/>
    <x v="1"/>
    <s v="18-25"/>
    <s v="Medium"/>
    <x v="1"/>
    <x v="2"/>
    <s v="Sales_17"/>
    <n v="273"/>
    <n v="164"/>
    <n v="119"/>
    <n v="46"/>
    <s v="28.05"/>
    <n v="58661"/>
    <s v="5.34"/>
    <n v="43431"/>
    <n v="2698406"/>
    <n v="700580"/>
    <s v="Feb"/>
    <n v="2"/>
    <n v="2026"/>
    <s v="Weekend"/>
    <n v="0.38655462184873951"/>
    <n v="0.60073260073260071"/>
    <n v="0.16849816849816851"/>
    <n v="15230"/>
    <s v="Ruhr Auto Plaza"/>
  </r>
  <r>
    <s v="CUST_4204"/>
    <x v="17"/>
    <x v="2"/>
    <s v="Sunday"/>
    <s v="Yes"/>
    <x v="0"/>
    <x v="0"/>
    <s v="Hesse"/>
    <x v="3"/>
    <s v="GLE"/>
    <s v="Hybrid"/>
    <x v="0"/>
    <s v="18-25"/>
    <s v="High"/>
    <x v="1"/>
    <x v="0"/>
    <s v="Sales_14"/>
    <n v="285"/>
    <n v="136"/>
    <n v="98"/>
    <n v="30"/>
    <s v="22.06"/>
    <n v="60283"/>
    <s v="4.29"/>
    <n v="44660"/>
    <n v="1808490"/>
    <n v="468690"/>
    <s v="Feb"/>
    <n v="2"/>
    <n v="2026"/>
    <s v="Weekend"/>
    <n v="0.30612244897959184"/>
    <n v="0.47719298245614034"/>
    <n v="0.10526315789473684"/>
    <n v="15623"/>
    <s v="Main Auto Hub"/>
  </r>
  <r>
    <s v="CUST_4205"/>
    <x v="22"/>
    <x v="3"/>
    <s v="Tuesday"/>
    <s v="No"/>
    <x v="1"/>
    <x v="1"/>
    <s v="NRW"/>
    <x v="3"/>
    <s v="GLE"/>
    <s v="Electric"/>
    <x v="0"/>
    <s v="50+"/>
    <s v="High"/>
    <x v="0"/>
    <x v="3"/>
    <s v="Sales_9"/>
    <n v="153"/>
    <n v="88"/>
    <n v="67"/>
    <n v="24"/>
    <s v="27.27"/>
    <n v="67659"/>
    <s v="5.01"/>
    <n v="49583"/>
    <n v="1623816"/>
    <n v="433824"/>
    <s v="Feb"/>
    <n v="2"/>
    <n v="2026"/>
    <s v="Weekday"/>
    <n v="0.35820895522388058"/>
    <n v="0.57516339869281041"/>
    <n v="0.15686274509803921"/>
    <n v="18076"/>
    <s v="Rhein Auto Group"/>
  </r>
  <r>
    <s v="CUST_4206"/>
    <x v="18"/>
    <x v="0"/>
    <s v="Saturday"/>
    <s v="Yes"/>
    <x v="8"/>
    <x v="8"/>
    <s v="Baden-WÃ¼rttemberg"/>
    <x v="0"/>
    <s v="X3"/>
    <s v="Diesel"/>
    <x v="0"/>
    <s v="26-35"/>
    <s v="High"/>
    <x v="1"/>
    <x v="2"/>
    <s v="Sales_9"/>
    <n v="204"/>
    <n v="95"/>
    <n v="75"/>
    <n v="29"/>
    <s v="30.53"/>
    <n v="59033"/>
    <s v="4.84"/>
    <n v="43458"/>
    <n v="1711957"/>
    <n v="451675"/>
    <s v="Feb"/>
    <n v="2"/>
    <n v="2026"/>
    <s v="Weekend"/>
    <n v="0.38666666666666666"/>
    <n v="0.46568627450980393"/>
    <n v="0.14215686274509803"/>
    <n v="15575"/>
    <s v="Stuttgart Auto Center"/>
  </r>
  <r>
    <s v="CUST_4207"/>
    <x v="26"/>
    <x v="1"/>
    <s v="Friday"/>
    <s v="No"/>
    <x v="0"/>
    <x v="0"/>
    <s v="Hesse"/>
    <x v="0"/>
    <s v="i4"/>
    <s v="Hybrid"/>
    <x v="1"/>
    <s v="18-25"/>
    <s v="High"/>
    <x v="0"/>
    <x v="1"/>
    <s v="Sales_19"/>
    <n v="159"/>
    <n v="80"/>
    <n v="64"/>
    <n v="22"/>
    <s v="27.5"/>
    <n v="58132"/>
    <s v="2.21"/>
    <n v="41947"/>
    <n v="1278904"/>
    <n v="356070"/>
    <s v="Feb"/>
    <n v="2"/>
    <n v="2026"/>
    <s v="Weekday"/>
    <n v="0.34375"/>
    <n v="0.50314465408805031"/>
    <n v="0.13836477987421383"/>
    <n v="16185"/>
    <s v="Main Auto Hub"/>
  </r>
  <r>
    <s v="CUST_4208"/>
    <x v="23"/>
    <x v="2"/>
    <s v="Tuesday"/>
    <s v="No"/>
    <x v="6"/>
    <x v="6"/>
    <s v="Saxony"/>
    <x v="4"/>
    <s v="Tiguan"/>
    <s v="Electric"/>
    <x v="0"/>
    <s v="36-50"/>
    <s v="Low"/>
    <x v="1"/>
    <x v="0"/>
    <s v="Sales_2"/>
    <n v="354"/>
    <n v="194"/>
    <n v="123"/>
    <n v="26"/>
    <s v="13.4"/>
    <n v="28202"/>
    <s v="9.75"/>
    <n v="25047"/>
    <n v="733252"/>
    <n v="82030"/>
    <s v="Feb"/>
    <n v="2"/>
    <n v="2026"/>
    <s v="Weekday"/>
    <n v="0.21138211382113822"/>
    <n v="0.54802259887005644"/>
    <n v="7.3446327683615822E-2"/>
    <n v="3155"/>
    <s v="Leipzig Mobility"/>
  </r>
  <r>
    <s v="CUST_4209"/>
    <x v="8"/>
    <x v="3"/>
    <s v="Wednesday"/>
    <s v="No"/>
    <x v="4"/>
    <x v="4"/>
    <s v="Berlin"/>
    <x v="0"/>
    <s v="3 Series"/>
    <s v="Hybrid"/>
    <x v="1"/>
    <s v="50+"/>
    <s v="Medium"/>
    <x v="1"/>
    <x v="3"/>
    <s v="Sales_3"/>
    <n v="214"/>
    <n v="105"/>
    <n v="71"/>
    <n v="30"/>
    <s v="28.57"/>
    <n v="62327"/>
    <s v="4.7"/>
    <n v="43661"/>
    <n v="1869810"/>
    <n v="559980"/>
    <s v="Feb"/>
    <n v="2"/>
    <n v="2026"/>
    <s v="Weekday"/>
    <n v="0.42253521126760563"/>
    <n v="0.49065420560747663"/>
    <n v="0.14018691588785046"/>
    <n v="18666"/>
    <s v="Autohaus Berlin"/>
  </r>
  <r>
    <s v="CUST_4210"/>
    <x v="8"/>
    <x v="3"/>
    <s v="Wednesday"/>
    <s v="No"/>
    <x v="1"/>
    <x v="1"/>
    <s v="NRW"/>
    <x v="0"/>
    <s v="5 Series"/>
    <s v="Petrol"/>
    <x v="1"/>
    <s v="36-50"/>
    <s v="Medium"/>
    <x v="0"/>
    <x v="0"/>
    <s v="Sales_14"/>
    <n v="254"/>
    <n v="125"/>
    <n v="101"/>
    <n v="35"/>
    <s v="28.0"/>
    <n v="51840"/>
    <s v="5.24"/>
    <n v="37419"/>
    <n v="1814400"/>
    <n v="504735"/>
    <s v="Feb"/>
    <n v="2"/>
    <n v="2026"/>
    <s v="Weekday"/>
    <n v="0.34653465346534651"/>
    <n v="0.49212598425196852"/>
    <n v="0.13779527559055119"/>
    <n v="14421"/>
    <s v="Rhein Auto Group"/>
  </r>
  <r>
    <s v="CUST_4211"/>
    <x v="22"/>
    <x v="3"/>
    <s v="Tuesday"/>
    <s v="No"/>
    <x v="3"/>
    <x v="3"/>
    <s v="Saxony"/>
    <x v="3"/>
    <s v="C-Class"/>
    <s v="Petrol"/>
    <x v="1"/>
    <s v="26-35"/>
    <s v="Medium"/>
    <x v="0"/>
    <x v="0"/>
    <s v="Sales_4"/>
    <n v="159"/>
    <n v="71"/>
    <n v="53"/>
    <n v="15"/>
    <s v="21.13"/>
    <n v="52041"/>
    <s v="3.14"/>
    <n v="39326"/>
    <n v="780615"/>
    <n v="190725"/>
    <s v="Feb"/>
    <n v="2"/>
    <n v="2026"/>
    <s v="Weekday"/>
    <n v="0.28301886792452829"/>
    <n v="0.44654088050314467"/>
    <n v="9.4339622641509441E-2"/>
    <n v="12715"/>
    <s v="Saxon Wheels"/>
  </r>
  <r>
    <s v="CUST_4212"/>
    <x v="7"/>
    <x v="3"/>
    <s v="Monday"/>
    <s v="No"/>
    <x v="8"/>
    <x v="8"/>
    <s v="Baden-WÃ¼rttemberg"/>
    <x v="3"/>
    <s v="E-Class"/>
    <s v="Electric"/>
    <x v="1"/>
    <s v="26-35"/>
    <s v="Medium"/>
    <x v="0"/>
    <x v="3"/>
    <s v="Sales_11"/>
    <n v="266"/>
    <n v="136"/>
    <n v="90"/>
    <n v="32"/>
    <s v="23.53"/>
    <n v="55113"/>
    <s v="4.94"/>
    <n v="42947"/>
    <n v="1763616"/>
    <n v="389312"/>
    <s v="Feb"/>
    <n v="2"/>
    <n v="2026"/>
    <s v="Weekday"/>
    <n v="0.35555555555555557"/>
    <n v="0.51127819548872178"/>
    <n v="0.12030075187969924"/>
    <n v="12166"/>
    <s v="Stuttgart Auto Center"/>
  </r>
  <r>
    <s v="CUST_4213"/>
    <x v="27"/>
    <x v="3"/>
    <s v="Sunday"/>
    <s v="Yes"/>
    <x v="2"/>
    <x v="2"/>
    <s v="Lower Saxony"/>
    <x v="2"/>
    <s v="A4"/>
    <s v="Electric"/>
    <x v="1"/>
    <s v="36-50"/>
    <s v="High"/>
    <x v="1"/>
    <x v="0"/>
    <s v="Sales_12"/>
    <n v="230"/>
    <n v="144"/>
    <n v="98"/>
    <n v="26"/>
    <s v="18.06"/>
    <n v="46487"/>
    <s v="5.1"/>
    <n v="36560"/>
    <n v="1208662"/>
    <n v="258102"/>
    <s v="Feb"/>
    <n v="2"/>
    <n v="2026"/>
    <s v="Weekend"/>
    <n v="0.26530612244897961"/>
    <n v="0.62608695652173918"/>
    <n v="0.11304347826086956"/>
    <n v="9927"/>
    <s v="Hannover Cars"/>
  </r>
  <r>
    <s v="CUST_4214"/>
    <x v="17"/>
    <x v="2"/>
    <s v="Sunday"/>
    <s v="Yes"/>
    <x v="5"/>
    <x v="5"/>
    <s v="Hamburg"/>
    <x v="2"/>
    <s v="e-tron"/>
    <s v="Hybrid"/>
    <x v="0"/>
    <s v="36-50"/>
    <s v="High"/>
    <x v="1"/>
    <x v="0"/>
    <s v="Sales_15"/>
    <n v="235"/>
    <n v="108"/>
    <n v="76"/>
    <n v="24"/>
    <s v="22.22"/>
    <n v="43762"/>
    <s v="5.77"/>
    <n v="34711"/>
    <n v="1050288"/>
    <n v="217224"/>
    <s v="Feb"/>
    <n v="2"/>
    <n v="2026"/>
    <s v="Weekend"/>
    <n v="0.31578947368421051"/>
    <n v="0.45957446808510638"/>
    <n v="0.10212765957446808"/>
    <n v="9051"/>
    <s v="Elbe Drive"/>
  </r>
  <r>
    <s v="CUST_4215"/>
    <x v="19"/>
    <x v="1"/>
    <s v="Saturday"/>
    <s v="Yes"/>
    <x v="9"/>
    <x v="9"/>
    <s v="NRW"/>
    <x v="4"/>
    <s v="ID.4"/>
    <s v="Petrol"/>
    <x v="0"/>
    <s v="18-25"/>
    <s v="High"/>
    <x v="0"/>
    <x v="3"/>
    <s v="Sales_4"/>
    <n v="406"/>
    <n v="216"/>
    <n v="136"/>
    <n v="29"/>
    <s v="13.43"/>
    <n v="34394"/>
    <s v="8.95"/>
    <n v="30585"/>
    <n v="997426"/>
    <n v="110461"/>
    <s v="Feb"/>
    <n v="2"/>
    <n v="2026"/>
    <s v="Weekend"/>
    <n v="0.21323529411764705"/>
    <n v="0.53201970443349755"/>
    <n v="7.1428571428571425E-2"/>
    <n v="3809"/>
    <s v="Ruhr Auto Plaza"/>
  </r>
  <r>
    <s v="CUST_4216"/>
    <x v="0"/>
    <x v="0"/>
    <s v="Monday"/>
    <s v="No"/>
    <x v="4"/>
    <x v="4"/>
    <s v="Berlin"/>
    <x v="2"/>
    <s v="e-tron"/>
    <s v="Petrol"/>
    <x v="0"/>
    <s v="18-25"/>
    <s v="Medium"/>
    <x v="0"/>
    <x v="1"/>
    <s v="Sales_1"/>
    <n v="214"/>
    <n v="112"/>
    <n v="74"/>
    <n v="28"/>
    <s v="25.0"/>
    <n v="54919"/>
    <s v="4.49"/>
    <n v="42297"/>
    <n v="1537732"/>
    <n v="353416"/>
    <s v="Feb"/>
    <n v="2"/>
    <n v="2026"/>
    <s v="Weekday"/>
    <n v="0.3783783783783784"/>
    <n v="0.52336448598130836"/>
    <n v="0.13084112149532709"/>
    <n v="12622"/>
    <s v="Autohaus Berlin"/>
  </r>
  <r>
    <s v="CUST_4217"/>
    <x v="7"/>
    <x v="3"/>
    <s v="Monday"/>
    <s v="No"/>
    <x v="3"/>
    <x v="3"/>
    <s v="Saxony"/>
    <x v="1"/>
    <s v="Astra"/>
    <s v="Electric"/>
    <x v="2"/>
    <s v="36-50"/>
    <s v="High"/>
    <x v="1"/>
    <x v="0"/>
    <s v="Sales_14"/>
    <n v="338"/>
    <n v="163"/>
    <n v="113"/>
    <n v="22"/>
    <s v="13.5"/>
    <n v="21109"/>
    <s v="9.14"/>
    <n v="19225"/>
    <n v="464398"/>
    <n v="41448"/>
    <s v="Feb"/>
    <n v="2"/>
    <n v="2026"/>
    <s v="Weekday"/>
    <n v="0.19469026548672566"/>
    <n v="0.48224852071005919"/>
    <n v="6.5088757396449703E-2"/>
    <n v="1884"/>
    <s v="Saxon Wheels"/>
  </r>
  <r>
    <s v="CUST_4218"/>
    <x v="22"/>
    <x v="3"/>
    <s v="Tuesday"/>
    <s v="No"/>
    <x v="7"/>
    <x v="7"/>
    <s v="Bavaria"/>
    <x v="1"/>
    <s v="Astra"/>
    <s v="Diesel"/>
    <x v="2"/>
    <s v="18-25"/>
    <s v="High"/>
    <x v="1"/>
    <x v="1"/>
    <s v="Sales_10"/>
    <n v="394"/>
    <n v="214"/>
    <n v="137"/>
    <n v="39"/>
    <s v="18.22"/>
    <n v="22066"/>
    <s v="10.48"/>
    <n v="20052"/>
    <n v="860574"/>
    <n v="78546"/>
    <s v="Feb"/>
    <n v="2"/>
    <n v="2026"/>
    <s v="Weekday"/>
    <n v="0.28467153284671531"/>
    <n v="0.54314720812182737"/>
    <n v="9.8984771573604066E-2"/>
    <n v="2014"/>
    <s v="Bavaria Motors"/>
  </r>
  <r>
    <s v="CUST_4219"/>
    <x v="27"/>
    <x v="3"/>
    <s v="Sunday"/>
    <s v="Yes"/>
    <x v="7"/>
    <x v="7"/>
    <s v="Bavaria"/>
    <x v="4"/>
    <s v="T-Roc"/>
    <s v="Petrol"/>
    <x v="0"/>
    <s v="18-25"/>
    <s v="Medium"/>
    <x v="1"/>
    <x v="3"/>
    <s v="Sales_20"/>
    <n v="441"/>
    <n v="212"/>
    <n v="133"/>
    <n v="33"/>
    <s v="15.57"/>
    <n v="30757"/>
    <s v="10.62"/>
    <n v="26742"/>
    <n v="1014981"/>
    <n v="132495"/>
    <s v="Feb"/>
    <n v="2"/>
    <n v="2026"/>
    <s v="Weekend"/>
    <n v="0.24812030075187969"/>
    <n v="0.48072562358276644"/>
    <n v="7.4829931972789115E-2"/>
    <n v="4015"/>
    <s v="Bavaria Motors"/>
  </r>
  <r>
    <s v="CUST_4220"/>
    <x v="0"/>
    <x v="0"/>
    <s v="Monday"/>
    <s v="No"/>
    <x v="7"/>
    <x v="7"/>
    <s v="Bavaria"/>
    <x v="1"/>
    <s v="Grandland"/>
    <s v="Electric"/>
    <x v="0"/>
    <s v="26-35"/>
    <s v="Low"/>
    <x v="1"/>
    <x v="2"/>
    <s v="Sales_6"/>
    <n v="389"/>
    <n v="157"/>
    <n v="105"/>
    <n v="35"/>
    <s v="22.29"/>
    <n v="21122"/>
    <s v="8.45"/>
    <n v="19409"/>
    <n v="739270"/>
    <n v="59955"/>
    <s v="Feb"/>
    <n v="2"/>
    <n v="2026"/>
    <s v="Weekday"/>
    <n v="0.33333333333333331"/>
    <n v="0.40359897172236503"/>
    <n v="8.9974293059125965E-2"/>
    <n v="1713"/>
    <s v="Bavaria Motors"/>
  </r>
  <r>
    <s v="CUST_4221"/>
    <x v="20"/>
    <x v="0"/>
    <s v="Thursday"/>
    <s v="No"/>
    <x v="7"/>
    <x v="7"/>
    <s v="Bavaria"/>
    <x v="4"/>
    <s v="T-Roc"/>
    <s v="Electric"/>
    <x v="0"/>
    <s v="50+"/>
    <s v="Medium"/>
    <x v="1"/>
    <x v="0"/>
    <s v="Sales_11"/>
    <n v="343"/>
    <n v="167"/>
    <n v="119"/>
    <n v="23"/>
    <s v="13.77"/>
    <n v="30208"/>
    <s v="6.0"/>
    <n v="26728"/>
    <n v="694784"/>
    <n v="80040"/>
    <s v="Feb"/>
    <n v="2"/>
    <n v="2026"/>
    <s v="Weekday"/>
    <n v="0.19327731092436976"/>
    <n v="0.48688046647230321"/>
    <n v="6.7055393586005832E-2"/>
    <n v="3480"/>
    <s v="Bavaria Motors"/>
  </r>
  <r>
    <s v="CUST_4222"/>
    <x v="10"/>
    <x v="1"/>
    <s v="Monday"/>
    <s v="No"/>
    <x v="7"/>
    <x v="7"/>
    <s v="Bavaria"/>
    <x v="4"/>
    <s v="Golf"/>
    <s v="Electric"/>
    <x v="2"/>
    <s v="18-25"/>
    <s v="Medium"/>
    <x v="1"/>
    <x v="3"/>
    <s v="Sales_16"/>
    <n v="265"/>
    <n v="133"/>
    <n v="91"/>
    <n v="24"/>
    <s v="18.05"/>
    <n v="25147"/>
    <s v="10.63"/>
    <n v="22461"/>
    <n v="603528"/>
    <n v="64464"/>
    <s v="Feb"/>
    <n v="2"/>
    <n v="2026"/>
    <s v="Weekday"/>
    <n v="0.26373626373626374"/>
    <n v="0.50188679245283019"/>
    <n v="9.056603773584905E-2"/>
    <n v="2686"/>
    <s v="Bavaria Motors"/>
  </r>
  <r>
    <s v="CUST_4223"/>
    <x v="6"/>
    <x v="2"/>
    <s v="Saturday"/>
    <s v="Yes"/>
    <x v="4"/>
    <x v="4"/>
    <s v="Berlin"/>
    <x v="0"/>
    <s v="5 Series"/>
    <s v="Electric"/>
    <x v="1"/>
    <s v="26-35"/>
    <s v="Low"/>
    <x v="1"/>
    <x v="1"/>
    <s v="Sales_15"/>
    <n v="240"/>
    <n v="140"/>
    <n v="104"/>
    <n v="42"/>
    <s v="30.0"/>
    <n v="51410"/>
    <s v="3.48"/>
    <n v="39884"/>
    <n v="2159220"/>
    <n v="484092"/>
    <s v="Feb"/>
    <n v="2"/>
    <n v="2026"/>
    <s v="Weekend"/>
    <n v="0.40384615384615385"/>
    <n v="0.58333333333333337"/>
    <n v="0.17499999999999999"/>
    <n v="11526"/>
    <s v="Autohaus Berlin"/>
  </r>
  <r>
    <s v="CUST_4224"/>
    <x v="25"/>
    <x v="3"/>
    <s v="Friday"/>
    <s v="No"/>
    <x v="1"/>
    <x v="1"/>
    <s v="NRW"/>
    <x v="2"/>
    <s v="A4"/>
    <s v="Electric"/>
    <x v="1"/>
    <s v="50+"/>
    <s v="Medium"/>
    <x v="0"/>
    <x v="2"/>
    <s v="Sales_19"/>
    <n v="240"/>
    <n v="146"/>
    <n v="110"/>
    <n v="40"/>
    <s v="27.4"/>
    <n v="40473"/>
    <s v="5.54"/>
    <n v="32846"/>
    <n v="1618920"/>
    <n v="305080"/>
    <s v="Feb"/>
    <n v="2"/>
    <n v="2026"/>
    <s v="Weekday"/>
    <n v="0.36363636363636365"/>
    <n v="0.60833333333333328"/>
    <n v="0.16666666666666666"/>
    <n v="7627"/>
    <s v="Rhein Auto Group"/>
  </r>
  <r>
    <s v="CUST_4225"/>
    <x v="5"/>
    <x v="3"/>
    <s v="Saturday"/>
    <s v="Yes"/>
    <x v="7"/>
    <x v="7"/>
    <s v="Bavaria"/>
    <x v="0"/>
    <s v="X3"/>
    <s v="Hybrid"/>
    <x v="0"/>
    <s v="18-25"/>
    <s v="Medium"/>
    <x v="0"/>
    <x v="1"/>
    <s v="Sales_3"/>
    <n v="198"/>
    <n v="98"/>
    <n v="79"/>
    <n v="29"/>
    <s v="29.59"/>
    <n v="52281"/>
    <s v="5.39"/>
    <n v="38792"/>
    <n v="1516149"/>
    <n v="391181"/>
    <s v="Feb"/>
    <n v="2"/>
    <n v="2026"/>
    <s v="Weekend"/>
    <n v="0.36708860759493672"/>
    <n v="0.49494949494949497"/>
    <n v="0.14646464646464646"/>
    <n v="13489"/>
    <s v="Bavaria Motors"/>
  </r>
  <r>
    <s v="CUST_4226"/>
    <x v="1"/>
    <x v="1"/>
    <s v="Wednesday"/>
    <s v="No"/>
    <x v="4"/>
    <x v="4"/>
    <s v="Berlin"/>
    <x v="2"/>
    <s v="e-tron"/>
    <s v="Petrol"/>
    <x v="0"/>
    <s v="26-35"/>
    <s v="High"/>
    <x v="1"/>
    <x v="3"/>
    <s v="Sales_18"/>
    <n v="275"/>
    <n v="128"/>
    <n v="87"/>
    <n v="29"/>
    <s v="22.66"/>
    <n v="42416"/>
    <s v="5.76"/>
    <n v="33987"/>
    <n v="1230064"/>
    <n v="244441"/>
    <s v="Feb"/>
    <n v="2"/>
    <n v="2026"/>
    <s v="Weekday"/>
    <n v="0.33333333333333331"/>
    <n v="0.46545454545454545"/>
    <n v="0.10545454545454545"/>
    <n v="8429"/>
    <s v="Autohaus Berlin"/>
  </r>
  <r>
    <s v="CUST_4227"/>
    <x v="14"/>
    <x v="2"/>
    <s v="Friday"/>
    <s v="No"/>
    <x v="1"/>
    <x v="1"/>
    <s v="NRW"/>
    <x v="4"/>
    <s v="T-Roc"/>
    <s v="Electric"/>
    <x v="0"/>
    <s v="18-25"/>
    <s v="Medium"/>
    <x v="0"/>
    <x v="1"/>
    <s v="Sales_10"/>
    <n v="472"/>
    <n v="256"/>
    <n v="153"/>
    <n v="45"/>
    <s v="17.58"/>
    <n v="26761"/>
    <s v="11.77"/>
    <n v="24152"/>
    <n v="1204245"/>
    <n v="117405"/>
    <s v="Feb"/>
    <n v="2"/>
    <n v="2026"/>
    <s v="Weekday"/>
    <n v="0.29411764705882354"/>
    <n v="0.5423728813559322"/>
    <n v="9.5338983050847453E-2"/>
    <n v="2609"/>
    <s v="Rhein Auto Group"/>
  </r>
  <r>
    <s v="CUST_4228"/>
    <x v="4"/>
    <x v="2"/>
    <s v="Wednesday"/>
    <s v="No"/>
    <x v="9"/>
    <x v="9"/>
    <s v="NRW"/>
    <x v="3"/>
    <s v="C-Class"/>
    <s v="Diesel"/>
    <x v="1"/>
    <s v="50+"/>
    <s v="High"/>
    <x v="1"/>
    <x v="2"/>
    <s v="Sales_7"/>
    <n v="179"/>
    <n v="89"/>
    <n v="63"/>
    <n v="23"/>
    <s v="25.84"/>
    <n v="60338"/>
    <s v="3.02"/>
    <n v="47607"/>
    <n v="1387774"/>
    <n v="292813"/>
    <s v="Feb"/>
    <n v="2"/>
    <n v="2026"/>
    <s v="Weekday"/>
    <n v="0.36507936507936506"/>
    <n v="0.4972067039106145"/>
    <n v="0.12849162011173185"/>
    <n v="12731"/>
    <s v="Ruhr Auto Plaza"/>
  </r>
  <r>
    <s v="CUST_4229"/>
    <x v="1"/>
    <x v="1"/>
    <s v="Wednesday"/>
    <s v="No"/>
    <x v="5"/>
    <x v="5"/>
    <s v="Hamburg"/>
    <x v="0"/>
    <s v="5 Series"/>
    <s v="Diesel"/>
    <x v="1"/>
    <s v="36-50"/>
    <s v="Low"/>
    <x v="1"/>
    <x v="2"/>
    <s v="Sales_13"/>
    <n v="180"/>
    <n v="100"/>
    <n v="77"/>
    <n v="31"/>
    <s v="31.0"/>
    <n v="61006"/>
    <s v="5.04"/>
    <n v="46187"/>
    <n v="1891186"/>
    <n v="459389"/>
    <s v="Feb"/>
    <n v="2"/>
    <n v="2026"/>
    <s v="Weekday"/>
    <n v="0.40259740259740262"/>
    <n v="0.55555555555555558"/>
    <n v="0.17222222222222222"/>
    <n v="14819"/>
    <s v="Elbe Drive"/>
  </r>
  <r>
    <s v="CUST_4230"/>
    <x v="18"/>
    <x v="0"/>
    <s v="Saturday"/>
    <s v="Yes"/>
    <x v="8"/>
    <x v="8"/>
    <s v="Baden-WÃ¼rttemberg"/>
    <x v="0"/>
    <s v="3 Series"/>
    <s v="Electric"/>
    <x v="1"/>
    <s v="50+"/>
    <s v="High"/>
    <x v="0"/>
    <x v="2"/>
    <s v="Sales_5"/>
    <n v="211"/>
    <n v="128"/>
    <n v="99"/>
    <n v="38"/>
    <s v="29.69"/>
    <n v="63240"/>
    <s v="5.44"/>
    <n v="47650"/>
    <n v="2403120"/>
    <n v="592420"/>
    <s v="Feb"/>
    <n v="2"/>
    <n v="2026"/>
    <s v="Weekend"/>
    <n v="0.38383838383838381"/>
    <n v="0.60663507109004744"/>
    <n v="0.18009478672985782"/>
    <n v="15590"/>
    <s v="Stuttgart Auto Center"/>
  </r>
  <r>
    <s v="CUST_4231"/>
    <x v="15"/>
    <x v="2"/>
    <s v="Thursday"/>
    <s v="No"/>
    <x v="2"/>
    <x v="2"/>
    <s v="Lower Saxony"/>
    <x v="1"/>
    <s v="Grandland"/>
    <s v="Electric"/>
    <x v="0"/>
    <s v="36-50"/>
    <s v="Low"/>
    <x v="1"/>
    <x v="3"/>
    <s v="Sales_4"/>
    <n v="355"/>
    <n v="178"/>
    <n v="121"/>
    <n v="29"/>
    <s v="16.29"/>
    <n v="26608"/>
    <s v="9.17"/>
    <n v="24397"/>
    <n v="771632"/>
    <n v="64119"/>
    <s v="Feb"/>
    <n v="2"/>
    <n v="2026"/>
    <s v="Weekday"/>
    <n v="0.23966942148760331"/>
    <n v="0.50140845070422535"/>
    <n v="8.1690140845070425E-2"/>
    <n v="2211"/>
    <s v="Hannover Cars"/>
  </r>
  <r>
    <s v="CUST_4232"/>
    <x v="24"/>
    <x v="1"/>
    <s v="Thursday"/>
    <s v="No"/>
    <x v="3"/>
    <x v="3"/>
    <s v="Saxony"/>
    <x v="2"/>
    <s v="Q5"/>
    <s v="Hybrid"/>
    <x v="0"/>
    <s v="26-35"/>
    <s v="High"/>
    <x v="1"/>
    <x v="3"/>
    <s v="Sales_1"/>
    <n v="235"/>
    <n v="126"/>
    <n v="84"/>
    <n v="24"/>
    <s v="19.05"/>
    <n v="43219"/>
    <s v="5.64"/>
    <n v="35007"/>
    <n v="1037256"/>
    <n v="197088"/>
    <s v="Feb"/>
    <n v="2"/>
    <n v="2026"/>
    <s v="Weekday"/>
    <n v="0.2857142857142857"/>
    <n v="0.53617021276595744"/>
    <n v="0.10212765957446808"/>
    <n v="8212"/>
    <s v="Saxon Wheels"/>
  </r>
  <r>
    <s v="CUST_4233"/>
    <x v="14"/>
    <x v="2"/>
    <s v="Friday"/>
    <s v="No"/>
    <x v="2"/>
    <x v="2"/>
    <s v="Lower Saxony"/>
    <x v="0"/>
    <s v="3 Series"/>
    <s v="Diesel"/>
    <x v="1"/>
    <s v="18-25"/>
    <s v="Medium"/>
    <x v="1"/>
    <x v="1"/>
    <s v="Sales_1"/>
    <n v="202"/>
    <n v="117"/>
    <n v="80"/>
    <n v="34"/>
    <s v="29.06"/>
    <n v="63868"/>
    <s v="5.92"/>
    <n v="44867"/>
    <n v="2171512"/>
    <n v="646034"/>
    <s v="Feb"/>
    <n v="2"/>
    <n v="2026"/>
    <s v="Weekday"/>
    <n v="0.42499999999999999"/>
    <n v="0.57920792079207917"/>
    <n v="0.16831683168316833"/>
    <n v="19001"/>
    <s v="Hannover Cars"/>
  </r>
  <r>
    <s v="CUST_4234"/>
    <x v="13"/>
    <x v="0"/>
    <s v="Friday"/>
    <s v="No"/>
    <x v="7"/>
    <x v="7"/>
    <s v="Bavaria"/>
    <x v="4"/>
    <s v="ID.4"/>
    <s v="Hybrid"/>
    <x v="0"/>
    <s v="50+"/>
    <s v="Medium"/>
    <x v="0"/>
    <x v="1"/>
    <s v="Sales_6"/>
    <n v="380"/>
    <n v="218"/>
    <n v="144"/>
    <n v="44"/>
    <s v="20.18"/>
    <n v="32030"/>
    <s v="10.72"/>
    <n v="28040"/>
    <n v="1409320"/>
    <n v="175560"/>
    <s v="Feb"/>
    <n v="2"/>
    <n v="2026"/>
    <s v="Weekday"/>
    <n v="0.30555555555555558"/>
    <n v="0.5736842105263158"/>
    <n v="0.11578947368421053"/>
    <n v="3990"/>
    <s v="Bavaria Motors"/>
  </r>
  <r>
    <s v="CUST_4235"/>
    <x v="23"/>
    <x v="2"/>
    <s v="Tuesday"/>
    <s v="No"/>
    <x v="9"/>
    <x v="9"/>
    <s v="NRW"/>
    <x v="2"/>
    <s v="e-tron"/>
    <s v="Electric"/>
    <x v="0"/>
    <s v="18-25"/>
    <s v="High"/>
    <x v="1"/>
    <x v="1"/>
    <s v="Sales_12"/>
    <n v="265"/>
    <n v="128"/>
    <n v="95"/>
    <n v="31"/>
    <s v="24.22"/>
    <n v="56052"/>
    <s v="3.33"/>
    <n v="45578"/>
    <n v="1737612"/>
    <n v="324694"/>
    <s v="Feb"/>
    <n v="2"/>
    <n v="2026"/>
    <s v="Weekday"/>
    <n v="0.32631578947368423"/>
    <n v="0.48301886792452831"/>
    <n v="0.1169811320754717"/>
    <n v="10474"/>
    <s v="Ruhr Auto Plaza"/>
  </r>
  <r>
    <s v="CUST_4236"/>
    <x v="11"/>
    <x v="0"/>
    <s v="Wednesday"/>
    <s v="No"/>
    <x v="8"/>
    <x v="8"/>
    <s v="Baden-WÃ¼rttemberg"/>
    <x v="3"/>
    <s v="C-Class"/>
    <s v="Electric"/>
    <x v="1"/>
    <s v="50+"/>
    <s v="High"/>
    <x v="1"/>
    <x v="1"/>
    <s v="Sales_19"/>
    <n v="269"/>
    <n v="152"/>
    <n v="108"/>
    <n v="37"/>
    <s v="24.34"/>
    <n v="53142"/>
    <s v="2.02"/>
    <n v="38892"/>
    <n v="1966254"/>
    <n v="527250"/>
    <s v="Feb"/>
    <n v="2"/>
    <n v="2026"/>
    <s v="Weekday"/>
    <n v="0.34259259259259262"/>
    <n v="0.56505576208178443"/>
    <n v="0.13754646840148699"/>
    <n v="14250"/>
    <s v="Stuttgart Auto Center"/>
  </r>
  <r>
    <s v="CUST_4237"/>
    <x v="16"/>
    <x v="1"/>
    <s v="Tuesday"/>
    <s v="No"/>
    <x v="0"/>
    <x v="0"/>
    <s v="Hesse"/>
    <x v="3"/>
    <s v="GLE"/>
    <s v="Electric"/>
    <x v="0"/>
    <s v="18-25"/>
    <s v="High"/>
    <x v="0"/>
    <x v="2"/>
    <s v="Sales_18"/>
    <n v="240"/>
    <n v="109"/>
    <n v="81"/>
    <n v="32"/>
    <s v="29.36"/>
    <n v="69919"/>
    <s v="3.84"/>
    <n v="52459"/>
    <n v="2237408"/>
    <n v="558720"/>
    <s v="Feb"/>
    <n v="2"/>
    <n v="2026"/>
    <s v="Weekday"/>
    <n v="0.39506172839506171"/>
    <n v="0.45416666666666666"/>
    <n v="0.13333333333333333"/>
    <n v="17460"/>
    <s v="Main Auto Hub"/>
  </r>
  <r>
    <s v="CUST_4238"/>
    <x v="21"/>
    <x v="0"/>
    <s v="Tuesday"/>
    <s v="No"/>
    <x v="4"/>
    <x v="4"/>
    <s v="Berlin"/>
    <x v="1"/>
    <s v="Astra"/>
    <s v="Petrol"/>
    <x v="2"/>
    <s v="36-50"/>
    <s v="High"/>
    <x v="0"/>
    <x v="2"/>
    <s v="Sales_10"/>
    <n v="248"/>
    <n v="99"/>
    <n v="62"/>
    <n v="20"/>
    <s v="20.2"/>
    <n v="23786"/>
    <s v="12.0"/>
    <n v="21726"/>
    <n v="475720"/>
    <n v="41200"/>
    <s v="Feb"/>
    <n v="2"/>
    <n v="2026"/>
    <s v="Weekday"/>
    <n v="0.32258064516129031"/>
    <n v="0.39919354838709675"/>
    <n v="8.0645161290322578E-2"/>
    <n v="2060"/>
    <s v="Autohaus Berlin"/>
  </r>
  <r>
    <s v="CUST_4239"/>
    <x v="12"/>
    <x v="3"/>
    <s v="Thursday"/>
    <s v="No"/>
    <x v="9"/>
    <x v="9"/>
    <s v="NRW"/>
    <x v="0"/>
    <s v="3 Series"/>
    <s v="Petrol"/>
    <x v="1"/>
    <s v="50+"/>
    <s v="High"/>
    <x v="1"/>
    <x v="2"/>
    <s v="Sales_2"/>
    <n v="188"/>
    <n v="107"/>
    <n v="78"/>
    <n v="29"/>
    <s v="27.1"/>
    <n v="51078"/>
    <s v="5.36"/>
    <n v="36818"/>
    <n v="1481262"/>
    <n v="413540"/>
    <s v="Feb"/>
    <n v="2"/>
    <n v="2026"/>
    <s v="Weekday"/>
    <n v="0.37179487179487181"/>
    <n v="0.56914893617021278"/>
    <n v="0.15425531914893617"/>
    <n v="14260"/>
    <s v="Ruhr Auto Plaza"/>
  </r>
  <r>
    <s v="CUST_4240"/>
    <x v="19"/>
    <x v="1"/>
    <s v="Saturday"/>
    <s v="Yes"/>
    <x v="7"/>
    <x v="7"/>
    <s v="Bavaria"/>
    <x v="1"/>
    <s v="Grandland"/>
    <s v="Electric"/>
    <x v="0"/>
    <s v="26-35"/>
    <s v="High"/>
    <x v="1"/>
    <x v="0"/>
    <s v="Sales_14"/>
    <n v="284"/>
    <n v="127"/>
    <n v="80"/>
    <n v="19"/>
    <s v="14.96"/>
    <n v="22791"/>
    <s v="10.85"/>
    <n v="20706"/>
    <n v="433029"/>
    <n v="39615"/>
    <s v="Feb"/>
    <n v="2"/>
    <n v="2026"/>
    <s v="Weekend"/>
    <n v="0.23749999999999999"/>
    <n v="0.44718309859154931"/>
    <n v="6.6901408450704219E-2"/>
    <n v="2085"/>
    <s v="Bavaria Motors"/>
  </r>
  <r>
    <s v="CUST_4241"/>
    <x v="20"/>
    <x v="0"/>
    <s v="Thursday"/>
    <s v="No"/>
    <x v="3"/>
    <x v="3"/>
    <s v="Saxony"/>
    <x v="4"/>
    <s v="Passat"/>
    <s v="Electric"/>
    <x v="1"/>
    <s v="18-25"/>
    <s v="Low"/>
    <x v="1"/>
    <x v="1"/>
    <s v="Sales_6"/>
    <n v="505"/>
    <n v="225"/>
    <n v="161"/>
    <n v="35"/>
    <s v="15.56"/>
    <n v="29064"/>
    <s v="7.24"/>
    <n v="25082"/>
    <n v="1017240"/>
    <n v="139370"/>
    <s v="Feb"/>
    <n v="2"/>
    <n v="2026"/>
    <s v="Weekday"/>
    <n v="0.21739130434782608"/>
    <n v="0.44554455445544555"/>
    <n v="6.9306930693069313E-2"/>
    <n v="3982"/>
    <s v="Saxon Wheels"/>
  </r>
  <r>
    <s v="CUST_4242"/>
    <x v="5"/>
    <x v="3"/>
    <s v="Saturday"/>
    <s v="Yes"/>
    <x v="9"/>
    <x v="9"/>
    <s v="NRW"/>
    <x v="1"/>
    <s v="Corsa"/>
    <s v="Diesel"/>
    <x v="2"/>
    <s v="50+"/>
    <s v="Low"/>
    <x v="1"/>
    <x v="0"/>
    <s v="Sales_16"/>
    <n v="247"/>
    <n v="117"/>
    <n v="76"/>
    <n v="14"/>
    <s v="11.97"/>
    <n v="21847"/>
    <s v="13.82"/>
    <n v="20054"/>
    <n v="305858"/>
    <n v="25102"/>
    <s v="Feb"/>
    <n v="2"/>
    <n v="2026"/>
    <s v="Weekend"/>
    <n v="0.18421052631578946"/>
    <n v="0.47368421052631576"/>
    <n v="5.6680161943319839E-2"/>
    <n v="1793"/>
    <s v="Ruhr Auto Plaza"/>
  </r>
  <r>
    <s v="CUST_4243"/>
    <x v="16"/>
    <x v="1"/>
    <s v="Tuesday"/>
    <s v="No"/>
    <x v="1"/>
    <x v="1"/>
    <s v="NRW"/>
    <x v="3"/>
    <s v="GLE"/>
    <s v="Petrol"/>
    <x v="0"/>
    <s v="26-35"/>
    <s v="Medium"/>
    <x v="1"/>
    <x v="2"/>
    <s v="Sales_5"/>
    <n v="148"/>
    <n v="73"/>
    <n v="55"/>
    <n v="19"/>
    <s v="26.03"/>
    <n v="57842"/>
    <s v="3.99"/>
    <n v="41902"/>
    <n v="1098998"/>
    <n v="302860"/>
    <s v="Feb"/>
    <n v="2"/>
    <n v="2026"/>
    <s v="Weekday"/>
    <n v="0.34545454545454546"/>
    <n v="0.49324324324324326"/>
    <n v="0.12837837837837837"/>
    <n v="15940"/>
    <s v="Rhein Auto Group"/>
  </r>
  <r>
    <s v="CUST_4244"/>
    <x v="9"/>
    <x v="0"/>
    <s v="Sunday"/>
    <s v="Yes"/>
    <x v="3"/>
    <x v="3"/>
    <s v="Saxony"/>
    <x v="0"/>
    <s v="5 Series"/>
    <s v="Diesel"/>
    <x v="1"/>
    <s v="50+"/>
    <s v="Medium"/>
    <x v="1"/>
    <x v="2"/>
    <s v="Sales_12"/>
    <n v="257"/>
    <n v="150"/>
    <n v="121"/>
    <n v="46"/>
    <s v="30.67"/>
    <n v="60812"/>
    <s v="4.18"/>
    <n v="46584"/>
    <n v="2797352"/>
    <n v="654488"/>
    <s v="Feb"/>
    <n v="2"/>
    <n v="2026"/>
    <s v="Weekend"/>
    <n v="0.38016528925619836"/>
    <n v="0.58365758754863817"/>
    <n v="0.17898832684824903"/>
    <n v="14228"/>
    <s v="Saxon Wheels"/>
  </r>
  <r>
    <s v="CUST_4245"/>
    <x v="25"/>
    <x v="3"/>
    <s v="Friday"/>
    <s v="No"/>
    <x v="8"/>
    <x v="8"/>
    <s v="Baden-WÃ¼rttemberg"/>
    <x v="1"/>
    <s v="Grandland"/>
    <s v="Electric"/>
    <x v="0"/>
    <s v="26-35"/>
    <s v="High"/>
    <x v="1"/>
    <x v="1"/>
    <s v="Sales_7"/>
    <n v="308"/>
    <n v="126"/>
    <n v="85"/>
    <n v="21"/>
    <s v="16.67"/>
    <n v="23126"/>
    <s v="13.86"/>
    <n v="20933"/>
    <n v="485646"/>
    <n v="46053"/>
    <s v="Feb"/>
    <n v="2"/>
    <n v="2026"/>
    <s v="Weekday"/>
    <n v="0.24705882352941178"/>
    <n v="0.40909090909090912"/>
    <n v="6.8181818181818177E-2"/>
    <n v="2193"/>
    <s v="Stuttgart Auto Center"/>
  </r>
  <r>
    <s v="CUST_4246"/>
    <x v="26"/>
    <x v="1"/>
    <s v="Friday"/>
    <s v="No"/>
    <x v="1"/>
    <x v="1"/>
    <s v="NRW"/>
    <x v="2"/>
    <s v="A4"/>
    <s v="Electric"/>
    <x v="1"/>
    <s v="26-35"/>
    <s v="High"/>
    <x v="0"/>
    <x v="1"/>
    <s v="Sales_8"/>
    <n v="209"/>
    <n v="105"/>
    <n v="68"/>
    <n v="26"/>
    <s v="24.76"/>
    <n v="44504"/>
    <s v="5.47"/>
    <n v="34889"/>
    <n v="1157104"/>
    <n v="249990"/>
    <s v="Feb"/>
    <n v="2"/>
    <n v="2026"/>
    <s v="Weekday"/>
    <n v="0.38235294117647056"/>
    <n v="0.50239234449760761"/>
    <n v="0.12440191387559808"/>
    <n v="9615"/>
    <s v="Rhein Auto Group"/>
  </r>
  <r>
    <s v="CUST_4247"/>
    <x v="23"/>
    <x v="2"/>
    <s v="Tuesday"/>
    <s v="No"/>
    <x v="4"/>
    <x v="4"/>
    <s v="Berlin"/>
    <x v="3"/>
    <s v="C-Class"/>
    <s v="Petrol"/>
    <x v="1"/>
    <s v="36-50"/>
    <s v="Medium"/>
    <x v="1"/>
    <x v="3"/>
    <s v="Sales_2"/>
    <n v="171"/>
    <n v="95"/>
    <n v="74"/>
    <n v="24"/>
    <s v="25.26"/>
    <n v="59638"/>
    <s v="4.18"/>
    <n v="46925"/>
    <n v="1431312"/>
    <n v="305112"/>
    <s v="Feb"/>
    <n v="2"/>
    <n v="2026"/>
    <s v="Weekday"/>
    <n v="0.32432432432432434"/>
    <n v="0.55555555555555558"/>
    <n v="0.14035087719298245"/>
    <n v="12713"/>
    <s v="Autohaus Berlin"/>
  </r>
  <r>
    <s v="CUST_4248"/>
    <x v="7"/>
    <x v="3"/>
    <s v="Monday"/>
    <s v="No"/>
    <x v="4"/>
    <x v="4"/>
    <s v="Berlin"/>
    <x v="0"/>
    <s v="i4"/>
    <s v="Hybrid"/>
    <x v="1"/>
    <s v="36-50"/>
    <s v="Medium"/>
    <x v="0"/>
    <x v="0"/>
    <s v="Sales_11"/>
    <n v="171"/>
    <n v="102"/>
    <n v="83"/>
    <n v="30"/>
    <s v="29.41"/>
    <n v="50091"/>
    <s v="5.65"/>
    <n v="38029"/>
    <n v="1502730"/>
    <n v="361860"/>
    <s v="Feb"/>
    <n v="2"/>
    <n v="2026"/>
    <s v="Weekday"/>
    <n v="0.36144578313253012"/>
    <n v="0.59649122807017541"/>
    <n v="0.17543859649122806"/>
    <n v="12062"/>
    <s v="Autohaus Berlin"/>
  </r>
  <r>
    <s v="CUST_4249"/>
    <x v="20"/>
    <x v="0"/>
    <s v="Thursday"/>
    <s v="No"/>
    <x v="1"/>
    <x v="1"/>
    <s v="NRW"/>
    <x v="4"/>
    <s v="T-Roc"/>
    <s v="Petrol"/>
    <x v="0"/>
    <s v="26-35"/>
    <s v="Low"/>
    <x v="0"/>
    <x v="1"/>
    <s v="Sales_3"/>
    <n v="432"/>
    <n v="208"/>
    <n v="124"/>
    <n v="35"/>
    <s v="16.83"/>
    <n v="35002"/>
    <s v="7.52"/>
    <n v="31255"/>
    <n v="1225070"/>
    <n v="131145"/>
    <s v="Feb"/>
    <n v="2"/>
    <n v="2026"/>
    <s v="Weekday"/>
    <n v="0.28225806451612906"/>
    <n v="0.48148148148148145"/>
    <n v="8.1018518518518517E-2"/>
    <n v="3747"/>
    <s v="Rhein Auto Group"/>
  </r>
  <r>
    <s v="CUST_4250"/>
    <x v="6"/>
    <x v="2"/>
    <s v="Saturday"/>
    <s v="Yes"/>
    <x v="7"/>
    <x v="7"/>
    <s v="Bavaria"/>
    <x v="2"/>
    <s v="A3"/>
    <s v="Diesel"/>
    <x v="2"/>
    <s v="50+"/>
    <s v="Medium"/>
    <x v="0"/>
    <x v="0"/>
    <s v="Sales_7"/>
    <n v="210"/>
    <n v="131"/>
    <n v="88"/>
    <n v="31"/>
    <s v="23.66"/>
    <n v="45553"/>
    <s v="6.01"/>
    <n v="34835"/>
    <n v="1412143"/>
    <n v="332258"/>
    <s v="Feb"/>
    <n v="2"/>
    <n v="2026"/>
    <s v="Weekend"/>
    <n v="0.35227272727272729"/>
    <n v="0.62380952380952381"/>
    <n v="0.14761904761904762"/>
    <n v="10718"/>
    <s v="Bavaria Motors"/>
  </r>
  <r>
    <s v="CUST_4251"/>
    <x v="8"/>
    <x v="3"/>
    <s v="Wednesday"/>
    <s v="No"/>
    <x v="2"/>
    <x v="2"/>
    <s v="Lower Saxony"/>
    <x v="0"/>
    <s v="3 Series"/>
    <s v="Hybrid"/>
    <x v="1"/>
    <s v="50+"/>
    <s v="High"/>
    <x v="1"/>
    <x v="0"/>
    <s v="Sales_10"/>
    <n v="250"/>
    <n v="126"/>
    <n v="92"/>
    <n v="33"/>
    <s v="26.19"/>
    <n v="61940"/>
    <s v="3.54"/>
    <n v="47660"/>
    <n v="2044020"/>
    <n v="471240"/>
    <s v="Feb"/>
    <n v="2"/>
    <n v="2026"/>
    <s v="Weekday"/>
    <n v="0.35869565217391303"/>
    <n v="0.504"/>
    <n v="0.13200000000000001"/>
    <n v="14280"/>
    <s v="Hannover Cars"/>
  </r>
  <r>
    <s v="CUST_4252"/>
    <x v="25"/>
    <x v="3"/>
    <s v="Friday"/>
    <s v="No"/>
    <x v="6"/>
    <x v="6"/>
    <s v="Saxony"/>
    <x v="4"/>
    <s v="Passat"/>
    <s v="Diesel"/>
    <x v="1"/>
    <s v="26-35"/>
    <s v="Low"/>
    <x v="1"/>
    <x v="1"/>
    <s v="Sales_9"/>
    <n v="310"/>
    <n v="141"/>
    <n v="87"/>
    <n v="19"/>
    <s v="13.48"/>
    <n v="33889"/>
    <s v="7.37"/>
    <n v="30812"/>
    <n v="643891"/>
    <n v="58463"/>
    <s v="Feb"/>
    <n v="2"/>
    <n v="2026"/>
    <s v="Weekday"/>
    <n v="0.21839080459770116"/>
    <n v="0.45483870967741935"/>
    <n v="6.1290322580645158E-2"/>
    <n v="3077"/>
    <s v="Leipzig Mobility"/>
  </r>
  <r>
    <s v="CUST_4253"/>
    <x v="17"/>
    <x v="2"/>
    <s v="Sunday"/>
    <s v="Yes"/>
    <x v="3"/>
    <x v="3"/>
    <s v="Saxony"/>
    <x v="1"/>
    <s v="Astra"/>
    <s v="Electric"/>
    <x v="2"/>
    <s v="18-25"/>
    <s v="Medium"/>
    <x v="1"/>
    <x v="3"/>
    <s v="Sales_9"/>
    <n v="418"/>
    <n v="217"/>
    <n v="139"/>
    <n v="32"/>
    <s v="14.75"/>
    <n v="26680"/>
    <s v="9.65"/>
    <n v="24306"/>
    <n v="853760"/>
    <n v="75968"/>
    <s v="Feb"/>
    <n v="2"/>
    <n v="2026"/>
    <s v="Weekend"/>
    <n v="0.23021582733812951"/>
    <n v="0.51913875598086123"/>
    <n v="7.6555023923444973E-2"/>
    <n v="2374"/>
    <s v="Saxon Wheels"/>
  </r>
  <r>
    <s v="CUST_4254"/>
    <x v="15"/>
    <x v="2"/>
    <s v="Thursday"/>
    <s v="No"/>
    <x v="7"/>
    <x v="7"/>
    <s v="Bavaria"/>
    <x v="4"/>
    <s v="Tiguan"/>
    <s v="Diesel"/>
    <x v="0"/>
    <s v="50+"/>
    <s v="Low"/>
    <x v="0"/>
    <x v="2"/>
    <s v="Sales_17"/>
    <n v="378"/>
    <n v="218"/>
    <n v="153"/>
    <n v="50"/>
    <s v="22.94"/>
    <n v="26223"/>
    <s v="8.03"/>
    <n v="22878"/>
    <n v="1311150"/>
    <n v="167250"/>
    <s v="Feb"/>
    <n v="2"/>
    <n v="2026"/>
    <s v="Weekday"/>
    <n v="0.32679738562091504"/>
    <n v="0.57671957671957674"/>
    <n v="0.13227513227513227"/>
    <n v="3345"/>
    <s v="Bavaria Motors"/>
  </r>
  <r>
    <s v="CUST_4255"/>
    <x v="1"/>
    <x v="1"/>
    <s v="Wednesday"/>
    <s v="No"/>
    <x v="3"/>
    <x v="3"/>
    <s v="Saxony"/>
    <x v="2"/>
    <s v="Q3"/>
    <s v="Petrol"/>
    <x v="0"/>
    <s v="50+"/>
    <s v="High"/>
    <x v="1"/>
    <x v="1"/>
    <s v="Sales_1"/>
    <n v="317"/>
    <n v="154"/>
    <n v="109"/>
    <n v="36"/>
    <s v="23.38"/>
    <n v="52510"/>
    <s v="4.05"/>
    <n v="41970"/>
    <n v="1890360"/>
    <n v="379440"/>
    <s v="Feb"/>
    <n v="2"/>
    <n v="2026"/>
    <s v="Weekday"/>
    <n v="0.33027522935779818"/>
    <n v="0.48580441640378547"/>
    <n v="0.11356466876971609"/>
    <n v="10540"/>
    <s v="Saxon Wheels"/>
  </r>
  <r>
    <s v="CUST_4256"/>
    <x v="16"/>
    <x v="1"/>
    <s v="Tuesday"/>
    <s v="No"/>
    <x v="4"/>
    <x v="4"/>
    <s v="Berlin"/>
    <x v="3"/>
    <s v="GLC"/>
    <s v="Diesel"/>
    <x v="0"/>
    <s v="26-35"/>
    <s v="High"/>
    <x v="0"/>
    <x v="2"/>
    <s v="Sales_10"/>
    <n v="210"/>
    <n v="100"/>
    <n v="76"/>
    <n v="28"/>
    <s v="28.0"/>
    <n v="63580"/>
    <s v="3.39"/>
    <n v="46228"/>
    <n v="1780240"/>
    <n v="485856"/>
    <s v="Feb"/>
    <n v="2"/>
    <n v="2026"/>
    <s v="Weekday"/>
    <n v="0.36842105263157893"/>
    <n v="0.47619047619047616"/>
    <n v="0.13333333333333333"/>
    <n v="17352"/>
    <s v="Autohaus Berlin"/>
  </r>
  <r>
    <s v="CUST_4257"/>
    <x v="14"/>
    <x v="2"/>
    <s v="Friday"/>
    <s v="No"/>
    <x v="3"/>
    <x v="3"/>
    <s v="Saxony"/>
    <x v="0"/>
    <s v="X5"/>
    <s v="Electric"/>
    <x v="0"/>
    <s v="18-25"/>
    <s v="Medium"/>
    <x v="1"/>
    <x v="3"/>
    <s v="Sales_18"/>
    <n v="211"/>
    <n v="107"/>
    <n v="74"/>
    <n v="27"/>
    <s v="25.23"/>
    <n v="60052"/>
    <s v="3.25"/>
    <n v="43096"/>
    <n v="1621404"/>
    <n v="457812"/>
    <s v="Feb"/>
    <n v="2"/>
    <n v="2026"/>
    <s v="Weekday"/>
    <n v="0.36486486486486486"/>
    <n v="0.50710900473933651"/>
    <n v="0.12796208530805686"/>
    <n v="16956"/>
    <s v="Saxon Wheels"/>
  </r>
  <r>
    <s v="CUST_4258"/>
    <x v="8"/>
    <x v="3"/>
    <s v="Wednesday"/>
    <s v="No"/>
    <x v="6"/>
    <x v="6"/>
    <s v="Saxony"/>
    <x v="2"/>
    <s v="A4"/>
    <s v="Diesel"/>
    <x v="1"/>
    <s v="18-25"/>
    <s v="High"/>
    <x v="1"/>
    <x v="3"/>
    <s v="Sales_10"/>
    <n v="258"/>
    <n v="121"/>
    <n v="85"/>
    <n v="23"/>
    <s v="19.01"/>
    <n v="53200"/>
    <s v="5.46"/>
    <n v="41242"/>
    <n v="1223600"/>
    <n v="275034"/>
    <s v="Feb"/>
    <n v="2"/>
    <n v="2026"/>
    <s v="Weekday"/>
    <n v="0.27058823529411763"/>
    <n v="0.4689922480620155"/>
    <n v="8.9147286821705432E-2"/>
    <n v="11958"/>
    <s v="Leipzig Mobility"/>
  </r>
  <r>
    <s v="CUST_4259"/>
    <x v="27"/>
    <x v="3"/>
    <s v="Sunday"/>
    <s v="Yes"/>
    <x v="1"/>
    <x v="1"/>
    <s v="NRW"/>
    <x v="4"/>
    <s v="Tiguan"/>
    <s v="Diesel"/>
    <x v="0"/>
    <s v="36-50"/>
    <s v="Medium"/>
    <x v="0"/>
    <x v="2"/>
    <s v="Sales_16"/>
    <n v="355"/>
    <n v="151"/>
    <n v="99"/>
    <n v="28"/>
    <s v="18.54"/>
    <n v="32257"/>
    <s v="9.9"/>
    <n v="28582"/>
    <n v="903196"/>
    <n v="102900"/>
    <s v="Feb"/>
    <n v="2"/>
    <n v="2026"/>
    <s v="Weekend"/>
    <n v="0.28282828282828282"/>
    <n v="0.42535211267605633"/>
    <n v="7.8873239436619724E-2"/>
    <n v="3675"/>
    <s v="Rhein Auto Group"/>
  </r>
  <r>
    <s v="CUST_4260"/>
    <x v="24"/>
    <x v="1"/>
    <s v="Thursday"/>
    <s v="No"/>
    <x v="9"/>
    <x v="9"/>
    <s v="NRW"/>
    <x v="0"/>
    <s v="X5"/>
    <s v="Hybrid"/>
    <x v="0"/>
    <s v="18-25"/>
    <s v="High"/>
    <x v="0"/>
    <x v="0"/>
    <s v="Sales_1"/>
    <n v="188"/>
    <n v="99"/>
    <n v="78"/>
    <n v="27"/>
    <s v="27.27"/>
    <n v="50425"/>
    <s v="5.67"/>
    <n v="35685"/>
    <n v="1361475"/>
    <n v="397980"/>
    <s v="Feb"/>
    <n v="2"/>
    <n v="2026"/>
    <s v="Weekday"/>
    <n v="0.34615384615384615"/>
    <n v="0.52659574468085102"/>
    <n v="0.14361702127659576"/>
    <n v="14740"/>
    <s v="Ruhr Auto Plaza"/>
  </r>
  <r>
    <s v="CUST_4261"/>
    <x v="25"/>
    <x v="3"/>
    <s v="Friday"/>
    <s v="No"/>
    <x v="3"/>
    <x v="3"/>
    <s v="Saxony"/>
    <x v="1"/>
    <s v="Mokka"/>
    <s v="Hybrid"/>
    <x v="0"/>
    <s v="50+"/>
    <s v="Low"/>
    <x v="1"/>
    <x v="2"/>
    <s v="Sales_15"/>
    <n v="413"/>
    <n v="183"/>
    <n v="105"/>
    <n v="36"/>
    <s v="19.67"/>
    <n v="22109"/>
    <s v="11.03"/>
    <n v="19724"/>
    <n v="795924"/>
    <n v="85860"/>
    <s v="Feb"/>
    <n v="2"/>
    <n v="2026"/>
    <s v="Weekday"/>
    <n v="0.34285714285714286"/>
    <n v="0.4430992736077482"/>
    <n v="8.7167070217917669E-2"/>
    <n v="2385"/>
    <s v="Saxon Wheels"/>
  </r>
  <r>
    <s v="CUST_4262"/>
    <x v="22"/>
    <x v="3"/>
    <s v="Tuesday"/>
    <s v="No"/>
    <x v="7"/>
    <x v="7"/>
    <s v="Bavaria"/>
    <x v="3"/>
    <s v="EQE"/>
    <s v="Petrol"/>
    <x v="1"/>
    <s v="18-25"/>
    <s v="Medium"/>
    <x v="1"/>
    <x v="1"/>
    <s v="Sales_4"/>
    <n v="233"/>
    <n v="104"/>
    <n v="78"/>
    <n v="30"/>
    <s v="28.85"/>
    <n v="58800"/>
    <s v="3.85"/>
    <n v="46228"/>
    <n v="1764000"/>
    <n v="377160"/>
    <s v="Feb"/>
    <n v="2"/>
    <n v="2026"/>
    <s v="Weekday"/>
    <n v="0.38461538461538464"/>
    <n v="0.44635193133047213"/>
    <n v="0.12875536480686695"/>
    <n v="12572"/>
    <s v="Bavaria Motors"/>
  </r>
  <r>
    <s v="CUST_4263"/>
    <x v="24"/>
    <x v="1"/>
    <s v="Thursday"/>
    <s v="No"/>
    <x v="6"/>
    <x v="6"/>
    <s v="Saxony"/>
    <x v="0"/>
    <s v="5 Series"/>
    <s v="Electric"/>
    <x v="1"/>
    <s v="50+"/>
    <s v="Medium"/>
    <x v="1"/>
    <x v="1"/>
    <s v="Sales_17"/>
    <n v="170"/>
    <n v="98"/>
    <n v="78"/>
    <n v="27"/>
    <s v="27.55"/>
    <n v="57246"/>
    <s v="2.56"/>
    <n v="43347"/>
    <n v="1545642"/>
    <n v="375273"/>
    <s v="Feb"/>
    <n v="2"/>
    <n v="2026"/>
    <s v="Weekday"/>
    <n v="0.34615384615384615"/>
    <n v="0.57647058823529407"/>
    <n v="0.1588235294117647"/>
    <n v="13899"/>
    <s v="Leipzig Mobility"/>
  </r>
  <r>
    <s v="CUST_4264"/>
    <x v="25"/>
    <x v="3"/>
    <s v="Friday"/>
    <s v="No"/>
    <x v="5"/>
    <x v="5"/>
    <s v="Hamburg"/>
    <x v="2"/>
    <s v="e-tron"/>
    <s v="Electric"/>
    <x v="0"/>
    <s v="50+"/>
    <s v="Medium"/>
    <x v="0"/>
    <x v="2"/>
    <s v="Sales_19"/>
    <n v="219"/>
    <n v="114"/>
    <n v="76"/>
    <n v="31"/>
    <s v="27.19"/>
    <n v="42089"/>
    <s v="4.65"/>
    <n v="34077"/>
    <n v="1304759"/>
    <n v="248372"/>
    <s v="Feb"/>
    <n v="2"/>
    <n v="2026"/>
    <s v="Weekday"/>
    <n v="0.40789473684210525"/>
    <n v="0.52054794520547942"/>
    <n v="0.14155251141552511"/>
    <n v="8012"/>
    <s v="Elbe Drive"/>
  </r>
  <r>
    <s v="CUST_4265"/>
    <x v="24"/>
    <x v="1"/>
    <s v="Thursday"/>
    <s v="No"/>
    <x v="3"/>
    <x v="3"/>
    <s v="Saxony"/>
    <x v="1"/>
    <s v="Grandland"/>
    <s v="Hybrid"/>
    <x v="0"/>
    <s v="26-35"/>
    <s v="Medium"/>
    <x v="0"/>
    <x v="3"/>
    <s v="Sales_1"/>
    <n v="396"/>
    <n v="218"/>
    <n v="136"/>
    <n v="29"/>
    <s v="13.3"/>
    <n v="25005"/>
    <s v="9.95"/>
    <n v="22462"/>
    <n v="725145"/>
    <n v="73747"/>
    <s v="Feb"/>
    <n v="2"/>
    <n v="2026"/>
    <s v="Weekday"/>
    <n v="0.21323529411764705"/>
    <n v="0.5505050505050505"/>
    <n v="7.3232323232323232E-2"/>
    <n v="2543"/>
    <s v="Saxon Wheels"/>
  </r>
  <r>
    <s v="CUST_4266"/>
    <x v="12"/>
    <x v="3"/>
    <s v="Thursday"/>
    <s v="No"/>
    <x v="3"/>
    <x v="3"/>
    <s v="Saxony"/>
    <x v="3"/>
    <s v="EQE"/>
    <s v="Electric"/>
    <x v="1"/>
    <s v="50+"/>
    <s v="Low"/>
    <x v="1"/>
    <x v="1"/>
    <s v="Sales_8"/>
    <n v="179"/>
    <n v="96"/>
    <n v="70"/>
    <n v="23"/>
    <s v="23.96"/>
    <n v="64820"/>
    <s v="3.92"/>
    <n v="49618"/>
    <n v="1490860"/>
    <n v="349646"/>
    <s v="Feb"/>
    <n v="2"/>
    <n v="2026"/>
    <s v="Weekday"/>
    <n v="0.32857142857142857"/>
    <n v="0.53631284916201116"/>
    <n v="0.12849162011173185"/>
    <n v="15202"/>
    <s v="Saxon Wheels"/>
  </r>
  <r>
    <s v="CUST_4267"/>
    <x v="17"/>
    <x v="2"/>
    <s v="Sunday"/>
    <s v="Yes"/>
    <x v="5"/>
    <x v="5"/>
    <s v="Hamburg"/>
    <x v="0"/>
    <s v="X5"/>
    <s v="Electric"/>
    <x v="0"/>
    <s v="18-25"/>
    <s v="Medium"/>
    <x v="0"/>
    <x v="0"/>
    <s v="Sales_15"/>
    <n v="200"/>
    <n v="100"/>
    <n v="74"/>
    <n v="25"/>
    <s v="25.0"/>
    <n v="57802"/>
    <s v="3.77"/>
    <n v="41654"/>
    <n v="1445050"/>
    <n v="403700"/>
    <s v="Feb"/>
    <n v="2"/>
    <n v="2026"/>
    <s v="Weekend"/>
    <n v="0.33783783783783783"/>
    <n v="0.5"/>
    <n v="0.125"/>
    <n v="16148"/>
    <s v="Elbe Drive"/>
  </r>
  <r>
    <s v="CUST_4268"/>
    <x v="10"/>
    <x v="1"/>
    <s v="Monday"/>
    <s v="No"/>
    <x v="8"/>
    <x v="8"/>
    <s v="Baden-WÃ¼rttemberg"/>
    <x v="2"/>
    <s v="A4"/>
    <s v="Electric"/>
    <x v="1"/>
    <s v="18-25"/>
    <s v="High"/>
    <x v="0"/>
    <x v="0"/>
    <s v="Sales_7"/>
    <n v="203"/>
    <n v="108"/>
    <n v="78"/>
    <n v="26"/>
    <s v="24.07"/>
    <n v="43275"/>
    <s v="5.2"/>
    <n v="33013"/>
    <n v="1125150"/>
    <n v="266812"/>
    <s v="Feb"/>
    <n v="2"/>
    <n v="2026"/>
    <s v="Weekday"/>
    <n v="0.33333333333333331"/>
    <n v="0.53201970443349755"/>
    <n v="0.12807881773399016"/>
    <n v="10262"/>
    <s v="Stuttgart Auto Center"/>
  </r>
  <r>
    <s v="CUST_4269"/>
    <x v="23"/>
    <x v="2"/>
    <s v="Tuesday"/>
    <s v="No"/>
    <x v="6"/>
    <x v="6"/>
    <s v="Saxony"/>
    <x v="0"/>
    <s v="X3"/>
    <s v="Electric"/>
    <x v="0"/>
    <s v="18-25"/>
    <s v="Medium"/>
    <x v="1"/>
    <x v="2"/>
    <s v="Sales_5"/>
    <n v="243"/>
    <n v="150"/>
    <n v="104"/>
    <n v="45"/>
    <s v="30.0"/>
    <n v="52467"/>
    <s v="3.96"/>
    <n v="38131"/>
    <n v="2361015"/>
    <n v="645120"/>
    <s v="Feb"/>
    <n v="2"/>
    <n v="2026"/>
    <s v="Weekday"/>
    <n v="0.43269230769230771"/>
    <n v="0.61728395061728392"/>
    <n v="0.18518518518518517"/>
    <n v="14336"/>
    <s v="Leipzig Mobility"/>
  </r>
  <r>
    <s v="CUST_4270"/>
    <x v="0"/>
    <x v="0"/>
    <s v="Monday"/>
    <s v="No"/>
    <x v="8"/>
    <x v="8"/>
    <s v="Baden-WÃ¼rttemberg"/>
    <x v="0"/>
    <s v="X5"/>
    <s v="Electric"/>
    <x v="0"/>
    <s v="36-50"/>
    <s v="Low"/>
    <x v="1"/>
    <x v="3"/>
    <s v="Sales_2"/>
    <n v="142"/>
    <n v="69"/>
    <n v="49"/>
    <n v="20"/>
    <s v="28.99"/>
    <n v="58271"/>
    <s v="4.37"/>
    <n v="45116"/>
    <n v="1165420"/>
    <n v="263100"/>
    <s v="Feb"/>
    <n v="2"/>
    <n v="2026"/>
    <s v="Weekday"/>
    <n v="0.40816326530612246"/>
    <n v="0.4859154929577465"/>
    <n v="0.14084507042253522"/>
    <n v="13155"/>
    <s v="Stuttgart Auto Center"/>
  </r>
  <r>
    <s v="CUST_4271"/>
    <x v="24"/>
    <x v="1"/>
    <s v="Thursday"/>
    <s v="No"/>
    <x v="5"/>
    <x v="5"/>
    <s v="Hamburg"/>
    <x v="1"/>
    <s v="Astra"/>
    <s v="Diesel"/>
    <x v="2"/>
    <s v="26-35"/>
    <s v="Medium"/>
    <x v="1"/>
    <x v="0"/>
    <s v="Sales_12"/>
    <n v="358"/>
    <n v="162"/>
    <n v="107"/>
    <n v="21"/>
    <s v="12.96"/>
    <n v="24190"/>
    <s v="10.23"/>
    <n v="21688"/>
    <n v="507990"/>
    <n v="52542"/>
    <s v="Feb"/>
    <n v="2"/>
    <n v="2026"/>
    <s v="Weekday"/>
    <n v="0.19626168224299065"/>
    <n v="0.45251396648044695"/>
    <n v="5.8659217877094973E-2"/>
    <n v="2502"/>
    <s v="Elbe Drive"/>
  </r>
  <r>
    <s v="CUST_4272"/>
    <x v="6"/>
    <x v="2"/>
    <s v="Saturday"/>
    <s v="Yes"/>
    <x v="5"/>
    <x v="5"/>
    <s v="Hamburg"/>
    <x v="0"/>
    <s v="i4"/>
    <s v="Hybrid"/>
    <x v="1"/>
    <s v="26-35"/>
    <s v="Low"/>
    <x v="0"/>
    <x v="2"/>
    <s v="Sales_7"/>
    <n v="181"/>
    <n v="92"/>
    <n v="63"/>
    <n v="29"/>
    <s v="31.52"/>
    <n v="50219"/>
    <s v="4.19"/>
    <n v="38946"/>
    <n v="1456351"/>
    <n v="326917"/>
    <s v="Feb"/>
    <n v="2"/>
    <n v="2026"/>
    <s v="Weekend"/>
    <n v="0.46031746031746029"/>
    <n v="0.50828729281767959"/>
    <n v="0.16022099447513813"/>
    <n v="11273"/>
    <s v="Elbe Drive"/>
  </r>
  <r>
    <s v="CUST_4273"/>
    <x v="1"/>
    <x v="1"/>
    <s v="Wednesday"/>
    <s v="No"/>
    <x v="6"/>
    <x v="6"/>
    <s v="Saxony"/>
    <x v="3"/>
    <s v="GLE"/>
    <s v="Petrol"/>
    <x v="0"/>
    <s v="18-25"/>
    <s v="High"/>
    <x v="1"/>
    <x v="2"/>
    <s v="Sales_14"/>
    <n v="197"/>
    <n v="114"/>
    <n v="86"/>
    <n v="32"/>
    <s v="28.07"/>
    <n v="56919"/>
    <s v="2.03"/>
    <n v="42400"/>
    <n v="1821408"/>
    <n v="464608"/>
    <s v="Feb"/>
    <n v="2"/>
    <n v="2026"/>
    <s v="Weekday"/>
    <n v="0.37209302325581395"/>
    <n v="0.57868020304568524"/>
    <n v="0.16243654822335024"/>
    <n v="14519"/>
    <s v="Leipzig Mobility"/>
  </r>
  <r>
    <s v="CUST_4274"/>
    <x v="14"/>
    <x v="2"/>
    <s v="Friday"/>
    <s v="No"/>
    <x v="3"/>
    <x v="3"/>
    <s v="Saxony"/>
    <x v="2"/>
    <s v="Q5"/>
    <s v="Hybrid"/>
    <x v="0"/>
    <s v="18-25"/>
    <s v="Low"/>
    <x v="1"/>
    <x v="2"/>
    <s v="Sales_7"/>
    <n v="204"/>
    <n v="119"/>
    <n v="77"/>
    <n v="26"/>
    <s v="21.85"/>
    <n v="54557"/>
    <s v="3.1"/>
    <n v="40930"/>
    <n v="1418482"/>
    <n v="354302"/>
    <s v="Feb"/>
    <n v="2"/>
    <n v="2026"/>
    <s v="Weekday"/>
    <n v="0.33766233766233766"/>
    <n v="0.58333333333333337"/>
    <n v="0.12745098039215685"/>
    <n v="13627"/>
    <s v="Saxon Wheels"/>
  </r>
  <r>
    <s v="CUST_4275"/>
    <x v="24"/>
    <x v="1"/>
    <s v="Thursday"/>
    <s v="No"/>
    <x v="3"/>
    <x v="3"/>
    <s v="Saxony"/>
    <x v="1"/>
    <s v="Crossland"/>
    <s v="Electric"/>
    <x v="0"/>
    <s v="26-35"/>
    <s v="Medium"/>
    <x v="0"/>
    <x v="3"/>
    <s v="Sales_16"/>
    <n v="336"/>
    <n v="174"/>
    <n v="103"/>
    <n v="23"/>
    <s v="13.22"/>
    <n v="19923"/>
    <s v="10.83"/>
    <n v="18293"/>
    <n v="458229"/>
    <n v="37490"/>
    <s v="Feb"/>
    <n v="2"/>
    <n v="2026"/>
    <s v="Weekday"/>
    <n v="0.22330097087378642"/>
    <n v="0.5178571428571429"/>
    <n v="6.8452380952380959E-2"/>
    <n v="1630"/>
    <s v="Saxon Wheels"/>
  </r>
  <r>
    <s v="CUST_4276"/>
    <x v="4"/>
    <x v="2"/>
    <s v="Wednesday"/>
    <s v="No"/>
    <x v="8"/>
    <x v="8"/>
    <s v="Baden-WÃ¼rttemberg"/>
    <x v="0"/>
    <s v="X5"/>
    <s v="Petrol"/>
    <x v="0"/>
    <s v="18-25"/>
    <s v="High"/>
    <x v="0"/>
    <x v="3"/>
    <s v="Sales_2"/>
    <n v="256"/>
    <n v="131"/>
    <n v="102"/>
    <n v="36"/>
    <s v="27.48"/>
    <n v="61193"/>
    <s v="4.28"/>
    <n v="43013"/>
    <n v="2202948"/>
    <n v="654480"/>
    <s v="Feb"/>
    <n v="2"/>
    <n v="2026"/>
    <s v="Weekday"/>
    <n v="0.35294117647058826"/>
    <n v="0.51171875"/>
    <n v="0.140625"/>
    <n v="18180"/>
    <s v="Stuttgart Auto Center"/>
  </r>
  <r>
    <s v="CUST_4277"/>
    <x v="16"/>
    <x v="1"/>
    <s v="Tuesday"/>
    <s v="No"/>
    <x v="1"/>
    <x v="1"/>
    <s v="NRW"/>
    <x v="4"/>
    <s v="T-Roc"/>
    <s v="Petrol"/>
    <x v="0"/>
    <s v="36-50"/>
    <s v="Medium"/>
    <x v="0"/>
    <x v="0"/>
    <s v="Sales_10"/>
    <n v="341"/>
    <n v="174"/>
    <n v="120"/>
    <n v="25"/>
    <s v="14.37"/>
    <n v="25237"/>
    <s v="10.71"/>
    <n v="22634"/>
    <n v="630925"/>
    <n v="65075"/>
    <s v="Feb"/>
    <n v="2"/>
    <n v="2026"/>
    <s v="Weekday"/>
    <n v="0.20833333333333334"/>
    <n v="0.51026392961876832"/>
    <n v="7.331378299120235E-2"/>
    <n v="2603"/>
    <s v="Rhein Auto Group"/>
  </r>
  <r>
    <s v="CUST_4278"/>
    <x v="20"/>
    <x v="0"/>
    <s v="Thursday"/>
    <s v="No"/>
    <x v="1"/>
    <x v="1"/>
    <s v="NRW"/>
    <x v="2"/>
    <s v="Q3"/>
    <s v="Petrol"/>
    <x v="0"/>
    <s v="36-50"/>
    <s v="Low"/>
    <x v="1"/>
    <x v="2"/>
    <s v="Sales_2"/>
    <n v="168"/>
    <n v="82"/>
    <n v="57"/>
    <n v="22"/>
    <s v="26.83"/>
    <n v="42817"/>
    <s v="4.31"/>
    <n v="32369"/>
    <n v="941974"/>
    <n v="229856"/>
    <s v="Feb"/>
    <n v="2"/>
    <n v="2026"/>
    <s v="Weekday"/>
    <n v="0.38596491228070173"/>
    <n v="0.48809523809523808"/>
    <n v="0.13095238095238096"/>
    <n v="10448"/>
    <s v="Rhein Auto Group"/>
  </r>
  <r>
    <s v="CUST_4279"/>
    <x v="0"/>
    <x v="0"/>
    <s v="Monday"/>
    <s v="No"/>
    <x v="3"/>
    <x v="3"/>
    <s v="Saxony"/>
    <x v="4"/>
    <s v="Passat"/>
    <s v="Diesel"/>
    <x v="1"/>
    <s v="18-25"/>
    <s v="Low"/>
    <x v="1"/>
    <x v="2"/>
    <s v="Sales_16"/>
    <n v="444"/>
    <n v="204"/>
    <n v="144"/>
    <n v="35"/>
    <s v="17.16"/>
    <n v="28941"/>
    <s v="6.33"/>
    <n v="25900"/>
    <n v="1012935"/>
    <n v="106435"/>
    <s v="Feb"/>
    <n v="2"/>
    <n v="2026"/>
    <s v="Weekday"/>
    <n v="0.24305555555555555"/>
    <n v="0.45945945945945948"/>
    <n v="7.8828828828828829E-2"/>
    <n v="3041"/>
    <s v="Saxon Wheels"/>
  </r>
  <r>
    <s v="CUST_4280"/>
    <x v="12"/>
    <x v="3"/>
    <s v="Thursday"/>
    <s v="No"/>
    <x v="8"/>
    <x v="8"/>
    <s v="Baden-WÃ¼rttemberg"/>
    <x v="0"/>
    <s v="5 Series"/>
    <s v="Petrol"/>
    <x v="1"/>
    <s v="18-25"/>
    <s v="Low"/>
    <x v="1"/>
    <x v="2"/>
    <s v="Sales_16"/>
    <n v="186"/>
    <n v="86"/>
    <n v="65"/>
    <n v="26"/>
    <s v="30.23"/>
    <n v="59647"/>
    <s v="5.54"/>
    <n v="43322"/>
    <n v="1550822"/>
    <n v="424450"/>
    <s v="Feb"/>
    <n v="2"/>
    <n v="2026"/>
    <s v="Weekday"/>
    <n v="0.4"/>
    <n v="0.46236559139784944"/>
    <n v="0.13978494623655913"/>
    <n v="16325"/>
    <s v="Stuttgart Auto Center"/>
  </r>
  <r>
    <s v="CUST_4281"/>
    <x v="4"/>
    <x v="2"/>
    <s v="Wednesday"/>
    <s v="No"/>
    <x v="7"/>
    <x v="7"/>
    <s v="Bavaria"/>
    <x v="0"/>
    <s v="X3"/>
    <s v="Electric"/>
    <x v="0"/>
    <s v="26-35"/>
    <s v="High"/>
    <x v="1"/>
    <x v="0"/>
    <s v="Sales_14"/>
    <n v="151"/>
    <n v="82"/>
    <n v="56"/>
    <n v="24"/>
    <s v="29.27"/>
    <n v="69803"/>
    <s v="3.01"/>
    <n v="53316"/>
    <n v="1675272"/>
    <n v="395688"/>
    <s v="Feb"/>
    <n v="2"/>
    <n v="2026"/>
    <s v="Weekday"/>
    <n v="0.42857142857142855"/>
    <n v="0.54304635761589404"/>
    <n v="0.15894039735099338"/>
    <n v="16487"/>
    <s v="Bavaria Motors"/>
  </r>
  <r>
    <s v="CUST_4282"/>
    <x v="15"/>
    <x v="2"/>
    <s v="Thursday"/>
    <s v="No"/>
    <x v="6"/>
    <x v="6"/>
    <s v="Saxony"/>
    <x v="3"/>
    <s v="GLE"/>
    <s v="Electric"/>
    <x v="0"/>
    <s v="18-25"/>
    <s v="Medium"/>
    <x v="0"/>
    <x v="0"/>
    <s v="Sales_7"/>
    <n v="266"/>
    <n v="117"/>
    <n v="78"/>
    <n v="27"/>
    <s v="23.08"/>
    <n v="51301"/>
    <s v="3.22"/>
    <n v="38654"/>
    <n v="1385127"/>
    <n v="341469"/>
    <s v="Feb"/>
    <n v="2"/>
    <n v="2026"/>
    <s v="Weekday"/>
    <n v="0.34615384615384615"/>
    <n v="0.43984962406015038"/>
    <n v="0.10150375939849623"/>
    <n v="12647"/>
    <s v="Leipzig Mobility"/>
  </r>
  <r>
    <s v="CUST_4283"/>
    <x v="18"/>
    <x v="0"/>
    <s v="Saturday"/>
    <s v="Yes"/>
    <x v="9"/>
    <x v="9"/>
    <s v="NRW"/>
    <x v="4"/>
    <s v="T-Roc"/>
    <s v="Hybrid"/>
    <x v="0"/>
    <s v="50+"/>
    <s v="Low"/>
    <x v="1"/>
    <x v="0"/>
    <s v="Sales_16"/>
    <n v="508"/>
    <n v="270"/>
    <n v="184"/>
    <n v="30"/>
    <s v="11.11"/>
    <n v="31589"/>
    <s v="8.83"/>
    <n v="27471"/>
    <n v="947670"/>
    <n v="123540"/>
    <s v="Feb"/>
    <n v="2"/>
    <n v="2026"/>
    <s v="Weekend"/>
    <n v="0.16304347826086957"/>
    <n v="0.53149606299212604"/>
    <n v="5.905511811023622E-2"/>
    <n v="4118"/>
    <s v="Ruhr Auto Plaza"/>
  </r>
  <r>
    <s v="CUST_4284"/>
    <x v="21"/>
    <x v="0"/>
    <s v="Tuesday"/>
    <s v="No"/>
    <x v="8"/>
    <x v="8"/>
    <s v="Baden-WÃ¼rttemberg"/>
    <x v="2"/>
    <s v="Q5"/>
    <s v="Hybrid"/>
    <x v="0"/>
    <s v="36-50"/>
    <s v="Low"/>
    <x v="0"/>
    <x v="3"/>
    <s v="Sales_15"/>
    <n v="291"/>
    <n v="153"/>
    <n v="115"/>
    <n v="36"/>
    <s v="23.53"/>
    <n v="41612"/>
    <s v="5.14"/>
    <n v="32471"/>
    <n v="1498032"/>
    <n v="329076"/>
    <s v="Feb"/>
    <n v="2"/>
    <n v="2026"/>
    <s v="Weekday"/>
    <n v="0.31304347826086959"/>
    <n v="0.52577319587628868"/>
    <n v="0.12371134020618557"/>
    <n v="9141"/>
    <s v="Stuttgart Auto Center"/>
  </r>
  <r>
    <s v="CUST_4285"/>
    <x v="11"/>
    <x v="0"/>
    <s v="Wednesday"/>
    <s v="No"/>
    <x v="3"/>
    <x v="3"/>
    <s v="Saxony"/>
    <x v="0"/>
    <s v="X5"/>
    <s v="Electric"/>
    <x v="0"/>
    <s v="36-50"/>
    <s v="High"/>
    <x v="0"/>
    <x v="1"/>
    <s v="Sales_5"/>
    <n v="197"/>
    <n v="100"/>
    <n v="69"/>
    <n v="27"/>
    <s v="27.0"/>
    <n v="63578"/>
    <s v="5.51"/>
    <n v="48524"/>
    <n v="1716606"/>
    <n v="406458"/>
    <s v="Feb"/>
    <n v="2"/>
    <n v="2026"/>
    <s v="Weekday"/>
    <n v="0.39130434782608697"/>
    <n v="0.50761421319796951"/>
    <n v="0.13705583756345177"/>
    <n v="15054"/>
    <s v="Saxon Wheels"/>
  </r>
  <r>
    <s v="CUST_4286"/>
    <x v="27"/>
    <x v="3"/>
    <s v="Sunday"/>
    <s v="Yes"/>
    <x v="9"/>
    <x v="9"/>
    <s v="NRW"/>
    <x v="1"/>
    <s v="Crossland"/>
    <s v="Hybrid"/>
    <x v="0"/>
    <s v="50+"/>
    <s v="Medium"/>
    <x v="1"/>
    <x v="3"/>
    <s v="Sales_19"/>
    <n v="403"/>
    <n v="169"/>
    <n v="100"/>
    <n v="17"/>
    <s v="10.06"/>
    <n v="25270"/>
    <s v="9.05"/>
    <n v="22615"/>
    <n v="429590"/>
    <n v="45135"/>
    <s v="Feb"/>
    <n v="2"/>
    <n v="2026"/>
    <s v="Weekend"/>
    <n v="0.17"/>
    <n v="0.41935483870967744"/>
    <n v="4.2183622828784122E-2"/>
    <n v="2655"/>
    <s v="Ruhr Auto Plaza"/>
  </r>
  <r>
    <s v="CUST_4287"/>
    <x v="16"/>
    <x v="1"/>
    <s v="Tuesday"/>
    <s v="No"/>
    <x v="5"/>
    <x v="5"/>
    <s v="Hamburg"/>
    <x v="4"/>
    <s v="Passat"/>
    <s v="Petrol"/>
    <x v="1"/>
    <s v="50+"/>
    <s v="Low"/>
    <x v="0"/>
    <x v="2"/>
    <s v="Sales_6"/>
    <n v="369"/>
    <n v="213"/>
    <n v="136"/>
    <n v="42"/>
    <s v="19.72"/>
    <n v="32895"/>
    <s v="7.7"/>
    <n v="28485"/>
    <n v="1381590"/>
    <n v="185220"/>
    <s v="Feb"/>
    <n v="2"/>
    <n v="2026"/>
    <s v="Weekday"/>
    <n v="0.30882352941176472"/>
    <n v="0.57723577235772361"/>
    <n v="0.11382113821138211"/>
    <n v="4410"/>
    <s v="Elbe Drive"/>
  </r>
  <r>
    <s v="CUST_4288"/>
    <x v="12"/>
    <x v="3"/>
    <s v="Thursday"/>
    <s v="No"/>
    <x v="4"/>
    <x v="4"/>
    <s v="Berlin"/>
    <x v="3"/>
    <s v="GLE"/>
    <s v="Electric"/>
    <x v="0"/>
    <s v="26-35"/>
    <s v="Medium"/>
    <x v="1"/>
    <x v="3"/>
    <s v="Sales_17"/>
    <n v="267"/>
    <n v="152"/>
    <n v="114"/>
    <n v="35"/>
    <s v="23.03"/>
    <n v="56175"/>
    <s v="2.99"/>
    <n v="39983"/>
    <n v="1966125"/>
    <n v="566720"/>
    <s v="Feb"/>
    <n v="2"/>
    <n v="2026"/>
    <s v="Weekday"/>
    <n v="0.30701754385964913"/>
    <n v="0.56928838951310856"/>
    <n v="0.13108614232209737"/>
    <n v="16192"/>
    <s v="Autohaus Berlin"/>
  </r>
  <r>
    <s v="CUST_4289"/>
    <x v="16"/>
    <x v="1"/>
    <s v="Tuesday"/>
    <s v="No"/>
    <x v="9"/>
    <x v="9"/>
    <s v="NRW"/>
    <x v="4"/>
    <s v="Passat"/>
    <s v="Petrol"/>
    <x v="1"/>
    <s v="36-50"/>
    <s v="Medium"/>
    <x v="1"/>
    <x v="0"/>
    <s v="Sales_4"/>
    <n v="327"/>
    <n v="156"/>
    <n v="91"/>
    <n v="19"/>
    <s v="12.18"/>
    <n v="29121"/>
    <s v="8.16"/>
    <n v="25442"/>
    <n v="553299"/>
    <n v="69901"/>
    <s v="Feb"/>
    <n v="2"/>
    <n v="2026"/>
    <s v="Weekday"/>
    <n v="0.2087912087912088"/>
    <n v="0.47706422018348627"/>
    <n v="5.8103975535168197E-2"/>
    <n v="3679"/>
    <s v="Ruhr Auto Plaza"/>
  </r>
  <r>
    <s v="CUST_4290"/>
    <x v="5"/>
    <x v="3"/>
    <s v="Saturday"/>
    <s v="Yes"/>
    <x v="5"/>
    <x v="5"/>
    <s v="Hamburg"/>
    <x v="0"/>
    <s v="i4"/>
    <s v="Petrol"/>
    <x v="1"/>
    <s v="18-25"/>
    <s v="High"/>
    <x v="1"/>
    <x v="2"/>
    <s v="Sales_18"/>
    <n v="208"/>
    <n v="109"/>
    <n v="86"/>
    <n v="33"/>
    <s v="30.28"/>
    <n v="54702"/>
    <s v="2.76"/>
    <n v="40116"/>
    <n v="1805166"/>
    <n v="481338"/>
    <s v="Feb"/>
    <n v="2"/>
    <n v="2026"/>
    <s v="Weekend"/>
    <n v="0.38372093023255816"/>
    <n v="0.52403846153846156"/>
    <n v="0.15865384615384615"/>
    <n v="14586"/>
    <s v="Elbe Drive"/>
  </r>
  <r>
    <s v="CUST_4291"/>
    <x v="9"/>
    <x v="0"/>
    <s v="Sunday"/>
    <s v="Yes"/>
    <x v="0"/>
    <x v="0"/>
    <s v="Hesse"/>
    <x v="1"/>
    <s v="Grandland"/>
    <s v="Diesel"/>
    <x v="0"/>
    <s v="50+"/>
    <s v="Low"/>
    <x v="0"/>
    <x v="1"/>
    <s v="Sales_16"/>
    <n v="263"/>
    <n v="146"/>
    <n v="87"/>
    <n v="22"/>
    <s v="15.07"/>
    <n v="24185"/>
    <s v="8.22"/>
    <n v="22469"/>
    <n v="532070"/>
    <n v="37752"/>
    <s v="Feb"/>
    <n v="2"/>
    <n v="2026"/>
    <s v="Weekend"/>
    <n v="0.25287356321839083"/>
    <n v="0.55513307984790872"/>
    <n v="8.3650190114068435E-2"/>
    <n v="1716"/>
    <s v="Main Auto Hub"/>
  </r>
  <r>
    <s v="CUST_4292"/>
    <x v="4"/>
    <x v="2"/>
    <s v="Wednesday"/>
    <s v="No"/>
    <x v="2"/>
    <x v="2"/>
    <s v="Lower Saxony"/>
    <x v="4"/>
    <s v="T-Roc"/>
    <s v="Petrol"/>
    <x v="0"/>
    <s v="18-25"/>
    <s v="High"/>
    <x v="0"/>
    <x v="0"/>
    <s v="Sales_6"/>
    <n v="461"/>
    <n v="212"/>
    <n v="147"/>
    <n v="35"/>
    <s v="16.51"/>
    <n v="32427"/>
    <s v="8.19"/>
    <n v="28075"/>
    <n v="1134945"/>
    <n v="152320"/>
    <s v="Feb"/>
    <n v="2"/>
    <n v="2026"/>
    <s v="Weekday"/>
    <n v="0.23809523809523808"/>
    <n v="0.4598698481561822"/>
    <n v="7.5921908893709325E-2"/>
    <n v="4352"/>
    <s v="Hannover Cars"/>
  </r>
  <r>
    <s v="CUST_4293"/>
    <x v="5"/>
    <x v="3"/>
    <s v="Saturday"/>
    <s v="Yes"/>
    <x v="6"/>
    <x v="6"/>
    <s v="Saxony"/>
    <x v="0"/>
    <s v="5 Series"/>
    <s v="Petrol"/>
    <x v="1"/>
    <s v="26-35"/>
    <s v="High"/>
    <x v="1"/>
    <x v="3"/>
    <s v="Sales_8"/>
    <n v="142"/>
    <n v="83"/>
    <n v="60"/>
    <n v="21"/>
    <s v="25.3"/>
    <n v="67189"/>
    <s v="4.14"/>
    <n v="47419"/>
    <n v="1410969"/>
    <n v="415170"/>
    <s v="Feb"/>
    <n v="2"/>
    <n v="2026"/>
    <s v="Weekend"/>
    <n v="0.35"/>
    <n v="0.58450704225352113"/>
    <n v="0.14788732394366197"/>
    <n v="19770"/>
    <s v="Leipzig Mobility"/>
  </r>
  <r>
    <s v="CUST_4294"/>
    <x v="27"/>
    <x v="3"/>
    <s v="Sunday"/>
    <s v="Yes"/>
    <x v="6"/>
    <x v="6"/>
    <s v="Saxony"/>
    <x v="2"/>
    <s v="Q3"/>
    <s v="Petrol"/>
    <x v="0"/>
    <s v="26-35"/>
    <s v="High"/>
    <x v="1"/>
    <x v="3"/>
    <s v="Sales_9"/>
    <n v="253"/>
    <n v="139"/>
    <n v="94"/>
    <n v="24"/>
    <s v="17.27"/>
    <n v="45335"/>
    <s v="4.68"/>
    <n v="36908"/>
    <n v="1088040"/>
    <n v="202248"/>
    <s v="Feb"/>
    <n v="2"/>
    <n v="2026"/>
    <s v="Weekend"/>
    <n v="0.25531914893617019"/>
    <n v="0.54940711462450598"/>
    <n v="9.4861660079051377E-2"/>
    <n v="8427"/>
    <s v="Leipzig Mobility"/>
  </r>
  <r>
    <s v="CUST_4295"/>
    <x v="17"/>
    <x v="2"/>
    <s v="Sunday"/>
    <s v="Yes"/>
    <x v="8"/>
    <x v="8"/>
    <s v="Baden-WÃ¼rttemberg"/>
    <x v="2"/>
    <s v="Q3"/>
    <s v="Hybrid"/>
    <x v="0"/>
    <s v="18-25"/>
    <s v="Medium"/>
    <x v="0"/>
    <x v="3"/>
    <s v="Sales_2"/>
    <n v="228"/>
    <n v="137"/>
    <n v="96"/>
    <n v="33"/>
    <s v="24.09"/>
    <n v="44060"/>
    <s v="6.96"/>
    <n v="34638"/>
    <n v="1453980"/>
    <n v="310926"/>
    <s v="Feb"/>
    <n v="2"/>
    <n v="2026"/>
    <s v="Weekend"/>
    <n v="0.34375"/>
    <n v="0.60087719298245612"/>
    <n v="0.14473684210526316"/>
    <n v="9422"/>
    <s v="Stuttgart Auto Center"/>
  </r>
  <r>
    <s v="CUST_4296"/>
    <x v="3"/>
    <x v="1"/>
    <s v="Sunday"/>
    <s v="Yes"/>
    <x v="9"/>
    <x v="9"/>
    <s v="NRW"/>
    <x v="4"/>
    <s v="Golf"/>
    <s v="Electric"/>
    <x v="2"/>
    <s v="18-25"/>
    <s v="High"/>
    <x v="0"/>
    <x v="3"/>
    <s v="Sales_11"/>
    <n v="460"/>
    <n v="204"/>
    <n v="120"/>
    <n v="24"/>
    <s v="11.76"/>
    <n v="28121"/>
    <s v="6.03"/>
    <n v="25283"/>
    <n v="674904"/>
    <n v="68112"/>
    <s v="Feb"/>
    <n v="2"/>
    <n v="2026"/>
    <s v="Weekend"/>
    <n v="0.2"/>
    <n v="0.44347826086956521"/>
    <n v="5.2173913043478258E-2"/>
    <n v="2838"/>
    <s v="Ruhr Auto Plaza"/>
  </r>
  <r>
    <s v="CUST_4297"/>
    <x v="23"/>
    <x v="2"/>
    <s v="Tuesday"/>
    <s v="No"/>
    <x v="5"/>
    <x v="5"/>
    <s v="Hamburg"/>
    <x v="1"/>
    <s v="Corsa"/>
    <s v="Hybrid"/>
    <x v="2"/>
    <s v="26-35"/>
    <s v="Medium"/>
    <x v="0"/>
    <x v="0"/>
    <s v="Sales_13"/>
    <n v="251"/>
    <n v="106"/>
    <n v="66"/>
    <n v="17"/>
    <s v="16.04"/>
    <n v="22495"/>
    <s v="10.27"/>
    <n v="20336"/>
    <n v="382415"/>
    <n v="36703"/>
    <s v="Feb"/>
    <n v="2"/>
    <n v="2026"/>
    <s v="Weekday"/>
    <n v="0.25757575757575757"/>
    <n v="0.42231075697211157"/>
    <n v="6.7729083665338641E-2"/>
    <n v="2159"/>
    <s v="Elbe Drive"/>
  </r>
  <r>
    <s v="CUST_4298"/>
    <x v="22"/>
    <x v="3"/>
    <s v="Tuesday"/>
    <s v="No"/>
    <x v="6"/>
    <x v="6"/>
    <s v="Saxony"/>
    <x v="0"/>
    <s v="i4"/>
    <s v="Diesel"/>
    <x v="1"/>
    <s v="26-35"/>
    <s v="Medium"/>
    <x v="0"/>
    <x v="0"/>
    <s v="Sales_12"/>
    <n v="144"/>
    <n v="65"/>
    <n v="45"/>
    <n v="17"/>
    <s v="26.15"/>
    <n v="64157"/>
    <s v="5.61"/>
    <n v="45129"/>
    <n v="1090669"/>
    <n v="323476"/>
    <s v="Feb"/>
    <n v="2"/>
    <n v="2026"/>
    <s v="Weekday"/>
    <n v="0.37777777777777777"/>
    <n v="0.4513888888888889"/>
    <n v="0.11805555555555555"/>
    <n v="19028"/>
    <s v="Leipzig Mobility"/>
  </r>
  <r>
    <s v="CUST_4299"/>
    <x v="21"/>
    <x v="0"/>
    <s v="Tuesday"/>
    <s v="No"/>
    <x v="7"/>
    <x v="7"/>
    <s v="Bavaria"/>
    <x v="4"/>
    <s v="ID.4"/>
    <s v="Hybrid"/>
    <x v="0"/>
    <s v="50+"/>
    <s v="Low"/>
    <x v="0"/>
    <x v="0"/>
    <s v="Sales_8"/>
    <n v="495"/>
    <n v="241"/>
    <n v="141"/>
    <n v="40"/>
    <s v="16.6"/>
    <n v="31081"/>
    <s v="10.53"/>
    <n v="26840"/>
    <n v="1243240"/>
    <n v="169640"/>
    <s v="Feb"/>
    <n v="2"/>
    <n v="2026"/>
    <s v="Weekday"/>
    <n v="0.28368794326241137"/>
    <n v="0.4868686868686869"/>
    <n v="8.0808080808080815E-2"/>
    <n v="4241"/>
    <s v="Bavaria Motors"/>
  </r>
  <r>
    <s v="CUST_4300"/>
    <x v="4"/>
    <x v="2"/>
    <s v="Wednesday"/>
    <s v="No"/>
    <x v="5"/>
    <x v="5"/>
    <s v="Hamburg"/>
    <x v="2"/>
    <s v="Q3"/>
    <s v="Petrol"/>
    <x v="0"/>
    <s v="36-50"/>
    <s v="Medium"/>
    <x v="1"/>
    <x v="3"/>
    <s v="Sales_7"/>
    <n v="230"/>
    <n v="129"/>
    <n v="83"/>
    <n v="31"/>
    <s v="24.03"/>
    <n v="49115"/>
    <s v="4.78"/>
    <n v="37783"/>
    <n v="1522565"/>
    <n v="351292"/>
    <s v="Feb"/>
    <n v="2"/>
    <n v="2026"/>
    <s v="Weekday"/>
    <n v="0.37349397590361444"/>
    <n v="0.56086956521739129"/>
    <n v="0.13478260869565217"/>
    <n v="11332"/>
    <s v="Elbe Drive"/>
  </r>
  <r>
    <s v="CUST_4301"/>
    <x v="7"/>
    <x v="3"/>
    <s v="Monday"/>
    <s v="No"/>
    <x v="6"/>
    <x v="6"/>
    <s v="Saxony"/>
    <x v="3"/>
    <s v="GLE"/>
    <s v="Petrol"/>
    <x v="0"/>
    <s v="26-35"/>
    <s v="Low"/>
    <x v="0"/>
    <x v="3"/>
    <s v="Sales_13"/>
    <n v="180"/>
    <n v="91"/>
    <n v="71"/>
    <n v="21"/>
    <s v="23.08"/>
    <n v="65487"/>
    <s v="2.02"/>
    <n v="49311"/>
    <n v="1375227"/>
    <n v="339696"/>
    <s v="Feb"/>
    <n v="2"/>
    <n v="2026"/>
    <s v="Weekday"/>
    <n v="0.29577464788732394"/>
    <n v="0.50555555555555554"/>
    <n v="0.11666666666666667"/>
    <n v="16176"/>
    <s v="Leipzig Mobility"/>
  </r>
  <r>
    <s v="CUST_4302"/>
    <x v="1"/>
    <x v="1"/>
    <s v="Wednesday"/>
    <s v="No"/>
    <x v="7"/>
    <x v="7"/>
    <s v="Bavaria"/>
    <x v="0"/>
    <s v="X5"/>
    <s v="Electric"/>
    <x v="0"/>
    <s v="36-50"/>
    <s v="Medium"/>
    <x v="1"/>
    <x v="1"/>
    <s v="Sales_12"/>
    <n v="230"/>
    <n v="115"/>
    <n v="90"/>
    <n v="37"/>
    <s v="32.17"/>
    <n v="61132"/>
    <s v="5.61"/>
    <n v="42999"/>
    <n v="2261884"/>
    <n v="670921"/>
    <s v="Feb"/>
    <n v="2"/>
    <n v="2026"/>
    <s v="Weekday"/>
    <n v="0.41111111111111109"/>
    <n v="0.5"/>
    <n v="0.16086956521739129"/>
    <n v="18133"/>
    <s v="Bavaria Motors"/>
  </r>
  <r>
    <s v="CUST_4303"/>
    <x v="3"/>
    <x v="1"/>
    <s v="Sunday"/>
    <s v="Yes"/>
    <x v="9"/>
    <x v="9"/>
    <s v="NRW"/>
    <x v="3"/>
    <s v="EQE"/>
    <s v="Petrol"/>
    <x v="1"/>
    <s v="18-25"/>
    <s v="High"/>
    <x v="0"/>
    <x v="0"/>
    <s v="Sales_20"/>
    <n v="265"/>
    <n v="146"/>
    <n v="113"/>
    <n v="30"/>
    <s v="20.55"/>
    <n v="57201"/>
    <s v="5.54"/>
    <n v="42245"/>
    <n v="1716030"/>
    <n v="448680"/>
    <s v="Feb"/>
    <n v="2"/>
    <n v="2026"/>
    <s v="Weekend"/>
    <n v="0.26548672566371684"/>
    <n v="0.55094339622641508"/>
    <n v="0.11320754716981132"/>
    <n v="14956"/>
    <s v="Ruhr Auto Plaza"/>
  </r>
  <r>
    <s v="CUST_4304"/>
    <x v="6"/>
    <x v="2"/>
    <s v="Saturday"/>
    <s v="Yes"/>
    <x v="0"/>
    <x v="0"/>
    <s v="Hesse"/>
    <x v="4"/>
    <s v="ID.4"/>
    <s v="Hybrid"/>
    <x v="0"/>
    <s v="18-25"/>
    <s v="Low"/>
    <x v="1"/>
    <x v="0"/>
    <s v="Sales_4"/>
    <n v="457"/>
    <n v="188"/>
    <n v="125"/>
    <n v="23"/>
    <s v="12.23"/>
    <n v="29146"/>
    <s v="10.7"/>
    <n v="26401"/>
    <n v="670358"/>
    <n v="63135"/>
    <s v="Feb"/>
    <n v="2"/>
    <n v="2026"/>
    <s v="Weekend"/>
    <n v="0.184"/>
    <n v="0.4113785557986871"/>
    <n v="5.0328227571115977E-2"/>
    <n v="2745"/>
    <s v="Main Auto Hub"/>
  </r>
  <r>
    <s v="CUST_4305"/>
    <x v="18"/>
    <x v="0"/>
    <s v="Saturday"/>
    <s v="Yes"/>
    <x v="3"/>
    <x v="3"/>
    <s v="Saxony"/>
    <x v="4"/>
    <s v="Tiguan"/>
    <s v="Petrol"/>
    <x v="0"/>
    <s v="50+"/>
    <s v="High"/>
    <x v="1"/>
    <x v="3"/>
    <s v="Sales_12"/>
    <n v="278"/>
    <n v="152"/>
    <n v="94"/>
    <n v="21"/>
    <s v="13.82"/>
    <n v="30217"/>
    <s v="11.37"/>
    <n v="26819"/>
    <n v="634557"/>
    <n v="71358"/>
    <s v="Feb"/>
    <n v="2"/>
    <n v="2026"/>
    <s v="Weekend"/>
    <n v="0.22340425531914893"/>
    <n v="0.5467625899280576"/>
    <n v="7.5539568345323743E-2"/>
    <n v="3398"/>
    <s v="Saxon Wheels"/>
  </r>
  <r>
    <s v="CUST_4306"/>
    <x v="22"/>
    <x v="3"/>
    <s v="Tuesday"/>
    <s v="No"/>
    <x v="1"/>
    <x v="1"/>
    <s v="NRW"/>
    <x v="3"/>
    <s v="GLC"/>
    <s v="Petrol"/>
    <x v="0"/>
    <s v="36-50"/>
    <s v="Medium"/>
    <x v="0"/>
    <x v="2"/>
    <s v="Sales_8"/>
    <n v="175"/>
    <n v="90"/>
    <n v="59"/>
    <n v="27"/>
    <s v="30.0"/>
    <n v="72306"/>
    <s v="2.87"/>
    <n v="57013"/>
    <n v="1952262"/>
    <n v="412911"/>
    <s v="Feb"/>
    <n v="2"/>
    <n v="2026"/>
    <s v="Weekday"/>
    <n v="0.4576271186440678"/>
    <n v="0.51428571428571423"/>
    <n v="0.15428571428571428"/>
    <n v="15293"/>
    <s v="Rhein Auto Group"/>
  </r>
  <r>
    <s v="CUST_4307"/>
    <x v="22"/>
    <x v="3"/>
    <s v="Tuesday"/>
    <s v="No"/>
    <x v="4"/>
    <x v="4"/>
    <s v="Berlin"/>
    <x v="3"/>
    <s v="EQE"/>
    <s v="Diesel"/>
    <x v="1"/>
    <s v="18-25"/>
    <s v="Low"/>
    <x v="0"/>
    <x v="3"/>
    <s v="Sales_9"/>
    <n v="214"/>
    <n v="117"/>
    <n v="78"/>
    <n v="30"/>
    <s v="25.64"/>
    <n v="70529"/>
    <s v="2.62"/>
    <n v="50648"/>
    <n v="2115870"/>
    <n v="596430"/>
    <s v="Feb"/>
    <n v="2"/>
    <n v="2026"/>
    <s v="Weekday"/>
    <n v="0.38461538461538464"/>
    <n v="0.54672897196261683"/>
    <n v="0.14018691588785046"/>
    <n v="19881"/>
    <s v="Autohaus Berlin"/>
  </r>
  <r>
    <s v="CUST_4308"/>
    <x v="26"/>
    <x v="1"/>
    <s v="Friday"/>
    <s v="No"/>
    <x v="9"/>
    <x v="9"/>
    <s v="NRW"/>
    <x v="4"/>
    <s v="T-Roc"/>
    <s v="Electric"/>
    <x v="0"/>
    <s v="26-35"/>
    <s v="Low"/>
    <x v="1"/>
    <x v="0"/>
    <s v="Sales_7"/>
    <n v="379"/>
    <n v="179"/>
    <n v="109"/>
    <n v="20"/>
    <s v="11.17"/>
    <n v="29988"/>
    <s v="10.82"/>
    <n v="26075"/>
    <n v="599760"/>
    <n v="78260"/>
    <s v="Feb"/>
    <n v="2"/>
    <n v="2026"/>
    <s v="Weekday"/>
    <n v="0.1834862385321101"/>
    <n v="0.47229551451187335"/>
    <n v="5.2770448548812667E-2"/>
    <n v="3913"/>
    <s v="Ruhr Auto Plaza"/>
  </r>
  <r>
    <s v="CUST_4309"/>
    <x v="8"/>
    <x v="3"/>
    <s v="Wednesday"/>
    <s v="No"/>
    <x v="2"/>
    <x v="2"/>
    <s v="Lower Saxony"/>
    <x v="4"/>
    <s v="Golf"/>
    <s v="Hybrid"/>
    <x v="2"/>
    <s v="50+"/>
    <s v="Low"/>
    <x v="1"/>
    <x v="0"/>
    <s v="Sales_4"/>
    <n v="359"/>
    <n v="194"/>
    <n v="115"/>
    <n v="29"/>
    <s v="14.95"/>
    <n v="31651"/>
    <s v="10.96"/>
    <n v="28120"/>
    <n v="917879"/>
    <n v="102399"/>
    <s v="Feb"/>
    <n v="2"/>
    <n v="2026"/>
    <s v="Weekday"/>
    <n v="0.25217391304347825"/>
    <n v="0.54038997214484674"/>
    <n v="8.0779944289693595E-2"/>
    <n v="3531"/>
    <s v="Hannover Cars"/>
  </r>
  <r>
    <s v="CUST_4310"/>
    <x v="14"/>
    <x v="2"/>
    <s v="Friday"/>
    <s v="No"/>
    <x v="1"/>
    <x v="1"/>
    <s v="NRW"/>
    <x v="0"/>
    <s v="X3"/>
    <s v="Diesel"/>
    <x v="0"/>
    <s v="36-50"/>
    <s v="Low"/>
    <x v="1"/>
    <x v="3"/>
    <s v="Sales_4"/>
    <n v="204"/>
    <n v="124"/>
    <n v="88"/>
    <n v="32"/>
    <s v="25.81"/>
    <n v="66306"/>
    <s v="5.0"/>
    <n v="50213"/>
    <n v="2121792"/>
    <n v="514976"/>
    <s v="Feb"/>
    <n v="2"/>
    <n v="2026"/>
    <s v="Weekday"/>
    <n v="0.36363636363636365"/>
    <n v="0.60784313725490191"/>
    <n v="0.15686274509803921"/>
    <n v="16093"/>
    <s v="Rhein Auto Group"/>
  </r>
  <r>
    <s v="CUST_4311"/>
    <x v="9"/>
    <x v="0"/>
    <s v="Sunday"/>
    <s v="Yes"/>
    <x v="6"/>
    <x v="6"/>
    <s v="Saxony"/>
    <x v="2"/>
    <s v="A4"/>
    <s v="Diesel"/>
    <x v="1"/>
    <s v="18-25"/>
    <s v="High"/>
    <x v="1"/>
    <x v="3"/>
    <s v="Sales_5"/>
    <n v="288"/>
    <n v="152"/>
    <n v="116"/>
    <n v="30"/>
    <s v="19.74"/>
    <n v="45396"/>
    <s v="4.11"/>
    <n v="36668"/>
    <n v="1361880"/>
    <n v="261840"/>
    <s v="Feb"/>
    <n v="2"/>
    <n v="2026"/>
    <s v="Weekend"/>
    <n v="0.25862068965517243"/>
    <n v="0.52777777777777779"/>
    <n v="0.10416666666666667"/>
    <n v="8728"/>
    <s v="Leipzig Mobility"/>
  </r>
  <r>
    <s v="CUST_4312"/>
    <x v="24"/>
    <x v="1"/>
    <s v="Thursday"/>
    <s v="No"/>
    <x v="4"/>
    <x v="4"/>
    <s v="Berlin"/>
    <x v="1"/>
    <s v="Astra"/>
    <s v="Petrol"/>
    <x v="2"/>
    <s v="26-35"/>
    <s v="Low"/>
    <x v="0"/>
    <x v="2"/>
    <s v="Sales_2"/>
    <n v="415"/>
    <n v="177"/>
    <n v="100"/>
    <n v="38"/>
    <s v="21.47"/>
    <n v="24862"/>
    <s v="13.98"/>
    <n v="22133"/>
    <n v="944756"/>
    <n v="103702"/>
    <s v="Feb"/>
    <n v="2"/>
    <n v="2026"/>
    <s v="Weekday"/>
    <n v="0.38"/>
    <n v="0.42650602409638555"/>
    <n v="9.1566265060240959E-2"/>
    <n v="2729"/>
    <s v="Autohaus Berlin"/>
  </r>
  <r>
    <s v="CUST_4313"/>
    <x v="27"/>
    <x v="3"/>
    <s v="Sunday"/>
    <s v="Yes"/>
    <x v="9"/>
    <x v="9"/>
    <s v="NRW"/>
    <x v="3"/>
    <s v="GLC"/>
    <s v="Petrol"/>
    <x v="0"/>
    <s v="18-25"/>
    <s v="Low"/>
    <x v="0"/>
    <x v="3"/>
    <s v="Sales_18"/>
    <n v="281"/>
    <n v="135"/>
    <n v="90"/>
    <n v="28"/>
    <s v="20.74"/>
    <n v="58542"/>
    <s v="4.97"/>
    <n v="44016"/>
    <n v="1639176"/>
    <n v="406728"/>
    <s v="Feb"/>
    <n v="2"/>
    <n v="2026"/>
    <s v="Weekend"/>
    <n v="0.31111111111111112"/>
    <n v="0.4804270462633452"/>
    <n v="9.9644128113879002E-2"/>
    <n v="14526"/>
    <s v="Ruhr Auto Plaza"/>
  </r>
  <r>
    <s v="CUST_4314"/>
    <x v="27"/>
    <x v="3"/>
    <s v="Sunday"/>
    <s v="Yes"/>
    <x v="3"/>
    <x v="3"/>
    <s v="Saxony"/>
    <x v="2"/>
    <s v="Q5"/>
    <s v="Diesel"/>
    <x v="0"/>
    <s v="26-35"/>
    <s v="High"/>
    <x v="1"/>
    <x v="1"/>
    <s v="Sales_7"/>
    <n v="221"/>
    <n v="134"/>
    <n v="95"/>
    <n v="31"/>
    <s v="23.13"/>
    <n v="42608"/>
    <s v="4.08"/>
    <n v="33825"/>
    <n v="1320848"/>
    <n v="272273"/>
    <s v="Feb"/>
    <n v="2"/>
    <n v="2026"/>
    <s v="Weekend"/>
    <n v="0.32631578947368423"/>
    <n v="0.60633484162895923"/>
    <n v="0.14027149321266968"/>
    <n v="8783"/>
    <s v="Saxon Wheels"/>
  </r>
  <r>
    <s v="CUST_4315"/>
    <x v="8"/>
    <x v="3"/>
    <s v="Wednesday"/>
    <s v="No"/>
    <x v="5"/>
    <x v="5"/>
    <s v="Hamburg"/>
    <x v="2"/>
    <s v="Q3"/>
    <s v="Electric"/>
    <x v="0"/>
    <s v="18-25"/>
    <s v="High"/>
    <x v="0"/>
    <x v="1"/>
    <s v="Sales_13"/>
    <n v="207"/>
    <n v="108"/>
    <n v="72"/>
    <n v="29"/>
    <s v="26.85"/>
    <n v="42944"/>
    <s v="5.47"/>
    <n v="34292"/>
    <n v="1245376"/>
    <n v="250908"/>
    <s v="Feb"/>
    <n v="2"/>
    <n v="2026"/>
    <s v="Weekday"/>
    <n v="0.40277777777777779"/>
    <n v="0.52173913043478259"/>
    <n v="0.14009661835748793"/>
    <n v="8652"/>
    <s v="Elbe Drive"/>
  </r>
  <r>
    <s v="CUST_4316"/>
    <x v="7"/>
    <x v="3"/>
    <s v="Monday"/>
    <s v="No"/>
    <x v="7"/>
    <x v="7"/>
    <s v="Bavaria"/>
    <x v="2"/>
    <s v="e-tron"/>
    <s v="Hybrid"/>
    <x v="0"/>
    <s v="26-35"/>
    <s v="Medium"/>
    <x v="0"/>
    <x v="3"/>
    <s v="Sales_15"/>
    <n v="262"/>
    <n v="129"/>
    <n v="99"/>
    <n v="28"/>
    <s v="21.71"/>
    <n v="48874"/>
    <s v="4.06"/>
    <n v="38295"/>
    <n v="1368472"/>
    <n v="296212"/>
    <s v="Feb"/>
    <n v="2"/>
    <n v="2026"/>
    <s v="Weekday"/>
    <n v="0.28282828282828282"/>
    <n v="0.49236641221374045"/>
    <n v="0.10687022900763359"/>
    <n v="10579"/>
    <s v="Bavaria Motors"/>
  </r>
  <r>
    <s v="CUST_4317"/>
    <x v="5"/>
    <x v="3"/>
    <s v="Saturday"/>
    <s v="Yes"/>
    <x v="8"/>
    <x v="8"/>
    <s v="Baden-WÃ¼rttemberg"/>
    <x v="1"/>
    <s v="Corsa"/>
    <s v="Petrol"/>
    <x v="2"/>
    <s v="50+"/>
    <s v="Low"/>
    <x v="1"/>
    <x v="0"/>
    <s v="Sales_2"/>
    <n v="424"/>
    <n v="230"/>
    <n v="143"/>
    <n v="38"/>
    <s v="16.52"/>
    <n v="20217"/>
    <s v="12.46"/>
    <n v="18288"/>
    <n v="768246"/>
    <n v="73302"/>
    <s v="Feb"/>
    <n v="2"/>
    <n v="2026"/>
    <s v="Weekend"/>
    <n v="0.26573426573426573"/>
    <n v="0.54245283018867929"/>
    <n v="8.9622641509433956E-2"/>
    <n v="1929"/>
    <s v="Stuttgart Auto Center"/>
  </r>
  <r>
    <s v="CUST_4318"/>
    <x v="1"/>
    <x v="1"/>
    <s v="Wednesday"/>
    <s v="No"/>
    <x v="7"/>
    <x v="7"/>
    <s v="Bavaria"/>
    <x v="2"/>
    <s v="A4"/>
    <s v="Electric"/>
    <x v="1"/>
    <s v="26-35"/>
    <s v="Low"/>
    <x v="0"/>
    <x v="3"/>
    <s v="Sales_19"/>
    <n v="186"/>
    <n v="105"/>
    <n v="74"/>
    <n v="25"/>
    <s v="23.81"/>
    <n v="46220"/>
    <s v="5.5"/>
    <n v="36324"/>
    <n v="1155500"/>
    <n v="247400"/>
    <s v="Feb"/>
    <n v="2"/>
    <n v="2026"/>
    <s v="Weekday"/>
    <n v="0.33783783783783783"/>
    <n v="0.56451612903225812"/>
    <n v="0.13440860215053763"/>
    <n v="9896"/>
    <s v="Bavaria Motors"/>
  </r>
  <r>
    <s v="CUST_4319"/>
    <x v="1"/>
    <x v="1"/>
    <s v="Wednesday"/>
    <s v="No"/>
    <x v="2"/>
    <x v="2"/>
    <s v="Lower Saxony"/>
    <x v="0"/>
    <s v="5 Series"/>
    <s v="Petrol"/>
    <x v="1"/>
    <s v="50+"/>
    <s v="Medium"/>
    <x v="1"/>
    <x v="1"/>
    <s v="Sales_15"/>
    <n v="185"/>
    <n v="104"/>
    <n v="84"/>
    <n v="27"/>
    <s v="25.96"/>
    <n v="56179"/>
    <s v="3.48"/>
    <n v="40507"/>
    <n v="1516833"/>
    <n v="423144"/>
    <s v="Feb"/>
    <n v="2"/>
    <n v="2026"/>
    <s v="Weekday"/>
    <n v="0.32142857142857145"/>
    <n v="0.56216216216216219"/>
    <n v="0.14594594594594595"/>
    <n v="15672"/>
    <s v="Hannover Cars"/>
  </r>
  <r>
    <s v="CUST_4320"/>
    <x v="26"/>
    <x v="1"/>
    <s v="Friday"/>
    <s v="No"/>
    <x v="7"/>
    <x v="7"/>
    <s v="Bavaria"/>
    <x v="2"/>
    <s v="A3"/>
    <s v="Electric"/>
    <x v="2"/>
    <s v="18-25"/>
    <s v="Medium"/>
    <x v="0"/>
    <x v="2"/>
    <s v="Sales_11"/>
    <n v="279"/>
    <n v="131"/>
    <n v="86"/>
    <n v="34"/>
    <s v="25.95"/>
    <n v="43460"/>
    <s v="3.38"/>
    <n v="34989"/>
    <n v="1477640"/>
    <n v="288014"/>
    <s v="Feb"/>
    <n v="2"/>
    <n v="2026"/>
    <s v="Weekday"/>
    <n v="0.39534883720930231"/>
    <n v="0.46953405017921146"/>
    <n v="0.12186379928315412"/>
    <n v="8471"/>
    <s v="Bavaria Motors"/>
  </r>
  <r>
    <s v="CUST_4321"/>
    <x v="25"/>
    <x v="3"/>
    <s v="Friday"/>
    <s v="No"/>
    <x v="3"/>
    <x v="3"/>
    <s v="Saxony"/>
    <x v="4"/>
    <s v="Passat"/>
    <s v="Electric"/>
    <x v="1"/>
    <s v="50+"/>
    <s v="Medium"/>
    <x v="0"/>
    <x v="1"/>
    <s v="Sales_7"/>
    <n v="441"/>
    <n v="202"/>
    <n v="133"/>
    <n v="30"/>
    <s v="14.85"/>
    <n v="34657"/>
    <s v="8.58"/>
    <n v="31101"/>
    <n v="1039710"/>
    <n v="106680"/>
    <s v="Feb"/>
    <n v="2"/>
    <n v="2026"/>
    <s v="Weekday"/>
    <n v="0.22556390977443608"/>
    <n v="0.45804988662131518"/>
    <n v="6.8027210884353748E-2"/>
    <n v="3556"/>
    <s v="Saxon Wheels"/>
  </r>
  <r>
    <s v="CUST_4322"/>
    <x v="4"/>
    <x v="2"/>
    <s v="Wednesday"/>
    <s v="No"/>
    <x v="8"/>
    <x v="8"/>
    <s v="Baden-WÃ¼rttemberg"/>
    <x v="0"/>
    <s v="i4"/>
    <s v="Hybrid"/>
    <x v="1"/>
    <s v="26-35"/>
    <s v="Low"/>
    <x v="0"/>
    <x v="2"/>
    <s v="Sales_2"/>
    <n v="234"/>
    <n v="127"/>
    <n v="100"/>
    <n v="41"/>
    <s v="32.28"/>
    <n v="55407"/>
    <s v="3.18"/>
    <n v="39192"/>
    <n v="2271687"/>
    <n v="664815"/>
    <s v="Feb"/>
    <n v="2"/>
    <n v="2026"/>
    <s v="Weekday"/>
    <n v="0.41"/>
    <n v="0.54273504273504269"/>
    <n v="0.1752136752136752"/>
    <n v="16215"/>
    <s v="Stuttgart Auto Center"/>
  </r>
  <r>
    <s v="CUST_4323"/>
    <x v="15"/>
    <x v="2"/>
    <s v="Thursday"/>
    <s v="No"/>
    <x v="0"/>
    <x v="0"/>
    <s v="Hesse"/>
    <x v="1"/>
    <s v="Astra"/>
    <s v="Electric"/>
    <x v="2"/>
    <s v="26-35"/>
    <s v="Medium"/>
    <x v="1"/>
    <x v="2"/>
    <s v="Sales_3"/>
    <n v="287"/>
    <n v="154"/>
    <n v="95"/>
    <n v="24"/>
    <s v="15.58"/>
    <n v="26741"/>
    <s v="9.35"/>
    <n v="24277"/>
    <n v="641784"/>
    <n v="59136"/>
    <s v="Feb"/>
    <n v="2"/>
    <n v="2026"/>
    <s v="Weekday"/>
    <n v="0.25263157894736843"/>
    <n v="0.53658536585365857"/>
    <n v="8.3623693379790948E-2"/>
    <n v="2464"/>
    <s v="Main Auto Hub"/>
  </r>
  <r>
    <s v="CUST_4324"/>
    <x v="2"/>
    <x v="2"/>
    <s v="Monday"/>
    <s v="No"/>
    <x v="6"/>
    <x v="6"/>
    <s v="Saxony"/>
    <x v="1"/>
    <s v="Mokka"/>
    <s v="Petrol"/>
    <x v="0"/>
    <s v="18-25"/>
    <s v="Medium"/>
    <x v="1"/>
    <x v="2"/>
    <s v="Sales_20"/>
    <n v="309"/>
    <n v="146"/>
    <n v="96"/>
    <n v="26"/>
    <s v="17.81"/>
    <n v="26259"/>
    <s v="10.46"/>
    <n v="24064"/>
    <n v="682734"/>
    <n v="57070"/>
    <s v="Feb"/>
    <n v="2"/>
    <n v="2026"/>
    <s v="Weekday"/>
    <n v="0.27083333333333331"/>
    <n v="0.47249190938511326"/>
    <n v="8.4142394822006472E-2"/>
    <n v="2195"/>
    <s v="Leipzig Mobility"/>
  </r>
  <r>
    <s v="CUST_4325"/>
    <x v="8"/>
    <x v="3"/>
    <s v="Wednesday"/>
    <s v="No"/>
    <x v="8"/>
    <x v="8"/>
    <s v="Baden-WÃ¼rttemberg"/>
    <x v="1"/>
    <s v="Mokka"/>
    <s v="Diesel"/>
    <x v="0"/>
    <s v="26-35"/>
    <s v="High"/>
    <x v="1"/>
    <x v="2"/>
    <s v="Sales_1"/>
    <n v="311"/>
    <n v="162"/>
    <n v="109"/>
    <n v="29"/>
    <s v="17.9"/>
    <n v="20533"/>
    <s v="8.36"/>
    <n v="18593"/>
    <n v="595457"/>
    <n v="56260"/>
    <s v="Feb"/>
    <n v="2"/>
    <n v="2026"/>
    <s v="Weekday"/>
    <n v="0.26605504587155965"/>
    <n v="0.52090032154340837"/>
    <n v="9.3247588424437297E-2"/>
    <n v="1940"/>
    <s v="Stuttgart Auto Center"/>
  </r>
  <r>
    <s v="CUST_4326"/>
    <x v="9"/>
    <x v="0"/>
    <s v="Sunday"/>
    <s v="Yes"/>
    <x v="8"/>
    <x v="8"/>
    <s v="Baden-WÃ¼rttemberg"/>
    <x v="1"/>
    <s v="Astra"/>
    <s v="Electric"/>
    <x v="2"/>
    <s v="18-25"/>
    <s v="Low"/>
    <x v="0"/>
    <x v="1"/>
    <s v="Sales_19"/>
    <n v="424"/>
    <n v="232"/>
    <n v="148"/>
    <n v="45"/>
    <s v="19.4"/>
    <n v="26531"/>
    <s v="11.33"/>
    <n v="23846"/>
    <n v="1193895"/>
    <n v="120825"/>
    <s v="Feb"/>
    <n v="2"/>
    <n v="2026"/>
    <s v="Weekend"/>
    <n v="0.30405405405405406"/>
    <n v="0.54716981132075471"/>
    <n v="0.10613207547169812"/>
    <n v="2685"/>
    <s v="Stuttgart Auto Center"/>
  </r>
  <r>
    <s v="CUST_4327"/>
    <x v="5"/>
    <x v="3"/>
    <s v="Saturday"/>
    <s v="Yes"/>
    <x v="1"/>
    <x v="1"/>
    <s v="NRW"/>
    <x v="3"/>
    <s v="C-Class"/>
    <s v="Hybrid"/>
    <x v="1"/>
    <s v="26-35"/>
    <s v="High"/>
    <x v="0"/>
    <x v="3"/>
    <s v="Sales_1"/>
    <n v="191"/>
    <n v="89"/>
    <n v="62"/>
    <n v="21"/>
    <s v="23.6"/>
    <n v="58442"/>
    <s v="4.4"/>
    <n v="42101"/>
    <n v="1227282"/>
    <n v="343161"/>
    <s v="Feb"/>
    <n v="2"/>
    <n v="2026"/>
    <s v="Weekend"/>
    <n v="0.33870967741935482"/>
    <n v="0.46596858638743455"/>
    <n v="0.1099476439790576"/>
    <n v="16341"/>
    <s v="Rhein Auto Group"/>
  </r>
  <r>
    <s v="CUST_4328"/>
    <x v="16"/>
    <x v="1"/>
    <s v="Tuesday"/>
    <s v="No"/>
    <x v="9"/>
    <x v="9"/>
    <s v="NRW"/>
    <x v="2"/>
    <s v="Q3"/>
    <s v="Hybrid"/>
    <x v="0"/>
    <s v="18-25"/>
    <s v="High"/>
    <x v="1"/>
    <x v="2"/>
    <s v="Sales_16"/>
    <n v="261"/>
    <n v="138"/>
    <n v="106"/>
    <n v="32"/>
    <s v="23.19"/>
    <n v="43498"/>
    <s v="6.48"/>
    <n v="34200"/>
    <n v="1391936"/>
    <n v="297536"/>
    <s v="Feb"/>
    <n v="2"/>
    <n v="2026"/>
    <s v="Weekday"/>
    <n v="0.30188679245283018"/>
    <n v="0.52873563218390807"/>
    <n v="0.12260536398467432"/>
    <n v="9298"/>
    <s v="Ruhr Auto Plaza"/>
  </r>
  <r>
    <s v="CUST_4329"/>
    <x v="20"/>
    <x v="0"/>
    <s v="Thursday"/>
    <s v="No"/>
    <x v="2"/>
    <x v="2"/>
    <s v="Lower Saxony"/>
    <x v="4"/>
    <s v="Passat"/>
    <s v="Hybrid"/>
    <x v="1"/>
    <s v="26-35"/>
    <s v="Low"/>
    <x v="1"/>
    <x v="2"/>
    <s v="Sales_13"/>
    <n v="371"/>
    <n v="213"/>
    <n v="138"/>
    <n v="39"/>
    <s v="18.31"/>
    <n v="30237"/>
    <s v="9.55"/>
    <n v="26183"/>
    <n v="1179243"/>
    <n v="158106"/>
    <s v="Feb"/>
    <n v="2"/>
    <n v="2026"/>
    <s v="Weekday"/>
    <n v="0.28260869565217389"/>
    <n v="0.57412398921832886"/>
    <n v="0.10512129380053908"/>
    <n v="4054"/>
    <s v="Hannover Cars"/>
  </r>
  <r>
    <s v="CUST_4330"/>
    <x v="21"/>
    <x v="0"/>
    <s v="Tuesday"/>
    <s v="No"/>
    <x v="1"/>
    <x v="1"/>
    <s v="NRW"/>
    <x v="3"/>
    <s v="GLE"/>
    <s v="Electric"/>
    <x v="0"/>
    <s v="18-25"/>
    <s v="High"/>
    <x v="1"/>
    <x v="2"/>
    <s v="Sales_17"/>
    <n v="279"/>
    <n v="151"/>
    <n v="114"/>
    <n v="45"/>
    <s v="29.8"/>
    <n v="63130"/>
    <s v="2.43"/>
    <n v="47001"/>
    <n v="2840850"/>
    <n v="725805"/>
    <s v="Feb"/>
    <n v="2"/>
    <n v="2026"/>
    <s v="Weekday"/>
    <n v="0.39473684210526316"/>
    <n v="0.54121863799283154"/>
    <n v="0.16129032258064516"/>
    <n v="16129"/>
    <s v="Rhein Auto Group"/>
  </r>
  <r>
    <s v="CUST_4331"/>
    <x v="27"/>
    <x v="3"/>
    <s v="Sunday"/>
    <s v="Yes"/>
    <x v="3"/>
    <x v="3"/>
    <s v="Saxony"/>
    <x v="4"/>
    <s v="Tiguan"/>
    <s v="Diesel"/>
    <x v="0"/>
    <s v="36-50"/>
    <s v="Low"/>
    <x v="0"/>
    <x v="1"/>
    <s v="Sales_11"/>
    <n v="330"/>
    <n v="133"/>
    <n v="92"/>
    <n v="24"/>
    <s v="18.05"/>
    <n v="34432"/>
    <s v="6.82"/>
    <n v="30555"/>
    <n v="826368"/>
    <n v="93048"/>
    <s v="Feb"/>
    <n v="2"/>
    <n v="2026"/>
    <s v="Weekend"/>
    <n v="0.2608695652173913"/>
    <n v="0.40303030303030302"/>
    <n v="7.2727272727272724E-2"/>
    <n v="3877"/>
    <s v="Saxon Wheels"/>
  </r>
  <r>
    <s v="CUST_4332"/>
    <x v="0"/>
    <x v="0"/>
    <s v="Monday"/>
    <s v="No"/>
    <x v="0"/>
    <x v="0"/>
    <s v="Hesse"/>
    <x v="3"/>
    <s v="E-Class"/>
    <s v="Hybrid"/>
    <x v="1"/>
    <s v="50+"/>
    <s v="Low"/>
    <x v="1"/>
    <x v="2"/>
    <s v="Sales_12"/>
    <n v="287"/>
    <n v="135"/>
    <n v="107"/>
    <n v="38"/>
    <s v="28.15"/>
    <n v="54941"/>
    <s v="2.23"/>
    <n v="42758"/>
    <n v="2087758"/>
    <n v="462954"/>
    <s v="Feb"/>
    <n v="2"/>
    <n v="2026"/>
    <s v="Weekday"/>
    <n v="0.35514018691588783"/>
    <n v="0.47038327526132406"/>
    <n v="0.13240418118466898"/>
    <n v="12183"/>
    <s v="Main Auto Hub"/>
  </r>
  <r>
    <s v="CUST_4333"/>
    <x v="10"/>
    <x v="1"/>
    <s v="Monday"/>
    <s v="No"/>
    <x v="3"/>
    <x v="3"/>
    <s v="Saxony"/>
    <x v="0"/>
    <s v="5 Series"/>
    <s v="Hybrid"/>
    <x v="1"/>
    <s v="36-50"/>
    <s v="High"/>
    <x v="1"/>
    <x v="3"/>
    <s v="Sales_8"/>
    <n v="200"/>
    <n v="114"/>
    <n v="77"/>
    <n v="28"/>
    <s v="24.56"/>
    <n v="60705"/>
    <s v="4.43"/>
    <n v="44944"/>
    <n v="1699740"/>
    <n v="441308"/>
    <s v="Feb"/>
    <n v="2"/>
    <n v="2026"/>
    <s v="Weekday"/>
    <n v="0.36363636363636365"/>
    <n v="0.56999999999999995"/>
    <n v="0.14000000000000001"/>
    <n v="15761"/>
    <s v="Saxon Wheels"/>
  </r>
  <r>
    <s v="CUST_4334"/>
    <x v="8"/>
    <x v="3"/>
    <s v="Wednesday"/>
    <s v="No"/>
    <x v="0"/>
    <x v="0"/>
    <s v="Hesse"/>
    <x v="0"/>
    <s v="5 Series"/>
    <s v="Diesel"/>
    <x v="1"/>
    <s v="18-25"/>
    <s v="Low"/>
    <x v="1"/>
    <x v="3"/>
    <s v="Sales_8"/>
    <n v="181"/>
    <n v="82"/>
    <n v="62"/>
    <n v="19"/>
    <s v="23.17"/>
    <n v="55888"/>
    <s v="5.09"/>
    <n v="40711"/>
    <n v="1061872"/>
    <n v="288363"/>
    <s v="Feb"/>
    <n v="2"/>
    <n v="2026"/>
    <s v="Weekday"/>
    <n v="0.30645161290322581"/>
    <n v="0.45303867403314918"/>
    <n v="0.10497237569060773"/>
    <n v="15177"/>
    <s v="Main Auto Hub"/>
  </r>
  <r>
    <s v="CUST_4335"/>
    <x v="2"/>
    <x v="2"/>
    <s v="Monday"/>
    <s v="No"/>
    <x v="3"/>
    <x v="3"/>
    <s v="Saxony"/>
    <x v="1"/>
    <s v="Crossland"/>
    <s v="Petrol"/>
    <x v="0"/>
    <s v="50+"/>
    <s v="Medium"/>
    <x v="0"/>
    <x v="3"/>
    <s v="Sales_20"/>
    <n v="230"/>
    <n v="99"/>
    <n v="57"/>
    <n v="14"/>
    <s v="14.14"/>
    <n v="20459"/>
    <s v="13.75"/>
    <n v="18391"/>
    <n v="286426"/>
    <n v="28952"/>
    <s v="Feb"/>
    <n v="2"/>
    <n v="2026"/>
    <s v="Weekday"/>
    <n v="0.24561403508771928"/>
    <n v="0.43043478260869567"/>
    <n v="6.0869565217391307E-2"/>
    <n v="2068"/>
    <s v="Saxon Wheels"/>
  </r>
  <r>
    <s v="CUST_4336"/>
    <x v="9"/>
    <x v="0"/>
    <s v="Sunday"/>
    <s v="Yes"/>
    <x v="3"/>
    <x v="3"/>
    <s v="Saxony"/>
    <x v="4"/>
    <s v="Golf"/>
    <s v="Petrol"/>
    <x v="2"/>
    <s v="18-25"/>
    <s v="Medium"/>
    <x v="1"/>
    <x v="3"/>
    <s v="Sales_17"/>
    <n v="376"/>
    <n v="197"/>
    <n v="119"/>
    <n v="29"/>
    <s v="14.72"/>
    <n v="24925"/>
    <s v="11.59"/>
    <n v="22372"/>
    <n v="722825"/>
    <n v="74037"/>
    <s v="Feb"/>
    <n v="2"/>
    <n v="2026"/>
    <s v="Weekend"/>
    <n v="0.24369747899159663"/>
    <n v="0.52393617021276595"/>
    <n v="7.7127659574468085E-2"/>
    <n v="2553"/>
    <s v="Saxon Wheels"/>
  </r>
  <r>
    <s v="CUST_4337"/>
    <x v="9"/>
    <x v="0"/>
    <s v="Sunday"/>
    <s v="Yes"/>
    <x v="8"/>
    <x v="8"/>
    <s v="Baden-WÃ¼rttemberg"/>
    <x v="0"/>
    <s v="5 Series"/>
    <s v="Diesel"/>
    <x v="1"/>
    <s v="36-50"/>
    <s v="Low"/>
    <x v="1"/>
    <x v="3"/>
    <s v="Sales_16"/>
    <n v="164"/>
    <n v="100"/>
    <n v="72"/>
    <n v="26"/>
    <s v="26.0"/>
    <n v="57169"/>
    <s v="2.71"/>
    <n v="41176"/>
    <n v="1486394"/>
    <n v="415818"/>
    <s v="Feb"/>
    <n v="2"/>
    <n v="2026"/>
    <s v="Weekend"/>
    <n v="0.3611111111111111"/>
    <n v="0.6097560975609756"/>
    <n v="0.15853658536585366"/>
    <n v="15993"/>
    <s v="Stuttgart Auto Center"/>
  </r>
  <r>
    <s v="CUST_4338"/>
    <x v="5"/>
    <x v="3"/>
    <s v="Saturday"/>
    <s v="Yes"/>
    <x v="9"/>
    <x v="9"/>
    <s v="NRW"/>
    <x v="0"/>
    <s v="5 Series"/>
    <s v="Electric"/>
    <x v="1"/>
    <s v="36-50"/>
    <s v="Medium"/>
    <x v="0"/>
    <x v="3"/>
    <s v="Sales_7"/>
    <n v="185"/>
    <n v="108"/>
    <n v="83"/>
    <n v="26"/>
    <s v="24.07"/>
    <n v="53490"/>
    <s v="5.23"/>
    <n v="39455"/>
    <n v="1390740"/>
    <n v="364910"/>
    <s v="Feb"/>
    <n v="2"/>
    <n v="2026"/>
    <s v="Weekend"/>
    <n v="0.31325301204819278"/>
    <n v="0.58378378378378382"/>
    <n v="0.14054054054054055"/>
    <n v="14035"/>
    <s v="Ruhr Auto Plaza"/>
  </r>
  <r>
    <s v="CUST_4339"/>
    <x v="7"/>
    <x v="3"/>
    <s v="Monday"/>
    <s v="No"/>
    <x v="1"/>
    <x v="1"/>
    <s v="NRW"/>
    <x v="3"/>
    <s v="E-Class"/>
    <s v="Petrol"/>
    <x v="1"/>
    <s v="18-25"/>
    <s v="Medium"/>
    <x v="1"/>
    <x v="1"/>
    <s v="Sales_14"/>
    <n v="260"/>
    <n v="115"/>
    <n v="79"/>
    <n v="31"/>
    <s v="26.96"/>
    <n v="71203"/>
    <s v="3.88"/>
    <n v="52824"/>
    <n v="2207293"/>
    <n v="569749"/>
    <s v="Feb"/>
    <n v="2"/>
    <n v="2026"/>
    <s v="Weekday"/>
    <n v="0.39240506329113922"/>
    <n v="0.44230769230769229"/>
    <n v="0.11923076923076924"/>
    <n v="18379"/>
    <s v="Rhein Auto Group"/>
  </r>
  <r>
    <s v="CUST_4340"/>
    <x v="19"/>
    <x v="1"/>
    <s v="Saturday"/>
    <s v="Yes"/>
    <x v="5"/>
    <x v="5"/>
    <s v="Hamburg"/>
    <x v="4"/>
    <s v="Tiguan"/>
    <s v="Hybrid"/>
    <x v="0"/>
    <s v="18-25"/>
    <s v="Medium"/>
    <x v="0"/>
    <x v="0"/>
    <s v="Sales_1"/>
    <n v="306"/>
    <n v="145"/>
    <n v="84"/>
    <n v="25"/>
    <s v="17.24"/>
    <n v="26735"/>
    <s v="8.34"/>
    <n v="23755"/>
    <n v="668375"/>
    <n v="74500"/>
    <s v="Feb"/>
    <n v="2"/>
    <n v="2026"/>
    <s v="Weekend"/>
    <n v="0.29761904761904762"/>
    <n v="0.47385620915032678"/>
    <n v="8.1699346405228759E-2"/>
    <n v="2980"/>
    <s v="Elbe Drive"/>
  </r>
  <r>
    <s v="CUST_4341"/>
    <x v="22"/>
    <x v="3"/>
    <s v="Tuesday"/>
    <s v="No"/>
    <x v="4"/>
    <x v="4"/>
    <s v="Berlin"/>
    <x v="0"/>
    <s v="X3"/>
    <s v="Petrol"/>
    <x v="0"/>
    <s v="50+"/>
    <s v="Low"/>
    <x v="0"/>
    <x v="1"/>
    <s v="Sales_16"/>
    <n v="227"/>
    <n v="116"/>
    <n v="86"/>
    <n v="35"/>
    <s v="30.17"/>
    <n v="61446"/>
    <s v="5.46"/>
    <n v="46563"/>
    <n v="2150610"/>
    <n v="520905"/>
    <s v="Feb"/>
    <n v="2"/>
    <n v="2026"/>
    <s v="Weekday"/>
    <n v="0.40697674418604651"/>
    <n v="0.51101321585903081"/>
    <n v="0.15418502202643172"/>
    <n v="14883"/>
    <s v="Autohaus Berlin"/>
  </r>
  <r>
    <s v="CUST_4342"/>
    <x v="2"/>
    <x v="2"/>
    <s v="Monday"/>
    <s v="No"/>
    <x v="4"/>
    <x v="4"/>
    <s v="Berlin"/>
    <x v="3"/>
    <s v="EQE"/>
    <s v="Electric"/>
    <x v="1"/>
    <s v="50+"/>
    <s v="Medium"/>
    <x v="1"/>
    <x v="3"/>
    <s v="Sales_9"/>
    <n v="260"/>
    <n v="124"/>
    <n v="91"/>
    <n v="33"/>
    <s v="26.61"/>
    <n v="58317"/>
    <s v="4.08"/>
    <n v="45910"/>
    <n v="1924461"/>
    <n v="409431"/>
    <s v="Feb"/>
    <n v="2"/>
    <n v="2026"/>
    <s v="Weekday"/>
    <n v="0.36263736263736263"/>
    <n v="0.47692307692307695"/>
    <n v="0.12692307692307692"/>
    <n v="12407"/>
    <s v="Autohaus Berlin"/>
  </r>
  <r>
    <s v="CUST_4343"/>
    <x v="8"/>
    <x v="3"/>
    <s v="Wednesday"/>
    <s v="No"/>
    <x v="1"/>
    <x v="1"/>
    <s v="NRW"/>
    <x v="3"/>
    <s v="C-Class"/>
    <s v="Hybrid"/>
    <x v="1"/>
    <s v="18-25"/>
    <s v="High"/>
    <x v="1"/>
    <x v="1"/>
    <s v="Sales_12"/>
    <n v="250"/>
    <n v="148"/>
    <n v="98"/>
    <n v="36"/>
    <s v="24.32"/>
    <n v="61104"/>
    <s v="4.28"/>
    <n v="44904"/>
    <n v="2199744"/>
    <n v="583200"/>
    <s v="Feb"/>
    <n v="2"/>
    <n v="2026"/>
    <s v="Weekday"/>
    <n v="0.36734693877551022"/>
    <n v="0.59199999999999997"/>
    <n v="0.14399999999999999"/>
    <n v="16200"/>
    <s v="Rhein Auto Group"/>
  </r>
  <r>
    <s v="CUST_4344"/>
    <x v="11"/>
    <x v="0"/>
    <s v="Wednesday"/>
    <s v="No"/>
    <x v="1"/>
    <x v="1"/>
    <s v="NRW"/>
    <x v="1"/>
    <s v="Grandland"/>
    <s v="Hybrid"/>
    <x v="0"/>
    <s v="18-25"/>
    <s v="Medium"/>
    <x v="0"/>
    <x v="3"/>
    <s v="Sales_12"/>
    <n v="235"/>
    <n v="129"/>
    <n v="86"/>
    <n v="21"/>
    <s v="16.28"/>
    <n v="24675"/>
    <s v="10.1"/>
    <n v="22721"/>
    <n v="518175"/>
    <n v="41034"/>
    <s v="Feb"/>
    <n v="2"/>
    <n v="2026"/>
    <s v="Weekday"/>
    <n v="0.2441860465116279"/>
    <n v="0.54893617021276597"/>
    <n v="8.9361702127659579E-2"/>
    <n v="1954"/>
    <s v="Rhein Auto Group"/>
  </r>
  <r>
    <s v="CUST_4345"/>
    <x v="7"/>
    <x v="3"/>
    <s v="Monday"/>
    <s v="No"/>
    <x v="9"/>
    <x v="9"/>
    <s v="NRW"/>
    <x v="0"/>
    <s v="X5"/>
    <s v="Hybrid"/>
    <x v="0"/>
    <s v="18-25"/>
    <s v="Low"/>
    <x v="1"/>
    <x v="0"/>
    <s v="Sales_6"/>
    <n v="180"/>
    <n v="94"/>
    <n v="64"/>
    <n v="25"/>
    <s v="26.6"/>
    <n v="67016"/>
    <s v="2.6"/>
    <n v="51430"/>
    <n v="1675400"/>
    <n v="389650"/>
    <s v="Feb"/>
    <n v="2"/>
    <n v="2026"/>
    <s v="Weekday"/>
    <n v="0.390625"/>
    <n v="0.52222222222222225"/>
    <n v="0.1388888888888889"/>
    <n v="15586"/>
    <s v="Ruhr Auto Plaza"/>
  </r>
  <r>
    <s v="CUST_4346"/>
    <x v="3"/>
    <x v="1"/>
    <s v="Sunday"/>
    <s v="Yes"/>
    <x v="0"/>
    <x v="0"/>
    <s v="Hesse"/>
    <x v="3"/>
    <s v="GLC"/>
    <s v="Electric"/>
    <x v="0"/>
    <s v="50+"/>
    <s v="Low"/>
    <x v="0"/>
    <x v="2"/>
    <s v="Sales_9"/>
    <n v="242"/>
    <n v="142"/>
    <n v="96"/>
    <n v="38"/>
    <s v="26.76"/>
    <n v="66206"/>
    <s v="3.74"/>
    <n v="50742"/>
    <n v="2515828"/>
    <n v="587632"/>
    <s v="Feb"/>
    <n v="2"/>
    <n v="2026"/>
    <s v="Weekend"/>
    <n v="0.39583333333333331"/>
    <n v="0.58677685950413228"/>
    <n v="0.15702479338842976"/>
    <n v="15464"/>
    <s v="Main Auto Hub"/>
  </r>
  <r>
    <s v="CUST_4347"/>
    <x v="15"/>
    <x v="2"/>
    <s v="Thursday"/>
    <s v="No"/>
    <x v="0"/>
    <x v="0"/>
    <s v="Hesse"/>
    <x v="4"/>
    <s v="T-Roc"/>
    <s v="Diesel"/>
    <x v="0"/>
    <s v="26-35"/>
    <s v="High"/>
    <x v="1"/>
    <x v="2"/>
    <s v="Sales_17"/>
    <n v="464"/>
    <n v="218"/>
    <n v="152"/>
    <n v="43"/>
    <s v="19.72"/>
    <n v="26184"/>
    <s v="11.3"/>
    <n v="23369"/>
    <n v="1125912"/>
    <n v="121045"/>
    <s v="Feb"/>
    <n v="2"/>
    <n v="2026"/>
    <s v="Weekday"/>
    <n v="0.28289473684210525"/>
    <n v="0.46982758620689657"/>
    <n v="9.2672413793103453E-2"/>
    <n v="2815"/>
    <s v="Main Auto Hub"/>
  </r>
  <r>
    <s v="CUST_4348"/>
    <x v="24"/>
    <x v="1"/>
    <s v="Thursday"/>
    <s v="No"/>
    <x v="6"/>
    <x v="6"/>
    <s v="Saxony"/>
    <x v="1"/>
    <s v="Crossland"/>
    <s v="Petrol"/>
    <x v="0"/>
    <s v="18-25"/>
    <s v="Medium"/>
    <x v="0"/>
    <x v="0"/>
    <s v="Sales_12"/>
    <n v="250"/>
    <n v="97"/>
    <n v="60"/>
    <n v="12"/>
    <s v="12.37"/>
    <n v="25903"/>
    <s v="11.86"/>
    <n v="23648"/>
    <n v="310836"/>
    <n v="27060"/>
    <s v="Feb"/>
    <n v="2"/>
    <n v="2026"/>
    <s v="Weekday"/>
    <n v="0.2"/>
    <n v="0.38800000000000001"/>
    <n v="4.8000000000000001E-2"/>
    <n v="2255"/>
    <s v="Leipzig Mobility"/>
  </r>
  <r>
    <s v="CUST_4349"/>
    <x v="19"/>
    <x v="1"/>
    <s v="Saturday"/>
    <s v="Yes"/>
    <x v="5"/>
    <x v="5"/>
    <s v="Hamburg"/>
    <x v="0"/>
    <s v="5 Series"/>
    <s v="Diesel"/>
    <x v="1"/>
    <s v="18-25"/>
    <s v="Low"/>
    <x v="1"/>
    <x v="1"/>
    <s v="Sales_4"/>
    <n v="257"/>
    <n v="123"/>
    <n v="89"/>
    <n v="33"/>
    <s v="26.83"/>
    <n v="64517"/>
    <s v="4.63"/>
    <n v="46554"/>
    <n v="2129061"/>
    <n v="592779"/>
    <s v="Feb"/>
    <n v="2"/>
    <n v="2026"/>
    <s v="Weekend"/>
    <n v="0.3707865168539326"/>
    <n v="0.47859922178988329"/>
    <n v="0.12840466926070038"/>
    <n v="17963"/>
    <s v="Elbe Drive"/>
  </r>
  <r>
    <s v="CUST_4350"/>
    <x v="1"/>
    <x v="1"/>
    <s v="Wednesday"/>
    <s v="No"/>
    <x v="0"/>
    <x v="0"/>
    <s v="Hesse"/>
    <x v="0"/>
    <s v="3 Series"/>
    <s v="Electric"/>
    <x v="1"/>
    <s v="18-25"/>
    <s v="High"/>
    <x v="0"/>
    <x v="1"/>
    <s v="Sales_18"/>
    <n v="190"/>
    <n v="100"/>
    <n v="71"/>
    <n v="31"/>
    <s v="31.0"/>
    <n v="60381"/>
    <s v="5.97"/>
    <n v="45095"/>
    <n v="1871811"/>
    <n v="473866"/>
    <s v="Feb"/>
    <n v="2"/>
    <n v="2026"/>
    <s v="Weekday"/>
    <n v="0.43661971830985913"/>
    <n v="0.52631578947368418"/>
    <n v="0.16315789473684211"/>
    <n v="15286"/>
    <s v="Main Auto Hub"/>
  </r>
  <r>
    <s v="CUST_4351"/>
    <x v="15"/>
    <x v="2"/>
    <s v="Thursday"/>
    <s v="No"/>
    <x v="8"/>
    <x v="8"/>
    <s v="Baden-WÃ¼rttemberg"/>
    <x v="4"/>
    <s v="T-Roc"/>
    <s v="Petrol"/>
    <x v="0"/>
    <s v="26-35"/>
    <s v="Low"/>
    <x v="0"/>
    <x v="0"/>
    <s v="Sales_10"/>
    <n v="409"/>
    <n v="224"/>
    <n v="136"/>
    <n v="31"/>
    <s v="13.84"/>
    <n v="26378"/>
    <s v="10.72"/>
    <n v="23950"/>
    <n v="817718"/>
    <n v="75268"/>
    <s v="Feb"/>
    <n v="2"/>
    <n v="2026"/>
    <s v="Weekday"/>
    <n v="0.22794117647058823"/>
    <n v="0.5476772616136919"/>
    <n v="7.5794621026894868E-2"/>
    <n v="2428"/>
    <s v="Stuttgart Auto Center"/>
  </r>
  <r>
    <s v="CUST_4352"/>
    <x v="22"/>
    <x v="3"/>
    <s v="Tuesday"/>
    <s v="No"/>
    <x v="9"/>
    <x v="9"/>
    <s v="NRW"/>
    <x v="1"/>
    <s v="Mokka"/>
    <s v="Diesel"/>
    <x v="0"/>
    <s v="50+"/>
    <s v="High"/>
    <x v="0"/>
    <x v="0"/>
    <s v="Sales_14"/>
    <n v="407"/>
    <n v="201"/>
    <n v="129"/>
    <n v="23"/>
    <s v="11.44"/>
    <n v="23587"/>
    <s v="10.75"/>
    <n v="21424"/>
    <n v="542501"/>
    <n v="49749"/>
    <s v="Feb"/>
    <n v="2"/>
    <n v="2026"/>
    <s v="Weekday"/>
    <n v="0.17829457364341086"/>
    <n v="0.49385749385749383"/>
    <n v="5.6511056511056514E-2"/>
    <n v="2163"/>
    <s v="Ruhr Auto Plaza"/>
  </r>
  <r>
    <s v="CUST_4353"/>
    <x v="6"/>
    <x v="2"/>
    <s v="Saturday"/>
    <s v="Yes"/>
    <x v="9"/>
    <x v="9"/>
    <s v="NRW"/>
    <x v="2"/>
    <s v="A4"/>
    <s v="Electric"/>
    <x v="1"/>
    <s v="50+"/>
    <s v="High"/>
    <x v="0"/>
    <x v="0"/>
    <s v="Sales_4"/>
    <n v="249"/>
    <n v="131"/>
    <n v="97"/>
    <n v="26"/>
    <s v="19.85"/>
    <n v="44450"/>
    <s v="5.96"/>
    <n v="33838"/>
    <n v="1155700"/>
    <n v="275912"/>
    <s v="Feb"/>
    <n v="2"/>
    <n v="2026"/>
    <s v="Weekend"/>
    <n v="0.26804123711340205"/>
    <n v="0.52610441767068272"/>
    <n v="0.10441767068273092"/>
    <n v="10612"/>
    <s v="Ruhr Auto Plaza"/>
  </r>
  <r>
    <s v="CUST_4354"/>
    <x v="25"/>
    <x v="3"/>
    <s v="Friday"/>
    <s v="No"/>
    <x v="6"/>
    <x v="6"/>
    <s v="Saxony"/>
    <x v="0"/>
    <s v="3 Series"/>
    <s v="Electric"/>
    <x v="1"/>
    <s v="50+"/>
    <s v="Low"/>
    <x v="1"/>
    <x v="0"/>
    <s v="Sales_12"/>
    <n v="150"/>
    <n v="86"/>
    <n v="58"/>
    <n v="20"/>
    <s v="23.26"/>
    <n v="50729"/>
    <s v="2.63"/>
    <n v="37442"/>
    <n v="1014580"/>
    <n v="265740"/>
    <s v="Feb"/>
    <n v="2"/>
    <n v="2026"/>
    <s v="Weekday"/>
    <n v="0.34482758620689657"/>
    <n v="0.57333333333333336"/>
    <n v="0.13333333333333333"/>
    <n v="13287"/>
    <s v="Leipzig Mobility"/>
  </r>
  <r>
    <s v="CUST_4355"/>
    <x v="6"/>
    <x v="2"/>
    <s v="Saturday"/>
    <s v="Yes"/>
    <x v="1"/>
    <x v="1"/>
    <s v="NRW"/>
    <x v="1"/>
    <s v="Corsa"/>
    <s v="Diesel"/>
    <x v="2"/>
    <s v="50+"/>
    <s v="Low"/>
    <x v="0"/>
    <x v="0"/>
    <s v="Sales_4"/>
    <n v="392"/>
    <n v="174"/>
    <n v="119"/>
    <n v="27"/>
    <s v="15.52"/>
    <n v="24050"/>
    <s v="8.2"/>
    <n v="21870"/>
    <n v="649350"/>
    <n v="58860"/>
    <s v="Feb"/>
    <n v="2"/>
    <n v="2026"/>
    <s v="Weekend"/>
    <n v="0.22689075630252101"/>
    <n v="0.44387755102040816"/>
    <n v="6.8877551020408156E-2"/>
    <n v="2180"/>
    <s v="Rhein Auto Group"/>
  </r>
  <r>
    <s v="CUST_4356"/>
    <x v="5"/>
    <x v="3"/>
    <s v="Saturday"/>
    <s v="Yes"/>
    <x v="7"/>
    <x v="7"/>
    <s v="Bavaria"/>
    <x v="3"/>
    <s v="EQE"/>
    <s v="Hybrid"/>
    <x v="1"/>
    <s v="36-50"/>
    <s v="Medium"/>
    <x v="0"/>
    <x v="2"/>
    <s v="Sales_13"/>
    <n v="221"/>
    <n v="115"/>
    <n v="90"/>
    <n v="34"/>
    <s v="29.57"/>
    <n v="59050"/>
    <s v="5.38"/>
    <n v="46231"/>
    <n v="2007700"/>
    <n v="435846"/>
    <s v="Feb"/>
    <n v="2"/>
    <n v="2026"/>
    <s v="Weekend"/>
    <n v="0.37777777777777777"/>
    <n v="0.52036199095022628"/>
    <n v="0.15384615384615385"/>
    <n v="12819"/>
    <s v="Bavaria Motors"/>
  </r>
  <r>
    <s v="CUST_4357"/>
    <x v="1"/>
    <x v="1"/>
    <s v="Wednesday"/>
    <s v="No"/>
    <x v="0"/>
    <x v="0"/>
    <s v="Hesse"/>
    <x v="0"/>
    <s v="X5"/>
    <s v="Electric"/>
    <x v="0"/>
    <s v="50+"/>
    <s v="Medium"/>
    <x v="1"/>
    <x v="1"/>
    <s v="Sales_7"/>
    <n v="264"/>
    <n v="141"/>
    <n v="103"/>
    <n v="39"/>
    <s v="27.66"/>
    <n v="56446"/>
    <s v="4.93"/>
    <n v="43463"/>
    <n v="2201394"/>
    <n v="506337"/>
    <s v="Feb"/>
    <n v="2"/>
    <n v="2026"/>
    <s v="Weekday"/>
    <n v="0.37864077669902912"/>
    <n v="0.53409090909090906"/>
    <n v="0.14772727272727273"/>
    <n v="12983"/>
    <s v="Main Auto Hub"/>
  </r>
  <r>
    <s v="CUST_4358"/>
    <x v="23"/>
    <x v="2"/>
    <s v="Tuesday"/>
    <s v="No"/>
    <x v="6"/>
    <x v="6"/>
    <s v="Saxony"/>
    <x v="0"/>
    <s v="X3"/>
    <s v="Electric"/>
    <x v="0"/>
    <s v="36-50"/>
    <s v="Medium"/>
    <x v="0"/>
    <x v="0"/>
    <s v="Sales_12"/>
    <n v="258"/>
    <n v="150"/>
    <n v="121"/>
    <n v="41"/>
    <s v="27.33"/>
    <n v="55240"/>
    <s v="5.63"/>
    <n v="39711"/>
    <n v="2264840"/>
    <n v="636689"/>
    <s v="Feb"/>
    <n v="2"/>
    <n v="2026"/>
    <s v="Weekday"/>
    <n v="0.33884297520661155"/>
    <n v="0.58139534883720934"/>
    <n v="0.15891472868217055"/>
    <n v="15529"/>
    <s v="Leipzig Mobility"/>
  </r>
  <r>
    <s v="CUST_4359"/>
    <x v="13"/>
    <x v="0"/>
    <s v="Friday"/>
    <s v="No"/>
    <x v="6"/>
    <x v="6"/>
    <s v="Saxony"/>
    <x v="2"/>
    <s v="A3"/>
    <s v="Electric"/>
    <x v="2"/>
    <s v="26-35"/>
    <s v="Low"/>
    <x v="0"/>
    <x v="1"/>
    <s v="Sales_14"/>
    <n v="202"/>
    <n v="95"/>
    <n v="70"/>
    <n v="24"/>
    <s v="25.26"/>
    <n v="41684"/>
    <s v="3.26"/>
    <n v="32924"/>
    <n v="1000416"/>
    <n v="210240"/>
    <s v="Feb"/>
    <n v="2"/>
    <n v="2026"/>
    <s v="Weekday"/>
    <n v="0.34285714285714286"/>
    <n v="0.47029702970297027"/>
    <n v="0.11881188118811881"/>
    <n v="8760"/>
    <s v="Leipzig Mobility"/>
  </r>
  <r>
    <s v="CUST_4360"/>
    <x v="2"/>
    <x v="2"/>
    <s v="Monday"/>
    <s v="No"/>
    <x v="8"/>
    <x v="8"/>
    <s v="Baden-WÃ¼rttemberg"/>
    <x v="4"/>
    <s v="ID.4"/>
    <s v="Petrol"/>
    <x v="0"/>
    <s v="26-35"/>
    <s v="Low"/>
    <x v="0"/>
    <x v="1"/>
    <s v="Sales_5"/>
    <n v="485"/>
    <n v="279"/>
    <n v="169"/>
    <n v="51"/>
    <s v="18.28"/>
    <n v="27054"/>
    <s v="10.89"/>
    <n v="24470"/>
    <n v="1379754"/>
    <n v="131784"/>
    <s v="Feb"/>
    <n v="2"/>
    <n v="2026"/>
    <s v="Weekday"/>
    <n v="0.30177514792899407"/>
    <n v="0.57525773195876284"/>
    <n v="0.10515463917525773"/>
    <n v="2584"/>
    <s v="Stuttgart Auto Center"/>
  </r>
  <r>
    <s v="CUST_4361"/>
    <x v="6"/>
    <x v="2"/>
    <s v="Saturday"/>
    <s v="Yes"/>
    <x v="2"/>
    <x v="2"/>
    <s v="Lower Saxony"/>
    <x v="2"/>
    <s v="A3"/>
    <s v="Petrol"/>
    <x v="2"/>
    <s v="36-50"/>
    <s v="Medium"/>
    <x v="0"/>
    <x v="3"/>
    <s v="Sales_20"/>
    <n v="165"/>
    <n v="95"/>
    <n v="61"/>
    <n v="18"/>
    <s v="18.95"/>
    <n v="44748"/>
    <s v="3.07"/>
    <n v="34074"/>
    <n v="805464"/>
    <n v="192132"/>
    <s v="Feb"/>
    <n v="2"/>
    <n v="2026"/>
    <s v="Weekend"/>
    <n v="0.29508196721311475"/>
    <n v="0.5757575757575758"/>
    <n v="0.10909090909090909"/>
    <n v="10674"/>
    <s v="Hannover Cars"/>
  </r>
  <r>
    <s v="CUST_4362"/>
    <x v="17"/>
    <x v="2"/>
    <s v="Sunday"/>
    <s v="Yes"/>
    <x v="2"/>
    <x v="2"/>
    <s v="Lower Saxony"/>
    <x v="2"/>
    <s v="Q3"/>
    <s v="Diesel"/>
    <x v="0"/>
    <s v="26-35"/>
    <s v="High"/>
    <x v="0"/>
    <x v="3"/>
    <s v="Sales_13"/>
    <n v="301"/>
    <n v="175"/>
    <n v="120"/>
    <n v="34"/>
    <s v="19.43"/>
    <n v="46730"/>
    <s v="4.06"/>
    <n v="38218"/>
    <n v="1588820"/>
    <n v="289408"/>
    <s v="Feb"/>
    <n v="2"/>
    <n v="2026"/>
    <s v="Weekend"/>
    <n v="0.28333333333333333"/>
    <n v="0.58139534883720934"/>
    <n v="0.11295681063122924"/>
    <n v="8512"/>
    <s v="Hannover Cars"/>
  </r>
  <r>
    <s v="CUST_4363"/>
    <x v="3"/>
    <x v="1"/>
    <s v="Sunday"/>
    <s v="Yes"/>
    <x v="2"/>
    <x v="2"/>
    <s v="Lower Saxony"/>
    <x v="4"/>
    <s v="Golf"/>
    <s v="Petrol"/>
    <x v="2"/>
    <s v="18-25"/>
    <s v="Low"/>
    <x v="1"/>
    <x v="0"/>
    <s v="Sales_5"/>
    <n v="443"/>
    <n v="256"/>
    <n v="170"/>
    <n v="29"/>
    <s v="11.33"/>
    <n v="28410"/>
    <s v="8.58"/>
    <n v="25583"/>
    <n v="823890"/>
    <n v="81983"/>
    <s v="Feb"/>
    <n v="2"/>
    <n v="2026"/>
    <s v="Weekend"/>
    <n v="0.17058823529411765"/>
    <n v="0.57787810383747173"/>
    <n v="6.5462753950338598E-2"/>
    <n v="2827"/>
    <s v="Hannover Cars"/>
  </r>
  <r>
    <s v="CUST_4364"/>
    <x v="23"/>
    <x v="2"/>
    <s v="Tuesday"/>
    <s v="No"/>
    <x v="6"/>
    <x v="6"/>
    <s v="Saxony"/>
    <x v="3"/>
    <s v="EQE"/>
    <s v="Hybrid"/>
    <x v="1"/>
    <s v="26-35"/>
    <s v="Low"/>
    <x v="1"/>
    <x v="3"/>
    <s v="Sales_17"/>
    <n v="285"/>
    <n v="142"/>
    <n v="110"/>
    <n v="34"/>
    <s v="23.94"/>
    <n v="66346"/>
    <s v="2.05"/>
    <n v="47779"/>
    <n v="2255764"/>
    <n v="631278"/>
    <s v="Feb"/>
    <n v="2"/>
    <n v="2026"/>
    <s v="Weekday"/>
    <n v="0.30909090909090908"/>
    <n v="0.49824561403508771"/>
    <n v="0.11929824561403508"/>
    <n v="18567"/>
    <s v="Leipzig Mobility"/>
  </r>
  <r>
    <s v="CUST_4365"/>
    <x v="8"/>
    <x v="3"/>
    <s v="Wednesday"/>
    <s v="No"/>
    <x v="7"/>
    <x v="7"/>
    <s v="Bavaria"/>
    <x v="0"/>
    <s v="X3"/>
    <s v="Diesel"/>
    <x v="0"/>
    <s v="50+"/>
    <s v="Low"/>
    <x v="0"/>
    <x v="1"/>
    <s v="Sales_3"/>
    <n v="182"/>
    <n v="101"/>
    <n v="72"/>
    <n v="32"/>
    <s v="31.68"/>
    <n v="60642"/>
    <s v="2.38"/>
    <n v="44530"/>
    <n v="1940544"/>
    <n v="515584"/>
    <s v="Feb"/>
    <n v="2"/>
    <n v="2026"/>
    <s v="Weekday"/>
    <n v="0.44444444444444442"/>
    <n v="0.55494505494505497"/>
    <n v="0.17582417582417584"/>
    <n v="16112"/>
    <s v="Bavaria Motors"/>
  </r>
  <r>
    <s v="CUST_4366"/>
    <x v="19"/>
    <x v="1"/>
    <s v="Saturday"/>
    <s v="Yes"/>
    <x v="8"/>
    <x v="8"/>
    <s v="Baden-WÃ¼rttemberg"/>
    <x v="2"/>
    <s v="Q3"/>
    <s v="Hybrid"/>
    <x v="0"/>
    <s v="36-50"/>
    <s v="Low"/>
    <x v="0"/>
    <x v="3"/>
    <s v="Sales_5"/>
    <n v="173"/>
    <n v="102"/>
    <n v="72"/>
    <n v="23"/>
    <s v="22.55"/>
    <n v="45487"/>
    <s v="5.35"/>
    <n v="36406"/>
    <n v="1046201"/>
    <n v="208863"/>
    <s v="Feb"/>
    <n v="2"/>
    <n v="2026"/>
    <s v="Weekend"/>
    <n v="0.31944444444444442"/>
    <n v="0.58959537572254339"/>
    <n v="0.13294797687861271"/>
    <n v="9081"/>
    <s v="Stuttgart Auto Center"/>
  </r>
  <r>
    <s v="CUST_4367"/>
    <x v="13"/>
    <x v="0"/>
    <s v="Friday"/>
    <s v="No"/>
    <x v="0"/>
    <x v="0"/>
    <s v="Hesse"/>
    <x v="3"/>
    <s v="E-Class"/>
    <s v="Hybrid"/>
    <x v="1"/>
    <s v="18-25"/>
    <s v="Medium"/>
    <x v="1"/>
    <x v="2"/>
    <s v="Sales_13"/>
    <n v="239"/>
    <n v="113"/>
    <n v="75"/>
    <n v="32"/>
    <s v="28.32"/>
    <n v="56406"/>
    <s v="4.86"/>
    <n v="40221"/>
    <n v="1804992"/>
    <n v="517920"/>
    <s v="Feb"/>
    <n v="2"/>
    <n v="2026"/>
    <s v="Weekday"/>
    <n v="0.42666666666666669"/>
    <n v="0.47280334728033474"/>
    <n v="0.13389121338912133"/>
    <n v="16185"/>
    <s v="Main Auto Hub"/>
  </r>
  <r>
    <s v="CUST_4368"/>
    <x v="18"/>
    <x v="0"/>
    <s v="Saturday"/>
    <s v="Yes"/>
    <x v="4"/>
    <x v="4"/>
    <s v="Berlin"/>
    <x v="1"/>
    <s v="Crossland"/>
    <s v="Petrol"/>
    <x v="0"/>
    <s v="50+"/>
    <s v="High"/>
    <x v="1"/>
    <x v="0"/>
    <s v="Sales_5"/>
    <n v="405"/>
    <n v="164"/>
    <n v="110"/>
    <n v="26"/>
    <s v="15.85"/>
    <n v="21907"/>
    <s v="11.51"/>
    <n v="20185"/>
    <n v="569582"/>
    <n v="44772"/>
    <s v="Feb"/>
    <n v="2"/>
    <n v="2026"/>
    <s v="Weekend"/>
    <n v="0.23636363636363636"/>
    <n v="0.40493827160493828"/>
    <n v="6.4197530864197536E-2"/>
    <n v="1722"/>
    <s v="Autohaus Berlin"/>
  </r>
  <r>
    <s v="CUST_4369"/>
    <x v="10"/>
    <x v="1"/>
    <s v="Monday"/>
    <s v="No"/>
    <x v="5"/>
    <x v="5"/>
    <s v="Hamburg"/>
    <x v="0"/>
    <s v="3 Series"/>
    <s v="Hybrid"/>
    <x v="1"/>
    <s v="50+"/>
    <s v="Medium"/>
    <x v="1"/>
    <x v="0"/>
    <s v="Sales_2"/>
    <n v="206"/>
    <n v="105"/>
    <n v="75"/>
    <n v="30"/>
    <s v="28.57"/>
    <n v="50759"/>
    <s v="5.92"/>
    <n v="38422"/>
    <n v="1522770"/>
    <n v="370110"/>
    <s v="Feb"/>
    <n v="2"/>
    <n v="2026"/>
    <s v="Weekday"/>
    <n v="0.4"/>
    <n v="0.50970873786407767"/>
    <n v="0.14563106796116504"/>
    <n v="12337"/>
    <s v="Elbe Drive"/>
  </r>
  <r>
    <s v="CUST_4370"/>
    <x v="26"/>
    <x v="1"/>
    <s v="Friday"/>
    <s v="No"/>
    <x v="7"/>
    <x v="7"/>
    <s v="Bavaria"/>
    <x v="2"/>
    <s v="Q5"/>
    <s v="Electric"/>
    <x v="0"/>
    <s v="18-25"/>
    <s v="Low"/>
    <x v="1"/>
    <x v="1"/>
    <s v="Sales_12"/>
    <n v="242"/>
    <n v="143"/>
    <n v="98"/>
    <n v="34"/>
    <s v="23.78"/>
    <n v="45790"/>
    <s v="3.47"/>
    <n v="36010"/>
    <n v="1556860"/>
    <n v="332520"/>
    <s v="Feb"/>
    <n v="2"/>
    <n v="2026"/>
    <s v="Weekday"/>
    <n v="0.34693877551020408"/>
    <n v="0.59090909090909094"/>
    <n v="0.14049586776859505"/>
    <n v="9780"/>
    <s v="Bavaria Motors"/>
  </r>
  <r>
    <s v="CUST_4371"/>
    <x v="18"/>
    <x v="0"/>
    <s v="Saturday"/>
    <s v="Yes"/>
    <x v="1"/>
    <x v="1"/>
    <s v="NRW"/>
    <x v="0"/>
    <s v="5 Series"/>
    <s v="Petrol"/>
    <x v="1"/>
    <s v="26-35"/>
    <s v="Low"/>
    <x v="0"/>
    <x v="2"/>
    <s v="Sales_18"/>
    <n v="140"/>
    <n v="70"/>
    <n v="52"/>
    <n v="20"/>
    <s v="28.57"/>
    <n v="60615"/>
    <s v="2.85"/>
    <n v="44831"/>
    <n v="1212300"/>
    <n v="315680"/>
    <s v="Feb"/>
    <n v="2"/>
    <n v="2026"/>
    <s v="Weekend"/>
    <n v="0.38461538461538464"/>
    <n v="0.5"/>
    <n v="0.14285714285714285"/>
    <n v="15784"/>
    <s v="Rhein Auto Group"/>
  </r>
  <r>
    <s v="CUST_4372"/>
    <x v="5"/>
    <x v="3"/>
    <s v="Saturday"/>
    <s v="Yes"/>
    <x v="7"/>
    <x v="7"/>
    <s v="Bavaria"/>
    <x v="3"/>
    <s v="GLE"/>
    <s v="Electric"/>
    <x v="0"/>
    <s v="18-25"/>
    <s v="Medium"/>
    <x v="0"/>
    <x v="3"/>
    <s v="Sales_14"/>
    <n v="233"/>
    <n v="111"/>
    <n v="85"/>
    <n v="30"/>
    <s v="27.03"/>
    <n v="56179"/>
    <s v="4.28"/>
    <n v="41302"/>
    <n v="1685370"/>
    <n v="446310"/>
    <s v="Feb"/>
    <n v="2"/>
    <n v="2026"/>
    <s v="Weekend"/>
    <n v="0.35294117647058826"/>
    <n v="0.47639484978540775"/>
    <n v="0.12875536480686695"/>
    <n v="14877"/>
    <s v="Bavaria Motors"/>
  </r>
  <r>
    <s v="CUST_4373"/>
    <x v="3"/>
    <x v="1"/>
    <s v="Sunday"/>
    <s v="Yes"/>
    <x v="5"/>
    <x v="5"/>
    <s v="Hamburg"/>
    <x v="1"/>
    <s v="Astra"/>
    <s v="Petrol"/>
    <x v="2"/>
    <s v="26-35"/>
    <s v="Low"/>
    <x v="1"/>
    <x v="2"/>
    <s v="Sales_18"/>
    <n v="357"/>
    <n v="156"/>
    <n v="89"/>
    <n v="27"/>
    <s v="17.31"/>
    <n v="20640"/>
    <s v="8.17"/>
    <n v="18722"/>
    <n v="557280"/>
    <n v="51786"/>
    <s v="Feb"/>
    <n v="2"/>
    <n v="2026"/>
    <s v="Weekend"/>
    <n v="0.30337078651685395"/>
    <n v="0.43697478991596639"/>
    <n v="7.5630252100840331E-2"/>
    <n v="1918"/>
    <s v="Elbe Drive"/>
  </r>
  <r>
    <s v="CUST_4374"/>
    <x v="10"/>
    <x v="1"/>
    <s v="Monday"/>
    <s v="No"/>
    <x v="7"/>
    <x v="7"/>
    <s v="Bavaria"/>
    <x v="0"/>
    <s v="3 Series"/>
    <s v="Electric"/>
    <x v="1"/>
    <s v="26-35"/>
    <s v="Low"/>
    <x v="1"/>
    <x v="3"/>
    <s v="Sales_2"/>
    <n v="263"/>
    <n v="139"/>
    <n v="94"/>
    <n v="42"/>
    <s v="30.22"/>
    <n v="63925"/>
    <s v="2.91"/>
    <n v="45002"/>
    <n v="2684850"/>
    <n v="794766"/>
    <s v="Feb"/>
    <n v="2"/>
    <n v="2026"/>
    <s v="Weekday"/>
    <n v="0.44680851063829785"/>
    <n v="0.52851711026615966"/>
    <n v="0.1596958174904943"/>
    <n v="18923"/>
    <s v="Bavaria Motors"/>
  </r>
  <r>
    <s v="CUST_4375"/>
    <x v="17"/>
    <x v="2"/>
    <s v="Sunday"/>
    <s v="Yes"/>
    <x v="5"/>
    <x v="5"/>
    <s v="Hamburg"/>
    <x v="4"/>
    <s v="ID.4"/>
    <s v="Petrol"/>
    <x v="0"/>
    <s v="50+"/>
    <s v="Medium"/>
    <x v="0"/>
    <x v="1"/>
    <s v="Sales_8"/>
    <n v="423"/>
    <n v="190"/>
    <n v="133"/>
    <n v="37"/>
    <s v="19.47"/>
    <n v="32122"/>
    <s v="9.21"/>
    <n v="28749"/>
    <n v="1188514"/>
    <n v="124801"/>
    <s v="Feb"/>
    <n v="2"/>
    <n v="2026"/>
    <s v="Weekend"/>
    <n v="0.2781954887218045"/>
    <n v="0.44917257683215128"/>
    <n v="8.7470449172576833E-2"/>
    <n v="3373"/>
    <s v="Elbe Drive"/>
  </r>
  <r>
    <s v="CUST_4376"/>
    <x v="7"/>
    <x v="3"/>
    <s v="Monday"/>
    <s v="No"/>
    <x v="8"/>
    <x v="8"/>
    <s v="Baden-WÃ¼rttemberg"/>
    <x v="3"/>
    <s v="C-Class"/>
    <s v="Petrol"/>
    <x v="1"/>
    <s v="36-50"/>
    <s v="Low"/>
    <x v="1"/>
    <x v="0"/>
    <s v="Sales_6"/>
    <n v="194"/>
    <n v="93"/>
    <n v="65"/>
    <n v="23"/>
    <s v="24.73"/>
    <n v="70823"/>
    <s v="2.39"/>
    <n v="52450"/>
    <n v="1628929"/>
    <n v="422579"/>
    <s v="Feb"/>
    <n v="2"/>
    <n v="2026"/>
    <s v="Weekday"/>
    <n v="0.35384615384615387"/>
    <n v="0.47938144329896909"/>
    <n v="0.11855670103092783"/>
    <n v="18373"/>
    <s v="Stuttgart Auto Center"/>
  </r>
  <r>
    <s v="CUST_4377"/>
    <x v="2"/>
    <x v="2"/>
    <s v="Monday"/>
    <s v="No"/>
    <x v="5"/>
    <x v="5"/>
    <s v="Hamburg"/>
    <x v="2"/>
    <s v="A4"/>
    <s v="Hybrid"/>
    <x v="1"/>
    <s v="18-25"/>
    <s v="High"/>
    <x v="0"/>
    <x v="2"/>
    <s v="Sales_3"/>
    <n v="221"/>
    <n v="121"/>
    <n v="84"/>
    <n v="34"/>
    <s v="28.1"/>
    <n v="42236"/>
    <s v="5.19"/>
    <n v="33294"/>
    <n v="1436024"/>
    <n v="304028"/>
    <s v="Feb"/>
    <n v="2"/>
    <n v="2026"/>
    <s v="Weekday"/>
    <n v="0.40476190476190477"/>
    <n v="0.54751131221719462"/>
    <n v="0.15384615384615385"/>
    <n v="8942"/>
    <s v="Elbe Drive"/>
  </r>
  <r>
    <s v="CUST_4378"/>
    <x v="9"/>
    <x v="0"/>
    <s v="Sunday"/>
    <s v="Yes"/>
    <x v="6"/>
    <x v="6"/>
    <s v="Saxony"/>
    <x v="3"/>
    <s v="C-Class"/>
    <s v="Diesel"/>
    <x v="1"/>
    <s v="50+"/>
    <s v="Medium"/>
    <x v="1"/>
    <x v="0"/>
    <s v="Sales_19"/>
    <n v="205"/>
    <n v="101"/>
    <n v="73"/>
    <n v="21"/>
    <s v="20.79"/>
    <n v="62790"/>
    <s v="4.05"/>
    <n v="47129"/>
    <n v="1318590"/>
    <n v="328881"/>
    <s v="Feb"/>
    <n v="2"/>
    <n v="2026"/>
    <s v="Weekend"/>
    <n v="0.28767123287671231"/>
    <n v="0.49268292682926829"/>
    <n v="0.1024390243902439"/>
    <n v="15661"/>
    <s v="Leipzig Mobility"/>
  </r>
  <r>
    <s v="CUST_4379"/>
    <x v="4"/>
    <x v="2"/>
    <s v="Wednesday"/>
    <s v="No"/>
    <x v="5"/>
    <x v="5"/>
    <s v="Hamburg"/>
    <x v="2"/>
    <s v="A3"/>
    <s v="Electric"/>
    <x v="2"/>
    <s v="18-25"/>
    <s v="Medium"/>
    <x v="1"/>
    <x v="0"/>
    <s v="Sales_5"/>
    <n v="174"/>
    <n v="106"/>
    <n v="68"/>
    <n v="21"/>
    <s v="19.81"/>
    <n v="43622"/>
    <s v="3.42"/>
    <n v="35225"/>
    <n v="916062"/>
    <n v="176337"/>
    <s v="Feb"/>
    <n v="2"/>
    <n v="2026"/>
    <s v="Weekday"/>
    <n v="0.30882352941176472"/>
    <n v="0.60919540229885061"/>
    <n v="0.1206896551724138"/>
    <n v="8397"/>
    <s v="Elbe Drive"/>
  </r>
  <r>
    <s v="CUST_4380"/>
    <x v="25"/>
    <x v="3"/>
    <s v="Friday"/>
    <s v="No"/>
    <x v="7"/>
    <x v="7"/>
    <s v="Bavaria"/>
    <x v="3"/>
    <s v="GLC"/>
    <s v="Diesel"/>
    <x v="0"/>
    <s v="26-35"/>
    <s v="Medium"/>
    <x v="0"/>
    <x v="3"/>
    <s v="Sales_11"/>
    <n v="147"/>
    <n v="67"/>
    <n v="50"/>
    <n v="19"/>
    <s v="28.36"/>
    <n v="65754"/>
    <s v="2.35"/>
    <n v="48573"/>
    <n v="1249326"/>
    <n v="326439"/>
    <s v="Feb"/>
    <n v="2"/>
    <n v="2026"/>
    <s v="Weekday"/>
    <n v="0.38"/>
    <n v="0.45578231292517007"/>
    <n v="0.12925170068027211"/>
    <n v="17181"/>
    <s v="Bavaria Motors"/>
  </r>
  <r>
    <s v="CUST_4381"/>
    <x v="4"/>
    <x v="2"/>
    <s v="Wednesday"/>
    <s v="No"/>
    <x v="9"/>
    <x v="9"/>
    <s v="NRW"/>
    <x v="2"/>
    <s v="A4"/>
    <s v="Electric"/>
    <x v="1"/>
    <s v="18-25"/>
    <s v="High"/>
    <x v="0"/>
    <x v="0"/>
    <s v="Sales_10"/>
    <n v="162"/>
    <n v="103"/>
    <n v="75"/>
    <n v="23"/>
    <s v="22.33"/>
    <n v="47968"/>
    <s v="3.54"/>
    <n v="37679"/>
    <n v="1103264"/>
    <n v="236647"/>
    <s v="Feb"/>
    <n v="2"/>
    <n v="2026"/>
    <s v="Weekday"/>
    <n v="0.30666666666666664"/>
    <n v="0.63580246913580252"/>
    <n v="0.1419753086419753"/>
    <n v="10289"/>
    <s v="Ruhr Auto Plaza"/>
  </r>
  <r>
    <s v="CUST_4382"/>
    <x v="19"/>
    <x v="1"/>
    <s v="Saturday"/>
    <s v="Yes"/>
    <x v="5"/>
    <x v="5"/>
    <s v="Hamburg"/>
    <x v="0"/>
    <s v="5 Series"/>
    <s v="Petrol"/>
    <x v="1"/>
    <s v="26-35"/>
    <s v="Medium"/>
    <x v="1"/>
    <x v="1"/>
    <s v="Sales_16"/>
    <n v="192"/>
    <n v="91"/>
    <n v="67"/>
    <n v="26"/>
    <s v="28.57"/>
    <n v="66114"/>
    <s v="2.43"/>
    <n v="48109"/>
    <n v="1718964"/>
    <n v="468130"/>
    <s v="Feb"/>
    <n v="2"/>
    <n v="2026"/>
    <s v="Weekend"/>
    <n v="0.38805970149253732"/>
    <n v="0.47395833333333331"/>
    <n v="0.13541666666666666"/>
    <n v="18005"/>
    <s v="Elbe Drive"/>
  </r>
  <r>
    <s v="CUST_4383"/>
    <x v="0"/>
    <x v="0"/>
    <s v="Monday"/>
    <s v="No"/>
    <x v="2"/>
    <x v="2"/>
    <s v="Lower Saxony"/>
    <x v="3"/>
    <s v="GLE"/>
    <s v="Diesel"/>
    <x v="0"/>
    <s v="36-50"/>
    <s v="High"/>
    <x v="1"/>
    <x v="0"/>
    <s v="Sales_18"/>
    <n v="202"/>
    <n v="92"/>
    <n v="67"/>
    <n v="19"/>
    <s v="20.65"/>
    <n v="57773"/>
    <s v="2.23"/>
    <n v="44275"/>
    <n v="1097687"/>
    <n v="256462"/>
    <s v="Feb"/>
    <n v="2"/>
    <n v="2026"/>
    <s v="Weekday"/>
    <n v="0.28358208955223879"/>
    <n v="0.45544554455445546"/>
    <n v="9.405940594059406E-2"/>
    <n v="13498"/>
    <s v="Hannover Cars"/>
  </r>
  <r>
    <s v="CUST_4384"/>
    <x v="14"/>
    <x v="2"/>
    <s v="Friday"/>
    <s v="No"/>
    <x v="6"/>
    <x v="6"/>
    <s v="Saxony"/>
    <x v="3"/>
    <s v="GLC"/>
    <s v="Hybrid"/>
    <x v="0"/>
    <s v="18-25"/>
    <s v="Low"/>
    <x v="0"/>
    <x v="2"/>
    <s v="Sales_8"/>
    <n v="233"/>
    <n v="103"/>
    <n v="70"/>
    <n v="28"/>
    <s v="27.18"/>
    <n v="54267"/>
    <s v="4.15"/>
    <n v="42236"/>
    <n v="1519476"/>
    <n v="336868"/>
    <s v="Feb"/>
    <n v="2"/>
    <n v="2026"/>
    <s v="Weekday"/>
    <n v="0.4"/>
    <n v="0.44206008583690987"/>
    <n v="0.12017167381974249"/>
    <n v="12031"/>
    <s v="Leipzig Mobility"/>
  </r>
  <r>
    <s v="CUST_4385"/>
    <x v="22"/>
    <x v="3"/>
    <s v="Tuesday"/>
    <s v="No"/>
    <x v="1"/>
    <x v="1"/>
    <s v="NRW"/>
    <x v="0"/>
    <s v="3 Series"/>
    <s v="Diesel"/>
    <x v="1"/>
    <s v="18-25"/>
    <s v="High"/>
    <x v="0"/>
    <x v="3"/>
    <s v="Sales_3"/>
    <n v="215"/>
    <n v="116"/>
    <n v="80"/>
    <n v="31"/>
    <s v="26.72"/>
    <n v="65504"/>
    <s v="3.64"/>
    <n v="46630"/>
    <n v="2030624"/>
    <n v="585094"/>
    <s v="Feb"/>
    <n v="2"/>
    <n v="2026"/>
    <s v="Weekday"/>
    <n v="0.38750000000000001"/>
    <n v="0.53953488372093028"/>
    <n v="0.14418604651162792"/>
    <n v="18874"/>
    <s v="Rhein Auto Group"/>
  </r>
  <r>
    <s v="CUST_4386"/>
    <x v="16"/>
    <x v="1"/>
    <s v="Tuesday"/>
    <s v="No"/>
    <x v="9"/>
    <x v="9"/>
    <s v="NRW"/>
    <x v="1"/>
    <s v="Grandland"/>
    <s v="Petrol"/>
    <x v="0"/>
    <s v="26-35"/>
    <s v="High"/>
    <x v="1"/>
    <x v="0"/>
    <s v="Sales_9"/>
    <n v="245"/>
    <n v="126"/>
    <n v="75"/>
    <n v="13"/>
    <s v="10.32"/>
    <n v="22768"/>
    <s v="13.62"/>
    <n v="20888"/>
    <n v="295984"/>
    <n v="24440"/>
    <s v="Feb"/>
    <n v="2"/>
    <n v="2026"/>
    <s v="Weekday"/>
    <n v="0.17333333333333334"/>
    <n v="0.51428571428571423"/>
    <n v="5.3061224489795916E-2"/>
    <n v="1880"/>
    <s v="Ruhr Auto Plaza"/>
  </r>
  <r>
    <s v="CUST_4387"/>
    <x v="9"/>
    <x v="0"/>
    <s v="Sunday"/>
    <s v="Yes"/>
    <x v="5"/>
    <x v="5"/>
    <s v="Hamburg"/>
    <x v="0"/>
    <s v="5 Series"/>
    <s v="Electric"/>
    <x v="1"/>
    <s v="50+"/>
    <s v="Medium"/>
    <x v="1"/>
    <x v="1"/>
    <s v="Sales_12"/>
    <n v="270"/>
    <n v="123"/>
    <n v="94"/>
    <n v="37"/>
    <s v="30.08"/>
    <n v="65678"/>
    <s v="3.43"/>
    <n v="50342"/>
    <n v="2430086"/>
    <n v="567432"/>
    <s v="Feb"/>
    <n v="2"/>
    <n v="2026"/>
    <s v="Weekend"/>
    <n v="0.39361702127659576"/>
    <n v="0.45555555555555555"/>
    <n v="0.13703703703703704"/>
    <n v="15336"/>
    <s v="Elbe Drive"/>
  </r>
  <r>
    <s v="CUST_4388"/>
    <x v="24"/>
    <x v="1"/>
    <s v="Thursday"/>
    <s v="No"/>
    <x v="2"/>
    <x v="2"/>
    <s v="Lower Saxony"/>
    <x v="3"/>
    <s v="E-Class"/>
    <s v="Electric"/>
    <x v="1"/>
    <s v="36-50"/>
    <s v="High"/>
    <x v="1"/>
    <x v="0"/>
    <s v="Sales_11"/>
    <n v="239"/>
    <n v="118"/>
    <n v="79"/>
    <n v="29"/>
    <s v="24.58"/>
    <n v="52713"/>
    <s v="5.27"/>
    <n v="39883"/>
    <n v="1528677"/>
    <n v="372070"/>
    <s v="Feb"/>
    <n v="2"/>
    <n v="2026"/>
    <s v="Weekday"/>
    <n v="0.36708860759493672"/>
    <n v="0.49372384937238495"/>
    <n v="0.12133891213389121"/>
    <n v="12830"/>
    <s v="Hannover Cars"/>
  </r>
  <r>
    <s v="CUST_4389"/>
    <x v="19"/>
    <x v="1"/>
    <s v="Saturday"/>
    <s v="Yes"/>
    <x v="1"/>
    <x v="1"/>
    <s v="NRW"/>
    <x v="3"/>
    <s v="E-Class"/>
    <s v="Diesel"/>
    <x v="1"/>
    <s v="50+"/>
    <s v="High"/>
    <x v="0"/>
    <x v="1"/>
    <s v="Sales_3"/>
    <n v="237"/>
    <n v="110"/>
    <n v="78"/>
    <n v="28"/>
    <s v="25.45"/>
    <n v="60968"/>
    <s v="4.81"/>
    <n v="46541"/>
    <n v="1707104"/>
    <n v="403956"/>
    <s v="Feb"/>
    <n v="2"/>
    <n v="2026"/>
    <s v="Weekend"/>
    <n v="0.35897435897435898"/>
    <n v="0.46413502109704641"/>
    <n v="0.11814345991561181"/>
    <n v="14427"/>
    <s v="Rhein Auto Group"/>
  </r>
  <r>
    <s v="CUST_4390"/>
    <x v="0"/>
    <x v="0"/>
    <s v="Monday"/>
    <s v="No"/>
    <x v="2"/>
    <x v="2"/>
    <s v="Lower Saxony"/>
    <x v="3"/>
    <s v="C-Class"/>
    <s v="Petrol"/>
    <x v="1"/>
    <s v="36-50"/>
    <s v="High"/>
    <x v="0"/>
    <x v="0"/>
    <s v="Sales_3"/>
    <n v="263"/>
    <n v="132"/>
    <n v="99"/>
    <n v="28"/>
    <s v="21.21"/>
    <n v="61606"/>
    <s v="4.78"/>
    <n v="45394"/>
    <n v="1724968"/>
    <n v="453936"/>
    <s v="Feb"/>
    <n v="2"/>
    <n v="2026"/>
    <s v="Weekday"/>
    <n v="0.28282828282828282"/>
    <n v="0.50190114068441061"/>
    <n v="0.10646387832699619"/>
    <n v="16212"/>
    <s v="Hannover Cars"/>
  </r>
  <r>
    <s v="CUST_4391"/>
    <x v="27"/>
    <x v="3"/>
    <s v="Sunday"/>
    <s v="Yes"/>
    <x v="1"/>
    <x v="1"/>
    <s v="NRW"/>
    <x v="2"/>
    <s v="Q5"/>
    <s v="Hybrid"/>
    <x v="0"/>
    <s v="36-50"/>
    <s v="Medium"/>
    <x v="0"/>
    <x v="3"/>
    <s v="Sales_4"/>
    <n v="176"/>
    <n v="104"/>
    <n v="77"/>
    <n v="25"/>
    <s v="24.04"/>
    <n v="49030"/>
    <s v="4.99"/>
    <n v="37530"/>
    <n v="1225750"/>
    <n v="287500"/>
    <s v="Feb"/>
    <n v="2"/>
    <n v="2026"/>
    <s v="Weekend"/>
    <n v="0.32467532467532467"/>
    <n v="0.59090909090909094"/>
    <n v="0.14204545454545456"/>
    <n v="11500"/>
    <s v="Rhein Auto Group"/>
  </r>
  <r>
    <s v="CUST_4392"/>
    <x v="9"/>
    <x v="0"/>
    <s v="Sunday"/>
    <s v="Yes"/>
    <x v="1"/>
    <x v="1"/>
    <s v="NRW"/>
    <x v="2"/>
    <s v="A3"/>
    <s v="Diesel"/>
    <x v="2"/>
    <s v="36-50"/>
    <s v="Low"/>
    <x v="0"/>
    <x v="1"/>
    <s v="Sales_4"/>
    <n v="231"/>
    <n v="145"/>
    <n v="97"/>
    <n v="34"/>
    <s v="23.45"/>
    <n v="53403"/>
    <s v="4.91"/>
    <n v="43659"/>
    <n v="1815702"/>
    <n v="331296"/>
    <s v="Feb"/>
    <n v="2"/>
    <n v="2026"/>
    <s v="Weekend"/>
    <n v="0.35051546391752575"/>
    <n v="0.62770562770562766"/>
    <n v="0.1471861471861472"/>
    <n v="9744"/>
    <s v="Rhein Auto Group"/>
  </r>
  <r>
    <s v="CUST_4393"/>
    <x v="0"/>
    <x v="0"/>
    <s v="Monday"/>
    <s v="No"/>
    <x v="5"/>
    <x v="5"/>
    <s v="Hamburg"/>
    <x v="2"/>
    <s v="e-tron"/>
    <s v="Electric"/>
    <x v="0"/>
    <s v="18-25"/>
    <s v="Medium"/>
    <x v="0"/>
    <x v="3"/>
    <s v="Sales_12"/>
    <n v="229"/>
    <n v="111"/>
    <n v="76"/>
    <n v="24"/>
    <s v="21.62"/>
    <n v="52087"/>
    <s v="5.1"/>
    <n v="42036"/>
    <n v="1250088"/>
    <n v="241224"/>
    <s v="Feb"/>
    <n v="2"/>
    <n v="2026"/>
    <s v="Weekday"/>
    <n v="0.31578947368421051"/>
    <n v="0.48471615720524019"/>
    <n v="0.10480349344978165"/>
    <n v="10051"/>
    <s v="Elbe Drive"/>
  </r>
  <r>
    <s v="CUST_4394"/>
    <x v="24"/>
    <x v="1"/>
    <s v="Thursday"/>
    <s v="No"/>
    <x v="2"/>
    <x v="2"/>
    <s v="Lower Saxony"/>
    <x v="1"/>
    <s v="Mokka"/>
    <s v="Petrol"/>
    <x v="0"/>
    <s v="18-25"/>
    <s v="Medium"/>
    <x v="0"/>
    <x v="1"/>
    <s v="Sales_19"/>
    <n v="271"/>
    <n v="132"/>
    <n v="85"/>
    <n v="21"/>
    <s v="15.91"/>
    <n v="21576"/>
    <s v="13.98"/>
    <n v="20000"/>
    <n v="453096"/>
    <n v="33096"/>
    <s v="Feb"/>
    <n v="2"/>
    <n v="2026"/>
    <s v="Weekday"/>
    <n v="0.24705882352941178"/>
    <n v="0.4870848708487085"/>
    <n v="7.7490774907749083E-2"/>
    <n v="1576"/>
    <s v="Hannover Cars"/>
  </r>
  <r>
    <s v="CUST_4395"/>
    <x v="1"/>
    <x v="1"/>
    <s v="Wednesday"/>
    <s v="No"/>
    <x v="0"/>
    <x v="0"/>
    <s v="Hesse"/>
    <x v="2"/>
    <s v="A4"/>
    <s v="Diesel"/>
    <x v="1"/>
    <s v="26-35"/>
    <s v="Medium"/>
    <x v="0"/>
    <x v="1"/>
    <s v="Sales_20"/>
    <n v="279"/>
    <n v="174"/>
    <n v="132"/>
    <n v="40"/>
    <s v="22.99"/>
    <n v="49994"/>
    <s v="3.53"/>
    <n v="38822"/>
    <n v="1999760"/>
    <n v="446880"/>
    <s v="Feb"/>
    <n v="2"/>
    <n v="2026"/>
    <s v="Weekday"/>
    <n v="0.30303030303030304"/>
    <n v="0.62365591397849462"/>
    <n v="0.14336917562724014"/>
    <n v="11172"/>
    <s v="Main Auto Hub"/>
  </r>
  <r>
    <s v="CUST_4396"/>
    <x v="16"/>
    <x v="1"/>
    <s v="Tuesday"/>
    <s v="No"/>
    <x v="4"/>
    <x v="4"/>
    <s v="Berlin"/>
    <x v="0"/>
    <s v="3 Series"/>
    <s v="Diesel"/>
    <x v="1"/>
    <s v="50+"/>
    <s v="Medium"/>
    <x v="0"/>
    <x v="0"/>
    <s v="Sales_1"/>
    <n v="154"/>
    <n v="77"/>
    <n v="57"/>
    <n v="21"/>
    <s v="27.27"/>
    <n v="64773"/>
    <s v="5.64"/>
    <n v="48925"/>
    <n v="1360233"/>
    <n v="332808"/>
    <s v="Feb"/>
    <n v="2"/>
    <n v="2026"/>
    <s v="Weekday"/>
    <n v="0.36842105263157893"/>
    <n v="0.5"/>
    <n v="0.13636363636363635"/>
    <n v="15848"/>
    <s v="Autohaus Berlin"/>
  </r>
  <r>
    <s v="CUST_4397"/>
    <x v="23"/>
    <x v="2"/>
    <s v="Tuesday"/>
    <s v="No"/>
    <x v="5"/>
    <x v="5"/>
    <s v="Hamburg"/>
    <x v="4"/>
    <s v="T-Roc"/>
    <s v="Hybrid"/>
    <x v="0"/>
    <s v="50+"/>
    <s v="Medium"/>
    <x v="1"/>
    <x v="0"/>
    <s v="Sales_8"/>
    <n v="289"/>
    <n v="139"/>
    <n v="83"/>
    <n v="24"/>
    <s v="17.27"/>
    <n v="32836"/>
    <s v="8.31"/>
    <n v="29669"/>
    <n v="788064"/>
    <n v="76008"/>
    <s v="Feb"/>
    <n v="2"/>
    <n v="2026"/>
    <s v="Weekday"/>
    <n v="0.28915662650602408"/>
    <n v="0.48096885813148788"/>
    <n v="8.3044982698961933E-2"/>
    <n v="3167"/>
    <s v="Elbe Drive"/>
  </r>
  <r>
    <s v="CUST_4398"/>
    <x v="0"/>
    <x v="0"/>
    <s v="Monday"/>
    <s v="No"/>
    <x v="9"/>
    <x v="9"/>
    <s v="NRW"/>
    <x v="0"/>
    <s v="i4"/>
    <s v="Petrol"/>
    <x v="1"/>
    <s v="26-35"/>
    <s v="High"/>
    <x v="0"/>
    <x v="2"/>
    <s v="Sales_19"/>
    <n v="247"/>
    <n v="122"/>
    <n v="91"/>
    <n v="35"/>
    <s v="28.69"/>
    <n v="55113"/>
    <s v="5.93"/>
    <n v="41732"/>
    <n v="1928955"/>
    <n v="468335"/>
    <s v="Feb"/>
    <n v="2"/>
    <n v="2026"/>
    <s v="Weekday"/>
    <n v="0.38461538461538464"/>
    <n v="0.49392712550607287"/>
    <n v="0.1417004048582996"/>
    <n v="13381"/>
    <s v="Ruhr Auto Plaza"/>
  </r>
  <r>
    <s v="CUST_4399"/>
    <x v="13"/>
    <x v="0"/>
    <s v="Friday"/>
    <s v="No"/>
    <x v="3"/>
    <x v="3"/>
    <s v="Saxony"/>
    <x v="3"/>
    <s v="GLE"/>
    <s v="Electric"/>
    <x v="0"/>
    <s v="36-50"/>
    <s v="Low"/>
    <x v="0"/>
    <x v="1"/>
    <s v="Sales_3"/>
    <n v="271"/>
    <n v="128"/>
    <n v="94"/>
    <n v="31"/>
    <s v="24.22"/>
    <n v="62696"/>
    <s v="2.18"/>
    <n v="45762"/>
    <n v="1943576"/>
    <n v="524954"/>
    <s v="Feb"/>
    <n v="2"/>
    <n v="2026"/>
    <s v="Weekday"/>
    <n v="0.32978723404255317"/>
    <n v="0.47232472324723246"/>
    <n v="0.11439114391143912"/>
    <n v="16934"/>
    <s v="Saxon Wheels"/>
  </r>
  <r>
    <s v="CUST_4400"/>
    <x v="3"/>
    <x v="1"/>
    <s v="Sunday"/>
    <s v="Yes"/>
    <x v="6"/>
    <x v="6"/>
    <s v="Saxony"/>
    <x v="2"/>
    <s v="e-tron"/>
    <s v="Diesel"/>
    <x v="0"/>
    <s v="36-50"/>
    <s v="Medium"/>
    <x v="0"/>
    <x v="3"/>
    <s v="Sales_18"/>
    <n v="163"/>
    <n v="75"/>
    <n v="55"/>
    <n v="14"/>
    <s v="18.67"/>
    <n v="44351"/>
    <s v="3.87"/>
    <n v="33629"/>
    <n v="620914"/>
    <n v="150108"/>
    <s v="Feb"/>
    <n v="2"/>
    <n v="2026"/>
    <s v="Weekend"/>
    <n v="0.25454545454545452"/>
    <n v="0.46012269938650308"/>
    <n v="8.5889570552147243E-2"/>
    <n v="10722"/>
    <s v="Leipzig Mobility"/>
  </r>
  <r>
    <s v="CUST_4401"/>
    <x v="8"/>
    <x v="3"/>
    <s v="Wednesday"/>
    <s v="No"/>
    <x v="4"/>
    <x v="4"/>
    <s v="Berlin"/>
    <x v="0"/>
    <s v="i4"/>
    <s v="Hybrid"/>
    <x v="1"/>
    <s v="26-35"/>
    <s v="Low"/>
    <x v="1"/>
    <x v="1"/>
    <s v="Sales_12"/>
    <n v="180"/>
    <n v="107"/>
    <n v="82"/>
    <n v="31"/>
    <s v="28.97"/>
    <n v="54340"/>
    <s v="2.12"/>
    <n v="42298"/>
    <n v="1684540"/>
    <n v="373302"/>
    <s v="Feb"/>
    <n v="2"/>
    <n v="2026"/>
    <s v="Weekday"/>
    <n v="0.37804878048780488"/>
    <n v="0.59444444444444444"/>
    <n v="0.17222222222222222"/>
    <n v="12042"/>
    <s v="Autohaus Berlin"/>
  </r>
  <r>
    <s v="CUST_4402"/>
    <x v="10"/>
    <x v="1"/>
    <s v="Monday"/>
    <s v="No"/>
    <x v="7"/>
    <x v="7"/>
    <s v="Bavaria"/>
    <x v="0"/>
    <s v="5 Series"/>
    <s v="Hybrid"/>
    <x v="1"/>
    <s v="26-35"/>
    <s v="High"/>
    <x v="0"/>
    <x v="2"/>
    <s v="Sales_6"/>
    <n v="264"/>
    <n v="132"/>
    <n v="106"/>
    <n v="44"/>
    <s v="33.33"/>
    <n v="67333"/>
    <s v="4.22"/>
    <n v="52342"/>
    <n v="2962652"/>
    <n v="659604"/>
    <s v="Feb"/>
    <n v="2"/>
    <n v="2026"/>
    <s v="Weekday"/>
    <n v="0.41509433962264153"/>
    <n v="0.5"/>
    <n v="0.16666666666666666"/>
    <n v="14991"/>
    <s v="Bavaria Motors"/>
  </r>
  <r>
    <s v="CUST_4403"/>
    <x v="1"/>
    <x v="1"/>
    <s v="Wednesday"/>
    <s v="No"/>
    <x v="6"/>
    <x v="6"/>
    <s v="Saxony"/>
    <x v="4"/>
    <s v="T-Roc"/>
    <s v="Hybrid"/>
    <x v="0"/>
    <s v="36-50"/>
    <s v="High"/>
    <x v="1"/>
    <x v="3"/>
    <s v="Sales_12"/>
    <n v="322"/>
    <n v="184"/>
    <n v="108"/>
    <n v="21"/>
    <s v="11.41"/>
    <n v="31734"/>
    <s v="9.07"/>
    <n v="28354"/>
    <n v="666414"/>
    <n v="70980"/>
    <s v="Feb"/>
    <n v="2"/>
    <n v="2026"/>
    <s v="Weekday"/>
    <n v="0.19444444444444445"/>
    <n v="0.5714285714285714"/>
    <n v="6.5217391304347824E-2"/>
    <n v="3380"/>
    <s v="Leipzig Mobility"/>
  </r>
  <r>
    <s v="CUST_4404"/>
    <x v="14"/>
    <x v="2"/>
    <s v="Friday"/>
    <s v="No"/>
    <x v="8"/>
    <x v="8"/>
    <s v="Baden-WÃ¼rttemberg"/>
    <x v="3"/>
    <s v="GLE"/>
    <s v="Hybrid"/>
    <x v="0"/>
    <s v="50+"/>
    <s v="Low"/>
    <x v="1"/>
    <x v="3"/>
    <s v="Sales_15"/>
    <n v="274"/>
    <n v="145"/>
    <n v="112"/>
    <n v="38"/>
    <s v="26.21"/>
    <n v="59477"/>
    <s v="3.98"/>
    <n v="45856"/>
    <n v="2260126"/>
    <n v="517598"/>
    <s v="Feb"/>
    <n v="2"/>
    <n v="2026"/>
    <s v="Weekday"/>
    <n v="0.3392857142857143"/>
    <n v="0.52919708029197077"/>
    <n v="0.13868613138686131"/>
    <n v="13621"/>
    <s v="Stuttgart Auto Center"/>
  </r>
  <r>
    <s v="CUST_4405"/>
    <x v="21"/>
    <x v="0"/>
    <s v="Tuesday"/>
    <s v="No"/>
    <x v="0"/>
    <x v="0"/>
    <s v="Hesse"/>
    <x v="4"/>
    <s v="Golf"/>
    <s v="Diesel"/>
    <x v="2"/>
    <s v="18-25"/>
    <s v="Medium"/>
    <x v="1"/>
    <x v="1"/>
    <s v="Sales_19"/>
    <n v="305"/>
    <n v="174"/>
    <n v="101"/>
    <n v="23"/>
    <s v="13.22"/>
    <n v="28204"/>
    <s v="8.31"/>
    <n v="25100"/>
    <n v="648692"/>
    <n v="71392"/>
    <s v="Feb"/>
    <n v="2"/>
    <n v="2026"/>
    <s v="Weekday"/>
    <n v="0.22772277227722773"/>
    <n v="0.57049180327868854"/>
    <n v="7.5409836065573776E-2"/>
    <n v="3104"/>
    <s v="Main Auto Hub"/>
  </r>
  <r>
    <s v="CUST_4406"/>
    <x v="4"/>
    <x v="2"/>
    <s v="Wednesday"/>
    <s v="No"/>
    <x v="9"/>
    <x v="9"/>
    <s v="NRW"/>
    <x v="2"/>
    <s v="e-tron"/>
    <s v="Electric"/>
    <x v="0"/>
    <s v="50+"/>
    <s v="Medium"/>
    <x v="1"/>
    <x v="1"/>
    <s v="Sales_11"/>
    <n v="175"/>
    <n v="109"/>
    <n v="79"/>
    <n v="25"/>
    <s v="22.94"/>
    <n v="53595"/>
    <s v="6.34"/>
    <n v="40247"/>
    <n v="1339875"/>
    <n v="333700"/>
    <s v="Feb"/>
    <n v="2"/>
    <n v="2026"/>
    <s v="Weekday"/>
    <n v="0.31645569620253167"/>
    <n v="0.62285714285714289"/>
    <n v="0.14285714285714285"/>
    <n v="13348"/>
    <s v="Ruhr Auto Plaza"/>
  </r>
  <r>
    <s v="CUST_4407"/>
    <x v="6"/>
    <x v="2"/>
    <s v="Saturday"/>
    <s v="Yes"/>
    <x v="1"/>
    <x v="1"/>
    <s v="NRW"/>
    <x v="2"/>
    <s v="e-tron"/>
    <s v="Hybrid"/>
    <x v="0"/>
    <s v="36-50"/>
    <s v="High"/>
    <x v="0"/>
    <x v="1"/>
    <s v="Sales_2"/>
    <n v="252"/>
    <n v="148"/>
    <n v="107"/>
    <n v="38"/>
    <s v="25.68"/>
    <n v="51469"/>
    <s v="6.43"/>
    <n v="41693"/>
    <n v="1955822"/>
    <n v="371488"/>
    <s v="Feb"/>
    <n v="2"/>
    <n v="2026"/>
    <s v="Weekend"/>
    <n v="0.35514018691588783"/>
    <n v="0.58730158730158732"/>
    <n v="0.15079365079365079"/>
    <n v="9776"/>
    <s v="Rhein Auto Group"/>
  </r>
  <r>
    <s v="CUST_4408"/>
    <x v="1"/>
    <x v="1"/>
    <s v="Wednesday"/>
    <s v="No"/>
    <x v="1"/>
    <x v="1"/>
    <s v="NRW"/>
    <x v="3"/>
    <s v="EQE"/>
    <s v="Diesel"/>
    <x v="1"/>
    <s v="50+"/>
    <s v="Low"/>
    <x v="1"/>
    <x v="0"/>
    <s v="Sales_14"/>
    <n v="156"/>
    <n v="81"/>
    <n v="58"/>
    <n v="21"/>
    <s v="25.93"/>
    <n v="58031"/>
    <s v="5.03"/>
    <n v="44828"/>
    <n v="1218651"/>
    <n v="277263"/>
    <s v="Feb"/>
    <n v="2"/>
    <n v="2026"/>
    <s v="Weekday"/>
    <n v="0.36206896551724138"/>
    <n v="0.51923076923076927"/>
    <n v="0.13461538461538461"/>
    <n v="13203"/>
    <s v="Rhein Auto Group"/>
  </r>
  <r>
    <s v="CUST_4409"/>
    <x v="12"/>
    <x v="3"/>
    <s v="Thursday"/>
    <s v="No"/>
    <x v="9"/>
    <x v="9"/>
    <s v="NRW"/>
    <x v="4"/>
    <s v="T-Roc"/>
    <s v="Diesel"/>
    <x v="0"/>
    <s v="18-25"/>
    <s v="Low"/>
    <x v="1"/>
    <x v="1"/>
    <s v="Sales_15"/>
    <n v="511"/>
    <n v="241"/>
    <n v="152"/>
    <n v="33"/>
    <s v="13.69"/>
    <n v="28190"/>
    <s v="6.95"/>
    <n v="24317"/>
    <n v="930270"/>
    <n v="127809"/>
    <s v="Feb"/>
    <n v="2"/>
    <n v="2026"/>
    <s v="Weekday"/>
    <n v="0.21710526315789475"/>
    <n v="0.47162426614481406"/>
    <n v="6.4579256360078274E-2"/>
    <n v="3873"/>
    <s v="Ruhr Auto Plaza"/>
  </r>
  <r>
    <s v="CUST_4410"/>
    <x v="11"/>
    <x v="0"/>
    <s v="Wednesday"/>
    <s v="No"/>
    <x v="6"/>
    <x v="6"/>
    <s v="Saxony"/>
    <x v="0"/>
    <s v="i4"/>
    <s v="Hybrid"/>
    <x v="1"/>
    <s v="36-50"/>
    <s v="High"/>
    <x v="0"/>
    <x v="1"/>
    <s v="Sales_7"/>
    <n v="264"/>
    <n v="133"/>
    <n v="99"/>
    <n v="37"/>
    <s v="27.82"/>
    <n v="55523"/>
    <s v="2.04"/>
    <n v="41813"/>
    <n v="2054351"/>
    <n v="507270"/>
    <s v="Feb"/>
    <n v="2"/>
    <n v="2026"/>
    <s v="Weekday"/>
    <n v="0.37373737373737376"/>
    <n v="0.50378787878787878"/>
    <n v="0.14015151515151514"/>
    <n v="13710"/>
    <s v="Leipzig Mobility"/>
  </r>
  <r>
    <s v="CUST_4411"/>
    <x v="5"/>
    <x v="3"/>
    <s v="Saturday"/>
    <s v="Yes"/>
    <x v="5"/>
    <x v="5"/>
    <s v="Hamburg"/>
    <x v="1"/>
    <s v="Corsa"/>
    <s v="Electric"/>
    <x v="2"/>
    <s v="18-25"/>
    <s v="High"/>
    <x v="0"/>
    <x v="3"/>
    <s v="Sales_2"/>
    <n v="333"/>
    <n v="161"/>
    <n v="112"/>
    <n v="28"/>
    <s v="17.39"/>
    <n v="26668"/>
    <s v="10.48"/>
    <n v="24727"/>
    <n v="746704"/>
    <n v="54348"/>
    <s v="Feb"/>
    <n v="2"/>
    <n v="2026"/>
    <s v="Weekend"/>
    <n v="0.25"/>
    <n v="0.48348348348348347"/>
    <n v="8.408408408408409E-2"/>
    <n v="1941"/>
    <s v="Elbe Drive"/>
  </r>
  <r>
    <s v="CUST_4412"/>
    <x v="13"/>
    <x v="0"/>
    <s v="Friday"/>
    <s v="No"/>
    <x v="9"/>
    <x v="9"/>
    <s v="NRW"/>
    <x v="1"/>
    <s v="Crossland"/>
    <s v="Electric"/>
    <x v="0"/>
    <s v="50+"/>
    <s v="Medium"/>
    <x v="0"/>
    <x v="1"/>
    <s v="Sales_3"/>
    <n v="223"/>
    <n v="87"/>
    <n v="57"/>
    <n v="14"/>
    <s v="16.09"/>
    <n v="22427"/>
    <s v="12.29"/>
    <n v="20106"/>
    <n v="313978"/>
    <n v="32494"/>
    <s v="Feb"/>
    <n v="2"/>
    <n v="2026"/>
    <s v="Weekday"/>
    <n v="0.24561403508771928"/>
    <n v="0.39013452914798208"/>
    <n v="6.2780269058295965E-2"/>
    <n v="2321"/>
    <s v="Ruhr Auto Plaza"/>
  </r>
  <r>
    <s v="CUST_4413"/>
    <x v="17"/>
    <x v="2"/>
    <s v="Sunday"/>
    <s v="Yes"/>
    <x v="1"/>
    <x v="1"/>
    <s v="NRW"/>
    <x v="4"/>
    <s v="Golf"/>
    <s v="Diesel"/>
    <x v="2"/>
    <s v="26-35"/>
    <s v="Low"/>
    <x v="1"/>
    <x v="1"/>
    <s v="Sales_17"/>
    <n v="339"/>
    <n v="171"/>
    <n v="107"/>
    <n v="26"/>
    <s v="15.2"/>
    <n v="27675"/>
    <s v="9.58"/>
    <n v="24063"/>
    <n v="719550"/>
    <n v="93912"/>
    <s v="Feb"/>
    <n v="2"/>
    <n v="2026"/>
    <s v="Weekend"/>
    <n v="0.24299065420560748"/>
    <n v="0.50442477876106195"/>
    <n v="7.6696165191740412E-2"/>
    <n v="3612"/>
    <s v="Rhein Auto Group"/>
  </r>
  <r>
    <s v="CUST_4414"/>
    <x v="26"/>
    <x v="1"/>
    <s v="Friday"/>
    <s v="No"/>
    <x v="2"/>
    <x v="2"/>
    <s v="Lower Saxony"/>
    <x v="0"/>
    <s v="X3"/>
    <s v="Diesel"/>
    <x v="0"/>
    <s v="50+"/>
    <s v="Medium"/>
    <x v="0"/>
    <x v="3"/>
    <s v="Sales_13"/>
    <n v="280"/>
    <n v="137"/>
    <n v="103"/>
    <n v="37"/>
    <s v="27.01"/>
    <n v="67655"/>
    <s v="3.86"/>
    <n v="51793"/>
    <n v="2503235"/>
    <n v="586894"/>
    <s v="Feb"/>
    <n v="2"/>
    <n v="2026"/>
    <s v="Weekday"/>
    <n v="0.35922330097087379"/>
    <n v="0.48928571428571427"/>
    <n v="0.13214285714285715"/>
    <n v="15862"/>
    <s v="Hannover Cars"/>
  </r>
  <r>
    <s v="CUST_4415"/>
    <x v="22"/>
    <x v="3"/>
    <s v="Tuesday"/>
    <s v="No"/>
    <x v="9"/>
    <x v="9"/>
    <s v="NRW"/>
    <x v="4"/>
    <s v="Golf"/>
    <s v="Hybrid"/>
    <x v="2"/>
    <s v="50+"/>
    <s v="Low"/>
    <x v="1"/>
    <x v="0"/>
    <s v="Sales_3"/>
    <n v="300"/>
    <n v="151"/>
    <n v="104"/>
    <n v="18"/>
    <s v="11.92"/>
    <n v="27814"/>
    <s v="10.54"/>
    <n v="24338"/>
    <n v="500652"/>
    <n v="62568"/>
    <s v="Feb"/>
    <n v="2"/>
    <n v="2026"/>
    <s v="Weekday"/>
    <n v="0.17307692307692307"/>
    <n v="0.5033333333333333"/>
    <n v="0.06"/>
    <n v="3476"/>
    <s v="Ruhr Auto Plaza"/>
  </r>
  <r>
    <s v="CUST_4416"/>
    <x v="1"/>
    <x v="1"/>
    <s v="Wednesday"/>
    <s v="No"/>
    <x v="1"/>
    <x v="1"/>
    <s v="NRW"/>
    <x v="4"/>
    <s v="ID.4"/>
    <s v="Diesel"/>
    <x v="0"/>
    <s v="26-35"/>
    <s v="Medium"/>
    <x v="0"/>
    <x v="1"/>
    <s v="Sales_13"/>
    <n v="402"/>
    <n v="231"/>
    <n v="141"/>
    <n v="37"/>
    <s v="16.02"/>
    <n v="26897"/>
    <s v="7.44"/>
    <n v="24263"/>
    <n v="995189"/>
    <n v="97458"/>
    <s v="Feb"/>
    <n v="2"/>
    <n v="2026"/>
    <s v="Weekday"/>
    <n v="0.26241134751773049"/>
    <n v="0.57462686567164178"/>
    <n v="9.2039800995024873E-2"/>
    <n v="2634"/>
    <s v="Rhein Auto Group"/>
  </r>
  <r>
    <s v="CUST_4417"/>
    <x v="16"/>
    <x v="1"/>
    <s v="Tuesday"/>
    <s v="No"/>
    <x v="2"/>
    <x v="2"/>
    <s v="Lower Saxony"/>
    <x v="2"/>
    <s v="e-tron"/>
    <s v="Electric"/>
    <x v="0"/>
    <s v="26-35"/>
    <s v="Medium"/>
    <x v="1"/>
    <x v="2"/>
    <s v="Sales_9"/>
    <n v="231"/>
    <n v="113"/>
    <n v="87"/>
    <n v="26"/>
    <s v="23.01"/>
    <n v="54850"/>
    <s v="3.18"/>
    <n v="41656"/>
    <n v="1426100"/>
    <n v="343044"/>
    <s v="Feb"/>
    <n v="2"/>
    <n v="2026"/>
    <s v="Weekday"/>
    <n v="0.2988505747126437"/>
    <n v="0.48917748917748916"/>
    <n v="0.11255411255411256"/>
    <n v="13194"/>
    <s v="Hannover Cars"/>
  </r>
  <r>
    <s v="CUST_4418"/>
    <x v="0"/>
    <x v="0"/>
    <s v="Monday"/>
    <s v="No"/>
    <x v="9"/>
    <x v="9"/>
    <s v="NRW"/>
    <x v="0"/>
    <s v="3 Series"/>
    <s v="Hybrid"/>
    <x v="1"/>
    <s v="18-25"/>
    <s v="High"/>
    <x v="0"/>
    <x v="2"/>
    <s v="Sales_14"/>
    <n v="212"/>
    <n v="105"/>
    <n v="74"/>
    <n v="32"/>
    <s v="30.48"/>
    <n v="68715"/>
    <s v="3.78"/>
    <n v="51541"/>
    <n v="2198880"/>
    <n v="549568"/>
    <s v="Feb"/>
    <n v="2"/>
    <n v="2026"/>
    <s v="Weekday"/>
    <n v="0.43243243243243246"/>
    <n v="0.49528301886792453"/>
    <n v="0.15094339622641509"/>
    <n v="17174"/>
    <s v="Ruhr Auto Plaza"/>
  </r>
  <r>
    <s v="CUST_4419"/>
    <x v="9"/>
    <x v="0"/>
    <s v="Sunday"/>
    <s v="Yes"/>
    <x v="6"/>
    <x v="6"/>
    <s v="Saxony"/>
    <x v="3"/>
    <s v="E-Class"/>
    <s v="Hybrid"/>
    <x v="1"/>
    <s v="36-50"/>
    <s v="Low"/>
    <x v="1"/>
    <x v="3"/>
    <s v="Sales_17"/>
    <n v="220"/>
    <n v="108"/>
    <n v="82"/>
    <n v="22"/>
    <s v="20.37"/>
    <n v="66993"/>
    <s v="2.63"/>
    <n v="50119"/>
    <n v="1473846"/>
    <n v="371228"/>
    <s v="Feb"/>
    <n v="2"/>
    <n v="2026"/>
    <s v="Weekend"/>
    <n v="0.26829268292682928"/>
    <n v="0.49090909090909091"/>
    <n v="0.1"/>
    <n v="16874"/>
    <s v="Leipzig Mobility"/>
  </r>
  <r>
    <s v="CUST_4420"/>
    <x v="5"/>
    <x v="3"/>
    <s v="Saturday"/>
    <s v="Yes"/>
    <x v="1"/>
    <x v="1"/>
    <s v="NRW"/>
    <x v="1"/>
    <s v="Corsa"/>
    <s v="Electric"/>
    <x v="2"/>
    <s v="18-25"/>
    <s v="Low"/>
    <x v="1"/>
    <x v="3"/>
    <s v="Sales_6"/>
    <n v="257"/>
    <n v="133"/>
    <n v="85"/>
    <n v="18"/>
    <s v="13.53"/>
    <n v="22522"/>
    <s v="13.3"/>
    <n v="20449"/>
    <n v="405396"/>
    <n v="37314"/>
    <s v="Feb"/>
    <n v="2"/>
    <n v="2026"/>
    <s v="Weekend"/>
    <n v="0.21176470588235294"/>
    <n v="0.51750972762645919"/>
    <n v="7.0038910505836577E-2"/>
    <n v="2073"/>
    <s v="Rhein Auto Group"/>
  </r>
  <r>
    <s v="CUST_4421"/>
    <x v="3"/>
    <x v="1"/>
    <s v="Sunday"/>
    <s v="Yes"/>
    <x v="1"/>
    <x v="1"/>
    <s v="NRW"/>
    <x v="3"/>
    <s v="C-Class"/>
    <s v="Diesel"/>
    <x v="1"/>
    <s v="18-25"/>
    <s v="Medium"/>
    <x v="1"/>
    <x v="1"/>
    <s v="Sales_17"/>
    <n v="178"/>
    <n v="86"/>
    <n v="58"/>
    <n v="21"/>
    <s v="24.42"/>
    <n v="69350"/>
    <s v="2.34"/>
    <n v="49247"/>
    <n v="1456350"/>
    <n v="422163"/>
    <s v="Feb"/>
    <n v="2"/>
    <n v="2026"/>
    <s v="Weekend"/>
    <n v="0.36206896551724138"/>
    <n v="0.48314606741573035"/>
    <n v="0.11797752808988764"/>
    <n v="20103"/>
    <s v="Rhein Auto Group"/>
  </r>
  <r>
    <s v="CUST_4422"/>
    <x v="3"/>
    <x v="1"/>
    <s v="Sunday"/>
    <s v="Yes"/>
    <x v="3"/>
    <x v="3"/>
    <s v="Saxony"/>
    <x v="0"/>
    <s v="i4"/>
    <s v="Electric"/>
    <x v="1"/>
    <s v="50+"/>
    <s v="Low"/>
    <x v="0"/>
    <x v="1"/>
    <s v="Sales_3"/>
    <n v="211"/>
    <n v="116"/>
    <n v="79"/>
    <n v="34"/>
    <s v="29.31"/>
    <n v="51010"/>
    <s v="4.88"/>
    <n v="38982"/>
    <n v="1734340"/>
    <n v="408952"/>
    <s v="Feb"/>
    <n v="2"/>
    <n v="2026"/>
    <s v="Weekend"/>
    <n v="0.43037974683544306"/>
    <n v="0.54976303317535546"/>
    <n v="0.16113744075829384"/>
    <n v="12028"/>
    <s v="Saxon Wheels"/>
  </r>
  <r>
    <s v="CUST_4423"/>
    <x v="2"/>
    <x v="2"/>
    <s v="Monday"/>
    <s v="No"/>
    <x v="0"/>
    <x v="0"/>
    <s v="Hesse"/>
    <x v="4"/>
    <s v="T-Roc"/>
    <s v="Petrol"/>
    <x v="0"/>
    <s v="50+"/>
    <s v="High"/>
    <x v="1"/>
    <x v="0"/>
    <s v="Sales_20"/>
    <n v="344"/>
    <n v="147"/>
    <n v="95"/>
    <n v="23"/>
    <s v="15.65"/>
    <n v="31022"/>
    <s v="10.85"/>
    <n v="27575"/>
    <n v="713506"/>
    <n v="79281"/>
    <s v="Feb"/>
    <n v="2"/>
    <n v="2026"/>
    <s v="Weekday"/>
    <n v="0.24210526315789474"/>
    <n v="0.42732558139534882"/>
    <n v="6.6860465116279064E-2"/>
    <n v="3447"/>
    <s v="Main Auto Hub"/>
  </r>
  <r>
    <s v="CUST_4424"/>
    <x v="18"/>
    <x v="0"/>
    <s v="Saturday"/>
    <s v="Yes"/>
    <x v="8"/>
    <x v="8"/>
    <s v="Baden-WÃ¼rttemberg"/>
    <x v="4"/>
    <s v="T-Roc"/>
    <s v="Hybrid"/>
    <x v="0"/>
    <s v="26-35"/>
    <s v="Medium"/>
    <x v="0"/>
    <x v="0"/>
    <s v="Sales_12"/>
    <n v="271"/>
    <n v="118"/>
    <n v="77"/>
    <n v="16"/>
    <s v="13.56"/>
    <n v="31541"/>
    <s v="9.68"/>
    <n v="27968"/>
    <n v="504656"/>
    <n v="57168"/>
    <s v="Feb"/>
    <n v="2"/>
    <n v="2026"/>
    <s v="Weekend"/>
    <n v="0.20779220779220781"/>
    <n v="0.43542435424354242"/>
    <n v="5.9040590405904057E-2"/>
    <n v="3573"/>
    <s v="Stuttgart Auto Center"/>
  </r>
  <r>
    <s v="CUST_4425"/>
    <x v="25"/>
    <x v="3"/>
    <s v="Friday"/>
    <s v="No"/>
    <x v="4"/>
    <x v="4"/>
    <s v="Berlin"/>
    <x v="0"/>
    <s v="5 Series"/>
    <s v="Hybrid"/>
    <x v="1"/>
    <s v="36-50"/>
    <s v="Low"/>
    <x v="1"/>
    <x v="1"/>
    <s v="Sales_1"/>
    <n v="217"/>
    <n v="110"/>
    <n v="86"/>
    <n v="34"/>
    <s v="30.91"/>
    <n v="63193"/>
    <s v="3.57"/>
    <n v="47138"/>
    <n v="2148562"/>
    <n v="545870"/>
    <s v="Feb"/>
    <n v="2"/>
    <n v="2026"/>
    <s v="Weekday"/>
    <n v="0.39534883720930231"/>
    <n v="0.50691244239631339"/>
    <n v="0.15668202764976957"/>
    <n v="16055"/>
    <s v="Autohaus Berlin"/>
  </r>
  <r>
    <s v="CUST_4426"/>
    <x v="3"/>
    <x v="1"/>
    <s v="Sunday"/>
    <s v="Yes"/>
    <x v="0"/>
    <x v="0"/>
    <s v="Hesse"/>
    <x v="2"/>
    <s v="A3"/>
    <s v="Hybrid"/>
    <x v="2"/>
    <s v="18-25"/>
    <s v="Medium"/>
    <x v="1"/>
    <x v="2"/>
    <s v="Sales_7"/>
    <n v="247"/>
    <n v="143"/>
    <n v="105"/>
    <n v="36"/>
    <s v="25.17"/>
    <n v="42265"/>
    <s v="5.87"/>
    <n v="33891"/>
    <n v="1521540"/>
    <n v="301464"/>
    <s v="Feb"/>
    <n v="2"/>
    <n v="2026"/>
    <s v="Weekend"/>
    <n v="0.34285714285714286"/>
    <n v="0.57894736842105265"/>
    <n v="0.145748987854251"/>
    <n v="8374"/>
    <s v="Main Auto Hub"/>
  </r>
  <r>
    <s v="CUST_4427"/>
    <x v="9"/>
    <x v="0"/>
    <s v="Sunday"/>
    <s v="Yes"/>
    <x v="5"/>
    <x v="5"/>
    <s v="Hamburg"/>
    <x v="2"/>
    <s v="A4"/>
    <s v="Diesel"/>
    <x v="1"/>
    <s v="36-50"/>
    <s v="Medium"/>
    <x v="1"/>
    <x v="2"/>
    <s v="Sales_16"/>
    <n v="197"/>
    <n v="104"/>
    <n v="76"/>
    <n v="24"/>
    <s v="23.08"/>
    <n v="54740"/>
    <s v="3.0"/>
    <n v="41110"/>
    <n v="1313760"/>
    <n v="327120"/>
    <s v="Feb"/>
    <n v="2"/>
    <n v="2026"/>
    <s v="Weekend"/>
    <n v="0.31578947368421051"/>
    <n v="0.52791878172588835"/>
    <n v="0.12182741116751269"/>
    <n v="13630"/>
    <s v="Elbe Drive"/>
  </r>
  <r>
    <s v="CUST_4428"/>
    <x v="23"/>
    <x v="2"/>
    <s v="Tuesday"/>
    <s v="No"/>
    <x v="0"/>
    <x v="0"/>
    <s v="Hesse"/>
    <x v="0"/>
    <s v="5 Series"/>
    <s v="Electric"/>
    <x v="1"/>
    <s v="50+"/>
    <s v="Low"/>
    <x v="1"/>
    <x v="0"/>
    <s v="Sales_2"/>
    <n v="184"/>
    <n v="95"/>
    <n v="77"/>
    <n v="25"/>
    <s v="26.32"/>
    <n v="50135"/>
    <s v="4.43"/>
    <n v="38471"/>
    <n v="1253375"/>
    <n v="291600"/>
    <s v="Feb"/>
    <n v="2"/>
    <n v="2026"/>
    <s v="Weekday"/>
    <n v="0.32467532467532467"/>
    <n v="0.51630434782608692"/>
    <n v="0.1358695652173913"/>
    <n v="11664"/>
    <s v="Main Auto Hub"/>
  </r>
  <r>
    <s v="CUST_4429"/>
    <x v="8"/>
    <x v="3"/>
    <s v="Wednesday"/>
    <s v="No"/>
    <x v="0"/>
    <x v="0"/>
    <s v="Hesse"/>
    <x v="1"/>
    <s v="Astra"/>
    <s v="Petrol"/>
    <x v="2"/>
    <s v="18-25"/>
    <s v="Medium"/>
    <x v="0"/>
    <x v="2"/>
    <s v="Sales_5"/>
    <n v="236"/>
    <n v="129"/>
    <n v="77"/>
    <n v="26"/>
    <s v="20.16"/>
    <n v="26573"/>
    <s v="8.87"/>
    <n v="24595"/>
    <n v="690898"/>
    <n v="51428"/>
    <s v="Feb"/>
    <n v="2"/>
    <n v="2026"/>
    <s v="Weekday"/>
    <n v="0.33766233766233766"/>
    <n v="0.54661016949152541"/>
    <n v="0.11016949152542373"/>
    <n v="1978"/>
    <s v="Main Auto Hub"/>
  </r>
  <r>
    <s v="CUST_4430"/>
    <x v="27"/>
    <x v="3"/>
    <s v="Sunday"/>
    <s v="Yes"/>
    <x v="6"/>
    <x v="6"/>
    <s v="Saxony"/>
    <x v="2"/>
    <s v="A3"/>
    <s v="Diesel"/>
    <x v="2"/>
    <s v="50+"/>
    <s v="Low"/>
    <x v="0"/>
    <x v="2"/>
    <s v="Sales_3"/>
    <n v="226"/>
    <n v="138"/>
    <n v="94"/>
    <n v="35"/>
    <s v="25.36"/>
    <n v="44959"/>
    <s v="6.07"/>
    <n v="33945"/>
    <n v="1573565"/>
    <n v="385490"/>
    <s v="Feb"/>
    <n v="2"/>
    <n v="2026"/>
    <s v="Weekend"/>
    <n v="0.37234042553191488"/>
    <n v="0.61061946902654862"/>
    <n v="0.15486725663716813"/>
    <n v="11014"/>
    <s v="Leipzig Mobility"/>
  </r>
  <r>
    <s v="CUST_4431"/>
    <x v="6"/>
    <x v="2"/>
    <s v="Saturday"/>
    <s v="Yes"/>
    <x v="4"/>
    <x v="4"/>
    <s v="Berlin"/>
    <x v="4"/>
    <s v="Golf"/>
    <s v="Petrol"/>
    <x v="2"/>
    <s v="36-50"/>
    <s v="Medium"/>
    <x v="0"/>
    <x v="0"/>
    <s v="Sales_4"/>
    <n v="343"/>
    <n v="185"/>
    <n v="115"/>
    <n v="28"/>
    <s v="15.14"/>
    <n v="32777"/>
    <s v="9.92"/>
    <n v="29285"/>
    <n v="917756"/>
    <n v="97776"/>
    <s v="Feb"/>
    <n v="2"/>
    <n v="2026"/>
    <s v="Weekend"/>
    <n v="0.24347826086956523"/>
    <n v="0.53935860058309038"/>
    <n v="8.1632653061224483E-2"/>
    <n v="3492"/>
    <s v="Autohaus Berlin"/>
  </r>
  <r>
    <s v="CUST_4432"/>
    <x v="22"/>
    <x v="3"/>
    <s v="Tuesday"/>
    <s v="No"/>
    <x v="7"/>
    <x v="7"/>
    <s v="Bavaria"/>
    <x v="0"/>
    <s v="i4"/>
    <s v="Hybrid"/>
    <x v="1"/>
    <s v="26-35"/>
    <s v="Low"/>
    <x v="0"/>
    <x v="1"/>
    <s v="Sales_8"/>
    <n v="192"/>
    <n v="96"/>
    <n v="68"/>
    <n v="30"/>
    <s v="31.25"/>
    <n v="70216"/>
    <s v="2.04"/>
    <n v="52509"/>
    <n v="2106480"/>
    <n v="531210"/>
    <s v="Feb"/>
    <n v="2"/>
    <n v="2026"/>
    <s v="Weekday"/>
    <n v="0.44117647058823528"/>
    <n v="0.5"/>
    <n v="0.15625"/>
    <n v="17707"/>
    <s v="Bavaria Motors"/>
  </r>
  <r>
    <s v="CUST_4433"/>
    <x v="13"/>
    <x v="0"/>
    <s v="Friday"/>
    <s v="No"/>
    <x v="3"/>
    <x v="3"/>
    <s v="Saxony"/>
    <x v="0"/>
    <s v="i4"/>
    <s v="Hybrid"/>
    <x v="1"/>
    <s v="36-50"/>
    <s v="Medium"/>
    <x v="0"/>
    <x v="2"/>
    <s v="Sales_2"/>
    <n v="232"/>
    <n v="127"/>
    <n v="87"/>
    <n v="36"/>
    <s v="28.35"/>
    <n v="70195"/>
    <s v="2.2"/>
    <n v="49676"/>
    <n v="2527020"/>
    <n v="738684"/>
    <s v="Feb"/>
    <n v="2"/>
    <n v="2026"/>
    <s v="Weekday"/>
    <n v="0.41379310344827586"/>
    <n v="0.54741379310344829"/>
    <n v="0.15517241379310345"/>
    <n v="20519"/>
    <s v="Saxon Wheels"/>
  </r>
  <r>
    <s v="CUST_4434"/>
    <x v="3"/>
    <x v="1"/>
    <s v="Sunday"/>
    <s v="Yes"/>
    <x v="7"/>
    <x v="7"/>
    <s v="Bavaria"/>
    <x v="0"/>
    <s v="5 Series"/>
    <s v="Electric"/>
    <x v="1"/>
    <s v="50+"/>
    <s v="Medium"/>
    <x v="0"/>
    <x v="2"/>
    <s v="Sales_6"/>
    <n v="236"/>
    <n v="138"/>
    <n v="109"/>
    <n v="45"/>
    <s v="32.61"/>
    <n v="59493"/>
    <s v="4.71"/>
    <n v="42274"/>
    <n v="2677185"/>
    <n v="774855"/>
    <s v="Feb"/>
    <n v="2"/>
    <n v="2026"/>
    <s v="Weekend"/>
    <n v="0.41284403669724773"/>
    <n v="0.5847457627118644"/>
    <n v="0.19067796610169491"/>
    <n v="17219"/>
    <s v="Bavaria Motors"/>
  </r>
  <r>
    <s v="CUST_4435"/>
    <x v="17"/>
    <x v="2"/>
    <s v="Sunday"/>
    <s v="Yes"/>
    <x v="5"/>
    <x v="5"/>
    <s v="Hamburg"/>
    <x v="1"/>
    <s v="Crossland"/>
    <s v="Petrol"/>
    <x v="0"/>
    <s v="36-50"/>
    <s v="High"/>
    <x v="0"/>
    <x v="3"/>
    <s v="Sales_5"/>
    <n v="388"/>
    <n v="204"/>
    <n v="136"/>
    <n v="28"/>
    <s v="13.73"/>
    <n v="23565"/>
    <s v="13.51"/>
    <n v="21238"/>
    <n v="659820"/>
    <n v="65156"/>
    <s v="Feb"/>
    <n v="2"/>
    <n v="2026"/>
    <s v="Weekend"/>
    <n v="0.20588235294117646"/>
    <n v="0.52577319587628868"/>
    <n v="7.2164948453608241E-2"/>
    <n v="2327"/>
    <s v="Elbe Drive"/>
  </r>
  <r>
    <s v="CUST_4436"/>
    <x v="1"/>
    <x v="1"/>
    <s v="Wednesday"/>
    <s v="No"/>
    <x v="3"/>
    <x v="3"/>
    <s v="Saxony"/>
    <x v="2"/>
    <s v="A4"/>
    <s v="Hybrid"/>
    <x v="1"/>
    <s v="18-25"/>
    <s v="Low"/>
    <x v="1"/>
    <x v="0"/>
    <s v="Sales_9"/>
    <n v="160"/>
    <n v="79"/>
    <n v="55"/>
    <n v="16"/>
    <s v="20.25"/>
    <n v="50527"/>
    <s v="6.68"/>
    <n v="40641"/>
    <n v="808432"/>
    <n v="158176"/>
    <s v="Feb"/>
    <n v="2"/>
    <n v="2026"/>
    <s v="Weekday"/>
    <n v="0.29090909090909089"/>
    <n v="0.49375000000000002"/>
    <n v="0.1"/>
    <n v="9886"/>
    <s v="Saxon Wheels"/>
  </r>
  <r>
    <s v="CUST_4437"/>
    <x v="25"/>
    <x v="3"/>
    <s v="Friday"/>
    <s v="No"/>
    <x v="8"/>
    <x v="8"/>
    <s v="Baden-WÃ¼rttemberg"/>
    <x v="3"/>
    <s v="E-Class"/>
    <s v="Diesel"/>
    <x v="1"/>
    <s v="18-25"/>
    <s v="Medium"/>
    <x v="1"/>
    <x v="1"/>
    <s v="Sales_10"/>
    <n v="250"/>
    <n v="117"/>
    <n v="79"/>
    <n v="29"/>
    <s v="24.79"/>
    <n v="58702"/>
    <s v="2.59"/>
    <n v="45316"/>
    <n v="1702358"/>
    <n v="388194"/>
    <s v="Feb"/>
    <n v="2"/>
    <n v="2026"/>
    <s v="Weekday"/>
    <n v="0.36708860759493672"/>
    <n v="0.46800000000000003"/>
    <n v="0.11600000000000001"/>
    <n v="13386"/>
    <s v="Stuttgart Auto Center"/>
  </r>
  <r>
    <s v="CUST_4438"/>
    <x v="14"/>
    <x v="2"/>
    <s v="Friday"/>
    <s v="No"/>
    <x v="3"/>
    <x v="3"/>
    <s v="Saxony"/>
    <x v="4"/>
    <s v="ID.4"/>
    <s v="Diesel"/>
    <x v="0"/>
    <s v="18-25"/>
    <s v="High"/>
    <x v="1"/>
    <x v="1"/>
    <s v="Sales_6"/>
    <n v="492"/>
    <n v="233"/>
    <n v="140"/>
    <n v="31"/>
    <s v="13.3"/>
    <n v="29453"/>
    <s v="11.95"/>
    <n v="26386"/>
    <n v="913043"/>
    <n v="95077"/>
    <s v="Feb"/>
    <n v="2"/>
    <n v="2026"/>
    <s v="Weekday"/>
    <n v="0.22142857142857142"/>
    <n v="0.47357723577235772"/>
    <n v="6.3008130081300809E-2"/>
    <n v="3067"/>
    <s v="Saxon Wheels"/>
  </r>
  <r>
    <s v="CUST_4439"/>
    <x v="7"/>
    <x v="3"/>
    <s v="Monday"/>
    <s v="No"/>
    <x v="0"/>
    <x v="0"/>
    <s v="Hesse"/>
    <x v="1"/>
    <s v="Crossland"/>
    <s v="Electric"/>
    <x v="0"/>
    <s v="50+"/>
    <s v="High"/>
    <x v="1"/>
    <x v="2"/>
    <s v="Sales_8"/>
    <n v="394"/>
    <n v="160"/>
    <n v="101"/>
    <n v="29"/>
    <s v="18.12"/>
    <n v="26025"/>
    <s v="8.04"/>
    <n v="23514"/>
    <n v="754725"/>
    <n v="72819"/>
    <s v="Feb"/>
    <n v="2"/>
    <n v="2026"/>
    <s v="Weekday"/>
    <n v="0.28712871287128711"/>
    <n v="0.40609137055837563"/>
    <n v="7.3604060913705582E-2"/>
    <n v="2511"/>
    <s v="Main Auto Hub"/>
  </r>
  <r>
    <s v="CUST_4440"/>
    <x v="4"/>
    <x v="2"/>
    <s v="Wednesday"/>
    <s v="No"/>
    <x v="4"/>
    <x v="4"/>
    <s v="Berlin"/>
    <x v="0"/>
    <s v="3 Series"/>
    <s v="Petrol"/>
    <x v="1"/>
    <s v="26-35"/>
    <s v="Low"/>
    <x v="1"/>
    <x v="0"/>
    <s v="Sales_10"/>
    <n v="242"/>
    <n v="132"/>
    <n v="104"/>
    <n v="37"/>
    <s v="28.03"/>
    <n v="54430"/>
    <s v="2.52"/>
    <n v="40054"/>
    <n v="2013910"/>
    <n v="531912"/>
    <s v="Feb"/>
    <n v="2"/>
    <n v="2026"/>
    <s v="Weekday"/>
    <n v="0.35576923076923078"/>
    <n v="0.54545454545454541"/>
    <n v="0.15289256198347106"/>
    <n v="14376"/>
    <s v="Autohaus Berlin"/>
  </r>
  <r>
    <s v="CUST_4441"/>
    <x v="3"/>
    <x v="1"/>
    <s v="Sunday"/>
    <s v="Yes"/>
    <x v="2"/>
    <x v="2"/>
    <s v="Lower Saxony"/>
    <x v="2"/>
    <s v="Q5"/>
    <s v="Petrol"/>
    <x v="0"/>
    <s v="18-25"/>
    <s v="High"/>
    <x v="0"/>
    <x v="1"/>
    <s v="Sales_9"/>
    <n v="196"/>
    <n v="97"/>
    <n v="72"/>
    <n v="23"/>
    <s v="23.71"/>
    <n v="39808"/>
    <s v="5.26"/>
    <n v="32563"/>
    <n v="915584"/>
    <n v="166635"/>
    <s v="Feb"/>
    <n v="2"/>
    <n v="2026"/>
    <s v="Weekend"/>
    <n v="0.31944444444444442"/>
    <n v="0.49489795918367346"/>
    <n v="0.11734693877551021"/>
    <n v="7245"/>
    <s v="Hannover Cars"/>
  </r>
  <r>
    <s v="CUST_4442"/>
    <x v="13"/>
    <x v="0"/>
    <s v="Friday"/>
    <s v="No"/>
    <x v="6"/>
    <x v="6"/>
    <s v="Saxony"/>
    <x v="0"/>
    <s v="3 Series"/>
    <s v="Electric"/>
    <x v="1"/>
    <s v="50+"/>
    <s v="Low"/>
    <x v="0"/>
    <x v="1"/>
    <s v="Sales_19"/>
    <n v="193"/>
    <n v="114"/>
    <n v="82"/>
    <n v="34"/>
    <s v="29.82"/>
    <n v="59667"/>
    <s v="2.06"/>
    <n v="43871"/>
    <n v="2028678"/>
    <n v="537064"/>
    <s v="Feb"/>
    <n v="2"/>
    <n v="2026"/>
    <s v="Weekday"/>
    <n v="0.41463414634146339"/>
    <n v="0.59067357512953367"/>
    <n v="0.17616580310880828"/>
    <n v="15796"/>
    <s v="Leipzig Mobility"/>
  </r>
  <r>
    <s v="CUST_4443"/>
    <x v="19"/>
    <x v="1"/>
    <s v="Saturday"/>
    <s v="Yes"/>
    <x v="2"/>
    <x v="2"/>
    <s v="Lower Saxony"/>
    <x v="0"/>
    <s v="3 Series"/>
    <s v="Diesel"/>
    <x v="1"/>
    <s v="36-50"/>
    <s v="Low"/>
    <x v="0"/>
    <x v="3"/>
    <s v="Sales_20"/>
    <n v="280"/>
    <n v="153"/>
    <n v="111"/>
    <n v="40"/>
    <s v="26.14"/>
    <n v="62437"/>
    <s v="5.58"/>
    <n v="44860"/>
    <n v="2497480"/>
    <n v="703080"/>
    <s v="Feb"/>
    <n v="2"/>
    <n v="2026"/>
    <s v="Weekend"/>
    <n v="0.36036036036036034"/>
    <n v="0.54642857142857137"/>
    <n v="0.14285714285714285"/>
    <n v="17577"/>
    <s v="Hannover Cars"/>
  </r>
  <r>
    <s v="CUST_4444"/>
    <x v="19"/>
    <x v="1"/>
    <s v="Saturday"/>
    <s v="Yes"/>
    <x v="2"/>
    <x v="2"/>
    <s v="Lower Saxony"/>
    <x v="0"/>
    <s v="X5"/>
    <s v="Hybrid"/>
    <x v="0"/>
    <s v="26-35"/>
    <s v="Low"/>
    <x v="1"/>
    <x v="3"/>
    <s v="Sales_4"/>
    <n v="143"/>
    <n v="84"/>
    <n v="59"/>
    <n v="23"/>
    <s v="27.38"/>
    <n v="52857"/>
    <s v="4.42"/>
    <n v="39482"/>
    <n v="1215711"/>
    <n v="307625"/>
    <s v="Feb"/>
    <n v="2"/>
    <n v="2026"/>
    <s v="Weekend"/>
    <n v="0.38983050847457629"/>
    <n v="0.58741258741258739"/>
    <n v="0.16083916083916083"/>
    <n v="13375"/>
    <s v="Hannover Cars"/>
  </r>
  <r>
    <s v="CUST_4445"/>
    <x v="2"/>
    <x v="2"/>
    <s v="Monday"/>
    <s v="No"/>
    <x v="0"/>
    <x v="0"/>
    <s v="Hesse"/>
    <x v="2"/>
    <s v="A3"/>
    <s v="Hybrid"/>
    <x v="2"/>
    <s v="18-25"/>
    <s v="Medium"/>
    <x v="1"/>
    <x v="3"/>
    <s v="Sales_15"/>
    <n v="239"/>
    <n v="133"/>
    <n v="85"/>
    <n v="24"/>
    <s v="18.05"/>
    <n v="47818"/>
    <s v="6.15"/>
    <n v="36640"/>
    <n v="1147632"/>
    <n v="268272"/>
    <s v="Feb"/>
    <n v="2"/>
    <n v="2026"/>
    <s v="Weekday"/>
    <n v="0.28235294117647058"/>
    <n v="0.55648535564853552"/>
    <n v="0.100418410041841"/>
    <n v="11178"/>
    <s v="Main Auto Hub"/>
  </r>
  <r>
    <s v="CUST_4446"/>
    <x v="16"/>
    <x v="1"/>
    <s v="Tuesday"/>
    <s v="No"/>
    <x v="7"/>
    <x v="7"/>
    <s v="Bavaria"/>
    <x v="2"/>
    <s v="e-tron"/>
    <s v="Petrol"/>
    <x v="0"/>
    <s v="36-50"/>
    <s v="High"/>
    <x v="0"/>
    <x v="0"/>
    <s v="Sales_7"/>
    <n v="278"/>
    <n v="167"/>
    <n v="116"/>
    <n v="40"/>
    <s v="23.95"/>
    <n v="47023"/>
    <s v="4.23"/>
    <n v="38501"/>
    <n v="1880920"/>
    <n v="340880"/>
    <s v="Feb"/>
    <n v="2"/>
    <n v="2026"/>
    <s v="Weekday"/>
    <n v="0.34482758620689657"/>
    <n v="0.60071942446043169"/>
    <n v="0.14388489208633093"/>
    <n v="8522"/>
    <s v="Bavaria Motors"/>
  </r>
  <r>
    <s v="CUST_4447"/>
    <x v="2"/>
    <x v="2"/>
    <s v="Monday"/>
    <s v="No"/>
    <x v="9"/>
    <x v="9"/>
    <s v="NRW"/>
    <x v="3"/>
    <s v="GLC"/>
    <s v="Electric"/>
    <x v="0"/>
    <s v="50+"/>
    <s v="Medium"/>
    <x v="0"/>
    <x v="0"/>
    <s v="Sales_16"/>
    <n v="153"/>
    <n v="72"/>
    <n v="50"/>
    <n v="14"/>
    <s v="19.44"/>
    <n v="67168"/>
    <s v="5.16"/>
    <n v="51859"/>
    <n v="940352"/>
    <n v="214326"/>
    <s v="Feb"/>
    <n v="2"/>
    <n v="2026"/>
    <s v="Weekday"/>
    <n v="0.28000000000000003"/>
    <n v="0.47058823529411764"/>
    <n v="9.1503267973856203E-2"/>
    <n v="15309"/>
    <s v="Ruhr Auto Plaza"/>
  </r>
  <r>
    <s v="CUST_4448"/>
    <x v="13"/>
    <x v="0"/>
    <s v="Friday"/>
    <s v="No"/>
    <x v="1"/>
    <x v="1"/>
    <s v="NRW"/>
    <x v="1"/>
    <s v="Crossland"/>
    <s v="Diesel"/>
    <x v="0"/>
    <s v="50+"/>
    <s v="Low"/>
    <x v="0"/>
    <x v="1"/>
    <s v="Sales_2"/>
    <n v="252"/>
    <n v="111"/>
    <n v="66"/>
    <n v="20"/>
    <s v="18.02"/>
    <n v="25774"/>
    <s v="7.91"/>
    <n v="23309"/>
    <n v="515480"/>
    <n v="49300"/>
    <s v="Feb"/>
    <n v="2"/>
    <n v="2026"/>
    <s v="Weekday"/>
    <n v="0.30303030303030304"/>
    <n v="0.44047619047619047"/>
    <n v="7.9365079365079361E-2"/>
    <n v="2465"/>
    <s v="Rhein Auto Group"/>
  </r>
  <r>
    <s v="CUST_4449"/>
    <x v="5"/>
    <x v="3"/>
    <s v="Saturday"/>
    <s v="Yes"/>
    <x v="8"/>
    <x v="8"/>
    <s v="Baden-WÃ¼rttemberg"/>
    <x v="4"/>
    <s v="Tiguan"/>
    <s v="Electric"/>
    <x v="0"/>
    <s v="26-35"/>
    <s v="Low"/>
    <x v="0"/>
    <x v="2"/>
    <s v="Sales_13"/>
    <n v="415"/>
    <n v="232"/>
    <n v="157"/>
    <n v="41"/>
    <s v="17.67"/>
    <n v="29048"/>
    <s v="7.82"/>
    <n v="25400"/>
    <n v="1190968"/>
    <n v="149568"/>
    <s v="Feb"/>
    <n v="2"/>
    <n v="2026"/>
    <s v="Weekend"/>
    <n v="0.26114649681528662"/>
    <n v="0.5590361445783133"/>
    <n v="9.8795180722891562E-2"/>
    <n v="3648"/>
    <s v="Stuttgart Auto Center"/>
  </r>
  <r>
    <s v="CUST_4450"/>
    <x v="7"/>
    <x v="3"/>
    <s v="Monday"/>
    <s v="No"/>
    <x v="6"/>
    <x v="6"/>
    <s v="Saxony"/>
    <x v="4"/>
    <s v="ID.4"/>
    <s v="Electric"/>
    <x v="0"/>
    <s v="36-50"/>
    <s v="Low"/>
    <x v="1"/>
    <x v="0"/>
    <s v="Sales_2"/>
    <n v="476"/>
    <n v="252"/>
    <n v="175"/>
    <n v="35"/>
    <s v="13.89"/>
    <n v="32505"/>
    <s v="7.9"/>
    <n v="28237"/>
    <n v="1137675"/>
    <n v="149380"/>
    <s v="Feb"/>
    <n v="2"/>
    <n v="2026"/>
    <s v="Weekday"/>
    <n v="0.2"/>
    <n v="0.52941176470588236"/>
    <n v="7.3529411764705885E-2"/>
    <n v="4268"/>
    <s v="Leipzig Mobility"/>
  </r>
  <r>
    <s v="CUST_4451"/>
    <x v="0"/>
    <x v="0"/>
    <s v="Monday"/>
    <s v="No"/>
    <x v="6"/>
    <x v="6"/>
    <s v="Saxony"/>
    <x v="0"/>
    <s v="i4"/>
    <s v="Electric"/>
    <x v="1"/>
    <s v="36-50"/>
    <s v="Low"/>
    <x v="1"/>
    <x v="0"/>
    <s v="Sales_16"/>
    <n v="167"/>
    <n v="101"/>
    <n v="75"/>
    <n v="26"/>
    <s v="25.74"/>
    <n v="54747"/>
    <s v="4.54"/>
    <n v="41759"/>
    <n v="1423422"/>
    <n v="337688"/>
    <s v="Feb"/>
    <n v="2"/>
    <n v="2026"/>
    <s v="Weekday"/>
    <n v="0.34666666666666668"/>
    <n v="0.60479041916167664"/>
    <n v="0.15568862275449102"/>
    <n v="12988"/>
    <s v="Leipzig Mobility"/>
  </r>
  <r>
    <s v="CUST_4452"/>
    <x v="20"/>
    <x v="0"/>
    <s v="Thursday"/>
    <s v="No"/>
    <x v="9"/>
    <x v="9"/>
    <s v="NRW"/>
    <x v="0"/>
    <s v="X3"/>
    <s v="Petrol"/>
    <x v="0"/>
    <s v="50+"/>
    <s v="Low"/>
    <x v="0"/>
    <x v="1"/>
    <s v="Sales_2"/>
    <n v="159"/>
    <n v="85"/>
    <n v="65"/>
    <n v="22"/>
    <s v="25.88"/>
    <n v="63093"/>
    <s v="5.22"/>
    <n v="46044"/>
    <n v="1388046"/>
    <n v="375078"/>
    <s v="Feb"/>
    <n v="2"/>
    <n v="2026"/>
    <s v="Weekday"/>
    <n v="0.33846153846153848"/>
    <n v="0.53459119496855345"/>
    <n v="0.13836477987421383"/>
    <n v="17049"/>
    <s v="Ruhr Auto Plaza"/>
  </r>
  <r>
    <s v="CUST_4453"/>
    <x v="11"/>
    <x v="0"/>
    <s v="Wednesday"/>
    <s v="No"/>
    <x v="7"/>
    <x v="7"/>
    <s v="Bavaria"/>
    <x v="4"/>
    <s v="Tiguan"/>
    <s v="Electric"/>
    <x v="0"/>
    <s v="26-35"/>
    <s v="High"/>
    <x v="1"/>
    <x v="2"/>
    <s v="Sales_19"/>
    <n v="461"/>
    <n v="218"/>
    <n v="130"/>
    <n v="44"/>
    <s v="20.18"/>
    <n v="32291"/>
    <s v="11.94"/>
    <n v="29092"/>
    <n v="1420804"/>
    <n v="140756"/>
    <s v="Feb"/>
    <n v="2"/>
    <n v="2026"/>
    <s v="Weekday"/>
    <n v="0.33846153846153848"/>
    <n v="0.47288503253796094"/>
    <n v="9.5444685466377438E-2"/>
    <n v="3199"/>
    <s v="Bavaria Motors"/>
  </r>
  <r>
    <s v="CUST_4454"/>
    <x v="3"/>
    <x v="1"/>
    <s v="Sunday"/>
    <s v="Yes"/>
    <x v="2"/>
    <x v="2"/>
    <s v="Lower Saxony"/>
    <x v="1"/>
    <s v="Mokka"/>
    <s v="Hybrid"/>
    <x v="0"/>
    <s v="36-50"/>
    <s v="High"/>
    <x v="1"/>
    <x v="1"/>
    <s v="Sales_15"/>
    <n v="256"/>
    <n v="115"/>
    <n v="68"/>
    <n v="18"/>
    <s v="15.65"/>
    <n v="22416"/>
    <s v="8.41"/>
    <n v="20254"/>
    <n v="403488"/>
    <n v="38916"/>
    <s v="Feb"/>
    <n v="2"/>
    <n v="2026"/>
    <s v="Weekend"/>
    <n v="0.26470588235294118"/>
    <n v="0.44921875"/>
    <n v="7.03125E-2"/>
    <n v="2162"/>
    <s v="Hannover Cars"/>
  </r>
  <r>
    <s v="CUST_4455"/>
    <x v="19"/>
    <x v="1"/>
    <s v="Saturday"/>
    <s v="Yes"/>
    <x v="3"/>
    <x v="3"/>
    <s v="Saxony"/>
    <x v="3"/>
    <s v="C-Class"/>
    <s v="Hybrid"/>
    <x v="1"/>
    <s v="18-25"/>
    <s v="High"/>
    <x v="0"/>
    <x v="1"/>
    <s v="Sales_16"/>
    <n v="148"/>
    <n v="65"/>
    <n v="43"/>
    <n v="17"/>
    <s v="26.15"/>
    <n v="62964"/>
    <s v="4.19"/>
    <n v="49123"/>
    <n v="1070388"/>
    <n v="235297"/>
    <s v="Feb"/>
    <n v="2"/>
    <n v="2026"/>
    <s v="Weekend"/>
    <n v="0.39534883720930231"/>
    <n v="0.4391891891891892"/>
    <n v="0.11486486486486487"/>
    <n v="13841"/>
    <s v="Saxon Wheels"/>
  </r>
  <r>
    <s v="CUST_4456"/>
    <x v="18"/>
    <x v="0"/>
    <s v="Saturday"/>
    <s v="Yes"/>
    <x v="2"/>
    <x v="2"/>
    <s v="Lower Saxony"/>
    <x v="1"/>
    <s v="Mokka"/>
    <s v="Hybrid"/>
    <x v="0"/>
    <s v="36-50"/>
    <s v="High"/>
    <x v="1"/>
    <x v="1"/>
    <s v="Sales_5"/>
    <n v="347"/>
    <n v="174"/>
    <n v="109"/>
    <n v="28"/>
    <s v="16.09"/>
    <n v="20029"/>
    <s v="13.47"/>
    <n v="17983"/>
    <n v="560812"/>
    <n v="57288"/>
    <s v="Feb"/>
    <n v="2"/>
    <n v="2026"/>
    <s v="Weekend"/>
    <n v="0.25688073394495414"/>
    <n v="0.50144092219020175"/>
    <n v="8.069164265129683E-2"/>
    <n v="2046"/>
    <s v="Hannover Cars"/>
  </r>
  <r>
    <s v="CUST_4457"/>
    <x v="25"/>
    <x v="3"/>
    <s v="Friday"/>
    <s v="No"/>
    <x v="9"/>
    <x v="9"/>
    <s v="NRW"/>
    <x v="1"/>
    <s v="Corsa"/>
    <s v="Diesel"/>
    <x v="2"/>
    <s v="18-25"/>
    <s v="Low"/>
    <x v="0"/>
    <x v="3"/>
    <s v="Sales_18"/>
    <n v="311"/>
    <n v="163"/>
    <n v="94"/>
    <n v="19"/>
    <s v="11.66"/>
    <n v="23659"/>
    <s v="10.18"/>
    <n v="21336"/>
    <n v="449521"/>
    <n v="44137"/>
    <s v="Feb"/>
    <n v="2"/>
    <n v="2026"/>
    <s v="Weekday"/>
    <n v="0.20212765957446807"/>
    <n v="0.52411575562700963"/>
    <n v="6.1093247588424437E-2"/>
    <n v="2323"/>
    <s v="Ruhr Auto Plaza"/>
  </r>
  <r>
    <s v="CUST_4458"/>
    <x v="13"/>
    <x v="0"/>
    <s v="Friday"/>
    <s v="No"/>
    <x v="1"/>
    <x v="1"/>
    <s v="NRW"/>
    <x v="3"/>
    <s v="GLC"/>
    <s v="Electric"/>
    <x v="0"/>
    <s v="26-35"/>
    <s v="High"/>
    <x v="1"/>
    <x v="2"/>
    <s v="Sales_5"/>
    <n v="286"/>
    <n v="154"/>
    <n v="105"/>
    <n v="44"/>
    <s v="28.57"/>
    <n v="70740"/>
    <s v="2.45"/>
    <n v="51811"/>
    <n v="3112560"/>
    <n v="832876"/>
    <s v="Feb"/>
    <n v="2"/>
    <n v="2026"/>
    <s v="Weekday"/>
    <n v="0.41904761904761906"/>
    <n v="0.53846153846153844"/>
    <n v="0.15384615384615385"/>
    <n v="18929"/>
    <s v="Rhein Auto Group"/>
  </r>
  <r>
    <s v="CUST_4459"/>
    <x v="13"/>
    <x v="0"/>
    <s v="Friday"/>
    <s v="No"/>
    <x v="8"/>
    <x v="8"/>
    <s v="Baden-WÃ¼rttemberg"/>
    <x v="3"/>
    <s v="C-Class"/>
    <s v="Petrol"/>
    <x v="1"/>
    <s v="50+"/>
    <s v="Low"/>
    <x v="0"/>
    <x v="0"/>
    <s v="Sales_13"/>
    <n v="225"/>
    <n v="103"/>
    <n v="77"/>
    <n v="26"/>
    <s v="25.24"/>
    <n v="60559"/>
    <s v="5.7"/>
    <n v="44867"/>
    <n v="1574534"/>
    <n v="407992"/>
    <s v="Feb"/>
    <n v="2"/>
    <n v="2026"/>
    <s v="Weekday"/>
    <n v="0.33766233766233766"/>
    <n v="0.45777777777777778"/>
    <n v="0.11555555555555555"/>
    <n v="15692"/>
    <s v="Stuttgart Auto Center"/>
  </r>
  <r>
    <s v="CUST_4460"/>
    <x v="10"/>
    <x v="1"/>
    <s v="Monday"/>
    <s v="No"/>
    <x v="8"/>
    <x v="8"/>
    <s v="Baden-WÃ¼rttemberg"/>
    <x v="4"/>
    <s v="T-Roc"/>
    <s v="Petrol"/>
    <x v="0"/>
    <s v="18-25"/>
    <s v="Medium"/>
    <x v="1"/>
    <x v="1"/>
    <s v="Sales_20"/>
    <n v="305"/>
    <n v="150"/>
    <n v="96"/>
    <n v="28"/>
    <s v="18.67"/>
    <n v="26233"/>
    <s v="7.49"/>
    <n v="23405"/>
    <n v="734524"/>
    <n v="79184"/>
    <s v="Feb"/>
    <n v="2"/>
    <n v="2026"/>
    <s v="Weekday"/>
    <n v="0.29166666666666669"/>
    <n v="0.49180327868852458"/>
    <n v="9.1803278688524587E-2"/>
    <n v="2828"/>
    <s v="Stuttgart Auto Center"/>
  </r>
  <r>
    <s v="CUST_4461"/>
    <x v="22"/>
    <x v="3"/>
    <s v="Tuesday"/>
    <s v="No"/>
    <x v="5"/>
    <x v="5"/>
    <s v="Hamburg"/>
    <x v="4"/>
    <s v="T-Roc"/>
    <s v="Hybrid"/>
    <x v="0"/>
    <s v="36-50"/>
    <s v="Medium"/>
    <x v="0"/>
    <x v="2"/>
    <s v="Sales_18"/>
    <n v="511"/>
    <n v="217"/>
    <n v="154"/>
    <n v="41"/>
    <s v="18.89"/>
    <n v="26862"/>
    <s v="6.69"/>
    <n v="23925"/>
    <n v="1101342"/>
    <n v="120417"/>
    <s v="Feb"/>
    <n v="2"/>
    <n v="2026"/>
    <s v="Weekday"/>
    <n v="0.26623376623376621"/>
    <n v="0.42465753424657532"/>
    <n v="8.0234833659491189E-2"/>
    <n v="2937"/>
    <s v="Elbe Drive"/>
  </r>
  <r>
    <s v="CUST_4462"/>
    <x v="15"/>
    <x v="2"/>
    <s v="Thursday"/>
    <s v="No"/>
    <x v="6"/>
    <x v="6"/>
    <s v="Saxony"/>
    <x v="2"/>
    <s v="Q5"/>
    <s v="Electric"/>
    <x v="0"/>
    <s v="18-25"/>
    <s v="Medium"/>
    <x v="0"/>
    <x v="2"/>
    <s v="Sales_12"/>
    <n v="319"/>
    <n v="200"/>
    <n v="147"/>
    <n v="49"/>
    <s v="24.5"/>
    <n v="51247"/>
    <s v="5.59"/>
    <n v="41735"/>
    <n v="2511103"/>
    <n v="466088"/>
    <s v="Feb"/>
    <n v="2"/>
    <n v="2026"/>
    <s v="Weekday"/>
    <n v="0.33333333333333331"/>
    <n v="0.62695924764890287"/>
    <n v="0.15360501567398119"/>
    <n v="9512"/>
    <s v="Leipzig Mobility"/>
  </r>
  <r>
    <s v="CUST_4463"/>
    <x v="7"/>
    <x v="3"/>
    <s v="Monday"/>
    <s v="No"/>
    <x v="2"/>
    <x v="2"/>
    <s v="Lower Saxony"/>
    <x v="2"/>
    <s v="e-tron"/>
    <s v="Petrol"/>
    <x v="0"/>
    <s v="26-35"/>
    <s v="High"/>
    <x v="1"/>
    <x v="1"/>
    <s v="Sales_4"/>
    <n v="305"/>
    <n v="167"/>
    <n v="118"/>
    <n v="40"/>
    <s v="23.95"/>
    <n v="42859"/>
    <s v="5.34"/>
    <n v="33389"/>
    <n v="1714360"/>
    <n v="378800"/>
    <s v="Feb"/>
    <n v="2"/>
    <n v="2026"/>
    <s v="Weekday"/>
    <n v="0.33898305084745761"/>
    <n v="0.54754098360655734"/>
    <n v="0.13114754098360656"/>
    <n v="9470"/>
    <s v="Hannover Cars"/>
  </r>
  <r>
    <s v="CUST_4464"/>
    <x v="2"/>
    <x v="2"/>
    <s v="Monday"/>
    <s v="No"/>
    <x v="4"/>
    <x v="4"/>
    <s v="Berlin"/>
    <x v="0"/>
    <s v="X3"/>
    <s v="Petrol"/>
    <x v="0"/>
    <s v="36-50"/>
    <s v="High"/>
    <x v="0"/>
    <x v="0"/>
    <s v="Sales_12"/>
    <n v="211"/>
    <n v="105"/>
    <n v="82"/>
    <n v="29"/>
    <s v="27.62"/>
    <n v="58257"/>
    <s v="3.15"/>
    <n v="43193"/>
    <n v="1689453"/>
    <n v="436856"/>
    <s v="Feb"/>
    <n v="2"/>
    <n v="2026"/>
    <s v="Weekday"/>
    <n v="0.35365853658536583"/>
    <n v="0.49763033175355448"/>
    <n v="0.13744075829383887"/>
    <n v="15064"/>
    <s v="Autohaus Berlin"/>
  </r>
  <r>
    <s v="CUST_4465"/>
    <x v="3"/>
    <x v="1"/>
    <s v="Sunday"/>
    <s v="Yes"/>
    <x v="1"/>
    <x v="1"/>
    <s v="NRW"/>
    <x v="4"/>
    <s v="T-Roc"/>
    <s v="Petrol"/>
    <x v="0"/>
    <s v="26-35"/>
    <s v="High"/>
    <x v="0"/>
    <x v="1"/>
    <s v="Sales_4"/>
    <n v="374"/>
    <n v="163"/>
    <n v="99"/>
    <n v="30"/>
    <s v="18.4"/>
    <n v="30155"/>
    <s v="8.73"/>
    <n v="26409"/>
    <n v="904650"/>
    <n v="112380"/>
    <s v="Feb"/>
    <n v="2"/>
    <n v="2026"/>
    <s v="Weekend"/>
    <n v="0.30303030303030304"/>
    <n v="0.43582887700534761"/>
    <n v="8.0213903743315509E-2"/>
    <n v="3746"/>
    <s v="Rhein Auto Group"/>
  </r>
  <r>
    <s v="CUST_4466"/>
    <x v="1"/>
    <x v="1"/>
    <s v="Wednesday"/>
    <s v="No"/>
    <x v="2"/>
    <x v="2"/>
    <s v="Lower Saxony"/>
    <x v="4"/>
    <s v="Golf"/>
    <s v="Petrol"/>
    <x v="2"/>
    <s v="18-25"/>
    <s v="High"/>
    <x v="1"/>
    <x v="1"/>
    <s v="Sales_15"/>
    <n v="281"/>
    <n v="146"/>
    <n v="104"/>
    <n v="23"/>
    <s v="15.75"/>
    <n v="32550"/>
    <s v="8.22"/>
    <n v="29327"/>
    <n v="748650"/>
    <n v="74129"/>
    <s v="Feb"/>
    <n v="2"/>
    <n v="2026"/>
    <s v="Weekday"/>
    <n v="0.22115384615384615"/>
    <n v="0.5195729537366548"/>
    <n v="8.1850533807829182E-2"/>
    <n v="3223"/>
    <s v="Hannover Cars"/>
  </r>
  <r>
    <s v="CUST_4467"/>
    <x v="2"/>
    <x v="2"/>
    <s v="Monday"/>
    <s v="No"/>
    <x v="7"/>
    <x v="7"/>
    <s v="Bavaria"/>
    <x v="2"/>
    <s v="e-tron"/>
    <s v="Electric"/>
    <x v="0"/>
    <s v="26-35"/>
    <s v="Medium"/>
    <x v="0"/>
    <x v="3"/>
    <s v="Sales_2"/>
    <n v="243"/>
    <n v="121"/>
    <n v="83"/>
    <n v="29"/>
    <s v="23.97"/>
    <n v="55871"/>
    <s v="3.16"/>
    <n v="45798"/>
    <n v="1620259"/>
    <n v="292117"/>
    <s v="Feb"/>
    <n v="2"/>
    <n v="2026"/>
    <s v="Weekday"/>
    <n v="0.3493975903614458"/>
    <n v="0.49794238683127573"/>
    <n v="0.11934156378600823"/>
    <n v="10073"/>
    <s v="Bavaria Motors"/>
  </r>
  <r>
    <s v="CUST_4468"/>
    <x v="1"/>
    <x v="1"/>
    <s v="Wednesday"/>
    <s v="No"/>
    <x v="9"/>
    <x v="9"/>
    <s v="NRW"/>
    <x v="1"/>
    <s v="Grandland"/>
    <s v="Petrol"/>
    <x v="0"/>
    <s v="18-25"/>
    <s v="Low"/>
    <x v="1"/>
    <x v="1"/>
    <s v="Sales_9"/>
    <n v="336"/>
    <n v="172"/>
    <n v="106"/>
    <n v="28"/>
    <s v="16.28"/>
    <n v="25461"/>
    <s v="11.42"/>
    <n v="23530"/>
    <n v="712908"/>
    <n v="54068"/>
    <s v="Feb"/>
    <n v="2"/>
    <n v="2026"/>
    <s v="Weekday"/>
    <n v="0.26415094339622641"/>
    <n v="0.51190476190476186"/>
    <n v="8.3333333333333329E-2"/>
    <n v="1931"/>
    <s v="Ruhr Auto Plaza"/>
  </r>
  <r>
    <s v="CUST_4469"/>
    <x v="8"/>
    <x v="3"/>
    <s v="Wednesday"/>
    <s v="No"/>
    <x v="5"/>
    <x v="5"/>
    <s v="Hamburg"/>
    <x v="3"/>
    <s v="GLC"/>
    <s v="Diesel"/>
    <x v="0"/>
    <s v="26-35"/>
    <s v="High"/>
    <x v="0"/>
    <x v="0"/>
    <s v="Sales_9"/>
    <n v="170"/>
    <n v="98"/>
    <n v="72"/>
    <n v="26"/>
    <s v="26.53"/>
    <n v="70987"/>
    <s v="4.74"/>
    <n v="53254"/>
    <n v="1845662"/>
    <n v="461058"/>
    <s v="Feb"/>
    <n v="2"/>
    <n v="2026"/>
    <s v="Weekday"/>
    <n v="0.3611111111111111"/>
    <n v="0.57647058823529407"/>
    <n v="0.15294117647058825"/>
    <n v="17733"/>
    <s v="Elbe Drive"/>
  </r>
  <r>
    <s v="CUST_4470"/>
    <x v="21"/>
    <x v="0"/>
    <s v="Tuesday"/>
    <s v="No"/>
    <x v="7"/>
    <x v="7"/>
    <s v="Bavaria"/>
    <x v="0"/>
    <s v="3 Series"/>
    <s v="Hybrid"/>
    <x v="1"/>
    <s v="50+"/>
    <s v="High"/>
    <x v="0"/>
    <x v="1"/>
    <s v="Sales_5"/>
    <n v="251"/>
    <n v="117"/>
    <n v="91"/>
    <n v="38"/>
    <s v="32.48"/>
    <n v="55389"/>
    <s v="3.81"/>
    <n v="40480"/>
    <n v="2104782"/>
    <n v="566542"/>
    <s v="Feb"/>
    <n v="2"/>
    <n v="2026"/>
    <s v="Weekday"/>
    <n v="0.4175824175824176"/>
    <n v="0.46613545816733065"/>
    <n v="0.15139442231075698"/>
    <n v="14909"/>
    <s v="Bavaria Motors"/>
  </r>
  <r>
    <s v="CUST_4471"/>
    <x v="20"/>
    <x v="0"/>
    <s v="Thursday"/>
    <s v="No"/>
    <x v="0"/>
    <x v="0"/>
    <s v="Hesse"/>
    <x v="4"/>
    <s v="ID.4"/>
    <s v="Electric"/>
    <x v="0"/>
    <s v="18-25"/>
    <s v="High"/>
    <x v="0"/>
    <x v="1"/>
    <s v="Sales_7"/>
    <n v="414"/>
    <n v="222"/>
    <n v="143"/>
    <n v="35"/>
    <s v="15.77"/>
    <n v="33024"/>
    <s v="9.69"/>
    <n v="29312"/>
    <n v="1155840"/>
    <n v="129920"/>
    <s v="Feb"/>
    <n v="2"/>
    <n v="2026"/>
    <s v="Weekday"/>
    <n v="0.24475524475524477"/>
    <n v="0.53623188405797106"/>
    <n v="8.4541062801932368E-2"/>
    <n v="3712"/>
    <s v="Main Auto Hub"/>
  </r>
  <r>
    <s v="CUST_4472"/>
    <x v="8"/>
    <x v="3"/>
    <s v="Wednesday"/>
    <s v="No"/>
    <x v="4"/>
    <x v="4"/>
    <s v="Berlin"/>
    <x v="1"/>
    <s v="Grandland"/>
    <s v="Diesel"/>
    <x v="0"/>
    <s v="26-35"/>
    <s v="High"/>
    <x v="1"/>
    <x v="2"/>
    <s v="Sales_16"/>
    <n v="381"/>
    <n v="164"/>
    <n v="110"/>
    <n v="34"/>
    <s v="20.73"/>
    <n v="26013"/>
    <s v="11.25"/>
    <n v="23741"/>
    <n v="884442"/>
    <n v="77248"/>
    <s v="Feb"/>
    <n v="2"/>
    <n v="2026"/>
    <s v="Weekday"/>
    <n v="0.30909090909090908"/>
    <n v="0.43044619422572178"/>
    <n v="8.9238845144356954E-2"/>
    <n v="2272"/>
    <s v="Autohaus Berlin"/>
  </r>
  <r>
    <s v="CUST_4473"/>
    <x v="15"/>
    <x v="2"/>
    <s v="Thursday"/>
    <s v="No"/>
    <x v="2"/>
    <x v="2"/>
    <s v="Lower Saxony"/>
    <x v="0"/>
    <s v="X3"/>
    <s v="Petrol"/>
    <x v="0"/>
    <s v="36-50"/>
    <s v="Medium"/>
    <x v="0"/>
    <x v="2"/>
    <s v="Sales_6"/>
    <n v="193"/>
    <n v="117"/>
    <n v="93"/>
    <n v="37"/>
    <s v="31.62"/>
    <n v="64664"/>
    <s v="3.92"/>
    <n v="46686"/>
    <n v="2392568"/>
    <n v="665186"/>
    <s v="Feb"/>
    <n v="2"/>
    <n v="2026"/>
    <s v="Weekday"/>
    <n v="0.39784946236559138"/>
    <n v="0.60621761658031093"/>
    <n v="0.19170984455958548"/>
    <n v="17978"/>
    <s v="Hannover Cars"/>
  </r>
  <r>
    <s v="CUST_4474"/>
    <x v="16"/>
    <x v="1"/>
    <s v="Tuesday"/>
    <s v="No"/>
    <x v="4"/>
    <x v="4"/>
    <s v="Berlin"/>
    <x v="2"/>
    <s v="Q5"/>
    <s v="Hybrid"/>
    <x v="0"/>
    <s v="50+"/>
    <s v="Medium"/>
    <x v="1"/>
    <x v="1"/>
    <s v="Sales_1"/>
    <n v="295"/>
    <n v="179"/>
    <n v="122"/>
    <n v="43"/>
    <s v="24.02"/>
    <n v="45394"/>
    <s v="3.94"/>
    <n v="36623"/>
    <n v="1951942"/>
    <n v="377153"/>
    <s v="Feb"/>
    <n v="2"/>
    <n v="2026"/>
    <s v="Weekday"/>
    <n v="0.35245901639344263"/>
    <n v="0.60677966101694913"/>
    <n v="0.14576271186440679"/>
    <n v="8771"/>
    <s v="Autohaus Berlin"/>
  </r>
  <r>
    <s v="CUST_4475"/>
    <x v="13"/>
    <x v="0"/>
    <s v="Friday"/>
    <s v="No"/>
    <x v="4"/>
    <x v="4"/>
    <s v="Berlin"/>
    <x v="0"/>
    <s v="X5"/>
    <s v="Hybrid"/>
    <x v="0"/>
    <s v="36-50"/>
    <s v="High"/>
    <x v="0"/>
    <x v="3"/>
    <s v="Sales_15"/>
    <n v="168"/>
    <n v="78"/>
    <n v="53"/>
    <n v="21"/>
    <s v="26.92"/>
    <n v="65683"/>
    <s v="2.11"/>
    <n v="50926"/>
    <n v="1379343"/>
    <n v="309897"/>
    <s v="Feb"/>
    <n v="2"/>
    <n v="2026"/>
    <s v="Weekday"/>
    <n v="0.39622641509433965"/>
    <n v="0.4642857142857143"/>
    <n v="0.125"/>
    <n v="14757"/>
    <s v="Autohaus Berlin"/>
  </r>
  <r>
    <s v="CUST_4476"/>
    <x v="1"/>
    <x v="1"/>
    <s v="Wednesday"/>
    <s v="No"/>
    <x v="2"/>
    <x v="2"/>
    <s v="Lower Saxony"/>
    <x v="2"/>
    <s v="Q5"/>
    <s v="Diesel"/>
    <x v="0"/>
    <s v="26-35"/>
    <s v="High"/>
    <x v="0"/>
    <x v="0"/>
    <s v="Sales_13"/>
    <n v="248"/>
    <n v="154"/>
    <n v="99"/>
    <n v="30"/>
    <s v="19.48"/>
    <n v="55447"/>
    <s v="4.18"/>
    <n v="43230"/>
    <n v="1663410"/>
    <n v="366510"/>
    <s v="Feb"/>
    <n v="2"/>
    <n v="2026"/>
    <s v="Weekday"/>
    <n v="0.30303030303030304"/>
    <n v="0.62096774193548387"/>
    <n v="0.12096774193548387"/>
    <n v="12217"/>
    <s v="Hannover Cars"/>
  </r>
  <r>
    <s v="CUST_4477"/>
    <x v="1"/>
    <x v="1"/>
    <s v="Wednesday"/>
    <s v="No"/>
    <x v="1"/>
    <x v="1"/>
    <s v="NRW"/>
    <x v="0"/>
    <s v="5 Series"/>
    <s v="Petrol"/>
    <x v="1"/>
    <s v="26-35"/>
    <s v="High"/>
    <x v="0"/>
    <x v="0"/>
    <s v="Sales_13"/>
    <n v="151"/>
    <n v="80"/>
    <n v="64"/>
    <n v="21"/>
    <s v="26.25"/>
    <n v="50357"/>
    <s v="4.46"/>
    <n v="35600"/>
    <n v="1057497"/>
    <n v="309897"/>
    <s v="Feb"/>
    <n v="2"/>
    <n v="2026"/>
    <s v="Weekday"/>
    <n v="0.328125"/>
    <n v="0.5298013245033113"/>
    <n v="0.13907284768211919"/>
    <n v="14757"/>
    <s v="Rhein Auto Group"/>
  </r>
  <r>
    <s v="CUST_4478"/>
    <x v="12"/>
    <x v="3"/>
    <s v="Thursday"/>
    <s v="No"/>
    <x v="0"/>
    <x v="0"/>
    <s v="Hesse"/>
    <x v="0"/>
    <s v="3 Series"/>
    <s v="Petrol"/>
    <x v="1"/>
    <s v="18-25"/>
    <s v="Low"/>
    <x v="0"/>
    <x v="0"/>
    <s v="Sales_17"/>
    <n v="152"/>
    <n v="85"/>
    <n v="67"/>
    <n v="24"/>
    <s v="28.24"/>
    <n v="66927"/>
    <s v="2.67"/>
    <n v="47468"/>
    <n v="1606248"/>
    <n v="467016"/>
    <s v="Feb"/>
    <n v="2"/>
    <n v="2026"/>
    <s v="Weekday"/>
    <n v="0.35820895522388058"/>
    <n v="0.55921052631578949"/>
    <n v="0.15789473684210525"/>
    <n v="19459"/>
    <s v="Main Auto Hub"/>
  </r>
  <r>
    <s v="CUST_4479"/>
    <x v="18"/>
    <x v="0"/>
    <s v="Saturday"/>
    <s v="Yes"/>
    <x v="4"/>
    <x v="4"/>
    <s v="Berlin"/>
    <x v="0"/>
    <s v="X3"/>
    <s v="Hybrid"/>
    <x v="0"/>
    <s v="36-50"/>
    <s v="Medium"/>
    <x v="0"/>
    <x v="0"/>
    <s v="Sales_9"/>
    <n v="159"/>
    <n v="83"/>
    <n v="61"/>
    <n v="24"/>
    <s v="28.92"/>
    <n v="50239"/>
    <s v="4.55"/>
    <n v="38379"/>
    <n v="1205736"/>
    <n v="284640"/>
    <s v="Feb"/>
    <n v="2"/>
    <n v="2026"/>
    <s v="Weekend"/>
    <n v="0.39344262295081966"/>
    <n v="0.5220125786163522"/>
    <n v="0.15094339622641509"/>
    <n v="11860"/>
    <s v="Autohaus Berlin"/>
  </r>
  <r>
    <s v="CUST_4480"/>
    <x v="4"/>
    <x v="2"/>
    <s v="Wednesday"/>
    <s v="No"/>
    <x v="8"/>
    <x v="8"/>
    <s v="Baden-WÃ¼rttemberg"/>
    <x v="0"/>
    <s v="X5"/>
    <s v="Electric"/>
    <x v="0"/>
    <s v="36-50"/>
    <s v="High"/>
    <x v="0"/>
    <x v="3"/>
    <s v="Sales_20"/>
    <n v="149"/>
    <n v="77"/>
    <n v="55"/>
    <n v="20"/>
    <s v="25.97"/>
    <n v="62513"/>
    <s v="3.92"/>
    <n v="45754"/>
    <n v="1250260"/>
    <n v="335180"/>
    <s v="Feb"/>
    <n v="2"/>
    <n v="2026"/>
    <s v="Weekday"/>
    <n v="0.36363636363636365"/>
    <n v="0.51677852348993292"/>
    <n v="0.13422818791946309"/>
    <n v="16759"/>
    <s v="Stuttgart Auto Center"/>
  </r>
  <r>
    <s v="CUST_4481"/>
    <x v="16"/>
    <x v="1"/>
    <s v="Tuesday"/>
    <s v="No"/>
    <x v="0"/>
    <x v="0"/>
    <s v="Hesse"/>
    <x v="4"/>
    <s v="Passat"/>
    <s v="Diesel"/>
    <x v="1"/>
    <s v="18-25"/>
    <s v="High"/>
    <x v="0"/>
    <x v="0"/>
    <s v="Sales_15"/>
    <n v="419"/>
    <n v="195"/>
    <n v="120"/>
    <n v="25"/>
    <s v="12.82"/>
    <n v="31385"/>
    <s v="10.37"/>
    <n v="27182"/>
    <n v="784625"/>
    <n v="105075"/>
    <s v="Feb"/>
    <n v="2"/>
    <n v="2026"/>
    <s v="Weekday"/>
    <n v="0.20833333333333334"/>
    <n v="0.46539379474940334"/>
    <n v="5.9665871121718374E-2"/>
    <n v="4203"/>
    <s v="Main Auto Hub"/>
  </r>
  <r>
    <s v="CUST_4482"/>
    <x v="26"/>
    <x v="1"/>
    <s v="Friday"/>
    <s v="No"/>
    <x v="1"/>
    <x v="1"/>
    <s v="NRW"/>
    <x v="2"/>
    <s v="Q5"/>
    <s v="Hybrid"/>
    <x v="0"/>
    <s v="26-35"/>
    <s v="Low"/>
    <x v="1"/>
    <x v="3"/>
    <s v="Sales_11"/>
    <n v="197"/>
    <n v="122"/>
    <n v="90"/>
    <n v="27"/>
    <s v="22.13"/>
    <n v="52817"/>
    <s v="4.43"/>
    <n v="41158"/>
    <n v="1426059"/>
    <n v="314793"/>
    <s v="Feb"/>
    <n v="2"/>
    <n v="2026"/>
    <s v="Weekday"/>
    <n v="0.3"/>
    <n v="0.61928934010152281"/>
    <n v="0.13705583756345177"/>
    <n v="11659"/>
    <s v="Rhein Auto Group"/>
  </r>
  <r>
    <s v="CUST_4483"/>
    <x v="25"/>
    <x v="3"/>
    <s v="Friday"/>
    <s v="No"/>
    <x v="5"/>
    <x v="5"/>
    <s v="Hamburg"/>
    <x v="0"/>
    <s v="3 Series"/>
    <s v="Electric"/>
    <x v="1"/>
    <s v="18-25"/>
    <s v="Low"/>
    <x v="0"/>
    <x v="2"/>
    <s v="Sales_1"/>
    <n v="206"/>
    <n v="119"/>
    <n v="89"/>
    <n v="40"/>
    <s v="33.61"/>
    <n v="65123"/>
    <s v="5.99"/>
    <n v="47285"/>
    <n v="2604920"/>
    <n v="713520"/>
    <s v="Feb"/>
    <n v="2"/>
    <n v="2026"/>
    <s v="Weekday"/>
    <n v="0.449438202247191"/>
    <n v="0.57766990291262132"/>
    <n v="0.1941747572815534"/>
    <n v="17838"/>
    <s v="Elbe Drive"/>
  </r>
  <r>
    <s v="CUST_4484"/>
    <x v="25"/>
    <x v="3"/>
    <s v="Friday"/>
    <s v="No"/>
    <x v="8"/>
    <x v="8"/>
    <s v="Baden-WÃ¼rttemberg"/>
    <x v="3"/>
    <s v="C-Class"/>
    <s v="Electric"/>
    <x v="1"/>
    <s v="50+"/>
    <s v="High"/>
    <x v="1"/>
    <x v="1"/>
    <s v="Sales_6"/>
    <n v="219"/>
    <n v="114"/>
    <n v="83"/>
    <n v="28"/>
    <s v="24.56"/>
    <n v="55475"/>
    <s v="3.9"/>
    <n v="41898"/>
    <n v="1553300"/>
    <n v="380156"/>
    <s v="Feb"/>
    <n v="2"/>
    <n v="2026"/>
    <s v="Weekday"/>
    <n v="0.33734939759036142"/>
    <n v="0.52054794520547942"/>
    <n v="0.12785388127853881"/>
    <n v="13577"/>
    <s v="Stuttgart Auto Center"/>
  </r>
  <r>
    <s v="CUST_4485"/>
    <x v="3"/>
    <x v="1"/>
    <s v="Sunday"/>
    <s v="Yes"/>
    <x v="0"/>
    <x v="0"/>
    <s v="Hesse"/>
    <x v="3"/>
    <s v="EQE"/>
    <s v="Hybrid"/>
    <x v="1"/>
    <s v="36-50"/>
    <s v="Low"/>
    <x v="0"/>
    <x v="2"/>
    <s v="Sales_10"/>
    <n v="215"/>
    <n v="127"/>
    <n v="88"/>
    <n v="35"/>
    <s v="27.56"/>
    <n v="71202"/>
    <s v="3.99"/>
    <n v="55116"/>
    <n v="2492070"/>
    <n v="563010"/>
    <s v="Feb"/>
    <n v="2"/>
    <n v="2026"/>
    <s v="Weekend"/>
    <n v="0.39772727272727271"/>
    <n v="0.59069767441860466"/>
    <n v="0.16279069767441862"/>
    <n v="16086"/>
    <s v="Main Auto Hub"/>
  </r>
  <r>
    <s v="CUST_4486"/>
    <x v="16"/>
    <x v="1"/>
    <s v="Tuesday"/>
    <s v="No"/>
    <x v="2"/>
    <x v="2"/>
    <s v="Lower Saxony"/>
    <x v="0"/>
    <s v="5 Series"/>
    <s v="Electric"/>
    <x v="1"/>
    <s v="26-35"/>
    <s v="High"/>
    <x v="0"/>
    <x v="0"/>
    <s v="Sales_15"/>
    <n v="151"/>
    <n v="84"/>
    <n v="67"/>
    <n v="24"/>
    <s v="28.57"/>
    <n v="50130"/>
    <s v="4.97"/>
    <n v="36490"/>
    <n v="1203120"/>
    <n v="327360"/>
    <s v="Feb"/>
    <n v="2"/>
    <n v="2026"/>
    <s v="Weekday"/>
    <n v="0.35820895522388058"/>
    <n v="0.55629139072847678"/>
    <n v="0.15894039735099338"/>
    <n v="13640"/>
    <s v="Hannover Cars"/>
  </r>
  <r>
    <s v="CUST_4487"/>
    <x v="16"/>
    <x v="1"/>
    <s v="Tuesday"/>
    <s v="No"/>
    <x v="3"/>
    <x v="3"/>
    <s v="Saxony"/>
    <x v="3"/>
    <s v="GLE"/>
    <s v="Hybrid"/>
    <x v="0"/>
    <s v="50+"/>
    <s v="Medium"/>
    <x v="0"/>
    <x v="2"/>
    <s v="Sales_3"/>
    <n v="269"/>
    <n v="123"/>
    <n v="82"/>
    <n v="32"/>
    <s v="26.02"/>
    <n v="54999"/>
    <s v="2.51"/>
    <n v="42670"/>
    <n v="1759968"/>
    <n v="394528"/>
    <s v="Feb"/>
    <n v="2"/>
    <n v="2026"/>
    <s v="Weekday"/>
    <n v="0.3902439024390244"/>
    <n v="0.45724907063197023"/>
    <n v="0.11895910780669144"/>
    <n v="12329"/>
    <s v="Saxon Wheels"/>
  </r>
  <r>
    <s v="CUST_4488"/>
    <x v="16"/>
    <x v="1"/>
    <s v="Tuesday"/>
    <s v="No"/>
    <x v="9"/>
    <x v="9"/>
    <s v="NRW"/>
    <x v="2"/>
    <s v="Q3"/>
    <s v="Diesel"/>
    <x v="0"/>
    <s v="18-25"/>
    <s v="High"/>
    <x v="0"/>
    <x v="2"/>
    <s v="Sales_5"/>
    <n v="222"/>
    <n v="123"/>
    <n v="82"/>
    <n v="29"/>
    <s v="23.58"/>
    <n v="51109"/>
    <s v="4.93"/>
    <n v="39308"/>
    <n v="1482161"/>
    <n v="342229"/>
    <s v="Feb"/>
    <n v="2"/>
    <n v="2026"/>
    <s v="Weekday"/>
    <n v="0.35365853658536583"/>
    <n v="0.55405405405405406"/>
    <n v="0.13063063063063063"/>
    <n v="11801"/>
    <s v="Ruhr Auto Plaza"/>
  </r>
  <r>
    <s v="CUST_4489"/>
    <x v="11"/>
    <x v="0"/>
    <s v="Wednesday"/>
    <s v="No"/>
    <x v="3"/>
    <x v="3"/>
    <s v="Saxony"/>
    <x v="2"/>
    <s v="A3"/>
    <s v="Diesel"/>
    <x v="2"/>
    <s v="18-25"/>
    <s v="Low"/>
    <x v="0"/>
    <x v="1"/>
    <s v="Sales_3"/>
    <n v="247"/>
    <n v="156"/>
    <n v="111"/>
    <n v="40"/>
    <s v="25.64"/>
    <n v="54306"/>
    <s v="5.82"/>
    <n v="41126"/>
    <n v="2172240"/>
    <n v="527200"/>
    <s v="Feb"/>
    <n v="2"/>
    <n v="2026"/>
    <s v="Weekday"/>
    <n v="0.36036036036036034"/>
    <n v="0.63157894736842102"/>
    <n v="0.16194331983805668"/>
    <n v="13180"/>
    <s v="Saxon Wheels"/>
  </r>
  <r>
    <s v="CUST_4490"/>
    <x v="25"/>
    <x v="3"/>
    <s v="Friday"/>
    <s v="No"/>
    <x v="3"/>
    <x v="3"/>
    <s v="Saxony"/>
    <x v="2"/>
    <s v="Q3"/>
    <s v="Petrol"/>
    <x v="0"/>
    <s v="36-50"/>
    <s v="Medium"/>
    <x v="1"/>
    <x v="0"/>
    <s v="Sales_1"/>
    <n v="265"/>
    <n v="158"/>
    <n v="114"/>
    <n v="31"/>
    <s v="19.62"/>
    <n v="51420"/>
    <s v="6.33"/>
    <n v="41665"/>
    <n v="1594020"/>
    <n v="302405"/>
    <s v="Feb"/>
    <n v="2"/>
    <n v="2026"/>
    <s v="Weekday"/>
    <n v="0.27192982456140352"/>
    <n v="0.5962264150943396"/>
    <n v="0.1169811320754717"/>
    <n v="9755"/>
    <s v="Saxon Wheels"/>
  </r>
  <r>
    <s v="CUST_4491"/>
    <x v="13"/>
    <x v="0"/>
    <s v="Friday"/>
    <s v="No"/>
    <x v="7"/>
    <x v="7"/>
    <s v="Bavaria"/>
    <x v="3"/>
    <s v="GLC"/>
    <s v="Electric"/>
    <x v="0"/>
    <s v="26-35"/>
    <s v="Medium"/>
    <x v="0"/>
    <x v="2"/>
    <s v="Sales_2"/>
    <n v="250"/>
    <n v="134"/>
    <n v="101"/>
    <n v="40"/>
    <s v="29.85"/>
    <n v="58951"/>
    <s v="4.36"/>
    <n v="45068"/>
    <n v="2358040"/>
    <n v="555320"/>
    <s v="Feb"/>
    <n v="2"/>
    <n v="2026"/>
    <s v="Weekday"/>
    <n v="0.39603960396039606"/>
    <n v="0.53600000000000003"/>
    <n v="0.16"/>
    <n v="13883"/>
    <s v="Bavaria Motors"/>
  </r>
  <r>
    <s v="CUST_4492"/>
    <x v="16"/>
    <x v="1"/>
    <s v="Tuesday"/>
    <s v="No"/>
    <x v="5"/>
    <x v="5"/>
    <s v="Hamburg"/>
    <x v="0"/>
    <s v="5 Series"/>
    <s v="Diesel"/>
    <x v="1"/>
    <s v="18-25"/>
    <s v="High"/>
    <x v="0"/>
    <x v="1"/>
    <s v="Sales_2"/>
    <n v="161"/>
    <n v="96"/>
    <n v="66"/>
    <n v="29"/>
    <s v="30.21"/>
    <n v="55501"/>
    <s v="4.81"/>
    <n v="39249"/>
    <n v="1609529"/>
    <n v="471308"/>
    <s v="Feb"/>
    <n v="2"/>
    <n v="2026"/>
    <s v="Weekday"/>
    <n v="0.43939393939393939"/>
    <n v="0.59627329192546585"/>
    <n v="0.18012422360248448"/>
    <n v="16252"/>
    <s v="Elbe Drive"/>
  </r>
  <r>
    <s v="CUST_4493"/>
    <x v="13"/>
    <x v="0"/>
    <s v="Friday"/>
    <s v="No"/>
    <x v="3"/>
    <x v="3"/>
    <s v="Saxony"/>
    <x v="1"/>
    <s v="Grandland"/>
    <s v="Hybrid"/>
    <x v="0"/>
    <s v="26-35"/>
    <s v="Low"/>
    <x v="1"/>
    <x v="1"/>
    <s v="Sales_9"/>
    <n v="423"/>
    <n v="221"/>
    <n v="146"/>
    <n v="37"/>
    <s v="16.74"/>
    <n v="24569"/>
    <s v="11.73"/>
    <n v="22666"/>
    <n v="909053"/>
    <n v="70411"/>
    <s v="Feb"/>
    <n v="2"/>
    <n v="2026"/>
    <s v="Weekday"/>
    <n v="0.25342465753424659"/>
    <n v="0.52245862884160754"/>
    <n v="8.7470449172576833E-2"/>
    <n v="1903"/>
    <s v="Saxon Wheels"/>
  </r>
  <r>
    <s v="CUST_4494"/>
    <x v="7"/>
    <x v="3"/>
    <s v="Monday"/>
    <s v="No"/>
    <x v="6"/>
    <x v="6"/>
    <s v="Saxony"/>
    <x v="2"/>
    <s v="A4"/>
    <s v="Petrol"/>
    <x v="1"/>
    <s v="18-25"/>
    <s v="High"/>
    <x v="1"/>
    <x v="2"/>
    <s v="Sales_13"/>
    <n v="298"/>
    <n v="170"/>
    <n v="131"/>
    <n v="42"/>
    <s v="24.71"/>
    <n v="52318"/>
    <s v="6.21"/>
    <n v="42480"/>
    <n v="2197356"/>
    <n v="413196"/>
    <s v="Feb"/>
    <n v="2"/>
    <n v="2026"/>
    <s v="Weekday"/>
    <n v="0.32061068702290074"/>
    <n v="0.57046979865771807"/>
    <n v="0.14093959731543623"/>
    <n v="9838"/>
    <s v="Leipzig Mobility"/>
  </r>
  <r>
    <s v="CUST_4495"/>
    <x v="14"/>
    <x v="2"/>
    <s v="Friday"/>
    <s v="No"/>
    <x v="8"/>
    <x v="8"/>
    <s v="Baden-WÃ¼rttemberg"/>
    <x v="1"/>
    <s v="Corsa"/>
    <s v="Diesel"/>
    <x v="2"/>
    <s v="50+"/>
    <s v="Low"/>
    <x v="1"/>
    <x v="2"/>
    <s v="Sales_14"/>
    <n v="332"/>
    <n v="167"/>
    <n v="110"/>
    <n v="33"/>
    <s v="19.76"/>
    <n v="21554"/>
    <s v="9.0"/>
    <n v="19724"/>
    <n v="711282"/>
    <n v="60390"/>
    <s v="Feb"/>
    <n v="2"/>
    <n v="2026"/>
    <s v="Weekday"/>
    <n v="0.3"/>
    <n v="0.50301204819277112"/>
    <n v="9.9397590361445784E-2"/>
    <n v="1830"/>
    <s v="Stuttgart Auto Center"/>
  </r>
  <r>
    <s v="CUST_4496"/>
    <x v="9"/>
    <x v="0"/>
    <s v="Sunday"/>
    <s v="Yes"/>
    <x v="6"/>
    <x v="6"/>
    <s v="Saxony"/>
    <x v="0"/>
    <s v="X5"/>
    <s v="Diesel"/>
    <x v="0"/>
    <s v="26-35"/>
    <s v="High"/>
    <x v="1"/>
    <x v="1"/>
    <s v="Sales_5"/>
    <n v="196"/>
    <n v="95"/>
    <n v="73"/>
    <n v="25"/>
    <s v="26.32"/>
    <n v="51364"/>
    <s v="5.08"/>
    <n v="37632"/>
    <n v="1284100"/>
    <n v="343300"/>
    <s v="Feb"/>
    <n v="2"/>
    <n v="2026"/>
    <s v="Weekend"/>
    <n v="0.34246575342465752"/>
    <n v="0.48469387755102039"/>
    <n v="0.12755102040816327"/>
    <n v="13732"/>
    <s v="Leipzig Mobility"/>
  </r>
  <r>
    <s v="CUST_4497"/>
    <x v="12"/>
    <x v="3"/>
    <s v="Thursday"/>
    <s v="No"/>
    <x v="0"/>
    <x v="0"/>
    <s v="Hesse"/>
    <x v="1"/>
    <s v="Mokka"/>
    <s v="Petrol"/>
    <x v="0"/>
    <s v="50+"/>
    <s v="Medium"/>
    <x v="0"/>
    <x v="3"/>
    <s v="Sales_20"/>
    <n v="380"/>
    <n v="183"/>
    <n v="106"/>
    <n v="24"/>
    <s v="13.11"/>
    <n v="27499"/>
    <s v="8.24"/>
    <n v="24618"/>
    <n v="659976"/>
    <n v="69144"/>
    <s v="Feb"/>
    <n v="2"/>
    <n v="2026"/>
    <s v="Weekday"/>
    <n v="0.22641509433962265"/>
    <n v="0.48157894736842105"/>
    <n v="6.3157894736842107E-2"/>
    <n v="2881"/>
    <s v="Main Auto Hub"/>
  </r>
  <r>
    <s v="CUST_4498"/>
    <x v="10"/>
    <x v="1"/>
    <s v="Monday"/>
    <s v="No"/>
    <x v="1"/>
    <x v="1"/>
    <s v="NRW"/>
    <x v="3"/>
    <s v="GLE"/>
    <s v="Diesel"/>
    <x v="0"/>
    <s v="26-35"/>
    <s v="Medium"/>
    <x v="0"/>
    <x v="0"/>
    <s v="Sales_9"/>
    <n v="153"/>
    <n v="80"/>
    <n v="57"/>
    <n v="17"/>
    <s v="21.25"/>
    <n v="60152"/>
    <s v="4.96"/>
    <n v="44044"/>
    <n v="1022584"/>
    <n v="273836"/>
    <s v="Feb"/>
    <n v="2"/>
    <n v="2026"/>
    <s v="Weekday"/>
    <n v="0.2982456140350877"/>
    <n v="0.52287581699346408"/>
    <n v="0.1111111111111111"/>
    <n v="16108"/>
    <s v="Rhein Auto Group"/>
  </r>
  <r>
    <s v="CUST_4499"/>
    <x v="22"/>
    <x v="3"/>
    <s v="Tuesday"/>
    <s v="No"/>
    <x v="0"/>
    <x v="0"/>
    <s v="Hesse"/>
    <x v="2"/>
    <s v="Q5"/>
    <s v="Petrol"/>
    <x v="0"/>
    <s v="36-50"/>
    <s v="Medium"/>
    <x v="0"/>
    <x v="2"/>
    <s v="Sales_20"/>
    <n v="239"/>
    <n v="120"/>
    <n v="77"/>
    <n v="32"/>
    <s v="26.67"/>
    <n v="50499"/>
    <s v="3.49"/>
    <n v="38524"/>
    <n v="1615968"/>
    <n v="383200"/>
    <s v="Feb"/>
    <n v="2"/>
    <n v="2026"/>
    <s v="Weekday"/>
    <n v="0.41558441558441561"/>
    <n v="0.502092050209205"/>
    <n v="0.13389121338912133"/>
    <n v="11975"/>
    <s v="Main Auto Hub"/>
  </r>
  <r>
    <s v="CUST_4500"/>
    <x v="11"/>
    <x v="0"/>
    <s v="Wednesday"/>
    <s v="No"/>
    <x v="5"/>
    <x v="5"/>
    <s v="Hamburg"/>
    <x v="4"/>
    <s v="Passat"/>
    <s v="Petrol"/>
    <x v="1"/>
    <s v="26-35"/>
    <s v="High"/>
    <x v="1"/>
    <x v="0"/>
    <s v="Sales_4"/>
    <n v="362"/>
    <n v="172"/>
    <n v="102"/>
    <n v="25"/>
    <s v="14.53"/>
    <n v="30441"/>
    <s v="7.53"/>
    <n v="27347"/>
    <n v="761025"/>
    <n v="77350"/>
    <s v="Feb"/>
    <n v="2"/>
    <n v="2026"/>
    <s v="Weekday"/>
    <n v="0.24509803921568626"/>
    <n v="0.47513812154696133"/>
    <n v="6.9060773480662987E-2"/>
    <n v="3094"/>
    <s v="Elbe Drive"/>
  </r>
  <r>
    <s v="CUST_4501"/>
    <x v="1"/>
    <x v="1"/>
    <s v="Wednesday"/>
    <s v="No"/>
    <x v="4"/>
    <x v="4"/>
    <s v="Berlin"/>
    <x v="2"/>
    <s v="A4"/>
    <s v="Hybrid"/>
    <x v="1"/>
    <s v="18-25"/>
    <s v="High"/>
    <x v="0"/>
    <x v="2"/>
    <s v="Sales_4"/>
    <n v="202"/>
    <n v="121"/>
    <n v="84"/>
    <n v="31"/>
    <s v="25.62"/>
    <n v="43814"/>
    <s v="3.29"/>
    <n v="34317"/>
    <n v="1358234"/>
    <n v="294407"/>
    <s v="Feb"/>
    <n v="2"/>
    <n v="2026"/>
    <s v="Weekday"/>
    <n v="0.36904761904761907"/>
    <n v="0.59900990099009899"/>
    <n v="0.15346534653465346"/>
    <n v="9497"/>
    <s v="Autohaus Berlin"/>
  </r>
  <r>
    <s v="CUST_4502"/>
    <x v="19"/>
    <x v="1"/>
    <s v="Saturday"/>
    <s v="Yes"/>
    <x v="7"/>
    <x v="7"/>
    <s v="Bavaria"/>
    <x v="0"/>
    <s v="i4"/>
    <s v="Petrol"/>
    <x v="1"/>
    <s v="50+"/>
    <s v="Low"/>
    <x v="1"/>
    <x v="2"/>
    <s v="Sales_11"/>
    <n v="168"/>
    <n v="86"/>
    <n v="61"/>
    <n v="28"/>
    <s v="32.56"/>
    <n v="62050"/>
    <s v="3.54"/>
    <n v="47203"/>
    <n v="1737400"/>
    <n v="415716"/>
    <s v="Feb"/>
    <n v="2"/>
    <n v="2026"/>
    <s v="Weekend"/>
    <n v="0.45901639344262296"/>
    <n v="0.51190476190476186"/>
    <n v="0.16666666666666666"/>
    <n v="14847"/>
    <s v="Bavaria Motors"/>
  </r>
  <r>
    <s v="CUST_4503"/>
    <x v="18"/>
    <x v="0"/>
    <s v="Saturday"/>
    <s v="Yes"/>
    <x v="6"/>
    <x v="6"/>
    <s v="Saxony"/>
    <x v="3"/>
    <s v="EQE"/>
    <s v="Electric"/>
    <x v="1"/>
    <s v="18-25"/>
    <s v="Low"/>
    <x v="1"/>
    <x v="2"/>
    <s v="Sales_13"/>
    <n v="231"/>
    <n v="122"/>
    <n v="97"/>
    <n v="30"/>
    <s v="24.59"/>
    <n v="58721"/>
    <s v="3.79"/>
    <n v="42180"/>
    <n v="1761630"/>
    <n v="496230"/>
    <s v="Feb"/>
    <n v="2"/>
    <n v="2026"/>
    <s v="Weekend"/>
    <n v="0.30927835051546393"/>
    <n v="0.52813852813852813"/>
    <n v="0.12987012987012986"/>
    <n v="16541"/>
    <s v="Leipzig Mobility"/>
  </r>
  <r>
    <s v="CUST_4504"/>
    <x v="21"/>
    <x v="0"/>
    <s v="Tuesday"/>
    <s v="No"/>
    <x v="8"/>
    <x v="8"/>
    <s v="Baden-WÃ¼rttemberg"/>
    <x v="0"/>
    <s v="X3"/>
    <s v="Petrol"/>
    <x v="0"/>
    <s v="26-35"/>
    <s v="Medium"/>
    <x v="0"/>
    <x v="2"/>
    <s v="Sales_2"/>
    <n v="186"/>
    <n v="91"/>
    <n v="74"/>
    <n v="29"/>
    <s v="31.87"/>
    <n v="59227"/>
    <s v="5.37"/>
    <n v="42380"/>
    <n v="1717583"/>
    <n v="488563"/>
    <s v="Feb"/>
    <n v="2"/>
    <n v="2026"/>
    <s v="Weekday"/>
    <n v="0.39189189189189189"/>
    <n v="0.489247311827957"/>
    <n v="0.15591397849462366"/>
    <n v="16847"/>
    <s v="Stuttgart Auto Center"/>
  </r>
  <r>
    <s v="CUST_4505"/>
    <x v="23"/>
    <x v="2"/>
    <s v="Tuesday"/>
    <s v="No"/>
    <x v="9"/>
    <x v="9"/>
    <s v="NRW"/>
    <x v="4"/>
    <s v="Golf"/>
    <s v="Hybrid"/>
    <x v="2"/>
    <s v="50+"/>
    <s v="Medium"/>
    <x v="0"/>
    <x v="2"/>
    <s v="Sales_1"/>
    <n v="484"/>
    <n v="232"/>
    <n v="141"/>
    <n v="46"/>
    <s v="19.83"/>
    <n v="26784"/>
    <s v="6.24"/>
    <n v="24368"/>
    <n v="1232064"/>
    <n v="111136"/>
    <s v="Feb"/>
    <n v="2"/>
    <n v="2026"/>
    <s v="Weekday"/>
    <n v="0.32624113475177308"/>
    <n v="0.47933884297520662"/>
    <n v="9.5041322314049589E-2"/>
    <n v="2416"/>
    <s v="Ruhr Auto Plaza"/>
  </r>
  <r>
    <s v="CUST_4506"/>
    <x v="25"/>
    <x v="3"/>
    <s v="Friday"/>
    <s v="No"/>
    <x v="8"/>
    <x v="8"/>
    <s v="Baden-WÃ¼rttemberg"/>
    <x v="4"/>
    <s v="T-Roc"/>
    <s v="Hybrid"/>
    <x v="0"/>
    <s v="36-50"/>
    <s v="High"/>
    <x v="1"/>
    <x v="2"/>
    <s v="Sales_17"/>
    <n v="331"/>
    <n v="153"/>
    <n v="98"/>
    <n v="30"/>
    <s v="19.61"/>
    <n v="30803"/>
    <s v="11.71"/>
    <n v="27704"/>
    <n v="924090"/>
    <n v="92970"/>
    <s v="Feb"/>
    <n v="2"/>
    <n v="2026"/>
    <s v="Weekday"/>
    <n v="0.30612244897959184"/>
    <n v="0.46223564954682778"/>
    <n v="9.0634441087613288E-2"/>
    <n v="3099"/>
    <s v="Stuttgart Auto Center"/>
  </r>
  <r>
    <s v="CUST_4507"/>
    <x v="13"/>
    <x v="0"/>
    <s v="Friday"/>
    <s v="No"/>
    <x v="1"/>
    <x v="1"/>
    <s v="NRW"/>
    <x v="1"/>
    <s v="Grandland"/>
    <s v="Hybrid"/>
    <x v="0"/>
    <s v="36-50"/>
    <s v="Medium"/>
    <x v="1"/>
    <x v="2"/>
    <s v="Sales_10"/>
    <n v="408"/>
    <n v="166"/>
    <n v="100"/>
    <n v="32"/>
    <s v="19.28"/>
    <n v="21772"/>
    <s v="12.0"/>
    <n v="19428"/>
    <n v="696704"/>
    <n v="75008"/>
    <s v="Feb"/>
    <n v="2"/>
    <n v="2026"/>
    <s v="Weekday"/>
    <n v="0.32"/>
    <n v="0.40686274509803921"/>
    <n v="7.8431372549019607E-2"/>
    <n v="2344"/>
    <s v="Rhein Auto Group"/>
  </r>
  <r>
    <s v="CUST_4508"/>
    <x v="22"/>
    <x v="3"/>
    <s v="Tuesday"/>
    <s v="No"/>
    <x v="1"/>
    <x v="1"/>
    <s v="NRW"/>
    <x v="4"/>
    <s v="Golf"/>
    <s v="Diesel"/>
    <x v="2"/>
    <s v="50+"/>
    <s v="Medium"/>
    <x v="0"/>
    <x v="0"/>
    <s v="Sales_3"/>
    <n v="299"/>
    <n v="141"/>
    <n v="83"/>
    <n v="23"/>
    <s v="16.31"/>
    <n v="32265"/>
    <s v="9.54"/>
    <n v="28829"/>
    <n v="742095"/>
    <n v="79028"/>
    <s v="Feb"/>
    <n v="2"/>
    <n v="2026"/>
    <s v="Weekday"/>
    <n v="0.27710843373493976"/>
    <n v="0.47157190635451507"/>
    <n v="7.6923076923076927E-2"/>
    <n v="3436"/>
    <s v="Rhein Auto Group"/>
  </r>
  <r>
    <s v="CUST_4509"/>
    <x v="14"/>
    <x v="2"/>
    <s v="Friday"/>
    <s v="No"/>
    <x v="4"/>
    <x v="4"/>
    <s v="Berlin"/>
    <x v="3"/>
    <s v="EQE"/>
    <s v="Hybrid"/>
    <x v="1"/>
    <s v="36-50"/>
    <s v="High"/>
    <x v="1"/>
    <x v="2"/>
    <s v="Sales_8"/>
    <n v="234"/>
    <n v="106"/>
    <n v="73"/>
    <n v="29"/>
    <s v="27.36"/>
    <n v="72780"/>
    <s v="2.89"/>
    <n v="55383"/>
    <n v="2110620"/>
    <n v="504513"/>
    <s v="Feb"/>
    <n v="2"/>
    <n v="2026"/>
    <s v="Weekday"/>
    <n v="0.39726027397260272"/>
    <n v="0.45299145299145299"/>
    <n v="0.12393162393162394"/>
    <n v="17397"/>
    <s v="Autohaus Berlin"/>
  </r>
  <r>
    <s v="CUST_4510"/>
    <x v="11"/>
    <x v="0"/>
    <s v="Wednesday"/>
    <s v="No"/>
    <x v="8"/>
    <x v="8"/>
    <s v="Baden-WÃ¼rttemberg"/>
    <x v="4"/>
    <s v="T-Roc"/>
    <s v="Electric"/>
    <x v="0"/>
    <s v="36-50"/>
    <s v="High"/>
    <x v="1"/>
    <x v="0"/>
    <s v="Sales_7"/>
    <n v="284"/>
    <n v="152"/>
    <n v="109"/>
    <n v="23"/>
    <s v="15.13"/>
    <n v="31514"/>
    <s v="11.44"/>
    <n v="27182"/>
    <n v="724822"/>
    <n v="99636"/>
    <s v="Feb"/>
    <n v="2"/>
    <n v="2026"/>
    <s v="Weekday"/>
    <n v="0.21100917431192662"/>
    <n v="0.53521126760563376"/>
    <n v="8.098591549295775E-2"/>
    <n v="4332"/>
    <s v="Stuttgart Auto Center"/>
  </r>
  <r>
    <s v="CUST_4511"/>
    <x v="13"/>
    <x v="0"/>
    <s v="Friday"/>
    <s v="No"/>
    <x v="1"/>
    <x v="1"/>
    <s v="NRW"/>
    <x v="2"/>
    <s v="e-tron"/>
    <s v="Hybrid"/>
    <x v="0"/>
    <s v="36-50"/>
    <s v="High"/>
    <x v="1"/>
    <x v="2"/>
    <s v="Sales_6"/>
    <n v="200"/>
    <n v="104"/>
    <n v="74"/>
    <n v="27"/>
    <s v="25.96"/>
    <n v="49646"/>
    <s v="3.1"/>
    <n v="40015"/>
    <n v="1340442"/>
    <n v="260037"/>
    <s v="Feb"/>
    <n v="2"/>
    <n v="2026"/>
    <s v="Weekday"/>
    <n v="0.36486486486486486"/>
    <n v="0.52"/>
    <n v="0.13500000000000001"/>
    <n v="9631"/>
    <s v="Rhein Auto Group"/>
  </r>
  <r>
    <s v="CUST_4512"/>
    <x v="1"/>
    <x v="1"/>
    <s v="Wednesday"/>
    <s v="No"/>
    <x v="8"/>
    <x v="8"/>
    <s v="Baden-WÃ¼rttemberg"/>
    <x v="1"/>
    <s v="Mokka"/>
    <s v="Diesel"/>
    <x v="0"/>
    <s v="18-25"/>
    <s v="High"/>
    <x v="0"/>
    <x v="3"/>
    <s v="Sales_18"/>
    <n v="375"/>
    <n v="158"/>
    <n v="92"/>
    <n v="29"/>
    <s v="18.35"/>
    <n v="20065"/>
    <s v="12.27"/>
    <n v="17936"/>
    <n v="581885"/>
    <n v="61741"/>
    <s v="Feb"/>
    <n v="2"/>
    <n v="2026"/>
    <s v="Weekday"/>
    <n v="0.31521739130434784"/>
    <n v="0.42133333333333334"/>
    <n v="7.7333333333333337E-2"/>
    <n v="2129"/>
    <s v="Stuttgart Auto Center"/>
  </r>
  <r>
    <s v="CUST_4513"/>
    <x v="15"/>
    <x v="2"/>
    <s v="Thursday"/>
    <s v="No"/>
    <x v="5"/>
    <x v="5"/>
    <s v="Hamburg"/>
    <x v="3"/>
    <s v="GLC"/>
    <s v="Electric"/>
    <x v="0"/>
    <s v="50+"/>
    <s v="Medium"/>
    <x v="1"/>
    <x v="0"/>
    <s v="Sales_15"/>
    <n v="191"/>
    <n v="102"/>
    <n v="69"/>
    <n v="26"/>
    <s v="25.49"/>
    <n v="52836"/>
    <s v="5.0"/>
    <n v="39360"/>
    <n v="1373736"/>
    <n v="350376"/>
    <s v="Feb"/>
    <n v="2"/>
    <n v="2026"/>
    <s v="Weekday"/>
    <n v="0.37681159420289856"/>
    <n v="0.53403141361256545"/>
    <n v="0.13612565445026178"/>
    <n v="13476"/>
    <s v="Elbe Drive"/>
  </r>
  <r>
    <s v="CUST_4514"/>
    <x v="17"/>
    <x v="2"/>
    <s v="Sunday"/>
    <s v="Yes"/>
    <x v="4"/>
    <x v="4"/>
    <s v="Berlin"/>
    <x v="2"/>
    <s v="Q3"/>
    <s v="Hybrid"/>
    <x v="0"/>
    <s v="50+"/>
    <s v="Medium"/>
    <x v="0"/>
    <x v="2"/>
    <s v="Sales_5"/>
    <n v="258"/>
    <n v="160"/>
    <n v="120"/>
    <n v="47"/>
    <s v="29.38"/>
    <n v="40632"/>
    <s v="3.97"/>
    <n v="31479"/>
    <n v="1909704"/>
    <n v="430191"/>
    <s v="Feb"/>
    <n v="2"/>
    <n v="2026"/>
    <s v="Weekend"/>
    <n v="0.39166666666666666"/>
    <n v="0.62015503875968991"/>
    <n v="0.18217054263565891"/>
    <n v="9153"/>
    <s v="Autohaus Berlin"/>
  </r>
  <r>
    <s v="CUST_4515"/>
    <x v="19"/>
    <x v="1"/>
    <s v="Saturday"/>
    <s v="Yes"/>
    <x v="8"/>
    <x v="8"/>
    <s v="Baden-WÃ¼rttemberg"/>
    <x v="4"/>
    <s v="Passat"/>
    <s v="Electric"/>
    <x v="1"/>
    <s v="50+"/>
    <s v="High"/>
    <x v="0"/>
    <x v="2"/>
    <s v="Sales_8"/>
    <n v="457"/>
    <n v="216"/>
    <n v="151"/>
    <n v="42"/>
    <s v="19.44"/>
    <n v="30662"/>
    <s v="8.66"/>
    <n v="27561"/>
    <n v="1287804"/>
    <n v="130242"/>
    <s v="Feb"/>
    <n v="2"/>
    <n v="2026"/>
    <s v="Weekend"/>
    <n v="0.27814569536423839"/>
    <n v="0.47264770240700221"/>
    <n v="9.1903719912472648E-2"/>
    <n v="3101"/>
    <s v="Stuttgart Auto Center"/>
  </r>
  <r>
    <s v="CUST_4516"/>
    <x v="8"/>
    <x v="3"/>
    <s v="Wednesday"/>
    <s v="No"/>
    <x v="3"/>
    <x v="3"/>
    <s v="Saxony"/>
    <x v="4"/>
    <s v="Golf"/>
    <s v="Diesel"/>
    <x v="2"/>
    <s v="36-50"/>
    <s v="Low"/>
    <x v="0"/>
    <x v="3"/>
    <s v="Sales_3"/>
    <n v="371"/>
    <n v="153"/>
    <n v="90"/>
    <n v="20"/>
    <s v="13.07"/>
    <n v="26645"/>
    <s v="6.71"/>
    <n v="23626"/>
    <n v="532900"/>
    <n v="60380"/>
    <s v="Feb"/>
    <n v="2"/>
    <n v="2026"/>
    <s v="Weekday"/>
    <n v="0.22222222222222221"/>
    <n v="0.41239892183288412"/>
    <n v="5.3908355795148251E-2"/>
    <n v="3019"/>
    <s v="Saxon Wheels"/>
  </r>
  <r>
    <s v="CUST_4517"/>
    <x v="3"/>
    <x v="1"/>
    <s v="Sunday"/>
    <s v="Yes"/>
    <x v="9"/>
    <x v="9"/>
    <s v="NRW"/>
    <x v="3"/>
    <s v="E-Class"/>
    <s v="Electric"/>
    <x v="1"/>
    <s v="18-25"/>
    <s v="High"/>
    <x v="1"/>
    <x v="0"/>
    <s v="Sales_11"/>
    <n v="169"/>
    <n v="75"/>
    <n v="51"/>
    <n v="15"/>
    <s v="20.0"/>
    <n v="64097"/>
    <s v="5.74"/>
    <n v="45744"/>
    <n v="961455"/>
    <n v="275295"/>
    <s v="Feb"/>
    <n v="2"/>
    <n v="2026"/>
    <s v="Weekend"/>
    <n v="0.29411764705882354"/>
    <n v="0.4437869822485207"/>
    <n v="8.8757396449704137E-2"/>
    <n v="18353"/>
    <s v="Ruhr Auto Plaza"/>
  </r>
  <r>
    <s v="CUST_4518"/>
    <x v="26"/>
    <x v="1"/>
    <s v="Friday"/>
    <s v="No"/>
    <x v="6"/>
    <x v="6"/>
    <s v="Saxony"/>
    <x v="4"/>
    <s v="Passat"/>
    <s v="Petrol"/>
    <x v="1"/>
    <s v="18-25"/>
    <s v="High"/>
    <x v="1"/>
    <x v="3"/>
    <s v="Sales_15"/>
    <n v="388"/>
    <n v="224"/>
    <n v="158"/>
    <n v="32"/>
    <s v="14.29"/>
    <n v="32116"/>
    <s v="6.59"/>
    <n v="27894"/>
    <n v="1027712"/>
    <n v="135104"/>
    <s v="Feb"/>
    <n v="2"/>
    <n v="2026"/>
    <s v="Weekday"/>
    <n v="0.20253164556962025"/>
    <n v="0.57731958762886593"/>
    <n v="8.247422680412371E-2"/>
    <n v="4222"/>
    <s v="Leipzig Mobility"/>
  </r>
  <r>
    <s v="CUST_4519"/>
    <x v="23"/>
    <x v="2"/>
    <s v="Tuesday"/>
    <s v="No"/>
    <x v="2"/>
    <x v="2"/>
    <s v="Lower Saxony"/>
    <x v="0"/>
    <s v="X3"/>
    <s v="Diesel"/>
    <x v="0"/>
    <s v="26-35"/>
    <s v="Low"/>
    <x v="0"/>
    <x v="1"/>
    <s v="Sales_1"/>
    <n v="215"/>
    <n v="124"/>
    <n v="92"/>
    <n v="35"/>
    <s v="28.23"/>
    <n v="55335"/>
    <s v="3.39"/>
    <n v="40544"/>
    <n v="1936725"/>
    <n v="517685"/>
    <s v="Feb"/>
    <n v="2"/>
    <n v="2026"/>
    <s v="Weekday"/>
    <n v="0.38043478260869568"/>
    <n v="0.57674418604651168"/>
    <n v="0.16279069767441862"/>
    <n v="14791"/>
    <s v="Hannover Cars"/>
  </r>
  <r>
    <s v="CUST_4520"/>
    <x v="7"/>
    <x v="3"/>
    <s v="Monday"/>
    <s v="No"/>
    <x v="6"/>
    <x v="6"/>
    <s v="Saxony"/>
    <x v="2"/>
    <s v="A3"/>
    <s v="Diesel"/>
    <x v="2"/>
    <s v="26-35"/>
    <s v="Medium"/>
    <x v="1"/>
    <x v="0"/>
    <s v="Sales_20"/>
    <n v="247"/>
    <n v="120"/>
    <n v="79"/>
    <n v="21"/>
    <s v="17.5"/>
    <n v="52556"/>
    <s v="4.49"/>
    <n v="41401"/>
    <n v="1103676"/>
    <n v="234255"/>
    <s v="Feb"/>
    <n v="2"/>
    <n v="2026"/>
    <s v="Weekday"/>
    <n v="0.26582278481012656"/>
    <n v="0.48582995951417002"/>
    <n v="8.5020242914979755E-2"/>
    <n v="11155"/>
    <s v="Leipzig Mobility"/>
  </r>
  <r>
    <s v="CUST_4521"/>
    <x v="21"/>
    <x v="0"/>
    <s v="Tuesday"/>
    <s v="No"/>
    <x v="5"/>
    <x v="5"/>
    <s v="Hamburg"/>
    <x v="3"/>
    <s v="GLE"/>
    <s v="Electric"/>
    <x v="0"/>
    <s v="18-25"/>
    <s v="Medium"/>
    <x v="1"/>
    <x v="2"/>
    <s v="Sales_15"/>
    <n v="288"/>
    <n v="171"/>
    <n v="118"/>
    <n v="51"/>
    <s v="29.82"/>
    <n v="64409"/>
    <s v="4.58"/>
    <n v="47535"/>
    <n v="3284859"/>
    <n v="860574"/>
    <s v="Feb"/>
    <n v="2"/>
    <n v="2026"/>
    <s v="Weekday"/>
    <n v="0.43220338983050849"/>
    <n v="0.59375"/>
    <n v="0.17708333333333334"/>
    <n v="16874"/>
    <s v="Elbe Drive"/>
  </r>
  <r>
    <s v="CUST_4522"/>
    <x v="19"/>
    <x v="1"/>
    <s v="Saturday"/>
    <s v="Yes"/>
    <x v="2"/>
    <x v="2"/>
    <s v="Lower Saxony"/>
    <x v="2"/>
    <s v="Q5"/>
    <s v="Petrol"/>
    <x v="0"/>
    <s v="26-35"/>
    <s v="Medium"/>
    <x v="0"/>
    <x v="3"/>
    <s v="Sales_15"/>
    <n v="270"/>
    <n v="131"/>
    <n v="86"/>
    <n v="31"/>
    <s v="23.66"/>
    <n v="50022"/>
    <s v="5.94"/>
    <n v="39632"/>
    <n v="1550682"/>
    <n v="322090"/>
    <s v="Feb"/>
    <n v="2"/>
    <n v="2026"/>
    <s v="Weekend"/>
    <n v="0.36046511627906974"/>
    <n v="0.48518518518518516"/>
    <n v="0.11481481481481481"/>
    <n v="10390"/>
    <s v="Hannover Cars"/>
  </r>
  <r>
    <s v="CUST_4523"/>
    <x v="13"/>
    <x v="0"/>
    <s v="Friday"/>
    <s v="No"/>
    <x v="3"/>
    <x v="3"/>
    <s v="Saxony"/>
    <x v="2"/>
    <s v="Q3"/>
    <s v="Hybrid"/>
    <x v="0"/>
    <s v="26-35"/>
    <s v="Low"/>
    <x v="1"/>
    <x v="2"/>
    <s v="Sales_17"/>
    <n v="264"/>
    <n v="148"/>
    <n v="109"/>
    <n v="39"/>
    <s v="26.35"/>
    <n v="52214"/>
    <s v="3.68"/>
    <n v="40060"/>
    <n v="2036346"/>
    <n v="474006"/>
    <s v="Feb"/>
    <n v="2"/>
    <n v="2026"/>
    <s v="Weekday"/>
    <n v="0.3577981651376147"/>
    <n v="0.56060606060606055"/>
    <n v="0.14772727272727273"/>
    <n v="12154"/>
    <s v="Saxon Wheels"/>
  </r>
  <r>
    <s v="CUST_4524"/>
    <x v="14"/>
    <x v="2"/>
    <s v="Friday"/>
    <s v="No"/>
    <x v="5"/>
    <x v="5"/>
    <s v="Hamburg"/>
    <x v="1"/>
    <s v="Mokka"/>
    <s v="Electric"/>
    <x v="0"/>
    <s v="50+"/>
    <s v="Low"/>
    <x v="1"/>
    <x v="1"/>
    <s v="Sales_16"/>
    <n v="311"/>
    <n v="154"/>
    <n v="104"/>
    <n v="25"/>
    <s v="16.23"/>
    <n v="21520"/>
    <s v="10.42"/>
    <n v="19400"/>
    <n v="538000"/>
    <n v="53000"/>
    <s v="Feb"/>
    <n v="2"/>
    <n v="2026"/>
    <s v="Weekday"/>
    <n v="0.24038461538461539"/>
    <n v="0.49517684887459806"/>
    <n v="8.0385852090032156E-2"/>
    <n v="2120"/>
    <s v="Elbe Drive"/>
  </r>
  <r>
    <s v="CUST_4525"/>
    <x v="7"/>
    <x v="3"/>
    <s v="Monday"/>
    <s v="No"/>
    <x v="2"/>
    <x v="2"/>
    <s v="Lower Saxony"/>
    <x v="1"/>
    <s v="Astra"/>
    <s v="Petrol"/>
    <x v="2"/>
    <s v="36-50"/>
    <s v="Low"/>
    <x v="0"/>
    <x v="3"/>
    <s v="Sales_10"/>
    <n v="315"/>
    <n v="142"/>
    <n v="88"/>
    <n v="21"/>
    <s v="14.79"/>
    <n v="20911"/>
    <s v="11.32"/>
    <n v="19111"/>
    <n v="439131"/>
    <n v="37800"/>
    <s v="Feb"/>
    <n v="2"/>
    <n v="2026"/>
    <s v="Weekday"/>
    <n v="0.23863636363636365"/>
    <n v="0.4507936507936508"/>
    <n v="6.6666666666666666E-2"/>
    <n v="1800"/>
    <s v="Hannover Cars"/>
  </r>
  <r>
    <s v="CUST_4526"/>
    <x v="0"/>
    <x v="0"/>
    <s v="Monday"/>
    <s v="No"/>
    <x v="1"/>
    <x v="1"/>
    <s v="NRW"/>
    <x v="2"/>
    <s v="e-tron"/>
    <s v="Electric"/>
    <x v="0"/>
    <s v="26-35"/>
    <s v="High"/>
    <x v="1"/>
    <x v="0"/>
    <s v="Sales_4"/>
    <n v="217"/>
    <n v="105"/>
    <n v="73"/>
    <n v="22"/>
    <s v="20.95"/>
    <n v="55164"/>
    <s v="3.07"/>
    <n v="42096"/>
    <n v="1213608"/>
    <n v="287496"/>
    <s v="Feb"/>
    <n v="2"/>
    <n v="2026"/>
    <s v="Weekday"/>
    <n v="0.30136986301369861"/>
    <n v="0.4838709677419355"/>
    <n v="0.10138248847926268"/>
    <n v="13068"/>
    <s v="Rhein Auto Group"/>
  </r>
  <r>
    <s v="CUST_4527"/>
    <x v="10"/>
    <x v="1"/>
    <s v="Monday"/>
    <s v="No"/>
    <x v="2"/>
    <x v="2"/>
    <s v="Lower Saxony"/>
    <x v="3"/>
    <s v="C-Class"/>
    <s v="Diesel"/>
    <x v="1"/>
    <s v="50+"/>
    <s v="High"/>
    <x v="1"/>
    <x v="0"/>
    <s v="Sales_14"/>
    <n v="155"/>
    <n v="90"/>
    <n v="67"/>
    <n v="22"/>
    <s v="24.44"/>
    <n v="54230"/>
    <s v="4.84"/>
    <n v="38526"/>
    <n v="1193060"/>
    <n v="345488"/>
    <s v="Feb"/>
    <n v="2"/>
    <n v="2026"/>
    <s v="Weekday"/>
    <n v="0.32835820895522388"/>
    <n v="0.58064516129032262"/>
    <n v="0.14193548387096774"/>
    <n v="15704"/>
    <s v="Hannover Cars"/>
  </r>
  <r>
    <s v="CUST_4528"/>
    <x v="11"/>
    <x v="0"/>
    <s v="Wednesday"/>
    <s v="No"/>
    <x v="8"/>
    <x v="8"/>
    <s v="Baden-WÃ¼rttemberg"/>
    <x v="0"/>
    <s v="X3"/>
    <s v="Hybrid"/>
    <x v="0"/>
    <s v="36-50"/>
    <s v="High"/>
    <x v="1"/>
    <x v="2"/>
    <s v="Sales_16"/>
    <n v="240"/>
    <n v="111"/>
    <n v="88"/>
    <n v="32"/>
    <s v="28.83"/>
    <n v="56896"/>
    <s v="3.31"/>
    <n v="39875"/>
    <n v="1820672"/>
    <n v="544672"/>
    <s v="Feb"/>
    <n v="2"/>
    <n v="2026"/>
    <s v="Weekday"/>
    <n v="0.36363636363636365"/>
    <n v="0.46250000000000002"/>
    <n v="0.13333333333333333"/>
    <n v="17021"/>
    <s v="Stuttgart Auto Center"/>
  </r>
  <r>
    <s v="CUST_4529"/>
    <x v="11"/>
    <x v="0"/>
    <s v="Wednesday"/>
    <s v="No"/>
    <x v="5"/>
    <x v="5"/>
    <s v="Hamburg"/>
    <x v="2"/>
    <s v="A4"/>
    <s v="Hybrid"/>
    <x v="1"/>
    <s v="26-35"/>
    <s v="High"/>
    <x v="1"/>
    <x v="2"/>
    <s v="Sales_19"/>
    <n v="174"/>
    <n v="98"/>
    <n v="68"/>
    <n v="27"/>
    <s v="27.55"/>
    <n v="48976"/>
    <s v="3.95"/>
    <n v="40104"/>
    <n v="1322352"/>
    <n v="239544"/>
    <s v="Feb"/>
    <n v="2"/>
    <n v="2026"/>
    <s v="Weekday"/>
    <n v="0.39705882352941174"/>
    <n v="0.56321839080459768"/>
    <n v="0.15517241379310345"/>
    <n v="8872"/>
    <s v="Elbe Drive"/>
  </r>
  <r>
    <s v="CUST_4530"/>
    <x v="1"/>
    <x v="1"/>
    <s v="Wednesday"/>
    <s v="No"/>
    <x v="8"/>
    <x v="8"/>
    <s v="Baden-WÃ¼rttemberg"/>
    <x v="4"/>
    <s v="ID.4"/>
    <s v="Petrol"/>
    <x v="0"/>
    <s v="18-25"/>
    <s v="High"/>
    <x v="0"/>
    <x v="0"/>
    <s v="Sales_20"/>
    <n v="387"/>
    <n v="215"/>
    <n v="153"/>
    <n v="31"/>
    <s v="14.42"/>
    <n v="28782"/>
    <s v="10.75"/>
    <n v="25736"/>
    <n v="892242"/>
    <n v="94426"/>
    <s v="Feb"/>
    <n v="2"/>
    <n v="2026"/>
    <s v="Weekday"/>
    <n v="0.20261437908496732"/>
    <n v="0.55555555555555558"/>
    <n v="8.0103359173126609E-2"/>
    <n v="3046"/>
    <s v="Stuttgart Auto Center"/>
  </r>
  <r>
    <s v="CUST_4531"/>
    <x v="23"/>
    <x v="2"/>
    <s v="Tuesday"/>
    <s v="No"/>
    <x v="0"/>
    <x v="0"/>
    <s v="Hesse"/>
    <x v="4"/>
    <s v="T-Roc"/>
    <s v="Petrol"/>
    <x v="0"/>
    <s v="50+"/>
    <s v="Medium"/>
    <x v="0"/>
    <x v="3"/>
    <s v="Sales_2"/>
    <n v="508"/>
    <n v="280"/>
    <n v="188"/>
    <n v="37"/>
    <s v="13.21"/>
    <n v="34673"/>
    <s v="6.79"/>
    <n v="30979"/>
    <n v="1282901"/>
    <n v="136678"/>
    <s v="Feb"/>
    <n v="2"/>
    <n v="2026"/>
    <s v="Weekday"/>
    <n v="0.19680851063829788"/>
    <n v="0.55118110236220474"/>
    <n v="7.2834645669291334E-2"/>
    <n v="3694"/>
    <s v="Main Auto Hub"/>
  </r>
  <r>
    <s v="CUST_4532"/>
    <x v="15"/>
    <x v="2"/>
    <s v="Thursday"/>
    <s v="No"/>
    <x v="7"/>
    <x v="7"/>
    <s v="Bavaria"/>
    <x v="4"/>
    <s v="Golf"/>
    <s v="Diesel"/>
    <x v="2"/>
    <s v="50+"/>
    <s v="Medium"/>
    <x v="1"/>
    <x v="3"/>
    <s v="Sales_15"/>
    <n v="370"/>
    <n v="171"/>
    <n v="109"/>
    <n v="30"/>
    <s v="17.54"/>
    <n v="29362"/>
    <s v="7.05"/>
    <n v="26104"/>
    <n v="880860"/>
    <n v="97740"/>
    <s v="Feb"/>
    <n v="2"/>
    <n v="2026"/>
    <s v="Weekday"/>
    <n v="0.27522935779816515"/>
    <n v="0.46216216216216216"/>
    <n v="8.1081081081081086E-2"/>
    <n v="3258"/>
    <s v="Bavaria Motors"/>
  </r>
  <r>
    <s v="CUST_4533"/>
    <x v="26"/>
    <x v="1"/>
    <s v="Friday"/>
    <s v="No"/>
    <x v="3"/>
    <x v="3"/>
    <s v="Saxony"/>
    <x v="3"/>
    <s v="GLE"/>
    <s v="Electric"/>
    <x v="0"/>
    <s v="36-50"/>
    <s v="Medium"/>
    <x v="0"/>
    <x v="3"/>
    <s v="Sales_7"/>
    <n v="200"/>
    <n v="89"/>
    <n v="65"/>
    <n v="21"/>
    <s v="23.6"/>
    <n v="56816"/>
    <s v="5.83"/>
    <n v="43751"/>
    <n v="1193136"/>
    <n v="274365"/>
    <s v="Feb"/>
    <n v="2"/>
    <n v="2026"/>
    <s v="Weekday"/>
    <n v="0.32307692307692309"/>
    <n v="0.44500000000000001"/>
    <n v="0.105"/>
    <n v="13065"/>
    <s v="Saxon Wheels"/>
  </r>
  <r>
    <s v="CUST_4534"/>
    <x v="15"/>
    <x v="2"/>
    <s v="Thursday"/>
    <s v="No"/>
    <x v="2"/>
    <x v="2"/>
    <s v="Lower Saxony"/>
    <x v="4"/>
    <s v="Tiguan"/>
    <s v="Diesel"/>
    <x v="0"/>
    <s v="26-35"/>
    <s v="Medium"/>
    <x v="1"/>
    <x v="2"/>
    <s v="Sales_11"/>
    <n v="449"/>
    <n v="194"/>
    <n v="115"/>
    <n v="38"/>
    <s v="19.59"/>
    <n v="26095"/>
    <s v="10.11"/>
    <n v="22919"/>
    <n v="991610"/>
    <n v="120688"/>
    <s v="Feb"/>
    <n v="2"/>
    <n v="2026"/>
    <s v="Weekday"/>
    <n v="0.33043478260869563"/>
    <n v="0.43207126948775054"/>
    <n v="8.4632516703786187E-2"/>
    <n v="3176"/>
    <s v="Hannover Cars"/>
  </r>
  <r>
    <s v="CUST_4535"/>
    <x v="13"/>
    <x v="0"/>
    <s v="Friday"/>
    <s v="No"/>
    <x v="3"/>
    <x v="3"/>
    <s v="Saxony"/>
    <x v="1"/>
    <s v="Grandland"/>
    <s v="Petrol"/>
    <x v="0"/>
    <s v="18-25"/>
    <s v="Low"/>
    <x v="1"/>
    <x v="0"/>
    <s v="Sales_18"/>
    <n v="393"/>
    <n v="194"/>
    <n v="135"/>
    <n v="28"/>
    <s v="14.43"/>
    <n v="20876"/>
    <s v="10.69"/>
    <n v="18841"/>
    <n v="584528"/>
    <n v="56980"/>
    <s v="Feb"/>
    <n v="2"/>
    <n v="2026"/>
    <s v="Weekday"/>
    <n v="0.2074074074074074"/>
    <n v="0.49363867684478374"/>
    <n v="7.124681933842239E-2"/>
    <n v="2035"/>
    <s v="Saxon Wheels"/>
  </r>
  <r>
    <s v="CUST_4536"/>
    <x v="24"/>
    <x v="1"/>
    <s v="Thursday"/>
    <s v="No"/>
    <x v="0"/>
    <x v="0"/>
    <s v="Hesse"/>
    <x v="0"/>
    <s v="X5"/>
    <s v="Petrol"/>
    <x v="0"/>
    <s v="26-35"/>
    <s v="Low"/>
    <x v="1"/>
    <x v="3"/>
    <s v="Sales_5"/>
    <n v="263"/>
    <n v="133"/>
    <n v="90"/>
    <n v="34"/>
    <s v="25.56"/>
    <n v="64567"/>
    <s v="2.38"/>
    <n v="47820"/>
    <n v="2195278"/>
    <n v="569398"/>
    <s v="Feb"/>
    <n v="2"/>
    <n v="2026"/>
    <s v="Weekday"/>
    <n v="0.37777777777777777"/>
    <n v="0.50570342205323193"/>
    <n v="0.12927756653992395"/>
    <n v="16747"/>
    <s v="Main Auto Hub"/>
  </r>
  <r>
    <s v="CUST_4537"/>
    <x v="4"/>
    <x v="2"/>
    <s v="Wednesday"/>
    <s v="No"/>
    <x v="4"/>
    <x v="4"/>
    <s v="Berlin"/>
    <x v="2"/>
    <s v="Q5"/>
    <s v="Hybrid"/>
    <x v="0"/>
    <s v="50+"/>
    <s v="Low"/>
    <x v="1"/>
    <x v="0"/>
    <s v="Sales_3"/>
    <n v="240"/>
    <n v="111"/>
    <n v="72"/>
    <n v="26"/>
    <s v="23.42"/>
    <n v="46931"/>
    <s v="6.23"/>
    <n v="36104"/>
    <n v="1220206"/>
    <n v="281502"/>
    <s v="Feb"/>
    <n v="2"/>
    <n v="2026"/>
    <s v="Weekday"/>
    <n v="0.3611111111111111"/>
    <n v="0.46250000000000002"/>
    <n v="0.10833333333333334"/>
    <n v="10827"/>
    <s v="Autohaus Berlin"/>
  </r>
  <r>
    <s v="CUST_4538"/>
    <x v="2"/>
    <x v="2"/>
    <s v="Monday"/>
    <s v="No"/>
    <x v="7"/>
    <x v="7"/>
    <s v="Bavaria"/>
    <x v="1"/>
    <s v="Mokka"/>
    <s v="Electric"/>
    <x v="0"/>
    <s v="36-50"/>
    <s v="High"/>
    <x v="0"/>
    <x v="1"/>
    <s v="Sales_16"/>
    <n v="426"/>
    <n v="172"/>
    <n v="104"/>
    <n v="32"/>
    <s v="18.6"/>
    <n v="26038"/>
    <s v="10.75"/>
    <n v="23286"/>
    <n v="833216"/>
    <n v="88064"/>
    <s v="Feb"/>
    <n v="2"/>
    <n v="2026"/>
    <s v="Weekday"/>
    <n v="0.30769230769230771"/>
    <n v="0.40375586854460094"/>
    <n v="7.5117370892018781E-2"/>
    <n v="2752"/>
    <s v="Bavaria Motors"/>
  </r>
  <r>
    <s v="CUST_4539"/>
    <x v="4"/>
    <x v="2"/>
    <s v="Wednesday"/>
    <s v="No"/>
    <x v="4"/>
    <x v="4"/>
    <s v="Berlin"/>
    <x v="3"/>
    <s v="C-Class"/>
    <s v="Diesel"/>
    <x v="1"/>
    <s v="36-50"/>
    <s v="High"/>
    <x v="1"/>
    <x v="0"/>
    <s v="Sales_2"/>
    <n v="216"/>
    <n v="97"/>
    <n v="73"/>
    <n v="24"/>
    <s v="24.74"/>
    <n v="55500"/>
    <s v="2.25"/>
    <n v="41203"/>
    <n v="1332000"/>
    <n v="343128"/>
    <s v="Feb"/>
    <n v="2"/>
    <n v="2026"/>
    <s v="Weekday"/>
    <n v="0.32876712328767121"/>
    <n v="0.44907407407407407"/>
    <n v="0.1111111111111111"/>
    <n v="14297"/>
    <s v="Autohaus Berlin"/>
  </r>
  <r>
    <s v="CUST_4540"/>
    <x v="4"/>
    <x v="2"/>
    <s v="Wednesday"/>
    <s v="No"/>
    <x v="6"/>
    <x v="6"/>
    <s v="Saxony"/>
    <x v="4"/>
    <s v="T-Roc"/>
    <s v="Diesel"/>
    <x v="0"/>
    <s v="18-25"/>
    <s v="Low"/>
    <x v="1"/>
    <x v="3"/>
    <s v="Sales_4"/>
    <n v="390"/>
    <n v="176"/>
    <n v="107"/>
    <n v="27"/>
    <s v="15.34"/>
    <n v="30506"/>
    <s v="6.25"/>
    <n v="27248"/>
    <n v="823662"/>
    <n v="87966"/>
    <s v="Feb"/>
    <n v="2"/>
    <n v="2026"/>
    <s v="Weekday"/>
    <n v="0.25233644859813081"/>
    <n v="0.45128205128205129"/>
    <n v="6.9230769230769235E-2"/>
    <n v="3258"/>
    <s v="Leipzig Mobility"/>
  </r>
  <r>
    <s v="CUST_4541"/>
    <x v="11"/>
    <x v="0"/>
    <s v="Wednesday"/>
    <s v="No"/>
    <x v="1"/>
    <x v="1"/>
    <s v="NRW"/>
    <x v="1"/>
    <s v="Crossland"/>
    <s v="Electric"/>
    <x v="0"/>
    <s v="18-25"/>
    <s v="Medium"/>
    <x v="0"/>
    <x v="1"/>
    <s v="Sales_9"/>
    <n v="338"/>
    <n v="149"/>
    <n v="100"/>
    <n v="26"/>
    <s v="17.45"/>
    <n v="26041"/>
    <s v="7.53"/>
    <n v="23680"/>
    <n v="677066"/>
    <n v="61386"/>
    <s v="Feb"/>
    <n v="2"/>
    <n v="2026"/>
    <s v="Weekday"/>
    <n v="0.26"/>
    <n v="0.44082840236686388"/>
    <n v="7.6923076923076927E-2"/>
    <n v="2361"/>
    <s v="Rhein Auto Group"/>
  </r>
  <r>
    <s v="CUST_4542"/>
    <x v="27"/>
    <x v="3"/>
    <s v="Sunday"/>
    <s v="Yes"/>
    <x v="1"/>
    <x v="1"/>
    <s v="NRW"/>
    <x v="4"/>
    <s v="Tiguan"/>
    <s v="Petrol"/>
    <x v="0"/>
    <s v="18-25"/>
    <s v="High"/>
    <x v="0"/>
    <x v="2"/>
    <s v="Sales_8"/>
    <n v="418"/>
    <n v="214"/>
    <n v="140"/>
    <n v="39"/>
    <s v="18.22"/>
    <n v="28668"/>
    <s v="11.61"/>
    <n v="24970"/>
    <n v="1118052"/>
    <n v="144222"/>
    <s v="Feb"/>
    <n v="2"/>
    <n v="2026"/>
    <s v="Weekend"/>
    <n v="0.27857142857142858"/>
    <n v="0.51196172248803828"/>
    <n v="9.3301435406698566E-2"/>
    <n v="3698"/>
    <s v="Rhein Auto Group"/>
  </r>
  <r>
    <s v="CUST_4543"/>
    <x v="25"/>
    <x v="3"/>
    <s v="Friday"/>
    <s v="No"/>
    <x v="5"/>
    <x v="5"/>
    <s v="Hamburg"/>
    <x v="1"/>
    <s v="Grandland"/>
    <s v="Hybrid"/>
    <x v="0"/>
    <s v="18-25"/>
    <s v="High"/>
    <x v="1"/>
    <x v="3"/>
    <s v="Sales_7"/>
    <n v="421"/>
    <n v="178"/>
    <n v="114"/>
    <n v="28"/>
    <s v="15.73"/>
    <n v="25947"/>
    <s v="13.15"/>
    <n v="23570"/>
    <n v="726516"/>
    <n v="66556"/>
    <s v="Feb"/>
    <n v="2"/>
    <n v="2026"/>
    <s v="Weekday"/>
    <n v="0.24561403508771928"/>
    <n v="0.42280285035629456"/>
    <n v="6.6508313539192399E-2"/>
    <n v="2377"/>
    <s v="Elbe Drive"/>
  </r>
  <r>
    <s v="CUST_4544"/>
    <x v="0"/>
    <x v="0"/>
    <s v="Monday"/>
    <s v="No"/>
    <x v="7"/>
    <x v="7"/>
    <s v="Bavaria"/>
    <x v="3"/>
    <s v="EQE"/>
    <s v="Electric"/>
    <x v="1"/>
    <s v="50+"/>
    <s v="Low"/>
    <x v="1"/>
    <x v="2"/>
    <s v="Sales_6"/>
    <n v="273"/>
    <n v="158"/>
    <n v="122"/>
    <n v="45"/>
    <s v="28.48"/>
    <n v="59980"/>
    <s v="3.24"/>
    <n v="47107"/>
    <n v="2699100"/>
    <n v="579285"/>
    <s v="Feb"/>
    <n v="2"/>
    <n v="2026"/>
    <s v="Weekday"/>
    <n v="0.36885245901639346"/>
    <n v="0.57875457875457881"/>
    <n v="0.16483516483516483"/>
    <n v="12873"/>
    <s v="Bavaria Motors"/>
  </r>
  <r>
    <s v="CUST_4545"/>
    <x v="21"/>
    <x v="0"/>
    <s v="Tuesday"/>
    <s v="No"/>
    <x v="9"/>
    <x v="9"/>
    <s v="NRW"/>
    <x v="3"/>
    <s v="GLE"/>
    <s v="Petrol"/>
    <x v="0"/>
    <s v="50+"/>
    <s v="Medium"/>
    <x v="1"/>
    <x v="3"/>
    <s v="Sales_4"/>
    <n v="271"/>
    <n v="145"/>
    <n v="102"/>
    <n v="32"/>
    <s v="22.07"/>
    <n v="66121"/>
    <s v="4.23"/>
    <n v="51485"/>
    <n v="2115872"/>
    <n v="468352"/>
    <s v="Feb"/>
    <n v="2"/>
    <n v="2026"/>
    <s v="Weekday"/>
    <n v="0.31372549019607843"/>
    <n v="0.5350553505535055"/>
    <n v="0.11808118081180811"/>
    <n v="14636"/>
    <s v="Ruhr Auto Plaza"/>
  </r>
  <r>
    <s v="CUST_4546"/>
    <x v="5"/>
    <x v="3"/>
    <s v="Saturday"/>
    <s v="Yes"/>
    <x v="0"/>
    <x v="0"/>
    <s v="Hesse"/>
    <x v="2"/>
    <s v="A4"/>
    <s v="Electric"/>
    <x v="1"/>
    <s v="50+"/>
    <s v="Low"/>
    <x v="0"/>
    <x v="2"/>
    <s v="Sales_7"/>
    <n v="205"/>
    <n v="123"/>
    <n v="92"/>
    <n v="30"/>
    <s v="24.39"/>
    <n v="44614"/>
    <s v="4.18"/>
    <n v="35252"/>
    <n v="1338420"/>
    <n v="280860"/>
    <s v="Feb"/>
    <n v="2"/>
    <n v="2026"/>
    <s v="Weekend"/>
    <n v="0.32608695652173914"/>
    <n v="0.6"/>
    <n v="0.14634146341463414"/>
    <n v="9362"/>
    <s v="Main Auto Hub"/>
  </r>
  <r>
    <s v="CUST_4547"/>
    <x v="1"/>
    <x v="1"/>
    <s v="Wednesday"/>
    <s v="No"/>
    <x v="4"/>
    <x v="4"/>
    <s v="Berlin"/>
    <x v="4"/>
    <s v="Tiguan"/>
    <s v="Petrol"/>
    <x v="0"/>
    <s v="18-25"/>
    <s v="High"/>
    <x v="1"/>
    <x v="0"/>
    <s v="Sales_13"/>
    <n v="388"/>
    <n v="176"/>
    <n v="108"/>
    <n v="25"/>
    <s v="14.2"/>
    <n v="35065"/>
    <s v="7.47"/>
    <n v="30970"/>
    <n v="876625"/>
    <n v="102375"/>
    <s v="Feb"/>
    <n v="2"/>
    <n v="2026"/>
    <s v="Weekday"/>
    <n v="0.23148148148148148"/>
    <n v="0.45360824742268041"/>
    <n v="6.4432989690721643E-2"/>
    <n v="4095"/>
    <s v="Autohaus Berlin"/>
  </r>
  <r>
    <s v="CUST_4548"/>
    <x v="22"/>
    <x v="3"/>
    <s v="Tuesday"/>
    <s v="No"/>
    <x v="1"/>
    <x v="1"/>
    <s v="NRW"/>
    <x v="3"/>
    <s v="E-Class"/>
    <s v="Hybrid"/>
    <x v="1"/>
    <s v="36-50"/>
    <s v="High"/>
    <x v="0"/>
    <x v="3"/>
    <s v="Sales_9"/>
    <n v="262"/>
    <n v="135"/>
    <n v="94"/>
    <n v="35"/>
    <s v="25.93"/>
    <n v="65488"/>
    <s v="3.66"/>
    <n v="51665"/>
    <n v="2292080"/>
    <n v="483805"/>
    <s v="Feb"/>
    <n v="2"/>
    <n v="2026"/>
    <s v="Weekday"/>
    <n v="0.37234042553191488"/>
    <n v="0.51526717557251911"/>
    <n v="0.13358778625954199"/>
    <n v="13823"/>
    <s v="Rhein Auto Group"/>
  </r>
  <r>
    <s v="CUST_4549"/>
    <x v="25"/>
    <x v="3"/>
    <s v="Friday"/>
    <s v="No"/>
    <x v="5"/>
    <x v="5"/>
    <s v="Hamburg"/>
    <x v="4"/>
    <s v="Tiguan"/>
    <s v="Diesel"/>
    <x v="0"/>
    <s v="26-35"/>
    <s v="Low"/>
    <x v="1"/>
    <x v="0"/>
    <s v="Sales_15"/>
    <n v="359"/>
    <n v="207"/>
    <n v="139"/>
    <n v="27"/>
    <s v="13.04"/>
    <n v="27780"/>
    <s v="11.54"/>
    <n v="24995"/>
    <n v="750060"/>
    <n v="75195"/>
    <s v="Feb"/>
    <n v="2"/>
    <n v="2026"/>
    <s v="Weekday"/>
    <n v="0.19424460431654678"/>
    <n v="0.57660167130919215"/>
    <n v="7.5208913649025072E-2"/>
    <n v="2785"/>
    <s v="Elbe Drive"/>
  </r>
  <r>
    <s v="CUST_4550"/>
    <x v="20"/>
    <x v="0"/>
    <s v="Thursday"/>
    <s v="No"/>
    <x v="0"/>
    <x v="0"/>
    <s v="Hesse"/>
    <x v="3"/>
    <s v="GLE"/>
    <s v="Electric"/>
    <x v="0"/>
    <s v="18-25"/>
    <s v="Medium"/>
    <x v="1"/>
    <x v="1"/>
    <s v="Sales_18"/>
    <n v="276"/>
    <n v="122"/>
    <n v="85"/>
    <n v="33"/>
    <s v="27.05"/>
    <n v="54749"/>
    <s v="3.36"/>
    <n v="41953"/>
    <n v="1806717"/>
    <n v="422268"/>
    <s v="Feb"/>
    <n v="2"/>
    <n v="2026"/>
    <s v="Weekday"/>
    <n v="0.38823529411764707"/>
    <n v="0.4420289855072464"/>
    <n v="0.11956521739130435"/>
    <n v="12796"/>
    <s v="Main Auto Hub"/>
  </r>
  <r>
    <s v="CUST_4551"/>
    <x v="21"/>
    <x v="0"/>
    <s v="Tuesday"/>
    <s v="No"/>
    <x v="9"/>
    <x v="9"/>
    <s v="NRW"/>
    <x v="2"/>
    <s v="Q5"/>
    <s v="Diesel"/>
    <x v="0"/>
    <s v="18-25"/>
    <s v="High"/>
    <x v="1"/>
    <x v="3"/>
    <s v="Sales_3"/>
    <n v="255"/>
    <n v="122"/>
    <n v="89"/>
    <n v="21"/>
    <s v="17.21"/>
    <n v="53089"/>
    <s v="5.7"/>
    <n v="43103"/>
    <n v="1114869"/>
    <n v="209706"/>
    <s v="Feb"/>
    <n v="2"/>
    <n v="2026"/>
    <s v="Weekday"/>
    <n v="0.23595505617977527"/>
    <n v="0.47843137254901963"/>
    <n v="8.2352941176470587E-2"/>
    <n v="9986"/>
    <s v="Ruhr Auto Plaza"/>
  </r>
  <r>
    <s v="CUST_4552"/>
    <x v="0"/>
    <x v="0"/>
    <s v="Monday"/>
    <s v="No"/>
    <x v="4"/>
    <x v="4"/>
    <s v="Berlin"/>
    <x v="1"/>
    <s v="Grandland"/>
    <s v="Petrol"/>
    <x v="0"/>
    <s v="36-50"/>
    <s v="High"/>
    <x v="0"/>
    <x v="1"/>
    <s v="Sales_7"/>
    <n v="413"/>
    <n v="209"/>
    <n v="125"/>
    <n v="37"/>
    <s v="17.7"/>
    <n v="20375"/>
    <s v="13.26"/>
    <n v="18373"/>
    <n v="753875"/>
    <n v="74074"/>
    <s v="Feb"/>
    <n v="2"/>
    <n v="2026"/>
    <s v="Weekday"/>
    <n v="0.29599999999999999"/>
    <n v="0.50605326876513312"/>
    <n v="8.9588377723970949E-2"/>
    <n v="2002"/>
    <s v="Autohaus Berlin"/>
  </r>
  <r>
    <s v="CUST_4553"/>
    <x v="10"/>
    <x v="1"/>
    <s v="Monday"/>
    <s v="No"/>
    <x v="3"/>
    <x v="3"/>
    <s v="Saxony"/>
    <x v="0"/>
    <s v="i4"/>
    <s v="Petrol"/>
    <x v="1"/>
    <s v="50+"/>
    <s v="High"/>
    <x v="0"/>
    <x v="1"/>
    <s v="Sales_6"/>
    <n v="267"/>
    <n v="140"/>
    <n v="103"/>
    <n v="41"/>
    <s v="29.29"/>
    <n v="59527"/>
    <s v="5.67"/>
    <n v="42243"/>
    <n v="2440607"/>
    <n v="708644"/>
    <s v="Feb"/>
    <n v="2"/>
    <n v="2026"/>
    <s v="Weekday"/>
    <n v="0.39805825242718446"/>
    <n v="0.52434456928838946"/>
    <n v="0.15355805243445692"/>
    <n v="17284"/>
    <s v="Saxon Wheels"/>
  </r>
  <r>
    <s v="CUST_4554"/>
    <x v="6"/>
    <x v="2"/>
    <s v="Saturday"/>
    <s v="Yes"/>
    <x v="2"/>
    <x v="2"/>
    <s v="Lower Saxony"/>
    <x v="4"/>
    <s v="ID.4"/>
    <s v="Electric"/>
    <x v="0"/>
    <s v="18-25"/>
    <s v="Low"/>
    <x v="0"/>
    <x v="0"/>
    <s v="Sales_19"/>
    <n v="294"/>
    <n v="120"/>
    <n v="81"/>
    <n v="18"/>
    <s v="15.0"/>
    <n v="33403"/>
    <s v="8.38"/>
    <n v="30079"/>
    <n v="601254"/>
    <n v="59832"/>
    <s v="Feb"/>
    <n v="2"/>
    <n v="2026"/>
    <s v="Weekend"/>
    <n v="0.22222222222222221"/>
    <n v="0.40816326530612246"/>
    <n v="6.1224489795918366E-2"/>
    <n v="3324"/>
    <s v="Hannover Cars"/>
  </r>
  <r>
    <s v="CUST_4555"/>
    <x v="4"/>
    <x v="2"/>
    <s v="Wednesday"/>
    <s v="No"/>
    <x v="6"/>
    <x v="6"/>
    <s v="Saxony"/>
    <x v="4"/>
    <s v="Passat"/>
    <s v="Hybrid"/>
    <x v="1"/>
    <s v="36-50"/>
    <s v="Low"/>
    <x v="0"/>
    <x v="1"/>
    <s v="Sales_11"/>
    <n v="346"/>
    <n v="194"/>
    <n v="134"/>
    <n v="27"/>
    <s v="13.92"/>
    <n v="32664"/>
    <s v="11.6"/>
    <n v="29599"/>
    <n v="881928"/>
    <n v="82755"/>
    <s v="Feb"/>
    <n v="2"/>
    <n v="2026"/>
    <s v="Weekday"/>
    <n v="0.20149253731343283"/>
    <n v="0.56069364161849711"/>
    <n v="7.8034682080924858E-2"/>
    <n v="3065"/>
    <s v="Leipzig Mobility"/>
  </r>
  <r>
    <s v="CUST_4556"/>
    <x v="3"/>
    <x v="1"/>
    <s v="Sunday"/>
    <s v="Yes"/>
    <x v="0"/>
    <x v="0"/>
    <s v="Hesse"/>
    <x v="2"/>
    <s v="Q5"/>
    <s v="Diesel"/>
    <x v="0"/>
    <s v="50+"/>
    <s v="High"/>
    <x v="0"/>
    <x v="1"/>
    <s v="Sales_4"/>
    <n v="223"/>
    <n v="135"/>
    <n v="102"/>
    <n v="33"/>
    <s v="24.44"/>
    <n v="45299"/>
    <s v="6.91"/>
    <n v="36906"/>
    <n v="1494867"/>
    <n v="276969"/>
    <s v="Feb"/>
    <n v="2"/>
    <n v="2026"/>
    <s v="Weekend"/>
    <n v="0.3235294117647059"/>
    <n v="0.60538116591928248"/>
    <n v="0.14798206278026907"/>
    <n v="8393"/>
    <s v="Main Auto Hub"/>
  </r>
  <r>
    <s v="CUST_4557"/>
    <x v="25"/>
    <x v="3"/>
    <s v="Friday"/>
    <s v="No"/>
    <x v="8"/>
    <x v="8"/>
    <s v="Baden-WÃ¼rttemberg"/>
    <x v="1"/>
    <s v="Astra"/>
    <s v="Hybrid"/>
    <x v="2"/>
    <s v="36-50"/>
    <s v="Medium"/>
    <x v="0"/>
    <x v="3"/>
    <s v="Sales_10"/>
    <n v="364"/>
    <n v="146"/>
    <n v="93"/>
    <n v="25"/>
    <s v="17.12"/>
    <n v="24263"/>
    <s v="11.16"/>
    <n v="21889"/>
    <n v="606575"/>
    <n v="59350"/>
    <s v="Feb"/>
    <n v="2"/>
    <n v="2026"/>
    <s v="Weekday"/>
    <n v="0.26881720430107525"/>
    <n v="0.40109890109890112"/>
    <n v="6.8681318681318687E-2"/>
    <n v="2374"/>
    <s v="Stuttgart Auto Center"/>
  </r>
  <r>
    <s v="CUST_4558"/>
    <x v="0"/>
    <x v="0"/>
    <s v="Monday"/>
    <s v="No"/>
    <x v="6"/>
    <x v="6"/>
    <s v="Saxony"/>
    <x v="3"/>
    <s v="C-Class"/>
    <s v="Hybrid"/>
    <x v="1"/>
    <s v="36-50"/>
    <s v="Low"/>
    <x v="0"/>
    <x v="3"/>
    <s v="Sales_5"/>
    <n v="278"/>
    <n v="147"/>
    <n v="116"/>
    <n v="33"/>
    <s v="22.45"/>
    <n v="65620"/>
    <s v="4.95"/>
    <n v="46957"/>
    <n v="2165460"/>
    <n v="615879"/>
    <s v="Feb"/>
    <n v="2"/>
    <n v="2026"/>
    <s v="Weekday"/>
    <n v="0.28448275862068967"/>
    <n v="0.52877697841726623"/>
    <n v="0.11870503597122302"/>
    <n v="18663"/>
    <s v="Leipzig Mobility"/>
  </r>
  <r>
    <s v="CUST_4559"/>
    <x v="20"/>
    <x v="0"/>
    <s v="Thursday"/>
    <s v="No"/>
    <x v="5"/>
    <x v="5"/>
    <s v="Hamburg"/>
    <x v="1"/>
    <s v="Mokka"/>
    <s v="Diesel"/>
    <x v="0"/>
    <s v="26-35"/>
    <s v="Low"/>
    <x v="1"/>
    <x v="2"/>
    <s v="Sales_5"/>
    <n v="375"/>
    <n v="192"/>
    <n v="114"/>
    <n v="35"/>
    <s v="18.23"/>
    <n v="22067"/>
    <s v="11.07"/>
    <n v="20146"/>
    <n v="772345"/>
    <n v="67235"/>
    <s v="Feb"/>
    <n v="2"/>
    <n v="2026"/>
    <s v="Weekday"/>
    <n v="0.30701754385964913"/>
    <n v="0.51200000000000001"/>
    <n v="9.3333333333333338E-2"/>
    <n v="1921"/>
    <s v="Elbe Drive"/>
  </r>
  <r>
    <s v="CUST_4560"/>
    <x v="20"/>
    <x v="0"/>
    <s v="Thursday"/>
    <s v="No"/>
    <x v="4"/>
    <x v="4"/>
    <s v="Berlin"/>
    <x v="4"/>
    <s v="Golf"/>
    <s v="Electric"/>
    <x v="2"/>
    <s v="36-50"/>
    <s v="Low"/>
    <x v="0"/>
    <x v="3"/>
    <s v="Sales_11"/>
    <n v="382"/>
    <n v="190"/>
    <n v="115"/>
    <n v="36"/>
    <s v="18.95"/>
    <n v="31728"/>
    <s v="10.43"/>
    <n v="27307"/>
    <n v="1142208"/>
    <n v="159156"/>
    <s v="Feb"/>
    <n v="2"/>
    <n v="2026"/>
    <s v="Weekday"/>
    <n v="0.31304347826086959"/>
    <n v="0.49738219895287961"/>
    <n v="9.4240837696335081E-2"/>
    <n v="4421"/>
    <s v="Autohaus Berlin"/>
  </r>
  <r>
    <s v="CUST_4561"/>
    <x v="7"/>
    <x v="3"/>
    <s v="Monday"/>
    <s v="No"/>
    <x v="9"/>
    <x v="9"/>
    <s v="NRW"/>
    <x v="3"/>
    <s v="GLE"/>
    <s v="Hybrid"/>
    <x v="0"/>
    <s v="50+"/>
    <s v="Low"/>
    <x v="1"/>
    <x v="0"/>
    <s v="Sales_13"/>
    <n v="262"/>
    <n v="131"/>
    <n v="103"/>
    <n v="26"/>
    <s v="19.85"/>
    <n v="60085"/>
    <s v="5.53"/>
    <n v="45242"/>
    <n v="1562210"/>
    <n v="385918"/>
    <s v="Feb"/>
    <n v="2"/>
    <n v="2026"/>
    <s v="Weekday"/>
    <n v="0.25242718446601942"/>
    <n v="0.5"/>
    <n v="9.9236641221374045E-2"/>
    <n v="14843"/>
    <s v="Ruhr Auto Plaza"/>
  </r>
  <r>
    <s v="CUST_4562"/>
    <x v="25"/>
    <x v="3"/>
    <s v="Friday"/>
    <s v="No"/>
    <x v="7"/>
    <x v="7"/>
    <s v="Bavaria"/>
    <x v="0"/>
    <s v="i4"/>
    <s v="Petrol"/>
    <x v="1"/>
    <s v="18-25"/>
    <s v="Medium"/>
    <x v="1"/>
    <x v="1"/>
    <s v="Sales_6"/>
    <n v="199"/>
    <n v="119"/>
    <n v="81"/>
    <n v="34"/>
    <s v="28.57"/>
    <n v="54871"/>
    <s v="4.59"/>
    <n v="38581"/>
    <n v="1865614"/>
    <n v="553860"/>
    <s v="Feb"/>
    <n v="2"/>
    <n v="2026"/>
    <s v="Weekday"/>
    <n v="0.41975308641975306"/>
    <n v="0.59798994974874375"/>
    <n v="0.17085427135678391"/>
    <n v="16290"/>
    <s v="Bavaria Motors"/>
  </r>
  <r>
    <s v="CUST_4563"/>
    <x v="19"/>
    <x v="1"/>
    <s v="Saturday"/>
    <s v="Yes"/>
    <x v="0"/>
    <x v="0"/>
    <s v="Hesse"/>
    <x v="2"/>
    <s v="Q5"/>
    <s v="Petrol"/>
    <x v="0"/>
    <s v="36-50"/>
    <s v="Medium"/>
    <x v="0"/>
    <x v="3"/>
    <s v="Sales_20"/>
    <n v="260"/>
    <n v="120"/>
    <n v="80"/>
    <n v="25"/>
    <s v="20.83"/>
    <n v="41084"/>
    <s v="4.81"/>
    <n v="31751"/>
    <n v="1027100"/>
    <n v="233325"/>
    <s v="Feb"/>
    <n v="2"/>
    <n v="2026"/>
    <s v="Weekend"/>
    <n v="0.3125"/>
    <n v="0.46153846153846156"/>
    <n v="9.6153846153846159E-2"/>
    <n v="9333"/>
    <s v="Main Auto Hub"/>
  </r>
  <r>
    <s v="CUST_4564"/>
    <x v="16"/>
    <x v="1"/>
    <s v="Tuesday"/>
    <s v="No"/>
    <x v="6"/>
    <x v="6"/>
    <s v="Saxony"/>
    <x v="0"/>
    <s v="X3"/>
    <s v="Diesel"/>
    <x v="0"/>
    <s v="36-50"/>
    <s v="High"/>
    <x v="1"/>
    <x v="0"/>
    <s v="Sales_10"/>
    <n v="180"/>
    <n v="100"/>
    <n v="69"/>
    <n v="25"/>
    <s v="25.0"/>
    <n v="62700"/>
    <s v="2.83"/>
    <n v="47627"/>
    <n v="1567500"/>
    <n v="376825"/>
    <s v="Feb"/>
    <n v="2"/>
    <n v="2026"/>
    <s v="Weekday"/>
    <n v="0.36231884057971014"/>
    <n v="0.55555555555555558"/>
    <n v="0.1388888888888889"/>
    <n v="15073"/>
    <s v="Leipzig Mobility"/>
  </r>
  <r>
    <s v="CUST_4565"/>
    <x v="5"/>
    <x v="3"/>
    <s v="Saturday"/>
    <s v="Yes"/>
    <x v="3"/>
    <x v="3"/>
    <s v="Saxony"/>
    <x v="4"/>
    <s v="Passat"/>
    <s v="Hybrid"/>
    <x v="1"/>
    <s v="26-35"/>
    <s v="Medium"/>
    <x v="1"/>
    <x v="2"/>
    <s v="Sales_12"/>
    <n v="319"/>
    <n v="164"/>
    <n v="107"/>
    <n v="29"/>
    <s v="17.68"/>
    <n v="31393"/>
    <s v="7.57"/>
    <n v="28127"/>
    <n v="910397"/>
    <n v="94714"/>
    <s v="Feb"/>
    <n v="2"/>
    <n v="2026"/>
    <s v="Weekend"/>
    <n v="0.27102803738317754"/>
    <n v="0.51410658307210033"/>
    <n v="9.0909090909090912E-2"/>
    <n v="3266"/>
    <s v="Saxon Wheels"/>
  </r>
  <r>
    <s v="CUST_4566"/>
    <x v="20"/>
    <x v="0"/>
    <s v="Thursday"/>
    <s v="No"/>
    <x v="4"/>
    <x v="4"/>
    <s v="Berlin"/>
    <x v="4"/>
    <s v="T-Roc"/>
    <s v="Diesel"/>
    <x v="0"/>
    <s v="26-35"/>
    <s v="Low"/>
    <x v="1"/>
    <x v="1"/>
    <s v="Sales_16"/>
    <n v="409"/>
    <n v="189"/>
    <n v="125"/>
    <n v="34"/>
    <s v="17.99"/>
    <n v="32454"/>
    <s v="10.98"/>
    <n v="29008"/>
    <n v="1103436"/>
    <n v="117164"/>
    <s v="Feb"/>
    <n v="2"/>
    <n v="2026"/>
    <s v="Weekday"/>
    <n v="0.27200000000000002"/>
    <n v="0.46210268948655259"/>
    <n v="8.3129584352078234E-2"/>
    <n v="3446"/>
    <s v="Autohaus Berlin"/>
  </r>
  <r>
    <s v="CUST_4567"/>
    <x v="8"/>
    <x v="3"/>
    <s v="Wednesday"/>
    <s v="No"/>
    <x v="2"/>
    <x v="2"/>
    <s v="Lower Saxony"/>
    <x v="4"/>
    <s v="Golf"/>
    <s v="Diesel"/>
    <x v="2"/>
    <s v="18-25"/>
    <s v="High"/>
    <x v="0"/>
    <x v="3"/>
    <s v="Sales_18"/>
    <n v="451"/>
    <n v="183"/>
    <n v="122"/>
    <n v="30"/>
    <s v="16.39"/>
    <n v="31168"/>
    <s v="10.13"/>
    <n v="27513"/>
    <n v="935040"/>
    <n v="109650"/>
    <s v="Feb"/>
    <n v="2"/>
    <n v="2026"/>
    <s v="Weekday"/>
    <n v="0.24590163934426229"/>
    <n v="0.40576496674057649"/>
    <n v="6.6518847006651879E-2"/>
    <n v="3655"/>
    <s v="Hannover Cars"/>
  </r>
  <r>
    <s v="CUST_4568"/>
    <x v="3"/>
    <x v="1"/>
    <s v="Sunday"/>
    <s v="Yes"/>
    <x v="1"/>
    <x v="1"/>
    <s v="NRW"/>
    <x v="3"/>
    <s v="GLC"/>
    <s v="Diesel"/>
    <x v="0"/>
    <s v="50+"/>
    <s v="High"/>
    <x v="0"/>
    <x v="1"/>
    <s v="Sales_1"/>
    <n v="280"/>
    <n v="158"/>
    <n v="124"/>
    <n v="41"/>
    <s v="25.95"/>
    <n v="70565"/>
    <s v="2.21"/>
    <n v="52285"/>
    <n v="2893165"/>
    <n v="749480"/>
    <s v="Feb"/>
    <n v="2"/>
    <n v="2026"/>
    <s v="Weekend"/>
    <n v="0.33064516129032256"/>
    <n v="0.56428571428571428"/>
    <n v="0.14642857142857144"/>
    <n v="18280"/>
    <s v="Rhein Auto Group"/>
  </r>
  <r>
    <s v="CUST_4569"/>
    <x v="23"/>
    <x v="2"/>
    <s v="Tuesday"/>
    <s v="No"/>
    <x v="9"/>
    <x v="9"/>
    <s v="NRW"/>
    <x v="0"/>
    <s v="X5"/>
    <s v="Diesel"/>
    <x v="0"/>
    <s v="26-35"/>
    <s v="Low"/>
    <x v="1"/>
    <x v="3"/>
    <s v="Sales_11"/>
    <n v="277"/>
    <n v="126"/>
    <n v="101"/>
    <n v="33"/>
    <s v="26.19"/>
    <n v="56242"/>
    <s v="5.01"/>
    <n v="41464"/>
    <n v="1855986"/>
    <n v="487674"/>
    <s v="Feb"/>
    <n v="2"/>
    <n v="2026"/>
    <s v="Weekday"/>
    <n v="0.32673267326732675"/>
    <n v="0.45487364620938631"/>
    <n v="0.11913357400722022"/>
    <n v="14778"/>
    <s v="Ruhr Auto Plaza"/>
  </r>
  <r>
    <s v="CUST_4570"/>
    <x v="20"/>
    <x v="0"/>
    <s v="Thursday"/>
    <s v="No"/>
    <x v="0"/>
    <x v="0"/>
    <s v="Hesse"/>
    <x v="3"/>
    <s v="EQE"/>
    <s v="Electric"/>
    <x v="1"/>
    <s v="18-25"/>
    <s v="Low"/>
    <x v="0"/>
    <x v="2"/>
    <s v="Sales_1"/>
    <n v="171"/>
    <n v="94"/>
    <n v="72"/>
    <n v="25"/>
    <s v="26.6"/>
    <n v="60819"/>
    <s v="3.07"/>
    <n v="43872"/>
    <n v="1520475"/>
    <n v="423675"/>
    <s v="Feb"/>
    <n v="2"/>
    <n v="2026"/>
    <s v="Weekday"/>
    <n v="0.34722222222222221"/>
    <n v="0.54970760233918126"/>
    <n v="0.14619883040935672"/>
    <n v="16947"/>
    <s v="Main Auto Hub"/>
  </r>
  <r>
    <s v="CUST_4571"/>
    <x v="14"/>
    <x v="2"/>
    <s v="Friday"/>
    <s v="No"/>
    <x v="5"/>
    <x v="5"/>
    <s v="Hamburg"/>
    <x v="3"/>
    <s v="E-Class"/>
    <s v="Petrol"/>
    <x v="1"/>
    <s v="36-50"/>
    <s v="Low"/>
    <x v="1"/>
    <x v="0"/>
    <s v="Sales_4"/>
    <n v="261"/>
    <n v="129"/>
    <n v="91"/>
    <n v="33"/>
    <s v="25.58"/>
    <n v="52591"/>
    <s v="5.34"/>
    <n v="38968"/>
    <n v="1735503"/>
    <n v="449559"/>
    <s v="Feb"/>
    <n v="2"/>
    <n v="2026"/>
    <s v="Weekday"/>
    <n v="0.36263736263736263"/>
    <n v="0.4942528735632184"/>
    <n v="0.12643678160919541"/>
    <n v="13623"/>
    <s v="Elbe Drive"/>
  </r>
  <r>
    <s v="CUST_4572"/>
    <x v="23"/>
    <x v="2"/>
    <s v="Tuesday"/>
    <s v="No"/>
    <x v="4"/>
    <x v="4"/>
    <s v="Berlin"/>
    <x v="2"/>
    <s v="e-tron"/>
    <s v="Hybrid"/>
    <x v="0"/>
    <s v="18-25"/>
    <s v="High"/>
    <x v="1"/>
    <x v="0"/>
    <s v="Sales_2"/>
    <n v="233"/>
    <n v="142"/>
    <n v="92"/>
    <n v="34"/>
    <s v="23.94"/>
    <n v="48772"/>
    <s v="5.37"/>
    <n v="37576"/>
    <n v="1658248"/>
    <n v="380664"/>
    <s v="Feb"/>
    <n v="2"/>
    <n v="2026"/>
    <s v="Weekday"/>
    <n v="0.36956521739130432"/>
    <n v="0.6094420600858369"/>
    <n v="0.14592274678111589"/>
    <n v="11196"/>
    <s v="Autohaus Berlin"/>
  </r>
  <r>
    <s v="CUST_4573"/>
    <x v="10"/>
    <x v="1"/>
    <s v="Monday"/>
    <s v="No"/>
    <x v="3"/>
    <x v="3"/>
    <s v="Saxony"/>
    <x v="2"/>
    <s v="Q3"/>
    <s v="Petrol"/>
    <x v="0"/>
    <s v="18-25"/>
    <s v="Low"/>
    <x v="1"/>
    <x v="1"/>
    <s v="Sales_20"/>
    <n v="194"/>
    <n v="92"/>
    <n v="61"/>
    <n v="20"/>
    <s v="21.74"/>
    <n v="52595"/>
    <s v="3.62"/>
    <n v="42785"/>
    <n v="1051900"/>
    <n v="196200"/>
    <s v="Feb"/>
    <n v="2"/>
    <n v="2026"/>
    <s v="Weekday"/>
    <n v="0.32786885245901637"/>
    <n v="0.47422680412371132"/>
    <n v="0.10309278350515463"/>
    <n v="9810"/>
    <s v="Saxon Wheels"/>
  </r>
  <r>
    <s v="CUST_4574"/>
    <x v="22"/>
    <x v="3"/>
    <s v="Tuesday"/>
    <s v="No"/>
    <x v="5"/>
    <x v="5"/>
    <s v="Hamburg"/>
    <x v="3"/>
    <s v="E-Class"/>
    <s v="Electric"/>
    <x v="1"/>
    <s v="50+"/>
    <s v="Medium"/>
    <x v="0"/>
    <x v="2"/>
    <s v="Sales_19"/>
    <n v="230"/>
    <n v="129"/>
    <n v="95"/>
    <n v="34"/>
    <s v="26.36"/>
    <n v="69223"/>
    <s v="4.75"/>
    <n v="53483"/>
    <n v="2353582"/>
    <n v="535160"/>
    <s v="Feb"/>
    <n v="2"/>
    <n v="2026"/>
    <s v="Weekday"/>
    <n v="0.35789473684210527"/>
    <n v="0.56086956521739129"/>
    <n v="0.14782608695652175"/>
    <n v="15740"/>
    <s v="Elbe Drive"/>
  </r>
  <r>
    <s v="CUST_4575"/>
    <x v="7"/>
    <x v="3"/>
    <s v="Monday"/>
    <s v="No"/>
    <x v="9"/>
    <x v="9"/>
    <s v="NRW"/>
    <x v="3"/>
    <s v="GLE"/>
    <s v="Hybrid"/>
    <x v="0"/>
    <s v="50+"/>
    <s v="High"/>
    <x v="0"/>
    <x v="2"/>
    <s v="Sales_18"/>
    <n v="255"/>
    <n v="113"/>
    <n v="89"/>
    <n v="28"/>
    <s v="24.78"/>
    <n v="60677"/>
    <s v="5.19"/>
    <n v="45437"/>
    <n v="1698956"/>
    <n v="426720"/>
    <s v="Feb"/>
    <n v="2"/>
    <n v="2026"/>
    <s v="Weekday"/>
    <n v="0.3146067415730337"/>
    <n v="0.44313725490196076"/>
    <n v="0.10980392156862745"/>
    <n v="15240"/>
    <s v="Ruhr Auto Plaza"/>
  </r>
  <r>
    <s v="CUST_4576"/>
    <x v="2"/>
    <x v="2"/>
    <s v="Monday"/>
    <s v="No"/>
    <x v="0"/>
    <x v="0"/>
    <s v="Hesse"/>
    <x v="1"/>
    <s v="Corsa"/>
    <s v="Hybrid"/>
    <x v="2"/>
    <s v="26-35"/>
    <s v="Low"/>
    <x v="0"/>
    <x v="0"/>
    <s v="Sales_1"/>
    <n v="245"/>
    <n v="130"/>
    <n v="81"/>
    <n v="18"/>
    <s v="13.85"/>
    <n v="24305"/>
    <s v="12.47"/>
    <n v="21639"/>
    <n v="437490"/>
    <n v="47988"/>
    <s v="Feb"/>
    <n v="2"/>
    <n v="2026"/>
    <s v="Weekday"/>
    <n v="0.22222222222222221"/>
    <n v="0.53061224489795922"/>
    <n v="7.3469387755102047E-2"/>
    <n v="2666"/>
    <s v="Main Auto Hub"/>
  </r>
  <r>
    <s v="CUST_4577"/>
    <x v="1"/>
    <x v="1"/>
    <s v="Wednesday"/>
    <s v="No"/>
    <x v="4"/>
    <x v="4"/>
    <s v="Berlin"/>
    <x v="1"/>
    <s v="Mokka"/>
    <s v="Electric"/>
    <x v="0"/>
    <s v="36-50"/>
    <s v="High"/>
    <x v="0"/>
    <x v="3"/>
    <s v="Sales_5"/>
    <n v="233"/>
    <n v="120"/>
    <n v="68"/>
    <n v="21"/>
    <s v="17.5"/>
    <n v="23861"/>
    <s v="9.02"/>
    <n v="21802"/>
    <n v="501081"/>
    <n v="43239"/>
    <s v="Feb"/>
    <n v="2"/>
    <n v="2026"/>
    <s v="Weekday"/>
    <n v="0.30882352941176472"/>
    <n v="0.51502145922746778"/>
    <n v="9.012875536480687E-2"/>
    <n v="2059"/>
    <s v="Autohaus Berlin"/>
  </r>
  <r>
    <s v="CUST_4578"/>
    <x v="23"/>
    <x v="2"/>
    <s v="Tuesday"/>
    <s v="No"/>
    <x v="3"/>
    <x v="3"/>
    <s v="Saxony"/>
    <x v="2"/>
    <s v="Q5"/>
    <s v="Petrol"/>
    <x v="0"/>
    <s v="18-25"/>
    <s v="Low"/>
    <x v="1"/>
    <x v="0"/>
    <s v="Sales_16"/>
    <n v="297"/>
    <n v="151"/>
    <n v="114"/>
    <n v="33"/>
    <s v="21.85"/>
    <n v="39960"/>
    <s v="6.8"/>
    <n v="31089"/>
    <n v="1318680"/>
    <n v="292743"/>
    <s v="Feb"/>
    <n v="2"/>
    <n v="2026"/>
    <s v="Weekday"/>
    <n v="0.28947368421052633"/>
    <n v="0.50841750841750843"/>
    <n v="0.1111111111111111"/>
    <n v="8871"/>
    <s v="Saxon Wheels"/>
  </r>
  <r>
    <s v="CUST_4579"/>
    <x v="4"/>
    <x v="2"/>
    <s v="Wednesday"/>
    <s v="No"/>
    <x v="8"/>
    <x v="8"/>
    <s v="Baden-WÃ¼rttemberg"/>
    <x v="3"/>
    <s v="GLE"/>
    <s v="Hybrid"/>
    <x v="0"/>
    <s v="26-35"/>
    <s v="Low"/>
    <x v="0"/>
    <x v="0"/>
    <s v="Sales_15"/>
    <n v="196"/>
    <n v="91"/>
    <n v="68"/>
    <n v="22"/>
    <s v="24.18"/>
    <n v="64435"/>
    <s v="2.69"/>
    <n v="50438"/>
    <n v="1417570"/>
    <n v="307934"/>
    <s v="Feb"/>
    <n v="2"/>
    <n v="2026"/>
    <s v="Weekday"/>
    <n v="0.3235294117647059"/>
    <n v="0.4642857142857143"/>
    <n v="0.11224489795918367"/>
    <n v="13997"/>
    <s v="Stuttgart Auto Center"/>
  </r>
  <r>
    <s v="CUST_4580"/>
    <x v="27"/>
    <x v="3"/>
    <s v="Sunday"/>
    <s v="Yes"/>
    <x v="0"/>
    <x v="0"/>
    <s v="Hesse"/>
    <x v="2"/>
    <s v="A3"/>
    <s v="Diesel"/>
    <x v="2"/>
    <s v="18-25"/>
    <s v="Medium"/>
    <x v="0"/>
    <x v="0"/>
    <s v="Sales_5"/>
    <n v="196"/>
    <n v="120"/>
    <n v="92"/>
    <n v="23"/>
    <s v="19.17"/>
    <n v="43527"/>
    <s v="5.66"/>
    <n v="34502"/>
    <n v="1001121"/>
    <n v="207575"/>
    <s v="Feb"/>
    <n v="2"/>
    <n v="2026"/>
    <s v="Weekend"/>
    <n v="0.25"/>
    <n v="0.61224489795918369"/>
    <n v="0.11734693877551021"/>
    <n v="9025"/>
    <s v="Main Auto Hub"/>
  </r>
  <r>
    <s v="CUST_4581"/>
    <x v="7"/>
    <x v="3"/>
    <s v="Monday"/>
    <s v="No"/>
    <x v="7"/>
    <x v="7"/>
    <s v="Bavaria"/>
    <x v="3"/>
    <s v="GLC"/>
    <s v="Diesel"/>
    <x v="0"/>
    <s v="18-25"/>
    <s v="Low"/>
    <x v="0"/>
    <x v="3"/>
    <s v="Sales_20"/>
    <n v="149"/>
    <n v="76"/>
    <n v="50"/>
    <n v="18"/>
    <s v="23.68"/>
    <n v="50353"/>
    <s v="5.44"/>
    <n v="36045"/>
    <n v="906354"/>
    <n v="257544"/>
    <s v="Feb"/>
    <n v="2"/>
    <n v="2026"/>
    <s v="Weekday"/>
    <n v="0.36"/>
    <n v="0.51006711409395977"/>
    <n v="0.12080536912751678"/>
    <n v="14308"/>
    <s v="Bavaria Motors"/>
  </r>
  <r>
    <s v="CUST_4582"/>
    <x v="7"/>
    <x v="3"/>
    <s v="Monday"/>
    <s v="No"/>
    <x v="7"/>
    <x v="7"/>
    <s v="Bavaria"/>
    <x v="2"/>
    <s v="Q5"/>
    <s v="Petrol"/>
    <x v="0"/>
    <s v="26-35"/>
    <s v="Medium"/>
    <x v="0"/>
    <x v="1"/>
    <s v="Sales_13"/>
    <n v="171"/>
    <n v="89"/>
    <n v="59"/>
    <n v="24"/>
    <s v="26.97"/>
    <n v="41174"/>
    <s v="3.77"/>
    <n v="33363"/>
    <n v="988176"/>
    <n v="187464"/>
    <s v="Feb"/>
    <n v="2"/>
    <n v="2026"/>
    <s v="Weekday"/>
    <n v="0.40677966101694918"/>
    <n v="0.52046783625730997"/>
    <n v="0.14035087719298245"/>
    <n v="7811"/>
    <s v="Bavaria Motors"/>
  </r>
  <r>
    <s v="CUST_4583"/>
    <x v="1"/>
    <x v="1"/>
    <s v="Wednesday"/>
    <s v="No"/>
    <x v="2"/>
    <x v="2"/>
    <s v="Lower Saxony"/>
    <x v="2"/>
    <s v="e-tron"/>
    <s v="Diesel"/>
    <x v="0"/>
    <s v="18-25"/>
    <s v="High"/>
    <x v="1"/>
    <x v="2"/>
    <s v="Sales_17"/>
    <n v="280"/>
    <n v="130"/>
    <n v="93"/>
    <n v="31"/>
    <s v="23.85"/>
    <n v="50595"/>
    <s v="5.7"/>
    <n v="38652"/>
    <n v="1568445"/>
    <n v="370233"/>
    <s v="Feb"/>
    <n v="2"/>
    <n v="2026"/>
    <s v="Weekday"/>
    <n v="0.33333333333333331"/>
    <n v="0.4642857142857143"/>
    <n v="0.11071428571428571"/>
    <n v="11943"/>
    <s v="Hannover Cars"/>
  </r>
  <r>
    <s v="CUST_4584"/>
    <x v="15"/>
    <x v="2"/>
    <s v="Thursday"/>
    <s v="No"/>
    <x v="7"/>
    <x v="7"/>
    <s v="Bavaria"/>
    <x v="0"/>
    <s v="i4"/>
    <s v="Electric"/>
    <x v="1"/>
    <s v="36-50"/>
    <s v="Medium"/>
    <x v="1"/>
    <x v="3"/>
    <s v="Sales_19"/>
    <n v="182"/>
    <n v="88"/>
    <n v="63"/>
    <n v="25"/>
    <s v="28.41"/>
    <n v="64440"/>
    <s v="4.12"/>
    <n v="47765"/>
    <n v="1611000"/>
    <n v="416875"/>
    <s v="Feb"/>
    <n v="2"/>
    <n v="2026"/>
    <s v="Weekday"/>
    <n v="0.3968253968253968"/>
    <n v="0.48351648351648352"/>
    <n v="0.13736263736263737"/>
    <n v="16675"/>
    <s v="Bavaria Motors"/>
  </r>
  <r>
    <s v="CUST_4585"/>
    <x v="16"/>
    <x v="1"/>
    <s v="Tuesday"/>
    <s v="No"/>
    <x v="1"/>
    <x v="1"/>
    <s v="NRW"/>
    <x v="0"/>
    <s v="i4"/>
    <s v="Hybrid"/>
    <x v="1"/>
    <s v="18-25"/>
    <s v="High"/>
    <x v="0"/>
    <x v="1"/>
    <s v="Sales_13"/>
    <n v="150"/>
    <n v="85"/>
    <n v="67"/>
    <n v="24"/>
    <s v="28.24"/>
    <n v="58926"/>
    <s v="4.0"/>
    <n v="44117"/>
    <n v="1414224"/>
    <n v="355416"/>
    <s v="Feb"/>
    <n v="2"/>
    <n v="2026"/>
    <s v="Weekday"/>
    <n v="0.35820895522388058"/>
    <n v="0.56666666666666665"/>
    <n v="0.16"/>
    <n v="14809"/>
    <s v="Rhein Auto Group"/>
  </r>
  <r>
    <s v="CUST_4586"/>
    <x v="20"/>
    <x v="0"/>
    <s v="Thursday"/>
    <s v="No"/>
    <x v="9"/>
    <x v="9"/>
    <s v="NRW"/>
    <x v="3"/>
    <s v="C-Class"/>
    <s v="Diesel"/>
    <x v="1"/>
    <s v="26-35"/>
    <s v="High"/>
    <x v="0"/>
    <x v="3"/>
    <s v="Sales_5"/>
    <n v="205"/>
    <n v="94"/>
    <n v="66"/>
    <n v="20"/>
    <s v="21.28"/>
    <n v="66242"/>
    <s v="3.26"/>
    <n v="47857"/>
    <n v="1324840"/>
    <n v="367700"/>
    <s v="Feb"/>
    <n v="2"/>
    <n v="2026"/>
    <s v="Weekday"/>
    <n v="0.30303030303030304"/>
    <n v="0.45853658536585368"/>
    <n v="9.7560975609756101E-2"/>
    <n v="18385"/>
    <s v="Ruhr Auto Plaza"/>
  </r>
  <r>
    <s v="CUST_4587"/>
    <x v="22"/>
    <x v="3"/>
    <s v="Tuesday"/>
    <s v="No"/>
    <x v="6"/>
    <x v="6"/>
    <s v="Saxony"/>
    <x v="2"/>
    <s v="Q5"/>
    <s v="Electric"/>
    <x v="0"/>
    <s v="36-50"/>
    <s v="Low"/>
    <x v="1"/>
    <x v="0"/>
    <s v="Sales_18"/>
    <n v="320"/>
    <n v="191"/>
    <n v="139"/>
    <n v="35"/>
    <s v="18.32"/>
    <n v="42388"/>
    <s v="3.45"/>
    <n v="32963"/>
    <n v="1483580"/>
    <n v="329875"/>
    <s v="Feb"/>
    <n v="2"/>
    <n v="2026"/>
    <s v="Weekday"/>
    <n v="0.25179856115107913"/>
    <n v="0.59687500000000004"/>
    <n v="0.109375"/>
    <n v="9425"/>
    <s v="Leipzig Mobility"/>
  </r>
  <r>
    <s v="CUST_4588"/>
    <x v="16"/>
    <x v="1"/>
    <s v="Tuesday"/>
    <s v="No"/>
    <x v="9"/>
    <x v="9"/>
    <s v="NRW"/>
    <x v="4"/>
    <s v="T-Roc"/>
    <s v="Electric"/>
    <x v="0"/>
    <s v="36-50"/>
    <s v="Low"/>
    <x v="0"/>
    <x v="2"/>
    <s v="Sales_2"/>
    <n v="353"/>
    <n v="174"/>
    <n v="119"/>
    <n v="34"/>
    <s v="19.54"/>
    <n v="28285"/>
    <s v="11.16"/>
    <n v="24904"/>
    <n v="961690"/>
    <n v="114954"/>
    <s v="Feb"/>
    <n v="2"/>
    <n v="2026"/>
    <s v="Weekday"/>
    <n v="0.2857142857142857"/>
    <n v="0.49291784702549574"/>
    <n v="9.6317280453257784E-2"/>
    <n v="3381"/>
    <s v="Ruhr Auto Plaza"/>
  </r>
  <r>
    <s v="CUST_4589"/>
    <x v="4"/>
    <x v="2"/>
    <s v="Wednesday"/>
    <s v="No"/>
    <x v="2"/>
    <x v="2"/>
    <s v="Lower Saxony"/>
    <x v="1"/>
    <s v="Corsa"/>
    <s v="Petrol"/>
    <x v="2"/>
    <s v="26-35"/>
    <s v="Low"/>
    <x v="0"/>
    <x v="1"/>
    <s v="Sales_7"/>
    <n v="240"/>
    <n v="128"/>
    <n v="83"/>
    <n v="21"/>
    <s v="16.41"/>
    <n v="23761"/>
    <s v="11.36"/>
    <n v="22071"/>
    <n v="498981"/>
    <n v="35490"/>
    <s v="Feb"/>
    <n v="2"/>
    <n v="2026"/>
    <s v="Weekday"/>
    <n v="0.25301204819277107"/>
    <n v="0.53333333333333333"/>
    <n v="8.7499999999999994E-2"/>
    <n v="1690"/>
    <s v="Hannover Cars"/>
  </r>
  <r>
    <s v="CUST_4590"/>
    <x v="21"/>
    <x v="0"/>
    <s v="Tuesday"/>
    <s v="No"/>
    <x v="6"/>
    <x v="6"/>
    <s v="Saxony"/>
    <x v="0"/>
    <s v="3 Series"/>
    <s v="Diesel"/>
    <x v="1"/>
    <s v="36-50"/>
    <s v="Low"/>
    <x v="0"/>
    <x v="0"/>
    <s v="Sales_7"/>
    <n v="253"/>
    <n v="145"/>
    <n v="112"/>
    <n v="36"/>
    <s v="24.83"/>
    <n v="53050"/>
    <s v="5.69"/>
    <n v="38150"/>
    <n v="1909800"/>
    <n v="536400"/>
    <s v="Feb"/>
    <n v="2"/>
    <n v="2026"/>
    <s v="Weekday"/>
    <n v="0.32142857142857145"/>
    <n v="0.5731225296442688"/>
    <n v="0.14229249011857709"/>
    <n v="14900"/>
    <s v="Leipzig Mobility"/>
  </r>
  <r>
    <s v="CUST_4591"/>
    <x v="11"/>
    <x v="0"/>
    <s v="Wednesday"/>
    <s v="No"/>
    <x v="5"/>
    <x v="5"/>
    <s v="Hamburg"/>
    <x v="1"/>
    <s v="Crossland"/>
    <s v="Diesel"/>
    <x v="0"/>
    <s v="18-25"/>
    <s v="Low"/>
    <x v="0"/>
    <x v="2"/>
    <s v="Sales_8"/>
    <n v="256"/>
    <n v="116"/>
    <n v="79"/>
    <n v="25"/>
    <s v="21.55"/>
    <n v="20118"/>
    <s v="11.6"/>
    <n v="18570"/>
    <n v="502950"/>
    <n v="38700"/>
    <s v="Feb"/>
    <n v="2"/>
    <n v="2026"/>
    <s v="Weekday"/>
    <n v="0.31645569620253167"/>
    <n v="0.453125"/>
    <n v="9.765625E-2"/>
    <n v="1548"/>
    <s v="Elbe Drive"/>
  </r>
  <r>
    <s v="CUST_4592"/>
    <x v="25"/>
    <x v="3"/>
    <s v="Friday"/>
    <s v="No"/>
    <x v="1"/>
    <x v="1"/>
    <s v="NRW"/>
    <x v="4"/>
    <s v="T-Roc"/>
    <s v="Hybrid"/>
    <x v="0"/>
    <s v="18-25"/>
    <s v="Low"/>
    <x v="1"/>
    <x v="3"/>
    <s v="Sales_6"/>
    <n v="265"/>
    <n v="151"/>
    <n v="92"/>
    <n v="21"/>
    <s v="13.91"/>
    <n v="30685"/>
    <s v="7.72"/>
    <n v="26450"/>
    <n v="644385"/>
    <n v="88935"/>
    <s v="Feb"/>
    <n v="2"/>
    <n v="2026"/>
    <s v="Weekday"/>
    <n v="0.22826086956521738"/>
    <n v="0.56981132075471697"/>
    <n v="7.9245283018867921E-2"/>
    <n v="4235"/>
    <s v="Rhein Auto Group"/>
  </r>
  <r>
    <s v="CUST_4593"/>
    <x v="15"/>
    <x v="2"/>
    <s v="Thursday"/>
    <s v="No"/>
    <x v="8"/>
    <x v="8"/>
    <s v="Baden-WÃ¼rttemberg"/>
    <x v="1"/>
    <s v="Mokka"/>
    <s v="Hybrid"/>
    <x v="0"/>
    <s v="36-50"/>
    <s v="High"/>
    <x v="1"/>
    <x v="3"/>
    <s v="Sales_7"/>
    <n v="382"/>
    <n v="177"/>
    <n v="104"/>
    <n v="27"/>
    <s v="15.25"/>
    <n v="21476"/>
    <s v="8.9"/>
    <n v="19530"/>
    <n v="579852"/>
    <n v="52542"/>
    <s v="Feb"/>
    <n v="2"/>
    <n v="2026"/>
    <s v="Weekday"/>
    <n v="0.25961538461538464"/>
    <n v="0.46335078534031415"/>
    <n v="7.0680628272251314E-2"/>
    <n v="1946"/>
    <s v="Stuttgart Auto Center"/>
  </r>
  <r>
    <s v="CUST_4594"/>
    <x v="21"/>
    <x v="0"/>
    <s v="Tuesday"/>
    <s v="No"/>
    <x v="6"/>
    <x v="6"/>
    <s v="Saxony"/>
    <x v="3"/>
    <s v="EQE"/>
    <s v="Petrol"/>
    <x v="1"/>
    <s v="36-50"/>
    <s v="High"/>
    <x v="0"/>
    <x v="0"/>
    <s v="Sales_13"/>
    <n v="238"/>
    <n v="135"/>
    <n v="104"/>
    <n v="33"/>
    <s v="24.44"/>
    <n v="52592"/>
    <s v="3.66"/>
    <n v="41366"/>
    <n v="1735536"/>
    <n v="370458"/>
    <s v="Feb"/>
    <n v="2"/>
    <n v="2026"/>
    <s v="Weekday"/>
    <n v="0.31730769230769229"/>
    <n v="0.5672268907563025"/>
    <n v="0.13865546218487396"/>
    <n v="11226"/>
    <s v="Leipzig Mobility"/>
  </r>
  <r>
    <s v="CUST_4595"/>
    <x v="20"/>
    <x v="0"/>
    <s v="Thursday"/>
    <s v="No"/>
    <x v="3"/>
    <x v="3"/>
    <s v="Saxony"/>
    <x v="4"/>
    <s v="T-Roc"/>
    <s v="Hybrid"/>
    <x v="0"/>
    <s v="36-50"/>
    <s v="Low"/>
    <x v="0"/>
    <x v="3"/>
    <s v="Sales_9"/>
    <n v="298"/>
    <n v="128"/>
    <n v="83"/>
    <n v="20"/>
    <s v="15.62"/>
    <n v="29727"/>
    <s v="9.92"/>
    <n v="26511"/>
    <n v="594540"/>
    <n v="64320"/>
    <s v="Feb"/>
    <n v="2"/>
    <n v="2026"/>
    <s v="Weekday"/>
    <n v="0.24096385542168675"/>
    <n v="0.42953020134228187"/>
    <n v="6.7114093959731544E-2"/>
    <n v="3216"/>
    <s v="Saxon Wheels"/>
  </r>
  <r>
    <s v="CUST_4596"/>
    <x v="0"/>
    <x v="0"/>
    <s v="Monday"/>
    <s v="No"/>
    <x v="5"/>
    <x v="5"/>
    <s v="Hamburg"/>
    <x v="3"/>
    <s v="E-Class"/>
    <s v="Hybrid"/>
    <x v="1"/>
    <s v="50+"/>
    <s v="Medium"/>
    <x v="1"/>
    <x v="1"/>
    <s v="Sales_19"/>
    <n v="249"/>
    <n v="147"/>
    <n v="102"/>
    <n v="42"/>
    <s v="28.57"/>
    <n v="72171"/>
    <s v="2.2"/>
    <n v="53978"/>
    <n v="3031182"/>
    <n v="764106"/>
    <s v="Feb"/>
    <n v="2"/>
    <n v="2026"/>
    <s v="Weekday"/>
    <n v="0.41176470588235292"/>
    <n v="0.59036144578313254"/>
    <n v="0.16867469879518071"/>
    <n v="18193"/>
    <s v="Elbe Drive"/>
  </r>
  <r>
    <s v="CUST_4597"/>
    <x v="20"/>
    <x v="0"/>
    <s v="Thursday"/>
    <s v="No"/>
    <x v="3"/>
    <x v="3"/>
    <s v="Saxony"/>
    <x v="4"/>
    <s v="T-Roc"/>
    <s v="Petrol"/>
    <x v="0"/>
    <s v="36-50"/>
    <s v="High"/>
    <x v="1"/>
    <x v="1"/>
    <s v="Sales_7"/>
    <n v="379"/>
    <n v="198"/>
    <n v="132"/>
    <n v="31"/>
    <s v="15.66"/>
    <n v="32460"/>
    <s v="7.67"/>
    <n v="28062"/>
    <n v="1006260"/>
    <n v="136338"/>
    <s v="Feb"/>
    <n v="2"/>
    <n v="2026"/>
    <s v="Weekday"/>
    <n v="0.23484848484848486"/>
    <n v="0.52242744063324542"/>
    <n v="8.1794195250659632E-2"/>
    <n v="4398"/>
    <s v="Saxon Wheels"/>
  </r>
  <r>
    <s v="CUST_4598"/>
    <x v="9"/>
    <x v="0"/>
    <s v="Sunday"/>
    <s v="Yes"/>
    <x v="1"/>
    <x v="1"/>
    <s v="NRW"/>
    <x v="2"/>
    <s v="Q5"/>
    <s v="Petrol"/>
    <x v="0"/>
    <s v="36-50"/>
    <s v="High"/>
    <x v="1"/>
    <x v="1"/>
    <s v="Sales_14"/>
    <n v="258"/>
    <n v="142"/>
    <n v="93"/>
    <n v="34"/>
    <s v="23.94"/>
    <n v="50685"/>
    <s v="4.18"/>
    <n v="40444"/>
    <n v="1723290"/>
    <n v="348194"/>
    <s v="Feb"/>
    <n v="2"/>
    <n v="2026"/>
    <s v="Weekend"/>
    <n v="0.36559139784946237"/>
    <n v="0.55038759689922478"/>
    <n v="0.13178294573643412"/>
    <n v="10241"/>
    <s v="Rhein Auto Group"/>
  </r>
  <r>
    <s v="CUST_4599"/>
    <x v="5"/>
    <x v="3"/>
    <s v="Saturday"/>
    <s v="Yes"/>
    <x v="2"/>
    <x v="2"/>
    <s v="Lower Saxony"/>
    <x v="2"/>
    <s v="Q5"/>
    <s v="Hybrid"/>
    <x v="0"/>
    <s v="36-50"/>
    <s v="Low"/>
    <x v="1"/>
    <x v="0"/>
    <s v="Sales_9"/>
    <n v="295"/>
    <n v="174"/>
    <n v="123"/>
    <n v="39"/>
    <s v="22.41"/>
    <n v="42410"/>
    <s v="5.81"/>
    <n v="33278"/>
    <n v="1653990"/>
    <n v="356148"/>
    <s v="Feb"/>
    <n v="2"/>
    <n v="2026"/>
    <s v="Weekend"/>
    <n v="0.31707317073170732"/>
    <n v="0.5898305084745763"/>
    <n v="0.13220338983050847"/>
    <n v="9132"/>
    <s v="Hannover Cars"/>
  </r>
  <r>
    <s v="CUST_4600"/>
    <x v="17"/>
    <x v="2"/>
    <s v="Sunday"/>
    <s v="Yes"/>
    <x v="2"/>
    <x v="2"/>
    <s v="Lower Saxony"/>
    <x v="1"/>
    <s v="Grandland"/>
    <s v="Electric"/>
    <x v="0"/>
    <s v="50+"/>
    <s v="High"/>
    <x v="0"/>
    <x v="2"/>
    <s v="Sales_14"/>
    <n v="426"/>
    <n v="220"/>
    <n v="136"/>
    <n v="40"/>
    <s v="18.18"/>
    <n v="25138"/>
    <s v="9.94"/>
    <n v="23341"/>
    <n v="1005520"/>
    <n v="71880"/>
    <s v="Feb"/>
    <n v="2"/>
    <n v="2026"/>
    <s v="Weekend"/>
    <n v="0.29411764705882354"/>
    <n v="0.51643192488262912"/>
    <n v="9.3896713615023469E-2"/>
    <n v="1797"/>
    <s v="Hannover Cars"/>
  </r>
  <r>
    <s v="CUST_4601"/>
    <x v="17"/>
    <x v="2"/>
    <s v="Sunday"/>
    <s v="Yes"/>
    <x v="2"/>
    <x v="2"/>
    <s v="Lower Saxony"/>
    <x v="3"/>
    <s v="GLC"/>
    <s v="Petrol"/>
    <x v="0"/>
    <s v="50+"/>
    <s v="Low"/>
    <x v="0"/>
    <x v="3"/>
    <s v="Sales_9"/>
    <n v="250"/>
    <n v="116"/>
    <n v="85"/>
    <n v="29"/>
    <s v="25.0"/>
    <n v="53206"/>
    <s v="5.85"/>
    <n v="38619"/>
    <n v="1542974"/>
    <n v="423023"/>
    <s v="Feb"/>
    <n v="2"/>
    <n v="2026"/>
    <s v="Weekend"/>
    <n v="0.3411764705882353"/>
    <n v="0.46400000000000002"/>
    <n v="0.11600000000000001"/>
    <n v="14587"/>
    <s v="Hannover Cars"/>
  </r>
  <r>
    <s v="CUST_4602"/>
    <x v="17"/>
    <x v="2"/>
    <s v="Sunday"/>
    <s v="Yes"/>
    <x v="8"/>
    <x v="8"/>
    <s v="Baden-WÃ¼rttemberg"/>
    <x v="4"/>
    <s v="Golf"/>
    <s v="Diesel"/>
    <x v="2"/>
    <s v="36-50"/>
    <s v="Medium"/>
    <x v="0"/>
    <x v="2"/>
    <s v="Sales_3"/>
    <n v="316"/>
    <n v="150"/>
    <n v="87"/>
    <n v="29"/>
    <s v="19.33"/>
    <n v="33125"/>
    <s v="6.2"/>
    <n v="28633"/>
    <n v="960625"/>
    <n v="130268"/>
    <s v="Feb"/>
    <n v="2"/>
    <n v="2026"/>
    <s v="Weekend"/>
    <n v="0.33333333333333331"/>
    <n v="0.47468354430379744"/>
    <n v="9.1772151898734181E-2"/>
    <n v="4492"/>
    <s v="Stuttgart Auto Center"/>
  </r>
  <r>
    <s v="CUST_4603"/>
    <x v="9"/>
    <x v="0"/>
    <s v="Sunday"/>
    <s v="Yes"/>
    <x v="4"/>
    <x v="4"/>
    <s v="Berlin"/>
    <x v="0"/>
    <s v="5 Series"/>
    <s v="Petrol"/>
    <x v="1"/>
    <s v="26-35"/>
    <s v="Medium"/>
    <x v="1"/>
    <x v="1"/>
    <s v="Sales_1"/>
    <n v="191"/>
    <n v="116"/>
    <n v="88"/>
    <n v="31"/>
    <s v="26.72"/>
    <n v="63209"/>
    <s v="2.3"/>
    <n v="44860"/>
    <n v="1959479"/>
    <n v="568819"/>
    <s v="Feb"/>
    <n v="2"/>
    <n v="2026"/>
    <s v="Weekend"/>
    <n v="0.35227272727272729"/>
    <n v="0.60732984293193715"/>
    <n v="0.16230366492146597"/>
    <n v="18349"/>
    <s v="Autohaus Berlin"/>
  </r>
  <r>
    <s v="CUST_4604"/>
    <x v="9"/>
    <x v="0"/>
    <s v="Sunday"/>
    <s v="Yes"/>
    <x v="8"/>
    <x v="8"/>
    <s v="Baden-WÃ¼rttemberg"/>
    <x v="0"/>
    <s v="i4"/>
    <s v="Hybrid"/>
    <x v="1"/>
    <s v="26-35"/>
    <s v="Medium"/>
    <x v="0"/>
    <x v="1"/>
    <s v="Sales_2"/>
    <n v="142"/>
    <n v="88"/>
    <n v="69"/>
    <n v="26"/>
    <s v="29.55"/>
    <n v="64515"/>
    <s v="3.7"/>
    <n v="48947"/>
    <n v="1677390"/>
    <n v="404768"/>
    <s v="Feb"/>
    <n v="2"/>
    <n v="2026"/>
    <s v="Weekend"/>
    <n v="0.37681159420289856"/>
    <n v="0.61971830985915488"/>
    <n v="0.18309859154929578"/>
    <n v="15568"/>
    <s v="Stuttgart Auto Center"/>
  </r>
  <r>
    <s v="CUST_4605"/>
    <x v="11"/>
    <x v="0"/>
    <s v="Wednesday"/>
    <s v="No"/>
    <x v="6"/>
    <x v="6"/>
    <s v="Saxony"/>
    <x v="0"/>
    <s v="X3"/>
    <s v="Electric"/>
    <x v="0"/>
    <s v="50+"/>
    <s v="Medium"/>
    <x v="0"/>
    <x v="1"/>
    <s v="Sales_13"/>
    <n v="179"/>
    <n v="90"/>
    <n v="62"/>
    <n v="27"/>
    <s v="30.0"/>
    <n v="63865"/>
    <s v="5.64"/>
    <n v="48378"/>
    <n v="1724355"/>
    <n v="418149"/>
    <s v="Feb"/>
    <n v="2"/>
    <n v="2026"/>
    <s v="Weekday"/>
    <n v="0.43548387096774194"/>
    <n v="0.5027932960893855"/>
    <n v="0.15083798882681565"/>
    <n v="15487"/>
    <s v="Leipzig Mobility"/>
  </r>
  <r>
    <s v="CUST_4606"/>
    <x v="16"/>
    <x v="1"/>
    <s v="Tuesday"/>
    <s v="No"/>
    <x v="9"/>
    <x v="9"/>
    <s v="NRW"/>
    <x v="2"/>
    <s v="A4"/>
    <s v="Petrol"/>
    <x v="1"/>
    <s v="50+"/>
    <s v="High"/>
    <x v="0"/>
    <x v="2"/>
    <s v="Sales_18"/>
    <n v="257"/>
    <n v="144"/>
    <n v="93"/>
    <n v="37"/>
    <s v="25.69"/>
    <n v="45525"/>
    <s v="3.07"/>
    <n v="36610"/>
    <n v="1684425"/>
    <n v="329855"/>
    <s v="Feb"/>
    <n v="2"/>
    <n v="2026"/>
    <s v="Weekday"/>
    <n v="0.39784946236559138"/>
    <n v="0.56031128404669261"/>
    <n v="0.14396887159533073"/>
    <n v="8915"/>
    <s v="Ruhr Auto Plaza"/>
  </r>
  <r>
    <s v="CUST_4607"/>
    <x v="18"/>
    <x v="0"/>
    <s v="Saturday"/>
    <s v="Yes"/>
    <x v="9"/>
    <x v="9"/>
    <s v="NRW"/>
    <x v="4"/>
    <s v="Passat"/>
    <s v="Petrol"/>
    <x v="1"/>
    <s v="36-50"/>
    <s v="High"/>
    <x v="1"/>
    <x v="3"/>
    <s v="Sales_10"/>
    <n v="399"/>
    <n v="183"/>
    <n v="130"/>
    <n v="19"/>
    <s v="10.38"/>
    <n v="33615"/>
    <s v="10.23"/>
    <n v="29346"/>
    <n v="638685"/>
    <n v="81111"/>
    <s v="Feb"/>
    <n v="2"/>
    <n v="2026"/>
    <s v="Weekend"/>
    <n v="0.14615384615384616"/>
    <n v="0.45864661654135336"/>
    <n v="4.7619047619047616E-2"/>
    <n v="4269"/>
    <s v="Ruhr Auto Plaza"/>
  </r>
  <r>
    <s v="CUST_4608"/>
    <x v="12"/>
    <x v="3"/>
    <s v="Thursday"/>
    <s v="No"/>
    <x v="8"/>
    <x v="8"/>
    <s v="Baden-WÃ¼rttemberg"/>
    <x v="2"/>
    <s v="A3"/>
    <s v="Hybrid"/>
    <x v="2"/>
    <s v="36-50"/>
    <s v="High"/>
    <x v="0"/>
    <x v="1"/>
    <s v="Sales_13"/>
    <n v="169"/>
    <n v="94"/>
    <n v="65"/>
    <n v="24"/>
    <s v="25.53"/>
    <n v="48120"/>
    <s v="4.15"/>
    <n v="38310"/>
    <n v="1154880"/>
    <n v="235440"/>
    <s v="Feb"/>
    <n v="2"/>
    <n v="2026"/>
    <s v="Weekday"/>
    <n v="0.36923076923076925"/>
    <n v="0.55621301775147924"/>
    <n v="0.14201183431952663"/>
    <n v="9810"/>
    <s v="Stuttgart Auto Center"/>
  </r>
  <r>
    <s v="CUST_4609"/>
    <x v="2"/>
    <x v="2"/>
    <s v="Monday"/>
    <s v="No"/>
    <x v="9"/>
    <x v="9"/>
    <s v="NRW"/>
    <x v="4"/>
    <s v="T-Roc"/>
    <s v="Petrol"/>
    <x v="0"/>
    <s v="18-25"/>
    <s v="Medium"/>
    <x v="1"/>
    <x v="3"/>
    <s v="Sales_14"/>
    <n v="408"/>
    <n v="166"/>
    <n v="111"/>
    <n v="18"/>
    <s v="10.84"/>
    <n v="27945"/>
    <s v="9.63"/>
    <n v="24444"/>
    <n v="503010"/>
    <n v="63018"/>
    <s v="Feb"/>
    <n v="2"/>
    <n v="2026"/>
    <s v="Weekday"/>
    <n v="0.16216216216216217"/>
    <n v="0.40686274509803921"/>
    <n v="4.4117647058823532E-2"/>
    <n v="3501"/>
    <s v="Ruhr Auto Plaza"/>
  </r>
  <r>
    <s v="CUST_4610"/>
    <x v="20"/>
    <x v="0"/>
    <s v="Thursday"/>
    <s v="No"/>
    <x v="9"/>
    <x v="9"/>
    <s v="NRW"/>
    <x v="2"/>
    <s v="Q3"/>
    <s v="Diesel"/>
    <x v="0"/>
    <s v="26-35"/>
    <s v="Low"/>
    <x v="0"/>
    <x v="0"/>
    <s v="Sales_16"/>
    <n v="252"/>
    <n v="159"/>
    <n v="121"/>
    <n v="30"/>
    <s v="18.87"/>
    <n v="48607"/>
    <s v="4.19"/>
    <n v="37643"/>
    <n v="1458210"/>
    <n v="328920"/>
    <s v="Feb"/>
    <n v="2"/>
    <n v="2026"/>
    <s v="Weekday"/>
    <n v="0.24793388429752067"/>
    <n v="0.63095238095238093"/>
    <n v="0.11904761904761904"/>
    <n v="10964"/>
    <s v="Ruhr Auto Plaza"/>
  </r>
  <r>
    <s v="CUST_4611"/>
    <x v="15"/>
    <x v="2"/>
    <s v="Thursday"/>
    <s v="No"/>
    <x v="6"/>
    <x v="6"/>
    <s v="Saxony"/>
    <x v="2"/>
    <s v="Q3"/>
    <s v="Electric"/>
    <x v="0"/>
    <s v="26-35"/>
    <s v="Low"/>
    <x v="0"/>
    <x v="1"/>
    <s v="Sales_19"/>
    <n v="205"/>
    <n v="120"/>
    <n v="87"/>
    <n v="30"/>
    <s v="25.0"/>
    <n v="42879"/>
    <s v="3.44"/>
    <n v="32627"/>
    <n v="1286370"/>
    <n v="307560"/>
    <s v="Feb"/>
    <n v="2"/>
    <n v="2026"/>
    <s v="Weekday"/>
    <n v="0.34482758620689657"/>
    <n v="0.58536585365853655"/>
    <n v="0.14634146341463414"/>
    <n v="10252"/>
    <s v="Leipzig Mobility"/>
  </r>
  <r>
    <s v="CUST_4612"/>
    <x v="3"/>
    <x v="1"/>
    <s v="Sunday"/>
    <s v="Yes"/>
    <x v="2"/>
    <x v="2"/>
    <s v="Lower Saxony"/>
    <x v="1"/>
    <s v="Mokka"/>
    <s v="Diesel"/>
    <x v="0"/>
    <s v="18-25"/>
    <s v="Medium"/>
    <x v="1"/>
    <x v="2"/>
    <s v="Sales_1"/>
    <n v="420"/>
    <n v="204"/>
    <n v="120"/>
    <n v="34"/>
    <s v="16.67"/>
    <n v="26118"/>
    <s v="7.16"/>
    <n v="23973"/>
    <n v="888012"/>
    <n v="72930"/>
    <s v="Feb"/>
    <n v="2"/>
    <n v="2026"/>
    <s v="Weekend"/>
    <n v="0.28333333333333333"/>
    <n v="0.48571428571428571"/>
    <n v="8.0952380952380956E-2"/>
    <n v="2145"/>
    <s v="Hannover Cars"/>
  </r>
  <r>
    <s v="CUST_4613"/>
    <x v="24"/>
    <x v="1"/>
    <s v="Thursday"/>
    <s v="No"/>
    <x v="6"/>
    <x v="6"/>
    <s v="Saxony"/>
    <x v="0"/>
    <s v="5 Series"/>
    <s v="Petrol"/>
    <x v="1"/>
    <s v="26-35"/>
    <s v="High"/>
    <x v="1"/>
    <x v="0"/>
    <s v="Sales_9"/>
    <n v="207"/>
    <n v="108"/>
    <n v="77"/>
    <n v="24"/>
    <s v="22.22"/>
    <n v="67029"/>
    <s v="2.34"/>
    <n v="47553"/>
    <n v="1608696"/>
    <n v="467424"/>
    <s v="Feb"/>
    <n v="2"/>
    <n v="2026"/>
    <s v="Weekday"/>
    <n v="0.31168831168831168"/>
    <n v="0.52173913043478259"/>
    <n v="0.11594202898550725"/>
    <n v="19476"/>
    <s v="Leipzig Mobility"/>
  </r>
  <r>
    <s v="CUST_4614"/>
    <x v="8"/>
    <x v="3"/>
    <s v="Wednesday"/>
    <s v="No"/>
    <x v="0"/>
    <x v="0"/>
    <s v="Hesse"/>
    <x v="3"/>
    <s v="GLE"/>
    <s v="Petrol"/>
    <x v="0"/>
    <s v="18-25"/>
    <s v="Low"/>
    <x v="0"/>
    <x v="3"/>
    <s v="Sales_3"/>
    <n v="259"/>
    <n v="144"/>
    <n v="107"/>
    <n v="36"/>
    <s v="25.0"/>
    <n v="50636"/>
    <s v="5.52"/>
    <n v="36025"/>
    <n v="1822896"/>
    <n v="525996"/>
    <s v="Feb"/>
    <n v="2"/>
    <n v="2026"/>
    <s v="Weekday"/>
    <n v="0.3364485981308411"/>
    <n v="0.55598455598455598"/>
    <n v="0.138996138996139"/>
    <n v="14611"/>
    <s v="Main Auto Hub"/>
  </r>
  <r>
    <s v="CUST_4615"/>
    <x v="13"/>
    <x v="0"/>
    <s v="Friday"/>
    <s v="No"/>
    <x v="5"/>
    <x v="5"/>
    <s v="Hamburg"/>
    <x v="4"/>
    <s v="ID.4"/>
    <s v="Petrol"/>
    <x v="0"/>
    <s v="26-35"/>
    <s v="Low"/>
    <x v="0"/>
    <x v="3"/>
    <s v="Sales_5"/>
    <n v="395"/>
    <n v="167"/>
    <n v="105"/>
    <n v="29"/>
    <s v="17.37"/>
    <n v="26567"/>
    <s v="7.61"/>
    <n v="24088"/>
    <n v="770443"/>
    <n v="71891"/>
    <s v="Feb"/>
    <n v="2"/>
    <n v="2026"/>
    <s v="Weekday"/>
    <n v="0.27619047619047621"/>
    <n v="0.42278481012658226"/>
    <n v="7.3417721518987344E-2"/>
    <n v="2479"/>
    <s v="Elbe Drive"/>
  </r>
  <r>
    <s v="CUST_4616"/>
    <x v="12"/>
    <x v="3"/>
    <s v="Thursday"/>
    <s v="No"/>
    <x v="0"/>
    <x v="0"/>
    <s v="Hesse"/>
    <x v="3"/>
    <s v="GLC"/>
    <s v="Petrol"/>
    <x v="0"/>
    <s v="50+"/>
    <s v="Low"/>
    <x v="1"/>
    <x v="3"/>
    <s v="Sales_4"/>
    <n v="204"/>
    <n v="99"/>
    <n v="74"/>
    <n v="22"/>
    <s v="22.22"/>
    <n v="66651"/>
    <s v="2.08"/>
    <n v="50217"/>
    <n v="1466322"/>
    <n v="361548"/>
    <s v="Feb"/>
    <n v="2"/>
    <n v="2026"/>
    <s v="Weekday"/>
    <n v="0.29729729729729731"/>
    <n v="0.48529411764705882"/>
    <n v="0.10784313725490197"/>
    <n v="16434"/>
    <s v="Main Auto Hub"/>
  </r>
  <r>
    <s v="CUST_4617"/>
    <x v="11"/>
    <x v="0"/>
    <s v="Wednesday"/>
    <s v="No"/>
    <x v="3"/>
    <x v="3"/>
    <s v="Saxony"/>
    <x v="3"/>
    <s v="GLC"/>
    <s v="Hybrid"/>
    <x v="0"/>
    <s v="26-35"/>
    <s v="Medium"/>
    <x v="0"/>
    <x v="1"/>
    <s v="Sales_20"/>
    <n v="205"/>
    <n v="93"/>
    <n v="71"/>
    <n v="24"/>
    <s v="25.81"/>
    <n v="52292"/>
    <s v="5.54"/>
    <n v="38921"/>
    <n v="1255008"/>
    <n v="320904"/>
    <s v="Feb"/>
    <n v="2"/>
    <n v="2026"/>
    <s v="Weekday"/>
    <n v="0.3380281690140845"/>
    <n v="0.45365853658536587"/>
    <n v="0.11707317073170732"/>
    <n v="13371"/>
    <s v="Saxon Wheels"/>
  </r>
  <r>
    <s v="CUST_4618"/>
    <x v="1"/>
    <x v="1"/>
    <s v="Wednesday"/>
    <s v="No"/>
    <x v="5"/>
    <x v="5"/>
    <s v="Hamburg"/>
    <x v="2"/>
    <s v="A3"/>
    <s v="Diesel"/>
    <x v="2"/>
    <s v="18-25"/>
    <s v="Low"/>
    <x v="1"/>
    <x v="3"/>
    <s v="Sales_19"/>
    <n v="304"/>
    <n v="146"/>
    <n v="108"/>
    <n v="31"/>
    <s v="21.23"/>
    <n v="42393"/>
    <s v="6.01"/>
    <n v="33575"/>
    <n v="1314183"/>
    <n v="273358"/>
    <s v="Feb"/>
    <n v="2"/>
    <n v="2026"/>
    <s v="Weekday"/>
    <n v="0.28703703703703703"/>
    <n v="0.48026315789473684"/>
    <n v="0.10197368421052631"/>
    <n v="8818"/>
    <s v="Elbe Drive"/>
  </r>
  <r>
    <s v="CUST_4619"/>
    <x v="17"/>
    <x v="2"/>
    <s v="Sunday"/>
    <s v="Yes"/>
    <x v="1"/>
    <x v="1"/>
    <s v="NRW"/>
    <x v="0"/>
    <s v="X3"/>
    <s v="Electric"/>
    <x v="0"/>
    <s v="50+"/>
    <s v="Low"/>
    <x v="1"/>
    <x v="1"/>
    <s v="Sales_3"/>
    <n v="157"/>
    <n v="78"/>
    <n v="59"/>
    <n v="21"/>
    <s v="26.92"/>
    <n v="49419"/>
    <s v="5.57"/>
    <n v="38437"/>
    <n v="1037799"/>
    <n v="230622"/>
    <s v="Feb"/>
    <n v="2"/>
    <n v="2026"/>
    <s v="Weekend"/>
    <n v="0.3559322033898305"/>
    <n v="0.49681528662420382"/>
    <n v="0.13375796178343949"/>
    <n v="10982"/>
    <s v="Rhein Auto Group"/>
  </r>
  <r>
    <s v="CUST_4620"/>
    <x v="0"/>
    <x v="0"/>
    <s v="Monday"/>
    <s v="No"/>
    <x v="5"/>
    <x v="5"/>
    <s v="Hamburg"/>
    <x v="1"/>
    <s v="Corsa"/>
    <s v="Petrol"/>
    <x v="2"/>
    <s v="50+"/>
    <s v="High"/>
    <x v="1"/>
    <x v="1"/>
    <s v="Sales_4"/>
    <n v="365"/>
    <n v="144"/>
    <n v="99"/>
    <n v="22"/>
    <s v="15.28"/>
    <n v="25369"/>
    <s v="10.68"/>
    <n v="23548"/>
    <n v="558118"/>
    <n v="40062"/>
    <s v="Feb"/>
    <n v="2"/>
    <n v="2026"/>
    <s v="Weekday"/>
    <n v="0.22222222222222221"/>
    <n v="0.39452054794520547"/>
    <n v="6.0273972602739728E-2"/>
    <n v="1821"/>
    <s v="Elbe Drive"/>
  </r>
  <r>
    <s v="CUST_4621"/>
    <x v="1"/>
    <x v="1"/>
    <s v="Wednesday"/>
    <s v="No"/>
    <x v="2"/>
    <x v="2"/>
    <s v="Lower Saxony"/>
    <x v="0"/>
    <s v="i4"/>
    <s v="Diesel"/>
    <x v="1"/>
    <s v="50+"/>
    <s v="Medium"/>
    <x v="0"/>
    <x v="3"/>
    <s v="Sales_8"/>
    <n v="264"/>
    <n v="159"/>
    <n v="111"/>
    <n v="45"/>
    <s v="28.3"/>
    <n v="62814"/>
    <s v="2.79"/>
    <n v="45223"/>
    <n v="2826630"/>
    <n v="791595"/>
    <s v="Feb"/>
    <n v="2"/>
    <n v="2026"/>
    <s v="Weekday"/>
    <n v="0.40540540540540543"/>
    <n v="0.60227272727272729"/>
    <n v="0.17045454545454544"/>
    <n v="17591"/>
    <s v="Hannover Cars"/>
  </r>
  <r>
    <s v="CUST_4622"/>
    <x v="21"/>
    <x v="0"/>
    <s v="Tuesday"/>
    <s v="No"/>
    <x v="5"/>
    <x v="5"/>
    <s v="Hamburg"/>
    <x v="4"/>
    <s v="Golf"/>
    <s v="Electric"/>
    <x v="2"/>
    <s v="36-50"/>
    <s v="High"/>
    <x v="1"/>
    <x v="3"/>
    <s v="Sales_16"/>
    <n v="318"/>
    <n v="148"/>
    <n v="100"/>
    <n v="19"/>
    <s v="12.84"/>
    <n v="30427"/>
    <s v="10.08"/>
    <n v="27036"/>
    <n v="578113"/>
    <n v="64429"/>
    <s v="Feb"/>
    <n v="2"/>
    <n v="2026"/>
    <s v="Weekday"/>
    <n v="0.19"/>
    <n v="0.46540880503144655"/>
    <n v="5.9748427672955975E-2"/>
    <n v="3391"/>
    <s v="Elbe Drive"/>
  </r>
  <r>
    <s v="CUST_4623"/>
    <x v="12"/>
    <x v="3"/>
    <s v="Thursday"/>
    <s v="No"/>
    <x v="0"/>
    <x v="0"/>
    <s v="Hesse"/>
    <x v="0"/>
    <s v="i4"/>
    <s v="Diesel"/>
    <x v="1"/>
    <s v="26-35"/>
    <s v="Low"/>
    <x v="0"/>
    <x v="3"/>
    <s v="Sales_16"/>
    <n v="240"/>
    <n v="147"/>
    <n v="109"/>
    <n v="40"/>
    <s v="27.21"/>
    <n v="65522"/>
    <s v="3.28"/>
    <n v="47587"/>
    <n v="2620880"/>
    <n v="717400"/>
    <s v="Feb"/>
    <n v="2"/>
    <n v="2026"/>
    <s v="Weekday"/>
    <n v="0.3669724770642202"/>
    <n v="0.61250000000000004"/>
    <n v="0.16666666666666666"/>
    <n v="17935"/>
    <s v="Main Auto Hub"/>
  </r>
  <r>
    <s v="CUST_4624"/>
    <x v="17"/>
    <x v="2"/>
    <s v="Sunday"/>
    <s v="Yes"/>
    <x v="5"/>
    <x v="5"/>
    <s v="Hamburg"/>
    <x v="2"/>
    <s v="A4"/>
    <s v="Electric"/>
    <x v="1"/>
    <s v="50+"/>
    <s v="Medium"/>
    <x v="0"/>
    <x v="0"/>
    <s v="Sales_2"/>
    <n v="236"/>
    <n v="147"/>
    <n v="103"/>
    <n v="30"/>
    <s v="20.41"/>
    <n v="43313"/>
    <s v="6.11"/>
    <n v="34248"/>
    <n v="1299390"/>
    <n v="271950"/>
    <s v="Feb"/>
    <n v="2"/>
    <n v="2026"/>
    <s v="Weekend"/>
    <n v="0.29126213592233008"/>
    <n v="0.6228813559322034"/>
    <n v="0.1271186440677966"/>
    <n v="9065"/>
    <s v="Elbe Drive"/>
  </r>
  <r>
    <s v="CUST_4625"/>
    <x v="22"/>
    <x v="3"/>
    <s v="Tuesday"/>
    <s v="No"/>
    <x v="0"/>
    <x v="0"/>
    <s v="Hesse"/>
    <x v="4"/>
    <s v="Passat"/>
    <s v="Hybrid"/>
    <x v="1"/>
    <s v="50+"/>
    <s v="Low"/>
    <x v="1"/>
    <x v="3"/>
    <s v="Sales_19"/>
    <n v="262"/>
    <n v="149"/>
    <n v="101"/>
    <n v="23"/>
    <s v="15.44"/>
    <n v="33901"/>
    <s v="9.44"/>
    <n v="29925"/>
    <n v="779723"/>
    <n v="91448"/>
    <s v="Feb"/>
    <n v="2"/>
    <n v="2026"/>
    <s v="Weekday"/>
    <n v="0.22772277227722773"/>
    <n v="0.56870229007633588"/>
    <n v="8.7786259541984726E-2"/>
    <n v="3976"/>
    <s v="Main Auto Hub"/>
  </r>
  <r>
    <s v="CUST_4626"/>
    <x v="23"/>
    <x v="2"/>
    <s v="Tuesday"/>
    <s v="No"/>
    <x v="8"/>
    <x v="8"/>
    <s v="Baden-WÃ¼rttemberg"/>
    <x v="0"/>
    <s v="X3"/>
    <s v="Petrol"/>
    <x v="0"/>
    <s v="26-35"/>
    <s v="Low"/>
    <x v="1"/>
    <x v="1"/>
    <s v="Sales_6"/>
    <n v="167"/>
    <n v="92"/>
    <n v="67"/>
    <n v="27"/>
    <s v="29.35"/>
    <n v="50528"/>
    <s v="3.03"/>
    <n v="39180"/>
    <n v="1364256"/>
    <n v="306396"/>
    <s v="Feb"/>
    <n v="2"/>
    <n v="2026"/>
    <s v="Weekday"/>
    <n v="0.40298507462686567"/>
    <n v="0.55089820359281438"/>
    <n v="0.16167664670658682"/>
    <n v="11348"/>
    <s v="Stuttgart Auto Center"/>
  </r>
  <r>
    <s v="CUST_4627"/>
    <x v="14"/>
    <x v="2"/>
    <s v="Friday"/>
    <s v="No"/>
    <x v="1"/>
    <x v="1"/>
    <s v="NRW"/>
    <x v="2"/>
    <s v="A3"/>
    <s v="Petrol"/>
    <x v="2"/>
    <s v="26-35"/>
    <s v="Low"/>
    <x v="0"/>
    <x v="1"/>
    <s v="Sales_13"/>
    <n v="168"/>
    <n v="98"/>
    <n v="76"/>
    <n v="24"/>
    <s v="24.49"/>
    <n v="40830"/>
    <s v="5.39"/>
    <n v="30958"/>
    <n v="979920"/>
    <n v="236928"/>
    <s v="Feb"/>
    <n v="2"/>
    <n v="2026"/>
    <s v="Weekday"/>
    <n v="0.31578947368421051"/>
    <n v="0.58333333333333337"/>
    <n v="0.14285714285714285"/>
    <n v="9872"/>
    <s v="Rhein Auto Group"/>
  </r>
  <r>
    <s v="CUST_4628"/>
    <x v="10"/>
    <x v="1"/>
    <s v="Monday"/>
    <s v="No"/>
    <x v="9"/>
    <x v="9"/>
    <s v="NRW"/>
    <x v="2"/>
    <s v="A3"/>
    <s v="Diesel"/>
    <x v="2"/>
    <s v="50+"/>
    <s v="High"/>
    <x v="1"/>
    <x v="1"/>
    <s v="Sales_5"/>
    <n v="167"/>
    <n v="81"/>
    <n v="53"/>
    <n v="18"/>
    <s v="22.22"/>
    <n v="53472"/>
    <s v="4.05"/>
    <n v="40979"/>
    <n v="962496"/>
    <n v="224874"/>
    <s v="Feb"/>
    <n v="2"/>
    <n v="2026"/>
    <s v="Weekday"/>
    <n v="0.33962264150943394"/>
    <n v="0.48502994011976047"/>
    <n v="0.10778443113772455"/>
    <n v="12493"/>
    <s v="Ruhr Auto Plaza"/>
  </r>
  <r>
    <s v="CUST_4629"/>
    <x v="24"/>
    <x v="1"/>
    <s v="Thursday"/>
    <s v="No"/>
    <x v="0"/>
    <x v="0"/>
    <s v="Hesse"/>
    <x v="4"/>
    <s v="T-Roc"/>
    <s v="Electric"/>
    <x v="0"/>
    <s v="50+"/>
    <s v="Medium"/>
    <x v="0"/>
    <x v="1"/>
    <s v="Sales_1"/>
    <n v="439"/>
    <n v="193"/>
    <n v="138"/>
    <n v="29"/>
    <s v="15.03"/>
    <n v="29229"/>
    <s v="11.61"/>
    <n v="25404"/>
    <n v="847641"/>
    <n v="110925"/>
    <s v="Feb"/>
    <n v="2"/>
    <n v="2026"/>
    <s v="Weekday"/>
    <n v="0.21014492753623187"/>
    <n v="0.43963553530751709"/>
    <n v="6.6059225512528477E-2"/>
    <n v="3825"/>
    <s v="Main Auto Hub"/>
  </r>
  <r>
    <s v="CUST_4630"/>
    <x v="16"/>
    <x v="1"/>
    <s v="Tuesday"/>
    <s v="No"/>
    <x v="1"/>
    <x v="1"/>
    <s v="NRW"/>
    <x v="3"/>
    <s v="C-Class"/>
    <s v="Petrol"/>
    <x v="1"/>
    <s v="18-25"/>
    <s v="Medium"/>
    <x v="1"/>
    <x v="3"/>
    <s v="Sales_11"/>
    <n v="249"/>
    <n v="148"/>
    <n v="98"/>
    <n v="32"/>
    <s v="21.62"/>
    <n v="54437"/>
    <s v="2.17"/>
    <n v="39164"/>
    <n v="1741984"/>
    <n v="488736"/>
    <s v="Feb"/>
    <n v="2"/>
    <n v="2026"/>
    <s v="Weekday"/>
    <n v="0.32653061224489793"/>
    <n v="0.59437751004016059"/>
    <n v="0.12851405622489959"/>
    <n v="15273"/>
    <s v="Rhein Auto Group"/>
  </r>
  <r>
    <s v="CUST_4631"/>
    <x v="21"/>
    <x v="0"/>
    <s v="Tuesday"/>
    <s v="No"/>
    <x v="0"/>
    <x v="0"/>
    <s v="Hesse"/>
    <x v="2"/>
    <s v="Q5"/>
    <s v="Hybrid"/>
    <x v="0"/>
    <s v="36-50"/>
    <s v="Low"/>
    <x v="1"/>
    <x v="2"/>
    <s v="Sales_18"/>
    <n v="250"/>
    <n v="131"/>
    <n v="90"/>
    <n v="33"/>
    <s v="25.19"/>
    <n v="41133"/>
    <s v="6.21"/>
    <n v="31051"/>
    <n v="1357389"/>
    <n v="332706"/>
    <s v="Feb"/>
    <n v="2"/>
    <n v="2026"/>
    <s v="Weekday"/>
    <n v="0.36666666666666664"/>
    <n v="0.52400000000000002"/>
    <n v="0.13200000000000001"/>
    <n v="10082"/>
    <s v="Main Auto Hub"/>
  </r>
  <r>
    <s v="CUST_4632"/>
    <x v="13"/>
    <x v="0"/>
    <s v="Friday"/>
    <s v="No"/>
    <x v="1"/>
    <x v="1"/>
    <s v="NRW"/>
    <x v="1"/>
    <s v="Corsa"/>
    <s v="Hybrid"/>
    <x v="2"/>
    <s v="18-25"/>
    <s v="High"/>
    <x v="0"/>
    <x v="2"/>
    <s v="Sales_5"/>
    <n v="313"/>
    <n v="171"/>
    <n v="100"/>
    <n v="34"/>
    <s v="19.88"/>
    <n v="24447"/>
    <s v="7.64"/>
    <n v="21894"/>
    <n v="831198"/>
    <n v="86802"/>
    <s v="Feb"/>
    <n v="2"/>
    <n v="2026"/>
    <s v="Weekday"/>
    <n v="0.34"/>
    <n v="0.54632587859424919"/>
    <n v="0.10862619808306709"/>
    <n v="2553"/>
    <s v="Rhein Auto Group"/>
  </r>
  <r>
    <s v="CUST_4633"/>
    <x v="20"/>
    <x v="0"/>
    <s v="Thursday"/>
    <s v="No"/>
    <x v="6"/>
    <x v="6"/>
    <s v="Saxony"/>
    <x v="2"/>
    <s v="Q5"/>
    <s v="Electric"/>
    <x v="0"/>
    <s v="18-25"/>
    <s v="High"/>
    <x v="1"/>
    <x v="2"/>
    <s v="Sales_18"/>
    <n v="182"/>
    <n v="104"/>
    <n v="70"/>
    <n v="26"/>
    <s v="25.0"/>
    <n v="46562"/>
    <s v="5.97"/>
    <n v="37682"/>
    <n v="1210612"/>
    <n v="230880"/>
    <s v="Feb"/>
    <n v="2"/>
    <n v="2026"/>
    <s v="Weekday"/>
    <n v="0.37142857142857144"/>
    <n v="0.5714285714285714"/>
    <n v="0.14285714285714285"/>
    <n v="8880"/>
    <s v="Leipzig Mobility"/>
  </r>
  <r>
    <s v="CUST_4634"/>
    <x v="14"/>
    <x v="2"/>
    <s v="Friday"/>
    <s v="No"/>
    <x v="5"/>
    <x v="5"/>
    <s v="Hamburg"/>
    <x v="3"/>
    <s v="E-Class"/>
    <s v="Diesel"/>
    <x v="1"/>
    <s v="18-25"/>
    <s v="Medium"/>
    <x v="0"/>
    <x v="0"/>
    <s v="Sales_1"/>
    <n v="149"/>
    <n v="74"/>
    <n v="51"/>
    <n v="18"/>
    <s v="24.32"/>
    <n v="49396"/>
    <s v="5.75"/>
    <n v="36387"/>
    <n v="889128"/>
    <n v="234162"/>
    <s v="Feb"/>
    <n v="2"/>
    <n v="2026"/>
    <s v="Weekday"/>
    <n v="0.35294117647058826"/>
    <n v="0.49664429530201343"/>
    <n v="0.12080536912751678"/>
    <n v="13009"/>
    <s v="Elbe Drive"/>
  </r>
  <r>
    <s v="CUST_4635"/>
    <x v="9"/>
    <x v="0"/>
    <s v="Sunday"/>
    <s v="Yes"/>
    <x v="3"/>
    <x v="3"/>
    <s v="Saxony"/>
    <x v="3"/>
    <s v="C-Class"/>
    <s v="Electric"/>
    <x v="1"/>
    <s v="18-25"/>
    <s v="Low"/>
    <x v="0"/>
    <x v="2"/>
    <s v="Sales_3"/>
    <n v="256"/>
    <n v="129"/>
    <n v="96"/>
    <n v="32"/>
    <s v="24.81"/>
    <n v="63537"/>
    <s v="3.21"/>
    <n v="45364"/>
    <n v="2033184"/>
    <n v="581536"/>
    <s v="Feb"/>
    <n v="2"/>
    <n v="2026"/>
    <s v="Weekend"/>
    <n v="0.33333333333333331"/>
    <n v="0.50390625"/>
    <n v="0.125"/>
    <n v="18173"/>
    <s v="Saxon Wheels"/>
  </r>
  <r>
    <s v="CUST_4636"/>
    <x v="25"/>
    <x v="3"/>
    <s v="Friday"/>
    <s v="No"/>
    <x v="6"/>
    <x v="6"/>
    <s v="Saxony"/>
    <x v="1"/>
    <s v="Crossland"/>
    <s v="Electric"/>
    <x v="0"/>
    <s v="50+"/>
    <s v="High"/>
    <x v="0"/>
    <x v="3"/>
    <s v="Sales_8"/>
    <n v="418"/>
    <n v="222"/>
    <n v="129"/>
    <n v="30"/>
    <s v="13.51"/>
    <n v="26113"/>
    <s v="8.11"/>
    <n v="23254"/>
    <n v="783390"/>
    <n v="85770"/>
    <s v="Feb"/>
    <n v="2"/>
    <n v="2026"/>
    <s v="Weekday"/>
    <n v="0.23255813953488372"/>
    <n v="0.53110047846889952"/>
    <n v="7.1770334928229665E-2"/>
    <n v="2859"/>
    <s v="Leipzig Mobility"/>
  </r>
  <r>
    <s v="CUST_4637"/>
    <x v="4"/>
    <x v="2"/>
    <s v="Wednesday"/>
    <s v="No"/>
    <x v="0"/>
    <x v="0"/>
    <s v="Hesse"/>
    <x v="2"/>
    <s v="Q3"/>
    <s v="Hybrid"/>
    <x v="0"/>
    <s v="18-25"/>
    <s v="High"/>
    <x v="1"/>
    <x v="1"/>
    <s v="Sales_2"/>
    <n v="221"/>
    <n v="130"/>
    <n v="85"/>
    <n v="32"/>
    <s v="24.62"/>
    <n v="47751"/>
    <s v="5.99"/>
    <n v="38658"/>
    <n v="1528032"/>
    <n v="290976"/>
    <s v="Feb"/>
    <n v="2"/>
    <n v="2026"/>
    <s v="Weekday"/>
    <n v="0.37647058823529411"/>
    <n v="0.58823529411764708"/>
    <n v="0.14479638009049775"/>
    <n v="9093"/>
    <s v="Main Auto Hub"/>
  </r>
  <r>
    <s v="CUST_4638"/>
    <x v="5"/>
    <x v="3"/>
    <s v="Saturday"/>
    <s v="Yes"/>
    <x v="9"/>
    <x v="9"/>
    <s v="NRW"/>
    <x v="1"/>
    <s v="Corsa"/>
    <s v="Hybrid"/>
    <x v="2"/>
    <s v="18-25"/>
    <s v="Medium"/>
    <x v="1"/>
    <x v="0"/>
    <s v="Sales_7"/>
    <n v="257"/>
    <n v="111"/>
    <n v="71"/>
    <n v="13"/>
    <s v="11.71"/>
    <n v="23018"/>
    <s v="7.81"/>
    <n v="21197"/>
    <n v="299234"/>
    <n v="23673"/>
    <s v="Feb"/>
    <n v="2"/>
    <n v="2026"/>
    <s v="Weekend"/>
    <n v="0.18309859154929578"/>
    <n v="0.43190661478599224"/>
    <n v="5.0583657587548639E-2"/>
    <n v="1821"/>
    <s v="Ruhr Auto Plaza"/>
  </r>
  <r>
    <s v="CUST_4639"/>
    <x v="23"/>
    <x v="2"/>
    <s v="Tuesday"/>
    <s v="No"/>
    <x v="8"/>
    <x v="8"/>
    <s v="Baden-WÃ¼rttemberg"/>
    <x v="2"/>
    <s v="A3"/>
    <s v="Hybrid"/>
    <x v="2"/>
    <s v="18-25"/>
    <s v="Medium"/>
    <x v="0"/>
    <x v="2"/>
    <s v="Sales_2"/>
    <n v="277"/>
    <n v="139"/>
    <n v="106"/>
    <n v="41"/>
    <s v="29.5"/>
    <n v="50205"/>
    <s v="3.59"/>
    <n v="40391"/>
    <n v="2058405"/>
    <n v="402374"/>
    <s v="Feb"/>
    <n v="2"/>
    <n v="2026"/>
    <s v="Weekday"/>
    <n v="0.3867924528301887"/>
    <n v="0.50180505415162457"/>
    <n v="0.14801444043321299"/>
    <n v="9814"/>
    <s v="Stuttgart Auto Center"/>
  </r>
  <r>
    <s v="CUST_4640"/>
    <x v="0"/>
    <x v="0"/>
    <s v="Monday"/>
    <s v="No"/>
    <x v="2"/>
    <x v="2"/>
    <s v="Lower Saxony"/>
    <x v="1"/>
    <s v="Grandland"/>
    <s v="Petrol"/>
    <x v="0"/>
    <s v="50+"/>
    <s v="High"/>
    <x v="1"/>
    <x v="0"/>
    <s v="Sales_4"/>
    <n v="302"/>
    <n v="134"/>
    <n v="79"/>
    <n v="20"/>
    <s v="14.93"/>
    <n v="19356"/>
    <s v="12.66"/>
    <n v="17335"/>
    <n v="387120"/>
    <n v="40420"/>
    <s v="Feb"/>
    <n v="2"/>
    <n v="2026"/>
    <s v="Weekday"/>
    <n v="0.25316455696202533"/>
    <n v="0.44370860927152317"/>
    <n v="6.6225165562913912E-2"/>
    <n v="2021"/>
    <s v="Hannover Cars"/>
  </r>
  <r>
    <s v="CUST_4641"/>
    <x v="22"/>
    <x v="3"/>
    <s v="Tuesday"/>
    <s v="No"/>
    <x v="4"/>
    <x v="4"/>
    <s v="Berlin"/>
    <x v="1"/>
    <s v="Astra"/>
    <s v="Electric"/>
    <x v="2"/>
    <s v="18-25"/>
    <s v="Low"/>
    <x v="1"/>
    <x v="2"/>
    <s v="Sales_4"/>
    <n v="226"/>
    <n v="108"/>
    <n v="65"/>
    <n v="23"/>
    <s v="21.3"/>
    <n v="24415"/>
    <s v="11.21"/>
    <n v="22226"/>
    <n v="561545"/>
    <n v="50347"/>
    <s v="Feb"/>
    <n v="2"/>
    <n v="2026"/>
    <s v="Weekday"/>
    <n v="0.35384615384615387"/>
    <n v="0.47787610619469029"/>
    <n v="0.10176991150442478"/>
    <n v="2189"/>
    <s v="Autohaus Berlin"/>
  </r>
  <r>
    <s v="CUST_4642"/>
    <x v="2"/>
    <x v="2"/>
    <s v="Monday"/>
    <s v="No"/>
    <x v="0"/>
    <x v="0"/>
    <s v="Hesse"/>
    <x v="3"/>
    <s v="GLC"/>
    <s v="Electric"/>
    <x v="0"/>
    <s v="18-25"/>
    <s v="Low"/>
    <x v="0"/>
    <x v="2"/>
    <s v="Sales_8"/>
    <n v="274"/>
    <n v="141"/>
    <n v="111"/>
    <n v="42"/>
    <s v="29.79"/>
    <n v="61813"/>
    <s v="5.99"/>
    <n v="47272"/>
    <n v="2596146"/>
    <n v="610722"/>
    <s v="Feb"/>
    <n v="2"/>
    <n v="2026"/>
    <s v="Weekday"/>
    <n v="0.3783783783783784"/>
    <n v="0.51459854014598538"/>
    <n v="0.15328467153284672"/>
    <n v="14541"/>
    <s v="Main Auto Hub"/>
  </r>
  <r>
    <s v="CUST_4643"/>
    <x v="25"/>
    <x v="3"/>
    <s v="Friday"/>
    <s v="No"/>
    <x v="3"/>
    <x v="3"/>
    <s v="Saxony"/>
    <x v="1"/>
    <s v="Astra"/>
    <s v="Hybrid"/>
    <x v="2"/>
    <s v="36-50"/>
    <s v="Medium"/>
    <x v="0"/>
    <x v="3"/>
    <s v="Sales_17"/>
    <n v="403"/>
    <n v="155"/>
    <n v="90"/>
    <n v="23"/>
    <s v="14.84"/>
    <n v="22640"/>
    <s v="8.45"/>
    <n v="20545"/>
    <n v="520720"/>
    <n v="48185"/>
    <s v="Feb"/>
    <n v="2"/>
    <n v="2026"/>
    <s v="Weekday"/>
    <n v="0.25555555555555554"/>
    <n v="0.38461538461538464"/>
    <n v="5.7071960297766747E-2"/>
    <n v="2095"/>
    <s v="Saxon Wheels"/>
  </r>
  <r>
    <s v="CUST_4644"/>
    <x v="11"/>
    <x v="0"/>
    <s v="Wednesday"/>
    <s v="No"/>
    <x v="5"/>
    <x v="5"/>
    <s v="Hamburg"/>
    <x v="2"/>
    <s v="Q3"/>
    <s v="Petrol"/>
    <x v="0"/>
    <s v="26-35"/>
    <s v="Medium"/>
    <x v="0"/>
    <x v="3"/>
    <s v="Sales_7"/>
    <n v="226"/>
    <n v="120"/>
    <n v="84"/>
    <n v="28"/>
    <s v="23.33"/>
    <n v="49785"/>
    <s v="3.09"/>
    <n v="38135"/>
    <n v="1393980"/>
    <n v="326200"/>
    <s v="Feb"/>
    <n v="2"/>
    <n v="2026"/>
    <s v="Weekday"/>
    <n v="0.33333333333333331"/>
    <n v="0.53097345132743368"/>
    <n v="0.12389380530973451"/>
    <n v="11650"/>
    <s v="Elbe Drive"/>
  </r>
  <r>
    <s v="CUST_4645"/>
    <x v="22"/>
    <x v="3"/>
    <s v="Tuesday"/>
    <s v="No"/>
    <x v="9"/>
    <x v="9"/>
    <s v="NRW"/>
    <x v="2"/>
    <s v="Q5"/>
    <s v="Petrol"/>
    <x v="0"/>
    <s v="50+"/>
    <s v="Medium"/>
    <x v="1"/>
    <x v="1"/>
    <s v="Sales_18"/>
    <n v="163"/>
    <n v="82"/>
    <n v="54"/>
    <n v="19"/>
    <s v="23.17"/>
    <n v="50515"/>
    <s v="3.18"/>
    <n v="39536"/>
    <n v="959785"/>
    <n v="208601"/>
    <s v="Feb"/>
    <n v="2"/>
    <n v="2026"/>
    <s v="Weekday"/>
    <n v="0.35185185185185186"/>
    <n v="0.50306748466257667"/>
    <n v="0.1165644171779141"/>
    <n v="10979"/>
    <s v="Ruhr Auto Plaza"/>
  </r>
  <r>
    <s v="CUST_4646"/>
    <x v="21"/>
    <x v="0"/>
    <s v="Tuesday"/>
    <s v="No"/>
    <x v="9"/>
    <x v="9"/>
    <s v="NRW"/>
    <x v="0"/>
    <s v="i4"/>
    <s v="Electric"/>
    <x v="1"/>
    <s v="50+"/>
    <s v="Medium"/>
    <x v="0"/>
    <x v="1"/>
    <s v="Sales_5"/>
    <n v="212"/>
    <n v="106"/>
    <n v="82"/>
    <n v="30"/>
    <s v="28.3"/>
    <n v="54920"/>
    <s v="2.94"/>
    <n v="42204"/>
    <n v="1647600"/>
    <n v="381480"/>
    <s v="Feb"/>
    <n v="2"/>
    <n v="2026"/>
    <s v="Weekday"/>
    <n v="0.36585365853658536"/>
    <n v="0.5"/>
    <n v="0.14150943396226415"/>
    <n v="12716"/>
    <s v="Ruhr Auto Plaza"/>
  </r>
  <r>
    <s v="CUST_4647"/>
    <x v="8"/>
    <x v="3"/>
    <s v="Wednesday"/>
    <s v="No"/>
    <x v="1"/>
    <x v="1"/>
    <s v="NRW"/>
    <x v="0"/>
    <s v="i4"/>
    <s v="Electric"/>
    <x v="1"/>
    <s v="18-25"/>
    <s v="Medium"/>
    <x v="1"/>
    <x v="0"/>
    <s v="Sales_8"/>
    <n v="178"/>
    <n v="99"/>
    <n v="80"/>
    <n v="26"/>
    <s v="26.26"/>
    <n v="53729"/>
    <s v="2.8"/>
    <n v="39090"/>
    <n v="1396954"/>
    <n v="380614"/>
    <s v="Feb"/>
    <n v="2"/>
    <n v="2026"/>
    <s v="Weekday"/>
    <n v="0.32500000000000001"/>
    <n v="0.5561797752808989"/>
    <n v="0.14606741573033707"/>
    <n v="14639"/>
    <s v="Rhein Auto Group"/>
  </r>
  <r>
    <s v="CUST_4648"/>
    <x v="16"/>
    <x v="1"/>
    <s v="Tuesday"/>
    <s v="No"/>
    <x v="5"/>
    <x v="5"/>
    <s v="Hamburg"/>
    <x v="1"/>
    <s v="Astra"/>
    <s v="Hybrid"/>
    <x v="2"/>
    <s v="36-50"/>
    <s v="High"/>
    <x v="1"/>
    <x v="0"/>
    <s v="Sales_12"/>
    <n v="283"/>
    <n v="139"/>
    <n v="86"/>
    <n v="18"/>
    <s v="12.95"/>
    <n v="23167"/>
    <s v="7.85"/>
    <n v="21171"/>
    <n v="417006"/>
    <n v="35928"/>
    <s v="Feb"/>
    <n v="2"/>
    <n v="2026"/>
    <s v="Weekday"/>
    <n v="0.20930232558139536"/>
    <n v="0.49116607773851589"/>
    <n v="6.3604240282685506E-2"/>
    <n v="1996"/>
    <s v="Elbe Drive"/>
  </r>
  <r>
    <s v="CUST_4649"/>
    <x v="26"/>
    <x v="1"/>
    <s v="Friday"/>
    <s v="No"/>
    <x v="0"/>
    <x v="0"/>
    <s v="Hesse"/>
    <x v="2"/>
    <s v="A3"/>
    <s v="Hybrid"/>
    <x v="2"/>
    <s v="18-25"/>
    <s v="High"/>
    <x v="1"/>
    <x v="3"/>
    <s v="Sales_1"/>
    <n v="161"/>
    <n v="82"/>
    <n v="55"/>
    <n v="19"/>
    <s v="23.17"/>
    <n v="46017"/>
    <s v="6.32"/>
    <n v="35733"/>
    <n v="874323"/>
    <n v="195396"/>
    <s v="Feb"/>
    <n v="2"/>
    <n v="2026"/>
    <s v="Weekday"/>
    <n v="0.34545454545454546"/>
    <n v="0.50931677018633537"/>
    <n v="0.11801242236024845"/>
    <n v="10284"/>
    <s v="Main Auto Hub"/>
  </r>
  <r>
    <s v="CUST_4650"/>
    <x v="13"/>
    <x v="0"/>
    <s v="Friday"/>
    <s v="No"/>
    <x v="2"/>
    <x v="2"/>
    <s v="Lower Saxony"/>
    <x v="4"/>
    <s v="Tiguan"/>
    <s v="Electric"/>
    <x v="0"/>
    <s v="50+"/>
    <s v="Medium"/>
    <x v="1"/>
    <x v="2"/>
    <s v="Sales_20"/>
    <n v="469"/>
    <n v="257"/>
    <n v="172"/>
    <n v="47"/>
    <s v="18.29"/>
    <n v="31759"/>
    <s v="8.8"/>
    <n v="27837"/>
    <n v="1492673"/>
    <n v="184334"/>
    <s v="Feb"/>
    <n v="2"/>
    <n v="2026"/>
    <s v="Weekday"/>
    <n v="0.27325581395348836"/>
    <n v="0.54797441364605548"/>
    <n v="0.10021321961620469"/>
    <n v="3922"/>
    <s v="Hannover Cars"/>
  </r>
  <r>
    <s v="CUST_4651"/>
    <x v="4"/>
    <x v="2"/>
    <s v="Wednesday"/>
    <s v="No"/>
    <x v="1"/>
    <x v="1"/>
    <s v="NRW"/>
    <x v="0"/>
    <s v="5 Series"/>
    <s v="Electric"/>
    <x v="1"/>
    <s v="50+"/>
    <s v="High"/>
    <x v="1"/>
    <x v="2"/>
    <s v="Sales_5"/>
    <n v="276"/>
    <n v="126"/>
    <n v="93"/>
    <n v="36"/>
    <s v="28.57"/>
    <n v="65982"/>
    <s v="3.9"/>
    <n v="47115"/>
    <n v="2375352"/>
    <n v="679212"/>
    <s v="Feb"/>
    <n v="2"/>
    <n v="2026"/>
    <s v="Weekday"/>
    <n v="0.38709677419354838"/>
    <n v="0.45652173913043476"/>
    <n v="0.13043478260869565"/>
    <n v="18867"/>
    <s v="Rhein Auto Group"/>
  </r>
  <r>
    <s v="CUST_4652"/>
    <x v="5"/>
    <x v="3"/>
    <s v="Saturday"/>
    <s v="Yes"/>
    <x v="9"/>
    <x v="9"/>
    <s v="NRW"/>
    <x v="3"/>
    <s v="GLC"/>
    <s v="Electric"/>
    <x v="0"/>
    <s v="18-25"/>
    <s v="High"/>
    <x v="0"/>
    <x v="3"/>
    <s v="Sales_6"/>
    <n v="263"/>
    <n v="134"/>
    <n v="100"/>
    <n v="29"/>
    <s v="21.64"/>
    <n v="59228"/>
    <s v="2.6"/>
    <n v="42861"/>
    <n v="1717612"/>
    <n v="474643"/>
    <s v="Feb"/>
    <n v="2"/>
    <n v="2026"/>
    <s v="Weekend"/>
    <n v="0.28999999999999998"/>
    <n v="0.50950570342205326"/>
    <n v="0.11026615969581749"/>
    <n v="16367"/>
    <s v="Ruhr Auto Plaza"/>
  </r>
  <r>
    <s v="CUST_4653"/>
    <x v="20"/>
    <x v="0"/>
    <s v="Thursday"/>
    <s v="No"/>
    <x v="9"/>
    <x v="9"/>
    <s v="NRW"/>
    <x v="1"/>
    <s v="Astra"/>
    <s v="Electric"/>
    <x v="2"/>
    <s v="26-35"/>
    <s v="Medium"/>
    <x v="1"/>
    <x v="0"/>
    <s v="Sales_13"/>
    <n v="384"/>
    <n v="206"/>
    <n v="121"/>
    <n v="31"/>
    <s v="15.05"/>
    <n v="26376"/>
    <s v="7.58"/>
    <n v="24105"/>
    <n v="817656"/>
    <n v="70401"/>
    <s v="Feb"/>
    <n v="2"/>
    <n v="2026"/>
    <s v="Weekday"/>
    <n v="0.256198347107438"/>
    <n v="0.53645833333333337"/>
    <n v="8.0729166666666671E-2"/>
    <n v="2271"/>
    <s v="Ruhr Auto Plaza"/>
  </r>
  <r>
    <s v="CUST_4654"/>
    <x v="8"/>
    <x v="3"/>
    <s v="Wednesday"/>
    <s v="No"/>
    <x v="7"/>
    <x v="7"/>
    <s v="Bavaria"/>
    <x v="2"/>
    <s v="A3"/>
    <s v="Electric"/>
    <x v="2"/>
    <s v="18-25"/>
    <s v="High"/>
    <x v="0"/>
    <x v="1"/>
    <s v="Sales_19"/>
    <n v="299"/>
    <n v="146"/>
    <n v="106"/>
    <n v="38"/>
    <s v="26.03"/>
    <n v="45349"/>
    <s v="4.94"/>
    <n v="35518"/>
    <n v="1723262"/>
    <n v="373578"/>
    <s v="Feb"/>
    <n v="2"/>
    <n v="2026"/>
    <s v="Weekday"/>
    <n v="0.35849056603773582"/>
    <n v="0.48829431438127091"/>
    <n v="0.12709030100334448"/>
    <n v="9831"/>
    <s v="Bavaria Motors"/>
  </r>
  <r>
    <s v="CUST_4655"/>
    <x v="19"/>
    <x v="1"/>
    <s v="Saturday"/>
    <s v="Yes"/>
    <x v="2"/>
    <x v="2"/>
    <s v="Lower Saxony"/>
    <x v="1"/>
    <s v="Grandland"/>
    <s v="Petrol"/>
    <x v="0"/>
    <s v="36-50"/>
    <s v="Low"/>
    <x v="0"/>
    <x v="3"/>
    <s v="Sales_12"/>
    <n v="225"/>
    <n v="117"/>
    <n v="65"/>
    <n v="17"/>
    <s v="14.53"/>
    <n v="24906"/>
    <s v="7.03"/>
    <n v="22342"/>
    <n v="423402"/>
    <n v="43588"/>
    <s v="Feb"/>
    <n v="2"/>
    <n v="2026"/>
    <s v="Weekend"/>
    <n v="0.26153846153846155"/>
    <n v="0.52"/>
    <n v="7.5555555555555556E-2"/>
    <n v="2564"/>
    <s v="Hannover Cars"/>
  </r>
  <r>
    <s v="CUST_4656"/>
    <x v="10"/>
    <x v="1"/>
    <s v="Monday"/>
    <s v="No"/>
    <x v="7"/>
    <x v="7"/>
    <s v="Bavaria"/>
    <x v="2"/>
    <s v="Q3"/>
    <s v="Petrol"/>
    <x v="0"/>
    <s v="36-50"/>
    <s v="High"/>
    <x v="1"/>
    <x v="0"/>
    <s v="Sales_5"/>
    <n v="285"/>
    <n v="163"/>
    <n v="120"/>
    <n v="36"/>
    <s v="22.09"/>
    <n v="48199"/>
    <s v="4.98"/>
    <n v="39505"/>
    <n v="1735164"/>
    <n v="312984"/>
    <s v="Feb"/>
    <n v="2"/>
    <n v="2026"/>
    <s v="Weekday"/>
    <n v="0.3"/>
    <n v="0.57192982456140351"/>
    <n v="0.12631578947368421"/>
    <n v="8694"/>
    <s v="Bavaria Motors"/>
  </r>
  <r>
    <s v="CUST_4657"/>
    <x v="18"/>
    <x v="0"/>
    <s v="Saturday"/>
    <s v="Yes"/>
    <x v="1"/>
    <x v="1"/>
    <s v="NRW"/>
    <x v="2"/>
    <s v="A3"/>
    <s v="Electric"/>
    <x v="2"/>
    <s v="18-25"/>
    <s v="High"/>
    <x v="0"/>
    <x v="2"/>
    <s v="Sales_13"/>
    <n v="295"/>
    <n v="185"/>
    <n v="125"/>
    <n v="47"/>
    <s v="25.41"/>
    <n v="51340"/>
    <s v="6.2"/>
    <n v="40956"/>
    <n v="2412980"/>
    <n v="488048"/>
    <s v="Feb"/>
    <n v="2"/>
    <n v="2026"/>
    <s v="Weekend"/>
    <n v="0.376"/>
    <n v="0.6271186440677966"/>
    <n v="0.15932203389830507"/>
    <n v="10384"/>
    <s v="Rhein Auto Group"/>
  </r>
  <r>
    <s v="CUST_4658"/>
    <x v="17"/>
    <x v="2"/>
    <s v="Sunday"/>
    <s v="Yes"/>
    <x v="4"/>
    <x v="4"/>
    <s v="Berlin"/>
    <x v="0"/>
    <s v="X5"/>
    <s v="Electric"/>
    <x v="0"/>
    <s v="50+"/>
    <s v="Medium"/>
    <x v="0"/>
    <x v="0"/>
    <s v="Sales_10"/>
    <n v="194"/>
    <n v="93"/>
    <n v="64"/>
    <n v="26"/>
    <s v="27.96"/>
    <n v="57581"/>
    <s v="2.47"/>
    <n v="42710"/>
    <n v="1497106"/>
    <n v="386646"/>
    <s v="Feb"/>
    <n v="2"/>
    <n v="2026"/>
    <s v="Weekend"/>
    <n v="0.40625"/>
    <n v="0.47938144329896909"/>
    <n v="0.13402061855670103"/>
    <n v="14871"/>
    <s v="Autohaus Berlin"/>
  </r>
  <r>
    <s v="CUST_4659"/>
    <x v="9"/>
    <x v="0"/>
    <s v="Sunday"/>
    <s v="Yes"/>
    <x v="9"/>
    <x v="9"/>
    <s v="NRW"/>
    <x v="1"/>
    <s v="Grandland"/>
    <s v="Diesel"/>
    <x v="0"/>
    <s v="36-50"/>
    <s v="High"/>
    <x v="0"/>
    <x v="3"/>
    <s v="Sales_12"/>
    <n v="409"/>
    <n v="176"/>
    <n v="101"/>
    <n v="23"/>
    <s v="13.07"/>
    <n v="20986"/>
    <s v="12.58"/>
    <n v="18959"/>
    <n v="482678"/>
    <n v="46621"/>
    <s v="Feb"/>
    <n v="2"/>
    <n v="2026"/>
    <s v="Weekend"/>
    <n v="0.22772277227722773"/>
    <n v="0.43031784841075793"/>
    <n v="5.623471882640587E-2"/>
    <n v="2027"/>
    <s v="Ruhr Auto Plaza"/>
  </r>
  <r>
    <s v="CUST_4660"/>
    <x v="1"/>
    <x v="1"/>
    <s v="Wednesday"/>
    <s v="No"/>
    <x v="2"/>
    <x v="2"/>
    <s v="Lower Saxony"/>
    <x v="0"/>
    <s v="X3"/>
    <s v="Hybrid"/>
    <x v="0"/>
    <s v="26-35"/>
    <s v="Low"/>
    <x v="1"/>
    <x v="3"/>
    <s v="Sales_18"/>
    <n v="202"/>
    <n v="113"/>
    <n v="78"/>
    <n v="29"/>
    <s v="25.66"/>
    <n v="55410"/>
    <s v="3.12"/>
    <n v="39791"/>
    <n v="1606890"/>
    <n v="452951"/>
    <s v="Feb"/>
    <n v="2"/>
    <n v="2026"/>
    <s v="Weekday"/>
    <n v="0.37179487179487181"/>
    <n v="0.55940594059405946"/>
    <n v="0.14356435643564355"/>
    <n v="15619"/>
    <s v="Hannover Cars"/>
  </r>
  <r>
    <s v="CUST_4661"/>
    <x v="21"/>
    <x v="0"/>
    <s v="Tuesday"/>
    <s v="No"/>
    <x v="6"/>
    <x v="6"/>
    <s v="Saxony"/>
    <x v="1"/>
    <s v="Corsa"/>
    <s v="Electric"/>
    <x v="2"/>
    <s v="36-50"/>
    <s v="Medium"/>
    <x v="1"/>
    <x v="2"/>
    <s v="Sales_18"/>
    <n v="271"/>
    <n v="143"/>
    <n v="87"/>
    <n v="26"/>
    <s v="18.18"/>
    <n v="24466"/>
    <s v="8.16"/>
    <n v="22399"/>
    <n v="636116"/>
    <n v="53742"/>
    <s v="Feb"/>
    <n v="2"/>
    <n v="2026"/>
    <s v="Weekday"/>
    <n v="0.2988505747126437"/>
    <n v="0.52767527675276749"/>
    <n v="9.5940959409594101E-2"/>
    <n v="2067"/>
    <s v="Leipzig Mobility"/>
  </r>
  <r>
    <s v="CUST_4662"/>
    <x v="18"/>
    <x v="0"/>
    <s v="Saturday"/>
    <s v="Yes"/>
    <x v="2"/>
    <x v="2"/>
    <s v="Lower Saxony"/>
    <x v="4"/>
    <s v="ID.4"/>
    <s v="Petrol"/>
    <x v="0"/>
    <s v="18-25"/>
    <s v="Low"/>
    <x v="1"/>
    <x v="2"/>
    <s v="Sales_14"/>
    <n v="279"/>
    <n v="135"/>
    <n v="86"/>
    <n v="25"/>
    <s v="18.52"/>
    <n v="28927"/>
    <s v="9.22"/>
    <n v="25837"/>
    <n v="723175"/>
    <n v="77250"/>
    <s v="Feb"/>
    <n v="2"/>
    <n v="2026"/>
    <s v="Weekend"/>
    <n v="0.29069767441860467"/>
    <n v="0.4838709677419355"/>
    <n v="8.9605734767025089E-2"/>
    <n v="3090"/>
    <s v="Hannover Cars"/>
  </r>
  <r>
    <s v="CUST_4663"/>
    <x v="8"/>
    <x v="3"/>
    <s v="Wednesday"/>
    <s v="No"/>
    <x v="2"/>
    <x v="2"/>
    <s v="Lower Saxony"/>
    <x v="1"/>
    <s v="Astra"/>
    <s v="Petrol"/>
    <x v="2"/>
    <s v="50+"/>
    <s v="Low"/>
    <x v="0"/>
    <x v="3"/>
    <s v="Sales_8"/>
    <n v="359"/>
    <n v="173"/>
    <n v="98"/>
    <n v="26"/>
    <s v="15.03"/>
    <n v="23445"/>
    <s v="10.14"/>
    <n v="21066"/>
    <n v="609570"/>
    <n v="61854"/>
    <s v="Feb"/>
    <n v="2"/>
    <n v="2026"/>
    <s v="Weekday"/>
    <n v="0.26530612244897961"/>
    <n v="0.48189415041782729"/>
    <n v="7.2423398328690811E-2"/>
    <n v="2379"/>
    <s v="Hannover Cars"/>
  </r>
  <r>
    <s v="CUST_4664"/>
    <x v="11"/>
    <x v="0"/>
    <s v="Wednesday"/>
    <s v="No"/>
    <x v="1"/>
    <x v="1"/>
    <s v="NRW"/>
    <x v="0"/>
    <s v="X5"/>
    <s v="Hybrid"/>
    <x v="0"/>
    <s v="50+"/>
    <s v="Low"/>
    <x v="1"/>
    <x v="0"/>
    <s v="Sales_19"/>
    <n v="207"/>
    <n v="102"/>
    <n v="83"/>
    <n v="27"/>
    <s v="26.47"/>
    <n v="57484"/>
    <s v="3.38"/>
    <n v="41889"/>
    <n v="1552068"/>
    <n v="421065"/>
    <s v="Feb"/>
    <n v="2"/>
    <n v="2026"/>
    <s v="Weekday"/>
    <n v="0.3253012048192771"/>
    <n v="0.49275362318840582"/>
    <n v="0.13043478260869565"/>
    <n v="15595"/>
    <s v="Rhein Auto Group"/>
  </r>
  <r>
    <s v="CUST_4665"/>
    <x v="15"/>
    <x v="2"/>
    <s v="Thursday"/>
    <s v="No"/>
    <x v="1"/>
    <x v="1"/>
    <s v="NRW"/>
    <x v="2"/>
    <s v="Q5"/>
    <s v="Petrol"/>
    <x v="0"/>
    <s v="18-25"/>
    <s v="Medium"/>
    <x v="0"/>
    <x v="2"/>
    <s v="Sales_5"/>
    <n v="278"/>
    <n v="153"/>
    <n v="107"/>
    <n v="38"/>
    <s v="24.84"/>
    <n v="43450"/>
    <s v="3.84"/>
    <n v="34707"/>
    <n v="1651100"/>
    <n v="332234"/>
    <s v="Feb"/>
    <n v="2"/>
    <n v="2026"/>
    <s v="Weekday"/>
    <n v="0.35514018691588783"/>
    <n v="0.55035971223021585"/>
    <n v="0.1366906474820144"/>
    <n v="8743"/>
    <s v="Rhein Auto Group"/>
  </r>
  <r>
    <s v="CUST_4666"/>
    <x v="5"/>
    <x v="3"/>
    <s v="Saturday"/>
    <s v="Yes"/>
    <x v="2"/>
    <x v="2"/>
    <s v="Lower Saxony"/>
    <x v="2"/>
    <s v="A4"/>
    <s v="Diesel"/>
    <x v="1"/>
    <s v="50+"/>
    <s v="Low"/>
    <x v="1"/>
    <x v="3"/>
    <s v="Sales_8"/>
    <n v="264"/>
    <n v="132"/>
    <n v="96"/>
    <n v="26"/>
    <s v="19.7"/>
    <n v="41137"/>
    <s v="5.65"/>
    <n v="30858"/>
    <n v="1069562"/>
    <n v="267254"/>
    <s v="Feb"/>
    <n v="2"/>
    <n v="2026"/>
    <s v="Weekend"/>
    <n v="0.27083333333333331"/>
    <n v="0.5"/>
    <n v="9.8484848484848481E-2"/>
    <n v="10279"/>
    <s v="Hannover Cars"/>
  </r>
  <r>
    <s v="CUST_4667"/>
    <x v="4"/>
    <x v="2"/>
    <s v="Wednesday"/>
    <s v="No"/>
    <x v="7"/>
    <x v="7"/>
    <s v="Bavaria"/>
    <x v="4"/>
    <s v="Passat"/>
    <s v="Diesel"/>
    <x v="1"/>
    <s v="18-25"/>
    <s v="Medium"/>
    <x v="0"/>
    <x v="1"/>
    <s v="Sales_10"/>
    <n v="445"/>
    <n v="186"/>
    <n v="112"/>
    <n v="34"/>
    <s v="18.28"/>
    <n v="26083"/>
    <s v="9.38"/>
    <n v="23663"/>
    <n v="886822"/>
    <n v="82280"/>
    <s v="Feb"/>
    <n v="2"/>
    <n v="2026"/>
    <s v="Weekday"/>
    <n v="0.30357142857142855"/>
    <n v="0.41797752808988764"/>
    <n v="7.6404494382022473E-2"/>
    <n v="2420"/>
    <s v="Bavaria Motors"/>
  </r>
  <r>
    <s v="CUST_4668"/>
    <x v="5"/>
    <x v="3"/>
    <s v="Saturday"/>
    <s v="Yes"/>
    <x v="5"/>
    <x v="5"/>
    <s v="Hamburg"/>
    <x v="2"/>
    <s v="Q3"/>
    <s v="Electric"/>
    <x v="0"/>
    <s v="26-35"/>
    <s v="Low"/>
    <x v="1"/>
    <x v="3"/>
    <s v="Sales_9"/>
    <n v="284"/>
    <n v="173"/>
    <n v="128"/>
    <n v="38"/>
    <s v="21.97"/>
    <n v="42615"/>
    <s v="3.01"/>
    <n v="33608"/>
    <n v="1619370"/>
    <n v="342266"/>
    <s v="Feb"/>
    <n v="2"/>
    <n v="2026"/>
    <s v="Weekend"/>
    <n v="0.296875"/>
    <n v="0.60915492957746475"/>
    <n v="0.13380281690140844"/>
    <n v="9007"/>
    <s v="Elbe Drive"/>
  </r>
  <r>
    <s v="CUST_4669"/>
    <x v="2"/>
    <x v="2"/>
    <s v="Monday"/>
    <s v="No"/>
    <x v="9"/>
    <x v="9"/>
    <s v="NRW"/>
    <x v="1"/>
    <s v="Crossland"/>
    <s v="Hybrid"/>
    <x v="0"/>
    <s v="50+"/>
    <s v="Low"/>
    <x v="0"/>
    <x v="0"/>
    <s v="Sales_12"/>
    <n v="276"/>
    <n v="139"/>
    <n v="77"/>
    <n v="18"/>
    <s v="12.95"/>
    <n v="24597"/>
    <s v="9.7"/>
    <n v="22608"/>
    <n v="442746"/>
    <n v="35802"/>
    <s v="Feb"/>
    <n v="2"/>
    <n v="2026"/>
    <s v="Weekday"/>
    <n v="0.23376623376623376"/>
    <n v="0.50362318840579712"/>
    <n v="6.5217391304347824E-2"/>
    <n v="1989"/>
    <s v="Ruhr Auto Plaza"/>
  </r>
  <r>
    <s v="CUST_4670"/>
    <x v="2"/>
    <x v="2"/>
    <s v="Monday"/>
    <s v="No"/>
    <x v="4"/>
    <x v="4"/>
    <s v="Berlin"/>
    <x v="1"/>
    <s v="Grandland"/>
    <s v="Diesel"/>
    <x v="0"/>
    <s v="36-50"/>
    <s v="Medium"/>
    <x v="0"/>
    <x v="3"/>
    <s v="Sales_16"/>
    <n v="410"/>
    <n v="222"/>
    <n v="133"/>
    <n v="41"/>
    <s v="18.47"/>
    <n v="19556"/>
    <s v="13.7"/>
    <n v="17485"/>
    <n v="801796"/>
    <n v="84911"/>
    <s v="Feb"/>
    <n v="2"/>
    <n v="2026"/>
    <s v="Weekday"/>
    <n v="0.30827067669172931"/>
    <n v="0.54146341463414638"/>
    <n v="0.1"/>
    <n v="2071"/>
    <s v="Autohaus Berlin"/>
  </r>
  <r>
    <s v="CUST_4671"/>
    <x v="5"/>
    <x v="3"/>
    <s v="Saturday"/>
    <s v="Yes"/>
    <x v="0"/>
    <x v="0"/>
    <s v="Hesse"/>
    <x v="3"/>
    <s v="GLC"/>
    <s v="Hybrid"/>
    <x v="0"/>
    <s v="26-35"/>
    <s v="High"/>
    <x v="0"/>
    <x v="0"/>
    <s v="Sales_19"/>
    <n v="184"/>
    <n v="96"/>
    <n v="70"/>
    <n v="23"/>
    <s v="23.96"/>
    <n v="50821"/>
    <s v="3.14"/>
    <n v="38104"/>
    <n v="1168883"/>
    <n v="292491"/>
    <s v="Feb"/>
    <n v="2"/>
    <n v="2026"/>
    <s v="Weekend"/>
    <n v="0.32857142857142857"/>
    <n v="0.52173913043478259"/>
    <n v="0.125"/>
    <n v="12717"/>
    <s v="Main Auto Hub"/>
  </r>
  <r>
    <s v="CUST_4672"/>
    <x v="8"/>
    <x v="3"/>
    <s v="Wednesday"/>
    <s v="No"/>
    <x v="6"/>
    <x v="6"/>
    <s v="Saxony"/>
    <x v="3"/>
    <s v="GLE"/>
    <s v="Petrol"/>
    <x v="0"/>
    <s v="26-35"/>
    <s v="Medium"/>
    <x v="0"/>
    <x v="1"/>
    <s v="Sales_7"/>
    <n v="215"/>
    <n v="122"/>
    <n v="81"/>
    <n v="32"/>
    <s v="26.23"/>
    <n v="52602"/>
    <s v="5.29"/>
    <n v="37738"/>
    <n v="1683264"/>
    <n v="475648"/>
    <s v="Feb"/>
    <n v="2"/>
    <n v="2026"/>
    <s v="Weekday"/>
    <n v="0.39506172839506171"/>
    <n v="0.56744186046511624"/>
    <n v="0.14883720930232558"/>
    <n v="14864"/>
    <s v="Leipzig Mobility"/>
  </r>
  <r>
    <s v="CUST_4673"/>
    <x v="25"/>
    <x v="3"/>
    <s v="Friday"/>
    <s v="No"/>
    <x v="8"/>
    <x v="8"/>
    <s v="Baden-WÃ¼rttemberg"/>
    <x v="4"/>
    <s v="Golf"/>
    <s v="Diesel"/>
    <x v="2"/>
    <s v="50+"/>
    <s v="Low"/>
    <x v="1"/>
    <x v="2"/>
    <s v="Sales_6"/>
    <n v="510"/>
    <n v="215"/>
    <n v="153"/>
    <n v="41"/>
    <s v="19.07"/>
    <n v="33861"/>
    <s v="6.4"/>
    <n v="29828"/>
    <n v="1388301"/>
    <n v="165353"/>
    <s v="Feb"/>
    <n v="2"/>
    <n v="2026"/>
    <s v="Weekday"/>
    <n v="0.26797385620915032"/>
    <n v="0.42156862745098039"/>
    <n v="8.0392156862745104E-2"/>
    <n v="4033"/>
    <s v="Stuttgart Auto Center"/>
  </r>
  <r>
    <s v="CUST_4674"/>
    <x v="8"/>
    <x v="3"/>
    <s v="Wednesday"/>
    <s v="No"/>
    <x v="5"/>
    <x v="5"/>
    <s v="Hamburg"/>
    <x v="1"/>
    <s v="Astra"/>
    <s v="Diesel"/>
    <x v="2"/>
    <s v="26-35"/>
    <s v="High"/>
    <x v="1"/>
    <x v="0"/>
    <s v="Sales_4"/>
    <n v="309"/>
    <n v="162"/>
    <n v="101"/>
    <n v="25"/>
    <s v="15.43"/>
    <n v="26493"/>
    <s v="11.03"/>
    <n v="23826"/>
    <n v="662325"/>
    <n v="66675"/>
    <s v="Feb"/>
    <n v="2"/>
    <n v="2026"/>
    <s v="Weekday"/>
    <n v="0.24752475247524752"/>
    <n v="0.52427184466019416"/>
    <n v="8.0906148867313912E-2"/>
    <n v="2667"/>
    <s v="Elbe Drive"/>
  </r>
  <r>
    <s v="CUST_4675"/>
    <x v="26"/>
    <x v="1"/>
    <s v="Friday"/>
    <s v="No"/>
    <x v="5"/>
    <x v="5"/>
    <s v="Hamburg"/>
    <x v="4"/>
    <s v="Tiguan"/>
    <s v="Hybrid"/>
    <x v="0"/>
    <s v="18-25"/>
    <s v="Low"/>
    <x v="0"/>
    <x v="2"/>
    <s v="Sales_10"/>
    <n v="322"/>
    <n v="152"/>
    <n v="98"/>
    <n v="34"/>
    <s v="22.37"/>
    <n v="34488"/>
    <s v="7.47"/>
    <n v="30122"/>
    <n v="1172592"/>
    <n v="148444"/>
    <s v="Feb"/>
    <n v="2"/>
    <n v="2026"/>
    <s v="Weekday"/>
    <n v="0.34693877551020408"/>
    <n v="0.47204968944099379"/>
    <n v="0.10559006211180125"/>
    <n v="4366"/>
    <s v="Elbe Drive"/>
  </r>
  <r>
    <s v="CUST_4676"/>
    <x v="22"/>
    <x v="3"/>
    <s v="Tuesday"/>
    <s v="No"/>
    <x v="1"/>
    <x v="1"/>
    <s v="NRW"/>
    <x v="3"/>
    <s v="EQE"/>
    <s v="Diesel"/>
    <x v="1"/>
    <s v="36-50"/>
    <s v="Medium"/>
    <x v="0"/>
    <x v="0"/>
    <s v="Sales_17"/>
    <n v="229"/>
    <n v="116"/>
    <n v="92"/>
    <n v="29"/>
    <s v="25.0"/>
    <n v="55639"/>
    <s v="3.45"/>
    <n v="40047"/>
    <n v="1613531"/>
    <n v="452168"/>
    <s v="Feb"/>
    <n v="2"/>
    <n v="2026"/>
    <s v="Weekday"/>
    <n v="0.31521739130434784"/>
    <n v="0.50655021834061131"/>
    <n v="0.12663755458515283"/>
    <n v="15592"/>
    <s v="Rhein Auto Group"/>
  </r>
  <r>
    <s v="CUST_4677"/>
    <x v="19"/>
    <x v="1"/>
    <s v="Saturday"/>
    <s v="Yes"/>
    <x v="5"/>
    <x v="5"/>
    <s v="Hamburg"/>
    <x v="0"/>
    <s v="3 Series"/>
    <s v="Hybrid"/>
    <x v="1"/>
    <s v="18-25"/>
    <s v="Low"/>
    <x v="0"/>
    <x v="3"/>
    <s v="Sales_9"/>
    <n v="200"/>
    <n v="94"/>
    <n v="71"/>
    <n v="27"/>
    <s v="28.72"/>
    <n v="60535"/>
    <s v="3.05"/>
    <n v="43927"/>
    <n v="1634445"/>
    <n v="448416"/>
    <s v="Feb"/>
    <n v="2"/>
    <n v="2026"/>
    <s v="Weekend"/>
    <n v="0.38028169014084506"/>
    <n v="0.47"/>
    <n v="0.13500000000000001"/>
    <n v="16608"/>
    <s v="Elbe Drive"/>
  </r>
  <r>
    <s v="CUST_4678"/>
    <x v="1"/>
    <x v="1"/>
    <s v="Wednesday"/>
    <s v="No"/>
    <x v="0"/>
    <x v="0"/>
    <s v="Hesse"/>
    <x v="1"/>
    <s v="Crossland"/>
    <s v="Petrol"/>
    <x v="0"/>
    <s v="26-35"/>
    <s v="Low"/>
    <x v="0"/>
    <x v="1"/>
    <s v="Sales_18"/>
    <n v="419"/>
    <n v="177"/>
    <n v="111"/>
    <n v="28"/>
    <s v="15.82"/>
    <n v="27098"/>
    <s v="7.64"/>
    <n v="24496"/>
    <n v="758744"/>
    <n v="72856"/>
    <s v="Feb"/>
    <n v="2"/>
    <n v="2026"/>
    <s v="Weekday"/>
    <n v="0.25225225225225223"/>
    <n v="0.42243436754176611"/>
    <n v="6.6825775656324582E-2"/>
    <n v="2602"/>
    <s v="Main Auto Hub"/>
  </r>
  <r>
    <s v="CUST_4679"/>
    <x v="17"/>
    <x v="2"/>
    <s v="Sunday"/>
    <s v="Yes"/>
    <x v="4"/>
    <x v="4"/>
    <s v="Berlin"/>
    <x v="3"/>
    <s v="E-Class"/>
    <s v="Electric"/>
    <x v="1"/>
    <s v="50+"/>
    <s v="Low"/>
    <x v="1"/>
    <x v="2"/>
    <s v="Sales_4"/>
    <n v="220"/>
    <n v="108"/>
    <n v="77"/>
    <n v="33"/>
    <s v="30.56"/>
    <n v="63458"/>
    <s v="2.54"/>
    <n v="46583"/>
    <n v="2094114"/>
    <n v="556875"/>
    <s v="Feb"/>
    <n v="2"/>
    <n v="2026"/>
    <s v="Weekend"/>
    <n v="0.42857142857142855"/>
    <n v="0.49090909090909091"/>
    <n v="0.15"/>
    <n v="16875"/>
    <s v="Autohaus Berlin"/>
  </r>
  <r>
    <s v="CUST_4680"/>
    <x v="6"/>
    <x v="2"/>
    <s v="Saturday"/>
    <s v="Yes"/>
    <x v="2"/>
    <x v="2"/>
    <s v="Lower Saxony"/>
    <x v="4"/>
    <s v="Passat"/>
    <s v="Petrol"/>
    <x v="1"/>
    <s v="50+"/>
    <s v="High"/>
    <x v="1"/>
    <x v="2"/>
    <s v="Sales_4"/>
    <n v="482"/>
    <n v="218"/>
    <n v="136"/>
    <n v="42"/>
    <s v="19.27"/>
    <n v="33604"/>
    <s v="7.71"/>
    <n v="30497"/>
    <n v="1411368"/>
    <n v="130494"/>
    <s v="Feb"/>
    <n v="2"/>
    <n v="2026"/>
    <s v="Weekend"/>
    <n v="0.30882352941176472"/>
    <n v="0.45228215767634855"/>
    <n v="8.7136929460580909E-2"/>
    <n v="3107"/>
    <s v="Hannover Cars"/>
  </r>
  <r>
    <s v="CUST_4681"/>
    <x v="2"/>
    <x v="2"/>
    <s v="Monday"/>
    <s v="No"/>
    <x v="9"/>
    <x v="9"/>
    <s v="NRW"/>
    <x v="1"/>
    <s v="Crossland"/>
    <s v="Hybrid"/>
    <x v="0"/>
    <s v="50+"/>
    <s v="Medium"/>
    <x v="1"/>
    <x v="1"/>
    <s v="Sales_7"/>
    <n v="249"/>
    <n v="115"/>
    <n v="72"/>
    <n v="15"/>
    <s v="13.04"/>
    <n v="22458"/>
    <s v="9.26"/>
    <n v="20119"/>
    <n v="336870"/>
    <n v="35085"/>
    <s v="Feb"/>
    <n v="2"/>
    <n v="2026"/>
    <s v="Weekday"/>
    <n v="0.20833333333333334"/>
    <n v="0.46184738955823296"/>
    <n v="6.0240963855421686E-2"/>
    <n v="2339"/>
    <s v="Ruhr Auto Plaza"/>
  </r>
  <r>
    <s v="CUST_4682"/>
    <x v="1"/>
    <x v="1"/>
    <s v="Wednesday"/>
    <s v="No"/>
    <x v="4"/>
    <x v="4"/>
    <s v="Berlin"/>
    <x v="1"/>
    <s v="Corsa"/>
    <s v="Electric"/>
    <x v="2"/>
    <s v="26-35"/>
    <s v="Medium"/>
    <x v="1"/>
    <x v="0"/>
    <s v="Sales_15"/>
    <n v="273"/>
    <n v="126"/>
    <n v="83"/>
    <n v="19"/>
    <s v="15.08"/>
    <n v="25171"/>
    <s v="11.48"/>
    <n v="23333"/>
    <n v="478249"/>
    <n v="34922"/>
    <s v="Feb"/>
    <n v="2"/>
    <n v="2026"/>
    <s v="Weekday"/>
    <n v="0.2289156626506024"/>
    <n v="0.46153846153846156"/>
    <n v="6.95970695970696E-2"/>
    <n v="1838"/>
    <s v="Autohaus Berlin"/>
  </r>
  <r>
    <s v="CUST_4683"/>
    <x v="0"/>
    <x v="0"/>
    <s v="Monday"/>
    <s v="No"/>
    <x v="9"/>
    <x v="9"/>
    <s v="NRW"/>
    <x v="1"/>
    <s v="Astra"/>
    <s v="Hybrid"/>
    <x v="2"/>
    <s v="18-25"/>
    <s v="Medium"/>
    <x v="1"/>
    <x v="1"/>
    <s v="Sales_6"/>
    <n v="285"/>
    <n v="151"/>
    <n v="91"/>
    <n v="20"/>
    <s v="13.25"/>
    <n v="21764"/>
    <s v="8.16"/>
    <n v="19887"/>
    <n v="435280"/>
    <n v="37540"/>
    <s v="Feb"/>
    <n v="2"/>
    <n v="2026"/>
    <s v="Weekday"/>
    <n v="0.21978021978021978"/>
    <n v="0.52982456140350875"/>
    <n v="7.0175438596491224E-2"/>
    <n v="1877"/>
    <s v="Ruhr Auto Plaza"/>
  </r>
  <r>
    <s v="CUST_4684"/>
    <x v="18"/>
    <x v="0"/>
    <s v="Saturday"/>
    <s v="Yes"/>
    <x v="0"/>
    <x v="0"/>
    <s v="Hesse"/>
    <x v="1"/>
    <s v="Corsa"/>
    <s v="Hybrid"/>
    <x v="2"/>
    <s v="18-25"/>
    <s v="High"/>
    <x v="1"/>
    <x v="1"/>
    <s v="Sales_11"/>
    <n v="322"/>
    <n v="125"/>
    <n v="79"/>
    <n v="16"/>
    <s v="12.8"/>
    <n v="20784"/>
    <s v="13.56"/>
    <n v="19040"/>
    <n v="332544"/>
    <n v="27904"/>
    <s v="Feb"/>
    <n v="2"/>
    <n v="2026"/>
    <s v="Weekend"/>
    <n v="0.20253164556962025"/>
    <n v="0.38819875776397517"/>
    <n v="4.9689440993788817E-2"/>
    <n v="1744"/>
    <s v="Main Auto Hub"/>
  </r>
  <r>
    <s v="CUST_4685"/>
    <x v="18"/>
    <x v="0"/>
    <s v="Saturday"/>
    <s v="Yes"/>
    <x v="3"/>
    <x v="3"/>
    <s v="Saxony"/>
    <x v="4"/>
    <s v="ID.4"/>
    <s v="Electric"/>
    <x v="0"/>
    <s v="18-25"/>
    <s v="Medium"/>
    <x v="0"/>
    <x v="2"/>
    <s v="Sales_19"/>
    <n v="513"/>
    <n v="245"/>
    <n v="165"/>
    <n v="39"/>
    <s v="15.92"/>
    <n v="30670"/>
    <s v="11.63"/>
    <n v="26986"/>
    <n v="1196130"/>
    <n v="143676"/>
    <s v="Feb"/>
    <n v="2"/>
    <n v="2026"/>
    <s v="Weekend"/>
    <n v="0.23636363636363636"/>
    <n v="0.47758284600389861"/>
    <n v="7.6023391812865493E-2"/>
    <n v="3684"/>
    <s v="Saxon Wheels"/>
  </r>
  <r>
    <s v="CUST_4686"/>
    <x v="8"/>
    <x v="3"/>
    <s v="Wednesday"/>
    <s v="No"/>
    <x v="7"/>
    <x v="7"/>
    <s v="Bavaria"/>
    <x v="0"/>
    <s v="5 Series"/>
    <s v="Hybrid"/>
    <x v="1"/>
    <s v="36-50"/>
    <s v="High"/>
    <x v="1"/>
    <x v="3"/>
    <s v="Sales_2"/>
    <n v="246"/>
    <n v="120"/>
    <n v="92"/>
    <n v="31"/>
    <s v="25.83"/>
    <n v="57483"/>
    <s v="2.44"/>
    <n v="43455"/>
    <n v="1781973"/>
    <n v="434868"/>
    <s v="Feb"/>
    <n v="2"/>
    <n v="2026"/>
    <s v="Weekday"/>
    <n v="0.33695652173913043"/>
    <n v="0.48780487804878048"/>
    <n v="0.12601626016260162"/>
    <n v="14028"/>
    <s v="Bavaria Motors"/>
  </r>
  <r>
    <s v="CUST_4687"/>
    <x v="6"/>
    <x v="2"/>
    <s v="Saturday"/>
    <s v="Yes"/>
    <x v="2"/>
    <x v="2"/>
    <s v="Lower Saxony"/>
    <x v="2"/>
    <s v="e-tron"/>
    <s v="Electric"/>
    <x v="0"/>
    <s v="26-35"/>
    <s v="Medium"/>
    <x v="1"/>
    <x v="2"/>
    <s v="Sales_6"/>
    <n v="241"/>
    <n v="134"/>
    <n v="93"/>
    <n v="34"/>
    <s v="25.37"/>
    <n v="46889"/>
    <s v="4.25"/>
    <n v="35834"/>
    <n v="1594226"/>
    <n v="375870"/>
    <s v="Feb"/>
    <n v="2"/>
    <n v="2026"/>
    <s v="Weekend"/>
    <n v="0.36559139784946237"/>
    <n v="0.55601659751037347"/>
    <n v="0.14107883817427386"/>
    <n v="11055"/>
    <s v="Hannover Cars"/>
  </r>
  <r>
    <s v="CUST_4688"/>
    <x v="19"/>
    <x v="1"/>
    <s v="Saturday"/>
    <s v="Yes"/>
    <x v="9"/>
    <x v="9"/>
    <s v="NRW"/>
    <x v="2"/>
    <s v="A4"/>
    <s v="Hybrid"/>
    <x v="1"/>
    <s v="36-50"/>
    <s v="Medium"/>
    <x v="0"/>
    <x v="0"/>
    <s v="Sales_4"/>
    <n v="211"/>
    <n v="115"/>
    <n v="74"/>
    <n v="25"/>
    <s v="21.74"/>
    <n v="53795"/>
    <s v="3.68"/>
    <n v="43689"/>
    <n v="1344875"/>
    <n v="252650"/>
    <s v="Feb"/>
    <n v="2"/>
    <n v="2026"/>
    <s v="Weekend"/>
    <n v="0.33783783783783783"/>
    <n v="0.54502369668246442"/>
    <n v="0.11848341232227488"/>
    <n v="10106"/>
    <s v="Ruhr Auto Plaza"/>
  </r>
  <r>
    <s v="CUST_4689"/>
    <x v="14"/>
    <x v="2"/>
    <s v="Friday"/>
    <s v="No"/>
    <x v="7"/>
    <x v="7"/>
    <s v="Bavaria"/>
    <x v="0"/>
    <s v="X3"/>
    <s v="Electric"/>
    <x v="0"/>
    <s v="50+"/>
    <s v="High"/>
    <x v="0"/>
    <x v="2"/>
    <s v="Sales_2"/>
    <n v="175"/>
    <n v="96"/>
    <n v="73"/>
    <n v="29"/>
    <s v="30.21"/>
    <n v="61827"/>
    <s v="2.52"/>
    <n v="47588"/>
    <n v="1792983"/>
    <n v="412931"/>
    <s v="Feb"/>
    <n v="2"/>
    <n v="2026"/>
    <s v="Weekday"/>
    <n v="0.39726027397260272"/>
    <n v="0.5485714285714286"/>
    <n v="0.1657142857142857"/>
    <n v="14239"/>
    <s v="Bavaria Motors"/>
  </r>
  <r>
    <s v="CUST_4690"/>
    <x v="4"/>
    <x v="2"/>
    <s v="Wednesday"/>
    <s v="No"/>
    <x v="3"/>
    <x v="3"/>
    <s v="Saxony"/>
    <x v="4"/>
    <s v="Golf"/>
    <s v="Electric"/>
    <x v="2"/>
    <s v="36-50"/>
    <s v="Low"/>
    <x v="0"/>
    <x v="1"/>
    <s v="Sales_19"/>
    <n v="337"/>
    <n v="155"/>
    <n v="90"/>
    <n v="26"/>
    <s v="16.77"/>
    <n v="28479"/>
    <s v="10.49"/>
    <n v="25200"/>
    <n v="740454"/>
    <n v="85254"/>
    <s v="Feb"/>
    <n v="2"/>
    <n v="2026"/>
    <s v="Weekday"/>
    <n v="0.28888888888888886"/>
    <n v="0.4599406528189911"/>
    <n v="7.71513353115727E-2"/>
    <n v="3279"/>
    <s v="Saxon Wheels"/>
  </r>
  <r>
    <s v="CUST_4691"/>
    <x v="9"/>
    <x v="0"/>
    <s v="Sunday"/>
    <s v="Yes"/>
    <x v="0"/>
    <x v="0"/>
    <s v="Hesse"/>
    <x v="0"/>
    <s v="i4"/>
    <s v="Diesel"/>
    <x v="1"/>
    <s v="18-25"/>
    <s v="High"/>
    <x v="1"/>
    <x v="2"/>
    <s v="Sales_13"/>
    <n v="260"/>
    <n v="136"/>
    <n v="100"/>
    <n v="42"/>
    <s v="30.88"/>
    <n v="52139"/>
    <s v="4.88"/>
    <n v="40558"/>
    <n v="2189838"/>
    <n v="486402"/>
    <s v="Feb"/>
    <n v="2"/>
    <n v="2026"/>
    <s v="Weekend"/>
    <n v="0.42"/>
    <n v="0.52307692307692311"/>
    <n v="0.16153846153846155"/>
    <n v="11581"/>
    <s v="Main Auto Hub"/>
  </r>
  <r>
    <s v="CUST_4692"/>
    <x v="5"/>
    <x v="3"/>
    <s v="Saturday"/>
    <s v="Yes"/>
    <x v="8"/>
    <x v="8"/>
    <s v="Baden-WÃ¼rttemberg"/>
    <x v="3"/>
    <s v="E-Class"/>
    <s v="Hybrid"/>
    <x v="1"/>
    <s v="26-35"/>
    <s v="Medium"/>
    <x v="1"/>
    <x v="1"/>
    <s v="Sales_19"/>
    <n v="283"/>
    <n v="135"/>
    <n v="98"/>
    <n v="33"/>
    <s v="24.44"/>
    <n v="68714"/>
    <s v="2.82"/>
    <n v="51147"/>
    <n v="2267562"/>
    <n v="579711"/>
    <s v="Feb"/>
    <n v="2"/>
    <n v="2026"/>
    <s v="Weekend"/>
    <n v="0.33673469387755101"/>
    <n v="0.47703180212014135"/>
    <n v="0.1166077738515901"/>
    <n v="17567"/>
    <s v="Stuttgart Auto Center"/>
  </r>
  <r>
    <s v="CUST_4693"/>
    <x v="3"/>
    <x v="1"/>
    <s v="Sunday"/>
    <s v="Yes"/>
    <x v="8"/>
    <x v="8"/>
    <s v="Baden-WÃ¼rttemberg"/>
    <x v="4"/>
    <s v="ID.4"/>
    <s v="Petrol"/>
    <x v="0"/>
    <s v="26-35"/>
    <s v="Medium"/>
    <x v="0"/>
    <x v="0"/>
    <s v="Sales_4"/>
    <n v="435"/>
    <n v="205"/>
    <n v="139"/>
    <n v="26"/>
    <s v="12.68"/>
    <n v="30813"/>
    <s v="9.22"/>
    <n v="27608"/>
    <n v="801138"/>
    <n v="83330"/>
    <s v="Feb"/>
    <n v="2"/>
    <n v="2026"/>
    <s v="Weekend"/>
    <n v="0.18705035971223022"/>
    <n v="0.47126436781609193"/>
    <n v="5.9770114942528735E-2"/>
    <n v="3205"/>
    <s v="Stuttgart Auto Center"/>
  </r>
  <r>
    <s v="CUST_4694"/>
    <x v="20"/>
    <x v="0"/>
    <s v="Thursday"/>
    <s v="No"/>
    <x v="8"/>
    <x v="8"/>
    <s v="Baden-WÃ¼rttemberg"/>
    <x v="1"/>
    <s v="Grandland"/>
    <s v="Diesel"/>
    <x v="0"/>
    <s v="36-50"/>
    <s v="High"/>
    <x v="0"/>
    <x v="3"/>
    <s v="Sales_3"/>
    <n v="247"/>
    <n v="114"/>
    <n v="76"/>
    <n v="20"/>
    <s v="17.54"/>
    <n v="22110"/>
    <s v="7.04"/>
    <n v="19775"/>
    <n v="442200"/>
    <n v="46700"/>
    <s v="Feb"/>
    <n v="2"/>
    <n v="2026"/>
    <s v="Weekday"/>
    <n v="0.26315789473684209"/>
    <n v="0.46153846153846156"/>
    <n v="8.0971659919028341E-2"/>
    <n v="2335"/>
    <s v="Stuttgart Auto Center"/>
  </r>
  <r>
    <s v="CUST_4695"/>
    <x v="19"/>
    <x v="1"/>
    <s v="Saturday"/>
    <s v="Yes"/>
    <x v="4"/>
    <x v="4"/>
    <s v="Berlin"/>
    <x v="2"/>
    <s v="A4"/>
    <s v="Petrol"/>
    <x v="1"/>
    <s v="36-50"/>
    <s v="Low"/>
    <x v="0"/>
    <x v="2"/>
    <s v="Sales_6"/>
    <n v="289"/>
    <n v="143"/>
    <n v="103"/>
    <n v="40"/>
    <s v="27.97"/>
    <n v="43358"/>
    <s v="3.67"/>
    <n v="35276"/>
    <n v="1734320"/>
    <n v="323280"/>
    <s v="Feb"/>
    <n v="2"/>
    <n v="2026"/>
    <s v="Weekend"/>
    <n v="0.38834951456310679"/>
    <n v="0.49480968858131485"/>
    <n v="0.13840830449826991"/>
    <n v="8082"/>
    <s v="Autohaus Berlin"/>
  </r>
  <r>
    <s v="CUST_4696"/>
    <x v="18"/>
    <x v="0"/>
    <s v="Saturday"/>
    <s v="Yes"/>
    <x v="3"/>
    <x v="3"/>
    <s v="Saxony"/>
    <x v="2"/>
    <s v="Q5"/>
    <s v="Electric"/>
    <x v="0"/>
    <s v="26-35"/>
    <s v="Low"/>
    <x v="1"/>
    <x v="2"/>
    <s v="Sales_18"/>
    <n v="262"/>
    <n v="157"/>
    <n v="100"/>
    <n v="40"/>
    <s v="25.48"/>
    <n v="46839"/>
    <s v="5.58"/>
    <n v="38130"/>
    <n v="1873560"/>
    <n v="348360"/>
    <s v="Feb"/>
    <n v="2"/>
    <n v="2026"/>
    <s v="Weekend"/>
    <n v="0.4"/>
    <n v="0.5992366412213741"/>
    <n v="0.15267175572519084"/>
    <n v="8709"/>
    <s v="Saxon Wheels"/>
  </r>
  <r>
    <s v="CUST_4697"/>
    <x v="10"/>
    <x v="1"/>
    <s v="Monday"/>
    <s v="No"/>
    <x v="1"/>
    <x v="1"/>
    <s v="NRW"/>
    <x v="2"/>
    <s v="Q5"/>
    <s v="Hybrid"/>
    <x v="0"/>
    <s v="50+"/>
    <s v="Medium"/>
    <x v="1"/>
    <x v="1"/>
    <s v="Sales_20"/>
    <n v="279"/>
    <n v="147"/>
    <n v="112"/>
    <n v="36"/>
    <s v="24.49"/>
    <n v="47528"/>
    <s v="6.55"/>
    <n v="37749"/>
    <n v="1711008"/>
    <n v="352044"/>
    <s v="Feb"/>
    <n v="2"/>
    <n v="2026"/>
    <s v="Weekday"/>
    <n v="0.32142857142857145"/>
    <n v="0.5268817204301075"/>
    <n v="0.12903225806451613"/>
    <n v="9779"/>
    <s v="Rhein Auto Group"/>
  </r>
  <r>
    <s v="CUST_4698"/>
    <x v="1"/>
    <x v="1"/>
    <s v="Wednesday"/>
    <s v="No"/>
    <x v="5"/>
    <x v="5"/>
    <s v="Hamburg"/>
    <x v="0"/>
    <s v="3 Series"/>
    <s v="Hybrid"/>
    <x v="1"/>
    <s v="36-50"/>
    <s v="Medium"/>
    <x v="0"/>
    <x v="3"/>
    <s v="Sales_12"/>
    <n v="143"/>
    <n v="70"/>
    <n v="56"/>
    <n v="18"/>
    <s v="25.71"/>
    <n v="61021"/>
    <s v="3.54"/>
    <n v="43362"/>
    <n v="1098378"/>
    <n v="317862"/>
    <s v="Feb"/>
    <n v="2"/>
    <n v="2026"/>
    <s v="Weekday"/>
    <n v="0.32142857142857145"/>
    <n v="0.48951048951048953"/>
    <n v="0.12587412587412589"/>
    <n v="17659"/>
    <s v="Elbe Drive"/>
  </r>
  <r>
    <s v="CUST_4699"/>
    <x v="25"/>
    <x v="3"/>
    <s v="Friday"/>
    <s v="No"/>
    <x v="7"/>
    <x v="7"/>
    <s v="Bavaria"/>
    <x v="1"/>
    <s v="Astra"/>
    <s v="Petrol"/>
    <x v="2"/>
    <s v="36-50"/>
    <s v="High"/>
    <x v="0"/>
    <x v="3"/>
    <s v="Sales_10"/>
    <n v="279"/>
    <n v="115"/>
    <n v="74"/>
    <n v="18"/>
    <s v="15.65"/>
    <n v="24242"/>
    <s v="13.96"/>
    <n v="21679"/>
    <n v="436356"/>
    <n v="46134"/>
    <s v="Feb"/>
    <n v="2"/>
    <n v="2026"/>
    <s v="Weekday"/>
    <n v="0.24324324324324326"/>
    <n v="0.41218637992831542"/>
    <n v="6.4516129032258063E-2"/>
    <n v="2563"/>
    <s v="Bavaria Motors"/>
  </r>
  <r>
    <s v="CUST_4700"/>
    <x v="4"/>
    <x v="2"/>
    <s v="Wednesday"/>
    <s v="No"/>
    <x v="4"/>
    <x v="4"/>
    <s v="Berlin"/>
    <x v="1"/>
    <s v="Crossland"/>
    <s v="Electric"/>
    <x v="0"/>
    <s v="36-50"/>
    <s v="Medium"/>
    <x v="1"/>
    <x v="1"/>
    <s v="Sales_6"/>
    <n v="263"/>
    <n v="116"/>
    <n v="77"/>
    <n v="18"/>
    <s v="15.52"/>
    <n v="23549"/>
    <s v="12.45"/>
    <n v="21347"/>
    <n v="423882"/>
    <n v="39636"/>
    <s v="Feb"/>
    <n v="2"/>
    <n v="2026"/>
    <s v="Weekday"/>
    <n v="0.23376623376623376"/>
    <n v="0.44106463878326996"/>
    <n v="6.8441064638783272E-2"/>
    <n v="2202"/>
    <s v="Autohaus Berlin"/>
  </r>
  <r>
    <s v="CUST_4701"/>
    <x v="25"/>
    <x v="3"/>
    <s v="Friday"/>
    <s v="No"/>
    <x v="3"/>
    <x v="3"/>
    <s v="Saxony"/>
    <x v="0"/>
    <s v="5 Series"/>
    <s v="Diesel"/>
    <x v="1"/>
    <s v="36-50"/>
    <s v="High"/>
    <x v="1"/>
    <x v="0"/>
    <s v="Sales_16"/>
    <n v="146"/>
    <n v="86"/>
    <n v="64"/>
    <n v="20"/>
    <s v="23.26"/>
    <n v="66537"/>
    <s v="2.7"/>
    <n v="48105"/>
    <n v="1330740"/>
    <n v="368640"/>
    <s v="Feb"/>
    <n v="2"/>
    <n v="2026"/>
    <s v="Weekday"/>
    <n v="0.3125"/>
    <n v="0.58904109589041098"/>
    <n v="0.13698630136986301"/>
    <n v="18432"/>
    <s v="Saxon Wheels"/>
  </r>
  <r>
    <s v="CUST_4702"/>
    <x v="9"/>
    <x v="0"/>
    <s v="Sunday"/>
    <s v="Yes"/>
    <x v="2"/>
    <x v="2"/>
    <s v="Lower Saxony"/>
    <x v="0"/>
    <s v="5 Series"/>
    <s v="Petrol"/>
    <x v="1"/>
    <s v="36-50"/>
    <s v="Low"/>
    <x v="0"/>
    <x v="0"/>
    <s v="Sales_12"/>
    <n v="248"/>
    <n v="135"/>
    <n v="109"/>
    <n v="36"/>
    <s v="26.67"/>
    <n v="69026"/>
    <s v="4.01"/>
    <n v="48437"/>
    <n v="2484936"/>
    <n v="741204"/>
    <s v="Feb"/>
    <n v="2"/>
    <n v="2026"/>
    <s v="Weekend"/>
    <n v="0.33027522935779818"/>
    <n v="0.54435483870967738"/>
    <n v="0.14516129032258066"/>
    <n v="20589"/>
    <s v="Hannover Cars"/>
  </r>
  <r>
    <s v="CUST_4703"/>
    <x v="0"/>
    <x v="0"/>
    <s v="Monday"/>
    <s v="No"/>
    <x v="0"/>
    <x v="0"/>
    <s v="Hesse"/>
    <x v="4"/>
    <s v="T-Roc"/>
    <s v="Electric"/>
    <x v="0"/>
    <s v="36-50"/>
    <s v="Low"/>
    <x v="0"/>
    <x v="0"/>
    <s v="Sales_20"/>
    <n v="496"/>
    <n v="244"/>
    <n v="151"/>
    <n v="35"/>
    <s v="14.34"/>
    <n v="31985"/>
    <s v="10.4"/>
    <n v="27830"/>
    <n v="1119475"/>
    <n v="145425"/>
    <s v="Feb"/>
    <n v="2"/>
    <n v="2026"/>
    <s v="Weekday"/>
    <n v="0.23178807947019867"/>
    <n v="0.49193548387096775"/>
    <n v="7.0564516129032265E-2"/>
    <n v="4155"/>
    <s v="Main Auto Hub"/>
  </r>
  <r>
    <s v="CUST_4704"/>
    <x v="0"/>
    <x v="0"/>
    <s v="Monday"/>
    <s v="No"/>
    <x v="9"/>
    <x v="9"/>
    <s v="NRW"/>
    <x v="0"/>
    <s v="X5"/>
    <s v="Diesel"/>
    <x v="0"/>
    <s v="50+"/>
    <s v="Low"/>
    <x v="0"/>
    <x v="1"/>
    <s v="Sales_19"/>
    <n v="235"/>
    <n v="137"/>
    <n v="101"/>
    <n v="36"/>
    <s v="26.28"/>
    <n v="65899"/>
    <s v="4.31"/>
    <n v="47846"/>
    <n v="2372364"/>
    <n v="649908"/>
    <s v="Feb"/>
    <n v="2"/>
    <n v="2026"/>
    <s v="Weekday"/>
    <n v="0.35643564356435642"/>
    <n v="0.58297872340425527"/>
    <n v="0.15319148936170213"/>
    <n v="18053"/>
    <s v="Ruhr Auto Plaza"/>
  </r>
  <r>
    <s v="CUST_4705"/>
    <x v="22"/>
    <x v="3"/>
    <s v="Tuesday"/>
    <s v="No"/>
    <x v="0"/>
    <x v="0"/>
    <s v="Hesse"/>
    <x v="3"/>
    <s v="EQE"/>
    <s v="Diesel"/>
    <x v="1"/>
    <s v="26-35"/>
    <s v="High"/>
    <x v="1"/>
    <x v="2"/>
    <s v="Sales_14"/>
    <n v="188"/>
    <n v="98"/>
    <n v="75"/>
    <n v="26"/>
    <s v="26.53"/>
    <n v="63987"/>
    <s v="3.31"/>
    <n v="50087"/>
    <n v="1663662"/>
    <n v="361400"/>
    <s v="Feb"/>
    <n v="2"/>
    <n v="2026"/>
    <s v="Weekday"/>
    <n v="0.34666666666666668"/>
    <n v="0.52127659574468088"/>
    <n v="0.13829787234042554"/>
    <n v="13900"/>
    <s v="Main Auto Hub"/>
  </r>
  <r>
    <s v="CUST_4706"/>
    <x v="8"/>
    <x v="3"/>
    <s v="Wednesday"/>
    <s v="No"/>
    <x v="4"/>
    <x v="4"/>
    <s v="Berlin"/>
    <x v="0"/>
    <s v="5 Series"/>
    <s v="Hybrid"/>
    <x v="1"/>
    <s v="36-50"/>
    <s v="High"/>
    <x v="1"/>
    <x v="3"/>
    <s v="Sales_18"/>
    <n v="172"/>
    <n v="103"/>
    <n v="78"/>
    <n v="27"/>
    <s v="26.21"/>
    <n v="53659"/>
    <s v="3.51"/>
    <n v="39360"/>
    <n v="1448793"/>
    <n v="386073"/>
    <s v="Feb"/>
    <n v="2"/>
    <n v="2026"/>
    <s v="Weekday"/>
    <n v="0.34615384615384615"/>
    <n v="0.59883720930232553"/>
    <n v="0.15697674418604651"/>
    <n v="14299"/>
    <s v="Autohaus Berlin"/>
  </r>
  <r>
    <s v="CUST_4707"/>
    <x v="13"/>
    <x v="0"/>
    <s v="Friday"/>
    <s v="No"/>
    <x v="4"/>
    <x v="4"/>
    <s v="Berlin"/>
    <x v="0"/>
    <s v="i4"/>
    <s v="Electric"/>
    <x v="1"/>
    <s v="36-50"/>
    <s v="Low"/>
    <x v="0"/>
    <x v="1"/>
    <s v="Sales_15"/>
    <n v="146"/>
    <n v="66"/>
    <n v="51"/>
    <n v="21"/>
    <s v="31.82"/>
    <n v="56743"/>
    <s v="3.58"/>
    <n v="42479"/>
    <n v="1191603"/>
    <n v="299544"/>
    <s v="Feb"/>
    <n v="2"/>
    <n v="2026"/>
    <s v="Weekday"/>
    <n v="0.41176470588235292"/>
    <n v="0.45205479452054792"/>
    <n v="0.14383561643835616"/>
    <n v="14264"/>
    <s v="Autohaus Berlin"/>
  </r>
  <r>
    <s v="CUST_4708"/>
    <x v="20"/>
    <x v="0"/>
    <s v="Thursday"/>
    <s v="No"/>
    <x v="7"/>
    <x v="7"/>
    <s v="Bavaria"/>
    <x v="2"/>
    <s v="A4"/>
    <s v="Petrol"/>
    <x v="1"/>
    <s v="26-35"/>
    <s v="Low"/>
    <x v="0"/>
    <x v="2"/>
    <s v="Sales_18"/>
    <n v="229"/>
    <n v="125"/>
    <n v="84"/>
    <n v="34"/>
    <s v="27.2"/>
    <n v="44125"/>
    <s v="4.3"/>
    <n v="34671"/>
    <n v="1500250"/>
    <n v="321436"/>
    <s v="Feb"/>
    <n v="2"/>
    <n v="2026"/>
    <s v="Weekday"/>
    <n v="0.40476190476190477"/>
    <n v="0.54585152838427953"/>
    <n v="0.14847161572052403"/>
    <n v="9454"/>
    <s v="Bavaria Motors"/>
  </r>
  <r>
    <s v="CUST_4709"/>
    <x v="20"/>
    <x v="0"/>
    <s v="Thursday"/>
    <s v="No"/>
    <x v="8"/>
    <x v="8"/>
    <s v="Baden-WÃ¼rttemberg"/>
    <x v="0"/>
    <s v="i4"/>
    <s v="Diesel"/>
    <x v="1"/>
    <s v="36-50"/>
    <s v="High"/>
    <x v="1"/>
    <x v="1"/>
    <s v="Sales_2"/>
    <n v="176"/>
    <n v="97"/>
    <n v="78"/>
    <n v="27"/>
    <s v="27.84"/>
    <n v="63448"/>
    <s v="3.14"/>
    <n v="46378"/>
    <n v="1713096"/>
    <n v="460890"/>
    <s v="Feb"/>
    <n v="2"/>
    <n v="2026"/>
    <s v="Weekday"/>
    <n v="0.34615384615384615"/>
    <n v="0.55113636363636365"/>
    <n v="0.15340909090909091"/>
    <n v="17070"/>
    <s v="Stuttgart Auto Center"/>
  </r>
  <r>
    <s v="CUST_4710"/>
    <x v="12"/>
    <x v="3"/>
    <s v="Thursday"/>
    <s v="No"/>
    <x v="9"/>
    <x v="9"/>
    <s v="NRW"/>
    <x v="3"/>
    <s v="E-Class"/>
    <s v="Electric"/>
    <x v="1"/>
    <s v="26-35"/>
    <s v="High"/>
    <x v="0"/>
    <x v="2"/>
    <s v="Sales_9"/>
    <n v="280"/>
    <n v="124"/>
    <n v="94"/>
    <n v="35"/>
    <s v="28.23"/>
    <n v="67408"/>
    <s v="4.82"/>
    <n v="52988"/>
    <n v="2359280"/>
    <n v="504700"/>
    <s v="Feb"/>
    <n v="2"/>
    <n v="2026"/>
    <s v="Weekday"/>
    <n v="0.37234042553191488"/>
    <n v="0.44285714285714284"/>
    <n v="0.125"/>
    <n v="14420"/>
    <s v="Ruhr Auto Plaza"/>
  </r>
  <r>
    <s v="CUST_4711"/>
    <x v="24"/>
    <x v="1"/>
    <s v="Thursday"/>
    <s v="No"/>
    <x v="3"/>
    <x v="3"/>
    <s v="Saxony"/>
    <x v="3"/>
    <s v="GLE"/>
    <s v="Electric"/>
    <x v="0"/>
    <s v="50+"/>
    <s v="Low"/>
    <x v="1"/>
    <x v="3"/>
    <s v="Sales_5"/>
    <n v="245"/>
    <n v="124"/>
    <n v="93"/>
    <n v="26"/>
    <s v="20.97"/>
    <n v="56940"/>
    <s v="5.71"/>
    <n v="41208"/>
    <n v="1480440"/>
    <n v="409032"/>
    <s v="Feb"/>
    <n v="2"/>
    <n v="2026"/>
    <s v="Weekday"/>
    <n v="0.27956989247311825"/>
    <n v="0.5061224489795918"/>
    <n v="0.10612244897959183"/>
    <n v="15732"/>
    <s v="Saxon Wheels"/>
  </r>
  <r>
    <s v="CUST_4712"/>
    <x v="23"/>
    <x v="2"/>
    <s v="Tuesday"/>
    <s v="No"/>
    <x v="8"/>
    <x v="8"/>
    <s v="Baden-WÃ¼rttemberg"/>
    <x v="2"/>
    <s v="Q3"/>
    <s v="Hybrid"/>
    <x v="0"/>
    <s v="18-25"/>
    <s v="Low"/>
    <x v="1"/>
    <x v="1"/>
    <s v="Sales_3"/>
    <n v="257"/>
    <n v="129"/>
    <n v="86"/>
    <n v="34"/>
    <s v="26.36"/>
    <n v="51925"/>
    <s v="5.06"/>
    <n v="41080"/>
    <n v="1765450"/>
    <n v="368730"/>
    <s v="Feb"/>
    <n v="2"/>
    <n v="2026"/>
    <s v="Weekday"/>
    <n v="0.39534883720930231"/>
    <n v="0.50194552529182879"/>
    <n v="0.13229571984435798"/>
    <n v="10845"/>
    <s v="Stuttgart Auto Center"/>
  </r>
  <r>
    <s v="CUST_4713"/>
    <x v="26"/>
    <x v="1"/>
    <s v="Friday"/>
    <s v="No"/>
    <x v="5"/>
    <x v="5"/>
    <s v="Hamburg"/>
    <x v="3"/>
    <s v="C-Class"/>
    <s v="Electric"/>
    <x v="1"/>
    <s v="50+"/>
    <s v="Low"/>
    <x v="1"/>
    <x v="1"/>
    <s v="Sales_13"/>
    <n v="272"/>
    <n v="120"/>
    <n v="86"/>
    <n v="34"/>
    <s v="28.33"/>
    <n v="52575"/>
    <s v="3.61"/>
    <n v="40278"/>
    <n v="1787550"/>
    <n v="418098"/>
    <s v="Feb"/>
    <n v="2"/>
    <n v="2026"/>
    <s v="Weekday"/>
    <n v="0.39534883720930231"/>
    <n v="0.44117647058823528"/>
    <n v="0.125"/>
    <n v="12297"/>
    <s v="Elbe Drive"/>
  </r>
  <r>
    <s v="CUST_4714"/>
    <x v="13"/>
    <x v="0"/>
    <s v="Friday"/>
    <s v="No"/>
    <x v="1"/>
    <x v="1"/>
    <s v="NRW"/>
    <x v="4"/>
    <s v="T-Roc"/>
    <s v="Hybrid"/>
    <x v="0"/>
    <s v="26-35"/>
    <s v="High"/>
    <x v="0"/>
    <x v="3"/>
    <s v="Sales_11"/>
    <n v="494"/>
    <n v="241"/>
    <n v="163"/>
    <n v="32"/>
    <s v="13.28"/>
    <n v="30670"/>
    <s v="10.11"/>
    <n v="27445"/>
    <n v="981440"/>
    <n v="103200"/>
    <s v="Feb"/>
    <n v="2"/>
    <n v="2026"/>
    <s v="Weekday"/>
    <n v="0.19631901840490798"/>
    <n v="0.48785425101214575"/>
    <n v="6.4777327935222673E-2"/>
    <n v="3225"/>
    <s v="Rhein Auto Group"/>
  </r>
  <r>
    <s v="CUST_4715"/>
    <x v="2"/>
    <x v="2"/>
    <s v="Monday"/>
    <s v="No"/>
    <x v="6"/>
    <x v="6"/>
    <s v="Saxony"/>
    <x v="3"/>
    <s v="GLE"/>
    <s v="Petrol"/>
    <x v="0"/>
    <s v="26-35"/>
    <s v="Low"/>
    <x v="1"/>
    <x v="3"/>
    <s v="Sales_13"/>
    <n v="269"/>
    <n v="119"/>
    <n v="78"/>
    <n v="29"/>
    <s v="24.37"/>
    <n v="49687"/>
    <s v="5.09"/>
    <n v="38337"/>
    <n v="1440923"/>
    <n v="329150"/>
    <s v="Feb"/>
    <n v="2"/>
    <n v="2026"/>
    <s v="Weekday"/>
    <n v="0.37179487179487181"/>
    <n v="0.44237918215613381"/>
    <n v="0.10780669144981413"/>
    <n v="11350"/>
    <s v="Leipzig Mobility"/>
  </r>
  <r>
    <s v="CUST_4716"/>
    <x v="21"/>
    <x v="0"/>
    <s v="Tuesday"/>
    <s v="No"/>
    <x v="9"/>
    <x v="9"/>
    <s v="NRW"/>
    <x v="1"/>
    <s v="Grandland"/>
    <s v="Petrol"/>
    <x v="0"/>
    <s v="50+"/>
    <s v="Low"/>
    <x v="1"/>
    <x v="0"/>
    <s v="Sales_14"/>
    <n v="284"/>
    <n v="151"/>
    <n v="91"/>
    <n v="15"/>
    <s v="9.93"/>
    <n v="25790"/>
    <s v="13.68"/>
    <n v="23621"/>
    <n v="386850"/>
    <n v="32535"/>
    <s v="Feb"/>
    <n v="2"/>
    <n v="2026"/>
    <s v="Weekday"/>
    <n v="0.16483516483516483"/>
    <n v="0.53169014084507038"/>
    <n v="5.2816901408450703E-2"/>
    <n v="2169"/>
    <s v="Ruhr Auto Plaza"/>
  </r>
  <r>
    <s v="CUST_4717"/>
    <x v="9"/>
    <x v="0"/>
    <s v="Sunday"/>
    <s v="Yes"/>
    <x v="6"/>
    <x v="6"/>
    <s v="Saxony"/>
    <x v="2"/>
    <s v="e-tron"/>
    <s v="Petrol"/>
    <x v="0"/>
    <s v="50+"/>
    <s v="Medium"/>
    <x v="0"/>
    <x v="0"/>
    <s v="Sales_11"/>
    <n v="306"/>
    <n v="156"/>
    <n v="114"/>
    <n v="29"/>
    <s v="18.59"/>
    <n v="47985"/>
    <s v="4.5"/>
    <n v="38715"/>
    <n v="1391565"/>
    <n v="268830"/>
    <s v="Feb"/>
    <n v="2"/>
    <n v="2026"/>
    <s v="Weekend"/>
    <n v="0.25438596491228072"/>
    <n v="0.50980392156862742"/>
    <n v="9.4771241830065356E-2"/>
    <n v="9270"/>
    <s v="Leipzig Mobility"/>
  </r>
  <r>
    <s v="CUST_4718"/>
    <x v="21"/>
    <x v="0"/>
    <s v="Tuesday"/>
    <s v="No"/>
    <x v="9"/>
    <x v="9"/>
    <s v="NRW"/>
    <x v="3"/>
    <s v="GLC"/>
    <s v="Petrol"/>
    <x v="0"/>
    <s v="50+"/>
    <s v="Medium"/>
    <x v="1"/>
    <x v="3"/>
    <s v="Sales_4"/>
    <n v="267"/>
    <n v="127"/>
    <n v="86"/>
    <n v="26"/>
    <s v="20.47"/>
    <n v="57710"/>
    <s v="2.62"/>
    <n v="42088"/>
    <n v="1500460"/>
    <n v="406172"/>
    <s v="Feb"/>
    <n v="2"/>
    <n v="2026"/>
    <s v="Weekday"/>
    <n v="0.30232558139534882"/>
    <n v="0.47565543071161048"/>
    <n v="9.7378277153558054E-2"/>
    <n v="15622"/>
    <s v="Ruhr Auto Plaza"/>
  </r>
  <r>
    <s v="CUST_4719"/>
    <x v="4"/>
    <x v="2"/>
    <s v="Wednesday"/>
    <s v="No"/>
    <x v="1"/>
    <x v="1"/>
    <s v="NRW"/>
    <x v="3"/>
    <s v="E-Class"/>
    <s v="Electric"/>
    <x v="1"/>
    <s v="50+"/>
    <s v="Low"/>
    <x v="0"/>
    <x v="2"/>
    <s v="Sales_3"/>
    <n v="163"/>
    <n v="78"/>
    <n v="54"/>
    <n v="23"/>
    <s v="29.49"/>
    <n v="66059"/>
    <s v="5.57"/>
    <n v="51049"/>
    <n v="1519357"/>
    <n v="345230"/>
    <s v="Feb"/>
    <n v="2"/>
    <n v="2026"/>
    <s v="Weekday"/>
    <n v="0.42592592592592593"/>
    <n v="0.4785276073619632"/>
    <n v="0.1411042944785276"/>
    <n v="15010"/>
    <s v="Rhein Auto Group"/>
  </r>
  <r>
    <s v="CUST_4720"/>
    <x v="18"/>
    <x v="0"/>
    <s v="Saturday"/>
    <s v="Yes"/>
    <x v="8"/>
    <x v="8"/>
    <s v="Baden-WÃ¼rttemberg"/>
    <x v="3"/>
    <s v="C-Class"/>
    <s v="Hybrid"/>
    <x v="1"/>
    <s v="26-35"/>
    <s v="Low"/>
    <x v="0"/>
    <x v="3"/>
    <s v="Sales_9"/>
    <n v="153"/>
    <n v="85"/>
    <n v="59"/>
    <n v="21"/>
    <s v="24.71"/>
    <n v="50902"/>
    <s v="5.9"/>
    <n v="37903"/>
    <n v="1068942"/>
    <n v="272979"/>
    <s v="Feb"/>
    <n v="2"/>
    <n v="2026"/>
    <s v="Weekend"/>
    <n v="0.3559322033898305"/>
    <n v="0.55555555555555558"/>
    <n v="0.13725490196078433"/>
    <n v="12999"/>
    <s v="Stuttgart Auto Center"/>
  </r>
  <r>
    <s v="CUST_4721"/>
    <x v="0"/>
    <x v="0"/>
    <s v="Monday"/>
    <s v="No"/>
    <x v="4"/>
    <x v="4"/>
    <s v="Berlin"/>
    <x v="3"/>
    <s v="E-Class"/>
    <s v="Electric"/>
    <x v="1"/>
    <s v="26-35"/>
    <s v="Medium"/>
    <x v="0"/>
    <x v="0"/>
    <s v="Sales_15"/>
    <n v="249"/>
    <n v="121"/>
    <n v="94"/>
    <n v="29"/>
    <s v="23.97"/>
    <n v="66329"/>
    <s v="2.12"/>
    <n v="51183"/>
    <n v="1923541"/>
    <n v="439234"/>
    <s v="Feb"/>
    <n v="2"/>
    <n v="2026"/>
    <s v="Weekday"/>
    <n v="0.30851063829787234"/>
    <n v="0.4859437751004016"/>
    <n v="0.11646586345381527"/>
    <n v="15146"/>
    <s v="Autohaus Berlin"/>
  </r>
  <r>
    <s v="CUST_4722"/>
    <x v="10"/>
    <x v="1"/>
    <s v="Monday"/>
    <s v="No"/>
    <x v="7"/>
    <x v="7"/>
    <s v="Bavaria"/>
    <x v="0"/>
    <s v="X5"/>
    <s v="Electric"/>
    <x v="0"/>
    <s v="18-25"/>
    <s v="Low"/>
    <x v="0"/>
    <x v="1"/>
    <s v="Sales_1"/>
    <n v="165"/>
    <n v="85"/>
    <n v="64"/>
    <n v="28"/>
    <s v="32.94"/>
    <n v="64036"/>
    <s v="4.49"/>
    <n v="49383"/>
    <n v="1793008"/>
    <n v="410284"/>
    <s v="Feb"/>
    <n v="2"/>
    <n v="2026"/>
    <s v="Weekday"/>
    <n v="0.4375"/>
    <n v="0.51515151515151514"/>
    <n v="0.16969696969696971"/>
    <n v="14653"/>
    <s v="Bavaria Motors"/>
  </r>
  <r>
    <s v="CUST_4723"/>
    <x v="18"/>
    <x v="0"/>
    <s v="Saturday"/>
    <s v="Yes"/>
    <x v="6"/>
    <x v="6"/>
    <s v="Saxony"/>
    <x v="1"/>
    <s v="Corsa"/>
    <s v="Electric"/>
    <x v="2"/>
    <s v="50+"/>
    <s v="Low"/>
    <x v="0"/>
    <x v="0"/>
    <s v="Sales_14"/>
    <n v="361"/>
    <n v="201"/>
    <n v="124"/>
    <n v="22"/>
    <s v="10.95"/>
    <n v="22642"/>
    <s v="8.31"/>
    <n v="20502"/>
    <n v="498124"/>
    <n v="47080"/>
    <s v="Feb"/>
    <n v="2"/>
    <n v="2026"/>
    <s v="Weekend"/>
    <n v="0.17741935483870969"/>
    <n v="0.55678670360110805"/>
    <n v="6.0941828254847646E-2"/>
    <n v="2140"/>
    <s v="Leipzig Mobility"/>
  </r>
  <r>
    <s v="CUST_4724"/>
    <x v="13"/>
    <x v="0"/>
    <s v="Friday"/>
    <s v="No"/>
    <x v="0"/>
    <x v="0"/>
    <s v="Hesse"/>
    <x v="4"/>
    <s v="Tiguan"/>
    <s v="Electric"/>
    <x v="0"/>
    <s v="36-50"/>
    <s v="Medium"/>
    <x v="1"/>
    <x v="0"/>
    <s v="Sales_3"/>
    <n v="514"/>
    <n v="278"/>
    <n v="181"/>
    <n v="37"/>
    <s v="13.31"/>
    <n v="34299"/>
    <s v="6.51"/>
    <n v="31100"/>
    <n v="1269063"/>
    <n v="118363"/>
    <s v="Feb"/>
    <n v="2"/>
    <n v="2026"/>
    <s v="Weekday"/>
    <n v="0.20441988950276244"/>
    <n v="0.54085603112840464"/>
    <n v="7.1984435797665364E-2"/>
    <n v="3199"/>
    <s v="Main Auto Hub"/>
  </r>
  <r>
    <s v="CUST_4725"/>
    <x v="15"/>
    <x v="2"/>
    <s v="Thursday"/>
    <s v="No"/>
    <x v="3"/>
    <x v="3"/>
    <s v="Saxony"/>
    <x v="4"/>
    <s v="ID.4"/>
    <s v="Petrol"/>
    <x v="0"/>
    <s v="50+"/>
    <s v="High"/>
    <x v="1"/>
    <x v="3"/>
    <s v="Sales_16"/>
    <n v="518"/>
    <n v="257"/>
    <n v="154"/>
    <n v="34"/>
    <s v="13.23"/>
    <n v="30441"/>
    <s v="11.8"/>
    <n v="26687"/>
    <n v="1034994"/>
    <n v="127636"/>
    <s v="Feb"/>
    <n v="2"/>
    <n v="2026"/>
    <s v="Weekday"/>
    <n v="0.22077922077922077"/>
    <n v="0.49613899613899615"/>
    <n v="6.5637065637065631E-2"/>
    <n v="3754"/>
    <s v="Saxon Wheels"/>
  </r>
  <r>
    <s v="CUST_4726"/>
    <x v="0"/>
    <x v="0"/>
    <s v="Monday"/>
    <s v="No"/>
    <x v="9"/>
    <x v="9"/>
    <s v="NRW"/>
    <x v="0"/>
    <s v="X3"/>
    <s v="Petrol"/>
    <x v="0"/>
    <s v="18-25"/>
    <s v="High"/>
    <x v="0"/>
    <x v="0"/>
    <s v="Sales_9"/>
    <n v="186"/>
    <n v="102"/>
    <n v="76"/>
    <n v="27"/>
    <s v="26.47"/>
    <n v="61067"/>
    <s v="3.48"/>
    <n v="42898"/>
    <n v="1648809"/>
    <n v="490563"/>
    <s v="Feb"/>
    <n v="2"/>
    <n v="2026"/>
    <s v="Weekday"/>
    <n v="0.35526315789473684"/>
    <n v="0.54838709677419351"/>
    <n v="0.14516129032258066"/>
    <n v="18169"/>
    <s v="Ruhr Auto Plaza"/>
  </r>
  <r>
    <s v="CUST_4727"/>
    <x v="3"/>
    <x v="1"/>
    <s v="Sunday"/>
    <s v="Yes"/>
    <x v="1"/>
    <x v="1"/>
    <s v="NRW"/>
    <x v="3"/>
    <s v="EQE"/>
    <s v="Petrol"/>
    <x v="1"/>
    <s v="50+"/>
    <s v="High"/>
    <x v="1"/>
    <x v="3"/>
    <s v="Sales_16"/>
    <n v="179"/>
    <n v="81"/>
    <n v="62"/>
    <n v="18"/>
    <s v="22.22"/>
    <n v="63894"/>
    <s v="4.19"/>
    <n v="49457"/>
    <n v="1150092"/>
    <n v="259866"/>
    <s v="Feb"/>
    <n v="2"/>
    <n v="2026"/>
    <s v="Weekend"/>
    <n v="0.29032258064516131"/>
    <n v="0.45251396648044695"/>
    <n v="0.1005586592178771"/>
    <n v="14437"/>
    <s v="Rhein Auto Group"/>
  </r>
  <r>
    <s v="CUST_4728"/>
    <x v="8"/>
    <x v="3"/>
    <s v="Wednesday"/>
    <s v="No"/>
    <x v="4"/>
    <x v="4"/>
    <s v="Berlin"/>
    <x v="2"/>
    <s v="A3"/>
    <s v="Electric"/>
    <x v="2"/>
    <s v="50+"/>
    <s v="Low"/>
    <x v="0"/>
    <x v="0"/>
    <s v="Sales_16"/>
    <n v="278"/>
    <n v="162"/>
    <n v="111"/>
    <n v="38"/>
    <s v="23.46"/>
    <n v="45129"/>
    <s v="4.11"/>
    <n v="33904"/>
    <n v="1714902"/>
    <n v="426550"/>
    <s v="Feb"/>
    <n v="2"/>
    <n v="2026"/>
    <s v="Weekday"/>
    <n v="0.34234234234234234"/>
    <n v="0.58273381294964033"/>
    <n v="0.1366906474820144"/>
    <n v="11225"/>
    <s v="Autohaus Berlin"/>
  </r>
  <r>
    <s v="CUST_4729"/>
    <x v="24"/>
    <x v="1"/>
    <s v="Thursday"/>
    <s v="No"/>
    <x v="6"/>
    <x v="6"/>
    <s v="Saxony"/>
    <x v="1"/>
    <s v="Grandland"/>
    <s v="Hybrid"/>
    <x v="0"/>
    <s v="36-50"/>
    <s v="Medium"/>
    <x v="0"/>
    <x v="2"/>
    <s v="Sales_20"/>
    <n v="378"/>
    <n v="148"/>
    <n v="99"/>
    <n v="28"/>
    <s v="18.92"/>
    <n v="21935"/>
    <s v="11.96"/>
    <n v="19702"/>
    <n v="614180"/>
    <n v="62524"/>
    <s v="Feb"/>
    <n v="2"/>
    <n v="2026"/>
    <s v="Weekday"/>
    <n v="0.28282828282828282"/>
    <n v="0.39153439153439151"/>
    <n v="7.407407407407407E-2"/>
    <n v="2233"/>
    <s v="Leipzig Mobility"/>
  </r>
  <r>
    <s v="CUST_4730"/>
    <x v="12"/>
    <x v="3"/>
    <s v="Thursday"/>
    <s v="No"/>
    <x v="6"/>
    <x v="6"/>
    <s v="Saxony"/>
    <x v="1"/>
    <s v="Grandland"/>
    <s v="Petrol"/>
    <x v="0"/>
    <s v="50+"/>
    <s v="Medium"/>
    <x v="1"/>
    <x v="3"/>
    <s v="Sales_5"/>
    <n v="261"/>
    <n v="106"/>
    <n v="67"/>
    <n v="11"/>
    <s v="10.38"/>
    <n v="25748"/>
    <s v="12.24"/>
    <n v="23223"/>
    <n v="283228"/>
    <n v="27775"/>
    <s v="Feb"/>
    <n v="2"/>
    <n v="2026"/>
    <s v="Weekday"/>
    <n v="0.16417910447761194"/>
    <n v="0.4061302681992337"/>
    <n v="4.2145593869731802E-2"/>
    <n v="2525"/>
    <s v="Leipzig Mobility"/>
  </r>
  <r>
    <s v="CUST_4731"/>
    <x v="21"/>
    <x v="0"/>
    <s v="Tuesday"/>
    <s v="No"/>
    <x v="2"/>
    <x v="2"/>
    <s v="Lower Saxony"/>
    <x v="0"/>
    <s v="X3"/>
    <s v="Petrol"/>
    <x v="0"/>
    <s v="26-35"/>
    <s v="High"/>
    <x v="0"/>
    <x v="3"/>
    <s v="Sales_16"/>
    <n v="238"/>
    <n v="141"/>
    <n v="104"/>
    <n v="40"/>
    <s v="28.37"/>
    <n v="58972"/>
    <s v="5.14"/>
    <n v="45944"/>
    <n v="2358880"/>
    <n v="521120"/>
    <s v="Feb"/>
    <n v="2"/>
    <n v="2026"/>
    <s v="Weekday"/>
    <n v="0.38461538461538464"/>
    <n v="0.59243697478991597"/>
    <n v="0.16806722689075632"/>
    <n v="13028"/>
    <s v="Hannover Cars"/>
  </r>
  <r>
    <s v="CUST_4732"/>
    <x v="14"/>
    <x v="2"/>
    <s v="Friday"/>
    <s v="No"/>
    <x v="8"/>
    <x v="8"/>
    <s v="Baden-WÃ¼rttemberg"/>
    <x v="1"/>
    <s v="Astra"/>
    <s v="Electric"/>
    <x v="2"/>
    <s v="18-25"/>
    <s v="Medium"/>
    <x v="1"/>
    <x v="2"/>
    <s v="Sales_14"/>
    <n v="235"/>
    <n v="112"/>
    <n v="74"/>
    <n v="21"/>
    <s v="18.75"/>
    <n v="25017"/>
    <s v="10.15"/>
    <n v="22545"/>
    <n v="525357"/>
    <n v="51912"/>
    <s v="Feb"/>
    <n v="2"/>
    <n v="2026"/>
    <s v="Weekday"/>
    <n v="0.28378378378378377"/>
    <n v="0.47659574468085109"/>
    <n v="8.9361702127659579E-2"/>
    <n v="2472"/>
    <s v="Stuttgart Auto Center"/>
  </r>
  <r>
    <s v="CUST_4733"/>
    <x v="21"/>
    <x v="0"/>
    <s v="Tuesday"/>
    <s v="No"/>
    <x v="9"/>
    <x v="9"/>
    <s v="NRW"/>
    <x v="3"/>
    <s v="GLE"/>
    <s v="Petrol"/>
    <x v="0"/>
    <s v="26-35"/>
    <s v="High"/>
    <x v="1"/>
    <x v="1"/>
    <s v="Sales_10"/>
    <n v="274"/>
    <n v="144"/>
    <n v="97"/>
    <n v="35"/>
    <s v="24.31"/>
    <n v="49969"/>
    <s v="3.96"/>
    <n v="37227"/>
    <n v="1748915"/>
    <n v="445970"/>
    <s v="Feb"/>
    <n v="2"/>
    <n v="2026"/>
    <s v="Weekday"/>
    <n v="0.36082474226804123"/>
    <n v="0.52554744525547448"/>
    <n v="0.12773722627737227"/>
    <n v="12742"/>
    <s v="Ruhr Auto Plaza"/>
  </r>
  <r>
    <s v="CUST_4734"/>
    <x v="9"/>
    <x v="0"/>
    <s v="Sunday"/>
    <s v="Yes"/>
    <x v="5"/>
    <x v="5"/>
    <s v="Hamburg"/>
    <x v="2"/>
    <s v="e-tron"/>
    <s v="Hybrid"/>
    <x v="0"/>
    <s v="36-50"/>
    <s v="Low"/>
    <x v="0"/>
    <x v="0"/>
    <s v="Sales_18"/>
    <n v="192"/>
    <n v="110"/>
    <n v="75"/>
    <n v="24"/>
    <s v="21.82"/>
    <n v="46586"/>
    <s v="4.11"/>
    <n v="36012"/>
    <n v="1118064"/>
    <n v="253776"/>
    <s v="Feb"/>
    <n v="2"/>
    <n v="2026"/>
    <s v="Weekend"/>
    <n v="0.32"/>
    <n v="0.57291666666666663"/>
    <n v="0.125"/>
    <n v="10574"/>
    <s v="Elbe Drive"/>
  </r>
  <r>
    <s v="CUST_4735"/>
    <x v="12"/>
    <x v="3"/>
    <s v="Thursday"/>
    <s v="No"/>
    <x v="2"/>
    <x v="2"/>
    <s v="Lower Saxony"/>
    <x v="3"/>
    <s v="EQE"/>
    <s v="Diesel"/>
    <x v="1"/>
    <s v="26-35"/>
    <s v="Medium"/>
    <x v="0"/>
    <x v="3"/>
    <s v="Sales_11"/>
    <n v="286"/>
    <n v="136"/>
    <n v="92"/>
    <n v="34"/>
    <s v="25.0"/>
    <n v="71175"/>
    <s v="3.85"/>
    <n v="54177"/>
    <n v="2419950"/>
    <n v="577932"/>
    <s v="Feb"/>
    <n v="2"/>
    <n v="2026"/>
    <s v="Weekday"/>
    <n v="0.36956521739130432"/>
    <n v="0.47552447552447552"/>
    <n v="0.11888111888111888"/>
    <n v="16998"/>
    <s v="Hannover Cars"/>
  </r>
  <r>
    <s v="CUST_4736"/>
    <x v="14"/>
    <x v="2"/>
    <s v="Friday"/>
    <s v="No"/>
    <x v="3"/>
    <x v="3"/>
    <s v="Saxony"/>
    <x v="0"/>
    <s v="3 Series"/>
    <s v="Petrol"/>
    <x v="1"/>
    <s v="50+"/>
    <s v="Low"/>
    <x v="1"/>
    <x v="2"/>
    <s v="Sales_20"/>
    <n v="202"/>
    <n v="99"/>
    <n v="69"/>
    <n v="29"/>
    <s v="29.29"/>
    <n v="56450"/>
    <s v="3.56"/>
    <n v="39932"/>
    <n v="1637050"/>
    <n v="479022"/>
    <s v="Feb"/>
    <n v="2"/>
    <n v="2026"/>
    <s v="Weekday"/>
    <n v="0.42028985507246375"/>
    <n v="0.49009900990099009"/>
    <n v="0.14356435643564355"/>
    <n v="16518"/>
    <s v="Saxon Wheels"/>
  </r>
  <r>
    <s v="CUST_4737"/>
    <x v="24"/>
    <x v="1"/>
    <s v="Thursday"/>
    <s v="No"/>
    <x v="4"/>
    <x v="4"/>
    <s v="Berlin"/>
    <x v="4"/>
    <s v="T-Roc"/>
    <s v="Electric"/>
    <x v="0"/>
    <s v="36-50"/>
    <s v="Medium"/>
    <x v="0"/>
    <x v="1"/>
    <s v="Sales_10"/>
    <n v="403"/>
    <n v="227"/>
    <n v="157"/>
    <n v="41"/>
    <s v="18.06"/>
    <n v="33867"/>
    <s v="6.24"/>
    <n v="30293"/>
    <n v="1388547"/>
    <n v="146534"/>
    <s v="Feb"/>
    <n v="2"/>
    <n v="2026"/>
    <s v="Weekday"/>
    <n v="0.26114649681528662"/>
    <n v="0.56327543424317617"/>
    <n v="0.10173697270471464"/>
    <n v="3574"/>
    <s v="Autohaus Berlin"/>
  </r>
  <r>
    <s v="CUST_4738"/>
    <x v="18"/>
    <x v="0"/>
    <s v="Saturday"/>
    <s v="Yes"/>
    <x v="7"/>
    <x v="7"/>
    <s v="Bavaria"/>
    <x v="4"/>
    <s v="T-Roc"/>
    <s v="Diesel"/>
    <x v="0"/>
    <s v="26-35"/>
    <s v="Medium"/>
    <x v="0"/>
    <x v="2"/>
    <s v="Sales_18"/>
    <n v="511"/>
    <n v="270"/>
    <n v="160"/>
    <n v="50"/>
    <s v="18.52"/>
    <n v="32278"/>
    <s v="10.03"/>
    <n v="28569"/>
    <n v="1613900"/>
    <n v="185450"/>
    <s v="Feb"/>
    <n v="2"/>
    <n v="2026"/>
    <s v="Weekend"/>
    <n v="0.3125"/>
    <n v="0.52837573385518588"/>
    <n v="9.7847358121330719E-2"/>
    <n v="3709"/>
    <s v="Bavaria Motors"/>
  </r>
  <r>
    <s v="CUST_4739"/>
    <x v="1"/>
    <x v="1"/>
    <s v="Wednesday"/>
    <s v="No"/>
    <x v="7"/>
    <x v="7"/>
    <s v="Bavaria"/>
    <x v="0"/>
    <s v="3 Series"/>
    <s v="Hybrid"/>
    <x v="1"/>
    <s v="18-25"/>
    <s v="Medium"/>
    <x v="0"/>
    <x v="1"/>
    <s v="Sales_3"/>
    <n v="219"/>
    <n v="131"/>
    <n v="98"/>
    <n v="42"/>
    <s v="32.06"/>
    <n v="51235"/>
    <s v="4.57"/>
    <n v="36047"/>
    <n v="2151870"/>
    <n v="637896"/>
    <s v="Feb"/>
    <n v="2"/>
    <n v="2026"/>
    <s v="Weekday"/>
    <n v="0.42857142857142855"/>
    <n v="0.59817351598173518"/>
    <n v="0.19178082191780821"/>
    <n v="15188"/>
    <s v="Bavaria Motors"/>
  </r>
  <r>
    <s v="CUST_4740"/>
    <x v="16"/>
    <x v="1"/>
    <s v="Tuesday"/>
    <s v="No"/>
    <x v="1"/>
    <x v="1"/>
    <s v="NRW"/>
    <x v="2"/>
    <s v="A4"/>
    <s v="Diesel"/>
    <x v="1"/>
    <s v="26-35"/>
    <s v="High"/>
    <x v="0"/>
    <x v="1"/>
    <s v="Sales_7"/>
    <n v="245"/>
    <n v="126"/>
    <n v="96"/>
    <n v="31"/>
    <s v="24.6"/>
    <n v="49160"/>
    <s v="3.55"/>
    <n v="37170"/>
    <n v="1523960"/>
    <n v="371690"/>
    <s v="Feb"/>
    <n v="2"/>
    <n v="2026"/>
    <s v="Weekday"/>
    <n v="0.32291666666666669"/>
    <n v="0.51428571428571423"/>
    <n v="0.12653061224489795"/>
    <n v="11990"/>
    <s v="Rhein Auto Group"/>
  </r>
  <r>
    <s v="CUST_4741"/>
    <x v="3"/>
    <x v="1"/>
    <s v="Sunday"/>
    <s v="Yes"/>
    <x v="6"/>
    <x v="6"/>
    <s v="Saxony"/>
    <x v="1"/>
    <s v="Crossland"/>
    <s v="Electric"/>
    <x v="0"/>
    <s v="18-25"/>
    <s v="High"/>
    <x v="1"/>
    <x v="0"/>
    <s v="Sales_12"/>
    <n v="300"/>
    <n v="136"/>
    <n v="77"/>
    <n v="20"/>
    <s v="14.71"/>
    <n v="25088"/>
    <s v="11.44"/>
    <n v="22578"/>
    <n v="501760"/>
    <n v="50200"/>
    <s v="Feb"/>
    <n v="2"/>
    <n v="2026"/>
    <s v="Weekend"/>
    <n v="0.25974025974025972"/>
    <n v="0.45333333333333331"/>
    <n v="6.6666666666666666E-2"/>
    <n v="2510"/>
    <s v="Leipzig Mobility"/>
  </r>
  <r>
    <s v="CUST_4742"/>
    <x v="10"/>
    <x v="1"/>
    <s v="Monday"/>
    <s v="No"/>
    <x v="0"/>
    <x v="0"/>
    <s v="Hesse"/>
    <x v="3"/>
    <s v="E-Class"/>
    <s v="Hybrid"/>
    <x v="1"/>
    <s v="36-50"/>
    <s v="High"/>
    <x v="1"/>
    <x v="0"/>
    <s v="Sales_13"/>
    <n v="276"/>
    <n v="132"/>
    <n v="100"/>
    <n v="32"/>
    <s v="24.24"/>
    <n v="64688"/>
    <s v="4.46"/>
    <n v="46601"/>
    <n v="2070016"/>
    <n v="578784"/>
    <s v="Feb"/>
    <n v="2"/>
    <n v="2026"/>
    <s v="Weekday"/>
    <n v="0.32"/>
    <n v="0.47826086956521741"/>
    <n v="0.11594202898550725"/>
    <n v="18087"/>
    <s v="Main Auto Hub"/>
  </r>
  <r>
    <s v="CUST_4743"/>
    <x v="1"/>
    <x v="1"/>
    <s v="Wednesday"/>
    <s v="No"/>
    <x v="7"/>
    <x v="7"/>
    <s v="Bavaria"/>
    <x v="1"/>
    <s v="Corsa"/>
    <s v="Electric"/>
    <x v="2"/>
    <s v="36-50"/>
    <s v="Low"/>
    <x v="0"/>
    <x v="0"/>
    <s v="Sales_10"/>
    <n v="423"/>
    <n v="211"/>
    <n v="139"/>
    <n v="34"/>
    <s v="16.11"/>
    <n v="23490"/>
    <s v="12.14"/>
    <n v="21772"/>
    <n v="798660"/>
    <n v="58412"/>
    <s v="Feb"/>
    <n v="2"/>
    <n v="2026"/>
    <s v="Weekday"/>
    <n v="0.2446043165467626"/>
    <n v="0.49881796690307328"/>
    <n v="8.0378250591016553E-2"/>
    <n v="1718"/>
    <s v="Bavaria Motors"/>
  </r>
  <r>
    <s v="CUST_4744"/>
    <x v="1"/>
    <x v="1"/>
    <s v="Wednesday"/>
    <s v="No"/>
    <x v="2"/>
    <x v="2"/>
    <s v="Lower Saxony"/>
    <x v="3"/>
    <s v="GLC"/>
    <s v="Diesel"/>
    <x v="0"/>
    <s v="18-25"/>
    <s v="High"/>
    <x v="0"/>
    <x v="2"/>
    <s v="Sales_12"/>
    <n v="201"/>
    <n v="107"/>
    <n v="80"/>
    <n v="27"/>
    <s v="25.23"/>
    <n v="57991"/>
    <s v="4.81"/>
    <n v="41590"/>
    <n v="1565757"/>
    <n v="442827"/>
    <s v="Feb"/>
    <n v="2"/>
    <n v="2026"/>
    <s v="Weekday"/>
    <n v="0.33750000000000002"/>
    <n v="0.53233830845771146"/>
    <n v="0.13432835820895522"/>
    <n v="16401"/>
    <s v="Hannover Cars"/>
  </r>
  <r>
    <s v="CUST_4745"/>
    <x v="11"/>
    <x v="0"/>
    <s v="Wednesday"/>
    <s v="No"/>
    <x v="0"/>
    <x v="0"/>
    <s v="Hesse"/>
    <x v="2"/>
    <s v="Q5"/>
    <s v="Electric"/>
    <x v="0"/>
    <s v="36-50"/>
    <s v="High"/>
    <x v="0"/>
    <x v="1"/>
    <s v="Sales_7"/>
    <n v="310"/>
    <n v="170"/>
    <n v="131"/>
    <n v="41"/>
    <s v="24.12"/>
    <n v="48516"/>
    <s v="6.31"/>
    <n v="38358"/>
    <n v="1989156"/>
    <n v="416478"/>
    <s v="Feb"/>
    <n v="2"/>
    <n v="2026"/>
    <s v="Weekday"/>
    <n v="0.31297709923664124"/>
    <n v="0.54838709677419351"/>
    <n v="0.13225806451612904"/>
    <n v="10158"/>
    <s v="Main Auto Hub"/>
  </r>
  <r>
    <s v="CUST_4746"/>
    <x v="16"/>
    <x v="1"/>
    <s v="Tuesday"/>
    <s v="No"/>
    <x v="6"/>
    <x v="6"/>
    <s v="Saxony"/>
    <x v="1"/>
    <s v="Mokka"/>
    <s v="Diesel"/>
    <x v="0"/>
    <s v="36-50"/>
    <s v="High"/>
    <x v="1"/>
    <x v="3"/>
    <s v="Sales_6"/>
    <n v="411"/>
    <n v="182"/>
    <n v="118"/>
    <n v="26"/>
    <s v="14.29"/>
    <n v="22584"/>
    <s v="13.16"/>
    <n v="20920"/>
    <n v="587184"/>
    <n v="43264"/>
    <s v="Feb"/>
    <n v="2"/>
    <n v="2026"/>
    <s v="Weekday"/>
    <n v="0.22033898305084745"/>
    <n v="0.44282238442822386"/>
    <n v="6.3260340632603412E-2"/>
    <n v="1664"/>
    <s v="Leipzig Mobility"/>
  </r>
  <r>
    <s v="CUST_4747"/>
    <x v="20"/>
    <x v="0"/>
    <s v="Thursday"/>
    <s v="No"/>
    <x v="8"/>
    <x v="8"/>
    <s v="Baden-WÃ¼rttemberg"/>
    <x v="3"/>
    <s v="C-Class"/>
    <s v="Diesel"/>
    <x v="1"/>
    <s v="18-25"/>
    <s v="Low"/>
    <x v="0"/>
    <x v="0"/>
    <s v="Sales_12"/>
    <n v="207"/>
    <n v="94"/>
    <n v="68"/>
    <n v="22"/>
    <s v="23.4"/>
    <n v="64587"/>
    <s v="2.0"/>
    <n v="48512"/>
    <n v="1420914"/>
    <n v="353650"/>
    <s v="Feb"/>
    <n v="2"/>
    <n v="2026"/>
    <s v="Weekday"/>
    <n v="0.3235294117647059"/>
    <n v="0.45410628019323673"/>
    <n v="0.10628019323671498"/>
    <n v="16075"/>
    <s v="Stuttgart Auto Center"/>
  </r>
  <r>
    <s v="CUST_4748"/>
    <x v="17"/>
    <x v="2"/>
    <s v="Sunday"/>
    <s v="Yes"/>
    <x v="0"/>
    <x v="0"/>
    <s v="Hesse"/>
    <x v="2"/>
    <s v="Q5"/>
    <s v="Petrol"/>
    <x v="0"/>
    <s v="18-25"/>
    <s v="Medium"/>
    <x v="0"/>
    <x v="2"/>
    <s v="Sales_20"/>
    <n v="314"/>
    <n v="199"/>
    <n v="144"/>
    <n v="54"/>
    <s v="27.14"/>
    <n v="42289"/>
    <s v="6.61"/>
    <n v="33111"/>
    <n v="2283606"/>
    <n v="495612"/>
    <s v="Feb"/>
    <n v="2"/>
    <n v="2026"/>
    <s v="Weekend"/>
    <n v="0.375"/>
    <n v="0.63375796178343946"/>
    <n v="0.17197452229299362"/>
    <n v="9178"/>
    <s v="Main Auto Hub"/>
  </r>
  <r>
    <s v="CUST_4749"/>
    <x v="6"/>
    <x v="2"/>
    <s v="Saturday"/>
    <s v="Yes"/>
    <x v="2"/>
    <x v="2"/>
    <s v="Lower Saxony"/>
    <x v="0"/>
    <s v="X5"/>
    <s v="Petrol"/>
    <x v="0"/>
    <s v="36-50"/>
    <s v="Medium"/>
    <x v="1"/>
    <x v="3"/>
    <s v="Sales_4"/>
    <n v="272"/>
    <n v="134"/>
    <n v="99"/>
    <n v="35"/>
    <s v="26.12"/>
    <n v="62813"/>
    <s v="5.05"/>
    <n v="48608"/>
    <n v="2198455"/>
    <n v="497175"/>
    <s v="Feb"/>
    <n v="2"/>
    <n v="2026"/>
    <s v="Weekend"/>
    <n v="0.35353535353535354"/>
    <n v="0.49264705882352944"/>
    <n v="0.12867647058823528"/>
    <n v="14205"/>
    <s v="Hannover Cars"/>
  </r>
  <r>
    <s v="CUST_4750"/>
    <x v="23"/>
    <x v="2"/>
    <s v="Tuesday"/>
    <s v="No"/>
    <x v="3"/>
    <x v="3"/>
    <s v="Saxony"/>
    <x v="1"/>
    <s v="Grandland"/>
    <s v="Electric"/>
    <x v="0"/>
    <s v="36-50"/>
    <s v="Low"/>
    <x v="1"/>
    <x v="1"/>
    <s v="Sales_2"/>
    <n v="411"/>
    <n v="161"/>
    <n v="92"/>
    <n v="22"/>
    <s v="13.66"/>
    <n v="24428"/>
    <s v="9.94"/>
    <n v="22556"/>
    <n v="537416"/>
    <n v="41184"/>
    <s v="Feb"/>
    <n v="2"/>
    <n v="2026"/>
    <s v="Weekday"/>
    <n v="0.2391304347826087"/>
    <n v="0.39172749391727496"/>
    <n v="5.3527980535279802E-2"/>
    <n v="1872"/>
    <s v="Saxon Wheels"/>
  </r>
  <r>
    <s v="CUST_4751"/>
    <x v="20"/>
    <x v="0"/>
    <s v="Thursday"/>
    <s v="No"/>
    <x v="3"/>
    <x v="3"/>
    <s v="Saxony"/>
    <x v="0"/>
    <s v="X3"/>
    <s v="Petrol"/>
    <x v="0"/>
    <s v="26-35"/>
    <s v="High"/>
    <x v="1"/>
    <x v="3"/>
    <s v="Sales_14"/>
    <n v="168"/>
    <n v="91"/>
    <n v="73"/>
    <n v="25"/>
    <s v="27.47"/>
    <n v="51637"/>
    <s v="4.74"/>
    <n v="37381"/>
    <n v="1290925"/>
    <n v="356400"/>
    <s v="Feb"/>
    <n v="2"/>
    <n v="2026"/>
    <s v="Weekday"/>
    <n v="0.34246575342465752"/>
    <n v="0.54166666666666663"/>
    <n v="0.14880952380952381"/>
    <n v="14256"/>
    <s v="Saxon Wheels"/>
  </r>
  <r>
    <s v="CUST_4752"/>
    <x v="2"/>
    <x v="2"/>
    <s v="Monday"/>
    <s v="No"/>
    <x v="8"/>
    <x v="8"/>
    <s v="Baden-WÃ¼rttemberg"/>
    <x v="4"/>
    <s v="Tiguan"/>
    <s v="Hybrid"/>
    <x v="0"/>
    <s v="26-35"/>
    <s v="Low"/>
    <x v="0"/>
    <x v="3"/>
    <s v="Sales_7"/>
    <n v="478"/>
    <n v="211"/>
    <n v="145"/>
    <n v="37"/>
    <s v="17.54"/>
    <n v="32960"/>
    <s v="8.23"/>
    <n v="29698"/>
    <n v="1219520"/>
    <n v="120694"/>
    <s v="Feb"/>
    <n v="2"/>
    <n v="2026"/>
    <s v="Weekday"/>
    <n v="0.25517241379310346"/>
    <n v="0.44142259414225943"/>
    <n v="7.7405857740585768E-2"/>
    <n v="3262"/>
    <s v="Stuttgart Auto Center"/>
  </r>
  <r>
    <s v="CUST_4753"/>
    <x v="19"/>
    <x v="1"/>
    <s v="Saturday"/>
    <s v="Yes"/>
    <x v="7"/>
    <x v="7"/>
    <s v="Bavaria"/>
    <x v="3"/>
    <s v="GLE"/>
    <s v="Hybrid"/>
    <x v="0"/>
    <s v="18-25"/>
    <s v="High"/>
    <x v="0"/>
    <x v="2"/>
    <s v="Sales_17"/>
    <n v="270"/>
    <n v="124"/>
    <n v="92"/>
    <n v="40"/>
    <s v="32.26"/>
    <n v="70131"/>
    <s v="5.7"/>
    <n v="53723"/>
    <n v="2805240"/>
    <n v="656320"/>
    <s v="Feb"/>
    <n v="2"/>
    <n v="2026"/>
    <s v="Weekend"/>
    <n v="0.43478260869565216"/>
    <n v="0.45925925925925926"/>
    <n v="0.14814814814814814"/>
    <n v="16408"/>
    <s v="Bavaria Motors"/>
  </r>
  <r>
    <s v="CUST_4754"/>
    <x v="12"/>
    <x v="3"/>
    <s v="Thursday"/>
    <s v="No"/>
    <x v="5"/>
    <x v="5"/>
    <s v="Hamburg"/>
    <x v="4"/>
    <s v="ID.4"/>
    <s v="Hybrid"/>
    <x v="0"/>
    <s v="26-35"/>
    <s v="Low"/>
    <x v="1"/>
    <x v="0"/>
    <s v="Sales_12"/>
    <n v="279"/>
    <n v="116"/>
    <n v="74"/>
    <n v="16"/>
    <s v="13.79"/>
    <n v="32531"/>
    <s v="7.44"/>
    <n v="28925"/>
    <n v="520496"/>
    <n v="57696"/>
    <s v="Feb"/>
    <n v="2"/>
    <n v="2026"/>
    <s v="Weekday"/>
    <n v="0.21621621621621623"/>
    <n v="0.4157706093189964"/>
    <n v="5.7347670250896057E-2"/>
    <n v="3606"/>
    <s v="Elbe Drive"/>
  </r>
  <r>
    <s v="CUST_4755"/>
    <x v="0"/>
    <x v="0"/>
    <s v="Monday"/>
    <s v="No"/>
    <x v="2"/>
    <x v="2"/>
    <s v="Lower Saxony"/>
    <x v="0"/>
    <s v="i4"/>
    <s v="Diesel"/>
    <x v="1"/>
    <s v="18-25"/>
    <s v="High"/>
    <x v="1"/>
    <x v="2"/>
    <s v="Sales_2"/>
    <n v="262"/>
    <n v="127"/>
    <n v="87"/>
    <n v="38"/>
    <s v="29.92"/>
    <n v="66690"/>
    <s v="2.36"/>
    <n v="49063"/>
    <n v="2534220"/>
    <n v="669826"/>
    <s v="Feb"/>
    <n v="2"/>
    <n v="2026"/>
    <s v="Weekday"/>
    <n v="0.43678160919540232"/>
    <n v="0.48473282442748089"/>
    <n v="0.14503816793893129"/>
    <n v="17627"/>
    <s v="Hannover Cars"/>
  </r>
  <r>
    <s v="CUST_4756"/>
    <x v="9"/>
    <x v="0"/>
    <s v="Sunday"/>
    <s v="Yes"/>
    <x v="6"/>
    <x v="6"/>
    <s v="Saxony"/>
    <x v="1"/>
    <s v="Astra"/>
    <s v="Electric"/>
    <x v="2"/>
    <s v="18-25"/>
    <s v="Medium"/>
    <x v="0"/>
    <x v="0"/>
    <s v="Sales_14"/>
    <n v="306"/>
    <n v="127"/>
    <n v="81"/>
    <n v="17"/>
    <s v="13.39"/>
    <n v="19622"/>
    <s v="10.81"/>
    <n v="17746"/>
    <n v="333574"/>
    <n v="31892"/>
    <s v="Feb"/>
    <n v="2"/>
    <n v="2026"/>
    <s v="Weekend"/>
    <n v="0.20987654320987653"/>
    <n v="0.41503267973856212"/>
    <n v="5.5555555555555552E-2"/>
    <n v="1876"/>
    <s v="Leipzig Mobility"/>
  </r>
  <r>
    <s v="CUST_4757"/>
    <x v="25"/>
    <x v="3"/>
    <s v="Friday"/>
    <s v="No"/>
    <x v="3"/>
    <x v="3"/>
    <s v="Saxony"/>
    <x v="1"/>
    <s v="Crossland"/>
    <s v="Electric"/>
    <x v="0"/>
    <s v="36-50"/>
    <s v="High"/>
    <x v="0"/>
    <x v="3"/>
    <s v="Sales_10"/>
    <n v="222"/>
    <n v="119"/>
    <n v="79"/>
    <n v="17"/>
    <s v="14.29"/>
    <n v="21267"/>
    <s v="10.16"/>
    <n v="19135"/>
    <n v="361539"/>
    <n v="36244"/>
    <s v="Feb"/>
    <n v="2"/>
    <n v="2026"/>
    <s v="Weekday"/>
    <n v="0.21518987341772153"/>
    <n v="0.536036036036036"/>
    <n v="7.6576576576576572E-2"/>
    <n v="2132"/>
    <s v="Saxon Wheels"/>
  </r>
  <r>
    <s v="CUST_4758"/>
    <x v="14"/>
    <x v="2"/>
    <s v="Friday"/>
    <s v="No"/>
    <x v="0"/>
    <x v="0"/>
    <s v="Hesse"/>
    <x v="3"/>
    <s v="E-Class"/>
    <s v="Electric"/>
    <x v="1"/>
    <s v="50+"/>
    <s v="Low"/>
    <x v="1"/>
    <x v="1"/>
    <s v="Sales_7"/>
    <n v="225"/>
    <n v="114"/>
    <n v="83"/>
    <n v="29"/>
    <s v="25.44"/>
    <n v="53844"/>
    <s v="2.65"/>
    <n v="38422"/>
    <n v="1561476"/>
    <n v="447238"/>
    <s v="Feb"/>
    <n v="2"/>
    <n v="2026"/>
    <s v="Weekday"/>
    <n v="0.3493975903614458"/>
    <n v="0.50666666666666671"/>
    <n v="0.12888888888888889"/>
    <n v="15422"/>
    <s v="Main Auto Hub"/>
  </r>
  <r>
    <s v="CUST_4759"/>
    <x v="27"/>
    <x v="3"/>
    <s v="Sunday"/>
    <s v="Yes"/>
    <x v="5"/>
    <x v="5"/>
    <s v="Hamburg"/>
    <x v="0"/>
    <s v="X3"/>
    <s v="Petrol"/>
    <x v="0"/>
    <s v="18-25"/>
    <s v="Low"/>
    <x v="1"/>
    <x v="2"/>
    <s v="Sales_14"/>
    <n v="269"/>
    <n v="121"/>
    <n v="84"/>
    <n v="39"/>
    <s v="32.23"/>
    <n v="54530"/>
    <s v="3.73"/>
    <n v="40107"/>
    <n v="2126670"/>
    <n v="562497"/>
    <s v="Feb"/>
    <n v="2"/>
    <n v="2026"/>
    <s v="Weekend"/>
    <n v="0.4642857142857143"/>
    <n v="0.44981412639405205"/>
    <n v="0.1449814126394052"/>
    <n v="14423"/>
    <s v="Elbe Drive"/>
  </r>
  <r>
    <s v="CUST_4760"/>
    <x v="13"/>
    <x v="0"/>
    <s v="Friday"/>
    <s v="No"/>
    <x v="7"/>
    <x v="7"/>
    <s v="Bavaria"/>
    <x v="4"/>
    <s v="Golf"/>
    <s v="Petrol"/>
    <x v="2"/>
    <s v="18-25"/>
    <s v="Medium"/>
    <x v="1"/>
    <x v="3"/>
    <s v="Sales_20"/>
    <n v="280"/>
    <n v="124"/>
    <n v="81"/>
    <n v="17"/>
    <s v="13.71"/>
    <n v="32681"/>
    <s v="8.44"/>
    <n v="28834"/>
    <n v="555577"/>
    <n v="65399"/>
    <s v="Feb"/>
    <n v="2"/>
    <n v="2026"/>
    <s v="Weekday"/>
    <n v="0.20987654320987653"/>
    <n v="0.44285714285714284"/>
    <n v="6.0714285714285714E-2"/>
    <n v="3847"/>
    <s v="Bavaria Motors"/>
  </r>
  <r>
    <s v="CUST_4761"/>
    <x v="21"/>
    <x v="0"/>
    <s v="Tuesday"/>
    <s v="No"/>
    <x v="1"/>
    <x v="1"/>
    <s v="NRW"/>
    <x v="1"/>
    <s v="Grandland"/>
    <s v="Hybrid"/>
    <x v="0"/>
    <s v="50+"/>
    <s v="Medium"/>
    <x v="1"/>
    <x v="3"/>
    <s v="Sales_13"/>
    <n v="330"/>
    <n v="182"/>
    <n v="125"/>
    <n v="25"/>
    <s v="13.74"/>
    <n v="24193"/>
    <s v="11.07"/>
    <n v="21946"/>
    <n v="604825"/>
    <n v="56175"/>
    <s v="Feb"/>
    <n v="2"/>
    <n v="2026"/>
    <s v="Weekday"/>
    <n v="0.2"/>
    <n v="0.55151515151515151"/>
    <n v="7.575757575757576E-2"/>
    <n v="2247"/>
    <s v="Rhein Auto Group"/>
  </r>
  <r>
    <s v="CUST_4762"/>
    <x v="3"/>
    <x v="1"/>
    <s v="Sunday"/>
    <s v="Yes"/>
    <x v="4"/>
    <x v="4"/>
    <s v="Berlin"/>
    <x v="3"/>
    <s v="GLC"/>
    <s v="Petrol"/>
    <x v="0"/>
    <s v="50+"/>
    <s v="Medium"/>
    <x v="1"/>
    <x v="3"/>
    <s v="Sales_2"/>
    <n v="175"/>
    <n v="100"/>
    <n v="72"/>
    <n v="25"/>
    <s v="25.0"/>
    <n v="54965"/>
    <s v="4.89"/>
    <n v="42513"/>
    <n v="1374125"/>
    <n v="311300"/>
    <s v="Feb"/>
    <n v="2"/>
    <n v="2026"/>
    <s v="Weekend"/>
    <n v="0.34722222222222221"/>
    <n v="0.5714285714285714"/>
    <n v="0.14285714285714285"/>
    <n v="12452"/>
    <s v="Autohaus Berlin"/>
  </r>
  <r>
    <s v="CUST_4763"/>
    <x v="13"/>
    <x v="0"/>
    <s v="Friday"/>
    <s v="No"/>
    <x v="5"/>
    <x v="5"/>
    <s v="Hamburg"/>
    <x v="0"/>
    <s v="X3"/>
    <s v="Hybrid"/>
    <x v="0"/>
    <s v="36-50"/>
    <s v="Low"/>
    <x v="1"/>
    <x v="0"/>
    <s v="Sales_9"/>
    <n v="191"/>
    <n v="100"/>
    <n v="70"/>
    <n v="26"/>
    <s v="26.0"/>
    <n v="63920"/>
    <s v="5.16"/>
    <n v="44766"/>
    <n v="1661920"/>
    <n v="498004"/>
    <s v="Feb"/>
    <n v="2"/>
    <n v="2026"/>
    <s v="Weekday"/>
    <n v="0.37142857142857144"/>
    <n v="0.52356020942408377"/>
    <n v="0.13612565445026178"/>
    <n v="19154"/>
    <s v="Elbe Drive"/>
  </r>
  <r>
    <s v="CUST_4764"/>
    <x v="22"/>
    <x v="3"/>
    <s v="Tuesday"/>
    <s v="No"/>
    <x v="5"/>
    <x v="5"/>
    <s v="Hamburg"/>
    <x v="3"/>
    <s v="GLE"/>
    <s v="Hybrid"/>
    <x v="0"/>
    <s v="26-35"/>
    <s v="High"/>
    <x v="1"/>
    <x v="2"/>
    <s v="Sales_11"/>
    <n v="190"/>
    <n v="100"/>
    <n v="66"/>
    <n v="27"/>
    <s v="27.0"/>
    <n v="51193"/>
    <s v="3.89"/>
    <n v="37266"/>
    <n v="1382211"/>
    <n v="376029"/>
    <s v="Feb"/>
    <n v="2"/>
    <n v="2026"/>
    <s v="Weekday"/>
    <n v="0.40909090909090912"/>
    <n v="0.52631578947368418"/>
    <n v="0.14210526315789473"/>
    <n v="13927"/>
    <s v="Elbe Drive"/>
  </r>
  <r>
    <s v="CUST_4765"/>
    <x v="23"/>
    <x v="2"/>
    <s v="Tuesday"/>
    <s v="No"/>
    <x v="1"/>
    <x v="1"/>
    <s v="NRW"/>
    <x v="1"/>
    <s v="Mokka"/>
    <s v="Diesel"/>
    <x v="0"/>
    <s v="50+"/>
    <s v="Medium"/>
    <x v="1"/>
    <x v="1"/>
    <s v="Sales_14"/>
    <n v="342"/>
    <n v="152"/>
    <n v="98"/>
    <n v="24"/>
    <s v="15.79"/>
    <n v="21260"/>
    <s v="11.57"/>
    <n v="19528"/>
    <n v="510240"/>
    <n v="41568"/>
    <s v="Feb"/>
    <n v="2"/>
    <n v="2026"/>
    <s v="Weekday"/>
    <n v="0.24489795918367346"/>
    <n v="0.44444444444444442"/>
    <n v="7.0175438596491224E-2"/>
    <n v="1732"/>
    <s v="Rhein Auto Group"/>
  </r>
  <r>
    <s v="CUST_4766"/>
    <x v="27"/>
    <x v="3"/>
    <s v="Sunday"/>
    <s v="Yes"/>
    <x v="4"/>
    <x v="4"/>
    <s v="Berlin"/>
    <x v="3"/>
    <s v="C-Class"/>
    <s v="Petrol"/>
    <x v="1"/>
    <s v="50+"/>
    <s v="Medium"/>
    <x v="1"/>
    <x v="2"/>
    <s v="Sales_17"/>
    <n v="186"/>
    <n v="105"/>
    <n v="80"/>
    <n v="29"/>
    <s v="27.62"/>
    <n v="69583"/>
    <s v="5.13"/>
    <n v="49867"/>
    <n v="2017907"/>
    <n v="571764"/>
    <s v="Feb"/>
    <n v="2"/>
    <n v="2026"/>
    <s v="Weekend"/>
    <n v="0.36249999999999999"/>
    <n v="0.56451612903225812"/>
    <n v="0.15591397849462366"/>
    <n v="19716"/>
    <s v="Autohaus Berlin"/>
  </r>
  <r>
    <s v="CUST_4767"/>
    <x v="9"/>
    <x v="0"/>
    <s v="Sunday"/>
    <s v="Yes"/>
    <x v="7"/>
    <x v="7"/>
    <s v="Bavaria"/>
    <x v="4"/>
    <s v="Passat"/>
    <s v="Petrol"/>
    <x v="1"/>
    <s v="18-25"/>
    <s v="Low"/>
    <x v="1"/>
    <x v="0"/>
    <s v="Sales_2"/>
    <n v="397"/>
    <n v="181"/>
    <n v="116"/>
    <n v="32"/>
    <s v="17.68"/>
    <n v="31339"/>
    <s v="11.86"/>
    <n v="27987"/>
    <n v="1002848"/>
    <n v="107264"/>
    <s v="Feb"/>
    <n v="2"/>
    <n v="2026"/>
    <s v="Weekend"/>
    <n v="0.27586206896551724"/>
    <n v="0.45591939546599497"/>
    <n v="8.0604534005037781E-2"/>
    <n v="3352"/>
    <s v="Bavaria Motors"/>
  </r>
  <r>
    <s v="CUST_4768"/>
    <x v="2"/>
    <x v="2"/>
    <s v="Monday"/>
    <s v="No"/>
    <x v="5"/>
    <x v="5"/>
    <s v="Hamburg"/>
    <x v="3"/>
    <s v="E-Class"/>
    <s v="Diesel"/>
    <x v="1"/>
    <s v="26-35"/>
    <s v="Low"/>
    <x v="1"/>
    <x v="1"/>
    <s v="Sales_11"/>
    <n v="230"/>
    <n v="121"/>
    <n v="94"/>
    <n v="29"/>
    <s v="23.97"/>
    <n v="66502"/>
    <s v="4.87"/>
    <n v="50953"/>
    <n v="1928558"/>
    <n v="450921"/>
    <s v="Feb"/>
    <n v="2"/>
    <n v="2026"/>
    <s v="Weekday"/>
    <n v="0.30851063829787234"/>
    <n v="0.52608695652173909"/>
    <n v="0.12608695652173912"/>
    <n v="15549"/>
    <s v="Elbe Drive"/>
  </r>
  <r>
    <s v="CUST_4769"/>
    <x v="8"/>
    <x v="3"/>
    <s v="Wednesday"/>
    <s v="No"/>
    <x v="9"/>
    <x v="9"/>
    <s v="NRW"/>
    <x v="3"/>
    <s v="EQE"/>
    <s v="Electric"/>
    <x v="1"/>
    <s v="50+"/>
    <s v="Low"/>
    <x v="1"/>
    <x v="3"/>
    <s v="Sales_12"/>
    <n v="223"/>
    <n v="102"/>
    <n v="76"/>
    <n v="22"/>
    <s v="21.57"/>
    <n v="65651"/>
    <s v="5.74"/>
    <n v="49097"/>
    <n v="1444322"/>
    <n v="364188"/>
    <s v="Feb"/>
    <n v="2"/>
    <n v="2026"/>
    <s v="Weekday"/>
    <n v="0.28947368421052633"/>
    <n v="0.45739910313901344"/>
    <n v="9.8654708520179366E-2"/>
    <n v="16554"/>
    <s v="Ruhr Auto Plaza"/>
  </r>
  <r>
    <s v="CUST_4770"/>
    <x v="18"/>
    <x v="0"/>
    <s v="Saturday"/>
    <s v="Yes"/>
    <x v="6"/>
    <x v="6"/>
    <s v="Saxony"/>
    <x v="2"/>
    <s v="Q5"/>
    <s v="Electric"/>
    <x v="0"/>
    <s v="36-50"/>
    <s v="High"/>
    <x v="0"/>
    <x v="2"/>
    <s v="Sales_19"/>
    <n v="194"/>
    <n v="117"/>
    <n v="76"/>
    <n v="29"/>
    <s v="24.79"/>
    <n v="43856"/>
    <s v="3.11"/>
    <n v="34087"/>
    <n v="1271824"/>
    <n v="283301"/>
    <s v="Feb"/>
    <n v="2"/>
    <n v="2026"/>
    <s v="Weekend"/>
    <n v="0.38157894736842107"/>
    <n v="0.60309278350515461"/>
    <n v="0.14948453608247422"/>
    <n v="9769"/>
    <s v="Leipzig Mobility"/>
  </r>
  <r>
    <s v="CUST_4771"/>
    <x v="6"/>
    <x v="2"/>
    <s v="Saturday"/>
    <s v="Yes"/>
    <x v="5"/>
    <x v="5"/>
    <s v="Hamburg"/>
    <x v="4"/>
    <s v="Tiguan"/>
    <s v="Diesel"/>
    <x v="0"/>
    <s v="26-35"/>
    <s v="Medium"/>
    <x v="0"/>
    <x v="2"/>
    <s v="Sales_16"/>
    <n v="486"/>
    <n v="224"/>
    <n v="130"/>
    <n v="41"/>
    <s v="18.3"/>
    <n v="25512"/>
    <s v="9.62"/>
    <n v="22976"/>
    <n v="1045992"/>
    <n v="103976"/>
    <s v="Feb"/>
    <n v="2"/>
    <n v="2026"/>
    <s v="Weekend"/>
    <n v="0.31538461538461537"/>
    <n v="0.46090534979423869"/>
    <n v="8.4362139917695478E-2"/>
    <n v="2536"/>
    <s v="Elbe Drive"/>
  </r>
  <r>
    <s v="CUST_4772"/>
    <x v="21"/>
    <x v="0"/>
    <s v="Tuesday"/>
    <s v="No"/>
    <x v="2"/>
    <x v="2"/>
    <s v="Lower Saxony"/>
    <x v="2"/>
    <s v="Q5"/>
    <s v="Hybrid"/>
    <x v="0"/>
    <s v="26-35"/>
    <s v="High"/>
    <x v="1"/>
    <x v="1"/>
    <s v="Sales_13"/>
    <n v="288"/>
    <n v="140"/>
    <n v="91"/>
    <n v="34"/>
    <s v="24.29"/>
    <n v="46349"/>
    <s v="4.56"/>
    <n v="35979"/>
    <n v="1575866"/>
    <n v="352580"/>
    <s v="Feb"/>
    <n v="2"/>
    <n v="2026"/>
    <s v="Weekday"/>
    <n v="0.37362637362637363"/>
    <n v="0.4861111111111111"/>
    <n v="0.11805555555555555"/>
    <n v="10370"/>
    <s v="Hannover Cars"/>
  </r>
  <r>
    <s v="CUST_4773"/>
    <x v="24"/>
    <x v="1"/>
    <s v="Thursday"/>
    <s v="No"/>
    <x v="5"/>
    <x v="5"/>
    <s v="Hamburg"/>
    <x v="0"/>
    <s v="3 Series"/>
    <s v="Electric"/>
    <x v="1"/>
    <s v="18-25"/>
    <s v="High"/>
    <x v="0"/>
    <x v="3"/>
    <s v="Sales_7"/>
    <n v="152"/>
    <n v="77"/>
    <n v="57"/>
    <n v="20"/>
    <s v="25.97"/>
    <n v="64162"/>
    <s v="4.19"/>
    <n v="46919"/>
    <n v="1283240"/>
    <n v="344860"/>
    <s v="Feb"/>
    <n v="2"/>
    <n v="2026"/>
    <s v="Weekday"/>
    <n v="0.35087719298245612"/>
    <n v="0.50657894736842102"/>
    <n v="0.13157894736842105"/>
    <n v="17243"/>
    <s v="Elbe Drive"/>
  </r>
  <r>
    <s v="CUST_4774"/>
    <x v="13"/>
    <x v="0"/>
    <s v="Friday"/>
    <s v="No"/>
    <x v="2"/>
    <x v="2"/>
    <s v="Lower Saxony"/>
    <x v="3"/>
    <s v="C-Class"/>
    <s v="Electric"/>
    <x v="1"/>
    <s v="50+"/>
    <s v="Low"/>
    <x v="1"/>
    <x v="0"/>
    <s v="Sales_8"/>
    <n v="215"/>
    <n v="125"/>
    <n v="86"/>
    <n v="27"/>
    <s v="21.6"/>
    <n v="67616"/>
    <s v="4.02"/>
    <n v="48805"/>
    <n v="1825632"/>
    <n v="507897"/>
    <s v="Feb"/>
    <n v="2"/>
    <n v="2026"/>
    <s v="Weekday"/>
    <n v="0.31395348837209303"/>
    <n v="0.58139534883720934"/>
    <n v="0.12558139534883722"/>
    <n v="18811"/>
    <s v="Hannover Cars"/>
  </r>
  <r>
    <s v="CUST_4775"/>
    <x v="15"/>
    <x v="2"/>
    <s v="Thursday"/>
    <s v="No"/>
    <x v="2"/>
    <x v="2"/>
    <s v="Lower Saxony"/>
    <x v="2"/>
    <s v="A3"/>
    <s v="Petrol"/>
    <x v="2"/>
    <s v="18-25"/>
    <s v="Low"/>
    <x v="1"/>
    <x v="3"/>
    <s v="Sales_15"/>
    <n v="227"/>
    <n v="111"/>
    <n v="86"/>
    <n v="25"/>
    <s v="22.52"/>
    <n v="43707"/>
    <s v="4.78"/>
    <n v="33793"/>
    <n v="1092675"/>
    <n v="247850"/>
    <s v="Feb"/>
    <n v="2"/>
    <n v="2026"/>
    <s v="Weekday"/>
    <n v="0.29069767441860467"/>
    <n v="0.48898678414096919"/>
    <n v="0.11013215859030837"/>
    <n v="9914"/>
    <s v="Hannover Cars"/>
  </r>
  <r>
    <s v="CUST_4776"/>
    <x v="14"/>
    <x v="2"/>
    <s v="Friday"/>
    <s v="No"/>
    <x v="2"/>
    <x v="2"/>
    <s v="Lower Saxony"/>
    <x v="0"/>
    <s v="3 Series"/>
    <s v="Petrol"/>
    <x v="1"/>
    <s v="50+"/>
    <s v="Low"/>
    <x v="1"/>
    <x v="1"/>
    <s v="Sales_3"/>
    <n v="145"/>
    <n v="85"/>
    <n v="63"/>
    <n v="24"/>
    <s v="28.24"/>
    <n v="50798"/>
    <s v="3.92"/>
    <n v="36523"/>
    <n v="1219152"/>
    <n v="342600"/>
    <s v="Feb"/>
    <n v="2"/>
    <n v="2026"/>
    <s v="Weekday"/>
    <n v="0.38095238095238093"/>
    <n v="0.58620689655172409"/>
    <n v="0.16551724137931034"/>
    <n v="14275"/>
    <s v="Hannover Cars"/>
  </r>
  <r>
    <s v="CUST_4777"/>
    <x v="20"/>
    <x v="0"/>
    <s v="Thursday"/>
    <s v="No"/>
    <x v="8"/>
    <x v="8"/>
    <s v="Baden-WÃ¼rttemberg"/>
    <x v="3"/>
    <s v="EQE"/>
    <s v="Petrol"/>
    <x v="1"/>
    <s v="18-25"/>
    <s v="High"/>
    <x v="1"/>
    <x v="2"/>
    <s v="Sales_20"/>
    <n v="149"/>
    <n v="87"/>
    <n v="60"/>
    <n v="23"/>
    <s v="26.44"/>
    <n v="58282"/>
    <s v="4.8"/>
    <n v="45750"/>
    <n v="1340486"/>
    <n v="288236"/>
    <s v="Feb"/>
    <n v="2"/>
    <n v="2026"/>
    <s v="Weekday"/>
    <n v="0.38333333333333336"/>
    <n v="0.58389261744966447"/>
    <n v="0.15436241610738255"/>
    <n v="12532"/>
    <s v="Stuttgart Auto Center"/>
  </r>
  <r>
    <s v="CUST_4778"/>
    <x v="10"/>
    <x v="1"/>
    <s v="Monday"/>
    <s v="No"/>
    <x v="9"/>
    <x v="9"/>
    <s v="NRW"/>
    <x v="1"/>
    <s v="Corsa"/>
    <s v="Diesel"/>
    <x v="2"/>
    <s v="26-35"/>
    <s v="Medium"/>
    <x v="0"/>
    <x v="2"/>
    <s v="Sales_7"/>
    <n v="354"/>
    <n v="158"/>
    <n v="100"/>
    <n v="30"/>
    <s v="18.99"/>
    <n v="21339"/>
    <s v="13.42"/>
    <n v="19570"/>
    <n v="640170"/>
    <n v="53070"/>
    <s v="Feb"/>
    <n v="2"/>
    <n v="2026"/>
    <s v="Weekday"/>
    <n v="0.3"/>
    <n v="0.4463276836158192"/>
    <n v="8.4745762711864403E-2"/>
    <n v="1769"/>
    <s v="Ruhr Auto Plaza"/>
  </r>
  <r>
    <s v="CUST_4779"/>
    <x v="23"/>
    <x v="2"/>
    <s v="Tuesday"/>
    <s v="No"/>
    <x v="4"/>
    <x v="4"/>
    <s v="Berlin"/>
    <x v="4"/>
    <s v="ID.4"/>
    <s v="Electric"/>
    <x v="0"/>
    <s v="26-35"/>
    <s v="Low"/>
    <x v="0"/>
    <x v="1"/>
    <s v="Sales_1"/>
    <n v="465"/>
    <n v="264"/>
    <n v="166"/>
    <n v="52"/>
    <s v="19.7"/>
    <n v="32178"/>
    <s v="11.38"/>
    <n v="28787"/>
    <n v="1673256"/>
    <n v="176332"/>
    <s v="Feb"/>
    <n v="2"/>
    <n v="2026"/>
    <s v="Weekday"/>
    <n v="0.31325301204819278"/>
    <n v="0.56774193548387097"/>
    <n v="0.11182795698924732"/>
    <n v="3391"/>
    <s v="Autohaus Berlin"/>
  </r>
  <r>
    <s v="CUST_4780"/>
    <x v="12"/>
    <x v="3"/>
    <s v="Thursday"/>
    <s v="No"/>
    <x v="2"/>
    <x v="2"/>
    <s v="Lower Saxony"/>
    <x v="3"/>
    <s v="EQE"/>
    <s v="Diesel"/>
    <x v="1"/>
    <s v="18-25"/>
    <s v="Low"/>
    <x v="1"/>
    <x v="3"/>
    <s v="Sales_4"/>
    <n v="240"/>
    <n v="109"/>
    <n v="85"/>
    <n v="24"/>
    <s v="22.02"/>
    <n v="66368"/>
    <s v="4.69"/>
    <n v="47571"/>
    <n v="1592832"/>
    <n v="451128"/>
    <s v="Feb"/>
    <n v="2"/>
    <n v="2026"/>
    <s v="Weekday"/>
    <n v="0.28235294117647058"/>
    <n v="0.45416666666666666"/>
    <n v="0.1"/>
    <n v="18797"/>
    <s v="Hannover Cars"/>
  </r>
  <r>
    <s v="CUST_4781"/>
    <x v="9"/>
    <x v="0"/>
    <s v="Sunday"/>
    <s v="Yes"/>
    <x v="1"/>
    <x v="1"/>
    <s v="NRW"/>
    <x v="4"/>
    <s v="Golf"/>
    <s v="Petrol"/>
    <x v="2"/>
    <s v="50+"/>
    <s v="Medium"/>
    <x v="0"/>
    <x v="2"/>
    <s v="Sales_20"/>
    <n v="315"/>
    <n v="132"/>
    <n v="82"/>
    <n v="28"/>
    <s v="21.21"/>
    <n v="33452"/>
    <s v="10.58"/>
    <n v="29505"/>
    <n v="936656"/>
    <n v="110516"/>
    <s v="Feb"/>
    <n v="2"/>
    <n v="2026"/>
    <s v="Weekend"/>
    <n v="0.34146341463414637"/>
    <n v="0.41904761904761906"/>
    <n v="8.8888888888888892E-2"/>
    <n v="3947"/>
    <s v="Rhein Auto Group"/>
  </r>
  <r>
    <s v="CUST_4782"/>
    <x v="25"/>
    <x v="3"/>
    <s v="Friday"/>
    <s v="No"/>
    <x v="2"/>
    <x v="2"/>
    <s v="Lower Saxony"/>
    <x v="3"/>
    <s v="C-Class"/>
    <s v="Petrol"/>
    <x v="1"/>
    <s v="50+"/>
    <s v="Low"/>
    <x v="0"/>
    <x v="2"/>
    <s v="Sales_17"/>
    <n v="208"/>
    <n v="107"/>
    <n v="77"/>
    <n v="30"/>
    <s v="28.04"/>
    <n v="54748"/>
    <s v="4.81"/>
    <n v="39047"/>
    <n v="1642440"/>
    <n v="471030"/>
    <s v="Feb"/>
    <n v="2"/>
    <n v="2026"/>
    <s v="Weekday"/>
    <n v="0.38961038961038963"/>
    <n v="0.51442307692307687"/>
    <n v="0.14423076923076922"/>
    <n v="15701"/>
    <s v="Hannover Cars"/>
  </r>
  <r>
    <s v="CUST_4783"/>
    <x v="1"/>
    <x v="1"/>
    <s v="Wednesday"/>
    <s v="No"/>
    <x v="9"/>
    <x v="9"/>
    <s v="NRW"/>
    <x v="0"/>
    <s v="X5"/>
    <s v="Hybrid"/>
    <x v="0"/>
    <s v="36-50"/>
    <s v="Low"/>
    <x v="1"/>
    <x v="2"/>
    <s v="Sales_13"/>
    <n v="184"/>
    <n v="85"/>
    <n v="60"/>
    <n v="26"/>
    <s v="30.59"/>
    <n v="57483"/>
    <s v="4.36"/>
    <n v="43850"/>
    <n v="1494558"/>
    <n v="354458"/>
    <s v="Feb"/>
    <n v="2"/>
    <n v="2026"/>
    <s v="Weekday"/>
    <n v="0.43333333333333335"/>
    <n v="0.46195652173913043"/>
    <n v="0.14130434782608695"/>
    <n v="13633"/>
    <s v="Ruhr Auto Plaza"/>
  </r>
  <r>
    <s v="CUST_4784"/>
    <x v="11"/>
    <x v="0"/>
    <s v="Wednesday"/>
    <s v="No"/>
    <x v="3"/>
    <x v="3"/>
    <s v="Saxony"/>
    <x v="2"/>
    <s v="A4"/>
    <s v="Hybrid"/>
    <x v="1"/>
    <s v="50+"/>
    <s v="High"/>
    <x v="0"/>
    <x v="2"/>
    <s v="Sales_8"/>
    <n v="242"/>
    <n v="131"/>
    <n v="86"/>
    <n v="32"/>
    <s v="24.43"/>
    <n v="51845"/>
    <s v="6.64"/>
    <n v="41263"/>
    <n v="1659040"/>
    <n v="338624"/>
    <s v="Feb"/>
    <n v="2"/>
    <n v="2026"/>
    <s v="Weekday"/>
    <n v="0.37209302325581395"/>
    <n v="0.54132231404958675"/>
    <n v="0.13223140495867769"/>
    <n v="10582"/>
    <s v="Saxon Wheels"/>
  </r>
  <r>
    <s v="CUST_4785"/>
    <x v="8"/>
    <x v="3"/>
    <s v="Wednesday"/>
    <s v="No"/>
    <x v="0"/>
    <x v="0"/>
    <s v="Hesse"/>
    <x v="0"/>
    <s v="X3"/>
    <s v="Diesel"/>
    <x v="0"/>
    <s v="26-35"/>
    <s v="Medium"/>
    <x v="0"/>
    <x v="1"/>
    <s v="Sales_2"/>
    <n v="236"/>
    <n v="129"/>
    <n v="104"/>
    <n v="37"/>
    <s v="28.68"/>
    <n v="67516"/>
    <s v="3.49"/>
    <n v="51885"/>
    <n v="2498092"/>
    <n v="578347"/>
    <s v="Feb"/>
    <n v="2"/>
    <n v="2026"/>
    <s v="Weekday"/>
    <n v="0.35576923076923078"/>
    <n v="0.54661016949152541"/>
    <n v="0.15677966101694915"/>
    <n v="15631"/>
    <s v="Main Auto Hub"/>
  </r>
  <r>
    <s v="CUST_4786"/>
    <x v="26"/>
    <x v="1"/>
    <s v="Friday"/>
    <s v="No"/>
    <x v="2"/>
    <x v="2"/>
    <s v="Lower Saxony"/>
    <x v="0"/>
    <s v="i4"/>
    <s v="Petrol"/>
    <x v="1"/>
    <s v="26-35"/>
    <s v="High"/>
    <x v="0"/>
    <x v="0"/>
    <s v="Sales_11"/>
    <n v="261"/>
    <n v="124"/>
    <n v="86"/>
    <n v="33"/>
    <s v="26.61"/>
    <n v="62944"/>
    <s v="5.13"/>
    <n v="44771"/>
    <n v="2077152"/>
    <n v="599709"/>
    <s v="Feb"/>
    <n v="2"/>
    <n v="2026"/>
    <s v="Weekday"/>
    <n v="0.38372093023255816"/>
    <n v="0.47509578544061304"/>
    <n v="0.12643678160919541"/>
    <n v="18173"/>
    <s v="Hannover Cars"/>
  </r>
  <r>
    <s v="CUST_4787"/>
    <x v="13"/>
    <x v="0"/>
    <s v="Friday"/>
    <s v="No"/>
    <x v="7"/>
    <x v="7"/>
    <s v="Bavaria"/>
    <x v="3"/>
    <s v="E-Class"/>
    <s v="Electric"/>
    <x v="1"/>
    <s v="50+"/>
    <s v="Low"/>
    <x v="0"/>
    <x v="1"/>
    <s v="Sales_14"/>
    <n v="214"/>
    <n v="126"/>
    <n v="98"/>
    <n v="36"/>
    <s v="28.57"/>
    <n v="55899"/>
    <s v="2.41"/>
    <n v="43381"/>
    <n v="2012364"/>
    <n v="450648"/>
    <s v="Feb"/>
    <n v="2"/>
    <n v="2026"/>
    <s v="Weekday"/>
    <n v="0.36734693877551022"/>
    <n v="0.58878504672897192"/>
    <n v="0.16822429906542055"/>
    <n v="12518"/>
    <s v="Bavaria Motors"/>
  </r>
  <r>
    <s v="CUST_4788"/>
    <x v="15"/>
    <x v="2"/>
    <s v="Thursday"/>
    <s v="No"/>
    <x v="3"/>
    <x v="3"/>
    <s v="Saxony"/>
    <x v="0"/>
    <s v="5 Series"/>
    <s v="Hybrid"/>
    <x v="1"/>
    <s v="36-50"/>
    <s v="Medium"/>
    <x v="0"/>
    <x v="2"/>
    <s v="Sales_15"/>
    <n v="185"/>
    <n v="97"/>
    <n v="76"/>
    <n v="29"/>
    <s v="29.9"/>
    <n v="55404"/>
    <s v="4.46"/>
    <n v="41867"/>
    <n v="1606716"/>
    <n v="392573"/>
    <s v="Feb"/>
    <n v="2"/>
    <n v="2026"/>
    <s v="Weekday"/>
    <n v="0.38157894736842107"/>
    <n v="0.5243243243243243"/>
    <n v="0.15675675675675677"/>
    <n v="13537"/>
    <s v="Saxon Wheels"/>
  </r>
  <r>
    <s v="CUST_4789"/>
    <x v="13"/>
    <x v="0"/>
    <s v="Friday"/>
    <s v="No"/>
    <x v="2"/>
    <x v="2"/>
    <s v="Lower Saxony"/>
    <x v="1"/>
    <s v="Mokka"/>
    <s v="Hybrid"/>
    <x v="0"/>
    <s v="18-25"/>
    <s v="Medium"/>
    <x v="1"/>
    <x v="2"/>
    <s v="Sales_6"/>
    <n v="414"/>
    <n v="228"/>
    <n v="127"/>
    <n v="40"/>
    <s v="17.54"/>
    <n v="24912"/>
    <s v="13.38"/>
    <n v="22899"/>
    <n v="996480"/>
    <n v="80520"/>
    <s v="Feb"/>
    <n v="2"/>
    <n v="2026"/>
    <s v="Weekday"/>
    <n v="0.31496062992125984"/>
    <n v="0.55072463768115942"/>
    <n v="9.6618357487922704E-2"/>
    <n v="2013"/>
    <s v="Hannover Cars"/>
  </r>
  <r>
    <s v="CUST_4790"/>
    <x v="27"/>
    <x v="3"/>
    <s v="Sunday"/>
    <s v="Yes"/>
    <x v="5"/>
    <x v="5"/>
    <s v="Hamburg"/>
    <x v="1"/>
    <s v="Mokka"/>
    <s v="Diesel"/>
    <x v="0"/>
    <s v="36-50"/>
    <s v="Medium"/>
    <x v="0"/>
    <x v="2"/>
    <s v="Sales_7"/>
    <n v="393"/>
    <n v="188"/>
    <n v="131"/>
    <n v="35"/>
    <s v="18.62"/>
    <n v="19391"/>
    <s v="13.16"/>
    <n v="17972"/>
    <n v="678685"/>
    <n v="49665"/>
    <s v="Feb"/>
    <n v="2"/>
    <n v="2026"/>
    <s v="Weekend"/>
    <n v="0.26717557251908397"/>
    <n v="0.47837150127226463"/>
    <n v="8.9058524173027995E-2"/>
    <n v="1419"/>
    <s v="Elbe Drive"/>
  </r>
  <r>
    <s v="CUST_4791"/>
    <x v="6"/>
    <x v="2"/>
    <s v="Saturday"/>
    <s v="Yes"/>
    <x v="4"/>
    <x v="4"/>
    <s v="Berlin"/>
    <x v="4"/>
    <s v="Tiguan"/>
    <s v="Petrol"/>
    <x v="0"/>
    <s v="36-50"/>
    <s v="Low"/>
    <x v="0"/>
    <x v="3"/>
    <s v="Sales_7"/>
    <n v="423"/>
    <n v="235"/>
    <n v="137"/>
    <n v="40"/>
    <s v="17.02"/>
    <n v="26351"/>
    <s v="9.39"/>
    <n v="23779"/>
    <n v="1054040"/>
    <n v="102880"/>
    <s v="Feb"/>
    <n v="2"/>
    <n v="2026"/>
    <s v="Weekend"/>
    <n v="0.29197080291970801"/>
    <n v="0.55555555555555558"/>
    <n v="9.4562647754137114E-2"/>
    <n v="2572"/>
    <s v="Autohaus Berlin"/>
  </r>
  <r>
    <s v="CUST_4792"/>
    <x v="16"/>
    <x v="1"/>
    <s v="Tuesday"/>
    <s v="No"/>
    <x v="7"/>
    <x v="7"/>
    <s v="Bavaria"/>
    <x v="2"/>
    <s v="A3"/>
    <s v="Diesel"/>
    <x v="2"/>
    <s v="18-25"/>
    <s v="Low"/>
    <x v="0"/>
    <x v="1"/>
    <s v="Sales_10"/>
    <n v="263"/>
    <n v="153"/>
    <n v="104"/>
    <n v="41"/>
    <s v="26.8"/>
    <n v="45990"/>
    <s v="6.25"/>
    <n v="35936"/>
    <n v="1885590"/>
    <n v="412214"/>
    <s v="Feb"/>
    <n v="2"/>
    <n v="2026"/>
    <s v="Weekday"/>
    <n v="0.39423076923076922"/>
    <n v="0.58174904942965777"/>
    <n v="0.155893536121673"/>
    <n v="10054"/>
    <s v="Bavaria Motors"/>
  </r>
  <r>
    <s v="CUST_4793"/>
    <x v="1"/>
    <x v="1"/>
    <s v="Wednesday"/>
    <s v="No"/>
    <x v="8"/>
    <x v="8"/>
    <s v="Baden-WÃ¼rttemberg"/>
    <x v="0"/>
    <s v="X5"/>
    <s v="Diesel"/>
    <x v="0"/>
    <s v="18-25"/>
    <s v="Low"/>
    <x v="0"/>
    <x v="1"/>
    <s v="Sales_19"/>
    <n v="228"/>
    <n v="124"/>
    <n v="87"/>
    <n v="39"/>
    <s v="31.45"/>
    <n v="57467"/>
    <s v="4.8"/>
    <n v="41966"/>
    <n v="2241213"/>
    <n v="604539"/>
    <s v="Feb"/>
    <n v="2"/>
    <n v="2026"/>
    <s v="Weekday"/>
    <n v="0.44827586206896552"/>
    <n v="0.54385964912280704"/>
    <n v="0.17105263157894737"/>
    <n v="15501"/>
    <s v="Stuttgart Auto Center"/>
  </r>
  <r>
    <s v="CUST_4794"/>
    <x v="2"/>
    <x v="2"/>
    <s v="Monday"/>
    <s v="No"/>
    <x v="5"/>
    <x v="5"/>
    <s v="Hamburg"/>
    <x v="2"/>
    <s v="A4"/>
    <s v="Electric"/>
    <x v="1"/>
    <s v="50+"/>
    <s v="Medium"/>
    <x v="1"/>
    <x v="3"/>
    <s v="Sales_2"/>
    <n v="209"/>
    <n v="115"/>
    <n v="82"/>
    <n v="27"/>
    <s v="23.48"/>
    <n v="41228"/>
    <s v="5.68"/>
    <n v="31427"/>
    <n v="1113156"/>
    <n v="264627"/>
    <s v="Feb"/>
    <n v="2"/>
    <n v="2026"/>
    <s v="Weekday"/>
    <n v="0.32926829268292684"/>
    <n v="0.55023923444976075"/>
    <n v="0.12918660287081341"/>
    <n v="9801"/>
    <s v="Elbe Drive"/>
  </r>
  <r>
    <s v="CUST_4795"/>
    <x v="1"/>
    <x v="1"/>
    <s v="Wednesday"/>
    <s v="No"/>
    <x v="2"/>
    <x v="2"/>
    <s v="Lower Saxony"/>
    <x v="1"/>
    <s v="Astra"/>
    <s v="Petrol"/>
    <x v="2"/>
    <s v="50+"/>
    <s v="Low"/>
    <x v="0"/>
    <x v="0"/>
    <s v="Sales_2"/>
    <n v="315"/>
    <n v="149"/>
    <n v="94"/>
    <n v="25"/>
    <s v="16.78"/>
    <n v="25648"/>
    <s v="8.3"/>
    <n v="23471"/>
    <n v="641200"/>
    <n v="54425"/>
    <s v="Feb"/>
    <n v="2"/>
    <n v="2026"/>
    <s v="Weekday"/>
    <n v="0.26595744680851063"/>
    <n v="0.473015873015873"/>
    <n v="7.9365079365079361E-2"/>
    <n v="2177"/>
    <s v="Hannover Cars"/>
  </r>
  <r>
    <s v="CUST_4796"/>
    <x v="15"/>
    <x v="2"/>
    <s v="Thursday"/>
    <s v="No"/>
    <x v="6"/>
    <x v="6"/>
    <s v="Saxony"/>
    <x v="3"/>
    <s v="E-Class"/>
    <s v="Hybrid"/>
    <x v="1"/>
    <s v="36-50"/>
    <s v="Medium"/>
    <x v="0"/>
    <x v="3"/>
    <s v="Sales_19"/>
    <n v="169"/>
    <n v="95"/>
    <n v="63"/>
    <n v="20"/>
    <s v="21.05"/>
    <n v="66364"/>
    <s v="5.56"/>
    <n v="51018"/>
    <n v="1327280"/>
    <n v="306920"/>
    <s v="Feb"/>
    <n v="2"/>
    <n v="2026"/>
    <s v="Weekday"/>
    <n v="0.31746031746031744"/>
    <n v="0.56213017751479288"/>
    <n v="0.11834319526627218"/>
    <n v="15346"/>
    <s v="Leipzig Mobility"/>
  </r>
  <r>
    <s v="CUST_4797"/>
    <x v="20"/>
    <x v="0"/>
    <s v="Thursday"/>
    <s v="No"/>
    <x v="3"/>
    <x v="3"/>
    <s v="Saxony"/>
    <x v="2"/>
    <s v="A3"/>
    <s v="Diesel"/>
    <x v="2"/>
    <s v="18-25"/>
    <s v="Medium"/>
    <x v="1"/>
    <x v="0"/>
    <s v="Sales_8"/>
    <n v="251"/>
    <n v="138"/>
    <n v="88"/>
    <n v="28"/>
    <s v="20.29"/>
    <n v="48827"/>
    <s v="4.59"/>
    <n v="37762"/>
    <n v="1367156"/>
    <n v="309820"/>
    <s v="Feb"/>
    <n v="2"/>
    <n v="2026"/>
    <s v="Weekday"/>
    <n v="0.31818181818181818"/>
    <n v="0.54980079681274896"/>
    <n v="0.11155378486055777"/>
    <n v="11065"/>
    <s v="Saxon Wheels"/>
  </r>
  <r>
    <s v="CUST_4798"/>
    <x v="16"/>
    <x v="1"/>
    <s v="Tuesday"/>
    <s v="No"/>
    <x v="0"/>
    <x v="0"/>
    <s v="Hesse"/>
    <x v="0"/>
    <s v="X5"/>
    <s v="Petrol"/>
    <x v="0"/>
    <s v="50+"/>
    <s v="Medium"/>
    <x v="0"/>
    <x v="3"/>
    <s v="Sales_18"/>
    <n v="189"/>
    <n v="87"/>
    <n v="69"/>
    <n v="23"/>
    <s v="26.44"/>
    <n v="54954"/>
    <s v="5.97"/>
    <n v="41845"/>
    <n v="1263942"/>
    <n v="301507"/>
    <s v="Feb"/>
    <n v="2"/>
    <n v="2026"/>
    <s v="Weekday"/>
    <n v="0.33333333333333331"/>
    <n v="0.46031746031746029"/>
    <n v="0.12169312169312169"/>
    <n v="13109"/>
    <s v="Main Auto Hub"/>
  </r>
  <r>
    <s v="CUST_4799"/>
    <x v="4"/>
    <x v="2"/>
    <s v="Wednesday"/>
    <s v="No"/>
    <x v="8"/>
    <x v="8"/>
    <s v="Baden-WÃ¼rttemberg"/>
    <x v="2"/>
    <s v="Q5"/>
    <s v="Electric"/>
    <x v="0"/>
    <s v="18-25"/>
    <s v="Medium"/>
    <x v="0"/>
    <x v="0"/>
    <s v="Sales_12"/>
    <n v="187"/>
    <n v="90"/>
    <n v="62"/>
    <n v="19"/>
    <s v="21.11"/>
    <n v="51714"/>
    <s v="3.71"/>
    <n v="38953"/>
    <n v="982566"/>
    <n v="242459"/>
    <s v="Feb"/>
    <n v="2"/>
    <n v="2026"/>
    <s v="Weekday"/>
    <n v="0.30645161290322581"/>
    <n v="0.48128342245989303"/>
    <n v="0.10160427807486631"/>
    <n v="12761"/>
    <s v="Stuttgart Auto Center"/>
  </r>
  <r>
    <s v="CUST_4800"/>
    <x v="13"/>
    <x v="0"/>
    <s v="Friday"/>
    <s v="No"/>
    <x v="8"/>
    <x v="8"/>
    <s v="Baden-WÃ¼rttemberg"/>
    <x v="1"/>
    <s v="Mokka"/>
    <s v="Hybrid"/>
    <x v="0"/>
    <s v="50+"/>
    <s v="Medium"/>
    <x v="1"/>
    <x v="3"/>
    <s v="Sales_15"/>
    <n v="346"/>
    <n v="188"/>
    <n v="125"/>
    <n v="27"/>
    <s v="14.36"/>
    <n v="26325"/>
    <s v="10.13"/>
    <n v="24342"/>
    <n v="710775"/>
    <n v="53541"/>
    <s v="Feb"/>
    <n v="2"/>
    <n v="2026"/>
    <s v="Weekday"/>
    <n v="0.216"/>
    <n v="0.54335260115606931"/>
    <n v="7.8034682080924858E-2"/>
    <n v="1983"/>
    <s v="Stuttgart Auto Center"/>
  </r>
  <r>
    <s v="CUST_4801"/>
    <x v="24"/>
    <x v="1"/>
    <s v="Thursday"/>
    <s v="No"/>
    <x v="1"/>
    <x v="1"/>
    <s v="NRW"/>
    <x v="3"/>
    <s v="GLE"/>
    <s v="Petrol"/>
    <x v="0"/>
    <s v="50+"/>
    <s v="High"/>
    <x v="0"/>
    <x v="1"/>
    <s v="Sales_19"/>
    <n v="207"/>
    <n v="96"/>
    <n v="65"/>
    <n v="25"/>
    <s v="26.04"/>
    <n v="63359"/>
    <s v="4.16"/>
    <n v="47822"/>
    <n v="1583975"/>
    <n v="388425"/>
    <s v="Feb"/>
    <n v="2"/>
    <n v="2026"/>
    <s v="Weekday"/>
    <n v="0.38461538461538464"/>
    <n v="0.46376811594202899"/>
    <n v="0.12077294685990338"/>
    <n v="15537"/>
    <s v="Rhein Auto Group"/>
  </r>
  <r>
    <s v="CUST_4802"/>
    <x v="12"/>
    <x v="3"/>
    <s v="Thursday"/>
    <s v="No"/>
    <x v="0"/>
    <x v="0"/>
    <s v="Hesse"/>
    <x v="3"/>
    <s v="GLC"/>
    <s v="Hybrid"/>
    <x v="0"/>
    <s v="36-50"/>
    <s v="Low"/>
    <x v="1"/>
    <x v="2"/>
    <s v="Sales_20"/>
    <n v="216"/>
    <n v="107"/>
    <n v="72"/>
    <n v="30"/>
    <s v="28.04"/>
    <n v="60770"/>
    <s v="3.23"/>
    <n v="43718"/>
    <n v="1823100"/>
    <n v="511560"/>
    <s v="Feb"/>
    <n v="2"/>
    <n v="2026"/>
    <s v="Weekday"/>
    <n v="0.41666666666666669"/>
    <n v="0.49537037037037035"/>
    <n v="0.1388888888888889"/>
    <n v="17052"/>
    <s v="Main Auto Hub"/>
  </r>
  <r>
    <s v="CUST_4803"/>
    <x v="16"/>
    <x v="1"/>
    <s v="Tuesday"/>
    <s v="No"/>
    <x v="4"/>
    <x v="4"/>
    <s v="Berlin"/>
    <x v="3"/>
    <s v="E-Class"/>
    <s v="Diesel"/>
    <x v="1"/>
    <s v="50+"/>
    <s v="Low"/>
    <x v="0"/>
    <x v="2"/>
    <s v="Sales_7"/>
    <n v="246"/>
    <n v="124"/>
    <n v="90"/>
    <n v="34"/>
    <s v="27.42"/>
    <n v="50679"/>
    <s v="5.14"/>
    <n v="38753"/>
    <n v="1723086"/>
    <n v="405484"/>
    <s v="Feb"/>
    <n v="2"/>
    <n v="2026"/>
    <s v="Weekday"/>
    <n v="0.37777777777777777"/>
    <n v="0.50406504065040647"/>
    <n v="0.13821138211382114"/>
    <n v="11926"/>
    <s v="Autohaus Berlin"/>
  </r>
  <r>
    <s v="CUST_4804"/>
    <x v="26"/>
    <x v="1"/>
    <s v="Friday"/>
    <s v="No"/>
    <x v="7"/>
    <x v="7"/>
    <s v="Bavaria"/>
    <x v="1"/>
    <s v="Corsa"/>
    <s v="Hybrid"/>
    <x v="2"/>
    <s v="36-50"/>
    <s v="Medium"/>
    <x v="1"/>
    <x v="0"/>
    <s v="Sales_2"/>
    <n v="270"/>
    <n v="145"/>
    <n v="97"/>
    <n v="21"/>
    <s v="14.48"/>
    <n v="22822"/>
    <s v="13.77"/>
    <n v="20655"/>
    <n v="479262"/>
    <n v="45507"/>
    <s v="Feb"/>
    <n v="2"/>
    <n v="2026"/>
    <s v="Weekday"/>
    <n v="0.21649484536082475"/>
    <n v="0.53703703703703709"/>
    <n v="7.7777777777777779E-2"/>
    <n v="2167"/>
    <s v="Bavaria Motors"/>
  </r>
  <r>
    <s v="CUST_4805"/>
    <x v="16"/>
    <x v="1"/>
    <s v="Tuesday"/>
    <s v="No"/>
    <x v="6"/>
    <x v="6"/>
    <s v="Saxony"/>
    <x v="2"/>
    <s v="e-tron"/>
    <s v="Hybrid"/>
    <x v="0"/>
    <s v="36-50"/>
    <s v="Low"/>
    <x v="0"/>
    <x v="3"/>
    <s v="Sales_1"/>
    <n v="191"/>
    <n v="97"/>
    <n v="74"/>
    <n v="23"/>
    <s v="23.71"/>
    <n v="39777"/>
    <s v="5.76"/>
    <n v="30250"/>
    <n v="914871"/>
    <n v="219121"/>
    <s v="Feb"/>
    <n v="2"/>
    <n v="2026"/>
    <s v="Weekday"/>
    <n v="0.3108108108108108"/>
    <n v="0.50785340314136129"/>
    <n v="0.12041884816753927"/>
    <n v="9527"/>
    <s v="Leipzig Mobility"/>
  </r>
  <r>
    <s v="CUST_4806"/>
    <x v="26"/>
    <x v="1"/>
    <s v="Friday"/>
    <s v="No"/>
    <x v="6"/>
    <x v="6"/>
    <s v="Saxony"/>
    <x v="2"/>
    <s v="A4"/>
    <s v="Electric"/>
    <x v="1"/>
    <s v="36-50"/>
    <s v="High"/>
    <x v="1"/>
    <x v="0"/>
    <s v="Sales_3"/>
    <n v="277"/>
    <n v="147"/>
    <n v="103"/>
    <n v="29"/>
    <s v="19.73"/>
    <n v="46229"/>
    <s v="4.13"/>
    <n v="37425"/>
    <n v="1340641"/>
    <n v="255316"/>
    <s v="Feb"/>
    <n v="2"/>
    <n v="2026"/>
    <s v="Weekday"/>
    <n v="0.28155339805825241"/>
    <n v="0.53068592057761732"/>
    <n v="0.10469314079422383"/>
    <n v="8804"/>
    <s v="Leipzig Mobility"/>
  </r>
  <r>
    <s v="CUST_4807"/>
    <x v="16"/>
    <x v="1"/>
    <s v="Tuesday"/>
    <s v="No"/>
    <x v="7"/>
    <x v="7"/>
    <s v="Bavaria"/>
    <x v="2"/>
    <s v="A3"/>
    <s v="Electric"/>
    <x v="2"/>
    <s v="26-35"/>
    <s v="Medium"/>
    <x v="1"/>
    <x v="1"/>
    <s v="Sales_5"/>
    <n v="249"/>
    <n v="134"/>
    <n v="95"/>
    <n v="32"/>
    <s v="23.88"/>
    <n v="43764"/>
    <s v="5.34"/>
    <n v="34514"/>
    <n v="1400448"/>
    <n v="296000"/>
    <s v="Feb"/>
    <n v="2"/>
    <n v="2026"/>
    <s v="Weekday"/>
    <n v="0.33684210526315789"/>
    <n v="0.5381526104417671"/>
    <n v="0.12851405622489959"/>
    <n v="9250"/>
    <s v="Bavaria Motors"/>
  </r>
  <r>
    <s v="CUST_4808"/>
    <x v="18"/>
    <x v="0"/>
    <s v="Saturday"/>
    <s v="Yes"/>
    <x v="8"/>
    <x v="8"/>
    <s v="Baden-WÃ¼rttemberg"/>
    <x v="1"/>
    <s v="Astra"/>
    <s v="Diesel"/>
    <x v="2"/>
    <s v="26-35"/>
    <s v="Medium"/>
    <x v="0"/>
    <x v="1"/>
    <s v="Sales_16"/>
    <n v="324"/>
    <n v="139"/>
    <n v="96"/>
    <n v="26"/>
    <s v="18.71"/>
    <n v="26426"/>
    <s v="11.42"/>
    <n v="23795"/>
    <n v="687076"/>
    <n v="68406"/>
    <s v="Feb"/>
    <n v="2"/>
    <n v="2026"/>
    <s v="Weekend"/>
    <n v="0.27083333333333331"/>
    <n v="0.42901234567901236"/>
    <n v="8.0246913580246909E-2"/>
    <n v="2631"/>
    <s v="Stuttgart Auto Center"/>
  </r>
  <r>
    <s v="CUST_4809"/>
    <x v="8"/>
    <x v="3"/>
    <s v="Wednesday"/>
    <s v="No"/>
    <x v="1"/>
    <x v="1"/>
    <s v="NRW"/>
    <x v="4"/>
    <s v="Golf"/>
    <s v="Diesel"/>
    <x v="2"/>
    <s v="36-50"/>
    <s v="High"/>
    <x v="0"/>
    <x v="0"/>
    <s v="Sales_11"/>
    <n v="288"/>
    <n v="124"/>
    <n v="85"/>
    <n v="19"/>
    <s v="15.32"/>
    <n v="26929"/>
    <s v="8.49"/>
    <n v="23981"/>
    <n v="511651"/>
    <n v="56012"/>
    <s v="Feb"/>
    <n v="2"/>
    <n v="2026"/>
    <s v="Weekday"/>
    <n v="0.22352941176470589"/>
    <n v="0.43055555555555558"/>
    <n v="6.5972222222222224E-2"/>
    <n v="2948"/>
    <s v="Rhein Auto Group"/>
  </r>
  <r>
    <s v="CUST_4810"/>
    <x v="12"/>
    <x v="3"/>
    <s v="Thursday"/>
    <s v="No"/>
    <x v="5"/>
    <x v="5"/>
    <s v="Hamburg"/>
    <x v="4"/>
    <s v="Passat"/>
    <s v="Hybrid"/>
    <x v="1"/>
    <s v="18-25"/>
    <s v="High"/>
    <x v="0"/>
    <x v="2"/>
    <s v="Sales_16"/>
    <n v="401"/>
    <n v="214"/>
    <n v="151"/>
    <n v="39"/>
    <s v="18.22"/>
    <n v="33124"/>
    <s v="11.92"/>
    <n v="28882"/>
    <n v="1291836"/>
    <n v="165438"/>
    <s v="Feb"/>
    <n v="2"/>
    <n v="2026"/>
    <s v="Weekday"/>
    <n v="0.25827814569536423"/>
    <n v="0.53366583541147128"/>
    <n v="9.7256857855361589E-2"/>
    <n v="4242"/>
    <s v="Elbe Drive"/>
  </r>
  <r>
    <s v="CUST_4811"/>
    <x v="22"/>
    <x v="3"/>
    <s v="Tuesday"/>
    <s v="No"/>
    <x v="0"/>
    <x v="0"/>
    <s v="Hesse"/>
    <x v="1"/>
    <s v="Corsa"/>
    <s v="Diesel"/>
    <x v="2"/>
    <s v="26-35"/>
    <s v="High"/>
    <x v="1"/>
    <x v="3"/>
    <s v="Sales_12"/>
    <n v="362"/>
    <n v="141"/>
    <n v="83"/>
    <n v="19"/>
    <s v="13.48"/>
    <n v="25061"/>
    <s v="12.83"/>
    <n v="22556"/>
    <n v="476159"/>
    <n v="47595"/>
    <s v="Feb"/>
    <n v="2"/>
    <n v="2026"/>
    <s v="Weekday"/>
    <n v="0.2289156626506024"/>
    <n v="0.38950276243093923"/>
    <n v="5.2486187845303865E-2"/>
    <n v="2505"/>
    <s v="Main Auto Hub"/>
  </r>
  <r>
    <s v="CUST_4812"/>
    <x v="16"/>
    <x v="1"/>
    <s v="Tuesday"/>
    <s v="No"/>
    <x v="1"/>
    <x v="1"/>
    <s v="NRW"/>
    <x v="3"/>
    <s v="GLC"/>
    <s v="Diesel"/>
    <x v="0"/>
    <s v="36-50"/>
    <s v="Low"/>
    <x v="0"/>
    <x v="0"/>
    <s v="Sales_15"/>
    <n v="281"/>
    <n v="133"/>
    <n v="103"/>
    <n v="34"/>
    <s v="25.56"/>
    <n v="50584"/>
    <s v="3.29"/>
    <n v="36842"/>
    <n v="1719856"/>
    <n v="467228"/>
    <s v="Feb"/>
    <n v="2"/>
    <n v="2026"/>
    <s v="Weekday"/>
    <n v="0.3300970873786408"/>
    <n v="0.47330960854092524"/>
    <n v="0.12099644128113879"/>
    <n v="13742"/>
    <s v="Rhein Auto Group"/>
  </r>
  <r>
    <s v="CUST_4813"/>
    <x v="4"/>
    <x v="2"/>
    <s v="Wednesday"/>
    <s v="No"/>
    <x v="4"/>
    <x v="4"/>
    <s v="Berlin"/>
    <x v="4"/>
    <s v="Golf"/>
    <s v="Petrol"/>
    <x v="2"/>
    <s v="26-35"/>
    <s v="Medium"/>
    <x v="1"/>
    <x v="3"/>
    <s v="Sales_17"/>
    <n v="277"/>
    <n v="128"/>
    <n v="88"/>
    <n v="18"/>
    <s v="14.06"/>
    <n v="27119"/>
    <s v="9.42"/>
    <n v="24192"/>
    <n v="488142"/>
    <n v="52686"/>
    <s v="Feb"/>
    <n v="2"/>
    <n v="2026"/>
    <s v="Weekday"/>
    <n v="0.20454545454545456"/>
    <n v="0.46209386281588449"/>
    <n v="6.4981949458483748E-2"/>
    <n v="2927"/>
    <s v="Autohaus Berlin"/>
  </r>
  <r>
    <s v="CUST_4814"/>
    <x v="18"/>
    <x v="0"/>
    <s v="Saturday"/>
    <s v="Yes"/>
    <x v="6"/>
    <x v="6"/>
    <s v="Saxony"/>
    <x v="0"/>
    <s v="X3"/>
    <s v="Diesel"/>
    <x v="0"/>
    <s v="26-35"/>
    <s v="Medium"/>
    <x v="1"/>
    <x v="3"/>
    <s v="Sales_9"/>
    <n v="212"/>
    <n v="120"/>
    <n v="96"/>
    <n v="32"/>
    <s v="26.67"/>
    <n v="50825"/>
    <s v="5.36"/>
    <n v="39066"/>
    <n v="1626400"/>
    <n v="376288"/>
    <s v="Feb"/>
    <n v="2"/>
    <n v="2026"/>
    <s v="Weekend"/>
    <n v="0.33333333333333331"/>
    <n v="0.56603773584905659"/>
    <n v="0.15094339622641509"/>
    <n v="11759"/>
    <s v="Leipzig Mobility"/>
  </r>
  <r>
    <s v="CUST_4815"/>
    <x v="11"/>
    <x v="0"/>
    <s v="Wednesday"/>
    <s v="No"/>
    <x v="3"/>
    <x v="3"/>
    <s v="Saxony"/>
    <x v="4"/>
    <s v="ID.4"/>
    <s v="Hybrid"/>
    <x v="0"/>
    <s v="26-35"/>
    <s v="High"/>
    <x v="1"/>
    <x v="1"/>
    <s v="Sales_9"/>
    <n v="496"/>
    <n v="200"/>
    <n v="130"/>
    <n v="26"/>
    <s v="13.0"/>
    <n v="30664"/>
    <s v="7.26"/>
    <n v="27587"/>
    <n v="797264"/>
    <n v="80002"/>
    <s v="Feb"/>
    <n v="2"/>
    <n v="2026"/>
    <s v="Weekday"/>
    <n v="0.2"/>
    <n v="0.40322580645161288"/>
    <n v="5.2419354838709679E-2"/>
    <n v="3077"/>
    <s v="Saxon Wheels"/>
  </r>
  <r>
    <s v="CUST_4816"/>
    <x v="9"/>
    <x v="0"/>
    <s v="Sunday"/>
    <s v="Yes"/>
    <x v="0"/>
    <x v="0"/>
    <s v="Hesse"/>
    <x v="1"/>
    <s v="Grandland"/>
    <s v="Petrol"/>
    <x v="0"/>
    <s v="18-25"/>
    <s v="Low"/>
    <x v="0"/>
    <x v="0"/>
    <s v="Sales_13"/>
    <n v="419"/>
    <n v="201"/>
    <n v="128"/>
    <n v="26"/>
    <s v="12.94"/>
    <n v="22251"/>
    <s v="12.06"/>
    <n v="19942"/>
    <n v="578526"/>
    <n v="60034"/>
    <s v="Feb"/>
    <n v="2"/>
    <n v="2026"/>
    <s v="Weekend"/>
    <n v="0.203125"/>
    <n v="0.47971360381861577"/>
    <n v="6.205250596658711E-2"/>
    <n v="2309"/>
    <s v="Main Auto Hub"/>
  </r>
  <r>
    <s v="CUST_4817"/>
    <x v="23"/>
    <x v="2"/>
    <s v="Tuesday"/>
    <s v="No"/>
    <x v="3"/>
    <x v="3"/>
    <s v="Saxony"/>
    <x v="2"/>
    <s v="e-tron"/>
    <s v="Petrol"/>
    <x v="0"/>
    <s v="18-25"/>
    <s v="High"/>
    <x v="0"/>
    <x v="3"/>
    <s v="Sales_12"/>
    <n v="277"/>
    <n v="176"/>
    <n v="135"/>
    <n v="37"/>
    <s v="21.02"/>
    <n v="52154"/>
    <s v="6.56"/>
    <n v="42374"/>
    <n v="1929698"/>
    <n v="361860"/>
    <s v="Feb"/>
    <n v="2"/>
    <n v="2026"/>
    <s v="Weekday"/>
    <n v="0.27407407407407408"/>
    <n v="0.63537906137184119"/>
    <n v="0.13357400722021662"/>
    <n v="9780"/>
    <s v="Saxon Wheels"/>
  </r>
  <r>
    <s v="CUST_4818"/>
    <x v="15"/>
    <x v="2"/>
    <s v="Thursday"/>
    <s v="No"/>
    <x v="3"/>
    <x v="3"/>
    <s v="Saxony"/>
    <x v="1"/>
    <s v="Crossland"/>
    <s v="Electric"/>
    <x v="0"/>
    <s v="26-35"/>
    <s v="High"/>
    <x v="0"/>
    <x v="3"/>
    <s v="Sales_13"/>
    <n v="411"/>
    <n v="218"/>
    <n v="140"/>
    <n v="34"/>
    <s v="15.6"/>
    <n v="21092"/>
    <s v="10.38"/>
    <n v="19136"/>
    <n v="717128"/>
    <n v="66504"/>
    <s v="Feb"/>
    <n v="2"/>
    <n v="2026"/>
    <s v="Weekday"/>
    <n v="0.24285714285714285"/>
    <n v="0.53041362530413627"/>
    <n v="8.2725060827250604E-2"/>
    <n v="1956"/>
    <s v="Saxon Wheels"/>
  </r>
  <r>
    <s v="CUST_4819"/>
    <x v="20"/>
    <x v="0"/>
    <s v="Thursday"/>
    <s v="No"/>
    <x v="8"/>
    <x v="8"/>
    <s v="Baden-WÃ¼rttemberg"/>
    <x v="2"/>
    <s v="Q5"/>
    <s v="Petrol"/>
    <x v="0"/>
    <s v="50+"/>
    <s v="High"/>
    <x v="0"/>
    <x v="2"/>
    <s v="Sales_2"/>
    <n v="304"/>
    <n v="140"/>
    <n v="106"/>
    <n v="36"/>
    <s v="25.71"/>
    <n v="52063"/>
    <s v="6.33"/>
    <n v="40814"/>
    <n v="1874268"/>
    <n v="404964"/>
    <s v="Feb"/>
    <n v="2"/>
    <n v="2026"/>
    <s v="Weekday"/>
    <n v="0.33962264150943394"/>
    <n v="0.46052631578947367"/>
    <n v="0.11842105263157894"/>
    <n v="11249"/>
    <s v="Stuttgart Auto Center"/>
  </r>
  <r>
    <s v="CUST_4820"/>
    <x v="7"/>
    <x v="3"/>
    <s v="Monday"/>
    <s v="No"/>
    <x v="6"/>
    <x v="6"/>
    <s v="Saxony"/>
    <x v="2"/>
    <s v="Q5"/>
    <s v="Petrol"/>
    <x v="0"/>
    <s v="50+"/>
    <s v="High"/>
    <x v="1"/>
    <x v="0"/>
    <s v="Sales_6"/>
    <n v="254"/>
    <n v="158"/>
    <n v="121"/>
    <n v="30"/>
    <s v="18.99"/>
    <n v="48544"/>
    <s v="6.49"/>
    <n v="38334"/>
    <n v="1456320"/>
    <n v="306300"/>
    <s v="Feb"/>
    <n v="2"/>
    <n v="2026"/>
    <s v="Weekday"/>
    <n v="0.24793388429752067"/>
    <n v="0.62204724409448819"/>
    <n v="0.11811023622047244"/>
    <n v="10210"/>
    <s v="Leipzig Mobility"/>
  </r>
  <r>
    <s v="CUST_4821"/>
    <x v="22"/>
    <x v="3"/>
    <s v="Tuesday"/>
    <s v="No"/>
    <x v="2"/>
    <x v="2"/>
    <s v="Lower Saxony"/>
    <x v="1"/>
    <s v="Grandland"/>
    <s v="Hybrid"/>
    <x v="0"/>
    <s v="50+"/>
    <s v="Low"/>
    <x v="0"/>
    <x v="1"/>
    <s v="Sales_12"/>
    <n v="283"/>
    <n v="136"/>
    <n v="78"/>
    <n v="25"/>
    <s v="18.38"/>
    <n v="22295"/>
    <s v="10.37"/>
    <n v="20396"/>
    <n v="557375"/>
    <n v="47475"/>
    <s v="Feb"/>
    <n v="2"/>
    <n v="2026"/>
    <s v="Weekday"/>
    <n v="0.32051282051282054"/>
    <n v="0.48056537102473496"/>
    <n v="8.8339222614840993E-2"/>
    <n v="1899"/>
    <s v="Hannover Cars"/>
  </r>
  <r>
    <s v="CUST_4822"/>
    <x v="1"/>
    <x v="1"/>
    <s v="Wednesday"/>
    <s v="No"/>
    <x v="4"/>
    <x v="4"/>
    <s v="Berlin"/>
    <x v="1"/>
    <s v="Grandland"/>
    <s v="Petrol"/>
    <x v="0"/>
    <s v="18-25"/>
    <s v="Medium"/>
    <x v="0"/>
    <x v="2"/>
    <s v="Sales_9"/>
    <n v="333"/>
    <n v="150"/>
    <n v="87"/>
    <n v="33"/>
    <s v="22.0"/>
    <n v="21977"/>
    <s v="8.99"/>
    <n v="20179"/>
    <n v="725241"/>
    <n v="59334"/>
    <s v="Feb"/>
    <n v="2"/>
    <n v="2026"/>
    <s v="Weekday"/>
    <n v="0.37931034482758619"/>
    <n v="0.45045045045045046"/>
    <n v="9.90990990990991E-2"/>
    <n v="1798"/>
    <s v="Autohaus Berlin"/>
  </r>
  <r>
    <s v="CUST_4823"/>
    <x v="11"/>
    <x v="0"/>
    <s v="Wednesday"/>
    <s v="No"/>
    <x v="7"/>
    <x v="7"/>
    <s v="Bavaria"/>
    <x v="4"/>
    <s v="ID.4"/>
    <s v="Electric"/>
    <x v="0"/>
    <s v="18-25"/>
    <s v="High"/>
    <x v="0"/>
    <x v="3"/>
    <s v="Sales_17"/>
    <n v="333"/>
    <n v="174"/>
    <n v="111"/>
    <n v="31"/>
    <s v="17.82"/>
    <n v="30058"/>
    <s v="8.35"/>
    <n v="27148"/>
    <n v="931798"/>
    <n v="90210"/>
    <s v="Feb"/>
    <n v="2"/>
    <n v="2026"/>
    <s v="Weekday"/>
    <n v="0.27927927927927926"/>
    <n v="0.52252252252252251"/>
    <n v="9.3093093093093091E-2"/>
    <n v="2910"/>
    <s v="Bavaria Motors"/>
  </r>
  <r>
    <s v="CUST_4824"/>
    <x v="21"/>
    <x v="0"/>
    <s v="Tuesday"/>
    <s v="No"/>
    <x v="1"/>
    <x v="1"/>
    <s v="NRW"/>
    <x v="1"/>
    <s v="Corsa"/>
    <s v="Petrol"/>
    <x v="2"/>
    <s v="26-35"/>
    <s v="Low"/>
    <x v="1"/>
    <x v="0"/>
    <s v="Sales_18"/>
    <n v="318"/>
    <n v="134"/>
    <n v="78"/>
    <n v="20"/>
    <s v="14.93"/>
    <n v="21763"/>
    <s v="13.25"/>
    <n v="19789"/>
    <n v="435260"/>
    <n v="39480"/>
    <s v="Feb"/>
    <n v="2"/>
    <n v="2026"/>
    <s v="Weekday"/>
    <n v="0.25641025641025639"/>
    <n v="0.42138364779874216"/>
    <n v="6.2893081761006289E-2"/>
    <n v="1974"/>
    <s v="Rhein Auto Group"/>
  </r>
  <r>
    <s v="CUST_4825"/>
    <x v="0"/>
    <x v="0"/>
    <s v="Monday"/>
    <s v="No"/>
    <x v="8"/>
    <x v="8"/>
    <s v="Baden-WÃ¼rttemberg"/>
    <x v="4"/>
    <s v="Tiguan"/>
    <s v="Electric"/>
    <x v="0"/>
    <s v="26-35"/>
    <s v="Medium"/>
    <x v="0"/>
    <x v="1"/>
    <s v="Sales_13"/>
    <n v="414"/>
    <n v="198"/>
    <n v="129"/>
    <n v="36"/>
    <s v="18.18"/>
    <n v="30529"/>
    <s v="9.93"/>
    <n v="27759"/>
    <n v="1099044"/>
    <n v="99720"/>
    <s v="Feb"/>
    <n v="2"/>
    <n v="2026"/>
    <s v="Weekday"/>
    <n v="0.27906976744186046"/>
    <n v="0.47826086956521741"/>
    <n v="8.6956521739130432E-2"/>
    <n v="2770"/>
    <s v="Stuttgart Auto Center"/>
  </r>
  <r>
    <s v="CUST_4826"/>
    <x v="6"/>
    <x v="2"/>
    <s v="Saturday"/>
    <s v="Yes"/>
    <x v="4"/>
    <x v="4"/>
    <s v="Berlin"/>
    <x v="4"/>
    <s v="Tiguan"/>
    <s v="Petrol"/>
    <x v="0"/>
    <s v="50+"/>
    <s v="High"/>
    <x v="1"/>
    <x v="1"/>
    <s v="Sales_18"/>
    <n v="323"/>
    <n v="145"/>
    <n v="90"/>
    <n v="22"/>
    <s v="15.17"/>
    <n v="28064"/>
    <s v="7.97"/>
    <n v="24448"/>
    <n v="617408"/>
    <n v="79552"/>
    <s v="Feb"/>
    <n v="2"/>
    <n v="2026"/>
    <s v="Weekend"/>
    <n v="0.24444444444444444"/>
    <n v="0.44891640866873067"/>
    <n v="6.8111455108359129E-2"/>
    <n v="3616"/>
    <s v="Autohaus Berlin"/>
  </r>
  <r>
    <s v="CUST_4827"/>
    <x v="9"/>
    <x v="0"/>
    <s v="Sunday"/>
    <s v="Yes"/>
    <x v="9"/>
    <x v="9"/>
    <s v="NRW"/>
    <x v="4"/>
    <s v="Passat"/>
    <s v="Electric"/>
    <x v="1"/>
    <s v="26-35"/>
    <s v="Low"/>
    <x v="1"/>
    <x v="0"/>
    <s v="Sales_2"/>
    <n v="481"/>
    <n v="226"/>
    <n v="131"/>
    <n v="22"/>
    <s v="9.73"/>
    <n v="30637"/>
    <s v="7.42"/>
    <n v="27328"/>
    <n v="674014"/>
    <n v="72798"/>
    <s v="Feb"/>
    <n v="2"/>
    <n v="2026"/>
    <s v="Weekend"/>
    <n v="0.16793893129770993"/>
    <n v="0.46985446985446988"/>
    <n v="4.5738045738045741E-2"/>
    <n v="3309"/>
    <s v="Ruhr Auto Plaza"/>
  </r>
  <r>
    <s v="CUST_4828"/>
    <x v="5"/>
    <x v="3"/>
    <s v="Saturday"/>
    <s v="Yes"/>
    <x v="6"/>
    <x v="6"/>
    <s v="Saxony"/>
    <x v="1"/>
    <s v="Astra"/>
    <s v="Diesel"/>
    <x v="2"/>
    <s v="26-35"/>
    <s v="High"/>
    <x v="1"/>
    <x v="0"/>
    <s v="Sales_20"/>
    <n v="373"/>
    <n v="195"/>
    <n v="121"/>
    <n v="25"/>
    <s v="12.82"/>
    <n v="22831"/>
    <s v="8.16"/>
    <n v="20902"/>
    <n v="570775"/>
    <n v="48225"/>
    <s v="Feb"/>
    <n v="2"/>
    <n v="2026"/>
    <s v="Weekend"/>
    <n v="0.20661157024793389"/>
    <n v="0.52278820375335122"/>
    <n v="6.7024128686327081E-2"/>
    <n v="1929"/>
    <s v="Leipzig Mobility"/>
  </r>
  <r>
    <s v="CUST_4829"/>
    <x v="26"/>
    <x v="1"/>
    <s v="Friday"/>
    <s v="No"/>
    <x v="6"/>
    <x v="6"/>
    <s v="Saxony"/>
    <x v="2"/>
    <s v="e-tron"/>
    <s v="Electric"/>
    <x v="0"/>
    <s v="26-35"/>
    <s v="High"/>
    <x v="1"/>
    <x v="3"/>
    <s v="Sales_3"/>
    <n v="316"/>
    <n v="200"/>
    <n v="142"/>
    <n v="45"/>
    <s v="22.5"/>
    <n v="43684"/>
    <s v="5.25"/>
    <n v="34371"/>
    <n v="1965780"/>
    <n v="419085"/>
    <s v="Feb"/>
    <n v="2"/>
    <n v="2026"/>
    <s v="Weekday"/>
    <n v="0.31690140845070425"/>
    <n v="0.63291139240506333"/>
    <n v="0.14240506329113925"/>
    <n v="9313"/>
    <s v="Leipzig Mobility"/>
  </r>
  <r>
    <s v="CUST_4830"/>
    <x v="17"/>
    <x v="2"/>
    <s v="Sunday"/>
    <s v="Yes"/>
    <x v="0"/>
    <x v="0"/>
    <s v="Hesse"/>
    <x v="2"/>
    <s v="Q3"/>
    <s v="Diesel"/>
    <x v="0"/>
    <s v="26-35"/>
    <s v="High"/>
    <x v="1"/>
    <x v="2"/>
    <s v="Sales_15"/>
    <n v="269"/>
    <n v="170"/>
    <n v="117"/>
    <n v="42"/>
    <s v="24.71"/>
    <n v="43326"/>
    <s v="3.62"/>
    <n v="33344"/>
    <n v="1819692"/>
    <n v="419244"/>
    <s v="Feb"/>
    <n v="2"/>
    <n v="2026"/>
    <s v="Weekend"/>
    <n v="0.35897435897435898"/>
    <n v="0.63197026022304836"/>
    <n v="0.15613382899628253"/>
    <n v="9982"/>
    <s v="Main Auto Hub"/>
  </r>
  <r>
    <s v="CUST_4831"/>
    <x v="26"/>
    <x v="1"/>
    <s v="Friday"/>
    <s v="No"/>
    <x v="1"/>
    <x v="1"/>
    <s v="NRW"/>
    <x v="4"/>
    <s v="T-Roc"/>
    <s v="Hybrid"/>
    <x v="0"/>
    <s v="18-25"/>
    <s v="Low"/>
    <x v="1"/>
    <x v="1"/>
    <s v="Sales_19"/>
    <n v="383"/>
    <n v="172"/>
    <n v="111"/>
    <n v="27"/>
    <s v="15.7"/>
    <n v="27552"/>
    <s v="8.96"/>
    <n v="24031"/>
    <n v="743904"/>
    <n v="95067"/>
    <s v="Feb"/>
    <n v="2"/>
    <n v="2026"/>
    <s v="Weekday"/>
    <n v="0.24324324324324326"/>
    <n v="0.44908616187989558"/>
    <n v="7.0496083550913843E-2"/>
    <n v="3521"/>
    <s v="Rhein Auto Group"/>
  </r>
  <r>
    <s v="CUST_4832"/>
    <x v="6"/>
    <x v="2"/>
    <s v="Saturday"/>
    <s v="Yes"/>
    <x v="2"/>
    <x v="2"/>
    <s v="Lower Saxony"/>
    <x v="1"/>
    <s v="Corsa"/>
    <s v="Petrol"/>
    <x v="2"/>
    <s v="36-50"/>
    <s v="High"/>
    <x v="0"/>
    <x v="0"/>
    <s v="Sales_9"/>
    <n v="266"/>
    <n v="141"/>
    <n v="84"/>
    <n v="19"/>
    <s v="13.48"/>
    <n v="22116"/>
    <s v="12.99"/>
    <n v="19842"/>
    <n v="420204"/>
    <n v="43206"/>
    <s v="Feb"/>
    <n v="2"/>
    <n v="2026"/>
    <s v="Weekend"/>
    <n v="0.22619047619047619"/>
    <n v="0.53007518796992481"/>
    <n v="7.1428571428571425E-2"/>
    <n v="2274"/>
    <s v="Hannover Cars"/>
  </r>
  <r>
    <s v="CUST_4833"/>
    <x v="27"/>
    <x v="3"/>
    <s v="Sunday"/>
    <s v="Yes"/>
    <x v="7"/>
    <x v="7"/>
    <s v="Bavaria"/>
    <x v="1"/>
    <s v="Crossland"/>
    <s v="Hybrid"/>
    <x v="0"/>
    <s v="50+"/>
    <s v="Low"/>
    <x v="1"/>
    <x v="1"/>
    <s v="Sales_20"/>
    <n v="367"/>
    <n v="179"/>
    <n v="114"/>
    <n v="34"/>
    <s v="18.99"/>
    <n v="20694"/>
    <s v="7.11"/>
    <n v="18490"/>
    <n v="703596"/>
    <n v="74936"/>
    <s v="Feb"/>
    <n v="2"/>
    <n v="2026"/>
    <s v="Weekend"/>
    <n v="0.2982456140350877"/>
    <n v="0.4877384196185286"/>
    <n v="9.264305177111716E-2"/>
    <n v="2204"/>
    <s v="Bavaria Motors"/>
  </r>
  <r>
    <s v="CUST_4834"/>
    <x v="14"/>
    <x v="2"/>
    <s v="Friday"/>
    <s v="No"/>
    <x v="2"/>
    <x v="2"/>
    <s v="Lower Saxony"/>
    <x v="4"/>
    <s v="Passat"/>
    <s v="Hybrid"/>
    <x v="1"/>
    <s v="50+"/>
    <s v="Low"/>
    <x v="1"/>
    <x v="2"/>
    <s v="Sales_15"/>
    <n v="476"/>
    <n v="258"/>
    <n v="161"/>
    <n v="45"/>
    <s v="17.44"/>
    <n v="31698"/>
    <s v="9.28"/>
    <n v="28438"/>
    <n v="1426410"/>
    <n v="146700"/>
    <s v="Feb"/>
    <n v="2"/>
    <n v="2026"/>
    <s v="Weekday"/>
    <n v="0.27950310559006208"/>
    <n v="0.54201680672268904"/>
    <n v="9.4537815126050417E-2"/>
    <n v="3260"/>
    <s v="Hannover Cars"/>
  </r>
  <r>
    <s v="CUST_4835"/>
    <x v="18"/>
    <x v="0"/>
    <s v="Saturday"/>
    <s v="Yes"/>
    <x v="0"/>
    <x v="0"/>
    <s v="Hesse"/>
    <x v="1"/>
    <s v="Corsa"/>
    <s v="Electric"/>
    <x v="2"/>
    <s v="26-35"/>
    <s v="High"/>
    <x v="1"/>
    <x v="0"/>
    <s v="Sales_6"/>
    <n v="268"/>
    <n v="105"/>
    <n v="62"/>
    <n v="11"/>
    <s v="10.48"/>
    <n v="20141"/>
    <s v="10.5"/>
    <n v="18070"/>
    <n v="221551"/>
    <n v="22781"/>
    <s v="Feb"/>
    <n v="2"/>
    <n v="2026"/>
    <s v="Weekend"/>
    <n v="0.17741935483870969"/>
    <n v="0.39179104477611942"/>
    <n v="4.1044776119402986E-2"/>
    <n v="2071"/>
    <s v="Main Auto Hub"/>
  </r>
  <r>
    <s v="CUST_4836"/>
    <x v="15"/>
    <x v="2"/>
    <s v="Thursday"/>
    <s v="No"/>
    <x v="3"/>
    <x v="3"/>
    <s v="Saxony"/>
    <x v="4"/>
    <s v="Passat"/>
    <s v="Diesel"/>
    <x v="1"/>
    <s v="26-35"/>
    <s v="Low"/>
    <x v="0"/>
    <x v="2"/>
    <s v="Sales_12"/>
    <n v="350"/>
    <n v="192"/>
    <n v="123"/>
    <n v="33"/>
    <s v="17.19"/>
    <n v="26562"/>
    <s v="11.47"/>
    <n v="23557"/>
    <n v="876546"/>
    <n v="99165"/>
    <s v="Feb"/>
    <n v="2"/>
    <n v="2026"/>
    <s v="Weekday"/>
    <n v="0.26829268292682928"/>
    <n v="0.5485714285714286"/>
    <n v="9.4285714285714292E-2"/>
    <n v="3005"/>
    <s v="Saxon Wheels"/>
  </r>
  <r>
    <s v="CUST_4837"/>
    <x v="27"/>
    <x v="3"/>
    <s v="Sunday"/>
    <s v="Yes"/>
    <x v="4"/>
    <x v="4"/>
    <s v="Berlin"/>
    <x v="2"/>
    <s v="Q5"/>
    <s v="Diesel"/>
    <x v="0"/>
    <s v="26-35"/>
    <s v="Medium"/>
    <x v="0"/>
    <x v="2"/>
    <s v="Sales_11"/>
    <n v="255"/>
    <n v="130"/>
    <n v="99"/>
    <n v="33"/>
    <s v="25.38"/>
    <n v="51510"/>
    <s v="4.81"/>
    <n v="40107"/>
    <n v="1699830"/>
    <n v="376299"/>
    <s v="Feb"/>
    <n v="2"/>
    <n v="2026"/>
    <s v="Weekend"/>
    <n v="0.33333333333333331"/>
    <n v="0.50980392156862742"/>
    <n v="0.12941176470588237"/>
    <n v="11403"/>
    <s v="Autohaus Berlin"/>
  </r>
  <r>
    <s v="CUST_4838"/>
    <x v="10"/>
    <x v="1"/>
    <s v="Monday"/>
    <s v="No"/>
    <x v="2"/>
    <x v="2"/>
    <s v="Lower Saxony"/>
    <x v="0"/>
    <s v="X5"/>
    <s v="Electric"/>
    <x v="0"/>
    <s v="50+"/>
    <s v="Medium"/>
    <x v="1"/>
    <x v="1"/>
    <s v="Sales_1"/>
    <n v="239"/>
    <n v="127"/>
    <n v="102"/>
    <n v="35"/>
    <s v="27.56"/>
    <n v="59662"/>
    <s v="3.71"/>
    <n v="46231"/>
    <n v="2088170"/>
    <n v="470085"/>
    <s v="Feb"/>
    <n v="2"/>
    <n v="2026"/>
    <s v="Weekday"/>
    <n v="0.34313725490196079"/>
    <n v="0.53138075313807531"/>
    <n v="0.14644351464435146"/>
    <n v="13431"/>
    <s v="Hannover Cars"/>
  </r>
  <r>
    <s v="CUST_4839"/>
    <x v="15"/>
    <x v="2"/>
    <s v="Thursday"/>
    <s v="No"/>
    <x v="4"/>
    <x v="4"/>
    <s v="Berlin"/>
    <x v="1"/>
    <s v="Crossland"/>
    <s v="Petrol"/>
    <x v="0"/>
    <s v="50+"/>
    <s v="High"/>
    <x v="0"/>
    <x v="2"/>
    <s v="Sales_7"/>
    <n v="430"/>
    <n v="209"/>
    <n v="142"/>
    <n v="48"/>
    <s v="22.97"/>
    <n v="25424"/>
    <s v="7.17"/>
    <n v="23541"/>
    <n v="1220352"/>
    <n v="90384"/>
    <s v="Feb"/>
    <n v="2"/>
    <n v="2026"/>
    <s v="Weekday"/>
    <n v="0.3380281690140845"/>
    <n v="0.48604651162790696"/>
    <n v="0.11162790697674418"/>
    <n v="1883"/>
    <s v="Autohaus Berlin"/>
  </r>
  <r>
    <s v="CUST_4840"/>
    <x v="27"/>
    <x v="3"/>
    <s v="Sunday"/>
    <s v="Yes"/>
    <x v="7"/>
    <x v="7"/>
    <s v="Bavaria"/>
    <x v="1"/>
    <s v="Astra"/>
    <s v="Hybrid"/>
    <x v="2"/>
    <s v="18-25"/>
    <s v="Medium"/>
    <x v="1"/>
    <x v="1"/>
    <s v="Sales_14"/>
    <n v="353"/>
    <n v="166"/>
    <n v="113"/>
    <n v="29"/>
    <s v="17.47"/>
    <n v="26096"/>
    <s v="12.2"/>
    <n v="24242"/>
    <n v="756784"/>
    <n v="53766"/>
    <s v="Feb"/>
    <n v="2"/>
    <n v="2026"/>
    <s v="Weekend"/>
    <n v="0.25663716814159293"/>
    <n v="0.47025495750708213"/>
    <n v="8.2152974504249299E-2"/>
    <n v="1854"/>
    <s v="Bavaria Motors"/>
  </r>
  <r>
    <s v="CUST_4841"/>
    <x v="24"/>
    <x v="1"/>
    <s v="Thursday"/>
    <s v="No"/>
    <x v="4"/>
    <x v="4"/>
    <s v="Berlin"/>
    <x v="0"/>
    <s v="i4"/>
    <s v="Petrol"/>
    <x v="1"/>
    <s v="36-50"/>
    <s v="High"/>
    <x v="0"/>
    <x v="2"/>
    <s v="Sales_17"/>
    <n v="278"/>
    <n v="131"/>
    <n v="92"/>
    <n v="43"/>
    <s v="32.82"/>
    <n v="68191"/>
    <s v="4.27"/>
    <n v="52189"/>
    <n v="2932213"/>
    <n v="688086"/>
    <s v="Feb"/>
    <n v="2"/>
    <n v="2026"/>
    <s v="Weekday"/>
    <n v="0.46739130434782611"/>
    <n v="0.47122302158273383"/>
    <n v="0.15467625899280577"/>
    <n v="16002"/>
    <s v="Autohaus Berlin"/>
  </r>
  <r>
    <s v="CUST_4842"/>
    <x v="18"/>
    <x v="0"/>
    <s v="Saturday"/>
    <s v="Yes"/>
    <x v="3"/>
    <x v="3"/>
    <s v="Saxony"/>
    <x v="1"/>
    <s v="Corsa"/>
    <s v="Diesel"/>
    <x v="2"/>
    <s v="50+"/>
    <s v="Medium"/>
    <x v="0"/>
    <x v="3"/>
    <s v="Sales_6"/>
    <n v="356"/>
    <n v="188"/>
    <n v="130"/>
    <n v="26"/>
    <s v="13.83"/>
    <n v="25014"/>
    <s v="9.09"/>
    <n v="23230"/>
    <n v="650364"/>
    <n v="46384"/>
    <s v="Feb"/>
    <n v="2"/>
    <n v="2026"/>
    <s v="Weekend"/>
    <n v="0.2"/>
    <n v="0.5280898876404494"/>
    <n v="7.3033707865168537E-2"/>
    <n v="1784"/>
    <s v="Saxon Wheels"/>
  </r>
  <r>
    <s v="CUST_4843"/>
    <x v="20"/>
    <x v="0"/>
    <s v="Thursday"/>
    <s v="No"/>
    <x v="5"/>
    <x v="5"/>
    <s v="Hamburg"/>
    <x v="1"/>
    <s v="Corsa"/>
    <s v="Diesel"/>
    <x v="2"/>
    <s v="18-25"/>
    <s v="High"/>
    <x v="0"/>
    <x v="3"/>
    <s v="Sales_2"/>
    <n v="287"/>
    <n v="153"/>
    <n v="100"/>
    <n v="28"/>
    <s v="18.3"/>
    <n v="21227"/>
    <s v="13.76"/>
    <n v="19294"/>
    <n v="594356"/>
    <n v="54124"/>
    <s v="Feb"/>
    <n v="2"/>
    <n v="2026"/>
    <s v="Weekday"/>
    <n v="0.28000000000000003"/>
    <n v="0.5331010452961672"/>
    <n v="9.7560975609756101E-2"/>
    <n v="1933"/>
    <s v="Elbe Drive"/>
  </r>
  <r>
    <s v="CUST_4844"/>
    <x v="20"/>
    <x v="0"/>
    <s v="Thursday"/>
    <s v="No"/>
    <x v="8"/>
    <x v="8"/>
    <s v="Baden-WÃ¼rttemberg"/>
    <x v="0"/>
    <s v="3 Series"/>
    <s v="Electric"/>
    <x v="1"/>
    <s v="26-35"/>
    <s v="High"/>
    <x v="0"/>
    <x v="0"/>
    <s v="Sales_13"/>
    <n v="213"/>
    <n v="123"/>
    <n v="97"/>
    <n v="35"/>
    <s v="28.46"/>
    <n v="61957"/>
    <s v="2.13"/>
    <n v="47416"/>
    <n v="2168495"/>
    <n v="508935"/>
    <s v="Feb"/>
    <n v="2"/>
    <n v="2026"/>
    <s v="Weekday"/>
    <n v="0.36082474226804123"/>
    <n v="0.57746478873239437"/>
    <n v="0.16431924882629109"/>
    <n v="14541"/>
    <s v="Stuttgart Auto Center"/>
  </r>
  <r>
    <s v="CUST_4845"/>
    <x v="27"/>
    <x v="3"/>
    <s v="Sunday"/>
    <s v="Yes"/>
    <x v="6"/>
    <x v="6"/>
    <s v="Saxony"/>
    <x v="3"/>
    <s v="EQE"/>
    <s v="Hybrid"/>
    <x v="1"/>
    <s v="50+"/>
    <s v="Low"/>
    <x v="1"/>
    <x v="1"/>
    <s v="Sales_20"/>
    <n v="190"/>
    <n v="103"/>
    <n v="80"/>
    <n v="23"/>
    <s v="22.33"/>
    <n v="69689"/>
    <s v="5.83"/>
    <n v="49693"/>
    <n v="1602847"/>
    <n v="459908"/>
    <s v="Feb"/>
    <n v="2"/>
    <n v="2026"/>
    <s v="Weekend"/>
    <n v="0.28749999999999998"/>
    <n v="0.54210526315789476"/>
    <n v="0.12105263157894737"/>
    <n v="19996"/>
    <s v="Leipzig Mobility"/>
  </r>
  <r>
    <s v="CUST_4846"/>
    <x v="3"/>
    <x v="1"/>
    <s v="Sunday"/>
    <s v="Yes"/>
    <x v="9"/>
    <x v="9"/>
    <s v="NRW"/>
    <x v="4"/>
    <s v="ID.4"/>
    <s v="Petrol"/>
    <x v="0"/>
    <s v="50+"/>
    <s v="Medium"/>
    <x v="0"/>
    <x v="2"/>
    <s v="Sales_15"/>
    <n v="456"/>
    <n v="190"/>
    <n v="121"/>
    <n v="35"/>
    <s v="18.42"/>
    <n v="30254"/>
    <s v="6.01"/>
    <n v="26910"/>
    <n v="1058890"/>
    <n v="117040"/>
    <s v="Feb"/>
    <n v="2"/>
    <n v="2026"/>
    <s v="Weekend"/>
    <n v="0.28925619834710742"/>
    <n v="0.41666666666666669"/>
    <n v="7.6754385964912283E-2"/>
    <n v="3344"/>
    <s v="Ruhr Auto Plaza"/>
  </r>
  <r>
    <s v="CUST_4847"/>
    <x v="10"/>
    <x v="1"/>
    <s v="Monday"/>
    <s v="No"/>
    <x v="3"/>
    <x v="3"/>
    <s v="Saxony"/>
    <x v="1"/>
    <s v="Astra"/>
    <s v="Petrol"/>
    <x v="2"/>
    <s v="18-25"/>
    <s v="Medium"/>
    <x v="1"/>
    <x v="2"/>
    <s v="Sales_13"/>
    <n v="424"/>
    <n v="221"/>
    <n v="138"/>
    <n v="35"/>
    <s v="15.84"/>
    <n v="21263"/>
    <s v="7.91"/>
    <n v="19252"/>
    <n v="744205"/>
    <n v="70385"/>
    <s v="Feb"/>
    <n v="2"/>
    <n v="2026"/>
    <s v="Weekday"/>
    <n v="0.25362318840579712"/>
    <n v="0.52122641509433965"/>
    <n v="8.254716981132075E-2"/>
    <n v="2011"/>
    <s v="Saxon Wheels"/>
  </r>
  <r>
    <s v="CUST_4848"/>
    <x v="15"/>
    <x v="2"/>
    <s v="Thursday"/>
    <s v="No"/>
    <x v="9"/>
    <x v="9"/>
    <s v="NRW"/>
    <x v="3"/>
    <s v="GLC"/>
    <s v="Electric"/>
    <x v="0"/>
    <s v="18-25"/>
    <s v="Medium"/>
    <x v="0"/>
    <x v="1"/>
    <s v="Sales_11"/>
    <n v="174"/>
    <n v="94"/>
    <n v="67"/>
    <n v="24"/>
    <s v="25.53"/>
    <n v="58632"/>
    <s v="4.78"/>
    <n v="45431"/>
    <n v="1407168"/>
    <n v="316824"/>
    <s v="Feb"/>
    <n v="2"/>
    <n v="2026"/>
    <s v="Weekday"/>
    <n v="0.35820895522388058"/>
    <n v="0.54022988505747127"/>
    <n v="0.13793103448275862"/>
    <n v="13201"/>
    <s v="Ruhr Auto Plaza"/>
  </r>
  <r>
    <s v="CUST_4849"/>
    <x v="8"/>
    <x v="3"/>
    <s v="Wednesday"/>
    <s v="No"/>
    <x v="8"/>
    <x v="8"/>
    <s v="Baden-WÃ¼rttemberg"/>
    <x v="1"/>
    <s v="Mokka"/>
    <s v="Electric"/>
    <x v="0"/>
    <s v="50+"/>
    <s v="Low"/>
    <x v="1"/>
    <x v="1"/>
    <s v="Sales_20"/>
    <n v="318"/>
    <n v="153"/>
    <n v="93"/>
    <n v="26"/>
    <s v="16.99"/>
    <n v="21110"/>
    <s v="9.0"/>
    <n v="19445"/>
    <n v="548860"/>
    <n v="43290"/>
    <s v="Feb"/>
    <n v="2"/>
    <n v="2026"/>
    <s v="Weekday"/>
    <n v="0.27956989247311825"/>
    <n v="0.48113207547169812"/>
    <n v="8.1761006289308172E-2"/>
    <n v="1665"/>
    <s v="Stuttgart Auto Center"/>
  </r>
  <r>
    <s v="CUST_4850"/>
    <x v="18"/>
    <x v="0"/>
    <s v="Saturday"/>
    <s v="Yes"/>
    <x v="4"/>
    <x v="4"/>
    <s v="Berlin"/>
    <x v="2"/>
    <s v="Q5"/>
    <s v="Petrol"/>
    <x v="0"/>
    <s v="18-25"/>
    <s v="Medium"/>
    <x v="0"/>
    <x v="0"/>
    <s v="Sales_20"/>
    <n v="268"/>
    <n v="162"/>
    <n v="106"/>
    <n v="35"/>
    <s v="21.6"/>
    <n v="53798"/>
    <s v="4.02"/>
    <n v="42612"/>
    <n v="1882930"/>
    <n v="391510"/>
    <s v="Feb"/>
    <n v="2"/>
    <n v="2026"/>
    <s v="Weekend"/>
    <n v="0.330188679245283"/>
    <n v="0.60447761194029848"/>
    <n v="0.13059701492537312"/>
    <n v="11186"/>
    <s v="Autohaus Berlin"/>
  </r>
  <r>
    <s v="CUST_4851"/>
    <x v="4"/>
    <x v="2"/>
    <s v="Wednesday"/>
    <s v="No"/>
    <x v="8"/>
    <x v="8"/>
    <s v="Baden-WÃ¼rttemberg"/>
    <x v="4"/>
    <s v="T-Roc"/>
    <s v="Electric"/>
    <x v="0"/>
    <s v="50+"/>
    <s v="High"/>
    <x v="0"/>
    <x v="1"/>
    <s v="Sales_19"/>
    <n v="520"/>
    <n v="241"/>
    <n v="145"/>
    <n v="48"/>
    <s v="19.92"/>
    <n v="28384"/>
    <s v="6.61"/>
    <n v="24735"/>
    <n v="1362432"/>
    <n v="175152"/>
    <s v="Feb"/>
    <n v="2"/>
    <n v="2026"/>
    <s v="Weekday"/>
    <n v="0.33103448275862069"/>
    <n v="0.46346153846153848"/>
    <n v="9.2307692307692313E-2"/>
    <n v="3649"/>
    <s v="Stuttgart Auto Center"/>
  </r>
  <r>
    <s v="CUST_4852"/>
    <x v="14"/>
    <x v="2"/>
    <s v="Friday"/>
    <s v="No"/>
    <x v="2"/>
    <x v="2"/>
    <s v="Lower Saxony"/>
    <x v="0"/>
    <s v="3 Series"/>
    <s v="Diesel"/>
    <x v="1"/>
    <s v="36-50"/>
    <s v="Medium"/>
    <x v="0"/>
    <x v="3"/>
    <s v="Sales_12"/>
    <n v="184"/>
    <n v="106"/>
    <n v="74"/>
    <n v="27"/>
    <s v="25.47"/>
    <n v="67655"/>
    <s v="3.29"/>
    <n v="50402"/>
    <n v="1826685"/>
    <n v="465831"/>
    <s v="Feb"/>
    <n v="2"/>
    <n v="2026"/>
    <s v="Weekday"/>
    <n v="0.36486486486486486"/>
    <n v="0.57608695652173914"/>
    <n v="0.14673913043478262"/>
    <n v="17253"/>
    <s v="Hannover Cars"/>
  </r>
  <r>
    <s v="CUST_4853"/>
    <x v="15"/>
    <x v="2"/>
    <s v="Thursday"/>
    <s v="No"/>
    <x v="8"/>
    <x v="8"/>
    <s v="Baden-WÃ¼rttemberg"/>
    <x v="4"/>
    <s v="Golf"/>
    <s v="Petrol"/>
    <x v="2"/>
    <s v="36-50"/>
    <s v="Medium"/>
    <x v="1"/>
    <x v="0"/>
    <s v="Sales_9"/>
    <n v="334"/>
    <n v="141"/>
    <n v="85"/>
    <n v="22"/>
    <s v="15.6"/>
    <n v="29019"/>
    <s v="10.97"/>
    <n v="25302"/>
    <n v="638418"/>
    <n v="81774"/>
    <s v="Feb"/>
    <n v="2"/>
    <n v="2026"/>
    <s v="Weekday"/>
    <n v="0.25882352941176473"/>
    <n v="0.42215568862275449"/>
    <n v="6.5868263473053898E-2"/>
    <n v="3717"/>
    <s v="Stuttgart Auto Center"/>
  </r>
  <r>
    <s v="CUST_4854"/>
    <x v="5"/>
    <x v="3"/>
    <s v="Saturday"/>
    <s v="Yes"/>
    <x v="2"/>
    <x v="2"/>
    <s v="Lower Saxony"/>
    <x v="4"/>
    <s v="Golf"/>
    <s v="Petrol"/>
    <x v="2"/>
    <s v="36-50"/>
    <s v="Low"/>
    <x v="1"/>
    <x v="2"/>
    <s v="Sales_17"/>
    <n v="324"/>
    <n v="144"/>
    <n v="89"/>
    <n v="25"/>
    <s v="17.36"/>
    <n v="29810"/>
    <s v="10.87"/>
    <n v="25682"/>
    <n v="745250"/>
    <n v="103200"/>
    <s v="Feb"/>
    <n v="2"/>
    <n v="2026"/>
    <s v="Weekend"/>
    <n v="0.2808988764044944"/>
    <n v="0.44444444444444442"/>
    <n v="7.716049382716049E-2"/>
    <n v="4128"/>
    <s v="Hannover Cars"/>
  </r>
  <r>
    <s v="CUST_4855"/>
    <x v="16"/>
    <x v="1"/>
    <s v="Tuesday"/>
    <s v="No"/>
    <x v="3"/>
    <x v="3"/>
    <s v="Saxony"/>
    <x v="2"/>
    <s v="Q5"/>
    <s v="Diesel"/>
    <x v="0"/>
    <s v="50+"/>
    <s v="Low"/>
    <x v="1"/>
    <x v="2"/>
    <s v="Sales_6"/>
    <n v="311"/>
    <n v="169"/>
    <n v="119"/>
    <n v="43"/>
    <s v="25.44"/>
    <n v="49508"/>
    <s v="5.75"/>
    <n v="38741"/>
    <n v="2128844"/>
    <n v="462981"/>
    <s v="Feb"/>
    <n v="2"/>
    <n v="2026"/>
    <s v="Weekday"/>
    <n v="0.36134453781512604"/>
    <n v="0.54340836012861737"/>
    <n v="0.13826366559485531"/>
    <n v="10767"/>
    <s v="Saxon Wheels"/>
  </r>
  <r>
    <s v="CUST_4856"/>
    <x v="14"/>
    <x v="2"/>
    <s v="Friday"/>
    <s v="No"/>
    <x v="1"/>
    <x v="1"/>
    <s v="NRW"/>
    <x v="3"/>
    <s v="GLE"/>
    <s v="Hybrid"/>
    <x v="0"/>
    <s v="50+"/>
    <s v="Low"/>
    <x v="1"/>
    <x v="1"/>
    <s v="Sales_10"/>
    <n v="249"/>
    <n v="144"/>
    <n v="104"/>
    <n v="35"/>
    <s v="24.31"/>
    <n v="54270"/>
    <s v="4.52"/>
    <n v="40233"/>
    <n v="1899450"/>
    <n v="491295"/>
    <s v="Feb"/>
    <n v="2"/>
    <n v="2026"/>
    <s v="Weekday"/>
    <n v="0.33653846153846156"/>
    <n v="0.57831325301204817"/>
    <n v="0.14056224899598393"/>
    <n v="14037"/>
    <s v="Rhein Auto Group"/>
  </r>
  <r>
    <s v="CUST_4857"/>
    <x v="14"/>
    <x v="2"/>
    <s v="Friday"/>
    <s v="No"/>
    <x v="4"/>
    <x v="4"/>
    <s v="Berlin"/>
    <x v="4"/>
    <s v="ID.4"/>
    <s v="Hybrid"/>
    <x v="0"/>
    <s v="36-50"/>
    <s v="Medium"/>
    <x v="1"/>
    <x v="0"/>
    <s v="Sales_2"/>
    <n v="305"/>
    <n v="124"/>
    <n v="82"/>
    <n v="21"/>
    <s v="16.94"/>
    <n v="28120"/>
    <s v="8.84"/>
    <n v="24681"/>
    <n v="590520"/>
    <n v="72219"/>
    <s v="Feb"/>
    <n v="2"/>
    <n v="2026"/>
    <s v="Weekday"/>
    <n v="0.25609756097560976"/>
    <n v="0.40655737704918032"/>
    <n v="6.8852459016393447E-2"/>
    <n v="3439"/>
    <s v="Autohaus Berlin"/>
  </r>
  <r>
    <s v="CUST_4858"/>
    <x v="5"/>
    <x v="3"/>
    <s v="Saturday"/>
    <s v="Yes"/>
    <x v="1"/>
    <x v="1"/>
    <s v="NRW"/>
    <x v="1"/>
    <s v="Grandland"/>
    <s v="Petrol"/>
    <x v="0"/>
    <s v="26-35"/>
    <s v="Low"/>
    <x v="1"/>
    <x v="1"/>
    <s v="Sales_14"/>
    <n v="321"/>
    <n v="142"/>
    <n v="94"/>
    <n v="23"/>
    <s v="16.2"/>
    <n v="21191"/>
    <s v="13.54"/>
    <n v="19349"/>
    <n v="487393"/>
    <n v="42366"/>
    <s v="Feb"/>
    <n v="2"/>
    <n v="2026"/>
    <s v="Weekend"/>
    <n v="0.24468085106382978"/>
    <n v="0.44236760124610591"/>
    <n v="7.1651090342679122E-2"/>
    <n v="1842"/>
    <s v="Rhein Auto Group"/>
  </r>
  <r>
    <s v="CUST_4859"/>
    <x v="6"/>
    <x v="2"/>
    <s v="Saturday"/>
    <s v="Yes"/>
    <x v="3"/>
    <x v="3"/>
    <s v="Saxony"/>
    <x v="2"/>
    <s v="Q3"/>
    <s v="Diesel"/>
    <x v="0"/>
    <s v="18-25"/>
    <s v="Low"/>
    <x v="1"/>
    <x v="1"/>
    <s v="Sales_10"/>
    <n v="206"/>
    <n v="96"/>
    <n v="69"/>
    <n v="21"/>
    <s v="21.88"/>
    <n v="48351"/>
    <s v="4.29"/>
    <n v="37364"/>
    <n v="1015371"/>
    <n v="230727"/>
    <s v="Feb"/>
    <n v="2"/>
    <n v="2026"/>
    <s v="Weekend"/>
    <n v="0.30434782608695654"/>
    <n v="0.46601941747572817"/>
    <n v="0.10194174757281553"/>
    <n v="10987"/>
    <s v="Saxon Wheels"/>
  </r>
  <r>
    <s v="CUST_4860"/>
    <x v="5"/>
    <x v="3"/>
    <s v="Saturday"/>
    <s v="Yes"/>
    <x v="7"/>
    <x v="7"/>
    <s v="Bavaria"/>
    <x v="2"/>
    <s v="A4"/>
    <s v="Petrol"/>
    <x v="1"/>
    <s v="50+"/>
    <s v="Low"/>
    <x v="1"/>
    <x v="2"/>
    <s v="Sales_11"/>
    <n v="281"/>
    <n v="144"/>
    <n v="103"/>
    <n v="37"/>
    <s v="25.69"/>
    <n v="54425"/>
    <s v="4.38"/>
    <n v="42121"/>
    <n v="2013725"/>
    <n v="455248"/>
    <s v="Feb"/>
    <n v="2"/>
    <n v="2026"/>
    <s v="Weekend"/>
    <n v="0.35922330097087379"/>
    <n v="0.51245551601423489"/>
    <n v="0.13167259786476868"/>
    <n v="12304"/>
    <s v="Bavaria Motors"/>
  </r>
  <r>
    <s v="CUST_4861"/>
    <x v="7"/>
    <x v="3"/>
    <s v="Monday"/>
    <s v="No"/>
    <x v="3"/>
    <x v="3"/>
    <s v="Saxony"/>
    <x v="0"/>
    <s v="3 Series"/>
    <s v="Hybrid"/>
    <x v="1"/>
    <s v="50+"/>
    <s v="High"/>
    <x v="1"/>
    <x v="0"/>
    <s v="Sales_1"/>
    <n v="264"/>
    <n v="148"/>
    <n v="111"/>
    <n v="39"/>
    <s v="26.35"/>
    <n v="67345"/>
    <s v="4.91"/>
    <n v="47328"/>
    <n v="2626455"/>
    <n v="780663"/>
    <s v="Feb"/>
    <n v="2"/>
    <n v="2026"/>
    <s v="Weekday"/>
    <n v="0.35135135135135137"/>
    <n v="0.56060606060606055"/>
    <n v="0.14772727272727273"/>
    <n v="20017"/>
    <s v="Saxon Wheels"/>
  </r>
  <r>
    <s v="CUST_4862"/>
    <x v="10"/>
    <x v="1"/>
    <s v="Monday"/>
    <s v="No"/>
    <x v="4"/>
    <x v="4"/>
    <s v="Berlin"/>
    <x v="4"/>
    <s v="ID.4"/>
    <s v="Hybrid"/>
    <x v="0"/>
    <s v="36-50"/>
    <s v="Low"/>
    <x v="1"/>
    <x v="3"/>
    <s v="Sales_16"/>
    <n v="404"/>
    <n v="175"/>
    <n v="123"/>
    <n v="31"/>
    <s v="17.71"/>
    <n v="32276"/>
    <s v="7.83"/>
    <n v="28315"/>
    <n v="1000556"/>
    <n v="122791"/>
    <s v="Feb"/>
    <n v="2"/>
    <n v="2026"/>
    <s v="Weekday"/>
    <n v="0.25203252032520324"/>
    <n v="0.43316831683168316"/>
    <n v="7.6732673267326731E-2"/>
    <n v="3961"/>
    <s v="Autohaus Berlin"/>
  </r>
  <r>
    <s v="CUST_4863"/>
    <x v="7"/>
    <x v="3"/>
    <s v="Monday"/>
    <s v="No"/>
    <x v="7"/>
    <x v="7"/>
    <s v="Bavaria"/>
    <x v="3"/>
    <s v="GLC"/>
    <s v="Diesel"/>
    <x v="0"/>
    <s v="36-50"/>
    <s v="Medium"/>
    <x v="0"/>
    <x v="2"/>
    <s v="Sales_5"/>
    <n v="164"/>
    <n v="72"/>
    <n v="48"/>
    <n v="23"/>
    <s v="31.94"/>
    <n v="63096"/>
    <s v="2.24"/>
    <n v="45879"/>
    <n v="1451208"/>
    <n v="395991"/>
    <s v="Feb"/>
    <n v="2"/>
    <n v="2026"/>
    <s v="Weekday"/>
    <n v="0.47916666666666669"/>
    <n v="0.43902439024390244"/>
    <n v="0.1402439024390244"/>
    <n v="17217"/>
    <s v="Bavaria Motors"/>
  </r>
  <r>
    <s v="CUST_4864"/>
    <x v="2"/>
    <x v="2"/>
    <s v="Monday"/>
    <s v="No"/>
    <x v="2"/>
    <x v="2"/>
    <s v="Lower Saxony"/>
    <x v="1"/>
    <s v="Astra"/>
    <s v="Electric"/>
    <x v="2"/>
    <s v="50+"/>
    <s v="High"/>
    <x v="0"/>
    <x v="1"/>
    <s v="Sales_3"/>
    <n v="388"/>
    <n v="183"/>
    <n v="107"/>
    <n v="33"/>
    <s v="18.03"/>
    <n v="23953"/>
    <s v="7.38"/>
    <n v="22061"/>
    <n v="790449"/>
    <n v="62436"/>
    <s v="Feb"/>
    <n v="2"/>
    <n v="2026"/>
    <s v="Weekday"/>
    <n v="0.30841121495327101"/>
    <n v="0.47164948453608246"/>
    <n v="8.505154639175258E-2"/>
    <n v="1892"/>
    <s v="Hannover Cars"/>
  </r>
  <r>
    <s v="CUST_4865"/>
    <x v="1"/>
    <x v="1"/>
    <s v="Wednesday"/>
    <s v="No"/>
    <x v="0"/>
    <x v="0"/>
    <s v="Hesse"/>
    <x v="1"/>
    <s v="Mokka"/>
    <s v="Diesel"/>
    <x v="0"/>
    <s v="36-50"/>
    <s v="Low"/>
    <x v="0"/>
    <x v="1"/>
    <s v="Sales_10"/>
    <n v="273"/>
    <n v="115"/>
    <n v="75"/>
    <n v="21"/>
    <s v="18.26"/>
    <n v="21677"/>
    <s v="11.16"/>
    <n v="19694"/>
    <n v="455217"/>
    <n v="41643"/>
    <s v="Feb"/>
    <n v="2"/>
    <n v="2026"/>
    <s v="Weekday"/>
    <n v="0.28000000000000003"/>
    <n v="0.42124542124542125"/>
    <n v="7.6923076923076927E-2"/>
    <n v="1983"/>
    <s v="Main Auto Hub"/>
  </r>
  <r>
    <s v="CUST_4866"/>
    <x v="21"/>
    <x v="0"/>
    <s v="Tuesday"/>
    <s v="No"/>
    <x v="0"/>
    <x v="0"/>
    <s v="Hesse"/>
    <x v="0"/>
    <s v="3 Series"/>
    <s v="Electric"/>
    <x v="1"/>
    <s v="18-25"/>
    <s v="High"/>
    <x v="1"/>
    <x v="3"/>
    <s v="Sales_4"/>
    <n v="174"/>
    <n v="102"/>
    <n v="82"/>
    <n v="25"/>
    <s v="24.51"/>
    <n v="52755"/>
    <s v="5.05"/>
    <n v="38465"/>
    <n v="1318875"/>
    <n v="357250"/>
    <s v="Feb"/>
    <n v="2"/>
    <n v="2026"/>
    <s v="Weekday"/>
    <n v="0.3048780487804878"/>
    <n v="0.58620689655172409"/>
    <n v="0.14367816091954022"/>
    <n v="14290"/>
    <s v="Main Auto Hub"/>
  </r>
  <r>
    <s v="CUST_4867"/>
    <x v="22"/>
    <x v="3"/>
    <s v="Tuesday"/>
    <s v="No"/>
    <x v="9"/>
    <x v="9"/>
    <s v="NRW"/>
    <x v="3"/>
    <s v="C-Class"/>
    <s v="Diesel"/>
    <x v="1"/>
    <s v="36-50"/>
    <s v="Medium"/>
    <x v="0"/>
    <x v="2"/>
    <s v="Sales_6"/>
    <n v="281"/>
    <n v="143"/>
    <n v="108"/>
    <n v="37"/>
    <s v="25.87"/>
    <n v="59240"/>
    <s v="2.52"/>
    <n v="43922"/>
    <n v="2191880"/>
    <n v="566766"/>
    <s v="Feb"/>
    <n v="2"/>
    <n v="2026"/>
    <s v="Weekday"/>
    <n v="0.34259259259259262"/>
    <n v="0.50889679715302494"/>
    <n v="0.13167259786476868"/>
    <n v="15318"/>
    <s v="Ruhr Auto Plaza"/>
  </r>
  <r>
    <s v="CUST_4868"/>
    <x v="22"/>
    <x v="3"/>
    <s v="Tuesday"/>
    <s v="No"/>
    <x v="1"/>
    <x v="1"/>
    <s v="NRW"/>
    <x v="1"/>
    <s v="Corsa"/>
    <s v="Electric"/>
    <x v="2"/>
    <s v="50+"/>
    <s v="Medium"/>
    <x v="1"/>
    <x v="2"/>
    <s v="Sales_14"/>
    <n v="427"/>
    <n v="162"/>
    <n v="104"/>
    <n v="31"/>
    <s v="19.14"/>
    <n v="23217"/>
    <s v="11.02"/>
    <n v="21170"/>
    <n v="719727"/>
    <n v="63457"/>
    <s v="Feb"/>
    <n v="2"/>
    <n v="2026"/>
    <s v="Weekday"/>
    <n v="0.29807692307692307"/>
    <n v="0.37939110070257609"/>
    <n v="7.2599531615925056E-2"/>
    <n v="2047"/>
    <s v="Rhein Auto Group"/>
  </r>
  <r>
    <s v="CUST_4869"/>
    <x v="25"/>
    <x v="3"/>
    <s v="Friday"/>
    <s v="No"/>
    <x v="5"/>
    <x v="5"/>
    <s v="Hamburg"/>
    <x v="0"/>
    <s v="X5"/>
    <s v="Electric"/>
    <x v="0"/>
    <s v="18-25"/>
    <s v="Low"/>
    <x v="1"/>
    <x v="1"/>
    <s v="Sales_17"/>
    <n v="150"/>
    <n v="76"/>
    <n v="51"/>
    <n v="22"/>
    <s v="28.95"/>
    <n v="59856"/>
    <s v="5.15"/>
    <n v="46067"/>
    <n v="1316832"/>
    <n v="303358"/>
    <s v="Feb"/>
    <n v="2"/>
    <n v="2026"/>
    <s v="Weekday"/>
    <n v="0.43137254901960786"/>
    <n v="0.50666666666666671"/>
    <n v="0.14666666666666667"/>
    <n v="13789"/>
    <s v="Elbe Drive"/>
  </r>
  <r>
    <s v="CUST_4870"/>
    <x v="1"/>
    <x v="1"/>
    <s v="Wednesday"/>
    <s v="No"/>
    <x v="5"/>
    <x v="5"/>
    <s v="Hamburg"/>
    <x v="2"/>
    <s v="Q3"/>
    <s v="Petrol"/>
    <x v="0"/>
    <s v="36-50"/>
    <s v="Low"/>
    <x v="0"/>
    <x v="0"/>
    <s v="Sales_8"/>
    <n v="196"/>
    <n v="108"/>
    <n v="82"/>
    <n v="25"/>
    <s v="23.15"/>
    <n v="52744"/>
    <s v="6.58"/>
    <n v="41618"/>
    <n v="1318600"/>
    <n v="278150"/>
    <s v="Feb"/>
    <n v="2"/>
    <n v="2026"/>
    <s v="Weekday"/>
    <n v="0.3048780487804878"/>
    <n v="0.55102040816326525"/>
    <n v="0.12755102040816327"/>
    <n v="11126"/>
    <s v="Elbe Drive"/>
  </r>
  <r>
    <s v="CUST_4871"/>
    <x v="20"/>
    <x v="0"/>
    <s v="Thursday"/>
    <s v="No"/>
    <x v="4"/>
    <x v="4"/>
    <s v="Berlin"/>
    <x v="0"/>
    <s v="X3"/>
    <s v="Electric"/>
    <x v="0"/>
    <s v="18-25"/>
    <s v="High"/>
    <x v="0"/>
    <x v="2"/>
    <s v="Sales_17"/>
    <n v="231"/>
    <n v="118"/>
    <n v="91"/>
    <n v="40"/>
    <s v="33.9"/>
    <n v="63694"/>
    <s v="4.4"/>
    <n v="48946"/>
    <n v="2547760"/>
    <n v="589920"/>
    <s v="Feb"/>
    <n v="2"/>
    <n v="2026"/>
    <s v="Weekday"/>
    <n v="0.43956043956043955"/>
    <n v="0.51082251082251084"/>
    <n v="0.17316017316017315"/>
    <n v="14748"/>
    <s v="Autohaus Berlin"/>
  </r>
  <r>
    <s v="CUST_4872"/>
    <x v="18"/>
    <x v="0"/>
    <s v="Saturday"/>
    <s v="Yes"/>
    <x v="3"/>
    <x v="3"/>
    <s v="Saxony"/>
    <x v="1"/>
    <s v="Mokka"/>
    <s v="Electric"/>
    <x v="0"/>
    <s v="18-25"/>
    <s v="Low"/>
    <x v="0"/>
    <x v="0"/>
    <s v="Sales_16"/>
    <n v="328"/>
    <n v="183"/>
    <n v="103"/>
    <n v="20"/>
    <s v="10.93"/>
    <n v="22869"/>
    <s v="12.3"/>
    <n v="20631"/>
    <n v="457380"/>
    <n v="44760"/>
    <s v="Feb"/>
    <n v="2"/>
    <n v="2026"/>
    <s v="Weekend"/>
    <n v="0.1941747572815534"/>
    <n v="0.55792682926829273"/>
    <n v="6.097560975609756E-2"/>
    <n v="2238"/>
    <s v="Saxon Wheels"/>
  </r>
  <r>
    <s v="CUST_4873"/>
    <x v="11"/>
    <x v="0"/>
    <s v="Wednesday"/>
    <s v="No"/>
    <x v="1"/>
    <x v="1"/>
    <s v="NRW"/>
    <x v="2"/>
    <s v="Q3"/>
    <s v="Petrol"/>
    <x v="0"/>
    <s v="26-35"/>
    <s v="High"/>
    <x v="0"/>
    <x v="2"/>
    <s v="Sales_20"/>
    <n v="308"/>
    <n v="185"/>
    <n v="140"/>
    <n v="49"/>
    <s v="26.49"/>
    <n v="50094"/>
    <s v="3.3"/>
    <n v="38579"/>
    <n v="2454606"/>
    <n v="564235"/>
    <s v="Feb"/>
    <n v="2"/>
    <n v="2026"/>
    <s v="Weekday"/>
    <n v="0.35"/>
    <n v="0.60064935064935066"/>
    <n v="0.15909090909090909"/>
    <n v="11515"/>
    <s v="Rhein Auto Group"/>
  </r>
  <r>
    <s v="CUST_4874"/>
    <x v="23"/>
    <x v="2"/>
    <s v="Tuesday"/>
    <s v="No"/>
    <x v="2"/>
    <x v="2"/>
    <s v="Lower Saxony"/>
    <x v="4"/>
    <s v="Passat"/>
    <s v="Electric"/>
    <x v="1"/>
    <s v="36-50"/>
    <s v="High"/>
    <x v="0"/>
    <x v="0"/>
    <s v="Sales_11"/>
    <n v="395"/>
    <n v="211"/>
    <n v="139"/>
    <n v="36"/>
    <s v="17.06"/>
    <n v="27765"/>
    <s v="7.24"/>
    <n v="24974"/>
    <n v="999540"/>
    <n v="100476"/>
    <s v="Feb"/>
    <n v="2"/>
    <n v="2026"/>
    <s v="Weekday"/>
    <n v="0.25899280575539568"/>
    <n v="0.53417721518987338"/>
    <n v="9.1139240506329114E-2"/>
    <n v="2791"/>
    <s v="Hannover Cars"/>
  </r>
  <r>
    <s v="CUST_4875"/>
    <x v="9"/>
    <x v="0"/>
    <s v="Sunday"/>
    <s v="Yes"/>
    <x v="0"/>
    <x v="0"/>
    <s v="Hesse"/>
    <x v="4"/>
    <s v="ID.4"/>
    <s v="Hybrid"/>
    <x v="0"/>
    <s v="50+"/>
    <s v="High"/>
    <x v="0"/>
    <x v="1"/>
    <s v="Sales_10"/>
    <n v="418"/>
    <n v="204"/>
    <n v="137"/>
    <n v="35"/>
    <s v="17.16"/>
    <n v="32709"/>
    <s v="9.66"/>
    <n v="29356"/>
    <n v="1144815"/>
    <n v="117355"/>
    <s v="Feb"/>
    <n v="2"/>
    <n v="2026"/>
    <s v="Weekend"/>
    <n v="0.25547445255474455"/>
    <n v="0.48803827751196172"/>
    <n v="8.3732057416267949E-2"/>
    <n v="3353"/>
    <s v="Main Auto Hub"/>
  </r>
  <r>
    <s v="CUST_4876"/>
    <x v="6"/>
    <x v="2"/>
    <s v="Saturday"/>
    <s v="Yes"/>
    <x v="5"/>
    <x v="5"/>
    <s v="Hamburg"/>
    <x v="1"/>
    <s v="Crossland"/>
    <s v="Electric"/>
    <x v="0"/>
    <s v="26-35"/>
    <s v="Low"/>
    <x v="0"/>
    <x v="0"/>
    <s v="Sales_19"/>
    <n v="257"/>
    <n v="143"/>
    <n v="81"/>
    <n v="25"/>
    <s v="17.48"/>
    <n v="20796"/>
    <s v="8.49"/>
    <n v="19030"/>
    <n v="519900"/>
    <n v="44150"/>
    <s v="Feb"/>
    <n v="2"/>
    <n v="2026"/>
    <s v="Weekend"/>
    <n v="0.30864197530864196"/>
    <n v="0.55642023346303504"/>
    <n v="9.727626459143969E-2"/>
    <n v="1766"/>
    <s v="Elbe Drive"/>
  </r>
  <r>
    <s v="CUST_4877"/>
    <x v="5"/>
    <x v="3"/>
    <s v="Saturday"/>
    <s v="Yes"/>
    <x v="5"/>
    <x v="5"/>
    <s v="Hamburg"/>
    <x v="1"/>
    <s v="Crossland"/>
    <s v="Petrol"/>
    <x v="0"/>
    <s v="18-25"/>
    <s v="High"/>
    <x v="1"/>
    <x v="2"/>
    <s v="Sales_16"/>
    <n v="288"/>
    <n v="160"/>
    <n v="109"/>
    <n v="33"/>
    <s v="20.62"/>
    <n v="24125"/>
    <s v="7.93"/>
    <n v="22420"/>
    <n v="796125"/>
    <n v="56265"/>
    <s v="Feb"/>
    <n v="2"/>
    <n v="2026"/>
    <s v="Weekend"/>
    <n v="0.30275229357798167"/>
    <n v="0.55555555555555558"/>
    <n v="0.11458333333333333"/>
    <n v="1705"/>
    <s v="Elbe Drive"/>
  </r>
  <r>
    <s v="CUST_4878"/>
    <x v="6"/>
    <x v="2"/>
    <s v="Saturday"/>
    <s v="Yes"/>
    <x v="0"/>
    <x v="0"/>
    <s v="Hesse"/>
    <x v="2"/>
    <s v="e-tron"/>
    <s v="Diesel"/>
    <x v="0"/>
    <s v="18-25"/>
    <s v="Medium"/>
    <x v="0"/>
    <x v="3"/>
    <s v="Sales_4"/>
    <n v="197"/>
    <n v="92"/>
    <n v="60"/>
    <n v="18"/>
    <s v="19.57"/>
    <n v="51141"/>
    <s v="5.31"/>
    <n v="41869"/>
    <n v="920538"/>
    <n v="166896"/>
    <s v="Feb"/>
    <n v="2"/>
    <n v="2026"/>
    <s v="Weekend"/>
    <n v="0.3"/>
    <n v="0.46700507614213199"/>
    <n v="9.1370558375634514E-2"/>
    <n v="9272"/>
    <s v="Main Auto Hub"/>
  </r>
  <r>
    <s v="CUST_4879"/>
    <x v="5"/>
    <x v="3"/>
    <s v="Saturday"/>
    <s v="Yes"/>
    <x v="8"/>
    <x v="8"/>
    <s v="Baden-WÃ¼rttemberg"/>
    <x v="1"/>
    <s v="Corsa"/>
    <s v="Electric"/>
    <x v="2"/>
    <s v="18-25"/>
    <s v="Medium"/>
    <x v="0"/>
    <x v="1"/>
    <s v="Sales_16"/>
    <n v="398"/>
    <n v="185"/>
    <n v="107"/>
    <n v="36"/>
    <s v="19.46"/>
    <n v="27291"/>
    <s v="7.32"/>
    <n v="24682"/>
    <n v="982476"/>
    <n v="93924"/>
    <s v="Feb"/>
    <n v="2"/>
    <n v="2026"/>
    <s v="Weekend"/>
    <n v="0.3364485981308411"/>
    <n v="0.46482412060301509"/>
    <n v="9.0452261306532666E-2"/>
    <n v="2609"/>
    <s v="Stuttgart Auto Center"/>
  </r>
  <r>
    <s v="CUST_4880"/>
    <x v="11"/>
    <x v="0"/>
    <s v="Wednesday"/>
    <s v="No"/>
    <x v="1"/>
    <x v="1"/>
    <s v="NRW"/>
    <x v="3"/>
    <s v="E-Class"/>
    <s v="Diesel"/>
    <x v="1"/>
    <s v="18-25"/>
    <s v="Medium"/>
    <x v="0"/>
    <x v="1"/>
    <s v="Sales_16"/>
    <n v="214"/>
    <n v="116"/>
    <n v="86"/>
    <n v="34"/>
    <s v="29.31"/>
    <n v="60513"/>
    <s v="2.02"/>
    <n v="47534"/>
    <n v="2057442"/>
    <n v="441286"/>
    <s v="Feb"/>
    <n v="2"/>
    <n v="2026"/>
    <s v="Weekday"/>
    <n v="0.39534883720930231"/>
    <n v="0.54205607476635509"/>
    <n v="0.15887850467289719"/>
    <n v="12979"/>
    <s v="Rhein Auto Group"/>
  </r>
  <r>
    <s v="CUST_4881"/>
    <x v="10"/>
    <x v="1"/>
    <s v="Monday"/>
    <s v="No"/>
    <x v="2"/>
    <x v="2"/>
    <s v="Lower Saxony"/>
    <x v="4"/>
    <s v="ID.4"/>
    <s v="Diesel"/>
    <x v="0"/>
    <s v="36-50"/>
    <s v="Low"/>
    <x v="1"/>
    <x v="0"/>
    <s v="Sales_9"/>
    <n v="462"/>
    <n v="192"/>
    <n v="135"/>
    <n v="27"/>
    <s v="14.06"/>
    <n v="29026"/>
    <s v="8.51"/>
    <n v="26115"/>
    <n v="783702"/>
    <n v="78597"/>
    <s v="Feb"/>
    <n v="2"/>
    <n v="2026"/>
    <s v="Weekday"/>
    <n v="0.2"/>
    <n v="0.41558441558441561"/>
    <n v="5.844155844155844E-2"/>
    <n v="2911"/>
    <s v="Hannover Cars"/>
  </r>
  <r>
    <s v="CUST_4882"/>
    <x v="27"/>
    <x v="3"/>
    <s v="Sunday"/>
    <s v="Yes"/>
    <x v="9"/>
    <x v="9"/>
    <s v="NRW"/>
    <x v="1"/>
    <s v="Grandland"/>
    <s v="Hybrid"/>
    <x v="0"/>
    <s v="18-25"/>
    <s v="High"/>
    <x v="0"/>
    <x v="2"/>
    <s v="Sales_18"/>
    <n v="326"/>
    <n v="125"/>
    <n v="86"/>
    <n v="19"/>
    <s v="15.2"/>
    <n v="21602"/>
    <s v="7.38"/>
    <n v="19949"/>
    <n v="410438"/>
    <n v="31407"/>
    <s v="Feb"/>
    <n v="2"/>
    <n v="2026"/>
    <s v="Weekend"/>
    <n v="0.22093023255813954"/>
    <n v="0.3834355828220859"/>
    <n v="5.8282208588957052E-2"/>
    <n v="1653"/>
    <s v="Ruhr Auto Plaza"/>
  </r>
  <r>
    <s v="CUST_4883"/>
    <x v="2"/>
    <x v="2"/>
    <s v="Monday"/>
    <s v="No"/>
    <x v="8"/>
    <x v="8"/>
    <s v="Baden-WÃ¼rttemberg"/>
    <x v="4"/>
    <s v="ID.4"/>
    <s v="Electric"/>
    <x v="0"/>
    <s v="18-25"/>
    <s v="High"/>
    <x v="0"/>
    <x v="0"/>
    <s v="Sales_1"/>
    <n v="294"/>
    <n v="121"/>
    <n v="87"/>
    <n v="16"/>
    <s v="13.22"/>
    <n v="28724"/>
    <s v="6.27"/>
    <n v="26134"/>
    <n v="459584"/>
    <n v="41440"/>
    <s v="Feb"/>
    <n v="2"/>
    <n v="2026"/>
    <s v="Weekday"/>
    <n v="0.18390804597701149"/>
    <n v="0.41156462585034015"/>
    <n v="5.4421768707482991E-2"/>
    <n v="2590"/>
    <s v="Stuttgart Auto Center"/>
  </r>
  <r>
    <s v="CUST_4884"/>
    <x v="2"/>
    <x v="2"/>
    <s v="Monday"/>
    <s v="No"/>
    <x v="2"/>
    <x v="2"/>
    <s v="Lower Saxony"/>
    <x v="0"/>
    <s v="5 Series"/>
    <s v="Diesel"/>
    <x v="1"/>
    <s v="26-35"/>
    <s v="Low"/>
    <x v="1"/>
    <x v="3"/>
    <s v="Sales_12"/>
    <n v="147"/>
    <n v="68"/>
    <n v="53"/>
    <n v="17"/>
    <s v="25.0"/>
    <n v="55194"/>
    <s v="3.67"/>
    <n v="39174"/>
    <n v="938298"/>
    <n v="272340"/>
    <s v="Feb"/>
    <n v="2"/>
    <n v="2026"/>
    <s v="Weekday"/>
    <n v="0.32075471698113206"/>
    <n v="0.46258503401360546"/>
    <n v="0.11564625850340136"/>
    <n v="16020"/>
    <s v="Hannover Cars"/>
  </r>
  <r>
    <s v="CUST_4885"/>
    <x v="11"/>
    <x v="0"/>
    <s v="Wednesday"/>
    <s v="No"/>
    <x v="8"/>
    <x v="8"/>
    <s v="Baden-WÃ¼rttemberg"/>
    <x v="4"/>
    <s v="Golf"/>
    <s v="Petrol"/>
    <x v="2"/>
    <s v="18-25"/>
    <s v="Medium"/>
    <x v="0"/>
    <x v="3"/>
    <s v="Sales_12"/>
    <n v="371"/>
    <n v="199"/>
    <n v="128"/>
    <n v="33"/>
    <s v="16.58"/>
    <n v="26732"/>
    <s v="6.68"/>
    <n v="23415"/>
    <n v="882156"/>
    <n v="109461"/>
    <s v="Feb"/>
    <n v="2"/>
    <n v="2026"/>
    <s v="Weekday"/>
    <n v="0.2578125"/>
    <n v="0.53638814016172509"/>
    <n v="8.8948787061994605E-2"/>
    <n v="3317"/>
    <s v="Stuttgart Auto Center"/>
  </r>
  <r>
    <s v="CUST_4886"/>
    <x v="6"/>
    <x v="2"/>
    <s v="Saturday"/>
    <s v="Yes"/>
    <x v="4"/>
    <x v="4"/>
    <s v="Berlin"/>
    <x v="4"/>
    <s v="Golf"/>
    <s v="Hybrid"/>
    <x v="2"/>
    <s v="36-50"/>
    <s v="High"/>
    <x v="0"/>
    <x v="3"/>
    <s v="Sales_3"/>
    <n v="511"/>
    <n v="212"/>
    <n v="126"/>
    <n v="31"/>
    <s v="14.62"/>
    <n v="28021"/>
    <s v="11.28"/>
    <n v="24954"/>
    <n v="868651"/>
    <n v="95077"/>
    <s v="Feb"/>
    <n v="2"/>
    <n v="2026"/>
    <s v="Weekend"/>
    <n v="0.24603174603174602"/>
    <n v="0.41487279843444225"/>
    <n v="6.0665362035225046E-2"/>
    <n v="3067"/>
    <s v="Autohaus Berlin"/>
  </r>
  <r>
    <s v="CUST_4887"/>
    <x v="10"/>
    <x v="1"/>
    <s v="Monday"/>
    <s v="No"/>
    <x v="4"/>
    <x v="4"/>
    <s v="Berlin"/>
    <x v="4"/>
    <s v="Tiguan"/>
    <s v="Electric"/>
    <x v="0"/>
    <s v="26-35"/>
    <s v="High"/>
    <x v="1"/>
    <x v="2"/>
    <s v="Sales_4"/>
    <n v="411"/>
    <n v="211"/>
    <n v="143"/>
    <n v="43"/>
    <s v="20.38"/>
    <n v="28793"/>
    <s v="6.18"/>
    <n v="25977"/>
    <n v="1238099"/>
    <n v="121088"/>
    <s v="Feb"/>
    <n v="2"/>
    <n v="2026"/>
    <s v="Weekday"/>
    <n v="0.30069930069930068"/>
    <n v="0.51338199513381999"/>
    <n v="0.10462287104622871"/>
    <n v="2816"/>
    <s v="Autohaus Berlin"/>
  </r>
  <r>
    <s v="CUST_4888"/>
    <x v="8"/>
    <x v="3"/>
    <s v="Wednesday"/>
    <s v="No"/>
    <x v="8"/>
    <x v="8"/>
    <s v="Baden-WÃ¼rttemberg"/>
    <x v="1"/>
    <s v="Grandland"/>
    <s v="Hybrid"/>
    <x v="0"/>
    <s v="36-50"/>
    <s v="High"/>
    <x v="0"/>
    <x v="2"/>
    <s v="Sales_13"/>
    <n v="374"/>
    <n v="164"/>
    <n v="94"/>
    <n v="36"/>
    <s v="21.95"/>
    <n v="20555"/>
    <s v="11.1"/>
    <n v="18764"/>
    <n v="739980"/>
    <n v="64476"/>
    <s v="Feb"/>
    <n v="2"/>
    <n v="2026"/>
    <s v="Weekday"/>
    <n v="0.38297872340425532"/>
    <n v="0.43850267379679142"/>
    <n v="9.6256684491978606E-2"/>
    <n v="1791"/>
    <s v="Stuttgart Auto Center"/>
  </r>
  <r>
    <s v="CUST_4889"/>
    <x v="5"/>
    <x v="3"/>
    <s v="Saturday"/>
    <s v="Yes"/>
    <x v="5"/>
    <x v="5"/>
    <s v="Hamburg"/>
    <x v="0"/>
    <s v="5 Series"/>
    <s v="Diesel"/>
    <x v="1"/>
    <s v="50+"/>
    <s v="Medium"/>
    <x v="1"/>
    <x v="0"/>
    <s v="Sales_20"/>
    <n v="222"/>
    <n v="110"/>
    <n v="81"/>
    <n v="29"/>
    <s v="26.36"/>
    <n v="51067"/>
    <s v="3.65"/>
    <n v="35842"/>
    <n v="1480943"/>
    <n v="441525"/>
    <s v="Feb"/>
    <n v="2"/>
    <n v="2026"/>
    <s v="Weekend"/>
    <n v="0.35802469135802467"/>
    <n v="0.49549549549549549"/>
    <n v="0.13063063063063063"/>
    <n v="15225"/>
    <s v="Elbe Drive"/>
  </r>
  <r>
    <s v="CUST_4890"/>
    <x v="8"/>
    <x v="3"/>
    <s v="Wednesday"/>
    <s v="No"/>
    <x v="3"/>
    <x v="3"/>
    <s v="Saxony"/>
    <x v="0"/>
    <s v="5 Series"/>
    <s v="Diesel"/>
    <x v="1"/>
    <s v="18-25"/>
    <s v="High"/>
    <x v="1"/>
    <x v="3"/>
    <s v="Sales_10"/>
    <n v="227"/>
    <n v="111"/>
    <n v="79"/>
    <n v="30"/>
    <s v="27.03"/>
    <n v="69429"/>
    <s v="2.33"/>
    <n v="52889"/>
    <n v="2082870"/>
    <n v="496200"/>
    <s v="Feb"/>
    <n v="2"/>
    <n v="2026"/>
    <s v="Weekday"/>
    <n v="0.379746835443038"/>
    <n v="0.48898678414096919"/>
    <n v="0.13215859030837004"/>
    <n v="16540"/>
    <s v="Saxon Wheels"/>
  </r>
  <r>
    <s v="CUST_4891"/>
    <x v="5"/>
    <x v="3"/>
    <s v="Saturday"/>
    <s v="Yes"/>
    <x v="4"/>
    <x v="4"/>
    <s v="Berlin"/>
    <x v="1"/>
    <s v="Astra"/>
    <s v="Diesel"/>
    <x v="2"/>
    <s v="18-25"/>
    <s v="Medium"/>
    <x v="0"/>
    <x v="3"/>
    <s v="Sales_12"/>
    <n v="264"/>
    <n v="101"/>
    <n v="65"/>
    <n v="14"/>
    <s v="13.86"/>
    <n v="25634"/>
    <s v="13.28"/>
    <n v="23477"/>
    <n v="358876"/>
    <n v="30198"/>
    <s v="Feb"/>
    <n v="2"/>
    <n v="2026"/>
    <s v="Weekend"/>
    <n v="0.2153846153846154"/>
    <n v="0.38257575757575757"/>
    <n v="5.3030303030303032E-2"/>
    <n v="2157"/>
    <s v="Autohaus Berlin"/>
  </r>
  <r>
    <s v="CUST_4892"/>
    <x v="27"/>
    <x v="3"/>
    <s v="Sunday"/>
    <s v="Yes"/>
    <x v="1"/>
    <x v="1"/>
    <s v="NRW"/>
    <x v="1"/>
    <s v="Corsa"/>
    <s v="Diesel"/>
    <x v="2"/>
    <s v="26-35"/>
    <s v="Low"/>
    <x v="0"/>
    <x v="0"/>
    <s v="Sales_16"/>
    <n v="324"/>
    <n v="136"/>
    <n v="93"/>
    <n v="17"/>
    <s v="12.5"/>
    <n v="21300"/>
    <s v="7.87"/>
    <n v="19652"/>
    <n v="362100"/>
    <n v="28016"/>
    <s v="Feb"/>
    <n v="2"/>
    <n v="2026"/>
    <s v="Weekend"/>
    <n v="0.18279569892473119"/>
    <n v="0.41975308641975306"/>
    <n v="5.2469135802469133E-2"/>
    <n v="1648"/>
    <s v="Rhein Auto Group"/>
  </r>
  <r>
    <s v="CUST_4893"/>
    <x v="15"/>
    <x v="2"/>
    <s v="Thursday"/>
    <s v="No"/>
    <x v="2"/>
    <x v="2"/>
    <s v="Lower Saxony"/>
    <x v="4"/>
    <s v="Golf"/>
    <s v="Petrol"/>
    <x v="2"/>
    <s v="36-50"/>
    <s v="Low"/>
    <x v="0"/>
    <x v="2"/>
    <s v="Sales_2"/>
    <n v="279"/>
    <n v="157"/>
    <n v="100"/>
    <n v="31"/>
    <s v="19.75"/>
    <n v="29476"/>
    <s v="9.3"/>
    <n v="26324"/>
    <n v="913756"/>
    <n v="97712"/>
    <s v="Feb"/>
    <n v="2"/>
    <n v="2026"/>
    <s v="Weekday"/>
    <n v="0.31"/>
    <n v="0.56272401433691754"/>
    <n v="0.1111111111111111"/>
    <n v="3152"/>
    <s v="Hannover Cars"/>
  </r>
  <r>
    <s v="CUST_4894"/>
    <x v="6"/>
    <x v="2"/>
    <s v="Saturday"/>
    <s v="Yes"/>
    <x v="7"/>
    <x v="7"/>
    <s v="Bavaria"/>
    <x v="3"/>
    <s v="GLC"/>
    <s v="Petrol"/>
    <x v="0"/>
    <s v="26-35"/>
    <s v="Low"/>
    <x v="0"/>
    <x v="0"/>
    <s v="Sales_1"/>
    <n v="209"/>
    <n v="97"/>
    <n v="71"/>
    <n v="22"/>
    <s v="22.68"/>
    <n v="52813"/>
    <s v="3.96"/>
    <n v="37700"/>
    <n v="1161886"/>
    <n v="332486"/>
    <s v="Feb"/>
    <n v="2"/>
    <n v="2026"/>
    <s v="Weekend"/>
    <n v="0.30985915492957744"/>
    <n v="0.46411483253588515"/>
    <n v="0.10526315789473684"/>
    <n v="15113"/>
    <s v="Bavaria Motors"/>
  </r>
  <r>
    <s v="CUST_4895"/>
    <x v="21"/>
    <x v="0"/>
    <s v="Tuesday"/>
    <s v="No"/>
    <x v="1"/>
    <x v="1"/>
    <s v="NRW"/>
    <x v="4"/>
    <s v="Passat"/>
    <s v="Diesel"/>
    <x v="1"/>
    <s v="18-25"/>
    <s v="Medium"/>
    <x v="1"/>
    <x v="0"/>
    <s v="Sales_18"/>
    <n v="426"/>
    <n v="206"/>
    <n v="144"/>
    <n v="28"/>
    <s v="13.59"/>
    <n v="31466"/>
    <s v="8.07"/>
    <n v="27686"/>
    <n v="881048"/>
    <n v="105840"/>
    <s v="Feb"/>
    <n v="2"/>
    <n v="2026"/>
    <s v="Weekday"/>
    <n v="0.19444444444444445"/>
    <n v="0.48356807511737088"/>
    <n v="6.5727699530516437E-2"/>
    <n v="3780"/>
    <s v="Rhein Auto Group"/>
  </r>
  <r>
    <s v="CUST_4896"/>
    <x v="11"/>
    <x v="0"/>
    <s v="Wednesday"/>
    <s v="No"/>
    <x v="4"/>
    <x v="4"/>
    <s v="Berlin"/>
    <x v="3"/>
    <s v="E-Class"/>
    <s v="Diesel"/>
    <x v="1"/>
    <s v="50+"/>
    <s v="High"/>
    <x v="1"/>
    <x v="3"/>
    <s v="Sales_11"/>
    <n v="258"/>
    <n v="114"/>
    <n v="86"/>
    <n v="27"/>
    <s v="23.68"/>
    <n v="54424"/>
    <s v="5.88"/>
    <n v="39888"/>
    <n v="1469448"/>
    <n v="392472"/>
    <s v="Feb"/>
    <n v="2"/>
    <n v="2026"/>
    <s v="Weekday"/>
    <n v="0.31395348837209303"/>
    <n v="0.44186046511627908"/>
    <n v="0.10465116279069768"/>
    <n v="14536"/>
    <s v="Autohaus Berlin"/>
  </r>
  <r>
    <s v="CUST_4897"/>
    <x v="6"/>
    <x v="2"/>
    <s v="Saturday"/>
    <s v="Yes"/>
    <x v="9"/>
    <x v="9"/>
    <s v="NRW"/>
    <x v="4"/>
    <s v="Golf"/>
    <s v="Petrol"/>
    <x v="2"/>
    <s v="26-35"/>
    <s v="High"/>
    <x v="1"/>
    <x v="0"/>
    <s v="Sales_7"/>
    <n v="367"/>
    <n v="152"/>
    <n v="90"/>
    <n v="22"/>
    <s v="14.47"/>
    <n v="29829"/>
    <s v="7.36"/>
    <n v="26738"/>
    <n v="656238"/>
    <n v="68002"/>
    <s v="Feb"/>
    <n v="2"/>
    <n v="2026"/>
    <s v="Weekend"/>
    <n v="0.24444444444444444"/>
    <n v="0.41416893732970028"/>
    <n v="5.9945504087193457E-2"/>
    <n v="3091"/>
    <s v="Ruhr Auto Plaza"/>
  </r>
  <r>
    <s v="CUST_4898"/>
    <x v="26"/>
    <x v="1"/>
    <s v="Friday"/>
    <s v="No"/>
    <x v="0"/>
    <x v="0"/>
    <s v="Hesse"/>
    <x v="3"/>
    <s v="EQE"/>
    <s v="Diesel"/>
    <x v="1"/>
    <s v="26-35"/>
    <s v="Low"/>
    <x v="1"/>
    <x v="1"/>
    <s v="Sales_7"/>
    <n v="180"/>
    <n v="90"/>
    <n v="64"/>
    <n v="24"/>
    <s v="26.67"/>
    <n v="60915"/>
    <s v="3.59"/>
    <n v="45758"/>
    <n v="1461960"/>
    <n v="363768"/>
    <s v="Feb"/>
    <n v="2"/>
    <n v="2026"/>
    <s v="Weekday"/>
    <n v="0.375"/>
    <n v="0.5"/>
    <n v="0.13333333333333333"/>
    <n v="15157"/>
    <s v="Main Auto Hub"/>
  </r>
  <r>
    <s v="CUST_4899"/>
    <x v="27"/>
    <x v="3"/>
    <s v="Sunday"/>
    <s v="Yes"/>
    <x v="4"/>
    <x v="4"/>
    <s v="Berlin"/>
    <x v="1"/>
    <s v="Corsa"/>
    <s v="Hybrid"/>
    <x v="2"/>
    <s v="18-25"/>
    <s v="High"/>
    <x v="1"/>
    <x v="0"/>
    <s v="Sales_16"/>
    <n v="265"/>
    <n v="102"/>
    <n v="58"/>
    <n v="17"/>
    <s v="16.67"/>
    <n v="26514"/>
    <s v="8.64"/>
    <n v="24148"/>
    <n v="450738"/>
    <n v="40222"/>
    <s v="Feb"/>
    <n v="2"/>
    <n v="2026"/>
    <s v="Weekend"/>
    <n v="0.29310344827586204"/>
    <n v="0.38490566037735852"/>
    <n v="6.4150943396226415E-2"/>
    <n v="2366"/>
    <s v="Autohaus Berlin"/>
  </r>
  <r>
    <s v="CUST_4900"/>
    <x v="25"/>
    <x v="3"/>
    <s v="Friday"/>
    <s v="No"/>
    <x v="0"/>
    <x v="0"/>
    <s v="Hesse"/>
    <x v="0"/>
    <s v="i4"/>
    <s v="Hybrid"/>
    <x v="1"/>
    <s v="26-35"/>
    <s v="Low"/>
    <x v="1"/>
    <x v="0"/>
    <s v="Sales_13"/>
    <n v="277"/>
    <n v="164"/>
    <n v="123"/>
    <n v="40"/>
    <s v="24.39"/>
    <n v="59897"/>
    <s v="5.14"/>
    <n v="43836"/>
    <n v="2395880"/>
    <n v="642440"/>
    <s v="Feb"/>
    <n v="2"/>
    <n v="2026"/>
    <s v="Weekday"/>
    <n v="0.32520325203252032"/>
    <n v="0.59205776173285196"/>
    <n v="0.1444043321299639"/>
    <n v="16061"/>
    <s v="Main Auto Hub"/>
  </r>
  <r>
    <s v="CUST_4901"/>
    <x v="3"/>
    <x v="1"/>
    <s v="Sunday"/>
    <s v="Yes"/>
    <x v="6"/>
    <x v="6"/>
    <s v="Saxony"/>
    <x v="3"/>
    <s v="EQE"/>
    <s v="Electric"/>
    <x v="1"/>
    <s v="18-25"/>
    <s v="Medium"/>
    <x v="0"/>
    <x v="1"/>
    <s v="Sales_12"/>
    <n v="227"/>
    <n v="128"/>
    <n v="98"/>
    <n v="30"/>
    <s v="23.44"/>
    <n v="70842"/>
    <s v="2.69"/>
    <n v="52954"/>
    <n v="2125260"/>
    <n v="536640"/>
    <s v="Feb"/>
    <n v="2"/>
    <n v="2026"/>
    <s v="Weekend"/>
    <n v="0.30612244897959184"/>
    <n v="0.56387665198237891"/>
    <n v="0.13215859030837004"/>
    <n v="17888"/>
    <s v="Leipzig Mobility"/>
  </r>
  <r>
    <s v="CUST_4902"/>
    <x v="1"/>
    <x v="1"/>
    <s v="Wednesday"/>
    <s v="No"/>
    <x v="8"/>
    <x v="8"/>
    <s v="Baden-WÃ¼rttemberg"/>
    <x v="3"/>
    <s v="GLC"/>
    <s v="Hybrid"/>
    <x v="0"/>
    <s v="26-35"/>
    <s v="Low"/>
    <x v="1"/>
    <x v="0"/>
    <s v="Sales_17"/>
    <n v="177"/>
    <n v="94"/>
    <n v="63"/>
    <n v="21"/>
    <s v="22.34"/>
    <n v="71024"/>
    <s v="4.07"/>
    <n v="53867"/>
    <n v="1491504"/>
    <n v="360297"/>
    <s v="Feb"/>
    <n v="2"/>
    <n v="2026"/>
    <s v="Weekday"/>
    <n v="0.33333333333333331"/>
    <n v="0.53107344632768361"/>
    <n v="0.11864406779661017"/>
    <n v="17157"/>
    <s v="Stuttgart Auto Center"/>
  </r>
  <r>
    <s v="CUST_4903"/>
    <x v="26"/>
    <x v="1"/>
    <s v="Friday"/>
    <s v="No"/>
    <x v="3"/>
    <x v="3"/>
    <s v="Saxony"/>
    <x v="2"/>
    <s v="A4"/>
    <s v="Hybrid"/>
    <x v="1"/>
    <s v="50+"/>
    <s v="High"/>
    <x v="1"/>
    <x v="3"/>
    <s v="Sales_7"/>
    <n v="262"/>
    <n v="160"/>
    <n v="123"/>
    <n v="29"/>
    <s v="18.12"/>
    <n v="43882"/>
    <s v="5.65"/>
    <n v="34390"/>
    <n v="1272578"/>
    <n v="275268"/>
    <s v="Feb"/>
    <n v="2"/>
    <n v="2026"/>
    <s v="Weekday"/>
    <n v="0.23577235772357724"/>
    <n v="0.61068702290076338"/>
    <n v="0.11068702290076336"/>
    <n v="9492"/>
    <s v="Saxon Wheels"/>
  </r>
  <r>
    <s v="CUST_4904"/>
    <x v="1"/>
    <x v="1"/>
    <s v="Wednesday"/>
    <s v="No"/>
    <x v="9"/>
    <x v="9"/>
    <s v="NRW"/>
    <x v="2"/>
    <s v="A4"/>
    <s v="Electric"/>
    <x v="1"/>
    <s v="26-35"/>
    <s v="High"/>
    <x v="0"/>
    <x v="0"/>
    <s v="Sales_6"/>
    <n v="263"/>
    <n v="126"/>
    <n v="84"/>
    <n v="26"/>
    <s v="20.63"/>
    <n v="44440"/>
    <s v="6.18"/>
    <n v="36255"/>
    <n v="1155440"/>
    <n v="212810"/>
    <s v="Feb"/>
    <n v="2"/>
    <n v="2026"/>
    <s v="Weekday"/>
    <n v="0.30952380952380953"/>
    <n v="0.47908745247148288"/>
    <n v="9.8859315589353611E-2"/>
    <n v="8185"/>
    <s v="Ruhr Auto Plaza"/>
  </r>
  <r>
    <s v="CUST_4905"/>
    <x v="22"/>
    <x v="3"/>
    <s v="Tuesday"/>
    <s v="No"/>
    <x v="4"/>
    <x v="4"/>
    <s v="Berlin"/>
    <x v="0"/>
    <s v="X3"/>
    <s v="Diesel"/>
    <x v="0"/>
    <s v="18-25"/>
    <s v="Low"/>
    <x v="1"/>
    <x v="3"/>
    <s v="Sales_18"/>
    <n v="167"/>
    <n v="79"/>
    <n v="61"/>
    <n v="21"/>
    <s v="26.58"/>
    <n v="68595"/>
    <s v="2.11"/>
    <n v="48269"/>
    <n v="1440495"/>
    <n v="426846"/>
    <s v="Feb"/>
    <n v="2"/>
    <n v="2026"/>
    <s v="Weekday"/>
    <n v="0.34426229508196721"/>
    <n v="0.47305389221556887"/>
    <n v="0.12574850299401197"/>
    <n v="20326"/>
    <s v="Autohaus Berlin"/>
  </r>
  <r>
    <s v="CUST_4906"/>
    <x v="22"/>
    <x v="3"/>
    <s v="Tuesday"/>
    <s v="No"/>
    <x v="3"/>
    <x v="3"/>
    <s v="Saxony"/>
    <x v="2"/>
    <s v="Q5"/>
    <s v="Hybrid"/>
    <x v="0"/>
    <s v="36-50"/>
    <s v="High"/>
    <x v="0"/>
    <x v="1"/>
    <s v="Sales_15"/>
    <n v="297"/>
    <n v="186"/>
    <n v="122"/>
    <n v="40"/>
    <s v="21.51"/>
    <n v="49283"/>
    <s v="6.84"/>
    <n v="37738"/>
    <n v="1971320"/>
    <n v="461800"/>
    <s v="Feb"/>
    <n v="2"/>
    <n v="2026"/>
    <s v="Weekday"/>
    <n v="0.32786885245901637"/>
    <n v="0.6262626262626263"/>
    <n v="0.13468013468013468"/>
    <n v="11545"/>
    <s v="Saxon Wheels"/>
  </r>
  <r>
    <s v="CUST_4907"/>
    <x v="10"/>
    <x v="1"/>
    <s v="Monday"/>
    <s v="No"/>
    <x v="7"/>
    <x v="7"/>
    <s v="Bavaria"/>
    <x v="1"/>
    <s v="Grandland"/>
    <s v="Petrol"/>
    <x v="0"/>
    <s v="18-25"/>
    <s v="Low"/>
    <x v="0"/>
    <x v="1"/>
    <s v="Sales_4"/>
    <n v="286"/>
    <n v="152"/>
    <n v="90"/>
    <n v="29"/>
    <s v="19.08"/>
    <n v="23675"/>
    <s v="10.09"/>
    <n v="21528"/>
    <n v="686575"/>
    <n v="62263"/>
    <s v="Feb"/>
    <n v="2"/>
    <n v="2026"/>
    <s v="Weekday"/>
    <n v="0.32222222222222224"/>
    <n v="0.53146853146853146"/>
    <n v="0.10139860139860139"/>
    <n v="2147"/>
    <s v="Bavaria Motors"/>
  </r>
  <r>
    <s v="CUST_4908"/>
    <x v="9"/>
    <x v="0"/>
    <s v="Sunday"/>
    <s v="Yes"/>
    <x v="9"/>
    <x v="9"/>
    <s v="NRW"/>
    <x v="0"/>
    <s v="5 Series"/>
    <s v="Electric"/>
    <x v="1"/>
    <s v="18-25"/>
    <s v="Low"/>
    <x v="1"/>
    <x v="0"/>
    <s v="Sales_4"/>
    <n v="175"/>
    <n v="88"/>
    <n v="61"/>
    <n v="22"/>
    <s v="25.0"/>
    <n v="61483"/>
    <s v="4.5"/>
    <n v="47575"/>
    <n v="1352626"/>
    <n v="305976"/>
    <s v="Feb"/>
    <n v="2"/>
    <n v="2026"/>
    <s v="Weekend"/>
    <n v="0.36065573770491804"/>
    <n v="0.50285714285714289"/>
    <n v="0.12571428571428572"/>
    <n v="13908"/>
    <s v="Ruhr Auto Plaza"/>
  </r>
  <r>
    <s v="CUST_4909"/>
    <x v="17"/>
    <x v="2"/>
    <s v="Sunday"/>
    <s v="Yes"/>
    <x v="4"/>
    <x v="4"/>
    <s v="Berlin"/>
    <x v="1"/>
    <s v="Corsa"/>
    <s v="Petrol"/>
    <x v="2"/>
    <s v="50+"/>
    <s v="High"/>
    <x v="1"/>
    <x v="1"/>
    <s v="Sales_7"/>
    <n v="416"/>
    <n v="231"/>
    <n v="161"/>
    <n v="36"/>
    <s v="15.58"/>
    <n v="20562"/>
    <s v="12.25"/>
    <n v="18771"/>
    <n v="740232"/>
    <n v="64476"/>
    <s v="Feb"/>
    <n v="2"/>
    <n v="2026"/>
    <s v="Weekend"/>
    <n v="0.2236024844720497"/>
    <n v="0.55528846153846156"/>
    <n v="8.6538461538461536E-2"/>
    <n v="1791"/>
    <s v="Autohaus Berlin"/>
  </r>
  <r>
    <s v="CUST_4910"/>
    <x v="3"/>
    <x v="1"/>
    <s v="Sunday"/>
    <s v="Yes"/>
    <x v="4"/>
    <x v="4"/>
    <s v="Berlin"/>
    <x v="4"/>
    <s v="Passat"/>
    <s v="Petrol"/>
    <x v="1"/>
    <s v="36-50"/>
    <s v="Medium"/>
    <x v="0"/>
    <x v="2"/>
    <s v="Sales_19"/>
    <n v="464"/>
    <n v="235"/>
    <n v="140"/>
    <n v="52"/>
    <s v="22.13"/>
    <n v="28202"/>
    <s v="11.79"/>
    <n v="25172"/>
    <n v="1466504"/>
    <n v="157560"/>
    <s v="Feb"/>
    <n v="2"/>
    <n v="2026"/>
    <s v="Weekend"/>
    <n v="0.37142857142857144"/>
    <n v="0.50646551724137934"/>
    <n v="0.11206896551724138"/>
    <n v="3030"/>
    <s v="Autohaus Berlin"/>
  </r>
  <r>
    <s v="CUST_4911"/>
    <x v="6"/>
    <x v="2"/>
    <s v="Saturday"/>
    <s v="Yes"/>
    <x v="8"/>
    <x v="8"/>
    <s v="Baden-WÃ¼rttemberg"/>
    <x v="1"/>
    <s v="Astra"/>
    <s v="Diesel"/>
    <x v="2"/>
    <s v="18-25"/>
    <s v="Low"/>
    <x v="0"/>
    <x v="3"/>
    <s v="Sales_19"/>
    <n v="422"/>
    <n v="205"/>
    <n v="115"/>
    <n v="29"/>
    <s v="14.15"/>
    <n v="23419"/>
    <s v="13.53"/>
    <n v="21485"/>
    <n v="679151"/>
    <n v="56086"/>
    <s v="Feb"/>
    <n v="2"/>
    <n v="2026"/>
    <s v="Weekend"/>
    <n v="0.25217391304347825"/>
    <n v="0.48578199052132703"/>
    <n v="6.8720379146919433E-2"/>
    <n v="1934"/>
    <s v="Stuttgart Auto Center"/>
  </r>
  <r>
    <s v="CUST_4912"/>
    <x v="16"/>
    <x v="1"/>
    <s v="Tuesday"/>
    <s v="No"/>
    <x v="5"/>
    <x v="5"/>
    <s v="Hamburg"/>
    <x v="0"/>
    <s v="i4"/>
    <s v="Electric"/>
    <x v="1"/>
    <s v="36-50"/>
    <s v="High"/>
    <x v="0"/>
    <x v="3"/>
    <s v="Sales_15"/>
    <n v="261"/>
    <n v="148"/>
    <n v="109"/>
    <n v="41"/>
    <s v="27.7"/>
    <n v="59778"/>
    <s v="2.22"/>
    <n v="45348"/>
    <n v="2450898"/>
    <n v="591630"/>
    <s v="Feb"/>
    <n v="2"/>
    <n v="2026"/>
    <s v="Weekday"/>
    <n v="0.37614678899082571"/>
    <n v="0.56704980842911878"/>
    <n v="0.15708812260536398"/>
    <n v="14430"/>
    <s v="Elbe Drive"/>
  </r>
  <r>
    <s v="CUST_4913"/>
    <x v="4"/>
    <x v="2"/>
    <s v="Wednesday"/>
    <s v="No"/>
    <x v="5"/>
    <x v="5"/>
    <s v="Hamburg"/>
    <x v="1"/>
    <s v="Mokka"/>
    <s v="Diesel"/>
    <x v="0"/>
    <s v="50+"/>
    <s v="High"/>
    <x v="0"/>
    <x v="3"/>
    <s v="Sales_20"/>
    <n v="322"/>
    <n v="154"/>
    <n v="100"/>
    <n v="23"/>
    <s v="14.94"/>
    <n v="25097"/>
    <s v="7.98"/>
    <n v="22523"/>
    <n v="577231"/>
    <n v="59202"/>
    <s v="Feb"/>
    <n v="2"/>
    <n v="2026"/>
    <s v="Weekday"/>
    <n v="0.23"/>
    <n v="0.47826086956521741"/>
    <n v="7.1428571428571425E-2"/>
    <n v="2574"/>
    <s v="Elbe Drive"/>
  </r>
  <r>
    <s v="CUST_4914"/>
    <x v="25"/>
    <x v="3"/>
    <s v="Friday"/>
    <s v="No"/>
    <x v="6"/>
    <x v="6"/>
    <s v="Saxony"/>
    <x v="3"/>
    <s v="GLE"/>
    <s v="Petrol"/>
    <x v="0"/>
    <s v="50+"/>
    <s v="Medium"/>
    <x v="0"/>
    <x v="3"/>
    <s v="Sales_12"/>
    <n v="270"/>
    <n v="140"/>
    <n v="101"/>
    <n v="31"/>
    <s v="22.14"/>
    <n v="52777"/>
    <s v="3.29"/>
    <n v="39788"/>
    <n v="1636087"/>
    <n v="402659"/>
    <s v="Feb"/>
    <n v="2"/>
    <n v="2026"/>
    <s v="Weekday"/>
    <n v="0.30693069306930693"/>
    <n v="0.51851851851851849"/>
    <n v="0.11481481481481481"/>
    <n v="12989"/>
    <s v="Leipzig Mobility"/>
  </r>
  <r>
    <s v="CUST_4915"/>
    <x v="23"/>
    <x v="2"/>
    <s v="Tuesday"/>
    <s v="No"/>
    <x v="0"/>
    <x v="0"/>
    <s v="Hesse"/>
    <x v="0"/>
    <s v="5 Series"/>
    <s v="Diesel"/>
    <x v="1"/>
    <s v="26-35"/>
    <s v="High"/>
    <x v="0"/>
    <x v="0"/>
    <s v="Sales_8"/>
    <n v="249"/>
    <n v="136"/>
    <n v="99"/>
    <n v="35"/>
    <s v="25.74"/>
    <n v="60553"/>
    <s v="2.73"/>
    <n v="44876"/>
    <n v="2119355"/>
    <n v="548695"/>
    <s v="Feb"/>
    <n v="2"/>
    <n v="2026"/>
    <s v="Weekday"/>
    <n v="0.35353535353535354"/>
    <n v="0.54618473895582331"/>
    <n v="0.14056224899598393"/>
    <n v="15677"/>
    <s v="Main Auto Hub"/>
  </r>
  <r>
    <s v="CUST_4916"/>
    <x v="27"/>
    <x v="3"/>
    <s v="Sunday"/>
    <s v="Yes"/>
    <x v="1"/>
    <x v="1"/>
    <s v="NRW"/>
    <x v="4"/>
    <s v="Tiguan"/>
    <s v="Electric"/>
    <x v="0"/>
    <s v="36-50"/>
    <s v="High"/>
    <x v="1"/>
    <x v="2"/>
    <s v="Sales_15"/>
    <n v="451"/>
    <n v="191"/>
    <n v="130"/>
    <n v="38"/>
    <s v="19.9"/>
    <n v="27262"/>
    <s v="7.73"/>
    <n v="23470"/>
    <n v="1035956"/>
    <n v="144096"/>
    <s v="Feb"/>
    <n v="2"/>
    <n v="2026"/>
    <s v="Weekend"/>
    <n v="0.29230769230769232"/>
    <n v="0.42350332594235035"/>
    <n v="8.4257206208425722E-2"/>
    <n v="3792"/>
    <s v="Rhein Auto Group"/>
  </r>
  <r>
    <s v="CUST_4917"/>
    <x v="1"/>
    <x v="1"/>
    <s v="Wednesday"/>
    <s v="No"/>
    <x v="5"/>
    <x v="5"/>
    <s v="Hamburg"/>
    <x v="0"/>
    <s v="X3"/>
    <s v="Petrol"/>
    <x v="0"/>
    <s v="26-35"/>
    <s v="High"/>
    <x v="0"/>
    <x v="2"/>
    <s v="Sales_10"/>
    <n v="186"/>
    <n v="95"/>
    <n v="65"/>
    <n v="30"/>
    <s v="31.58"/>
    <n v="58706"/>
    <s v="3.23"/>
    <n v="42761"/>
    <n v="1761180"/>
    <n v="478350"/>
    <s v="Feb"/>
    <n v="2"/>
    <n v="2026"/>
    <s v="Weekday"/>
    <n v="0.46153846153846156"/>
    <n v="0.510752688172043"/>
    <n v="0.16129032258064516"/>
    <n v="15945"/>
    <s v="Elbe Drive"/>
  </r>
  <r>
    <s v="CUST_4918"/>
    <x v="4"/>
    <x v="2"/>
    <s v="Wednesday"/>
    <s v="No"/>
    <x v="8"/>
    <x v="8"/>
    <s v="Baden-WÃ¼rttemberg"/>
    <x v="3"/>
    <s v="GLE"/>
    <s v="Petrol"/>
    <x v="0"/>
    <s v="26-35"/>
    <s v="High"/>
    <x v="1"/>
    <x v="0"/>
    <s v="Sales_4"/>
    <n v="197"/>
    <n v="116"/>
    <n v="83"/>
    <n v="26"/>
    <s v="22.41"/>
    <n v="49691"/>
    <s v="4.9"/>
    <n v="38663"/>
    <n v="1291966"/>
    <n v="286728"/>
    <s v="Feb"/>
    <n v="2"/>
    <n v="2026"/>
    <s v="Weekday"/>
    <n v="0.31325301204819278"/>
    <n v="0.58883248730964466"/>
    <n v="0.13197969543147209"/>
    <n v="11028"/>
    <s v="Stuttgart Auto Center"/>
  </r>
  <r>
    <s v="CUST_4919"/>
    <x v="19"/>
    <x v="1"/>
    <s v="Saturday"/>
    <s v="Yes"/>
    <x v="1"/>
    <x v="1"/>
    <s v="NRW"/>
    <x v="1"/>
    <s v="Mokka"/>
    <s v="Hybrid"/>
    <x v="0"/>
    <s v="26-35"/>
    <s v="High"/>
    <x v="0"/>
    <x v="3"/>
    <s v="Sales_5"/>
    <n v="327"/>
    <n v="168"/>
    <n v="110"/>
    <n v="25"/>
    <s v="14.88"/>
    <n v="20939"/>
    <s v="13.77"/>
    <n v="19325"/>
    <n v="523475"/>
    <n v="40350"/>
    <s v="Feb"/>
    <n v="2"/>
    <n v="2026"/>
    <s v="Weekend"/>
    <n v="0.22727272727272727"/>
    <n v="0.51376146788990829"/>
    <n v="7.64525993883792E-2"/>
    <n v="1614"/>
    <s v="Rhein Auto Group"/>
  </r>
  <r>
    <s v="CUST_4920"/>
    <x v="12"/>
    <x v="3"/>
    <s v="Thursday"/>
    <s v="No"/>
    <x v="5"/>
    <x v="5"/>
    <s v="Hamburg"/>
    <x v="1"/>
    <s v="Grandland"/>
    <s v="Hybrid"/>
    <x v="0"/>
    <s v="18-25"/>
    <s v="Low"/>
    <x v="1"/>
    <x v="2"/>
    <s v="Sales_4"/>
    <n v="347"/>
    <n v="181"/>
    <n v="120"/>
    <n v="33"/>
    <s v="18.23"/>
    <n v="24289"/>
    <s v="11.39"/>
    <n v="22205"/>
    <n v="801537"/>
    <n v="68772"/>
    <s v="Feb"/>
    <n v="2"/>
    <n v="2026"/>
    <s v="Weekday"/>
    <n v="0.27500000000000002"/>
    <n v="0.52161383285302598"/>
    <n v="9.5100864553314124E-2"/>
    <n v="2084"/>
    <s v="Elbe Drive"/>
  </r>
  <r>
    <s v="CUST_4921"/>
    <x v="14"/>
    <x v="2"/>
    <s v="Friday"/>
    <s v="No"/>
    <x v="8"/>
    <x v="8"/>
    <s v="Baden-WÃ¼rttemberg"/>
    <x v="0"/>
    <s v="i4"/>
    <s v="Hybrid"/>
    <x v="1"/>
    <s v="50+"/>
    <s v="High"/>
    <x v="0"/>
    <x v="1"/>
    <s v="Sales_20"/>
    <n v="272"/>
    <n v="151"/>
    <n v="123"/>
    <n v="42"/>
    <s v="27.81"/>
    <n v="50445"/>
    <s v="5.58"/>
    <n v="38773"/>
    <n v="2118690"/>
    <n v="490224"/>
    <s v="Feb"/>
    <n v="2"/>
    <n v="2026"/>
    <s v="Weekday"/>
    <n v="0.34146341463414637"/>
    <n v="0.55514705882352944"/>
    <n v="0.15441176470588236"/>
    <n v="11672"/>
    <s v="Stuttgart Auto Center"/>
  </r>
  <r>
    <s v="CUST_4922"/>
    <x v="9"/>
    <x v="0"/>
    <s v="Sunday"/>
    <s v="Yes"/>
    <x v="6"/>
    <x v="6"/>
    <s v="Saxony"/>
    <x v="0"/>
    <s v="i4"/>
    <s v="Diesel"/>
    <x v="1"/>
    <s v="36-50"/>
    <s v="Medium"/>
    <x v="0"/>
    <x v="1"/>
    <s v="Sales_5"/>
    <n v="167"/>
    <n v="97"/>
    <n v="66"/>
    <n v="26"/>
    <s v="26.8"/>
    <n v="50739"/>
    <s v="3.09"/>
    <n v="38351"/>
    <n v="1319214"/>
    <n v="322088"/>
    <s v="Feb"/>
    <n v="2"/>
    <n v="2026"/>
    <s v="Weekend"/>
    <n v="0.39393939393939392"/>
    <n v="0.58083832335329344"/>
    <n v="0.15568862275449102"/>
    <n v="12388"/>
    <s v="Leipzig Mobility"/>
  </r>
  <r>
    <s v="CUST_4923"/>
    <x v="1"/>
    <x v="1"/>
    <s v="Wednesday"/>
    <s v="No"/>
    <x v="7"/>
    <x v="7"/>
    <s v="Bavaria"/>
    <x v="0"/>
    <s v="i4"/>
    <s v="Electric"/>
    <x v="1"/>
    <s v="36-50"/>
    <s v="Low"/>
    <x v="0"/>
    <x v="2"/>
    <s v="Sales_3"/>
    <n v="156"/>
    <n v="70"/>
    <n v="57"/>
    <n v="23"/>
    <s v="32.86"/>
    <n v="57994"/>
    <s v="4.0"/>
    <n v="43103"/>
    <n v="1333862"/>
    <n v="342493"/>
    <s v="Feb"/>
    <n v="2"/>
    <n v="2026"/>
    <s v="Weekday"/>
    <n v="0.40350877192982454"/>
    <n v="0.44871794871794873"/>
    <n v="0.14743589743589744"/>
    <n v="14891"/>
    <s v="Bavaria Motors"/>
  </r>
  <r>
    <s v="CUST_4924"/>
    <x v="21"/>
    <x v="0"/>
    <s v="Tuesday"/>
    <s v="No"/>
    <x v="1"/>
    <x v="1"/>
    <s v="NRW"/>
    <x v="4"/>
    <s v="Tiguan"/>
    <s v="Petrol"/>
    <x v="0"/>
    <s v="18-25"/>
    <s v="Medium"/>
    <x v="0"/>
    <x v="0"/>
    <s v="Sales_17"/>
    <n v="344"/>
    <n v="172"/>
    <n v="111"/>
    <n v="22"/>
    <s v="12.79"/>
    <n v="33622"/>
    <s v="8.17"/>
    <n v="29360"/>
    <n v="739684"/>
    <n v="93764"/>
    <s v="Feb"/>
    <n v="2"/>
    <n v="2026"/>
    <s v="Weekday"/>
    <n v="0.1981981981981982"/>
    <n v="0.5"/>
    <n v="6.3953488372093026E-2"/>
    <n v="4262"/>
    <s v="Rhein Auto Group"/>
  </r>
  <r>
    <s v="CUST_4925"/>
    <x v="3"/>
    <x v="1"/>
    <s v="Sunday"/>
    <s v="Yes"/>
    <x v="4"/>
    <x v="4"/>
    <s v="Berlin"/>
    <x v="4"/>
    <s v="Golf"/>
    <s v="Petrol"/>
    <x v="2"/>
    <s v="50+"/>
    <s v="High"/>
    <x v="1"/>
    <x v="1"/>
    <s v="Sales_8"/>
    <n v="329"/>
    <n v="161"/>
    <n v="94"/>
    <n v="27"/>
    <s v="16.77"/>
    <n v="34999"/>
    <s v="6.63"/>
    <n v="30265"/>
    <n v="944973"/>
    <n v="127818"/>
    <s v="Feb"/>
    <n v="2"/>
    <n v="2026"/>
    <s v="Weekend"/>
    <n v="0.28723404255319152"/>
    <n v="0.48936170212765956"/>
    <n v="8.2066869300911852E-2"/>
    <n v="4734"/>
    <s v="Autohaus Berlin"/>
  </r>
  <r>
    <s v="CUST_4926"/>
    <x v="6"/>
    <x v="2"/>
    <s v="Saturday"/>
    <s v="Yes"/>
    <x v="6"/>
    <x v="6"/>
    <s v="Saxony"/>
    <x v="3"/>
    <s v="GLE"/>
    <s v="Electric"/>
    <x v="0"/>
    <s v="50+"/>
    <s v="Medium"/>
    <x v="0"/>
    <x v="2"/>
    <s v="Sales_7"/>
    <n v="149"/>
    <n v="68"/>
    <n v="50"/>
    <n v="19"/>
    <s v="27.94"/>
    <n v="60801"/>
    <s v="5.76"/>
    <n v="44147"/>
    <n v="1155219"/>
    <n v="316426"/>
    <s v="Feb"/>
    <n v="2"/>
    <n v="2026"/>
    <s v="Weekend"/>
    <n v="0.38"/>
    <n v="0.4563758389261745"/>
    <n v="0.12751677852348994"/>
    <n v="16654"/>
    <s v="Leipzig Mobility"/>
  </r>
  <r>
    <s v="CUST_4927"/>
    <x v="27"/>
    <x v="3"/>
    <s v="Sunday"/>
    <s v="Yes"/>
    <x v="6"/>
    <x v="6"/>
    <s v="Saxony"/>
    <x v="3"/>
    <s v="E-Class"/>
    <s v="Petrol"/>
    <x v="1"/>
    <s v="50+"/>
    <s v="Low"/>
    <x v="1"/>
    <x v="2"/>
    <s v="Sales_2"/>
    <n v="272"/>
    <n v="143"/>
    <n v="104"/>
    <n v="39"/>
    <s v="27.27"/>
    <n v="53331"/>
    <s v="4.05"/>
    <n v="39750"/>
    <n v="2079909"/>
    <n v="529659"/>
    <s v="Feb"/>
    <n v="2"/>
    <n v="2026"/>
    <s v="Weekend"/>
    <n v="0.375"/>
    <n v="0.52573529411764708"/>
    <n v="0.14338235294117646"/>
    <n v="13581"/>
    <s v="Leipzig Mobility"/>
  </r>
  <r>
    <s v="CUST_4928"/>
    <x v="22"/>
    <x v="3"/>
    <s v="Tuesday"/>
    <s v="No"/>
    <x v="9"/>
    <x v="9"/>
    <s v="NRW"/>
    <x v="3"/>
    <s v="GLE"/>
    <s v="Hybrid"/>
    <x v="0"/>
    <s v="50+"/>
    <s v="Medium"/>
    <x v="1"/>
    <x v="3"/>
    <s v="Sales_14"/>
    <n v="233"/>
    <n v="117"/>
    <n v="91"/>
    <n v="26"/>
    <s v="22.22"/>
    <n v="60962"/>
    <s v="2.1"/>
    <n v="43413"/>
    <n v="1585012"/>
    <n v="456274"/>
    <s v="Feb"/>
    <n v="2"/>
    <n v="2026"/>
    <s v="Weekday"/>
    <n v="0.2857142857142857"/>
    <n v="0.50214592274678116"/>
    <n v="0.11158798283261803"/>
    <n v="17549"/>
    <s v="Ruhr Auto Plaza"/>
  </r>
  <r>
    <s v="CUST_4929"/>
    <x v="11"/>
    <x v="0"/>
    <s v="Wednesday"/>
    <s v="No"/>
    <x v="2"/>
    <x v="2"/>
    <s v="Lower Saxony"/>
    <x v="2"/>
    <s v="A3"/>
    <s v="Electric"/>
    <x v="2"/>
    <s v="50+"/>
    <s v="High"/>
    <x v="0"/>
    <x v="2"/>
    <s v="Sales_13"/>
    <n v="296"/>
    <n v="163"/>
    <n v="112"/>
    <n v="43"/>
    <s v="26.38"/>
    <n v="49665"/>
    <s v="6.18"/>
    <n v="39495"/>
    <n v="2135595"/>
    <n v="437310"/>
    <s v="Feb"/>
    <n v="2"/>
    <n v="2026"/>
    <s v="Weekday"/>
    <n v="0.38392857142857145"/>
    <n v="0.55067567567567566"/>
    <n v="0.14527027027027026"/>
    <n v="10170"/>
    <s v="Hannover Cars"/>
  </r>
  <r>
    <s v="CUST_4930"/>
    <x v="12"/>
    <x v="3"/>
    <s v="Thursday"/>
    <s v="No"/>
    <x v="9"/>
    <x v="9"/>
    <s v="NRW"/>
    <x v="2"/>
    <s v="A3"/>
    <s v="Hybrid"/>
    <x v="2"/>
    <s v="36-50"/>
    <s v="High"/>
    <x v="1"/>
    <x v="3"/>
    <s v="Sales_14"/>
    <n v="253"/>
    <n v="161"/>
    <n v="121"/>
    <n v="35"/>
    <s v="21.74"/>
    <n v="52692"/>
    <s v="5.85"/>
    <n v="39553"/>
    <n v="1844220"/>
    <n v="459865"/>
    <s v="Feb"/>
    <n v="2"/>
    <n v="2026"/>
    <s v="Weekday"/>
    <n v="0.28925619834710742"/>
    <n v="0.63636363636363635"/>
    <n v="0.13833992094861661"/>
    <n v="13139"/>
    <s v="Ruhr Auto Plaza"/>
  </r>
  <r>
    <s v="CUST_4931"/>
    <x v="20"/>
    <x v="0"/>
    <s v="Thursday"/>
    <s v="No"/>
    <x v="9"/>
    <x v="9"/>
    <s v="NRW"/>
    <x v="3"/>
    <s v="E-Class"/>
    <s v="Diesel"/>
    <x v="1"/>
    <s v="18-25"/>
    <s v="Low"/>
    <x v="0"/>
    <x v="3"/>
    <s v="Sales_19"/>
    <n v="194"/>
    <n v="95"/>
    <n v="69"/>
    <n v="23"/>
    <s v="24.21"/>
    <n v="71460"/>
    <s v="2.37"/>
    <n v="51448"/>
    <n v="1643580"/>
    <n v="460276"/>
    <s v="Feb"/>
    <n v="2"/>
    <n v="2026"/>
    <s v="Weekday"/>
    <n v="0.33333333333333331"/>
    <n v="0.48969072164948452"/>
    <n v="0.11855670103092783"/>
    <n v="20012"/>
    <s v="Ruhr Auto Plaza"/>
  </r>
  <r>
    <s v="CUST_4932"/>
    <x v="15"/>
    <x v="2"/>
    <s v="Thursday"/>
    <s v="No"/>
    <x v="7"/>
    <x v="7"/>
    <s v="Bavaria"/>
    <x v="0"/>
    <s v="X3"/>
    <s v="Hybrid"/>
    <x v="0"/>
    <s v="36-50"/>
    <s v="Low"/>
    <x v="0"/>
    <x v="0"/>
    <s v="Sales_4"/>
    <n v="219"/>
    <n v="135"/>
    <n v="103"/>
    <n v="42"/>
    <s v="31.11"/>
    <n v="57031"/>
    <s v="4.37"/>
    <n v="43226"/>
    <n v="2395302"/>
    <n v="579810"/>
    <s v="Feb"/>
    <n v="2"/>
    <n v="2026"/>
    <s v="Weekday"/>
    <n v="0.40776699029126212"/>
    <n v="0.61643835616438358"/>
    <n v="0.19178082191780821"/>
    <n v="13805"/>
    <s v="Bavaria Motors"/>
  </r>
  <r>
    <s v="CUST_4933"/>
    <x v="9"/>
    <x v="0"/>
    <s v="Sunday"/>
    <s v="Yes"/>
    <x v="8"/>
    <x v="8"/>
    <s v="Baden-WÃ¼rttemberg"/>
    <x v="3"/>
    <s v="GLE"/>
    <s v="Electric"/>
    <x v="0"/>
    <s v="26-35"/>
    <s v="Medium"/>
    <x v="1"/>
    <x v="1"/>
    <s v="Sales_15"/>
    <n v="181"/>
    <n v="102"/>
    <n v="80"/>
    <n v="25"/>
    <s v="24.51"/>
    <n v="65613"/>
    <s v="5.39"/>
    <n v="50471"/>
    <n v="1640325"/>
    <n v="378550"/>
    <s v="Feb"/>
    <n v="2"/>
    <n v="2026"/>
    <s v="Weekend"/>
    <n v="0.3125"/>
    <n v="0.56353591160220995"/>
    <n v="0.13812154696132597"/>
    <n v="15142"/>
    <s v="Stuttgart Auto Center"/>
  </r>
  <r>
    <s v="CUST_4934"/>
    <x v="20"/>
    <x v="0"/>
    <s v="Thursday"/>
    <s v="No"/>
    <x v="7"/>
    <x v="7"/>
    <s v="Bavaria"/>
    <x v="0"/>
    <s v="3 Series"/>
    <s v="Diesel"/>
    <x v="1"/>
    <s v="36-50"/>
    <s v="High"/>
    <x v="1"/>
    <x v="1"/>
    <s v="Sales_4"/>
    <n v="266"/>
    <n v="141"/>
    <n v="106"/>
    <n v="44"/>
    <s v="31.21"/>
    <n v="62774"/>
    <s v="3.55"/>
    <n v="48873"/>
    <n v="2762056"/>
    <n v="611644"/>
    <s v="Feb"/>
    <n v="2"/>
    <n v="2026"/>
    <s v="Weekday"/>
    <n v="0.41509433962264153"/>
    <n v="0.53007518796992481"/>
    <n v="0.16541353383458646"/>
    <n v="13901"/>
    <s v="Bavaria Motors"/>
  </r>
  <r>
    <s v="CUST_4935"/>
    <x v="16"/>
    <x v="1"/>
    <s v="Tuesday"/>
    <s v="No"/>
    <x v="6"/>
    <x v="6"/>
    <s v="Saxony"/>
    <x v="1"/>
    <s v="Grandland"/>
    <s v="Diesel"/>
    <x v="0"/>
    <s v="36-50"/>
    <s v="Medium"/>
    <x v="1"/>
    <x v="3"/>
    <s v="Sales_5"/>
    <n v="322"/>
    <n v="153"/>
    <n v="102"/>
    <n v="22"/>
    <s v="14.38"/>
    <n v="22933"/>
    <s v="11.83"/>
    <n v="20819"/>
    <n v="504526"/>
    <n v="46508"/>
    <s v="Feb"/>
    <n v="2"/>
    <n v="2026"/>
    <s v="Weekday"/>
    <n v="0.21568627450980393"/>
    <n v="0.4751552795031056"/>
    <n v="6.8322981366459631E-2"/>
    <n v="2114"/>
    <s v="Leipzig Mobility"/>
  </r>
  <r>
    <s v="CUST_4936"/>
    <x v="24"/>
    <x v="1"/>
    <s v="Thursday"/>
    <s v="No"/>
    <x v="4"/>
    <x v="4"/>
    <s v="Berlin"/>
    <x v="0"/>
    <s v="X5"/>
    <s v="Electric"/>
    <x v="0"/>
    <s v="26-35"/>
    <s v="High"/>
    <x v="0"/>
    <x v="3"/>
    <s v="Sales_1"/>
    <n v="164"/>
    <n v="90"/>
    <n v="73"/>
    <n v="26"/>
    <s v="28.89"/>
    <n v="59945"/>
    <s v="2.9"/>
    <n v="45751"/>
    <n v="1558570"/>
    <n v="369044"/>
    <s v="Feb"/>
    <n v="2"/>
    <n v="2026"/>
    <s v="Weekday"/>
    <n v="0.35616438356164382"/>
    <n v="0.54878048780487809"/>
    <n v="0.15853658536585366"/>
    <n v="14194"/>
    <s v="Autohaus Berlin"/>
  </r>
  <r>
    <s v="CUST_4937"/>
    <x v="17"/>
    <x v="2"/>
    <s v="Sunday"/>
    <s v="Yes"/>
    <x v="0"/>
    <x v="0"/>
    <s v="Hesse"/>
    <x v="4"/>
    <s v="Tiguan"/>
    <s v="Hybrid"/>
    <x v="0"/>
    <s v="50+"/>
    <s v="High"/>
    <x v="0"/>
    <x v="3"/>
    <s v="Sales_5"/>
    <n v="434"/>
    <n v="175"/>
    <n v="121"/>
    <n v="23"/>
    <s v="13.14"/>
    <n v="31503"/>
    <s v="6.19"/>
    <n v="27653"/>
    <n v="724569"/>
    <n v="88550"/>
    <s v="Feb"/>
    <n v="2"/>
    <n v="2026"/>
    <s v="Weekend"/>
    <n v="0.19008264462809918"/>
    <n v="0.40322580645161288"/>
    <n v="5.2995391705069124E-2"/>
    <n v="3850"/>
    <s v="Main Auto Hub"/>
  </r>
  <r>
    <s v="CUST_4938"/>
    <x v="7"/>
    <x v="3"/>
    <s v="Monday"/>
    <s v="No"/>
    <x v="5"/>
    <x v="5"/>
    <s v="Hamburg"/>
    <x v="0"/>
    <s v="5 Series"/>
    <s v="Petrol"/>
    <x v="1"/>
    <s v="26-35"/>
    <s v="Low"/>
    <x v="1"/>
    <x v="0"/>
    <s v="Sales_15"/>
    <n v="276"/>
    <n v="147"/>
    <n v="105"/>
    <n v="38"/>
    <s v="25.85"/>
    <n v="53884"/>
    <s v="3.9"/>
    <n v="37886"/>
    <n v="2047592"/>
    <n v="607924"/>
    <s v="Feb"/>
    <n v="2"/>
    <n v="2026"/>
    <s v="Weekday"/>
    <n v="0.3619047619047619"/>
    <n v="0.53260869565217395"/>
    <n v="0.13768115942028986"/>
    <n v="15998"/>
    <s v="Elbe Drive"/>
  </r>
  <r>
    <s v="CUST_4939"/>
    <x v="2"/>
    <x v="2"/>
    <s v="Monday"/>
    <s v="No"/>
    <x v="6"/>
    <x v="6"/>
    <s v="Saxony"/>
    <x v="0"/>
    <s v="i4"/>
    <s v="Diesel"/>
    <x v="1"/>
    <s v="36-50"/>
    <s v="High"/>
    <x v="1"/>
    <x v="2"/>
    <s v="Sales_4"/>
    <n v="224"/>
    <n v="134"/>
    <n v="93"/>
    <n v="38"/>
    <s v="28.36"/>
    <n v="50900"/>
    <s v="5.27"/>
    <n v="38305"/>
    <n v="1934200"/>
    <n v="478610"/>
    <s v="Feb"/>
    <n v="2"/>
    <n v="2026"/>
    <s v="Weekday"/>
    <n v="0.40860215053763443"/>
    <n v="0.5982142857142857"/>
    <n v="0.16964285714285715"/>
    <n v="12595"/>
    <s v="Leipzig Mobility"/>
  </r>
  <r>
    <s v="CUST_4940"/>
    <x v="23"/>
    <x v="2"/>
    <s v="Tuesday"/>
    <s v="No"/>
    <x v="5"/>
    <x v="5"/>
    <s v="Hamburg"/>
    <x v="1"/>
    <s v="Astra"/>
    <s v="Hybrid"/>
    <x v="2"/>
    <s v="36-50"/>
    <s v="High"/>
    <x v="1"/>
    <x v="1"/>
    <s v="Sales_11"/>
    <n v="260"/>
    <n v="137"/>
    <n v="78"/>
    <n v="27"/>
    <s v="19.71"/>
    <n v="21266"/>
    <s v="9.13"/>
    <n v="19318"/>
    <n v="574182"/>
    <n v="52596"/>
    <s v="Feb"/>
    <n v="2"/>
    <n v="2026"/>
    <s v="Weekday"/>
    <n v="0.34615384615384615"/>
    <n v="0.52692307692307694"/>
    <n v="0.10384615384615385"/>
    <n v="1948"/>
    <s v="Elbe Drive"/>
  </r>
  <r>
    <s v="CUST_4941"/>
    <x v="9"/>
    <x v="0"/>
    <s v="Sunday"/>
    <s v="Yes"/>
    <x v="6"/>
    <x v="6"/>
    <s v="Saxony"/>
    <x v="0"/>
    <s v="X3"/>
    <s v="Electric"/>
    <x v="0"/>
    <s v="50+"/>
    <s v="Medium"/>
    <x v="1"/>
    <x v="3"/>
    <s v="Sales_15"/>
    <n v="186"/>
    <n v="84"/>
    <n v="68"/>
    <n v="20"/>
    <s v="23.81"/>
    <n v="53454"/>
    <s v="5.38"/>
    <n v="40690"/>
    <n v="1069080"/>
    <n v="255280"/>
    <s v="Feb"/>
    <n v="2"/>
    <n v="2026"/>
    <s v="Weekend"/>
    <n v="0.29411764705882354"/>
    <n v="0.45161290322580644"/>
    <n v="0.10752688172043011"/>
    <n v="12764"/>
    <s v="Leipzig Mobility"/>
  </r>
  <r>
    <s v="CUST_4942"/>
    <x v="9"/>
    <x v="0"/>
    <s v="Sunday"/>
    <s v="Yes"/>
    <x v="2"/>
    <x v="2"/>
    <s v="Lower Saxony"/>
    <x v="2"/>
    <s v="e-tron"/>
    <s v="Diesel"/>
    <x v="0"/>
    <s v="36-50"/>
    <s v="Medium"/>
    <x v="0"/>
    <x v="0"/>
    <s v="Sales_16"/>
    <n v="276"/>
    <n v="170"/>
    <n v="111"/>
    <n v="37"/>
    <s v="21.76"/>
    <n v="44937"/>
    <s v="4.95"/>
    <n v="34058"/>
    <n v="1662669"/>
    <n v="402523"/>
    <s v="Feb"/>
    <n v="2"/>
    <n v="2026"/>
    <s v="Weekend"/>
    <n v="0.33333333333333331"/>
    <n v="0.61594202898550721"/>
    <n v="0.13405797101449277"/>
    <n v="10879"/>
    <s v="Hannover Cars"/>
  </r>
  <r>
    <s v="CUST_4943"/>
    <x v="18"/>
    <x v="0"/>
    <s v="Saturday"/>
    <s v="Yes"/>
    <x v="7"/>
    <x v="7"/>
    <s v="Bavaria"/>
    <x v="4"/>
    <s v="Tiguan"/>
    <s v="Diesel"/>
    <x v="0"/>
    <s v="36-50"/>
    <s v="Medium"/>
    <x v="0"/>
    <x v="2"/>
    <s v="Sales_20"/>
    <n v="364"/>
    <n v="206"/>
    <n v="127"/>
    <n v="43"/>
    <s v="20.87"/>
    <n v="30815"/>
    <s v="7.29"/>
    <n v="26565"/>
    <n v="1325045"/>
    <n v="182750"/>
    <s v="Feb"/>
    <n v="2"/>
    <n v="2026"/>
    <s v="Weekend"/>
    <n v="0.33858267716535434"/>
    <n v="0.56593406593406592"/>
    <n v="0.11813186813186813"/>
    <n v="4250"/>
    <s v="Bavaria Motors"/>
  </r>
  <r>
    <s v="CUST_4944"/>
    <x v="0"/>
    <x v="0"/>
    <s v="Monday"/>
    <s v="No"/>
    <x v="9"/>
    <x v="9"/>
    <s v="NRW"/>
    <x v="3"/>
    <s v="GLE"/>
    <s v="Petrol"/>
    <x v="0"/>
    <s v="36-50"/>
    <s v="Medium"/>
    <x v="0"/>
    <x v="2"/>
    <s v="Sales_12"/>
    <n v="260"/>
    <n v="155"/>
    <n v="108"/>
    <n v="45"/>
    <s v="29.03"/>
    <n v="68626"/>
    <s v="2.32"/>
    <n v="53024"/>
    <n v="3088170"/>
    <n v="702090"/>
    <s v="Feb"/>
    <n v="2"/>
    <n v="2026"/>
    <s v="Weekday"/>
    <n v="0.41666666666666669"/>
    <n v="0.59615384615384615"/>
    <n v="0.17307692307692307"/>
    <n v="15602"/>
    <s v="Ruhr Auto Plaza"/>
  </r>
  <r>
    <s v="CUST_4945"/>
    <x v="13"/>
    <x v="0"/>
    <s v="Friday"/>
    <s v="No"/>
    <x v="3"/>
    <x v="3"/>
    <s v="Saxony"/>
    <x v="0"/>
    <s v="5 Series"/>
    <s v="Diesel"/>
    <x v="1"/>
    <s v="26-35"/>
    <s v="Low"/>
    <x v="1"/>
    <x v="1"/>
    <s v="Sales_9"/>
    <n v="143"/>
    <n v="79"/>
    <n v="64"/>
    <n v="21"/>
    <s v="26.58"/>
    <n v="67411"/>
    <s v="5.46"/>
    <n v="52169"/>
    <n v="1415631"/>
    <n v="320082"/>
    <s v="Feb"/>
    <n v="2"/>
    <n v="2026"/>
    <s v="Weekday"/>
    <n v="0.328125"/>
    <n v="0.55244755244755239"/>
    <n v="0.14685314685314685"/>
    <n v="15242"/>
    <s v="Saxon Wheels"/>
  </r>
  <r>
    <s v="CUST_4946"/>
    <x v="5"/>
    <x v="3"/>
    <s v="Saturday"/>
    <s v="Yes"/>
    <x v="2"/>
    <x v="2"/>
    <s v="Lower Saxony"/>
    <x v="4"/>
    <s v="ID.4"/>
    <s v="Diesel"/>
    <x v="0"/>
    <s v="36-50"/>
    <s v="Low"/>
    <x v="1"/>
    <x v="0"/>
    <s v="Sales_20"/>
    <n v="322"/>
    <n v="150"/>
    <n v="89"/>
    <n v="20"/>
    <s v="13.33"/>
    <n v="31300"/>
    <s v="10.51"/>
    <n v="28006"/>
    <n v="626000"/>
    <n v="65880"/>
    <s v="Feb"/>
    <n v="2"/>
    <n v="2026"/>
    <s v="Weekend"/>
    <n v="0.2247191011235955"/>
    <n v="0.46583850931677018"/>
    <n v="6.2111801242236024E-2"/>
    <n v="3294"/>
    <s v="Hannover Cars"/>
  </r>
  <r>
    <s v="CUST_4947"/>
    <x v="16"/>
    <x v="1"/>
    <s v="Tuesday"/>
    <s v="No"/>
    <x v="7"/>
    <x v="7"/>
    <s v="Bavaria"/>
    <x v="1"/>
    <s v="Corsa"/>
    <s v="Petrol"/>
    <x v="2"/>
    <s v="50+"/>
    <s v="Low"/>
    <x v="0"/>
    <x v="1"/>
    <s v="Sales_20"/>
    <n v="301"/>
    <n v="154"/>
    <n v="90"/>
    <n v="30"/>
    <s v="19.48"/>
    <n v="25396"/>
    <s v="12.9"/>
    <n v="23538"/>
    <n v="761880"/>
    <n v="55740"/>
    <s v="Feb"/>
    <n v="2"/>
    <n v="2026"/>
    <s v="Weekday"/>
    <n v="0.33333333333333331"/>
    <n v="0.51162790697674421"/>
    <n v="9.9667774086378738E-2"/>
    <n v="1858"/>
    <s v="Bavaria Motors"/>
  </r>
  <r>
    <s v="CUST_4948"/>
    <x v="21"/>
    <x v="0"/>
    <s v="Tuesday"/>
    <s v="No"/>
    <x v="1"/>
    <x v="1"/>
    <s v="NRW"/>
    <x v="1"/>
    <s v="Corsa"/>
    <s v="Diesel"/>
    <x v="2"/>
    <s v="26-35"/>
    <s v="Low"/>
    <x v="0"/>
    <x v="3"/>
    <s v="Sales_16"/>
    <n v="254"/>
    <n v="119"/>
    <n v="75"/>
    <n v="20"/>
    <s v="16.81"/>
    <n v="20778"/>
    <s v="7.07"/>
    <n v="18944"/>
    <n v="415560"/>
    <n v="36680"/>
    <s v="Feb"/>
    <n v="2"/>
    <n v="2026"/>
    <s v="Weekday"/>
    <n v="0.26666666666666666"/>
    <n v="0.46850393700787402"/>
    <n v="7.874015748031496E-2"/>
    <n v="1834"/>
    <s v="Rhein Auto Group"/>
  </r>
  <r>
    <s v="CUST_4949"/>
    <x v="13"/>
    <x v="0"/>
    <s v="Friday"/>
    <s v="No"/>
    <x v="1"/>
    <x v="1"/>
    <s v="NRW"/>
    <x v="4"/>
    <s v="Golf"/>
    <s v="Diesel"/>
    <x v="2"/>
    <s v="18-25"/>
    <s v="Medium"/>
    <x v="0"/>
    <x v="3"/>
    <s v="Sales_7"/>
    <n v="386"/>
    <n v="192"/>
    <n v="129"/>
    <n v="27"/>
    <s v="14.06"/>
    <n v="29159"/>
    <s v="11.41"/>
    <n v="25387"/>
    <n v="787293"/>
    <n v="101844"/>
    <s v="Feb"/>
    <n v="2"/>
    <n v="2026"/>
    <s v="Weekday"/>
    <n v="0.20930232558139536"/>
    <n v="0.49740932642487046"/>
    <n v="6.9948186528497408E-2"/>
    <n v="3772"/>
    <s v="Rhein Auto Group"/>
  </r>
  <r>
    <s v="CUST_4950"/>
    <x v="20"/>
    <x v="0"/>
    <s v="Thursday"/>
    <s v="No"/>
    <x v="2"/>
    <x v="2"/>
    <s v="Lower Saxony"/>
    <x v="2"/>
    <s v="Q3"/>
    <s v="Hybrid"/>
    <x v="0"/>
    <s v="26-35"/>
    <s v="High"/>
    <x v="1"/>
    <x v="0"/>
    <s v="Sales_10"/>
    <n v="178"/>
    <n v="82"/>
    <n v="56"/>
    <n v="17"/>
    <s v="20.73"/>
    <n v="42992"/>
    <s v="5.77"/>
    <n v="34169"/>
    <n v="730864"/>
    <n v="149991"/>
    <s v="Feb"/>
    <n v="2"/>
    <n v="2026"/>
    <s v="Weekday"/>
    <n v="0.30357142857142855"/>
    <n v="0.4606741573033708"/>
    <n v="9.5505617977528087E-2"/>
    <n v="8823"/>
    <s v="Hannover Cars"/>
  </r>
  <r>
    <s v="CUST_4951"/>
    <x v="4"/>
    <x v="2"/>
    <s v="Wednesday"/>
    <s v="No"/>
    <x v="4"/>
    <x v="4"/>
    <s v="Berlin"/>
    <x v="3"/>
    <s v="GLE"/>
    <s v="Hybrid"/>
    <x v="0"/>
    <s v="26-35"/>
    <s v="Medium"/>
    <x v="1"/>
    <x v="3"/>
    <s v="Sales_1"/>
    <n v="186"/>
    <n v="99"/>
    <n v="76"/>
    <n v="23"/>
    <s v="23.23"/>
    <n v="66426"/>
    <s v="2.68"/>
    <n v="50526"/>
    <n v="1527798"/>
    <n v="365700"/>
    <s v="Feb"/>
    <n v="2"/>
    <n v="2026"/>
    <s v="Weekday"/>
    <n v="0.30263157894736842"/>
    <n v="0.532258064516129"/>
    <n v="0.12365591397849462"/>
    <n v="15900"/>
    <s v="Autohaus Berlin"/>
  </r>
  <r>
    <s v="CUST_4952"/>
    <x v="2"/>
    <x v="2"/>
    <s v="Monday"/>
    <s v="No"/>
    <x v="1"/>
    <x v="1"/>
    <s v="NRW"/>
    <x v="0"/>
    <s v="X5"/>
    <s v="Electric"/>
    <x v="0"/>
    <s v="18-25"/>
    <s v="High"/>
    <x v="0"/>
    <x v="0"/>
    <s v="Sales_19"/>
    <n v="201"/>
    <n v="92"/>
    <n v="73"/>
    <n v="23"/>
    <s v="25.0"/>
    <n v="57783"/>
    <s v="4.38"/>
    <n v="43445"/>
    <n v="1329009"/>
    <n v="329774"/>
    <s v="Feb"/>
    <n v="2"/>
    <n v="2026"/>
    <s v="Weekday"/>
    <n v="0.31506849315068491"/>
    <n v="0.45771144278606968"/>
    <n v="0.11442786069651742"/>
    <n v="14338"/>
    <s v="Rhein Auto Group"/>
  </r>
  <r>
    <s v="CUST_4953"/>
    <x v="11"/>
    <x v="0"/>
    <s v="Wednesday"/>
    <s v="No"/>
    <x v="5"/>
    <x v="5"/>
    <s v="Hamburg"/>
    <x v="0"/>
    <s v="X3"/>
    <s v="Hybrid"/>
    <x v="0"/>
    <s v="18-25"/>
    <s v="Medium"/>
    <x v="0"/>
    <x v="0"/>
    <s v="Sales_4"/>
    <n v="183"/>
    <n v="88"/>
    <n v="67"/>
    <n v="24"/>
    <s v="27.27"/>
    <n v="66147"/>
    <s v="5.69"/>
    <n v="47887"/>
    <n v="1587528"/>
    <n v="438240"/>
    <s v="Feb"/>
    <n v="2"/>
    <n v="2026"/>
    <s v="Weekday"/>
    <n v="0.35820895522388058"/>
    <n v="0.48087431693989069"/>
    <n v="0.13114754098360656"/>
    <n v="18260"/>
    <s v="Elbe Drive"/>
  </r>
  <r>
    <s v="CUST_4954"/>
    <x v="2"/>
    <x v="2"/>
    <s v="Monday"/>
    <s v="No"/>
    <x v="1"/>
    <x v="1"/>
    <s v="NRW"/>
    <x v="0"/>
    <s v="X5"/>
    <s v="Diesel"/>
    <x v="0"/>
    <s v="26-35"/>
    <s v="Low"/>
    <x v="1"/>
    <x v="3"/>
    <s v="Sales_1"/>
    <n v="163"/>
    <n v="86"/>
    <n v="59"/>
    <n v="24"/>
    <s v="27.91"/>
    <n v="53979"/>
    <s v="3.38"/>
    <n v="41976"/>
    <n v="1295496"/>
    <n v="288072"/>
    <s v="Feb"/>
    <n v="2"/>
    <n v="2026"/>
    <s v="Weekday"/>
    <n v="0.40677966101694918"/>
    <n v="0.52760736196319014"/>
    <n v="0.14723926380368099"/>
    <n v="12003"/>
    <s v="Rhein Auto Group"/>
  </r>
  <r>
    <s v="CUST_4955"/>
    <x v="0"/>
    <x v="0"/>
    <s v="Monday"/>
    <s v="No"/>
    <x v="8"/>
    <x v="8"/>
    <s v="Baden-WÃ¼rttemberg"/>
    <x v="4"/>
    <s v="Tiguan"/>
    <s v="Petrol"/>
    <x v="0"/>
    <s v="26-35"/>
    <s v="Medium"/>
    <x v="1"/>
    <x v="1"/>
    <s v="Sales_14"/>
    <n v="469"/>
    <n v="204"/>
    <n v="140"/>
    <n v="35"/>
    <s v="17.16"/>
    <n v="35500"/>
    <s v="6.44"/>
    <n v="32199"/>
    <n v="1242500"/>
    <n v="115535"/>
    <s v="Feb"/>
    <n v="2"/>
    <n v="2026"/>
    <s v="Weekday"/>
    <n v="0.25"/>
    <n v="0.43496801705756932"/>
    <n v="7.4626865671641784E-2"/>
    <n v="3301"/>
    <s v="Stuttgart Auto Center"/>
  </r>
  <r>
    <s v="CUST_4956"/>
    <x v="3"/>
    <x v="1"/>
    <s v="Sunday"/>
    <s v="Yes"/>
    <x v="1"/>
    <x v="1"/>
    <s v="NRW"/>
    <x v="2"/>
    <s v="A3"/>
    <s v="Petrol"/>
    <x v="2"/>
    <s v="36-50"/>
    <s v="Medium"/>
    <x v="0"/>
    <x v="3"/>
    <s v="Sales_9"/>
    <n v="268"/>
    <n v="126"/>
    <n v="94"/>
    <n v="26"/>
    <s v="20.63"/>
    <n v="51626"/>
    <s v="4.71"/>
    <n v="39179"/>
    <n v="1342276"/>
    <n v="323622"/>
    <s v="Feb"/>
    <n v="2"/>
    <n v="2026"/>
    <s v="Weekend"/>
    <n v="0.27659574468085107"/>
    <n v="0.47014925373134331"/>
    <n v="9.7014925373134331E-2"/>
    <n v="12447"/>
    <s v="Rhein Auto Group"/>
  </r>
  <r>
    <s v="CUST_4957"/>
    <x v="3"/>
    <x v="1"/>
    <s v="Sunday"/>
    <s v="Yes"/>
    <x v="7"/>
    <x v="7"/>
    <s v="Bavaria"/>
    <x v="1"/>
    <s v="Corsa"/>
    <s v="Diesel"/>
    <x v="2"/>
    <s v="50+"/>
    <s v="Low"/>
    <x v="1"/>
    <x v="0"/>
    <s v="Sales_5"/>
    <n v="342"/>
    <n v="155"/>
    <n v="106"/>
    <n v="21"/>
    <s v="13.55"/>
    <n v="25920"/>
    <s v="11.27"/>
    <n v="23078"/>
    <n v="544320"/>
    <n v="59682"/>
    <s v="Feb"/>
    <n v="2"/>
    <n v="2026"/>
    <s v="Weekend"/>
    <n v="0.19811320754716982"/>
    <n v="0.45321637426900585"/>
    <n v="6.1403508771929821E-2"/>
    <n v="2842"/>
    <s v="Bavaria Motors"/>
  </r>
  <r>
    <s v="CUST_4958"/>
    <x v="12"/>
    <x v="3"/>
    <s v="Thursday"/>
    <s v="No"/>
    <x v="7"/>
    <x v="7"/>
    <s v="Bavaria"/>
    <x v="2"/>
    <s v="Q5"/>
    <s v="Hybrid"/>
    <x v="0"/>
    <s v="36-50"/>
    <s v="Low"/>
    <x v="1"/>
    <x v="1"/>
    <s v="Sales_12"/>
    <n v="239"/>
    <n v="149"/>
    <n v="110"/>
    <n v="36"/>
    <s v="24.16"/>
    <n v="46448"/>
    <s v="3.47"/>
    <n v="36165"/>
    <n v="1672128"/>
    <n v="370188"/>
    <s v="Feb"/>
    <n v="2"/>
    <n v="2026"/>
    <s v="Weekday"/>
    <n v="0.32727272727272727"/>
    <n v="0.62343096234309625"/>
    <n v="0.15062761506276151"/>
    <n v="10283"/>
    <s v="Bavaria Motors"/>
  </r>
  <r>
    <s v="CUST_4959"/>
    <x v="26"/>
    <x v="1"/>
    <s v="Friday"/>
    <s v="No"/>
    <x v="1"/>
    <x v="1"/>
    <s v="NRW"/>
    <x v="3"/>
    <s v="GLC"/>
    <s v="Diesel"/>
    <x v="0"/>
    <s v="50+"/>
    <s v="Medium"/>
    <x v="0"/>
    <x v="0"/>
    <s v="Sales_12"/>
    <n v="252"/>
    <n v="114"/>
    <n v="78"/>
    <n v="28"/>
    <s v="24.56"/>
    <n v="72460"/>
    <s v="3.05"/>
    <n v="53018"/>
    <n v="2028880"/>
    <n v="544376"/>
    <s v="Feb"/>
    <n v="2"/>
    <n v="2026"/>
    <s v="Weekday"/>
    <n v="0.35897435897435898"/>
    <n v="0.45238095238095238"/>
    <n v="0.1111111111111111"/>
    <n v="19442"/>
    <s v="Rhein Auto Group"/>
  </r>
  <r>
    <s v="CUST_4960"/>
    <x v="9"/>
    <x v="0"/>
    <s v="Sunday"/>
    <s v="Yes"/>
    <x v="4"/>
    <x v="4"/>
    <s v="Berlin"/>
    <x v="1"/>
    <s v="Grandland"/>
    <s v="Diesel"/>
    <x v="0"/>
    <s v="18-25"/>
    <s v="High"/>
    <x v="0"/>
    <x v="3"/>
    <s v="Sales_17"/>
    <n v="357"/>
    <n v="173"/>
    <n v="98"/>
    <n v="27"/>
    <s v="15.61"/>
    <n v="21350"/>
    <s v="8.95"/>
    <n v="19289"/>
    <n v="576450"/>
    <n v="55647"/>
    <s v="Feb"/>
    <n v="2"/>
    <n v="2026"/>
    <s v="Weekend"/>
    <n v="0.27551020408163263"/>
    <n v="0.484593837535014"/>
    <n v="7.5630252100840331E-2"/>
    <n v="2061"/>
    <s v="Autohaus Berlin"/>
  </r>
  <r>
    <s v="CUST_4961"/>
    <x v="22"/>
    <x v="3"/>
    <s v="Tuesday"/>
    <s v="No"/>
    <x v="7"/>
    <x v="7"/>
    <s v="Bavaria"/>
    <x v="1"/>
    <s v="Corsa"/>
    <s v="Petrol"/>
    <x v="2"/>
    <s v="26-35"/>
    <s v="Low"/>
    <x v="0"/>
    <x v="0"/>
    <s v="Sales_18"/>
    <n v="345"/>
    <n v="180"/>
    <n v="117"/>
    <n v="30"/>
    <s v="16.67"/>
    <n v="21372"/>
    <s v="11.5"/>
    <n v="19148"/>
    <n v="641160"/>
    <n v="66720"/>
    <s v="Feb"/>
    <n v="2"/>
    <n v="2026"/>
    <s v="Weekday"/>
    <n v="0.25641025641025639"/>
    <n v="0.52173913043478259"/>
    <n v="8.6956521739130432E-2"/>
    <n v="2224"/>
    <s v="Bavaria Motors"/>
  </r>
  <r>
    <s v="CUST_4962"/>
    <x v="25"/>
    <x v="3"/>
    <s v="Friday"/>
    <s v="No"/>
    <x v="2"/>
    <x v="2"/>
    <s v="Lower Saxony"/>
    <x v="0"/>
    <s v="3 Series"/>
    <s v="Petrol"/>
    <x v="1"/>
    <s v="18-25"/>
    <s v="Medium"/>
    <x v="0"/>
    <x v="2"/>
    <s v="Sales_20"/>
    <n v="199"/>
    <n v="108"/>
    <n v="87"/>
    <n v="31"/>
    <s v="28.7"/>
    <n v="60319"/>
    <s v="2.14"/>
    <n v="45366"/>
    <n v="1869889"/>
    <n v="463543"/>
    <s v="Feb"/>
    <n v="2"/>
    <n v="2026"/>
    <s v="Weekday"/>
    <n v="0.35632183908045978"/>
    <n v="0.542713567839196"/>
    <n v="0.15577889447236182"/>
    <n v="14953"/>
    <s v="Hannover Cars"/>
  </r>
  <r>
    <s v="CUST_4963"/>
    <x v="19"/>
    <x v="1"/>
    <s v="Saturday"/>
    <s v="Yes"/>
    <x v="8"/>
    <x v="8"/>
    <s v="Baden-WÃ¼rttemberg"/>
    <x v="3"/>
    <s v="EQE"/>
    <s v="Hybrid"/>
    <x v="1"/>
    <s v="50+"/>
    <s v="Medium"/>
    <x v="0"/>
    <x v="0"/>
    <s v="Sales_17"/>
    <n v="281"/>
    <n v="144"/>
    <n v="97"/>
    <n v="35"/>
    <s v="24.31"/>
    <n v="63590"/>
    <s v="2.91"/>
    <n v="49464"/>
    <n v="2225650"/>
    <n v="494410"/>
    <s v="Feb"/>
    <n v="2"/>
    <n v="2026"/>
    <s v="Weekend"/>
    <n v="0.36082474226804123"/>
    <n v="0.51245551601423489"/>
    <n v="0.12455516014234876"/>
    <n v="14126"/>
    <s v="Stuttgart Auto Center"/>
  </r>
  <r>
    <s v="CUST_4964"/>
    <x v="25"/>
    <x v="3"/>
    <s v="Friday"/>
    <s v="No"/>
    <x v="5"/>
    <x v="5"/>
    <s v="Hamburg"/>
    <x v="3"/>
    <s v="EQE"/>
    <s v="Petrol"/>
    <x v="1"/>
    <s v="26-35"/>
    <s v="Low"/>
    <x v="1"/>
    <x v="3"/>
    <s v="Sales_7"/>
    <n v="268"/>
    <n v="146"/>
    <n v="100"/>
    <n v="33"/>
    <s v="22.6"/>
    <n v="65752"/>
    <s v="4.96"/>
    <n v="51487"/>
    <n v="2169816"/>
    <n v="470745"/>
    <s v="Feb"/>
    <n v="2"/>
    <n v="2026"/>
    <s v="Weekday"/>
    <n v="0.33"/>
    <n v="0.54477611940298509"/>
    <n v="0.12313432835820895"/>
    <n v="14265"/>
    <s v="Elbe Drive"/>
  </r>
  <r>
    <s v="CUST_4965"/>
    <x v="8"/>
    <x v="3"/>
    <s v="Wednesday"/>
    <s v="No"/>
    <x v="1"/>
    <x v="1"/>
    <s v="NRW"/>
    <x v="3"/>
    <s v="GLC"/>
    <s v="Hybrid"/>
    <x v="0"/>
    <s v="18-25"/>
    <s v="Medium"/>
    <x v="1"/>
    <x v="2"/>
    <s v="Sales_13"/>
    <n v="231"/>
    <n v="127"/>
    <n v="91"/>
    <n v="37"/>
    <s v="29.13"/>
    <n v="52258"/>
    <s v="2.99"/>
    <n v="40604"/>
    <n v="1933546"/>
    <n v="431198"/>
    <s v="Feb"/>
    <n v="2"/>
    <n v="2026"/>
    <s v="Weekday"/>
    <n v="0.40659340659340659"/>
    <n v="0.54978354978354982"/>
    <n v="0.16017316017316016"/>
    <n v="11654"/>
    <s v="Rhein Auto Group"/>
  </r>
  <r>
    <s v="CUST_4966"/>
    <x v="5"/>
    <x v="3"/>
    <s v="Saturday"/>
    <s v="Yes"/>
    <x v="4"/>
    <x v="4"/>
    <s v="Berlin"/>
    <x v="3"/>
    <s v="E-Class"/>
    <s v="Petrol"/>
    <x v="1"/>
    <s v="18-25"/>
    <s v="Low"/>
    <x v="0"/>
    <x v="2"/>
    <s v="Sales_4"/>
    <n v="248"/>
    <n v="124"/>
    <n v="81"/>
    <n v="33"/>
    <s v="26.61"/>
    <n v="62287"/>
    <s v="3.7"/>
    <n v="48681"/>
    <n v="2055471"/>
    <n v="448998"/>
    <s v="Feb"/>
    <n v="2"/>
    <n v="2026"/>
    <s v="Weekend"/>
    <n v="0.40740740740740738"/>
    <n v="0.5"/>
    <n v="0.13306451612903225"/>
    <n v="13606"/>
    <s v="Autohaus Berlin"/>
  </r>
  <r>
    <s v="CUST_4967"/>
    <x v="27"/>
    <x v="3"/>
    <s v="Sunday"/>
    <s v="Yes"/>
    <x v="8"/>
    <x v="8"/>
    <s v="Baden-WÃ¼rttemberg"/>
    <x v="0"/>
    <s v="X5"/>
    <s v="Hybrid"/>
    <x v="0"/>
    <s v="50+"/>
    <s v="Low"/>
    <x v="1"/>
    <x v="2"/>
    <s v="Sales_9"/>
    <n v="161"/>
    <n v="82"/>
    <n v="66"/>
    <n v="24"/>
    <s v="29.27"/>
    <n v="62883"/>
    <s v="4.52"/>
    <n v="45884"/>
    <n v="1509192"/>
    <n v="407976"/>
    <s v="Feb"/>
    <n v="2"/>
    <n v="2026"/>
    <s v="Weekend"/>
    <n v="0.36363636363636365"/>
    <n v="0.50931677018633537"/>
    <n v="0.14906832298136646"/>
    <n v="16999"/>
    <s v="Stuttgart Auto Center"/>
  </r>
  <r>
    <s v="CUST_4968"/>
    <x v="1"/>
    <x v="1"/>
    <s v="Wednesday"/>
    <s v="No"/>
    <x v="7"/>
    <x v="7"/>
    <s v="Bavaria"/>
    <x v="4"/>
    <s v="Golf"/>
    <s v="Electric"/>
    <x v="2"/>
    <s v="18-25"/>
    <s v="Medium"/>
    <x v="1"/>
    <x v="1"/>
    <s v="Sales_3"/>
    <n v="383"/>
    <n v="219"/>
    <n v="131"/>
    <n v="36"/>
    <s v="16.44"/>
    <n v="27596"/>
    <s v="9.92"/>
    <n v="23871"/>
    <n v="993456"/>
    <n v="134100"/>
    <s v="Feb"/>
    <n v="2"/>
    <n v="2026"/>
    <s v="Weekday"/>
    <n v="0.27480916030534353"/>
    <n v="0.57180156657963443"/>
    <n v="9.3994778067885115E-2"/>
    <n v="3725"/>
    <s v="Bavaria Motors"/>
  </r>
  <r>
    <s v="CUST_4969"/>
    <x v="12"/>
    <x v="3"/>
    <s v="Thursday"/>
    <s v="No"/>
    <x v="7"/>
    <x v="7"/>
    <s v="Bavaria"/>
    <x v="3"/>
    <s v="EQE"/>
    <s v="Petrol"/>
    <x v="1"/>
    <s v="26-35"/>
    <s v="Low"/>
    <x v="0"/>
    <x v="0"/>
    <s v="Sales_7"/>
    <n v="267"/>
    <n v="147"/>
    <n v="106"/>
    <n v="41"/>
    <s v="27.89"/>
    <n v="69252"/>
    <s v="3.96"/>
    <n v="50562"/>
    <n v="2839332"/>
    <n v="766290"/>
    <s v="Feb"/>
    <n v="2"/>
    <n v="2026"/>
    <s v="Weekday"/>
    <n v="0.3867924528301887"/>
    <n v="0.550561797752809"/>
    <n v="0.15355805243445692"/>
    <n v="18690"/>
    <s v="Bavaria Motors"/>
  </r>
  <r>
    <s v="CUST_4970"/>
    <x v="5"/>
    <x v="3"/>
    <s v="Saturday"/>
    <s v="Yes"/>
    <x v="1"/>
    <x v="1"/>
    <s v="NRW"/>
    <x v="0"/>
    <s v="3 Series"/>
    <s v="Diesel"/>
    <x v="1"/>
    <s v="18-25"/>
    <s v="Medium"/>
    <x v="1"/>
    <x v="1"/>
    <s v="Sales_18"/>
    <n v="263"/>
    <n v="151"/>
    <n v="117"/>
    <n v="41"/>
    <s v="27.15"/>
    <n v="54553"/>
    <s v="5.39"/>
    <n v="38397"/>
    <n v="2236673"/>
    <n v="662396"/>
    <s v="Feb"/>
    <n v="2"/>
    <n v="2026"/>
    <s v="Weekend"/>
    <n v="0.3504273504273504"/>
    <n v="0.57414448669201523"/>
    <n v="0.155893536121673"/>
    <n v="16156"/>
    <s v="Rhein Auto Group"/>
  </r>
  <r>
    <s v="CUST_4971"/>
    <x v="24"/>
    <x v="1"/>
    <s v="Thursday"/>
    <s v="No"/>
    <x v="6"/>
    <x v="6"/>
    <s v="Saxony"/>
    <x v="4"/>
    <s v="ID.4"/>
    <s v="Hybrid"/>
    <x v="0"/>
    <s v="26-35"/>
    <s v="Low"/>
    <x v="0"/>
    <x v="1"/>
    <s v="Sales_3"/>
    <n v="516"/>
    <n v="231"/>
    <n v="135"/>
    <n v="41"/>
    <s v="17.75"/>
    <n v="27488"/>
    <s v="8.39"/>
    <n v="24175"/>
    <n v="1127008"/>
    <n v="135833"/>
    <s v="Feb"/>
    <n v="2"/>
    <n v="2026"/>
    <s v="Weekday"/>
    <n v="0.3037037037037037"/>
    <n v="0.44767441860465118"/>
    <n v="7.9457364341085274E-2"/>
    <n v="3313"/>
    <s v="Leipzig Mobility"/>
  </r>
  <r>
    <s v="CUST_4972"/>
    <x v="27"/>
    <x v="3"/>
    <s v="Sunday"/>
    <s v="Yes"/>
    <x v="3"/>
    <x v="3"/>
    <s v="Saxony"/>
    <x v="4"/>
    <s v="Passat"/>
    <s v="Electric"/>
    <x v="1"/>
    <s v="36-50"/>
    <s v="High"/>
    <x v="1"/>
    <x v="2"/>
    <s v="Sales_9"/>
    <n v="481"/>
    <n v="248"/>
    <n v="150"/>
    <n v="48"/>
    <s v="19.35"/>
    <n v="31297"/>
    <s v="11.89"/>
    <n v="28033"/>
    <n v="1502256"/>
    <n v="156672"/>
    <s v="Feb"/>
    <n v="2"/>
    <n v="2026"/>
    <s v="Weekend"/>
    <n v="0.32"/>
    <n v="0.51559251559251562"/>
    <n v="9.9792099792099798E-2"/>
    <n v="3264"/>
    <s v="Saxon Wheels"/>
  </r>
  <r>
    <s v="CUST_4973"/>
    <x v="16"/>
    <x v="1"/>
    <s v="Tuesday"/>
    <s v="No"/>
    <x v="6"/>
    <x v="6"/>
    <s v="Saxony"/>
    <x v="2"/>
    <s v="Q5"/>
    <s v="Diesel"/>
    <x v="0"/>
    <s v="36-50"/>
    <s v="Medium"/>
    <x v="1"/>
    <x v="3"/>
    <s v="Sales_10"/>
    <n v="272"/>
    <n v="139"/>
    <n v="104"/>
    <n v="29"/>
    <s v="20.86"/>
    <n v="43587"/>
    <s v="3.23"/>
    <n v="34071"/>
    <n v="1264023"/>
    <n v="275964"/>
    <s v="Feb"/>
    <n v="2"/>
    <n v="2026"/>
    <s v="Weekday"/>
    <n v="0.27884615384615385"/>
    <n v="0.51102941176470584"/>
    <n v="0.10661764705882353"/>
    <n v="9516"/>
    <s v="Leipzig Mobility"/>
  </r>
  <r>
    <s v="CUST_4974"/>
    <x v="22"/>
    <x v="3"/>
    <s v="Tuesday"/>
    <s v="No"/>
    <x v="4"/>
    <x v="4"/>
    <s v="Berlin"/>
    <x v="1"/>
    <s v="Crossland"/>
    <s v="Diesel"/>
    <x v="0"/>
    <s v="26-35"/>
    <s v="High"/>
    <x v="0"/>
    <x v="3"/>
    <s v="Sales_8"/>
    <n v="318"/>
    <n v="163"/>
    <n v="93"/>
    <n v="28"/>
    <s v="17.18"/>
    <n v="20639"/>
    <s v="11.46"/>
    <n v="18675"/>
    <n v="577892"/>
    <n v="54992"/>
    <s v="Feb"/>
    <n v="2"/>
    <n v="2026"/>
    <s v="Weekday"/>
    <n v="0.30107526881720431"/>
    <n v="0.51257861635220126"/>
    <n v="8.8050314465408799E-2"/>
    <n v="1964"/>
    <s v="Autohaus Berlin"/>
  </r>
  <r>
    <s v="CUST_4975"/>
    <x v="6"/>
    <x v="2"/>
    <s v="Saturday"/>
    <s v="Yes"/>
    <x v="0"/>
    <x v="0"/>
    <s v="Hesse"/>
    <x v="1"/>
    <s v="Mokka"/>
    <s v="Hybrid"/>
    <x v="0"/>
    <s v="50+"/>
    <s v="Low"/>
    <x v="0"/>
    <x v="0"/>
    <s v="Sales_15"/>
    <n v="271"/>
    <n v="117"/>
    <n v="73"/>
    <n v="18"/>
    <s v="15.38"/>
    <n v="26184"/>
    <s v="11.17"/>
    <n v="23389"/>
    <n v="471312"/>
    <n v="50310"/>
    <s v="Feb"/>
    <n v="2"/>
    <n v="2026"/>
    <s v="Weekend"/>
    <n v="0.24657534246575341"/>
    <n v="0.43173431734317341"/>
    <n v="6.6420664206642069E-2"/>
    <n v="2795"/>
    <s v="Main Auto Hub"/>
  </r>
  <r>
    <s v="CUST_4976"/>
    <x v="15"/>
    <x v="2"/>
    <s v="Thursday"/>
    <s v="No"/>
    <x v="7"/>
    <x v="7"/>
    <s v="Bavaria"/>
    <x v="3"/>
    <s v="E-Class"/>
    <s v="Diesel"/>
    <x v="1"/>
    <s v="50+"/>
    <s v="Medium"/>
    <x v="0"/>
    <x v="3"/>
    <s v="Sales_14"/>
    <n v="170"/>
    <n v="87"/>
    <n v="61"/>
    <n v="24"/>
    <s v="27.59"/>
    <n v="57954"/>
    <s v="3.91"/>
    <n v="42028"/>
    <n v="1390896"/>
    <n v="382224"/>
    <s v="Feb"/>
    <n v="2"/>
    <n v="2026"/>
    <s v="Weekday"/>
    <n v="0.39344262295081966"/>
    <n v="0.5117647058823529"/>
    <n v="0.14117647058823529"/>
    <n v="15926"/>
    <s v="Bavaria Motors"/>
  </r>
  <r>
    <s v="CUST_4977"/>
    <x v="12"/>
    <x v="3"/>
    <s v="Thursday"/>
    <s v="No"/>
    <x v="5"/>
    <x v="5"/>
    <s v="Hamburg"/>
    <x v="0"/>
    <s v="3 Series"/>
    <s v="Electric"/>
    <x v="1"/>
    <s v="18-25"/>
    <s v="Low"/>
    <x v="0"/>
    <x v="1"/>
    <s v="Sales_4"/>
    <n v="208"/>
    <n v="102"/>
    <n v="76"/>
    <n v="29"/>
    <s v="28.43"/>
    <n v="50002"/>
    <s v="5.88"/>
    <n v="37472"/>
    <n v="1450058"/>
    <n v="363370"/>
    <s v="Feb"/>
    <n v="2"/>
    <n v="2026"/>
    <s v="Weekday"/>
    <n v="0.38157894736842107"/>
    <n v="0.49038461538461536"/>
    <n v="0.13942307692307693"/>
    <n v="12530"/>
    <s v="Elbe Drive"/>
  </r>
  <r>
    <s v="CUST_4978"/>
    <x v="27"/>
    <x v="3"/>
    <s v="Sunday"/>
    <s v="Yes"/>
    <x v="7"/>
    <x v="7"/>
    <s v="Bavaria"/>
    <x v="4"/>
    <s v="ID.4"/>
    <s v="Petrol"/>
    <x v="0"/>
    <s v="50+"/>
    <s v="Medium"/>
    <x v="1"/>
    <x v="1"/>
    <s v="Sales_4"/>
    <n v="438"/>
    <n v="203"/>
    <n v="129"/>
    <n v="33"/>
    <s v="16.26"/>
    <n v="34774"/>
    <s v="7.51"/>
    <n v="30395"/>
    <n v="1147542"/>
    <n v="144507"/>
    <s v="Feb"/>
    <n v="2"/>
    <n v="2026"/>
    <s v="Weekend"/>
    <n v="0.2558139534883721"/>
    <n v="0.4634703196347032"/>
    <n v="7.5342465753424653E-2"/>
    <n v="4379"/>
    <s v="Bavaria Motors"/>
  </r>
  <r>
    <s v="CUST_4979"/>
    <x v="2"/>
    <x v="2"/>
    <s v="Monday"/>
    <s v="No"/>
    <x v="3"/>
    <x v="3"/>
    <s v="Saxony"/>
    <x v="3"/>
    <s v="C-Class"/>
    <s v="Hybrid"/>
    <x v="1"/>
    <s v="50+"/>
    <s v="High"/>
    <x v="1"/>
    <x v="3"/>
    <s v="Sales_2"/>
    <n v="244"/>
    <n v="115"/>
    <n v="91"/>
    <n v="27"/>
    <s v="23.48"/>
    <n v="51573"/>
    <s v="5.93"/>
    <n v="38760"/>
    <n v="1392471"/>
    <n v="345951"/>
    <s v="Feb"/>
    <n v="2"/>
    <n v="2026"/>
    <s v="Weekday"/>
    <n v="0.2967032967032967"/>
    <n v="0.47131147540983609"/>
    <n v="0.11065573770491803"/>
    <n v="12813"/>
    <s v="Saxon Wheels"/>
  </r>
  <r>
    <s v="CUST_4980"/>
    <x v="23"/>
    <x v="2"/>
    <s v="Tuesday"/>
    <s v="No"/>
    <x v="6"/>
    <x v="6"/>
    <s v="Saxony"/>
    <x v="1"/>
    <s v="Corsa"/>
    <s v="Petrol"/>
    <x v="2"/>
    <s v="50+"/>
    <s v="Low"/>
    <x v="1"/>
    <x v="3"/>
    <s v="Sales_9"/>
    <n v="264"/>
    <n v="143"/>
    <n v="87"/>
    <n v="21"/>
    <s v="14.69"/>
    <n v="20077"/>
    <s v="13.55"/>
    <n v="18283"/>
    <n v="421617"/>
    <n v="37674"/>
    <s v="Feb"/>
    <n v="2"/>
    <n v="2026"/>
    <s v="Weekday"/>
    <n v="0.2413793103448276"/>
    <n v="0.54166666666666663"/>
    <n v="7.9545454545454544E-2"/>
    <n v="1794"/>
    <s v="Leipzig Mobility"/>
  </r>
  <r>
    <s v="CUST_4981"/>
    <x v="7"/>
    <x v="3"/>
    <s v="Monday"/>
    <s v="No"/>
    <x v="6"/>
    <x v="6"/>
    <s v="Saxony"/>
    <x v="4"/>
    <s v="T-Roc"/>
    <s v="Petrol"/>
    <x v="0"/>
    <s v="26-35"/>
    <s v="High"/>
    <x v="0"/>
    <x v="3"/>
    <s v="Sales_12"/>
    <n v="420"/>
    <n v="197"/>
    <n v="130"/>
    <n v="27"/>
    <s v="13.71"/>
    <n v="34305"/>
    <s v="6.68"/>
    <n v="30400"/>
    <n v="926235"/>
    <n v="105435"/>
    <s v="Feb"/>
    <n v="2"/>
    <n v="2026"/>
    <s v="Weekday"/>
    <n v="0.2076923076923077"/>
    <n v="0.46904761904761905"/>
    <n v="6.4285714285714279E-2"/>
    <n v="3905"/>
    <s v="Leipzig Mobility"/>
  </r>
  <r>
    <s v="CUST_4982"/>
    <x v="20"/>
    <x v="0"/>
    <s v="Thursday"/>
    <s v="No"/>
    <x v="2"/>
    <x v="2"/>
    <s v="Lower Saxony"/>
    <x v="4"/>
    <s v="Passat"/>
    <s v="Petrol"/>
    <x v="1"/>
    <s v="26-35"/>
    <s v="Medium"/>
    <x v="0"/>
    <x v="0"/>
    <s v="Sales_6"/>
    <n v="445"/>
    <n v="225"/>
    <n v="143"/>
    <n v="27"/>
    <s v="12.0"/>
    <n v="29340"/>
    <s v="8.85"/>
    <n v="26675"/>
    <n v="792180"/>
    <n v="71955"/>
    <s v="Feb"/>
    <n v="2"/>
    <n v="2026"/>
    <s v="Weekday"/>
    <n v="0.1888111888111888"/>
    <n v="0.5056179775280899"/>
    <n v="6.0674157303370786E-2"/>
    <n v="2665"/>
    <s v="Hannover Cars"/>
  </r>
  <r>
    <s v="CUST_4983"/>
    <x v="16"/>
    <x v="1"/>
    <s v="Tuesday"/>
    <s v="No"/>
    <x v="9"/>
    <x v="9"/>
    <s v="NRW"/>
    <x v="3"/>
    <s v="EQE"/>
    <s v="Hybrid"/>
    <x v="1"/>
    <s v="26-35"/>
    <s v="Medium"/>
    <x v="1"/>
    <x v="2"/>
    <s v="Sales_6"/>
    <n v="238"/>
    <n v="126"/>
    <n v="84"/>
    <n v="30"/>
    <s v="23.81"/>
    <n v="59209"/>
    <s v="3.11"/>
    <n v="45749"/>
    <n v="1776270"/>
    <n v="403800"/>
    <s v="Feb"/>
    <n v="2"/>
    <n v="2026"/>
    <s v="Weekday"/>
    <n v="0.35714285714285715"/>
    <n v="0.52941176470588236"/>
    <n v="0.12605042016806722"/>
    <n v="13460"/>
    <s v="Ruhr Auto Plaza"/>
  </r>
  <r>
    <s v="CUST_4984"/>
    <x v="24"/>
    <x v="1"/>
    <s v="Thursday"/>
    <s v="No"/>
    <x v="7"/>
    <x v="7"/>
    <s v="Bavaria"/>
    <x v="4"/>
    <s v="ID.4"/>
    <s v="Electric"/>
    <x v="0"/>
    <s v="36-50"/>
    <s v="Medium"/>
    <x v="1"/>
    <x v="1"/>
    <s v="Sales_10"/>
    <n v="510"/>
    <n v="293"/>
    <n v="196"/>
    <n v="49"/>
    <s v="16.72"/>
    <n v="30780"/>
    <s v="7.83"/>
    <n v="28009"/>
    <n v="1508220"/>
    <n v="135779"/>
    <s v="Feb"/>
    <n v="2"/>
    <n v="2026"/>
    <s v="Weekday"/>
    <n v="0.25"/>
    <n v="0.57450980392156858"/>
    <n v="9.6078431372549025E-2"/>
    <n v="2771"/>
    <s v="Bavaria Motors"/>
  </r>
  <r>
    <s v="CUST_4985"/>
    <x v="13"/>
    <x v="0"/>
    <s v="Friday"/>
    <s v="No"/>
    <x v="7"/>
    <x v="7"/>
    <s v="Bavaria"/>
    <x v="3"/>
    <s v="GLC"/>
    <s v="Diesel"/>
    <x v="0"/>
    <s v="18-25"/>
    <s v="High"/>
    <x v="0"/>
    <x v="0"/>
    <s v="Sales_9"/>
    <n v="286"/>
    <n v="161"/>
    <n v="119"/>
    <n v="39"/>
    <s v="24.22"/>
    <n v="59682"/>
    <s v="3.86"/>
    <n v="42767"/>
    <n v="2327598"/>
    <n v="659685"/>
    <s v="Feb"/>
    <n v="2"/>
    <n v="2026"/>
    <s v="Weekday"/>
    <n v="0.32773109243697479"/>
    <n v="0.56293706293706292"/>
    <n v="0.13636363636363635"/>
    <n v="16915"/>
    <s v="Bavaria Motors"/>
  </r>
  <r>
    <s v="CUST_4986"/>
    <x v="7"/>
    <x v="3"/>
    <s v="Monday"/>
    <s v="No"/>
    <x v="8"/>
    <x v="8"/>
    <s v="Baden-WÃ¼rttemberg"/>
    <x v="1"/>
    <s v="Astra"/>
    <s v="Diesel"/>
    <x v="2"/>
    <s v="36-50"/>
    <s v="Medium"/>
    <x v="0"/>
    <x v="2"/>
    <s v="Sales_15"/>
    <n v="418"/>
    <n v="226"/>
    <n v="132"/>
    <n v="43"/>
    <s v="19.03"/>
    <n v="21945"/>
    <s v="9.21"/>
    <n v="20147"/>
    <n v="943635"/>
    <n v="77314"/>
    <s v="Feb"/>
    <n v="2"/>
    <n v="2026"/>
    <s v="Weekday"/>
    <n v="0.32575757575757575"/>
    <n v="0.54066985645933019"/>
    <n v="0.10287081339712918"/>
    <n v="1798"/>
    <s v="Stuttgart Auto Center"/>
  </r>
  <r>
    <s v="CUST_4987"/>
    <x v="18"/>
    <x v="0"/>
    <s v="Saturday"/>
    <s v="Yes"/>
    <x v="6"/>
    <x v="6"/>
    <s v="Saxony"/>
    <x v="0"/>
    <s v="3 Series"/>
    <s v="Diesel"/>
    <x v="1"/>
    <s v="18-25"/>
    <s v="Medium"/>
    <x v="1"/>
    <x v="3"/>
    <s v="Sales_10"/>
    <n v="195"/>
    <n v="116"/>
    <n v="86"/>
    <n v="30"/>
    <s v="25.86"/>
    <n v="51015"/>
    <s v="5.59"/>
    <n v="39083"/>
    <n v="1530450"/>
    <n v="357960"/>
    <s v="Feb"/>
    <n v="2"/>
    <n v="2026"/>
    <s v="Weekend"/>
    <n v="0.34883720930232559"/>
    <n v="0.59487179487179487"/>
    <n v="0.15384615384615385"/>
    <n v="11932"/>
    <s v="Leipzig Mobility"/>
  </r>
  <r>
    <s v="CUST_4988"/>
    <x v="12"/>
    <x v="3"/>
    <s v="Thursday"/>
    <s v="No"/>
    <x v="6"/>
    <x v="6"/>
    <s v="Saxony"/>
    <x v="2"/>
    <s v="e-tron"/>
    <s v="Diesel"/>
    <x v="0"/>
    <s v="26-35"/>
    <s v="Low"/>
    <x v="1"/>
    <x v="3"/>
    <s v="Sales_5"/>
    <n v="214"/>
    <n v="123"/>
    <n v="80"/>
    <n v="22"/>
    <s v="17.89"/>
    <n v="52398"/>
    <s v="5.06"/>
    <n v="42591"/>
    <n v="1152756"/>
    <n v="215754"/>
    <s v="Feb"/>
    <n v="2"/>
    <n v="2026"/>
    <s v="Weekday"/>
    <n v="0.27500000000000002"/>
    <n v="0.57476635514018692"/>
    <n v="0.10280373831775701"/>
    <n v="9807"/>
    <s v="Leipzig Mobility"/>
  </r>
  <r>
    <s v="CUST_4989"/>
    <x v="23"/>
    <x v="2"/>
    <s v="Tuesday"/>
    <s v="No"/>
    <x v="5"/>
    <x v="5"/>
    <s v="Hamburg"/>
    <x v="2"/>
    <s v="e-tron"/>
    <s v="Diesel"/>
    <x v="0"/>
    <s v="36-50"/>
    <s v="High"/>
    <x v="0"/>
    <x v="3"/>
    <s v="Sales_3"/>
    <n v="276"/>
    <n v="172"/>
    <n v="111"/>
    <n v="37"/>
    <s v="21.51"/>
    <n v="47556"/>
    <s v="4.15"/>
    <n v="38564"/>
    <n v="1759572"/>
    <n v="332704"/>
    <s v="Feb"/>
    <n v="2"/>
    <n v="2026"/>
    <s v="Weekday"/>
    <n v="0.33333333333333331"/>
    <n v="0.62318840579710144"/>
    <n v="0.13405797101449277"/>
    <n v="8992"/>
    <s v="Elbe Drive"/>
  </r>
  <r>
    <s v="CUST_4990"/>
    <x v="8"/>
    <x v="3"/>
    <s v="Wednesday"/>
    <s v="No"/>
    <x v="4"/>
    <x v="4"/>
    <s v="Berlin"/>
    <x v="1"/>
    <s v="Grandland"/>
    <s v="Electric"/>
    <x v="0"/>
    <s v="36-50"/>
    <s v="Low"/>
    <x v="1"/>
    <x v="0"/>
    <s v="Sales_15"/>
    <n v="334"/>
    <n v="139"/>
    <n v="85"/>
    <n v="23"/>
    <s v="16.55"/>
    <n v="26726"/>
    <s v="7.77"/>
    <n v="24822"/>
    <n v="614698"/>
    <n v="43792"/>
    <s v="Feb"/>
    <n v="2"/>
    <n v="2026"/>
    <s v="Weekday"/>
    <n v="0.27058823529411763"/>
    <n v="0.41616766467065869"/>
    <n v="6.8862275449101798E-2"/>
    <n v="1904"/>
    <s v="Autohaus Berlin"/>
  </r>
  <r>
    <s v="CUST_4991"/>
    <x v="15"/>
    <x v="2"/>
    <s v="Thursday"/>
    <s v="No"/>
    <x v="8"/>
    <x v="8"/>
    <s v="Baden-WÃ¼rttemberg"/>
    <x v="4"/>
    <s v="Passat"/>
    <s v="Electric"/>
    <x v="1"/>
    <s v="50+"/>
    <s v="High"/>
    <x v="0"/>
    <x v="2"/>
    <s v="Sales_12"/>
    <n v="272"/>
    <n v="110"/>
    <n v="77"/>
    <n v="21"/>
    <s v="19.09"/>
    <n v="29052"/>
    <s v="8.96"/>
    <n v="25845"/>
    <n v="610092"/>
    <n v="67347"/>
    <s v="Feb"/>
    <n v="2"/>
    <n v="2026"/>
    <s v="Weekday"/>
    <n v="0.27272727272727271"/>
    <n v="0.40441176470588236"/>
    <n v="7.720588235294118E-2"/>
    <n v="3207"/>
    <s v="Stuttgart Auto Center"/>
  </r>
  <r>
    <s v="CUST_4992"/>
    <x v="21"/>
    <x v="0"/>
    <s v="Tuesday"/>
    <s v="No"/>
    <x v="6"/>
    <x v="6"/>
    <s v="Saxony"/>
    <x v="1"/>
    <s v="Grandland"/>
    <s v="Diesel"/>
    <x v="0"/>
    <s v="18-25"/>
    <s v="High"/>
    <x v="1"/>
    <x v="3"/>
    <s v="Sales_7"/>
    <n v="354"/>
    <n v="161"/>
    <n v="108"/>
    <n v="22"/>
    <s v="13.66"/>
    <n v="22718"/>
    <s v="12.36"/>
    <n v="20975"/>
    <n v="499796"/>
    <n v="38346"/>
    <s v="Feb"/>
    <n v="2"/>
    <n v="2026"/>
    <s v="Weekday"/>
    <n v="0.20370370370370369"/>
    <n v="0.45480225988700562"/>
    <n v="6.2146892655367235E-2"/>
    <n v="1743"/>
    <s v="Leipzig Mobility"/>
  </r>
  <r>
    <s v="CUST_4993"/>
    <x v="21"/>
    <x v="0"/>
    <s v="Tuesday"/>
    <s v="No"/>
    <x v="9"/>
    <x v="9"/>
    <s v="NRW"/>
    <x v="3"/>
    <s v="GLE"/>
    <s v="Petrol"/>
    <x v="0"/>
    <s v="26-35"/>
    <s v="Medium"/>
    <x v="0"/>
    <x v="1"/>
    <s v="Sales_9"/>
    <n v="152"/>
    <n v="74"/>
    <n v="52"/>
    <n v="17"/>
    <s v="22.97"/>
    <n v="61830"/>
    <s v="3.98"/>
    <n v="44965"/>
    <n v="1051110"/>
    <n v="286705"/>
    <s v="Feb"/>
    <n v="2"/>
    <n v="2026"/>
    <s v="Weekday"/>
    <n v="0.32692307692307693"/>
    <n v="0.48684210526315791"/>
    <n v="0.1118421052631579"/>
    <n v="16865"/>
    <s v="Ruhr Auto Plaza"/>
  </r>
  <r>
    <s v="CUST_4994"/>
    <x v="13"/>
    <x v="0"/>
    <s v="Friday"/>
    <s v="No"/>
    <x v="6"/>
    <x v="6"/>
    <s v="Saxony"/>
    <x v="2"/>
    <s v="A3"/>
    <s v="Petrol"/>
    <x v="2"/>
    <s v="50+"/>
    <s v="High"/>
    <x v="1"/>
    <x v="1"/>
    <s v="Sales_14"/>
    <n v="261"/>
    <n v="162"/>
    <n v="105"/>
    <n v="36"/>
    <s v="22.22"/>
    <n v="49767"/>
    <s v="5.1"/>
    <n v="38901"/>
    <n v="1791612"/>
    <n v="391176"/>
    <s v="Feb"/>
    <n v="2"/>
    <n v="2026"/>
    <s v="Weekday"/>
    <n v="0.34285714285714286"/>
    <n v="0.62068965517241381"/>
    <n v="0.13793103448275862"/>
    <n v="10866"/>
    <s v="Leipzig Mobility"/>
  </r>
  <r>
    <s v="CUST_4995"/>
    <x v="8"/>
    <x v="3"/>
    <s v="Wednesday"/>
    <s v="No"/>
    <x v="0"/>
    <x v="0"/>
    <s v="Hesse"/>
    <x v="2"/>
    <s v="e-tron"/>
    <s v="Diesel"/>
    <x v="0"/>
    <s v="50+"/>
    <s v="Medium"/>
    <x v="1"/>
    <x v="2"/>
    <s v="Sales_20"/>
    <n v="173"/>
    <n v="80"/>
    <n v="54"/>
    <n v="18"/>
    <s v="22.5"/>
    <n v="53140"/>
    <s v="5.17"/>
    <n v="40269"/>
    <n v="956520"/>
    <n v="231678"/>
    <s v="Feb"/>
    <n v="2"/>
    <n v="2026"/>
    <s v="Weekday"/>
    <n v="0.33333333333333331"/>
    <n v="0.46242774566473988"/>
    <n v="0.10404624277456648"/>
    <n v="12871"/>
    <s v="Main Auto Hub"/>
  </r>
  <r>
    <s v="CUST_4996"/>
    <x v="10"/>
    <x v="1"/>
    <s v="Monday"/>
    <s v="No"/>
    <x v="3"/>
    <x v="3"/>
    <s v="Saxony"/>
    <x v="2"/>
    <s v="A3"/>
    <s v="Electric"/>
    <x v="2"/>
    <s v="36-50"/>
    <s v="Low"/>
    <x v="1"/>
    <x v="3"/>
    <s v="Sales_19"/>
    <n v="203"/>
    <n v="100"/>
    <n v="65"/>
    <n v="21"/>
    <s v="21.0"/>
    <n v="53659"/>
    <s v="4.45"/>
    <n v="40388"/>
    <n v="1126839"/>
    <n v="278691"/>
    <s v="Feb"/>
    <n v="2"/>
    <n v="2026"/>
    <s v="Weekday"/>
    <n v="0.32307692307692309"/>
    <n v="0.49261083743842365"/>
    <n v="0.10344827586206896"/>
    <n v="13271"/>
    <s v="Saxon Wheels"/>
  </r>
  <r>
    <s v="CUST_4997"/>
    <x v="1"/>
    <x v="1"/>
    <s v="Wednesday"/>
    <s v="No"/>
    <x v="2"/>
    <x v="2"/>
    <s v="Lower Saxony"/>
    <x v="0"/>
    <s v="X3"/>
    <s v="Diesel"/>
    <x v="0"/>
    <s v="18-25"/>
    <s v="Low"/>
    <x v="0"/>
    <x v="0"/>
    <s v="Sales_8"/>
    <n v="229"/>
    <n v="121"/>
    <n v="83"/>
    <n v="29"/>
    <s v="23.97"/>
    <n v="49702"/>
    <s v="5.03"/>
    <n v="35015"/>
    <n v="1441358"/>
    <n v="425923"/>
    <s v="Feb"/>
    <n v="2"/>
    <n v="2026"/>
    <s v="Weekday"/>
    <n v="0.3493975903614458"/>
    <n v="0.52838427947598254"/>
    <n v="0.12663755458515283"/>
    <n v="14687"/>
    <s v="Hannover Cars"/>
  </r>
  <r>
    <s v="CUST_4998"/>
    <x v="7"/>
    <x v="3"/>
    <s v="Monday"/>
    <s v="No"/>
    <x v="4"/>
    <x v="4"/>
    <s v="Berlin"/>
    <x v="4"/>
    <s v="Golf"/>
    <s v="Electric"/>
    <x v="2"/>
    <s v="26-35"/>
    <s v="Low"/>
    <x v="1"/>
    <x v="0"/>
    <s v="Sales_4"/>
    <n v="505"/>
    <n v="207"/>
    <n v="139"/>
    <n v="29"/>
    <s v="14.01"/>
    <n v="28368"/>
    <s v="7.21"/>
    <n v="25748"/>
    <n v="822672"/>
    <n v="75980"/>
    <s v="Feb"/>
    <n v="2"/>
    <n v="2026"/>
    <s v="Weekday"/>
    <n v="0.20863309352517986"/>
    <n v="0.40990099009900988"/>
    <n v="5.7425742574257428E-2"/>
    <n v="2620"/>
    <s v="Autohaus Berlin"/>
  </r>
  <r>
    <s v="CUST_4999"/>
    <x v="15"/>
    <x v="2"/>
    <s v="Thursday"/>
    <s v="No"/>
    <x v="0"/>
    <x v="0"/>
    <s v="Hesse"/>
    <x v="4"/>
    <s v="ID.4"/>
    <s v="Electric"/>
    <x v="0"/>
    <s v="18-25"/>
    <s v="High"/>
    <x v="0"/>
    <x v="0"/>
    <s v="Sales_14"/>
    <n v="469"/>
    <n v="268"/>
    <n v="165"/>
    <n v="40"/>
    <s v="14.93"/>
    <n v="26566"/>
    <s v="6.36"/>
    <n v="23170"/>
    <n v="1062640"/>
    <n v="135840"/>
    <s v="Feb"/>
    <n v="2"/>
    <n v="2026"/>
    <s v="Weekday"/>
    <n v="0.24242424242424243"/>
    <n v="0.5714285714285714"/>
    <n v="8.5287846481876331E-2"/>
    <n v="3396"/>
    <s v="Main Auto Hub"/>
  </r>
  <r>
    <s v="CUST_5000"/>
    <x v="4"/>
    <x v="2"/>
    <s v="Wednesday"/>
    <s v="No"/>
    <x v="4"/>
    <x v="4"/>
    <s v="Berlin"/>
    <x v="4"/>
    <s v="ID.4"/>
    <s v="Electric"/>
    <x v="0"/>
    <s v="26-35"/>
    <s v="Low"/>
    <x v="0"/>
    <x v="3"/>
    <s v="Sales_2"/>
    <n v="343"/>
    <n v="190"/>
    <n v="116"/>
    <n v="28"/>
    <s v="14.74"/>
    <n v="28919"/>
    <s v="8.89"/>
    <n v="25408"/>
    <n v="809732"/>
    <n v="98308"/>
    <s v="Feb"/>
    <n v="2"/>
    <n v="2026"/>
    <s v="Weekday"/>
    <n v="0.2413793103448276"/>
    <n v="0.55393586005830908"/>
    <n v="8.1632653061224483E-2"/>
    <n v="3511"/>
    <s v="Autohaus Berl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701770-D7A1-49BB-890D-41D9EC6A1BAE}" name="PivotTable29"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E43" firstHeaderRow="0"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showAll="0"/>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axis="axisRow" showAll="0">
      <items count="4">
        <item x="2"/>
        <item x="1"/>
        <item x="0"/>
        <item t="default"/>
      </items>
    </pivotField>
    <pivotField showAll="0"/>
    <pivotField showAll="0"/>
    <pivotField showAll="0">
      <items count="3">
        <item x="1"/>
        <item x="0"/>
        <item t="default"/>
      </items>
    </pivotField>
    <pivotField showAll="0">
      <items count="5">
        <item h="1" x="2"/>
        <item h="1" x="0"/>
        <item h="1" x="1"/>
        <item x="3"/>
        <item t="default"/>
      </items>
    </pivotField>
    <pivotField showAll="0"/>
    <pivotField showAll="0"/>
    <pivotField dataField="1" showAll="0"/>
    <pivotField showAll="0"/>
    <pivotField dataField="1" showAll="0"/>
    <pivotField showAll="0"/>
    <pivotField showAll="0"/>
    <pivotField showAll="0"/>
    <pivotField showAll="0"/>
    <pivotField dataField="1" showAll="0"/>
    <pivotField dataField="1" showAll="0"/>
    <pivotField showAll="0"/>
    <pivotField showAll="0"/>
    <pivotField showAll="0"/>
    <pivotField showAll="0"/>
    <pivotField numFmtId="10" showAll="0"/>
    <pivotField numFmtId="10" showAll="0"/>
    <pivotField numFmtId="10" showAll="0"/>
    <pivotField numFmtId="2" showAll="0"/>
    <pivotField showAll="0"/>
    <pivotField showAll="0" defaultSubtotal="0">
      <items count="6">
        <item x="0"/>
        <item x="1"/>
        <item x="2"/>
        <item x="3"/>
        <item x="4"/>
        <item x="5"/>
      </items>
    </pivotField>
  </pivotFields>
  <rowFields count="1">
    <field x="11"/>
  </rowFields>
  <rowItems count="4">
    <i>
      <x/>
    </i>
    <i>
      <x v="1"/>
    </i>
    <i>
      <x v="2"/>
    </i>
    <i t="grand">
      <x/>
    </i>
  </rowItems>
  <colFields count="1">
    <field x="-2"/>
  </colFields>
  <colItems count="4">
    <i>
      <x/>
    </i>
    <i i="1">
      <x v="1"/>
    </i>
    <i i="2">
      <x v="2"/>
    </i>
    <i i="3">
      <x v="3"/>
    </i>
  </colItems>
  <dataFields count="4">
    <dataField name="Sum of Revenue(€)" fld="25" baseField="0" baseItem="0" numFmtId="173"/>
    <dataField name="Sum of Profit(€)" fld="26" baseField="0" baseItem="0" numFmtId="173"/>
    <dataField name="Sum of Contracts Signed" fld="20" baseField="0" baseItem="0" numFmtId="174"/>
    <dataField name="Sum of Test Drives" fld="18" baseField="0" baseItem="0" numFmtId="174"/>
  </dataFields>
  <formats count="2">
    <format dxfId="223">
      <pivotArea outline="0" collapsedLevelsAreSubtotals="1" fieldPosition="0">
        <references count="1">
          <reference field="4294967294" count="2" selected="0">
            <x v="0"/>
            <x v="1"/>
          </reference>
        </references>
      </pivotArea>
    </format>
    <format dxfId="224">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2F2FA6-3014-465E-870E-3C655E8D0934}" name="PivotTable26" cacheId="3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H28" firstHeaderRow="0"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showAll="0"/>
    <pivotField showAll="0"/>
    <pivotField showAll="0"/>
    <pivotField axis="axisRow" showAll="0">
      <items count="13">
        <item m="1" x="11"/>
        <item m="1" x="10"/>
        <item x="7"/>
        <item x="5"/>
        <item x="2"/>
        <item x="6"/>
        <item x="0"/>
        <item x="1"/>
        <item x="9"/>
        <item x="3"/>
        <item x="8"/>
        <item x="4"/>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pivotField showAll="0"/>
    <pivotField dataField="1" showAll="0"/>
    <pivotField showAll="0"/>
    <pivotField dataField="1" showAll="0"/>
    <pivotField showAll="0"/>
    <pivotField showAll="0"/>
    <pivotField showAll="0"/>
    <pivotField showAll="0"/>
    <pivotField dataField="1" showAll="0"/>
    <pivotField dataField="1" showAll="0"/>
    <pivotField showAll="0"/>
    <pivotField showAll="0"/>
    <pivotField showAll="0"/>
    <pivotField showAll="0"/>
    <pivotField numFmtId="10" showAll="0"/>
    <pivotField numFmtId="10" showAll="0"/>
    <pivotField numFmtId="10" showAll="0"/>
    <pivotField numFmtId="2" showAll="0"/>
    <pivotField showAll="0"/>
    <pivotField showAll="0" defaultSubtotal="0">
      <items count="6">
        <item x="0"/>
        <item x="1"/>
        <item x="2"/>
        <item x="3"/>
        <item x="4"/>
        <item x="5"/>
      </items>
    </pivotField>
  </pivotFields>
  <rowFields count="1">
    <field x="5"/>
  </rowFields>
  <rowItems count="11">
    <i>
      <x v="2"/>
    </i>
    <i>
      <x v="3"/>
    </i>
    <i>
      <x v="4"/>
    </i>
    <i>
      <x v="5"/>
    </i>
    <i>
      <x v="6"/>
    </i>
    <i>
      <x v="7"/>
    </i>
    <i>
      <x v="8"/>
    </i>
    <i>
      <x v="9"/>
    </i>
    <i>
      <x v="10"/>
    </i>
    <i>
      <x v="11"/>
    </i>
    <i t="grand">
      <x/>
    </i>
  </rowItems>
  <colFields count="1">
    <field x="-2"/>
  </colFields>
  <colItems count="4">
    <i>
      <x/>
    </i>
    <i i="1">
      <x v="1"/>
    </i>
    <i i="2">
      <x v="2"/>
    </i>
    <i i="3">
      <x v="3"/>
    </i>
  </colItems>
  <dataFields count="4">
    <dataField name="Sum of Revenue(€)" fld="25" baseField="0" baseItem="0"/>
    <dataField name="Sum of Profit(€)" fld="26" baseField="0" baseItem="0"/>
    <dataField name="Sum of Contracts Signed" fld="20" baseField="0" baseItem="0"/>
    <dataField name="Sum of Test Driv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2101C-F5F4-4613-8699-4187FA37F06C}" name="PivotTable21" cacheId="3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9:H15" firstHeaderRow="0"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showAll="0"/>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axis="axisRow"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pivotField showAll="0"/>
    <pivotField dataField="1" showAll="0"/>
    <pivotField showAll="0"/>
    <pivotField dataField="1" showAll="0"/>
    <pivotField showAll="0"/>
    <pivotField showAll="0"/>
    <pivotField showAll="0"/>
    <pivotField showAll="0"/>
    <pivotField dataField="1" showAll="0"/>
    <pivotField dataField="1" showAll="0"/>
    <pivotField showAll="0"/>
    <pivotField showAll="0"/>
    <pivotField showAll="0"/>
    <pivotField showAll="0"/>
    <pivotField numFmtId="10" showAll="0"/>
    <pivotField numFmtId="10" showAll="0"/>
    <pivotField numFmtId="10" showAll="0"/>
    <pivotField numFmtId="2" showAll="0"/>
    <pivotField showAll="0"/>
    <pivotField showAll="0" defaultSubtotal="0">
      <items count="6">
        <item x="0"/>
        <item x="1"/>
        <item x="2"/>
        <item x="3"/>
        <item x="4"/>
        <item x="5"/>
      </items>
    </pivotField>
  </pivotFields>
  <rowFields count="1">
    <field x="8"/>
  </rowFields>
  <rowItems count="6">
    <i>
      <x/>
    </i>
    <i>
      <x v="1"/>
    </i>
    <i>
      <x v="2"/>
    </i>
    <i>
      <x v="3"/>
    </i>
    <i>
      <x v="4"/>
    </i>
    <i t="grand">
      <x/>
    </i>
  </rowItems>
  <colFields count="1">
    <field x="-2"/>
  </colFields>
  <colItems count="4">
    <i>
      <x/>
    </i>
    <i i="1">
      <x v="1"/>
    </i>
    <i i="2">
      <x v="2"/>
    </i>
    <i i="3">
      <x v="3"/>
    </i>
  </colItems>
  <dataFields count="4">
    <dataField name="Sum of Revenue(€)" fld="25" baseField="0" baseItem="0"/>
    <dataField name="Sum of Profit(€)" fld="26" baseField="0" baseItem="0"/>
    <dataField name="Sum of Contracts Signed" fld="20" baseField="0" baseItem="0"/>
    <dataField name="Sum of Test Driv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8236A-8460-41BD-8044-F91DEAF45819}" name="PivotTable18"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3" firstHeaderRow="0"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showAll="0"/>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axis="axisRow" showAll="0">
      <items count="5">
        <item h="1" x="2"/>
        <item h="1" x="0"/>
        <item h="1" x="1"/>
        <item x="3"/>
        <item t="default"/>
      </items>
    </pivotField>
    <pivotField showAll="0"/>
    <pivotField dataField="1" numFmtId="171" showAll="0"/>
    <pivotField dataField="1" showAll="0"/>
    <pivotField showAll="0"/>
    <pivotField dataField="1" showAll="0"/>
    <pivotField numFmtId="10" showAll="0"/>
    <pivotField showAll="0"/>
    <pivotField showAll="0"/>
    <pivotField showAll="0"/>
    <pivotField numFmtId="2" showAll="0"/>
    <pivotField numFmtId="2" showAll="0"/>
    <pivotField showAll="0"/>
    <pivotField showAll="0"/>
    <pivotField showAll="0"/>
    <pivotField showAll="0"/>
    <pivotField numFmtId="10" showAll="0"/>
    <pivotField numFmtId="10" showAll="0"/>
    <pivotField numFmtId="10" showAll="0"/>
    <pivotField numFmtId="2" showAll="0"/>
    <pivotField showAll="0"/>
    <pivotField showAll="0" defaultSubtotal="0">
      <items count="6">
        <item x="0"/>
        <item x="1"/>
        <item x="2"/>
        <item x="3"/>
        <item x="4"/>
        <item x="5"/>
      </items>
    </pivotField>
  </pivotFields>
  <rowFields count="1">
    <field x="15"/>
  </rowFields>
  <rowItems count="2">
    <i>
      <x v="3"/>
    </i>
    <i t="grand">
      <x/>
    </i>
  </rowItems>
  <colFields count="1">
    <field x="-2"/>
  </colFields>
  <colItems count="3">
    <i>
      <x/>
    </i>
    <i i="1">
      <x v="1"/>
    </i>
    <i i="2">
      <x v="2"/>
    </i>
  </colItems>
  <dataFields count="3">
    <dataField name="Sum of Customers Visited" fld="17" baseField="0" baseItem="0" numFmtId="171"/>
    <dataField name="Sum of Test Drives" fld="18" baseField="0" baseItem="0"/>
    <dataField name="Sum of Contracts Signed" fld="20" baseField="0" baseItem="0"/>
  </dataFields>
  <formats count="1">
    <format dxfId="2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829AEC-94BA-468D-84D9-4D0841AD5789}" name="PivotTable6"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9" firstHeaderRow="1"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axis="axisRow" showAll="0">
      <items count="5">
        <item x="0"/>
        <item x="2"/>
        <item x="3"/>
        <item x="1"/>
        <item t="default"/>
      </items>
    </pivotField>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pivotField numFmtId="171" showAll="0"/>
    <pivotField showAll="0"/>
    <pivotField showAll="0"/>
    <pivotField dataField="1" showAll="0"/>
    <pivotField showAll="0"/>
    <pivotField showAll="0"/>
    <pivotField showAll="0"/>
    <pivotField showAll="0"/>
    <pivotField numFmtId="2" showAll="0"/>
    <pivotField numFmtId="2" showAll="0"/>
    <pivotField showAll="0"/>
    <pivotField showAll="0"/>
    <pivotField showAll="0"/>
    <pivotField showAll="0"/>
    <pivotField numFmtId="10" showAll="0"/>
    <pivotField numFmtId="10" showAll="0"/>
    <pivotField numFmtId="10" showAll="0"/>
    <pivotField numFmtId="2" showAll="0"/>
    <pivotField showAll="0"/>
    <pivotField showAll="0" defaultSubtotal="0">
      <items count="6">
        <item x="0"/>
        <item x="1"/>
        <item x="2"/>
        <item x="3"/>
        <item x="4"/>
        <item x="5"/>
      </items>
    </pivotField>
  </pivotFields>
  <rowFields count="1">
    <field x="2"/>
  </rowFields>
  <rowItems count="5">
    <i>
      <x/>
    </i>
    <i>
      <x v="1"/>
    </i>
    <i>
      <x v="2"/>
    </i>
    <i>
      <x v="3"/>
    </i>
    <i t="grand">
      <x/>
    </i>
  </rowItems>
  <colItems count="1">
    <i/>
  </colItems>
  <dataFields count="1">
    <dataField name="Sum of Contracts Signed" fld="20" baseField="0" baseItem="0" numFmtId="174"/>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27A532-FD87-4C0E-870E-CDBF4E5D72DC}" name="PivotTable5"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7:B12" firstHeaderRow="1" firstDataRow="1" firstDataCol="1"/>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axis="axisRow" showAll="0">
      <items count="5">
        <item x="0"/>
        <item x="2"/>
        <item x="3"/>
        <item x="1"/>
        <item t="default"/>
      </items>
    </pivotField>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pivotField showAll="0"/>
    <pivotField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numFmtId="10" showAll="0"/>
    <pivotField numFmtId="10" showAll="0"/>
    <pivotField numFmtId="10" showAll="0"/>
    <pivotField numFmtId="2" showAll="0"/>
    <pivotField showAll="0"/>
    <pivotField showAll="0">
      <items count="7">
        <item x="0"/>
        <item x="1"/>
        <item x="2"/>
        <item x="3"/>
        <item x="4"/>
        <item x="5"/>
        <item t="default"/>
      </items>
    </pivotField>
  </pivotFields>
  <rowFields count="1">
    <field x="2"/>
  </rowFields>
  <rowItems count="5">
    <i>
      <x/>
    </i>
    <i>
      <x v="1"/>
    </i>
    <i>
      <x v="2"/>
    </i>
    <i>
      <x v="3"/>
    </i>
    <i t="grand">
      <x/>
    </i>
  </rowItems>
  <colItems count="1">
    <i/>
  </colItems>
  <dataFields count="1">
    <dataField name="Sum of Profit(€)" fld="26" baseField="0" baseItem="0" numFmtId="173"/>
  </dataFields>
  <formats count="1">
    <format dxfId="2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541B1-73F2-4694-9911-EAD5DC8EDF7A}" name="PivotTable4" cacheId="3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37">
    <pivotField showAll="0"/>
    <pivotField numFmtId="14"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showAll="0"/>
    <pivotField showAll="0"/>
    <pivotField showAll="0"/>
    <pivotField showAll="0">
      <items count="13">
        <item x="4"/>
        <item m="1" x="11"/>
        <item m="1" x="10"/>
        <item x="7"/>
        <item x="5"/>
        <item x="2"/>
        <item x="6"/>
        <item x="0"/>
        <item x="1"/>
        <item x="9"/>
        <item x="3"/>
        <item x="8"/>
        <item t="default"/>
      </items>
    </pivotField>
    <pivotField showAll="0">
      <items count="11">
        <item x="4"/>
        <item x="1"/>
        <item x="9"/>
        <item x="3"/>
        <item x="0"/>
        <item x="5"/>
        <item x="2"/>
        <item x="6"/>
        <item x="7"/>
        <item x="8"/>
        <item t="default"/>
      </items>
    </pivotField>
    <pivotField showAll="0"/>
    <pivotField showAll="0">
      <items count="6">
        <item x="2"/>
        <item x="0"/>
        <item x="3"/>
        <item x="1"/>
        <item x="4"/>
        <item t="default"/>
      </items>
    </pivotField>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pivotField dataField="1" showAll="0"/>
    <pivotField dataField="1" showAll="0"/>
    <pivotField dataField="1" showAll="0"/>
    <pivotField dataField="1" showAll="0"/>
    <pivotField showAll="0"/>
    <pivotField showAll="0"/>
    <pivotField showAll="0"/>
    <pivotField showAll="0"/>
    <pivotField numFmtId="2" showAll="0"/>
    <pivotField numFmtId="2" showAll="0"/>
    <pivotField showAll="0"/>
    <pivotField showAll="0"/>
    <pivotField showAll="0"/>
    <pivotField showAll="0"/>
    <pivotField numFmtId="10" showAll="0"/>
    <pivotField numFmtId="10" showAll="0"/>
    <pivotField numFmtId="10" showAll="0"/>
    <pivotField numFmtId="2" showAll="0"/>
    <pivotField showAll="0"/>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Customers Visited" fld="17" baseField="0" baseItem="0"/>
    <dataField name="Sum of Test Drives" fld="18" baseField="0" baseItem="0"/>
    <dataField name="Sum of Contracts Offered" fld="19" baseField="0" baseItem="0"/>
    <dataField name="Sum of Contracts Signed" fld="20" baseField="0" baseItem="0"/>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C88343-A75C-4B82-880B-0521FC7BD601}" name="PivotTable3"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2" firstHeaderRow="0" firstDataRow="1" firstDataCol="0"/>
  <pivotFields count="37">
    <pivotField compact="0" outline="0" showAll="0"/>
    <pivotField compact="0" numFmtId="14" outline="0" showAll="0">
      <items count="29">
        <item x="9"/>
        <item x="0"/>
        <item x="21"/>
        <item x="11"/>
        <item x="20"/>
        <item x="13"/>
        <item x="18"/>
        <item x="17"/>
        <item x="2"/>
        <item x="23"/>
        <item x="4"/>
        <item x="15"/>
        <item x="14"/>
        <item x="6"/>
        <item x="27"/>
        <item x="7"/>
        <item x="22"/>
        <item x="8"/>
        <item x="12"/>
        <item x="25"/>
        <item x="5"/>
        <item x="3"/>
        <item x="10"/>
        <item x="16"/>
        <item x="1"/>
        <item x="24"/>
        <item x="26"/>
        <item x="19"/>
        <item t="default"/>
      </items>
    </pivotField>
    <pivotField compact="0" outline="0" showAll="0"/>
    <pivotField compact="0" outline="0" showAll="0"/>
    <pivotField compact="0" outline="0" showAll="0"/>
    <pivotField compact="0" outline="0" showAll="0">
      <items count="13">
        <item x="4"/>
        <item m="1" x="11"/>
        <item m="1" x="10"/>
        <item x="7"/>
        <item x="5"/>
        <item x="2"/>
        <item x="6"/>
        <item x="0"/>
        <item x="1"/>
        <item x="9"/>
        <item x="3"/>
        <item x="8"/>
        <item t="default"/>
      </items>
    </pivotField>
    <pivotField compact="0" outline="0" showAll="0">
      <items count="11">
        <item x="4"/>
        <item x="1"/>
        <item x="9"/>
        <item x="3"/>
        <item x="0"/>
        <item x="5"/>
        <item x="2"/>
        <item x="6"/>
        <item x="7"/>
        <item x="8"/>
        <item t="default"/>
      </items>
    </pivotField>
    <pivotField compact="0" outline="0" showAll="0"/>
    <pivotField compact="0" outline="0" showAll="0">
      <items count="6">
        <item x="2"/>
        <item x="0"/>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5">
        <item h="1" x="2"/>
        <item h="1" x="0"/>
        <item h="1" x="1"/>
        <item x="3"/>
        <item t="default"/>
      </items>
    </pivotField>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numFmtId="2" outline="0" showAll="0"/>
    <pivotField dataField="1" compact="0" numFmtId="2" outline="0" showAll="0"/>
    <pivotField compact="0" outline="0" showAll="0"/>
    <pivotField compact="0" outline="0" showAll="0"/>
    <pivotField compact="0" outline="0" showAll="0"/>
    <pivotField compact="0" outline="0" showAll="0"/>
    <pivotField compact="0" numFmtId="10" outline="0" showAll="0"/>
    <pivotField compact="0" numFmtId="10" outline="0" showAll="0"/>
    <pivotField compact="0" numFmtId="10" outline="0" showAll="0"/>
    <pivotField compact="0" numFmtId="2" outline="0" showAll="0"/>
    <pivotField compact="0" outline="0" showAll="0"/>
    <pivotField compact="0" outline="0"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Sum of Customers Visited" fld="17" baseField="0" baseItem="0" numFmtId="174"/>
    <dataField name="Sum of Test Drives" fld="18" baseField="0" baseItem="0" numFmtId="174"/>
    <dataField name="Sum of Contracts Signed" fld="20" baseField="0" baseItem="0" numFmtId="174"/>
    <dataField name="Sum of Revenue(€)" fld="25" baseField="0" baseItem="0" numFmtId="173"/>
    <dataField name="Sum of Profit(€)" fld="26" baseField="0" baseItem="0" numFmtId="173"/>
  </dataFields>
  <formats count="3">
    <format dxfId="220">
      <pivotArea outline="0" fieldPosition="0">
        <references count="1">
          <reference field="4294967294" count="1" selected="0">
            <x v="3"/>
          </reference>
        </references>
      </pivotArea>
    </format>
    <format dxfId="221">
      <pivotArea outline="0" fieldPosition="0">
        <references count="1">
          <reference field="4294967294" count="3" selected="0">
            <x v="0"/>
            <x v="1"/>
            <x v="2"/>
          </reference>
        </references>
      </pivotArea>
    </format>
    <format dxfId="222">
      <pivotArea outline="0"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3B6192-81CB-4ADD-854A-05B739029879}" sourceName="City">
  <pivotTables>
    <pivotTable tabId="3" name="PivotTable26"/>
    <pivotTable tabId="3" name="PivotTable18"/>
    <pivotTable tabId="3" name="PivotTable21"/>
    <pivotTable tabId="3" name="PivotTable29"/>
    <pivotTable tabId="3" name="PivotTable3"/>
    <pivotTable tabId="3" name="PivotTable4"/>
    <pivotTable tabId="3" name="PivotTable5"/>
    <pivotTable tabId="3" name="PivotTable6"/>
  </pivotTables>
  <data>
    <tabular pivotCacheId="187584776">
      <items count="10">
        <i x="4" s="1"/>
        <i x="1" s="1"/>
        <i x="9" s="1"/>
        <i x="3" s="1"/>
        <i x="0" s="1"/>
        <i x="5" s="1"/>
        <i x="2"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F1EB9B8-E385-4F1C-AF7E-70D1FB64D11E}" sourceName="Brand">
  <pivotTables>
    <pivotTable tabId="3" name="PivotTable26"/>
    <pivotTable tabId="3" name="PivotTable18"/>
    <pivotTable tabId="3" name="PivotTable21"/>
    <pivotTable tabId="3" name="PivotTable29"/>
    <pivotTable tabId="3" name="PivotTable3"/>
    <pivotTable tabId="3" name="PivotTable4"/>
    <pivotTable tabId="3" name="PivotTable5"/>
    <pivotTable tabId="3" name="PivotTable6"/>
  </pivotTables>
  <data>
    <tabular pivotCacheId="187584776">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62A4A64-AD58-470E-9EA4-99B755BC233F}" sourceName="Customer Type">
  <pivotTables>
    <pivotTable tabId="3" name="PivotTable26"/>
    <pivotTable tabId="3" name="PivotTable18"/>
    <pivotTable tabId="3" name="PivotTable21"/>
    <pivotTable tabId="3" name="PivotTable29"/>
    <pivotTable tabId="3" name="PivotTable3"/>
    <pivotTable tabId="3" name="PivotTable4"/>
    <pivotTable tabId="3" name="PivotTable5"/>
    <pivotTable tabId="3" name="PivotTable6"/>
  </pivotTables>
  <data>
    <tabular pivotCacheId="18758477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1CC10F72-B9E6-4333-8129-B3F3B6D7ED48}" sourceName="Lead Source">
  <pivotTables>
    <pivotTable tabId="3" name="PivotTable26"/>
    <pivotTable tabId="3" name="PivotTable18"/>
    <pivotTable tabId="3" name="PivotTable21"/>
    <pivotTable tabId="3" name="PivotTable29"/>
    <pivotTable tabId="3" name="PivotTable3"/>
    <pivotTable tabId="3" name="PivotTable4"/>
    <pivotTable tabId="3" name="PivotTable5"/>
    <pivotTable tabId="3" name="PivotTable6"/>
  </pivotTables>
  <data>
    <tabular pivotCacheId="187584776">
      <items count="4">
        <i x="2"/>
        <i x="0"/>
        <i x="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1A3CE57-CB3A-47A0-84F9-A18296F2D0F3}" sourceName="Retailer">
  <pivotTables>
    <pivotTable tabId="3" name="PivotTable26"/>
  </pivotTables>
  <data>
    <tabular pivotCacheId="187584776">
      <items count="12">
        <i x="4" s="1"/>
        <i x="7" s="1"/>
        <i x="5" s="1"/>
        <i x="2" s="1"/>
        <i x="6" s="1"/>
        <i x="0" s="1"/>
        <i x="1" s="1"/>
        <i x="9" s="1"/>
        <i x="3" s="1"/>
        <i x="8" s="1"/>
        <i x="11" s="1" nd="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62F25DD-2E57-4D47-9C06-1DEB3F89BBE9}" cache="Slicer_City" caption="City" rowHeight="257175"/>
  <slicer name="Brand" xr10:uid="{85EF7FE7-DD71-4F6F-9CEC-7825FB7F8E4C}" cache="Slicer_Brand" caption="Brand" rowHeight="257175"/>
  <slicer name="Customer Type" xr10:uid="{B62A7730-6AD0-479C-8043-2DEB76B08637}" cache="Slicer_Customer_Type" caption="Customer Type" rowHeight="257175"/>
  <slicer name="Lead Source" xr10:uid="{E5E7386F-D535-4F4E-BACE-CDD0A9759854}" cache="Slicer_Lead_Source" caption="Lead Source" rowHeight="257175"/>
  <slicer name="Retailer" xr10:uid="{41DC982C-6D4A-4828-AAC5-25CACE281D4A}" cache="Slicer_Retailer" caption="Retailer" columnCoun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C5DA2-E3DE-494B-B2A0-6637527CD90E}" name="SalesData" displayName="SalesData" ref="A1:AJ5001" totalsRowShown="0">
  <autoFilter ref="A1:AJ5001" xr:uid="{636C5DA2-E3DE-494B-B2A0-6637527CD90E}">
    <filterColumn colId="8">
      <filters>
        <filter val="BMW"/>
      </filters>
    </filterColumn>
  </autoFilter>
  <tableColumns count="36">
    <tableColumn id="1" xr3:uid="{1A007571-9EBC-4641-9C94-9C5862A4BFC6}" name="Customer ID"/>
    <tableColumn id="2" xr3:uid="{904FE8E9-3773-4D42-A822-4BF732A8674D}" name="Date" dataDxfId="226"/>
    <tableColumn id="3" xr3:uid="{B3A4860E-907A-42FC-8F2E-1AF37EE9B87F}" name="Week"/>
    <tableColumn id="4" xr3:uid="{A3E157B4-FB68-4339-BD90-6767AC625B53}" name="Day"/>
    <tableColumn id="5" xr3:uid="{8817CC0E-36C5-4FD1-9ECC-1603F15C0440}" name="Weekend"/>
    <tableColumn id="6" xr3:uid="{A905BBBE-CFDC-4F7A-BA4B-F69549FA77FB}" name="Retailer"/>
    <tableColumn id="7" xr3:uid="{B95A73FD-5C04-4CD1-87B2-E021682A6DEE}" name="City"/>
    <tableColumn id="8" xr3:uid="{7A34300A-CBDE-434C-87E7-C6BB3100CC2A}" name="State"/>
    <tableColumn id="9" xr3:uid="{7D93F0AD-9A7F-4D45-964C-63229FFAD065}" name="Brand"/>
    <tableColumn id="10" xr3:uid="{6C7D1716-E8D0-4598-99E8-5E3D12F38CEB}" name="Model"/>
    <tableColumn id="11" xr3:uid="{E5F84E63-9F7E-4717-88A4-081E569A2DEE}" name="Fuel Type"/>
    <tableColumn id="12" xr3:uid="{5480C8D6-E400-47B8-A707-7938C034FC33}" name="Segment"/>
    <tableColumn id="13" xr3:uid="{FCD1DC57-B6B5-4311-B45F-1A9E6609789C}" name="Age Group"/>
    <tableColumn id="14" xr3:uid="{17798EC6-53ED-495D-82CA-9E8EE1FC40DB}" name="Income Band"/>
    <tableColumn id="15" xr3:uid="{1C4958CD-70C7-4328-B3E7-CAA8FD0ABFDE}" name="Customer Type"/>
    <tableColumn id="16" xr3:uid="{1944033C-C254-4F6B-AECF-268F5D18F0B1}" name="Lead Source"/>
    <tableColumn id="17" xr3:uid="{3E2DE71D-54A9-439C-94C4-9E10F1403EDE}" name="Salesperson"/>
    <tableColumn id="18" xr3:uid="{EF1C2EE2-1119-439A-B42B-09846CB1ADFD}" name="Customers Visited" dataDxfId="228"/>
    <tableColumn id="19" xr3:uid="{7B7D9687-3034-40E1-8B0B-A890CFA246F2}" name="Test Drives"/>
    <tableColumn id="20" xr3:uid="{D3B6F362-16A3-43D4-B692-A6CCD8E873CC}" name="Contracts Offered"/>
    <tableColumn id="21" xr3:uid="{3A774849-1D93-463B-B596-E728532BB91A}" name="Contracts Signed"/>
    <tableColumn id="22" xr3:uid="{A4D94668-9DD5-46F0-B31B-6EA45AF5F40F}" name="Conversion Rate (%)" dataDxfId="227"/>
    <tableColumn id="23" xr3:uid="{924D3480-0F70-44B2-A289-7037695BCCDF}" name="Unit Price (€)"/>
    <tableColumn id="24" xr3:uid="{2AEF6B86-A07C-4434-B70C-635C6C36235C}" name="Discount (%)"/>
    <tableColumn id="25" xr3:uid="{8612D470-3B5E-48C7-B32F-5FAD35446FD6}" name="Cost Price (€)"/>
    <tableColumn id="26" xr3:uid="{601EE8BE-EE2E-4F17-BF4F-3F0DA3AA0DFB}" name="Revenue(€)" dataDxfId="230"/>
    <tableColumn id="27" xr3:uid="{5C840CC6-C53C-40CA-8492-30B8C97E0098}" name="Profit(€)" dataDxfId="231"/>
    <tableColumn id="28" xr3:uid="{91C7D7C4-9ABC-48CD-958C-297E471ABA66}" name="Month" dataDxfId="237">
      <calculatedColumnFormula>(VLOOKUP(SalesData[[#This Row],[Month Number]],Reference!C$5:E$16,2,FALSE))</calculatedColumnFormula>
    </tableColumn>
    <tableColumn id="29" xr3:uid="{63AC65C1-2EA5-4C09-A5E6-8BEDE5FC28A0}" name="Month Number" dataDxfId="238">
      <calculatedColumnFormula>MONTH(SalesData[[#This Row],[Date]])</calculatedColumnFormula>
    </tableColumn>
    <tableColumn id="30" xr3:uid="{A77E0930-1F41-41EB-B9C3-E76AE289B871}" name="Year" dataDxfId="235">
      <calculatedColumnFormula>Reference!F$4</calculatedColumnFormula>
    </tableColumn>
    <tableColumn id="31" xr3:uid="{AE1708FB-FCE1-4745-81F8-B3C31A09E2DC}" name="Weekday Type" dataDxfId="236">
      <calculatedColumnFormula>IF(OR(SalesData[[#This Row],[Day]]="Saturday",SalesData[[#This Row],[Day]]="Sunday"),"Weekend","Weekday")</calculatedColumnFormula>
    </tableColumn>
    <tableColumn id="32" xr3:uid="{49AC8973-EEB7-4CBE-BE86-44BA291A51CE}" name="Offer Conversion" dataDxfId="234"/>
    <tableColumn id="33" xr3:uid="{5777FB39-2F12-4A20-A855-B3D005C83F70}" name="Visit to Test Drive %" dataDxfId="233">
      <calculatedColumnFormula>IF(SalesData[[#This Row],[Customers Visited]]=0,0,SalesData[[#This Row],[Test Drives]]/SalesData[[#This Row],[Customers Visited]])</calculatedColumnFormula>
    </tableColumn>
    <tableColumn id="34" xr3:uid="{42A71A66-01D0-469C-9835-2572FBF1E77C}" name="Visit to Signed %" dataDxfId="232">
      <calculatedColumnFormula>IF(SalesData[[#This Row],[Customers Visited]]=0,0,SalesData[[#This Row],[Contracts Signed]]/SalesData[[#This Row],[Customers Visited]])</calculatedColumnFormula>
    </tableColumn>
    <tableColumn id="35" xr3:uid="{050C96C0-9DF1-4E78-A6EE-943C3B14DBCD}" name="Average Margin per Signed Contract" dataDxfId="229">
      <calculatedColumnFormula>IF(SalesData[[#This Row],[Contracts Signed]]=0,0,SalesData[[#This Row],[Profit(€)]]/SalesData[[#This Row],[Contracts Signed]])</calculatedColumnFormula>
    </tableColumn>
    <tableColumn id="36" xr3:uid="{129BBCF7-22BF-451E-BBEF-7AE02DD0F9DF}" name="Column1" dataDxfId="216">
      <calculatedColumnFormula>TRIM(CLEAN(SalesData[[#This Row],[Retailer]]))</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D819-AC4F-4B3C-A562-883E89BCDE5F}">
  <dimension ref="A1:AJ5001"/>
  <sheetViews>
    <sheetView workbookViewId="0">
      <selection activeCell="Z1" sqref="Z1:Z1048576"/>
    </sheetView>
  </sheetViews>
  <sheetFormatPr defaultRowHeight="15" x14ac:dyDescent="0.2"/>
  <cols>
    <col min="1" max="1" width="14.5" customWidth="1"/>
    <col min="2" max="2" width="15.625" style="1" customWidth="1"/>
    <col min="5" max="5" width="11.625" customWidth="1"/>
    <col min="6" max="6" width="16.25" customWidth="1"/>
    <col min="11" max="11" width="11.625" customWidth="1"/>
    <col min="12" max="12" width="11" customWidth="1"/>
    <col min="13" max="13" width="12.375" customWidth="1"/>
    <col min="14" max="14" width="14.625" customWidth="1"/>
    <col min="15" max="15" width="16.75" customWidth="1"/>
    <col min="16" max="16" width="14" customWidth="1"/>
    <col min="17" max="17" width="14.25" customWidth="1"/>
    <col min="18" max="18" width="19.75" style="10" customWidth="1"/>
    <col min="19" max="19" width="13.25" customWidth="1"/>
    <col min="20" max="20" width="19.375" customWidth="1"/>
    <col min="21" max="21" width="18.5" customWidth="1"/>
    <col min="22" max="22" width="21.5" customWidth="1"/>
    <col min="23" max="23" width="16.25" customWidth="1"/>
    <col min="24" max="24" width="14.625" customWidth="1"/>
    <col min="25" max="25" width="16.75" customWidth="1"/>
    <col min="26" max="26" width="15.5" style="6" customWidth="1"/>
    <col min="27" max="27" width="12.5" style="6" customWidth="1"/>
    <col min="28" max="28" width="10.75" customWidth="1"/>
    <col min="29" max="29" width="11.75" customWidth="1"/>
    <col min="33" max="33" width="9" style="5"/>
    <col min="34" max="34" width="11.75" style="5" customWidth="1"/>
    <col min="35" max="35" width="12" style="6" customWidth="1"/>
  </cols>
  <sheetData>
    <row r="1" spans="1:36"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s="10" t="s">
        <v>17</v>
      </c>
      <c r="S1" t="s">
        <v>18</v>
      </c>
      <c r="T1" t="s">
        <v>19</v>
      </c>
      <c r="U1" t="s">
        <v>20</v>
      </c>
      <c r="V1" t="s">
        <v>21</v>
      </c>
      <c r="W1" t="s">
        <v>6321</v>
      </c>
      <c r="X1" t="s">
        <v>22</v>
      </c>
      <c r="Y1" t="s">
        <v>6320</v>
      </c>
      <c r="Z1" s="6" t="s">
        <v>6319</v>
      </c>
      <c r="AA1" s="6" t="s">
        <v>6318</v>
      </c>
      <c r="AB1" t="s">
        <v>6284</v>
      </c>
      <c r="AC1" t="s">
        <v>6285</v>
      </c>
      <c r="AD1" t="s">
        <v>6286</v>
      </c>
      <c r="AE1" t="s">
        <v>6287</v>
      </c>
      <c r="AF1" t="s">
        <v>6311</v>
      </c>
      <c r="AG1" s="5" t="s">
        <v>6313</v>
      </c>
      <c r="AH1" s="5" t="s">
        <v>6314</v>
      </c>
      <c r="AI1" s="6" t="s">
        <v>6315</v>
      </c>
      <c r="AJ1" t="s">
        <v>6312</v>
      </c>
    </row>
    <row r="2" spans="1:36" ht="14.25" x14ac:dyDescent="0.2">
      <c r="A2" t="s">
        <v>23</v>
      </c>
      <c r="B2" s="1">
        <v>46055</v>
      </c>
      <c r="C2" t="s">
        <v>24</v>
      </c>
      <c r="D2" t="s">
        <v>25</v>
      </c>
      <c r="E2" t="s">
        <v>26</v>
      </c>
      <c r="F2" t="s">
        <v>27</v>
      </c>
      <c r="G2" t="s">
        <v>28</v>
      </c>
      <c r="H2" t="s">
        <v>29</v>
      </c>
      <c r="I2" t="s">
        <v>30</v>
      </c>
      <c r="J2" t="s">
        <v>31</v>
      </c>
      <c r="K2" t="s">
        <v>91</v>
      </c>
      <c r="L2" t="s">
        <v>46</v>
      </c>
      <c r="M2" t="s">
        <v>87</v>
      </c>
      <c r="N2" t="s">
        <v>69</v>
      </c>
      <c r="O2" t="s">
        <v>36</v>
      </c>
      <c r="P2" t="s">
        <v>49</v>
      </c>
      <c r="Q2" t="s">
        <v>167</v>
      </c>
      <c r="R2">
        <v>153</v>
      </c>
      <c r="S2">
        <v>73</v>
      </c>
      <c r="T2">
        <v>53</v>
      </c>
      <c r="U2">
        <v>18</v>
      </c>
      <c r="V2" t="s">
        <v>6356</v>
      </c>
      <c r="W2">
        <v>58436</v>
      </c>
      <c r="X2" t="s">
        <v>7025</v>
      </c>
      <c r="Y2">
        <v>41345</v>
      </c>
      <c r="Z2">
        <v>1051848</v>
      </c>
      <c r="AA2">
        <v>307638</v>
      </c>
      <c r="AB2" t="str">
        <f>(VLOOKUP(SalesData[[#This Row],[Month Number]],Reference!C$5:E$16,2,FALSE))</f>
        <v>Feb</v>
      </c>
      <c r="AC2">
        <f>MONTH(SalesData[[#This Row],[Date]])</f>
        <v>2</v>
      </c>
      <c r="AD2">
        <f>Reference!F$4</f>
        <v>2026</v>
      </c>
      <c r="AE2" t="str">
        <f>IF(OR(SalesData[[#This Row],[Day]]="Saturday",SalesData[[#This Row],[Day]]="Sunday"),"Weekend","Weekday")</f>
        <v>Weekday</v>
      </c>
      <c r="AF2" s="5">
        <f>IF(SalesData[[#This Row],[Contracts Offered]]=0,0,SalesData[[#This Row],[Contracts Signed]]/SalesData[[#This Row],[Contracts Offered]])</f>
        <v>0.33962264150943394</v>
      </c>
      <c r="AG2" s="5">
        <f>IF(SalesData[[#This Row],[Customers Visited]]=0,0,SalesData[[#This Row],[Test Drives]]/SalesData[[#This Row],[Customers Visited]])</f>
        <v>0.47712418300653597</v>
      </c>
      <c r="AH2" s="5">
        <f>IF(SalesData[[#This Row],[Customers Visited]]=0,0,SalesData[[#This Row],[Contracts Signed]]/SalesData[[#This Row],[Customers Visited]])</f>
        <v>0.11764705882352941</v>
      </c>
      <c r="AI2" s="6">
        <f>IF(SalesData[[#This Row],[Contracts Signed]]=0,0,SalesData[[#This Row],[Profit(€)]]/SalesData[[#This Row],[Contracts Signed]])</f>
        <v>17091</v>
      </c>
      <c r="AJ2" s="5" t="str">
        <f>TRIM(CLEAN(SalesData[[#This Row],[Retailer]]))</f>
        <v>Main Auto Hub</v>
      </c>
    </row>
    <row r="3" spans="1:36" ht="14.25" hidden="1" x14ac:dyDescent="0.2">
      <c r="A3" t="s">
        <v>40</v>
      </c>
      <c r="B3" s="1">
        <v>46078</v>
      </c>
      <c r="C3" t="s">
        <v>53</v>
      </c>
      <c r="D3" t="s">
        <v>82</v>
      </c>
      <c r="E3" t="s">
        <v>26</v>
      </c>
      <c r="F3" t="s">
        <v>127</v>
      </c>
      <c r="G3" t="s">
        <v>128</v>
      </c>
      <c r="H3" t="s">
        <v>103</v>
      </c>
      <c r="I3" t="s">
        <v>116</v>
      </c>
      <c r="J3" t="s">
        <v>7026</v>
      </c>
      <c r="K3" t="s">
        <v>32</v>
      </c>
      <c r="L3" t="s">
        <v>46</v>
      </c>
      <c r="M3" t="s">
        <v>87</v>
      </c>
      <c r="N3" t="s">
        <v>35</v>
      </c>
      <c r="O3" t="s">
        <v>36</v>
      </c>
      <c r="P3" t="s">
        <v>71</v>
      </c>
      <c r="Q3" t="s">
        <v>144</v>
      </c>
      <c r="R3">
        <v>243</v>
      </c>
      <c r="S3">
        <v>121</v>
      </c>
      <c r="T3">
        <v>69</v>
      </c>
      <c r="U3">
        <v>24</v>
      </c>
      <c r="V3" t="s">
        <v>1976</v>
      </c>
      <c r="W3">
        <v>21127</v>
      </c>
      <c r="X3" t="s">
        <v>1776</v>
      </c>
      <c r="Y3">
        <v>19164</v>
      </c>
      <c r="Z3">
        <v>507048</v>
      </c>
      <c r="AA3">
        <v>47112</v>
      </c>
      <c r="AB3" t="str">
        <f>(VLOOKUP(SalesData[[#This Row],[Month Number]],Reference!C$5:E$16,2,FALSE))</f>
        <v>Feb</v>
      </c>
      <c r="AC3">
        <f>MONTH(SalesData[[#This Row],[Date]])</f>
        <v>2</v>
      </c>
      <c r="AD3">
        <f>Reference!F$4</f>
        <v>2026</v>
      </c>
      <c r="AE3" t="str">
        <f>IF(OR(SalesData[[#This Row],[Day]]="Saturday",SalesData[[#This Row],[Day]]="Sunday"),"Weekend","Weekday")</f>
        <v>Weekday</v>
      </c>
      <c r="AF3" s="5">
        <f>IF(SalesData[[#This Row],[Contracts Offered]]=0,0,SalesData[[#This Row],[Contracts Signed]]/SalesData[[#This Row],[Contracts Offered]])</f>
        <v>0.34782608695652173</v>
      </c>
      <c r="AG3" s="5">
        <f>IF(SalesData[[#This Row],[Customers Visited]]=0,0,SalesData[[#This Row],[Test Drives]]/SalesData[[#This Row],[Customers Visited]])</f>
        <v>0.49794238683127573</v>
      </c>
      <c r="AH3" s="5">
        <f>IF(SalesData[[#This Row],[Customers Visited]]=0,0,SalesData[[#This Row],[Contracts Signed]]/SalesData[[#This Row],[Customers Visited]])</f>
        <v>9.8765432098765427E-2</v>
      </c>
      <c r="AI3" s="6">
        <f>IF(SalesData[[#This Row],[Contracts Signed]]=0,0,SalesData[[#This Row],[Profit(€)]]/SalesData[[#This Row],[Contracts Signed]])</f>
        <v>1963</v>
      </c>
      <c r="AJ3" s="5" t="str">
        <f>TRIM(CLEAN(SalesData[[#This Row],[Retailer]]))</f>
        <v>Rhein Auto Group</v>
      </c>
    </row>
    <row r="4" spans="1:36" ht="14.25" x14ac:dyDescent="0.2">
      <c r="A4" t="s">
        <v>52</v>
      </c>
      <c r="B4" s="1">
        <v>46062</v>
      </c>
      <c r="C4" t="s">
        <v>121</v>
      </c>
      <c r="D4" t="s">
        <v>25</v>
      </c>
      <c r="E4" t="s">
        <v>26</v>
      </c>
      <c r="F4" t="s">
        <v>83</v>
      </c>
      <c r="G4" t="s">
        <v>84</v>
      </c>
      <c r="H4" t="s">
        <v>85</v>
      </c>
      <c r="I4" t="s">
        <v>30</v>
      </c>
      <c r="J4" t="s">
        <v>166</v>
      </c>
      <c r="K4" t="s">
        <v>91</v>
      </c>
      <c r="L4" t="s">
        <v>46</v>
      </c>
      <c r="M4" t="s">
        <v>47</v>
      </c>
      <c r="N4" t="s">
        <v>69</v>
      </c>
      <c r="O4" t="s">
        <v>36</v>
      </c>
      <c r="P4" t="s">
        <v>71</v>
      </c>
      <c r="Q4" t="s">
        <v>79</v>
      </c>
      <c r="R4">
        <v>271</v>
      </c>
      <c r="S4">
        <v>141</v>
      </c>
      <c r="T4">
        <v>106</v>
      </c>
      <c r="U4">
        <v>43</v>
      </c>
      <c r="V4" t="s">
        <v>7027</v>
      </c>
      <c r="W4">
        <v>67568</v>
      </c>
      <c r="X4" t="s">
        <v>51</v>
      </c>
      <c r="Y4">
        <v>50075</v>
      </c>
      <c r="Z4">
        <v>2905424</v>
      </c>
      <c r="AA4">
        <v>752199</v>
      </c>
      <c r="AB4" t="str">
        <f>(VLOOKUP(SalesData[[#This Row],[Month Number]],Reference!C$5:E$16,2,FALSE))</f>
        <v>Feb</v>
      </c>
      <c r="AC4">
        <f>MONTH(SalesData[[#This Row],[Date]])</f>
        <v>2</v>
      </c>
      <c r="AD4">
        <f>Reference!F$4</f>
        <v>2026</v>
      </c>
      <c r="AE4" t="str">
        <f>IF(OR(SalesData[[#This Row],[Day]]="Saturday",SalesData[[#This Row],[Day]]="Sunday"),"Weekend","Weekday")</f>
        <v>Weekday</v>
      </c>
      <c r="AF4" s="5">
        <f>IF(SalesData[[#This Row],[Contracts Offered]]=0,0,SalesData[[#This Row],[Contracts Signed]]/SalesData[[#This Row],[Contracts Offered]])</f>
        <v>0.40566037735849059</v>
      </c>
      <c r="AG4" s="5">
        <f>IF(SalesData[[#This Row],[Customers Visited]]=0,0,SalesData[[#This Row],[Test Drives]]/SalesData[[#This Row],[Customers Visited]])</f>
        <v>0.52029520295202947</v>
      </c>
      <c r="AH4" s="5">
        <f>IF(SalesData[[#This Row],[Customers Visited]]=0,0,SalesData[[#This Row],[Contracts Signed]]/SalesData[[#This Row],[Customers Visited]])</f>
        <v>0.15867158671586715</v>
      </c>
      <c r="AI4" s="6">
        <f>IF(SalesData[[#This Row],[Contracts Signed]]=0,0,SalesData[[#This Row],[Profit(€)]]/SalesData[[#This Row],[Contracts Signed]])</f>
        <v>17493</v>
      </c>
      <c r="AJ4" s="5" t="str">
        <f>TRIM(CLEAN(SalesData[[#This Row],[Retailer]]))</f>
        <v>Hannover Cars</v>
      </c>
    </row>
    <row r="5" spans="1:36" ht="14.25" hidden="1" x14ac:dyDescent="0.2">
      <c r="A5" t="s">
        <v>61</v>
      </c>
      <c r="B5" s="1">
        <v>46075</v>
      </c>
      <c r="C5" t="s">
        <v>53</v>
      </c>
      <c r="D5" t="s">
        <v>41</v>
      </c>
      <c r="E5" t="s">
        <v>42</v>
      </c>
      <c r="F5" t="s">
        <v>43</v>
      </c>
      <c r="G5" t="s">
        <v>44</v>
      </c>
      <c r="H5" t="s">
        <v>45</v>
      </c>
      <c r="I5" t="s">
        <v>56</v>
      </c>
      <c r="J5" t="s">
        <v>7028</v>
      </c>
      <c r="K5" t="s">
        <v>32</v>
      </c>
      <c r="L5" t="s">
        <v>46</v>
      </c>
      <c r="M5" t="s">
        <v>34</v>
      </c>
      <c r="N5" t="s">
        <v>48</v>
      </c>
      <c r="O5" t="s">
        <v>70</v>
      </c>
      <c r="P5" t="s">
        <v>58</v>
      </c>
      <c r="Q5" t="s">
        <v>189</v>
      </c>
      <c r="R5">
        <v>203</v>
      </c>
      <c r="S5">
        <v>105</v>
      </c>
      <c r="T5">
        <v>75</v>
      </c>
      <c r="U5">
        <v>27</v>
      </c>
      <c r="V5" t="s">
        <v>6889</v>
      </c>
      <c r="W5">
        <v>51246</v>
      </c>
      <c r="X5" t="s">
        <v>4550</v>
      </c>
      <c r="Y5">
        <v>39966</v>
      </c>
      <c r="Z5">
        <v>1383642</v>
      </c>
      <c r="AA5">
        <v>304560</v>
      </c>
      <c r="AB5" t="str">
        <f>(VLOOKUP(SalesData[[#This Row],[Month Number]],Reference!C$5:E$16,2,FALSE))</f>
        <v>Feb</v>
      </c>
      <c r="AC5">
        <f>MONTH(SalesData[[#This Row],[Date]])</f>
        <v>2</v>
      </c>
      <c r="AD5">
        <f>Reference!F$4</f>
        <v>2026</v>
      </c>
      <c r="AE5" t="str">
        <f>IF(OR(SalesData[[#This Row],[Day]]="Saturday",SalesData[[#This Row],[Day]]="Sunday"),"Weekend","Weekday")</f>
        <v>Weekend</v>
      </c>
      <c r="AF5" s="5">
        <f>IF(SalesData[[#This Row],[Contracts Offered]]=0,0,SalesData[[#This Row],[Contracts Signed]]/SalesData[[#This Row],[Contracts Offered]])</f>
        <v>0.36</v>
      </c>
      <c r="AG5" s="5">
        <f>IF(SalesData[[#This Row],[Customers Visited]]=0,0,SalesData[[#This Row],[Test Drives]]/SalesData[[#This Row],[Customers Visited]])</f>
        <v>0.51724137931034486</v>
      </c>
      <c r="AH5" s="5">
        <f>IF(SalesData[[#This Row],[Customers Visited]]=0,0,SalesData[[#This Row],[Contracts Signed]]/SalesData[[#This Row],[Customers Visited]])</f>
        <v>0.13300492610837439</v>
      </c>
      <c r="AI5" s="6">
        <f>IF(SalesData[[#This Row],[Contracts Signed]]=0,0,SalesData[[#This Row],[Profit(€)]]/SalesData[[#This Row],[Contracts Signed]])</f>
        <v>11280</v>
      </c>
      <c r="AJ5" s="5" t="str">
        <f>TRIM(CLEAN(SalesData[[#This Row],[Retailer]]))</f>
        <v>Saxon Wheels</v>
      </c>
    </row>
    <row r="6" spans="1:36" ht="14.25" hidden="1" x14ac:dyDescent="0.2">
      <c r="A6" t="s">
        <v>73</v>
      </c>
      <c r="B6" s="1">
        <v>46064</v>
      </c>
      <c r="C6" t="s">
        <v>121</v>
      </c>
      <c r="D6" t="s">
        <v>82</v>
      </c>
      <c r="E6" t="s">
        <v>26</v>
      </c>
      <c r="F6" t="s">
        <v>7649</v>
      </c>
      <c r="G6" t="s">
        <v>55</v>
      </c>
      <c r="H6" t="s">
        <v>55</v>
      </c>
      <c r="I6" t="s">
        <v>64</v>
      </c>
      <c r="J6" t="s">
        <v>7029</v>
      </c>
      <c r="K6" t="s">
        <v>32</v>
      </c>
      <c r="L6" t="s">
        <v>33</v>
      </c>
      <c r="M6" t="s">
        <v>68</v>
      </c>
      <c r="N6" t="s">
        <v>69</v>
      </c>
      <c r="O6" t="s">
        <v>36</v>
      </c>
      <c r="P6" t="s">
        <v>37</v>
      </c>
      <c r="Q6" t="s">
        <v>79</v>
      </c>
      <c r="R6">
        <v>281</v>
      </c>
      <c r="S6">
        <v>146</v>
      </c>
      <c r="T6">
        <v>113</v>
      </c>
      <c r="U6">
        <v>34</v>
      </c>
      <c r="V6" t="s">
        <v>6675</v>
      </c>
      <c r="W6">
        <v>57760</v>
      </c>
      <c r="X6" t="s">
        <v>3859</v>
      </c>
      <c r="Y6">
        <v>41176</v>
      </c>
      <c r="Z6">
        <v>1963840</v>
      </c>
      <c r="AA6">
        <v>563856</v>
      </c>
      <c r="AB6" t="str">
        <f>(VLOOKUP(SalesData[[#This Row],[Month Number]],Reference!C$5:E$16,2,FALSE))</f>
        <v>Feb</v>
      </c>
      <c r="AC6">
        <f>MONTH(SalesData[[#This Row],[Date]])</f>
        <v>2</v>
      </c>
      <c r="AD6">
        <f>Reference!F$4</f>
        <v>2026</v>
      </c>
      <c r="AE6" t="str">
        <f>IF(OR(SalesData[[#This Row],[Day]]="Saturday",SalesData[[#This Row],[Day]]="Sunday"),"Weekend","Weekday")</f>
        <v>Weekday</v>
      </c>
      <c r="AF6" s="5">
        <f>IF(SalesData[[#This Row],[Contracts Offered]]=0,0,SalesData[[#This Row],[Contracts Signed]]/SalesData[[#This Row],[Contracts Offered]])</f>
        <v>0.30088495575221241</v>
      </c>
      <c r="AG6" s="5">
        <f>IF(SalesData[[#This Row],[Customers Visited]]=0,0,SalesData[[#This Row],[Test Drives]]/SalesData[[#This Row],[Customers Visited]])</f>
        <v>0.5195729537366548</v>
      </c>
      <c r="AH6" s="5">
        <f>IF(SalesData[[#This Row],[Customers Visited]]=0,0,SalesData[[#This Row],[Contracts Signed]]/SalesData[[#This Row],[Customers Visited]])</f>
        <v>0.12099644128113879</v>
      </c>
      <c r="AI6" s="6">
        <f>IF(SalesData[[#This Row],[Contracts Signed]]=0,0,SalesData[[#This Row],[Profit(€)]]/SalesData[[#This Row],[Contracts Signed]])</f>
        <v>16584</v>
      </c>
      <c r="AJ6" s="5" t="str">
        <f>TRIM(CLEAN(SalesData[[#This Row],[Retailer]]))</f>
        <v>Autohaus Berlin</v>
      </c>
    </row>
    <row r="7" spans="1:36" ht="14.25" hidden="1" x14ac:dyDescent="0.2">
      <c r="A7" t="s">
        <v>81</v>
      </c>
      <c r="B7" s="1">
        <v>46074</v>
      </c>
      <c r="C7" t="s">
        <v>62</v>
      </c>
      <c r="D7" t="s">
        <v>151</v>
      </c>
      <c r="E7" t="s">
        <v>42</v>
      </c>
      <c r="F7" t="s">
        <v>114</v>
      </c>
      <c r="G7" t="s">
        <v>115</v>
      </c>
      <c r="H7" t="s">
        <v>115</v>
      </c>
      <c r="I7" t="s">
        <v>116</v>
      </c>
      <c r="J7" t="s">
        <v>7026</v>
      </c>
      <c r="K7" t="s">
        <v>78</v>
      </c>
      <c r="L7" t="s">
        <v>46</v>
      </c>
      <c r="M7" t="s">
        <v>34</v>
      </c>
      <c r="N7" t="s">
        <v>48</v>
      </c>
      <c r="O7" t="s">
        <v>36</v>
      </c>
      <c r="P7" t="s">
        <v>58</v>
      </c>
      <c r="Q7" t="s">
        <v>122</v>
      </c>
      <c r="R7">
        <v>231</v>
      </c>
      <c r="S7">
        <v>88</v>
      </c>
      <c r="T7">
        <v>54</v>
      </c>
      <c r="U7">
        <v>15</v>
      </c>
      <c r="V7" t="s">
        <v>1203</v>
      </c>
      <c r="W7">
        <v>25844</v>
      </c>
      <c r="X7" t="s">
        <v>3332</v>
      </c>
      <c r="Y7">
        <v>23754</v>
      </c>
      <c r="Z7">
        <v>387660</v>
      </c>
      <c r="AA7">
        <v>31350</v>
      </c>
      <c r="AB7" t="str">
        <f>(VLOOKUP(SalesData[[#This Row],[Month Number]],Reference!C$5:E$16,2,FALSE))</f>
        <v>Feb</v>
      </c>
      <c r="AC7">
        <f>MONTH(SalesData[[#This Row],[Date]])</f>
        <v>2</v>
      </c>
      <c r="AD7">
        <f>Reference!F$4</f>
        <v>2026</v>
      </c>
      <c r="AE7" t="str">
        <f>IF(OR(SalesData[[#This Row],[Day]]="Saturday",SalesData[[#This Row],[Day]]="Sunday"),"Weekend","Weekday")</f>
        <v>Weekend</v>
      </c>
      <c r="AF7" s="5">
        <f>IF(SalesData[[#This Row],[Contracts Offered]]=0,0,SalesData[[#This Row],[Contracts Signed]]/SalesData[[#This Row],[Contracts Offered]])</f>
        <v>0.27777777777777779</v>
      </c>
      <c r="AG7" s="5">
        <f>IF(SalesData[[#This Row],[Customers Visited]]=0,0,SalesData[[#This Row],[Test Drives]]/SalesData[[#This Row],[Customers Visited]])</f>
        <v>0.38095238095238093</v>
      </c>
      <c r="AH7" s="5">
        <f>IF(SalesData[[#This Row],[Customers Visited]]=0,0,SalesData[[#This Row],[Contracts Signed]]/SalesData[[#This Row],[Customers Visited]])</f>
        <v>6.4935064935064929E-2</v>
      </c>
      <c r="AI7" s="6">
        <f>IF(SalesData[[#This Row],[Contracts Signed]]=0,0,SalesData[[#This Row],[Profit(€)]]/SalesData[[#This Row],[Contracts Signed]])</f>
        <v>2090</v>
      </c>
      <c r="AJ7" s="5" t="str">
        <f>TRIM(CLEAN(SalesData[[#This Row],[Retailer]]))</f>
        <v>Elbe Drive</v>
      </c>
    </row>
    <row r="8" spans="1:36" ht="14.25" x14ac:dyDescent="0.2">
      <c r="A8" t="s">
        <v>90</v>
      </c>
      <c r="B8" s="1">
        <v>46067</v>
      </c>
      <c r="C8" t="s">
        <v>121</v>
      </c>
      <c r="D8" t="s">
        <v>151</v>
      </c>
      <c r="E8" t="s">
        <v>42</v>
      </c>
      <c r="F8" t="s">
        <v>43</v>
      </c>
      <c r="G8" t="s">
        <v>44</v>
      </c>
      <c r="H8" t="s">
        <v>45</v>
      </c>
      <c r="I8" t="s">
        <v>30</v>
      </c>
      <c r="J8" t="s">
        <v>86</v>
      </c>
      <c r="K8" t="s">
        <v>32</v>
      </c>
      <c r="L8" t="s">
        <v>33</v>
      </c>
      <c r="M8" t="s">
        <v>68</v>
      </c>
      <c r="N8" t="s">
        <v>48</v>
      </c>
      <c r="O8" t="s">
        <v>70</v>
      </c>
      <c r="P8" t="s">
        <v>71</v>
      </c>
      <c r="Q8" t="s">
        <v>169</v>
      </c>
      <c r="R8">
        <v>142</v>
      </c>
      <c r="S8">
        <v>83</v>
      </c>
      <c r="T8">
        <v>60</v>
      </c>
      <c r="U8">
        <v>22</v>
      </c>
      <c r="V8" t="s">
        <v>6606</v>
      </c>
      <c r="W8">
        <v>63862</v>
      </c>
      <c r="X8" t="s">
        <v>7030</v>
      </c>
      <c r="Y8">
        <v>48165</v>
      </c>
      <c r="Z8">
        <v>1404964</v>
      </c>
      <c r="AA8">
        <v>345334</v>
      </c>
      <c r="AB8" t="str">
        <f>(VLOOKUP(SalesData[[#This Row],[Month Number]],Reference!C$5:E$16,2,FALSE))</f>
        <v>Feb</v>
      </c>
      <c r="AC8">
        <f>MONTH(SalesData[[#This Row],[Date]])</f>
        <v>2</v>
      </c>
      <c r="AD8">
        <f>Reference!F$4</f>
        <v>2026</v>
      </c>
      <c r="AE8" t="str">
        <f>IF(OR(SalesData[[#This Row],[Day]]="Saturday",SalesData[[#This Row],[Day]]="Sunday"),"Weekend","Weekday")</f>
        <v>Weekend</v>
      </c>
      <c r="AF8" s="5">
        <f>IF(SalesData[[#This Row],[Contracts Offered]]=0,0,SalesData[[#This Row],[Contracts Signed]]/SalesData[[#This Row],[Contracts Offered]])</f>
        <v>0.36666666666666664</v>
      </c>
      <c r="AG8" s="5">
        <f>IF(SalesData[[#This Row],[Customers Visited]]=0,0,SalesData[[#This Row],[Test Drives]]/SalesData[[#This Row],[Customers Visited]])</f>
        <v>0.58450704225352113</v>
      </c>
      <c r="AH8" s="5">
        <f>IF(SalesData[[#This Row],[Customers Visited]]=0,0,SalesData[[#This Row],[Contracts Signed]]/SalesData[[#This Row],[Customers Visited]])</f>
        <v>0.15492957746478872</v>
      </c>
      <c r="AI8" s="6">
        <f>IF(SalesData[[#This Row],[Contracts Signed]]=0,0,SalesData[[#This Row],[Profit(€)]]/SalesData[[#This Row],[Contracts Signed]])</f>
        <v>15697</v>
      </c>
      <c r="AJ8" s="5" t="str">
        <f>TRIM(CLEAN(SalesData[[#This Row],[Retailer]]))</f>
        <v>Saxon Wheels</v>
      </c>
    </row>
    <row r="9" spans="1:36" ht="14.25" hidden="1" x14ac:dyDescent="0.2">
      <c r="A9" t="s">
        <v>93</v>
      </c>
      <c r="B9" s="1">
        <v>46069</v>
      </c>
      <c r="C9" t="s">
        <v>62</v>
      </c>
      <c r="D9" t="s">
        <v>25</v>
      </c>
      <c r="E9" t="s">
        <v>26</v>
      </c>
      <c r="F9" t="s">
        <v>7649</v>
      </c>
      <c r="G9" t="s">
        <v>55</v>
      </c>
      <c r="H9" t="s">
        <v>55</v>
      </c>
      <c r="I9" t="s">
        <v>116</v>
      </c>
      <c r="J9" t="s">
        <v>132</v>
      </c>
      <c r="K9" t="s">
        <v>66</v>
      </c>
      <c r="L9" t="s">
        <v>46</v>
      </c>
      <c r="M9" t="s">
        <v>68</v>
      </c>
      <c r="N9" t="s">
        <v>69</v>
      </c>
      <c r="O9" t="s">
        <v>70</v>
      </c>
      <c r="P9" t="s">
        <v>58</v>
      </c>
      <c r="Q9" t="s">
        <v>88</v>
      </c>
      <c r="R9">
        <v>403</v>
      </c>
      <c r="S9">
        <v>216</v>
      </c>
      <c r="T9">
        <v>125</v>
      </c>
      <c r="U9">
        <v>45</v>
      </c>
      <c r="V9" t="s">
        <v>6372</v>
      </c>
      <c r="W9">
        <v>25974</v>
      </c>
      <c r="X9" t="s">
        <v>450</v>
      </c>
      <c r="Y9">
        <v>23243</v>
      </c>
      <c r="Z9">
        <v>1168830</v>
      </c>
      <c r="AA9">
        <v>122895</v>
      </c>
      <c r="AB9" t="str">
        <f>(VLOOKUP(SalesData[[#This Row],[Month Number]],Reference!C$5:E$16,2,FALSE))</f>
        <v>Feb</v>
      </c>
      <c r="AC9">
        <f>MONTH(SalesData[[#This Row],[Date]])</f>
        <v>2</v>
      </c>
      <c r="AD9">
        <f>Reference!F$4</f>
        <v>2026</v>
      </c>
      <c r="AE9" t="str">
        <f>IF(OR(SalesData[[#This Row],[Day]]="Saturday",SalesData[[#This Row],[Day]]="Sunday"),"Weekend","Weekday")</f>
        <v>Weekday</v>
      </c>
      <c r="AF9" s="5">
        <f>IF(SalesData[[#This Row],[Contracts Offered]]=0,0,SalesData[[#This Row],[Contracts Signed]]/SalesData[[#This Row],[Contracts Offered]])</f>
        <v>0.36</v>
      </c>
      <c r="AG9" s="5">
        <f>IF(SalesData[[#This Row],[Customers Visited]]=0,0,SalesData[[#This Row],[Test Drives]]/SalesData[[#This Row],[Customers Visited]])</f>
        <v>0.53598014888337464</v>
      </c>
      <c r="AH9" s="5">
        <f>IF(SalesData[[#This Row],[Customers Visited]]=0,0,SalesData[[#This Row],[Contracts Signed]]/SalesData[[#This Row],[Customers Visited]])</f>
        <v>0.11166253101736973</v>
      </c>
      <c r="AI9" s="6">
        <f>IF(SalesData[[#This Row],[Contracts Signed]]=0,0,SalesData[[#This Row],[Profit(€)]]/SalesData[[#This Row],[Contracts Signed]])</f>
        <v>2731</v>
      </c>
      <c r="AJ9" s="5" t="str">
        <f>TRIM(CLEAN(SalesData[[#This Row],[Retailer]]))</f>
        <v>Autohaus Berlin</v>
      </c>
    </row>
    <row r="10" spans="1:36" ht="14.25" hidden="1" x14ac:dyDescent="0.2">
      <c r="A10" t="s">
        <v>99</v>
      </c>
      <c r="B10" s="1">
        <v>46055</v>
      </c>
      <c r="C10" t="s">
        <v>24</v>
      </c>
      <c r="D10" t="s">
        <v>25</v>
      </c>
      <c r="E10" t="s">
        <v>26</v>
      </c>
      <c r="F10" t="s">
        <v>109</v>
      </c>
      <c r="G10" t="s">
        <v>110</v>
      </c>
      <c r="H10" t="s">
        <v>45</v>
      </c>
      <c r="I10" t="s">
        <v>104</v>
      </c>
      <c r="J10" t="s">
        <v>7031</v>
      </c>
      <c r="K10" t="s">
        <v>91</v>
      </c>
      <c r="L10" t="s">
        <v>46</v>
      </c>
      <c r="M10" t="s">
        <v>34</v>
      </c>
      <c r="N10" t="s">
        <v>48</v>
      </c>
      <c r="O10" t="s">
        <v>36</v>
      </c>
      <c r="P10" t="s">
        <v>58</v>
      </c>
      <c r="Q10" t="s">
        <v>59</v>
      </c>
      <c r="R10">
        <v>324</v>
      </c>
      <c r="S10">
        <v>160</v>
      </c>
      <c r="T10">
        <v>100</v>
      </c>
      <c r="U10">
        <v>26</v>
      </c>
      <c r="V10" t="s">
        <v>542</v>
      </c>
      <c r="W10">
        <v>27410</v>
      </c>
      <c r="X10" t="s">
        <v>1045</v>
      </c>
      <c r="Y10">
        <v>24414</v>
      </c>
      <c r="Z10">
        <v>712660</v>
      </c>
      <c r="AA10">
        <v>77896</v>
      </c>
      <c r="AB10" t="str">
        <f>(VLOOKUP(SalesData[[#This Row],[Month Number]],Reference!C$5:E$16,2,FALSE))</f>
        <v>Feb</v>
      </c>
      <c r="AC10">
        <f>MONTH(SalesData[[#This Row],[Date]])</f>
        <v>2</v>
      </c>
      <c r="AD10">
        <f>Reference!F$4</f>
        <v>2026</v>
      </c>
      <c r="AE10" t="str">
        <f>IF(OR(SalesData[[#This Row],[Day]]="Saturday",SalesData[[#This Row],[Day]]="Sunday"),"Weekend","Weekday")</f>
        <v>Weekday</v>
      </c>
      <c r="AF10" s="5">
        <f>IF(SalesData[[#This Row],[Contracts Offered]]=0,0,SalesData[[#This Row],[Contracts Signed]]/SalesData[[#This Row],[Contracts Offered]])</f>
        <v>0.26</v>
      </c>
      <c r="AG10" s="5">
        <f>IF(SalesData[[#This Row],[Customers Visited]]=0,0,SalesData[[#This Row],[Test Drives]]/SalesData[[#This Row],[Customers Visited]])</f>
        <v>0.49382716049382713</v>
      </c>
      <c r="AH10" s="5">
        <f>IF(SalesData[[#This Row],[Customers Visited]]=0,0,SalesData[[#This Row],[Contracts Signed]]/SalesData[[#This Row],[Customers Visited]])</f>
        <v>8.0246913580246909E-2</v>
      </c>
      <c r="AI10" s="6">
        <f>IF(SalesData[[#This Row],[Contracts Signed]]=0,0,SalesData[[#This Row],[Profit(€)]]/SalesData[[#This Row],[Contracts Signed]])</f>
        <v>2996</v>
      </c>
      <c r="AJ10" s="5" t="str">
        <f>TRIM(CLEAN(SalesData[[#This Row],[Retailer]]))</f>
        <v>Leipzig Mobility</v>
      </c>
    </row>
    <row r="11" spans="1:36" ht="14.25" hidden="1" x14ac:dyDescent="0.2">
      <c r="A11" t="s">
        <v>108</v>
      </c>
      <c r="B11" s="1">
        <v>46055</v>
      </c>
      <c r="C11" t="s">
        <v>24</v>
      </c>
      <c r="D11" t="s">
        <v>25</v>
      </c>
      <c r="E11" t="s">
        <v>26</v>
      </c>
      <c r="F11" t="s">
        <v>94</v>
      </c>
      <c r="G11" t="s">
        <v>95</v>
      </c>
      <c r="H11" t="s">
        <v>96</v>
      </c>
      <c r="I11" t="s">
        <v>104</v>
      </c>
      <c r="J11" t="s">
        <v>143</v>
      </c>
      <c r="K11" t="s">
        <v>91</v>
      </c>
      <c r="L11" t="s">
        <v>67</v>
      </c>
      <c r="M11" t="s">
        <v>47</v>
      </c>
      <c r="N11" t="s">
        <v>48</v>
      </c>
      <c r="O11" t="s">
        <v>36</v>
      </c>
      <c r="P11" t="s">
        <v>49</v>
      </c>
      <c r="Q11" t="s">
        <v>169</v>
      </c>
      <c r="R11">
        <v>274</v>
      </c>
      <c r="S11">
        <v>117</v>
      </c>
      <c r="T11">
        <v>73</v>
      </c>
      <c r="U11">
        <v>19</v>
      </c>
      <c r="V11" t="s">
        <v>1493</v>
      </c>
      <c r="W11">
        <v>34587</v>
      </c>
      <c r="X11" t="s">
        <v>977</v>
      </c>
      <c r="Y11">
        <v>30609</v>
      </c>
      <c r="Z11">
        <v>657153</v>
      </c>
      <c r="AA11">
        <v>75582</v>
      </c>
      <c r="AB11" t="str">
        <f>(VLOOKUP(SalesData[[#This Row],[Month Number]],Reference!C$5:E$16,2,FALSE))</f>
        <v>Feb</v>
      </c>
      <c r="AC11">
        <f>MONTH(SalesData[[#This Row],[Date]])</f>
        <v>2</v>
      </c>
      <c r="AD11">
        <f>Reference!F$4</f>
        <v>2026</v>
      </c>
      <c r="AE11" t="str">
        <f>IF(OR(SalesData[[#This Row],[Day]]="Saturday",SalesData[[#This Row],[Day]]="Sunday"),"Weekend","Weekday")</f>
        <v>Weekday</v>
      </c>
      <c r="AF11" s="5">
        <f>IF(SalesData[[#This Row],[Contracts Offered]]=0,0,SalesData[[#This Row],[Contracts Signed]]/SalesData[[#This Row],[Contracts Offered]])</f>
        <v>0.26027397260273971</v>
      </c>
      <c r="AG11" s="5">
        <f>IF(SalesData[[#This Row],[Customers Visited]]=0,0,SalesData[[#This Row],[Test Drives]]/SalesData[[#This Row],[Customers Visited]])</f>
        <v>0.42700729927007297</v>
      </c>
      <c r="AH11" s="5">
        <f>IF(SalesData[[#This Row],[Customers Visited]]=0,0,SalesData[[#This Row],[Contracts Signed]]/SalesData[[#This Row],[Customers Visited]])</f>
        <v>6.9343065693430656E-2</v>
      </c>
      <c r="AI11" s="6">
        <f>IF(SalesData[[#This Row],[Contracts Signed]]=0,0,SalesData[[#This Row],[Profit(€)]]/SalesData[[#This Row],[Contracts Signed]])</f>
        <v>3978</v>
      </c>
      <c r="AJ11" s="5" t="str">
        <f>TRIM(CLEAN(SalesData[[#This Row],[Retailer]]))</f>
        <v>Bavaria Motors</v>
      </c>
    </row>
    <row r="12" spans="1:36" ht="14.25" hidden="1" x14ac:dyDescent="0.2">
      <c r="A12" t="s">
        <v>113</v>
      </c>
      <c r="B12" s="1">
        <v>46071</v>
      </c>
      <c r="C12" t="s">
        <v>62</v>
      </c>
      <c r="D12" t="s">
        <v>82</v>
      </c>
      <c r="E12" t="s">
        <v>26</v>
      </c>
      <c r="F12" t="s">
        <v>74</v>
      </c>
      <c r="G12" t="s">
        <v>75</v>
      </c>
      <c r="H12" t="s">
        <v>76</v>
      </c>
      <c r="I12" t="s">
        <v>64</v>
      </c>
      <c r="J12" t="s">
        <v>7029</v>
      </c>
      <c r="K12" t="s">
        <v>91</v>
      </c>
      <c r="L12" t="s">
        <v>33</v>
      </c>
      <c r="M12" t="s">
        <v>87</v>
      </c>
      <c r="N12" t="s">
        <v>35</v>
      </c>
      <c r="O12" t="s">
        <v>70</v>
      </c>
      <c r="P12" t="s">
        <v>37</v>
      </c>
      <c r="Q12" t="s">
        <v>167</v>
      </c>
      <c r="R12">
        <v>212</v>
      </c>
      <c r="S12">
        <v>106</v>
      </c>
      <c r="T12">
        <v>83</v>
      </c>
      <c r="U12">
        <v>23</v>
      </c>
      <c r="V12" t="s">
        <v>6426</v>
      </c>
      <c r="W12">
        <v>56108</v>
      </c>
      <c r="X12" t="s">
        <v>7032</v>
      </c>
      <c r="Y12">
        <v>40922</v>
      </c>
      <c r="Z12">
        <v>1290484</v>
      </c>
      <c r="AA12">
        <v>349278</v>
      </c>
      <c r="AB12" t="str">
        <f>(VLOOKUP(SalesData[[#This Row],[Month Number]],Reference!C$5:E$16,2,FALSE))</f>
        <v>Feb</v>
      </c>
      <c r="AC12">
        <f>MONTH(SalesData[[#This Row],[Date]])</f>
        <v>2</v>
      </c>
      <c r="AD12">
        <f>Reference!F$4</f>
        <v>2026</v>
      </c>
      <c r="AE12" t="str">
        <f>IF(OR(SalesData[[#This Row],[Day]]="Saturday",SalesData[[#This Row],[Day]]="Sunday"),"Weekend","Weekday")</f>
        <v>Weekday</v>
      </c>
      <c r="AF12" s="5">
        <f>IF(SalesData[[#This Row],[Contracts Offered]]=0,0,SalesData[[#This Row],[Contracts Signed]]/SalesData[[#This Row],[Contracts Offered]])</f>
        <v>0.27710843373493976</v>
      </c>
      <c r="AG12" s="5">
        <f>IF(SalesData[[#This Row],[Customers Visited]]=0,0,SalesData[[#This Row],[Test Drives]]/SalesData[[#This Row],[Customers Visited]])</f>
        <v>0.5</v>
      </c>
      <c r="AH12" s="5">
        <f>IF(SalesData[[#This Row],[Customers Visited]]=0,0,SalesData[[#This Row],[Contracts Signed]]/SalesData[[#This Row],[Customers Visited]])</f>
        <v>0.10849056603773585</v>
      </c>
      <c r="AI12" s="6">
        <f>IF(SalesData[[#This Row],[Contracts Signed]]=0,0,SalesData[[#This Row],[Profit(€)]]/SalesData[[#This Row],[Contracts Signed]])</f>
        <v>15186</v>
      </c>
      <c r="AJ12" s="5" t="str">
        <f>TRIM(CLEAN(SalesData[[#This Row],[Retailer]]))</f>
        <v>Stuttgart Auto Center</v>
      </c>
    </row>
    <row r="13" spans="1:36" ht="14.25" hidden="1" x14ac:dyDescent="0.2">
      <c r="A13" t="s">
        <v>120</v>
      </c>
      <c r="B13" s="1">
        <v>46054</v>
      </c>
      <c r="C13" t="s">
        <v>24</v>
      </c>
      <c r="D13" t="s">
        <v>41</v>
      </c>
      <c r="E13" t="s">
        <v>42</v>
      </c>
      <c r="F13" t="s">
        <v>114</v>
      </c>
      <c r="G13" t="s">
        <v>115</v>
      </c>
      <c r="H13" t="s">
        <v>115</v>
      </c>
      <c r="I13" t="s">
        <v>56</v>
      </c>
      <c r="J13" t="s">
        <v>7028</v>
      </c>
      <c r="K13" t="s">
        <v>78</v>
      </c>
      <c r="L13" t="s">
        <v>46</v>
      </c>
      <c r="M13" t="s">
        <v>87</v>
      </c>
      <c r="N13" t="s">
        <v>48</v>
      </c>
      <c r="O13" t="s">
        <v>36</v>
      </c>
      <c r="P13" t="s">
        <v>71</v>
      </c>
      <c r="Q13" t="s">
        <v>167</v>
      </c>
      <c r="R13">
        <v>301</v>
      </c>
      <c r="S13">
        <v>167</v>
      </c>
      <c r="T13">
        <v>128</v>
      </c>
      <c r="U13">
        <v>44</v>
      </c>
      <c r="V13" t="s">
        <v>6370</v>
      </c>
      <c r="W13">
        <v>48955</v>
      </c>
      <c r="X13" t="s">
        <v>7033</v>
      </c>
      <c r="Y13">
        <v>37052</v>
      </c>
      <c r="Z13">
        <v>2154020</v>
      </c>
      <c r="AA13">
        <v>523732</v>
      </c>
      <c r="AB13" t="str">
        <f>(VLOOKUP(SalesData[[#This Row],[Month Number]],Reference!C$5:E$16,2,FALSE))</f>
        <v>Feb</v>
      </c>
      <c r="AC13">
        <f>MONTH(SalesData[[#This Row],[Date]])</f>
        <v>2</v>
      </c>
      <c r="AD13">
        <f>Reference!F$4</f>
        <v>2026</v>
      </c>
      <c r="AE13" t="str">
        <f>IF(OR(SalesData[[#This Row],[Day]]="Saturday",SalesData[[#This Row],[Day]]="Sunday"),"Weekend","Weekday")</f>
        <v>Weekend</v>
      </c>
      <c r="AF13" s="5">
        <f>IF(SalesData[[#This Row],[Contracts Offered]]=0,0,SalesData[[#This Row],[Contracts Signed]]/SalesData[[#This Row],[Contracts Offered]])</f>
        <v>0.34375</v>
      </c>
      <c r="AG13" s="5">
        <f>IF(SalesData[[#This Row],[Customers Visited]]=0,0,SalesData[[#This Row],[Test Drives]]/SalesData[[#This Row],[Customers Visited]])</f>
        <v>0.55481727574750828</v>
      </c>
      <c r="AH13" s="5">
        <f>IF(SalesData[[#This Row],[Customers Visited]]=0,0,SalesData[[#This Row],[Contracts Signed]]/SalesData[[#This Row],[Customers Visited]])</f>
        <v>0.1461794019933555</v>
      </c>
      <c r="AI13" s="6">
        <f>IF(SalesData[[#This Row],[Contracts Signed]]=0,0,SalesData[[#This Row],[Profit(€)]]/SalesData[[#This Row],[Contracts Signed]])</f>
        <v>11903</v>
      </c>
      <c r="AJ13" s="5" t="str">
        <f>TRIM(CLEAN(SalesData[[#This Row],[Retailer]]))</f>
        <v>Elbe Drive</v>
      </c>
    </row>
    <row r="14" spans="1:36" ht="14.25" x14ac:dyDescent="0.2">
      <c r="A14" t="s">
        <v>124</v>
      </c>
      <c r="B14" s="1">
        <v>46069</v>
      </c>
      <c r="C14" t="s">
        <v>62</v>
      </c>
      <c r="D14" t="s">
        <v>25</v>
      </c>
      <c r="E14" t="s">
        <v>26</v>
      </c>
      <c r="F14" t="s">
        <v>43</v>
      </c>
      <c r="G14" t="s">
        <v>44</v>
      </c>
      <c r="H14" t="s">
        <v>45</v>
      </c>
      <c r="I14" t="s">
        <v>30</v>
      </c>
      <c r="J14" t="s">
        <v>166</v>
      </c>
      <c r="K14" t="s">
        <v>66</v>
      </c>
      <c r="L14" t="s">
        <v>46</v>
      </c>
      <c r="M14" t="s">
        <v>68</v>
      </c>
      <c r="N14" t="s">
        <v>35</v>
      </c>
      <c r="O14" t="s">
        <v>70</v>
      </c>
      <c r="P14" t="s">
        <v>37</v>
      </c>
      <c r="Q14" t="s">
        <v>240</v>
      </c>
      <c r="R14">
        <v>141</v>
      </c>
      <c r="S14">
        <v>84</v>
      </c>
      <c r="T14">
        <v>66</v>
      </c>
      <c r="U14">
        <v>22</v>
      </c>
      <c r="V14" t="s">
        <v>6663</v>
      </c>
      <c r="W14">
        <v>65904</v>
      </c>
      <c r="X14" t="s">
        <v>7034</v>
      </c>
      <c r="Y14">
        <v>48323</v>
      </c>
      <c r="Z14">
        <v>1449888</v>
      </c>
      <c r="AA14">
        <v>386782</v>
      </c>
      <c r="AB14" t="str">
        <f>(VLOOKUP(SalesData[[#This Row],[Month Number]],Reference!C$5:E$16,2,FALSE))</f>
        <v>Feb</v>
      </c>
      <c r="AC14">
        <f>MONTH(SalesData[[#This Row],[Date]])</f>
        <v>2</v>
      </c>
      <c r="AD14">
        <f>Reference!F$4</f>
        <v>2026</v>
      </c>
      <c r="AE14" t="str">
        <f>IF(OR(SalesData[[#This Row],[Day]]="Saturday",SalesData[[#This Row],[Day]]="Sunday"),"Weekend","Weekday")</f>
        <v>Weekday</v>
      </c>
      <c r="AF14" s="5">
        <f>IF(SalesData[[#This Row],[Contracts Offered]]=0,0,SalesData[[#This Row],[Contracts Signed]]/SalesData[[#This Row],[Contracts Offered]])</f>
        <v>0.33333333333333331</v>
      </c>
      <c r="AG14" s="5">
        <f>IF(SalesData[[#This Row],[Customers Visited]]=0,0,SalesData[[#This Row],[Test Drives]]/SalesData[[#This Row],[Customers Visited]])</f>
        <v>0.5957446808510638</v>
      </c>
      <c r="AH14" s="5">
        <f>IF(SalesData[[#This Row],[Customers Visited]]=0,0,SalesData[[#This Row],[Contracts Signed]]/SalesData[[#This Row],[Customers Visited]])</f>
        <v>0.15602836879432624</v>
      </c>
      <c r="AI14" s="6">
        <f>IF(SalesData[[#This Row],[Contracts Signed]]=0,0,SalesData[[#This Row],[Profit(€)]]/SalesData[[#This Row],[Contracts Signed]])</f>
        <v>17581</v>
      </c>
      <c r="AJ14" s="5" t="str">
        <f>TRIM(CLEAN(SalesData[[#This Row],[Retailer]]))</f>
        <v>Saxon Wheels</v>
      </c>
    </row>
    <row r="15" spans="1:36" ht="14.25" hidden="1" x14ac:dyDescent="0.2">
      <c r="A15" t="s">
        <v>126</v>
      </c>
      <c r="B15" s="1">
        <v>46076</v>
      </c>
      <c r="C15" t="s">
        <v>53</v>
      </c>
      <c r="D15" t="s">
        <v>25</v>
      </c>
      <c r="E15" t="s">
        <v>26</v>
      </c>
      <c r="F15" t="s">
        <v>7649</v>
      </c>
      <c r="G15" t="s">
        <v>55</v>
      </c>
      <c r="H15" t="s">
        <v>55</v>
      </c>
      <c r="I15" t="s">
        <v>56</v>
      </c>
      <c r="J15" t="s">
        <v>137</v>
      </c>
      <c r="K15" t="s">
        <v>91</v>
      </c>
      <c r="L15" t="s">
        <v>46</v>
      </c>
      <c r="M15" t="s">
        <v>47</v>
      </c>
      <c r="N15" t="s">
        <v>35</v>
      </c>
      <c r="O15" t="s">
        <v>36</v>
      </c>
      <c r="P15" t="s">
        <v>37</v>
      </c>
      <c r="Q15" t="s">
        <v>122</v>
      </c>
      <c r="R15">
        <v>247</v>
      </c>
      <c r="S15">
        <v>149</v>
      </c>
      <c r="T15">
        <v>99</v>
      </c>
      <c r="U15">
        <v>39</v>
      </c>
      <c r="V15" t="s">
        <v>6888</v>
      </c>
      <c r="W15">
        <v>44929</v>
      </c>
      <c r="X15" t="s">
        <v>1892</v>
      </c>
      <c r="Y15">
        <v>36645</v>
      </c>
      <c r="Z15">
        <v>1752231</v>
      </c>
      <c r="AA15">
        <v>323076</v>
      </c>
      <c r="AB15" t="str">
        <f>(VLOOKUP(SalesData[[#This Row],[Month Number]],Reference!C$5:E$16,2,FALSE))</f>
        <v>Feb</v>
      </c>
      <c r="AC15">
        <f>MONTH(SalesData[[#This Row],[Date]])</f>
        <v>2</v>
      </c>
      <c r="AD15">
        <f>Reference!F$4</f>
        <v>2026</v>
      </c>
      <c r="AE15" t="str">
        <f>IF(OR(SalesData[[#This Row],[Day]]="Saturday",SalesData[[#This Row],[Day]]="Sunday"),"Weekend","Weekday")</f>
        <v>Weekday</v>
      </c>
      <c r="AF15" s="5">
        <f>IF(SalesData[[#This Row],[Contracts Offered]]=0,0,SalesData[[#This Row],[Contracts Signed]]/SalesData[[#This Row],[Contracts Offered]])</f>
        <v>0.39393939393939392</v>
      </c>
      <c r="AG15" s="5">
        <f>IF(SalesData[[#This Row],[Customers Visited]]=0,0,SalesData[[#This Row],[Test Drives]]/SalesData[[#This Row],[Customers Visited]])</f>
        <v>0.60323886639676116</v>
      </c>
      <c r="AH15" s="5">
        <f>IF(SalesData[[#This Row],[Customers Visited]]=0,0,SalesData[[#This Row],[Contracts Signed]]/SalesData[[#This Row],[Customers Visited]])</f>
        <v>0.15789473684210525</v>
      </c>
      <c r="AI15" s="6">
        <f>IF(SalesData[[#This Row],[Contracts Signed]]=0,0,SalesData[[#This Row],[Profit(€)]]/SalesData[[#This Row],[Contracts Signed]])</f>
        <v>8284</v>
      </c>
      <c r="AJ15" s="5" t="str">
        <f>TRIM(CLEAN(SalesData[[#This Row],[Retailer]]))</f>
        <v>Autohaus Berlin</v>
      </c>
    </row>
    <row r="16" spans="1:36" ht="14.25" hidden="1" x14ac:dyDescent="0.2">
      <c r="A16" t="s">
        <v>131</v>
      </c>
      <c r="B16" s="1">
        <v>46067</v>
      </c>
      <c r="C16" t="s">
        <v>121</v>
      </c>
      <c r="D16" t="s">
        <v>151</v>
      </c>
      <c r="E16" t="s">
        <v>42</v>
      </c>
      <c r="F16" t="s">
        <v>43</v>
      </c>
      <c r="G16" t="s">
        <v>44</v>
      </c>
      <c r="H16" t="s">
        <v>45</v>
      </c>
      <c r="I16" t="s">
        <v>116</v>
      </c>
      <c r="J16" t="s">
        <v>132</v>
      </c>
      <c r="K16" t="s">
        <v>78</v>
      </c>
      <c r="L16" t="s">
        <v>46</v>
      </c>
      <c r="M16" t="s">
        <v>47</v>
      </c>
      <c r="N16" t="s">
        <v>35</v>
      </c>
      <c r="O16" t="s">
        <v>70</v>
      </c>
      <c r="P16" t="s">
        <v>49</v>
      </c>
      <c r="Q16" t="s">
        <v>158</v>
      </c>
      <c r="R16">
        <v>287</v>
      </c>
      <c r="S16">
        <v>135</v>
      </c>
      <c r="T16">
        <v>87</v>
      </c>
      <c r="U16">
        <v>14</v>
      </c>
      <c r="V16" t="s">
        <v>4276</v>
      </c>
      <c r="W16">
        <v>23268</v>
      </c>
      <c r="X16" t="s">
        <v>692</v>
      </c>
      <c r="Y16">
        <v>21278</v>
      </c>
      <c r="Z16">
        <v>325752</v>
      </c>
      <c r="AA16">
        <v>27860</v>
      </c>
      <c r="AB16" t="str">
        <f>(VLOOKUP(SalesData[[#This Row],[Month Number]],Reference!C$5:E$16,2,FALSE))</f>
        <v>Feb</v>
      </c>
      <c r="AC16">
        <f>MONTH(SalesData[[#This Row],[Date]])</f>
        <v>2</v>
      </c>
      <c r="AD16">
        <f>Reference!F$4</f>
        <v>2026</v>
      </c>
      <c r="AE16" t="str">
        <f>IF(OR(SalesData[[#This Row],[Day]]="Saturday",SalesData[[#This Row],[Day]]="Sunday"),"Weekend","Weekday")</f>
        <v>Weekend</v>
      </c>
      <c r="AF16" s="5">
        <f>IF(SalesData[[#This Row],[Contracts Offered]]=0,0,SalesData[[#This Row],[Contracts Signed]]/SalesData[[#This Row],[Contracts Offered]])</f>
        <v>0.16091954022988506</v>
      </c>
      <c r="AG16" s="5">
        <f>IF(SalesData[[#This Row],[Customers Visited]]=0,0,SalesData[[#This Row],[Test Drives]]/SalesData[[#This Row],[Customers Visited]])</f>
        <v>0.47038327526132406</v>
      </c>
      <c r="AH16" s="5">
        <f>IF(SalesData[[#This Row],[Customers Visited]]=0,0,SalesData[[#This Row],[Contracts Signed]]/SalesData[[#This Row],[Customers Visited]])</f>
        <v>4.878048780487805E-2</v>
      </c>
      <c r="AI16" s="6">
        <f>IF(SalesData[[#This Row],[Contracts Signed]]=0,0,SalesData[[#This Row],[Profit(€)]]/SalesData[[#This Row],[Contracts Signed]])</f>
        <v>1990</v>
      </c>
      <c r="AJ16" s="5" t="str">
        <f>TRIM(CLEAN(SalesData[[#This Row],[Retailer]]))</f>
        <v>Saxon Wheels</v>
      </c>
    </row>
    <row r="17" spans="1:36" ht="14.25" hidden="1" x14ac:dyDescent="0.2">
      <c r="A17" t="s">
        <v>134</v>
      </c>
      <c r="B17" s="1">
        <v>46057</v>
      </c>
      <c r="C17" t="s">
        <v>24</v>
      </c>
      <c r="D17" t="s">
        <v>82</v>
      </c>
      <c r="E17" t="s">
        <v>26</v>
      </c>
      <c r="F17" t="s">
        <v>83</v>
      </c>
      <c r="G17" t="s">
        <v>84</v>
      </c>
      <c r="H17" t="s">
        <v>85</v>
      </c>
      <c r="I17" t="s">
        <v>116</v>
      </c>
      <c r="J17" t="s">
        <v>132</v>
      </c>
      <c r="K17" t="s">
        <v>78</v>
      </c>
      <c r="L17" t="s">
        <v>46</v>
      </c>
      <c r="M17" t="s">
        <v>47</v>
      </c>
      <c r="N17" t="s">
        <v>35</v>
      </c>
      <c r="O17" t="s">
        <v>36</v>
      </c>
      <c r="P17" t="s">
        <v>49</v>
      </c>
      <c r="Q17" t="s">
        <v>129</v>
      </c>
      <c r="R17">
        <v>396</v>
      </c>
      <c r="S17">
        <v>182</v>
      </c>
      <c r="T17">
        <v>116</v>
      </c>
      <c r="U17">
        <v>30</v>
      </c>
      <c r="V17" t="s">
        <v>1422</v>
      </c>
      <c r="W17">
        <v>21375</v>
      </c>
      <c r="X17" t="s">
        <v>1608</v>
      </c>
      <c r="Y17">
        <v>19723</v>
      </c>
      <c r="Z17">
        <v>641250</v>
      </c>
      <c r="AA17">
        <v>49560</v>
      </c>
      <c r="AB17" t="str">
        <f>(VLOOKUP(SalesData[[#This Row],[Month Number]],Reference!C$5:E$16,2,FALSE))</f>
        <v>Feb</v>
      </c>
      <c r="AC17">
        <f>MONTH(SalesData[[#This Row],[Date]])</f>
        <v>2</v>
      </c>
      <c r="AD17">
        <f>Reference!F$4</f>
        <v>2026</v>
      </c>
      <c r="AE17" t="str">
        <f>IF(OR(SalesData[[#This Row],[Day]]="Saturday",SalesData[[#This Row],[Day]]="Sunday"),"Weekend","Weekday")</f>
        <v>Weekday</v>
      </c>
      <c r="AF17" s="5">
        <f>IF(SalesData[[#This Row],[Contracts Offered]]=0,0,SalesData[[#This Row],[Contracts Signed]]/SalesData[[#This Row],[Contracts Offered]])</f>
        <v>0.25862068965517243</v>
      </c>
      <c r="AG17" s="5">
        <f>IF(SalesData[[#This Row],[Customers Visited]]=0,0,SalesData[[#This Row],[Test Drives]]/SalesData[[#This Row],[Customers Visited]])</f>
        <v>0.45959595959595961</v>
      </c>
      <c r="AH17" s="5">
        <f>IF(SalesData[[#This Row],[Customers Visited]]=0,0,SalesData[[#This Row],[Contracts Signed]]/SalesData[[#This Row],[Customers Visited]])</f>
        <v>7.575757575757576E-2</v>
      </c>
      <c r="AI17" s="6">
        <f>IF(SalesData[[#This Row],[Contracts Signed]]=0,0,SalesData[[#This Row],[Profit(€)]]/SalesData[[#This Row],[Contracts Signed]])</f>
        <v>1652</v>
      </c>
      <c r="AJ17" s="5" t="str">
        <f>TRIM(CLEAN(SalesData[[#This Row],[Retailer]]))</f>
        <v>Hannover Cars</v>
      </c>
    </row>
    <row r="18" spans="1:36" ht="14.25" hidden="1" x14ac:dyDescent="0.2">
      <c r="A18" t="s">
        <v>136</v>
      </c>
      <c r="B18" s="1">
        <v>46054</v>
      </c>
      <c r="C18" t="s">
        <v>24</v>
      </c>
      <c r="D18" t="s">
        <v>41</v>
      </c>
      <c r="E18" t="s">
        <v>42</v>
      </c>
      <c r="F18" t="s">
        <v>43</v>
      </c>
      <c r="G18" t="s">
        <v>44</v>
      </c>
      <c r="H18" t="s">
        <v>45</v>
      </c>
      <c r="I18" t="s">
        <v>104</v>
      </c>
      <c r="J18" t="s">
        <v>105</v>
      </c>
      <c r="K18" t="s">
        <v>66</v>
      </c>
      <c r="L18" t="s">
        <v>33</v>
      </c>
      <c r="M18" t="s">
        <v>87</v>
      </c>
      <c r="N18" t="s">
        <v>35</v>
      </c>
      <c r="O18" t="s">
        <v>70</v>
      </c>
      <c r="P18" t="s">
        <v>49</v>
      </c>
      <c r="Q18" t="s">
        <v>59</v>
      </c>
      <c r="R18">
        <v>373</v>
      </c>
      <c r="S18">
        <v>189</v>
      </c>
      <c r="T18">
        <v>110</v>
      </c>
      <c r="U18">
        <v>24</v>
      </c>
      <c r="V18" t="s">
        <v>672</v>
      </c>
      <c r="W18">
        <v>33822</v>
      </c>
      <c r="X18" t="s">
        <v>6110</v>
      </c>
      <c r="Y18">
        <v>30290</v>
      </c>
      <c r="Z18">
        <v>811728</v>
      </c>
      <c r="AA18">
        <v>84768</v>
      </c>
      <c r="AB18" t="str">
        <f>(VLOOKUP(SalesData[[#This Row],[Month Number]],Reference!C$5:E$16,2,FALSE))</f>
        <v>Feb</v>
      </c>
      <c r="AC18">
        <f>MONTH(SalesData[[#This Row],[Date]])</f>
        <v>2</v>
      </c>
      <c r="AD18">
        <f>Reference!F$4</f>
        <v>2026</v>
      </c>
      <c r="AE18" t="str">
        <f>IF(OR(SalesData[[#This Row],[Day]]="Saturday",SalesData[[#This Row],[Day]]="Sunday"),"Weekend","Weekday")</f>
        <v>Weekend</v>
      </c>
      <c r="AF18" s="5">
        <f>IF(SalesData[[#This Row],[Contracts Offered]]=0,0,SalesData[[#This Row],[Contracts Signed]]/SalesData[[#This Row],[Contracts Offered]])</f>
        <v>0.21818181818181817</v>
      </c>
      <c r="AG18" s="5">
        <f>IF(SalesData[[#This Row],[Customers Visited]]=0,0,SalesData[[#This Row],[Test Drives]]/SalesData[[#This Row],[Customers Visited]])</f>
        <v>0.50670241286863271</v>
      </c>
      <c r="AH18" s="5">
        <f>IF(SalesData[[#This Row],[Customers Visited]]=0,0,SalesData[[#This Row],[Contracts Signed]]/SalesData[[#This Row],[Customers Visited]])</f>
        <v>6.4343163538873996E-2</v>
      </c>
      <c r="AI18" s="6">
        <f>IF(SalesData[[#This Row],[Contracts Signed]]=0,0,SalesData[[#This Row],[Profit(€)]]/SalesData[[#This Row],[Contracts Signed]])</f>
        <v>3532</v>
      </c>
      <c r="AJ18" s="5" t="str">
        <f>TRIM(CLEAN(SalesData[[#This Row],[Retailer]]))</f>
        <v>Saxon Wheels</v>
      </c>
    </row>
    <row r="19" spans="1:36" ht="14.25" hidden="1" x14ac:dyDescent="0.2">
      <c r="A19" t="s">
        <v>139</v>
      </c>
      <c r="B19" s="1">
        <v>46072</v>
      </c>
      <c r="C19" t="s">
        <v>62</v>
      </c>
      <c r="D19" t="s">
        <v>100</v>
      </c>
      <c r="E19" t="s">
        <v>26</v>
      </c>
      <c r="F19" t="s">
        <v>7649</v>
      </c>
      <c r="G19" t="s">
        <v>55</v>
      </c>
      <c r="H19" t="s">
        <v>55</v>
      </c>
      <c r="I19" t="s">
        <v>56</v>
      </c>
      <c r="J19" t="s">
        <v>137</v>
      </c>
      <c r="K19" t="s">
        <v>78</v>
      </c>
      <c r="L19" t="s">
        <v>46</v>
      </c>
      <c r="M19" t="s">
        <v>87</v>
      </c>
      <c r="N19" t="s">
        <v>35</v>
      </c>
      <c r="O19" t="s">
        <v>36</v>
      </c>
      <c r="P19" t="s">
        <v>37</v>
      </c>
      <c r="Q19" t="s">
        <v>169</v>
      </c>
      <c r="R19">
        <v>251</v>
      </c>
      <c r="S19">
        <v>134</v>
      </c>
      <c r="T19">
        <v>97</v>
      </c>
      <c r="U19">
        <v>32</v>
      </c>
      <c r="V19" t="s">
        <v>6531</v>
      </c>
      <c r="W19">
        <v>43005</v>
      </c>
      <c r="X19" t="s">
        <v>7035</v>
      </c>
      <c r="Y19">
        <v>34453</v>
      </c>
      <c r="Z19">
        <v>1376160</v>
      </c>
      <c r="AA19">
        <v>273664</v>
      </c>
      <c r="AB19" t="str">
        <f>(VLOOKUP(SalesData[[#This Row],[Month Number]],Reference!C$5:E$16,2,FALSE))</f>
        <v>Feb</v>
      </c>
      <c r="AC19">
        <f>MONTH(SalesData[[#This Row],[Date]])</f>
        <v>2</v>
      </c>
      <c r="AD19">
        <f>Reference!F$4</f>
        <v>2026</v>
      </c>
      <c r="AE19" t="str">
        <f>IF(OR(SalesData[[#This Row],[Day]]="Saturday",SalesData[[#This Row],[Day]]="Sunday"),"Weekend","Weekday")</f>
        <v>Weekday</v>
      </c>
      <c r="AF19" s="5">
        <f>IF(SalesData[[#This Row],[Contracts Offered]]=0,0,SalesData[[#This Row],[Contracts Signed]]/SalesData[[#This Row],[Contracts Offered]])</f>
        <v>0.32989690721649484</v>
      </c>
      <c r="AG19" s="5">
        <f>IF(SalesData[[#This Row],[Customers Visited]]=0,0,SalesData[[#This Row],[Test Drives]]/SalesData[[#This Row],[Customers Visited]])</f>
        <v>0.53386454183266929</v>
      </c>
      <c r="AH19" s="5">
        <f>IF(SalesData[[#This Row],[Customers Visited]]=0,0,SalesData[[#This Row],[Contracts Signed]]/SalesData[[#This Row],[Customers Visited]])</f>
        <v>0.12749003984063745</v>
      </c>
      <c r="AI19" s="6">
        <f>IF(SalesData[[#This Row],[Contracts Signed]]=0,0,SalesData[[#This Row],[Profit(€)]]/SalesData[[#This Row],[Contracts Signed]])</f>
        <v>8552</v>
      </c>
      <c r="AJ19" s="5" t="str">
        <f>TRIM(CLEAN(SalesData[[#This Row],[Retailer]]))</f>
        <v>Autohaus Berlin</v>
      </c>
    </row>
    <row r="20" spans="1:36" ht="14.25" hidden="1" x14ac:dyDescent="0.2">
      <c r="A20" t="s">
        <v>142</v>
      </c>
      <c r="B20" s="1">
        <v>46059</v>
      </c>
      <c r="C20" t="s">
        <v>24</v>
      </c>
      <c r="D20" t="s">
        <v>54</v>
      </c>
      <c r="E20" t="s">
        <v>26</v>
      </c>
      <c r="F20" t="s">
        <v>109</v>
      </c>
      <c r="G20" t="s">
        <v>110</v>
      </c>
      <c r="H20" t="s">
        <v>45</v>
      </c>
      <c r="I20" t="s">
        <v>64</v>
      </c>
      <c r="J20" t="s">
        <v>111</v>
      </c>
      <c r="K20" t="s">
        <v>66</v>
      </c>
      <c r="L20" t="s">
        <v>46</v>
      </c>
      <c r="M20" t="s">
        <v>47</v>
      </c>
      <c r="N20" t="s">
        <v>69</v>
      </c>
      <c r="O20" t="s">
        <v>36</v>
      </c>
      <c r="P20" t="s">
        <v>71</v>
      </c>
      <c r="Q20" t="s">
        <v>158</v>
      </c>
      <c r="R20">
        <v>258</v>
      </c>
      <c r="S20">
        <v>138</v>
      </c>
      <c r="T20">
        <v>101</v>
      </c>
      <c r="U20">
        <v>37</v>
      </c>
      <c r="V20" t="s">
        <v>6745</v>
      </c>
      <c r="W20">
        <v>65084</v>
      </c>
      <c r="X20" t="s">
        <v>7036</v>
      </c>
      <c r="Y20">
        <v>51063</v>
      </c>
      <c r="Z20">
        <v>2408108</v>
      </c>
      <c r="AA20">
        <v>518777</v>
      </c>
      <c r="AB20" t="str">
        <f>(VLOOKUP(SalesData[[#This Row],[Month Number]],Reference!C$5:E$16,2,FALSE))</f>
        <v>Feb</v>
      </c>
      <c r="AC20">
        <f>MONTH(SalesData[[#This Row],[Date]])</f>
        <v>2</v>
      </c>
      <c r="AD20">
        <f>Reference!F$4</f>
        <v>2026</v>
      </c>
      <c r="AE20" t="str">
        <f>IF(OR(SalesData[[#This Row],[Day]]="Saturday",SalesData[[#This Row],[Day]]="Sunday"),"Weekend","Weekday")</f>
        <v>Weekday</v>
      </c>
      <c r="AF20" s="5">
        <f>IF(SalesData[[#This Row],[Contracts Offered]]=0,0,SalesData[[#This Row],[Contracts Signed]]/SalesData[[#This Row],[Contracts Offered]])</f>
        <v>0.36633663366336633</v>
      </c>
      <c r="AG20" s="5">
        <f>IF(SalesData[[#This Row],[Customers Visited]]=0,0,SalesData[[#This Row],[Test Drives]]/SalesData[[#This Row],[Customers Visited]])</f>
        <v>0.53488372093023251</v>
      </c>
      <c r="AH20" s="5">
        <f>IF(SalesData[[#This Row],[Customers Visited]]=0,0,SalesData[[#This Row],[Contracts Signed]]/SalesData[[#This Row],[Customers Visited]])</f>
        <v>0.1434108527131783</v>
      </c>
      <c r="AI20" s="6">
        <f>IF(SalesData[[#This Row],[Contracts Signed]]=0,0,SalesData[[#This Row],[Profit(€)]]/SalesData[[#This Row],[Contracts Signed]])</f>
        <v>14021</v>
      </c>
      <c r="AJ20" s="5" t="str">
        <f>TRIM(CLEAN(SalesData[[#This Row],[Retailer]]))</f>
        <v>Leipzig Mobility</v>
      </c>
    </row>
    <row r="21" spans="1:36" ht="14.25" hidden="1" x14ac:dyDescent="0.2">
      <c r="A21" t="s">
        <v>146</v>
      </c>
      <c r="B21" s="1">
        <v>46066</v>
      </c>
      <c r="C21" t="s">
        <v>121</v>
      </c>
      <c r="D21" t="s">
        <v>54</v>
      </c>
      <c r="E21" t="s">
        <v>26</v>
      </c>
      <c r="F21" t="s">
        <v>43</v>
      </c>
      <c r="G21" t="s">
        <v>44</v>
      </c>
      <c r="H21" t="s">
        <v>45</v>
      </c>
      <c r="I21" t="s">
        <v>104</v>
      </c>
      <c r="J21" t="s">
        <v>143</v>
      </c>
      <c r="K21" t="s">
        <v>32</v>
      </c>
      <c r="L21" t="s">
        <v>67</v>
      </c>
      <c r="M21" t="s">
        <v>47</v>
      </c>
      <c r="N21" t="s">
        <v>48</v>
      </c>
      <c r="O21" t="s">
        <v>36</v>
      </c>
      <c r="P21" t="s">
        <v>49</v>
      </c>
      <c r="Q21" t="s">
        <v>152</v>
      </c>
      <c r="R21">
        <v>512</v>
      </c>
      <c r="S21">
        <v>217</v>
      </c>
      <c r="T21">
        <v>154</v>
      </c>
      <c r="U21">
        <v>35</v>
      </c>
      <c r="V21" t="s">
        <v>125</v>
      </c>
      <c r="W21">
        <v>26477</v>
      </c>
      <c r="X21" t="s">
        <v>3163</v>
      </c>
      <c r="Y21">
        <v>23818</v>
      </c>
      <c r="Z21">
        <v>926695</v>
      </c>
      <c r="AA21">
        <v>93065</v>
      </c>
      <c r="AB21" t="str">
        <f>(VLOOKUP(SalesData[[#This Row],[Month Number]],Reference!C$5:E$16,2,FALSE))</f>
        <v>Feb</v>
      </c>
      <c r="AC21">
        <f>MONTH(SalesData[[#This Row],[Date]])</f>
        <v>2</v>
      </c>
      <c r="AD21">
        <f>Reference!F$4</f>
        <v>2026</v>
      </c>
      <c r="AE21" t="str">
        <f>IF(OR(SalesData[[#This Row],[Day]]="Saturday",SalesData[[#This Row],[Day]]="Sunday"),"Weekend","Weekday")</f>
        <v>Weekday</v>
      </c>
      <c r="AF21" s="5">
        <f>IF(SalesData[[#This Row],[Contracts Offered]]=0,0,SalesData[[#This Row],[Contracts Signed]]/SalesData[[#This Row],[Contracts Offered]])</f>
        <v>0.22727272727272727</v>
      </c>
      <c r="AG21" s="5">
        <f>IF(SalesData[[#This Row],[Customers Visited]]=0,0,SalesData[[#This Row],[Test Drives]]/SalesData[[#This Row],[Customers Visited]])</f>
        <v>0.423828125</v>
      </c>
      <c r="AH21" s="5">
        <f>IF(SalesData[[#This Row],[Customers Visited]]=0,0,SalesData[[#This Row],[Contracts Signed]]/SalesData[[#This Row],[Customers Visited]])</f>
        <v>6.8359375E-2</v>
      </c>
      <c r="AI21" s="6">
        <f>IF(SalesData[[#This Row],[Contracts Signed]]=0,0,SalesData[[#This Row],[Profit(€)]]/SalesData[[#This Row],[Contracts Signed]])</f>
        <v>2659</v>
      </c>
      <c r="AJ21" s="5" t="str">
        <f>TRIM(CLEAN(SalesData[[#This Row],[Retailer]]))</f>
        <v>Saxon Wheels</v>
      </c>
    </row>
    <row r="22" spans="1:36" ht="14.25" x14ac:dyDescent="0.2">
      <c r="A22" t="s">
        <v>148</v>
      </c>
      <c r="B22" s="1">
        <v>46066</v>
      </c>
      <c r="C22" t="s">
        <v>121</v>
      </c>
      <c r="D22" t="s">
        <v>54</v>
      </c>
      <c r="E22" t="s">
        <v>26</v>
      </c>
      <c r="F22" t="s">
        <v>7649</v>
      </c>
      <c r="G22" t="s">
        <v>55</v>
      </c>
      <c r="H22" t="s">
        <v>55</v>
      </c>
      <c r="I22" t="s">
        <v>30</v>
      </c>
      <c r="J22" t="s">
        <v>31</v>
      </c>
      <c r="K22" t="s">
        <v>91</v>
      </c>
      <c r="L22" t="s">
        <v>46</v>
      </c>
      <c r="M22" t="s">
        <v>87</v>
      </c>
      <c r="N22" t="s">
        <v>69</v>
      </c>
      <c r="O22" t="s">
        <v>70</v>
      </c>
      <c r="P22" t="s">
        <v>58</v>
      </c>
      <c r="Q22" t="s">
        <v>135</v>
      </c>
      <c r="R22">
        <v>187</v>
      </c>
      <c r="S22">
        <v>93</v>
      </c>
      <c r="T22">
        <v>66</v>
      </c>
      <c r="U22">
        <v>30</v>
      </c>
      <c r="V22" t="s">
        <v>7037</v>
      </c>
      <c r="W22">
        <v>60858</v>
      </c>
      <c r="X22" t="s">
        <v>7038</v>
      </c>
      <c r="Y22">
        <v>47343</v>
      </c>
      <c r="Z22">
        <v>1825740</v>
      </c>
      <c r="AA22">
        <v>405450</v>
      </c>
      <c r="AB22" t="str">
        <f>(VLOOKUP(SalesData[[#This Row],[Month Number]],Reference!C$5:E$16,2,FALSE))</f>
        <v>Feb</v>
      </c>
      <c r="AC22">
        <f>MONTH(SalesData[[#This Row],[Date]])</f>
        <v>2</v>
      </c>
      <c r="AD22">
        <f>Reference!F$4</f>
        <v>2026</v>
      </c>
      <c r="AE22" t="str">
        <f>IF(OR(SalesData[[#This Row],[Day]]="Saturday",SalesData[[#This Row],[Day]]="Sunday"),"Weekend","Weekday")</f>
        <v>Weekday</v>
      </c>
      <c r="AF22" s="5">
        <f>IF(SalesData[[#This Row],[Contracts Offered]]=0,0,SalesData[[#This Row],[Contracts Signed]]/SalesData[[#This Row],[Contracts Offered]])</f>
        <v>0.45454545454545453</v>
      </c>
      <c r="AG22" s="5">
        <f>IF(SalesData[[#This Row],[Customers Visited]]=0,0,SalesData[[#This Row],[Test Drives]]/SalesData[[#This Row],[Customers Visited]])</f>
        <v>0.49732620320855614</v>
      </c>
      <c r="AH22" s="5">
        <f>IF(SalesData[[#This Row],[Customers Visited]]=0,0,SalesData[[#This Row],[Contracts Signed]]/SalesData[[#This Row],[Customers Visited]])</f>
        <v>0.16042780748663102</v>
      </c>
      <c r="AI22" s="6">
        <f>IF(SalesData[[#This Row],[Contracts Signed]]=0,0,SalesData[[#This Row],[Profit(€)]]/SalesData[[#This Row],[Contracts Signed]])</f>
        <v>13515</v>
      </c>
      <c r="AJ22" s="5" t="str">
        <f>TRIM(CLEAN(SalesData[[#This Row],[Retailer]]))</f>
        <v>Autohaus Berlin</v>
      </c>
    </row>
    <row r="23" spans="1:36" ht="14.25" hidden="1" x14ac:dyDescent="0.2">
      <c r="A23" t="s">
        <v>150</v>
      </c>
      <c r="B23" s="1">
        <v>46065</v>
      </c>
      <c r="C23" t="s">
        <v>121</v>
      </c>
      <c r="D23" t="s">
        <v>100</v>
      </c>
      <c r="E23" t="s">
        <v>26</v>
      </c>
      <c r="F23" t="s">
        <v>94</v>
      </c>
      <c r="G23" t="s">
        <v>95</v>
      </c>
      <c r="H23" t="s">
        <v>96</v>
      </c>
      <c r="I23" t="s">
        <v>104</v>
      </c>
      <c r="J23" t="s">
        <v>105</v>
      </c>
      <c r="K23" t="s">
        <v>66</v>
      </c>
      <c r="L23" t="s">
        <v>33</v>
      </c>
      <c r="M23" t="s">
        <v>34</v>
      </c>
      <c r="N23" t="s">
        <v>48</v>
      </c>
      <c r="O23" t="s">
        <v>36</v>
      </c>
      <c r="P23" t="s">
        <v>58</v>
      </c>
      <c r="Q23" t="s">
        <v>347</v>
      </c>
      <c r="R23">
        <v>356</v>
      </c>
      <c r="S23">
        <v>167</v>
      </c>
      <c r="T23">
        <v>119</v>
      </c>
      <c r="U23">
        <v>35</v>
      </c>
      <c r="V23" t="s">
        <v>6526</v>
      </c>
      <c r="W23">
        <v>26482</v>
      </c>
      <c r="X23" t="s">
        <v>7039</v>
      </c>
      <c r="Y23">
        <v>23469</v>
      </c>
      <c r="Z23">
        <v>926870</v>
      </c>
      <c r="AA23">
        <v>105455</v>
      </c>
      <c r="AB23" t="str">
        <f>(VLOOKUP(SalesData[[#This Row],[Month Number]],Reference!C$5:E$16,2,FALSE))</f>
        <v>Feb</v>
      </c>
      <c r="AC23">
        <f>MONTH(SalesData[[#This Row],[Date]])</f>
        <v>2</v>
      </c>
      <c r="AD23">
        <f>Reference!F$4</f>
        <v>2026</v>
      </c>
      <c r="AE23" t="str">
        <f>IF(OR(SalesData[[#This Row],[Day]]="Saturday",SalesData[[#This Row],[Day]]="Sunday"),"Weekend","Weekday")</f>
        <v>Weekday</v>
      </c>
      <c r="AF23" s="5">
        <f>IF(SalesData[[#This Row],[Contracts Offered]]=0,0,SalesData[[#This Row],[Contracts Signed]]/SalesData[[#This Row],[Contracts Offered]])</f>
        <v>0.29411764705882354</v>
      </c>
      <c r="AG23" s="5">
        <f>IF(SalesData[[#This Row],[Customers Visited]]=0,0,SalesData[[#This Row],[Test Drives]]/SalesData[[#This Row],[Customers Visited]])</f>
        <v>0.4691011235955056</v>
      </c>
      <c r="AH23" s="5">
        <f>IF(SalesData[[#This Row],[Customers Visited]]=0,0,SalesData[[#This Row],[Contracts Signed]]/SalesData[[#This Row],[Customers Visited]])</f>
        <v>9.8314606741573038E-2</v>
      </c>
      <c r="AI23" s="6">
        <f>IF(SalesData[[#This Row],[Contracts Signed]]=0,0,SalesData[[#This Row],[Profit(€)]]/SalesData[[#This Row],[Contracts Signed]])</f>
        <v>3013</v>
      </c>
      <c r="AJ23" s="5" t="str">
        <f>TRIM(CLEAN(SalesData[[#This Row],[Retailer]]))</f>
        <v>Bavaria Motors</v>
      </c>
    </row>
    <row r="24" spans="1:36" ht="14.25" hidden="1" x14ac:dyDescent="0.2">
      <c r="A24" t="s">
        <v>154</v>
      </c>
      <c r="B24" s="1">
        <v>46077</v>
      </c>
      <c r="C24" t="s">
        <v>53</v>
      </c>
      <c r="D24" t="s">
        <v>63</v>
      </c>
      <c r="E24" t="s">
        <v>26</v>
      </c>
      <c r="F24" t="s">
        <v>127</v>
      </c>
      <c r="G24" t="s">
        <v>128</v>
      </c>
      <c r="H24" t="s">
        <v>103</v>
      </c>
      <c r="I24" t="s">
        <v>64</v>
      </c>
      <c r="J24" t="s">
        <v>65</v>
      </c>
      <c r="K24" t="s">
        <v>66</v>
      </c>
      <c r="L24" t="s">
        <v>33</v>
      </c>
      <c r="M24" t="s">
        <v>68</v>
      </c>
      <c r="N24" t="s">
        <v>48</v>
      </c>
      <c r="O24" t="s">
        <v>70</v>
      </c>
      <c r="P24" t="s">
        <v>58</v>
      </c>
      <c r="Q24" t="s">
        <v>106</v>
      </c>
      <c r="R24">
        <v>235</v>
      </c>
      <c r="S24">
        <v>114</v>
      </c>
      <c r="T24">
        <v>78</v>
      </c>
      <c r="U24">
        <v>34</v>
      </c>
      <c r="V24" t="s">
        <v>7040</v>
      </c>
      <c r="W24">
        <v>53229</v>
      </c>
      <c r="X24" t="s">
        <v>7041</v>
      </c>
      <c r="Y24">
        <v>38281</v>
      </c>
      <c r="Z24">
        <v>1809786</v>
      </c>
      <c r="AA24">
        <v>508232</v>
      </c>
      <c r="AB24" t="str">
        <f>(VLOOKUP(SalesData[[#This Row],[Month Number]],Reference!C$5:E$16,2,FALSE))</f>
        <v>Feb</v>
      </c>
      <c r="AC24">
        <f>MONTH(SalesData[[#This Row],[Date]])</f>
        <v>2</v>
      </c>
      <c r="AD24">
        <f>Reference!F$4</f>
        <v>2026</v>
      </c>
      <c r="AE24" t="str">
        <f>IF(OR(SalesData[[#This Row],[Day]]="Saturday",SalesData[[#This Row],[Day]]="Sunday"),"Weekend","Weekday")</f>
        <v>Weekday</v>
      </c>
      <c r="AF24" s="5">
        <f>IF(SalesData[[#This Row],[Contracts Offered]]=0,0,SalesData[[#This Row],[Contracts Signed]]/SalesData[[#This Row],[Contracts Offered]])</f>
        <v>0.4358974358974359</v>
      </c>
      <c r="AG24" s="5">
        <f>IF(SalesData[[#This Row],[Customers Visited]]=0,0,SalesData[[#This Row],[Test Drives]]/SalesData[[#This Row],[Customers Visited]])</f>
        <v>0.48510638297872338</v>
      </c>
      <c r="AH24" s="5">
        <f>IF(SalesData[[#This Row],[Customers Visited]]=0,0,SalesData[[#This Row],[Contracts Signed]]/SalesData[[#This Row],[Customers Visited]])</f>
        <v>0.14468085106382977</v>
      </c>
      <c r="AI24" s="6">
        <f>IF(SalesData[[#This Row],[Contracts Signed]]=0,0,SalesData[[#This Row],[Profit(€)]]/SalesData[[#This Row],[Contracts Signed]])</f>
        <v>14948</v>
      </c>
      <c r="AJ24" s="5" t="str">
        <f>TRIM(CLEAN(SalesData[[#This Row],[Retailer]]))</f>
        <v>Rhein Auto Group</v>
      </c>
    </row>
    <row r="25" spans="1:36" ht="14.25" hidden="1" x14ac:dyDescent="0.2">
      <c r="A25" t="s">
        <v>156</v>
      </c>
      <c r="B25" s="1">
        <v>46057</v>
      </c>
      <c r="C25" t="s">
        <v>24</v>
      </c>
      <c r="D25" t="s">
        <v>82</v>
      </c>
      <c r="E25" t="s">
        <v>26</v>
      </c>
      <c r="F25" t="s">
        <v>101</v>
      </c>
      <c r="G25" t="s">
        <v>102</v>
      </c>
      <c r="H25" t="s">
        <v>103</v>
      </c>
      <c r="I25" t="s">
        <v>56</v>
      </c>
      <c r="J25" t="s">
        <v>179</v>
      </c>
      <c r="K25" t="s">
        <v>78</v>
      </c>
      <c r="L25" t="s">
        <v>67</v>
      </c>
      <c r="M25" t="s">
        <v>47</v>
      </c>
      <c r="N25" t="s">
        <v>69</v>
      </c>
      <c r="O25" t="s">
        <v>36</v>
      </c>
      <c r="P25" t="s">
        <v>37</v>
      </c>
      <c r="Q25" t="s">
        <v>50</v>
      </c>
      <c r="R25">
        <v>195</v>
      </c>
      <c r="S25">
        <v>119</v>
      </c>
      <c r="T25">
        <v>76</v>
      </c>
      <c r="U25">
        <v>27</v>
      </c>
      <c r="V25" t="s">
        <v>6715</v>
      </c>
      <c r="W25">
        <v>41539</v>
      </c>
      <c r="X25" t="s">
        <v>7042</v>
      </c>
      <c r="Y25">
        <v>33776</v>
      </c>
      <c r="Z25">
        <v>1121553</v>
      </c>
      <c r="AA25">
        <v>209601</v>
      </c>
      <c r="AB25" t="str">
        <f>(VLOOKUP(SalesData[[#This Row],[Month Number]],Reference!C$5:E$16,2,FALSE))</f>
        <v>Feb</v>
      </c>
      <c r="AC25">
        <f>MONTH(SalesData[[#This Row],[Date]])</f>
        <v>2</v>
      </c>
      <c r="AD25">
        <f>Reference!F$4</f>
        <v>2026</v>
      </c>
      <c r="AE25" t="str">
        <f>IF(OR(SalesData[[#This Row],[Day]]="Saturday",SalesData[[#This Row],[Day]]="Sunday"),"Weekend","Weekday")</f>
        <v>Weekday</v>
      </c>
      <c r="AF25" s="5">
        <f>IF(SalesData[[#This Row],[Contracts Offered]]=0,0,SalesData[[#This Row],[Contracts Signed]]/SalesData[[#This Row],[Contracts Offered]])</f>
        <v>0.35526315789473684</v>
      </c>
      <c r="AG25" s="5">
        <f>IF(SalesData[[#This Row],[Customers Visited]]=0,0,SalesData[[#This Row],[Test Drives]]/SalesData[[#This Row],[Customers Visited]])</f>
        <v>0.61025641025641031</v>
      </c>
      <c r="AH25" s="5">
        <f>IF(SalesData[[#This Row],[Customers Visited]]=0,0,SalesData[[#This Row],[Contracts Signed]]/SalesData[[#This Row],[Customers Visited]])</f>
        <v>0.13846153846153847</v>
      </c>
      <c r="AI25" s="6">
        <f>IF(SalesData[[#This Row],[Contracts Signed]]=0,0,SalesData[[#This Row],[Profit(€)]]/SalesData[[#This Row],[Contracts Signed]])</f>
        <v>7763</v>
      </c>
      <c r="AJ25" s="5" t="str">
        <f>TRIM(CLEAN(SalesData[[#This Row],[Retailer]]))</f>
        <v>Ruhr Auto Plaza</v>
      </c>
    </row>
    <row r="26" spans="1:36" ht="14.25" hidden="1" x14ac:dyDescent="0.2">
      <c r="A26" t="s">
        <v>160</v>
      </c>
      <c r="B26" s="1">
        <v>46061</v>
      </c>
      <c r="C26" t="s">
        <v>121</v>
      </c>
      <c r="D26" t="s">
        <v>41</v>
      </c>
      <c r="E26" t="s">
        <v>42</v>
      </c>
      <c r="F26" t="s">
        <v>83</v>
      </c>
      <c r="G26" t="s">
        <v>84</v>
      </c>
      <c r="H26" t="s">
        <v>85</v>
      </c>
      <c r="I26" t="s">
        <v>104</v>
      </c>
      <c r="J26" t="s">
        <v>105</v>
      </c>
      <c r="K26" t="s">
        <v>66</v>
      </c>
      <c r="L26" t="s">
        <v>33</v>
      </c>
      <c r="M26" t="s">
        <v>87</v>
      </c>
      <c r="N26" t="s">
        <v>69</v>
      </c>
      <c r="O26" t="s">
        <v>70</v>
      </c>
      <c r="P26" t="s">
        <v>71</v>
      </c>
      <c r="Q26" t="s">
        <v>122</v>
      </c>
      <c r="R26">
        <v>306</v>
      </c>
      <c r="S26">
        <v>129</v>
      </c>
      <c r="T26">
        <v>75</v>
      </c>
      <c r="U26">
        <v>19</v>
      </c>
      <c r="V26" t="s">
        <v>4475</v>
      </c>
      <c r="W26">
        <v>27960</v>
      </c>
      <c r="X26" t="s">
        <v>7043</v>
      </c>
      <c r="Y26">
        <v>25115</v>
      </c>
      <c r="Z26">
        <v>531240</v>
      </c>
      <c r="AA26">
        <v>54055</v>
      </c>
      <c r="AB26" t="str">
        <f>(VLOOKUP(SalesData[[#This Row],[Month Number]],Reference!C$5:E$16,2,FALSE))</f>
        <v>Feb</v>
      </c>
      <c r="AC26">
        <f>MONTH(SalesData[[#This Row],[Date]])</f>
        <v>2</v>
      </c>
      <c r="AD26">
        <f>Reference!F$4</f>
        <v>2026</v>
      </c>
      <c r="AE26" t="str">
        <f>IF(OR(SalesData[[#This Row],[Day]]="Saturday",SalesData[[#This Row],[Day]]="Sunday"),"Weekend","Weekday")</f>
        <v>Weekend</v>
      </c>
      <c r="AF26" s="5">
        <f>IF(SalesData[[#This Row],[Contracts Offered]]=0,0,SalesData[[#This Row],[Contracts Signed]]/SalesData[[#This Row],[Contracts Offered]])</f>
        <v>0.25333333333333335</v>
      </c>
      <c r="AG26" s="5">
        <f>IF(SalesData[[#This Row],[Customers Visited]]=0,0,SalesData[[#This Row],[Test Drives]]/SalesData[[#This Row],[Customers Visited]])</f>
        <v>0.42156862745098039</v>
      </c>
      <c r="AH26" s="5">
        <f>IF(SalesData[[#This Row],[Customers Visited]]=0,0,SalesData[[#This Row],[Contracts Signed]]/SalesData[[#This Row],[Customers Visited]])</f>
        <v>6.2091503267973858E-2</v>
      </c>
      <c r="AI26" s="6">
        <f>IF(SalesData[[#This Row],[Contracts Signed]]=0,0,SalesData[[#This Row],[Profit(€)]]/SalesData[[#This Row],[Contracts Signed]])</f>
        <v>2845</v>
      </c>
      <c r="AJ26" s="5" t="str">
        <f>TRIM(CLEAN(SalesData[[#This Row],[Retailer]]))</f>
        <v>Hannover Cars</v>
      </c>
    </row>
    <row r="27" spans="1:36" ht="14.25" hidden="1" x14ac:dyDescent="0.2">
      <c r="A27" t="s">
        <v>162</v>
      </c>
      <c r="B27" s="1">
        <v>46067</v>
      </c>
      <c r="C27" t="s">
        <v>121</v>
      </c>
      <c r="D27" t="s">
        <v>151</v>
      </c>
      <c r="E27" t="s">
        <v>42</v>
      </c>
      <c r="F27" t="s">
        <v>74</v>
      </c>
      <c r="G27" t="s">
        <v>75</v>
      </c>
      <c r="H27" t="s">
        <v>76</v>
      </c>
      <c r="I27" t="s">
        <v>64</v>
      </c>
      <c r="J27" t="s">
        <v>65</v>
      </c>
      <c r="K27" t="s">
        <v>32</v>
      </c>
      <c r="L27" t="s">
        <v>33</v>
      </c>
      <c r="M27" t="s">
        <v>68</v>
      </c>
      <c r="N27" t="s">
        <v>35</v>
      </c>
      <c r="O27" t="s">
        <v>36</v>
      </c>
      <c r="P27" t="s">
        <v>49</v>
      </c>
      <c r="Q27" t="s">
        <v>129</v>
      </c>
      <c r="R27">
        <v>160</v>
      </c>
      <c r="S27">
        <v>71</v>
      </c>
      <c r="T27">
        <v>47</v>
      </c>
      <c r="U27">
        <v>18</v>
      </c>
      <c r="V27" t="s">
        <v>6368</v>
      </c>
      <c r="W27">
        <v>59633</v>
      </c>
      <c r="X27" t="s">
        <v>7044</v>
      </c>
      <c r="Y27">
        <v>44451</v>
      </c>
      <c r="Z27">
        <v>1073394</v>
      </c>
      <c r="AA27">
        <v>273276</v>
      </c>
      <c r="AB27" t="str">
        <f>(VLOOKUP(SalesData[[#This Row],[Month Number]],Reference!C$5:E$16,2,FALSE))</f>
        <v>Feb</v>
      </c>
      <c r="AC27">
        <f>MONTH(SalesData[[#This Row],[Date]])</f>
        <v>2</v>
      </c>
      <c r="AD27">
        <f>Reference!F$4</f>
        <v>2026</v>
      </c>
      <c r="AE27" t="str">
        <f>IF(OR(SalesData[[#This Row],[Day]]="Saturday",SalesData[[#This Row],[Day]]="Sunday"),"Weekend","Weekday")</f>
        <v>Weekend</v>
      </c>
      <c r="AF27" s="5">
        <f>IF(SalesData[[#This Row],[Contracts Offered]]=0,0,SalesData[[#This Row],[Contracts Signed]]/SalesData[[#This Row],[Contracts Offered]])</f>
        <v>0.38297872340425532</v>
      </c>
      <c r="AG27" s="5">
        <f>IF(SalesData[[#This Row],[Customers Visited]]=0,0,SalesData[[#This Row],[Test Drives]]/SalesData[[#This Row],[Customers Visited]])</f>
        <v>0.44374999999999998</v>
      </c>
      <c r="AH27" s="5">
        <f>IF(SalesData[[#This Row],[Customers Visited]]=0,0,SalesData[[#This Row],[Contracts Signed]]/SalesData[[#This Row],[Customers Visited]])</f>
        <v>0.1125</v>
      </c>
      <c r="AI27" s="6">
        <f>IF(SalesData[[#This Row],[Contracts Signed]]=0,0,SalesData[[#This Row],[Profit(€)]]/SalesData[[#This Row],[Contracts Signed]])</f>
        <v>15182</v>
      </c>
      <c r="AJ27" s="5" t="str">
        <f>TRIM(CLEAN(SalesData[[#This Row],[Retailer]]))</f>
        <v>Stuttgart Auto Center</v>
      </c>
    </row>
    <row r="28" spans="1:36" ht="14.25" hidden="1" x14ac:dyDescent="0.2">
      <c r="A28" t="s">
        <v>163</v>
      </c>
      <c r="B28" s="1">
        <v>46054</v>
      </c>
      <c r="C28" t="s">
        <v>24</v>
      </c>
      <c r="D28" t="s">
        <v>41</v>
      </c>
      <c r="E28" t="s">
        <v>42</v>
      </c>
      <c r="F28" t="s">
        <v>101</v>
      </c>
      <c r="G28" t="s">
        <v>102</v>
      </c>
      <c r="H28" t="s">
        <v>103</v>
      </c>
      <c r="I28" t="s">
        <v>116</v>
      </c>
      <c r="J28" t="s">
        <v>132</v>
      </c>
      <c r="K28" t="s">
        <v>66</v>
      </c>
      <c r="L28" t="s">
        <v>46</v>
      </c>
      <c r="M28" t="s">
        <v>68</v>
      </c>
      <c r="N28" t="s">
        <v>35</v>
      </c>
      <c r="O28" t="s">
        <v>70</v>
      </c>
      <c r="P28" t="s">
        <v>58</v>
      </c>
      <c r="Q28" t="s">
        <v>144</v>
      </c>
      <c r="R28">
        <v>374</v>
      </c>
      <c r="S28">
        <v>161</v>
      </c>
      <c r="T28">
        <v>97</v>
      </c>
      <c r="U28">
        <v>29</v>
      </c>
      <c r="V28" t="s">
        <v>2609</v>
      </c>
      <c r="W28">
        <v>25858</v>
      </c>
      <c r="X28" t="s">
        <v>906</v>
      </c>
      <c r="Y28">
        <v>23263</v>
      </c>
      <c r="Z28">
        <v>749882</v>
      </c>
      <c r="AA28">
        <v>75255</v>
      </c>
      <c r="AB28" t="str">
        <f>(VLOOKUP(SalesData[[#This Row],[Month Number]],Reference!C$5:E$16,2,FALSE))</f>
        <v>Feb</v>
      </c>
      <c r="AC28">
        <f>MONTH(SalesData[[#This Row],[Date]])</f>
        <v>2</v>
      </c>
      <c r="AD28">
        <f>Reference!F$4</f>
        <v>2026</v>
      </c>
      <c r="AE28" t="str">
        <f>IF(OR(SalesData[[#This Row],[Day]]="Saturday",SalesData[[#This Row],[Day]]="Sunday"),"Weekend","Weekday")</f>
        <v>Weekend</v>
      </c>
      <c r="AF28" s="5">
        <f>IF(SalesData[[#This Row],[Contracts Offered]]=0,0,SalesData[[#This Row],[Contracts Signed]]/SalesData[[#This Row],[Contracts Offered]])</f>
        <v>0.29896907216494845</v>
      </c>
      <c r="AG28" s="5">
        <f>IF(SalesData[[#This Row],[Customers Visited]]=0,0,SalesData[[#This Row],[Test Drives]]/SalesData[[#This Row],[Customers Visited]])</f>
        <v>0.43048128342245989</v>
      </c>
      <c r="AH28" s="5">
        <f>IF(SalesData[[#This Row],[Customers Visited]]=0,0,SalesData[[#This Row],[Contracts Signed]]/SalesData[[#This Row],[Customers Visited]])</f>
        <v>7.7540106951871662E-2</v>
      </c>
      <c r="AI28" s="6">
        <f>IF(SalesData[[#This Row],[Contracts Signed]]=0,0,SalesData[[#This Row],[Profit(€)]]/SalesData[[#This Row],[Contracts Signed]])</f>
        <v>2595</v>
      </c>
      <c r="AJ28" s="5" t="str">
        <f>TRIM(CLEAN(SalesData[[#This Row],[Retailer]]))</f>
        <v>Ruhr Auto Plaza</v>
      </c>
    </row>
    <row r="29" spans="1:36" ht="14.25" x14ac:dyDescent="0.2">
      <c r="A29" t="s">
        <v>165</v>
      </c>
      <c r="B29" s="1">
        <v>46074</v>
      </c>
      <c r="C29" t="s">
        <v>62</v>
      </c>
      <c r="D29" t="s">
        <v>151</v>
      </c>
      <c r="E29" t="s">
        <v>42</v>
      </c>
      <c r="F29" t="s">
        <v>27</v>
      </c>
      <c r="G29" t="s">
        <v>28</v>
      </c>
      <c r="H29" t="s">
        <v>29</v>
      </c>
      <c r="I29" t="s">
        <v>30</v>
      </c>
      <c r="J29" t="s">
        <v>31</v>
      </c>
      <c r="K29" t="s">
        <v>78</v>
      </c>
      <c r="L29" t="s">
        <v>46</v>
      </c>
      <c r="M29" t="s">
        <v>68</v>
      </c>
      <c r="N29" t="s">
        <v>35</v>
      </c>
      <c r="O29" t="s">
        <v>70</v>
      </c>
      <c r="P29" t="s">
        <v>37</v>
      </c>
      <c r="Q29" t="s">
        <v>79</v>
      </c>
      <c r="R29">
        <v>158</v>
      </c>
      <c r="S29">
        <v>76</v>
      </c>
      <c r="T29">
        <v>59</v>
      </c>
      <c r="U29">
        <v>19</v>
      </c>
      <c r="V29" t="s">
        <v>6403</v>
      </c>
      <c r="W29">
        <v>65636</v>
      </c>
      <c r="X29" t="s">
        <v>7045</v>
      </c>
      <c r="Y29">
        <v>46521</v>
      </c>
      <c r="Z29">
        <v>1247084</v>
      </c>
      <c r="AA29">
        <v>363185</v>
      </c>
      <c r="AB29" t="str">
        <f>(VLOOKUP(SalesData[[#This Row],[Month Number]],Reference!C$5:E$16,2,FALSE))</f>
        <v>Feb</v>
      </c>
      <c r="AC29">
        <f>MONTH(SalesData[[#This Row],[Date]])</f>
        <v>2</v>
      </c>
      <c r="AD29">
        <f>Reference!F$4</f>
        <v>2026</v>
      </c>
      <c r="AE29" t="str">
        <f>IF(OR(SalesData[[#This Row],[Day]]="Saturday",SalesData[[#This Row],[Day]]="Sunday"),"Weekend","Weekday")</f>
        <v>Weekend</v>
      </c>
      <c r="AF29" s="5">
        <f>IF(SalesData[[#This Row],[Contracts Offered]]=0,0,SalesData[[#This Row],[Contracts Signed]]/SalesData[[#This Row],[Contracts Offered]])</f>
        <v>0.32203389830508472</v>
      </c>
      <c r="AG29" s="5">
        <f>IF(SalesData[[#This Row],[Customers Visited]]=0,0,SalesData[[#This Row],[Test Drives]]/SalesData[[#This Row],[Customers Visited]])</f>
        <v>0.48101265822784811</v>
      </c>
      <c r="AH29" s="5">
        <f>IF(SalesData[[#This Row],[Customers Visited]]=0,0,SalesData[[#This Row],[Contracts Signed]]/SalesData[[#This Row],[Customers Visited]])</f>
        <v>0.12025316455696203</v>
      </c>
      <c r="AI29" s="6">
        <f>IF(SalesData[[#This Row],[Contracts Signed]]=0,0,SalesData[[#This Row],[Profit(€)]]/SalesData[[#This Row],[Contracts Signed]])</f>
        <v>19115</v>
      </c>
      <c r="AJ29" s="5" t="str">
        <f>TRIM(CLEAN(SalesData[[#This Row],[Retailer]]))</f>
        <v>Main Auto Hub</v>
      </c>
    </row>
    <row r="30" spans="1:36" ht="14.25" hidden="1" x14ac:dyDescent="0.2">
      <c r="A30" t="s">
        <v>168</v>
      </c>
      <c r="B30" s="1">
        <v>46071</v>
      </c>
      <c r="C30" t="s">
        <v>62</v>
      </c>
      <c r="D30" t="s">
        <v>82</v>
      </c>
      <c r="E30" t="s">
        <v>26</v>
      </c>
      <c r="F30" t="s">
        <v>94</v>
      </c>
      <c r="G30" t="s">
        <v>95</v>
      </c>
      <c r="H30" t="s">
        <v>96</v>
      </c>
      <c r="I30" t="s">
        <v>104</v>
      </c>
      <c r="J30" t="s">
        <v>143</v>
      </c>
      <c r="K30" t="s">
        <v>91</v>
      </c>
      <c r="L30" t="s">
        <v>67</v>
      </c>
      <c r="M30" t="s">
        <v>87</v>
      </c>
      <c r="N30" t="s">
        <v>48</v>
      </c>
      <c r="O30" t="s">
        <v>70</v>
      </c>
      <c r="P30" t="s">
        <v>37</v>
      </c>
      <c r="Q30" t="s">
        <v>59</v>
      </c>
      <c r="R30">
        <v>354</v>
      </c>
      <c r="S30">
        <v>148</v>
      </c>
      <c r="T30">
        <v>106</v>
      </c>
      <c r="U30">
        <v>25</v>
      </c>
      <c r="V30" t="s">
        <v>1586</v>
      </c>
      <c r="W30">
        <v>30248</v>
      </c>
      <c r="X30" t="s">
        <v>3747</v>
      </c>
      <c r="Y30">
        <v>26143</v>
      </c>
      <c r="Z30">
        <v>756200</v>
      </c>
      <c r="AA30">
        <v>102625</v>
      </c>
      <c r="AB30" t="str">
        <f>(VLOOKUP(SalesData[[#This Row],[Month Number]],Reference!C$5:E$16,2,FALSE))</f>
        <v>Feb</v>
      </c>
      <c r="AC30">
        <f>MONTH(SalesData[[#This Row],[Date]])</f>
        <v>2</v>
      </c>
      <c r="AD30">
        <f>Reference!F$4</f>
        <v>2026</v>
      </c>
      <c r="AE30" t="str">
        <f>IF(OR(SalesData[[#This Row],[Day]]="Saturday",SalesData[[#This Row],[Day]]="Sunday"),"Weekend","Weekday")</f>
        <v>Weekday</v>
      </c>
      <c r="AF30" s="5">
        <f>IF(SalesData[[#This Row],[Contracts Offered]]=0,0,SalesData[[#This Row],[Contracts Signed]]/SalesData[[#This Row],[Contracts Offered]])</f>
        <v>0.23584905660377359</v>
      </c>
      <c r="AG30" s="5">
        <f>IF(SalesData[[#This Row],[Customers Visited]]=0,0,SalesData[[#This Row],[Test Drives]]/SalesData[[#This Row],[Customers Visited]])</f>
        <v>0.41807909604519772</v>
      </c>
      <c r="AH30" s="5">
        <f>IF(SalesData[[#This Row],[Customers Visited]]=0,0,SalesData[[#This Row],[Contracts Signed]]/SalesData[[#This Row],[Customers Visited]])</f>
        <v>7.0621468926553674E-2</v>
      </c>
      <c r="AI30" s="6">
        <f>IF(SalesData[[#This Row],[Contracts Signed]]=0,0,SalesData[[#This Row],[Profit(€)]]/SalesData[[#This Row],[Contracts Signed]])</f>
        <v>4105</v>
      </c>
      <c r="AJ30" s="5" t="str">
        <f>TRIM(CLEAN(SalesData[[#This Row],[Retailer]]))</f>
        <v>Bavaria Motors</v>
      </c>
    </row>
    <row r="31" spans="1:36" ht="14.25" hidden="1" x14ac:dyDescent="0.2">
      <c r="A31" t="s">
        <v>171</v>
      </c>
      <c r="B31" s="1">
        <v>46065</v>
      </c>
      <c r="C31" t="s">
        <v>121</v>
      </c>
      <c r="D31" t="s">
        <v>100</v>
      </c>
      <c r="E31" t="s">
        <v>26</v>
      </c>
      <c r="F31" t="s">
        <v>7649</v>
      </c>
      <c r="G31" t="s">
        <v>55</v>
      </c>
      <c r="H31" t="s">
        <v>55</v>
      </c>
      <c r="I31" t="s">
        <v>56</v>
      </c>
      <c r="J31" t="s">
        <v>57</v>
      </c>
      <c r="K31" t="s">
        <v>78</v>
      </c>
      <c r="L31" t="s">
        <v>46</v>
      </c>
      <c r="M31" t="s">
        <v>68</v>
      </c>
      <c r="N31" t="s">
        <v>35</v>
      </c>
      <c r="O31" t="s">
        <v>70</v>
      </c>
      <c r="P31" t="s">
        <v>49</v>
      </c>
      <c r="Q31" t="s">
        <v>106</v>
      </c>
      <c r="R31">
        <v>301</v>
      </c>
      <c r="S31">
        <v>185</v>
      </c>
      <c r="T31">
        <v>135</v>
      </c>
      <c r="U31">
        <v>38</v>
      </c>
      <c r="V31" t="s">
        <v>6444</v>
      </c>
      <c r="W31">
        <v>54550</v>
      </c>
      <c r="X31" t="s">
        <v>7042</v>
      </c>
      <c r="Y31">
        <v>41679</v>
      </c>
      <c r="Z31">
        <v>2072900</v>
      </c>
      <c r="AA31">
        <v>489098</v>
      </c>
      <c r="AB31" t="str">
        <f>(VLOOKUP(SalesData[[#This Row],[Month Number]],Reference!C$5:E$16,2,FALSE))</f>
        <v>Feb</v>
      </c>
      <c r="AC31">
        <f>MONTH(SalesData[[#This Row],[Date]])</f>
        <v>2</v>
      </c>
      <c r="AD31">
        <f>Reference!F$4</f>
        <v>2026</v>
      </c>
      <c r="AE31" t="str">
        <f>IF(OR(SalesData[[#This Row],[Day]]="Saturday",SalesData[[#This Row],[Day]]="Sunday"),"Weekend","Weekday")</f>
        <v>Weekday</v>
      </c>
      <c r="AF31" s="5">
        <f>IF(SalesData[[#This Row],[Contracts Offered]]=0,0,SalesData[[#This Row],[Contracts Signed]]/SalesData[[#This Row],[Contracts Offered]])</f>
        <v>0.2814814814814815</v>
      </c>
      <c r="AG31" s="5">
        <f>IF(SalesData[[#This Row],[Customers Visited]]=0,0,SalesData[[#This Row],[Test Drives]]/SalesData[[#This Row],[Customers Visited]])</f>
        <v>0.61461794019933558</v>
      </c>
      <c r="AH31" s="5">
        <f>IF(SalesData[[#This Row],[Customers Visited]]=0,0,SalesData[[#This Row],[Contracts Signed]]/SalesData[[#This Row],[Customers Visited]])</f>
        <v>0.12624584717607973</v>
      </c>
      <c r="AI31" s="6">
        <f>IF(SalesData[[#This Row],[Contracts Signed]]=0,0,SalesData[[#This Row],[Profit(€)]]/SalesData[[#This Row],[Contracts Signed]])</f>
        <v>12871</v>
      </c>
      <c r="AJ31" s="5" t="str">
        <f>TRIM(CLEAN(SalesData[[#This Row],[Retailer]]))</f>
        <v>Autohaus Berlin</v>
      </c>
    </row>
    <row r="32" spans="1:36" ht="14.25" hidden="1" x14ac:dyDescent="0.2">
      <c r="A32" t="s">
        <v>174</v>
      </c>
      <c r="B32" s="1">
        <v>46074</v>
      </c>
      <c r="C32" t="s">
        <v>62</v>
      </c>
      <c r="D32" t="s">
        <v>151</v>
      </c>
      <c r="E32" t="s">
        <v>42</v>
      </c>
      <c r="F32" t="s">
        <v>27</v>
      </c>
      <c r="G32" t="s">
        <v>28</v>
      </c>
      <c r="H32" t="s">
        <v>29</v>
      </c>
      <c r="I32" t="s">
        <v>104</v>
      </c>
      <c r="J32" t="s">
        <v>105</v>
      </c>
      <c r="K32" t="s">
        <v>32</v>
      </c>
      <c r="L32" t="s">
        <v>33</v>
      </c>
      <c r="M32" t="s">
        <v>87</v>
      </c>
      <c r="N32" t="s">
        <v>69</v>
      </c>
      <c r="O32" t="s">
        <v>70</v>
      </c>
      <c r="P32" t="s">
        <v>58</v>
      </c>
      <c r="Q32" t="s">
        <v>79</v>
      </c>
      <c r="R32">
        <v>443</v>
      </c>
      <c r="S32">
        <v>252</v>
      </c>
      <c r="T32">
        <v>152</v>
      </c>
      <c r="U32">
        <v>49</v>
      </c>
      <c r="V32" t="s">
        <v>1767</v>
      </c>
      <c r="W32">
        <v>32286</v>
      </c>
      <c r="X32" t="s">
        <v>609</v>
      </c>
      <c r="Y32">
        <v>29042</v>
      </c>
      <c r="Z32">
        <v>1582014</v>
      </c>
      <c r="AA32">
        <v>158956</v>
      </c>
      <c r="AB32" t="str">
        <f>(VLOOKUP(SalesData[[#This Row],[Month Number]],Reference!C$5:E$16,2,FALSE))</f>
        <v>Feb</v>
      </c>
      <c r="AC32">
        <f>MONTH(SalesData[[#This Row],[Date]])</f>
        <v>2</v>
      </c>
      <c r="AD32">
        <f>Reference!F$4</f>
        <v>2026</v>
      </c>
      <c r="AE32" t="str">
        <f>IF(OR(SalesData[[#This Row],[Day]]="Saturday",SalesData[[#This Row],[Day]]="Sunday"),"Weekend","Weekday")</f>
        <v>Weekend</v>
      </c>
      <c r="AF32" s="5">
        <f>IF(SalesData[[#This Row],[Contracts Offered]]=0,0,SalesData[[#This Row],[Contracts Signed]]/SalesData[[#This Row],[Contracts Offered]])</f>
        <v>0.32236842105263158</v>
      </c>
      <c r="AG32" s="5">
        <f>IF(SalesData[[#This Row],[Customers Visited]]=0,0,SalesData[[#This Row],[Test Drives]]/SalesData[[#This Row],[Customers Visited]])</f>
        <v>0.56884875846501126</v>
      </c>
      <c r="AH32" s="5">
        <f>IF(SalesData[[#This Row],[Customers Visited]]=0,0,SalesData[[#This Row],[Contracts Signed]]/SalesData[[#This Row],[Customers Visited]])</f>
        <v>0.11060948081264109</v>
      </c>
      <c r="AI32" s="6">
        <f>IF(SalesData[[#This Row],[Contracts Signed]]=0,0,SalesData[[#This Row],[Profit(€)]]/SalesData[[#This Row],[Contracts Signed]])</f>
        <v>3244</v>
      </c>
      <c r="AJ32" s="5" t="str">
        <f>TRIM(CLEAN(SalesData[[#This Row],[Retailer]]))</f>
        <v>Main Auto Hub</v>
      </c>
    </row>
    <row r="33" spans="1:36" ht="14.25" hidden="1" x14ac:dyDescent="0.2">
      <c r="A33" t="s">
        <v>176</v>
      </c>
      <c r="B33" s="1">
        <v>46054</v>
      </c>
      <c r="C33" t="s">
        <v>24</v>
      </c>
      <c r="D33" t="s">
        <v>41</v>
      </c>
      <c r="E33" t="s">
        <v>42</v>
      </c>
      <c r="F33" t="s">
        <v>43</v>
      </c>
      <c r="G33" t="s">
        <v>44</v>
      </c>
      <c r="H33" t="s">
        <v>45</v>
      </c>
      <c r="I33" t="s">
        <v>64</v>
      </c>
      <c r="J33" t="s">
        <v>65</v>
      </c>
      <c r="K33" t="s">
        <v>78</v>
      </c>
      <c r="L33" t="s">
        <v>33</v>
      </c>
      <c r="M33" t="s">
        <v>68</v>
      </c>
      <c r="N33" t="s">
        <v>35</v>
      </c>
      <c r="O33" t="s">
        <v>70</v>
      </c>
      <c r="P33" t="s">
        <v>58</v>
      </c>
      <c r="Q33" t="s">
        <v>135</v>
      </c>
      <c r="R33">
        <v>161</v>
      </c>
      <c r="S33">
        <v>93</v>
      </c>
      <c r="T33">
        <v>62</v>
      </c>
      <c r="U33">
        <v>24</v>
      </c>
      <c r="V33" t="s">
        <v>6546</v>
      </c>
      <c r="W33">
        <v>58127</v>
      </c>
      <c r="X33" t="s">
        <v>2524</v>
      </c>
      <c r="Y33">
        <v>42953</v>
      </c>
      <c r="Z33">
        <v>1395048</v>
      </c>
      <c r="AA33">
        <v>364176</v>
      </c>
      <c r="AB33" t="str">
        <f>(VLOOKUP(SalesData[[#This Row],[Month Number]],Reference!C$5:E$16,2,FALSE))</f>
        <v>Feb</v>
      </c>
      <c r="AC33">
        <f>MONTH(SalesData[[#This Row],[Date]])</f>
        <v>2</v>
      </c>
      <c r="AD33">
        <f>Reference!F$4</f>
        <v>2026</v>
      </c>
      <c r="AE33" t="str">
        <f>IF(OR(SalesData[[#This Row],[Day]]="Saturday",SalesData[[#This Row],[Day]]="Sunday"),"Weekend","Weekday")</f>
        <v>Weekend</v>
      </c>
      <c r="AF33" s="5">
        <f>IF(SalesData[[#This Row],[Contracts Offered]]=0,0,SalesData[[#This Row],[Contracts Signed]]/SalesData[[#This Row],[Contracts Offered]])</f>
        <v>0.38709677419354838</v>
      </c>
      <c r="AG33" s="5">
        <f>IF(SalesData[[#This Row],[Customers Visited]]=0,0,SalesData[[#This Row],[Test Drives]]/SalesData[[#This Row],[Customers Visited]])</f>
        <v>0.57763975155279501</v>
      </c>
      <c r="AH33" s="5">
        <f>IF(SalesData[[#This Row],[Customers Visited]]=0,0,SalesData[[#This Row],[Contracts Signed]]/SalesData[[#This Row],[Customers Visited]])</f>
        <v>0.14906832298136646</v>
      </c>
      <c r="AI33" s="6">
        <f>IF(SalesData[[#This Row],[Contracts Signed]]=0,0,SalesData[[#This Row],[Profit(€)]]/SalesData[[#This Row],[Contracts Signed]])</f>
        <v>15174</v>
      </c>
      <c r="AJ33" s="5" t="str">
        <f>TRIM(CLEAN(SalesData[[#This Row],[Retailer]]))</f>
        <v>Saxon Wheels</v>
      </c>
    </row>
    <row r="34" spans="1:36" ht="14.25" hidden="1" x14ac:dyDescent="0.2">
      <c r="A34" t="s">
        <v>178</v>
      </c>
      <c r="B34" s="1">
        <v>46071</v>
      </c>
      <c r="C34" t="s">
        <v>62</v>
      </c>
      <c r="D34" t="s">
        <v>82</v>
      </c>
      <c r="E34" t="s">
        <v>26</v>
      </c>
      <c r="F34" t="s">
        <v>114</v>
      </c>
      <c r="G34" t="s">
        <v>115</v>
      </c>
      <c r="H34" t="s">
        <v>115</v>
      </c>
      <c r="I34" t="s">
        <v>56</v>
      </c>
      <c r="J34" t="s">
        <v>57</v>
      </c>
      <c r="K34" t="s">
        <v>91</v>
      </c>
      <c r="L34" t="s">
        <v>46</v>
      </c>
      <c r="M34" t="s">
        <v>87</v>
      </c>
      <c r="N34" t="s">
        <v>48</v>
      </c>
      <c r="O34" t="s">
        <v>70</v>
      </c>
      <c r="P34" t="s">
        <v>49</v>
      </c>
      <c r="Q34" t="s">
        <v>135</v>
      </c>
      <c r="R34">
        <v>211</v>
      </c>
      <c r="S34">
        <v>113</v>
      </c>
      <c r="T34">
        <v>80</v>
      </c>
      <c r="U34">
        <v>24</v>
      </c>
      <c r="V34" t="s">
        <v>6442</v>
      </c>
      <c r="W34">
        <v>52706</v>
      </c>
      <c r="X34" t="s">
        <v>1347</v>
      </c>
      <c r="Y34">
        <v>39635</v>
      </c>
      <c r="Z34">
        <v>1264944</v>
      </c>
      <c r="AA34">
        <v>313704</v>
      </c>
      <c r="AB34" t="str">
        <f>(VLOOKUP(SalesData[[#This Row],[Month Number]],Reference!C$5:E$16,2,FALSE))</f>
        <v>Feb</v>
      </c>
      <c r="AC34">
        <f>MONTH(SalesData[[#This Row],[Date]])</f>
        <v>2</v>
      </c>
      <c r="AD34">
        <f>Reference!F$4</f>
        <v>2026</v>
      </c>
      <c r="AE34" t="str">
        <f>IF(OR(SalesData[[#This Row],[Day]]="Saturday",SalesData[[#This Row],[Day]]="Sunday"),"Weekend","Weekday")</f>
        <v>Weekday</v>
      </c>
      <c r="AF34" s="5">
        <f>IF(SalesData[[#This Row],[Contracts Offered]]=0,0,SalesData[[#This Row],[Contracts Signed]]/SalesData[[#This Row],[Contracts Offered]])</f>
        <v>0.3</v>
      </c>
      <c r="AG34" s="5">
        <f>IF(SalesData[[#This Row],[Customers Visited]]=0,0,SalesData[[#This Row],[Test Drives]]/SalesData[[#This Row],[Customers Visited]])</f>
        <v>0.53554502369668244</v>
      </c>
      <c r="AH34" s="5">
        <f>IF(SalesData[[#This Row],[Customers Visited]]=0,0,SalesData[[#This Row],[Contracts Signed]]/SalesData[[#This Row],[Customers Visited]])</f>
        <v>0.11374407582938388</v>
      </c>
      <c r="AI34" s="6">
        <f>IF(SalesData[[#This Row],[Contracts Signed]]=0,0,SalesData[[#This Row],[Profit(€)]]/SalesData[[#This Row],[Contracts Signed]])</f>
        <v>13071</v>
      </c>
      <c r="AJ34" s="5" t="str">
        <f>TRIM(CLEAN(SalesData[[#This Row],[Retailer]]))</f>
        <v>Elbe Drive</v>
      </c>
    </row>
    <row r="35" spans="1:36" ht="14.25" hidden="1" x14ac:dyDescent="0.2">
      <c r="A35" t="s">
        <v>181</v>
      </c>
      <c r="B35" s="1">
        <v>46059</v>
      </c>
      <c r="C35" t="s">
        <v>24</v>
      </c>
      <c r="D35" t="s">
        <v>54</v>
      </c>
      <c r="E35" t="s">
        <v>26</v>
      </c>
      <c r="F35" t="s">
        <v>7649</v>
      </c>
      <c r="G35" t="s">
        <v>55</v>
      </c>
      <c r="H35" t="s">
        <v>55</v>
      </c>
      <c r="I35" t="s">
        <v>116</v>
      </c>
      <c r="J35" t="s">
        <v>203</v>
      </c>
      <c r="K35" t="s">
        <v>32</v>
      </c>
      <c r="L35" t="s">
        <v>67</v>
      </c>
      <c r="M35" t="s">
        <v>47</v>
      </c>
      <c r="N35" t="s">
        <v>48</v>
      </c>
      <c r="O35" t="s">
        <v>70</v>
      </c>
      <c r="P35" t="s">
        <v>58</v>
      </c>
      <c r="Q35" t="s">
        <v>172</v>
      </c>
      <c r="R35">
        <v>403</v>
      </c>
      <c r="S35">
        <v>212</v>
      </c>
      <c r="T35">
        <v>131</v>
      </c>
      <c r="U35">
        <v>42</v>
      </c>
      <c r="V35" t="s">
        <v>7046</v>
      </c>
      <c r="W35">
        <v>23112</v>
      </c>
      <c r="X35" t="s">
        <v>3831</v>
      </c>
      <c r="Y35">
        <v>20726</v>
      </c>
      <c r="Z35">
        <v>970704</v>
      </c>
      <c r="AA35">
        <v>100212</v>
      </c>
      <c r="AB35" t="str">
        <f>(VLOOKUP(SalesData[[#This Row],[Month Number]],Reference!C$5:E$16,2,FALSE))</f>
        <v>Feb</v>
      </c>
      <c r="AC35">
        <f>MONTH(SalesData[[#This Row],[Date]])</f>
        <v>2</v>
      </c>
      <c r="AD35">
        <f>Reference!F$4</f>
        <v>2026</v>
      </c>
      <c r="AE35" t="str">
        <f>IF(OR(SalesData[[#This Row],[Day]]="Saturday",SalesData[[#This Row],[Day]]="Sunday"),"Weekend","Weekday")</f>
        <v>Weekday</v>
      </c>
      <c r="AF35" s="5">
        <f>IF(SalesData[[#This Row],[Contracts Offered]]=0,0,SalesData[[#This Row],[Contracts Signed]]/SalesData[[#This Row],[Contracts Offered]])</f>
        <v>0.32061068702290074</v>
      </c>
      <c r="AG35" s="5">
        <f>IF(SalesData[[#This Row],[Customers Visited]]=0,0,SalesData[[#This Row],[Test Drives]]/SalesData[[#This Row],[Customers Visited]])</f>
        <v>0.52605459057071957</v>
      </c>
      <c r="AH35" s="5">
        <f>IF(SalesData[[#This Row],[Customers Visited]]=0,0,SalesData[[#This Row],[Contracts Signed]]/SalesData[[#This Row],[Customers Visited]])</f>
        <v>0.10421836228287841</v>
      </c>
      <c r="AI35" s="6">
        <f>IF(SalesData[[#This Row],[Contracts Signed]]=0,0,SalesData[[#This Row],[Profit(€)]]/SalesData[[#This Row],[Contracts Signed]])</f>
        <v>2386</v>
      </c>
      <c r="AJ35" s="5" t="str">
        <f>TRIM(CLEAN(SalesData[[#This Row],[Retailer]]))</f>
        <v>Autohaus Berlin</v>
      </c>
    </row>
    <row r="36" spans="1:36" ht="14.25" hidden="1" x14ac:dyDescent="0.2">
      <c r="A36" t="s">
        <v>183</v>
      </c>
      <c r="B36" s="1">
        <v>46060</v>
      </c>
      <c r="C36" t="s">
        <v>24</v>
      </c>
      <c r="D36" t="s">
        <v>151</v>
      </c>
      <c r="E36" t="s">
        <v>42</v>
      </c>
      <c r="F36" t="s">
        <v>127</v>
      </c>
      <c r="G36" t="s">
        <v>128</v>
      </c>
      <c r="H36" t="s">
        <v>103</v>
      </c>
      <c r="I36" t="s">
        <v>104</v>
      </c>
      <c r="J36" t="s">
        <v>143</v>
      </c>
      <c r="K36" t="s">
        <v>91</v>
      </c>
      <c r="L36" t="s">
        <v>67</v>
      </c>
      <c r="M36" t="s">
        <v>87</v>
      </c>
      <c r="N36" t="s">
        <v>69</v>
      </c>
      <c r="O36" t="s">
        <v>70</v>
      </c>
      <c r="P36" t="s">
        <v>37</v>
      </c>
      <c r="Q36" t="s">
        <v>106</v>
      </c>
      <c r="R36">
        <v>310</v>
      </c>
      <c r="S36">
        <v>178</v>
      </c>
      <c r="T36">
        <v>104</v>
      </c>
      <c r="U36">
        <v>25</v>
      </c>
      <c r="V36" t="s">
        <v>687</v>
      </c>
      <c r="W36">
        <v>32278</v>
      </c>
      <c r="X36" t="s">
        <v>7047</v>
      </c>
      <c r="Y36">
        <v>28834</v>
      </c>
      <c r="Z36">
        <v>806950</v>
      </c>
      <c r="AA36">
        <v>86100</v>
      </c>
      <c r="AB36" t="str">
        <f>(VLOOKUP(SalesData[[#This Row],[Month Number]],Reference!C$5:E$16,2,FALSE))</f>
        <v>Feb</v>
      </c>
      <c r="AC36">
        <f>MONTH(SalesData[[#This Row],[Date]])</f>
        <v>2</v>
      </c>
      <c r="AD36">
        <f>Reference!F$4</f>
        <v>2026</v>
      </c>
      <c r="AE36" t="str">
        <f>IF(OR(SalesData[[#This Row],[Day]]="Saturday",SalesData[[#This Row],[Day]]="Sunday"),"Weekend","Weekday")</f>
        <v>Weekend</v>
      </c>
      <c r="AF36" s="5">
        <f>IF(SalesData[[#This Row],[Contracts Offered]]=0,0,SalesData[[#This Row],[Contracts Signed]]/SalesData[[#This Row],[Contracts Offered]])</f>
        <v>0.24038461538461539</v>
      </c>
      <c r="AG36" s="5">
        <f>IF(SalesData[[#This Row],[Customers Visited]]=0,0,SalesData[[#This Row],[Test Drives]]/SalesData[[#This Row],[Customers Visited]])</f>
        <v>0.5741935483870968</v>
      </c>
      <c r="AH36" s="5">
        <f>IF(SalesData[[#This Row],[Customers Visited]]=0,0,SalesData[[#This Row],[Contracts Signed]]/SalesData[[#This Row],[Customers Visited]])</f>
        <v>8.0645161290322578E-2</v>
      </c>
      <c r="AI36" s="6">
        <f>IF(SalesData[[#This Row],[Contracts Signed]]=0,0,SalesData[[#This Row],[Profit(€)]]/SalesData[[#This Row],[Contracts Signed]])</f>
        <v>3444</v>
      </c>
      <c r="AJ36" s="5" t="str">
        <f>TRIM(CLEAN(SalesData[[#This Row],[Retailer]]))</f>
        <v>Rhein Auto Group</v>
      </c>
    </row>
    <row r="37" spans="1:36" ht="14.25" hidden="1" x14ac:dyDescent="0.2">
      <c r="A37" t="s">
        <v>185</v>
      </c>
      <c r="B37" s="1">
        <v>46059</v>
      </c>
      <c r="C37" t="s">
        <v>24</v>
      </c>
      <c r="D37" t="s">
        <v>54</v>
      </c>
      <c r="E37" t="s">
        <v>26</v>
      </c>
      <c r="F37" t="s">
        <v>43</v>
      </c>
      <c r="G37" t="s">
        <v>44</v>
      </c>
      <c r="H37" t="s">
        <v>45</v>
      </c>
      <c r="I37" t="s">
        <v>104</v>
      </c>
      <c r="J37" t="s">
        <v>143</v>
      </c>
      <c r="K37" t="s">
        <v>32</v>
      </c>
      <c r="L37" t="s">
        <v>67</v>
      </c>
      <c r="M37" t="s">
        <v>87</v>
      </c>
      <c r="N37" t="s">
        <v>69</v>
      </c>
      <c r="O37" t="s">
        <v>70</v>
      </c>
      <c r="P37" t="s">
        <v>37</v>
      </c>
      <c r="Q37" t="s">
        <v>172</v>
      </c>
      <c r="R37">
        <v>414</v>
      </c>
      <c r="S37">
        <v>192</v>
      </c>
      <c r="T37">
        <v>122</v>
      </c>
      <c r="U37">
        <v>24</v>
      </c>
      <c r="V37" t="s">
        <v>265</v>
      </c>
      <c r="W37">
        <v>30888</v>
      </c>
      <c r="X37" t="s">
        <v>7048</v>
      </c>
      <c r="Y37">
        <v>27284</v>
      </c>
      <c r="Z37">
        <v>741312</v>
      </c>
      <c r="AA37">
        <v>86496</v>
      </c>
      <c r="AB37" t="str">
        <f>(VLOOKUP(SalesData[[#This Row],[Month Number]],Reference!C$5:E$16,2,FALSE))</f>
        <v>Feb</v>
      </c>
      <c r="AC37">
        <f>MONTH(SalesData[[#This Row],[Date]])</f>
        <v>2</v>
      </c>
      <c r="AD37">
        <f>Reference!F$4</f>
        <v>2026</v>
      </c>
      <c r="AE37" t="str">
        <f>IF(OR(SalesData[[#This Row],[Day]]="Saturday",SalesData[[#This Row],[Day]]="Sunday"),"Weekend","Weekday")</f>
        <v>Weekday</v>
      </c>
      <c r="AF37" s="5">
        <f>IF(SalesData[[#This Row],[Contracts Offered]]=0,0,SalesData[[#This Row],[Contracts Signed]]/SalesData[[#This Row],[Contracts Offered]])</f>
        <v>0.19672131147540983</v>
      </c>
      <c r="AG37" s="5">
        <f>IF(SalesData[[#This Row],[Customers Visited]]=0,0,SalesData[[#This Row],[Test Drives]]/SalesData[[#This Row],[Customers Visited]])</f>
        <v>0.46376811594202899</v>
      </c>
      <c r="AH37" s="5">
        <f>IF(SalesData[[#This Row],[Customers Visited]]=0,0,SalesData[[#This Row],[Contracts Signed]]/SalesData[[#This Row],[Customers Visited]])</f>
        <v>5.7971014492753624E-2</v>
      </c>
      <c r="AI37" s="6">
        <f>IF(SalesData[[#This Row],[Contracts Signed]]=0,0,SalesData[[#This Row],[Profit(€)]]/SalesData[[#This Row],[Contracts Signed]])</f>
        <v>3604</v>
      </c>
      <c r="AJ37" s="5" t="str">
        <f>TRIM(CLEAN(SalesData[[#This Row],[Retailer]]))</f>
        <v>Saxon Wheels</v>
      </c>
    </row>
    <row r="38" spans="1:36" ht="14.25" x14ac:dyDescent="0.2">
      <c r="A38" t="s">
        <v>187</v>
      </c>
      <c r="B38" s="1">
        <v>46081</v>
      </c>
      <c r="C38" t="s">
        <v>53</v>
      </c>
      <c r="D38" t="s">
        <v>151</v>
      </c>
      <c r="E38" t="s">
        <v>42</v>
      </c>
      <c r="F38" t="s">
        <v>109</v>
      </c>
      <c r="G38" t="s">
        <v>110</v>
      </c>
      <c r="H38" t="s">
        <v>45</v>
      </c>
      <c r="I38" t="s">
        <v>30</v>
      </c>
      <c r="J38" t="s">
        <v>86</v>
      </c>
      <c r="K38" t="s">
        <v>78</v>
      </c>
      <c r="L38" t="s">
        <v>33</v>
      </c>
      <c r="M38" t="s">
        <v>87</v>
      </c>
      <c r="N38" t="s">
        <v>35</v>
      </c>
      <c r="O38" t="s">
        <v>70</v>
      </c>
      <c r="P38" t="s">
        <v>58</v>
      </c>
      <c r="Q38" t="s">
        <v>118</v>
      </c>
      <c r="R38">
        <v>235</v>
      </c>
      <c r="S38">
        <v>117</v>
      </c>
      <c r="T38">
        <v>91</v>
      </c>
      <c r="U38">
        <v>33</v>
      </c>
      <c r="V38" t="s">
        <v>6501</v>
      </c>
      <c r="W38">
        <v>58045</v>
      </c>
      <c r="X38" t="s">
        <v>585</v>
      </c>
      <c r="Y38">
        <v>41729</v>
      </c>
      <c r="Z38">
        <v>1915485</v>
      </c>
      <c r="AA38">
        <v>538428</v>
      </c>
      <c r="AB38" t="str">
        <f>(VLOOKUP(SalesData[[#This Row],[Month Number]],Reference!C$5:E$16,2,FALSE))</f>
        <v>Feb</v>
      </c>
      <c r="AC38">
        <f>MONTH(SalesData[[#This Row],[Date]])</f>
        <v>2</v>
      </c>
      <c r="AD38">
        <f>Reference!F$4</f>
        <v>2026</v>
      </c>
      <c r="AE38" t="str">
        <f>IF(OR(SalesData[[#This Row],[Day]]="Saturday",SalesData[[#This Row],[Day]]="Sunday"),"Weekend","Weekday")</f>
        <v>Weekend</v>
      </c>
      <c r="AF38" s="5">
        <f>IF(SalesData[[#This Row],[Contracts Offered]]=0,0,SalesData[[#This Row],[Contracts Signed]]/SalesData[[#This Row],[Contracts Offered]])</f>
        <v>0.36263736263736263</v>
      </c>
      <c r="AG38" s="5">
        <f>IF(SalesData[[#This Row],[Customers Visited]]=0,0,SalesData[[#This Row],[Test Drives]]/SalesData[[#This Row],[Customers Visited]])</f>
        <v>0.49787234042553191</v>
      </c>
      <c r="AH38" s="5">
        <f>IF(SalesData[[#This Row],[Customers Visited]]=0,0,SalesData[[#This Row],[Contracts Signed]]/SalesData[[#This Row],[Customers Visited]])</f>
        <v>0.14042553191489363</v>
      </c>
      <c r="AI38" s="6">
        <f>IF(SalesData[[#This Row],[Contracts Signed]]=0,0,SalesData[[#This Row],[Profit(€)]]/SalesData[[#This Row],[Contracts Signed]])</f>
        <v>16316</v>
      </c>
      <c r="AJ38" s="5" t="str">
        <f>TRIM(CLEAN(SalesData[[#This Row],[Retailer]]))</f>
        <v>Leipzig Mobility</v>
      </c>
    </row>
    <row r="39" spans="1:36" ht="14.25" hidden="1" x14ac:dyDescent="0.2">
      <c r="A39" t="s">
        <v>191</v>
      </c>
      <c r="B39" s="1">
        <v>46072</v>
      </c>
      <c r="C39" t="s">
        <v>62</v>
      </c>
      <c r="D39" t="s">
        <v>100</v>
      </c>
      <c r="E39" t="s">
        <v>26</v>
      </c>
      <c r="F39" t="s">
        <v>74</v>
      </c>
      <c r="G39" t="s">
        <v>75</v>
      </c>
      <c r="H39" t="s">
        <v>76</v>
      </c>
      <c r="I39" t="s">
        <v>64</v>
      </c>
      <c r="J39" t="s">
        <v>157</v>
      </c>
      <c r="K39" t="s">
        <v>32</v>
      </c>
      <c r="L39" t="s">
        <v>33</v>
      </c>
      <c r="M39" t="s">
        <v>68</v>
      </c>
      <c r="N39" t="s">
        <v>69</v>
      </c>
      <c r="O39" t="s">
        <v>70</v>
      </c>
      <c r="P39" t="s">
        <v>58</v>
      </c>
      <c r="Q39" t="s">
        <v>59</v>
      </c>
      <c r="R39">
        <v>252</v>
      </c>
      <c r="S39">
        <v>137</v>
      </c>
      <c r="T39">
        <v>107</v>
      </c>
      <c r="U39">
        <v>42</v>
      </c>
      <c r="V39" t="s">
        <v>7049</v>
      </c>
      <c r="W39">
        <v>70597</v>
      </c>
      <c r="X39" t="s">
        <v>7050</v>
      </c>
      <c r="Y39">
        <v>52531</v>
      </c>
      <c r="Z39">
        <v>2965074</v>
      </c>
      <c r="AA39">
        <v>758772</v>
      </c>
      <c r="AB39" t="str">
        <f>(VLOOKUP(SalesData[[#This Row],[Month Number]],Reference!C$5:E$16,2,FALSE))</f>
        <v>Feb</v>
      </c>
      <c r="AC39">
        <f>MONTH(SalesData[[#This Row],[Date]])</f>
        <v>2</v>
      </c>
      <c r="AD39">
        <f>Reference!F$4</f>
        <v>2026</v>
      </c>
      <c r="AE39" t="str">
        <f>IF(OR(SalesData[[#This Row],[Day]]="Saturday",SalesData[[#This Row],[Day]]="Sunday"),"Weekend","Weekday")</f>
        <v>Weekday</v>
      </c>
      <c r="AF39" s="5">
        <f>IF(SalesData[[#This Row],[Contracts Offered]]=0,0,SalesData[[#This Row],[Contracts Signed]]/SalesData[[#This Row],[Contracts Offered]])</f>
        <v>0.3925233644859813</v>
      </c>
      <c r="AG39" s="5">
        <f>IF(SalesData[[#This Row],[Customers Visited]]=0,0,SalesData[[#This Row],[Test Drives]]/SalesData[[#This Row],[Customers Visited]])</f>
        <v>0.54365079365079361</v>
      </c>
      <c r="AH39" s="5">
        <f>IF(SalesData[[#This Row],[Customers Visited]]=0,0,SalesData[[#This Row],[Contracts Signed]]/SalesData[[#This Row],[Customers Visited]])</f>
        <v>0.16666666666666666</v>
      </c>
      <c r="AI39" s="6">
        <f>IF(SalesData[[#This Row],[Contracts Signed]]=0,0,SalesData[[#This Row],[Profit(€)]]/SalesData[[#This Row],[Contracts Signed]])</f>
        <v>18066</v>
      </c>
      <c r="AJ39" s="5" t="str">
        <f>TRIM(CLEAN(SalesData[[#This Row],[Retailer]]))</f>
        <v>Stuttgart Auto Center</v>
      </c>
    </row>
    <row r="40" spans="1:36" ht="14.25" x14ac:dyDescent="0.2">
      <c r="A40" t="s">
        <v>193</v>
      </c>
      <c r="B40" s="1">
        <v>46058</v>
      </c>
      <c r="C40" t="s">
        <v>24</v>
      </c>
      <c r="D40" t="s">
        <v>100</v>
      </c>
      <c r="E40" t="s">
        <v>26</v>
      </c>
      <c r="F40" t="s">
        <v>109</v>
      </c>
      <c r="G40" t="s">
        <v>110</v>
      </c>
      <c r="H40" t="s">
        <v>45</v>
      </c>
      <c r="I40" t="s">
        <v>30</v>
      </c>
      <c r="J40" t="s">
        <v>31</v>
      </c>
      <c r="K40" t="s">
        <v>78</v>
      </c>
      <c r="L40" t="s">
        <v>46</v>
      </c>
      <c r="M40" t="s">
        <v>47</v>
      </c>
      <c r="N40" t="s">
        <v>35</v>
      </c>
      <c r="O40" t="s">
        <v>36</v>
      </c>
      <c r="P40" t="s">
        <v>58</v>
      </c>
      <c r="Q40" t="s">
        <v>189</v>
      </c>
      <c r="R40">
        <v>226</v>
      </c>
      <c r="S40">
        <v>127</v>
      </c>
      <c r="T40">
        <v>89</v>
      </c>
      <c r="U40">
        <v>36</v>
      </c>
      <c r="V40" t="s">
        <v>7051</v>
      </c>
      <c r="W40">
        <v>51171</v>
      </c>
      <c r="X40" t="s">
        <v>1520</v>
      </c>
      <c r="Y40">
        <v>37002</v>
      </c>
      <c r="Z40">
        <v>1842156</v>
      </c>
      <c r="AA40">
        <v>510084</v>
      </c>
      <c r="AB40" t="str">
        <f>(VLOOKUP(SalesData[[#This Row],[Month Number]],Reference!C$5:E$16,2,FALSE))</f>
        <v>Feb</v>
      </c>
      <c r="AC40">
        <f>MONTH(SalesData[[#This Row],[Date]])</f>
        <v>2</v>
      </c>
      <c r="AD40">
        <f>Reference!F$4</f>
        <v>2026</v>
      </c>
      <c r="AE40" t="str">
        <f>IF(OR(SalesData[[#This Row],[Day]]="Saturday",SalesData[[#This Row],[Day]]="Sunday"),"Weekend","Weekday")</f>
        <v>Weekday</v>
      </c>
      <c r="AF40" s="5">
        <f>IF(SalesData[[#This Row],[Contracts Offered]]=0,0,SalesData[[#This Row],[Contracts Signed]]/SalesData[[#This Row],[Contracts Offered]])</f>
        <v>0.4044943820224719</v>
      </c>
      <c r="AG40" s="5">
        <f>IF(SalesData[[#This Row],[Customers Visited]]=0,0,SalesData[[#This Row],[Test Drives]]/SalesData[[#This Row],[Customers Visited]])</f>
        <v>0.56194690265486724</v>
      </c>
      <c r="AH40" s="5">
        <f>IF(SalesData[[#This Row],[Customers Visited]]=0,0,SalesData[[#This Row],[Contracts Signed]]/SalesData[[#This Row],[Customers Visited]])</f>
        <v>0.15929203539823009</v>
      </c>
      <c r="AI40" s="6">
        <f>IF(SalesData[[#This Row],[Contracts Signed]]=0,0,SalesData[[#This Row],[Profit(€)]]/SalesData[[#This Row],[Contracts Signed]])</f>
        <v>14169</v>
      </c>
      <c r="AJ40" s="5" t="str">
        <f>TRIM(CLEAN(SalesData[[#This Row],[Retailer]]))</f>
        <v>Leipzig Mobility</v>
      </c>
    </row>
    <row r="41" spans="1:36" ht="14.25" x14ac:dyDescent="0.2">
      <c r="A41" t="s">
        <v>195</v>
      </c>
      <c r="B41" s="1">
        <v>46058</v>
      </c>
      <c r="C41" t="s">
        <v>24</v>
      </c>
      <c r="D41" t="s">
        <v>100</v>
      </c>
      <c r="E41" t="s">
        <v>26</v>
      </c>
      <c r="F41" t="s">
        <v>74</v>
      </c>
      <c r="G41" t="s">
        <v>75</v>
      </c>
      <c r="H41" t="s">
        <v>76</v>
      </c>
      <c r="I41" t="s">
        <v>30</v>
      </c>
      <c r="J41" t="s">
        <v>188</v>
      </c>
      <c r="K41" t="s">
        <v>78</v>
      </c>
      <c r="L41" t="s">
        <v>33</v>
      </c>
      <c r="M41" t="s">
        <v>34</v>
      </c>
      <c r="N41" t="s">
        <v>48</v>
      </c>
      <c r="O41" t="s">
        <v>36</v>
      </c>
      <c r="P41" t="s">
        <v>37</v>
      </c>
      <c r="Q41" t="s">
        <v>347</v>
      </c>
      <c r="R41">
        <v>203</v>
      </c>
      <c r="S41">
        <v>108</v>
      </c>
      <c r="T41">
        <v>83</v>
      </c>
      <c r="U41">
        <v>32</v>
      </c>
      <c r="V41" t="s">
        <v>7052</v>
      </c>
      <c r="W41">
        <v>65205</v>
      </c>
      <c r="X41" t="s">
        <v>2023</v>
      </c>
      <c r="Y41">
        <v>50833</v>
      </c>
      <c r="Z41">
        <v>2086560</v>
      </c>
      <c r="AA41">
        <v>459904</v>
      </c>
      <c r="AB41" t="str">
        <f>(VLOOKUP(SalesData[[#This Row],[Month Number]],Reference!C$5:E$16,2,FALSE))</f>
        <v>Feb</v>
      </c>
      <c r="AC41">
        <f>MONTH(SalesData[[#This Row],[Date]])</f>
        <v>2</v>
      </c>
      <c r="AD41">
        <f>Reference!F$4</f>
        <v>2026</v>
      </c>
      <c r="AE41" t="str">
        <f>IF(OR(SalesData[[#This Row],[Day]]="Saturday",SalesData[[#This Row],[Day]]="Sunday"),"Weekend","Weekday")</f>
        <v>Weekday</v>
      </c>
      <c r="AF41" s="5">
        <f>IF(SalesData[[#This Row],[Contracts Offered]]=0,0,SalesData[[#This Row],[Contracts Signed]]/SalesData[[#This Row],[Contracts Offered]])</f>
        <v>0.38554216867469882</v>
      </c>
      <c r="AG41" s="5">
        <f>IF(SalesData[[#This Row],[Customers Visited]]=0,0,SalesData[[#This Row],[Test Drives]]/SalesData[[#This Row],[Customers Visited]])</f>
        <v>0.53201970443349755</v>
      </c>
      <c r="AH41" s="5">
        <f>IF(SalesData[[#This Row],[Customers Visited]]=0,0,SalesData[[#This Row],[Contracts Signed]]/SalesData[[#This Row],[Customers Visited]])</f>
        <v>0.15763546798029557</v>
      </c>
      <c r="AI41" s="6">
        <f>IF(SalesData[[#This Row],[Contracts Signed]]=0,0,SalesData[[#This Row],[Profit(€)]]/SalesData[[#This Row],[Contracts Signed]])</f>
        <v>14372</v>
      </c>
      <c r="AJ41" s="5" t="str">
        <f>TRIM(CLEAN(SalesData[[#This Row],[Retailer]]))</f>
        <v>Stuttgart Auto Center</v>
      </c>
    </row>
    <row r="42" spans="1:36" ht="14.25" hidden="1" x14ac:dyDescent="0.2">
      <c r="A42" t="s">
        <v>197</v>
      </c>
      <c r="B42" s="1">
        <v>46058</v>
      </c>
      <c r="C42" t="s">
        <v>24</v>
      </c>
      <c r="D42" t="s">
        <v>100</v>
      </c>
      <c r="E42" t="s">
        <v>26</v>
      </c>
      <c r="F42" t="s">
        <v>27</v>
      </c>
      <c r="G42" t="s">
        <v>28</v>
      </c>
      <c r="H42" t="s">
        <v>29</v>
      </c>
      <c r="I42" t="s">
        <v>56</v>
      </c>
      <c r="J42" t="s">
        <v>7028</v>
      </c>
      <c r="K42" t="s">
        <v>66</v>
      </c>
      <c r="L42" t="s">
        <v>46</v>
      </c>
      <c r="M42" t="s">
        <v>34</v>
      </c>
      <c r="N42" t="s">
        <v>69</v>
      </c>
      <c r="O42" t="s">
        <v>36</v>
      </c>
      <c r="P42" t="s">
        <v>58</v>
      </c>
      <c r="Q42" t="s">
        <v>79</v>
      </c>
      <c r="R42">
        <v>241</v>
      </c>
      <c r="S42">
        <v>112</v>
      </c>
      <c r="T42">
        <v>78</v>
      </c>
      <c r="U42">
        <v>28</v>
      </c>
      <c r="V42" t="s">
        <v>6403</v>
      </c>
      <c r="W42">
        <v>40439</v>
      </c>
      <c r="X42" t="s">
        <v>3061</v>
      </c>
      <c r="Y42">
        <v>31905</v>
      </c>
      <c r="Z42">
        <v>1132292</v>
      </c>
      <c r="AA42">
        <v>238952</v>
      </c>
      <c r="AB42" t="str">
        <f>(VLOOKUP(SalesData[[#This Row],[Month Number]],Reference!C$5:E$16,2,FALSE))</f>
        <v>Feb</v>
      </c>
      <c r="AC42">
        <f>MONTH(SalesData[[#This Row],[Date]])</f>
        <v>2</v>
      </c>
      <c r="AD42">
        <f>Reference!F$4</f>
        <v>2026</v>
      </c>
      <c r="AE42" t="str">
        <f>IF(OR(SalesData[[#This Row],[Day]]="Saturday",SalesData[[#This Row],[Day]]="Sunday"),"Weekend","Weekday")</f>
        <v>Weekday</v>
      </c>
      <c r="AF42" s="5">
        <f>IF(SalesData[[#This Row],[Contracts Offered]]=0,0,SalesData[[#This Row],[Contracts Signed]]/SalesData[[#This Row],[Contracts Offered]])</f>
        <v>0.35897435897435898</v>
      </c>
      <c r="AG42" s="5">
        <f>IF(SalesData[[#This Row],[Customers Visited]]=0,0,SalesData[[#This Row],[Test Drives]]/SalesData[[#This Row],[Customers Visited]])</f>
        <v>0.46473029045643155</v>
      </c>
      <c r="AH42" s="5">
        <f>IF(SalesData[[#This Row],[Customers Visited]]=0,0,SalesData[[#This Row],[Contracts Signed]]/SalesData[[#This Row],[Customers Visited]])</f>
        <v>0.11618257261410789</v>
      </c>
      <c r="AI42" s="6">
        <f>IF(SalesData[[#This Row],[Contracts Signed]]=0,0,SalesData[[#This Row],[Profit(€)]]/SalesData[[#This Row],[Contracts Signed]])</f>
        <v>8534</v>
      </c>
      <c r="AJ42" s="5" t="str">
        <f>TRIM(CLEAN(SalesData[[#This Row],[Retailer]]))</f>
        <v>Main Auto Hub</v>
      </c>
    </row>
    <row r="43" spans="1:36" ht="14.25" x14ac:dyDescent="0.2">
      <c r="A43" t="s">
        <v>198</v>
      </c>
      <c r="B43" s="1">
        <v>46054</v>
      </c>
      <c r="C43" t="s">
        <v>24</v>
      </c>
      <c r="D43" t="s">
        <v>41</v>
      </c>
      <c r="E43" t="s">
        <v>42</v>
      </c>
      <c r="F43" t="s">
        <v>127</v>
      </c>
      <c r="G43" t="s">
        <v>128</v>
      </c>
      <c r="H43" t="s">
        <v>103</v>
      </c>
      <c r="I43" t="s">
        <v>30</v>
      </c>
      <c r="J43" t="s">
        <v>166</v>
      </c>
      <c r="K43" t="s">
        <v>91</v>
      </c>
      <c r="L43" t="s">
        <v>46</v>
      </c>
      <c r="M43" t="s">
        <v>68</v>
      </c>
      <c r="N43" t="s">
        <v>69</v>
      </c>
      <c r="O43" t="s">
        <v>36</v>
      </c>
      <c r="P43" t="s">
        <v>49</v>
      </c>
      <c r="Q43" t="s">
        <v>129</v>
      </c>
      <c r="R43">
        <v>148</v>
      </c>
      <c r="S43">
        <v>71</v>
      </c>
      <c r="T43">
        <v>54</v>
      </c>
      <c r="U43">
        <v>18</v>
      </c>
      <c r="V43" t="s">
        <v>6368</v>
      </c>
      <c r="W43">
        <v>64865</v>
      </c>
      <c r="X43" t="s">
        <v>7053</v>
      </c>
      <c r="Y43">
        <v>46247</v>
      </c>
      <c r="Z43">
        <v>1167570</v>
      </c>
      <c r="AA43">
        <v>335124</v>
      </c>
      <c r="AB43" t="str">
        <f>(VLOOKUP(SalesData[[#This Row],[Month Number]],Reference!C$5:E$16,2,FALSE))</f>
        <v>Feb</v>
      </c>
      <c r="AC43">
        <f>MONTH(SalesData[[#This Row],[Date]])</f>
        <v>2</v>
      </c>
      <c r="AD43">
        <f>Reference!F$4</f>
        <v>2026</v>
      </c>
      <c r="AE43" t="str">
        <f>IF(OR(SalesData[[#This Row],[Day]]="Saturday",SalesData[[#This Row],[Day]]="Sunday"),"Weekend","Weekday")</f>
        <v>Weekend</v>
      </c>
      <c r="AF43" s="5">
        <f>IF(SalesData[[#This Row],[Contracts Offered]]=0,0,SalesData[[#This Row],[Contracts Signed]]/SalesData[[#This Row],[Contracts Offered]])</f>
        <v>0.33333333333333331</v>
      </c>
      <c r="AG43" s="5">
        <f>IF(SalesData[[#This Row],[Customers Visited]]=0,0,SalesData[[#This Row],[Test Drives]]/SalesData[[#This Row],[Customers Visited]])</f>
        <v>0.47972972972972971</v>
      </c>
      <c r="AH43" s="5">
        <f>IF(SalesData[[#This Row],[Customers Visited]]=0,0,SalesData[[#This Row],[Contracts Signed]]/SalesData[[#This Row],[Customers Visited]])</f>
        <v>0.12162162162162163</v>
      </c>
      <c r="AI43" s="6">
        <f>IF(SalesData[[#This Row],[Contracts Signed]]=0,0,SalesData[[#This Row],[Profit(€)]]/SalesData[[#This Row],[Contracts Signed]])</f>
        <v>18618</v>
      </c>
      <c r="AJ43" s="5" t="str">
        <f>TRIM(CLEAN(SalesData[[#This Row],[Retailer]]))</f>
        <v>Rhein Auto Group</v>
      </c>
    </row>
    <row r="44" spans="1:36" ht="14.25" hidden="1" x14ac:dyDescent="0.2">
      <c r="A44" t="s">
        <v>200</v>
      </c>
      <c r="B44" s="1">
        <v>46065</v>
      </c>
      <c r="C44" t="s">
        <v>121</v>
      </c>
      <c r="D44" t="s">
        <v>100</v>
      </c>
      <c r="E44" t="s">
        <v>26</v>
      </c>
      <c r="F44" t="s">
        <v>94</v>
      </c>
      <c r="G44" t="s">
        <v>95</v>
      </c>
      <c r="H44" t="s">
        <v>96</v>
      </c>
      <c r="I44" t="s">
        <v>56</v>
      </c>
      <c r="J44" t="s">
        <v>57</v>
      </c>
      <c r="K44" t="s">
        <v>91</v>
      </c>
      <c r="L44" t="s">
        <v>46</v>
      </c>
      <c r="M44" t="s">
        <v>87</v>
      </c>
      <c r="N44" t="s">
        <v>35</v>
      </c>
      <c r="O44" t="s">
        <v>70</v>
      </c>
      <c r="P44" t="s">
        <v>71</v>
      </c>
      <c r="Q44" t="s">
        <v>158</v>
      </c>
      <c r="R44">
        <v>302</v>
      </c>
      <c r="S44">
        <v>145</v>
      </c>
      <c r="T44">
        <v>103</v>
      </c>
      <c r="U44">
        <v>37</v>
      </c>
      <c r="V44" t="s">
        <v>6524</v>
      </c>
      <c r="W44">
        <v>48083</v>
      </c>
      <c r="X44" t="s">
        <v>1403</v>
      </c>
      <c r="Y44">
        <v>37058</v>
      </c>
      <c r="Z44">
        <v>1779071</v>
      </c>
      <c r="AA44">
        <v>407925</v>
      </c>
      <c r="AB44" t="str">
        <f>(VLOOKUP(SalesData[[#This Row],[Month Number]],Reference!C$5:E$16,2,FALSE))</f>
        <v>Feb</v>
      </c>
      <c r="AC44">
        <f>MONTH(SalesData[[#This Row],[Date]])</f>
        <v>2</v>
      </c>
      <c r="AD44">
        <f>Reference!F$4</f>
        <v>2026</v>
      </c>
      <c r="AE44" t="str">
        <f>IF(OR(SalesData[[#This Row],[Day]]="Saturday",SalesData[[#This Row],[Day]]="Sunday"),"Weekend","Weekday")</f>
        <v>Weekday</v>
      </c>
      <c r="AF44" s="5">
        <f>IF(SalesData[[#This Row],[Contracts Offered]]=0,0,SalesData[[#This Row],[Contracts Signed]]/SalesData[[#This Row],[Contracts Offered]])</f>
        <v>0.35922330097087379</v>
      </c>
      <c r="AG44" s="5">
        <f>IF(SalesData[[#This Row],[Customers Visited]]=0,0,SalesData[[#This Row],[Test Drives]]/SalesData[[#This Row],[Customers Visited]])</f>
        <v>0.48013245033112584</v>
      </c>
      <c r="AH44" s="5">
        <f>IF(SalesData[[#This Row],[Customers Visited]]=0,0,SalesData[[#This Row],[Contracts Signed]]/SalesData[[#This Row],[Customers Visited]])</f>
        <v>0.12251655629139073</v>
      </c>
      <c r="AI44" s="6">
        <f>IF(SalesData[[#This Row],[Contracts Signed]]=0,0,SalesData[[#This Row],[Profit(€)]]/SalesData[[#This Row],[Contracts Signed]])</f>
        <v>11025</v>
      </c>
      <c r="AJ44" s="5" t="str">
        <f>TRIM(CLEAN(SalesData[[#This Row],[Retailer]]))</f>
        <v>Bavaria Motors</v>
      </c>
    </row>
    <row r="45" spans="1:36" ht="14.25" hidden="1" x14ac:dyDescent="0.2">
      <c r="A45" t="s">
        <v>202</v>
      </c>
      <c r="B45" s="1">
        <v>46056</v>
      </c>
      <c r="C45" t="s">
        <v>24</v>
      </c>
      <c r="D45" t="s">
        <v>63</v>
      </c>
      <c r="E45" t="s">
        <v>26</v>
      </c>
      <c r="F45" t="s">
        <v>114</v>
      </c>
      <c r="G45" t="s">
        <v>115</v>
      </c>
      <c r="H45" t="s">
        <v>115</v>
      </c>
      <c r="I45" t="s">
        <v>64</v>
      </c>
      <c r="J45" t="s">
        <v>111</v>
      </c>
      <c r="K45" t="s">
        <v>78</v>
      </c>
      <c r="L45" t="s">
        <v>46</v>
      </c>
      <c r="M45" t="s">
        <v>68</v>
      </c>
      <c r="N45" t="s">
        <v>48</v>
      </c>
      <c r="O45" t="s">
        <v>36</v>
      </c>
      <c r="P45" t="s">
        <v>58</v>
      </c>
      <c r="Q45" t="s">
        <v>158</v>
      </c>
      <c r="R45">
        <v>246</v>
      </c>
      <c r="S45">
        <v>111</v>
      </c>
      <c r="T45">
        <v>81</v>
      </c>
      <c r="U45">
        <v>32</v>
      </c>
      <c r="V45" t="s">
        <v>6893</v>
      </c>
      <c r="W45">
        <v>56651</v>
      </c>
      <c r="X45" t="s">
        <v>7054</v>
      </c>
      <c r="Y45">
        <v>41616</v>
      </c>
      <c r="Z45">
        <v>1812832</v>
      </c>
      <c r="AA45">
        <v>481120</v>
      </c>
      <c r="AB45" t="str">
        <f>(VLOOKUP(SalesData[[#This Row],[Month Number]],Reference!C$5:E$16,2,FALSE))</f>
        <v>Feb</v>
      </c>
      <c r="AC45">
        <f>MONTH(SalesData[[#This Row],[Date]])</f>
        <v>2</v>
      </c>
      <c r="AD45">
        <f>Reference!F$4</f>
        <v>2026</v>
      </c>
      <c r="AE45" t="str">
        <f>IF(OR(SalesData[[#This Row],[Day]]="Saturday",SalesData[[#This Row],[Day]]="Sunday"),"Weekend","Weekday")</f>
        <v>Weekday</v>
      </c>
      <c r="AF45" s="5">
        <f>IF(SalesData[[#This Row],[Contracts Offered]]=0,0,SalesData[[#This Row],[Contracts Signed]]/SalesData[[#This Row],[Contracts Offered]])</f>
        <v>0.39506172839506171</v>
      </c>
      <c r="AG45" s="5">
        <f>IF(SalesData[[#This Row],[Customers Visited]]=0,0,SalesData[[#This Row],[Test Drives]]/SalesData[[#This Row],[Customers Visited]])</f>
        <v>0.45121951219512196</v>
      </c>
      <c r="AH45" s="5">
        <f>IF(SalesData[[#This Row],[Customers Visited]]=0,0,SalesData[[#This Row],[Contracts Signed]]/SalesData[[#This Row],[Customers Visited]])</f>
        <v>0.13008130081300814</v>
      </c>
      <c r="AI45" s="6">
        <f>IF(SalesData[[#This Row],[Contracts Signed]]=0,0,SalesData[[#This Row],[Profit(€)]]/SalesData[[#This Row],[Contracts Signed]])</f>
        <v>15035</v>
      </c>
      <c r="AJ45" s="5" t="str">
        <f>TRIM(CLEAN(SalesData[[#This Row],[Retailer]]))</f>
        <v>Elbe Drive</v>
      </c>
    </row>
    <row r="46" spans="1:36" ht="14.25" hidden="1" x14ac:dyDescent="0.2">
      <c r="A46" t="s">
        <v>206</v>
      </c>
      <c r="B46" s="1">
        <v>46065</v>
      </c>
      <c r="C46" t="s">
        <v>121</v>
      </c>
      <c r="D46" t="s">
        <v>100</v>
      </c>
      <c r="E46" t="s">
        <v>26</v>
      </c>
      <c r="F46" t="s">
        <v>94</v>
      </c>
      <c r="G46" t="s">
        <v>95</v>
      </c>
      <c r="H46" t="s">
        <v>96</v>
      </c>
      <c r="I46" t="s">
        <v>64</v>
      </c>
      <c r="J46" t="s">
        <v>65</v>
      </c>
      <c r="K46" t="s">
        <v>32</v>
      </c>
      <c r="L46" t="s">
        <v>33</v>
      </c>
      <c r="M46" t="s">
        <v>47</v>
      </c>
      <c r="N46" t="s">
        <v>48</v>
      </c>
      <c r="O46" t="s">
        <v>36</v>
      </c>
      <c r="P46" t="s">
        <v>58</v>
      </c>
      <c r="Q46" t="s">
        <v>122</v>
      </c>
      <c r="R46">
        <v>155</v>
      </c>
      <c r="S46">
        <v>78</v>
      </c>
      <c r="T46">
        <v>52</v>
      </c>
      <c r="U46">
        <v>23</v>
      </c>
      <c r="V46" t="s">
        <v>6963</v>
      </c>
      <c r="W46">
        <v>66179</v>
      </c>
      <c r="X46" t="s">
        <v>7055</v>
      </c>
      <c r="Y46">
        <v>47870</v>
      </c>
      <c r="Z46">
        <v>1522117</v>
      </c>
      <c r="AA46">
        <v>421107</v>
      </c>
      <c r="AB46" t="str">
        <f>(VLOOKUP(SalesData[[#This Row],[Month Number]],Reference!C$5:E$16,2,FALSE))</f>
        <v>Feb</v>
      </c>
      <c r="AC46">
        <f>MONTH(SalesData[[#This Row],[Date]])</f>
        <v>2</v>
      </c>
      <c r="AD46">
        <f>Reference!F$4</f>
        <v>2026</v>
      </c>
      <c r="AE46" t="str">
        <f>IF(OR(SalesData[[#This Row],[Day]]="Saturday",SalesData[[#This Row],[Day]]="Sunday"),"Weekend","Weekday")</f>
        <v>Weekday</v>
      </c>
      <c r="AF46" s="5">
        <f>IF(SalesData[[#This Row],[Contracts Offered]]=0,0,SalesData[[#This Row],[Contracts Signed]]/SalesData[[#This Row],[Contracts Offered]])</f>
        <v>0.44230769230769229</v>
      </c>
      <c r="AG46" s="5">
        <f>IF(SalesData[[#This Row],[Customers Visited]]=0,0,SalesData[[#This Row],[Test Drives]]/SalesData[[#This Row],[Customers Visited]])</f>
        <v>0.50322580645161286</v>
      </c>
      <c r="AH46" s="5">
        <f>IF(SalesData[[#This Row],[Customers Visited]]=0,0,SalesData[[#This Row],[Contracts Signed]]/SalesData[[#This Row],[Customers Visited]])</f>
        <v>0.14838709677419354</v>
      </c>
      <c r="AI46" s="6">
        <f>IF(SalesData[[#This Row],[Contracts Signed]]=0,0,SalesData[[#This Row],[Profit(€)]]/SalesData[[#This Row],[Contracts Signed]])</f>
        <v>18309</v>
      </c>
      <c r="AJ46" s="5" t="str">
        <f>TRIM(CLEAN(SalesData[[#This Row],[Retailer]]))</f>
        <v>Bavaria Motors</v>
      </c>
    </row>
    <row r="47" spans="1:36" ht="14.25" hidden="1" x14ac:dyDescent="0.2">
      <c r="A47" t="s">
        <v>208</v>
      </c>
      <c r="B47" s="1">
        <v>46077</v>
      </c>
      <c r="C47" t="s">
        <v>53</v>
      </c>
      <c r="D47" t="s">
        <v>63</v>
      </c>
      <c r="E47" t="s">
        <v>26</v>
      </c>
      <c r="F47" t="s">
        <v>74</v>
      </c>
      <c r="G47" t="s">
        <v>75</v>
      </c>
      <c r="H47" t="s">
        <v>76</v>
      </c>
      <c r="I47" t="s">
        <v>56</v>
      </c>
      <c r="J47" t="s">
        <v>57</v>
      </c>
      <c r="K47" t="s">
        <v>32</v>
      </c>
      <c r="L47" t="s">
        <v>46</v>
      </c>
      <c r="M47" t="s">
        <v>68</v>
      </c>
      <c r="N47" t="s">
        <v>48</v>
      </c>
      <c r="O47" t="s">
        <v>70</v>
      </c>
      <c r="P47" t="s">
        <v>71</v>
      </c>
      <c r="Q47" t="s">
        <v>118</v>
      </c>
      <c r="R47">
        <v>273</v>
      </c>
      <c r="S47">
        <v>144</v>
      </c>
      <c r="T47">
        <v>98</v>
      </c>
      <c r="U47">
        <v>37</v>
      </c>
      <c r="V47" t="s">
        <v>6593</v>
      </c>
      <c r="W47">
        <v>52880</v>
      </c>
      <c r="X47" t="s">
        <v>7056</v>
      </c>
      <c r="Y47">
        <v>40760</v>
      </c>
      <c r="Z47">
        <v>1956560</v>
      </c>
      <c r="AA47">
        <v>448440</v>
      </c>
      <c r="AB47" t="str">
        <f>(VLOOKUP(SalesData[[#This Row],[Month Number]],Reference!C$5:E$16,2,FALSE))</f>
        <v>Feb</v>
      </c>
      <c r="AC47">
        <f>MONTH(SalesData[[#This Row],[Date]])</f>
        <v>2</v>
      </c>
      <c r="AD47">
        <f>Reference!F$4</f>
        <v>2026</v>
      </c>
      <c r="AE47" t="str">
        <f>IF(OR(SalesData[[#This Row],[Day]]="Saturday",SalesData[[#This Row],[Day]]="Sunday"),"Weekend","Weekday")</f>
        <v>Weekday</v>
      </c>
      <c r="AF47" s="5">
        <f>IF(SalesData[[#This Row],[Contracts Offered]]=0,0,SalesData[[#This Row],[Contracts Signed]]/SalesData[[#This Row],[Contracts Offered]])</f>
        <v>0.37755102040816324</v>
      </c>
      <c r="AG47" s="5">
        <f>IF(SalesData[[#This Row],[Customers Visited]]=0,0,SalesData[[#This Row],[Test Drives]]/SalesData[[#This Row],[Customers Visited]])</f>
        <v>0.52747252747252749</v>
      </c>
      <c r="AH47" s="5">
        <f>IF(SalesData[[#This Row],[Customers Visited]]=0,0,SalesData[[#This Row],[Contracts Signed]]/SalesData[[#This Row],[Customers Visited]])</f>
        <v>0.13553113553113552</v>
      </c>
      <c r="AI47" s="6">
        <f>IF(SalesData[[#This Row],[Contracts Signed]]=0,0,SalesData[[#This Row],[Profit(€)]]/SalesData[[#This Row],[Contracts Signed]])</f>
        <v>12120</v>
      </c>
      <c r="AJ47" s="5" t="str">
        <f>TRIM(CLEAN(SalesData[[#This Row],[Retailer]]))</f>
        <v>Stuttgart Auto Center</v>
      </c>
    </row>
    <row r="48" spans="1:36" ht="14.25" hidden="1" x14ac:dyDescent="0.2">
      <c r="A48" t="s">
        <v>210</v>
      </c>
      <c r="B48" s="1">
        <v>46058</v>
      </c>
      <c r="C48" t="s">
        <v>24</v>
      </c>
      <c r="D48" t="s">
        <v>100</v>
      </c>
      <c r="E48" t="s">
        <v>26</v>
      </c>
      <c r="F48" t="s">
        <v>74</v>
      </c>
      <c r="G48" t="s">
        <v>75</v>
      </c>
      <c r="H48" t="s">
        <v>76</v>
      </c>
      <c r="I48" t="s">
        <v>116</v>
      </c>
      <c r="J48" t="s">
        <v>7026</v>
      </c>
      <c r="K48" t="s">
        <v>91</v>
      </c>
      <c r="L48" t="s">
        <v>46</v>
      </c>
      <c r="M48" t="s">
        <v>34</v>
      </c>
      <c r="N48" t="s">
        <v>48</v>
      </c>
      <c r="O48" t="s">
        <v>70</v>
      </c>
      <c r="P48" t="s">
        <v>58</v>
      </c>
      <c r="Q48" t="s">
        <v>152</v>
      </c>
      <c r="R48">
        <v>273</v>
      </c>
      <c r="S48">
        <v>119</v>
      </c>
      <c r="T48">
        <v>78</v>
      </c>
      <c r="U48">
        <v>23</v>
      </c>
      <c r="V48" t="s">
        <v>5576</v>
      </c>
      <c r="W48">
        <v>26292</v>
      </c>
      <c r="X48" t="s">
        <v>896</v>
      </c>
      <c r="Y48">
        <v>23635</v>
      </c>
      <c r="Z48">
        <v>604716</v>
      </c>
      <c r="AA48">
        <v>61111</v>
      </c>
      <c r="AB48" t="str">
        <f>(VLOOKUP(SalesData[[#This Row],[Month Number]],Reference!C$5:E$16,2,FALSE))</f>
        <v>Feb</v>
      </c>
      <c r="AC48">
        <f>MONTH(SalesData[[#This Row],[Date]])</f>
        <v>2</v>
      </c>
      <c r="AD48">
        <f>Reference!F$4</f>
        <v>2026</v>
      </c>
      <c r="AE48" t="str">
        <f>IF(OR(SalesData[[#This Row],[Day]]="Saturday",SalesData[[#This Row],[Day]]="Sunday"),"Weekend","Weekday")</f>
        <v>Weekday</v>
      </c>
      <c r="AF48" s="5">
        <f>IF(SalesData[[#This Row],[Contracts Offered]]=0,0,SalesData[[#This Row],[Contracts Signed]]/SalesData[[#This Row],[Contracts Offered]])</f>
        <v>0.29487179487179488</v>
      </c>
      <c r="AG48" s="5">
        <f>IF(SalesData[[#This Row],[Customers Visited]]=0,0,SalesData[[#This Row],[Test Drives]]/SalesData[[#This Row],[Customers Visited]])</f>
        <v>0.4358974358974359</v>
      </c>
      <c r="AH48" s="5">
        <f>IF(SalesData[[#This Row],[Customers Visited]]=0,0,SalesData[[#This Row],[Contracts Signed]]/SalesData[[#This Row],[Customers Visited]])</f>
        <v>8.4249084249084255E-2</v>
      </c>
      <c r="AI48" s="6">
        <f>IF(SalesData[[#This Row],[Contracts Signed]]=0,0,SalesData[[#This Row],[Profit(€)]]/SalesData[[#This Row],[Contracts Signed]])</f>
        <v>2657</v>
      </c>
      <c r="AJ48" s="5" t="str">
        <f>TRIM(CLEAN(SalesData[[#This Row],[Retailer]]))</f>
        <v>Stuttgart Auto Center</v>
      </c>
    </row>
    <row r="49" spans="1:36" ht="14.25" hidden="1" x14ac:dyDescent="0.2">
      <c r="A49" t="s">
        <v>212</v>
      </c>
      <c r="B49" s="1">
        <v>46060</v>
      </c>
      <c r="C49" t="s">
        <v>24</v>
      </c>
      <c r="D49" t="s">
        <v>151</v>
      </c>
      <c r="E49" t="s">
        <v>42</v>
      </c>
      <c r="F49" t="s">
        <v>83</v>
      </c>
      <c r="G49" t="s">
        <v>84</v>
      </c>
      <c r="H49" t="s">
        <v>85</v>
      </c>
      <c r="I49" t="s">
        <v>104</v>
      </c>
      <c r="J49" t="s">
        <v>140</v>
      </c>
      <c r="K49" t="s">
        <v>66</v>
      </c>
      <c r="L49" t="s">
        <v>46</v>
      </c>
      <c r="M49" t="s">
        <v>47</v>
      </c>
      <c r="N49" t="s">
        <v>35</v>
      </c>
      <c r="O49" t="s">
        <v>36</v>
      </c>
      <c r="P49" t="s">
        <v>58</v>
      </c>
      <c r="Q49" t="s">
        <v>135</v>
      </c>
      <c r="R49">
        <v>300</v>
      </c>
      <c r="S49">
        <v>155</v>
      </c>
      <c r="T49">
        <v>108</v>
      </c>
      <c r="U49">
        <v>32</v>
      </c>
      <c r="V49" t="s">
        <v>6937</v>
      </c>
      <c r="W49">
        <v>30515</v>
      </c>
      <c r="X49" t="s">
        <v>7057</v>
      </c>
      <c r="Y49">
        <v>26908</v>
      </c>
      <c r="Z49">
        <v>976480</v>
      </c>
      <c r="AA49">
        <v>115424</v>
      </c>
      <c r="AB49" t="str">
        <f>(VLOOKUP(SalesData[[#This Row],[Month Number]],Reference!C$5:E$16,2,FALSE))</f>
        <v>Feb</v>
      </c>
      <c r="AC49">
        <f>MONTH(SalesData[[#This Row],[Date]])</f>
        <v>2</v>
      </c>
      <c r="AD49">
        <f>Reference!F$4</f>
        <v>2026</v>
      </c>
      <c r="AE49" t="str">
        <f>IF(OR(SalesData[[#This Row],[Day]]="Saturday",SalesData[[#This Row],[Day]]="Sunday"),"Weekend","Weekday")</f>
        <v>Weekend</v>
      </c>
      <c r="AF49" s="5">
        <f>IF(SalesData[[#This Row],[Contracts Offered]]=0,0,SalesData[[#This Row],[Contracts Signed]]/SalesData[[#This Row],[Contracts Offered]])</f>
        <v>0.29629629629629628</v>
      </c>
      <c r="AG49" s="5">
        <f>IF(SalesData[[#This Row],[Customers Visited]]=0,0,SalesData[[#This Row],[Test Drives]]/SalesData[[#This Row],[Customers Visited]])</f>
        <v>0.51666666666666672</v>
      </c>
      <c r="AH49" s="5">
        <f>IF(SalesData[[#This Row],[Customers Visited]]=0,0,SalesData[[#This Row],[Contracts Signed]]/SalesData[[#This Row],[Customers Visited]])</f>
        <v>0.10666666666666667</v>
      </c>
      <c r="AI49" s="6">
        <f>IF(SalesData[[#This Row],[Contracts Signed]]=0,0,SalesData[[#This Row],[Profit(€)]]/SalesData[[#This Row],[Contracts Signed]])</f>
        <v>3607</v>
      </c>
      <c r="AJ49" s="5" t="str">
        <f>TRIM(CLEAN(SalesData[[#This Row],[Retailer]]))</f>
        <v>Hannover Cars</v>
      </c>
    </row>
    <row r="50" spans="1:36" ht="14.25" hidden="1" x14ac:dyDescent="0.2">
      <c r="A50" t="s">
        <v>213</v>
      </c>
      <c r="B50" s="1">
        <v>46070</v>
      </c>
      <c r="C50" t="s">
        <v>62</v>
      </c>
      <c r="D50" t="s">
        <v>63</v>
      </c>
      <c r="E50" t="s">
        <v>26</v>
      </c>
      <c r="F50" t="s">
        <v>94</v>
      </c>
      <c r="G50" t="s">
        <v>95</v>
      </c>
      <c r="H50" t="s">
        <v>96</v>
      </c>
      <c r="I50" t="s">
        <v>64</v>
      </c>
      <c r="J50" t="s">
        <v>65</v>
      </c>
      <c r="K50" t="s">
        <v>78</v>
      </c>
      <c r="L50" t="s">
        <v>33</v>
      </c>
      <c r="M50" t="s">
        <v>47</v>
      </c>
      <c r="N50" t="s">
        <v>48</v>
      </c>
      <c r="O50" t="s">
        <v>36</v>
      </c>
      <c r="P50" t="s">
        <v>49</v>
      </c>
      <c r="Q50" t="s">
        <v>240</v>
      </c>
      <c r="R50">
        <v>205</v>
      </c>
      <c r="S50">
        <v>115</v>
      </c>
      <c r="T50">
        <v>78</v>
      </c>
      <c r="U50">
        <v>30</v>
      </c>
      <c r="V50" t="s">
        <v>6360</v>
      </c>
      <c r="W50">
        <v>72109</v>
      </c>
      <c r="X50" t="s">
        <v>7058</v>
      </c>
      <c r="Y50">
        <v>52717</v>
      </c>
      <c r="Z50">
        <v>2163270</v>
      </c>
      <c r="AA50">
        <v>581760</v>
      </c>
      <c r="AB50" t="str">
        <f>(VLOOKUP(SalesData[[#This Row],[Month Number]],Reference!C$5:E$16,2,FALSE))</f>
        <v>Feb</v>
      </c>
      <c r="AC50">
        <f>MONTH(SalesData[[#This Row],[Date]])</f>
        <v>2</v>
      </c>
      <c r="AD50">
        <f>Reference!F$4</f>
        <v>2026</v>
      </c>
      <c r="AE50" t="str">
        <f>IF(OR(SalesData[[#This Row],[Day]]="Saturday",SalesData[[#This Row],[Day]]="Sunday"),"Weekend","Weekday")</f>
        <v>Weekday</v>
      </c>
      <c r="AF50" s="5">
        <f>IF(SalesData[[#This Row],[Contracts Offered]]=0,0,SalesData[[#This Row],[Contracts Signed]]/SalesData[[#This Row],[Contracts Offered]])</f>
        <v>0.38461538461538464</v>
      </c>
      <c r="AG50" s="5">
        <f>IF(SalesData[[#This Row],[Customers Visited]]=0,0,SalesData[[#This Row],[Test Drives]]/SalesData[[#This Row],[Customers Visited]])</f>
        <v>0.56097560975609762</v>
      </c>
      <c r="AH50" s="5">
        <f>IF(SalesData[[#This Row],[Customers Visited]]=0,0,SalesData[[#This Row],[Contracts Signed]]/SalesData[[#This Row],[Customers Visited]])</f>
        <v>0.14634146341463414</v>
      </c>
      <c r="AI50" s="6">
        <f>IF(SalesData[[#This Row],[Contracts Signed]]=0,0,SalesData[[#This Row],[Profit(€)]]/SalesData[[#This Row],[Contracts Signed]])</f>
        <v>19392</v>
      </c>
      <c r="AJ50" s="5" t="str">
        <f>TRIM(CLEAN(SalesData[[#This Row],[Retailer]]))</f>
        <v>Bavaria Motors</v>
      </c>
    </row>
    <row r="51" spans="1:36" ht="14.25" hidden="1" x14ac:dyDescent="0.2">
      <c r="A51" t="s">
        <v>215</v>
      </c>
      <c r="B51" s="1">
        <v>46056</v>
      </c>
      <c r="C51" t="s">
        <v>24</v>
      </c>
      <c r="D51" t="s">
        <v>63</v>
      </c>
      <c r="E51" t="s">
        <v>26</v>
      </c>
      <c r="F51" t="s">
        <v>101</v>
      </c>
      <c r="G51" t="s">
        <v>102</v>
      </c>
      <c r="H51" t="s">
        <v>103</v>
      </c>
      <c r="I51" t="s">
        <v>104</v>
      </c>
      <c r="J51" t="s">
        <v>7031</v>
      </c>
      <c r="K51" t="s">
        <v>32</v>
      </c>
      <c r="L51" t="s">
        <v>46</v>
      </c>
      <c r="M51" t="s">
        <v>68</v>
      </c>
      <c r="N51" t="s">
        <v>35</v>
      </c>
      <c r="O51" t="s">
        <v>70</v>
      </c>
      <c r="P51" t="s">
        <v>37</v>
      </c>
      <c r="Q51" t="s">
        <v>59</v>
      </c>
      <c r="R51">
        <v>325</v>
      </c>
      <c r="S51">
        <v>138</v>
      </c>
      <c r="T51">
        <v>98</v>
      </c>
      <c r="U51">
        <v>17</v>
      </c>
      <c r="V51" t="s">
        <v>3337</v>
      </c>
      <c r="W51">
        <v>28406</v>
      </c>
      <c r="X51" t="s">
        <v>2958</v>
      </c>
      <c r="Y51">
        <v>25468</v>
      </c>
      <c r="Z51">
        <v>482902</v>
      </c>
      <c r="AA51">
        <v>49946</v>
      </c>
      <c r="AB51" t="str">
        <f>(VLOOKUP(SalesData[[#This Row],[Month Number]],Reference!C$5:E$16,2,FALSE))</f>
        <v>Feb</v>
      </c>
      <c r="AC51">
        <f>MONTH(SalesData[[#This Row],[Date]])</f>
        <v>2</v>
      </c>
      <c r="AD51">
        <f>Reference!F$4</f>
        <v>2026</v>
      </c>
      <c r="AE51" t="str">
        <f>IF(OR(SalesData[[#This Row],[Day]]="Saturday",SalesData[[#This Row],[Day]]="Sunday"),"Weekend","Weekday")</f>
        <v>Weekday</v>
      </c>
      <c r="AF51" s="5">
        <f>IF(SalesData[[#This Row],[Contracts Offered]]=0,0,SalesData[[#This Row],[Contracts Signed]]/SalesData[[#This Row],[Contracts Offered]])</f>
        <v>0.17346938775510204</v>
      </c>
      <c r="AG51" s="5">
        <f>IF(SalesData[[#This Row],[Customers Visited]]=0,0,SalesData[[#This Row],[Test Drives]]/SalesData[[#This Row],[Customers Visited]])</f>
        <v>0.42461538461538462</v>
      </c>
      <c r="AH51" s="5">
        <f>IF(SalesData[[#This Row],[Customers Visited]]=0,0,SalesData[[#This Row],[Contracts Signed]]/SalesData[[#This Row],[Customers Visited]])</f>
        <v>5.2307692307692305E-2</v>
      </c>
      <c r="AI51" s="6">
        <f>IF(SalesData[[#This Row],[Contracts Signed]]=0,0,SalesData[[#This Row],[Profit(€)]]/SalesData[[#This Row],[Contracts Signed]])</f>
        <v>2938</v>
      </c>
      <c r="AJ51" s="5" t="str">
        <f>TRIM(CLEAN(SalesData[[#This Row],[Retailer]]))</f>
        <v>Ruhr Auto Plaza</v>
      </c>
    </row>
    <row r="52" spans="1:36" ht="14.25" hidden="1" x14ac:dyDescent="0.2">
      <c r="A52" t="s">
        <v>217</v>
      </c>
      <c r="B52" s="1">
        <v>46061</v>
      </c>
      <c r="C52" t="s">
        <v>121</v>
      </c>
      <c r="D52" t="s">
        <v>41</v>
      </c>
      <c r="E52" t="s">
        <v>42</v>
      </c>
      <c r="F52" t="s">
        <v>101</v>
      </c>
      <c r="G52" t="s">
        <v>102</v>
      </c>
      <c r="H52" t="s">
        <v>103</v>
      </c>
      <c r="I52" t="s">
        <v>64</v>
      </c>
      <c r="J52" t="s">
        <v>111</v>
      </c>
      <c r="K52" t="s">
        <v>78</v>
      </c>
      <c r="L52" t="s">
        <v>46</v>
      </c>
      <c r="M52" t="s">
        <v>87</v>
      </c>
      <c r="N52" t="s">
        <v>35</v>
      </c>
      <c r="O52" t="s">
        <v>70</v>
      </c>
      <c r="P52" t="s">
        <v>58</v>
      </c>
      <c r="Q52" t="s">
        <v>118</v>
      </c>
      <c r="R52">
        <v>191</v>
      </c>
      <c r="S52">
        <v>88</v>
      </c>
      <c r="T52">
        <v>62</v>
      </c>
      <c r="U52">
        <v>23</v>
      </c>
      <c r="V52" t="s">
        <v>6775</v>
      </c>
      <c r="W52">
        <v>55394</v>
      </c>
      <c r="X52" t="s">
        <v>7059</v>
      </c>
      <c r="Y52">
        <v>43316</v>
      </c>
      <c r="Z52">
        <v>1274062</v>
      </c>
      <c r="AA52">
        <v>277794</v>
      </c>
      <c r="AB52" t="str">
        <f>(VLOOKUP(SalesData[[#This Row],[Month Number]],Reference!C$5:E$16,2,FALSE))</f>
        <v>Feb</v>
      </c>
      <c r="AC52">
        <f>MONTH(SalesData[[#This Row],[Date]])</f>
        <v>2</v>
      </c>
      <c r="AD52">
        <f>Reference!F$4</f>
        <v>2026</v>
      </c>
      <c r="AE52" t="str">
        <f>IF(OR(SalesData[[#This Row],[Day]]="Saturday",SalesData[[#This Row],[Day]]="Sunday"),"Weekend","Weekday")</f>
        <v>Weekend</v>
      </c>
      <c r="AF52" s="5">
        <f>IF(SalesData[[#This Row],[Contracts Offered]]=0,0,SalesData[[#This Row],[Contracts Signed]]/SalesData[[#This Row],[Contracts Offered]])</f>
        <v>0.37096774193548387</v>
      </c>
      <c r="AG52" s="5">
        <f>IF(SalesData[[#This Row],[Customers Visited]]=0,0,SalesData[[#This Row],[Test Drives]]/SalesData[[#This Row],[Customers Visited]])</f>
        <v>0.4607329842931937</v>
      </c>
      <c r="AH52" s="5">
        <f>IF(SalesData[[#This Row],[Customers Visited]]=0,0,SalesData[[#This Row],[Contracts Signed]]/SalesData[[#This Row],[Customers Visited]])</f>
        <v>0.12041884816753927</v>
      </c>
      <c r="AI52" s="6">
        <f>IF(SalesData[[#This Row],[Contracts Signed]]=0,0,SalesData[[#This Row],[Profit(€)]]/SalesData[[#This Row],[Contracts Signed]])</f>
        <v>12078</v>
      </c>
      <c r="AJ52" s="5" t="str">
        <f>TRIM(CLEAN(SalesData[[#This Row],[Retailer]]))</f>
        <v>Ruhr Auto Plaza</v>
      </c>
    </row>
    <row r="53" spans="1:36" ht="14.25" hidden="1" x14ac:dyDescent="0.2">
      <c r="A53" t="s">
        <v>219</v>
      </c>
      <c r="B53" s="1">
        <v>46055</v>
      </c>
      <c r="C53" t="s">
        <v>24</v>
      </c>
      <c r="D53" t="s">
        <v>25</v>
      </c>
      <c r="E53" t="s">
        <v>26</v>
      </c>
      <c r="F53" t="s">
        <v>74</v>
      </c>
      <c r="G53" t="s">
        <v>75</v>
      </c>
      <c r="H53" t="s">
        <v>76</v>
      </c>
      <c r="I53" t="s">
        <v>64</v>
      </c>
      <c r="J53" t="s">
        <v>65</v>
      </c>
      <c r="K53" t="s">
        <v>78</v>
      </c>
      <c r="L53" t="s">
        <v>33</v>
      </c>
      <c r="M53" t="s">
        <v>47</v>
      </c>
      <c r="N53" t="s">
        <v>35</v>
      </c>
      <c r="O53" t="s">
        <v>70</v>
      </c>
      <c r="P53" t="s">
        <v>71</v>
      </c>
      <c r="Q53" t="s">
        <v>347</v>
      </c>
      <c r="R53">
        <v>279</v>
      </c>
      <c r="S53">
        <v>125</v>
      </c>
      <c r="T53">
        <v>93</v>
      </c>
      <c r="U53">
        <v>33</v>
      </c>
      <c r="V53" t="s">
        <v>6480</v>
      </c>
      <c r="W53">
        <v>61934</v>
      </c>
      <c r="X53" t="s">
        <v>51</v>
      </c>
      <c r="Y53">
        <v>47751</v>
      </c>
      <c r="Z53">
        <v>2043822</v>
      </c>
      <c r="AA53">
        <v>468039</v>
      </c>
      <c r="AB53" t="str">
        <f>(VLOOKUP(SalesData[[#This Row],[Month Number]],Reference!C$5:E$16,2,FALSE))</f>
        <v>Feb</v>
      </c>
      <c r="AC53">
        <f>MONTH(SalesData[[#This Row],[Date]])</f>
        <v>2</v>
      </c>
      <c r="AD53">
        <f>Reference!F$4</f>
        <v>2026</v>
      </c>
      <c r="AE53" t="str">
        <f>IF(OR(SalesData[[#This Row],[Day]]="Saturday",SalesData[[#This Row],[Day]]="Sunday"),"Weekend","Weekday")</f>
        <v>Weekday</v>
      </c>
      <c r="AF53" s="5">
        <f>IF(SalesData[[#This Row],[Contracts Offered]]=0,0,SalesData[[#This Row],[Contracts Signed]]/SalesData[[#This Row],[Contracts Offered]])</f>
        <v>0.35483870967741937</v>
      </c>
      <c r="AG53" s="5">
        <f>IF(SalesData[[#This Row],[Customers Visited]]=0,0,SalesData[[#This Row],[Test Drives]]/SalesData[[#This Row],[Customers Visited]])</f>
        <v>0.44802867383512546</v>
      </c>
      <c r="AH53" s="5">
        <f>IF(SalesData[[#This Row],[Customers Visited]]=0,0,SalesData[[#This Row],[Contracts Signed]]/SalesData[[#This Row],[Customers Visited]])</f>
        <v>0.11827956989247312</v>
      </c>
      <c r="AI53" s="6">
        <f>IF(SalesData[[#This Row],[Contracts Signed]]=0,0,SalesData[[#This Row],[Profit(€)]]/SalesData[[#This Row],[Contracts Signed]])</f>
        <v>14183</v>
      </c>
      <c r="AJ53" s="5" t="str">
        <f>TRIM(CLEAN(SalesData[[#This Row],[Retailer]]))</f>
        <v>Stuttgart Auto Center</v>
      </c>
    </row>
    <row r="54" spans="1:36" ht="14.25" hidden="1" x14ac:dyDescent="0.2">
      <c r="A54" t="s">
        <v>221</v>
      </c>
      <c r="B54" s="1">
        <v>46063</v>
      </c>
      <c r="C54" t="s">
        <v>121</v>
      </c>
      <c r="D54" t="s">
        <v>63</v>
      </c>
      <c r="E54" t="s">
        <v>26</v>
      </c>
      <c r="F54" t="s">
        <v>94</v>
      </c>
      <c r="G54" t="s">
        <v>95</v>
      </c>
      <c r="H54" t="s">
        <v>96</v>
      </c>
      <c r="I54" t="s">
        <v>104</v>
      </c>
      <c r="J54" t="s">
        <v>105</v>
      </c>
      <c r="K54" t="s">
        <v>91</v>
      </c>
      <c r="L54" t="s">
        <v>33</v>
      </c>
      <c r="M54" t="s">
        <v>47</v>
      </c>
      <c r="N54" t="s">
        <v>69</v>
      </c>
      <c r="O54" t="s">
        <v>36</v>
      </c>
      <c r="P54" t="s">
        <v>49</v>
      </c>
      <c r="Q54" t="s">
        <v>169</v>
      </c>
      <c r="R54">
        <v>481</v>
      </c>
      <c r="S54">
        <v>255</v>
      </c>
      <c r="T54">
        <v>153</v>
      </c>
      <c r="U54">
        <v>44</v>
      </c>
      <c r="V54" t="s">
        <v>7060</v>
      </c>
      <c r="W54">
        <v>28856</v>
      </c>
      <c r="X54" t="s">
        <v>506</v>
      </c>
      <c r="Y54">
        <v>25186</v>
      </c>
      <c r="Z54">
        <v>1269664</v>
      </c>
      <c r="AA54">
        <v>161480</v>
      </c>
      <c r="AB54" t="str">
        <f>(VLOOKUP(SalesData[[#This Row],[Month Number]],Reference!C$5:E$16,2,FALSE))</f>
        <v>Feb</v>
      </c>
      <c r="AC54">
        <f>MONTH(SalesData[[#This Row],[Date]])</f>
        <v>2</v>
      </c>
      <c r="AD54">
        <f>Reference!F$4</f>
        <v>2026</v>
      </c>
      <c r="AE54" t="str">
        <f>IF(OR(SalesData[[#This Row],[Day]]="Saturday",SalesData[[#This Row],[Day]]="Sunday"),"Weekend","Weekday")</f>
        <v>Weekday</v>
      </c>
      <c r="AF54" s="5">
        <f>IF(SalesData[[#This Row],[Contracts Offered]]=0,0,SalesData[[#This Row],[Contracts Signed]]/SalesData[[#This Row],[Contracts Offered]])</f>
        <v>0.28758169934640521</v>
      </c>
      <c r="AG54" s="5">
        <f>IF(SalesData[[#This Row],[Customers Visited]]=0,0,SalesData[[#This Row],[Test Drives]]/SalesData[[#This Row],[Customers Visited]])</f>
        <v>0.53014553014553012</v>
      </c>
      <c r="AH54" s="5">
        <f>IF(SalesData[[#This Row],[Customers Visited]]=0,0,SalesData[[#This Row],[Contracts Signed]]/SalesData[[#This Row],[Customers Visited]])</f>
        <v>9.1476091476091481E-2</v>
      </c>
      <c r="AI54" s="6">
        <f>IF(SalesData[[#This Row],[Contracts Signed]]=0,0,SalesData[[#This Row],[Profit(€)]]/SalesData[[#This Row],[Contracts Signed]])</f>
        <v>3670</v>
      </c>
      <c r="AJ54" s="5" t="str">
        <f>TRIM(CLEAN(SalesData[[#This Row],[Retailer]]))</f>
        <v>Bavaria Motors</v>
      </c>
    </row>
    <row r="55" spans="1:36" ht="14.25" hidden="1" x14ac:dyDescent="0.2">
      <c r="A55" t="s">
        <v>223</v>
      </c>
      <c r="B55" s="1">
        <v>46079</v>
      </c>
      <c r="C55" t="s">
        <v>53</v>
      </c>
      <c r="D55" t="s">
        <v>100</v>
      </c>
      <c r="E55" t="s">
        <v>26</v>
      </c>
      <c r="F55" t="s">
        <v>83</v>
      </c>
      <c r="G55" t="s">
        <v>84</v>
      </c>
      <c r="H55" t="s">
        <v>85</v>
      </c>
      <c r="I55" t="s">
        <v>116</v>
      </c>
      <c r="J55" t="s">
        <v>203</v>
      </c>
      <c r="K55" t="s">
        <v>78</v>
      </c>
      <c r="L55" t="s">
        <v>67</v>
      </c>
      <c r="M55" t="s">
        <v>34</v>
      </c>
      <c r="N55" t="s">
        <v>48</v>
      </c>
      <c r="O55" t="s">
        <v>70</v>
      </c>
      <c r="P55" t="s">
        <v>37</v>
      </c>
      <c r="Q55" t="s">
        <v>50</v>
      </c>
      <c r="R55">
        <v>410</v>
      </c>
      <c r="S55">
        <v>164</v>
      </c>
      <c r="T55">
        <v>98</v>
      </c>
      <c r="U55">
        <v>20</v>
      </c>
      <c r="V55" t="s">
        <v>1124</v>
      </c>
      <c r="W55">
        <v>19811</v>
      </c>
      <c r="X55" t="s">
        <v>1122</v>
      </c>
      <c r="Y55">
        <v>17817</v>
      </c>
      <c r="Z55">
        <v>396220</v>
      </c>
      <c r="AA55">
        <v>39880</v>
      </c>
      <c r="AB55" t="str">
        <f>(VLOOKUP(SalesData[[#This Row],[Month Number]],Reference!C$5:E$16,2,FALSE))</f>
        <v>Feb</v>
      </c>
      <c r="AC55">
        <f>MONTH(SalesData[[#This Row],[Date]])</f>
        <v>2</v>
      </c>
      <c r="AD55">
        <f>Reference!F$4</f>
        <v>2026</v>
      </c>
      <c r="AE55" t="str">
        <f>IF(OR(SalesData[[#This Row],[Day]]="Saturday",SalesData[[#This Row],[Day]]="Sunday"),"Weekend","Weekday")</f>
        <v>Weekday</v>
      </c>
      <c r="AF55" s="5">
        <f>IF(SalesData[[#This Row],[Contracts Offered]]=0,0,SalesData[[#This Row],[Contracts Signed]]/SalesData[[#This Row],[Contracts Offered]])</f>
        <v>0.20408163265306123</v>
      </c>
      <c r="AG55" s="5">
        <f>IF(SalesData[[#This Row],[Customers Visited]]=0,0,SalesData[[#This Row],[Test Drives]]/SalesData[[#This Row],[Customers Visited]])</f>
        <v>0.4</v>
      </c>
      <c r="AH55" s="5">
        <f>IF(SalesData[[#This Row],[Customers Visited]]=0,0,SalesData[[#This Row],[Contracts Signed]]/SalesData[[#This Row],[Customers Visited]])</f>
        <v>4.878048780487805E-2</v>
      </c>
      <c r="AI55" s="6">
        <f>IF(SalesData[[#This Row],[Contracts Signed]]=0,0,SalesData[[#This Row],[Profit(€)]]/SalesData[[#This Row],[Contracts Signed]])</f>
        <v>1994</v>
      </c>
      <c r="AJ55" s="5" t="str">
        <f>TRIM(CLEAN(SalesData[[#This Row],[Retailer]]))</f>
        <v>Hannover Cars</v>
      </c>
    </row>
    <row r="56" spans="1:36" ht="14.25" hidden="1" x14ac:dyDescent="0.2">
      <c r="A56" t="s">
        <v>225</v>
      </c>
      <c r="B56" s="1">
        <v>46075</v>
      </c>
      <c r="C56" t="s">
        <v>53</v>
      </c>
      <c r="D56" t="s">
        <v>41</v>
      </c>
      <c r="E56" t="s">
        <v>42</v>
      </c>
      <c r="F56" t="s">
        <v>43</v>
      </c>
      <c r="G56" t="s">
        <v>44</v>
      </c>
      <c r="H56" t="s">
        <v>45</v>
      </c>
      <c r="I56" t="s">
        <v>64</v>
      </c>
      <c r="J56" t="s">
        <v>7029</v>
      </c>
      <c r="K56" t="s">
        <v>78</v>
      </c>
      <c r="L56" t="s">
        <v>33</v>
      </c>
      <c r="M56" t="s">
        <v>47</v>
      </c>
      <c r="N56" t="s">
        <v>48</v>
      </c>
      <c r="O56" t="s">
        <v>70</v>
      </c>
      <c r="P56" t="s">
        <v>49</v>
      </c>
      <c r="Q56" t="s">
        <v>189</v>
      </c>
      <c r="R56">
        <v>288</v>
      </c>
      <c r="S56">
        <v>140</v>
      </c>
      <c r="T56">
        <v>97</v>
      </c>
      <c r="U56">
        <v>27</v>
      </c>
      <c r="V56" t="s">
        <v>3715</v>
      </c>
      <c r="W56">
        <v>55213</v>
      </c>
      <c r="X56" t="s">
        <v>3025</v>
      </c>
      <c r="Y56">
        <v>43579</v>
      </c>
      <c r="Z56">
        <v>1490751</v>
      </c>
      <c r="AA56">
        <v>314118</v>
      </c>
      <c r="AB56" t="str">
        <f>(VLOOKUP(SalesData[[#This Row],[Month Number]],Reference!C$5:E$16,2,FALSE))</f>
        <v>Feb</v>
      </c>
      <c r="AC56">
        <f>MONTH(SalesData[[#This Row],[Date]])</f>
        <v>2</v>
      </c>
      <c r="AD56">
        <f>Reference!F$4</f>
        <v>2026</v>
      </c>
      <c r="AE56" t="str">
        <f>IF(OR(SalesData[[#This Row],[Day]]="Saturday",SalesData[[#This Row],[Day]]="Sunday"),"Weekend","Weekday")</f>
        <v>Weekend</v>
      </c>
      <c r="AF56" s="5">
        <f>IF(SalesData[[#This Row],[Contracts Offered]]=0,0,SalesData[[#This Row],[Contracts Signed]]/SalesData[[#This Row],[Contracts Offered]])</f>
        <v>0.27835051546391754</v>
      </c>
      <c r="AG56" s="5">
        <f>IF(SalesData[[#This Row],[Customers Visited]]=0,0,SalesData[[#This Row],[Test Drives]]/SalesData[[#This Row],[Customers Visited]])</f>
        <v>0.4861111111111111</v>
      </c>
      <c r="AH56" s="5">
        <f>IF(SalesData[[#This Row],[Customers Visited]]=0,0,SalesData[[#This Row],[Contracts Signed]]/SalesData[[#This Row],[Customers Visited]])</f>
        <v>9.375E-2</v>
      </c>
      <c r="AI56" s="6">
        <f>IF(SalesData[[#This Row],[Contracts Signed]]=0,0,SalesData[[#This Row],[Profit(€)]]/SalesData[[#This Row],[Contracts Signed]])</f>
        <v>11634</v>
      </c>
      <c r="AJ56" s="5" t="str">
        <f>TRIM(CLEAN(SalesData[[#This Row],[Retailer]]))</f>
        <v>Saxon Wheels</v>
      </c>
    </row>
    <row r="57" spans="1:36" ht="14.25" hidden="1" x14ac:dyDescent="0.2">
      <c r="A57" t="s">
        <v>227</v>
      </c>
      <c r="B57" s="1">
        <v>46076</v>
      </c>
      <c r="C57" t="s">
        <v>53</v>
      </c>
      <c r="D57" t="s">
        <v>25</v>
      </c>
      <c r="E57" t="s">
        <v>26</v>
      </c>
      <c r="F57" t="s">
        <v>127</v>
      </c>
      <c r="G57" t="s">
        <v>128</v>
      </c>
      <c r="H57" t="s">
        <v>103</v>
      </c>
      <c r="I57" t="s">
        <v>104</v>
      </c>
      <c r="J57" t="s">
        <v>7031</v>
      </c>
      <c r="K57" t="s">
        <v>91</v>
      </c>
      <c r="L57" t="s">
        <v>46</v>
      </c>
      <c r="M57" t="s">
        <v>47</v>
      </c>
      <c r="N57" t="s">
        <v>69</v>
      </c>
      <c r="O57" t="s">
        <v>70</v>
      </c>
      <c r="P57" t="s">
        <v>58</v>
      </c>
      <c r="Q57" t="s">
        <v>167</v>
      </c>
      <c r="R57">
        <v>518</v>
      </c>
      <c r="S57">
        <v>213</v>
      </c>
      <c r="T57">
        <v>139</v>
      </c>
      <c r="U57">
        <v>36</v>
      </c>
      <c r="V57" t="s">
        <v>4622</v>
      </c>
      <c r="W57">
        <v>31912</v>
      </c>
      <c r="X57" t="s">
        <v>2272</v>
      </c>
      <c r="Y57">
        <v>28814</v>
      </c>
      <c r="Z57">
        <v>1148832</v>
      </c>
      <c r="AA57">
        <v>111528</v>
      </c>
      <c r="AB57" t="str">
        <f>(VLOOKUP(SalesData[[#This Row],[Month Number]],Reference!C$5:E$16,2,FALSE))</f>
        <v>Feb</v>
      </c>
      <c r="AC57">
        <f>MONTH(SalesData[[#This Row],[Date]])</f>
        <v>2</v>
      </c>
      <c r="AD57">
        <f>Reference!F$4</f>
        <v>2026</v>
      </c>
      <c r="AE57" t="str">
        <f>IF(OR(SalesData[[#This Row],[Day]]="Saturday",SalesData[[#This Row],[Day]]="Sunday"),"Weekend","Weekday")</f>
        <v>Weekday</v>
      </c>
      <c r="AF57" s="5">
        <f>IF(SalesData[[#This Row],[Contracts Offered]]=0,0,SalesData[[#This Row],[Contracts Signed]]/SalesData[[#This Row],[Contracts Offered]])</f>
        <v>0.25899280575539568</v>
      </c>
      <c r="AG57" s="5">
        <f>IF(SalesData[[#This Row],[Customers Visited]]=0,0,SalesData[[#This Row],[Test Drives]]/SalesData[[#This Row],[Customers Visited]])</f>
        <v>0.41119691119691121</v>
      </c>
      <c r="AH57" s="5">
        <f>IF(SalesData[[#This Row],[Customers Visited]]=0,0,SalesData[[#This Row],[Contracts Signed]]/SalesData[[#This Row],[Customers Visited]])</f>
        <v>6.9498069498069498E-2</v>
      </c>
      <c r="AI57" s="6">
        <f>IF(SalesData[[#This Row],[Contracts Signed]]=0,0,SalesData[[#This Row],[Profit(€)]]/SalesData[[#This Row],[Contracts Signed]])</f>
        <v>3098</v>
      </c>
      <c r="AJ57" s="5" t="str">
        <f>TRIM(CLEAN(SalesData[[#This Row],[Retailer]]))</f>
        <v>Rhein Auto Group</v>
      </c>
    </row>
    <row r="58" spans="1:36" ht="14.25" hidden="1" x14ac:dyDescent="0.2">
      <c r="A58" t="s">
        <v>229</v>
      </c>
      <c r="B58" s="1">
        <v>46064</v>
      </c>
      <c r="C58" t="s">
        <v>121</v>
      </c>
      <c r="D58" t="s">
        <v>82</v>
      </c>
      <c r="E58" t="s">
        <v>26</v>
      </c>
      <c r="F58" t="s">
        <v>94</v>
      </c>
      <c r="G58" t="s">
        <v>95</v>
      </c>
      <c r="H58" t="s">
        <v>96</v>
      </c>
      <c r="I58" t="s">
        <v>104</v>
      </c>
      <c r="J58" t="s">
        <v>7061</v>
      </c>
      <c r="K58" t="s">
        <v>91</v>
      </c>
      <c r="L58" t="s">
        <v>46</v>
      </c>
      <c r="M58" t="s">
        <v>87</v>
      </c>
      <c r="N58" t="s">
        <v>48</v>
      </c>
      <c r="O58" t="s">
        <v>36</v>
      </c>
      <c r="P58" t="s">
        <v>58</v>
      </c>
      <c r="Q58" t="s">
        <v>59</v>
      </c>
      <c r="R58">
        <v>450</v>
      </c>
      <c r="S58">
        <v>248</v>
      </c>
      <c r="T58">
        <v>151</v>
      </c>
      <c r="U58">
        <v>51</v>
      </c>
      <c r="V58" t="s">
        <v>6616</v>
      </c>
      <c r="W58">
        <v>29724</v>
      </c>
      <c r="X58" t="s">
        <v>319</v>
      </c>
      <c r="Y58">
        <v>26266</v>
      </c>
      <c r="Z58">
        <v>1515924</v>
      </c>
      <c r="AA58">
        <v>176358</v>
      </c>
      <c r="AB58" t="str">
        <f>(VLOOKUP(SalesData[[#This Row],[Month Number]],Reference!C$5:E$16,2,FALSE))</f>
        <v>Feb</v>
      </c>
      <c r="AC58">
        <f>MONTH(SalesData[[#This Row],[Date]])</f>
        <v>2</v>
      </c>
      <c r="AD58">
        <f>Reference!F$4</f>
        <v>2026</v>
      </c>
      <c r="AE58" t="str">
        <f>IF(OR(SalesData[[#This Row],[Day]]="Saturday",SalesData[[#This Row],[Day]]="Sunday"),"Weekend","Weekday")</f>
        <v>Weekday</v>
      </c>
      <c r="AF58" s="5">
        <f>IF(SalesData[[#This Row],[Contracts Offered]]=0,0,SalesData[[#This Row],[Contracts Signed]]/SalesData[[#This Row],[Contracts Offered]])</f>
        <v>0.33774834437086093</v>
      </c>
      <c r="AG58" s="5">
        <f>IF(SalesData[[#This Row],[Customers Visited]]=0,0,SalesData[[#This Row],[Test Drives]]/SalesData[[#This Row],[Customers Visited]])</f>
        <v>0.55111111111111111</v>
      </c>
      <c r="AH58" s="5">
        <f>IF(SalesData[[#This Row],[Customers Visited]]=0,0,SalesData[[#This Row],[Contracts Signed]]/SalesData[[#This Row],[Customers Visited]])</f>
        <v>0.11333333333333333</v>
      </c>
      <c r="AI58" s="6">
        <f>IF(SalesData[[#This Row],[Contracts Signed]]=0,0,SalesData[[#This Row],[Profit(€)]]/SalesData[[#This Row],[Contracts Signed]])</f>
        <v>3458</v>
      </c>
      <c r="AJ58" s="5" t="str">
        <f>TRIM(CLEAN(SalesData[[#This Row],[Retailer]]))</f>
        <v>Bavaria Motors</v>
      </c>
    </row>
    <row r="59" spans="1:36" ht="14.25" hidden="1" x14ac:dyDescent="0.2">
      <c r="A59" t="s">
        <v>231</v>
      </c>
      <c r="B59" s="1">
        <v>46057</v>
      </c>
      <c r="C59" t="s">
        <v>24</v>
      </c>
      <c r="D59" t="s">
        <v>82</v>
      </c>
      <c r="E59" t="s">
        <v>26</v>
      </c>
      <c r="F59" t="s">
        <v>7649</v>
      </c>
      <c r="G59" t="s">
        <v>55</v>
      </c>
      <c r="H59" t="s">
        <v>55</v>
      </c>
      <c r="I59" t="s">
        <v>56</v>
      </c>
      <c r="J59" t="s">
        <v>57</v>
      </c>
      <c r="K59" t="s">
        <v>66</v>
      </c>
      <c r="L59" t="s">
        <v>46</v>
      </c>
      <c r="M59" t="s">
        <v>47</v>
      </c>
      <c r="N59" t="s">
        <v>35</v>
      </c>
      <c r="O59" t="s">
        <v>70</v>
      </c>
      <c r="P59" t="s">
        <v>37</v>
      </c>
      <c r="Q59" t="s">
        <v>129</v>
      </c>
      <c r="R59">
        <v>205</v>
      </c>
      <c r="S59">
        <v>118</v>
      </c>
      <c r="T59">
        <v>81</v>
      </c>
      <c r="U59">
        <v>28</v>
      </c>
      <c r="V59" t="s">
        <v>6917</v>
      </c>
      <c r="W59">
        <v>52442</v>
      </c>
      <c r="X59" t="s">
        <v>7055</v>
      </c>
      <c r="Y59">
        <v>40146</v>
      </c>
      <c r="Z59">
        <v>1468376</v>
      </c>
      <c r="AA59">
        <v>344288</v>
      </c>
      <c r="AB59" t="str">
        <f>(VLOOKUP(SalesData[[#This Row],[Month Number]],Reference!C$5:E$16,2,FALSE))</f>
        <v>Feb</v>
      </c>
      <c r="AC59">
        <f>MONTH(SalesData[[#This Row],[Date]])</f>
        <v>2</v>
      </c>
      <c r="AD59">
        <f>Reference!F$4</f>
        <v>2026</v>
      </c>
      <c r="AE59" t="str">
        <f>IF(OR(SalesData[[#This Row],[Day]]="Saturday",SalesData[[#This Row],[Day]]="Sunday"),"Weekend","Weekday")</f>
        <v>Weekday</v>
      </c>
      <c r="AF59" s="5">
        <f>IF(SalesData[[#This Row],[Contracts Offered]]=0,0,SalesData[[#This Row],[Contracts Signed]]/SalesData[[#This Row],[Contracts Offered]])</f>
        <v>0.34567901234567899</v>
      </c>
      <c r="AG59" s="5">
        <f>IF(SalesData[[#This Row],[Customers Visited]]=0,0,SalesData[[#This Row],[Test Drives]]/SalesData[[#This Row],[Customers Visited]])</f>
        <v>0.57560975609756093</v>
      </c>
      <c r="AH59" s="5">
        <f>IF(SalesData[[#This Row],[Customers Visited]]=0,0,SalesData[[#This Row],[Contracts Signed]]/SalesData[[#This Row],[Customers Visited]])</f>
        <v>0.13658536585365855</v>
      </c>
      <c r="AI59" s="6">
        <f>IF(SalesData[[#This Row],[Contracts Signed]]=0,0,SalesData[[#This Row],[Profit(€)]]/SalesData[[#This Row],[Contracts Signed]])</f>
        <v>12296</v>
      </c>
      <c r="AJ59" s="5" t="str">
        <f>TRIM(CLEAN(SalesData[[#This Row],[Retailer]]))</f>
        <v>Autohaus Berlin</v>
      </c>
    </row>
    <row r="60" spans="1:36" ht="14.25" hidden="1" x14ac:dyDescent="0.2">
      <c r="A60" t="s">
        <v>233</v>
      </c>
      <c r="B60" s="1">
        <v>46071</v>
      </c>
      <c r="C60" t="s">
        <v>62</v>
      </c>
      <c r="D60" t="s">
        <v>82</v>
      </c>
      <c r="E60" t="s">
        <v>26</v>
      </c>
      <c r="F60" t="s">
        <v>114</v>
      </c>
      <c r="G60" t="s">
        <v>115</v>
      </c>
      <c r="H60" t="s">
        <v>115</v>
      </c>
      <c r="I60" t="s">
        <v>104</v>
      </c>
      <c r="J60" t="s">
        <v>140</v>
      </c>
      <c r="K60" t="s">
        <v>66</v>
      </c>
      <c r="L60" t="s">
        <v>46</v>
      </c>
      <c r="M60" t="s">
        <v>34</v>
      </c>
      <c r="N60" t="s">
        <v>35</v>
      </c>
      <c r="O60" t="s">
        <v>36</v>
      </c>
      <c r="P60" t="s">
        <v>58</v>
      </c>
      <c r="Q60" t="s">
        <v>347</v>
      </c>
      <c r="R60">
        <v>481</v>
      </c>
      <c r="S60">
        <v>251</v>
      </c>
      <c r="T60">
        <v>145</v>
      </c>
      <c r="U60">
        <v>56</v>
      </c>
      <c r="V60" t="s">
        <v>6923</v>
      </c>
      <c r="W60">
        <v>33148</v>
      </c>
      <c r="X60" t="s">
        <v>1762</v>
      </c>
      <c r="Y60">
        <v>29174</v>
      </c>
      <c r="Z60">
        <v>1856288</v>
      </c>
      <c r="AA60">
        <v>222544</v>
      </c>
      <c r="AB60" t="str">
        <f>(VLOOKUP(SalesData[[#This Row],[Month Number]],Reference!C$5:E$16,2,FALSE))</f>
        <v>Feb</v>
      </c>
      <c r="AC60">
        <f>MONTH(SalesData[[#This Row],[Date]])</f>
        <v>2</v>
      </c>
      <c r="AD60">
        <f>Reference!F$4</f>
        <v>2026</v>
      </c>
      <c r="AE60" t="str">
        <f>IF(OR(SalesData[[#This Row],[Day]]="Saturday",SalesData[[#This Row],[Day]]="Sunday"),"Weekend","Weekday")</f>
        <v>Weekday</v>
      </c>
      <c r="AF60" s="5">
        <f>IF(SalesData[[#This Row],[Contracts Offered]]=0,0,SalesData[[#This Row],[Contracts Signed]]/SalesData[[#This Row],[Contracts Offered]])</f>
        <v>0.38620689655172413</v>
      </c>
      <c r="AG60" s="5">
        <f>IF(SalesData[[#This Row],[Customers Visited]]=0,0,SalesData[[#This Row],[Test Drives]]/SalesData[[#This Row],[Customers Visited]])</f>
        <v>0.5218295218295218</v>
      </c>
      <c r="AH60" s="5">
        <f>IF(SalesData[[#This Row],[Customers Visited]]=0,0,SalesData[[#This Row],[Contracts Signed]]/SalesData[[#This Row],[Customers Visited]])</f>
        <v>0.11642411642411643</v>
      </c>
      <c r="AI60" s="6">
        <f>IF(SalesData[[#This Row],[Contracts Signed]]=0,0,SalesData[[#This Row],[Profit(€)]]/SalesData[[#This Row],[Contracts Signed]])</f>
        <v>3974</v>
      </c>
      <c r="AJ60" s="5" t="str">
        <f>TRIM(CLEAN(SalesData[[#This Row],[Retailer]]))</f>
        <v>Elbe Drive</v>
      </c>
    </row>
    <row r="61" spans="1:36" ht="14.25" hidden="1" x14ac:dyDescent="0.2">
      <c r="A61" t="s">
        <v>235</v>
      </c>
      <c r="B61" s="1">
        <v>46058</v>
      </c>
      <c r="C61" t="s">
        <v>24</v>
      </c>
      <c r="D61" t="s">
        <v>100</v>
      </c>
      <c r="E61" t="s">
        <v>26</v>
      </c>
      <c r="F61" t="s">
        <v>101</v>
      </c>
      <c r="G61" t="s">
        <v>102</v>
      </c>
      <c r="H61" t="s">
        <v>103</v>
      </c>
      <c r="I61" t="s">
        <v>56</v>
      </c>
      <c r="J61" t="s">
        <v>137</v>
      </c>
      <c r="K61" t="s">
        <v>91</v>
      </c>
      <c r="L61" t="s">
        <v>46</v>
      </c>
      <c r="M61" t="s">
        <v>87</v>
      </c>
      <c r="N61" t="s">
        <v>48</v>
      </c>
      <c r="O61" t="s">
        <v>36</v>
      </c>
      <c r="P61" t="s">
        <v>49</v>
      </c>
      <c r="Q61" t="s">
        <v>122</v>
      </c>
      <c r="R61">
        <v>173</v>
      </c>
      <c r="S61">
        <v>86</v>
      </c>
      <c r="T61">
        <v>58</v>
      </c>
      <c r="U61">
        <v>19</v>
      </c>
      <c r="V61" t="s">
        <v>6671</v>
      </c>
      <c r="W61">
        <v>42751</v>
      </c>
      <c r="X61" t="s">
        <v>184</v>
      </c>
      <c r="Y61">
        <v>33052</v>
      </c>
      <c r="Z61">
        <v>812269</v>
      </c>
      <c r="AA61">
        <v>184281</v>
      </c>
      <c r="AB61" t="str">
        <f>(VLOOKUP(SalesData[[#This Row],[Month Number]],Reference!C$5:E$16,2,FALSE))</f>
        <v>Feb</v>
      </c>
      <c r="AC61">
        <f>MONTH(SalesData[[#This Row],[Date]])</f>
        <v>2</v>
      </c>
      <c r="AD61">
        <f>Reference!F$4</f>
        <v>2026</v>
      </c>
      <c r="AE61" t="str">
        <f>IF(OR(SalesData[[#This Row],[Day]]="Saturday",SalesData[[#This Row],[Day]]="Sunday"),"Weekend","Weekday")</f>
        <v>Weekday</v>
      </c>
      <c r="AF61" s="5">
        <f>IF(SalesData[[#This Row],[Contracts Offered]]=0,0,SalesData[[#This Row],[Contracts Signed]]/SalesData[[#This Row],[Contracts Offered]])</f>
        <v>0.32758620689655171</v>
      </c>
      <c r="AG61" s="5">
        <f>IF(SalesData[[#This Row],[Customers Visited]]=0,0,SalesData[[#This Row],[Test Drives]]/SalesData[[#This Row],[Customers Visited]])</f>
        <v>0.49710982658959535</v>
      </c>
      <c r="AH61" s="5">
        <f>IF(SalesData[[#This Row],[Customers Visited]]=0,0,SalesData[[#This Row],[Contracts Signed]]/SalesData[[#This Row],[Customers Visited]])</f>
        <v>0.10982658959537572</v>
      </c>
      <c r="AI61" s="6">
        <f>IF(SalesData[[#This Row],[Contracts Signed]]=0,0,SalesData[[#This Row],[Profit(€)]]/SalesData[[#This Row],[Contracts Signed]])</f>
        <v>9699</v>
      </c>
      <c r="AJ61" s="5" t="str">
        <f>TRIM(CLEAN(SalesData[[#This Row],[Retailer]]))</f>
        <v>Ruhr Auto Plaza</v>
      </c>
    </row>
    <row r="62" spans="1:36" ht="14.25" hidden="1" x14ac:dyDescent="0.2">
      <c r="A62" t="s">
        <v>237</v>
      </c>
      <c r="B62" s="1">
        <v>46074</v>
      </c>
      <c r="C62" t="s">
        <v>62</v>
      </c>
      <c r="D62" t="s">
        <v>151</v>
      </c>
      <c r="E62" t="s">
        <v>42</v>
      </c>
      <c r="F62" t="s">
        <v>94</v>
      </c>
      <c r="G62" t="s">
        <v>95</v>
      </c>
      <c r="H62" t="s">
        <v>96</v>
      </c>
      <c r="I62" t="s">
        <v>64</v>
      </c>
      <c r="J62" t="s">
        <v>7029</v>
      </c>
      <c r="K62" t="s">
        <v>78</v>
      </c>
      <c r="L62" t="s">
        <v>33</v>
      </c>
      <c r="M62" t="s">
        <v>34</v>
      </c>
      <c r="N62" t="s">
        <v>48</v>
      </c>
      <c r="O62" t="s">
        <v>36</v>
      </c>
      <c r="P62" t="s">
        <v>58</v>
      </c>
      <c r="Q62" t="s">
        <v>347</v>
      </c>
      <c r="R62">
        <v>266</v>
      </c>
      <c r="S62">
        <v>119</v>
      </c>
      <c r="T62">
        <v>87</v>
      </c>
      <c r="U62">
        <v>34</v>
      </c>
      <c r="V62" t="s">
        <v>6357</v>
      </c>
      <c r="W62">
        <v>71273</v>
      </c>
      <c r="X62" t="s">
        <v>7062</v>
      </c>
      <c r="Y62">
        <v>51780</v>
      </c>
      <c r="Z62">
        <v>2423282</v>
      </c>
      <c r="AA62">
        <v>662762</v>
      </c>
      <c r="AB62" t="str">
        <f>(VLOOKUP(SalesData[[#This Row],[Month Number]],Reference!C$5:E$16,2,FALSE))</f>
        <v>Feb</v>
      </c>
      <c r="AC62">
        <f>MONTH(SalesData[[#This Row],[Date]])</f>
        <v>2</v>
      </c>
      <c r="AD62">
        <f>Reference!F$4</f>
        <v>2026</v>
      </c>
      <c r="AE62" t="str">
        <f>IF(OR(SalesData[[#This Row],[Day]]="Saturday",SalesData[[#This Row],[Day]]="Sunday"),"Weekend","Weekday")</f>
        <v>Weekend</v>
      </c>
      <c r="AF62" s="5">
        <f>IF(SalesData[[#This Row],[Contracts Offered]]=0,0,SalesData[[#This Row],[Contracts Signed]]/SalesData[[#This Row],[Contracts Offered]])</f>
        <v>0.39080459770114945</v>
      </c>
      <c r="AG62" s="5">
        <f>IF(SalesData[[#This Row],[Customers Visited]]=0,0,SalesData[[#This Row],[Test Drives]]/SalesData[[#This Row],[Customers Visited]])</f>
        <v>0.44736842105263158</v>
      </c>
      <c r="AH62" s="5">
        <f>IF(SalesData[[#This Row],[Customers Visited]]=0,0,SalesData[[#This Row],[Contracts Signed]]/SalesData[[#This Row],[Customers Visited]])</f>
        <v>0.12781954887218044</v>
      </c>
      <c r="AI62" s="6">
        <f>IF(SalesData[[#This Row],[Contracts Signed]]=0,0,SalesData[[#This Row],[Profit(€)]]/SalesData[[#This Row],[Contracts Signed]])</f>
        <v>19493</v>
      </c>
      <c r="AJ62" s="5" t="str">
        <f>TRIM(CLEAN(SalesData[[#This Row],[Retailer]]))</f>
        <v>Bavaria Motors</v>
      </c>
    </row>
    <row r="63" spans="1:36" ht="14.25" hidden="1" x14ac:dyDescent="0.2">
      <c r="A63" t="s">
        <v>239</v>
      </c>
      <c r="B63" s="1">
        <v>46056</v>
      </c>
      <c r="C63" t="s">
        <v>24</v>
      </c>
      <c r="D63" t="s">
        <v>63</v>
      </c>
      <c r="E63" t="s">
        <v>26</v>
      </c>
      <c r="F63" t="s">
        <v>114</v>
      </c>
      <c r="G63" t="s">
        <v>115</v>
      </c>
      <c r="H63" t="s">
        <v>115</v>
      </c>
      <c r="I63" t="s">
        <v>104</v>
      </c>
      <c r="J63" t="s">
        <v>140</v>
      </c>
      <c r="K63" t="s">
        <v>32</v>
      </c>
      <c r="L63" t="s">
        <v>46</v>
      </c>
      <c r="M63" t="s">
        <v>68</v>
      </c>
      <c r="N63" t="s">
        <v>69</v>
      </c>
      <c r="O63" t="s">
        <v>36</v>
      </c>
      <c r="P63" t="s">
        <v>49</v>
      </c>
      <c r="Q63" t="s">
        <v>122</v>
      </c>
      <c r="R63">
        <v>506</v>
      </c>
      <c r="S63">
        <v>258</v>
      </c>
      <c r="T63">
        <v>151</v>
      </c>
      <c r="U63">
        <v>36</v>
      </c>
      <c r="V63" t="s">
        <v>3935</v>
      </c>
      <c r="W63">
        <v>32432</v>
      </c>
      <c r="X63" t="s">
        <v>506</v>
      </c>
      <c r="Y63">
        <v>28674</v>
      </c>
      <c r="Z63">
        <v>1167552</v>
      </c>
      <c r="AA63">
        <v>135288</v>
      </c>
      <c r="AB63" t="str">
        <f>(VLOOKUP(SalesData[[#This Row],[Month Number]],Reference!C$5:E$16,2,FALSE))</f>
        <v>Feb</v>
      </c>
      <c r="AC63">
        <f>MONTH(SalesData[[#This Row],[Date]])</f>
        <v>2</v>
      </c>
      <c r="AD63">
        <f>Reference!F$4</f>
        <v>2026</v>
      </c>
      <c r="AE63" t="str">
        <f>IF(OR(SalesData[[#This Row],[Day]]="Saturday",SalesData[[#This Row],[Day]]="Sunday"),"Weekend","Weekday")</f>
        <v>Weekday</v>
      </c>
      <c r="AF63" s="5">
        <f>IF(SalesData[[#This Row],[Contracts Offered]]=0,0,SalesData[[#This Row],[Contracts Signed]]/SalesData[[#This Row],[Contracts Offered]])</f>
        <v>0.23841059602649006</v>
      </c>
      <c r="AG63" s="5">
        <f>IF(SalesData[[#This Row],[Customers Visited]]=0,0,SalesData[[#This Row],[Test Drives]]/SalesData[[#This Row],[Customers Visited]])</f>
        <v>0.50988142292490124</v>
      </c>
      <c r="AH63" s="5">
        <f>IF(SalesData[[#This Row],[Customers Visited]]=0,0,SalesData[[#This Row],[Contracts Signed]]/SalesData[[#This Row],[Customers Visited]])</f>
        <v>7.1146245059288543E-2</v>
      </c>
      <c r="AI63" s="6">
        <f>IF(SalesData[[#This Row],[Contracts Signed]]=0,0,SalesData[[#This Row],[Profit(€)]]/SalesData[[#This Row],[Contracts Signed]])</f>
        <v>3758</v>
      </c>
      <c r="AJ63" s="5" t="str">
        <f>TRIM(CLEAN(SalesData[[#This Row],[Retailer]]))</f>
        <v>Elbe Drive</v>
      </c>
    </row>
    <row r="64" spans="1:36" ht="14.25" hidden="1" x14ac:dyDescent="0.2">
      <c r="A64" t="s">
        <v>242</v>
      </c>
      <c r="B64" s="1">
        <v>46055</v>
      </c>
      <c r="C64" t="s">
        <v>24</v>
      </c>
      <c r="D64" t="s">
        <v>25</v>
      </c>
      <c r="E64" t="s">
        <v>26</v>
      </c>
      <c r="F64" t="s">
        <v>101</v>
      </c>
      <c r="G64" t="s">
        <v>102</v>
      </c>
      <c r="H64" t="s">
        <v>103</v>
      </c>
      <c r="I64" t="s">
        <v>116</v>
      </c>
      <c r="J64" t="s">
        <v>132</v>
      </c>
      <c r="K64" t="s">
        <v>78</v>
      </c>
      <c r="L64" t="s">
        <v>46</v>
      </c>
      <c r="M64" t="s">
        <v>34</v>
      </c>
      <c r="N64" t="s">
        <v>69</v>
      </c>
      <c r="O64" t="s">
        <v>70</v>
      </c>
      <c r="P64" t="s">
        <v>71</v>
      </c>
      <c r="Q64" t="s">
        <v>88</v>
      </c>
      <c r="R64">
        <v>350</v>
      </c>
      <c r="S64">
        <v>166</v>
      </c>
      <c r="T64">
        <v>104</v>
      </c>
      <c r="U64">
        <v>26</v>
      </c>
      <c r="V64" t="s">
        <v>1197</v>
      </c>
      <c r="W64">
        <v>21587</v>
      </c>
      <c r="X64" t="s">
        <v>1483</v>
      </c>
      <c r="Y64">
        <v>19910</v>
      </c>
      <c r="Z64">
        <v>561262</v>
      </c>
      <c r="AA64">
        <v>43602</v>
      </c>
      <c r="AB64" t="str">
        <f>(VLOOKUP(SalesData[[#This Row],[Month Number]],Reference!C$5:E$16,2,FALSE))</f>
        <v>Feb</v>
      </c>
      <c r="AC64">
        <f>MONTH(SalesData[[#This Row],[Date]])</f>
        <v>2</v>
      </c>
      <c r="AD64">
        <f>Reference!F$4</f>
        <v>2026</v>
      </c>
      <c r="AE64" t="str">
        <f>IF(OR(SalesData[[#This Row],[Day]]="Saturday",SalesData[[#This Row],[Day]]="Sunday"),"Weekend","Weekday")</f>
        <v>Weekday</v>
      </c>
      <c r="AF64" s="5">
        <f>IF(SalesData[[#This Row],[Contracts Offered]]=0,0,SalesData[[#This Row],[Contracts Signed]]/SalesData[[#This Row],[Contracts Offered]])</f>
        <v>0.25</v>
      </c>
      <c r="AG64" s="5">
        <f>IF(SalesData[[#This Row],[Customers Visited]]=0,0,SalesData[[#This Row],[Test Drives]]/SalesData[[#This Row],[Customers Visited]])</f>
        <v>0.47428571428571431</v>
      </c>
      <c r="AH64" s="5">
        <f>IF(SalesData[[#This Row],[Customers Visited]]=0,0,SalesData[[#This Row],[Contracts Signed]]/SalesData[[#This Row],[Customers Visited]])</f>
        <v>7.4285714285714288E-2</v>
      </c>
      <c r="AI64" s="6">
        <f>IF(SalesData[[#This Row],[Contracts Signed]]=0,0,SalesData[[#This Row],[Profit(€)]]/SalesData[[#This Row],[Contracts Signed]])</f>
        <v>1677</v>
      </c>
      <c r="AJ64" s="5" t="str">
        <f>TRIM(CLEAN(SalesData[[#This Row],[Retailer]]))</f>
        <v>Ruhr Auto Plaza</v>
      </c>
    </row>
    <row r="65" spans="1:36" ht="14.25" hidden="1" x14ac:dyDescent="0.2">
      <c r="A65" t="s">
        <v>244</v>
      </c>
      <c r="B65" s="1">
        <v>46079</v>
      </c>
      <c r="C65" t="s">
        <v>53</v>
      </c>
      <c r="D65" t="s">
        <v>100</v>
      </c>
      <c r="E65" t="s">
        <v>26</v>
      </c>
      <c r="F65" t="s">
        <v>43</v>
      </c>
      <c r="G65" t="s">
        <v>44</v>
      </c>
      <c r="H65" t="s">
        <v>45</v>
      </c>
      <c r="I65" t="s">
        <v>64</v>
      </c>
      <c r="J65" t="s">
        <v>7029</v>
      </c>
      <c r="K65" t="s">
        <v>78</v>
      </c>
      <c r="L65" t="s">
        <v>33</v>
      </c>
      <c r="M65" t="s">
        <v>34</v>
      </c>
      <c r="N65" t="s">
        <v>69</v>
      </c>
      <c r="O65" t="s">
        <v>70</v>
      </c>
      <c r="P65" t="s">
        <v>49</v>
      </c>
      <c r="Q65" t="s">
        <v>189</v>
      </c>
      <c r="R65">
        <v>265</v>
      </c>
      <c r="S65">
        <v>128</v>
      </c>
      <c r="T65">
        <v>94</v>
      </c>
      <c r="U65">
        <v>27</v>
      </c>
      <c r="V65" t="s">
        <v>6847</v>
      </c>
      <c r="W65">
        <v>54462</v>
      </c>
      <c r="X65" t="s">
        <v>7063</v>
      </c>
      <c r="Y65">
        <v>42690</v>
      </c>
      <c r="Z65">
        <v>1470474</v>
      </c>
      <c r="AA65">
        <v>317844</v>
      </c>
      <c r="AB65" t="str">
        <f>(VLOOKUP(SalesData[[#This Row],[Month Number]],Reference!C$5:E$16,2,FALSE))</f>
        <v>Feb</v>
      </c>
      <c r="AC65">
        <f>MONTH(SalesData[[#This Row],[Date]])</f>
        <v>2</v>
      </c>
      <c r="AD65">
        <f>Reference!F$4</f>
        <v>2026</v>
      </c>
      <c r="AE65" t="str">
        <f>IF(OR(SalesData[[#This Row],[Day]]="Saturday",SalesData[[#This Row],[Day]]="Sunday"),"Weekend","Weekday")</f>
        <v>Weekday</v>
      </c>
      <c r="AF65" s="5">
        <f>IF(SalesData[[#This Row],[Contracts Offered]]=0,0,SalesData[[#This Row],[Contracts Signed]]/SalesData[[#This Row],[Contracts Offered]])</f>
        <v>0.28723404255319152</v>
      </c>
      <c r="AG65" s="5">
        <f>IF(SalesData[[#This Row],[Customers Visited]]=0,0,SalesData[[#This Row],[Test Drives]]/SalesData[[#This Row],[Customers Visited]])</f>
        <v>0.48301886792452831</v>
      </c>
      <c r="AH65" s="5">
        <f>IF(SalesData[[#This Row],[Customers Visited]]=0,0,SalesData[[#This Row],[Contracts Signed]]/SalesData[[#This Row],[Customers Visited]])</f>
        <v>0.10188679245283019</v>
      </c>
      <c r="AI65" s="6">
        <f>IF(SalesData[[#This Row],[Contracts Signed]]=0,0,SalesData[[#This Row],[Profit(€)]]/SalesData[[#This Row],[Contracts Signed]])</f>
        <v>11772</v>
      </c>
      <c r="AJ65" s="5" t="str">
        <f>TRIM(CLEAN(SalesData[[#This Row],[Retailer]]))</f>
        <v>Saxon Wheels</v>
      </c>
    </row>
    <row r="66" spans="1:36" ht="14.25" hidden="1" x14ac:dyDescent="0.2">
      <c r="A66" t="s">
        <v>246</v>
      </c>
      <c r="B66" s="1">
        <v>46065</v>
      </c>
      <c r="C66" t="s">
        <v>121</v>
      </c>
      <c r="D66" t="s">
        <v>100</v>
      </c>
      <c r="E66" t="s">
        <v>26</v>
      </c>
      <c r="F66" t="s">
        <v>114</v>
      </c>
      <c r="G66" t="s">
        <v>115</v>
      </c>
      <c r="H66" t="s">
        <v>115</v>
      </c>
      <c r="I66" t="s">
        <v>56</v>
      </c>
      <c r="J66" t="s">
        <v>179</v>
      </c>
      <c r="K66" t="s">
        <v>66</v>
      </c>
      <c r="L66" t="s">
        <v>67</v>
      </c>
      <c r="M66" t="s">
        <v>87</v>
      </c>
      <c r="N66" t="s">
        <v>48</v>
      </c>
      <c r="O66" t="s">
        <v>70</v>
      </c>
      <c r="P66" t="s">
        <v>49</v>
      </c>
      <c r="Q66" t="s">
        <v>240</v>
      </c>
      <c r="R66">
        <v>304</v>
      </c>
      <c r="S66">
        <v>142</v>
      </c>
      <c r="T66">
        <v>103</v>
      </c>
      <c r="U66">
        <v>34</v>
      </c>
      <c r="V66" t="s">
        <v>6456</v>
      </c>
      <c r="W66">
        <v>51393</v>
      </c>
      <c r="X66" t="s">
        <v>609</v>
      </c>
      <c r="Y66">
        <v>39783</v>
      </c>
      <c r="Z66">
        <v>1747362</v>
      </c>
      <c r="AA66">
        <v>394740</v>
      </c>
      <c r="AB66" t="str">
        <f>(VLOOKUP(SalesData[[#This Row],[Month Number]],Reference!C$5:E$16,2,FALSE))</f>
        <v>Feb</v>
      </c>
      <c r="AC66">
        <f>MONTH(SalesData[[#This Row],[Date]])</f>
        <v>2</v>
      </c>
      <c r="AD66">
        <f>Reference!F$4</f>
        <v>2026</v>
      </c>
      <c r="AE66" t="str">
        <f>IF(OR(SalesData[[#This Row],[Day]]="Saturday",SalesData[[#This Row],[Day]]="Sunday"),"Weekend","Weekday")</f>
        <v>Weekday</v>
      </c>
      <c r="AF66" s="5">
        <f>IF(SalesData[[#This Row],[Contracts Offered]]=0,0,SalesData[[#This Row],[Contracts Signed]]/SalesData[[#This Row],[Contracts Offered]])</f>
        <v>0.3300970873786408</v>
      </c>
      <c r="AG66" s="5">
        <f>IF(SalesData[[#This Row],[Customers Visited]]=0,0,SalesData[[#This Row],[Test Drives]]/SalesData[[#This Row],[Customers Visited]])</f>
        <v>0.46710526315789475</v>
      </c>
      <c r="AH66" s="5">
        <f>IF(SalesData[[#This Row],[Customers Visited]]=0,0,SalesData[[#This Row],[Contracts Signed]]/SalesData[[#This Row],[Customers Visited]])</f>
        <v>0.1118421052631579</v>
      </c>
      <c r="AI66" s="6">
        <f>IF(SalesData[[#This Row],[Contracts Signed]]=0,0,SalesData[[#This Row],[Profit(€)]]/SalesData[[#This Row],[Contracts Signed]])</f>
        <v>11610</v>
      </c>
      <c r="AJ66" s="5" t="str">
        <f>TRIM(CLEAN(SalesData[[#This Row],[Retailer]]))</f>
        <v>Elbe Drive</v>
      </c>
    </row>
    <row r="67" spans="1:36" ht="14.25" hidden="1" x14ac:dyDescent="0.2">
      <c r="A67" t="s">
        <v>248</v>
      </c>
      <c r="B67" s="1">
        <v>46059</v>
      </c>
      <c r="C67" t="s">
        <v>24</v>
      </c>
      <c r="D67" t="s">
        <v>54</v>
      </c>
      <c r="E67" t="s">
        <v>26</v>
      </c>
      <c r="F67" t="s">
        <v>114</v>
      </c>
      <c r="G67" t="s">
        <v>115</v>
      </c>
      <c r="H67" t="s">
        <v>115</v>
      </c>
      <c r="I67" t="s">
        <v>56</v>
      </c>
      <c r="J67" t="s">
        <v>137</v>
      </c>
      <c r="K67" t="s">
        <v>78</v>
      </c>
      <c r="L67" t="s">
        <v>46</v>
      </c>
      <c r="M67" t="s">
        <v>47</v>
      </c>
      <c r="N67" t="s">
        <v>48</v>
      </c>
      <c r="O67" t="s">
        <v>36</v>
      </c>
      <c r="P67" t="s">
        <v>37</v>
      </c>
      <c r="Q67" t="s">
        <v>172</v>
      </c>
      <c r="R67">
        <v>244</v>
      </c>
      <c r="S67">
        <v>124</v>
      </c>
      <c r="T67">
        <v>87</v>
      </c>
      <c r="U67">
        <v>30</v>
      </c>
      <c r="V67" t="s">
        <v>6766</v>
      </c>
      <c r="W67">
        <v>50944</v>
      </c>
      <c r="X67" t="s">
        <v>7032</v>
      </c>
      <c r="Y67">
        <v>39541</v>
      </c>
      <c r="Z67">
        <v>1528320</v>
      </c>
      <c r="AA67">
        <v>342090</v>
      </c>
      <c r="AB67" t="str">
        <f>(VLOOKUP(SalesData[[#This Row],[Month Number]],Reference!C$5:E$16,2,FALSE))</f>
        <v>Feb</v>
      </c>
      <c r="AC67">
        <f>MONTH(SalesData[[#This Row],[Date]])</f>
        <v>2</v>
      </c>
      <c r="AD67">
        <f>Reference!F$4</f>
        <v>2026</v>
      </c>
      <c r="AE67" t="str">
        <f>IF(OR(SalesData[[#This Row],[Day]]="Saturday",SalesData[[#This Row],[Day]]="Sunday"),"Weekend","Weekday")</f>
        <v>Weekday</v>
      </c>
      <c r="AF67" s="5">
        <f>IF(SalesData[[#This Row],[Contracts Offered]]=0,0,SalesData[[#This Row],[Contracts Signed]]/SalesData[[#This Row],[Contracts Offered]])</f>
        <v>0.34482758620689657</v>
      </c>
      <c r="AG67" s="5">
        <f>IF(SalesData[[#This Row],[Customers Visited]]=0,0,SalesData[[#This Row],[Test Drives]]/SalesData[[#This Row],[Customers Visited]])</f>
        <v>0.50819672131147542</v>
      </c>
      <c r="AH67" s="5">
        <f>IF(SalesData[[#This Row],[Customers Visited]]=0,0,SalesData[[#This Row],[Contracts Signed]]/SalesData[[#This Row],[Customers Visited]])</f>
        <v>0.12295081967213115</v>
      </c>
      <c r="AI67" s="6">
        <f>IF(SalesData[[#This Row],[Contracts Signed]]=0,0,SalesData[[#This Row],[Profit(€)]]/SalesData[[#This Row],[Contracts Signed]])</f>
        <v>11403</v>
      </c>
      <c r="AJ67" s="5" t="str">
        <f>TRIM(CLEAN(SalesData[[#This Row],[Retailer]]))</f>
        <v>Elbe Drive</v>
      </c>
    </row>
    <row r="68" spans="1:36" ht="14.25" hidden="1" x14ac:dyDescent="0.2">
      <c r="A68" t="s">
        <v>250</v>
      </c>
      <c r="B68" s="1">
        <v>46065</v>
      </c>
      <c r="C68" t="s">
        <v>121</v>
      </c>
      <c r="D68" t="s">
        <v>100</v>
      </c>
      <c r="E68" t="s">
        <v>26</v>
      </c>
      <c r="F68" t="s">
        <v>109</v>
      </c>
      <c r="G68" t="s">
        <v>110</v>
      </c>
      <c r="H68" t="s">
        <v>45</v>
      </c>
      <c r="I68" t="s">
        <v>116</v>
      </c>
      <c r="J68" t="s">
        <v>132</v>
      </c>
      <c r="K68" t="s">
        <v>78</v>
      </c>
      <c r="L68" t="s">
        <v>46</v>
      </c>
      <c r="M68" t="s">
        <v>47</v>
      </c>
      <c r="N68" t="s">
        <v>35</v>
      </c>
      <c r="O68" t="s">
        <v>70</v>
      </c>
      <c r="P68" t="s">
        <v>37</v>
      </c>
      <c r="Q68" t="s">
        <v>152</v>
      </c>
      <c r="R68">
        <v>383</v>
      </c>
      <c r="S68">
        <v>175</v>
      </c>
      <c r="T68">
        <v>99</v>
      </c>
      <c r="U68">
        <v>22</v>
      </c>
      <c r="V68" t="s">
        <v>3217</v>
      </c>
      <c r="W68">
        <v>24691</v>
      </c>
      <c r="X68" t="s">
        <v>2195</v>
      </c>
      <c r="Y68">
        <v>22754</v>
      </c>
      <c r="Z68">
        <v>543202</v>
      </c>
      <c r="AA68">
        <v>42614</v>
      </c>
      <c r="AB68" t="str">
        <f>(VLOOKUP(SalesData[[#This Row],[Month Number]],Reference!C$5:E$16,2,FALSE))</f>
        <v>Feb</v>
      </c>
      <c r="AC68">
        <f>MONTH(SalesData[[#This Row],[Date]])</f>
        <v>2</v>
      </c>
      <c r="AD68">
        <f>Reference!F$4</f>
        <v>2026</v>
      </c>
      <c r="AE68" t="str">
        <f>IF(OR(SalesData[[#This Row],[Day]]="Saturday",SalesData[[#This Row],[Day]]="Sunday"),"Weekend","Weekday")</f>
        <v>Weekday</v>
      </c>
      <c r="AF68" s="5">
        <f>IF(SalesData[[#This Row],[Contracts Offered]]=0,0,SalesData[[#This Row],[Contracts Signed]]/SalesData[[#This Row],[Contracts Offered]])</f>
        <v>0.22222222222222221</v>
      </c>
      <c r="AG68" s="5">
        <f>IF(SalesData[[#This Row],[Customers Visited]]=0,0,SalesData[[#This Row],[Test Drives]]/SalesData[[#This Row],[Customers Visited]])</f>
        <v>0.45691906005221933</v>
      </c>
      <c r="AH68" s="5">
        <f>IF(SalesData[[#This Row],[Customers Visited]]=0,0,SalesData[[#This Row],[Contracts Signed]]/SalesData[[#This Row],[Customers Visited]])</f>
        <v>5.7441253263707574E-2</v>
      </c>
      <c r="AI68" s="6">
        <f>IF(SalesData[[#This Row],[Contracts Signed]]=0,0,SalesData[[#This Row],[Profit(€)]]/SalesData[[#This Row],[Contracts Signed]])</f>
        <v>1937</v>
      </c>
      <c r="AJ68" s="5" t="str">
        <f>TRIM(CLEAN(SalesData[[#This Row],[Retailer]]))</f>
        <v>Leipzig Mobility</v>
      </c>
    </row>
    <row r="69" spans="1:36" ht="14.25" hidden="1" x14ac:dyDescent="0.2">
      <c r="A69" t="s">
        <v>251</v>
      </c>
      <c r="B69" s="1">
        <v>46064</v>
      </c>
      <c r="C69" t="s">
        <v>121</v>
      </c>
      <c r="D69" t="s">
        <v>82</v>
      </c>
      <c r="E69" t="s">
        <v>26</v>
      </c>
      <c r="F69" t="s">
        <v>7649</v>
      </c>
      <c r="G69" t="s">
        <v>55</v>
      </c>
      <c r="H69" t="s">
        <v>55</v>
      </c>
      <c r="I69" t="s">
        <v>64</v>
      </c>
      <c r="J69" t="s">
        <v>157</v>
      </c>
      <c r="K69" t="s">
        <v>78</v>
      </c>
      <c r="L69" t="s">
        <v>33</v>
      </c>
      <c r="M69" t="s">
        <v>34</v>
      </c>
      <c r="N69" t="s">
        <v>35</v>
      </c>
      <c r="O69" t="s">
        <v>70</v>
      </c>
      <c r="P69" t="s">
        <v>58</v>
      </c>
      <c r="Q69" t="s">
        <v>152</v>
      </c>
      <c r="R69">
        <v>276</v>
      </c>
      <c r="S69">
        <v>138</v>
      </c>
      <c r="T69">
        <v>105</v>
      </c>
      <c r="U69">
        <v>42</v>
      </c>
      <c r="V69" t="s">
        <v>7064</v>
      </c>
      <c r="W69">
        <v>51409</v>
      </c>
      <c r="X69" t="s">
        <v>1906</v>
      </c>
      <c r="Y69">
        <v>38009</v>
      </c>
      <c r="Z69">
        <v>2159178</v>
      </c>
      <c r="AA69">
        <v>562800</v>
      </c>
      <c r="AB69" t="str">
        <f>(VLOOKUP(SalesData[[#This Row],[Month Number]],Reference!C$5:E$16,2,FALSE))</f>
        <v>Feb</v>
      </c>
      <c r="AC69">
        <f>MONTH(SalesData[[#This Row],[Date]])</f>
        <v>2</v>
      </c>
      <c r="AD69">
        <f>Reference!F$4</f>
        <v>2026</v>
      </c>
      <c r="AE69" t="str">
        <f>IF(OR(SalesData[[#This Row],[Day]]="Saturday",SalesData[[#This Row],[Day]]="Sunday"),"Weekend","Weekday")</f>
        <v>Weekday</v>
      </c>
      <c r="AF69" s="5">
        <f>IF(SalesData[[#This Row],[Contracts Offered]]=0,0,SalesData[[#This Row],[Contracts Signed]]/SalesData[[#This Row],[Contracts Offered]])</f>
        <v>0.4</v>
      </c>
      <c r="AG69" s="5">
        <f>IF(SalesData[[#This Row],[Customers Visited]]=0,0,SalesData[[#This Row],[Test Drives]]/SalesData[[#This Row],[Customers Visited]])</f>
        <v>0.5</v>
      </c>
      <c r="AH69" s="5">
        <f>IF(SalesData[[#This Row],[Customers Visited]]=0,0,SalesData[[#This Row],[Contracts Signed]]/SalesData[[#This Row],[Customers Visited]])</f>
        <v>0.15217391304347827</v>
      </c>
      <c r="AI69" s="6">
        <f>IF(SalesData[[#This Row],[Contracts Signed]]=0,0,SalesData[[#This Row],[Profit(€)]]/SalesData[[#This Row],[Contracts Signed]])</f>
        <v>13400</v>
      </c>
      <c r="AJ69" s="5" t="str">
        <f>TRIM(CLEAN(SalesData[[#This Row],[Retailer]]))</f>
        <v>Autohaus Berlin</v>
      </c>
    </row>
    <row r="70" spans="1:36" ht="14.25" hidden="1" x14ac:dyDescent="0.2">
      <c r="A70" t="s">
        <v>253</v>
      </c>
      <c r="B70" s="1">
        <v>46076</v>
      </c>
      <c r="C70" t="s">
        <v>53</v>
      </c>
      <c r="D70" t="s">
        <v>25</v>
      </c>
      <c r="E70" t="s">
        <v>26</v>
      </c>
      <c r="F70" t="s">
        <v>101</v>
      </c>
      <c r="G70" t="s">
        <v>102</v>
      </c>
      <c r="H70" t="s">
        <v>103</v>
      </c>
      <c r="I70" t="s">
        <v>64</v>
      </c>
      <c r="J70" t="s">
        <v>157</v>
      </c>
      <c r="K70" t="s">
        <v>78</v>
      </c>
      <c r="L70" t="s">
        <v>33</v>
      </c>
      <c r="M70" t="s">
        <v>87</v>
      </c>
      <c r="N70" t="s">
        <v>35</v>
      </c>
      <c r="O70" t="s">
        <v>36</v>
      </c>
      <c r="P70" t="s">
        <v>49</v>
      </c>
      <c r="Q70" t="s">
        <v>204</v>
      </c>
      <c r="R70">
        <v>245</v>
      </c>
      <c r="S70">
        <v>123</v>
      </c>
      <c r="T70">
        <v>97</v>
      </c>
      <c r="U70">
        <v>25</v>
      </c>
      <c r="V70" t="s">
        <v>6630</v>
      </c>
      <c r="W70">
        <v>59335</v>
      </c>
      <c r="X70" t="s">
        <v>7065</v>
      </c>
      <c r="Y70">
        <v>45070</v>
      </c>
      <c r="Z70">
        <v>1483375</v>
      </c>
      <c r="AA70">
        <v>356625</v>
      </c>
      <c r="AB70" t="str">
        <f>(VLOOKUP(SalesData[[#This Row],[Month Number]],Reference!C$5:E$16,2,FALSE))</f>
        <v>Feb</v>
      </c>
      <c r="AC70">
        <f>MONTH(SalesData[[#This Row],[Date]])</f>
        <v>2</v>
      </c>
      <c r="AD70">
        <f>Reference!F$4</f>
        <v>2026</v>
      </c>
      <c r="AE70" t="str">
        <f>IF(OR(SalesData[[#This Row],[Day]]="Saturday",SalesData[[#This Row],[Day]]="Sunday"),"Weekend","Weekday")</f>
        <v>Weekday</v>
      </c>
      <c r="AF70" s="5">
        <f>IF(SalesData[[#This Row],[Contracts Offered]]=0,0,SalesData[[#This Row],[Contracts Signed]]/SalesData[[#This Row],[Contracts Offered]])</f>
        <v>0.25773195876288657</v>
      </c>
      <c r="AG70" s="5">
        <f>IF(SalesData[[#This Row],[Customers Visited]]=0,0,SalesData[[#This Row],[Test Drives]]/SalesData[[#This Row],[Customers Visited]])</f>
        <v>0.50204081632653064</v>
      </c>
      <c r="AH70" s="5">
        <f>IF(SalesData[[#This Row],[Customers Visited]]=0,0,SalesData[[#This Row],[Contracts Signed]]/SalesData[[#This Row],[Customers Visited]])</f>
        <v>0.10204081632653061</v>
      </c>
      <c r="AI70" s="6">
        <f>IF(SalesData[[#This Row],[Contracts Signed]]=0,0,SalesData[[#This Row],[Profit(€)]]/SalesData[[#This Row],[Contracts Signed]])</f>
        <v>14265</v>
      </c>
      <c r="AJ70" s="5" t="str">
        <f>TRIM(CLEAN(SalesData[[#This Row],[Retailer]]))</f>
        <v>Ruhr Auto Plaza</v>
      </c>
    </row>
    <row r="71" spans="1:36" ht="14.25" hidden="1" x14ac:dyDescent="0.2">
      <c r="A71" t="s">
        <v>255</v>
      </c>
      <c r="B71" s="1">
        <v>46076</v>
      </c>
      <c r="C71" t="s">
        <v>53</v>
      </c>
      <c r="D71" t="s">
        <v>25</v>
      </c>
      <c r="E71" t="s">
        <v>26</v>
      </c>
      <c r="F71" t="s">
        <v>94</v>
      </c>
      <c r="G71" t="s">
        <v>95</v>
      </c>
      <c r="H71" t="s">
        <v>96</v>
      </c>
      <c r="I71" t="s">
        <v>116</v>
      </c>
      <c r="J71" t="s">
        <v>7026</v>
      </c>
      <c r="K71" t="s">
        <v>78</v>
      </c>
      <c r="L71" t="s">
        <v>46</v>
      </c>
      <c r="M71" t="s">
        <v>68</v>
      </c>
      <c r="N71" t="s">
        <v>69</v>
      </c>
      <c r="O71" t="s">
        <v>36</v>
      </c>
      <c r="P71" t="s">
        <v>71</v>
      </c>
      <c r="Q71" t="s">
        <v>38</v>
      </c>
      <c r="R71">
        <v>414</v>
      </c>
      <c r="S71">
        <v>189</v>
      </c>
      <c r="T71">
        <v>114</v>
      </c>
      <c r="U71">
        <v>36</v>
      </c>
      <c r="V71" t="s">
        <v>367</v>
      </c>
      <c r="W71">
        <v>24993</v>
      </c>
      <c r="X71" t="s">
        <v>7066</v>
      </c>
      <c r="Y71">
        <v>23225</v>
      </c>
      <c r="Z71">
        <v>899748</v>
      </c>
      <c r="AA71">
        <v>63648</v>
      </c>
      <c r="AB71" t="str">
        <f>(VLOOKUP(SalesData[[#This Row],[Month Number]],Reference!C$5:E$16,2,FALSE))</f>
        <v>Feb</v>
      </c>
      <c r="AC71">
        <f>MONTH(SalesData[[#This Row],[Date]])</f>
        <v>2</v>
      </c>
      <c r="AD71">
        <f>Reference!F$4</f>
        <v>2026</v>
      </c>
      <c r="AE71" t="str">
        <f>IF(OR(SalesData[[#This Row],[Day]]="Saturday",SalesData[[#This Row],[Day]]="Sunday"),"Weekend","Weekday")</f>
        <v>Weekday</v>
      </c>
      <c r="AF71" s="5">
        <f>IF(SalesData[[#This Row],[Contracts Offered]]=0,0,SalesData[[#This Row],[Contracts Signed]]/SalesData[[#This Row],[Contracts Offered]])</f>
        <v>0.31578947368421051</v>
      </c>
      <c r="AG71" s="5">
        <f>IF(SalesData[[#This Row],[Customers Visited]]=0,0,SalesData[[#This Row],[Test Drives]]/SalesData[[#This Row],[Customers Visited]])</f>
        <v>0.45652173913043476</v>
      </c>
      <c r="AH71" s="5">
        <f>IF(SalesData[[#This Row],[Customers Visited]]=0,0,SalesData[[#This Row],[Contracts Signed]]/SalesData[[#This Row],[Customers Visited]])</f>
        <v>8.6956521739130432E-2</v>
      </c>
      <c r="AI71" s="6">
        <f>IF(SalesData[[#This Row],[Contracts Signed]]=0,0,SalesData[[#This Row],[Profit(€)]]/SalesData[[#This Row],[Contracts Signed]])</f>
        <v>1768</v>
      </c>
      <c r="AJ71" s="5" t="str">
        <f>TRIM(CLEAN(SalesData[[#This Row],[Retailer]]))</f>
        <v>Bavaria Motors</v>
      </c>
    </row>
    <row r="72" spans="1:36" ht="14.25" x14ac:dyDescent="0.2">
      <c r="A72" t="s">
        <v>257</v>
      </c>
      <c r="B72" s="1">
        <v>46054</v>
      </c>
      <c r="C72" t="s">
        <v>24</v>
      </c>
      <c r="D72" t="s">
        <v>41</v>
      </c>
      <c r="E72" t="s">
        <v>42</v>
      </c>
      <c r="F72" t="s">
        <v>101</v>
      </c>
      <c r="G72" t="s">
        <v>102</v>
      </c>
      <c r="H72" t="s">
        <v>103</v>
      </c>
      <c r="I72" t="s">
        <v>30</v>
      </c>
      <c r="J72" t="s">
        <v>31</v>
      </c>
      <c r="K72" t="s">
        <v>32</v>
      </c>
      <c r="L72" t="s">
        <v>46</v>
      </c>
      <c r="M72" t="s">
        <v>34</v>
      </c>
      <c r="N72" t="s">
        <v>48</v>
      </c>
      <c r="O72" t="s">
        <v>70</v>
      </c>
      <c r="P72" t="s">
        <v>37</v>
      </c>
      <c r="Q72" t="s">
        <v>167</v>
      </c>
      <c r="R72">
        <v>188</v>
      </c>
      <c r="S72">
        <v>112</v>
      </c>
      <c r="T72">
        <v>79</v>
      </c>
      <c r="U72">
        <v>29</v>
      </c>
      <c r="V72" t="s">
        <v>6527</v>
      </c>
      <c r="W72">
        <v>65105</v>
      </c>
      <c r="X72" t="s">
        <v>7067</v>
      </c>
      <c r="Y72">
        <v>50417</v>
      </c>
      <c r="Z72">
        <v>1888045</v>
      </c>
      <c r="AA72">
        <v>425952</v>
      </c>
      <c r="AB72" t="str">
        <f>(VLOOKUP(SalesData[[#This Row],[Month Number]],Reference!C$5:E$16,2,FALSE))</f>
        <v>Feb</v>
      </c>
      <c r="AC72">
        <f>MONTH(SalesData[[#This Row],[Date]])</f>
        <v>2</v>
      </c>
      <c r="AD72">
        <f>Reference!F$4</f>
        <v>2026</v>
      </c>
      <c r="AE72" t="str">
        <f>IF(OR(SalesData[[#This Row],[Day]]="Saturday",SalesData[[#This Row],[Day]]="Sunday"),"Weekend","Weekday")</f>
        <v>Weekend</v>
      </c>
      <c r="AF72" s="5">
        <f>IF(SalesData[[#This Row],[Contracts Offered]]=0,0,SalesData[[#This Row],[Contracts Signed]]/SalesData[[#This Row],[Contracts Offered]])</f>
        <v>0.36708860759493672</v>
      </c>
      <c r="AG72" s="5">
        <f>IF(SalesData[[#This Row],[Customers Visited]]=0,0,SalesData[[#This Row],[Test Drives]]/SalesData[[#This Row],[Customers Visited]])</f>
        <v>0.5957446808510638</v>
      </c>
      <c r="AH72" s="5">
        <f>IF(SalesData[[#This Row],[Customers Visited]]=0,0,SalesData[[#This Row],[Contracts Signed]]/SalesData[[#This Row],[Customers Visited]])</f>
        <v>0.15425531914893617</v>
      </c>
      <c r="AI72" s="6">
        <f>IF(SalesData[[#This Row],[Contracts Signed]]=0,0,SalesData[[#This Row],[Profit(€)]]/SalesData[[#This Row],[Contracts Signed]])</f>
        <v>14688</v>
      </c>
      <c r="AJ72" s="5" t="str">
        <f>TRIM(CLEAN(SalesData[[#This Row],[Retailer]]))</f>
        <v>Ruhr Auto Plaza</v>
      </c>
    </row>
    <row r="73" spans="1:36" ht="14.25" hidden="1" x14ac:dyDescent="0.2">
      <c r="A73" t="s">
        <v>259</v>
      </c>
      <c r="B73" s="1">
        <v>46060</v>
      </c>
      <c r="C73" t="s">
        <v>24</v>
      </c>
      <c r="D73" t="s">
        <v>151</v>
      </c>
      <c r="E73" t="s">
        <v>42</v>
      </c>
      <c r="F73" t="s">
        <v>83</v>
      </c>
      <c r="G73" t="s">
        <v>84</v>
      </c>
      <c r="H73" t="s">
        <v>85</v>
      </c>
      <c r="I73" t="s">
        <v>56</v>
      </c>
      <c r="J73" t="s">
        <v>7028</v>
      </c>
      <c r="K73" t="s">
        <v>78</v>
      </c>
      <c r="L73" t="s">
        <v>46</v>
      </c>
      <c r="M73" t="s">
        <v>34</v>
      </c>
      <c r="N73" t="s">
        <v>48</v>
      </c>
      <c r="O73" t="s">
        <v>36</v>
      </c>
      <c r="P73" t="s">
        <v>58</v>
      </c>
      <c r="Q73" t="s">
        <v>172</v>
      </c>
      <c r="R73">
        <v>319</v>
      </c>
      <c r="S73">
        <v>160</v>
      </c>
      <c r="T73">
        <v>111</v>
      </c>
      <c r="U73">
        <v>40</v>
      </c>
      <c r="V73" t="s">
        <v>6403</v>
      </c>
      <c r="W73">
        <v>49662</v>
      </c>
      <c r="X73" t="s">
        <v>3859</v>
      </c>
      <c r="Y73">
        <v>37777</v>
      </c>
      <c r="Z73">
        <v>1986480</v>
      </c>
      <c r="AA73">
        <v>475400</v>
      </c>
      <c r="AB73" t="str">
        <f>(VLOOKUP(SalesData[[#This Row],[Month Number]],Reference!C$5:E$16,2,FALSE))</f>
        <v>Feb</v>
      </c>
      <c r="AC73">
        <f>MONTH(SalesData[[#This Row],[Date]])</f>
        <v>2</v>
      </c>
      <c r="AD73">
        <f>Reference!F$4</f>
        <v>2026</v>
      </c>
      <c r="AE73" t="str">
        <f>IF(OR(SalesData[[#This Row],[Day]]="Saturday",SalesData[[#This Row],[Day]]="Sunday"),"Weekend","Weekday")</f>
        <v>Weekend</v>
      </c>
      <c r="AF73" s="5">
        <f>IF(SalesData[[#This Row],[Contracts Offered]]=0,0,SalesData[[#This Row],[Contracts Signed]]/SalesData[[#This Row],[Contracts Offered]])</f>
        <v>0.36036036036036034</v>
      </c>
      <c r="AG73" s="5">
        <f>IF(SalesData[[#This Row],[Customers Visited]]=0,0,SalesData[[#This Row],[Test Drives]]/SalesData[[#This Row],[Customers Visited]])</f>
        <v>0.50156739811912221</v>
      </c>
      <c r="AH73" s="5">
        <f>IF(SalesData[[#This Row],[Customers Visited]]=0,0,SalesData[[#This Row],[Contracts Signed]]/SalesData[[#This Row],[Customers Visited]])</f>
        <v>0.12539184952978055</v>
      </c>
      <c r="AI73" s="6">
        <f>IF(SalesData[[#This Row],[Contracts Signed]]=0,0,SalesData[[#This Row],[Profit(€)]]/SalesData[[#This Row],[Contracts Signed]])</f>
        <v>11885</v>
      </c>
      <c r="AJ73" s="5" t="str">
        <f>TRIM(CLEAN(SalesData[[#This Row],[Retailer]]))</f>
        <v>Hannover Cars</v>
      </c>
    </row>
    <row r="74" spans="1:36" ht="14.25" hidden="1" x14ac:dyDescent="0.2">
      <c r="A74" t="s">
        <v>261</v>
      </c>
      <c r="B74" s="1">
        <v>46075</v>
      </c>
      <c r="C74" t="s">
        <v>53</v>
      </c>
      <c r="D74" t="s">
        <v>41</v>
      </c>
      <c r="E74" t="s">
        <v>42</v>
      </c>
      <c r="F74" t="s">
        <v>127</v>
      </c>
      <c r="G74" t="s">
        <v>128</v>
      </c>
      <c r="H74" t="s">
        <v>103</v>
      </c>
      <c r="I74" t="s">
        <v>64</v>
      </c>
      <c r="J74" t="s">
        <v>77</v>
      </c>
      <c r="K74" t="s">
        <v>78</v>
      </c>
      <c r="L74" t="s">
        <v>46</v>
      </c>
      <c r="M74" t="s">
        <v>34</v>
      </c>
      <c r="N74" t="s">
        <v>69</v>
      </c>
      <c r="O74" t="s">
        <v>70</v>
      </c>
      <c r="P74" t="s">
        <v>37</v>
      </c>
      <c r="Q74" t="s">
        <v>38</v>
      </c>
      <c r="R74">
        <v>166</v>
      </c>
      <c r="S74">
        <v>96</v>
      </c>
      <c r="T74">
        <v>66</v>
      </c>
      <c r="U74">
        <v>23</v>
      </c>
      <c r="V74" t="s">
        <v>6842</v>
      </c>
      <c r="W74">
        <v>53475</v>
      </c>
      <c r="X74" t="s">
        <v>7068</v>
      </c>
      <c r="Y74">
        <v>42228</v>
      </c>
      <c r="Z74">
        <v>1229925</v>
      </c>
      <c r="AA74">
        <v>258681</v>
      </c>
      <c r="AB74" t="str">
        <f>(VLOOKUP(SalesData[[#This Row],[Month Number]],Reference!C$5:E$16,2,FALSE))</f>
        <v>Feb</v>
      </c>
      <c r="AC74">
        <f>MONTH(SalesData[[#This Row],[Date]])</f>
        <v>2</v>
      </c>
      <c r="AD74">
        <f>Reference!F$4</f>
        <v>2026</v>
      </c>
      <c r="AE74" t="str">
        <f>IF(OR(SalesData[[#This Row],[Day]]="Saturday",SalesData[[#This Row],[Day]]="Sunday"),"Weekend","Weekday")</f>
        <v>Weekend</v>
      </c>
      <c r="AF74" s="5">
        <f>IF(SalesData[[#This Row],[Contracts Offered]]=0,0,SalesData[[#This Row],[Contracts Signed]]/SalesData[[#This Row],[Contracts Offered]])</f>
        <v>0.34848484848484851</v>
      </c>
      <c r="AG74" s="5">
        <f>IF(SalesData[[#This Row],[Customers Visited]]=0,0,SalesData[[#This Row],[Test Drives]]/SalesData[[#This Row],[Customers Visited]])</f>
        <v>0.57831325301204817</v>
      </c>
      <c r="AH74" s="5">
        <f>IF(SalesData[[#This Row],[Customers Visited]]=0,0,SalesData[[#This Row],[Contracts Signed]]/SalesData[[#This Row],[Customers Visited]])</f>
        <v>0.13855421686746988</v>
      </c>
      <c r="AI74" s="6">
        <f>IF(SalesData[[#This Row],[Contracts Signed]]=0,0,SalesData[[#This Row],[Profit(€)]]/SalesData[[#This Row],[Contracts Signed]])</f>
        <v>11247</v>
      </c>
      <c r="AJ74" s="5" t="str">
        <f>TRIM(CLEAN(SalesData[[#This Row],[Retailer]]))</f>
        <v>Rhein Auto Group</v>
      </c>
    </row>
    <row r="75" spans="1:36" ht="14.25" hidden="1" x14ac:dyDescent="0.2">
      <c r="A75" t="s">
        <v>262</v>
      </c>
      <c r="B75" s="1">
        <v>46062</v>
      </c>
      <c r="C75" t="s">
        <v>121</v>
      </c>
      <c r="D75" t="s">
        <v>25</v>
      </c>
      <c r="E75" t="s">
        <v>26</v>
      </c>
      <c r="F75" t="s">
        <v>74</v>
      </c>
      <c r="G75" t="s">
        <v>75</v>
      </c>
      <c r="H75" t="s">
        <v>76</v>
      </c>
      <c r="I75" t="s">
        <v>56</v>
      </c>
      <c r="J75" t="s">
        <v>179</v>
      </c>
      <c r="K75" t="s">
        <v>78</v>
      </c>
      <c r="L75" t="s">
        <v>67</v>
      </c>
      <c r="M75" t="s">
        <v>68</v>
      </c>
      <c r="N75" t="s">
        <v>69</v>
      </c>
      <c r="O75" t="s">
        <v>70</v>
      </c>
      <c r="P75" t="s">
        <v>49</v>
      </c>
      <c r="Q75" t="s">
        <v>88</v>
      </c>
      <c r="R75">
        <v>293</v>
      </c>
      <c r="S75">
        <v>169</v>
      </c>
      <c r="T75">
        <v>120</v>
      </c>
      <c r="U75">
        <v>34</v>
      </c>
      <c r="V75" t="s">
        <v>6884</v>
      </c>
      <c r="W75">
        <v>53515</v>
      </c>
      <c r="X75" t="s">
        <v>7069</v>
      </c>
      <c r="Y75">
        <v>42136</v>
      </c>
      <c r="Z75">
        <v>1819510</v>
      </c>
      <c r="AA75">
        <v>386886</v>
      </c>
      <c r="AB75" t="str">
        <f>(VLOOKUP(SalesData[[#This Row],[Month Number]],Reference!C$5:E$16,2,FALSE))</f>
        <v>Feb</v>
      </c>
      <c r="AC75">
        <f>MONTH(SalesData[[#This Row],[Date]])</f>
        <v>2</v>
      </c>
      <c r="AD75">
        <f>Reference!F$4</f>
        <v>2026</v>
      </c>
      <c r="AE75" t="str">
        <f>IF(OR(SalesData[[#This Row],[Day]]="Saturday",SalesData[[#This Row],[Day]]="Sunday"),"Weekend","Weekday")</f>
        <v>Weekday</v>
      </c>
      <c r="AF75" s="5">
        <f>IF(SalesData[[#This Row],[Contracts Offered]]=0,0,SalesData[[#This Row],[Contracts Signed]]/SalesData[[#This Row],[Contracts Offered]])</f>
        <v>0.28333333333333333</v>
      </c>
      <c r="AG75" s="5">
        <f>IF(SalesData[[#This Row],[Customers Visited]]=0,0,SalesData[[#This Row],[Test Drives]]/SalesData[[#This Row],[Customers Visited]])</f>
        <v>0.57679180887372017</v>
      </c>
      <c r="AH75" s="5">
        <f>IF(SalesData[[#This Row],[Customers Visited]]=0,0,SalesData[[#This Row],[Contracts Signed]]/SalesData[[#This Row],[Customers Visited]])</f>
        <v>0.11604095563139932</v>
      </c>
      <c r="AI75" s="6">
        <f>IF(SalesData[[#This Row],[Contracts Signed]]=0,0,SalesData[[#This Row],[Profit(€)]]/SalesData[[#This Row],[Contracts Signed]])</f>
        <v>11379</v>
      </c>
      <c r="AJ75" s="5" t="str">
        <f>TRIM(CLEAN(SalesData[[#This Row],[Retailer]]))</f>
        <v>Stuttgart Auto Center</v>
      </c>
    </row>
    <row r="76" spans="1:36" ht="14.25" hidden="1" x14ac:dyDescent="0.2">
      <c r="A76" t="s">
        <v>263</v>
      </c>
      <c r="B76" s="1">
        <v>46073</v>
      </c>
      <c r="C76" t="s">
        <v>62</v>
      </c>
      <c r="D76" t="s">
        <v>54</v>
      </c>
      <c r="E76" t="s">
        <v>26</v>
      </c>
      <c r="F76" t="s">
        <v>114</v>
      </c>
      <c r="G76" t="s">
        <v>115</v>
      </c>
      <c r="H76" t="s">
        <v>115</v>
      </c>
      <c r="I76" t="s">
        <v>116</v>
      </c>
      <c r="J76" t="s">
        <v>7026</v>
      </c>
      <c r="K76" t="s">
        <v>66</v>
      </c>
      <c r="L76" t="s">
        <v>46</v>
      </c>
      <c r="M76" t="s">
        <v>87</v>
      </c>
      <c r="N76" t="s">
        <v>69</v>
      </c>
      <c r="O76" t="s">
        <v>70</v>
      </c>
      <c r="P76" t="s">
        <v>71</v>
      </c>
      <c r="Q76" t="s">
        <v>158</v>
      </c>
      <c r="R76">
        <v>341</v>
      </c>
      <c r="S76">
        <v>153</v>
      </c>
      <c r="T76">
        <v>96</v>
      </c>
      <c r="U76">
        <v>28</v>
      </c>
      <c r="V76" t="s">
        <v>998</v>
      </c>
      <c r="W76">
        <v>24489</v>
      </c>
      <c r="X76" t="s">
        <v>1000</v>
      </c>
      <c r="Y76">
        <v>21876</v>
      </c>
      <c r="Z76">
        <v>685692</v>
      </c>
      <c r="AA76">
        <v>73164</v>
      </c>
      <c r="AB76" t="str">
        <f>(VLOOKUP(SalesData[[#This Row],[Month Number]],Reference!C$5:E$16,2,FALSE))</f>
        <v>Feb</v>
      </c>
      <c r="AC76">
        <f>MONTH(SalesData[[#This Row],[Date]])</f>
        <v>2</v>
      </c>
      <c r="AD76">
        <f>Reference!F$4</f>
        <v>2026</v>
      </c>
      <c r="AE76" t="str">
        <f>IF(OR(SalesData[[#This Row],[Day]]="Saturday",SalesData[[#This Row],[Day]]="Sunday"),"Weekend","Weekday")</f>
        <v>Weekday</v>
      </c>
      <c r="AF76" s="5">
        <f>IF(SalesData[[#This Row],[Contracts Offered]]=0,0,SalesData[[#This Row],[Contracts Signed]]/SalesData[[#This Row],[Contracts Offered]])</f>
        <v>0.29166666666666669</v>
      </c>
      <c r="AG76" s="5">
        <f>IF(SalesData[[#This Row],[Customers Visited]]=0,0,SalesData[[#This Row],[Test Drives]]/SalesData[[#This Row],[Customers Visited]])</f>
        <v>0.44868035190615835</v>
      </c>
      <c r="AH76" s="5">
        <f>IF(SalesData[[#This Row],[Customers Visited]]=0,0,SalesData[[#This Row],[Contracts Signed]]/SalesData[[#This Row],[Customers Visited]])</f>
        <v>8.2111436950146624E-2</v>
      </c>
      <c r="AI76" s="6">
        <f>IF(SalesData[[#This Row],[Contracts Signed]]=0,0,SalesData[[#This Row],[Profit(€)]]/SalesData[[#This Row],[Contracts Signed]])</f>
        <v>2613</v>
      </c>
      <c r="AJ76" s="5" t="str">
        <f>TRIM(CLEAN(SalesData[[#This Row],[Retailer]]))</f>
        <v>Elbe Drive</v>
      </c>
    </row>
    <row r="77" spans="1:36" ht="14.25" hidden="1" x14ac:dyDescent="0.2">
      <c r="A77" t="s">
        <v>264</v>
      </c>
      <c r="B77" s="1">
        <v>46077</v>
      </c>
      <c r="C77" t="s">
        <v>53</v>
      </c>
      <c r="D77" t="s">
        <v>63</v>
      </c>
      <c r="E77" t="s">
        <v>26</v>
      </c>
      <c r="F77" t="s">
        <v>114</v>
      </c>
      <c r="G77" t="s">
        <v>115</v>
      </c>
      <c r="H77" t="s">
        <v>115</v>
      </c>
      <c r="I77" t="s">
        <v>56</v>
      </c>
      <c r="J77" t="s">
        <v>97</v>
      </c>
      <c r="K77" t="s">
        <v>78</v>
      </c>
      <c r="L77" t="s">
        <v>33</v>
      </c>
      <c r="M77" t="s">
        <v>34</v>
      </c>
      <c r="N77" t="s">
        <v>48</v>
      </c>
      <c r="O77" t="s">
        <v>36</v>
      </c>
      <c r="P77" t="s">
        <v>49</v>
      </c>
      <c r="Q77" t="s">
        <v>88</v>
      </c>
      <c r="R77">
        <v>274</v>
      </c>
      <c r="S77">
        <v>126</v>
      </c>
      <c r="T77">
        <v>82</v>
      </c>
      <c r="U77">
        <v>31</v>
      </c>
      <c r="V77" t="s">
        <v>6897</v>
      </c>
      <c r="W77">
        <v>41513</v>
      </c>
      <c r="X77" t="s">
        <v>2192</v>
      </c>
      <c r="Y77">
        <v>32106</v>
      </c>
      <c r="Z77">
        <v>1286903</v>
      </c>
      <c r="AA77">
        <v>291617</v>
      </c>
      <c r="AB77" t="str">
        <f>(VLOOKUP(SalesData[[#This Row],[Month Number]],Reference!C$5:E$16,2,FALSE))</f>
        <v>Feb</v>
      </c>
      <c r="AC77">
        <f>MONTH(SalesData[[#This Row],[Date]])</f>
        <v>2</v>
      </c>
      <c r="AD77">
        <f>Reference!F$4</f>
        <v>2026</v>
      </c>
      <c r="AE77" t="str">
        <f>IF(OR(SalesData[[#This Row],[Day]]="Saturday",SalesData[[#This Row],[Day]]="Sunday"),"Weekend","Weekday")</f>
        <v>Weekday</v>
      </c>
      <c r="AF77" s="5">
        <f>IF(SalesData[[#This Row],[Contracts Offered]]=0,0,SalesData[[#This Row],[Contracts Signed]]/SalesData[[#This Row],[Contracts Offered]])</f>
        <v>0.37804878048780488</v>
      </c>
      <c r="AG77" s="5">
        <f>IF(SalesData[[#This Row],[Customers Visited]]=0,0,SalesData[[#This Row],[Test Drives]]/SalesData[[#This Row],[Customers Visited]])</f>
        <v>0.45985401459854014</v>
      </c>
      <c r="AH77" s="5">
        <f>IF(SalesData[[#This Row],[Customers Visited]]=0,0,SalesData[[#This Row],[Contracts Signed]]/SalesData[[#This Row],[Customers Visited]])</f>
        <v>0.11313868613138686</v>
      </c>
      <c r="AI77" s="6">
        <f>IF(SalesData[[#This Row],[Contracts Signed]]=0,0,SalesData[[#This Row],[Profit(€)]]/SalesData[[#This Row],[Contracts Signed]])</f>
        <v>9407</v>
      </c>
      <c r="AJ77" s="5" t="str">
        <f>TRIM(CLEAN(SalesData[[#This Row],[Retailer]]))</f>
        <v>Elbe Drive</v>
      </c>
    </row>
    <row r="78" spans="1:36" ht="14.25" hidden="1" x14ac:dyDescent="0.2">
      <c r="A78" t="s">
        <v>266</v>
      </c>
      <c r="B78" s="1">
        <v>46079</v>
      </c>
      <c r="C78" t="s">
        <v>53</v>
      </c>
      <c r="D78" t="s">
        <v>100</v>
      </c>
      <c r="E78" t="s">
        <v>26</v>
      </c>
      <c r="F78" t="s">
        <v>83</v>
      </c>
      <c r="G78" t="s">
        <v>84</v>
      </c>
      <c r="H78" t="s">
        <v>85</v>
      </c>
      <c r="I78" t="s">
        <v>56</v>
      </c>
      <c r="J78" t="s">
        <v>179</v>
      </c>
      <c r="K78" t="s">
        <v>78</v>
      </c>
      <c r="L78" t="s">
        <v>67</v>
      </c>
      <c r="M78" t="s">
        <v>47</v>
      </c>
      <c r="N78" t="s">
        <v>48</v>
      </c>
      <c r="O78" t="s">
        <v>70</v>
      </c>
      <c r="P78" t="s">
        <v>49</v>
      </c>
      <c r="Q78" t="s">
        <v>347</v>
      </c>
      <c r="R78">
        <v>303</v>
      </c>
      <c r="S78">
        <v>188</v>
      </c>
      <c r="T78">
        <v>143</v>
      </c>
      <c r="U78">
        <v>40</v>
      </c>
      <c r="V78" t="s">
        <v>7070</v>
      </c>
      <c r="W78">
        <v>52453</v>
      </c>
      <c r="X78" t="s">
        <v>3104</v>
      </c>
      <c r="Y78">
        <v>39557</v>
      </c>
      <c r="Z78">
        <v>2098120</v>
      </c>
      <c r="AA78">
        <v>515840</v>
      </c>
      <c r="AB78" t="str">
        <f>(VLOOKUP(SalesData[[#This Row],[Month Number]],Reference!C$5:E$16,2,FALSE))</f>
        <v>Feb</v>
      </c>
      <c r="AC78">
        <f>MONTH(SalesData[[#This Row],[Date]])</f>
        <v>2</v>
      </c>
      <c r="AD78">
        <f>Reference!F$4</f>
        <v>2026</v>
      </c>
      <c r="AE78" t="str">
        <f>IF(OR(SalesData[[#This Row],[Day]]="Saturday",SalesData[[#This Row],[Day]]="Sunday"),"Weekend","Weekday")</f>
        <v>Weekday</v>
      </c>
      <c r="AF78" s="5">
        <f>IF(SalesData[[#This Row],[Contracts Offered]]=0,0,SalesData[[#This Row],[Contracts Signed]]/SalesData[[#This Row],[Contracts Offered]])</f>
        <v>0.27972027972027974</v>
      </c>
      <c r="AG78" s="5">
        <f>IF(SalesData[[#This Row],[Customers Visited]]=0,0,SalesData[[#This Row],[Test Drives]]/SalesData[[#This Row],[Customers Visited]])</f>
        <v>0.62046204620462042</v>
      </c>
      <c r="AH78" s="5">
        <f>IF(SalesData[[#This Row],[Customers Visited]]=0,0,SalesData[[#This Row],[Contracts Signed]]/SalesData[[#This Row],[Customers Visited]])</f>
        <v>0.132013201320132</v>
      </c>
      <c r="AI78" s="6">
        <f>IF(SalesData[[#This Row],[Contracts Signed]]=0,0,SalesData[[#This Row],[Profit(€)]]/SalesData[[#This Row],[Contracts Signed]])</f>
        <v>12896</v>
      </c>
      <c r="AJ78" s="5" t="str">
        <f>TRIM(CLEAN(SalesData[[#This Row],[Retailer]]))</f>
        <v>Hannover Cars</v>
      </c>
    </row>
    <row r="79" spans="1:36" ht="14.25" hidden="1" x14ac:dyDescent="0.2">
      <c r="A79" t="s">
        <v>268</v>
      </c>
      <c r="B79" s="1">
        <v>46059</v>
      </c>
      <c r="C79" t="s">
        <v>24</v>
      </c>
      <c r="D79" t="s">
        <v>54</v>
      </c>
      <c r="E79" t="s">
        <v>26</v>
      </c>
      <c r="F79" t="s">
        <v>114</v>
      </c>
      <c r="G79" t="s">
        <v>115</v>
      </c>
      <c r="H79" t="s">
        <v>115</v>
      </c>
      <c r="I79" t="s">
        <v>64</v>
      </c>
      <c r="J79" t="s">
        <v>77</v>
      </c>
      <c r="K79" t="s">
        <v>91</v>
      </c>
      <c r="L79" t="s">
        <v>46</v>
      </c>
      <c r="M79" t="s">
        <v>87</v>
      </c>
      <c r="N79" t="s">
        <v>69</v>
      </c>
      <c r="O79" t="s">
        <v>36</v>
      </c>
      <c r="P79" t="s">
        <v>37</v>
      </c>
      <c r="Q79" t="s">
        <v>122</v>
      </c>
      <c r="R79">
        <v>246</v>
      </c>
      <c r="S79">
        <v>117</v>
      </c>
      <c r="T79">
        <v>83</v>
      </c>
      <c r="U79">
        <v>28</v>
      </c>
      <c r="V79" t="s">
        <v>6535</v>
      </c>
      <c r="W79">
        <v>66133</v>
      </c>
      <c r="X79" t="s">
        <v>552</v>
      </c>
      <c r="Y79">
        <v>50758</v>
      </c>
      <c r="Z79">
        <v>1851724</v>
      </c>
      <c r="AA79">
        <v>430500</v>
      </c>
      <c r="AB79" t="str">
        <f>(VLOOKUP(SalesData[[#This Row],[Month Number]],Reference!C$5:E$16,2,FALSE))</f>
        <v>Feb</v>
      </c>
      <c r="AC79">
        <f>MONTH(SalesData[[#This Row],[Date]])</f>
        <v>2</v>
      </c>
      <c r="AD79">
        <f>Reference!F$4</f>
        <v>2026</v>
      </c>
      <c r="AE79" t="str">
        <f>IF(OR(SalesData[[#This Row],[Day]]="Saturday",SalesData[[#This Row],[Day]]="Sunday"),"Weekend","Weekday")</f>
        <v>Weekday</v>
      </c>
      <c r="AF79" s="5">
        <f>IF(SalesData[[#This Row],[Contracts Offered]]=0,0,SalesData[[#This Row],[Contracts Signed]]/SalesData[[#This Row],[Contracts Offered]])</f>
        <v>0.33734939759036142</v>
      </c>
      <c r="AG79" s="5">
        <f>IF(SalesData[[#This Row],[Customers Visited]]=0,0,SalesData[[#This Row],[Test Drives]]/SalesData[[#This Row],[Customers Visited]])</f>
        <v>0.47560975609756095</v>
      </c>
      <c r="AH79" s="5">
        <f>IF(SalesData[[#This Row],[Customers Visited]]=0,0,SalesData[[#This Row],[Contracts Signed]]/SalesData[[#This Row],[Customers Visited]])</f>
        <v>0.11382113821138211</v>
      </c>
      <c r="AI79" s="6">
        <f>IF(SalesData[[#This Row],[Contracts Signed]]=0,0,SalesData[[#This Row],[Profit(€)]]/SalesData[[#This Row],[Contracts Signed]])</f>
        <v>15375</v>
      </c>
      <c r="AJ79" s="5" t="str">
        <f>TRIM(CLEAN(SalesData[[#This Row],[Retailer]]))</f>
        <v>Elbe Drive</v>
      </c>
    </row>
    <row r="80" spans="1:36" ht="14.25" hidden="1" x14ac:dyDescent="0.2">
      <c r="A80" t="s">
        <v>270</v>
      </c>
      <c r="B80" s="1">
        <v>46071</v>
      </c>
      <c r="C80" t="s">
        <v>62</v>
      </c>
      <c r="D80" t="s">
        <v>82</v>
      </c>
      <c r="E80" t="s">
        <v>26</v>
      </c>
      <c r="F80" t="s">
        <v>101</v>
      </c>
      <c r="G80" t="s">
        <v>102</v>
      </c>
      <c r="H80" t="s">
        <v>103</v>
      </c>
      <c r="I80" t="s">
        <v>116</v>
      </c>
      <c r="J80" t="s">
        <v>117</v>
      </c>
      <c r="K80" t="s">
        <v>32</v>
      </c>
      <c r="L80" t="s">
        <v>67</v>
      </c>
      <c r="M80" t="s">
        <v>47</v>
      </c>
      <c r="N80" t="s">
        <v>48</v>
      </c>
      <c r="O80" t="s">
        <v>70</v>
      </c>
      <c r="P80" t="s">
        <v>37</v>
      </c>
      <c r="Q80" t="s">
        <v>50</v>
      </c>
      <c r="R80">
        <v>329</v>
      </c>
      <c r="S80">
        <v>133</v>
      </c>
      <c r="T80">
        <v>86</v>
      </c>
      <c r="U80">
        <v>17</v>
      </c>
      <c r="V80" t="s">
        <v>727</v>
      </c>
      <c r="W80">
        <v>27498</v>
      </c>
      <c r="X80" t="s">
        <v>1405</v>
      </c>
      <c r="Y80">
        <v>24609</v>
      </c>
      <c r="Z80">
        <v>467466</v>
      </c>
      <c r="AA80">
        <v>49113</v>
      </c>
      <c r="AB80" t="str">
        <f>(VLOOKUP(SalesData[[#This Row],[Month Number]],Reference!C$5:E$16,2,FALSE))</f>
        <v>Feb</v>
      </c>
      <c r="AC80">
        <f>MONTH(SalesData[[#This Row],[Date]])</f>
        <v>2</v>
      </c>
      <c r="AD80">
        <f>Reference!F$4</f>
        <v>2026</v>
      </c>
      <c r="AE80" t="str">
        <f>IF(OR(SalesData[[#This Row],[Day]]="Saturday",SalesData[[#This Row],[Day]]="Sunday"),"Weekend","Weekday")</f>
        <v>Weekday</v>
      </c>
      <c r="AF80" s="5">
        <f>IF(SalesData[[#This Row],[Contracts Offered]]=0,0,SalesData[[#This Row],[Contracts Signed]]/SalesData[[#This Row],[Contracts Offered]])</f>
        <v>0.19767441860465115</v>
      </c>
      <c r="AG80" s="5">
        <f>IF(SalesData[[#This Row],[Customers Visited]]=0,0,SalesData[[#This Row],[Test Drives]]/SalesData[[#This Row],[Customers Visited]])</f>
        <v>0.40425531914893614</v>
      </c>
      <c r="AH80" s="5">
        <f>IF(SalesData[[#This Row],[Customers Visited]]=0,0,SalesData[[#This Row],[Contracts Signed]]/SalesData[[#This Row],[Customers Visited]])</f>
        <v>5.1671732522796353E-2</v>
      </c>
      <c r="AI80" s="6">
        <f>IF(SalesData[[#This Row],[Contracts Signed]]=0,0,SalesData[[#This Row],[Profit(€)]]/SalesData[[#This Row],[Contracts Signed]])</f>
        <v>2889</v>
      </c>
      <c r="AJ80" s="5" t="str">
        <f>TRIM(CLEAN(SalesData[[#This Row],[Retailer]]))</f>
        <v>Ruhr Auto Plaza</v>
      </c>
    </row>
    <row r="81" spans="1:36" ht="14.25" x14ac:dyDescent="0.2">
      <c r="A81" t="s">
        <v>272</v>
      </c>
      <c r="B81" s="1">
        <v>46058</v>
      </c>
      <c r="C81" t="s">
        <v>24</v>
      </c>
      <c r="D81" t="s">
        <v>100</v>
      </c>
      <c r="E81" t="s">
        <v>26</v>
      </c>
      <c r="F81" t="s">
        <v>114</v>
      </c>
      <c r="G81" t="s">
        <v>115</v>
      </c>
      <c r="H81" t="s">
        <v>115</v>
      </c>
      <c r="I81" t="s">
        <v>30</v>
      </c>
      <c r="J81" t="s">
        <v>86</v>
      </c>
      <c r="K81" t="s">
        <v>91</v>
      </c>
      <c r="L81" t="s">
        <v>33</v>
      </c>
      <c r="M81" t="s">
        <v>68</v>
      </c>
      <c r="N81" t="s">
        <v>69</v>
      </c>
      <c r="O81" t="s">
        <v>36</v>
      </c>
      <c r="P81" t="s">
        <v>58</v>
      </c>
      <c r="Q81" t="s">
        <v>135</v>
      </c>
      <c r="R81">
        <v>160</v>
      </c>
      <c r="S81">
        <v>78</v>
      </c>
      <c r="T81">
        <v>63</v>
      </c>
      <c r="U81">
        <v>25</v>
      </c>
      <c r="V81" t="s">
        <v>7071</v>
      </c>
      <c r="W81">
        <v>50785</v>
      </c>
      <c r="X81" t="s">
        <v>7072</v>
      </c>
      <c r="Y81">
        <v>38014</v>
      </c>
      <c r="Z81">
        <v>1269625</v>
      </c>
      <c r="AA81">
        <v>319275</v>
      </c>
      <c r="AB81" t="str">
        <f>(VLOOKUP(SalesData[[#This Row],[Month Number]],Reference!C$5:E$16,2,FALSE))</f>
        <v>Feb</v>
      </c>
      <c r="AC81">
        <f>MONTH(SalesData[[#This Row],[Date]])</f>
        <v>2</v>
      </c>
      <c r="AD81">
        <f>Reference!F$4</f>
        <v>2026</v>
      </c>
      <c r="AE81" t="str">
        <f>IF(OR(SalesData[[#This Row],[Day]]="Saturday",SalesData[[#This Row],[Day]]="Sunday"),"Weekend","Weekday")</f>
        <v>Weekday</v>
      </c>
      <c r="AF81" s="5">
        <f>IF(SalesData[[#This Row],[Contracts Offered]]=0,0,SalesData[[#This Row],[Contracts Signed]]/SalesData[[#This Row],[Contracts Offered]])</f>
        <v>0.3968253968253968</v>
      </c>
      <c r="AG81" s="5">
        <f>IF(SalesData[[#This Row],[Customers Visited]]=0,0,SalesData[[#This Row],[Test Drives]]/SalesData[[#This Row],[Customers Visited]])</f>
        <v>0.48749999999999999</v>
      </c>
      <c r="AH81" s="5">
        <f>IF(SalesData[[#This Row],[Customers Visited]]=0,0,SalesData[[#This Row],[Contracts Signed]]/SalesData[[#This Row],[Customers Visited]])</f>
        <v>0.15625</v>
      </c>
      <c r="AI81" s="6">
        <f>IF(SalesData[[#This Row],[Contracts Signed]]=0,0,SalesData[[#This Row],[Profit(€)]]/SalesData[[#This Row],[Contracts Signed]])</f>
        <v>12771</v>
      </c>
      <c r="AJ81" s="5" t="str">
        <f>TRIM(CLEAN(SalesData[[#This Row],[Retailer]]))</f>
        <v>Elbe Drive</v>
      </c>
    </row>
    <row r="82" spans="1:36" ht="14.25" hidden="1" x14ac:dyDescent="0.2">
      <c r="A82" t="s">
        <v>274</v>
      </c>
      <c r="B82" s="1">
        <v>46067</v>
      </c>
      <c r="C82" t="s">
        <v>121</v>
      </c>
      <c r="D82" t="s">
        <v>151</v>
      </c>
      <c r="E82" t="s">
        <v>42</v>
      </c>
      <c r="F82" t="s">
        <v>7649</v>
      </c>
      <c r="G82" t="s">
        <v>55</v>
      </c>
      <c r="H82" t="s">
        <v>55</v>
      </c>
      <c r="I82" t="s">
        <v>56</v>
      </c>
      <c r="J82" t="s">
        <v>97</v>
      </c>
      <c r="K82" t="s">
        <v>91</v>
      </c>
      <c r="L82" t="s">
        <v>33</v>
      </c>
      <c r="M82" t="s">
        <v>47</v>
      </c>
      <c r="N82" t="s">
        <v>48</v>
      </c>
      <c r="O82" t="s">
        <v>70</v>
      </c>
      <c r="P82" t="s">
        <v>58</v>
      </c>
      <c r="Q82" t="s">
        <v>88</v>
      </c>
      <c r="R82">
        <v>213</v>
      </c>
      <c r="S82">
        <v>106</v>
      </c>
      <c r="T82">
        <v>77</v>
      </c>
      <c r="U82">
        <v>28</v>
      </c>
      <c r="V82" t="s">
        <v>6539</v>
      </c>
      <c r="W82">
        <v>50979</v>
      </c>
      <c r="X82" t="s">
        <v>7073</v>
      </c>
      <c r="Y82">
        <v>40684</v>
      </c>
      <c r="Z82">
        <v>1427412</v>
      </c>
      <c r="AA82">
        <v>288260</v>
      </c>
      <c r="AB82" t="str">
        <f>(VLOOKUP(SalesData[[#This Row],[Month Number]],Reference!C$5:E$16,2,FALSE))</f>
        <v>Feb</v>
      </c>
      <c r="AC82">
        <f>MONTH(SalesData[[#This Row],[Date]])</f>
        <v>2</v>
      </c>
      <c r="AD82">
        <f>Reference!F$4</f>
        <v>2026</v>
      </c>
      <c r="AE82" t="str">
        <f>IF(OR(SalesData[[#This Row],[Day]]="Saturday",SalesData[[#This Row],[Day]]="Sunday"),"Weekend","Weekday")</f>
        <v>Weekend</v>
      </c>
      <c r="AF82" s="5">
        <f>IF(SalesData[[#This Row],[Contracts Offered]]=0,0,SalesData[[#This Row],[Contracts Signed]]/SalesData[[#This Row],[Contracts Offered]])</f>
        <v>0.36363636363636365</v>
      </c>
      <c r="AG82" s="5">
        <f>IF(SalesData[[#This Row],[Customers Visited]]=0,0,SalesData[[#This Row],[Test Drives]]/SalesData[[#This Row],[Customers Visited]])</f>
        <v>0.49765258215962443</v>
      </c>
      <c r="AH82" s="5">
        <f>IF(SalesData[[#This Row],[Customers Visited]]=0,0,SalesData[[#This Row],[Contracts Signed]]/SalesData[[#This Row],[Customers Visited]])</f>
        <v>0.13145539906103287</v>
      </c>
      <c r="AI82" s="6">
        <f>IF(SalesData[[#This Row],[Contracts Signed]]=0,0,SalesData[[#This Row],[Profit(€)]]/SalesData[[#This Row],[Contracts Signed]])</f>
        <v>10295</v>
      </c>
      <c r="AJ82" s="5" t="str">
        <f>TRIM(CLEAN(SalesData[[#This Row],[Retailer]]))</f>
        <v>Autohaus Berlin</v>
      </c>
    </row>
    <row r="83" spans="1:36" ht="14.25" hidden="1" x14ac:dyDescent="0.2">
      <c r="A83" t="s">
        <v>276</v>
      </c>
      <c r="B83" s="1">
        <v>46063</v>
      </c>
      <c r="C83" t="s">
        <v>121</v>
      </c>
      <c r="D83" t="s">
        <v>63</v>
      </c>
      <c r="E83" t="s">
        <v>26</v>
      </c>
      <c r="F83" t="s">
        <v>127</v>
      </c>
      <c r="G83" t="s">
        <v>128</v>
      </c>
      <c r="H83" t="s">
        <v>103</v>
      </c>
      <c r="I83" t="s">
        <v>104</v>
      </c>
      <c r="J83" t="s">
        <v>140</v>
      </c>
      <c r="K83" t="s">
        <v>78</v>
      </c>
      <c r="L83" t="s">
        <v>46</v>
      </c>
      <c r="M83" t="s">
        <v>47</v>
      </c>
      <c r="N83" t="s">
        <v>48</v>
      </c>
      <c r="O83" t="s">
        <v>36</v>
      </c>
      <c r="P83" t="s">
        <v>37</v>
      </c>
      <c r="Q83" t="s">
        <v>118</v>
      </c>
      <c r="R83">
        <v>408</v>
      </c>
      <c r="S83">
        <v>200</v>
      </c>
      <c r="T83">
        <v>116</v>
      </c>
      <c r="U83">
        <v>34</v>
      </c>
      <c r="V83" t="s">
        <v>601</v>
      </c>
      <c r="W83">
        <v>32145</v>
      </c>
      <c r="X83" t="s">
        <v>1120</v>
      </c>
      <c r="Y83">
        <v>27944</v>
      </c>
      <c r="Z83">
        <v>1092930</v>
      </c>
      <c r="AA83">
        <v>142834</v>
      </c>
      <c r="AB83" t="str">
        <f>(VLOOKUP(SalesData[[#This Row],[Month Number]],Reference!C$5:E$16,2,FALSE))</f>
        <v>Feb</v>
      </c>
      <c r="AC83">
        <f>MONTH(SalesData[[#This Row],[Date]])</f>
        <v>2</v>
      </c>
      <c r="AD83">
        <f>Reference!F$4</f>
        <v>2026</v>
      </c>
      <c r="AE83" t="str">
        <f>IF(OR(SalesData[[#This Row],[Day]]="Saturday",SalesData[[#This Row],[Day]]="Sunday"),"Weekend","Weekday")</f>
        <v>Weekday</v>
      </c>
      <c r="AF83" s="5">
        <f>IF(SalesData[[#This Row],[Contracts Offered]]=0,0,SalesData[[#This Row],[Contracts Signed]]/SalesData[[#This Row],[Contracts Offered]])</f>
        <v>0.29310344827586204</v>
      </c>
      <c r="AG83" s="5">
        <f>IF(SalesData[[#This Row],[Customers Visited]]=0,0,SalesData[[#This Row],[Test Drives]]/SalesData[[#This Row],[Customers Visited]])</f>
        <v>0.49019607843137253</v>
      </c>
      <c r="AH83" s="5">
        <f>IF(SalesData[[#This Row],[Customers Visited]]=0,0,SalesData[[#This Row],[Contracts Signed]]/SalesData[[#This Row],[Customers Visited]])</f>
        <v>8.3333333333333329E-2</v>
      </c>
      <c r="AI83" s="6">
        <f>IF(SalesData[[#This Row],[Contracts Signed]]=0,0,SalesData[[#This Row],[Profit(€)]]/SalesData[[#This Row],[Contracts Signed]])</f>
        <v>4201</v>
      </c>
      <c r="AJ83" s="5" t="str">
        <f>TRIM(CLEAN(SalesData[[#This Row],[Retailer]]))</f>
        <v>Rhein Auto Group</v>
      </c>
    </row>
    <row r="84" spans="1:36" ht="14.25" x14ac:dyDescent="0.2">
      <c r="A84" t="s">
        <v>278</v>
      </c>
      <c r="B84" s="1">
        <v>46063</v>
      </c>
      <c r="C84" t="s">
        <v>121</v>
      </c>
      <c r="D84" t="s">
        <v>63</v>
      </c>
      <c r="E84" t="s">
        <v>26</v>
      </c>
      <c r="F84" t="s">
        <v>27</v>
      </c>
      <c r="G84" t="s">
        <v>28</v>
      </c>
      <c r="H84" t="s">
        <v>29</v>
      </c>
      <c r="I84" t="s">
        <v>30</v>
      </c>
      <c r="J84" t="s">
        <v>188</v>
      </c>
      <c r="K84" t="s">
        <v>66</v>
      </c>
      <c r="L84" t="s">
        <v>33</v>
      </c>
      <c r="M84" t="s">
        <v>34</v>
      </c>
      <c r="N84" t="s">
        <v>69</v>
      </c>
      <c r="O84" t="s">
        <v>70</v>
      </c>
      <c r="P84" t="s">
        <v>49</v>
      </c>
      <c r="Q84" t="s">
        <v>135</v>
      </c>
      <c r="R84">
        <v>176</v>
      </c>
      <c r="S84">
        <v>105</v>
      </c>
      <c r="T84">
        <v>77</v>
      </c>
      <c r="U84">
        <v>28</v>
      </c>
      <c r="V84" t="s">
        <v>6388</v>
      </c>
      <c r="W84">
        <v>69219</v>
      </c>
      <c r="X84" t="s">
        <v>7074</v>
      </c>
      <c r="Y84">
        <v>49754</v>
      </c>
      <c r="Z84">
        <v>1938132</v>
      </c>
      <c r="AA84">
        <v>545020</v>
      </c>
      <c r="AB84" t="str">
        <f>(VLOOKUP(SalesData[[#This Row],[Month Number]],Reference!C$5:E$16,2,FALSE))</f>
        <v>Feb</v>
      </c>
      <c r="AC84">
        <f>MONTH(SalesData[[#This Row],[Date]])</f>
        <v>2</v>
      </c>
      <c r="AD84">
        <f>Reference!F$4</f>
        <v>2026</v>
      </c>
      <c r="AE84" t="str">
        <f>IF(OR(SalesData[[#This Row],[Day]]="Saturday",SalesData[[#This Row],[Day]]="Sunday"),"Weekend","Weekday")</f>
        <v>Weekday</v>
      </c>
      <c r="AF84" s="5">
        <f>IF(SalesData[[#This Row],[Contracts Offered]]=0,0,SalesData[[#This Row],[Contracts Signed]]/SalesData[[#This Row],[Contracts Offered]])</f>
        <v>0.36363636363636365</v>
      </c>
      <c r="AG84" s="5">
        <f>IF(SalesData[[#This Row],[Customers Visited]]=0,0,SalesData[[#This Row],[Test Drives]]/SalesData[[#This Row],[Customers Visited]])</f>
        <v>0.59659090909090906</v>
      </c>
      <c r="AH84" s="5">
        <f>IF(SalesData[[#This Row],[Customers Visited]]=0,0,SalesData[[#This Row],[Contracts Signed]]/SalesData[[#This Row],[Customers Visited]])</f>
        <v>0.15909090909090909</v>
      </c>
      <c r="AI84" s="6">
        <f>IF(SalesData[[#This Row],[Contracts Signed]]=0,0,SalesData[[#This Row],[Profit(€)]]/SalesData[[#This Row],[Contracts Signed]])</f>
        <v>19465</v>
      </c>
      <c r="AJ84" s="5" t="str">
        <f>TRIM(CLEAN(SalesData[[#This Row],[Retailer]]))</f>
        <v>Main Auto Hub</v>
      </c>
    </row>
    <row r="85" spans="1:36" ht="14.25" x14ac:dyDescent="0.2">
      <c r="A85" t="s">
        <v>280</v>
      </c>
      <c r="B85" s="1">
        <v>46080</v>
      </c>
      <c r="C85" t="s">
        <v>53</v>
      </c>
      <c r="D85" t="s">
        <v>54</v>
      </c>
      <c r="E85" t="s">
        <v>26</v>
      </c>
      <c r="F85" t="s">
        <v>94</v>
      </c>
      <c r="G85" t="s">
        <v>95</v>
      </c>
      <c r="H85" t="s">
        <v>96</v>
      </c>
      <c r="I85" t="s">
        <v>30</v>
      </c>
      <c r="J85" t="s">
        <v>7075</v>
      </c>
      <c r="K85" t="s">
        <v>78</v>
      </c>
      <c r="L85" t="s">
        <v>33</v>
      </c>
      <c r="M85" t="s">
        <v>87</v>
      </c>
      <c r="N85" t="s">
        <v>69</v>
      </c>
      <c r="O85" t="s">
        <v>70</v>
      </c>
      <c r="P85" t="s">
        <v>71</v>
      </c>
      <c r="Q85" t="s">
        <v>144</v>
      </c>
      <c r="R85">
        <v>163</v>
      </c>
      <c r="S85">
        <v>80</v>
      </c>
      <c r="T85">
        <v>64</v>
      </c>
      <c r="U85">
        <v>25</v>
      </c>
      <c r="V85" t="s">
        <v>7076</v>
      </c>
      <c r="W85">
        <v>66452</v>
      </c>
      <c r="X85" t="s">
        <v>2192</v>
      </c>
      <c r="Y85">
        <v>50866</v>
      </c>
      <c r="Z85">
        <v>1661300</v>
      </c>
      <c r="AA85">
        <v>389650</v>
      </c>
      <c r="AB85" t="str">
        <f>(VLOOKUP(SalesData[[#This Row],[Month Number]],Reference!C$5:E$16,2,FALSE))</f>
        <v>Feb</v>
      </c>
      <c r="AC85">
        <f>MONTH(SalesData[[#This Row],[Date]])</f>
        <v>2</v>
      </c>
      <c r="AD85">
        <f>Reference!F$4</f>
        <v>2026</v>
      </c>
      <c r="AE85" t="str">
        <f>IF(OR(SalesData[[#This Row],[Day]]="Saturday",SalesData[[#This Row],[Day]]="Sunday"),"Weekend","Weekday")</f>
        <v>Weekday</v>
      </c>
      <c r="AF85" s="5">
        <f>IF(SalesData[[#This Row],[Contracts Offered]]=0,0,SalesData[[#This Row],[Contracts Signed]]/SalesData[[#This Row],[Contracts Offered]])</f>
        <v>0.390625</v>
      </c>
      <c r="AG85" s="5">
        <f>IF(SalesData[[#This Row],[Customers Visited]]=0,0,SalesData[[#This Row],[Test Drives]]/SalesData[[#This Row],[Customers Visited]])</f>
        <v>0.49079754601226994</v>
      </c>
      <c r="AH85" s="5">
        <f>IF(SalesData[[#This Row],[Customers Visited]]=0,0,SalesData[[#This Row],[Contracts Signed]]/SalesData[[#This Row],[Customers Visited]])</f>
        <v>0.15337423312883436</v>
      </c>
      <c r="AI85" s="6">
        <f>IF(SalesData[[#This Row],[Contracts Signed]]=0,0,SalesData[[#This Row],[Profit(€)]]/SalesData[[#This Row],[Contracts Signed]])</f>
        <v>15586</v>
      </c>
      <c r="AJ85" s="5" t="str">
        <f>TRIM(CLEAN(SalesData[[#This Row],[Retailer]]))</f>
        <v>Bavaria Motors</v>
      </c>
    </row>
    <row r="86" spans="1:36" ht="14.25" x14ac:dyDescent="0.2">
      <c r="A86" t="s">
        <v>282</v>
      </c>
      <c r="B86" s="1">
        <v>46067</v>
      </c>
      <c r="C86" t="s">
        <v>121</v>
      </c>
      <c r="D86" t="s">
        <v>151</v>
      </c>
      <c r="E86" t="s">
        <v>42</v>
      </c>
      <c r="F86" t="s">
        <v>83</v>
      </c>
      <c r="G86" t="s">
        <v>84</v>
      </c>
      <c r="H86" t="s">
        <v>85</v>
      </c>
      <c r="I86" t="s">
        <v>30</v>
      </c>
      <c r="J86" t="s">
        <v>86</v>
      </c>
      <c r="K86" t="s">
        <v>91</v>
      </c>
      <c r="L86" t="s">
        <v>33</v>
      </c>
      <c r="M86" t="s">
        <v>34</v>
      </c>
      <c r="N86" t="s">
        <v>48</v>
      </c>
      <c r="O86" t="s">
        <v>36</v>
      </c>
      <c r="P86" t="s">
        <v>49</v>
      </c>
      <c r="Q86" t="s">
        <v>106</v>
      </c>
      <c r="R86">
        <v>144</v>
      </c>
      <c r="S86">
        <v>77</v>
      </c>
      <c r="T86">
        <v>54</v>
      </c>
      <c r="U86">
        <v>21</v>
      </c>
      <c r="V86" t="s">
        <v>6483</v>
      </c>
      <c r="W86">
        <v>55519</v>
      </c>
      <c r="X86" t="s">
        <v>2023</v>
      </c>
      <c r="Y86">
        <v>41517</v>
      </c>
      <c r="Z86">
        <v>1165899</v>
      </c>
      <c r="AA86">
        <v>294042</v>
      </c>
      <c r="AB86" t="str">
        <f>(VLOOKUP(SalesData[[#This Row],[Month Number]],Reference!C$5:E$16,2,FALSE))</f>
        <v>Feb</v>
      </c>
      <c r="AC86">
        <f>MONTH(SalesData[[#This Row],[Date]])</f>
        <v>2</v>
      </c>
      <c r="AD86">
        <f>Reference!F$4</f>
        <v>2026</v>
      </c>
      <c r="AE86" t="str">
        <f>IF(OR(SalesData[[#This Row],[Day]]="Saturday",SalesData[[#This Row],[Day]]="Sunday"),"Weekend","Weekday")</f>
        <v>Weekend</v>
      </c>
      <c r="AF86" s="5">
        <f>IF(SalesData[[#This Row],[Contracts Offered]]=0,0,SalesData[[#This Row],[Contracts Signed]]/SalesData[[#This Row],[Contracts Offered]])</f>
        <v>0.3888888888888889</v>
      </c>
      <c r="AG86" s="5">
        <f>IF(SalesData[[#This Row],[Customers Visited]]=0,0,SalesData[[#This Row],[Test Drives]]/SalesData[[#This Row],[Customers Visited]])</f>
        <v>0.53472222222222221</v>
      </c>
      <c r="AH86" s="5">
        <f>IF(SalesData[[#This Row],[Customers Visited]]=0,0,SalesData[[#This Row],[Contracts Signed]]/SalesData[[#This Row],[Customers Visited]])</f>
        <v>0.14583333333333334</v>
      </c>
      <c r="AI86" s="6">
        <f>IF(SalesData[[#This Row],[Contracts Signed]]=0,0,SalesData[[#This Row],[Profit(€)]]/SalesData[[#This Row],[Contracts Signed]])</f>
        <v>14002</v>
      </c>
      <c r="AJ86" s="5" t="str">
        <f>TRIM(CLEAN(SalesData[[#This Row],[Retailer]]))</f>
        <v>Hannover Cars</v>
      </c>
    </row>
    <row r="87" spans="1:36" ht="14.25" hidden="1" x14ac:dyDescent="0.2">
      <c r="A87" t="s">
        <v>284</v>
      </c>
      <c r="B87" s="1">
        <v>46058</v>
      </c>
      <c r="C87" t="s">
        <v>24</v>
      </c>
      <c r="D87" t="s">
        <v>100</v>
      </c>
      <c r="E87" t="s">
        <v>26</v>
      </c>
      <c r="F87" t="s">
        <v>74</v>
      </c>
      <c r="G87" t="s">
        <v>75</v>
      </c>
      <c r="H87" t="s">
        <v>76</v>
      </c>
      <c r="I87" t="s">
        <v>116</v>
      </c>
      <c r="J87" t="s">
        <v>7026</v>
      </c>
      <c r="K87" t="s">
        <v>66</v>
      </c>
      <c r="L87" t="s">
        <v>46</v>
      </c>
      <c r="M87" t="s">
        <v>68</v>
      </c>
      <c r="N87" t="s">
        <v>69</v>
      </c>
      <c r="O87" t="s">
        <v>70</v>
      </c>
      <c r="P87" t="s">
        <v>37</v>
      </c>
      <c r="Q87" t="s">
        <v>172</v>
      </c>
      <c r="R87">
        <v>340</v>
      </c>
      <c r="S87">
        <v>172</v>
      </c>
      <c r="T87">
        <v>117</v>
      </c>
      <c r="U87">
        <v>29</v>
      </c>
      <c r="V87" t="s">
        <v>685</v>
      </c>
      <c r="W87">
        <v>22110</v>
      </c>
      <c r="X87" t="s">
        <v>1885</v>
      </c>
      <c r="Y87">
        <v>20542</v>
      </c>
      <c r="Z87">
        <v>641190</v>
      </c>
      <c r="AA87">
        <v>45472</v>
      </c>
      <c r="AB87" t="str">
        <f>(VLOOKUP(SalesData[[#This Row],[Month Number]],Reference!C$5:E$16,2,FALSE))</f>
        <v>Feb</v>
      </c>
      <c r="AC87">
        <f>MONTH(SalesData[[#This Row],[Date]])</f>
        <v>2</v>
      </c>
      <c r="AD87">
        <f>Reference!F$4</f>
        <v>2026</v>
      </c>
      <c r="AE87" t="str">
        <f>IF(OR(SalesData[[#This Row],[Day]]="Saturday",SalesData[[#This Row],[Day]]="Sunday"),"Weekend","Weekday")</f>
        <v>Weekday</v>
      </c>
      <c r="AF87" s="5">
        <f>IF(SalesData[[#This Row],[Contracts Offered]]=0,0,SalesData[[#This Row],[Contracts Signed]]/SalesData[[#This Row],[Contracts Offered]])</f>
        <v>0.24786324786324787</v>
      </c>
      <c r="AG87" s="5">
        <f>IF(SalesData[[#This Row],[Customers Visited]]=0,0,SalesData[[#This Row],[Test Drives]]/SalesData[[#This Row],[Customers Visited]])</f>
        <v>0.50588235294117645</v>
      </c>
      <c r="AH87" s="5">
        <f>IF(SalesData[[#This Row],[Customers Visited]]=0,0,SalesData[[#This Row],[Contracts Signed]]/SalesData[[#This Row],[Customers Visited]])</f>
        <v>8.5294117647058826E-2</v>
      </c>
      <c r="AI87" s="6">
        <f>IF(SalesData[[#This Row],[Contracts Signed]]=0,0,SalesData[[#This Row],[Profit(€)]]/SalesData[[#This Row],[Contracts Signed]])</f>
        <v>1568</v>
      </c>
      <c r="AJ87" s="5" t="str">
        <f>TRIM(CLEAN(SalesData[[#This Row],[Retailer]]))</f>
        <v>Stuttgart Auto Center</v>
      </c>
    </row>
    <row r="88" spans="1:36" ht="14.25" hidden="1" x14ac:dyDescent="0.2">
      <c r="A88" t="s">
        <v>285</v>
      </c>
      <c r="B88" s="1">
        <v>46063</v>
      </c>
      <c r="C88" t="s">
        <v>121</v>
      </c>
      <c r="D88" t="s">
        <v>63</v>
      </c>
      <c r="E88" t="s">
        <v>26</v>
      </c>
      <c r="F88" t="s">
        <v>83</v>
      </c>
      <c r="G88" t="s">
        <v>84</v>
      </c>
      <c r="H88" t="s">
        <v>85</v>
      </c>
      <c r="I88" t="s">
        <v>104</v>
      </c>
      <c r="J88" t="s">
        <v>143</v>
      </c>
      <c r="K88" t="s">
        <v>66</v>
      </c>
      <c r="L88" t="s">
        <v>67</v>
      </c>
      <c r="M88" t="s">
        <v>47</v>
      </c>
      <c r="N88" t="s">
        <v>69</v>
      </c>
      <c r="O88" t="s">
        <v>70</v>
      </c>
      <c r="P88" t="s">
        <v>58</v>
      </c>
      <c r="Q88" t="s">
        <v>158</v>
      </c>
      <c r="R88">
        <v>452</v>
      </c>
      <c r="S88">
        <v>208</v>
      </c>
      <c r="T88">
        <v>139</v>
      </c>
      <c r="U88">
        <v>34</v>
      </c>
      <c r="V88" t="s">
        <v>2087</v>
      </c>
      <c r="W88">
        <v>28704</v>
      </c>
      <c r="X88" t="s">
        <v>1156</v>
      </c>
      <c r="Y88">
        <v>24930</v>
      </c>
      <c r="Z88">
        <v>975936</v>
      </c>
      <c r="AA88">
        <v>128316</v>
      </c>
      <c r="AB88" t="str">
        <f>(VLOOKUP(SalesData[[#This Row],[Month Number]],Reference!C$5:E$16,2,FALSE))</f>
        <v>Feb</v>
      </c>
      <c r="AC88">
        <f>MONTH(SalesData[[#This Row],[Date]])</f>
        <v>2</v>
      </c>
      <c r="AD88">
        <f>Reference!F$4</f>
        <v>2026</v>
      </c>
      <c r="AE88" t="str">
        <f>IF(OR(SalesData[[#This Row],[Day]]="Saturday",SalesData[[#This Row],[Day]]="Sunday"),"Weekend","Weekday")</f>
        <v>Weekday</v>
      </c>
      <c r="AF88" s="5">
        <f>IF(SalesData[[#This Row],[Contracts Offered]]=0,0,SalesData[[#This Row],[Contracts Signed]]/SalesData[[#This Row],[Contracts Offered]])</f>
        <v>0.2446043165467626</v>
      </c>
      <c r="AG88" s="5">
        <f>IF(SalesData[[#This Row],[Customers Visited]]=0,0,SalesData[[#This Row],[Test Drives]]/SalesData[[#This Row],[Customers Visited]])</f>
        <v>0.46017699115044247</v>
      </c>
      <c r="AH88" s="5">
        <f>IF(SalesData[[#This Row],[Customers Visited]]=0,0,SalesData[[#This Row],[Contracts Signed]]/SalesData[[#This Row],[Customers Visited]])</f>
        <v>7.5221238938053103E-2</v>
      </c>
      <c r="AI88" s="6">
        <f>IF(SalesData[[#This Row],[Contracts Signed]]=0,0,SalesData[[#This Row],[Profit(€)]]/SalesData[[#This Row],[Contracts Signed]])</f>
        <v>3774</v>
      </c>
      <c r="AJ88" s="5" t="str">
        <f>TRIM(CLEAN(SalesData[[#This Row],[Retailer]]))</f>
        <v>Hannover Cars</v>
      </c>
    </row>
    <row r="89" spans="1:36" ht="14.25" hidden="1" x14ac:dyDescent="0.2">
      <c r="A89" t="s">
        <v>287</v>
      </c>
      <c r="B89" s="1">
        <v>46081</v>
      </c>
      <c r="C89" t="s">
        <v>53</v>
      </c>
      <c r="D89" t="s">
        <v>151</v>
      </c>
      <c r="E89" t="s">
        <v>42</v>
      </c>
      <c r="F89" t="s">
        <v>109</v>
      </c>
      <c r="G89" t="s">
        <v>110</v>
      </c>
      <c r="H89" t="s">
        <v>45</v>
      </c>
      <c r="I89" t="s">
        <v>64</v>
      </c>
      <c r="J89" t="s">
        <v>157</v>
      </c>
      <c r="K89" t="s">
        <v>91</v>
      </c>
      <c r="L89" t="s">
        <v>33</v>
      </c>
      <c r="M89" t="s">
        <v>47</v>
      </c>
      <c r="N89" t="s">
        <v>35</v>
      </c>
      <c r="O89" t="s">
        <v>70</v>
      </c>
      <c r="P89" t="s">
        <v>71</v>
      </c>
      <c r="Q89" t="s">
        <v>118</v>
      </c>
      <c r="R89">
        <v>224</v>
      </c>
      <c r="S89">
        <v>118</v>
      </c>
      <c r="T89">
        <v>85</v>
      </c>
      <c r="U89">
        <v>25</v>
      </c>
      <c r="V89" t="s">
        <v>7077</v>
      </c>
      <c r="W89">
        <v>59763</v>
      </c>
      <c r="X89" t="s">
        <v>7078</v>
      </c>
      <c r="Y89">
        <v>45267</v>
      </c>
      <c r="Z89">
        <v>1494075</v>
      </c>
      <c r="AA89">
        <v>362400</v>
      </c>
      <c r="AB89" t="str">
        <f>(VLOOKUP(SalesData[[#This Row],[Month Number]],Reference!C$5:E$16,2,FALSE))</f>
        <v>Feb</v>
      </c>
      <c r="AC89">
        <f>MONTH(SalesData[[#This Row],[Date]])</f>
        <v>2</v>
      </c>
      <c r="AD89">
        <f>Reference!F$4</f>
        <v>2026</v>
      </c>
      <c r="AE89" t="str">
        <f>IF(OR(SalesData[[#This Row],[Day]]="Saturday",SalesData[[#This Row],[Day]]="Sunday"),"Weekend","Weekday")</f>
        <v>Weekend</v>
      </c>
      <c r="AF89" s="5">
        <f>IF(SalesData[[#This Row],[Contracts Offered]]=0,0,SalesData[[#This Row],[Contracts Signed]]/SalesData[[#This Row],[Contracts Offered]])</f>
        <v>0.29411764705882354</v>
      </c>
      <c r="AG89" s="5">
        <f>IF(SalesData[[#This Row],[Customers Visited]]=0,0,SalesData[[#This Row],[Test Drives]]/SalesData[[#This Row],[Customers Visited]])</f>
        <v>0.5267857142857143</v>
      </c>
      <c r="AH89" s="5">
        <f>IF(SalesData[[#This Row],[Customers Visited]]=0,0,SalesData[[#This Row],[Contracts Signed]]/SalesData[[#This Row],[Customers Visited]])</f>
        <v>0.11160714285714286</v>
      </c>
      <c r="AI89" s="6">
        <f>IF(SalesData[[#This Row],[Contracts Signed]]=0,0,SalesData[[#This Row],[Profit(€)]]/SalesData[[#This Row],[Contracts Signed]])</f>
        <v>14496</v>
      </c>
      <c r="AJ89" s="5" t="str">
        <f>TRIM(CLEAN(SalesData[[#This Row],[Retailer]]))</f>
        <v>Leipzig Mobility</v>
      </c>
    </row>
    <row r="90" spans="1:36" ht="14.25" hidden="1" x14ac:dyDescent="0.2">
      <c r="A90" t="s">
        <v>289</v>
      </c>
      <c r="B90" s="1">
        <v>46080</v>
      </c>
      <c r="C90" t="s">
        <v>53</v>
      </c>
      <c r="D90" t="s">
        <v>54</v>
      </c>
      <c r="E90" t="s">
        <v>26</v>
      </c>
      <c r="F90" t="s">
        <v>101</v>
      </c>
      <c r="G90" t="s">
        <v>102</v>
      </c>
      <c r="H90" t="s">
        <v>103</v>
      </c>
      <c r="I90" t="s">
        <v>56</v>
      </c>
      <c r="J90" t="s">
        <v>7028</v>
      </c>
      <c r="K90" t="s">
        <v>91</v>
      </c>
      <c r="L90" t="s">
        <v>46</v>
      </c>
      <c r="M90" t="s">
        <v>47</v>
      </c>
      <c r="N90" t="s">
        <v>35</v>
      </c>
      <c r="O90" t="s">
        <v>36</v>
      </c>
      <c r="P90" t="s">
        <v>37</v>
      </c>
      <c r="Q90" t="s">
        <v>38</v>
      </c>
      <c r="R90">
        <v>183</v>
      </c>
      <c r="S90">
        <v>114</v>
      </c>
      <c r="T90">
        <v>83</v>
      </c>
      <c r="U90">
        <v>23</v>
      </c>
      <c r="V90" t="s">
        <v>6427</v>
      </c>
      <c r="W90">
        <v>53393</v>
      </c>
      <c r="X90" t="s">
        <v>678</v>
      </c>
      <c r="Y90">
        <v>41156</v>
      </c>
      <c r="Z90">
        <v>1228039</v>
      </c>
      <c r="AA90">
        <v>281451</v>
      </c>
      <c r="AB90" t="str">
        <f>(VLOOKUP(SalesData[[#This Row],[Month Number]],Reference!C$5:E$16,2,FALSE))</f>
        <v>Feb</v>
      </c>
      <c r="AC90">
        <f>MONTH(SalesData[[#This Row],[Date]])</f>
        <v>2</v>
      </c>
      <c r="AD90">
        <f>Reference!F$4</f>
        <v>2026</v>
      </c>
      <c r="AE90" t="str">
        <f>IF(OR(SalesData[[#This Row],[Day]]="Saturday",SalesData[[#This Row],[Day]]="Sunday"),"Weekend","Weekday")</f>
        <v>Weekday</v>
      </c>
      <c r="AF90" s="5">
        <f>IF(SalesData[[#This Row],[Contracts Offered]]=0,0,SalesData[[#This Row],[Contracts Signed]]/SalesData[[#This Row],[Contracts Offered]])</f>
        <v>0.27710843373493976</v>
      </c>
      <c r="AG90" s="5">
        <f>IF(SalesData[[#This Row],[Customers Visited]]=0,0,SalesData[[#This Row],[Test Drives]]/SalesData[[#This Row],[Customers Visited]])</f>
        <v>0.62295081967213117</v>
      </c>
      <c r="AH90" s="5">
        <f>IF(SalesData[[#This Row],[Customers Visited]]=0,0,SalesData[[#This Row],[Contracts Signed]]/SalesData[[#This Row],[Customers Visited]])</f>
        <v>0.12568306010928962</v>
      </c>
      <c r="AI90" s="6">
        <f>IF(SalesData[[#This Row],[Contracts Signed]]=0,0,SalesData[[#This Row],[Profit(€)]]/SalesData[[#This Row],[Contracts Signed]])</f>
        <v>12237</v>
      </c>
      <c r="AJ90" s="5" t="str">
        <f>TRIM(CLEAN(SalesData[[#This Row],[Retailer]]))</f>
        <v>Ruhr Auto Plaza</v>
      </c>
    </row>
    <row r="91" spans="1:36" ht="14.25" hidden="1" x14ac:dyDescent="0.2">
      <c r="A91" t="s">
        <v>291</v>
      </c>
      <c r="B91" s="1">
        <v>46080</v>
      </c>
      <c r="C91" t="s">
        <v>53</v>
      </c>
      <c r="D91" t="s">
        <v>54</v>
      </c>
      <c r="E91" t="s">
        <v>26</v>
      </c>
      <c r="F91" t="s">
        <v>7649</v>
      </c>
      <c r="G91" t="s">
        <v>55</v>
      </c>
      <c r="H91" t="s">
        <v>55</v>
      </c>
      <c r="I91" t="s">
        <v>104</v>
      </c>
      <c r="J91" t="s">
        <v>105</v>
      </c>
      <c r="K91" t="s">
        <v>32</v>
      </c>
      <c r="L91" t="s">
        <v>33</v>
      </c>
      <c r="M91" t="s">
        <v>34</v>
      </c>
      <c r="N91" t="s">
        <v>35</v>
      </c>
      <c r="O91" t="s">
        <v>36</v>
      </c>
      <c r="P91" t="s">
        <v>49</v>
      </c>
      <c r="Q91" t="s">
        <v>172</v>
      </c>
      <c r="R91">
        <v>343</v>
      </c>
      <c r="S91">
        <v>156</v>
      </c>
      <c r="T91">
        <v>94</v>
      </c>
      <c r="U91">
        <v>25</v>
      </c>
      <c r="V91" t="s">
        <v>2288</v>
      </c>
      <c r="W91">
        <v>34687</v>
      </c>
      <c r="X91" t="s">
        <v>7079</v>
      </c>
      <c r="Y91">
        <v>31067</v>
      </c>
      <c r="Z91">
        <v>867175</v>
      </c>
      <c r="AA91">
        <v>90500</v>
      </c>
      <c r="AB91" t="str">
        <f>(VLOOKUP(SalesData[[#This Row],[Month Number]],Reference!C$5:E$16,2,FALSE))</f>
        <v>Feb</v>
      </c>
      <c r="AC91">
        <f>MONTH(SalesData[[#This Row],[Date]])</f>
        <v>2</v>
      </c>
      <c r="AD91">
        <f>Reference!F$4</f>
        <v>2026</v>
      </c>
      <c r="AE91" t="str">
        <f>IF(OR(SalesData[[#This Row],[Day]]="Saturday",SalesData[[#This Row],[Day]]="Sunday"),"Weekend","Weekday")</f>
        <v>Weekday</v>
      </c>
      <c r="AF91" s="5">
        <f>IF(SalesData[[#This Row],[Contracts Offered]]=0,0,SalesData[[#This Row],[Contracts Signed]]/SalesData[[#This Row],[Contracts Offered]])</f>
        <v>0.26595744680851063</v>
      </c>
      <c r="AG91" s="5">
        <f>IF(SalesData[[#This Row],[Customers Visited]]=0,0,SalesData[[#This Row],[Test Drives]]/SalesData[[#This Row],[Customers Visited]])</f>
        <v>0.45481049562682213</v>
      </c>
      <c r="AH91" s="5">
        <f>IF(SalesData[[#This Row],[Customers Visited]]=0,0,SalesData[[#This Row],[Contracts Signed]]/SalesData[[#This Row],[Customers Visited]])</f>
        <v>7.2886297376093298E-2</v>
      </c>
      <c r="AI91" s="6">
        <f>IF(SalesData[[#This Row],[Contracts Signed]]=0,0,SalesData[[#This Row],[Profit(€)]]/SalesData[[#This Row],[Contracts Signed]])</f>
        <v>3620</v>
      </c>
      <c r="AJ91" s="5" t="str">
        <f>TRIM(CLEAN(SalesData[[#This Row],[Retailer]]))</f>
        <v>Autohaus Berlin</v>
      </c>
    </row>
    <row r="92" spans="1:36" ht="14.25" x14ac:dyDescent="0.2">
      <c r="A92" t="s">
        <v>293</v>
      </c>
      <c r="B92" s="1">
        <v>46066</v>
      </c>
      <c r="C92" t="s">
        <v>121</v>
      </c>
      <c r="D92" t="s">
        <v>54</v>
      </c>
      <c r="E92" t="s">
        <v>26</v>
      </c>
      <c r="F92" t="s">
        <v>7649</v>
      </c>
      <c r="G92" t="s">
        <v>55</v>
      </c>
      <c r="H92" t="s">
        <v>55</v>
      </c>
      <c r="I92" t="s">
        <v>30</v>
      </c>
      <c r="J92" t="s">
        <v>7075</v>
      </c>
      <c r="K92" t="s">
        <v>32</v>
      </c>
      <c r="L92" t="s">
        <v>33</v>
      </c>
      <c r="M92" t="s">
        <v>68</v>
      </c>
      <c r="N92" t="s">
        <v>48</v>
      </c>
      <c r="O92" t="s">
        <v>70</v>
      </c>
      <c r="P92" t="s">
        <v>49</v>
      </c>
      <c r="Q92" t="s">
        <v>88</v>
      </c>
      <c r="R92">
        <v>278</v>
      </c>
      <c r="S92">
        <v>135</v>
      </c>
      <c r="T92">
        <v>101</v>
      </c>
      <c r="U92">
        <v>39</v>
      </c>
      <c r="V92" t="s">
        <v>6688</v>
      </c>
      <c r="W92">
        <v>65387</v>
      </c>
      <c r="X92" t="s">
        <v>7080</v>
      </c>
      <c r="Y92">
        <v>48597</v>
      </c>
      <c r="Z92">
        <v>2550093</v>
      </c>
      <c r="AA92">
        <v>654810</v>
      </c>
      <c r="AB92" t="str">
        <f>(VLOOKUP(SalesData[[#This Row],[Month Number]],Reference!C$5:E$16,2,FALSE))</f>
        <v>Feb</v>
      </c>
      <c r="AC92">
        <f>MONTH(SalesData[[#This Row],[Date]])</f>
        <v>2</v>
      </c>
      <c r="AD92">
        <f>Reference!F$4</f>
        <v>2026</v>
      </c>
      <c r="AE92" t="str">
        <f>IF(OR(SalesData[[#This Row],[Day]]="Saturday",SalesData[[#This Row],[Day]]="Sunday"),"Weekend","Weekday")</f>
        <v>Weekday</v>
      </c>
      <c r="AF92" s="5">
        <f>IF(SalesData[[#This Row],[Contracts Offered]]=0,0,SalesData[[#This Row],[Contracts Signed]]/SalesData[[#This Row],[Contracts Offered]])</f>
        <v>0.38613861386138615</v>
      </c>
      <c r="AG92" s="5">
        <f>IF(SalesData[[#This Row],[Customers Visited]]=0,0,SalesData[[#This Row],[Test Drives]]/SalesData[[#This Row],[Customers Visited]])</f>
        <v>0.48561151079136688</v>
      </c>
      <c r="AH92" s="5">
        <f>IF(SalesData[[#This Row],[Customers Visited]]=0,0,SalesData[[#This Row],[Contracts Signed]]/SalesData[[#This Row],[Customers Visited]])</f>
        <v>0.14028776978417265</v>
      </c>
      <c r="AI92" s="6">
        <f>IF(SalesData[[#This Row],[Contracts Signed]]=0,0,SalesData[[#This Row],[Profit(€)]]/SalesData[[#This Row],[Contracts Signed]])</f>
        <v>16790</v>
      </c>
      <c r="AJ92" s="5" t="str">
        <f>TRIM(CLEAN(SalesData[[#This Row],[Retailer]]))</f>
        <v>Autohaus Berlin</v>
      </c>
    </row>
    <row r="93" spans="1:36" ht="14.25" hidden="1" x14ac:dyDescent="0.2">
      <c r="A93" t="s">
        <v>295</v>
      </c>
      <c r="B93" s="1">
        <v>46055</v>
      </c>
      <c r="C93" t="s">
        <v>24</v>
      </c>
      <c r="D93" t="s">
        <v>25</v>
      </c>
      <c r="E93" t="s">
        <v>26</v>
      </c>
      <c r="F93" t="s">
        <v>94</v>
      </c>
      <c r="G93" t="s">
        <v>95</v>
      </c>
      <c r="H93" t="s">
        <v>96</v>
      </c>
      <c r="I93" t="s">
        <v>56</v>
      </c>
      <c r="J93" t="s">
        <v>57</v>
      </c>
      <c r="K93" t="s">
        <v>91</v>
      </c>
      <c r="L93" t="s">
        <v>46</v>
      </c>
      <c r="M93" t="s">
        <v>47</v>
      </c>
      <c r="N93" t="s">
        <v>35</v>
      </c>
      <c r="O93" t="s">
        <v>70</v>
      </c>
      <c r="P93" t="s">
        <v>37</v>
      </c>
      <c r="Q93" t="s">
        <v>204</v>
      </c>
      <c r="R93">
        <v>307</v>
      </c>
      <c r="S93">
        <v>166</v>
      </c>
      <c r="T93">
        <v>115</v>
      </c>
      <c r="U93">
        <v>35</v>
      </c>
      <c r="V93" t="s">
        <v>7081</v>
      </c>
      <c r="W93">
        <v>54775</v>
      </c>
      <c r="X93" t="s">
        <v>3488</v>
      </c>
      <c r="Y93">
        <v>42547</v>
      </c>
      <c r="Z93">
        <v>1917125</v>
      </c>
      <c r="AA93">
        <v>427980</v>
      </c>
      <c r="AB93" t="str">
        <f>(VLOOKUP(SalesData[[#This Row],[Month Number]],Reference!C$5:E$16,2,FALSE))</f>
        <v>Feb</v>
      </c>
      <c r="AC93">
        <f>MONTH(SalesData[[#This Row],[Date]])</f>
        <v>2</v>
      </c>
      <c r="AD93">
        <f>Reference!F$4</f>
        <v>2026</v>
      </c>
      <c r="AE93" t="str">
        <f>IF(OR(SalesData[[#This Row],[Day]]="Saturday",SalesData[[#This Row],[Day]]="Sunday"),"Weekend","Weekday")</f>
        <v>Weekday</v>
      </c>
      <c r="AF93" s="5">
        <f>IF(SalesData[[#This Row],[Contracts Offered]]=0,0,SalesData[[#This Row],[Contracts Signed]]/SalesData[[#This Row],[Contracts Offered]])</f>
        <v>0.30434782608695654</v>
      </c>
      <c r="AG93" s="5">
        <f>IF(SalesData[[#This Row],[Customers Visited]]=0,0,SalesData[[#This Row],[Test Drives]]/SalesData[[#This Row],[Customers Visited]])</f>
        <v>0.54071661237785018</v>
      </c>
      <c r="AH93" s="5">
        <f>IF(SalesData[[#This Row],[Customers Visited]]=0,0,SalesData[[#This Row],[Contracts Signed]]/SalesData[[#This Row],[Customers Visited]])</f>
        <v>0.11400651465798045</v>
      </c>
      <c r="AI93" s="6">
        <f>IF(SalesData[[#This Row],[Contracts Signed]]=0,0,SalesData[[#This Row],[Profit(€)]]/SalesData[[#This Row],[Contracts Signed]])</f>
        <v>12228</v>
      </c>
      <c r="AJ93" s="5" t="str">
        <f>TRIM(CLEAN(SalesData[[#This Row],[Retailer]]))</f>
        <v>Bavaria Motors</v>
      </c>
    </row>
    <row r="94" spans="1:36" ht="14.25" hidden="1" x14ac:dyDescent="0.2">
      <c r="A94" t="s">
        <v>296</v>
      </c>
      <c r="B94" s="1">
        <v>46055</v>
      </c>
      <c r="C94" t="s">
        <v>24</v>
      </c>
      <c r="D94" t="s">
        <v>25</v>
      </c>
      <c r="E94" t="s">
        <v>26</v>
      </c>
      <c r="F94" t="s">
        <v>74</v>
      </c>
      <c r="G94" t="s">
        <v>75</v>
      </c>
      <c r="H94" t="s">
        <v>76</v>
      </c>
      <c r="I94" t="s">
        <v>56</v>
      </c>
      <c r="J94" t="s">
        <v>7028</v>
      </c>
      <c r="K94" t="s">
        <v>32</v>
      </c>
      <c r="L94" t="s">
        <v>46</v>
      </c>
      <c r="M94" t="s">
        <v>34</v>
      </c>
      <c r="N94" t="s">
        <v>35</v>
      </c>
      <c r="O94" t="s">
        <v>70</v>
      </c>
      <c r="P94" t="s">
        <v>49</v>
      </c>
      <c r="Q94" t="s">
        <v>59</v>
      </c>
      <c r="R94">
        <v>254</v>
      </c>
      <c r="S94">
        <v>131</v>
      </c>
      <c r="T94">
        <v>93</v>
      </c>
      <c r="U94">
        <v>27</v>
      </c>
      <c r="V94" t="s">
        <v>6583</v>
      </c>
      <c r="W94">
        <v>48239</v>
      </c>
      <c r="X94" t="s">
        <v>1299</v>
      </c>
      <c r="Y94">
        <v>39398</v>
      </c>
      <c r="Z94">
        <v>1302453</v>
      </c>
      <c r="AA94">
        <v>238707</v>
      </c>
      <c r="AB94" t="str">
        <f>(VLOOKUP(SalesData[[#This Row],[Month Number]],Reference!C$5:E$16,2,FALSE))</f>
        <v>Feb</v>
      </c>
      <c r="AC94">
        <f>MONTH(SalesData[[#This Row],[Date]])</f>
        <v>2</v>
      </c>
      <c r="AD94">
        <f>Reference!F$4</f>
        <v>2026</v>
      </c>
      <c r="AE94" t="str">
        <f>IF(OR(SalesData[[#This Row],[Day]]="Saturday",SalesData[[#This Row],[Day]]="Sunday"),"Weekend","Weekday")</f>
        <v>Weekday</v>
      </c>
      <c r="AF94" s="5">
        <f>IF(SalesData[[#This Row],[Contracts Offered]]=0,0,SalesData[[#This Row],[Contracts Signed]]/SalesData[[#This Row],[Contracts Offered]])</f>
        <v>0.29032258064516131</v>
      </c>
      <c r="AG94" s="5">
        <f>IF(SalesData[[#This Row],[Customers Visited]]=0,0,SalesData[[#This Row],[Test Drives]]/SalesData[[#This Row],[Customers Visited]])</f>
        <v>0.51574803149606296</v>
      </c>
      <c r="AH94" s="5">
        <f>IF(SalesData[[#This Row],[Customers Visited]]=0,0,SalesData[[#This Row],[Contracts Signed]]/SalesData[[#This Row],[Customers Visited]])</f>
        <v>0.1062992125984252</v>
      </c>
      <c r="AI94" s="6">
        <f>IF(SalesData[[#This Row],[Contracts Signed]]=0,0,SalesData[[#This Row],[Profit(€)]]/SalesData[[#This Row],[Contracts Signed]])</f>
        <v>8841</v>
      </c>
      <c r="AJ94" s="5" t="str">
        <f>TRIM(CLEAN(SalesData[[#This Row],[Retailer]]))</f>
        <v>Stuttgart Auto Center</v>
      </c>
    </row>
    <row r="95" spans="1:36" ht="14.25" hidden="1" x14ac:dyDescent="0.2">
      <c r="A95" t="s">
        <v>298</v>
      </c>
      <c r="B95" s="1">
        <v>46074</v>
      </c>
      <c r="C95" t="s">
        <v>62</v>
      </c>
      <c r="D95" t="s">
        <v>151</v>
      </c>
      <c r="E95" t="s">
        <v>42</v>
      </c>
      <c r="F95" t="s">
        <v>101</v>
      </c>
      <c r="G95" t="s">
        <v>102</v>
      </c>
      <c r="H95" t="s">
        <v>103</v>
      </c>
      <c r="I95" t="s">
        <v>64</v>
      </c>
      <c r="J95" t="s">
        <v>111</v>
      </c>
      <c r="K95" t="s">
        <v>91</v>
      </c>
      <c r="L95" t="s">
        <v>46</v>
      </c>
      <c r="M95" t="s">
        <v>34</v>
      </c>
      <c r="N95" t="s">
        <v>48</v>
      </c>
      <c r="O95" t="s">
        <v>36</v>
      </c>
      <c r="P95" t="s">
        <v>37</v>
      </c>
      <c r="Q95" t="s">
        <v>50</v>
      </c>
      <c r="R95">
        <v>218</v>
      </c>
      <c r="S95">
        <v>120</v>
      </c>
      <c r="T95">
        <v>91</v>
      </c>
      <c r="U95">
        <v>27</v>
      </c>
      <c r="V95" t="s">
        <v>6870</v>
      </c>
      <c r="W95">
        <v>68680</v>
      </c>
      <c r="X95" t="s">
        <v>7082</v>
      </c>
      <c r="Y95">
        <v>49225</v>
      </c>
      <c r="Z95">
        <v>1854360</v>
      </c>
      <c r="AA95">
        <v>525285</v>
      </c>
      <c r="AB95" t="str">
        <f>(VLOOKUP(SalesData[[#This Row],[Month Number]],Reference!C$5:E$16,2,FALSE))</f>
        <v>Feb</v>
      </c>
      <c r="AC95">
        <f>MONTH(SalesData[[#This Row],[Date]])</f>
        <v>2</v>
      </c>
      <c r="AD95">
        <f>Reference!F$4</f>
        <v>2026</v>
      </c>
      <c r="AE95" t="str">
        <f>IF(OR(SalesData[[#This Row],[Day]]="Saturday",SalesData[[#This Row],[Day]]="Sunday"),"Weekend","Weekday")</f>
        <v>Weekend</v>
      </c>
      <c r="AF95" s="5">
        <f>IF(SalesData[[#This Row],[Contracts Offered]]=0,0,SalesData[[#This Row],[Contracts Signed]]/SalesData[[#This Row],[Contracts Offered]])</f>
        <v>0.2967032967032967</v>
      </c>
      <c r="AG95" s="5">
        <f>IF(SalesData[[#This Row],[Customers Visited]]=0,0,SalesData[[#This Row],[Test Drives]]/SalesData[[#This Row],[Customers Visited]])</f>
        <v>0.55045871559633031</v>
      </c>
      <c r="AH95" s="5">
        <f>IF(SalesData[[#This Row],[Customers Visited]]=0,0,SalesData[[#This Row],[Contracts Signed]]/SalesData[[#This Row],[Customers Visited]])</f>
        <v>0.12385321100917432</v>
      </c>
      <c r="AI95" s="6">
        <f>IF(SalesData[[#This Row],[Contracts Signed]]=0,0,SalesData[[#This Row],[Profit(€)]]/SalesData[[#This Row],[Contracts Signed]])</f>
        <v>19455</v>
      </c>
      <c r="AJ95" s="5" t="str">
        <f>TRIM(CLEAN(SalesData[[#This Row],[Retailer]]))</f>
        <v>Ruhr Auto Plaza</v>
      </c>
    </row>
    <row r="96" spans="1:36" ht="14.25" hidden="1" x14ac:dyDescent="0.2">
      <c r="A96" t="s">
        <v>300</v>
      </c>
      <c r="B96" s="1">
        <v>46075</v>
      </c>
      <c r="C96" t="s">
        <v>53</v>
      </c>
      <c r="D96" t="s">
        <v>41</v>
      </c>
      <c r="E96" t="s">
        <v>42</v>
      </c>
      <c r="F96" t="s">
        <v>83</v>
      </c>
      <c r="G96" t="s">
        <v>84</v>
      </c>
      <c r="H96" t="s">
        <v>85</v>
      </c>
      <c r="I96" t="s">
        <v>116</v>
      </c>
      <c r="J96" t="s">
        <v>132</v>
      </c>
      <c r="K96" t="s">
        <v>66</v>
      </c>
      <c r="L96" t="s">
        <v>46</v>
      </c>
      <c r="M96" t="s">
        <v>68</v>
      </c>
      <c r="N96" t="s">
        <v>35</v>
      </c>
      <c r="O96" t="s">
        <v>36</v>
      </c>
      <c r="P96" t="s">
        <v>71</v>
      </c>
      <c r="Q96" t="s">
        <v>172</v>
      </c>
      <c r="R96">
        <v>377</v>
      </c>
      <c r="S96">
        <v>187</v>
      </c>
      <c r="T96">
        <v>128</v>
      </c>
      <c r="U96">
        <v>31</v>
      </c>
      <c r="V96" t="s">
        <v>882</v>
      </c>
      <c r="W96">
        <v>22912</v>
      </c>
      <c r="X96" t="s">
        <v>931</v>
      </c>
      <c r="Y96">
        <v>20431</v>
      </c>
      <c r="Z96">
        <v>710272</v>
      </c>
      <c r="AA96">
        <v>76911</v>
      </c>
      <c r="AB96" t="str">
        <f>(VLOOKUP(SalesData[[#This Row],[Month Number]],Reference!C$5:E$16,2,FALSE))</f>
        <v>Feb</v>
      </c>
      <c r="AC96">
        <f>MONTH(SalesData[[#This Row],[Date]])</f>
        <v>2</v>
      </c>
      <c r="AD96">
        <f>Reference!F$4</f>
        <v>2026</v>
      </c>
      <c r="AE96" t="str">
        <f>IF(OR(SalesData[[#This Row],[Day]]="Saturday",SalesData[[#This Row],[Day]]="Sunday"),"Weekend","Weekday")</f>
        <v>Weekend</v>
      </c>
      <c r="AF96" s="5">
        <f>IF(SalesData[[#This Row],[Contracts Offered]]=0,0,SalesData[[#This Row],[Contracts Signed]]/SalesData[[#This Row],[Contracts Offered]])</f>
        <v>0.2421875</v>
      </c>
      <c r="AG96" s="5">
        <f>IF(SalesData[[#This Row],[Customers Visited]]=0,0,SalesData[[#This Row],[Test Drives]]/SalesData[[#This Row],[Customers Visited]])</f>
        <v>0.49602122015915118</v>
      </c>
      <c r="AH96" s="5">
        <f>IF(SalesData[[#This Row],[Customers Visited]]=0,0,SalesData[[#This Row],[Contracts Signed]]/SalesData[[#This Row],[Customers Visited]])</f>
        <v>8.2228116710875335E-2</v>
      </c>
      <c r="AI96" s="6">
        <f>IF(SalesData[[#This Row],[Contracts Signed]]=0,0,SalesData[[#This Row],[Profit(€)]]/SalesData[[#This Row],[Contracts Signed]])</f>
        <v>2481</v>
      </c>
      <c r="AJ96" s="5" t="str">
        <f>TRIM(CLEAN(SalesData[[#This Row],[Retailer]]))</f>
        <v>Hannover Cars</v>
      </c>
    </row>
    <row r="97" spans="1:36" ht="14.25" hidden="1" x14ac:dyDescent="0.2">
      <c r="A97" t="s">
        <v>302</v>
      </c>
      <c r="B97" s="1">
        <v>46069</v>
      </c>
      <c r="C97" t="s">
        <v>62</v>
      </c>
      <c r="D97" t="s">
        <v>25</v>
      </c>
      <c r="E97" t="s">
        <v>26</v>
      </c>
      <c r="F97" t="s">
        <v>127</v>
      </c>
      <c r="G97" t="s">
        <v>128</v>
      </c>
      <c r="H97" t="s">
        <v>103</v>
      </c>
      <c r="I97" t="s">
        <v>56</v>
      </c>
      <c r="J97" t="s">
        <v>57</v>
      </c>
      <c r="K97" t="s">
        <v>32</v>
      </c>
      <c r="L97" t="s">
        <v>46</v>
      </c>
      <c r="M97" t="s">
        <v>87</v>
      </c>
      <c r="N97" t="s">
        <v>69</v>
      </c>
      <c r="O97" t="s">
        <v>36</v>
      </c>
      <c r="P97" t="s">
        <v>49</v>
      </c>
      <c r="Q97" t="s">
        <v>152</v>
      </c>
      <c r="R97">
        <v>320</v>
      </c>
      <c r="S97">
        <v>168</v>
      </c>
      <c r="T97">
        <v>109</v>
      </c>
      <c r="U97">
        <v>40</v>
      </c>
      <c r="V97" t="s">
        <v>6383</v>
      </c>
      <c r="W97">
        <v>53834</v>
      </c>
      <c r="X97" t="s">
        <v>7083</v>
      </c>
      <c r="Y97">
        <v>43853</v>
      </c>
      <c r="Z97">
        <v>2153360</v>
      </c>
      <c r="AA97">
        <v>399240</v>
      </c>
      <c r="AB97" t="str">
        <f>(VLOOKUP(SalesData[[#This Row],[Month Number]],Reference!C$5:E$16,2,FALSE))</f>
        <v>Feb</v>
      </c>
      <c r="AC97">
        <f>MONTH(SalesData[[#This Row],[Date]])</f>
        <v>2</v>
      </c>
      <c r="AD97">
        <f>Reference!F$4</f>
        <v>2026</v>
      </c>
      <c r="AE97" t="str">
        <f>IF(OR(SalesData[[#This Row],[Day]]="Saturday",SalesData[[#This Row],[Day]]="Sunday"),"Weekend","Weekday")</f>
        <v>Weekday</v>
      </c>
      <c r="AF97" s="5">
        <f>IF(SalesData[[#This Row],[Contracts Offered]]=0,0,SalesData[[#This Row],[Contracts Signed]]/SalesData[[#This Row],[Contracts Offered]])</f>
        <v>0.3669724770642202</v>
      </c>
      <c r="AG97" s="5">
        <f>IF(SalesData[[#This Row],[Customers Visited]]=0,0,SalesData[[#This Row],[Test Drives]]/SalesData[[#This Row],[Customers Visited]])</f>
        <v>0.52500000000000002</v>
      </c>
      <c r="AH97" s="5">
        <f>IF(SalesData[[#This Row],[Customers Visited]]=0,0,SalesData[[#This Row],[Contracts Signed]]/SalesData[[#This Row],[Customers Visited]])</f>
        <v>0.125</v>
      </c>
      <c r="AI97" s="6">
        <f>IF(SalesData[[#This Row],[Contracts Signed]]=0,0,SalesData[[#This Row],[Profit(€)]]/SalesData[[#This Row],[Contracts Signed]])</f>
        <v>9981</v>
      </c>
      <c r="AJ97" s="5" t="str">
        <f>TRIM(CLEAN(SalesData[[#This Row],[Retailer]]))</f>
        <v>Rhein Auto Group</v>
      </c>
    </row>
    <row r="98" spans="1:36" ht="14.25" x14ac:dyDescent="0.2">
      <c r="A98" t="s">
        <v>304</v>
      </c>
      <c r="B98" s="1">
        <v>46057</v>
      </c>
      <c r="C98" t="s">
        <v>24</v>
      </c>
      <c r="D98" t="s">
        <v>82</v>
      </c>
      <c r="E98" t="s">
        <v>26</v>
      </c>
      <c r="F98" t="s">
        <v>43</v>
      </c>
      <c r="G98" t="s">
        <v>44</v>
      </c>
      <c r="H98" t="s">
        <v>45</v>
      </c>
      <c r="I98" t="s">
        <v>30</v>
      </c>
      <c r="J98" t="s">
        <v>31</v>
      </c>
      <c r="K98" t="s">
        <v>78</v>
      </c>
      <c r="L98" t="s">
        <v>46</v>
      </c>
      <c r="M98" t="s">
        <v>34</v>
      </c>
      <c r="N98" t="s">
        <v>69</v>
      </c>
      <c r="O98" t="s">
        <v>70</v>
      </c>
      <c r="P98" t="s">
        <v>37</v>
      </c>
      <c r="Q98" t="s">
        <v>38</v>
      </c>
      <c r="R98">
        <v>151</v>
      </c>
      <c r="S98">
        <v>84</v>
      </c>
      <c r="T98">
        <v>57</v>
      </c>
      <c r="U98">
        <v>23</v>
      </c>
      <c r="V98" t="s">
        <v>6944</v>
      </c>
      <c r="W98">
        <v>54243</v>
      </c>
      <c r="X98" t="s">
        <v>1937</v>
      </c>
      <c r="Y98">
        <v>41244</v>
      </c>
      <c r="Z98">
        <v>1247589</v>
      </c>
      <c r="AA98">
        <v>298977</v>
      </c>
      <c r="AB98" t="str">
        <f>(VLOOKUP(SalesData[[#This Row],[Month Number]],Reference!C$5:E$16,2,FALSE))</f>
        <v>Feb</v>
      </c>
      <c r="AC98">
        <f>MONTH(SalesData[[#This Row],[Date]])</f>
        <v>2</v>
      </c>
      <c r="AD98">
        <f>Reference!F$4</f>
        <v>2026</v>
      </c>
      <c r="AE98" t="str">
        <f>IF(OR(SalesData[[#This Row],[Day]]="Saturday",SalesData[[#This Row],[Day]]="Sunday"),"Weekend","Weekday")</f>
        <v>Weekday</v>
      </c>
      <c r="AF98" s="5">
        <f>IF(SalesData[[#This Row],[Contracts Offered]]=0,0,SalesData[[#This Row],[Contracts Signed]]/SalesData[[#This Row],[Contracts Offered]])</f>
        <v>0.40350877192982454</v>
      </c>
      <c r="AG98" s="5">
        <f>IF(SalesData[[#This Row],[Customers Visited]]=0,0,SalesData[[#This Row],[Test Drives]]/SalesData[[#This Row],[Customers Visited]])</f>
        <v>0.55629139072847678</v>
      </c>
      <c r="AH98" s="5">
        <f>IF(SalesData[[#This Row],[Customers Visited]]=0,0,SalesData[[#This Row],[Contracts Signed]]/SalesData[[#This Row],[Customers Visited]])</f>
        <v>0.15231788079470199</v>
      </c>
      <c r="AI98" s="6">
        <f>IF(SalesData[[#This Row],[Contracts Signed]]=0,0,SalesData[[#This Row],[Profit(€)]]/SalesData[[#This Row],[Contracts Signed]])</f>
        <v>12999</v>
      </c>
      <c r="AJ98" s="5" t="str">
        <f>TRIM(CLEAN(SalesData[[#This Row],[Retailer]]))</f>
        <v>Saxon Wheels</v>
      </c>
    </row>
    <row r="99" spans="1:36" ht="14.25" hidden="1" x14ac:dyDescent="0.2">
      <c r="A99" t="s">
        <v>306</v>
      </c>
      <c r="B99" s="1">
        <v>46055</v>
      </c>
      <c r="C99" t="s">
        <v>24</v>
      </c>
      <c r="D99" t="s">
        <v>25</v>
      </c>
      <c r="E99" t="s">
        <v>26</v>
      </c>
      <c r="F99" t="s">
        <v>109</v>
      </c>
      <c r="G99" t="s">
        <v>110</v>
      </c>
      <c r="H99" t="s">
        <v>45</v>
      </c>
      <c r="I99" t="s">
        <v>64</v>
      </c>
      <c r="J99" t="s">
        <v>77</v>
      </c>
      <c r="K99" t="s">
        <v>66</v>
      </c>
      <c r="L99" t="s">
        <v>46</v>
      </c>
      <c r="M99" t="s">
        <v>68</v>
      </c>
      <c r="N99" t="s">
        <v>69</v>
      </c>
      <c r="O99" t="s">
        <v>36</v>
      </c>
      <c r="P99" t="s">
        <v>71</v>
      </c>
      <c r="Q99" t="s">
        <v>152</v>
      </c>
      <c r="R99">
        <v>254</v>
      </c>
      <c r="S99">
        <v>149</v>
      </c>
      <c r="T99">
        <v>116</v>
      </c>
      <c r="U99">
        <v>35</v>
      </c>
      <c r="V99" t="s">
        <v>6345</v>
      </c>
      <c r="W99">
        <v>58229</v>
      </c>
      <c r="X99" t="s">
        <v>554</v>
      </c>
      <c r="Y99">
        <v>45699</v>
      </c>
      <c r="Z99">
        <v>2038015</v>
      </c>
      <c r="AA99">
        <v>438550</v>
      </c>
      <c r="AB99" t="str">
        <f>(VLOOKUP(SalesData[[#This Row],[Month Number]],Reference!C$5:E$16,2,FALSE))</f>
        <v>Feb</v>
      </c>
      <c r="AC99">
        <f>MONTH(SalesData[[#This Row],[Date]])</f>
        <v>2</v>
      </c>
      <c r="AD99">
        <f>Reference!F$4</f>
        <v>2026</v>
      </c>
      <c r="AE99" t="str">
        <f>IF(OR(SalesData[[#This Row],[Day]]="Saturday",SalesData[[#This Row],[Day]]="Sunday"),"Weekend","Weekday")</f>
        <v>Weekday</v>
      </c>
      <c r="AF99" s="5">
        <f>IF(SalesData[[#This Row],[Contracts Offered]]=0,0,SalesData[[#This Row],[Contracts Signed]]/SalesData[[#This Row],[Contracts Offered]])</f>
        <v>0.30172413793103448</v>
      </c>
      <c r="AG99" s="5">
        <f>IF(SalesData[[#This Row],[Customers Visited]]=0,0,SalesData[[#This Row],[Test Drives]]/SalesData[[#This Row],[Customers Visited]])</f>
        <v>0.58661417322834641</v>
      </c>
      <c r="AH99" s="5">
        <f>IF(SalesData[[#This Row],[Customers Visited]]=0,0,SalesData[[#This Row],[Contracts Signed]]/SalesData[[#This Row],[Customers Visited]])</f>
        <v>0.13779527559055119</v>
      </c>
      <c r="AI99" s="6">
        <f>IF(SalesData[[#This Row],[Contracts Signed]]=0,0,SalesData[[#This Row],[Profit(€)]]/SalesData[[#This Row],[Contracts Signed]])</f>
        <v>12530</v>
      </c>
      <c r="AJ99" s="5" t="str">
        <f>TRIM(CLEAN(SalesData[[#This Row],[Retailer]]))</f>
        <v>Leipzig Mobility</v>
      </c>
    </row>
    <row r="100" spans="1:36" ht="14.25" x14ac:dyDescent="0.2">
      <c r="A100" t="s">
        <v>308</v>
      </c>
      <c r="B100" s="1">
        <v>46074</v>
      </c>
      <c r="C100" t="s">
        <v>62</v>
      </c>
      <c r="D100" t="s">
        <v>151</v>
      </c>
      <c r="E100" t="s">
        <v>42</v>
      </c>
      <c r="F100" t="s">
        <v>109</v>
      </c>
      <c r="G100" t="s">
        <v>110</v>
      </c>
      <c r="H100" t="s">
        <v>45</v>
      </c>
      <c r="I100" t="s">
        <v>30</v>
      </c>
      <c r="J100" t="s">
        <v>86</v>
      </c>
      <c r="K100" t="s">
        <v>32</v>
      </c>
      <c r="L100" t="s">
        <v>33</v>
      </c>
      <c r="M100" t="s">
        <v>68</v>
      </c>
      <c r="N100" t="s">
        <v>69</v>
      </c>
      <c r="O100" t="s">
        <v>36</v>
      </c>
      <c r="P100" t="s">
        <v>58</v>
      </c>
      <c r="Q100" t="s">
        <v>122</v>
      </c>
      <c r="R100">
        <v>153</v>
      </c>
      <c r="S100">
        <v>70</v>
      </c>
      <c r="T100">
        <v>48</v>
      </c>
      <c r="U100">
        <v>19</v>
      </c>
      <c r="V100" t="s">
        <v>6520</v>
      </c>
      <c r="W100">
        <v>61466</v>
      </c>
      <c r="X100" t="s">
        <v>2061</v>
      </c>
      <c r="Y100">
        <v>43522</v>
      </c>
      <c r="Z100">
        <v>1167854</v>
      </c>
      <c r="AA100">
        <v>340936</v>
      </c>
      <c r="AB100" t="str">
        <f>(VLOOKUP(SalesData[[#This Row],[Month Number]],Reference!C$5:E$16,2,FALSE))</f>
        <v>Feb</v>
      </c>
      <c r="AC100">
        <f>MONTH(SalesData[[#This Row],[Date]])</f>
        <v>2</v>
      </c>
      <c r="AD100">
        <f>Reference!F$4</f>
        <v>2026</v>
      </c>
      <c r="AE100" t="str">
        <f>IF(OR(SalesData[[#This Row],[Day]]="Saturday",SalesData[[#This Row],[Day]]="Sunday"),"Weekend","Weekday")</f>
        <v>Weekend</v>
      </c>
      <c r="AF100" s="5">
        <f>IF(SalesData[[#This Row],[Contracts Offered]]=0,0,SalesData[[#This Row],[Contracts Signed]]/SalesData[[#This Row],[Contracts Offered]])</f>
        <v>0.39583333333333331</v>
      </c>
      <c r="AG100" s="5">
        <f>IF(SalesData[[#This Row],[Customers Visited]]=0,0,SalesData[[#This Row],[Test Drives]]/SalesData[[#This Row],[Customers Visited]])</f>
        <v>0.45751633986928103</v>
      </c>
      <c r="AH100" s="5">
        <f>IF(SalesData[[#This Row],[Customers Visited]]=0,0,SalesData[[#This Row],[Contracts Signed]]/SalesData[[#This Row],[Customers Visited]])</f>
        <v>0.12418300653594772</v>
      </c>
      <c r="AI100" s="6">
        <f>IF(SalesData[[#This Row],[Contracts Signed]]=0,0,SalesData[[#This Row],[Profit(€)]]/SalesData[[#This Row],[Contracts Signed]])</f>
        <v>17944</v>
      </c>
      <c r="AJ100" s="5" t="str">
        <f>TRIM(CLEAN(SalesData[[#This Row],[Retailer]]))</f>
        <v>Leipzig Mobility</v>
      </c>
    </row>
    <row r="101" spans="1:36" ht="14.25" x14ac:dyDescent="0.2">
      <c r="A101" t="s">
        <v>310</v>
      </c>
      <c r="B101" s="1">
        <v>46060</v>
      </c>
      <c r="C101" t="s">
        <v>24</v>
      </c>
      <c r="D101" t="s">
        <v>151</v>
      </c>
      <c r="E101" t="s">
        <v>42</v>
      </c>
      <c r="F101" t="s">
        <v>109</v>
      </c>
      <c r="G101" t="s">
        <v>110</v>
      </c>
      <c r="H101" t="s">
        <v>45</v>
      </c>
      <c r="I101" t="s">
        <v>30</v>
      </c>
      <c r="J101" t="s">
        <v>166</v>
      </c>
      <c r="K101" t="s">
        <v>32</v>
      </c>
      <c r="L101" t="s">
        <v>46</v>
      </c>
      <c r="M101" t="s">
        <v>47</v>
      </c>
      <c r="N101" t="s">
        <v>35</v>
      </c>
      <c r="O101" t="s">
        <v>36</v>
      </c>
      <c r="P101" t="s">
        <v>58</v>
      </c>
      <c r="Q101" t="s">
        <v>135</v>
      </c>
      <c r="R101">
        <v>163</v>
      </c>
      <c r="S101">
        <v>77</v>
      </c>
      <c r="T101">
        <v>57</v>
      </c>
      <c r="U101">
        <v>24</v>
      </c>
      <c r="V101" t="s">
        <v>7084</v>
      </c>
      <c r="W101">
        <v>53185</v>
      </c>
      <c r="X101" t="s">
        <v>7085</v>
      </c>
      <c r="Y101">
        <v>39680</v>
      </c>
      <c r="Z101">
        <v>1276440</v>
      </c>
      <c r="AA101">
        <v>324120</v>
      </c>
      <c r="AB101" t="str">
        <f>(VLOOKUP(SalesData[[#This Row],[Month Number]],Reference!C$5:E$16,2,FALSE))</f>
        <v>Feb</v>
      </c>
      <c r="AC101">
        <f>MONTH(SalesData[[#This Row],[Date]])</f>
        <v>2</v>
      </c>
      <c r="AD101">
        <f>Reference!F$4</f>
        <v>2026</v>
      </c>
      <c r="AE101" t="str">
        <f>IF(OR(SalesData[[#This Row],[Day]]="Saturday",SalesData[[#This Row],[Day]]="Sunday"),"Weekend","Weekday")</f>
        <v>Weekend</v>
      </c>
      <c r="AF101" s="5">
        <f>IF(SalesData[[#This Row],[Contracts Offered]]=0,0,SalesData[[#This Row],[Contracts Signed]]/SalesData[[#This Row],[Contracts Offered]])</f>
        <v>0.42105263157894735</v>
      </c>
      <c r="AG101" s="5">
        <f>IF(SalesData[[#This Row],[Customers Visited]]=0,0,SalesData[[#This Row],[Test Drives]]/SalesData[[#This Row],[Customers Visited]])</f>
        <v>0.47239263803680981</v>
      </c>
      <c r="AH101" s="5">
        <f>IF(SalesData[[#This Row],[Customers Visited]]=0,0,SalesData[[#This Row],[Contracts Signed]]/SalesData[[#This Row],[Customers Visited]])</f>
        <v>0.14723926380368099</v>
      </c>
      <c r="AI101" s="6">
        <f>IF(SalesData[[#This Row],[Contracts Signed]]=0,0,SalesData[[#This Row],[Profit(€)]]/SalesData[[#This Row],[Contracts Signed]])</f>
        <v>13505</v>
      </c>
      <c r="AJ101" s="5" t="str">
        <f>TRIM(CLEAN(SalesData[[#This Row],[Retailer]]))</f>
        <v>Leipzig Mobility</v>
      </c>
    </row>
    <row r="102" spans="1:36" ht="14.25" hidden="1" x14ac:dyDescent="0.2">
      <c r="A102" t="s">
        <v>312</v>
      </c>
      <c r="B102" s="1">
        <v>46070</v>
      </c>
      <c r="C102" t="s">
        <v>62</v>
      </c>
      <c r="D102" t="s">
        <v>63</v>
      </c>
      <c r="E102" t="s">
        <v>26</v>
      </c>
      <c r="F102" t="s">
        <v>114</v>
      </c>
      <c r="G102" t="s">
        <v>115</v>
      </c>
      <c r="H102" t="s">
        <v>115</v>
      </c>
      <c r="I102" t="s">
        <v>104</v>
      </c>
      <c r="J102" t="s">
        <v>140</v>
      </c>
      <c r="K102" t="s">
        <v>91</v>
      </c>
      <c r="L102" t="s">
        <v>46</v>
      </c>
      <c r="M102" t="s">
        <v>34</v>
      </c>
      <c r="N102" t="s">
        <v>35</v>
      </c>
      <c r="O102" t="s">
        <v>70</v>
      </c>
      <c r="P102" t="s">
        <v>71</v>
      </c>
      <c r="Q102" t="s">
        <v>79</v>
      </c>
      <c r="R102">
        <v>302</v>
      </c>
      <c r="S102">
        <v>146</v>
      </c>
      <c r="T102">
        <v>90</v>
      </c>
      <c r="U102">
        <v>24</v>
      </c>
      <c r="V102" t="s">
        <v>2856</v>
      </c>
      <c r="W102">
        <v>32108</v>
      </c>
      <c r="X102" t="s">
        <v>1653</v>
      </c>
      <c r="Y102">
        <v>27726</v>
      </c>
      <c r="Z102">
        <v>770592</v>
      </c>
      <c r="AA102">
        <v>105168</v>
      </c>
      <c r="AB102" t="str">
        <f>(VLOOKUP(SalesData[[#This Row],[Month Number]],Reference!C$5:E$16,2,FALSE))</f>
        <v>Feb</v>
      </c>
      <c r="AC102">
        <f>MONTH(SalesData[[#This Row],[Date]])</f>
        <v>2</v>
      </c>
      <c r="AD102">
        <f>Reference!F$4</f>
        <v>2026</v>
      </c>
      <c r="AE102" t="str">
        <f>IF(OR(SalesData[[#This Row],[Day]]="Saturday",SalesData[[#This Row],[Day]]="Sunday"),"Weekend","Weekday")</f>
        <v>Weekday</v>
      </c>
      <c r="AF102" s="5">
        <f>IF(SalesData[[#This Row],[Contracts Offered]]=0,0,SalesData[[#This Row],[Contracts Signed]]/SalesData[[#This Row],[Contracts Offered]])</f>
        <v>0.26666666666666666</v>
      </c>
      <c r="AG102" s="5">
        <f>IF(SalesData[[#This Row],[Customers Visited]]=0,0,SalesData[[#This Row],[Test Drives]]/SalesData[[#This Row],[Customers Visited]])</f>
        <v>0.48344370860927155</v>
      </c>
      <c r="AH102" s="5">
        <f>IF(SalesData[[#This Row],[Customers Visited]]=0,0,SalesData[[#This Row],[Contracts Signed]]/SalesData[[#This Row],[Customers Visited]])</f>
        <v>7.9470198675496692E-2</v>
      </c>
      <c r="AI102" s="6">
        <f>IF(SalesData[[#This Row],[Contracts Signed]]=0,0,SalesData[[#This Row],[Profit(€)]]/SalesData[[#This Row],[Contracts Signed]])</f>
        <v>4382</v>
      </c>
      <c r="AJ102" s="5" t="str">
        <f>TRIM(CLEAN(SalesData[[#This Row],[Retailer]]))</f>
        <v>Elbe Drive</v>
      </c>
    </row>
    <row r="103" spans="1:36" ht="14.25" x14ac:dyDescent="0.2">
      <c r="A103" t="s">
        <v>314</v>
      </c>
      <c r="B103" s="1">
        <v>46071</v>
      </c>
      <c r="C103" t="s">
        <v>62</v>
      </c>
      <c r="D103" t="s">
        <v>82</v>
      </c>
      <c r="E103" t="s">
        <v>26</v>
      </c>
      <c r="F103" t="s">
        <v>74</v>
      </c>
      <c r="G103" t="s">
        <v>75</v>
      </c>
      <c r="H103" t="s">
        <v>76</v>
      </c>
      <c r="I103" t="s">
        <v>30</v>
      </c>
      <c r="J103" t="s">
        <v>188</v>
      </c>
      <c r="K103" t="s">
        <v>66</v>
      </c>
      <c r="L103" t="s">
        <v>33</v>
      </c>
      <c r="M103" t="s">
        <v>47</v>
      </c>
      <c r="N103" t="s">
        <v>48</v>
      </c>
      <c r="O103" t="s">
        <v>36</v>
      </c>
      <c r="P103" t="s">
        <v>58</v>
      </c>
      <c r="Q103" t="s">
        <v>106</v>
      </c>
      <c r="R103">
        <v>212</v>
      </c>
      <c r="S103">
        <v>106</v>
      </c>
      <c r="T103">
        <v>83</v>
      </c>
      <c r="U103">
        <v>36</v>
      </c>
      <c r="V103" t="s">
        <v>7086</v>
      </c>
      <c r="W103">
        <v>65982</v>
      </c>
      <c r="X103" t="s">
        <v>7087</v>
      </c>
      <c r="Y103">
        <v>50275</v>
      </c>
      <c r="Z103">
        <v>2375352</v>
      </c>
      <c r="AA103">
        <v>565452</v>
      </c>
      <c r="AB103" t="str">
        <f>(VLOOKUP(SalesData[[#This Row],[Month Number]],Reference!C$5:E$16,2,FALSE))</f>
        <v>Feb</v>
      </c>
      <c r="AC103">
        <f>MONTH(SalesData[[#This Row],[Date]])</f>
        <v>2</v>
      </c>
      <c r="AD103">
        <f>Reference!F$4</f>
        <v>2026</v>
      </c>
      <c r="AE103" t="str">
        <f>IF(OR(SalesData[[#This Row],[Day]]="Saturday",SalesData[[#This Row],[Day]]="Sunday"),"Weekend","Weekday")</f>
        <v>Weekday</v>
      </c>
      <c r="AF103" s="5">
        <f>IF(SalesData[[#This Row],[Contracts Offered]]=0,0,SalesData[[#This Row],[Contracts Signed]]/SalesData[[#This Row],[Contracts Offered]])</f>
        <v>0.43373493975903615</v>
      </c>
      <c r="AG103" s="5">
        <f>IF(SalesData[[#This Row],[Customers Visited]]=0,0,SalesData[[#This Row],[Test Drives]]/SalesData[[#This Row],[Customers Visited]])</f>
        <v>0.5</v>
      </c>
      <c r="AH103" s="5">
        <f>IF(SalesData[[#This Row],[Customers Visited]]=0,0,SalesData[[#This Row],[Contracts Signed]]/SalesData[[#This Row],[Customers Visited]])</f>
        <v>0.16981132075471697</v>
      </c>
      <c r="AI103" s="6">
        <f>IF(SalesData[[#This Row],[Contracts Signed]]=0,0,SalesData[[#This Row],[Profit(€)]]/SalesData[[#This Row],[Contracts Signed]])</f>
        <v>15707</v>
      </c>
      <c r="AJ103" s="5" t="str">
        <f>TRIM(CLEAN(SalesData[[#This Row],[Retailer]]))</f>
        <v>Stuttgart Auto Center</v>
      </c>
    </row>
    <row r="104" spans="1:36" ht="14.25" hidden="1" x14ac:dyDescent="0.2">
      <c r="A104" t="s">
        <v>316</v>
      </c>
      <c r="B104" s="1">
        <v>46069</v>
      </c>
      <c r="C104" t="s">
        <v>62</v>
      </c>
      <c r="D104" t="s">
        <v>25</v>
      </c>
      <c r="E104" t="s">
        <v>26</v>
      </c>
      <c r="F104" t="s">
        <v>74</v>
      </c>
      <c r="G104" t="s">
        <v>75</v>
      </c>
      <c r="H104" t="s">
        <v>76</v>
      </c>
      <c r="I104" t="s">
        <v>104</v>
      </c>
      <c r="J104" t="s">
        <v>143</v>
      </c>
      <c r="K104" t="s">
        <v>91</v>
      </c>
      <c r="L104" t="s">
        <v>67</v>
      </c>
      <c r="M104" t="s">
        <v>68</v>
      </c>
      <c r="N104" t="s">
        <v>69</v>
      </c>
      <c r="O104" t="s">
        <v>70</v>
      </c>
      <c r="P104" t="s">
        <v>71</v>
      </c>
      <c r="Q104" t="s">
        <v>204</v>
      </c>
      <c r="R104">
        <v>434</v>
      </c>
      <c r="S104">
        <v>218</v>
      </c>
      <c r="T104">
        <v>153</v>
      </c>
      <c r="U104">
        <v>39</v>
      </c>
      <c r="V104" t="s">
        <v>812</v>
      </c>
      <c r="W104">
        <v>31378</v>
      </c>
      <c r="X104" t="s">
        <v>1690</v>
      </c>
      <c r="Y104">
        <v>27805</v>
      </c>
      <c r="Z104">
        <v>1223742</v>
      </c>
      <c r="AA104">
        <v>139347</v>
      </c>
      <c r="AB104" t="str">
        <f>(VLOOKUP(SalesData[[#This Row],[Month Number]],Reference!C$5:E$16,2,FALSE))</f>
        <v>Feb</v>
      </c>
      <c r="AC104">
        <f>MONTH(SalesData[[#This Row],[Date]])</f>
        <v>2</v>
      </c>
      <c r="AD104">
        <f>Reference!F$4</f>
        <v>2026</v>
      </c>
      <c r="AE104" t="str">
        <f>IF(OR(SalesData[[#This Row],[Day]]="Saturday",SalesData[[#This Row],[Day]]="Sunday"),"Weekend","Weekday")</f>
        <v>Weekday</v>
      </c>
      <c r="AF104" s="5">
        <f>IF(SalesData[[#This Row],[Contracts Offered]]=0,0,SalesData[[#This Row],[Contracts Signed]]/SalesData[[#This Row],[Contracts Offered]])</f>
        <v>0.25490196078431371</v>
      </c>
      <c r="AG104" s="5">
        <f>IF(SalesData[[#This Row],[Customers Visited]]=0,0,SalesData[[#This Row],[Test Drives]]/SalesData[[#This Row],[Customers Visited]])</f>
        <v>0.50230414746543783</v>
      </c>
      <c r="AH104" s="5">
        <f>IF(SalesData[[#This Row],[Customers Visited]]=0,0,SalesData[[#This Row],[Contracts Signed]]/SalesData[[#This Row],[Customers Visited]])</f>
        <v>8.9861751152073732E-2</v>
      </c>
      <c r="AI104" s="6">
        <f>IF(SalesData[[#This Row],[Contracts Signed]]=0,0,SalesData[[#This Row],[Profit(€)]]/SalesData[[#This Row],[Contracts Signed]])</f>
        <v>3573</v>
      </c>
      <c r="AJ104" s="5" t="str">
        <f>TRIM(CLEAN(SalesData[[#This Row],[Retailer]]))</f>
        <v>Stuttgart Auto Center</v>
      </c>
    </row>
    <row r="105" spans="1:36" ht="14.25" hidden="1" x14ac:dyDescent="0.2">
      <c r="A105" t="s">
        <v>318</v>
      </c>
      <c r="B105" s="1">
        <v>46059</v>
      </c>
      <c r="C105" t="s">
        <v>24</v>
      </c>
      <c r="D105" t="s">
        <v>54</v>
      </c>
      <c r="E105" t="s">
        <v>26</v>
      </c>
      <c r="F105" t="s">
        <v>83</v>
      </c>
      <c r="G105" t="s">
        <v>84</v>
      </c>
      <c r="H105" t="s">
        <v>85</v>
      </c>
      <c r="I105" t="s">
        <v>56</v>
      </c>
      <c r="J105" t="s">
        <v>179</v>
      </c>
      <c r="K105" t="s">
        <v>32</v>
      </c>
      <c r="L105" t="s">
        <v>67</v>
      </c>
      <c r="M105" t="s">
        <v>47</v>
      </c>
      <c r="N105" t="s">
        <v>69</v>
      </c>
      <c r="O105" t="s">
        <v>36</v>
      </c>
      <c r="P105" t="s">
        <v>71</v>
      </c>
      <c r="Q105" t="s">
        <v>79</v>
      </c>
      <c r="R105">
        <v>292</v>
      </c>
      <c r="S105">
        <v>141</v>
      </c>
      <c r="T105">
        <v>93</v>
      </c>
      <c r="U105">
        <v>32</v>
      </c>
      <c r="V105" t="s">
        <v>6718</v>
      </c>
      <c r="W105">
        <v>55173</v>
      </c>
      <c r="X105" t="s">
        <v>7033</v>
      </c>
      <c r="Y105">
        <v>41928</v>
      </c>
      <c r="Z105">
        <v>1765536</v>
      </c>
      <c r="AA105">
        <v>423840</v>
      </c>
      <c r="AB105" t="str">
        <f>(VLOOKUP(SalesData[[#This Row],[Month Number]],Reference!C$5:E$16,2,FALSE))</f>
        <v>Feb</v>
      </c>
      <c r="AC105">
        <f>MONTH(SalesData[[#This Row],[Date]])</f>
        <v>2</v>
      </c>
      <c r="AD105">
        <f>Reference!F$4</f>
        <v>2026</v>
      </c>
      <c r="AE105" t="str">
        <f>IF(OR(SalesData[[#This Row],[Day]]="Saturday",SalesData[[#This Row],[Day]]="Sunday"),"Weekend","Weekday")</f>
        <v>Weekday</v>
      </c>
      <c r="AF105" s="5">
        <f>IF(SalesData[[#This Row],[Contracts Offered]]=0,0,SalesData[[#This Row],[Contracts Signed]]/SalesData[[#This Row],[Contracts Offered]])</f>
        <v>0.34408602150537637</v>
      </c>
      <c r="AG105" s="5">
        <f>IF(SalesData[[#This Row],[Customers Visited]]=0,0,SalesData[[#This Row],[Test Drives]]/SalesData[[#This Row],[Customers Visited]])</f>
        <v>0.48287671232876711</v>
      </c>
      <c r="AH105" s="5">
        <f>IF(SalesData[[#This Row],[Customers Visited]]=0,0,SalesData[[#This Row],[Contracts Signed]]/SalesData[[#This Row],[Customers Visited]])</f>
        <v>0.1095890410958904</v>
      </c>
      <c r="AI105" s="6">
        <f>IF(SalesData[[#This Row],[Contracts Signed]]=0,0,SalesData[[#This Row],[Profit(€)]]/SalesData[[#This Row],[Contracts Signed]])</f>
        <v>13245</v>
      </c>
      <c r="AJ105" s="5" t="str">
        <f>TRIM(CLEAN(SalesData[[#This Row],[Retailer]]))</f>
        <v>Hannover Cars</v>
      </c>
    </row>
    <row r="106" spans="1:36" ht="14.25" hidden="1" x14ac:dyDescent="0.2">
      <c r="A106" t="s">
        <v>320</v>
      </c>
      <c r="B106" s="1">
        <v>46077</v>
      </c>
      <c r="C106" t="s">
        <v>53</v>
      </c>
      <c r="D106" t="s">
        <v>63</v>
      </c>
      <c r="E106" t="s">
        <v>26</v>
      </c>
      <c r="F106" t="s">
        <v>94</v>
      </c>
      <c r="G106" t="s">
        <v>95</v>
      </c>
      <c r="H106" t="s">
        <v>96</v>
      </c>
      <c r="I106" t="s">
        <v>116</v>
      </c>
      <c r="J106" t="s">
        <v>117</v>
      </c>
      <c r="K106" t="s">
        <v>91</v>
      </c>
      <c r="L106" t="s">
        <v>67</v>
      </c>
      <c r="M106" t="s">
        <v>68</v>
      </c>
      <c r="N106" t="s">
        <v>48</v>
      </c>
      <c r="O106" t="s">
        <v>70</v>
      </c>
      <c r="P106" t="s">
        <v>58</v>
      </c>
      <c r="Q106" t="s">
        <v>50</v>
      </c>
      <c r="R106">
        <v>299</v>
      </c>
      <c r="S106">
        <v>162</v>
      </c>
      <c r="T106">
        <v>102</v>
      </c>
      <c r="U106">
        <v>31</v>
      </c>
      <c r="V106" t="s">
        <v>164</v>
      </c>
      <c r="W106">
        <v>22202</v>
      </c>
      <c r="X106" t="s">
        <v>4421</v>
      </c>
      <c r="Y106">
        <v>19957</v>
      </c>
      <c r="Z106">
        <v>688262</v>
      </c>
      <c r="AA106">
        <v>69595</v>
      </c>
      <c r="AB106" t="str">
        <f>(VLOOKUP(SalesData[[#This Row],[Month Number]],Reference!C$5:E$16,2,FALSE))</f>
        <v>Feb</v>
      </c>
      <c r="AC106">
        <f>MONTH(SalesData[[#This Row],[Date]])</f>
        <v>2</v>
      </c>
      <c r="AD106">
        <f>Reference!F$4</f>
        <v>2026</v>
      </c>
      <c r="AE106" t="str">
        <f>IF(OR(SalesData[[#This Row],[Day]]="Saturday",SalesData[[#This Row],[Day]]="Sunday"),"Weekend","Weekday")</f>
        <v>Weekday</v>
      </c>
      <c r="AF106" s="5">
        <f>IF(SalesData[[#This Row],[Contracts Offered]]=0,0,SalesData[[#This Row],[Contracts Signed]]/SalesData[[#This Row],[Contracts Offered]])</f>
        <v>0.30392156862745096</v>
      </c>
      <c r="AG106" s="5">
        <f>IF(SalesData[[#This Row],[Customers Visited]]=0,0,SalesData[[#This Row],[Test Drives]]/SalesData[[#This Row],[Customers Visited]])</f>
        <v>0.5418060200668896</v>
      </c>
      <c r="AH106" s="5">
        <f>IF(SalesData[[#This Row],[Customers Visited]]=0,0,SalesData[[#This Row],[Contracts Signed]]/SalesData[[#This Row],[Customers Visited]])</f>
        <v>0.10367892976588629</v>
      </c>
      <c r="AI106" s="6">
        <f>IF(SalesData[[#This Row],[Contracts Signed]]=0,0,SalesData[[#This Row],[Profit(€)]]/SalesData[[#This Row],[Contracts Signed]])</f>
        <v>2245</v>
      </c>
      <c r="AJ106" s="5" t="str">
        <f>TRIM(CLEAN(SalesData[[#This Row],[Retailer]]))</f>
        <v>Bavaria Motors</v>
      </c>
    </row>
    <row r="107" spans="1:36" ht="14.25" x14ac:dyDescent="0.2">
      <c r="A107" t="s">
        <v>322</v>
      </c>
      <c r="B107" s="1">
        <v>46062</v>
      </c>
      <c r="C107" t="s">
        <v>121</v>
      </c>
      <c r="D107" t="s">
        <v>25</v>
      </c>
      <c r="E107" t="s">
        <v>26</v>
      </c>
      <c r="F107" t="s">
        <v>101</v>
      </c>
      <c r="G107" t="s">
        <v>102</v>
      </c>
      <c r="H107" t="s">
        <v>103</v>
      </c>
      <c r="I107" t="s">
        <v>30</v>
      </c>
      <c r="J107" t="s">
        <v>86</v>
      </c>
      <c r="K107" t="s">
        <v>32</v>
      </c>
      <c r="L107" t="s">
        <v>33</v>
      </c>
      <c r="M107" t="s">
        <v>34</v>
      </c>
      <c r="N107" t="s">
        <v>48</v>
      </c>
      <c r="O107" t="s">
        <v>36</v>
      </c>
      <c r="P107" t="s">
        <v>71</v>
      </c>
      <c r="Q107" t="s">
        <v>129</v>
      </c>
      <c r="R107">
        <v>172</v>
      </c>
      <c r="S107">
        <v>88</v>
      </c>
      <c r="T107">
        <v>71</v>
      </c>
      <c r="U107">
        <v>25</v>
      </c>
      <c r="V107" t="s">
        <v>7088</v>
      </c>
      <c r="W107">
        <v>60176</v>
      </c>
      <c r="X107" t="s">
        <v>7053</v>
      </c>
      <c r="Y107">
        <v>45542</v>
      </c>
      <c r="Z107">
        <v>1504400</v>
      </c>
      <c r="AA107">
        <v>365850</v>
      </c>
      <c r="AB107" t="str">
        <f>(VLOOKUP(SalesData[[#This Row],[Month Number]],Reference!C$5:E$16,2,FALSE))</f>
        <v>Feb</v>
      </c>
      <c r="AC107">
        <f>MONTH(SalesData[[#This Row],[Date]])</f>
        <v>2</v>
      </c>
      <c r="AD107">
        <f>Reference!F$4</f>
        <v>2026</v>
      </c>
      <c r="AE107" t="str">
        <f>IF(OR(SalesData[[#This Row],[Day]]="Saturday",SalesData[[#This Row],[Day]]="Sunday"),"Weekend","Weekday")</f>
        <v>Weekday</v>
      </c>
      <c r="AF107" s="5">
        <f>IF(SalesData[[#This Row],[Contracts Offered]]=0,0,SalesData[[#This Row],[Contracts Signed]]/SalesData[[#This Row],[Contracts Offered]])</f>
        <v>0.352112676056338</v>
      </c>
      <c r="AG107" s="5">
        <f>IF(SalesData[[#This Row],[Customers Visited]]=0,0,SalesData[[#This Row],[Test Drives]]/SalesData[[#This Row],[Customers Visited]])</f>
        <v>0.51162790697674421</v>
      </c>
      <c r="AH107" s="5">
        <f>IF(SalesData[[#This Row],[Customers Visited]]=0,0,SalesData[[#This Row],[Contracts Signed]]/SalesData[[#This Row],[Customers Visited]])</f>
        <v>0.14534883720930233</v>
      </c>
      <c r="AI107" s="6">
        <f>IF(SalesData[[#This Row],[Contracts Signed]]=0,0,SalesData[[#This Row],[Profit(€)]]/SalesData[[#This Row],[Contracts Signed]])</f>
        <v>14634</v>
      </c>
      <c r="AJ107" s="5" t="str">
        <f>TRIM(CLEAN(SalesData[[#This Row],[Retailer]]))</f>
        <v>Ruhr Auto Plaza</v>
      </c>
    </row>
    <row r="108" spans="1:36" ht="14.25" hidden="1" x14ac:dyDescent="0.2">
      <c r="A108" t="s">
        <v>324</v>
      </c>
      <c r="B108" s="1">
        <v>46054</v>
      </c>
      <c r="C108" t="s">
        <v>24</v>
      </c>
      <c r="D108" t="s">
        <v>41</v>
      </c>
      <c r="E108" t="s">
        <v>42</v>
      </c>
      <c r="F108" t="s">
        <v>109</v>
      </c>
      <c r="G108" t="s">
        <v>110</v>
      </c>
      <c r="H108" t="s">
        <v>45</v>
      </c>
      <c r="I108" t="s">
        <v>64</v>
      </c>
      <c r="J108" t="s">
        <v>157</v>
      </c>
      <c r="K108" t="s">
        <v>91</v>
      </c>
      <c r="L108" t="s">
        <v>33</v>
      </c>
      <c r="M108" t="s">
        <v>68</v>
      </c>
      <c r="N108" t="s">
        <v>48</v>
      </c>
      <c r="O108" t="s">
        <v>36</v>
      </c>
      <c r="P108" t="s">
        <v>49</v>
      </c>
      <c r="Q108" t="s">
        <v>172</v>
      </c>
      <c r="R108">
        <v>231</v>
      </c>
      <c r="S108">
        <v>117</v>
      </c>
      <c r="T108">
        <v>84</v>
      </c>
      <c r="U108">
        <v>26</v>
      </c>
      <c r="V108" t="s">
        <v>6433</v>
      </c>
      <c r="W108">
        <v>49884</v>
      </c>
      <c r="X108" t="s">
        <v>1764</v>
      </c>
      <c r="Y108">
        <v>38225</v>
      </c>
      <c r="Z108">
        <v>1296984</v>
      </c>
      <c r="AA108">
        <v>303134</v>
      </c>
      <c r="AB108" t="str">
        <f>(VLOOKUP(SalesData[[#This Row],[Month Number]],Reference!C$5:E$16,2,FALSE))</f>
        <v>Feb</v>
      </c>
      <c r="AC108">
        <f>MONTH(SalesData[[#This Row],[Date]])</f>
        <v>2</v>
      </c>
      <c r="AD108">
        <f>Reference!F$4</f>
        <v>2026</v>
      </c>
      <c r="AE108" t="str">
        <f>IF(OR(SalesData[[#This Row],[Day]]="Saturday",SalesData[[#This Row],[Day]]="Sunday"),"Weekend","Weekday")</f>
        <v>Weekend</v>
      </c>
      <c r="AF108" s="5">
        <f>IF(SalesData[[#This Row],[Contracts Offered]]=0,0,SalesData[[#This Row],[Contracts Signed]]/SalesData[[#This Row],[Contracts Offered]])</f>
        <v>0.30952380952380953</v>
      </c>
      <c r="AG108" s="5">
        <f>IF(SalesData[[#This Row],[Customers Visited]]=0,0,SalesData[[#This Row],[Test Drives]]/SalesData[[#This Row],[Customers Visited]])</f>
        <v>0.50649350649350644</v>
      </c>
      <c r="AH108" s="5">
        <f>IF(SalesData[[#This Row],[Customers Visited]]=0,0,SalesData[[#This Row],[Contracts Signed]]/SalesData[[#This Row],[Customers Visited]])</f>
        <v>0.11255411255411256</v>
      </c>
      <c r="AI108" s="6">
        <f>IF(SalesData[[#This Row],[Contracts Signed]]=0,0,SalesData[[#This Row],[Profit(€)]]/SalesData[[#This Row],[Contracts Signed]])</f>
        <v>11659</v>
      </c>
      <c r="AJ108" s="5" t="str">
        <f>TRIM(CLEAN(SalesData[[#This Row],[Retailer]]))</f>
        <v>Leipzig Mobility</v>
      </c>
    </row>
    <row r="109" spans="1:36" ht="14.25" hidden="1" x14ac:dyDescent="0.2">
      <c r="A109" t="s">
        <v>326</v>
      </c>
      <c r="B109" s="1">
        <v>46060</v>
      </c>
      <c r="C109" t="s">
        <v>24</v>
      </c>
      <c r="D109" t="s">
        <v>151</v>
      </c>
      <c r="E109" t="s">
        <v>42</v>
      </c>
      <c r="F109" t="s">
        <v>27</v>
      </c>
      <c r="G109" t="s">
        <v>28</v>
      </c>
      <c r="H109" t="s">
        <v>29</v>
      </c>
      <c r="I109" t="s">
        <v>104</v>
      </c>
      <c r="J109" t="s">
        <v>105</v>
      </c>
      <c r="K109" t="s">
        <v>91</v>
      </c>
      <c r="L109" t="s">
        <v>33</v>
      </c>
      <c r="M109" t="s">
        <v>68</v>
      </c>
      <c r="N109" t="s">
        <v>35</v>
      </c>
      <c r="O109" t="s">
        <v>70</v>
      </c>
      <c r="P109" t="s">
        <v>37</v>
      </c>
      <c r="Q109" t="s">
        <v>38</v>
      </c>
      <c r="R109">
        <v>434</v>
      </c>
      <c r="S109">
        <v>197</v>
      </c>
      <c r="T109">
        <v>141</v>
      </c>
      <c r="U109">
        <v>25</v>
      </c>
      <c r="V109" t="s">
        <v>4069</v>
      </c>
      <c r="W109">
        <v>33894</v>
      </c>
      <c r="X109" t="s">
        <v>369</v>
      </c>
      <c r="Y109">
        <v>29382</v>
      </c>
      <c r="Z109">
        <v>847350</v>
      </c>
      <c r="AA109">
        <v>112800</v>
      </c>
      <c r="AB109" t="str">
        <f>(VLOOKUP(SalesData[[#This Row],[Month Number]],Reference!C$5:E$16,2,FALSE))</f>
        <v>Feb</v>
      </c>
      <c r="AC109">
        <f>MONTH(SalesData[[#This Row],[Date]])</f>
        <v>2</v>
      </c>
      <c r="AD109">
        <f>Reference!F$4</f>
        <v>2026</v>
      </c>
      <c r="AE109" t="str">
        <f>IF(OR(SalesData[[#This Row],[Day]]="Saturday",SalesData[[#This Row],[Day]]="Sunday"),"Weekend","Weekday")</f>
        <v>Weekend</v>
      </c>
      <c r="AF109" s="5">
        <f>IF(SalesData[[#This Row],[Contracts Offered]]=0,0,SalesData[[#This Row],[Contracts Signed]]/SalesData[[#This Row],[Contracts Offered]])</f>
        <v>0.1773049645390071</v>
      </c>
      <c r="AG109" s="5">
        <f>IF(SalesData[[#This Row],[Customers Visited]]=0,0,SalesData[[#This Row],[Test Drives]]/SalesData[[#This Row],[Customers Visited]])</f>
        <v>0.45391705069124422</v>
      </c>
      <c r="AH109" s="5">
        <f>IF(SalesData[[#This Row],[Customers Visited]]=0,0,SalesData[[#This Row],[Contracts Signed]]/SalesData[[#This Row],[Customers Visited]])</f>
        <v>5.7603686635944701E-2</v>
      </c>
      <c r="AI109" s="6">
        <f>IF(SalesData[[#This Row],[Contracts Signed]]=0,0,SalesData[[#This Row],[Profit(€)]]/SalesData[[#This Row],[Contracts Signed]])</f>
        <v>4512</v>
      </c>
      <c r="AJ109" s="5" t="str">
        <f>TRIM(CLEAN(SalesData[[#This Row],[Retailer]]))</f>
        <v>Main Auto Hub</v>
      </c>
    </row>
    <row r="110" spans="1:36" ht="14.25" hidden="1" x14ac:dyDescent="0.2">
      <c r="A110" t="s">
        <v>328</v>
      </c>
      <c r="B110" s="1">
        <v>46071</v>
      </c>
      <c r="C110" t="s">
        <v>62</v>
      </c>
      <c r="D110" t="s">
        <v>82</v>
      </c>
      <c r="E110" t="s">
        <v>26</v>
      </c>
      <c r="F110" t="s">
        <v>109</v>
      </c>
      <c r="G110" t="s">
        <v>110</v>
      </c>
      <c r="H110" t="s">
        <v>45</v>
      </c>
      <c r="I110" t="s">
        <v>56</v>
      </c>
      <c r="J110" t="s">
        <v>57</v>
      </c>
      <c r="K110" t="s">
        <v>91</v>
      </c>
      <c r="L110" t="s">
        <v>46</v>
      </c>
      <c r="M110" t="s">
        <v>34</v>
      </c>
      <c r="N110" t="s">
        <v>69</v>
      </c>
      <c r="O110" t="s">
        <v>36</v>
      </c>
      <c r="P110" t="s">
        <v>71</v>
      </c>
      <c r="Q110" t="s">
        <v>38</v>
      </c>
      <c r="R110">
        <v>276</v>
      </c>
      <c r="S110">
        <v>129</v>
      </c>
      <c r="T110">
        <v>94</v>
      </c>
      <c r="U110">
        <v>27</v>
      </c>
      <c r="V110" t="s">
        <v>6420</v>
      </c>
      <c r="W110">
        <v>42368</v>
      </c>
      <c r="X110" t="s">
        <v>7089</v>
      </c>
      <c r="Y110">
        <v>32619</v>
      </c>
      <c r="Z110">
        <v>1143936</v>
      </c>
      <c r="AA110">
        <v>263223</v>
      </c>
      <c r="AB110" t="str">
        <f>(VLOOKUP(SalesData[[#This Row],[Month Number]],Reference!C$5:E$16,2,FALSE))</f>
        <v>Feb</v>
      </c>
      <c r="AC110">
        <f>MONTH(SalesData[[#This Row],[Date]])</f>
        <v>2</v>
      </c>
      <c r="AD110">
        <f>Reference!F$4</f>
        <v>2026</v>
      </c>
      <c r="AE110" t="str">
        <f>IF(OR(SalesData[[#This Row],[Day]]="Saturday",SalesData[[#This Row],[Day]]="Sunday"),"Weekend","Weekday")</f>
        <v>Weekday</v>
      </c>
      <c r="AF110" s="5">
        <f>IF(SalesData[[#This Row],[Contracts Offered]]=0,0,SalesData[[#This Row],[Contracts Signed]]/SalesData[[#This Row],[Contracts Offered]])</f>
        <v>0.28723404255319152</v>
      </c>
      <c r="AG110" s="5">
        <f>IF(SalesData[[#This Row],[Customers Visited]]=0,0,SalesData[[#This Row],[Test Drives]]/SalesData[[#This Row],[Customers Visited]])</f>
        <v>0.46739130434782611</v>
      </c>
      <c r="AH110" s="5">
        <f>IF(SalesData[[#This Row],[Customers Visited]]=0,0,SalesData[[#This Row],[Contracts Signed]]/SalesData[[#This Row],[Customers Visited]])</f>
        <v>9.7826086956521743E-2</v>
      </c>
      <c r="AI110" s="6">
        <f>IF(SalesData[[#This Row],[Contracts Signed]]=0,0,SalesData[[#This Row],[Profit(€)]]/SalesData[[#This Row],[Contracts Signed]])</f>
        <v>9749</v>
      </c>
      <c r="AJ110" s="5" t="str">
        <f>TRIM(CLEAN(SalesData[[#This Row],[Retailer]]))</f>
        <v>Leipzig Mobility</v>
      </c>
    </row>
    <row r="111" spans="1:36" ht="14.25" hidden="1" x14ac:dyDescent="0.2">
      <c r="A111" t="s">
        <v>330</v>
      </c>
      <c r="B111" s="1">
        <v>46059</v>
      </c>
      <c r="C111" t="s">
        <v>24</v>
      </c>
      <c r="D111" t="s">
        <v>54</v>
      </c>
      <c r="E111" t="s">
        <v>26</v>
      </c>
      <c r="F111" t="s">
        <v>127</v>
      </c>
      <c r="G111" t="s">
        <v>128</v>
      </c>
      <c r="H111" t="s">
        <v>103</v>
      </c>
      <c r="I111" t="s">
        <v>64</v>
      </c>
      <c r="J111" t="s">
        <v>7029</v>
      </c>
      <c r="K111" t="s">
        <v>32</v>
      </c>
      <c r="L111" t="s">
        <v>33</v>
      </c>
      <c r="M111" t="s">
        <v>87</v>
      </c>
      <c r="N111" t="s">
        <v>48</v>
      </c>
      <c r="O111" t="s">
        <v>70</v>
      </c>
      <c r="P111" t="s">
        <v>37</v>
      </c>
      <c r="Q111" t="s">
        <v>158</v>
      </c>
      <c r="R111">
        <v>245</v>
      </c>
      <c r="S111">
        <v>134</v>
      </c>
      <c r="T111">
        <v>92</v>
      </c>
      <c r="U111">
        <v>30</v>
      </c>
      <c r="V111" t="s">
        <v>6617</v>
      </c>
      <c r="W111">
        <v>54959</v>
      </c>
      <c r="X111" t="s">
        <v>3364</v>
      </c>
      <c r="Y111">
        <v>39486</v>
      </c>
      <c r="Z111">
        <v>1648770</v>
      </c>
      <c r="AA111">
        <v>464190</v>
      </c>
      <c r="AB111" t="str">
        <f>(VLOOKUP(SalesData[[#This Row],[Month Number]],Reference!C$5:E$16,2,FALSE))</f>
        <v>Feb</v>
      </c>
      <c r="AC111">
        <f>MONTH(SalesData[[#This Row],[Date]])</f>
        <v>2</v>
      </c>
      <c r="AD111">
        <f>Reference!F$4</f>
        <v>2026</v>
      </c>
      <c r="AE111" t="str">
        <f>IF(OR(SalesData[[#This Row],[Day]]="Saturday",SalesData[[#This Row],[Day]]="Sunday"),"Weekend","Weekday")</f>
        <v>Weekday</v>
      </c>
      <c r="AF111" s="5">
        <f>IF(SalesData[[#This Row],[Contracts Offered]]=0,0,SalesData[[#This Row],[Contracts Signed]]/SalesData[[#This Row],[Contracts Offered]])</f>
        <v>0.32608695652173914</v>
      </c>
      <c r="AG111" s="5">
        <f>IF(SalesData[[#This Row],[Customers Visited]]=0,0,SalesData[[#This Row],[Test Drives]]/SalesData[[#This Row],[Customers Visited]])</f>
        <v>0.54693877551020409</v>
      </c>
      <c r="AH111" s="5">
        <f>IF(SalesData[[#This Row],[Customers Visited]]=0,0,SalesData[[#This Row],[Contracts Signed]]/SalesData[[#This Row],[Customers Visited]])</f>
        <v>0.12244897959183673</v>
      </c>
      <c r="AI111" s="6">
        <f>IF(SalesData[[#This Row],[Contracts Signed]]=0,0,SalesData[[#This Row],[Profit(€)]]/SalesData[[#This Row],[Contracts Signed]])</f>
        <v>15473</v>
      </c>
      <c r="AJ111" s="5" t="str">
        <f>TRIM(CLEAN(SalesData[[#This Row],[Retailer]]))</f>
        <v>Rhein Auto Group</v>
      </c>
    </row>
    <row r="112" spans="1:36" ht="14.25" hidden="1" x14ac:dyDescent="0.2">
      <c r="A112" t="s">
        <v>332</v>
      </c>
      <c r="B112" s="1">
        <v>46069</v>
      </c>
      <c r="C112" t="s">
        <v>62</v>
      </c>
      <c r="D112" t="s">
        <v>25</v>
      </c>
      <c r="E112" t="s">
        <v>26</v>
      </c>
      <c r="F112" t="s">
        <v>74</v>
      </c>
      <c r="G112" t="s">
        <v>75</v>
      </c>
      <c r="H112" t="s">
        <v>76</v>
      </c>
      <c r="I112" t="s">
        <v>64</v>
      </c>
      <c r="J112" t="s">
        <v>65</v>
      </c>
      <c r="K112" t="s">
        <v>66</v>
      </c>
      <c r="L112" t="s">
        <v>33</v>
      </c>
      <c r="M112" t="s">
        <v>47</v>
      </c>
      <c r="N112" t="s">
        <v>35</v>
      </c>
      <c r="O112" t="s">
        <v>36</v>
      </c>
      <c r="P112" t="s">
        <v>71</v>
      </c>
      <c r="Q112" t="s">
        <v>144</v>
      </c>
      <c r="R112">
        <v>149</v>
      </c>
      <c r="S112">
        <v>80</v>
      </c>
      <c r="T112">
        <v>58</v>
      </c>
      <c r="U112">
        <v>20</v>
      </c>
      <c r="V112" t="s">
        <v>6403</v>
      </c>
      <c r="W112">
        <v>65644</v>
      </c>
      <c r="X112" t="s">
        <v>504</v>
      </c>
      <c r="Y112">
        <v>49327</v>
      </c>
      <c r="Z112">
        <v>1312880</v>
      </c>
      <c r="AA112">
        <v>326340</v>
      </c>
      <c r="AB112" t="str">
        <f>(VLOOKUP(SalesData[[#This Row],[Month Number]],Reference!C$5:E$16,2,FALSE))</f>
        <v>Feb</v>
      </c>
      <c r="AC112">
        <f>MONTH(SalesData[[#This Row],[Date]])</f>
        <v>2</v>
      </c>
      <c r="AD112">
        <f>Reference!F$4</f>
        <v>2026</v>
      </c>
      <c r="AE112" t="str">
        <f>IF(OR(SalesData[[#This Row],[Day]]="Saturday",SalesData[[#This Row],[Day]]="Sunday"),"Weekend","Weekday")</f>
        <v>Weekday</v>
      </c>
      <c r="AF112" s="5">
        <f>IF(SalesData[[#This Row],[Contracts Offered]]=0,0,SalesData[[#This Row],[Contracts Signed]]/SalesData[[#This Row],[Contracts Offered]])</f>
        <v>0.34482758620689657</v>
      </c>
      <c r="AG112" s="5">
        <f>IF(SalesData[[#This Row],[Customers Visited]]=0,0,SalesData[[#This Row],[Test Drives]]/SalesData[[#This Row],[Customers Visited]])</f>
        <v>0.53691275167785235</v>
      </c>
      <c r="AH112" s="5">
        <f>IF(SalesData[[#This Row],[Customers Visited]]=0,0,SalesData[[#This Row],[Contracts Signed]]/SalesData[[#This Row],[Customers Visited]])</f>
        <v>0.13422818791946309</v>
      </c>
      <c r="AI112" s="6">
        <f>IF(SalesData[[#This Row],[Contracts Signed]]=0,0,SalesData[[#This Row],[Profit(€)]]/SalesData[[#This Row],[Contracts Signed]])</f>
        <v>16317</v>
      </c>
      <c r="AJ112" s="5" t="str">
        <f>TRIM(CLEAN(SalesData[[#This Row],[Retailer]]))</f>
        <v>Stuttgart Auto Center</v>
      </c>
    </row>
    <row r="113" spans="1:36" ht="14.25" hidden="1" x14ac:dyDescent="0.2">
      <c r="A113" t="s">
        <v>334</v>
      </c>
      <c r="B113" s="1">
        <v>46055</v>
      </c>
      <c r="C113" t="s">
        <v>24</v>
      </c>
      <c r="D113" t="s">
        <v>25</v>
      </c>
      <c r="E113" t="s">
        <v>26</v>
      </c>
      <c r="F113" t="s">
        <v>83</v>
      </c>
      <c r="G113" t="s">
        <v>84</v>
      </c>
      <c r="H113" t="s">
        <v>85</v>
      </c>
      <c r="I113" t="s">
        <v>116</v>
      </c>
      <c r="J113" t="s">
        <v>7090</v>
      </c>
      <c r="K113" t="s">
        <v>91</v>
      </c>
      <c r="L113" t="s">
        <v>46</v>
      </c>
      <c r="M113" t="s">
        <v>47</v>
      </c>
      <c r="N113" t="s">
        <v>48</v>
      </c>
      <c r="O113" t="s">
        <v>70</v>
      </c>
      <c r="P113" t="s">
        <v>49</v>
      </c>
      <c r="Q113" t="s">
        <v>59</v>
      </c>
      <c r="R113">
        <v>281</v>
      </c>
      <c r="S113">
        <v>129</v>
      </c>
      <c r="T113">
        <v>82</v>
      </c>
      <c r="U113">
        <v>19</v>
      </c>
      <c r="V113" t="s">
        <v>4475</v>
      </c>
      <c r="W113">
        <v>20057</v>
      </c>
      <c r="X113" t="s">
        <v>565</v>
      </c>
      <c r="Y113">
        <v>18636</v>
      </c>
      <c r="Z113">
        <v>381083</v>
      </c>
      <c r="AA113">
        <v>26999</v>
      </c>
      <c r="AB113" t="str">
        <f>(VLOOKUP(SalesData[[#This Row],[Month Number]],Reference!C$5:E$16,2,FALSE))</f>
        <v>Feb</v>
      </c>
      <c r="AC113">
        <f>MONTH(SalesData[[#This Row],[Date]])</f>
        <v>2</v>
      </c>
      <c r="AD113">
        <f>Reference!F$4</f>
        <v>2026</v>
      </c>
      <c r="AE113" t="str">
        <f>IF(OR(SalesData[[#This Row],[Day]]="Saturday",SalesData[[#This Row],[Day]]="Sunday"),"Weekend","Weekday")</f>
        <v>Weekday</v>
      </c>
      <c r="AF113" s="5">
        <f>IF(SalesData[[#This Row],[Contracts Offered]]=0,0,SalesData[[#This Row],[Contracts Signed]]/SalesData[[#This Row],[Contracts Offered]])</f>
        <v>0.23170731707317074</v>
      </c>
      <c r="AG113" s="5">
        <f>IF(SalesData[[#This Row],[Customers Visited]]=0,0,SalesData[[#This Row],[Test Drives]]/SalesData[[#This Row],[Customers Visited]])</f>
        <v>0.45907473309608543</v>
      </c>
      <c r="AH113" s="5">
        <f>IF(SalesData[[#This Row],[Customers Visited]]=0,0,SalesData[[#This Row],[Contracts Signed]]/SalesData[[#This Row],[Customers Visited]])</f>
        <v>6.7615658362989328E-2</v>
      </c>
      <c r="AI113" s="6">
        <f>IF(SalesData[[#This Row],[Contracts Signed]]=0,0,SalesData[[#This Row],[Profit(€)]]/SalesData[[#This Row],[Contracts Signed]])</f>
        <v>1421</v>
      </c>
      <c r="AJ113" s="5" t="str">
        <f>TRIM(CLEAN(SalesData[[#This Row],[Retailer]]))</f>
        <v>Hannover Cars</v>
      </c>
    </row>
    <row r="114" spans="1:36" ht="14.25" x14ac:dyDescent="0.2">
      <c r="A114" t="s">
        <v>336</v>
      </c>
      <c r="B114" s="1">
        <v>46059</v>
      </c>
      <c r="C114" t="s">
        <v>24</v>
      </c>
      <c r="D114" t="s">
        <v>54</v>
      </c>
      <c r="E114" t="s">
        <v>26</v>
      </c>
      <c r="F114" t="s">
        <v>83</v>
      </c>
      <c r="G114" t="s">
        <v>84</v>
      </c>
      <c r="H114" t="s">
        <v>85</v>
      </c>
      <c r="I114" t="s">
        <v>30</v>
      </c>
      <c r="J114" t="s">
        <v>31</v>
      </c>
      <c r="K114" t="s">
        <v>66</v>
      </c>
      <c r="L114" t="s">
        <v>46</v>
      </c>
      <c r="M114" t="s">
        <v>34</v>
      </c>
      <c r="N114" t="s">
        <v>35</v>
      </c>
      <c r="O114" t="s">
        <v>36</v>
      </c>
      <c r="P114" t="s">
        <v>49</v>
      </c>
      <c r="Q114" t="s">
        <v>240</v>
      </c>
      <c r="R114">
        <v>261</v>
      </c>
      <c r="S114">
        <v>141</v>
      </c>
      <c r="T114">
        <v>103</v>
      </c>
      <c r="U114">
        <v>36</v>
      </c>
      <c r="V114" t="s">
        <v>6461</v>
      </c>
      <c r="W114">
        <v>58221</v>
      </c>
      <c r="X114" t="s">
        <v>7091</v>
      </c>
      <c r="Y114">
        <v>41256</v>
      </c>
      <c r="Z114">
        <v>2095956</v>
      </c>
      <c r="AA114">
        <v>610740</v>
      </c>
      <c r="AB114" t="str">
        <f>(VLOOKUP(SalesData[[#This Row],[Month Number]],Reference!C$5:E$16,2,FALSE))</f>
        <v>Feb</v>
      </c>
      <c r="AC114">
        <f>MONTH(SalesData[[#This Row],[Date]])</f>
        <v>2</v>
      </c>
      <c r="AD114">
        <f>Reference!F$4</f>
        <v>2026</v>
      </c>
      <c r="AE114" t="str">
        <f>IF(OR(SalesData[[#This Row],[Day]]="Saturday",SalesData[[#This Row],[Day]]="Sunday"),"Weekend","Weekday")</f>
        <v>Weekday</v>
      </c>
      <c r="AF114" s="5">
        <f>IF(SalesData[[#This Row],[Contracts Offered]]=0,0,SalesData[[#This Row],[Contracts Signed]]/SalesData[[#This Row],[Contracts Offered]])</f>
        <v>0.34951456310679613</v>
      </c>
      <c r="AG114" s="5">
        <f>IF(SalesData[[#This Row],[Customers Visited]]=0,0,SalesData[[#This Row],[Test Drives]]/SalesData[[#This Row],[Customers Visited]])</f>
        <v>0.54022988505747127</v>
      </c>
      <c r="AH114" s="5">
        <f>IF(SalesData[[#This Row],[Customers Visited]]=0,0,SalesData[[#This Row],[Contracts Signed]]/SalesData[[#This Row],[Customers Visited]])</f>
        <v>0.13793103448275862</v>
      </c>
      <c r="AI114" s="6">
        <f>IF(SalesData[[#This Row],[Contracts Signed]]=0,0,SalesData[[#This Row],[Profit(€)]]/SalesData[[#This Row],[Contracts Signed]])</f>
        <v>16965</v>
      </c>
      <c r="AJ114" s="5" t="str">
        <f>TRIM(CLEAN(SalesData[[#This Row],[Retailer]]))</f>
        <v>Hannover Cars</v>
      </c>
    </row>
    <row r="115" spans="1:36" ht="14.25" hidden="1" x14ac:dyDescent="0.2">
      <c r="A115" t="s">
        <v>338</v>
      </c>
      <c r="B115" s="1">
        <v>46071</v>
      </c>
      <c r="C115" t="s">
        <v>62</v>
      </c>
      <c r="D115" t="s">
        <v>82</v>
      </c>
      <c r="E115" t="s">
        <v>26</v>
      </c>
      <c r="F115" t="s">
        <v>74</v>
      </c>
      <c r="G115" t="s">
        <v>75</v>
      </c>
      <c r="H115" t="s">
        <v>76</v>
      </c>
      <c r="I115" t="s">
        <v>116</v>
      </c>
      <c r="J115" t="s">
        <v>132</v>
      </c>
      <c r="K115" t="s">
        <v>66</v>
      </c>
      <c r="L115" t="s">
        <v>46</v>
      </c>
      <c r="M115" t="s">
        <v>34</v>
      </c>
      <c r="N115" t="s">
        <v>48</v>
      </c>
      <c r="O115" t="s">
        <v>70</v>
      </c>
      <c r="P115" t="s">
        <v>71</v>
      </c>
      <c r="Q115" t="s">
        <v>38</v>
      </c>
      <c r="R115">
        <v>394</v>
      </c>
      <c r="S115">
        <v>207</v>
      </c>
      <c r="T115">
        <v>139</v>
      </c>
      <c r="U115">
        <v>38</v>
      </c>
      <c r="V115" t="s">
        <v>7092</v>
      </c>
      <c r="W115">
        <v>25558</v>
      </c>
      <c r="X115" t="s">
        <v>1690</v>
      </c>
      <c r="Y115">
        <v>23489</v>
      </c>
      <c r="Z115">
        <v>971204</v>
      </c>
      <c r="AA115">
        <v>78622</v>
      </c>
      <c r="AB115" t="str">
        <f>(VLOOKUP(SalesData[[#This Row],[Month Number]],Reference!C$5:E$16,2,FALSE))</f>
        <v>Feb</v>
      </c>
      <c r="AC115">
        <f>MONTH(SalesData[[#This Row],[Date]])</f>
        <v>2</v>
      </c>
      <c r="AD115">
        <f>Reference!F$4</f>
        <v>2026</v>
      </c>
      <c r="AE115" t="str">
        <f>IF(OR(SalesData[[#This Row],[Day]]="Saturday",SalesData[[#This Row],[Day]]="Sunday"),"Weekend","Weekday")</f>
        <v>Weekday</v>
      </c>
      <c r="AF115" s="5">
        <f>IF(SalesData[[#This Row],[Contracts Offered]]=0,0,SalesData[[#This Row],[Contracts Signed]]/SalesData[[#This Row],[Contracts Offered]])</f>
        <v>0.2733812949640288</v>
      </c>
      <c r="AG115" s="5">
        <f>IF(SalesData[[#This Row],[Customers Visited]]=0,0,SalesData[[#This Row],[Test Drives]]/SalesData[[#This Row],[Customers Visited]])</f>
        <v>0.52538071065989844</v>
      </c>
      <c r="AH115" s="5">
        <f>IF(SalesData[[#This Row],[Customers Visited]]=0,0,SalesData[[#This Row],[Contracts Signed]]/SalesData[[#This Row],[Customers Visited]])</f>
        <v>9.6446700507614211E-2</v>
      </c>
      <c r="AI115" s="6">
        <f>IF(SalesData[[#This Row],[Contracts Signed]]=0,0,SalesData[[#This Row],[Profit(€)]]/SalesData[[#This Row],[Contracts Signed]])</f>
        <v>2069</v>
      </c>
      <c r="AJ115" s="5" t="str">
        <f>TRIM(CLEAN(SalesData[[#This Row],[Retailer]]))</f>
        <v>Stuttgart Auto Center</v>
      </c>
    </row>
    <row r="116" spans="1:36" ht="14.25" hidden="1" x14ac:dyDescent="0.2">
      <c r="A116" t="s">
        <v>339</v>
      </c>
      <c r="B116" s="1">
        <v>46081</v>
      </c>
      <c r="C116" t="s">
        <v>53</v>
      </c>
      <c r="D116" t="s">
        <v>151</v>
      </c>
      <c r="E116" t="s">
        <v>42</v>
      </c>
      <c r="F116" t="s">
        <v>127</v>
      </c>
      <c r="G116" t="s">
        <v>128</v>
      </c>
      <c r="H116" t="s">
        <v>103</v>
      </c>
      <c r="I116" t="s">
        <v>56</v>
      </c>
      <c r="J116" t="s">
        <v>57</v>
      </c>
      <c r="K116" t="s">
        <v>32</v>
      </c>
      <c r="L116" t="s">
        <v>46</v>
      </c>
      <c r="M116" t="s">
        <v>68</v>
      </c>
      <c r="N116" t="s">
        <v>48</v>
      </c>
      <c r="O116" t="s">
        <v>70</v>
      </c>
      <c r="P116" t="s">
        <v>49</v>
      </c>
      <c r="Q116" t="s">
        <v>59</v>
      </c>
      <c r="R116">
        <v>161</v>
      </c>
      <c r="S116">
        <v>87</v>
      </c>
      <c r="T116">
        <v>67</v>
      </c>
      <c r="U116">
        <v>18</v>
      </c>
      <c r="V116" t="s">
        <v>6818</v>
      </c>
      <c r="W116">
        <v>55247</v>
      </c>
      <c r="X116" t="s">
        <v>7093</v>
      </c>
      <c r="Y116">
        <v>41944</v>
      </c>
      <c r="Z116">
        <v>994446</v>
      </c>
      <c r="AA116">
        <v>239454</v>
      </c>
      <c r="AB116" t="str">
        <f>(VLOOKUP(SalesData[[#This Row],[Month Number]],Reference!C$5:E$16,2,FALSE))</f>
        <v>Feb</v>
      </c>
      <c r="AC116">
        <f>MONTH(SalesData[[#This Row],[Date]])</f>
        <v>2</v>
      </c>
      <c r="AD116">
        <f>Reference!F$4</f>
        <v>2026</v>
      </c>
      <c r="AE116" t="str">
        <f>IF(OR(SalesData[[#This Row],[Day]]="Saturday",SalesData[[#This Row],[Day]]="Sunday"),"Weekend","Weekday")</f>
        <v>Weekend</v>
      </c>
      <c r="AF116" s="5">
        <f>IF(SalesData[[#This Row],[Contracts Offered]]=0,0,SalesData[[#This Row],[Contracts Signed]]/SalesData[[#This Row],[Contracts Offered]])</f>
        <v>0.26865671641791045</v>
      </c>
      <c r="AG116" s="5">
        <f>IF(SalesData[[#This Row],[Customers Visited]]=0,0,SalesData[[#This Row],[Test Drives]]/SalesData[[#This Row],[Customers Visited]])</f>
        <v>0.54037267080745344</v>
      </c>
      <c r="AH116" s="5">
        <f>IF(SalesData[[#This Row],[Customers Visited]]=0,0,SalesData[[#This Row],[Contracts Signed]]/SalesData[[#This Row],[Customers Visited]])</f>
        <v>0.11180124223602485</v>
      </c>
      <c r="AI116" s="6">
        <f>IF(SalesData[[#This Row],[Contracts Signed]]=0,0,SalesData[[#This Row],[Profit(€)]]/SalesData[[#This Row],[Contracts Signed]])</f>
        <v>13303</v>
      </c>
      <c r="AJ116" s="5" t="str">
        <f>TRIM(CLEAN(SalesData[[#This Row],[Retailer]]))</f>
        <v>Rhein Auto Group</v>
      </c>
    </row>
    <row r="117" spans="1:36" ht="14.25" x14ac:dyDescent="0.2">
      <c r="A117" t="s">
        <v>340</v>
      </c>
      <c r="B117" s="1">
        <v>46077</v>
      </c>
      <c r="C117" t="s">
        <v>53</v>
      </c>
      <c r="D117" t="s">
        <v>63</v>
      </c>
      <c r="E117" t="s">
        <v>26</v>
      </c>
      <c r="F117" t="s">
        <v>7649</v>
      </c>
      <c r="G117" t="s">
        <v>55</v>
      </c>
      <c r="H117" t="s">
        <v>55</v>
      </c>
      <c r="I117" t="s">
        <v>30</v>
      </c>
      <c r="J117" t="s">
        <v>7075</v>
      </c>
      <c r="K117" t="s">
        <v>66</v>
      </c>
      <c r="L117" t="s">
        <v>33</v>
      </c>
      <c r="M117" t="s">
        <v>87</v>
      </c>
      <c r="N117" t="s">
        <v>48</v>
      </c>
      <c r="O117" t="s">
        <v>36</v>
      </c>
      <c r="P117" t="s">
        <v>37</v>
      </c>
      <c r="Q117" t="s">
        <v>152</v>
      </c>
      <c r="R117">
        <v>192</v>
      </c>
      <c r="S117">
        <v>118</v>
      </c>
      <c r="T117">
        <v>88</v>
      </c>
      <c r="U117">
        <v>35</v>
      </c>
      <c r="V117" t="s">
        <v>7094</v>
      </c>
      <c r="W117">
        <v>49686</v>
      </c>
      <c r="X117" t="s">
        <v>3853</v>
      </c>
      <c r="Y117">
        <v>36875</v>
      </c>
      <c r="Z117">
        <v>1739010</v>
      </c>
      <c r="AA117">
        <v>448385</v>
      </c>
      <c r="AB117" t="str">
        <f>(VLOOKUP(SalesData[[#This Row],[Month Number]],Reference!C$5:E$16,2,FALSE))</f>
        <v>Feb</v>
      </c>
      <c r="AC117">
        <f>MONTH(SalesData[[#This Row],[Date]])</f>
        <v>2</v>
      </c>
      <c r="AD117">
        <f>Reference!F$4</f>
        <v>2026</v>
      </c>
      <c r="AE117" t="str">
        <f>IF(OR(SalesData[[#This Row],[Day]]="Saturday",SalesData[[#This Row],[Day]]="Sunday"),"Weekend","Weekday")</f>
        <v>Weekday</v>
      </c>
      <c r="AF117" s="5">
        <f>IF(SalesData[[#This Row],[Contracts Offered]]=0,0,SalesData[[#This Row],[Contracts Signed]]/SalesData[[#This Row],[Contracts Offered]])</f>
        <v>0.39772727272727271</v>
      </c>
      <c r="AG117" s="5">
        <f>IF(SalesData[[#This Row],[Customers Visited]]=0,0,SalesData[[#This Row],[Test Drives]]/SalesData[[#This Row],[Customers Visited]])</f>
        <v>0.61458333333333337</v>
      </c>
      <c r="AH117" s="5">
        <f>IF(SalesData[[#This Row],[Customers Visited]]=0,0,SalesData[[#This Row],[Contracts Signed]]/SalesData[[#This Row],[Customers Visited]])</f>
        <v>0.18229166666666666</v>
      </c>
      <c r="AI117" s="6">
        <f>IF(SalesData[[#This Row],[Contracts Signed]]=0,0,SalesData[[#This Row],[Profit(€)]]/SalesData[[#This Row],[Contracts Signed]])</f>
        <v>12811</v>
      </c>
      <c r="AJ117" s="5" t="str">
        <f>TRIM(CLEAN(SalesData[[#This Row],[Retailer]]))</f>
        <v>Autohaus Berlin</v>
      </c>
    </row>
    <row r="118" spans="1:36" ht="14.25" x14ac:dyDescent="0.2">
      <c r="A118" t="s">
        <v>342</v>
      </c>
      <c r="B118" s="1">
        <v>46064</v>
      </c>
      <c r="C118" t="s">
        <v>121</v>
      </c>
      <c r="D118" t="s">
        <v>82</v>
      </c>
      <c r="E118" t="s">
        <v>26</v>
      </c>
      <c r="F118" t="s">
        <v>83</v>
      </c>
      <c r="G118" t="s">
        <v>84</v>
      </c>
      <c r="H118" t="s">
        <v>85</v>
      </c>
      <c r="I118" t="s">
        <v>30</v>
      </c>
      <c r="J118" t="s">
        <v>7075</v>
      </c>
      <c r="K118" t="s">
        <v>66</v>
      </c>
      <c r="L118" t="s">
        <v>33</v>
      </c>
      <c r="M118" t="s">
        <v>34</v>
      </c>
      <c r="N118" t="s">
        <v>48</v>
      </c>
      <c r="O118" t="s">
        <v>36</v>
      </c>
      <c r="P118" t="s">
        <v>37</v>
      </c>
      <c r="Q118" t="s">
        <v>167</v>
      </c>
      <c r="R118">
        <v>157</v>
      </c>
      <c r="S118">
        <v>87</v>
      </c>
      <c r="T118">
        <v>62</v>
      </c>
      <c r="U118">
        <v>24</v>
      </c>
      <c r="V118" t="s">
        <v>6612</v>
      </c>
      <c r="W118">
        <v>61571</v>
      </c>
      <c r="X118" t="s">
        <v>7095</v>
      </c>
      <c r="Y118">
        <v>46897</v>
      </c>
      <c r="Z118">
        <v>1477704</v>
      </c>
      <c r="AA118">
        <v>352176</v>
      </c>
      <c r="AB118" t="str">
        <f>(VLOOKUP(SalesData[[#This Row],[Month Number]],Reference!C$5:E$16,2,FALSE))</f>
        <v>Feb</v>
      </c>
      <c r="AC118">
        <f>MONTH(SalesData[[#This Row],[Date]])</f>
        <v>2</v>
      </c>
      <c r="AD118">
        <f>Reference!F$4</f>
        <v>2026</v>
      </c>
      <c r="AE118" t="str">
        <f>IF(OR(SalesData[[#This Row],[Day]]="Saturday",SalesData[[#This Row],[Day]]="Sunday"),"Weekend","Weekday")</f>
        <v>Weekday</v>
      </c>
      <c r="AF118" s="5">
        <f>IF(SalesData[[#This Row],[Contracts Offered]]=0,0,SalesData[[#This Row],[Contracts Signed]]/SalesData[[#This Row],[Contracts Offered]])</f>
        <v>0.38709677419354838</v>
      </c>
      <c r="AG118" s="5">
        <f>IF(SalesData[[#This Row],[Customers Visited]]=0,0,SalesData[[#This Row],[Test Drives]]/SalesData[[#This Row],[Customers Visited]])</f>
        <v>0.55414012738853502</v>
      </c>
      <c r="AH118" s="5">
        <f>IF(SalesData[[#This Row],[Customers Visited]]=0,0,SalesData[[#This Row],[Contracts Signed]]/SalesData[[#This Row],[Customers Visited]])</f>
        <v>0.15286624203821655</v>
      </c>
      <c r="AI118" s="6">
        <f>IF(SalesData[[#This Row],[Contracts Signed]]=0,0,SalesData[[#This Row],[Profit(€)]]/SalesData[[#This Row],[Contracts Signed]])</f>
        <v>14674</v>
      </c>
      <c r="AJ118" s="5" t="str">
        <f>TRIM(CLEAN(SalesData[[#This Row],[Retailer]]))</f>
        <v>Hannover Cars</v>
      </c>
    </row>
    <row r="119" spans="1:36" ht="14.25" x14ac:dyDescent="0.2">
      <c r="A119" t="s">
        <v>344</v>
      </c>
      <c r="B119" s="1">
        <v>46075</v>
      </c>
      <c r="C119" t="s">
        <v>53</v>
      </c>
      <c r="D119" t="s">
        <v>41</v>
      </c>
      <c r="E119" t="s">
        <v>42</v>
      </c>
      <c r="F119" t="s">
        <v>94</v>
      </c>
      <c r="G119" t="s">
        <v>95</v>
      </c>
      <c r="H119" t="s">
        <v>96</v>
      </c>
      <c r="I119" t="s">
        <v>30</v>
      </c>
      <c r="J119" t="s">
        <v>166</v>
      </c>
      <c r="K119" t="s">
        <v>91</v>
      </c>
      <c r="L119" t="s">
        <v>46</v>
      </c>
      <c r="M119" t="s">
        <v>68</v>
      </c>
      <c r="N119" t="s">
        <v>48</v>
      </c>
      <c r="O119" t="s">
        <v>36</v>
      </c>
      <c r="P119" t="s">
        <v>37</v>
      </c>
      <c r="Q119" t="s">
        <v>167</v>
      </c>
      <c r="R119">
        <v>161</v>
      </c>
      <c r="S119">
        <v>76</v>
      </c>
      <c r="T119">
        <v>59</v>
      </c>
      <c r="U119">
        <v>23</v>
      </c>
      <c r="V119" t="s">
        <v>7096</v>
      </c>
      <c r="W119">
        <v>53541</v>
      </c>
      <c r="X119" t="s">
        <v>958</v>
      </c>
      <c r="Y119">
        <v>39262</v>
      </c>
      <c r="Z119">
        <v>1231443</v>
      </c>
      <c r="AA119">
        <v>328417</v>
      </c>
      <c r="AB119" t="str">
        <f>(VLOOKUP(SalesData[[#This Row],[Month Number]],Reference!C$5:E$16,2,FALSE))</f>
        <v>Feb</v>
      </c>
      <c r="AC119">
        <f>MONTH(SalesData[[#This Row],[Date]])</f>
        <v>2</v>
      </c>
      <c r="AD119">
        <f>Reference!F$4</f>
        <v>2026</v>
      </c>
      <c r="AE119" t="str">
        <f>IF(OR(SalesData[[#This Row],[Day]]="Saturday",SalesData[[#This Row],[Day]]="Sunday"),"Weekend","Weekday")</f>
        <v>Weekend</v>
      </c>
      <c r="AF119" s="5">
        <f>IF(SalesData[[#This Row],[Contracts Offered]]=0,0,SalesData[[#This Row],[Contracts Signed]]/SalesData[[#This Row],[Contracts Offered]])</f>
        <v>0.38983050847457629</v>
      </c>
      <c r="AG119" s="5">
        <f>IF(SalesData[[#This Row],[Customers Visited]]=0,0,SalesData[[#This Row],[Test Drives]]/SalesData[[#This Row],[Customers Visited]])</f>
        <v>0.47204968944099379</v>
      </c>
      <c r="AH119" s="5">
        <f>IF(SalesData[[#This Row],[Customers Visited]]=0,0,SalesData[[#This Row],[Contracts Signed]]/SalesData[[#This Row],[Customers Visited]])</f>
        <v>0.14285714285714285</v>
      </c>
      <c r="AI119" s="6">
        <f>IF(SalesData[[#This Row],[Contracts Signed]]=0,0,SalesData[[#This Row],[Profit(€)]]/SalesData[[#This Row],[Contracts Signed]])</f>
        <v>14279</v>
      </c>
      <c r="AJ119" s="5" t="str">
        <f>TRIM(CLEAN(SalesData[[#This Row],[Retailer]]))</f>
        <v>Bavaria Motors</v>
      </c>
    </row>
    <row r="120" spans="1:36" ht="14.25" x14ac:dyDescent="0.2">
      <c r="A120" t="s">
        <v>346</v>
      </c>
      <c r="B120" s="1">
        <v>46056</v>
      </c>
      <c r="C120" t="s">
        <v>24</v>
      </c>
      <c r="D120" t="s">
        <v>63</v>
      </c>
      <c r="E120" t="s">
        <v>26</v>
      </c>
      <c r="F120" t="s">
        <v>83</v>
      </c>
      <c r="G120" t="s">
        <v>84</v>
      </c>
      <c r="H120" t="s">
        <v>85</v>
      </c>
      <c r="I120" t="s">
        <v>30</v>
      </c>
      <c r="J120" t="s">
        <v>188</v>
      </c>
      <c r="K120" t="s">
        <v>66</v>
      </c>
      <c r="L120" t="s">
        <v>33</v>
      </c>
      <c r="M120" t="s">
        <v>47</v>
      </c>
      <c r="N120" t="s">
        <v>69</v>
      </c>
      <c r="O120" t="s">
        <v>70</v>
      </c>
      <c r="P120" t="s">
        <v>37</v>
      </c>
      <c r="Q120" t="s">
        <v>172</v>
      </c>
      <c r="R120">
        <v>214</v>
      </c>
      <c r="S120">
        <v>108</v>
      </c>
      <c r="T120">
        <v>74</v>
      </c>
      <c r="U120">
        <v>26</v>
      </c>
      <c r="V120" t="s">
        <v>6497</v>
      </c>
      <c r="W120">
        <v>64448</v>
      </c>
      <c r="X120" t="s">
        <v>7087</v>
      </c>
      <c r="Y120">
        <v>47275</v>
      </c>
      <c r="Z120">
        <v>1675648</v>
      </c>
      <c r="AA120">
        <v>446498</v>
      </c>
      <c r="AB120" t="str">
        <f>(VLOOKUP(SalesData[[#This Row],[Month Number]],Reference!C$5:E$16,2,FALSE))</f>
        <v>Feb</v>
      </c>
      <c r="AC120">
        <f>MONTH(SalesData[[#This Row],[Date]])</f>
        <v>2</v>
      </c>
      <c r="AD120">
        <f>Reference!F$4</f>
        <v>2026</v>
      </c>
      <c r="AE120" t="str">
        <f>IF(OR(SalesData[[#This Row],[Day]]="Saturday",SalesData[[#This Row],[Day]]="Sunday"),"Weekend","Weekday")</f>
        <v>Weekday</v>
      </c>
      <c r="AF120" s="5">
        <f>IF(SalesData[[#This Row],[Contracts Offered]]=0,0,SalesData[[#This Row],[Contracts Signed]]/SalesData[[#This Row],[Contracts Offered]])</f>
        <v>0.35135135135135137</v>
      </c>
      <c r="AG120" s="5">
        <f>IF(SalesData[[#This Row],[Customers Visited]]=0,0,SalesData[[#This Row],[Test Drives]]/SalesData[[#This Row],[Customers Visited]])</f>
        <v>0.50467289719626163</v>
      </c>
      <c r="AH120" s="5">
        <f>IF(SalesData[[#This Row],[Customers Visited]]=0,0,SalesData[[#This Row],[Contracts Signed]]/SalesData[[#This Row],[Customers Visited]])</f>
        <v>0.12149532710280374</v>
      </c>
      <c r="AI120" s="6">
        <f>IF(SalesData[[#This Row],[Contracts Signed]]=0,0,SalesData[[#This Row],[Profit(€)]]/SalesData[[#This Row],[Contracts Signed]])</f>
        <v>17173</v>
      </c>
      <c r="AJ120" s="5" t="str">
        <f>TRIM(CLEAN(SalesData[[#This Row],[Retailer]]))</f>
        <v>Hannover Cars</v>
      </c>
    </row>
    <row r="121" spans="1:36" ht="14.25" hidden="1" x14ac:dyDescent="0.2">
      <c r="A121" t="s">
        <v>349</v>
      </c>
      <c r="B121" s="1">
        <v>46077</v>
      </c>
      <c r="C121" t="s">
        <v>53</v>
      </c>
      <c r="D121" t="s">
        <v>63</v>
      </c>
      <c r="E121" t="s">
        <v>26</v>
      </c>
      <c r="F121" t="s">
        <v>83</v>
      </c>
      <c r="G121" t="s">
        <v>84</v>
      </c>
      <c r="H121" t="s">
        <v>85</v>
      </c>
      <c r="I121" t="s">
        <v>64</v>
      </c>
      <c r="J121" t="s">
        <v>77</v>
      </c>
      <c r="K121" t="s">
        <v>91</v>
      </c>
      <c r="L121" t="s">
        <v>46</v>
      </c>
      <c r="M121" t="s">
        <v>47</v>
      </c>
      <c r="N121" t="s">
        <v>35</v>
      </c>
      <c r="O121" t="s">
        <v>70</v>
      </c>
      <c r="P121" t="s">
        <v>58</v>
      </c>
      <c r="Q121" t="s">
        <v>50</v>
      </c>
      <c r="R121">
        <v>219</v>
      </c>
      <c r="S121">
        <v>104</v>
      </c>
      <c r="T121">
        <v>78</v>
      </c>
      <c r="U121">
        <v>29</v>
      </c>
      <c r="V121" t="s">
        <v>6832</v>
      </c>
      <c r="W121">
        <v>64607</v>
      </c>
      <c r="X121" t="s">
        <v>3488</v>
      </c>
      <c r="Y121">
        <v>49493</v>
      </c>
      <c r="Z121">
        <v>1873603</v>
      </c>
      <c r="AA121">
        <v>438306</v>
      </c>
      <c r="AB121" t="str">
        <f>(VLOOKUP(SalesData[[#This Row],[Month Number]],Reference!C$5:E$16,2,FALSE))</f>
        <v>Feb</v>
      </c>
      <c r="AC121">
        <f>MONTH(SalesData[[#This Row],[Date]])</f>
        <v>2</v>
      </c>
      <c r="AD121">
        <f>Reference!F$4</f>
        <v>2026</v>
      </c>
      <c r="AE121" t="str">
        <f>IF(OR(SalesData[[#This Row],[Day]]="Saturday",SalesData[[#This Row],[Day]]="Sunday"),"Weekend","Weekday")</f>
        <v>Weekday</v>
      </c>
      <c r="AF121" s="5">
        <f>IF(SalesData[[#This Row],[Contracts Offered]]=0,0,SalesData[[#This Row],[Contracts Signed]]/SalesData[[#This Row],[Contracts Offered]])</f>
        <v>0.37179487179487181</v>
      </c>
      <c r="AG121" s="5">
        <f>IF(SalesData[[#This Row],[Customers Visited]]=0,0,SalesData[[#This Row],[Test Drives]]/SalesData[[#This Row],[Customers Visited]])</f>
        <v>0.47488584474885842</v>
      </c>
      <c r="AH121" s="5">
        <f>IF(SalesData[[#This Row],[Customers Visited]]=0,0,SalesData[[#This Row],[Contracts Signed]]/SalesData[[#This Row],[Customers Visited]])</f>
        <v>0.13242009132420091</v>
      </c>
      <c r="AI121" s="6">
        <f>IF(SalesData[[#This Row],[Contracts Signed]]=0,0,SalesData[[#This Row],[Profit(€)]]/SalesData[[#This Row],[Contracts Signed]])</f>
        <v>15114</v>
      </c>
      <c r="AJ121" s="5" t="str">
        <f>TRIM(CLEAN(SalesData[[#This Row],[Retailer]]))</f>
        <v>Hannover Cars</v>
      </c>
    </row>
    <row r="122" spans="1:36" ht="14.25" hidden="1" x14ac:dyDescent="0.2">
      <c r="A122" t="s">
        <v>351</v>
      </c>
      <c r="B122" s="1">
        <v>46054</v>
      </c>
      <c r="C122" t="s">
        <v>24</v>
      </c>
      <c r="D122" t="s">
        <v>41</v>
      </c>
      <c r="E122" t="s">
        <v>42</v>
      </c>
      <c r="F122" t="s">
        <v>83</v>
      </c>
      <c r="G122" t="s">
        <v>84</v>
      </c>
      <c r="H122" t="s">
        <v>85</v>
      </c>
      <c r="I122" t="s">
        <v>116</v>
      </c>
      <c r="J122" t="s">
        <v>7090</v>
      </c>
      <c r="K122" t="s">
        <v>91</v>
      </c>
      <c r="L122" t="s">
        <v>46</v>
      </c>
      <c r="M122" t="s">
        <v>47</v>
      </c>
      <c r="N122" t="s">
        <v>48</v>
      </c>
      <c r="O122" t="s">
        <v>70</v>
      </c>
      <c r="P122" t="s">
        <v>49</v>
      </c>
      <c r="Q122" t="s">
        <v>79</v>
      </c>
      <c r="R122">
        <v>238</v>
      </c>
      <c r="S122">
        <v>133</v>
      </c>
      <c r="T122">
        <v>79</v>
      </c>
      <c r="U122">
        <v>14</v>
      </c>
      <c r="V122" t="s">
        <v>1692</v>
      </c>
      <c r="W122">
        <v>24274</v>
      </c>
      <c r="X122" t="s">
        <v>606</v>
      </c>
      <c r="Y122">
        <v>22275</v>
      </c>
      <c r="Z122">
        <v>339836</v>
      </c>
      <c r="AA122">
        <v>27986</v>
      </c>
      <c r="AB122" t="str">
        <f>(VLOOKUP(SalesData[[#This Row],[Month Number]],Reference!C$5:E$16,2,FALSE))</f>
        <v>Feb</v>
      </c>
      <c r="AC122">
        <f>MONTH(SalesData[[#This Row],[Date]])</f>
        <v>2</v>
      </c>
      <c r="AD122">
        <f>Reference!F$4</f>
        <v>2026</v>
      </c>
      <c r="AE122" t="str">
        <f>IF(OR(SalesData[[#This Row],[Day]]="Saturday",SalesData[[#This Row],[Day]]="Sunday"),"Weekend","Weekday")</f>
        <v>Weekend</v>
      </c>
      <c r="AF122" s="5">
        <f>IF(SalesData[[#This Row],[Contracts Offered]]=0,0,SalesData[[#This Row],[Contracts Signed]]/SalesData[[#This Row],[Contracts Offered]])</f>
        <v>0.17721518987341772</v>
      </c>
      <c r="AG122" s="5">
        <f>IF(SalesData[[#This Row],[Customers Visited]]=0,0,SalesData[[#This Row],[Test Drives]]/SalesData[[#This Row],[Customers Visited]])</f>
        <v>0.55882352941176472</v>
      </c>
      <c r="AH122" s="5">
        <f>IF(SalesData[[#This Row],[Customers Visited]]=0,0,SalesData[[#This Row],[Contracts Signed]]/SalesData[[#This Row],[Customers Visited]])</f>
        <v>5.8823529411764705E-2</v>
      </c>
      <c r="AI122" s="6">
        <f>IF(SalesData[[#This Row],[Contracts Signed]]=0,0,SalesData[[#This Row],[Profit(€)]]/SalesData[[#This Row],[Contracts Signed]])</f>
        <v>1999</v>
      </c>
      <c r="AJ122" s="5" t="str">
        <f>TRIM(CLEAN(SalesData[[#This Row],[Retailer]]))</f>
        <v>Hannover Cars</v>
      </c>
    </row>
    <row r="123" spans="1:36" ht="14.25" x14ac:dyDescent="0.2">
      <c r="A123" t="s">
        <v>353</v>
      </c>
      <c r="B123" s="1">
        <v>46060</v>
      </c>
      <c r="C123" t="s">
        <v>24</v>
      </c>
      <c r="D123" t="s">
        <v>151</v>
      </c>
      <c r="E123" t="s">
        <v>42</v>
      </c>
      <c r="F123" t="s">
        <v>109</v>
      </c>
      <c r="G123" t="s">
        <v>110</v>
      </c>
      <c r="H123" t="s">
        <v>45</v>
      </c>
      <c r="I123" t="s">
        <v>30</v>
      </c>
      <c r="J123" t="s">
        <v>188</v>
      </c>
      <c r="K123" t="s">
        <v>32</v>
      </c>
      <c r="L123" t="s">
        <v>33</v>
      </c>
      <c r="M123" t="s">
        <v>34</v>
      </c>
      <c r="N123" t="s">
        <v>48</v>
      </c>
      <c r="O123" t="s">
        <v>36</v>
      </c>
      <c r="P123" t="s">
        <v>71</v>
      </c>
      <c r="Q123" t="s">
        <v>122</v>
      </c>
      <c r="R123">
        <v>222</v>
      </c>
      <c r="S123">
        <v>132</v>
      </c>
      <c r="T123">
        <v>104</v>
      </c>
      <c r="U123">
        <v>39</v>
      </c>
      <c r="V123" t="s">
        <v>6697</v>
      </c>
      <c r="W123">
        <v>62702</v>
      </c>
      <c r="X123" t="s">
        <v>958</v>
      </c>
      <c r="Y123">
        <v>48529</v>
      </c>
      <c r="Z123">
        <v>2445378</v>
      </c>
      <c r="AA123">
        <v>552747</v>
      </c>
      <c r="AB123" t="str">
        <f>(VLOOKUP(SalesData[[#This Row],[Month Number]],Reference!C$5:E$16,2,FALSE))</f>
        <v>Feb</v>
      </c>
      <c r="AC123">
        <f>MONTH(SalesData[[#This Row],[Date]])</f>
        <v>2</v>
      </c>
      <c r="AD123">
        <f>Reference!F$4</f>
        <v>2026</v>
      </c>
      <c r="AE123" t="str">
        <f>IF(OR(SalesData[[#This Row],[Day]]="Saturday",SalesData[[#This Row],[Day]]="Sunday"),"Weekend","Weekday")</f>
        <v>Weekend</v>
      </c>
      <c r="AF123" s="5">
        <f>IF(SalesData[[#This Row],[Contracts Offered]]=0,0,SalesData[[#This Row],[Contracts Signed]]/SalesData[[#This Row],[Contracts Offered]])</f>
        <v>0.375</v>
      </c>
      <c r="AG123" s="5">
        <f>IF(SalesData[[#This Row],[Customers Visited]]=0,0,SalesData[[#This Row],[Test Drives]]/SalesData[[#This Row],[Customers Visited]])</f>
        <v>0.59459459459459463</v>
      </c>
      <c r="AH123" s="5">
        <f>IF(SalesData[[#This Row],[Customers Visited]]=0,0,SalesData[[#This Row],[Contracts Signed]]/SalesData[[#This Row],[Customers Visited]])</f>
        <v>0.17567567567567569</v>
      </c>
      <c r="AI123" s="6">
        <f>IF(SalesData[[#This Row],[Contracts Signed]]=0,0,SalesData[[#This Row],[Profit(€)]]/SalesData[[#This Row],[Contracts Signed]])</f>
        <v>14173</v>
      </c>
      <c r="AJ123" s="5" t="str">
        <f>TRIM(CLEAN(SalesData[[#This Row],[Retailer]]))</f>
        <v>Leipzig Mobility</v>
      </c>
    </row>
    <row r="124" spans="1:36" ht="14.25" hidden="1" x14ac:dyDescent="0.2">
      <c r="A124" t="s">
        <v>355</v>
      </c>
      <c r="B124" s="1">
        <v>46061</v>
      </c>
      <c r="C124" t="s">
        <v>121</v>
      </c>
      <c r="D124" t="s">
        <v>41</v>
      </c>
      <c r="E124" t="s">
        <v>42</v>
      </c>
      <c r="F124" t="s">
        <v>7649</v>
      </c>
      <c r="G124" t="s">
        <v>55</v>
      </c>
      <c r="H124" t="s">
        <v>55</v>
      </c>
      <c r="I124" t="s">
        <v>56</v>
      </c>
      <c r="J124" t="s">
        <v>97</v>
      </c>
      <c r="K124" t="s">
        <v>32</v>
      </c>
      <c r="L124" t="s">
        <v>33</v>
      </c>
      <c r="M124" t="s">
        <v>68</v>
      </c>
      <c r="N124" t="s">
        <v>69</v>
      </c>
      <c r="O124" t="s">
        <v>70</v>
      </c>
      <c r="P124" t="s">
        <v>49</v>
      </c>
      <c r="Q124" t="s">
        <v>88</v>
      </c>
      <c r="R124">
        <v>235</v>
      </c>
      <c r="S124">
        <v>129</v>
      </c>
      <c r="T124">
        <v>97</v>
      </c>
      <c r="U124">
        <v>25</v>
      </c>
      <c r="V124" t="s">
        <v>4828</v>
      </c>
      <c r="W124">
        <v>50099</v>
      </c>
      <c r="X124" t="s">
        <v>1632</v>
      </c>
      <c r="Y124">
        <v>38418</v>
      </c>
      <c r="Z124">
        <v>1252475</v>
      </c>
      <c r="AA124">
        <v>292025</v>
      </c>
      <c r="AB124" t="str">
        <f>(VLOOKUP(SalesData[[#This Row],[Month Number]],Reference!C$5:E$16,2,FALSE))</f>
        <v>Feb</v>
      </c>
      <c r="AC124">
        <f>MONTH(SalesData[[#This Row],[Date]])</f>
        <v>2</v>
      </c>
      <c r="AD124">
        <f>Reference!F$4</f>
        <v>2026</v>
      </c>
      <c r="AE124" t="str">
        <f>IF(OR(SalesData[[#This Row],[Day]]="Saturday",SalesData[[#This Row],[Day]]="Sunday"),"Weekend","Weekday")</f>
        <v>Weekend</v>
      </c>
      <c r="AF124" s="5">
        <f>IF(SalesData[[#This Row],[Contracts Offered]]=0,0,SalesData[[#This Row],[Contracts Signed]]/SalesData[[#This Row],[Contracts Offered]])</f>
        <v>0.25773195876288657</v>
      </c>
      <c r="AG124" s="5">
        <f>IF(SalesData[[#This Row],[Customers Visited]]=0,0,SalesData[[#This Row],[Test Drives]]/SalesData[[#This Row],[Customers Visited]])</f>
        <v>0.54893617021276597</v>
      </c>
      <c r="AH124" s="5">
        <f>IF(SalesData[[#This Row],[Customers Visited]]=0,0,SalesData[[#This Row],[Contracts Signed]]/SalesData[[#This Row],[Customers Visited]])</f>
        <v>0.10638297872340426</v>
      </c>
      <c r="AI124" s="6">
        <f>IF(SalesData[[#This Row],[Contracts Signed]]=0,0,SalesData[[#This Row],[Profit(€)]]/SalesData[[#This Row],[Contracts Signed]])</f>
        <v>11681</v>
      </c>
      <c r="AJ124" s="5" t="str">
        <f>TRIM(CLEAN(SalesData[[#This Row],[Retailer]]))</f>
        <v>Autohaus Berlin</v>
      </c>
    </row>
    <row r="125" spans="1:36" ht="14.25" hidden="1" x14ac:dyDescent="0.2">
      <c r="A125" t="s">
        <v>357</v>
      </c>
      <c r="B125" s="1">
        <v>46066</v>
      </c>
      <c r="C125" t="s">
        <v>121</v>
      </c>
      <c r="D125" t="s">
        <v>54</v>
      </c>
      <c r="E125" t="s">
        <v>26</v>
      </c>
      <c r="F125" t="s">
        <v>83</v>
      </c>
      <c r="G125" t="s">
        <v>84</v>
      </c>
      <c r="H125" t="s">
        <v>85</v>
      </c>
      <c r="I125" t="s">
        <v>116</v>
      </c>
      <c r="J125" t="s">
        <v>7026</v>
      </c>
      <c r="K125" t="s">
        <v>78</v>
      </c>
      <c r="L125" t="s">
        <v>46</v>
      </c>
      <c r="M125" t="s">
        <v>87</v>
      </c>
      <c r="N125" t="s">
        <v>35</v>
      </c>
      <c r="O125" t="s">
        <v>70</v>
      </c>
      <c r="P125" t="s">
        <v>37</v>
      </c>
      <c r="Q125" t="s">
        <v>240</v>
      </c>
      <c r="R125">
        <v>278</v>
      </c>
      <c r="S125">
        <v>119</v>
      </c>
      <c r="T125">
        <v>68</v>
      </c>
      <c r="U125">
        <v>19</v>
      </c>
      <c r="V125" t="s">
        <v>558</v>
      </c>
      <c r="W125">
        <v>23012</v>
      </c>
      <c r="X125" t="s">
        <v>441</v>
      </c>
      <c r="Y125">
        <v>20685</v>
      </c>
      <c r="Z125">
        <v>437228</v>
      </c>
      <c r="AA125">
        <v>44213</v>
      </c>
      <c r="AB125" t="str">
        <f>(VLOOKUP(SalesData[[#This Row],[Month Number]],Reference!C$5:E$16,2,FALSE))</f>
        <v>Feb</v>
      </c>
      <c r="AC125">
        <f>MONTH(SalesData[[#This Row],[Date]])</f>
        <v>2</v>
      </c>
      <c r="AD125">
        <f>Reference!F$4</f>
        <v>2026</v>
      </c>
      <c r="AE125" t="str">
        <f>IF(OR(SalesData[[#This Row],[Day]]="Saturday",SalesData[[#This Row],[Day]]="Sunday"),"Weekend","Weekday")</f>
        <v>Weekday</v>
      </c>
      <c r="AF125" s="5">
        <f>IF(SalesData[[#This Row],[Contracts Offered]]=0,0,SalesData[[#This Row],[Contracts Signed]]/SalesData[[#This Row],[Contracts Offered]])</f>
        <v>0.27941176470588236</v>
      </c>
      <c r="AG125" s="5">
        <f>IF(SalesData[[#This Row],[Customers Visited]]=0,0,SalesData[[#This Row],[Test Drives]]/SalesData[[#This Row],[Customers Visited]])</f>
        <v>0.42805755395683454</v>
      </c>
      <c r="AH125" s="5">
        <f>IF(SalesData[[#This Row],[Customers Visited]]=0,0,SalesData[[#This Row],[Contracts Signed]]/SalesData[[#This Row],[Customers Visited]])</f>
        <v>6.83453237410072E-2</v>
      </c>
      <c r="AI125" s="6">
        <f>IF(SalesData[[#This Row],[Contracts Signed]]=0,0,SalesData[[#This Row],[Profit(€)]]/SalesData[[#This Row],[Contracts Signed]])</f>
        <v>2327</v>
      </c>
      <c r="AJ125" s="5" t="str">
        <f>TRIM(CLEAN(SalesData[[#This Row],[Retailer]]))</f>
        <v>Hannover Cars</v>
      </c>
    </row>
    <row r="126" spans="1:36" ht="14.25" hidden="1" x14ac:dyDescent="0.2">
      <c r="A126" t="s">
        <v>359</v>
      </c>
      <c r="B126" s="1">
        <v>46080</v>
      </c>
      <c r="C126" t="s">
        <v>53</v>
      </c>
      <c r="D126" t="s">
        <v>54</v>
      </c>
      <c r="E126" t="s">
        <v>26</v>
      </c>
      <c r="F126" t="s">
        <v>94</v>
      </c>
      <c r="G126" t="s">
        <v>95</v>
      </c>
      <c r="H126" t="s">
        <v>96</v>
      </c>
      <c r="I126" t="s">
        <v>104</v>
      </c>
      <c r="J126" t="s">
        <v>140</v>
      </c>
      <c r="K126" t="s">
        <v>91</v>
      </c>
      <c r="L126" t="s">
        <v>46</v>
      </c>
      <c r="M126" t="s">
        <v>47</v>
      </c>
      <c r="N126" t="s">
        <v>48</v>
      </c>
      <c r="O126" t="s">
        <v>36</v>
      </c>
      <c r="P126" t="s">
        <v>37</v>
      </c>
      <c r="Q126" t="s">
        <v>50</v>
      </c>
      <c r="R126">
        <v>354</v>
      </c>
      <c r="S126">
        <v>170</v>
      </c>
      <c r="T126">
        <v>104</v>
      </c>
      <c r="U126">
        <v>31</v>
      </c>
      <c r="V126" t="s">
        <v>799</v>
      </c>
      <c r="W126">
        <v>31341</v>
      </c>
      <c r="X126" t="s">
        <v>361</v>
      </c>
      <c r="Y126">
        <v>27168</v>
      </c>
      <c r="Z126">
        <v>971571</v>
      </c>
      <c r="AA126">
        <v>129363</v>
      </c>
      <c r="AB126" t="str">
        <f>(VLOOKUP(SalesData[[#This Row],[Month Number]],Reference!C$5:E$16,2,FALSE))</f>
        <v>Feb</v>
      </c>
      <c r="AC126">
        <f>MONTH(SalesData[[#This Row],[Date]])</f>
        <v>2</v>
      </c>
      <c r="AD126">
        <f>Reference!F$4</f>
        <v>2026</v>
      </c>
      <c r="AE126" t="str">
        <f>IF(OR(SalesData[[#This Row],[Day]]="Saturday",SalesData[[#This Row],[Day]]="Sunday"),"Weekend","Weekday")</f>
        <v>Weekday</v>
      </c>
      <c r="AF126" s="5">
        <f>IF(SalesData[[#This Row],[Contracts Offered]]=0,0,SalesData[[#This Row],[Contracts Signed]]/SalesData[[#This Row],[Contracts Offered]])</f>
        <v>0.29807692307692307</v>
      </c>
      <c r="AG126" s="5">
        <f>IF(SalesData[[#This Row],[Customers Visited]]=0,0,SalesData[[#This Row],[Test Drives]]/SalesData[[#This Row],[Customers Visited]])</f>
        <v>0.48022598870056499</v>
      </c>
      <c r="AH126" s="5">
        <f>IF(SalesData[[#This Row],[Customers Visited]]=0,0,SalesData[[#This Row],[Contracts Signed]]/SalesData[[#This Row],[Customers Visited]])</f>
        <v>8.7570621468926552E-2</v>
      </c>
      <c r="AI126" s="6">
        <f>IF(SalesData[[#This Row],[Contracts Signed]]=0,0,SalesData[[#This Row],[Profit(€)]]/SalesData[[#This Row],[Contracts Signed]])</f>
        <v>4173</v>
      </c>
      <c r="AJ126" s="5" t="str">
        <f>TRIM(CLEAN(SalesData[[#This Row],[Retailer]]))</f>
        <v>Bavaria Motors</v>
      </c>
    </row>
    <row r="127" spans="1:36" ht="14.25" hidden="1" x14ac:dyDescent="0.2">
      <c r="A127" t="s">
        <v>360</v>
      </c>
      <c r="B127" s="1">
        <v>46075</v>
      </c>
      <c r="C127" t="s">
        <v>53</v>
      </c>
      <c r="D127" t="s">
        <v>41</v>
      </c>
      <c r="E127" t="s">
        <v>42</v>
      </c>
      <c r="F127" t="s">
        <v>101</v>
      </c>
      <c r="G127" t="s">
        <v>102</v>
      </c>
      <c r="H127" t="s">
        <v>103</v>
      </c>
      <c r="I127" t="s">
        <v>56</v>
      </c>
      <c r="J127" t="s">
        <v>57</v>
      </c>
      <c r="K127" t="s">
        <v>66</v>
      </c>
      <c r="L127" t="s">
        <v>46</v>
      </c>
      <c r="M127" t="s">
        <v>34</v>
      </c>
      <c r="N127" t="s">
        <v>69</v>
      </c>
      <c r="O127" t="s">
        <v>70</v>
      </c>
      <c r="P127" t="s">
        <v>58</v>
      </c>
      <c r="Q127" t="s">
        <v>144</v>
      </c>
      <c r="R127">
        <v>195</v>
      </c>
      <c r="S127">
        <v>108</v>
      </c>
      <c r="T127">
        <v>71</v>
      </c>
      <c r="U127">
        <v>24</v>
      </c>
      <c r="V127" t="s">
        <v>6433</v>
      </c>
      <c r="W127">
        <v>43476</v>
      </c>
      <c r="X127" t="s">
        <v>1813</v>
      </c>
      <c r="Y127">
        <v>34850</v>
      </c>
      <c r="Z127">
        <v>1043424</v>
      </c>
      <c r="AA127">
        <v>207024</v>
      </c>
      <c r="AB127" t="str">
        <f>(VLOOKUP(SalesData[[#This Row],[Month Number]],Reference!C$5:E$16,2,FALSE))</f>
        <v>Feb</v>
      </c>
      <c r="AC127">
        <f>MONTH(SalesData[[#This Row],[Date]])</f>
        <v>2</v>
      </c>
      <c r="AD127">
        <f>Reference!F$4</f>
        <v>2026</v>
      </c>
      <c r="AE127" t="str">
        <f>IF(OR(SalesData[[#This Row],[Day]]="Saturday",SalesData[[#This Row],[Day]]="Sunday"),"Weekend","Weekday")</f>
        <v>Weekend</v>
      </c>
      <c r="AF127" s="5">
        <f>IF(SalesData[[#This Row],[Contracts Offered]]=0,0,SalesData[[#This Row],[Contracts Signed]]/SalesData[[#This Row],[Contracts Offered]])</f>
        <v>0.3380281690140845</v>
      </c>
      <c r="AG127" s="5">
        <f>IF(SalesData[[#This Row],[Customers Visited]]=0,0,SalesData[[#This Row],[Test Drives]]/SalesData[[#This Row],[Customers Visited]])</f>
        <v>0.55384615384615388</v>
      </c>
      <c r="AH127" s="5">
        <f>IF(SalesData[[#This Row],[Customers Visited]]=0,0,SalesData[[#This Row],[Contracts Signed]]/SalesData[[#This Row],[Customers Visited]])</f>
        <v>0.12307692307692308</v>
      </c>
      <c r="AI127" s="6">
        <f>IF(SalesData[[#This Row],[Contracts Signed]]=0,0,SalesData[[#This Row],[Profit(€)]]/SalesData[[#This Row],[Contracts Signed]])</f>
        <v>8626</v>
      </c>
      <c r="AJ127" s="5" t="str">
        <f>TRIM(CLEAN(SalesData[[#This Row],[Retailer]]))</f>
        <v>Ruhr Auto Plaza</v>
      </c>
    </row>
    <row r="128" spans="1:36" ht="14.25" hidden="1" x14ac:dyDescent="0.2">
      <c r="A128" t="s">
        <v>362</v>
      </c>
      <c r="B128" s="1">
        <v>46062</v>
      </c>
      <c r="C128" t="s">
        <v>121</v>
      </c>
      <c r="D128" t="s">
        <v>25</v>
      </c>
      <c r="E128" t="s">
        <v>26</v>
      </c>
      <c r="F128" t="s">
        <v>114</v>
      </c>
      <c r="G128" t="s">
        <v>115</v>
      </c>
      <c r="H128" t="s">
        <v>115</v>
      </c>
      <c r="I128" t="s">
        <v>104</v>
      </c>
      <c r="J128" t="s">
        <v>140</v>
      </c>
      <c r="K128" t="s">
        <v>66</v>
      </c>
      <c r="L128" t="s">
        <v>46</v>
      </c>
      <c r="M128" t="s">
        <v>87</v>
      </c>
      <c r="N128" t="s">
        <v>35</v>
      </c>
      <c r="O128" t="s">
        <v>70</v>
      </c>
      <c r="P128" t="s">
        <v>37</v>
      </c>
      <c r="Q128" t="s">
        <v>106</v>
      </c>
      <c r="R128">
        <v>380</v>
      </c>
      <c r="S128">
        <v>155</v>
      </c>
      <c r="T128">
        <v>106</v>
      </c>
      <c r="U128">
        <v>27</v>
      </c>
      <c r="V128" t="s">
        <v>1139</v>
      </c>
      <c r="W128">
        <v>28492</v>
      </c>
      <c r="X128" t="s">
        <v>483</v>
      </c>
      <c r="Y128">
        <v>25822</v>
      </c>
      <c r="Z128">
        <v>769284</v>
      </c>
      <c r="AA128">
        <v>72090</v>
      </c>
      <c r="AB128" t="str">
        <f>(VLOOKUP(SalesData[[#This Row],[Month Number]],Reference!C$5:E$16,2,FALSE))</f>
        <v>Feb</v>
      </c>
      <c r="AC128">
        <f>MONTH(SalesData[[#This Row],[Date]])</f>
        <v>2</v>
      </c>
      <c r="AD128">
        <f>Reference!F$4</f>
        <v>2026</v>
      </c>
      <c r="AE128" t="str">
        <f>IF(OR(SalesData[[#This Row],[Day]]="Saturday",SalesData[[#This Row],[Day]]="Sunday"),"Weekend","Weekday")</f>
        <v>Weekday</v>
      </c>
      <c r="AF128" s="5">
        <f>IF(SalesData[[#This Row],[Contracts Offered]]=0,0,SalesData[[#This Row],[Contracts Signed]]/SalesData[[#This Row],[Contracts Offered]])</f>
        <v>0.25471698113207547</v>
      </c>
      <c r="AG128" s="5">
        <f>IF(SalesData[[#This Row],[Customers Visited]]=0,0,SalesData[[#This Row],[Test Drives]]/SalesData[[#This Row],[Customers Visited]])</f>
        <v>0.40789473684210525</v>
      </c>
      <c r="AH128" s="5">
        <f>IF(SalesData[[#This Row],[Customers Visited]]=0,0,SalesData[[#This Row],[Contracts Signed]]/SalesData[[#This Row],[Customers Visited]])</f>
        <v>7.1052631578947367E-2</v>
      </c>
      <c r="AI128" s="6">
        <f>IF(SalesData[[#This Row],[Contracts Signed]]=0,0,SalesData[[#This Row],[Profit(€)]]/SalesData[[#This Row],[Contracts Signed]])</f>
        <v>2670</v>
      </c>
      <c r="AJ128" s="5" t="str">
        <f>TRIM(CLEAN(SalesData[[#This Row],[Retailer]]))</f>
        <v>Elbe Drive</v>
      </c>
    </row>
    <row r="129" spans="1:36" ht="14.25" x14ac:dyDescent="0.2">
      <c r="A129" t="s">
        <v>364</v>
      </c>
      <c r="B129" s="1">
        <v>46080</v>
      </c>
      <c r="C129" t="s">
        <v>53</v>
      </c>
      <c r="D129" t="s">
        <v>54</v>
      </c>
      <c r="E129" t="s">
        <v>26</v>
      </c>
      <c r="F129" t="s">
        <v>83</v>
      </c>
      <c r="G129" t="s">
        <v>84</v>
      </c>
      <c r="H129" t="s">
        <v>85</v>
      </c>
      <c r="I129" t="s">
        <v>30</v>
      </c>
      <c r="J129" t="s">
        <v>7075</v>
      </c>
      <c r="K129" t="s">
        <v>66</v>
      </c>
      <c r="L129" t="s">
        <v>33</v>
      </c>
      <c r="M129" t="s">
        <v>68</v>
      </c>
      <c r="N129" t="s">
        <v>69</v>
      </c>
      <c r="O129" t="s">
        <v>36</v>
      </c>
      <c r="P129" t="s">
        <v>71</v>
      </c>
      <c r="Q129" t="s">
        <v>167</v>
      </c>
      <c r="R129">
        <v>230</v>
      </c>
      <c r="S129">
        <v>113</v>
      </c>
      <c r="T129">
        <v>87</v>
      </c>
      <c r="U129">
        <v>32</v>
      </c>
      <c r="V129" t="s">
        <v>6878</v>
      </c>
      <c r="W129">
        <v>58906</v>
      </c>
      <c r="X129" t="s">
        <v>7097</v>
      </c>
      <c r="Y129">
        <v>43605</v>
      </c>
      <c r="Z129">
        <v>1884992</v>
      </c>
      <c r="AA129">
        <v>489632</v>
      </c>
      <c r="AB129" t="str">
        <f>(VLOOKUP(SalesData[[#This Row],[Month Number]],Reference!C$5:E$16,2,FALSE))</f>
        <v>Feb</v>
      </c>
      <c r="AC129">
        <f>MONTH(SalesData[[#This Row],[Date]])</f>
        <v>2</v>
      </c>
      <c r="AD129">
        <f>Reference!F$4</f>
        <v>2026</v>
      </c>
      <c r="AE129" t="str">
        <f>IF(OR(SalesData[[#This Row],[Day]]="Saturday",SalesData[[#This Row],[Day]]="Sunday"),"Weekend","Weekday")</f>
        <v>Weekday</v>
      </c>
      <c r="AF129" s="5">
        <f>IF(SalesData[[#This Row],[Contracts Offered]]=0,0,SalesData[[#This Row],[Contracts Signed]]/SalesData[[#This Row],[Contracts Offered]])</f>
        <v>0.36781609195402298</v>
      </c>
      <c r="AG129" s="5">
        <f>IF(SalesData[[#This Row],[Customers Visited]]=0,0,SalesData[[#This Row],[Test Drives]]/SalesData[[#This Row],[Customers Visited]])</f>
        <v>0.49130434782608695</v>
      </c>
      <c r="AH129" s="5">
        <f>IF(SalesData[[#This Row],[Customers Visited]]=0,0,SalesData[[#This Row],[Contracts Signed]]/SalesData[[#This Row],[Customers Visited]])</f>
        <v>0.1391304347826087</v>
      </c>
      <c r="AI129" s="6">
        <f>IF(SalesData[[#This Row],[Contracts Signed]]=0,0,SalesData[[#This Row],[Profit(€)]]/SalesData[[#This Row],[Contracts Signed]])</f>
        <v>15301</v>
      </c>
      <c r="AJ129" s="5" t="str">
        <f>TRIM(CLEAN(SalesData[[#This Row],[Retailer]]))</f>
        <v>Hannover Cars</v>
      </c>
    </row>
    <row r="130" spans="1:36" ht="14.25" hidden="1" x14ac:dyDescent="0.2">
      <c r="A130" t="s">
        <v>366</v>
      </c>
      <c r="B130" s="1">
        <v>46072</v>
      </c>
      <c r="C130" t="s">
        <v>62</v>
      </c>
      <c r="D130" t="s">
        <v>100</v>
      </c>
      <c r="E130" t="s">
        <v>26</v>
      </c>
      <c r="F130" t="s">
        <v>27</v>
      </c>
      <c r="G130" t="s">
        <v>28</v>
      </c>
      <c r="H130" t="s">
        <v>29</v>
      </c>
      <c r="I130" t="s">
        <v>116</v>
      </c>
      <c r="J130" t="s">
        <v>203</v>
      </c>
      <c r="K130" t="s">
        <v>78</v>
      </c>
      <c r="L130" t="s">
        <v>67</v>
      </c>
      <c r="M130" t="s">
        <v>68</v>
      </c>
      <c r="N130" t="s">
        <v>69</v>
      </c>
      <c r="O130" t="s">
        <v>70</v>
      </c>
      <c r="P130" t="s">
        <v>58</v>
      </c>
      <c r="Q130" t="s">
        <v>50</v>
      </c>
      <c r="R130">
        <v>399</v>
      </c>
      <c r="S130">
        <v>221</v>
      </c>
      <c r="T130">
        <v>140</v>
      </c>
      <c r="U130">
        <v>42</v>
      </c>
      <c r="V130" t="s">
        <v>2067</v>
      </c>
      <c r="W130">
        <v>22564</v>
      </c>
      <c r="X130" t="s">
        <v>2447</v>
      </c>
      <c r="Y130">
        <v>20763</v>
      </c>
      <c r="Z130">
        <v>947688</v>
      </c>
      <c r="AA130">
        <v>75642</v>
      </c>
      <c r="AB130" t="str">
        <f>(VLOOKUP(SalesData[[#This Row],[Month Number]],Reference!C$5:E$16,2,FALSE))</f>
        <v>Feb</v>
      </c>
      <c r="AC130">
        <f>MONTH(SalesData[[#This Row],[Date]])</f>
        <v>2</v>
      </c>
      <c r="AD130">
        <f>Reference!F$4</f>
        <v>2026</v>
      </c>
      <c r="AE130" t="str">
        <f>IF(OR(SalesData[[#This Row],[Day]]="Saturday",SalesData[[#This Row],[Day]]="Sunday"),"Weekend","Weekday")</f>
        <v>Weekday</v>
      </c>
      <c r="AF130" s="5">
        <f>IF(SalesData[[#This Row],[Contracts Offered]]=0,0,SalesData[[#This Row],[Contracts Signed]]/SalesData[[#This Row],[Contracts Offered]])</f>
        <v>0.3</v>
      </c>
      <c r="AG130" s="5">
        <f>IF(SalesData[[#This Row],[Customers Visited]]=0,0,SalesData[[#This Row],[Test Drives]]/SalesData[[#This Row],[Customers Visited]])</f>
        <v>0.55388471177944865</v>
      </c>
      <c r="AH130" s="5">
        <f>IF(SalesData[[#This Row],[Customers Visited]]=0,0,SalesData[[#This Row],[Contracts Signed]]/SalesData[[#This Row],[Customers Visited]])</f>
        <v>0.10526315789473684</v>
      </c>
      <c r="AI130" s="6">
        <f>IF(SalesData[[#This Row],[Contracts Signed]]=0,0,SalesData[[#This Row],[Profit(€)]]/SalesData[[#This Row],[Contracts Signed]])</f>
        <v>1801</v>
      </c>
      <c r="AJ130" s="5" t="str">
        <f>TRIM(CLEAN(SalesData[[#This Row],[Retailer]]))</f>
        <v>Main Auto Hub</v>
      </c>
    </row>
    <row r="131" spans="1:36" ht="14.25" hidden="1" x14ac:dyDescent="0.2">
      <c r="A131" t="s">
        <v>368</v>
      </c>
      <c r="B131" s="1">
        <v>46080</v>
      </c>
      <c r="C131" t="s">
        <v>53</v>
      </c>
      <c r="D131" t="s">
        <v>54</v>
      </c>
      <c r="E131" t="s">
        <v>26</v>
      </c>
      <c r="F131" t="s">
        <v>114</v>
      </c>
      <c r="G131" t="s">
        <v>115</v>
      </c>
      <c r="H131" t="s">
        <v>115</v>
      </c>
      <c r="I131" t="s">
        <v>104</v>
      </c>
      <c r="J131" t="s">
        <v>7031</v>
      </c>
      <c r="K131" t="s">
        <v>32</v>
      </c>
      <c r="L131" t="s">
        <v>46</v>
      </c>
      <c r="M131" t="s">
        <v>87</v>
      </c>
      <c r="N131" t="s">
        <v>48</v>
      </c>
      <c r="O131" t="s">
        <v>70</v>
      </c>
      <c r="P131" t="s">
        <v>58</v>
      </c>
      <c r="Q131" t="s">
        <v>122</v>
      </c>
      <c r="R131">
        <v>437</v>
      </c>
      <c r="S131">
        <v>177</v>
      </c>
      <c r="T131">
        <v>113</v>
      </c>
      <c r="U131">
        <v>35</v>
      </c>
      <c r="V131" t="s">
        <v>403</v>
      </c>
      <c r="W131">
        <v>27327</v>
      </c>
      <c r="X131" t="s">
        <v>7098</v>
      </c>
      <c r="Y131">
        <v>23952</v>
      </c>
      <c r="Z131">
        <v>956445</v>
      </c>
      <c r="AA131">
        <v>118125</v>
      </c>
      <c r="AB131" t="str">
        <f>(VLOOKUP(SalesData[[#This Row],[Month Number]],Reference!C$5:E$16,2,FALSE))</f>
        <v>Feb</v>
      </c>
      <c r="AC131">
        <f>MONTH(SalesData[[#This Row],[Date]])</f>
        <v>2</v>
      </c>
      <c r="AD131">
        <f>Reference!F$4</f>
        <v>2026</v>
      </c>
      <c r="AE131" t="str">
        <f>IF(OR(SalesData[[#This Row],[Day]]="Saturday",SalesData[[#This Row],[Day]]="Sunday"),"Weekend","Weekday")</f>
        <v>Weekday</v>
      </c>
      <c r="AF131" s="5">
        <f>IF(SalesData[[#This Row],[Contracts Offered]]=0,0,SalesData[[#This Row],[Contracts Signed]]/SalesData[[#This Row],[Contracts Offered]])</f>
        <v>0.30973451327433627</v>
      </c>
      <c r="AG131" s="5">
        <f>IF(SalesData[[#This Row],[Customers Visited]]=0,0,SalesData[[#This Row],[Test Drives]]/SalesData[[#This Row],[Customers Visited]])</f>
        <v>0.40503432494279173</v>
      </c>
      <c r="AH131" s="5">
        <f>IF(SalesData[[#This Row],[Customers Visited]]=0,0,SalesData[[#This Row],[Contracts Signed]]/SalesData[[#This Row],[Customers Visited]])</f>
        <v>8.0091533180778038E-2</v>
      </c>
      <c r="AI131" s="6">
        <f>IF(SalesData[[#This Row],[Contracts Signed]]=0,0,SalesData[[#This Row],[Profit(€)]]/SalesData[[#This Row],[Contracts Signed]])</f>
        <v>3375</v>
      </c>
      <c r="AJ131" s="5" t="str">
        <f>TRIM(CLEAN(SalesData[[#This Row],[Retailer]]))</f>
        <v>Elbe Drive</v>
      </c>
    </row>
    <row r="132" spans="1:36" ht="14.25" hidden="1" x14ac:dyDescent="0.2">
      <c r="A132" t="s">
        <v>370</v>
      </c>
      <c r="B132" s="1">
        <v>46071</v>
      </c>
      <c r="C132" t="s">
        <v>62</v>
      </c>
      <c r="D132" t="s">
        <v>82</v>
      </c>
      <c r="E132" t="s">
        <v>26</v>
      </c>
      <c r="F132" t="s">
        <v>74</v>
      </c>
      <c r="G132" t="s">
        <v>75</v>
      </c>
      <c r="H132" t="s">
        <v>76</v>
      </c>
      <c r="I132" t="s">
        <v>104</v>
      </c>
      <c r="J132" t="s">
        <v>105</v>
      </c>
      <c r="K132" t="s">
        <v>66</v>
      </c>
      <c r="L132" t="s">
        <v>33</v>
      </c>
      <c r="M132" t="s">
        <v>34</v>
      </c>
      <c r="N132" t="s">
        <v>69</v>
      </c>
      <c r="O132" t="s">
        <v>36</v>
      </c>
      <c r="P132" t="s">
        <v>71</v>
      </c>
      <c r="Q132" t="s">
        <v>118</v>
      </c>
      <c r="R132">
        <v>424</v>
      </c>
      <c r="S132">
        <v>210</v>
      </c>
      <c r="T132">
        <v>123</v>
      </c>
      <c r="U132">
        <v>41</v>
      </c>
      <c r="V132" t="s">
        <v>7099</v>
      </c>
      <c r="W132">
        <v>29049</v>
      </c>
      <c r="X132" t="s">
        <v>72</v>
      </c>
      <c r="Y132">
        <v>25370</v>
      </c>
      <c r="Z132">
        <v>1191009</v>
      </c>
      <c r="AA132">
        <v>150839</v>
      </c>
      <c r="AB132" t="str">
        <f>(VLOOKUP(SalesData[[#This Row],[Month Number]],Reference!C$5:E$16,2,FALSE))</f>
        <v>Feb</v>
      </c>
      <c r="AC132">
        <f>MONTH(SalesData[[#This Row],[Date]])</f>
        <v>2</v>
      </c>
      <c r="AD132">
        <f>Reference!F$4</f>
        <v>2026</v>
      </c>
      <c r="AE132" t="str">
        <f>IF(OR(SalesData[[#This Row],[Day]]="Saturday",SalesData[[#This Row],[Day]]="Sunday"),"Weekend","Weekday")</f>
        <v>Weekday</v>
      </c>
      <c r="AF132" s="5">
        <f>IF(SalesData[[#This Row],[Contracts Offered]]=0,0,SalesData[[#This Row],[Contracts Signed]]/SalesData[[#This Row],[Contracts Offered]])</f>
        <v>0.33333333333333331</v>
      </c>
      <c r="AG132" s="5">
        <f>IF(SalesData[[#This Row],[Customers Visited]]=0,0,SalesData[[#This Row],[Test Drives]]/SalesData[[#This Row],[Customers Visited]])</f>
        <v>0.49528301886792453</v>
      </c>
      <c r="AH132" s="5">
        <f>IF(SalesData[[#This Row],[Customers Visited]]=0,0,SalesData[[#This Row],[Contracts Signed]]/SalesData[[#This Row],[Customers Visited]])</f>
        <v>9.6698113207547176E-2</v>
      </c>
      <c r="AI132" s="6">
        <f>IF(SalesData[[#This Row],[Contracts Signed]]=0,0,SalesData[[#This Row],[Profit(€)]]/SalesData[[#This Row],[Contracts Signed]])</f>
        <v>3679</v>
      </c>
      <c r="AJ132" s="5" t="str">
        <f>TRIM(CLEAN(SalesData[[#This Row],[Retailer]]))</f>
        <v>Stuttgart Auto Center</v>
      </c>
    </row>
    <row r="133" spans="1:36" ht="14.25" hidden="1" x14ac:dyDescent="0.2">
      <c r="A133" t="s">
        <v>371</v>
      </c>
      <c r="B133" s="1">
        <v>46073</v>
      </c>
      <c r="C133" t="s">
        <v>62</v>
      </c>
      <c r="D133" t="s">
        <v>54</v>
      </c>
      <c r="E133" t="s">
        <v>26</v>
      </c>
      <c r="F133" t="s">
        <v>127</v>
      </c>
      <c r="G133" t="s">
        <v>128</v>
      </c>
      <c r="H133" t="s">
        <v>103</v>
      </c>
      <c r="I133" t="s">
        <v>64</v>
      </c>
      <c r="J133" t="s">
        <v>77</v>
      </c>
      <c r="K133" t="s">
        <v>78</v>
      </c>
      <c r="L133" t="s">
        <v>46</v>
      </c>
      <c r="M133" t="s">
        <v>47</v>
      </c>
      <c r="N133" t="s">
        <v>35</v>
      </c>
      <c r="O133" t="s">
        <v>70</v>
      </c>
      <c r="P133" t="s">
        <v>49</v>
      </c>
      <c r="Q133" t="s">
        <v>144</v>
      </c>
      <c r="R133">
        <v>227</v>
      </c>
      <c r="S133">
        <v>125</v>
      </c>
      <c r="T133">
        <v>87</v>
      </c>
      <c r="U133">
        <v>26</v>
      </c>
      <c r="V133" t="s">
        <v>6905</v>
      </c>
      <c r="W133">
        <v>69662</v>
      </c>
      <c r="X133" t="s">
        <v>1764</v>
      </c>
      <c r="Y133">
        <v>52963</v>
      </c>
      <c r="Z133">
        <v>1811212</v>
      </c>
      <c r="AA133">
        <v>434174</v>
      </c>
      <c r="AB133" t="str">
        <f>(VLOOKUP(SalesData[[#This Row],[Month Number]],Reference!C$5:E$16,2,FALSE))</f>
        <v>Feb</v>
      </c>
      <c r="AC133">
        <f>MONTH(SalesData[[#This Row],[Date]])</f>
        <v>2</v>
      </c>
      <c r="AD133">
        <f>Reference!F$4</f>
        <v>2026</v>
      </c>
      <c r="AE133" t="str">
        <f>IF(OR(SalesData[[#This Row],[Day]]="Saturday",SalesData[[#This Row],[Day]]="Sunday"),"Weekend","Weekday")</f>
        <v>Weekday</v>
      </c>
      <c r="AF133" s="5">
        <f>IF(SalesData[[#This Row],[Contracts Offered]]=0,0,SalesData[[#This Row],[Contracts Signed]]/SalesData[[#This Row],[Contracts Offered]])</f>
        <v>0.2988505747126437</v>
      </c>
      <c r="AG133" s="5">
        <f>IF(SalesData[[#This Row],[Customers Visited]]=0,0,SalesData[[#This Row],[Test Drives]]/SalesData[[#This Row],[Customers Visited]])</f>
        <v>0.5506607929515418</v>
      </c>
      <c r="AH133" s="5">
        <f>IF(SalesData[[#This Row],[Customers Visited]]=0,0,SalesData[[#This Row],[Contracts Signed]]/SalesData[[#This Row],[Customers Visited]])</f>
        <v>0.11453744493392071</v>
      </c>
      <c r="AI133" s="6">
        <f>IF(SalesData[[#This Row],[Contracts Signed]]=0,0,SalesData[[#This Row],[Profit(€)]]/SalesData[[#This Row],[Contracts Signed]])</f>
        <v>16699</v>
      </c>
      <c r="AJ133" s="5" t="str">
        <f>TRIM(CLEAN(SalesData[[#This Row],[Retailer]]))</f>
        <v>Rhein Auto Group</v>
      </c>
    </row>
    <row r="134" spans="1:36" ht="14.25" hidden="1" x14ac:dyDescent="0.2">
      <c r="A134" t="s">
        <v>372</v>
      </c>
      <c r="B134" s="1">
        <v>46054</v>
      </c>
      <c r="C134" t="s">
        <v>24</v>
      </c>
      <c r="D134" t="s">
        <v>41</v>
      </c>
      <c r="E134" t="s">
        <v>42</v>
      </c>
      <c r="F134" t="s">
        <v>43</v>
      </c>
      <c r="G134" t="s">
        <v>44</v>
      </c>
      <c r="H134" t="s">
        <v>45</v>
      </c>
      <c r="I134" t="s">
        <v>64</v>
      </c>
      <c r="J134" t="s">
        <v>111</v>
      </c>
      <c r="K134" t="s">
        <v>78</v>
      </c>
      <c r="L134" t="s">
        <v>46</v>
      </c>
      <c r="M134" t="s">
        <v>87</v>
      </c>
      <c r="N134" t="s">
        <v>35</v>
      </c>
      <c r="O134" t="s">
        <v>36</v>
      </c>
      <c r="P134" t="s">
        <v>37</v>
      </c>
      <c r="Q134" t="s">
        <v>172</v>
      </c>
      <c r="R134">
        <v>180</v>
      </c>
      <c r="S134">
        <v>102</v>
      </c>
      <c r="T134">
        <v>81</v>
      </c>
      <c r="U134">
        <v>25</v>
      </c>
      <c r="V134" t="s">
        <v>6516</v>
      </c>
      <c r="W134">
        <v>64828</v>
      </c>
      <c r="X134" t="s">
        <v>2142</v>
      </c>
      <c r="Y134">
        <v>47032</v>
      </c>
      <c r="Z134">
        <v>1620700</v>
      </c>
      <c r="AA134">
        <v>444900</v>
      </c>
      <c r="AB134" t="str">
        <f>(VLOOKUP(SalesData[[#This Row],[Month Number]],Reference!C$5:E$16,2,FALSE))</f>
        <v>Feb</v>
      </c>
      <c r="AC134">
        <f>MONTH(SalesData[[#This Row],[Date]])</f>
        <v>2</v>
      </c>
      <c r="AD134">
        <f>Reference!F$4</f>
        <v>2026</v>
      </c>
      <c r="AE134" t="str">
        <f>IF(OR(SalesData[[#This Row],[Day]]="Saturday",SalesData[[#This Row],[Day]]="Sunday"),"Weekend","Weekday")</f>
        <v>Weekend</v>
      </c>
      <c r="AF134" s="5">
        <f>IF(SalesData[[#This Row],[Contracts Offered]]=0,0,SalesData[[#This Row],[Contracts Signed]]/SalesData[[#This Row],[Contracts Offered]])</f>
        <v>0.30864197530864196</v>
      </c>
      <c r="AG134" s="5">
        <f>IF(SalesData[[#This Row],[Customers Visited]]=0,0,SalesData[[#This Row],[Test Drives]]/SalesData[[#This Row],[Customers Visited]])</f>
        <v>0.56666666666666665</v>
      </c>
      <c r="AH134" s="5">
        <f>IF(SalesData[[#This Row],[Customers Visited]]=0,0,SalesData[[#This Row],[Contracts Signed]]/SalesData[[#This Row],[Customers Visited]])</f>
        <v>0.1388888888888889</v>
      </c>
      <c r="AI134" s="6">
        <f>IF(SalesData[[#This Row],[Contracts Signed]]=0,0,SalesData[[#This Row],[Profit(€)]]/SalesData[[#This Row],[Contracts Signed]])</f>
        <v>17796</v>
      </c>
      <c r="AJ134" s="5" t="str">
        <f>TRIM(CLEAN(SalesData[[#This Row],[Retailer]]))</f>
        <v>Saxon Wheels</v>
      </c>
    </row>
    <row r="135" spans="1:36" ht="14.25" x14ac:dyDescent="0.2">
      <c r="A135" t="s">
        <v>374</v>
      </c>
      <c r="B135" s="1">
        <v>46077</v>
      </c>
      <c r="C135" t="s">
        <v>53</v>
      </c>
      <c r="D135" t="s">
        <v>63</v>
      </c>
      <c r="E135" t="s">
        <v>26</v>
      </c>
      <c r="F135" t="s">
        <v>109</v>
      </c>
      <c r="G135" t="s">
        <v>110</v>
      </c>
      <c r="H135" t="s">
        <v>45</v>
      </c>
      <c r="I135" t="s">
        <v>30</v>
      </c>
      <c r="J135" t="s">
        <v>7075</v>
      </c>
      <c r="K135" t="s">
        <v>91</v>
      </c>
      <c r="L135" t="s">
        <v>33</v>
      </c>
      <c r="M135" t="s">
        <v>87</v>
      </c>
      <c r="N135" t="s">
        <v>35</v>
      </c>
      <c r="O135" t="s">
        <v>70</v>
      </c>
      <c r="P135" t="s">
        <v>58</v>
      </c>
      <c r="Q135" t="s">
        <v>118</v>
      </c>
      <c r="R135">
        <v>196</v>
      </c>
      <c r="S135">
        <v>110</v>
      </c>
      <c r="T135">
        <v>80</v>
      </c>
      <c r="U135">
        <v>33</v>
      </c>
      <c r="V135" t="s">
        <v>7100</v>
      </c>
      <c r="W135">
        <v>57968</v>
      </c>
      <c r="X135" t="s">
        <v>7101</v>
      </c>
      <c r="Y135">
        <v>43912</v>
      </c>
      <c r="Z135">
        <v>1912944</v>
      </c>
      <c r="AA135">
        <v>463848</v>
      </c>
      <c r="AB135" t="str">
        <f>(VLOOKUP(SalesData[[#This Row],[Month Number]],Reference!C$5:E$16,2,FALSE))</f>
        <v>Feb</v>
      </c>
      <c r="AC135">
        <f>MONTH(SalesData[[#This Row],[Date]])</f>
        <v>2</v>
      </c>
      <c r="AD135">
        <f>Reference!F$4</f>
        <v>2026</v>
      </c>
      <c r="AE135" t="str">
        <f>IF(OR(SalesData[[#This Row],[Day]]="Saturday",SalesData[[#This Row],[Day]]="Sunday"),"Weekend","Weekday")</f>
        <v>Weekday</v>
      </c>
      <c r="AF135" s="5">
        <f>IF(SalesData[[#This Row],[Contracts Offered]]=0,0,SalesData[[#This Row],[Contracts Signed]]/SalesData[[#This Row],[Contracts Offered]])</f>
        <v>0.41249999999999998</v>
      </c>
      <c r="AG135" s="5">
        <f>IF(SalesData[[#This Row],[Customers Visited]]=0,0,SalesData[[#This Row],[Test Drives]]/SalesData[[#This Row],[Customers Visited]])</f>
        <v>0.56122448979591832</v>
      </c>
      <c r="AH135" s="5">
        <f>IF(SalesData[[#This Row],[Customers Visited]]=0,0,SalesData[[#This Row],[Contracts Signed]]/SalesData[[#This Row],[Customers Visited]])</f>
        <v>0.1683673469387755</v>
      </c>
      <c r="AI135" s="6">
        <f>IF(SalesData[[#This Row],[Contracts Signed]]=0,0,SalesData[[#This Row],[Profit(€)]]/SalesData[[#This Row],[Contracts Signed]])</f>
        <v>14056</v>
      </c>
      <c r="AJ135" s="5" t="str">
        <f>TRIM(CLEAN(SalesData[[#This Row],[Retailer]]))</f>
        <v>Leipzig Mobility</v>
      </c>
    </row>
    <row r="136" spans="1:36" ht="14.25" hidden="1" x14ac:dyDescent="0.2">
      <c r="A136" t="s">
        <v>376</v>
      </c>
      <c r="B136" s="1">
        <v>46062</v>
      </c>
      <c r="C136" t="s">
        <v>121</v>
      </c>
      <c r="D136" t="s">
        <v>25</v>
      </c>
      <c r="E136" t="s">
        <v>26</v>
      </c>
      <c r="F136" t="s">
        <v>94</v>
      </c>
      <c r="G136" t="s">
        <v>95</v>
      </c>
      <c r="H136" t="s">
        <v>96</v>
      </c>
      <c r="I136" t="s">
        <v>116</v>
      </c>
      <c r="J136" t="s">
        <v>132</v>
      </c>
      <c r="K136" t="s">
        <v>91</v>
      </c>
      <c r="L136" t="s">
        <v>46</v>
      </c>
      <c r="M136" t="s">
        <v>68</v>
      </c>
      <c r="N136" t="s">
        <v>48</v>
      </c>
      <c r="O136" t="s">
        <v>70</v>
      </c>
      <c r="P136" t="s">
        <v>49</v>
      </c>
      <c r="Q136" t="s">
        <v>129</v>
      </c>
      <c r="R136">
        <v>415</v>
      </c>
      <c r="S136">
        <v>159</v>
      </c>
      <c r="T136">
        <v>105</v>
      </c>
      <c r="U136">
        <v>22</v>
      </c>
      <c r="V136" t="s">
        <v>6741</v>
      </c>
      <c r="W136">
        <v>24062</v>
      </c>
      <c r="X136" t="s">
        <v>5273</v>
      </c>
      <c r="Y136">
        <v>21922</v>
      </c>
      <c r="Z136">
        <v>529364</v>
      </c>
      <c r="AA136">
        <v>47080</v>
      </c>
      <c r="AB136" t="str">
        <f>(VLOOKUP(SalesData[[#This Row],[Month Number]],Reference!C$5:E$16,2,FALSE))</f>
        <v>Feb</v>
      </c>
      <c r="AC136">
        <f>MONTH(SalesData[[#This Row],[Date]])</f>
        <v>2</v>
      </c>
      <c r="AD136">
        <f>Reference!F$4</f>
        <v>2026</v>
      </c>
      <c r="AE136" t="str">
        <f>IF(OR(SalesData[[#This Row],[Day]]="Saturday",SalesData[[#This Row],[Day]]="Sunday"),"Weekend","Weekday")</f>
        <v>Weekday</v>
      </c>
      <c r="AF136" s="5">
        <f>IF(SalesData[[#This Row],[Contracts Offered]]=0,0,SalesData[[#This Row],[Contracts Signed]]/SalesData[[#This Row],[Contracts Offered]])</f>
        <v>0.20952380952380953</v>
      </c>
      <c r="AG136" s="5">
        <f>IF(SalesData[[#This Row],[Customers Visited]]=0,0,SalesData[[#This Row],[Test Drives]]/SalesData[[#This Row],[Customers Visited]])</f>
        <v>0.38313253012048193</v>
      </c>
      <c r="AH136" s="5">
        <f>IF(SalesData[[#This Row],[Customers Visited]]=0,0,SalesData[[#This Row],[Contracts Signed]]/SalesData[[#This Row],[Customers Visited]])</f>
        <v>5.3012048192771083E-2</v>
      </c>
      <c r="AI136" s="6">
        <f>IF(SalesData[[#This Row],[Contracts Signed]]=0,0,SalesData[[#This Row],[Profit(€)]]/SalesData[[#This Row],[Contracts Signed]])</f>
        <v>2140</v>
      </c>
      <c r="AJ136" s="5" t="str">
        <f>TRIM(CLEAN(SalesData[[#This Row],[Retailer]]))</f>
        <v>Bavaria Motors</v>
      </c>
    </row>
    <row r="137" spans="1:36" ht="14.25" hidden="1" x14ac:dyDescent="0.2">
      <c r="A137" t="s">
        <v>377</v>
      </c>
      <c r="B137" s="1">
        <v>46057</v>
      </c>
      <c r="C137" t="s">
        <v>24</v>
      </c>
      <c r="D137" t="s">
        <v>82</v>
      </c>
      <c r="E137" t="s">
        <v>26</v>
      </c>
      <c r="F137" t="s">
        <v>7649</v>
      </c>
      <c r="G137" t="s">
        <v>55</v>
      </c>
      <c r="H137" t="s">
        <v>55</v>
      </c>
      <c r="I137" t="s">
        <v>56</v>
      </c>
      <c r="J137" t="s">
        <v>7028</v>
      </c>
      <c r="K137" t="s">
        <v>91</v>
      </c>
      <c r="L137" t="s">
        <v>46</v>
      </c>
      <c r="M137" t="s">
        <v>47</v>
      </c>
      <c r="N137" t="s">
        <v>69</v>
      </c>
      <c r="O137" t="s">
        <v>70</v>
      </c>
      <c r="P137" t="s">
        <v>71</v>
      </c>
      <c r="Q137" t="s">
        <v>152</v>
      </c>
      <c r="R137">
        <v>216</v>
      </c>
      <c r="S137">
        <v>118</v>
      </c>
      <c r="T137">
        <v>88</v>
      </c>
      <c r="U137">
        <v>26</v>
      </c>
      <c r="V137" t="s">
        <v>6397</v>
      </c>
      <c r="W137">
        <v>53262</v>
      </c>
      <c r="X137" t="s">
        <v>4573</v>
      </c>
      <c r="Y137">
        <v>43190</v>
      </c>
      <c r="Z137">
        <v>1384812</v>
      </c>
      <c r="AA137">
        <v>261872</v>
      </c>
      <c r="AB137" t="str">
        <f>(VLOOKUP(SalesData[[#This Row],[Month Number]],Reference!C$5:E$16,2,FALSE))</f>
        <v>Feb</v>
      </c>
      <c r="AC137">
        <f>MONTH(SalesData[[#This Row],[Date]])</f>
        <v>2</v>
      </c>
      <c r="AD137">
        <f>Reference!F$4</f>
        <v>2026</v>
      </c>
      <c r="AE137" t="str">
        <f>IF(OR(SalesData[[#This Row],[Day]]="Saturday",SalesData[[#This Row],[Day]]="Sunday"),"Weekend","Weekday")</f>
        <v>Weekday</v>
      </c>
      <c r="AF137" s="5">
        <f>IF(SalesData[[#This Row],[Contracts Offered]]=0,0,SalesData[[#This Row],[Contracts Signed]]/SalesData[[#This Row],[Contracts Offered]])</f>
        <v>0.29545454545454547</v>
      </c>
      <c r="AG137" s="5">
        <f>IF(SalesData[[#This Row],[Customers Visited]]=0,0,SalesData[[#This Row],[Test Drives]]/SalesData[[#This Row],[Customers Visited]])</f>
        <v>0.54629629629629628</v>
      </c>
      <c r="AH137" s="5">
        <f>IF(SalesData[[#This Row],[Customers Visited]]=0,0,SalesData[[#This Row],[Contracts Signed]]/SalesData[[#This Row],[Customers Visited]])</f>
        <v>0.12037037037037036</v>
      </c>
      <c r="AI137" s="6">
        <f>IF(SalesData[[#This Row],[Contracts Signed]]=0,0,SalesData[[#This Row],[Profit(€)]]/SalesData[[#This Row],[Contracts Signed]])</f>
        <v>10072</v>
      </c>
      <c r="AJ137" s="5" t="str">
        <f>TRIM(CLEAN(SalesData[[#This Row],[Retailer]]))</f>
        <v>Autohaus Berlin</v>
      </c>
    </row>
    <row r="138" spans="1:36" ht="14.25" hidden="1" x14ac:dyDescent="0.2">
      <c r="A138" t="s">
        <v>379</v>
      </c>
      <c r="B138" s="1">
        <v>46061</v>
      </c>
      <c r="C138" t="s">
        <v>121</v>
      </c>
      <c r="D138" t="s">
        <v>41</v>
      </c>
      <c r="E138" t="s">
        <v>42</v>
      </c>
      <c r="F138" t="s">
        <v>94</v>
      </c>
      <c r="G138" t="s">
        <v>95</v>
      </c>
      <c r="H138" t="s">
        <v>96</v>
      </c>
      <c r="I138" t="s">
        <v>116</v>
      </c>
      <c r="J138" t="s">
        <v>132</v>
      </c>
      <c r="K138" t="s">
        <v>78</v>
      </c>
      <c r="L138" t="s">
        <v>46</v>
      </c>
      <c r="M138" t="s">
        <v>34</v>
      </c>
      <c r="N138" t="s">
        <v>48</v>
      </c>
      <c r="O138" t="s">
        <v>70</v>
      </c>
      <c r="P138" t="s">
        <v>49</v>
      </c>
      <c r="Q138" t="s">
        <v>144</v>
      </c>
      <c r="R138">
        <v>228</v>
      </c>
      <c r="S138">
        <v>95</v>
      </c>
      <c r="T138">
        <v>59</v>
      </c>
      <c r="U138">
        <v>17</v>
      </c>
      <c r="V138" t="s">
        <v>812</v>
      </c>
      <c r="W138">
        <v>25808</v>
      </c>
      <c r="X138" t="s">
        <v>2270</v>
      </c>
      <c r="Y138">
        <v>23699</v>
      </c>
      <c r="Z138">
        <v>438736</v>
      </c>
      <c r="AA138">
        <v>35853</v>
      </c>
      <c r="AB138" t="str">
        <f>(VLOOKUP(SalesData[[#This Row],[Month Number]],Reference!C$5:E$16,2,FALSE))</f>
        <v>Feb</v>
      </c>
      <c r="AC138">
        <f>MONTH(SalesData[[#This Row],[Date]])</f>
        <v>2</v>
      </c>
      <c r="AD138">
        <f>Reference!F$4</f>
        <v>2026</v>
      </c>
      <c r="AE138" t="str">
        <f>IF(OR(SalesData[[#This Row],[Day]]="Saturday",SalesData[[#This Row],[Day]]="Sunday"),"Weekend","Weekday")</f>
        <v>Weekend</v>
      </c>
      <c r="AF138" s="5">
        <f>IF(SalesData[[#This Row],[Contracts Offered]]=0,0,SalesData[[#This Row],[Contracts Signed]]/SalesData[[#This Row],[Contracts Offered]])</f>
        <v>0.28813559322033899</v>
      </c>
      <c r="AG138" s="5">
        <f>IF(SalesData[[#This Row],[Customers Visited]]=0,0,SalesData[[#This Row],[Test Drives]]/SalesData[[#This Row],[Customers Visited]])</f>
        <v>0.41666666666666669</v>
      </c>
      <c r="AH138" s="5">
        <f>IF(SalesData[[#This Row],[Customers Visited]]=0,0,SalesData[[#This Row],[Contracts Signed]]/SalesData[[#This Row],[Customers Visited]])</f>
        <v>7.4561403508771926E-2</v>
      </c>
      <c r="AI138" s="6">
        <f>IF(SalesData[[#This Row],[Contracts Signed]]=0,0,SalesData[[#This Row],[Profit(€)]]/SalesData[[#This Row],[Contracts Signed]])</f>
        <v>2109</v>
      </c>
      <c r="AJ138" s="5" t="str">
        <f>TRIM(CLEAN(SalesData[[#This Row],[Retailer]]))</f>
        <v>Bavaria Motors</v>
      </c>
    </row>
    <row r="139" spans="1:36" ht="14.25" hidden="1" x14ac:dyDescent="0.2">
      <c r="A139" t="s">
        <v>381</v>
      </c>
      <c r="B139" s="1">
        <v>46054</v>
      </c>
      <c r="C139" t="s">
        <v>24</v>
      </c>
      <c r="D139" t="s">
        <v>41</v>
      </c>
      <c r="E139" t="s">
        <v>42</v>
      </c>
      <c r="F139" t="s">
        <v>94</v>
      </c>
      <c r="G139" t="s">
        <v>95</v>
      </c>
      <c r="H139" t="s">
        <v>96</v>
      </c>
      <c r="I139" t="s">
        <v>56</v>
      </c>
      <c r="J139" t="s">
        <v>97</v>
      </c>
      <c r="K139" t="s">
        <v>78</v>
      </c>
      <c r="L139" t="s">
        <v>33</v>
      </c>
      <c r="M139" t="s">
        <v>47</v>
      </c>
      <c r="N139" t="s">
        <v>35</v>
      </c>
      <c r="O139" t="s">
        <v>36</v>
      </c>
      <c r="P139" t="s">
        <v>37</v>
      </c>
      <c r="Q139" t="s">
        <v>347</v>
      </c>
      <c r="R139">
        <v>184</v>
      </c>
      <c r="S139">
        <v>85</v>
      </c>
      <c r="T139">
        <v>62</v>
      </c>
      <c r="U139">
        <v>21</v>
      </c>
      <c r="V139" t="s">
        <v>6827</v>
      </c>
      <c r="W139">
        <v>46638</v>
      </c>
      <c r="X139" t="s">
        <v>7102</v>
      </c>
      <c r="Y139">
        <v>35637</v>
      </c>
      <c r="Z139">
        <v>979398</v>
      </c>
      <c r="AA139">
        <v>231021</v>
      </c>
      <c r="AB139" t="str">
        <f>(VLOOKUP(SalesData[[#This Row],[Month Number]],Reference!C$5:E$16,2,FALSE))</f>
        <v>Feb</v>
      </c>
      <c r="AC139">
        <f>MONTH(SalesData[[#This Row],[Date]])</f>
        <v>2</v>
      </c>
      <c r="AD139">
        <f>Reference!F$4</f>
        <v>2026</v>
      </c>
      <c r="AE139" t="str">
        <f>IF(OR(SalesData[[#This Row],[Day]]="Saturday",SalesData[[#This Row],[Day]]="Sunday"),"Weekend","Weekday")</f>
        <v>Weekend</v>
      </c>
      <c r="AF139" s="5">
        <f>IF(SalesData[[#This Row],[Contracts Offered]]=0,0,SalesData[[#This Row],[Contracts Signed]]/SalesData[[#This Row],[Contracts Offered]])</f>
        <v>0.33870967741935482</v>
      </c>
      <c r="AG139" s="5">
        <f>IF(SalesData[[#This Row],[Customers Visited]]=0,0,SalesData[[#This Row],[Test Drives]]/SalesData[[#This Row],[Customers Visited]])</f>
        <v>0.46195652173913043</v>
      </c>
      <c r="AH139" s="5">
        <f>IF(SalesData[[#This Row],[Customers Visited]]=0,0,SalesData[[#This Row],[Contracts Signed]]/SalesData[[#This Row],[Customers Visited]])</f>
        <v>0.11413043478260869</v>
      </c>
      <c r="AI139" s="6">
        <f>IF(SalesData[[#This Row],[Contracts Signed]]=0,0,SalesData[[#This Row],[Profit(€)]]/SalesData[[#This Row],[Contracts Signed]])</f>
        <v>11001</v>
      </c>
      <c r="AJ139" s="5" t="str">
        <f>TRIM(CLEAN(SalesData[[#This Row],[Retailer]]))</f>
        <v>Bavaria Motors</v>
      </c>
    </row>
    <row r="140" spans="1:36" ht="14.25" hidden="1" x14ac:dyDescent="0.2">
      <c r="A140" t="s">
        <v>383</v>
      </c>
      <c r="B140" s="1">
        <v>46062</v>
      </c>
      <c r="C140" t="s">
        <v>121</v>
      </c>
      <c r="D140" t="s">
        <v>25</v>
      </c>
      <c r="E140" t="s">
        <v>26</v>
      </c>
      <c r="F140" t="s">
        <v>109</v>
      </c>
      <c r="G140" t="s">
        <v>110</v>
      </c>
      <c r="H140" t="s">
        <v>45</v>
      </c>
      <c r="I140" t="s">
        <v>116</v>
      </c>
      <c r="J140" t="s">
        <v>117</v>
      </c>
      <c r="K140" t="s">
        <v>66</v>
      </c>
      <c r="L140" t="s">
        <v>67</v>
      </c>
      <c r="M140" t="s">
        <v>34</v>
      </c>
      <c r="N140" t="s">
        <v>69</v>
      </c>
      <c r="O140" t="s">
        <v>70</v>
      </c>
      <c r="P140" t="s">
        <v>37</v>
      </c>
      <c r="Q140" t="s">
        <v>158</v>
      </c>
      <c r="R140">
        <v>348</v>
      </c>
      <c r="S140">
        <v>141</v>
      </c>
      <c r="T140">
        <v>97</v>
      </c>
      <c r="U140">
        <v>19</v>
      </c>
      <c r="V140" t="s">
        <v>2831</v>
      </c>
      <c r="W140">
        <v>22108</v>
      </c>
      <c r="X140" t="s">
        <v>1789</v>
      </c>
      <c r="Y140">
        <v>20454</v>
      </c>
      <c r="Z140">
        <v>420052</v>
      </c>
      <c r="AA140">
        <v>31426</v>
      </c>
      <c r="AB140" t="str">
        <f>(VLOOKUP(SalesData[[#This Row],[Month Number]],Reference!C$5:E$16,2,FALSE))</f>
        <v>Feb</v>
      </c>
      <c r="AC140">
        <f>MONTH(SalesData[[#This Row],[Date]])</f>
        <v>2</v>
      </c>
      <c r="AD140">
        <f>Reference!F$4</f>
        <v>2026</v>
      </c>
      <c r="AE140" t="str">
        <f>IF(OR(SalesData[[#This Row],[Day]]="Saturday",SalesData[[#This Row],[Day]]="Sunday"),"Weekend","Weekday")</f>
        <v>Weekday</v>
      </c>
      <c r="AF140" s="5">
        <f>IF(SalesData[[#This Row],[Contracts Offered]]=0,0,SalesData[[#This Row],[Contracts Signed]]/SalesData[[#This Row],[Contracts Offered]])</f>
        <v>0.19587628865979381</v>
      </c>
      <c r="AG140" s="5">
        <f>IF(SalesData[[#This Row],[Customers Visited]]=0,0,SalesData[[#This Row],[Test Drives]]/SalesData[[#This Row],[Customers Visited]])</f>
        <v>0.40517241379310343</v>
      </c>
      <c r="AH140" s="5">
        <f>IF(SalesData[[#This Row],[Customers Visited]]=0,0,SalesData[[#This Row],[Contracts Signed]]/SalesData[[#This Row],[Customers Visited]])</f>
        <v>5.459770114942529E-2</v>
      </c>
      <c r="AI140" s="6">
        <f>IF(SalesData[[#This Row],[Contracts Signed]]=0,0,SalesData[[#This Row],[Profit(€)]]/SalesData[[#This Row],[Contracts Signed]])</f>
        <v>1654</v>
      </c>
      <c r="AJ140" s="5" t="str">
        <f>TRIM(CLEAN(SalesData[[#This Row],[Retailer]]))</f>
        <v>Leipzig Mobility</v>
      </c>
    </row>
    <row r="141" spans="1:36" ht="14.25" x14ac:dyDescent="0.2">
      <c r="A141" t="s">
        <v>385</v>
      </c>
      <c r="B141" s="1">
        <v>46064</v>
      </c>
      <c r="C141" t="s">
        <v>121</v>
      </c>
      <c r="D141" t="s">
        <v>82</v>
      </c>
      <c r="E141" t="s">
        <v>26</v>
      </c>
      <c r="F141" t="s">
        <v>83</v>
      </c>
      <c r="G141" t="s">
        <v>84</v>
      </c>
      <c r="H141" t="s">
        <v>85</v>
      </c>
      <c r="I141" t="s">
        <v>30</v>
      </c>
      <c r="J141" t="s">
        <v>188</v>
      </c>
      <c r="K141" t="s">
        <v>91</v>
      </c>
      <c r="L141" t="s">
        <v>33</v>
      </c>
      <c r="M141" t="s">
        <v>68</v>
      </c>
      <c r="N141" t="s">
        <v>69</v>
      </c>
      <c r="O141" t="s">
        <v>70</v>
      </c>
      <c r="P141" t="s">
        <v>71</v>
      </c>
      <c r="Q141" t="s">
        <v>172</v>
      </c>
      <c r="R141">
        <v>212</v>
      </c>
      <c r="S141">
        <v>128</v>
      </c>
      <c r="T141">
        <v>100</v>
      </c>
      <c r="U141">
        <v>35</v>
      </c>
      <c r="V141" t="s">
        <v>6979</v>
      </c>
      <c r="W141">
        <v>51497</v>
      </c>
      <c r="X141" t="s">
        <v>7103</v>
      </c>
      <c r="Y141">
        <v>39630</v>
      </c>
      <c r="Z141">
        <v>1802395</v>
      </c>
      <c r="AA141">
        <v>415345</v>
      </c>
      <c r="AB141" t="str">
        <f>(VLOOKUP(SalesData[[#This Row],[Month Number]],Reference!C$5:E$16,2,FALSE))</f>
        <v>Feb</v>
      </c>
      <c r="AC141">
        <f>MONTH(SalesData[[#This Row],[Date]])</f>
        <v>2</v>
      </c>
      <c r="AD141">
        <f>Reference!F$4</f>
        <v>2026</v>
      </c>
      <c r="AE141" t="str">
        <f>IF(OR(SalesData[[#This Row],[Day]]="Saturday",SalesData[[#This Row],[Day]]="Sunday"),"Weekend","Weekday")</f>
        <v>Weekday</v>
      </c>
      <c r="AF141" s="5">
        <f>IF(SalesData[[#This Row],[Contracts Offered]]=0,0,SalesData[[#This Row],[Contracts Signed]]/SalesData[[#This Row],[Contracts Offered]])</f>
        <v>0.35</v>
      </c>
      <c r="AG141" s="5">
        <f>IF(SalesData[[#This Row],[Customers Visited]]=0,0,SalesData[[#This Row],[Test Drives]]/SalesData[[#This Row],[Customers Visited]])</f>
        <v>0.60377358490566035</v>
      </c>
      <c r="AH141" s="5">
        <f>IF(SalesData[[#This Row],[Customers Visited]]=0,0,SalesData[[#This Row],[Contracts Signed]]/SalesData[[#This Row],[Customers Visited]])</f>
        <v>0.1650943396226415</v>
      </c>
      <c r="AI141" s="6">
        <f>IF(SalesData[[#This Row],[Contracts Signed]]=0,0,SalesData[[#This Row],[Profit(€)]]/SalesData[[#This Row],[Contracts Signed]])</f>
        <v>11867</v>
      </c>
      <c r="AJ141" s="5" t="str">
        <f>TRIM(CLEAN(SalesData[[#This Row],[Retailer]]))</f>
        <v>Hannover Cars</v>
      </c>
    </row>
    <row r="142" spans="1:36" ht="14.25" hidden="1" x14ac:dyDescent="0.2">
      <c r="A142" t="s">
        <v>387</v>
      </c>
      <c r="B142" s="1">
        <v>46058</v>
      </c>
      <c r="C142" t="s">
        <v>24</v>
      </c>
      <c r="D142" t="s">
        <v>100</v>
      </c>
      <c r="E142" t="s">
        <v>26</v>
      </c>
      <c r="F142" t="s">
        <v>109</v>
      </c>
      <c r="G142" t="s">
        <v>110</v>
      </c>
      <c r="H142" t="s">
        <v>45</v>
      </c>
      <c r="I142" t="s">
        <v>104</v>
      </c>
      <c r="J142" t="s">
        <v>7061</v>
      </c>
      <c r="K142" t="s">
        <v>32</v>
      </c>
      <c r="L142" t="s">
        <v>46</v>
      </c>
      <c r="M142" t="s">
        <v>47</v>
      </c>
      <c r="N142" t="s">
        <v>69</v>
      </c>
      <c r="O142" t="s">
        <v>36</v>
      </c>
      <c r="P142" t="s">
        <v>71</v>
      </c>
      <c r="Q142" t="s">
        <v>129</v>
      </c>
      <c r="R142">
        <v>323</v>
      </c>
      <c r="S142">
        <v>186</v>
      </c>
      <c r="T142">
        <v>109</v>
      </c>
      <c r="U142">
        <v>34</v>
      </c>
      <c r="V142" t="s">
        <v>3484</v>
      </c>
      <c r="W142">
        <v>30274</v>
      </c>
      <c r="X142" t="s">
        <v>944</v>
      </c>
      <c r="Y142">
        <v>26784</v>
      </c>
      <c r="Z142">
        <v>1029316</v>
      </c>
      <c r="AA142">
        <v>118660</v>
      </c>
      <c r="AB142" t="str">
        <f>(VLOOKUP(SalesData[[#This Row],[Month Number]],Reference!C$5:E$16,2,FALSE))</f>
        <v>Feb</v>
      </c>
      <c r="AC142">
        <f>MONTH(SalesData[[#This Row],[Date]])</f>
        <v>2</v>
      </c>
      <c r="AD142">
        <f>Reference!F$4</f>
        <v>2026</v>
      </c>
      <c r="AE142" t="str">
        <f>IF(OR(SalesData[[#This Row],[Day]]="Saturday",SalesData[[#This Row],[Day]]="Sunday"),"Weekend","Weekday")</f>
        <v>Weekday</v>
      </c>
      <c r="AF142" s="5">
        <f>IF(SalesData[[#This Row],[Contracts Offered]]=0,0,SalesData[[#This Row],[Contracts Signed]]/SalesData[[#This Row],[Contracts Offered]])</f>
        <v>0.31192660550458717</v>
      </c>
      <c r="AG142" s="5">
        <f>IF(SalesData[[#This Row],[Customers Visited]]=0,0,SalesData[[#This Row],[Test Drives]]/SalesData[[#This Row],[Customers Visited]])</f>
        <v>0.57585139318885448</v>
      </c>
      <c r="AH142" s="5">
        <f>IF(SalesData[[#This Row],[Customers Visited]]=0,0,SalesData[[#This Row],[Contracts Signed]]/SalesData[[#This Row],[Customers Visited]])</f>
        <v>0.10526315789473684</v>
      </c>
      <c r="AI142" s="6">
        <f>IF(SalesData[[#This Row],[Contracts Signed]]=0,0,SalesData[[#This Row],[Profit(€)]]/SalesData[[#This Row],[Contracts Signed]])</f>
        <v>3490</v>
      </c>
      <c r="AJ142" s="5" t="str">
        <f>TRIM(CLEAN(SalesData[[#This Row],[Retailer]]))</f>
        <v>Leipzig Mobility</v>
      </c>
    </row>
    <row r="143" spans="1:36" ht="14.25" hidden="1" x14ac:dyDescent="0.2">
      <c r="A143" t="s">
        <v>389</v>
      </c>
      <c r="B143" s="1">
        <v>46058</v>
      </c>
      <c r="C143" t="s">
        <v>24</v>
      </c>
      <c r="D143" t="s">
        <v>100</v>
      </c>
      <c r="E143" t="s">
        <v>26</v>
      </c>
      <c r="F143" t="s">
        <v>101</v>
      </c>
      <c r="G143" t="s">
        <v>102</v>
      </c>
      <c r="H143" t="s">
        <v>103</v>
      </c>
      <c r="I143" t="s">
        <v>104</v>
      </c>
      <c r="J143" t="s">
        <v>105</v>
      </c>
      <c r="K143" t="s">
        <v>66</v>
      </c>
      <c r="L143" t="s">
        <v>33</v>
      </c>
      <c r="M143" t="s">
        <v>34</v>
      </c>
      <c r="N143" t="s">
        <v>69</v>
      </c>
      <c r="O143" t="s">
        <v>70</v>
      </c>
      <c r="P143" t="s">
        <v>49</v>
      </c>
      <c r="Q143" t="s">
        <v>129</v>
      </c>
      <c r="R143">
        <v>470</v>
      </c>
      <c r="S143">
        <v>231</v>
      </c>
      <c r="T143">
        <v>143</v>
      </c>
      <c r="U143">
        <v>30</v>
      </c>
      <c r="V143" t="s">
        <v>2604</v>
      </c>
      <c r="W143">
        <v>28406</v>
      </c>
      <c r="X143" t="s">
        <v>1903</v>
      </c>
      <c r="Y143">
        <v>25714</v>
      </c>
      <c r="Z143">
        <v>852180</v>
      </c>
      <c r="AA143">
        <v>80760</v>
      </c>
      <c r="AB143" t="str">
        <f>(VLOOKUP(SalesData[[#This Row],[Month Number]],Reference!C$5:E$16,2,FALSE))</f>
        <v>Feb</v>
      </c>
      <c r="AC143">
        <f>MONTH(SalesData[[#This Row],[Date]])</f>
        <v>2</v>
      </c>
      <c r="AD143">
        <f>Reference!F$4</f>
        <v>2026</v>
      </c>
      <c r="AE143" t="str">
        <f>IF(OR(SalesData[[#This Row],[Day]]="Saturday",SalesData[[#This Row],[Day]]="Sunday"),"Weekend","Weekday")</f>
        <v>Weekday</v>
      </c>
      <c r="AF143" s="5">
        <f>IF(SalesData[[#This Row],[Contracts Offered]]=0,0,SalesData[[#This Row],[Contracts Signed]]/SalesData[[#This Row],[Contracts Offered]])</f>
        <v>0.20979020979020979</v>
      </c>
      <c r="AG143" s="5">
        <f>IF(SalesData[[#This Row],[Customers Visited]]=0,0,SalesData[[#This Row],[Test Drives]]/SalesData[[#This Row],[Customers Visited]])</f>
        <v>0.49148936170212765</v>
      </c>
      <c r="AH143" s="5">
        <f>IF(SalesData[[#This Row],[Customers Visited]]=0,0,SalesData[[#This Row],[Contracts Signed]]/SalesData[[#This Row],[Customers Visited]])</f>
        <v>6.3829787234042548E-2</v>
      </c>
      <c r="AI143" s="6">
        <f>IF(SalesData[[#This Row],[Contracts Signed]]=0,0,SalesData[[#This Row],[Profit(€)]]/SalesData[[#This Row],[Contracts Signed]])</f>
        <v>2692</v>
      </c>
      <c r="AJ143" s="5" t="str">
        <f>TRIM(CLEAN(SalesData[[#This Row],[Retailer]]))</f>
        <v>Ruhr Auto Plaza</v>
      </c>
    </row>
    <row r="144" spans="1:36" ht="14.25" x14ac:dyDescent="0.2">
      <c r="A144" t="s">
        <v>391</v>
      </c>
      <c r="B144" s="1">
        <v>46060</v>
      </c>
      <c r="C144" t="s">
        <v>24</v>
      </c>
      <c r="D144" t="s">
        <v>151</v>
      </c>
      <c r="E144" t="s">
        <v>42</v>
      </c>
      <c r="F144" t="s">
        <v>94</v>
      </c>
      <c r="G144" t="s">
        <v>95</v>
      </c>
      <c r="H144" t="s">
        <v>96</v>
      </c>
      <c r="I144" t="s">
        <v>30</v>
      </c>
      <c r="J144" t="s">
        <v>86</v>
      </c>
      <c r="K144" t="s">
        <v>32</v>
      </c>
      <c r="L144" t="s">
        <v>33</v>
      </c>
      <c r="M144" t="s">
        <v>47</v>
      </c>
      <c r="N144" t="s">
        <v>48</v>
      </c>
      <c r="O144" t="s">
        <v>70</v>
      </c>
      <c r="P144" t="s">
        <v>71</v>
      </c>
      <c r="Q144" t="s">
        <v>169</v>
      </c>
      <c r="R144">
        <v>195</v>
      </c>
      <c r="S144">
        <v>108</v>
      </c>
      <c r="T144">
        <v>76</v>
      </c>
      <c r="U144">
        <v>32</v>
      </c>
      <c r="V144" t="s">
        <v>7052</v>
      </c>
      <c r="W144">
        <v>52826</v>
      </c>
      <c r="X144" t="s">
        <v>7104</v>
      </c>
      <c r="Y144">
        <v>40883</v>
      </c>
      <c r="Z144">
        <v>1690432</v>
      </c>
      <c r="AA144">
        <v>382176</v>
      </c>
      <c r="AB144" t="str">
        <f>(VLOOKUP(SalesData[[#This Row],[Month Number]],Reference!C$5:E$16,2,FALSE))</f>
        <v>Feb</v>
      </c>
      <c r="AC144">
        <f>MONTH(SalesData[[#This Row],[Date]])</f>
        <v>2</v>
      </c>
      <c r="AD144">
        <f>Reference!F$4</f>
        <v>2026</v>
      </c>
      <c r="AE144" t="str">
        <f>IF(OR(SalesData[[#This Row],[Day]]="Saturday",SalesData[[#This Row],[Day]]="Sunday"),"Weekend","Weekday")</f>
        <v>Weekend</v>
      </c>
      <c r="AF144" s="5">
        <f>IF(SalesData[[#This Row],[Contracts Offered]]=0,0,SalesData[[#This Row],[Contracts Signed]]/SalesData[[#This Row],[Contracts Offered]])</f>
        <v>0.42105263157894735</v>
      </c>
      <c r="AG144" s="5">
        <f>IF(SalesData[[#This Row],[Customers Visited]]=0,0,SalesData[[#This Row],[Test Drives]]/SalesData[[#This Row],[Customers Visited]])</f>
        <v>0.55384615384615388</v>
      </c>
      <c r="AH144" s="5">
        <f>IF(SalesData[[#This Row],[Customers Visited]]=0,0,SalesData[[#This Row],[Contracts Signed]]/SalesData[[#This Row],[Customers Visited]])</f>
        <v>0.1641025641025641</v>
      </c>
      <c r="AI144" s="6">
        <f>IF(SalesData[[#This Row],[Contracts Signed]]=0,0,SalesData[[#This Row],[Profit(€)]]/SalesData[[#This Row],[Contracts Signed]])</f>
        <v>11943</v>
      </c>
      <c r="AJ144" s="5" t="str">
        <f>TRIM(CLEAN(SalesData[[#This Row],[Retailer]]))</f>
        <v>Bavaria Motors</v>
      </c>
    </row>
    <row r="145" spans="1:36" ht="14.25" hidden="1" x14ac:dyDescent="0.2">
      <c r="A145" t="s">
        <v>393</v>
      </c>
      <c r="B145" s="1">
        <v>46065</v>
      </c>
      <c r="C145" t="s">
        <v>121</v>
      </c>
      <c r="D145" t="s">
        <v>100</v>
      </c>
      <c r="E145" t="s">
        <v>26</v>
      </c>
      <c r="F145" t="s">
        <v>83</v>
      </c>
      <c r="G145" t="s">
        <v>84</v>
      </c>
      <c r="H145" t="s">
        <v>85</v>
      </c>
      <c r="I145" t="s">
        <v>64</v>
      </c>
      <c r="J145" t="s">
        <v>157</v>
      </c>
      <c r="K145" t="s">
        <v>78</v>
      </c>
      <c r="L145" t="s">
        <v>33</v>
      </c>
      <c r="M145" t="s">
        <v>47</v>
      </c>
      <c r="N145" t="s">
        <v>69</v>
      </c>
      <c r="O145" t="s">
        <v>36</v>
      </c>
      <c r="P145" t="s">
        <v>37</v>
      </c>
      <c r="Q145" t="s">
        <v>347</v>
      </c>
      <c r="R145">
        <v>184</v>
      </c>
      <c r="S145">
        <v>108</v>
      </c>
      <c r="T145">
        <v>77</v>
      </c>
      <c r="U145">
        <v>28</v>
      </c>
      <c r="V145" t="s">
        <v>6604</v>
      </c>
      <c r="W145">
        <v>60101</v>
      </c>
      <c r="X145" t="s">
        <v>826</v>
      </c>
      <c r="Y145">
        <v>45678</v>
      </c>
      <c r="Z145">
        <v>1682828</v>
      </c>
      <c r="AA145">
        <v>403844</v>
      </c>
      <c r="AB145" t="str">
        <f>(VLOOKUP(SalesData[[#This Row],[Month Number]],Reference!C$5:E$16,2,FALSE))</f>
        <v>Feb</v>
      </c>
      <c r="AC145">
        <f>MONTH(SalesData[[#This Row],[Date]])</f>
        <v>2</v>
      </c>
      <c r="AD145">
        <f>Reference!F$4</f>
        <v>2026</v>
      </c>
      <c r="AE145" t="str">
        <f>IF(OR(SalesData[[#This Row],[Day]]="Saturday",SalesData[[#This Row],[Day]]="Sunday"),"Weekend","Weekday")</f>
        <v>Weekday</v>
      </c>
      <c r="AF145" s="5">
        <f>IF(SalesData[[#This Row],[Contracts Offered]]=0,0,SalesData[[#This Row],[Contracts Signed]]/SalesData[[#This Row],[Contracts Offered]])</f>
        <v>0.36363636363636365</v>
      </c>
      <c r="AG145" s="5">
        <f>IF(SalesData[[#This Row],[Customers Visited]]=0,0,SalesData[[#This Row],[Test Drives]]/SalesData[[#This Row],[Customers Visited]])</f>
        <v>0.58695652173913049</v>
      </c>
      <c r="AH145" s="5">
        <f>IF(SalesData[[#This Row],[Customers Visited]]=0,0,SalesData[[#This Row],[Contracts Signed]]/SalesData[[#This Row],[Customers Visited]])</f>
        <v>0.15217391304347827</v>
      </c>
      <c r="AI145" s="6">
        <f>IF(SalesData[[#This Row],[Contracts Signed]]=0,0,SalesData[[#This Row],[Profit(€)]]/SalesData[[#This Row],[Contracts Signed]])</f>
        <v>14423</v>
      </c>
      <c r="AJ145" s="5" t="str">
        <f>TRIM(CLEAN(SalesData[[#This Row],[Retailer]]))</f>
        <v>Hannover Cars</v>
      </c>
    </row>
    <row r="146" spans="1:36" ht="14.25" x14ac:dyDescent="0.2">
      <c r="A146" t="s">
        <v>395</v>
      </c>
      <c r="B146" s="1">
        <v>46073</v>
      </c>
      <c r="C146" t="s">
        <v>62</v>
      </c>
      <c r="D146" t="s">
        <v>54</v>
      </c>
      <c r="E146" t="s">
        <v>26</v>
      </c>
      <c r="F146" t="s">
        <v>7649</v>
      </c>
      <c r="G146" t="s">
        <v>55</v>
      </c>
      <c r="H146" t="s">
        <v>55</v>
      </c>
      <c r="I146" t="s">
        <v>30</v>
      </c>
      <c r="J146" t="s">
        <v>7075</v>
      </c>
      <c r="K146" t="s">
        <v>78</v>
      </c>
      <c r="L146" t="s">
        <v>33</v>
      </c>
      <c r="M146" t="s">
        <v>47</v>
      </c>
      <c r="N146" t="s">
        <v>35</v>
      </c>
      <c r="O146" t="s">
        <v>36</v>
      </c>
      <c r="P146" t="s">
        <v>37</v>
      </c>
      <c r="Q146" t="s">
        <v>79</v>
      </c>
      <c r="R146">
        <v>227</v>
      </c>
      <c r="S146">
        <v>135</v>
      </c>
      <c r="T146">
        <v>109</v>
      </c>
      <c r="U146">
        <v>42</v>
      </c>
      <c r="V146" t="s">
        <v>7105</v>
      </c>
      <c r="W146">
        <v>57013</v>
      </c>
      <c r="X146" t="s">
        <v>7106</v>
      </c>
      <c r="Y146">
        <v>41560</v>
      </c>
      <c r="Z146">
        <v>2394546</v>
      </c>
      <c r="AA146">
        <v>649026</v>
      </c>
      <c r="AB146" t="str">
        <f>(VLOOKUP(SalesData[[#This Row],[Month Number]],Reference!C$5:E$16,2,FALSE))</f>
        <v>Feb</v>
      </c>
      <c r="AC146">
        <f>MONTH(SalesData[[#This Row],[Date]])</f>
        <v>2</v>
      </c>
      <c r="AD146">
        <f>Reference!F$4</f>
        <v>2026</v>
      </c>
      <c r="AE146" t="str">
        <f>IF(OR(SalesData[[#This Row],[Day]]="Saturday",SalesData[[#This Row],[Day]]="Sunday"),"Weekend","Weekday")</f>
        <v>Weekday</v>
      </c>
      <c r="AF146" s="5">
        <f>IF(SalesData[[#This Row],[Contracts Offered]]=0,0,SalesData[[#This Row],[Contracts Signed]]/SalesData[[#This Row],[Contracts Offered]])</f>
        <v>0.38532110091743121</v>
      </c>
      <c r="AG146" s="5">
        <f>IF(SalesData[[#This Row],[Customers Visited]]=0,0,SalesData[[#This Row],[Test Drives]]/SalesData[[#This Row],[Customers Visited]])</f>
        <v>0.59471365638766516</v>
      </c>
      <c r="AH146" s="5">
        <f>IF(SalesData[[#This Row],[Customers Visited]]=0,0,SalesData[[#This Row],[Contracts Signed]]/SalesData[[#This Row],[Customers Visited]])</f>
        <v>0.18502202643171806</v>
      </c>
      <c r="AI146" s="6">
        <f>IF(SalesData[[#This Row],[Contracts Signed]]=0,0,SalesData[[#This Row],[Profit(€)]]/SalesData[[#This Row],[Contracts Signed]])</f>
        <v>15453</v>
      </c>
      <c r="AJ146" s="5" t="str">
        <f>TRIM(CLEAN(SalesData[[#This Row],[Retailer]]))</f>
        <v>Autohaus Berlin</v>
      </c>
    </row>
    <row r="147" spans="1:36" ht="14.25" hidden="1" x14ac:dyDescent="0.2">
      <c r="A147" t="s">
        <v>397</v>
      </c>
      <c r="B147" s="1">
        <v>46063</v>
      </c>
      <c r="C147" t="s">
        <v>121</v>
      </c>
      <c r="D147" t="s">
        <v>63</v>
      </c>
      <c r="E147" t="s">
        <v>26</v>
      </c>
      <c r="F147" t="s">
        <v>74</v>
      </c>
      <c r="G147" t="s">
        <v>75</v>
      </c>
      <c r="H147" t="s">
        <v>76</v>
      </c>
      <c r="I147" t="s">
        <v>116</v>
      </c>
      <c r="J147" t="s">
        <v>7026</v>
      </c>
      <c r="K147" t="s">
        <v>32</v>
      </c>
      <c r="L147" t="s">
        <v>46</v>
      </c>
      <c r="M147" t="s">
        <v>87</v>
      </c>
      <c r="N147" t="s">
        <v>69</v>
      </c>
      <c r="O147" t="s">
        <v>70</v>
      </c>
      <c r="P147" t="s">
        <v>71</v>
      </c>
      <c r="Q147" t="s">
        <v>79</v>
      </c>
      <c r="R147">
        <v>354</v>
      </c>
      <c r="S147">
        <v>197</v>
      </c>
      <c r="T147">
        <v>112</v>
      </c>
      <c r="U147">
        <v>34</v>
      </c>
      <c r="V147" t="s">
        <v>1806</v>
      </c>
      <c r="W147">
        <v>24277</v>
      </c>
      <c r="X147" t="s">
        <v>369</v>
      </c>
      <c r="Y147">
        <v>22254</v>
      </c>
      <c r="Z147">
        <v>825418</v>
      </c>
      <c r="AA147">
        <v>68782</v>
      </c>
      <c r="AB147" t="str">
        <f>(VLOOKUP(SalesData[[#This Row],[Month Number]],Reference!C$5:E$16,2,FALSE))</f>
        <v>Feb</v>
      </c>
      <c r="AC147">
        <f>MONTH(SalesData[[#This Row],[Date]])</f>
        <v>2</v>
      </c>
      <c r="AD147">
        <f>Reference!F$4</f>
        <v>2026</v>
      </c>
      <c r="AE147" t="str">
        <f>IF(OR(SalesData[[#This Row],[Day]]="Saturday",SalesData[[#This Row],[Day]]="Sunday"),"Weekend","Weekday")</f>
        <v>Weekday</v>
      </c>
      <c r="AF147" s="5">
        <f>IF(SalesData[[#This Row],[Contracts Offered]]=0,0,SalesData[[#This Row],[Contracts Signed]]/SalesData[[#This Row],[Contracts Offered]])</f>
        <v>0.30357142857142855</v>
      </c>
      <c r="AG147" s="5">
        <f>IF(SalesData[[#This Row],[Customers Visited]]=0,0,SalesData[[#This Row],[Test Drives]]/SalesData[[#This Row],[Customers Visited]])</f>
        <v>0.55649717514124297</v>
      </c>
      <c r="AH147" s="5">
        <f>IF(SalesData[[#This Row],[Customers Visited]]=0,0,SalesData[[#This Row],[Contracts Signed]]/SalesData[[#This Row],[Customers Visited]])</f>
        <v>9.6045197740112997E-2</v>
      </c>
      <c r="AI147" s="6">
        <f>IF(SalesData[[#This Row],[Contracts Signed]]=0,0,SalesData[[#This Row],[Profit(€)]]/SalesData[[#This Row],[Contracts Signed]])</f>
        <v>2023</v>
      </c>
      <c r="AJ147" s="5" t="str">
        <f>TRIM(CLEAN(SalesData[[#This Row],[Retailer]]))</f>
        <v>Stuttgart Auto Center</v>
      </c>
    </row>
    <row r="148" spans="1:36" ht="14.25" hidden="1" x14ac:dyDescent="0.2">
      <c r="A148" t="s">
        <v>398</v>
      </c>
      <c r="B148" s="1">
        <v>46065</v>
      </c>
      <c r="C148" t="s">
        <v>121</v>
      </c>
      <c r="D148" t="s">
        <v>100</v>
      </c>
      <c r="E148" t="s">
        <v>26</v>
      </c>
      <c r="F148" t="s">
        <v>7649</v>
      </c>
      <c r="G148" t="s">
        <v>55</v>
      </c>
      <c r="H148" t="s">
        <v>55</v>
      </c>
      <c r="I148" t="s">
        <v>56</v>
      </c>
      <c r="J148" t="s">
        <v>97</v>
      </c>
      <c r="K148" t="s">
        <v>66</v>
      </c>
      <c r="L148" t="s">
        <v>33</v>
      </c>
      <c r="M148" t="s">
        <v>34</v>
      </c>
      <c r="N148" t="s">
        <v>48</v>
      </c>
      <c r="O148" t="s">
        <v>36</v>
      </c>
      <c r="P148" t="s">
        <v>58</v>
      </c>
      <c r="Q148" t="s">
        <v>118</v>
      </c>
      <c r="R148">
        <v>277</v>
      </c>
      <c r="S148">
        <v>176</v>
      </c>
      <c r="T148">
        <v>124</v>
      </c>
      <c r="U148">
        <v>45</v>
      </c>
      <c r="V148" t="s">
        <v>6931</v>
      </c>
      <c r="W148">
        <v>42262</v>
      </c>
      <c r="X148" t="s">
        <v>7107</v>
      </c>
      <c r="Y148">
        <v>32816</v>
      </c>
      <c r="Z148">
        <v>1901790</v>
      </c>
      <c r="AA148">
        <v>425070</v>
      </c>
      <c r="AB148" t="str">
        <f>(VLOOKUP(SalesData[[#This Row],[Month Number]],Reference!C$5:E$16,2,FALSE))</f>
        <v>Feb</v>
      </c>
      <c r="AC148">
        <f>MONTH(SalesData[[#This Row],[Date]])</f>
        <v>2</v>
      </c>
      <c r="AD148">
        <f>Reference!F$4</f>
        <v>2026</v>
      </c>
      <c r="AE148" t="str">
        <f>IF(OR(SalesData[[#This Row],[Day]]="Saturday",SalesData[[#This Row],[Day]]="Sunday"),"Weekend","Weekday")</f>
        <v>Weekday</v>
      </c>
      <c r="AF148" s="5">
        <f>IF(SalesData[[#This Row],[Contracts Offered]]=0,0,SalesData[[#This Row],[Contracts Signed]]/SalesData[[#This Row],[Contracts Offered]])</f>
        <v>0.36290322580645162</v>
      </c>
      <c r="AG148" s="5">
        <f>IF(SalesData[[#This Row],[Customers Visited]]=0,0,SalesData[[#This Row],[Test Drives]]/SalesData[[#This Row],[Customers Visited]])</f>
        <v>0.63537906137184119</v>
      </c>
      <c r="AH148" s="5">
        <f>IF(SalesData[[#This Row],[Customers Visited]]=0,0,SalesData[[#This Row],[Contracts Signed]]/SalesData[[#This Row],[Customers Visited]])</f>
        <v>0.16245487364620939</v>
      </c>
      <c r="AI148" s="6">
        <f>IF(SalesData[[#This Row],[Contracts Signed]]=0,0,SalesData[[#This Row],[Profit(€)]]/SalesData[[#This Row],[Contracts Signed]])</f>
        <v>9446</v>
      </c>
      <c r="AJ148" s="5" t="str">
        <f>TRIM(CLEAN(SalesData[[#This Row],[Retailer]]))</f>
        <v>Autohaus Berlin</v>
      </c>
    </row>
    <row r="149" spans="1:36" ht="14.25" hidden="1" x14ac:dyDescent="0.2">
      <c r="A149" t="s">
        <v>399</v>
      </c>
      <c r="B149" s="1">
        <v>46079</v>
      </c>
      <c r="C149" t="s">
        <v>53</v>
      </c>
      <c r="D149" t="s">
        <v>100</v>
      </c>
      <c r="E149" t="s">
        <v>26</v>
      </c>
      <c r="F149" t="s">
        <v>94</v>
      </c>
      <c r="G149" t="s">
        <v>95</v>
      </c>
      <c r="H149" t="s">
        <v>96</v>
      </c>
      <c r="I149" t="s">
        <v>56</v>
      </c>
      <c r="J149" t="s">
        <v>57</v>
      </c>
      <c r="K149" t="s">
        <v>32</v>
      </c>
      <c r="L149" t="s">
        <v>46</v>
      </c>
      <c r="M149" t="s">
        <v>47</v>
      </c>
      <c r="N149" t="s">
        <v>35</v>
      </c>
      <c r="O149" t="s">
        <v>36</v>
      </c>
      <c r="P149" t="s">
        <v>71</v>
      </c>
      <c r="Q149" t="s">
        <v>240</v>
      </c>
      <c r="R149">
        <v>229</v>
      </c>
      <c r="S149">
        <v>142</v>
      </c>
      <c r="T149">
        <v>98</v>
      </c>
      <c r="U149">
        <v>35</v>
      </c>
      <c r="V149" t="s">
        <v>6928</v>
      </c>
      <c r="W149">
        <v>47415</v>
      </c>
      <c r="X149" t="s">
        <v>1101</v>
      </c>
      <c r="Y149">
        <v>37177</v>
      </c>
      <c r="Z149">
        <v>1659525</v>
      </c>
      <c r="AA149">
        <v>358330</v>
      </c>
      <c r="AB149" t="str">
        <f>(VLOOKUP(SalesData[[#This Row],[Month Number]],Reference!C$5:E$16,2,FALSE))</f>
        <v>Feb</v>
      </c>
      <c r="AC149">
        <f>MONTH(SalesData[[#This Row],[Date]])</f>
        <v>2</v>
      </c>
      <c r="AD149">
        <f>Reference!F$4</f>
        <v>2026</v>
      </c>
      <c r="AE149" t="str">
        <f>IF(OR(SalesData[[#This Row],[Day]]="Saturday",SalesData[[#This Row],[Day]]="Sunday"),"Weekend","Weekday")</f>
        <v>Weekday</v>
      </c>
      <c r="AF149" s="5">
        <f>IF(SalesData[[#This Row],[Contracts Offered]]=0,0,SalesData[[#This Row],[Contracts Signed]]/SalesData[[#This Row],[Contracts Offered]])</f>
        <v>0.35714285714285715</v>
      </c>
      <c r="AG149" s="5">
        <f>IF(SalesData[[#This Row],[Customers Visited]]=0,0,SalesData[[#This Row],[Test Drives]]/SalesData[[#This Row],[Customers Visited]])</f>
        <v>0.62008733624454149</v>
      </c>
      <c r="AH149" s="5">
        <f>IF(SalesData[[#This Row],[Customers Visited]]=0,0,SalesData[[#This Row],[Contracts Signed]]/SalesData[[#This Row],[Customers Visited]])</f>
        <v>0.15283842794759825</v>
      </c>
      <c r="AI149" s="6">
        <f>IF(SalesData[[#This Row],[Contracts Signed]]=0,0,SalesData[[#This Row],[Profit(€)]]/SalesData[[#This Row],[Contracts Signed]])</f>
        <v>10238</v>
      </c>
      <c r="AJ149" s="5" t="str">
        <f>TRIM(CLEAN(SalesData[[#This Row],[Retailer]]))</f>
        <v>Bavaria Motors</v>
      </c>
    </row>
    <row r="150" spans="1:36" ht="14.25" x14ac:dyDescent="0.2">
      <c r="A150" t="s">
        <v>400</v>
      </c>
      <c r="B150" s="1">
        <v>46075</v>
      </c>
      <c r="C150" t="s">
        <v>53</v>
      </c>
      <c r="D150" t="s">
        <v>41</v>
      </c>
      <c r="E150" t="s">
        <v>42</v>
      </c>
      <c r="F150" t="s">
        <v>127</v>
      </c>
      <c r="G150" t="s">
        <v>128</v>
      </c>
      <c r="H150" t="s">
        <v>103</v>
      </c>
      <c r="I150" t="s">
        <v>30</v>
      </c>
      <c r="J150" t="s">
        <v>166</v>
      </c>
      <c r="K150" t="s">
        <v>66</v>
      </c>
      <c r="L150" t="s">
        <v>46</v>
      </c>
      <c r="M150" t="s">
        <v>47</v>
      </c>
      <c r="N150" t="s">
        <v>35</v>
      </c>
      <c r="O150" t="s">
        <v>36</v>
      </c>
      <c r="P150" t="s">
        <v>49</v>
      </c>
      <c r="Q150" t="s">
        <v>122</v>
      </c>
      <c r="R150">
        <v>221</v>
      </c>
      <c r="S150">
        <v>130</v>
      </c>
      <c r="T150">
        <v>91</v>
      </c>
      <c r="U150">
        <v>33</v>
      </c>
      <c r="V150" t="s">
        <v>6967</v>
      </c>
      <c r="W150">
        <v>57183</v>
      </c>
      <c r="X150" t="s">
        <v>7108</v>
      </c>
      <c r="Y150">
        <v>44319</v>
      </c>
      <c r="Z150">
        <v>1887039</v>
      </c>
      <c r="AA150">
        <v>424512</v>
      </c>
      <c r="AB150" t="str">
        <f>(VLOOKUP(SalesData[[#This Row],[Month Number]],Reference!C$5:E$16,2,FALSE))</f>
        <v>Feb</v>
      </c>
      <c r="AC150">
        <f>MONTH(SalesData[[#This Row],[Date]])</f>
        <v>2</v>
      </c>
      <c r="AD150">
        <f>Reference!F$4</f>
        <v>2026</v>
      </c>
      <c r="AE150" t="str">
        <f>IF(OR(SalesData[[#This Row],[Day]]="Saturday",SalesData[[#This Row],[Day]]="Sunday"),"Weekend","Weekday")</f>
        <v>Weekend</v>
      </c>
      <c r="AF150" s="5">
        <f>IF(SalesData[[#This Row],[Contracts Offered]]=0,0,SalesData[[#This Row],[Contracts Signed]]/SalesData[[#This Row],[Contracts Offered]])</f>
        <v>0.36263736263736263</v>
      </c>
      <c r="AG150" s="5">
        <f>IF(SalesData[[#This Row],[Customers Visited]]=0,0,SalesData[[#This Row],[Test Drives]]/SalesData[[#This Row],[Customers Visited]])</f>
        <v>0.58823529411764708</v>
      </c>
      <c r="AH150" s="5">
        <f>IF(SalesData[[#This Row],[Customers Visited]]=0,0,SalesData[[#This Row],[Contracts Signed]]/SalesData[[#This Row],[Customers Visited]])</f>
        <v>0.14932126696832579</v>
      </c>
      <c r="AI150" s="6">
        <f>IF(SalesData[[#This Row],[Contracts Signed]]=0,0,SalesData[[#This Row],[Profit(€)]]/SalesData[[#This Row],[Contracts Signed]])</f>
        <v>12864</v>
      </c>
      <c r="AJ150" s="5" t="str">
        <f>TRIM(CLEAN(SalesData[[#This Row],[Retailer]]))</f>
        <v>Rhein Auto Group</v>
      </c>
    </row>
    <row r="151" spans="1:36" ht="14.25" x14ac:dyDescent="0.2">
      <c r="A151" t="s">
        <v>402</v>
      </c>
      <c r="B151" s="1">
        <v>46064</v>
      </c>
      <c r="C151" t="s">
        <v>121</v>
      </c>
      <c r="D151" t="s">
        <v>82</v>
      </c>
      <c r="E151" t="s">
        <v>26</v>
      </c>
      <c r="F151" t="s">
        <v>114</v>
      </c>
      <c r="G151" t="s">
        <v>115</v>
      </c>
      <c r="H151" t="s">
        <v>115</v>
      </c>
      <c r="I151" t="s">
        <v>30</v>
      </c>
      <c r="J151" t="s">
        <v>31</v>
      </c>
      <c r="K151" t="s">
        <v>66</v>
      </c>
      <c r="L151" t="s">
        <v>46</v>
      </c>
      <c r="M151" t="s">
        <v>68</v>
      </c>
      <c r="N151" t="s">
        <v>35</v>
      </c>
      <c r="O151" t="s">
        <v>36</v>
      </c>
      <c r="P151" t="s">
        <v>49</v>
      </c>
      <c r="Q151" t="s">
        <v>79</v>
      </c>
      <c r="R151">
        <v>274</v>
      </c>
      <c r="S151">
        <v>148</v>
      </c>
      <c r="T151">
        <v>100</v>
      </c>
      <c r="U151">
        <v>39</v>
      </c>
      <c r="V151" t="s">
        <v>6370</v>
      </c>
      <c r="W151">
        <v>54042</v>
      </c>
      <c r="X151" t="s">
        <v>7109</v>
      </c>
      <c r="Y151">
        <v>41428</v>
      </c>
      <c r="Z151">
        <v>2107638</v>
      </c>
      <c r="AA151">
        <v>491946</v>
      </c>
      <c r="AB151" t="str">
        <f>(VLOOKUP(SalesData[[#This Row],[Month Number]],Reference!C$5:E$16,2,FALSE))</f>
        <v>Feb</v>
      </c>
      <c r="AC151">
        <f>MONTH(SalesData[[#This Row],[Date]])</f>
        <v>2</v>
      </c>
      <c r="AD151">
        <f>Reference!F$4</f>
        <v>2026</v>
      </c>
      <c r="AE151" t="str">
        <f>IF(OR(SalesData[[#This Row],[Day]]="Saturday",SalesData[[#This Row],[Day]]="Sunday"),"Weekend","Weekday")</f>
        <v>Weekday</v>
      </c>
      <c r="AF151" s="5">
        <f>IF(SalesData[[#This Row],[Contracts Offered]]=0,0,SalesData[[#This Row],[Contracts Signed]]/SalesData[[#This Row],[Contracts Offered]])</f>
        <v>0.39</v>
      </c>
      <c r="AG151" s="5">
        <f>IF(SalesData[[#This Row],[Customers Visited]]=0,0,SalesData[[#This Row],[Test Drives]]/SalesData[[#This Row],[Customers Visited]])</f>
        <v>0.54014598540145986</v>
      </c>
      <c r="AH151" s="5">
        <f>IF(SalesData[[#This Row],[Customers Visited]]=0,0,SalesData[[#This Row],[Contracts Signed]]/SalesData[[#This Row],[Customers Visited]])</f>
        <v>0.14233576642335766</v>
      </c>
      <c r="AI151" s="6">
        <f>IF(SalesData[[#This Row],[Contracts Signed]]=0,0,SalesData[[#This Row],[Profit(€)]]/SalesData[[#This Row],[Contracts Signed]])</f>
        <v>12614</v>
      </c>
      <c r="AJ151" s="5" t="str">
        <f>TRIM(CLEAN(SalesData[[#This Row],[Retailer]]))</f>
        <v>Elbe Drive</v>
      </c>
    </row>
    <row r="152" spans="1:36" ht="14.25" hidden="1" x14ac:dyDescent="0.2">
      <c r="A152" t="s">
        <v>404</v>
      </c>
      <c r="B152" s="1">
        <v>46072</v>
      </c>
      <c r="C152" t="s">
        <v>62</v>
      </c>
      <c r="D152" t="s">
        <v>100</v>
      </c>
      <c r="E152" t="s">
        <v>26</v>
      </c>
      <c r="F152" t="s">
        <v>83</v>
      </c>
      <c r="G152" t="s">
        <v>84</v>
      </c>
      <c r="H152" t="s">
        <v>85</v>
      </c>
      <c r="I152" t="s">
        <v>116</v>
      </c>
      <c r="J152" t="s">
        <v>117</v>
      </c>
      <c r="K152" t="s">
        <v>32</v>
      </c>
      <c r="L152" t="s">
        <v>67</v>
      </c>
      <c r="M152" t="s">
        <v>34</v>
      </c>
      <c r="N152" t="s">
        <v>35</v>
      </c>
      <c r="O152" t="s">
        <v>36</v>
      </c>
      <c r="P152" t="s">
        <v>49</v>
      </c>
      <c r="Q152" t="s">
        <v>88</v>
      </c>
      <c r="R152">
        <v>223</v>
      </c>
      <c r="S152">
        <v>113</v>
      </c>
      <c r="T152">
        <v>78</v>
      </c>
      <c r="U152">
        <v>16</v>
      </c>
      <c r="V152" t="s">
        <v>6696</v>
      </c>
      <c r="W152">
        <v>23603</v>
      </c>
      <c r="X152" t="s">
        <v>4384</v>
      </c>
      <c r="Y152">
        <v>21524</v>
      </c>
      <c r="Z152">
        <v>377648</v>
      </c>
      <c r="AA152">
        <v>33264</v>
      </c>
      <c r="AB152" t="str">
        <f>(VLOOKUP(SalesData[[#This Row],[Month Number]],Reference!C$5:E$16,2,FALSE))</f>
        <v>Feb</v>
      </c>
      <c r="AC152">
        <f>MONTH(SalesData[[#This Row],[Date]])</f>
        <v>2</v>
      </c>
      <c r="AD152">
        <f>Reference!F$4</f>
        <v>2026</v>
      </c>
      <c r="AE152" t="str">
        <f>IF(OR(SalesData[[#This Row],[Day]]="Saturday",SalesData[[#This Row],[Day]]="Sunday"),"Weekend","Weekday")</f>
        <v>Weekday</v>
      </c>
      <c r="AF152" s="5">
        <f>IF(SalesData[[#This Row],[Contracts Offered]]=0,0,SalesData[[#This Row],[Contracts Signed]]/SalesData[[#This Row],[Contracts Offered]])</f>
        <v>0.20512820512820512</v>
      </c>
      <c r="AG152" s="5">
        <f>IF(SalesData[[#This Row],[Customers Visited]]=0,0,SalesData[[#This Row],[Test Drives]]/SalesData[[#This Row],[Customers Visited]])</f>
        <v>0.50672645739910316</v>
      </c>
      <c r="AH152" s="5">
        <f>IF(SalesData[[#This Row],[Customers Visited]]=0,0,SalesData[[#This Row],[Contracts Signed]]/SalesData[[#This Row],[Customers Visited]])</f>
        <v>7.1748878923766815E-2</v>
      </c>
      <c r="AI152" s="6">
        <f>IF(SalesData[[#This Row],[Contracts Signed]]=0,0,SalesData[[#This Row],[Profit(€)]]/SalesData[[#This Row],[Contracts Signed]])</f>
        <v>2079</v>
      </c>
      <c r="AJ152" s="5" t="str">
        <f>TRIM(CLEAN(SalesData[[#This Row],[Retailer]]))</f>
        <v>Hannover Cars</v>
      </c>
    </row>
    <row r="153" spans="1:36" ht="14.25" hidden="1" x14ac:dyDescent="0.2">
      <c r="A153" t="s">
        <v>406</v>
      </c>
      <c r="B153" s="1">
        <v>46079</v>
      </c>
      <c r="C153" t="s">
        <v>53</v>
      </c>
      <c r="D153" t="s">
        <v>100</v>
      </c>
      <c r="E153" t="s">
        <v>26</v>
      </c>
      <c r="F153" t="s">
        <v>109</v>
      </c>
      <c r="G153" t="s">
        <v>110</v>
      </c>
      <c r="H153" t="s">
        <v>45</v>
      </c>
      <c r="I153" t="s">
        <v>116</v>
      </c>
      <c r="J153" t="s">
        <v>7026</v>
      </c>
      <c r="K153" t="s">
        <v>66</v>
      </c>
      <c r="L153" t="s">
        <v>46</v>
      </c>
      <c r="M153" t="s">
        <v>68</v>
      </c>
      <c r="N153" t="s">
        <v>48</v>
      </c>
      <c r="O153" t="s">
        <v>70</v>
      </c>
      <c r="P153" t="s">
        <v>71</v>
      </c>
      <c r="Q153" t="s">
        <v>59</v>
      </c>
      <c r="R153">
        <v>402</v>
      </c>
      <c r="S153">
        <v>166</v>
      </c>
      <c r="T153">
        <v>104</v>
      </c>
      <c r="U153">
        <v>25</v>
      </c>
      <c r="V153" t="s">
        <v>6434</v>
      </c>
      <c r="W153">
        <v>23238</v>
      </c>
      <c r="X153" t="s">
        <v>201</v>
      </c>
      <c r="Y153">
        <v>21547</v>
      </c>
      <c r="Z153">
        <v>580950</v>
      </c>
      <c r="AA153">
        <v>42275</v>
      </c>
      <c r="AB153" t="str">
        <f>(VLOOKUP(SalesData[[#This Row],[Month Number]],Reference!C$5:E$16,2,FALSE))</f>
        <v>Feb</v>
      </c>
      <c r="AC153">
        <f>MONTH(SalesData[[#This Row],[Date]])</f>
        <v>2</v>
      </c>
      <c r="AD153">
        <f>Reference!F$4</f>
        <v>2026</v>
      </c>
      <c r="AE153" t="str">
        <f>IF(OR(SalesData[[#This Row],[Day]]="Saturday",SalesData[[#This Row],[Day]]="Sunday"),"Weekend","Weekday")</f>
        <v>Weekday</v>
      </c>
      <c r="AF153" s="5">
        <f>IF(SalesData[[#This Row],[Contracts Offered]]=0,0,SalesData[[#This Row],[Contracts Signed]]/SalesData[[#This Row],[Contracts Offered]])</f>
        <v>0.24038461538461539</v>
      </c>
      <c r="AG153" s="5">
        <f>IF(SalesData[[#This Row],[Customers Visited]]=0,0,SalesData[[#This Row],[Test Drives]]/SalesData[[#This Row],[Customers Visited]])</f>
        <v>0.41293532338308458</v>
      </c>
      <c r="AH153" s="5">
        <f>IF(SalesData[[#This Row],[Customers Visited]]=0,0,SalesData[[#This Row],[Contracts Signed]]/SalesData[[#This Row],[Customers Visited]])</f>
        <v>6.2189054726368161E-2</v>
      </c>
      <c r="AI153" s="6">
        <f>IF(SalesData[[#This Row],[Contracts Signed]]=0,0,SalesData[[#This Row],[Profit(€)]]/SalesData[[#This Row],[Contracts Signed]])</f>
        <v>1691</v>
      </c>
      <c r="AJ153" s="5" t="str">
        <f>TRIM(CLEAN(SalesData[[#This Row],[Retailer]]))</f>
        <v>Leipzig Mobility</v>
      </c>
    </row>
    <row r="154" spans="1:36" ht="14.25" hidden="1" x14ac:dyDescent="0.2">
      <c r="A154" t="s">
        <v>408</v>
      </c>
      <c r="B154" s="1">
        <v>46058</v>
      </c>
      <c r="C154" t="s">
        <v>24</v>
      </c>
      <c r="D154" t="s">
        <v>100</v>
      </c>
      <c r="E154" t="s">
        <v>26</v>
      </c>
      <c r="F154" t="s">
        <v>127</v>
      </c>
      <c r="G154" t="s">
        <v>128</v>
      </c>
      <c r="H154" t="s">
        <v>103</v>
      </c>
      <c r="I154" t="s">
        <v>104</v>
      </c>
      <c r="J154" t="s">
        <v>140</v>
      </c>
      <c r="K154" t="s">
        <v>32</v>
      </c>
      <c r="L154" t="s">
        <v>46</v>
      </c>
      <c r="M154" t="s">
        <v>34</v>
      </c>
      <c r="N154" t="s">
        <v>35</v>
      </c>
      <c r="O154" t="s">
        <v>36</v>
      </c>
      <c r="P154" t="s">
        <v>58</v>
      </c>
      <c r="Q154" t="s">
        <v>118</v>
      </c>
      <c r="R154">
        <v>415</v>
      </c>
      <c r="S154">
        <v>200</v>
      </c>
      <c r="T154">
        <v>129</v>
      </c>
      <c r="U154">
        <v>41</v>
      </c>
      <c r="V154" t="s">
        <v>6570</v>
      </c>
      <c r="W154">
        <v>25222</v>
      </c>
      <c r="X154" t="s">
        <v>3069</v>
      </c>
      <c r="Y154">
        <v>22046</v>
      </c>
      <c r="Z154">
        <v>1034102</v>
      </c>
      <c r="AA154">
        <v>130216</v>
      </c>
      <c r="AB154" t="str">
        <f>(VLOOKUP(SalesData[[#This Row],[Month Number]],Reference!C$5:E$16,2,FALSE))</f>
        <v>Feb</v>
      </c>
      <c r="AC154">
        <f>MONTH(SalesData[[#This Row],[Date]])</f>
        <v>2</v>
      </c>
      <c r="AD154">
        <f>Reference!F$4</f>
        <v>2026</v>
      </c>
      <c r="AE154" t="str">
        <f>IF(OR(SalesData[[#This Row],[Day]]="Saturday",SalesData[[#This Row],[Day]]="Sunday"),"Weekend","Weekday")</f>
        <v>Weekday</v>
      </c>
      <c r="AF154" s="5">
        <f>IF(SalesData[[#This Row],[Contracts Offered]]=0,0,SalesData[[#This Row],[Contracts Signed]]/SalesData[[#This Row],[Contracts Offered]])</f>
        <v>0.31782945736434109</v>
      </c>
      <c r="AG154" s="5">
        <f>IF(SalesData[[#This Row],[Customers Visited]]=0,0,SalesData[[#This Row],[Test Drives]]/SalesData[[#This Row],[Customers Visited]])</f>
        <v>0.48192771084337349</v>
      </c>
      <c r="AH154" s="5">
        <f>IF(SalesData[[#This Row],[Customers Visited]]=0,0,SalesData[[#This Row],[Contracts Signed]]/SalesData[[#This Row],[Customers Visited]])</f>
        <v>9.8795180722891562E-2</v>
      </c>
      <c r="AI154" s="6">
        <f>IF(SalesData[[#This Row],[Contracts Signed]]=0,0,SalesData[[#This Row],[Profit(€)]]/SalesData[[#This Row],[Contracts Signed]])</f>
        <v>3176</v>
      </c>
      <c r="AJ154" s="5" t="str">
        <f>TRIM(CLEAN(SalesData[[#This Row],[Retailer]]))</f>
        <v>Rhein Auto Group</v>
      </c>
    </row>
    <row r="155" spans="1:36" ht="14.25" x14ac:dyDescent="0.2">
      <c r="A155" t="s">
        <v>410</v>
      </c>
      <c r="B155" s="1">
        <v>46075</v>
      </c>
      <c r="C155" t="s">
        <v>53</v>
      </c>
      <c r="D155" t="s">
        <v>41</v>
      </c>
      <c r="E155" t="s">
        <v>42</v>
      </c>
      <c r="F155" t="s">
        <v>94</v>
      </c>
      <c r="G155" t="s">
        <v>95</v>
      </c>
      <c r="H155" t="s">
        <v>96</v>
      </c>
      <c r="I155" t="s">
        <v>30</v>
      </c>
      <c r="J155" t="s">
        <v>86</v>
      </c>
      <c r="K155" t="s">
        <v>78</v>
      </c>
      <c r="L155" t="s">
        <v>33</v>
      </c>
      <c r="M155" t="s">
        <v>68</v>
      </c>
      <c r="N155" t="s">
        <v>69</v>
      </c>
      <c r="O155" t="s">
        <v>36</v>
      </c>
      <c r="P155" t="s">
        <v>58</v>
      </c>
      <c r="Q155" t="s">
        <v>129</v>
      </c>
      <c r="R155">
        <v>195</v>
      </c>
      <c r="S155">
        <v>119</v>
      </c>
      <c r="T155">
        <v>82</v>
      </c>
      <c r="U155">
        <v>38</v>
      </c>
      <c r="V155" t="s">
        <v>7110</v>
      </c>
      <c r="W155">
        <v>53582</v>
      </c>
      <c r="X155" t="s">
        <v>7053</v>
      </c>
      <c r="Y155">
        <v>40955</v>
      </c>
      <c r="Z155">
        <v>2036116</v>
      </c>
      <c r="AA155">
        <v>479826</v>
      </c>
      <c r="AB155" t="str">
        <f>(VLOOKUP(SalesData[[#This Row],[Month Number]],Reference!C$5:E$16,2,FALSE))</f>
        <v>Feb</v>
      </c>
      <c r="AC155">
        <f>MONTH(SalesData[[#This Row],[Date]])</f>
        <v>2</v>
      </c>
      <c r="AD155">
        <f>Reference!F$4</f>
        <v>2026</v>
      </c>
      <c r="AE155" t="str">
        <f>IF(OR(SalesData[[#This Row],[Day]]="Saturday",SalesData[[#This Row],[Day]]="Sunday"),"Weekend","Weekday")</f>
        <v>Weekend</v>
      </c>
      <c r="AF155" s="5">
        <f>IF(SalesData[[#This Row],[Contracts Offered]]=0,0,SalesData[[#This Row],[Contracts Signed]]/SalesData[[#This Row],[Contracts Offered]])</f>
        <v>0.46341463414634149</v>
      </c>
      <c r="AG155" s="5">
        <f>IF(SalesData[[#This Row],[Customers Visited]]=0,0,SalesData[[#This Row],[Test Drives]]/SalesData[[#This Row],[Customers Visited]])</f>
        <v>0.61025641025641031</v>
      </c>
      <c r="AH155" s="5">
        <f>IF(SalesData[[#This Row],[Customers Visited]]=0,0,SalesData[[#This Row],[Contracts Signed]]/SalesData[[#This Row],[Customers Visited]])</f>
        <v>0.19487179487179487</v>
      </c>
      <c r="AI155" s="6">
        <f>IF(SalesData[[#This Row],[Contracts Signed]]=0,0,SalesData[[#This Row],[Profit(€)]]/SalesData[[#This Row],[Contracts Signed]])</f>
        <v>12627</v>
      </c>
      <c r="AJ155" s="5" t="str">
        <f>TRIM(CLEAN(SalesData[[#This Row],[Retailer]]))</f>
        <v>Bavaria Motors</v>
      </c>
    </row>
    <row r="156" spans="1:36" ht="14.25" hidden="1" x14ac:dyDescent="0.2">
      <c r="A156" t="s">
        <v>412</v>
      </c>
      <c r="B156" s="1">
        <v>46074</v>
      </c>
      <c r="C156" t="s">
        <v>62</v>
      </c>
      <c r="D156" t="s">
        <v>151</v>
      </c>
      <c r="E156" t="s">
        <v>42</v>
      </c>
      <c r="F156" t="s">
        <v>114</v>
      </c>
      <c r="G156" t="s">
        <v>115</v>
      </c>
      <c r="H156" t="s">
        <v>115</v>
      </c>
      <c r="I156" t="s">
        <v>64</v>
      </c>
      <c r="J156" t="s">
        <v>7029</v>
      </c>
      <c r="K156" t="s">
        <v>78</v>
      </c>
      <c r="L156" t="s">
        <v>33</v>
      </c>
      <c r="M156" t="s">
        <v>34</v>
      </c>
      <c r="N156" t="s">
        <v>48</v>
      </c>
      <c r="O156" t="s">
        <v>70</v>
      </c>
      <c r="P156" t="s">
        <v>58</v>
      </c>
      <c r="Q156" t="s">
        <v>118</v>
      </c>
      <c r="R156">
        <v>287</v>
      </c>
      <c r="S156">
        <v>158</v>
      </c>
      <c r="T156">
        <v>123</v>
      </c>
      <c r="U156">
        <v>46</v>
      </c>
      <c r="V156" t="s">
        <v>6788</v>
      </c>
      <c r="W156">
        <v>51823</v>
      </c>
      <c r="X156" t="s">
        <v>2040</v>
      </c>
      <c r="Y156">
        <v>39866</v>
      </c>
      <c r="Z156">
        <v>2383858</v>
      </c>
      <c r="AA156">
        <v>550022</v>
      </c>
      <c r="AB156" t="str">
        <f>(VLOOKUP(SalesData[[#This Row],[Month Number]],Reference!C$5:E$16,2,FALSE))</f>
        <v>Feb</v>
      </c>
      <c r="AC156">
        <f>MONTH(SalesData[[#This Row],[Date]])</f>
        <v>2</v>
      </c>
      <c r="AD156">
        <f>Reference!F$4</f>
        <v>2026</v>
      </c>
      <c r="AE156" t="str">
        <f>IF(OR(SalesData[[#This Row],[Day]]="Saturday",SalesData[[#This Row],[Day]]="Sunday"),"Weekend","Weekday")</f>
        <v>Weekend</v>
      </c>
      <c r="AF156" s="5">
        <f>IF(SalesData[[#This Row],[Contracts Offered]]=0,0,SalesData[[#This Row],[Contracts Signed]]/SalesData[[#This Row],[Contracts Offered]])</f>
        <v>0.37398373983739835</v>
      </c>
      <c r="AG156" s="5">
        <f>IF(SalesData[[#This Row],[Customers Visited]]=0,0,SalesData[[#This Row],[Test Drives]]/SalesData[[#This Row],[Customers Visited]])</f>
        <v>0.55052264808362372</v>
      </c>
      <c r="AH156" s="5">
        <f>IF(SalesData[[#This Row],[Customers Visited]]=0,0,SalesData[[#This Row],[Contracts Signed]]/SalesData[[#This Row],[Customers Visited]])</f>
        <v>0.16027874564459929</v>
      </c>
      <c r="AI156" s="6">
        <f>IF(SalesData[[#This Row],[Contracts Signed]]=0,0,SalesData[[#This Row],[Profit(€)]]/SalesData[[#This Row],[Contracts Signed]])</f>
        <v>11957</v>
      </c>
      <c r="AJ156" s="5" t="str">
        <f>TRIM(CLEAN(SalesData[[#This Row],[Retailer]]))</f>
        <v>Elbe Drive</v>
      </c>
    </row>
    <row r="157" spans="1:36" ht="14.25" hidden="1" x14ac:dyDescent="0.2">
      <c r="A157" t="s">
        <v>414</v>
      </c>
      <c r="B157" s="1">
        <v>46055</v>
      </c>
      <c r="C157" t="s">
        <v>24</v>
      </c>
      <c r="D157" t="s">
        <v>25</v>
      </c>
      <c r="E157" t="s">
        <v>26</v>
      </c>
      <c r="F157" t="s">
        <v>127</v>
      </c>
      <c r="G157" t="s">
        <v>128</v>
      </c>
      <c r="H157" t="s">
        <v>103</v>
      </c>
      <c r="I157" t="s">
        <v>64</v>
      </c>
      <c r="J157" t="s">
        <v>111</v>
      </c>
      <c r="K157" t="s">
        <v>78</v>
      </c>
      <c r="L157" t="s">
        <v>46</v>
      </c>
      <c r="M157" t="s">
        <v>34</v>
      </c>
      <c r="N157" t="s">
        <v>35</v>
      </c>
      <c r="O157" t="s">
        <v>36</v>
      </c>
      <c r="P157" t="s">
        <v>49</v>
      </c>
      <c r="Q157" t="s">
        <v>118</v>
      </c>
      <c r="R157">
        <v>186</v>
      </c>
      <c r="S157">
        <v>109</v>
      </c>
      <c r="T157">
        <v>79</v>
      </c>
      <c r="U157">
        <v>27</v>
      </c>
      <c r="V157" t="s">
        <v>6390</v>
      </c>
      <c r="W157">
        <v>56750</v>
      </c>
      <c r="X157" t="s">
        <v>7111</v>
      </c>
      <c r="Y157">
        <v>43557</v>
      </c>
      <c r="Z157">
        <v>1532250</v>
      </c>
      <c r="AA157">
        <v>356211</v>
      </c>
      <c r="AB157" t="str">
        <f>(VLOOKUP(SalesData[[#This Row],[Month Number]],Reference!C$5:E$16,2,FALSE))</f>
        <v>Feb</v>
      </c>
      <c r="AC157">
        <f>MONTH(SalesData[[#This Row],[Date]])</f>
        <v>2</v>
      </c>
      <c r="AD157">
        <f>Reference!F$4</f>
        <v>2026</v>
      </c>
      <c r="AE157" t="str">
        <f>IF(OR(SalesData[[#This Row],[Day]]="Saturday",SalesData[[#This Row],[Day]]="Sunday"),"Weekend","Weekday")</f>
        <v>Weekday</v>
      </c>
      <c r="AF157" s="5">
        <f>IF(SalesData[[#This Row],[Contracts Offered]]=0,0,SalesData[[#This Row],[Contracts Signed]]/SalesData[[#This Row],[Contracts Offered]])</f>
        <v>0.34177215189873417</v>
      </c>
      <c r="AG157" s="5">
        <f>IF(SalesData[[#This Row],[Customers Visited]]=0,0,SalesData[[#This Row],[Test Drives]]/SalesData[[#This Row],[Customers Visited]])</f>
        <v>0.58602150537634412</v>
      </c>
      <c r="AH157" s="5">
        <f>IF(SalesData[[#This Row],[Customers Visited]]=0,0,SalesData[[#This Row],[Contracts Signed]]/SalesData[[#This Row],[Customers Visited]])</f>
        <v>0.14516129032258066</v>
      </c>
      <c r="AI157" s="6">
        <f>IF(SalesData[[#This Row],[Contracts Signed]]=0,0,SalesData[[#This Row],[Profit(€)]]/SalesData[[#This Row],[Contracts Signed]])</f>
        <v>13193</v>
      </c>
      <c r="AJ157" s="5" t="str">
        <f>TRIM(CLEAN(SalesData[[#This Row],[Retailer]]))</f>
        <v>Rhein Auto Group</v>
      </c>
    </row>
    <row r="158" spans="1:36" ht="14.25" hidden="1" x14ac:dyDescent="0.2">
      <c r="A158" t="s">
        <v>416</v>
      </c>
      <c r="B158" s="1">
        <v>46055</v>
      </c>
      <c r="C158" t="s">
        <v>24</v>
      </c>
      <c r="D158" t="s">
        <v>25</v>
      </c>
      <c r="E158" t="s">
        <v>26</v>
      </c>
      <c r="F158" t="s">
        <v>83</v>
      </c>
      <c r="G158" t="s">
        <v>84</v>
      </c>
      <c r="H158" t="s">
        <v>85</v>
      </c>
      <c r="I158" t="s">
        <v>116</v>
      </c>
      <c r="J158" t="s">
        <v>132</v>
      </c>
      <c r="K158" t="s">
        <v>32</v>
      </c>
      <c r="L158" t="s">
        <v>46</v>
      </c>
      <c r="M158" t="s">
        <v>87</v>
      </c>
      <c r="N158" t="s">
        <v>48</v>
      </c>
      <c r="O158" t="s">
        <v>36</v>
      </c>
      <c r="P158" t="s">
        <v>49</v>
      </c>
      <c r="Q158" t="s">
        <v>79</v>
      </c>
      <c r="R158">
        <v>399</v>
      </c>
      <c r="S158">
        <v>202</v>
      </c>
      <c r="T158">
        <v>115</v>
      </c>
      <c r="U158">
        <v>31</v>
      </c>
      <c r="V158" t="s">
        <v>6586</v>
      </c>
      <c r="W158">
        <v>22484</v>
      </c>
      <c r="X158" t="s">
        <v>329</v>
      </c>
      <c r="Y158">
        <v>20149</v>
      </c>
      <c r="Z158">
        <v>697004</v>
      </c>
      <c r="AA158">
        <v>72385</v>
      </c>
      <c r="AB158" t="str">
        <f>(VLOOKUP(SalesData[[#This Row],[Month Number]],Reference!C$5:E$16,2,FALSE))</f>
        <v>Feb</v>
      </c>
      <c r="AC158">
        <f>MONTH(SalesData[[#This Row],[Date]])</f>
        <v>2</v>
      </c>
      <c r="AD158">
        <f>Reference!F$4</f>
        <v>2026</v>
      </c>
      <c r="AE158" t="str">
        <f>IF(OR(SalesData[[#This Row],[Day]]="Saturday",SalesData[[#This Row],[Day]]="Sunday"),"Weekend","Weekday")</f>
        <v>Weekday</v>
      </c>
      <c r="AF158" s="5">
        <f>IF(SalesData[[#This Row],[Contracts Offered]]=0,0,SalesData[[#This Row],[Contracts Signed]]/SalesData[[#This Row],[Contracts Offered]])</f>
        <v>0.26956521739130435</v>
      </c>
      <c r="AG158" s="5">
        <f>IF(SalesData[[#This Row],[Customers Visited]]=0,0,SalesData[[#This Row],[Test Drives]]/SalesData[[#This Row],[Customers Visited]])</f>
        <v>0.50626566416040097</v>
      </c>
      <c r="AH158" s="5">
        <f>IF(SalesData[[#This Row],[Customers Visited]]=0,0,SalesData[[#This Row],[Contracts Signed]]/SalesData[[#This Row],[Customers Visited]])</f>
        <v>7.7694235588972427E-2</v>
      </c>
      <c r="AI158" s="6">
        <f>IF(SalesData[[#This Row],[Contracts Signed]]=0,0,SalesData[[#This Row],[Profit(€)]]/SalesData[[#This Row],[Contracts Signed]])</f>
        <v>2335</v>
      </c>
      <c r="AJ158" s="5" t="str">
        <f>TRIM(CLEAN(SalesData[[#This Row],[Retailer]]))</f>
        <v>Hannover Cars</v>
      </c>
    </row>
    <row r="159" spans="1:36" ht="14.25" hidden="1" x14ac:dyDescent="0.2">
      <c r="A159" t="s">
        <v>418</v>
      </c>
      <c r="B159" s="1">
        <v>46075</v>
      </c>
      <c r="C159" t="s">
        <v>53</v>
      </c>
      <c r="D159" t="s">
        <v>41</v>
      </c>
      <c r="E159" t="s">
        <v>42</v>
      </c>
      <c r="F159" t="s">
        <v>43</v>
      </c>
      <c r="G159" t="s">
        <v>44</v>
      </c>
      <c r="H159" t="s">
        <v>45</v>
      </c>
      <c r="I159" t="s">
        <v>64</v>
      </c>
      <c r="J159" t="s">
        <v>7029</v>
      </c>
      <c r="K159" t="s">
        <v>32</v>
      </c>
      <c r="L159" t="s">
        <v>33</v>
      </c>
      <c r="M159" t="s">
        <v>87</v>
      </c>
      <c r="N159" t="s">
        <v>69</v>
      </c>
      <c r="O159" t="s">
        <v>36</v>
      </c>
      <c r="P159" t="s">
        <v>71</v>
      </c>
      <c r="Q159" t="s">
        <v>189</v>
      </c>
      <c r="R159">
        <v>213</v>
      </c>
      <c r="S159">
        <v>94</v>
      </c>
      <c r="T159">
        <v>68</v>
      </c>
      <c r="U159">
        <v>25</v>
      </c>
      <c r="V159" t="s">
        <v>6985</v>
      </c>
      <c r="W159">
        <v>63009</v>
      </c>
      <c r="X159" t="s">
        <v>7112</v>
      </c>
      <c r="Y159">
        <v>45084</v>
      </c>
      <c r="Z159">
        <v>1575225</v>
      </c>
      <c r="AA159">
        <v>448125</v>
      </c>
      <c r="AB159" t="str">
        <f>(VLOOKUP(SalesData[[#This Row],[Month Number]],Reference!C$5:E$16,2,FALSE))</f>
        <v>Feb</v>
      </c>
      <c r="AC159">
        <f>MONTH(SalesData[[#This Row],[Date]])</f>
        <v>2</v>
      </c>
      <c r="AD159">
        <f>Reference!F$4</f>
        <v>2026</v>
      </c>
      <c r="AE159" t="str">
        <f>IF(OR(SalesData[[#This Row],[Day]]="Saturday",SalesData[[#This Row],[Day]]="Sunday"),"Weekend","Weekday")</f>
        <v>Weekend</v>
      </c>
      <c r="AF159" s="5">
        <f>IF(SalesData[[#This Row],[Contracts Offered]]=0,0,SalesData[[#This Row],[Contracts Signed]]/SalesData[[#This Row],[Contracts Offered]])</f>
        <v>0.36764705882352944</v>
      </c>
      <c r="AG159" s="5">
        <f>IF(SalesData[[#This Row],[Customers Visited]]=0,0,SalesData[[#This Row],[Test Drives]]/SalesData[[#This Row],[Customers Visited]])</f>
        <v>0.44131455399061031</v>
      </c>
      <c r="AH159" s="5">
        <f>IF(SalesData[[#This Row],[Customers Visited]]=0,0,SalesData[[#This Row],[Contracts Signed]]/SalesData[[#This Row],[Customers Visited]])</f>
        <v>0.11737089201877934</v>
      </c>
      <c r="AI159" s="6">
        <f>IF(SalesData[[#This Row],[Contracts Signed]]=0,0,SalesData[[#This Row],[Profit(€)]]/SalesData[[#This Row],[Contracts Signed]])</f>
        <v>17925</v>
      </c>
      <c r="AJ159" s="5" t="str">
        <f>TRIM(CLEAN(SalesData[[#This Row],[Retailer]]))</f>
        <v>Saxon Wheels</v>
      </c>
    </row>
    <row r="160" spans="1:36" ht="14.25" x14ac:dyDescent="0.2">
      <c r="A160" t="s">
        <v>420</v>
      </c>
      <c r="B160" s="1">
        <v>46079</v>
      </c>
      <c r="C160" t="s">
        <v>53</v>
      </c>
      <c r="D160" t="s">
        <v>100</v>
      </c>
      <c r="E160" t="s">
        <v>26</v>
      </c>
      <c r="F160" t="s">
        <v>43</v>
      </c>
      <c r="G160" t="s">
        <v>44</v>
      </c>
      <c r="H160" t="s">
        <v>45</v>
      </c>
      <c r="I160" t="s">
        <v>30</v>
      </c>
      <c r="J160" t="s">
        <v>31</v>
      </c>
      <c r="K160" t="s">
        <v>78</v>
      </c>
      <c r="L160" t="s">
        <v>46</v>
      </c>
      <c r="M160" t="s">
        <v>87</v>
      </c>
      <c r="N160" t="s">
        <v>35</v>
      </c>
      <c r="O160" t="s">
        <v>36</v>
      </c>
      <c r="P160" t="s">
        <v>37</v>
      </c>
      <c r="Q160" t="s">
        <v>106</v>
      </c>
      <c r="R160">
        <v>221</v>
      </c>
      <c r="S160">
        <v>111</v>
      </c>
      <c r="T160">
        <v>79</v>
      </c>
      <c r="U160">
        <v>28</v>
      </c>
      <c r="V160" t="s">
        <v>6674</v>
      </c>
      <c r="W160">
        <v>54746</v>
      </c>
      <c r="X160" t="s">
        <v>7055</v>
      </c>
      <c r="Y160">
        <v>39635</v>
      </c>
      <c r="Z160">
        <v>1532888</v>
      </c>
      <c r="AA160">
        <v>423108</v>
      </c>
      <c r="AB160" t="str">
        <f>(VLOOKUP(SalesData[[#This Row],[Month Number]],Reference!C$5:E$16,2,FALSE))</f>
        <v>Feb</v>
      </c>
      <c r="AC160">
        <f>MONTH(SalesData[[#This Row],[Date]])</f>
        <v>2</v>
      </c>
      <c r="AD160">
        <f>Reference!F$4</f>
        <v>2026</v>
      </c>
      <c r="AE160" t="str">
        <f>IF(OR(SalesData[[#This Row],[Day]]="Saturday",SalesData[[#This Row],[Day]]="Sunday"),"Weekend","Weekday")</f>
        <v>Weekday</v>
      </c>
      <c r="AF160" s="5">
        <f>IF(SalesData[[#This Row],[Contracts Offered]]=0,0,SalesData[[#This Row],[Contracts Signed]]/SalesData[[#This Row],[Contracts Offered]])</f>
        <v>0.35443037974683544</v>
      </c>
      <c r="AG160" s="5">
        <f>IF(SalesData[[#This Row],[Customers Visited]]=0,0,SalesData[[#This Row],[Test Drives]]/SalesData[[#This Row],[Customers Visited]])</f>
        <v>0.50226244343891402</v>
      </c>
      <c r="AH160" s="5">
        <f>IF(SalesData[[#This Row],[Customers Visited]]=0,0,SalesData[[#This Row],[Contracts Signed]]/SalesData[[#This Row],[Customers Visited]])</f>
        <v>0.12669683257918551</v>
      </c>
      <c r="AI160" s="6">
        <f>IF(SalesData[[#This Row],[Contracts Signed]]=0,0,SalesData[[#This Row],[Profit(€)]]/SalesData[[#This Row],[Contracts Signed]])</f>
        <v>15111</v>
      </c>
      <c r="AJ160" s="5" t="str">
        <f>TRIM(CLEAN(SalesData[[#This Row],[Retailer]]))</f>
        <v>Saxon Wheels</v>
      </c>
    </row>
    <row r="161" spans="1:36" ht="14.25" x14ac:dyDescent="0.2">
      <c r="A161" t="s">
        <v>422</v>
      </c>
      <c r="B161" s="1">
        <v>46081</v>
      </c>
      <c r="C161" t="s">
        <v>53</v>
      </c>
      <c r="D161" t="s">
        <v>151</v>
      </c>
      <c r="E161" t="s">
        <v>42</v>
      </c>
      <c r="F161" t="s">
        <v>94</v>
      </c>
      <c r="G161" t="s">
        <v>95</v>
      </c>
      <c r="H161" t="s">
        <v>96</v>
      </c>
      <c r="I161" t="s">
        <v>30</v>
      </c>
      <c r="J161" t="s">
        <v>86</v>
      </c>
      <c r="K161" t="s">
        <v>32</v>
      </c>
      <c r="L161" t="s">
        <v>33</v>
      </c>
      <c r="M161" t="s">
        <v>47</v>
      </c>
      <c r="N161" t="s">
        <v>48</v>
      </c>
      <c r="O161" t="s">
        <v>70</v>
      </c>
      <c r="P161" t="s">
        <v>71</v>
      </c>
      <c r="Q161" t="s">
        <v>347</v>
      </c>
      <c r="R161">
        <v>165</v>
      </c>
      <c r="S161">
        <v>85</v>
      </c>
      <c r="T161">
        <v>62</v>
      </c>
      <c r="U161">
        <v>24</v>
      </c>
      <c r="V161" t="s">
        <v>6836</v>
      </c>
      <c r="W161">
        <v>63284</v>
      </c>
      <c r="X161" t="s">
        <v>7113</v>
      </c>
      <c r="Y161">
        <v>48784</v>
      </c>
      <c r="Z161">
        <v>1518816</v>
      </c>
      <c r="AA161">
        <v>348000</v>
      </c>
      <c r="AB161" t="str">
        <f>(VLOOKUP(SalesData[[#This Row],[Month Number]],Reference!C$5:E$16,2,FALSE))</f>
        <v>Feb</v>
      </c>
      <c r="AC161">
        <f>MONTH(SalesData[[#This Row],[Date]])</f>
        <v>2</v>
      </c>
      <c r="AD161">
        <f>Reference!F$4</f>
        <v>2026</v>
      </c>
      <c r="AE161" t="str">
        <f>IF(OR(SalesData[[#This Row],[Day]]="Saturday",SalesData[[#This Row],[Day]]="Sunday"),"Weekend","Weekday")</f>
        <v>Weekend</v>
      </c>
      <c r="AF161" s="5">
        <f>IF(SalesData[[#This Row],[Contracts Offered]]=0,0,SalesData[[#This Row],[Contracts Signed]]/SalesData[[#This Row],[Contracts Offered]])</f>
        <v>0.38709677419354838</v>
      </c>
      <c r="AG161" s="5">
        <f>IF(SalesData[[#This Row],[Customers Visited]]=0,0,SalesData[[#This Row],[Test Drives]]/SalesData[[#This Row],[Customers Visited]])</f>
        <v>0.51515151515151514</v>
      </c>
      <c r="AH161" s="5">
        <f>IF(SalesData[[#This Row],[Customers Visited]]=0,0,SalesData[[#This Row],[Contracts Signed]]/SalesData[[#This Row],[Customers Visited]])</f>
        <v>0.14545454545454545</v>
      </c>
      <c r="AI161" s="6">
        <f>IF(SalesData[[#This Row],[Contracts Signed]]=0,0,SalesData[[#This Row],[Profit(€)]]/SalesData[[#This Row],[Contracts Signed]])</f>
        <v>14500</v>
      </c>
      <c r="AJ161" s="5" t="str">
        <f>TRIM(CLEAN(SalesData[[#This Row],[Retailer]]))</f>
        <v>Bavaria Motors</v>
      </c>
    </row>
    <row r="162" spans="1:36" ht="14.25" x14ac:dyDescent="0.2">
      <c r="A162" t="s">
        <v>424</v>
      </c>
      <c r="B162" s="1">
        <v>46077</v>
      </c>
      <c r="C162" t="s">
        <v>53</v>
      </c>
      <c r="D162" t="s">
        <v>63</v>
      </c>
      <c r="E162" t="s">
        <v>26</v>
      </c>
      <c r="F162" t="s">
        <v>114</v>
      </c>
      <c r="G162" t="s">
        <v>115</v>
      </c>
      <c r="H162" t="s">
        <v>115</v>
      </c>
      <c r="I162" t="s">
        <v>30</v>
      </c>
      <c r="J162" t="s">
        <v>86</v>
      </c>
      <c r="K162" t="s">
        <v>66</v>
      </c>
      <c r="L162" t="s">
        <v>33</v>
      </c>
      <c r="M162" t="s">
        <v>87</v>
      </c>
      <c r="N162" t="s">
        <v>69</v>
      </c>
      <c r="O162" t="s">
        <v>70</v>
      </c>
      <c r="P162" t="s">
        <v>49</v>
      </c>
      <c r="Q162" t="s">
        <v>79</v>
      </c>
      <c r="R162">
        <v>207</v>
      </c>
      <c r="S162">
        <v>104</v>
      </c>
      <c r="T162">
        <v>77</v>
      </c>
      <c r="U162">
        <v>30</v>
      </c>
      <c r="V162" t="s">
        <v>6532</v>
      </c>
      <c r="W162">
        <v>66518</v>
      </c>
      <c r="X162" t="s">
        <v>323</v>
      </c>
      <c r="Y162">
        <v>47756</v>
      </c>
      <c r="Z162">
        <v>1995540</v>
      </c>
      <c r="AA162">
        <v>562860</v>
      </c>
      <c r="AB162" t="str">
        <f>(VLOOKUP(SalesData[[#This Row],[Month Number]],Reference!C$5:E$16,2,FALSE))</f>
        <v>Feb</v>
      </c>
      <c r="AC162">
        <f>MONTH(SalesData[[#This Row],[Date]])</f>
        <v>2</v>
      </c>
      <c r="AD162">
        <f>Reference!F$4</f>
        <v>2026</v>
      </c>
      <c r="AE162" t="str">
        <f>IF(OR(SalesData[[#This Row],[Day]]="Saturday",SalesData[[#This Row],[Day]]="Sunday"),"Weekend","Weekday")</f>
        <v>Weekday</v>
      </c>
      <c r="AF162" s="5">
        <f>IF(SalesData[[#This Row],[Contracts Offered]]=0,0,SalesData[[#This Row],[Contracts Signed]]/SalesData[[#This Row],[Contracts Offered]])</f>
        <v>0.38961038961038963</v>
      </c>
      <c r="AG162" s="5">
        <f>IF(SalesData[[#This Row],[Customers Visited]]=0,0,SalesData[[#This Row],[Test Drives]]/SalesData[[#This Row],[Customers Visited]])</f>
        <v>0.50241545893719808</v>
      </c>
      <c r="AH162" s="5">
        <f>IF(SalesData[[#This Row],[Customers Visited]]=0,0,SalesData[[#This Row],[Contracts Signed]]/SalesData[[#This Row],[Customers Visited]])</f>
        <v>0.14492753623188406</v>
      </c>
      <c r="AI162" s="6">
        <f>IF(SalesData[[#This Row],[Contracts Signed]]=0,0,SalesData[[#This Row],[Profit(€)]]/SalesData[[#This Row],[Contracts Signed]])</f>
        <v>18762</v>
      </c>
      <c r="AJ162" s="5" t="str">
        <f>TRIM(CLEAN(SalesData[[#This Row],[Retailer]]))</f>
        <v>Elbe Drive</v>
      </c>
    </row>
    <row r="163" spans="1:36" ht="14.25" hidden="1" x14ac:dyDescent="0.2">
      <c r="A163" t="s">
        <v>426</v>
      </c>
      <c r="B163" s="1">
        <v>46070</v>
      </c>
      <c r="C163" t="s">
        <v>62</v>
      </c>
      <c r="D163" t="s">
        <v>63</v>
      </c>
      <c r="E163" t="s">
        <v>26</v>
      </c>
      <c r="F163" t="s">
        <v>43</v>
      </c>
      <c r="G163" t="s">
        <v>44</v>
      </c>
      <c r="H163" t="s">
        <v>45</v>
      </c>
      <c r="I163" t="s">
        <v>104</v>
      </c>
      <c r="J163" t="s">
        <v>7061</v>
      </c>
      <c r="K163" t="s">
        <v>66</v>
      </c>
      <c r="L163" t="s">
        <v>46</v>
      </c>
      <c r="M163" t="s">
        <v>47</v>
      </c>
      <c r="N163" t="s">
        <v>48</v>
      </c>
      <c r="O163" t="s">
        <v>36</v>
      </c>
      <c r="P163" t="s">
        <v>71</v>
      </c>
      <c r="Q163" t="s">
        <v>38</v>
      </c>
      <c r="R163">
        <v>458</v>
      </c>
      <c r="S163">
        <v>197</v>
      </c>
      <c r="T163">
        <v>114</v>
      </c>
      <c r="U163">
        <v>32</v>
      </c>
      <c r="V163" t="s">
        <v>1493</v>
      </c>
      <c r="W163">
        <v>26843</v>
      </c>
      <c r="X163" t="s">
        <v>5712</v>
      </c>
      <c r="Y163">
        <v>23493</v>
      </c>
      <c r="Z163">
        <v>858976</v>
      </c>
      <c r="AA163">
        <v>107200</v>
      </c>
      <c r="AB163" t="str">
        <f>(VLOOKUP(SalesData[[#This Row],[Month Number]],Reference!C$5:E$16,2,FALSE))</f>
        <v>Feb</v>
      </c>
      <c r="AC163">
        <f>MONTH(SalesData[[#This Row],[Date]])</f>
        <v>2</v>
      </c>
      <c r="AD163">
        <f>Reference!F$4</f>
        <v>2026</v>
      </c>
      <c r="AE163" t="str">
        <f>IF(OR(SalesData[[#This Row],[Day]]="Saturday",SalesData[[#This Row],[Day]]="Sunday"),"Weekend","Weekday")</f>
        <v>Weekday</v>
      </c>
      <c r="AF163" s="5">
        <f>IF(SalesData[[#This Row],[Contracts Offered]]=0,0,SalesData[[#This Row],[Contracts Signed]]/SalesData[[#This Row],[Contracts Offered]])</f>
        <v>0.2807017543859649</v>
      </c>
      <c r="AG163" s="5">
        <f>IF(SalesData[[#This Row],[Customers Visited]]=0,0,SalesData[[#This Row],[Test Drives]]/SalesData[[#This Row],[Customers Visited]])</f>
        <v>0.43013100436681223</v>
      </c>
      <c r="AH163" s="5">
        <f>IF(SalesData[[#This Row],[Customers Visited]]=0,0,SalesData[[#This Row],[Contracts Signed]]/SalesData[[#This Row],[Customers Visited]])</f>
        <v>6.9868995633187769E-2</v>
      </c>
      <c r="AI163" s="6">
        <f>IF(SalesData[[#This Row],[Contracts Signed]]=0,0,SalesData[[#This Row],[Profit(€)]]/SalesData[[#This Row],[Contracts Signed]])</f>
        <v>3350</v>
      </c>
      <c r="AJ163" s="5" t="str">
        <f>TRIM(CLEAN(SalesData[[#This Row],[Retailer]]))</f>
        <v>Saxon Wheels</v>
      </c>
    </row>
    <row r="164" spans="1:36" ht="14.25" x14ac:dyDescent="0.2">
      <c r="A164" t="s">
        <v>428</v>
      </c>
      <c r="B164" s="1">
        <v>46072</v>
      </c>
      <c r="C164" t="s">
        <v>62</v>
      </c>
      <c r="D164" t="s">
        <v>100</v>
      </c>
      <c r="E164" t="s">
        <v>26</v>
      </c>
      <c r="F164" t="s">
        <v>101</v>
      </c>
      <c r="G164" t="s">
        <v>102</v>
      </c>
      <c r="H164" t="s">
        <v>103</v>
      </c>
      <c r="I164" t="s">
        <v>30</v>
      </c>
      <c r="J164" t="s">
        <v>86</v>
      </c>
      <c r="K164" t="s">
        <v>78</v>
      </c>
      <c r="L164" t="s">
        <v>33</v>
      </c>
      <c r="M164" t="s">
        <v>87</v>
      </c>
      <c r="N164" t="s">
        <v>48</v>
      </c>
      <c r="O164" t="s">
        <v>70</v>
      </c>
      <c r="P164" t="s">
        <v>71</v>
      </c>
      <c r="Q164" t="s">
        <v>167</v>
      </c>
      <c r="R164">
        <v>229</v>
      </c>
      <c r="S164">
        <v>110</v>
      </c>
      <c r="T164">
        <v>82</v>
      </c>
      <c r="U164">
        <v>31</v>
      </c>
      <c r="V164" t="s">
        <v>6530</v>
      </c>
      <c r="W164">
        <v>52878</v>
      </c>
      <c r="X164" t="s">
        <v>7114</v>
      </c>
      <c r="Y164">
        <v>37752</v>
      </c>
      <c r="Z164">
        <v>1639218</v>
      </c>
      <c r="AA164">
        <v>468906</v>
      </c>
      <c r="AB164" t="str">
        <f>(VLOOKUP(SalesData[[#This Row],[Month Number]],Reference!C$5:E$16,2,FALSE))</f>
        <v>Feb</v>
      </c>
      <c r="AC164">
        <f>MONTH(SalesData[[#This Row],[Date]])</f>
        <v>2</v>
      </c>
      <c r="AD164">
        <f>Reference!F$4</f>
        <v>2026</v>
      </c>
      <c r="AE164" t="str">
        <f>IF(OR(SalesData[[#This Row],[Day]]="Saturday",SalesData[[#This Row],[Day]]="Sunday"),"Weekend","Weekday")</f>
        <v>Weekday</v>
      </c>
      <c r="AF164" s="5">
        <f>IF(SalesData[[#This Row],[Contracts Offered]]=0,0,SalesData[[#This Row],[Contracts Signed]]/SalesData[[#This Row],[Contracts Offered]])</f>
        <v>0.37804878048780488</v>
      </c>
      <c r="AG164" s="5">
        <f>IF(SalesData[[#This Row],[Customers Visited]]=0,0,SalesData[[#This Row],[Test Drives]]/SalesData[[#This Row],[Customers Visited]])</f>
        <v>0.48034934497816595</v>
      </c>
      <c r="AH164" s="5">
        <f>IF(SalesData[[#This Row],[Customers Visited]]=0,0,SalesData[[#This Row],[Contracts Signed]]/SalesData[[#This Row],[Customers Visited]])</f>
        <v>0.13537117903930132</v>
      </c>
      <c r="AI164" s="6">
        <f>IF(SalesData[[#This Row],[Contracts Signed]]=0,0,SalesData[[#This Row],[Profit(€)]]/SalesData[[#This Row],[Contracts Signed]])</f>
        <v>15126</v>
      </c>
      <c r="AJ164" s="5" t="str">
        <f>TRIM(CLEAN(SalesData[[#This Row],[Retailer]]))</f>
        <v>Ruhr Auto Plaza</v>
      </c>
    </row>
    <row r="165" spans="1:36" ht="14.25" hidden="1" x14ac:dyDescent="0.2">
      <c r="A165" t="s">
        <v>429</v>
      </c>
      <c r="B165" s="1">
        <v>46061</v>
      </c>
      <c r="C165" t="s">
        <v>121</v>
      </c>
      <c r="D165" t="s">
        <v>41</v>
      </c>
      <c r="E165" t="s">
        <v>42</v>
      </c>
      <c r="F165" t="s">
        <v>43</v>
      </c>
      <c r="G165" t="s">
        <v>44</v>
      </c>
      <c r="H165" t="s">
        <v>45</v>
      </c>
      <c r="I165" t="s">
        <v>116</v>
      </c>
      <c r="J165" t="s">
        <v>117</v>
      </c>
      <c r="K165" t="s">
        <v>66</v>
      </c>
      <c r="L165" t="s">
        <v>67</v>
      </c>
      <c r="M165" t="s">
        <v>34</v>
      </c>
      <c r="N165" t="s">
        <v>69</v>
      </c>
      <c r="O165" t="s">
        <v>70</v>
      </c>
      <c r="P165" t="s">
        <v>71</v>
      </c>
      <c r="Q165" t="s">
        <v>129</v>
      </c>
      <c r="R165">
        <v>390</v>
      </c>
      <c r="S165">
        <v>193</v>
      </c>
      <c r="T165">
        <v>119</v>
      </c>
      <c r="U165">
        <v>32</v>
      </c>
      <c r="V165" t="s">
        <v>882</v>
      </c>
      <c r="W165">
        <v>23929</v>
      </c>
      <c r="X165" t="s">
        <v>4732</v>
      </c>
      <c r="Y165">
        <v>21808</v>
      </c>
      <c r="Z165">
        <v>765728</v>
      </c>
      <c r="AA165">
        <v>67872</v>
      </c>
      <c r="AB165" t="str">
        <f>(VLOOKUP(SalesData[[#This Row],[Month Number]],Reference!C$5:E$16,2,FALSE))</f>
        <v>Feb</v>
      </c>
      <c r="AC165">
        <f>MONTH(SalesData[[#This Row],[Date]])</f>
        <v>2</v>
      </c>
      <c r="AD165">
        <f>Reference!F$4</f>
        <v>2026</v>
      </c>
      <c r="AE165" t="str">
        <f>IF(OR(SalesData[[#This Row],[Day]]="Saturday",SalesData[[#This Row],[Day]]="Sunday"),"Weekend","Weekday")</f>
        <v>Weekend</v>
      </c>
      <c r="AF165" s="5">
        <f>IF(SalesData[[#This Row],[Contracts Offered]]=0,0,SalesData[[#This Row],[Contracts Signed]]/SalesData[[#This Row],[Contracts Offered]])</f>
        <v>0.26890756302521007</v>
      </c>
      <c r="AG165" s="5">
        <f>IF(SalesData[[#This Row],[Customers Visited]]=0,0,SalesData[[#This Row],[Test Drives]]/SalesData[[#This Row],[Customers Visited]])</f>
        <v>0.49487179487179489</v>
      </c>
      <c r="AH165" s="5">
        <f>IF(SalesData[[#This Row],[Customers Visited]]=0,0,SalesData[[#This Row],[Contracts Signed]]/SalesData[[#This Row],[Customers Visited]])</f>
        <v>8.2051282051282051E-2</v>
      </c>
      <c r="AI165" s="6">
        <f>IF(SalesData[[#This Row],[Contracts Signed]]=0,0,SalesData[[#This Row],[Profit(€)]]/SalesData[[#This Row],[Contracts Signed]])</f>
        <v>2121</v>
      </c>
      <c r="AJ165" s="5" t="str">
        <f>TRIM(CLEAN(SalesData[[#This Row],[Retailer]]))</f>
        <v>Saxon Wheels</v>
      </c>
    </row>
    <row r="166" spans="1:36" ht="14.25" hidden="1" x14ac:dyDescent="0.2">
      <c r="A166" t="s">
        <v>431</v>
      </c>
      <c r="B166" s="1">
        <v>46056</v>
      </c>
      <c r="C166" t="s">
        <v>24</v>
      </c>
      <c r="D166" t="s">
        <v>63</v>
      </c>
      <c r="E166" t="s">
        <v>26</v>
      </c>
      <c r="F166" t="s">
        <v>114</v>
      </c>
      <c r="G166" t="s">
        <v>115</v>
      </c>
      <c r="H166" t="s">
        <v>115</v>
      </c>
      <c r="I166" t="s">
        <v>116</v>
      </c>
      <c r="J166" t="s">
        <v>7090</v>
      </c>
      <c r="K166" t="s">
        <v>66</v>
      </c>
      <c r="L166" t="s">
        <v>46</v>
      </c>
      <c r="M166" t="s">
        <v>68</v>
      </c>
      <c r="N166" t="s">
        <v>35</v>
      </c>
      <c r="O166" t="s">
        <v>70</v>
      </c>
      <c r="P166" t="s">
        <v>49</v>
      </c>
      <c r="Q166" t="s">
        <v>347</v>
      </c>
      <c r="R166">
        <v>347</v>
      </c>
      <c r="S166">
        <v>179</v>
      </c>
      <c r="T166">
        <v>104</v>
      </c>
      <c r="U166">
        <v>31</v>
      </c>
      <c r="V166" t="s">
        <v>6465</v>
      </c>
      <c r="W166">
        <v>26760</v>
      </c>
      <c r="X166" t="s">
        <v>583</v>
      </c>
      <c r="Y166">
        <v>24752</v>
      </c>
      <c r="Z166">
        <v>829560</v>
      </c>
      <c r="AA166">
        <v>62248</v>
      </c>
      <c r="AB166" t="str">
        <f>(VLOOKUP(SalesData[[#This Row],[Month Number]],Reference!C$5:E$16,2,FALSE))</f>
        <v>Feb</v>
      </c>
      <c r="AC166">
        <f>MONTH(SalesData[[#This Row],[Date]])</f>
        <v>2</v>
      </c>
      <c r="AD166">
        <f>Reference!F$4</f>
        <v>2026</v>
      </c>
      <c r="AE166" t="str">
        <f>IF(OR(SalesData[[#This Row],[Day]]="Saturday",SalesData[[#This Row],[Day]]="Sunday"),"Weekend","Weekday")</f>
        <v>Weekday</v>
      </c>
      <c r="AF166" s="5">
        <f>IF(SalesData[[#This Row],[Contracts Offered]]=0,0,SalesData[[#This Row],[Contracts Signed]]/SalesData[[#This Row],[Contracts Offered]])</f>
        <v>0.29807692307692307</v>
      </c>
      <c r="AG166" s="5">
        <f>IF(SalesData[[#This Row],[Customers Visited]]=0,0,SalesData[[#This Row],[Test Drives]]/SalesData[[#This Row],[Customers Visited]])</f>
        <v>0.51585014409221897</v>
      </c>
      <c r="AH166" s="5">
        <f>IF(SalesData[[#This Row],[Customers Visited]]=0,0,SalesData[[#This Row],[Contracts Signed]]/SalesData[[#This Row],[Customers Visited]])</f>
        <v>8.9337175792507204E-2</v>
      </c>
      <c r="AI166" s="6">
        <f>IF(SalesData[[#This Row],[Contracts Signed]]=0,0,SalesData[[#This Row],[Profit(€)]]/SalesData[[#This Row],[Contracts Signed]])</f>
        <v>2008</v>
      </c>
      <c r="AJ166" s="5" t="str">
        <f>TRIM(CLEAN(SalesData[[#This Row],[Retailer]]))</f>
        <v>Elbe Drive</v>
      </c>
    </row>
    <row r="167" spans="1:36" ht="14.25" hidden="1" x14ac:dyDescent="0.2">
      <c r="A167" t="s">
        <v>432</v>
      </c>
      <c r="B167" s="1">
        <v>46054</v>
      </c>
      <c r="C167" t="s">
        <v>24</v>
      </c>
      <c r="D167" t="s">
        <v>41</v>
      </c>
      <c r="E167" t="s">
        <v>42</v>
      </c>
      <c r="F167" t="s">
        <v>83</v>
      </c>
      <c r="G167" t="s">
        <v>84</v>
      </c>
      <c r="H167" t="s">
        <v>85</v>
      </c>
      <c r="I167" t="s">
        <v>56</v>
      </c>
      <c r="J167" t="s">
        <v>137</v>
      </c>
      <c r="K167" t="s">
        <v>91</v>
      </c>
      <c r="L167" t="s">
        <v>46</v>
      </c>
      <c r="M167" t="s">
        <v>68</v>
      </c>
      <c r="N167" t="s">
        <v>35</v>
      </c>
      <c r="O167" t="s">
        <v>36</v>
      </c>
      <c r="P167" t="s">
        <v>71</v>
      </c>
      <c r="Q167" t="s">
        <v>144</v>
      </c>
      <c r="R167">
        <v>219</v>
      </c>
      <c r="S167">
        <v>122</v>
      </c>
      <c r="T167">
        <v>81</v>
      </c>
      <c r="U167">
        <v>31</v>
      </c>
      <c r="V167" t="s">
        <v>6951</v>
      </c>
      <c r="W167">
        <v>54485</v>
      </c>
      <c r="X167" t="s">
        <v>7115</v>
      </c>
      <c r="Y167">
        <v>41070</v>
      </c>
      <c r="Z167">
        <v>1689035</v>
      </c>
      <c r="AA167">
        <v>415865</v>
      </c>
      <c r="AB167" t="str">
        <f>(VLOOKUP(SalesData[[#This Row],[Month Number]],Reference!C$5:E$16,2,FALSE))</f>
        <v>Feb</v>
      </c>
      <c r="AC167">
        <f>MONTH(SalesData[[#This Row],[Date]])</f>
        <v>2</v>
      </c>
      <c r="AD167">
        <f>Reference!F$4</f>
        <v>2026</v>
      </c>
      <c r="AE167" t="str">
        <f>IF(OR(SalesData[[#This Row],[Day]]="Saturday",SalesData[[#This Row],[Day]]="Sunday"),"Weekend","Weekday")</f>
        <v>Weekend</v>
      </c>
      <c r="AF167" s="5">
        <f>IF(SalesData[[#This Row],[Contracts Offered]]=0,0,SalesData[[#This Row],[Contracts Signed]]/SalesData[[#This Row],[Contracts Offered]])</f>
        <v>0.38271604938271603</v>
      </c>
      <c r="AG167" s="5">
        <f>IF(SalesData[[#This Row],[Customers Visited]]=0,0,SalesData[[#This Row],[Test Drives]]/SalesData[[#This Row],[Customers Visited]])</f>
        <v>0.55707762557077622</v>
      </c>
      <c r="AH167" s="5">
        <f>IF(SalesData[[#This Row],[Customers Visited]]=0,0,SalesData[[#This Row],[Contracts Signed]]/SalesData[[#This Row],[Customers Visited]])</f>
        <v>0.14155251141552511</v>
      </c>
      <c r="AI167" s="6">
        <f>IF(SalesData[[#This Row],[Contracts Signed]]=0,0,SalesData[[#This Row],[Profit(€)]]/SalesData[[#This Row],[Contracts Signed]])</f>
        <v>13415</v>
      </c>
      <c r="AJ167" s="5" t="str">
        <f>TRIM(CLEAN(SalesData[[#This Row],[Retailer]]))</f>
        <v>Hannover Cars</v>
      </c>
    </row>
    <row r="168" spans="1:36" ht="14.25" hidden="1" x14ac:dyDescent="0.2">
      <c r="A168" t="s">
        <v>434</v>
      </c>
      <c r="B168" s="1">
        <v>46067</v>
      </c>
      <c r="C168" t="s">
        <v>121</v>
      </c>
      <c r="D168" t="s">
        <v>151</v>
      </c>
      <c r="E168" t="s">
        <v>42</v>
      </c>
      <c r="F168" t="s">
        <v>27</v>
      </c>
      <c r="G168" t="s">
        <v>28</v>
      </c>
      <c r="H168" t="s">
        <v>29</v>
      </c>
      <c r="I168" t="s">
        <v>64</v>
      </c>
      <c r="J168" t="s">
        <v>7029</v>
      </c>
      <c r="K168" t="s">
        <v>32</v>
      </c>
      <c r="L168" t="s">
        <v>33</v>
      </c>
      <c r="M168" t="s">
        <v>68</v>
      </c>
      <c r="N168" t="s">
        <v>48</v>
      </c>
      <c r="O168" t="s">
        <v>36</v>
      </c>
      <c r="P168" t="s">
        <v>49</v>
      </c>
      <c r="Q168" t="s">
        <v>152</v>
      </c>
      <c r="R168">
        <v>158</v>
      </c>
      <c r="S168">
        <v>78</v>
      </c>
      <c r="T168">
        <v>55</v>
      </c>
      <c r="U168">
        <v>18</v>
      </c>
      <c r="V168" t="s">
        <v>6386</v>
      </c>
      <c r="W168">
        <v>58707</v>
      </c>
      <c r="X168" t="s">
        <v>7116</v>
      </c>
      <c r="Y168">
        <v>42007</v>
      </c>
      <c r="Z168">
        <v>1056726</v>
      </c>
      <c r="AA168">
        <v>300600</v>
      </c>
      <c r="AB168" t="str">
        <f>(VLOOKUP(SalesData[[#This Row],[Month Number]],Reference!C$5:E$16,2,FALSE))</f>
        <v>Feb</v>
      </c>
      <c r="AC168">
        <f>MONTH(SalesData[[#This Row],[Date]])</f>
        <v>2</v>
      </c>
      <c r="AD168">
        <f>Reference!F$4</f>
        <v>2026</v>
      </c>
      <c r="AE168" t="str">
        <f>IF(OR(SalesData[[#This Row],[Day]]="Saturday",SalesData[[#This Row],[Day]]="Sunday"),"Weekend","Weekday")</f>
        <v>Weekend</v>
      </c>
      <c r="AF168" s="5">
        <f>IF(SalesData[[#This Row],[Contracts Offered]]=0,0,SalesData[[#This Row],[Contracts Signed]]/SalesData[[#This Row],[Contracts Offered]])</f>
        <v>0.32727272727272727</v>
      </c>
      <c r="AG168" s="5">
        <f>IF(SalesData[[#This Row],[Customers Visited]]=0,0,SalesData[[#This Row],[Test Drives]]/SalesData[[#This Row],[Customers Visited]])</f>
        <v>0.49367088607594939</v>
      </c>
      <c r="AH168" s="5">
        <f>IF(SalesData[[#This Row],[Customers Visited]]=0,0,SalesData[[#This Row],[Contracts Signed]]/SalesData[[#This Row],[Customers Visited]])</f>
        <v>0.11392405063291139</v>
      </c>
      <c r="AI168" s="6">
        <f>IF(SalesData[[#This Row],[Contracts Signed]]=0,0,SalesData[[#This Row],[Profit(€)]]/SalesData[[#This Row],[Contracts Signed]])</f>
        <v>16700</v>
      </c>
      <c r="AJ168" s="5" t="str">
        <f>TRIM(CLEAN(SalesData[[#This Row],[Retailer]]))</f>
        <v>Main Auto Hub</v>
      </c>
    </row>
    <row r="169" spans="1:36" ht="14.25" hidden="1" x14ac:dyDescent="0.2">
      <c r="A169" t="s">
        <v>436</v>
      </c>
      <c r="B169" s="1">
        <v>46059</v>
      </c>
      <c r="C169" t="s">
        <v>24</v>
      </c>
      <c r="D169" t="s">
        <v>54</v>
      </c>
      <c r="E169" t="s">
        <v>26</v>
      </c>
      <c r="F169" t="s">
        <v>27</v>
      </c>
      <c r="G169" t="s">
        <v>28</v>
      </c>
      <c r="H169" t="s">
        <v>29</v>
      </c>
      <c r="I169" t="s">
        <v>64</v>
      </c>
      <c r="J169" t="s">
        <v>157</v>
      </c>
      <c r="K169" t="s">
        <v>32</v>
      </c>
      <c r="L169" t="s">
        <v>33</v>
      </c>
      <c r="M169" t="s">
        <v>68</v>
      </c>
      <c r="N169" t="s">
        <v>48</v>
      </c>
      <c r="O169" t="s">
        <v>36</v>
      </c>
      <c r="P169" t="s">
        <v>49</v>
      </c>
      <c r="Q169" t="s">
        <v>38</v>
      </c>
      <c r="R169">
        <v>192</v>
      </c>
      <c r="S169">
        <v>114</v>
      </c>
      <c r="T169">
        <v>75</v>
      </c>
      <c r="U169">
        <v>26</v>
      </c>
      <c r="V169" t="s">
        <v>6504</v>
      </c>
      <c r="W169">
        <v>53337</v>
      </c>
      <c r="X169" t="s">
        <v>7038</v>
      </c>
      <c r="Y169">
        <v>41275</v>
      </c>
      <c r="Z169">
        <v>1386762</v>
      </c>
      <c r="AA169">
        <v>313612</v>
      </c>
      <c r="AB169" t="str">
        <f>(VLOOKUP(SalesData[[#This Row],[Month Number]],Reference!C$5:E$16,2,FALSE))</f>
        <v>Feb</v>
      </c>
      <c r="AC169">
        <f>MONTH(SalesData[[#This Row],[Date]])</f>
        <v>2</v>
      </c>
      <c r="AD169">
        <f>Reference!F$4</f>
        <v>2026</v>
      </c>
      <c r="AE169" t="str">
        <f>IF(OR(SalesData[[#This Row],[Day]]="Saturday",SalesData[[#This Row],[Day]]="Sunday"),"Weekend","Weekday")</f>
        <v>Weekday</v>
      </c>
      <c r="AF169" s="5">
        <f>IF(SalesData[[#This Row],[Contracts Offered]]=0,0,SalesData[[#This Row],[Contracts Signed]]/SalesData[[#This Row],[Contracts Offered]])</f>
        <v>0.34666666666666668</v>
      </c>
      <c r="AG169" s="5">
        <f>IF(SalesData[[#This Row],[Customers Visited]]=0,0,SalesData[[#This Row],[Test Drives]]/SalesData[[#This Row],[Customers Visited]])</f>
        <v>0.59375</v>
      </c>
      <c r="AH169" s="5">
        <f>IF(SalesData[[#This Row],[Customers Visited]]=0,0,SalesData[[#This Row],[Contracts Signed]]/SalesData[[#This Row],[Customers Visited]])</f>
        <v>0.13541666666666666</v>
      </c>
      <c r="AI169" s="6">
        <f>IF(SalesData[[#This Row],[Contracts Signed]]=0,0,SalesData[[#This Row],[Profit(€)]]/SalesData[[#This Row],[Contracts Signed]])</f>
        <v>12062</v>
      </c>
      <c r="AJ169" s="5" t="str">
        <f>TRIM(CLEAN(SalesData[[#This Row],[Retailer]]))</f>
        <v>Main Auto Hub</v>
      </c>
    </row>
    <row r="170" spans="1:36" ht="14.25" hidden="1" x14ac:dyDescent="0.2">
      <c r="A170" t="s">
        <v>438</v>
      </c>
      <c r="B170" s="1">
        <v>46060</v>
      </c>
      <c r="C170" t="s">
        <v>24</v>
      </c>
      <c r="D170" t="s">
        <v>151</v>
      </c>
      <c r="E170" t="s">
        <v>42</v>
      </c>
      <c r="F170" t="s">
        <v>74</v>
      </c>
      <c r="G170" t="s">
        <v>75</v>
      </c>
      <c r="H170" t="s">
        <v>76</v>
      </c>
      <c r="I170" t="s">
        <v>56</v>
      </c>
      <c r="J170" t="s">
        <v>97</v>
      </c>
      <c r="K170" t="s">
        <v>78</v>
      </c>
      <c r="L170" t="s">
        <v>33</v>
      </c>
      <c r="M170" t="s">
        <v>87</v>
      </c>
      <c r="N170" t="s">
        <v>48</v>
      </c>
      <c r="O170" t="s">
        <v>70</v>
      </c>
      <c r="P170" t="s">
        <v>37</v>
      </c>
      <c r="Q170" t="s">
        <v>38</v>
      </c>
      <c r="R170">
        <v>258</v>
      </c>
      <c r="S170">
        <v>122</v>
      </c>
      <c r="T170">
        <v>93</v>
      </c>
      <c r="U170">
        <v>29</v>
      </c>
      <c r="V170" t="s">
        <v>7016</v>
      </c>
      <c r="W170">
        <v>47053</v>
      </c>
      <c r="X170" t="s">
        <v>2299</v>
      </c>
      <c r="Y170">
        <v>35623</v>
      </c>
      <c r="Z170">
        <v>1364537</v>
      </c>
      <c r="AA170">
        <v>331470</v>
      </c>
      <c r="AB170" t="str">
        <f>(VLOOKUP(SalesData[[#This Row],[Month Number]],Reference!C$5:E$16,2,FALSE))</f>
        <v>Feb</v>
      </c>
      <c r="AC170">
        <f>MONTH(SalesData[[#This Row],[Date]])</f>
        <v>2</v>
      </c>
      <c r="AD170">
        <f>Reference!F$4</f>
        <v>2026</v>
      </c>
      <c r="AE170" t="str">
        <f>IF(OR(SalesData[[#This Row],[Day]]="Saturday",SalesData[[#This Row],[Day]]="Sunday"),"Weekend","Weekday")</f>
        <v>Weekend</v>
      </c>
      <c r="AF170" s="5">
        <f>IF(SalesData[[#This Row],[Contracts Offered]]=0,0,SalesData[[#This Row],[Contracts Signed]]/SalesData[[#This Row],[Contracts Offered]])</f>
        <v>0.31182795698924731</v>
      </c>
      <c r="AG170" s="5">
        <f>IF(SalesData[[#This Row],[Customers Visited]]=0,0,SalesData[[#This Row],[Test Drives]]/SalesData[[#This Row],[Customers Visited]])</f>
        <v>0.47286821705426357</v>
      </c>
      <c r="AH170" s="5">
        <f>IF(SalesData[[#This Row],[Customers Visited]]=0,0,SalesData[[#This Row],[Contracts Signed]]/SalesData[[#This Row],[Customers Visited]])</f>
        <v>0.1124031007751938</v>
      </c>
      <c r="AI170" s="6">
        <f>IF(SalesData[[#This Row],[Contracts Signed]]=0,0,SalesData[[#This Row],[Profit(€)]]/SalesData[[#This Row],[Contracts Signed]])</f>
        <v>11430</v>
      </c>
      <c r="AJ170" s="5" t="str">
        <f>TRIM(CLEAN(SalesData[[#This Row],[Retailer]]))</f>
        <v>Stuttgart Auto Center</v>
      </c>
    </row>
    <row r="171" spans="1:36" ht="14.25" x14ac:dyDescent="0.2">
      <c r="A171" t="s">
        <v>440</v>
      </c>
      <c r="B171" s="1">
        <v>46076</v>
      </c>
      <c r="C171" t="s">
        <v>53</v>
      </c>
      <c r="D171" t="s">
        <v>25</v>
      </c>
      <c r="E171" t="s">
        <v>26</v>
      </c>
      <c r="F171" t="s">
        <v>83</v>
      </c>
      <c r="G171" t="s">
        <v>84</v>
      </c>
      <c r="H171" t="s">
        <v>85</v>
      </c>
      <c r="I171" t="s">
        <v>30</v>
      </c>
      <c r="J171" t="s">
        <v>7075</v>
      </c>
      <c r="K171" t="s">
        <v>66</v>
      </c>
      <c r="L171" t="s">
        <v>33</v>
      </c>
      <c r="M171" t="s">
        <v>68</v>
      </c>
      <c r="N171" t="s">
        <v>69</v>
      </c>
      <c r="O171" t="s">
        <v>36</v>
      </c>
      <c r="P171" t="s">
        <v>71</v>
      </c>
      <c r="Q171" t="s">
        <v>347</v>
      </c>
      <c r="R171">
        <v>267</v>
      </c>
      <c r="S171">
        <v>128</v>
      </c>
      <c r="T171">
        <v>92</v>
      </c>
      <c r="U171">
        <v>35</v>
      </c>
      <c r="V171" t="s">
        <v>6979</v>
      </c>
      <c r="W171">
        <v>67200</v>
      </c>
      <c r="X171" t="s">
        <v>4573</v>
      </c>
      <c r="Y171">
        <v>48021</v>
      </c>
      <c r="Z171">
        <v>2352000</v>
      </c>
      <c r="AA171">
        <v>671265</v>
      </c>
      <c r="AB171" t="str">
        <f>(VLOOKUP(SalesData[[#This Row],[Month Number]],Reference!C$5:E$16,2,FALSE))</f>
        <v>Feb</v>
      </c>
      <c r="AC171">
        <f>MONTH(SalesData[[#This Row],[Date]])</f>
        <v>2</v>
      </c>
      <c r="AD171">
        <f>Reference!F$4</f>
        <v>2026</v>
      </c>
      <c r="AE171" t="str">
        <f>IF(OR(SalesData[[#This Row],[Day]]="Saturday",SalesData[[#This Row],[Day]]="Sunday"),"Weekend","Weekday")</f>
        <v>Weekday</v>
      </c>
      <c r="AF171" s="5">
        <f>IF(SalesData[[#This Row],[Contracts Offered]]=0,0,SalesData[[#This Row],[Contracts Signed]]/SalesData[[#This Row],[Contracts Offered]])</f>
        <v>0.38043478260869568</v>
      </c>
      <c r="AG171" s="5">
        <f>IF(SalesData[[#This Row],[Customers Visited]]=0,0,SalesData[[#This Row],[Test Drives]]/SalesData[[#This Row],[Customers Visited]])</f>
        <v>0.47940074906367042</v>
      </c>
      <c r="AH171" s="5">
        <f>IF(SalesData[[#This Row],[Customers Visited]]=0,0,SalesData[[#This Row],[Contracts Signed]]/SalesData[[#This Row],[Customers Visited]])</f>
        <v>0.13108614232209737</v>
      </c>
      <c r="AI171" s="6">
        <f>IF(SalesData[[#This Row],[Contracts Signed]]=0,0,SalesData[[#This Row],[Profit(€)]]/SalesData[[#This Row],[Contracts Signed]])</f>
        <v>19179</v>
      </c>
      <c r="AJ171" s="5" t="str">
        <f>TRIM(CLEAN(SalesData[[#This Row],[Retailer]]))</f>
        <v>Hannover Cars</v>
      </c>
    </row>
    <row r="172" spans="1:36" ht="14.25" hidden="1" x14ac:dyDescent="0.2">
      <c r="A172" t="s">
        <v>442</v>
      </c>
      <c r="B172" s="1">
        <v>46071</v>
      </c>
      <c r="C172" t="s">
        <v>62</v>
      </c>
      <c r="D172" t="s">
        <v>82</v>
      </c>
      <c r="E172" t="s">
        <v>26</v>
      </c>
      <c r="F172" t="s">
        <v>114</v>
      </c>
      <c r="G172" t="s">
        <v>115</v>
      </c>
      <c r="H172" t="s">
        <v>115</v>
      </c>
      <c r="I172" t="s">
        <v>104</v>
      </c>
      <c r="J172" t="s">
        <v>140</v>
      </c>
      <c r="K172" t="s">
        <v>32</v>
      </c>
      <c r="L172" t="s">
        <v>46</v>
      </c>
      <c r="M172" t="s">
        <v>34</v>
      </c>
      <c r="N172" t="s">
        <v>35</v>
      </c>
      <c r="O172" t="s">
        <v>70</v>
      </c>
      <c r="P172" t="s">
        <v>58</v>
      </c>
      <c r="Q172" t="s">
        <v>59</v>
      </c>
      <c r="R172">
        <v>339</v>
      </c>
      <c r="S172">
        <v>193</v>
      </c>
      <c r="T172">
        <v>120</v>
      </c>
      <c r="U172">
        <v>35</v>
      </c>
      <c r="V172" t="s">
        <v>878</v>
      </c>
      <c r="W172">
        <v>31653</v>
      </c>
      <c r="X172" t="s">
        <v>4064</v>
      </c>
      <c r="Y172">
        <v>28322</v>
      </c>
      <c r="Z172">
        <v>1107855</v>
      </c>
      <c r="AA172">
        <v>116585</v>
      </c>
      <c r="AB172" t="str">
        <f>(VLOOKUP(SalesData[[#This Row],[Month Number]],Reference!C$5:E$16,2,FALSE))</f>
        <v>Feb</v>
      </c>
      <c r="AC172">
        <f>MONTH(SalesData[[#This Row],[Date]])</f>
        <v>2</v>
      </c>
      <c r="AD172">
        <f>Reference!F$4</f>
        <v>2026</v>
      </c>
      <c r="AE172" t="str">
        <f>IF(OR(SalesData[[#This Row],[Day]]="Saturday",SalesData[[#This Row],[Day]]="Sunday"),"Weekend","Weekday")</f>
        <v>Weekday</v>
      </c>
      <c r="AF172" s="5">
        <f>IF(SalesData[[#This Row],[Contracts Offered]]=0,0,SalesData[[#This Row],[Contracts Signed]]/SalesData[[#This Row],[Contracts Offered]])</f>
        <v>0.29166666666666669</v>
      </c>
      <c r="AG172" s="5">
        <f>IF(SalesData[[#This Row],[Customers Visited]]=0,0,SalesData[[#This Row],[Test Drives]]/SalesData[[#This Row],[Customers Visited]])</f>
        <v>0.56932153392330387</v>
      </c>
      <c r="AH172" s="5">
        <f>IF(SalesData[[#This Row],[Customers Visited]]=0,0,SalesData[[#This Row],[Contracts Signed]]/SalesData[[#This Row],[Customers Visited]])</f>
        <v>0.10324483775811209</v>
      </c>
      <c r="AI172" s="6">
        <f>IF(SalesData[[#This Row],[Contracts Signed]]=0,0,SalesData[[#This Row],[Profit(€)]]/SalesData[[#This Row],[Contracts Signed]])</f>
        <v>3331</v>
      </c>
      <c r="AJ172" s="5" t="str">
        <f>TRIM(CLEAN(SalesData[[#This Row],[Retailer]]))</f>
        <v>Elbe Drive</v>
      </c>
    </row>
    <row r="173" spans="1:36" ht="14.25" hidden="1" x14ac:dyDescent="0.2">
      <c r="A173" t="s">
        <v>444</v>
      </c>
      <c r="B173" s="1">
        <v>46056</v>
      </c>
      <c r="C173" t="s">
        <v>24</v>
      </c>
      <c r="D173" t="s">
        <v>63</v>
      </c>
      <c r="E173" t="s">
        <v>26</v>
      </c>
      <c r="F173" t="s">
        <v>83</v>
      </c>
      <c r="G173" t="s">
        <v>84</v>
      </c>
      <c r="H173" t="s">
        <v>85</v>
      </c>
      <c r="I173" t="s">
        <v>56</v>
      </c>
      <c r="J173" t="s">
        <v>179</v>
      </c>
      <c r="K173" t="s">
        <v>91</v>
      </c>
      <c r="L173" t="s">
        <v>67</v>
      </c>
      <c r="M173" t="s">
        <v>68</v>
      </c>
      <c r="N173" t="s">
        <v>69</v>
      </c>
      <c r="O173" t="s">
        <v>70</v>
      </c>
      <c r="P173" t="s">
        <v>49</v>
      </c>
      <c r="Q173" t="s">
        <v>144</v>
      </c>
      <c r="R173">
        <v>232</v>
      </c>
      <c r="S173">
        <v>123</v>
      </c>
      <c r="T173">
        <v>94</v>
      </c>
      <c r="U173">
        <v>23</v>
      </c>
      <c r="V173" t="s">
        <v>3598</v>
      </c>
      <c r="W173">
        <v>48734</v>
      </c>
      <c r="X173" t="s">
        <v>876</v>
      </c>
      <c r="Y173">
        <v>37322</v>
      </c>
      <c r="Z173">
        <v>1120882</v>
      </c>
      <c r="AA173">
        <v>262476</v>
      </c>
      <c r="AB173" t="str">
        <f>(VLOOKUP(SalesData[[#This Row],[Month Number]],Reference!C$5:E$16,2,FALSE))</f>
        <v>Feb</v>
      </c>
      <c r="AC173">
        <f>MONTH(SalesData[[#This Row],[Date]])</f>
        <v>2</v>
      </c>
      <c r="AD173">
        <f>Reference!F$4</f>
        <v>2026</v>
      </c>
      <c r="AE173" t="str">
        <f>IF(OR(SalesData[[#This Row],[Day]]="Saturday",SalesData[[#This Row],[Day]]="Sunday"),"Weekend","Weekday")</f>
        <v>Weekday</v>
      </c>
      <c r="AF173" s="5">
        <f>IF(SalesData[[#This Row],[Contracts Offered]]=0,0,SalesData[[#This Row],[Contracts Signed]]/SalesData[[#This Row],[Contracts Offered]])</f>
        <v>0.24468085106382978</v>
      </c>
      <c r="AG173" s="5">
        <f>IF(SalesData[[#This Row],[Customers Visited]]=0,0,SalesData[[#This Row],[Test Drives]]/SalesData[[#This Row],[Customers Visited]])</f>
        <v>0.53017241379310343</v>
      </c>
      <c r="AH173" s="5">
        <f>IF(SalesData[[#This Row],[Customers Visited]]=0,0,SalesData[[#This Row],[Contracts Signed]]/SalesData[[#This Row],[Customers Visited]])</f>
        <v>9.9137931034482762E-2</v>
      </c>
      <c r="AI173" s="6">
        <f>IF(SalesData[[#This Row],[Contracts Signed]]=0,0,SalesData[[#This Row],[Profit(€)]]/SalesData[[#This Row],[Contracts Signed]])</f>
        <v>11412</v>
      </c>
      <c r="AJ173" s="5" t="str">
        <f>TRIM(CLEAN(SalesData[[#This Row],[Retailer]]))</f>
        <v>Hannover Cars</v>
      </c>
    </row>
    <row r="174" spans="1:36" ht="14.25" hidden="1" x14ac:dyDescent="0.2">
      <c r="A174" t="s">
        <v>445</v>
      </c>
      <c r="B174" s="1">
        <v>46070</v>
      </c>
      <c r="C174" t="s">
        <v>62</v>
      </c>
      <c r="D174" t="s">
        <v>63</v>
      </c>
      <c r="E174" t="s">
        <v>26</v>
      </c>
      <c r="F174" t="s">
        <v>127</v>
      </c>
      <c r="G174" t="s">
        <v>128</v>
      </c>
      <c r="H174" t="s">
        <v>103</v>
      </c>
      <c r="I174" t="s">
        <v>64</v>
      </c>
      <c r="J174" t="s">
        <v>7029</v>
      </c>
      <c r="K174" t="s">
        <v>78</v>
      </c>
      <c r="L174" t="s">
        <v>33</v>
      </c>
      <c r="M174" t="s">
        <v>34</v>
      </c>
      <c r="N174" t="s">
        <v>48</v>
      </c>
      <c r="O174" t="s">
        <v>70</v>
      </c>
      <c r="P174" t="s">
        <v>71</v>
      </c>
      <c r="Q174" t="s">
        <v>79</v>
      </c>
      <c r="R174">
        <v>198</v>
      </c>
      <c r="S174">
        <v>100</v>
      </c>
      <c r="T174">
        <v>67</v>
      </c>
      <c r="U174">
        <v>23</v>
      </c>
      <c r="V174" t="s">
        <v>6571</v>
      </c>
      <c r="W174">
        <v>55239</v>
      </c>
      <c r="X174" t="s">
        <v>7117</v>
      </c>
      <c r="Y174">
        <v>42878</v>
      </c>
      <c r="Z174">
        <v>1270497</v>
      </c>
      <c r="AA174">
        <v>284303</v>
      </c>
      <c r="AB174" t="str">
        <f>(VLOOKUP(SalesData[[#This Row],[Month Number]],Reference!C$5:E$16,2,FALSE))</f>
        <v>Feb</v>
      </c>
      <c r="AC174">
        <f>MONTH(SalesData[[#This Row],[Date]])</f>
        <v>2</v>
      </c>
      <c r="AD174">
        <f>Reference!F$4</f>
        <v>2026</v>
      </c>
      <c r="AE174" t="str">
        <f>IF(OR(SalesData[[#This Row],[Day]]="Saturday",SalesData[[#This Row],[Day]]="Sunday"),"Weekend","Weekday")</f>
        <v>Weekday</v>
      </c>
      <c r="AF174" s="5">
        <f>IF(SalesData[[#This Row],[Contracts Offered]]=0,0,SalesData[[#This Row],[Contracts Signed]]/SalesData[[#This Row],[Contracts Offered]])</f>
        <v>0.34328358208955223</v>
      </c>
      <c r="AG174" s="5">
        <f>IF(SalesData[[#This Row],[Customers Visited]]=0,0,SalesData[[#This Row],[Test Drives]]/SalesData[[#This Row],[Customers Visited]])</f>
        <v>0.50505050505050508</v>
      </c>
      <c r="AH174" s="5">
        <f>IF(SalesData[[#This Row],[Customers Visited]]=0,0,SalesData[[#This Row],[Contracts Signed]]/SalesData[[#This Row],[Customers Visited]])</f>
        <v>0.11616161616161616</v>
      </c>
      <c r="AI174" s="6">
        <f>IF(SalesData[[#This Row],[Contracts Signed]]=0,0,SalesData[[#This Row],[Profit(€)]]/SalesData[[#This Row],[Contracts Signed]])</f>
        <v>12361</v>
      </c>
      <c r="AJ174" s="5" t="str">
        <f>TRIM(CLEAN(SalesData[[#This Row],[Retailer]]))</f>
        <v>Rhein Auto Group</v>
      </c>
    </row>
    <row r="175" spans="1:36" ht="14.25" hidden="1" x14ac:dyDescent="0.2">
      <c r="A175" t="s">
        <v>447</v>
      </c>
      <c r="B175" s="1">
        <v>46077</v>
      </c>
      <c r="C175" t="s">
        <v>53</v>
      </c>
      <c r="D175" t="s">
        <v>63</v>
      </c>
      <c r="E175" t="s">
        <v>26</v>
      </c>
      <c r="F175" t="s">
        <v>127</v>
      </c>
      <c r="G175" t="s">
        <v>128</v>
      </c>
      <c r="H175" t="s">
        <v>103</v>
      </c>
      <c r="I175" t="s">
        <v>104</v>
      </c>
      <c r="J175" t="s">
        <v>7061</v>
      </c>
      <c r="K175" t="s">
        <v>32</v>
      </c>
      <c r="L175" t="s">
        <v>46</v>
      </c>
      <c r="M175" t="s">
        <v>47</v>
      </c>
      <c r="N175" t="s">
        <v>48</v>
      </c>
      <c r="O175" t="s">
        <v>70</v>
      </c>
      <c r="P175" t="s">
        <v>58</v>
      </c>
      <c r="Q175" t="s">
        <v>135</v>
      </c>
      <c r="R175">
        <v>495</v>
      </c>
      <c r="S175">
        <v>223</v>
      </c>
      <c r="T175">
        <v>152</v>
      </c>
      <c r="U175">
        <v>38</v>
      </c>
      <c r="V175" t="s">
        <v>1998</v>
      </c>
      <c r="W175">
        <v>31758</v>
      </c>
      <c r="X175" t="s">
        <v>460</v>
      </c>
      <c r="Y175">
        <v>28835</v>
      </c>
      <c r="Z175">
        <v>1206804</v>
      </c>
      <c r="AA175">
        <v>111074</v>
      </c>
      <c r="AB175" t="str">
        <f>(VLOOKUP(SalesData[[#This Row],[Month Number]],Reference!C$5:E$16,2,FALSE))</f>
        <v>Feb</v>
      </c>
      <c r="AC175">
        <f>MONTH(SalesData[[#This Row],[Date]])</f>
        <v>2</v>
      </c>
      <c r="AD175">
        <f>Reference!F$4</f>
        <v>2026</v>
      </c>
      <c r="AE175" t="str">
        <f>IF(OR(SalesData[[#This Row],[Day]]="Saturday",SalesData[[#This Row],[Day]]="Sunday"),"Weekend","Weekday")</f>
        <v>Weekday</v>
      </c>
      <c r="AF175" s="5">
        <f>IF(SalesData[[#This Row],[Contracts Offered]]=0,0,SalesData[[#This Row],[Contracts Signed]]/SalesData[[#This Row],[Contracts Offered]])</f>
        <v>0.25</v>
      </c>
      <c r="AG175" s="5">
        <f>IF(SalesData[[#This Row],[Customers Visited]]=0,0,SalesData[[#This Row],[Test Drives]]/SalesData[[#This Row],[Customers Visited]])</f>
        <v>0.45050505050505052</v>
      </c>
      <c r="AH175" s="5">
        <f>IF(SalesData[[#This Row],[Customers Visited]]=0,0,SalesData[[#This Row],[Contracts Signed]]/SalesData[[#This Row],[Customers Visited]])</f>
        <v>7.6767676767676762E-2</v>
      </c>
      <c r="AI175" s="6">
        <f>IF(SalesData[[#This Row],[Contracts Signed]]=0,0,SalesData[[#This Row],[Profit(€)]]/SalesData[[#This Row],[Contracts Signed]])</f>
        <v>2923</v>
      </c>
      <c r="AJ175" s="5" t="str">
        <f>TRIM(CLEAN(SalesData[[#This Row],[Retailer]]))</f>
        <v>Rhein Auto Group</v>
      </c>
    </row>
    <row r="176" spans="1:36" ht="14.25" x14ac:dyDescent="0.2">
      <c r="A176" t="s">
        <v>448</v>
      </c>
      <c r="B176" s="1">
        <v>46077</v>
      </c>
      <c r="C176" t="s">
        <v>53</v>
      </c>
      <c r="D176" t="s">
        <v>63</v>
      </c>
      <c r="E176" t="s">
        <v>26</v>
      </c>
      <c r="F176" t="s">
        <v>109</v>
      </c>
      <c r="G176" t="s">
        <v>110</v>
      </c>
      <c r="H176" t="s">
        <v>45</v>
      </c>
      <c r="I176" t="s">
        <v>30</v>
      </c>
      <c r="J176" t="s">
        <v>166</v>
      </c>
      <c r="K176" t="s">
        <v>32</v>
      </c>
      <c r="L176" t="s">
        <v>46</v>
      </c>
      <c r="M176" t="s">
        <v>87</v>
      </c>
      <c r="N176" t="s">
        <v>48</v>
      </c>
      <c r="O176" t="s">
        <v>70</v>
      </c>
      <c r="P176" t="s">
        <v>37</v>
      </c>
      <c r="Q176" t="s">
        <v>135</v>
      </c>
      <c r="R176">
        <v>229</v>
      </c>
      <c r="S176">
        <v>127</v>
      </c>
      <c r="T176">
        <v>94</v>
      </c>
      <c r="U176">
        <v>32</v>
      </c>
      <c r="V176" t="s">
        <v>6352</v>
      </c>
      <c r="W176">
        <v>68792</v>
      </c>
      <c r="X176" t="s">
        <v>7118</v>
      </c>
      <c r="Y176">
        <v>48488</v>
      </c>
      <c r="Z176">
        <v>2201344</v>
      </c>
      <c r="AA176">
        <v>649728</v>
      </c>
      <c r="AB176" t="str">
        <f>(VLOOKUP(SalesData[[#This Row],[Month Number]],Reference!C$5:E$16,2,FALSE))</f>
        <v>Feb</v>
      </c>
      <c r="AC176">
        <f>MONTH(SalesData[[#This Row],[Date]])</f>
        <v>2</v>
      </c>
      <c r="AD176">
        <f>Reference!F$4</f>
        <v>2026</v>
      </c>
      <c r="AE176" t="str">
        <f>IF(OR(SalesData[[#This Row],[Day]]="Saturday",SalesData[[#This Row],[Day]]="Sunday"),"Weekend","Weekday")</f>
        <v>Weekday</v>
      </c>
      <c r="AF176" s="5">
        <f>IF(SalesData[[#This Row],[Contracts Offered]]=0,0,SalesData[[#This Row],[Contracts Signed]]/SalesData[[#This Row],[Contracts Offered]])</f>
        <v>0.34042553191489361</v>
      </c>
      <c r="AG176" s="5">
        <f>IF(SalesData[[#This Row],[Customers Visited]]=0,0,SalesData[[#This Row],[Test Drives]]/SalesData[[#This Row],[Customers Visited]])</f>
        <v>0.55458515283842791</v>
      </c>
      <c r="AH176" s="5">
        <f>IF(SalesData[[#This Row],[Customers Visited]]=0,0,SalesData[[#This Row],[Contracts Signed]]/SalesData[[#This Row],[Customers Visited]])</f>
        <v>0.13973799126637554</v>
      </c>
      <c r="AI176" s="6">
        <f>IF(SalesData[[#This Row],[Contracts Signed]]=0,0,SalesData[[#This Row],[Profit(€)]]/SalesData[[#This Row],[Contracts Signed]])</f>
        <v>20304</v>
      </c>
      <c r="AJ176" s="5" t="str">
        <f>TRIM(CLEAN(SalesData[[#This Row],[Retailer]]))</f>
        <v>Leipzig Mobility</v>
      </c>
    </row>
    <row r="177" spans="1:36" ht="14.25" hidden="1" x14ac:dyDescent="0.2">
      <c r="A177" t="s">
        <v>449</v>
      </c>
      <c r="B177" s="1">
        <v>46080</v>
      </c>
      <c r="C177" t="s">
        <v>53</v>
      </c>
      <c r="D177" t="s">
        <v>54</v>
      </c>
      <c r="E177" t="s">
        <v>26</v>
      </c>
      <c r="F177" t="s">
        <v>83</v>
      </c>
      <c r="G177" t="s">
        <v>84</v>
      </c>
      <c r="H177" t="s">
        <v>85</v>
      </c>
      <c r="I177" t="s">
        <v>104</v>
      </c>
      <c r="J177" t="s">
        <v>143</v>
      </c>
      <c r="K177" t="s">
        <v>66</v>
      </c>
      <c r="L177" t="s">
        <v>67</v>
      </c>
      <c r="M177" t="s">
        <v>68</v>
      </c>
      <c r="N177" t="s">
        <v>69</v>
      </c>
      <c r="O177" t="s">
        <v>36</v>
      </c>
      <c r="P177" t="s">
        <v>71</v>
      </c>
      <c r="Q177" t="s">
        <v>347</v>
      </c>
      <c r="R177">
        <v>266</v>
      </c>
      <c r="S177">
        <v>128</v>
      </c>
      <c r="T177">
        <v>83</v>
      </c>
      <c r="U177">
        <v>19</v>
      </c>
      <c r="V177" t="s">
        <v>1714</v>
      </c>
      <c r="W177">
        <v>35324</v>
      </c>
      <c r="X177" t="s">
        <v>7119</v>
      </c>
      <c r="Y177">
        <v>30398</v>
      </c>
      <c r="Z177">
        <v>671156</v>
      </c>
      <c r="AA177">
        <v>93594</v>
      </c>
      <c r="AB177" t="str">
        <f>(VLOOKUP(SalesData[[#This Row],[Month Number]],Reference!C$5:E$16,2,FALSE))</f>
        <v>Feb</v>
      </c>
      <c r="AC177">
        <f>MONTH(SalesData[[#This Row],[Date]])</f>
        <v>2</v>
      </c>
      <c r="AD177">
        <f>Reference!F$4</f>
        <v>2026</v>
      </c>
      <c r="AE177" t="str">
        <f>IF(OR(SalesData[[#This Row],[Day]]="Saturday",SalesData[[#This Row],[Day]]="Sunday"),"Weekend","Weekday")</f>
        <v>Weekday</v>
      </c>
      <c r="AF177" s="5">
        <f>IF(SalesData[[#This Row],[Contracts Offered]]=0,0,SalesData[[#This Row],[Contracts Signed]]/SalesData[[#This Row],[Contracts Offered]])</f>
        <v>0.2289156626506024</v>
      </c>
      <c r="AG177" s="5">
        <f>IF(SalesData[[#This Row],[Customers Visited]]=0,0,SalesData[[#This Row],[Test Drives]]/SalesData[[#This Row],[Customers Visited]])</f>
        <v>0.48120300751879697</v>
      </c>
      <c r="AH177" s="5">
        <f>IF(SalesData[[#This Row],[Customers Visited]]=0,0,SalesData[[#This Row],[Contracts Signed]]/SalesData[[#This Row],[Customers Visited]])</f>
        <v>7.1428571428571425E-2</v>
      </c>
      <c r="AI177" s="6">
        <f>IF(SalesData[[#This Row],[Contracts Signed]]=0,0,SalesData[[#This Row],[Profit(€)]]/SalesData[[#This Row],[Contracts Signed]])</f>
        <v>4926</v>
      </c>
      <c r="AJ177" s="5" t="str">
        <f>TRIM(CLEAN(SalesData[[#This Row],[Retailer]]))</f>
        <v>Hannover Cars</v>
      </c>
    </row>
    <row r="178" spans="1:36" ht="14.25" hidden="1" x14ac:dyDescent="0.2">
      <c r="A178" t="s">
        <v>451</v>
      </c>
      <c r="B178" s="1">
        <v>46054</v>
      </c>
      <c r="C178" t="s">
        <v>24</v>
      </c>
      <c r="D178" t="s">
        <v>41</v>
      </c>
      <c r="E178" t="s">
        <v>42</v>
      </c>
      <c r="F178" t="s">
        <v>7649</v>
      </c>
      <c r="G178" t="s">
        <v>55</v>
      </c>
      <c r="H178" t="s">
        <v>55</v>
      </c>
      <c r="I178" t="s">
        <v>56</v>
      </c>
      <c r="J178" t="s">
        <v>57</v>
      </c>
      <c r="K178" t="s">
        <v>91</v>
      </c>
      <c r="L178" t="s">
        <v>46</v>
      </c>
      <c r="M178" t="s">
        <v>47</v>
      </c>
      <c r="N178" t="s">
        <v>48</v>
      </c>
      <c r="O178" t="s">
        <v>36</v>
      </c>
      <c r="P178" t="s">
        <v>37</v>
      </c>
      <c r="Q178" t="s">
        <v>240</v>
      </c>
      <c r="R178">
        <v>224</v>
      </c>
      <c r="S178">
        <v>133</v>
      </c>
      <c r="T178">
        <v>92</v>
      </c>
      <c r="U178">
        <v>32</v>
      </c>
      <c r="V178" t="s">
        <v>6594</v>
      </c>
      <c r="W178">
        <v>50084</v>
      </c>
      <c r="X178" t="s">
        <v>1215</v>
      </c>
      <c r="Y178">
        <v>37734</v>
      </c>
      <c r="Z178">
        <v>1602688</v>
      </c>
      <c r="AA178">
        <v>395200</v>
      </c>
      <c r="AB178" t="str">
        <f>(VLOOKUP(SalesData[[#This Row],[Month Number]],Reference!C$5:E$16,2,FALSE))</f>
        <v>Feb</v>
      </c>
      <c r="AC178">
        <f>MONTH(SalesData[[#This Row],[Date]])</f>
        <v>2</v>
      </c>
      <c r="AD178">
        <f>Reference!F$4</f>
        <v>2026</v>
      </c>
      <c r="AE178" t="str">
        <f>IF(OR(SalesData[[#This Row],[Day]]="Saturday",SalesData[[#This Row],[Day]]="Sunday"),"Weekend","Weekday")</f>
        <v>Weekend</v>
      </c>
      <c r="AF178" s="5">
        <f>IF(SalesData[[#This Row],[Contracts Offered]]=0,0,SalesData[[#This Row],[Contracts Signed]]/SalesData[[#This Row],[Contracts Offered]])</f>
        <v>0.34782608695652173</v>
      </c>
      <c r="AG178" s="5">
        <f>IF(SalesData[[#This Row],[Customers Visited]]=0,0,SalesData[[#This Row],[Test Drives]]/SalesData[[#This Row],[Customers Visited]])</f>
        <v>0.59375</v>
      </c>
      <c r="AH178" s="5">
        <f>IF(SalesData[[#This Row],[Customers Visited]]=0,0,SalesData[[#This Row],[Contracts Signed]]/SalesData[[#This Row],[Customers Visited]])</f>
        <v>0.14285714285714285</v>
      </c>
      <c r="AI178" s="6">
        <f>IF(SalesData[[#This Row],[Contracts Signed]]=0,0,SalesData[[#This Row],[Profit(€)]]/SalesData[[#This Row],[Contracts Signed]])</f>
        <v>12350</v>
      </c>
      <c r="AJ178" s="5" t="str">
        <f>TRIM(CLEAN(SalesData[[#This Row],[Retailer]]))</f>
        <v>Autohaus Berlin</v>
      </c>
    </row>
    <row r="179" spans="1:36" ht="14.25" hidden="1" x14ac:dyDescent="0.2">
      <c r="A179" t="s">
        <v>453</v>
      </c>
      <c r="B179" s="1">
        <v>46058</v>
      </c>
      <c r="C179" t="s">
        <v>24</v>
      </c>
      <c r="D179" t="s">
        <v>100</v>
      </c>
      <c r="E179" t="s">
        <v>26</v>
      </c>
      <c r="F179" t="s">
        <v>109</v>
      </c>
      <c r="G179" t="s">
        <v>110</v>
      </c>
      <c r="H179" t="s">
        <v>45</v>
      </c>
      <c r="I179" t="s">
        <v>56</v>
      </c>
      <c r="J179" t="s">
        <v>137</v>
      </c>
      <c r="K179" t="s">
        <v>32</v>
      </c>
      <c r="L179" t="s">
        <v>46</v>
      </c>
      <c r="M179" t="s">
        <v>47</v>
      </c>
      <c r="N179" t="s">
        <v>48</v>
      </c>
      <c r="O179" t="s">
        <v>36</v>
      </c>
      <c r="P179" t="s">
        <v>49</v>
      </c>
      <c r="Q179" t="s">
        <v>129</v>
      </c>
      <c r="R179">
        <v>205</v>
      </c>
      <c r="S179">
        <v>121</v>
      </c>
      <c r="T179">
        <v>92</v>
      </c>
      <c r="U179">
        <v>26</v>
      </c>
      <c r="V179" t="s">
        <v>6670</v>
      </c>
      <c r="W179">
        <v>42725</v>
      </c>
      <c r="X179" t="s">
        <v>1151</v>
      </c>
      <c r="Y179">
        <v>32794</v>
      </c>
      <c r="Z179">
        <v>1110850</v>
      </c>
      <c r="AA179">
        <v>258206</v>
      </c>
      <c r="AB179" t="str">
        <f>(VLOOKUP(SalesData[[#This Row],[Month Number]],Reference!C$5:E$16,2,FALSE))</f>
        <v>Feb</v>
      </c>
      <c r="AC179">
        <f>MONTH(SalesData[[#This Row],[Date]])</f>
        <v>2</v>
      </c>
      <c r="AD179">
        <f>Reference!F$4</f>
        <v>2026</v>
      </c>
      <c r="AE179" t="str">
        <f>IF(OR(SalesData[[#This Row],[Day]]="Saturday",SalesData[[#This Row],[Day]]="Sunday"),"Weekend","Weekday")</f>
        <v>Weekday</v>
      </c>
      <c r="AF179" s="5">
        <f>IF(SalesData[[#This Row],[Contracts Offered]]=0,0,SalesData[[#This Row],[Contracts Signed]]/SalesData[[#This Row],[Contracts Offered]])</f>
        <v>0.28260869565217389</v>
      </c>
      <c r="AG179" s="5">
        <f>IF(SalesData[[#This Row],[Customers Visited]]=0,0,SalesData[[#This Row],[Test Drives]]/SalesData[[#This Row],[Customers Visited]])</f>
        <v>0.59024390243902436</v>
      </c>
      <c r="AH179" s="5">
        <f>IF(SalesData[[#This Row],[Customers Visited]]=0,0,SalesData[[#This Row],[Contracts Signed]]/SalesData[[#This Row],[Customers Visited]])</f>
        <v>0.12682926829268293</v>
      </c>
      <c r="AI179" s="6">
        <f>IF(SalesData[[#This Row],[Contracts Signed]]=0,0,SalesData[[#This Row],[Profit(€)]]/SalesData[[#This Row],[Contracts Signed]])</f>
        <v>9931</v>
      </c>
      <c r="AJ179" s="5" t="str">
        <f>TRIM(CLEAN(SalesData[[#This Row],[Retailer]]))</f>
        <v>Leipzig Mobility</v>
      </c>
    </row>
    <row r="180" spans="1:36" ht="14.25" hidden="1" x14ac:dyDescent="0.2">
      <c r="A180" t="s">
        <v>454</v>
      </c>
      <c r="B180" s="1">
        <v>46065</v>
      </c>
      <c r="C180" t="s">
        <v>121</v>
      </c>
      <c r="D180" t="s">
        <v>100</v>
      </c>
      <c r="E180" t="s">
        <v>26</v>
      </c>
      <c r="F180" t="s">
        <v>101</v>
      </c>
      <c r="G180" t="s">
        <v>102</v>
      </c>
      <c r="H180" t="s">
        <v>103</v>
      </c>
      <c r="I180" t="s">
        <v>116</v>
      </c>
      <c r="J180" t="s">
        <v>7026</v>
      </c>
      <c r="K180" t="s">
        <v>66</v>
      </c>
      <c r="L180" t="s">
        <v>46</v>
      </c>
      <c r="M180" t="s">
        <v>87</v>
      </c>
      <c r="N180" t="s">
        <v>48</v>
      </c>
      <c r="O180" t="s">
        <v>36</v>
      </c>
      <c r="P180" t="s">
        <v>71</v>
      </c>
      <c r="Q180" t="s">
        <v>118</v>
      </c>
      <c r="R180">
        <v>346</v>
      </c>
      <c r="S180">
        <v>158</v>
      </c>
      <c r="T180">
        <v>108</v>
      </c>
      <c r="U180">
        <v>23</v>
      </c>
      <c r="V180" t="s">
        <v>3559</v>
      </c>
      <c r="W180">
        <v>22432</v>
      </c>
      <c r="X180" t="s">
        <v>1605</v>
      </c>
      <c r="Y180">
        <v>20141</v>
      </c>
      <c r="Z180">
        <v>515936</v>
      </c>
      <c r="AA180">
        <v>52693</v>
      </c>
      <c r="AB180" t="str">
        <f>(VLOOKUP(SalesData[[#This Row],[Month Number]],Reference!C$5:E$16,2,FALSE))</f>
        <v>Feb</v>
      </c>
      <c r="AC180">
        <f>MONTH(SalesData[[#This Row],[Date]])</f>
        <v>2</v>
      </c>
      <c r="AD180">
        <f>Reference!F$4</f>
        <v>2026</v>
      </c>
      <c r="AE180" t="str">
        <f>IF(OR(SalesData[[#This Row],[Day]]="Saturday",SalesData[[#This Row],[Day]]="Sunday"),"Weekend","Weekday")</f>
        <v>Weekday</v>
      </c>
      <c r="AF180" s="5">
        <f>IF(SalesData[[#This Row],[Contracts Offered]]=0,0,SalesData[[#This Row],[Contracts Signed]]/SalesData[[#This Row],[Contracts Offered]])</f>
        <v>0.21296296296296297</v>
      </c>
      <c r="AG180" s="5">
        <f>IF(SalesData[[#This Row],[Customers Visited]]=0,0,SalesData[[#This Row],[Test Drives]]/SalesData[[#This Row],[Customers Visited]])</f>
        <v>0.45664739884393063</v>
      </c>
      <c r="AH180" s="5">
        <f>IF(SalesData[[#This Row],[Customers Visited]]=0,0,SalesData[[#This Row],[Contracts Signed]]/SalesData[[#This Row],[Customers Visited]])</f>
        <v>6.6473988439306353E-2</v>
      </c>
      <c r="AI180" s="6">
        <f>IF(SalesData[[#This Row],[Contracts Signed]]=0,0,SalesData[[#This Row],[Profit(€)]]/SalesData[[#This Row],[Contracts Signed]])</f>
        <v>2291</v>
      </c>
      <c r="AJ180" s="5" t="str">
        <f>TRIM(CLEAN(SalesData[[#This Row],[Retailer]]))</f>
        <v>Ruhr Auto Plaza</v>
      </c>
    </row>
    <row r="181" spans="1:36" ht="14.25" x14ac:dyDescent="0.2">
      <c r="A181" t="s">
        <v>455</v>
      </c>
      <c r="B181" s="1">
        <v>46055</v>
      </c>
      <c r="C181" t="s">
        <v>24</v>
      </c>
      <c r="D181" t="s">
        <v>25</v>
      </c>
      <c r="E181" t="s">
        <v>26</v>
      </c>
      <c r="F181" t="s">
        <v>7649</v>
      </c>
      <c r="G181" t="s">
        <v>55</v>
      </c>
      <c r="H181" t="s">
        <v>55</v>
      </c>
      <c r="I181" t="s">
        <v>30</v>
      </c>
      <c r="J181" t="s">
        <v>188</v>
      </c>
      <c r="K181" t="s">
        <v>91</v>
      </c>
      <c r="L181" t="s">
        <v>33</v>
      </c>
      <c r="M181" t="s">
        <v>87</v>
      </c>
      <c r="N181" t="s">
        <v>48</v>
      </c>
      <c r="O181" t="s">
        <v>70</v>
      </c>
      <c r="P181" t="s">
        <v>58</v>
      </c>
      <c r="Q181" t="s">
        <v>172</v>
      </c>
      <c r="R181">
        <v>217</v>
      </c>
      <c r="S181">
        <v>105</v>
      </c>
      <c r="T181">
        <v>76</v>
      </c>
      <c r="U181">
        <v>33</v>
      </c>
      <c r="V181" t="s">
        <v>7120</v>
      </c>
      <c r="W181">
        <v>52421</v>
      </c>
      <c r="X181" t="s">
        <v>1680</v>
      </c>
      <c r="Y181">
        <v>37644</v>
      </c>
      <c r="Z181">
        <v>1729893</v>
      </c>
      <c r="AA181">
        <v>487641</v>
      </c>
      <c r="AB181" t="str">
        <f>(VLOOKUP(SalesData[[#This Row],[Month Number]],Reference!C$5:E$16,2,FALSE))</f>
        <v>Feb</v>
      </c>
      <c r="AC181">
        <f>MONTH(SalesData[[#This Row],[Date]])</f>
        <v>2</v>
      </c>
      <c r="AD181">
        <f>Reference!F$4</f>
        <v>2026</v>
      </c>
      <c r="AE181" t="str">
        <f>IF(OR(SalesData[[#This Row],[Day]]="Saturday",SalesData[[#This Row],[Day]]="Sunday"),"Weekend","Weekday")</f>
        <v>Weekday</v>
      </c>
      <c r="AF181" s="5">
        <f>IF(SalesData[[#This Row],[Contracts Offered]]=0,0,SalesData[[#This Row],[Contracts Signed]]/SalesData[[#This Row],[Contracts Offered]])</f>
        <v>0.43421052631578949</v>
      </c>
      <c r="AG181" s="5">
        <f>IF(SalesData[[#This Row],[Customers Visited]]=0,0,SalesData[[#This Row],[Test Drives]]/SalesData[[#This Row],[Customers Visited]])</f>
        <v>0.4838709677419355</v>
      </c>
      <c r="AH181" s="5">
        <f>IF(SalesData[[#This Row],[Customers Visited]]=0,0,SalesData[[#This Row],[Contracts Signed]]/SalesData[[#This Row],[Customers Visited]])</f>
        <v>0.15207373271889402</v>
      </c>
      <c r="AI181" s="6">
        <f>IF(SalesData[[#This Row],[Contracts Signed]]=0,0,SalesData[[#This Row],[Profit(€)]]/SalesData[[#This Row],[Contracts Signed]])</f>
        <v>14777</v>
      </c>
      <c r="AJ181" s="5" t="str">
        <f>TRIM(CLEAN(SalesData[[#This Row],[Retailer]]))</f>
        <v>Autohaus Berlin</v>
      </c>
    </row>
    <row r="182" spans="1:36" ht="14.25" hidden="1" x14ac:dyDescent="0.2">
      <c r="A182" t="s">
        <v>457</v>
      </c>
      <c r="B182" s="1">
        <v>46061</v>
      </c>
      <c r="C182" t="s">
        <v>121</v>
      </c>
      <c r="D182" t="s">
        <v>41</v>
      </c>
      <c r="E182" t="s">
        <v>42</v>
      </c>
      <c r="F182" t="s">
        <v>74</v>
      </c>
      <c r="G182" t="s">
        <v>75</v>
      </c>
      <c r="H182" t="s">
        <v>76</v>
      </c>
      <c r="I182" t="s">
        <v>116</v>
      </c>
      <c r="J182" t="s">
        <v>7090</v>
      </c>
      <c r="K182" t="s">
        <v>32</v>
      </c>
      <c r="L182" t="s">
        <v>46</v>
      </c>
      <c r="M182" t="s">
        <v>87</v>
      </c>
      <c r="N182" t="s">
        <v>48</v>
      </c>
      <c r="O182" t="s">
        <v>70</v>
      </c>
      <c r="P182" t="s">
        <v>58</v>
      </c>
      <c r="Q182" t="s">
        <v>204</v>
      </c>
      <c r="R182">
        <v>266</v>
      </c>
      <c r="S182">
        <v>127</v>
      </c>
      <c r="T182">
        <v>82</v>
      </c>
      <c r="U182">
        <v>22</v>
      </c>
      <c r="V182" t="s">
        <v>6465</v>
      </c>
      <c r="W182">
        <v>24308</v>
      </c>
      <c r="X182" t="s">
        <v>2404</v>
      </c>
      <c r="Y182">
        <v>22603</v>
      </c>
      <c r="Z182">
        <v>534776</v>
      </c>
      <c r="AA182">
        <v>37510</v>
      </c>
      <c r="AB182" t="str">
        <f>(VLOOKUP(SalesData[[#This Row],[Month Number]],Reference!C$5:E$16,2,FALSE))</f>
        <v>Feb</v>
      </c>
      <c r="AC182">
        <f>MONTH(SalesData[[#This Row],[Date]])</f>
        <v>2</v>
      </c>
      <c r="AD182">
        <f>Reference!F$4</f>
        <v>2026</v>
      </c>
      <c r="AE182" t="str">
        <f>IF(OR(SalesData[[#This Row],[Day]]="Saturday",SalesData[[#This Row],[Day]]="Sunday"),"Weekend","Weekday")</f>
        <v>Weekend</v>
      </c>
      <c r="AF182" s="5">
        <f>IF(SalesData[[#This Row],[Contracts Offered]]=0,0,SalesData[[#This Row],[Contracts Signed]]/SalesData[[#This Row],[Contracts Offered]])</f>
        <v>0.26829268292682928</v>
      </c>
      <c r="AG182" s="5">
        <f>IF(SalesData[[#This Row],[Customers Visited]]=0,0,SalesData[[#This Row],[Test Drives]]/SalesData[[#This Row],[Customers Visited]])</f>
        <v>0.47744360902255639</v>
      </c>
      <c r="AH182" s="5">
        <f>IF(SalesData[[#This Row],[Customers Visited]]=0,0,SalesData[[#This Row],[Contracts Signed]]/SalesData[[#This Row],[Customers Visited]])</f>
        <v>8.2706766917293228E-2</v>
      </c>
      <c r="AI182" s="6">
        <f>IF(SalesData[[#This Row],[Contracts Signed]]=0,0,SalesData[[#This Row],[Profit(€)]]/SalesData[[#This Row],[Contracts Signed]])</f>
        <v>1705</v>
      </c>
      <c r="AJ182" s="5" t="str">
        <f>TRIM(CLEAN(SalesData[[#This Row],[Retailer]]))</f>
        <v>Stuttgart Auto Center</v>
      </c>
    </row>
    <row r="183" spans="1:36" ht="14.25" hidden="1" x14ac:dyDescent="0.2">
      <c r="A183" t="s">
        <v>459</v>
      </c>
      <c r="B183" s="1">
        <v>46063</v>
      </c>
      <c r="C183" t="s">
        <v>121</v>
      </c>
      <c r="D183" t="s">
        <v>63</v>
      </c>
      <c r="E183" t="s">
        <v>26</v>
      </c>
      <c r="F183" t="s">
        <v>7649</v>
      </c>
      <c r="G183" t="s">
        <v>55</v>
      </c>
      <c r="H183" t="s">
        <v>55</v>
      </c>
      <c r="I183" t="s">
        <v>104</v>
      </c>
      <c r="J183" t="s">
        <v>140</v>
      </c>
      <c r="K183" t="s">
        <v>32</v>
      </c>
      <c r="L183" t="s">
        <v>46</v>
      </c>
      <c r="M183" t="s">
        <v>34</v>
      </c>
      <c r="N183" t="s">
        <v>48</v>
      </c>
      <c r="O183" t="s">
        <v>70</v>
      </c>
      <c r="P183" t="s">
        <v>58</v>
      </c>
      <c r="Q183" t="s">
        <v>167</v>
      </c>
      <c r="R183">
        <v>293</v>
      </c>
      <c r="S183">
        <v>122</v>
      </c>
      <c r="T183">
        <v>84</v>
      </c>
      <c r="U183">
        <v>23</v>
      </c>
      <c r="V183" t="s">
        <v>1468</v>
      </c>
      <c r="W183">
        <v>32137</v>
      </c>
      <c r="X183" t="s">
        <v>1653</v>
      </c>
      <c r="Y183">
        <v>28387</v>
      </c>
      <c r="Z183">
        <v>739151</v>
      </c>
      <c r="AA183">
        <v>86250</v>
      </c>
      <c r="AB183" t="str">
        <f>(VLOOKUP(SalesData[[#This Row],[Month Number]],Reference!C$5:E$16,2,FALSE))</f>
        <v>Feb</v>
      </c>
      <c r="AC183">
        <f>MONTH(SalesData[[#This Row],[Date]])</f>
        <v>2</v>
      </c>
      <c r="AD183">
        <f>Reference!F$4</f>
        <v>2026</v>
      </c>
      <c r="AE183" t="str">
        <f>IF(OR(SalesData[[#This Row],[Day]]="Saturday",SalesData[[#This Row],[Day]]="Sunday"),"Weekend","Weekday")</f>
        <v>Weekday</v>
      </c>
      <c r="AF183" s="5">
        <f>IF(SalesData[[#This Row],[Contracts Offered]]=0,0,SalesData[[#This Row],[Contracts Signed]]/SalesData[[#This Row],[Contracts Offered]])</f>
        <v>0.27380952380952384</v>
      </c>
      <c r="AG183" s="5">
        <f>IF(SalesData[[#This Row],[Customers Visited]]=0,0,SalesData[[#This Row],[Test Drives]]/SalesData[[#This Row],[Customers Visited]])</f>
        <v>0.41638225255972694</v>
      </c>
      <c r="AH183" s="5">
        <f>IF(SalesData[[#This Row],[Customers Visited]]=0,0,SalesData[[#This Row],[Contracts Signed]]/SalesData[[#This Row],[Customers Visited]])</f>
        <v>7.8498293515358364E-2</v>
      </c>
      <c r="AI183" s="6">
        <f>IF(SalesData[[#This Row],[Contracts Signed]]=0,0,SalesData[[#This Row],[Profit(€)]]/SalesData[[#This Row],[Contracts Signed]])</f>
        <v>3750</v>
      </c>
      <c r="AJ183" s="5" t="str">
        <f>TRIM(CLEAN(SalesData[[#This Row],[Retailer]]))</f>
        <v>Autohaus Berlin</v>
      </c>
    </row>
    <row r="184" spans="1:36" ht="14.25" x14ac:dyDescent="0.2">
      <c r="A184" t="s">
        <v>461</v>
      </c>
      <c r="B184" s="1">
        <v>46062</v>
      </c>
      <c r="C184" t="s">
        <v>121</v>
      </c>
      <c r="D184" t="s">
        <v>25</v>
      </c>
      <c r="E184" t="s">
        <v>26</v>
      </c>
      <c r="F184" t="s">
        <v>127</v>
      </c>
      <c r="G184" t="s">
        <v>128</v>
      </c>
      <c r="H184" t="s">
        <v>103</v>
      </c>
      <c r="I184" t="s">
        <v>30</v>
      </c>
      <c r="J184" t="s">
        <v>188</v>
      </c>
      <c r="K184" t="s">
        <v>32</v>
      </c>
      <c r="L184" t="s">
        <v>33</v>
      </c>
      <c r="M184" t="s">
        <v>68</v>
      </c>
      <c r="N184" t="s">
        <v>48</v>
      </c>
      <c r="O184" t="s">
        <v>36</v>
      </c>
      <c r="P184" t="s">
        <v>37</v>
      </c>
      <c r="Q184" t="s">
        <v>347</v>
      </c>
      <c r="R184">
        <v>199</v>
      </c>
      <c r="S184">
        <v>96</v>
      </c>
      <c r="T184">
        <v>78</v>
      </c>
      <c r="U184">
        <v>24</v>
      </c>
      <c r="V184" t="s">
        <v>6403</v>
      </c>
      <c r="W184">
        <v>53581</v>
      </c>
      <c r="X184" t="s">
        <v>7121</v>
      </c>
      <c r="Y184">
        <v>38869</v>
      </c>
      <c r="Z184">
        <v>1285944</v>
      </c>
      <c r="AA184">
        <v>353088</v>
      </c>
      <c r="AB184" t="str">
        <f>(VLOOKUP(SalesData[[#This Row],[Month Number]],Reference!C$5:E$16,2,FALSE))</f>
        <v>Feb</v>
      </c>
      <c r="AC184">
        <f>MONTH(SalesData[[#This Row],[Date]])</f>
        <v>2</v>
      </c>
      <c r="AD184">
        <f>Reference!F$4</f>
        <v>2026</v>
      </c>
      <c r="AE184" t="str">
        <f>IF(OR(SalesData[[#This Row],[Day]]="Saturday",SalesData[[#This Row],[Day]]="Sunday"),"Weekend","Weekday")</f>
        <v>Weekday</v>
      </c>
      <c r="AF184" s="5">
        <f>IF(SalesData[[#This Row],[Contracts Offered]]=0,0,SalesData[[#This Row],[Contracts Signed]]/SalesData[[#This Row],[Contracts Offered]])</f>
        <v>0.30769230769230771</v>
      </c>
      <c r="AG184" s="5">
        <f>IF(SalesData[[#This Row],[Customers Visited]]=0,0,SalesData[[#This Row],[Test Drives]]/SalesData[[#This Row],[Customers Visited]])</f>
        <v>0.48241206030150752</v>
      </c>
      <c r="AH184" s="5">
        <f>IF(SalesData[[#This Row],[Customers Visited]]=0,0,SalesData[[#This Row],[Contracts Signed]]/SalesData[[#This Row],[Customers Visited]])</f>
        <v>0.12060301507537688</v>
      </c>
      <c r="AI184" s="6">
        <f>IF(SalesData[[#This Row],[Contracts Signed]]=0,0,SalesData[[#This Row],[Profit(€)]]/SalesData[[#This Row],[Contracts Signed]])</f>
        <v>14712</v>
      </c>
      <c r="AJ184" s="5" t="str">
        <f>TRIM(CLEAN(SalesData[[#This Row],[Retailer]]))</f>
        <v>Rhein Auto Group</v>
      </c>
    </row>
    <row r="185" spans="1:36" ht="14.25" hidden="1" x14ac:dyDescent="0.2">
      <c r="A185" t="s">
        <v>463</v>
      </c>
      <c r="B185" s="1">
        <v>46071</v>
      </c>
      <c r="C185" t="s">
        <v>62</v>
      </c>
      <c r="D185" t="s">
        <v>82</v>
      </c>
      <c r="E185" t="s">
        <v>26</v>
      </c>
      <c r="F185" t="s">
        <v>83</v>
      </c>
      <c r="G185" t="s">
        <v>84</v>
      </c>
      <c r="H185" t="s">
        <v>85</v>
      </c>
      <c r="I185" t="s">
        <v>104</v>
      </c>
      <c r="J185" t="s">
        <v>7031</v>
      </c>
      <c r="K185" t="s">
        <v>32</v>
      </c>
      <c r="L185" t="s">
        <v>46</v>
      </c>
      <c r="M185" t="s">
        <v>87</v>
      </c>
      <c r="N185" t="s">
        <v>48</v>
      </c>
      <c r="O185" t="s">
        <v>70</v>
      </c>
      <c r="P185" t="s">
        <v>71</v>
      </c>
      <c r="Q185" t="s">
        <v>38</v>
      </c>
      <c r="R185">
        <v>484</v>
      </c>
      <c r="S185">
        <v>272</v>
      </c>
      <c r="T185">
        <v>177</v>
      </c>
      <c r="U185">
        <v>37</v>
      </c>
      <c r="V185" t="s">
        <v>1598</v>
      </c>
      <c r="W185">
        <v>31631</v>
      </c>
      <c r="X185" t="s">
        <v>5601</v>
      </c>
      <c r="Y185">
        <v>28083</v>
      </c>
      <c r="Z185">
        <v>1170347</v>
      </c>
      <c r="AA185">
        <v>131276</v>
      </c>
      <c r="AB185" t="str">
        <f>(VLOOKUP(SalesData[[#This Row],[Month Number]],Reference!C$5:E$16,2,FALSE))</f>
        <v>Feb</v>
      </c>
      <c r="AC185">
        <f>MONTH(SalesData[[#This Row],[Date]])</f>
        <v>2</v>
      </c>
      <c r="AD185">
        <f>Reference!F$4</f>
        <v>2026</v>
      </c>
      <c r="AE185" t="str">
        <f>IF(OR(SalesData[[#This Row],[Day]]="Saturday",SalesData[[#This Row],[Day]]="Sunday"),"Weekend","Weekday")</f>
        <v>Weekday</v>
      </c>
      <c r="AF185" s="5">
        <f>IF(SalesData[[#This Row],[Contracts Offered]]=0,0,SalesData[[#This Row],[Contracts Signed]]/SalesData[[#This Row],[Contracts Offered]])</f>
        <v>0.20903954802259886</v>
      </c>
      <c r="AG185" s="5">
        <f>IF(SalesData[[#This Row],[Customers Visited]]=0,0,SalesData[[#This Row],[Test Drives]]/SalesData[[#This Row],[Customers Visited]])</f>
        <v>0.56198347107438018</v>
      </c>
      <c r="AH185" s="5">
        <f>IF(SalesData[[#This Row],[Customers Visited]]=0,0,SalesData[[#This Row],[Contracts Signed]]/SalesData[[#This Row],[Customers Visited]])</f>
        <v>7.6446280991735532E-2</v>
      </c>
      <c r="AI185" s="6">
        <f>IF(SalesData[[#This Row],[Contracts Signed]]=0,0,SalesData[[#This Row],[Profit(€)]]/SalesData[[#This Row],[Contracts Signed]])</f>
        <v>3548</v>
      </c>
      <c r="AJ185" s="5" t="str">
        <f>TRIM(CLEAN(SalesData[[#This Row],[Retailer]]))</f>
        <v>Hannover Cars</v>
      </c>
    </row>
    <row r="186" spans="1:36" ht="14.25" hidden="1" x14ac:dyDescent="0.2">
      <c r="A186" t="s">
        <v>465</v>
      </c>
      <c r="B186" s="1">
        <v>46056</v>
      </c>
      <c r="C186" t="s">
        <v>24</v>
      </c>
      <c r="D186" t="s">
        <v>63</v>
      </c>
      <c r="E186" t="s">
        <v>26</v>
      </c>
      <c r="F186" t="s">
        <v>127</v>
      </c>
      <c r="G186" t="s">
        <v>128</v>
      </c>
      <c r="H186" t="s">
        <v>103</v>
      </c>
      <c r="I186" t="s">
        <v>104</v>
      </c>
      <c r="J186" t="s">
        <v>7061</v>
      </c>
      <c r="K186" t="s">
        <v>78</v>
      </c>
      <c r="L186" t="s">
        <v>46</v>
      </c>
      <c r="M186" t="s">
        <v>34</v>
      </c>
      <c r="N186" t="s">
        <v>35</v>
      </c>
      <c r="O186" t="s">
        <v>36</v>
      </c>
      <c r="P186" t="s">
        <v>49</v>
      </c>
      <c r="Q186" t="s">
        <v>118</v>
      </c>
      <c r="R186">
        <v>410</v>
      </c>
      <c r="S186">
        <v>218</v>
      </c>
      <c r="T186">
        <v>134</v>
      </c>
      <c r="U186">
        <v>35</v>
      </c>
      <c r="V186" t="s">
        <v>1969</v>
      </c>
      <c r="W186">
        <v>34685</v>
      </c>
      <c r="X186" t="s">
        <v>3747</v>
      </c>
      <c r="Y186">
        <v>29889</v>
      </c>
      <c r="Z186">
        <v>1213975</v>
      </c>
      <c r="AA186">
        <v>167860</v>
      </c>
      <c r="AB186" t="str">
        <f>(VLOOKUP(SalesData[[#This Row],[Month Number]],Reference!C$5:E$16,2,FALSE))</f>
        <v>Feb</v>
      </c>
      <c r="AC186">
        <f>MONTH(SalesData[[#This Row],[Date]])</f>
        <v>2</v>
      </c>
      <c r="AD186">
        <f>Reference!F$4</f>
        <v>2026</v>
      </c>
      <c r="AE186" t="str">
        <f>IF(OR(SalesData[[#This Row],[Day]]="Saturday",SalesData[[#This Row],[Day]]="Sunday"),"Weekend","Weekday")</f>
        <v>Weekday</v>
      </c>
      <c r="AF186" s="5">
        <f>IF(SalesData[[#This Row],[Contracts Offered]]=0,0,SalesData[[#This Row],[Contracts Signed]]/SalesData[[#This Row],[Contracts Offered]])</f>
        <v>0.26119402985074625</v>
      </c>
      <c r="AG186" s="5">
        <f>IF(SalesData[[#This Row],[Customers Visited]]=0,0,SalesData[[#This Row],[Test Drives]]/SalesData[[#This Row],[Customers Visited]])</f>
        <v>0.53170731707317076</v>
      </c>
      <c r="AH186" s="5">
        <f>IF(SalesData[[#This Row],[Customers Visited]]=0,0,SalesData[[#This Row],[Contracts Signed]]/SalesData[[#This Row],[Customers Visited]])</f>
        <v>8.5365853658536592E-2</v>
      </c>
      <c r="AI186" s="6">
        <f>IF(SalesData[[#This Row],[Contracts Signed]]=0,0,SalesData[[#This Row],[Profit(€)]]/SalesData[[#This Row],[Contracts Signed]])</f>
        <v>4796</v>
      </c>
      <c r="AJ186" s="5" t="str">
        <f>TRIM(CLEAN(SalesData[[#This Row],[Retailer]]))</f>
        <v>Rhein Auto Group</v>
      </c>
    </row>
    <row r="187" spans="1:36" ht="14.25" hidden="1" x14ac:dyDescent="0.2">
      <c r="A187" t="s">
        <v>467</v>
      </c>
      <c r="B187" s="1">
        <v>46057</v>
      </c>
      <c r="C187" t="s">
        <v>24</v>
      </c>
      <c r="D187" t="s">
        <v>82</v>
      </c>
      <c r="E187" t="s">
        <v>26</v>
      </c>
      <c r="F187" t="s">
        <v>83</v>
      </c>
      <c r="G187" t="s">
        <v>84</v>
      </c>
      <c r="H187" t="s">
        <v>85</v>
      </c>
      <c r="I187" t="s">
        <v>116</v>
      </c>
      <c r="J187" t="s">
        <v>7090</v>
      </c>
      <c r="K187" t="s">
        <v>32</v>
      </c>
      <c r="L187" t="s">
        <v>46</v>
      </c>
      <c r="M187" t="s">
        <v>87</v>
      </c>
      <c r="N187" t="s">
        <v>35</v>
      </c>
      <c r="O187" t="s">
        <v>36</v>
      </c>
      <c r="P187" t="s">
        <v>49</v>
      </c>
      <c r="Q187" t="s">
        <v>50</v>
      </c>
      <c r="R187">
        <v>329</v>
      </c>
      <c r="S187">
        <v>154</v>
      </c>
      <c r="T187">
        <v>90</v>
      </c>
      <c r="U187">
        <v>25</v>
      </c>
      <c r="V187" t="s">
        <v>1079</v>
      </c>
      <c r="W187">
        <v>26547</v>
      </c>
      <c r="X187" t="s">
        <v>2587</v>
      </c>
      <c r="Y187">
        <v>23666</v>
      </c>
      <c r="Z187">
        <v>663675</v>
      </c>
      <c r="AA187">
        <v>72025</v>
      </c>
      <c r="AB187" t="str">
        <f>(VLOOKUP(SalesData[[#This Row],[Month Number]],Reference!C$5:E$16,2,FALSE))</f>
        <v>Feb</v>
      </c>
      <c r="AC187">
        <f>MONTH(SalesData[[#This Row],[Date]])</f>
        <v>2</v>
      </c>
      <c r="AD187">
        <f>Reference!F$4</f>
        <v>2026</v>
      </c>
      <c r="AE187" t="str">
        <f>IF(OR(SalesData[[#This Row],[Day]]="Saturday",SalesData[[#This Row],[Day]]="Sunday"),"Weekend","Weekday")</f>
        <v>Weekday</v>
      </c>
      <c r="AF187" s="5">
        <f>IF(SalesData[[#This Row],[Contracts Offered]]=0,0,SalesData[[#This Row],[Contracts Signed]]/SalesData[[#This Row],[Contracts Offered]])</f>
        <v>0.27777777777777779</v>
      </c>
      <c r="AG187" s="5">
        <f>IF(SalesData[[#This Row],[Customers Visited]]=0,0,SalesData[[#This Row],[Test Drives]]/SalesData[[#This Row],[Customers Visited]])</f>
        <v>0.46808510638297873</v>
      </c>
      <c r="AH187" s="5">
        <f>IF(SalesData[[#This Row],[Customers Visited]]=0,0,SalesData[[#This Row],[Contracts Signed]]/SalesData[[#This Row],[Customers Visited]])</f>
        <v>7.598784194528875E-2</v>
      </c>
      <c r="AI187" s="6">
        <f>IF(SalesData[[#This Row],[Contracts Signed]]=0,0,SalesData[[#This Row],[Profit(€)]]/SalesData[[#This Row],[Contracts Signed]])</f>
        <v>2881</v>
      </c>
      <c r="AJ187" s="5" t="str">
        <f>TRIM(CLEAN(SalesData[[#This Row],[Retailer]]))</f>
        <v>Hannover Cars</v>
      </c>
    </row>
    <row r="188" spans="1:36" ht="14.25" hidden="1" x14ac:dyDescent="0.2">
      <c r="A188" t="s">
        <v>469</v>
      </c>
      <c r="B188" s="1">
        <v>46068</v>
      </c>
      <c r="C188" t="s">
        <v>62</v>
      </c>
      <c r="D188" t="s">
        <v>41</v>
      </c>
      <c r="E188" t="s">
        <v>42</v>
      </c>
      <c r="F188" t="s">
        <v>127</v>
      </c>
      <c r="G188" t="s">
        <v>128</v>
      </c>
      <c r="H188" t="s">
        <v>103</v>
      </c>
      <c r="I188" t="s">
        <v>64</v>
      </c>
      <c r="J188" t="s">
        <v>111</v>
      </c>
      <c r="K188" t="s">
        <v>78</v>
      </c>
      <c r="L188" t="s">
        <v>46</v>
      </c>
      <c r="M188" t="s">
        <v>34</v>
      </c>
      <c r="N188" t="s">
        <v>69</v>
      </c>
      <c r="O188" t="s">
        <v>36</v>
      </c>
      <c r="P188" t="s">
        <v>37</v>
      </c>
      <c r="Q188" t="s">
        <v>169</v>
      </c>
      <c r="R188">
        <v>223</v>
      </c>
      <c r="S188">
        <v>102</v>
      </c>
      <c r="T188">
        <v>70</v>
      </c>
      <c r="U188">
        <v>27</v>
      </c>
      <c r="V188" t="s">
        <v>6486</v>
      </c>
      <c r="W188">
        <v>64498</v>
      </c>
      <c r="X188" t="s">
        <v>7122</v>
      </c>
      <c r="Y188">
        <v>47513</v>
      </c>
      <c r="Z188">
        <v>1741446</v>
      </c>
      <c r="AA188">
        <v>458595</v>
      </c>
      <c r="AB188" t="str">
        <f>(VLOOKUP(SalesData[[#This Row],[Month Number]],Reference!C$5:E$16,2,FALSE))</f>
        <v>Feb</v>
      </c>
      <c r="AC188">
        <f>MONTH(SalesData[[#This Row],[Date]])</f>
        <v>2</v>
      </c>
      <c r="AD188">
        <f>Reference!F$4</f>
        <v>2026</v>
      </c>
      <c r="AE188" t="str">
        <f>IF(OR(SalesData[[#This Row],[Day]]="Saturday",SalesData[[#This Row],[Day]]="Sunday"),"Weekend","Weekday")</f>
        <v>Weekend</v>
      </c>
      <c r="AF188" s="5">
        <f>IF(SalesData[[#This Row],[Contracts Offered]]=0,0,SalesData[[#This Row],[Contracts Signed]]/SalesData[[#This Row],[Contracts Offered]])</f>
        <v>0.38571428571428573</v>
      </c>
      <c r="AG188" s="5">
        <f>IF(SalesData[[#This Row],[Customers Visited]]=0,0,SalesData[[#This Row],[Test Drives]]/SalesData[[#This Row],[Customers Visited]])</f>
        <v>0.45739910313901344</v>
      </c>
      <c r="AH188" s="5">
        <f>IF(SalesData[[#This Row],[Customers Visited]]=0,0,SalesData[[#This Row],[Contracts Signed]]/SalesData[[#This Row],[Customers Visited]])</f>
        <v>0.1210762331838565</v>
      </c>
      <c r="AI188" s="6">
        <f>IF(SalesData[[#This Row],[Contracts Signed]]=0,0,SalesData[[#This Row],[Profit(€)]]/SalesData[[#This Row],[Contracts Signed]])</f>
        <v>16985</v>
      </c>
      <c r="AJ188" s="5" t="str">
        <f>TRIM(CLEAN(SalesData[[#This Row],[Retailer]]))</f>
        <v>Rhein Auto Group</v>
      </c>
    </row>
    <row r="189" spans="1:36" ht="14.25" hidden="1" x14ac:dyDescent="0.2">
      <c r="A189" t="s">
        <v>470</v>
      </c>
      <c r="B189" s="1">
        <v>46072</v>
      </c>
      <c r="C189" t="s">
        <v>62</v>
      </c>
      <c r="D189" t="s">
        <v>100</v>
      </c>
      <c r="E189" t="s">
        <v>26</v>
      </c>
      <c r="F189" t="s">
        <v>83</v>
      </c>
      <c r="G189" t="s">
        <v>84</v>
      </c>
      <c r="H189" t="s">
        <v>85</v>
      </c>
      <c r="I189" t="s">
        <v>64</v>
      </c>
      <c r="J189" t="s">
        <v>111</v>
      </c>
      <c r="K189" t="s">
        <v>91</v>
      </c>
      <c r="L189" t="s">
        <v>46</v>
      </c>
      <c r="M189" t="s">
        <v>68</v>
      </c>
      <c r="N189" t="s">
        <v>48</v>
      </c>
      <c r="O189" t="s">
        <v>36</v>
      </c>
      <c r="P189" t="s">
        <v>37</v>
      </c>
      <c r="Q189" t="s">
        <v>152</v>
      </c>
      <c r="R189">
        <v>263</v>
      </c>
      <c r="S189">
        <v>147</v>
      </c>
      <c r="T189">
        <v>100</v>
      </c>
      <c r="U189">
        <v>36</v>
      </c>
      <c r="V189" t="s">
        <v>6518</v>
      </c>
      <c r="W189">
        <v>61110</v>
      </c>
      <c r="X189" t="s">
        <v>2251</v>
      </c>
      <c r="Y189">
        <v>46409</v>
      </c>
      <c r="Z189">
        <v>2199960</v>
      </c>
      <c r="AA189">
        <v>529236</v>
      </c>
      <c r="AB189" t="str">
        <f>(VLOOKUP(SalesData[[#This Row],[Month Number]],Reference!C$5:E$16,2,FALSE))</f>
        <v>Feb</v>
      </c>
      <c r="AC189">
        <f>MONTH(SalesData[[#This Row],[Date]])</f>
        <v>2</v>
      </c>
      <c r="AD189">
        <f>Reference!F$4</f>
        <v>2026</v>
      </c>
      <c r="AE189" t="str">
        <f>IF(OR(SalesData[[#This Row],[Day]]="Saturday",SalesData[[#This Row],[Day]]="Sunday"),"Weekend","Weekday")</f>
        <v>Weekday</v>
      </c>
      <c r="AF189" s="5">
        <f>IF(SalesData[[#This Row],[Contracts Offered]]=0,0,SalesData[[#This Row],[Contracts Signed]]/SalesData[[#This Row],[Contracts Offered]])</f>
        <v>0.36</v>
      </c>
      <c r="AG189" s="5">
        <f>IF(SalesData[[#This Row],[Customers Visited]]=0,0,SalesData[[#This Row],[Test Drives]]/SalesData[[#This Row],[Customers Visited]])</f>
        <v>0.55893536121673004</v>
      </c>
      <c r="AH189" s="5">
        <f>IF(SalesData[[#This Row],[Customers Visited]]=0,0,SalesData[[#This Row],[Contracts Signed]]/SalesData[[#This Row],[Customers Visited]])</f>
        <v>0.13688212927756654</v>
      </c>
      <c r="AI189" s="6">
        <f>IF(SalesData[[#This Row],[Contracts Signed]]=0,0,SalesData[[#This Row],[Profit(€)]]/SalesData[[#This Row],[Contracts Signed]])</f>
        <v>14701</v>
      </c>
      <c r="AJ189" s="5" t="str">
        <f>TRIM(CLEAN(SalesData[[#This Row],[Retailer]]))</f>
        <v>Hannover Cars</v>
      </c>
    </row>
    <row r="190" spans="1:36" ht="14.25" hidden="1" x14ac:dyDescent="0.2">
      <c r="A190" t="s">
        <v>472</v>
      </c>
      <c r="B190" s="1">
        <v>46069</v>
      </c>
      <c r="C190" t="s">
        <v>62</v>
      </c>
      <c r="D190" t="s">
        <v>25</v>
      </c>
      <c r="E190" t="s">
        <v>26</v>
      </c>
      <c r="F190" t="s">
        <v>101</v>
      </c>
      <c r="G190" t="s">
        <v>102</v>
      </c>
      <c r="H190" t="s">
        <v>103</v>
      </c>
      <c r="I190" t="s">
        <v>116</v>
      </c>
      <c r="J190" t="s">
        <v>117</v>
      </c>
      <c r="K190" t="s">
        <v>91</v>
      </c>
      <c r="L190" t="s">
        <v>67</v>
      </c>
      <c r="M190" t="s">
        <v>87</v>
      </c>
      <c r="N190" t="s">
        <v>35</v>
      </c>
      <c r="O190" t="s">
        <v>70</v>
      </c>
      <c r="P190" t="s">
        <v>58</v>
      </c>
      <c r="Q190" t="s">
        <v>152</v>
      </c>
      <c r="R190">
        <v>395</v>
      </c>
      <c r="S190">
        <v>154</v>
      </c>
      <c r="T190">
        <v>93</v>
      </c>
      <c r="U190">
        <v>23</v>
      </c>
      <c r="V190" t="s">
        <v>1804</v>
      </c>
      <c r="W190">
        <v>26105</v>
      </c>
      <c r="X190" t="s">
        <v>2518</v>
      </c>
      <c r="Y190">
        <v>24124</v>
      </c>
      <c r="Z190">
        <v>600415</v>
      </c>
      <c r="AA190">
        <v>45563</v>
      </c>
      <c r="AB190" t="str">
        <f>(VLOOKUP(SalesData[[#This Row],[Month Number]],Reference!C$5:E$16,2,FALSE))</f>
        <v>Feb</v>
      </c>
      <c r="AC190">
        <f>MONTH(SalesData[[#This Row],[Date]])</f>
        <v>2</v>
      </c>
      <c r="AD190">
        <f>Reference!F$4</f>
        <v>2026</v>
      </c>
      <c r="AE190" t="str">
        <f>IF(OR(SalesData[[#This Row],[Day]]="Saturday",SalesData[[#This Row],[Day]]="Sunday"),"Weekend","Weekday")</f>
        <v>Weekday</v>
      </c>
      <c r="AF190" s="5">
        <f>IF(SalesData[[#This Row],[Contracts Offered]]=0,0,SalesData[[#This Row],[Contracts Signed]]/SalesData[[#This Row],[Contracts Offered]])</f>
        <v>0.24731182795698925</v>
      </c>
      <c r="AG190" s="5">
        <f>IF(SalesData[[#This Row],[Customers Visited]]=0,0,SalesData[[#This Row],[Test Drives]]/SalesData[[#This Row],[Customers Visited]])</f>
        <v>0.38987341772151901</v>
      </c>
      <c r="AH190" s="5">
        <f>IF(SalesData[[#This Row],[Customers Visited]]=0,0,SalesData[[#This Row],[Contracts Signed]]/SalesData[[#This Row],[Customers Visited]])</f>
        <v>5.8227848101265821E-2</v>
      </c>
      <c r="AI190" s="6">
        <f>IF(SalesData[[#This Row],[Contracts Signed]]=0,0,SalesData[[#This Row],[Profit(€)]]/SalesData[[#This Row],[Contracts Signed]])</f>
        <v>1981</v>
      </c>
      <c r="AJ190" s="5" t="str">
        <f>TRIM(CLEAN(SalesData[[#This Row],[Retailer]]))</f>
        <v>Ruhr Auto Plaza</v>
      </c>
    </row>
    <row r="191" spans="1:36" ht="14.25" hidden="1" x14ac:dyDescent="0.2">
      <c r="A191" t="s">
        <v>474</v>
      </c>
      <c r="B191" s="1">
        <v>46058</v>
      </c>
      <c r="C191" t="s">
        <v>24</v>
      </c>
      <c r="D191" t="s">
        <v>100</v>
      </c>
      <c r="E191" t="s">
        <v>26</v>
      </c>
      <c r="F191" t="s">
        <v>127</v>
      </c>
      <c r="G191" t="s">
        <v>128</v>
      </c>
      <c r="H191" t="s">
        <v>103</v>
      </c>
      <c r="I191" t="s">
        <v>56</v>
      </c>
      <c r="J191" t="s">
        <v>7028</v>
      </c>
      <c r="K191" t="s">
        <v>66</v>
      </c>
      <c r="L191" t="s">
        <v>46</v>
      </c>
      <c r="M191" t="s">
        <v>47</v>
      </c>
      <c r="N191" t="s">
        <v>35</v>
      </c>
      <c r="O191" t="s">
        <v>70</v>
      </c>
      <c r="P191" t="s">
        <v>71</v>
      </c>
      <c r="Q191" t="s">
        <v>118</v>
      </c>
      <c r="R191">
        <v>255</v>
      </c>
      <c r="S191">
        <v>151</v>
      </c>
      <c r="T191">
        <v>107</v>
      </c>
      <c r="U191">
        <v>35</v>
      </c>
      <c r="V191" t="s">
        <v>7123</v>
      </c>
      <c r="W191">
        <v>49590</v>
      </c>
      <c r="X191" t="s">
        <v>3526</v>
      </c>
      <c r="Y191">
        <v>40313</v>
      </c>
      <c r="Z191">
        <v>1735650</v>
      </c>
      <c r="AA191">
        <v>324695</v>
      </c>
      <c r="AB191" t="str">
        <f>(VLOOKUP(SalesData[[#This Row],[Month Number]],Reference!C$5:E$16,2,FALSE))</f>
        <v>Feb</v>
      </c>
      <c r="AC191">
        <f>MONTH(SalesData[[#This Row],[Date]])</f>
        <v>2</v>
      </c>
      <c r="AD191">
        <f>Reference!F$4</f>
        <v>2026</v>
      </c>
      <c r="AE191" t="str">
        <f>IF(OR(SalesData[[#This Row],[Day]]="Saturday",SalesData[[#This Row],[Day]]="Sunday"),"Weekend","Weekday")</f>
        <v>Weekday</v>
      </c>
      <c r="AF191" s="5">
        <f>IF(SalesData[[#This Row],[Contracts Offered]]=0,0,SalesData[[#This Row],[Contracts Signed]]/SalesData[[#This Row],[Contracts Offered]])</f>
        <v>0.32710280373831774</v>
      </c>
      <c r="AG191" s="5">
        <f>IF(SalesData[[#This Row],[Customers Visited]]=0,0,SalesData[[#This Row],[Test Drives]]/SalesData[[#This Row],[Customers Visited]])</f>
        <v>0.59215686274509804</v>
      </c>
      <c r="AH191" s="5">
        <f>IF(SalesData[[#This Row],[Customers Visited]]=0,0,SalesData[[#This Row],[Contracts Signed]]/SalesData[[#This Row],[Customers Visited]])</f>
        <v>0.13725490196078433</v>
      </c>
      <c r="AI191" s="6">
        <f>IF(SalesData[[#This Row],[Contracts Signed]]=0,0,SalesData[[#This Row],[Profit(€)]]/SalesData[[#This Row],[Contracts Signed]])</f>
        <v>9277</v>
      </c>
      <c r="AJ191" s="5" t="str">
        <f>TRIM(CLEAN(SalesData[[#This Row],[Retailer]]))</f>
        <v>Rhein Auto Group</v>
      </c>
    </row>
    <row r="192" spans="1:36" ht="14.25" hidden="1" x14ac:dyDescent="0.2">
      <c r="A192" t="s">
        <v>475</v>
      </c>
      <c r="B192" s="1">
        <v>46066</v>
      </c>
      <c r="C192" t="s">
        <v>121</v>
      </c>
      <c r="D192" t="s">
        <v>54</v>
      </c>
      <c r="E192" t="s">
        <v>26</v>
      </c>
      <c r="F192" t="s">
        <v>114</v>
      </c>
      <c r="G192" t="s">
        <v>115</v>
      </c>
      <c r="H192" t="s">
        <v>115</v>
      </c>
      <c r="I192" t="s">
        <v>104</v>
      </c>
      <c r="J192" t="s">
        <v>140</v>
      </c>
      <c r="K192" t="s">
        <v>66</v>
      </c>
      <c r="L192" t="s">
        <v>46</v>
      </c>
      <c r="M192" t="s">
        <v>87</v>
      </c>
      <c r="N192" t="s">
        <v>35</v>
      </c>
      <c r="O192" t="s">
        <v>36</v>
      </c>
      <c r="P192" t="s">
        <v>49</v>
      </c>
      <c r="Q192" t="s">
        <v>106</v>
      </c>
      <c r="R192">
        <v>421</v>
      </c>
      <c r="S192">
        <v>222</v>
      </c>
      <c r="T192">
        <v>150</v>
      </c>
      <c r="U192">
        <v>38</v>
      </c>
      <c r="V192" t="s">
        <v>1302</v>
      </c>
      <c r="W192">
        <v>26341</v>
      </c>
      <c r="X192" t="s">
        <v>4565</v>
      </c>
      <c r="Y192">
        <v>23570</v>
      </c>
      <c r="Z192">
        <v>1000958</v>
      </c>
      <c r="AA192">
        <v>105298</v>
      </c>
      <c r="AB192" t="str">
        <f>(VLOOKUP(SalesData[[#This Row],[Month Number]],Reference!C$5:E$16,2,FALSE))</f>
        <v>Feb</v>
      </c>
      <c r="AC192">
        <f>MONTH(SalesData[[#This Row],[Date]])</f>
        <v>2</v>
      </c>
      <c r="AD192">
        <f>Reference!F$4</f>
        <v>2026</v>
      </c>
      <c r="AE192" t="str">
        <f>IF(OR(SalesData[[#This Row],[Day]]="Saturday",SalesData[[#This Row],[Day]]="Sunday"),"Weekend","Weekday")</f>
        <v>Weekday</v>
      </c>
      <c r="AF192" s="5">
        <f>IF(SalesData[[#This Row],[Contracts Offered]]=0,0,SalesData[[#This Row],[Contracts Signed]]/SalesData[[#This Row],[Contracts Offered]])</f>
        <v>0.25333333333333335</v>
      </c>
      <c r="AG192" s="5">
        <f>IF(SalesData[[#This Row],[Customers Visited]]=0,0,SalesData[[#This Row],[Test Drives]]/SalesData[[#This Row],[Customers Visited]])</f>
        <v>0.52731591448931114</v>
      </c>
      <c r="AH192" s="5">
        <f>IF(SalesData[[#This Row],[Customers Visited]]=0,0,SalesData[[#This Row],[Contracts Signed]]/SalesData[[#This Row],[Customers Visited]])</f>
        <v>9.0261282660332537E-2</v>
      </c>
      <c r="AI192" s="6">
        <f>IF(SalesData[[#This Row],[Contracts Signed]]=0,0,SalesData[[#This Row],[Profit(€)]]/SalesData[[#This Row],[Contracts Signed]])</f>
        <v>2771</v>
      </c>
      <c r="AJ192" s="5" t="str">
        <f>TRIM(CLEAN(SalesData[[#This Row],[Retailer]]))</f>
        <v>Elbe Drive</v>
      </c>
    </row>
    <row r="193" spans="1:36" ht="14.25" hidden="1" x14ac:dyDescent="0.2">
      <c r="A193" t="s">
        <v>477</v>
      </c>
      <c r="B193" s="1">
        <v>46080</v>
      </c>
      <c r="C193" t="s">
        <v>53</v>
      </c>
      <c r="D193" t="s">
        <v>54</v>
      </c>
      <c r="E193" t="s">
        <v>26</v>
      </c>
      <c r="F193" t="s">
        <v>101</v>
      </c>
      <c r="G193" t="s">
        <v>102</v>
      </c>
      <c r="H193" t="s">
        <v>103</v>
      </c>
      <c r="I193" t="s">
        <v>116</v>
      </c>
      <c r="J193" t="s">
        <v>7026</v>
      </c>
      <c r="K193" t="s">
        <v>78</v>
      </c>
      <c r="L193" t="s">
        <v>46</v>
      </c>
      <c r="M193" t="s">
        <v>34</v>
      </c>
      <c r="N193" t="s">
        <v>69</v>
      </c>
      <c r="O193" t="s">
        <v>36</v>
      </c>
      <c r="P193" t="s">
        <v>49</v>
      </c>
      <c r="Q193" t="s">
        <v>59</v>
      </c>
      <c r="R193">
        <v>408</v>
      </c>
      <c r="S193">
        <v>199</v>
      </c>
      <c r="T193">
        <v>120</v>
      </c>
      <c r="U193">
        <v>31</v>
      </c>
      <c r="V193" t="s">
        <v>4134</v>
      </c>
      <c r="W193">
        <v>25593</v>
      </c>
      <c r="X193" t="s">
        <v>3980</v>
      </c>
      <c r="Y193">
        <v>22868</v>
      </c>
      <c r="Z193">
        <v>793383</v>
      </c>
      <c r="AA193">
        <v>84475</v>
      </c>
      <c r="AB193" t="str">
        <f>(VLOOKUP(SalesData[[#This Row],[Month Number]],Reference!C$5:E$16,2,FALSE))</f>
        <v>Feb</v>
      </c>
      <c r="AC193">
        <f>MONTH(SalesData[[#This Row],[Date]])</f>
        <v>2</v>
      </c>
      <c r="AD193">
        <f>Reference!F$4</f>
        <v>2026</v>
      </c>
      <c r="AE193" t="str">
        <f>IF(OR(SalesData[[#This Row],[Day]]="Saturday",SalesData[[#This Row],[Day]]="Sunday"),"Weekend","Weekday")</f>
        <v>Weekday</v>
      </c>
      <c r="AF193" s="5">
        <f>IF(SalesData[[#This Row],[Contracts Offered]]=0,0,SalesData[[#This Row],[Contracts Signed]]/SalesData[[#This Row],[Contracts Offered]])</f>
        <v>0.25833333333333336</v>
      </c>
      <c r="AG193" s="5">
        <f>IF(SalesData[[#This Row],[Customers Visited]]=0,0,SalesData[[#This Row],[Test Drives]]/SalesData[[#This Row],[Customers Visited]])</f>
        <v>0.48774509803921567</v>
      </c>
      <c r="AH193" s="5">
        <f>IF(SalesData[[#This Row],[Customers Visited]]=0,0,SalesData[[#This Row],[Contracts Signed]]/SalesData[[#This Row],[Customers Visited]])</f>
        <v>7.5980392156862739E-2</v>
      </c>
      <c r="AI193" s="6">
        <f>IF(SalesData[[#This Row],[Contracts Signed]]=0,0,SalesData[[#This Row],[Profit(€)]]/SalesData[[#This Row],[Contracts Signed]])</f>
        <v>2725</v>
      </c>
      <c r="AJ193" s="5" t="str">
        <f>TRIM(CLEAN(SalesData[[#This Row],[Retailer]]))</f>
        <v>Ruhr Auto Plaza</v>
      </c>
    </row>
    <row r="194" spans="1:36" ht="14.25" x14ac:dyDescent="0.2">
      <c r="A194" t="s">
        <v>478</v>
      </c>
      <c r="B194" s="1">
        <v>46071</v>
      </c>
      <c r="C194" t="s">
        <v>62</v>
      </c>
      <c r="D194" t="s">
        <v>82</v>
      </c>
      <c r="E194" t="s">
        <v>26</v>
      </c>
      <c r="F194" t="s">
        <v>74</v>
      </c>
      <c r="G194" t="s">
        <v>75</v>
      </c>
      <c r="H194" t="s">
        <v>76</v>
      </c>
      <c r="I194" t="s">
        <v>30</v>
      </c>
      <c r="J194" t="s">
        <v>31</v>
      </c>
      <c r="K194" t="s">
        <v>78</v>
      </c>
      <c r="L194" t="s">
        <v>46</v>
      </c>
      <c r="M194" t="s">
        <v>68</v>
      </c>
      <c r="N194" t="s">
        <v>35</v>
      </c>
      <c r="O194" t="s">
        <v>36</v>
      </c>
      <c r="P194" t="s">
        <v>71</v>
      </c>
      <c r="Q194" t="s">
        <v>240</v>
      </c>
      <c r="R194">
        <v>252</v>
      </c>
      <c r="S194">
        <v>116</v>
      </c>
      <c r="T194">
        <v>89</v>
      </c>
      <c r="U194">
        <v>33</v>
      </c>
      <c r="V194" t="s">
        <v>6969</v>
      </c>
      <c r="W194">
        <v>67478</v>
      </c>
      <c r="X194" t="s">
        <v>7124</v>
      </c>
      <c r="Y194">
        <v>50370</v>
      </c>
      <c r="Z194">
        <v>2226774</v>
      </c>
      <c r="AA194">
        <v>564564</v>
      </c>
      <c r="AB194" t="str">
        <f>(VLOOKUP(SalesData[[#This Row],[Month Number]],Reference!C$5:E$16,2,FALSE))</f>
        <v>Feb</v>
      </c>
      <c r="AC194">
        <f>MONTH(SalesData[[#This Row],[Date]])</f>
        <v>2</v>
      </c>
      <c r="AD194">
        <f>Reference!F$4</f>
        <v>2026</v>
      </c>
      <c r="AE194" t="str">
        <f>IF(OR(SalesData[[#This Row],[Day]]="Saturday",SalesData[[#This Row],[Day]]="Sunday"),"Weekend","Weekday")</f>
        <v>Weekday</v>
      </c>
      <c r="AF194" s="5">
        <f>IF(SalesData[[#This Row],[Contracts Offered]]=0,0,SalesData[[#This Row],[Contracts Signed]]/SalesData[[#This Row],[Contracts Offered]])</f>
        <v>0.3707865168539326</v>
      </c>
      <c r="AG194" s="5">
        <f>IF(SalesData[[#This Row],[Customers Visited]]=0,0,SalesData[[#This Row],[Test Drives]]/SalesData[[#This Row],[Customers Visited]])</f>
        <v>0.46031746031746029</v>
      </c>
      <c r="AH194" s="5">
        <f>IF(SalesData[[#This Row],[Customers Visited]]=0,0,SalesData[[#This Row],[Contracts Signed]]/SalesData[[#This Row],[Customers Visited]])</f>
        <v>0.13095238095238096</v>
      </c>
      <c r="AI194" s="6">
        <f>IF(SalesData[[#This Row],[Contracts Signed]]=0,0,SalesData[[#This Row],[Profit(€)]]/SalesData[[#This Row],[Contracts Signed]])</f>
        <v>17108</v>
      </c>
      <c r="AJ194" s="5" t="str">
        <f>TRIM(CLEAN(SalesData[[#This Row],[Retailer]]))</f>
        <v>Stuttgart Auto Center</v>
      </c>
    </row>
    <row r="195" spans="1:36" ht="14.25" hidden="1" x14ac:dyDescent="0.2">
      <c r="A195" t="s">
        <v>479</v>
      </c>
      <c r="B195" s="1">
        <v>46066</v>
      </c>
      <c r="C195" t="s">
        <v>121</v>
      </c>
      <c r="D195" t="s">
        <v>54</v>
      </c>
      <c r="E195" t="s">
        <v>26</v>
      </c>
      <c r="F195" t="s">
        <v>7649</v>
      </c>
      <c r="G195" t="s">
        <v>55</v>
      </c>
      <c r="H195" t="s">
        <v>55</v>
      </c>
      <c r="I195" t="s">
        <v>116</v>
      </c>
      <c r="J195" t="s">
        <v>7090</v>
      </c>
      <c r="K195" t="s">
        <v>78</v>
      </c>
      <c r="L195" t="s">
        <v>46</v>
      </c>
      <c r="M195" t="s">
        <v>87</v>
      </c>
      <c r="N195" t="s">
        <v>69</v>
      </c>
      <c r="O195" t="s">
        <v>70</v>
      </c>
      <c r="P195" t="s">
        <v>58</v>
      </c>
      <c r="Q195" t="s">
        <v>122</v>
      </c>
      <c r="R195">
        <v>342</v>
      </c>
      <c r="S195">
        <v>157</v>
      </c>
      <c r="T195">
        <v>98</v>
      </c>
      <c r="U195">
        <v>31</v>
      </c>
      <c r="V195" t="s">
        <v>2805</v>
      </c>
      <c r="W195">
        <v>26139</v>
      </c>
      <c r="X195" t="s">
        <v>1726</v>
      </c>
      <c r="Y195">
        <v>24253</v>
      </c>
      <c r="Z195">
        <v>810309</v>
      </c>
      <c r="AA195">
        <v>58466</v>
      </c>
      <c r="AB195" t="str">
        <f>(VLOOKUP(SalesData[[#This Row],[Month Number]],Reference!C$5:E$16,2,FALSE))</f>
        <v>Feb</v>
      </c>
      <c r="AC195">
        <f>MONTH(SalesData[[#This Row],[Date]])</f>
        <v>2</v>
      </c>
      <c r="AD195">
        <f>Reference!F$4</f>
        <v>2026</v>
      </c>
      <c r="AE195" t="str">
        <f>IF(OR(SalesData[[#This Row],[Day]]="Saturday",SalesData[[#This Row],[Day]]="Sunday"),"Weekend","Weekday")</f>
        <v>Weekday</v>
      </c>
      <c r="AF195" s="5">
        <f>IF(SalesData[[#This Row],[Contracts Offered]]=0,0,SalesData[[#This Row],[Contracts Signed]]/SalesData[[#This Row],[Contracts Offered]])</f>
        <v>0.31632653061224492</v>
      </c>
      <c r="AG195" s="5">
        <f>IF(SalesData[[#This Row],[Customers Visited]]=0,0,SalesData[[#This Row],[Test Drives]]/SalesData[[#This Row],[Customers Visited]])</f>
        <v>0.45906432748538012</v>
      </c>
      <c r="AH195" s="5">
        <f>IF(SalesData[[#This Row],[Customers Visited]]=0,0,SalesData[[#This Row],[Contracts Signed]]/SalesData[[#This Row],[Customers Visited]])</f>
        <v>9.0643274853801165E-2</v>
      </c>
      <c r="AI195" s="6">
        <f>IF(SalesData[[#This Row],[Contracts Signed]]=0,0,SalesData[[#This Row],[Profit(€)]]/SalesData[[#This Row],[Contracts Signed]])</f>
        <v>1886</v>
      </c>
      <c r="AJ195" s="5" t="str">
        <f>TRIM(CLEAN(SalesData[[#This Row],[Retailer]]))</f>
        <v>Autohaus Berlin</v>
      </c>
    </row>
    <row r="196" spans="1:36" ht="14.25" hidden="1" x14ac:dyDescent="0.2">
      <c r="A196" t="s">
        <v>481</v>
      </c>
      <c r="B196" s="1">
        <v>46071</v>
      </c>
      <c r="C196" t="s">
        <v>62</v>
      </c>
      <c r="D196" t="s">
        <v>82</v>
      </c>
      <c r="E196" t="s">
        <v>26</v>
      </c>
      <c r="F196" t="s">
        <v>109</v>
      </c>
      <c r="G196" t="s">
        <v>110</v>
      </c>
      <c r="H196" t="s">
        <v>45</v>
      </c>
      <c r="I196" t="s">
        <v>64</v>
      </c>
      <c r="J196" t="s">
        <v>157</v>
      </c>
      <c r="K196" t="s">
        <v>78</v>
      </c>
      <c r="L196" t="s">
        <v>33</v>
      </c>
      <c r="M196" t="s">
        <v>68</v>
      </c>
      <c r="N196" t="s">
        <v>35</v>
      </c>
      <c r="O196" t="s">
        <v>36</v>
      </c>
      <c r="P196" t="s">
        <v>49</v>
      </c>
      <c r="Q196" t="s">
        <v>347</v>
      </c>
      <c r="R196">
        <v>218</v>
      </c>
      <c r="S196">
        <v>118</v>
      </c>
      <c r="T196">
        <v>91</v>
      </c>
      <c r="U196">
        <v>28</v>
      </c>
      <c r="V196" t="s">
        <v>6917</v>
      </c>
      <c r="W196">
        <v>61219</v>
      </c>
      <c r="X196" t="s">
        <v>7080</v>
      </c>
      <c r="Y196">
        <v>46175</v>
      </c>
      <c r="Z196">
        <v>1714132</v>
      </c>
      <c r="AA196">
        <v>421232</v>
      </c>
      <c r="AB196" t="str">
        <f>(VLOOKUP(SalesData[[#This Row],[Month Number]],Reference!C$5:E$16,2,FALSE))</f>
        <v>Feb</v>
      </c>
      <c r="AC196">
        <f>MONTH(SalesData[[#This Row],[Date]])</f>
        <v>2</v>
      </c>
      <c r="AD196">
        <f>Reference!F$4</f>
        <v>2026</v>
      </c>
      <c r="AE196" t="str">
        <f>IF(OR(SalesData[[#This Row],[Day]]="Saturday",SalesData[[#This Row],[Day]]="Sunday"),"Weekend","Weekday")</f>
        <v>Weekday</v>
      </c>
      <c r="AF196" s="5">
        <f>IF(SalesData[[#This Row],[Contracts Offered]]=0,0,SalesData[[#This Row],[Contracts Signed]]/SalesData[[#This Row],[Contracts Offered]])</f>
        <v>0.30769230769230771</v>
      </c>
      <c r="AG196" s="5">
        <f>IF(SalesData[[#This Row],[Customers Visited]]=0,0,SalesData[[#This Row],[Test Drives]]/SalesData[[#This Row],[Customers Visited]])</f>
        <v>0.54128440366972475</v>
      </c>
      <c r="AH196" s="5">
        <f>IF(SalesData[[#This Row],[Customers Visited]]=0,0,SalesData[[#This Row],[Contracts Signed]]/SalesData[[#This Row],[Customers Visited]])</f>
        <v>0.12844036697247707</v>
      </c>
      <c r="AI196" s="6">
        <f>IF(SalesData[[#This Row],[Contracts Signed]]=0,0,SalesData[[#This Row],[Profit(€)]]/SalesData[[#This Row],[Contracts Signed]])</f>
        <v>15044</v>
      </c>
      <c r="AJ196" s="5" t="str">
        <f>TRIM(CLEAN(SalesData[[#This Row],[Retailer]]))</f>
        <v>Leipzig Mobility</v>
      </c>
    </row>
    <row r="197" spans="1:36" ht="14.25" hidden="1" x14ac:dyDescent="0.2">
      <c r="A197" t="s">
        <v>482</v>
      </c>
      <c r="B197" s="1">
        <v>46055</v>
      </c>
      <c r="C197" t="s">
        <v>24</v>
      </c>
      <c r="D197" t="s">
        <v>25</v>
      </c>
      <c r="E197" t="s">
        <v>26</v>
      </c>
      <c r="F197" t="s">
        <v>27</v>
      </c>
      <c r="G197" t="s">
        <v>28</v>
      </c>
      <c r="H197" t="s">
        <v>29</v>
      </c>
      <c r="I197" t="s">
        <v>104</v>
      </c>
      <c r="J197" t="s">
        <v>7031</v>
      </c>
      <c r="K197" t="s">
        <v>66</v>
      </c>
      <c r="L197" t="s">
        <v>46</v>
      </c>
      <c r="M197" t="s">
        <v>47</v>
      </c>
      <c r="N197" t="s">
        <v>69</v>
      </c>
      <c r="O197" t="s">
        <v>70</v>
      </c>
      <c r="P197" t="s">
        <v>49</v>
      </c>
      <c r="Q197" t="s">
        <v>144</v>
      </c>
      <c r="R197">
        <v>455</v>
      </c>
      <c r="S197">
        <v>257</v>
      </c>
      <c r="T197">
        <v>169</v>
      </c>
      <c r="U197">
        <v>38</v>
      </c>
      <c r="V197" t="s">
        <v>731</v>
      </c>
      <c r="W197">
        <v>34345</v>
      </c>
      <c r="X197" t="s">
        <v>7125</v>
      </c>
      <c r="Y197">
        <v>30539</v>
      </c>
      <c r="Z197">
        <v>1305110</v>
      </c>
      <c r="AA197">
        <v>144628</v>
      </c>
      <c r="AB197" t="str">
        <f>(VLOOKUP(SalesData[[#This Row],[Month Number]],Reference!C$5:E$16,2,FALSE))</f>
        <v>Feb</v>
      </c>
      <c r="AC197">
        <f>MONTH(SalesData[[#This Row],[Date]])</f>
        <v>2</v>
      </c>
      <c r="AD197">
        <f>Reference!F$4</f>
        <v>2026</v>
      </c>
      <c r="AE197" t="str">
        <f>IF(OR(SalesData[[#This Row],[Day]]="Saturday",SalesData[[#This Row],[Day]]="Sunday"),"Weekend","Weekday")</f>
        <v>Weekday</v>
      </c>
      <c r="AF197" s="5">
        <f>IF(SalesData[[#This Row],[Contracts Offered]]=0,0,SalesData[[#This Row],[Contracts Signed]]/SalesData[[#This Row],[Contracts Offered]])</f>
        <v>0.22485207100591717</v>
      </c>
      <c r="AG197" s="5">
        <f>IF(SalesData[[#This Row],[Customers Visited]]=0,0,SalesData[[#This Row],[Test Drives]]/SalesData[[#This Row],[Customers Visited]])</f>
        <v>0.56483516483516483</v>
      </c>
      <c r="AH197" s="5">
        <f>IF(SalesData[[#This Row],[Customers Visited]]=0,0,SalesData[[#This Row],[Contracts Signed]]/SalesData[[#This Row],[Customers Visited]])</f>
        <v>8.3516483516483511E-2</v>
      </c>
      <c r="AI197" s="6">
        <f>IF(SalesData[[#This Row],[Contracts Signed]]=0,0,SalesData[[#This Row],[Profit(€)]]/SalesData[[#This Row],[Contracts Signed]])</f>
        <v>3806</v>
      </c>
      <c r="AJ197" s="5" t="str">
        <f>TRIM(CLEAN(SalesData[[#This Row],[Retailer]]))</f>
        <v>Main Auto Hub</v>
      </c>
    </row>
    <row r="198" spans="1:36" ht="14.25" hidden="1" x14ac:dyDescent="0.2">
      <c r="A198" t="s">
        <v>484</v>
      </c>
      <c r="B198" s="1">
        <v>46073</v>
      </c>
      <c r="C198" t="s">
        <v>62</v>
      </c>
      <c r="D198" t="s">
        <v>54</v>
      </c>
      <c r="E198" t="s">
        <v>26</v>
      </c>
      <c r="F198" t="s">
        <v>27</v>
      </c>
      <c r="G198" t="s">
        <v>28</v>
      </c>
      <c r="H198" t="s">
        <v>29</v>
      </c>
      <c r="I198" t="s">
        <v>64</v>
      </c>
      <c r="J198" t="s">
        <v>111</v>
      </c>
      <c r="K198" t="s">
        <v>78</v>
      </c>
      <c r="L198" t="s">
        <v>46</v>
      </c>
      <c r="M198" t="s">
        <v>34</v>
      </c>
      <c r="N198" t="s">
        <v>48</v>
      </c>
      <c r="O198" t="s">
        <v>70</v>
      </c>
      <c r="P198" t="s">
        <v>37</v>
      </c>
      <c r="Q198" t="s">
        <v>135</v>
      </c>
      <c r="R198">
        <v>161</v>
      </c>
      <c r="S198">
        <v>89</v>
      </c>
      <c r="T198">
        <v>60</v>
      </c>
      <c r="U198">
        <v>20</v>
      </c>
      <c r="V198" t="s">
        <v>6578</v>
      </c>
      <c r="W198">
        <v>68766</v>
      </c>
      <c r="X198" t="s">
        <v>323</v>
      </c>
      <c r="Y198">
        <v>52804</v>
      </c>
      <c r="Z198">
        <v>1375320</v>
      </c>
      <c r="AA198">
        <v>319240</v>
      </c>
      <c r="AB198" t="str">
        <f>(VLOOKUP(SalesData[[#This Row],[Month Number]],Reference!C$5:E$16,2,FALSE))</f>
        <v>Feb</v>
      </c>
      <c r="AC198">
        <f>MONTH(SalesData[[#This Row],[Date]])</f>
        <v>2</v>
      </c>
      <c r="AD198">
        <f>Reference!F$4</f>
        <v>2026</v>
      </c>
      <c r="AE198" t="str">
        <f>IF(OR(SalesData[[#This Row],[Day]]="Saturday",SalesData[[#This Row],[Day]]="Sunday"),"Weekend","Weekday")</f>
        <v>Weekday</v>
      </c>
      <c r="AF198" s="5">
        <f>IF(SalesData[[#This Row],[Contracts Offered]]=0,0,SalesData[[#This Row],[Contracts Signed]]/SalesData[[#This Row],[Contracts Offered]])</f>
        <v>0.33333333333333331</v>
      </c>
      <c r="AG198" s="5">
        <f>IF(SalesData[[#This Row],[Customers Visited]]=0,0,SalesData[[#This Row],[Test Drives]]/SalesData[[#This Row],[Customers Visited]])</f>
        <v>0.55279503105590067</v>
      </c>
      <c r="AH198" s="5">
        <f>IF(SalesData[[#This Row],[Customers Visited]]=0,0,SalesData[[#This Row],[Contracts Signed]]/SalesData[[#This Row],[Customers Visited]])</f>
        <v>0.12422360248447205</v>
      </c>
      <c r="AI198" s="6">
        <f>IF(SalesData[[#This Row],[Contracts Signed]]=0,0,SalesData[[#This Row],[Profit(€)]]/SalesData[[#This Row],[Contracts Signed]])</f>
        <v>15962</v>
      </c>
      <c r="AJ198" s="5" t="str">
        <f>TRIM(CLEAN(SalesData[[#This Row],[Retailer]]))</f>
        <v>Main Auto Hub</v>
      </c>
    </row>
    <row r="199" spans="1:36" ht="14.25" hidden="1" x14ac:dyDescent="0.2">
      <c r="A199" t="s">
        <v>485</v>
      </c>
      <c r="B199" s="1">
        <v>46057</v>
      </c>
      <c r="C199" t="s">
        <v>24</v>
      </c>
      <c r="D199" t="s">
        <v>82</v>
      </c>
      <c r="E199" t="s">
        <v>26</v>
      </c>
      <c r="F199" t="s">
        <v>94</v>
      </c>
      <c r="G199" t="s">
        <v>95</v>
      </c>
      <c r="H199" t="s">
        <v>96</v>
      </c>
      <c r="I199" t="s">
        <v>104</v>
      </c>
      <c r="J199" t="s">
        <v>7061</v>
      </c>
      <c r="K199" t="s">
        <v>78</v>
      </c>
      <c r="L199" t="s">
        <v>46</v>
      </c>
      <c r="M199" t="s">
        <v>87</v>
      </c>
      <c r="N199" t="s">
        <v>48</v>
      </c>
      <c r="O199" t="s">
        <v>70</v>
      </c>
      <c r="P199" t="s">
        <v>49</v>
      </c>
      <c r="Q199" t="s">
        <v>106</v>
      </c>
      <c r="R199">
        <v>391</v>
      </c>
      <c r="S199">
        <v>197</v>
      </c>
      <c r="T199">
        <v>139</v>
      </c>
      <c r="U199">
        <v>33</v>
      </c>
      <c r="V199" t="s">
        <v>595</v>
      </c>
      <c r="W199">
        <v>33549</v>
      </c>
      <c r="X199" t="s">
        <v>2878</v>
      </c>
      <c r="Y199">
        <v>29543</v>
      </c>
      <c r="Z199">
        <v>1107117</v>
      </c>
      <c r="AA199">
        <v>132198</v>
      </c>
      <c r="AB199" t="str">
        <f>(VLOOKUP(SalesData[[#This Row],[Month Number]],Reference!C$5:E$16,2,FALSE))</f>
        <v>Feb</v>
      </c>
      <c r="AC199">
        <f>MONTH(SalesData[[#This Row],[Date]])</f>
        <v>2</v>
      </c>
      <c r="AD199">
        <f>Reference!F$4</f>
        <v>2026</v>
      </c>
      <c r="AE199" t="str">
        <f>IF(OR(SalesData[[#This Row],[Day]]="Saturday",SalesData[[#This Row],[Day]]="Sunday"),"Weekend","Weekday")</f>
        <v>Weekday</v>
      </c>
      <c r="AF199" s="5">
        <f>IF(SalesData[[#This Row],[Contracts Offered]]=0,0,SalesData[[#This Row],[Contracts Signed]]/SalesData[[#This Row],[Contracts Offered]])</f>
        <v>0.23741007194244604</v>
      </c>
      <c r="AG199" s="5">
        <f>IF(SalesData[[#This Row],[Customers Visited]]=0,0,SalesData[[#This Row],[Test Drives]]/SalesData[[#This Row],[Customers Visited]])</f>
        <v>0.50383631713554988</v>
      </c>
      <c r="AH199" s="5">
        <f>IF(SalesData[[#This Row],[Customers Visited]]=0,0,SalesData[[#This Row],[Contracts Signed]]/SalesData[[#This Row],[Customers Visited]])</f>
        <v>8.4398976982097182E-2</v>
      </c>
      <c r="AI199" s="6">
        <f>IF(SalesData[[#This Row],[Contracts Signed]]=0,0,SalesData[[#This Row],[Profit(€)]]/SalesData[[#This Row],[Contracts Signed]])</f>
        <v>4006</v>
      </c>
      <c r="AJ199" s="5" t="str">
        <f>TRIM(CLEAN(SalesData[[#This Row],[Retailer]]))</f>
        <v>Bavaria Motors</v>
      </c>
    </row>
    <row r="200" spans="1:36" ht="14.25" x14ac:dyDescent="0.2">
      <c r="A200" t="s">
        <v>486</v>
      </c>
      <c r="B200" s="1">
        <v>46067</v>
      </c>
      <c r="C200" t="s">
        <v>121</v>
      </c>
      <c r="D200" t="s">
        <v>151</v>
      </c>
      <c r="E200" t="s">
        <v>42</v>
      </c>
      <c r="F200" t="s">
        <v>127</v>
      </c>
      <c r="G200" t="s">
        <v>128</v>
      </c>
      <c r="H200" t="s">
        <v>103</v>
      </c>
      <c r="I200" t="s">
        <v>30</v>
      </c>
      <c r="J200" t="s">
        <v>188</v>
      </c>
      <c r="K200" t="s">
        <v>32</v>
      </c>
      <c r="L200" t="s">
        <v>33</v>
      </c>
      <c r="M200" t="s">
        <v>87</v>
      </c>
      <c r="N200" t="s">
        <v>48</v>
      </c>
      <c r="O200" t="s">
        <v>70</v>
      </c>
      <c r="P200" t="s">
        <v>58</v>
      </c>
      <c r="Q200" t="s">
        <v>135</v>
      </c>
      <c r="R200">
        <v>203</v>
      </c>
      <c r="S200">
        <v>96</v>
      </c>
      <c r="T200">
        <v>68</v>
      </c>
      <c r="U200">
        <v>30</v>
      </c>
      <c r="V200" t="s">
        <v>7076</v>
      </c>
      <c r="W200">
        <v>54978</v>
      </c>
      <c r="X200" t="s">
        <v>1002</v>
      </c>
      <c r="Y200">
        <v>42078</v>
      </c>
      <c r="Z200">
        <v>1649340</v>
      </c>
      <c r="AA200">
        <v>387000</v>
      </c>
      <c r="AB200" t="str">
        <f>(VLOOKUP(SalesData[[#This Row],[Month Number]],Reference!C$5:E$16,2,FALSE))</f>
        <v>Feb</v>
      </c>
      <c r="AC200">
        <f>MONTH(SalesData[[#This Row],[Date]])</f>
        <v>2</v>
      </c>
      <c r="AD200">
        <f>Reference!F$4</f>
        <v>2026</v>
      </c>
      <c r="AE200" t="str">
        <f>IF(OR(SalesData[[#This Row],[Day]]="Saturday",SalesData[[#This Row],[Day]]="Sunday"),"Weekend","Weekday")</f>
        <v>Weekend</v>
      </c>
      <c r="AF200" s="5">
        <f>IF(SalesData[[#This Row],[Contracts Offered]]=0,0,SalesData[[#This Row],[Contracts Signed]]/SalesData[[#This Row],[Contracts Offered]])</f>
        <v>0.44117647058823528</v>
      </c>
      <c r="AG200" s="5">
        <f>IF(SalesData[[#This Row],[Customers Visited]]=0,0,SalesData[[#This Row],[Test Drives]]/SalesData[[#This Row],[Customers Visited]])</f>
        <v>0.47290640394088668</v>
      </c>
      <c r="AH200" s="5">
        <f>IF(SalesData[[#This Row],[Customers Visited]]=0,0,SalesData[[#This Row],[Contracts Signed]]/SalesData[[#This Row],[Customers Visited]])</f>
        <v>0.14778325123152711</v>
      </c>
      <c r="AI200" s="6">
        <f>IF(SalesData[[#This Row],[Contracts Signed]]=0,0,SalesData[[#This Row],[Profit(€)]]/SalesData[[#This Row],[Contracts Signed]])</f>
        <v>12900</v>
      </c>
      <c r="AJ200" s="5" t="str">
        <f>TRIM(CLEAN(SalesData[[#This Row],[Retailer]]))</f>
        <v>Rhein Auto Group</v>
      </c>
    </row>
    <row r="201" spans="1:36" ht="14.25" x14ac:dyDescent="0.2">
      <c r="A201" t="s">
        <v>487</v>
      </c>
      <c r="B201" s="1">
        <v>46065</v>
      </c>
      <c r="C201" t="s">
        <v>121</v>
      </c>
      <c r="D201" t="s">
        <v>100</v>
      </c>
      <c r="E201" t="s">
        <v>26</v>
      </c>
      <c r="F201" t="s">
        <v>127</v>
      </c>
      <c r="G201" t="s">
        <v>128</v>
      </c>
      <c r="H201" t="s">
        <v>103</v>
      </c>
      <c r="I201" t="s">
        <v>30</v>
      </c>
      <c r="J201" t="s">
        <v>86</v>
      </c>
      <c r="K201" t="s">
        <v>78</v>
      </c>
      <c r="L201" t="s">
        <v>33</v>
      </c>
      <c r="M201" t="s">
        <v>68</v>
      </c>
      <c r="N201" t="s">
        <v>69</v>
      </c>
      <c r="O201" t="s">
        <v>70</v>
      </c>
      <c r="P201" t="s">
        <v>49</v>
      </c>
      <c r="Q201" t="s">
        <v>118</v>
      </c>
      <c r="R201">
        <v>280</v>
      </c>
      <c r="S201">
        <v>144</v>
      </c>
      <c r="T201">
        <v>104</v>
      </c>
      <c r="U201">
        <v>38</v>
      </c>
      <c r="V201" t="s">
        <v>6784</v>
      </c>
      <c r="W201">
        <v>61833</v>
      </c>
      <c r="X201" t="s">
        <v>504</v>
      </c>
      <c r="Y201">
        <v>47175</v>
      </c>
      <c r="Z201">
        <v>2349654</v>
      </c>
      <c r="AA201">
        <v>557004</v>
      </c>
      <c r="AB201" t="str">
        <f>(VLOOKUP(SalesData[[#This Row],[Month Number]],Reference!C$5:E$16,2,FALSE))</f>
        <v>Feb</v>
      </c>
      <c r="AC201">
        <f>MONTH(SalesData[[#This Row],[Date]])</f>
        <v>2</v>
      </c>
      <c r="AD201">
        <f>Reference!F$4</f>
        <v>2026</v>
      </c>
      <c r="AE201" t="str">
        <f>IF(OR(SalesData[[#This Row],[Day]]="Saturday",SalesData[[#This Row],[Day]]="Sunday"),"Weekend","Weekday")</f>
        <v>Weekday</v>
      </c>
      <c r="AF201" s="5">
        <f>IF(SalesData[[#This Row],[Contracts Offered]]=0,0,SalesData[[#This Row],[Contracts Signed]]/SalesData[[#This Row],[Contracts Offered]])</f>
        <v>0.36538461538461536</v>
      </c>
      <c r="AG201" s="5">
        <f>IF(SalesData[[#This Row],[Customers Visited]]=0,0,SalesData[[#This Row],[Test Drives]]/SalesData[[#This Row],[Customers Visited]])</f>
        <v>0.51428571428571423</v>
      </c>
      <c r="AH201" s="5">
        <f>IF(SalesData[[#This Row],[Customers Visited]]=0,0,SalesData[[#This Row],[Contracts Signed]]/SalesData[[#This Row],[Customers Visited]])</f>
        <v>0.1357142857142857</v>
      </c>
      <c r="AI201" s="6">
        <f>IF(SalesData[[#This Row],[Contracts Signed]]=0,0,SalesData[[#This Row],[Profit(€)]]/SalesData[[#This Row],[Contracts Signed]])</f>
        <v>14658</v>
      </c>
      <c r="AJ201" s="5" t="str">
        <f>TRIM(CLEAN(SalesData[[#This Row],[Retailer]]))</f>
        <v>Rhein Auto Group</v>
      </c>
    </row>
    <row r="202" spans="1:36" ht="14.25" hidden="1" x14ac:dyDescent="0.2">
      <c r="A202" t="s">
        <v>489</v>
      </c>
      <c r="B202" s="1">
        <v>46073</v>
      </c>
      <c r="C202" t="s">
        <v>62</v>
      </c>
      <c r="D202" t="s">
        <v>54</v>
      </c>
      <c r="E202" t="s">
        <v>26</v>
      </c>
      <c r="F202" t="s">
        <v>114</v>
      </c>
      <c r="G202" t="s">
        <v>115</v>
      </c>
      <c r="H202" t="s">
        <v>115</v>
      </c>
      <c r="I202" t="s">
        <v>104</v>
      </c>
      <c r="J202" t="s">
        <v>105</v>
      </c>
      <c r="K202" t="s">
        <v>66</v>
      </c>
      <c r="L202" t="s">
        <v>33</v>
      </c>
      <c r="M202" t="s">
        <v>68</v>
      </c>
      <c r="N202" t="s">
        <v>48</v>
      </c>
      <c r="O202" t="s">
        <v>70</v>
      </c>
      <c r="P202" t="s">
        <v>58</v>
      </c>
      <c r="Q202" t="s">
        <v>122</v>
      </c>
      <c r="R202">
        <v>313</v>
      </c>
      <c r="S202">
        <v>174</v>
      </c>
      <c r="T202">
        <v>105</v>
      </c>
      <c r="U202">
        <v>30</v>
      </c>
      <c r="V202" t="s">
        <v>1447</v>
      </c>
      <c r="W202">
        <v>30425</v>
      </c>
      <c r="X202" t="s">
        <v>964</v>
      </c>
      <c r="Y202">
        <v>26667</v>
      </c>
      <c r="Z202">
        <v>912750</v>
      </c>
      <c r="AA202">
        <v>112740</v>
      </c>
      <c r="AB202" t="str">
        <f>(VLOOKUP(SalesData[[#This Row],[Month Number]],Reference!C$5:E$16,2,FALSE))</f>
        <v>Feb</v>
      </c>
      <c r="AC202">
        <f>MONTH(SalesData[[#This Row],[Date]])</f>
        <v>2</v>
      </c>
      <c r="AD202">
        <f>Reference!F$4</f>
        <v>2026</v>
      </c>
      <c r="AE202" t="str">
        <f>IF(OR(SalesData[[#This Row],[Day]]="Saturday",SalesData[[#This Row],[Day]]="Sunday"),"Weekend","Weekday")</f>
        <v>Weekday</v>
      </c>
      <c r="AF202" s="5">
        <f>IF(SalesData[[#This Row],[Contracts Offered]]=0,0,SalesData[[#This Row],[Contracts Signed]]/SalesData[[#This Row],[Contracts Offered]])</f>
        <v>0.2857142857142857</v>
      </c>
      <c r="AG202" s="5">
        <f>IF(SalesData[[#This Row],[Customers Visited]]=0,0,SalesData[[#This Row],[Test Drives]]/SalesData[[#This Row],[Customers Visited]])</f>
        <v>0.55591054313099042</v>
      </c>
      <c r="AH202" s="5">
        <f>IF(SalesData[[#This Row],[Customers Visited]]=0,0,SalesData[[#This Row],[Contracts Signed]]/SalesData[[#This Row],[Customers Visited]])</f>
        <v>9.5846645367412137E-2</v>
      </c>
      <c r="AI202" s="6">
        <f>IF(SalesData[[#This Row],[Contracts Signed]]=0,0,SalesData[[#This Row],[Profit(€)]]/SalesData[[#This Row],[Contracts Signed]])</f>
        <v>3758</v>
      </c>
      <c r="AJ202" s="5" t="str">
        <f>TRIM(CLEAN(SalesData[[#This Row],[Retailer]]))</f>
        <v>Elbe Drive</v>
      </c>
    </row>
    <row r="203" spans="1:36" ht="14.25" hidden="1" x14ac:dyDescent="0.2">
      <c r="A203" t="s">
        <v>491</v>
      </c>
      <c r="B203" s="1">
        <v>46061</v>
      </c>
      <c r="C203" t="s">
        <v>121</v>
      </c>
      <c r="D203" t="s">
        <v>41</v>
      </c>
      <c r="E203" t="s">
        <v>42</v>
      </c>
      <c r="F203" t="s">
        <v>43</v>
      </c>
      <c r="G203" t="s">
        <v>44</v>
      </c>
      <c r="H203" t="s">
        <v>45</v>
      </c>
      <c r="I203" t="s">
        <v>104</v>
      </c>
      <c r="J203" t="s">
        <v>105</v>
      </c>
      <c r="K203" t="s">
        <v>66</v>
      </c>
      <c r="L203" t="s">
        <v>33</v>
      </c>
      <c r="M203" t="s">
        <v>47</v>
      </c>
      <c r="N203" t="s">
        <v>35</v>
      </c>
      <c r="O203" t="s">
        <v>36</v>
      </c>
      <c r="P203" t="s">
        <v>37</v>
      </c>
      <c r="Q203" t="s">
        <v>152</v>
      </c>
      <c r="R203">
        <v>362</v>
      </c>
      <c r="S203">
        <v>158</v>
      </c>
      <c r="T203">
        <v>108</v>
      </c>
      <c r="U203">
        <v>19</v>
      </c>
      <c r="V203" t="s">
        <v>690</v>
      </c>
      <c r="W203">
        <v>31629</v>
      </c>
      <c r="X203" t="s">
        <v>2427</v>
      </c>
      <c r="Y203">
        <v>28741</v>
      </c>
      <c r="Z203">
        <v>600951</v>
      </c>
      <c r="AA203">
        <v>54872</v>
      </c>
      <c r="AB203" t="str">
        <f>(VLOOKUP(SalesData[[#This Row],[Month Number]],Reference!C$5:E$16,2,FALSE))</f>
        <v>Feb</v>
      </c>
      <c r="AC203">
        <f>MONTH(SalesData[[#This Row],[Date]])</f>
        <v>2</v>
      </c>
      <c r="AD203">
        <f>Reference!F$4</f>
        <v>2026</v>
      </c>
      <c r="AE203" t="str">
        <f>IF(OR(SalesData[[#This Row],[Day]]="Saturday",SalesData[[#This Row],[Day]]="Sunday"),"Weekend","Weekday")</f>
        <v>Weekend</v>
      </c>
      <c r="AF203" s="5">
        <f>IF(SalesData[[#This Row],[Contracts Offered]]=0,0,SalesData[[#This Row],[Contracts Signed]]/SalesData[[#This Row],[Contracts Offered]])</f>
        <v>0.17592592592592593</v>
      </c>
      <c r="AG203" s="5">
        <f>IF(SalesData[[#This Row],[Customers Visited]]=0,0,SalesData[[#This Row],[Test Drives]]/SalesData[[#This Row],[Customers Visited]])</f>
        <v>0.43646408839779005</v>
      </c>
      <c r="AH203" s="5">
        <f>IF(SalesData[[#This Row],[Customers Visited]]=0,0,SalesData[[#This Row],[Contracts Signed]]/SalesData[[#This Row],[Customers Visited]])</f>
        <v>5.2486187845303865E-2</v>
      </c>
      <c r="AI203" s="6">
        <f>IF(SalesData[[#This Row],[Contracts Signed]]=0,0,SalesData[[#This Row],[Profit(€)]]/SalesData[[#This Row],[Contracts Signed]])</f>
        <v>2888</v>
      </c>
      <c r="AJ203" s="5" t="str">
        <f>TRIM(CLEAN(SalesData[[#This Row],[Retailer]]))</f>
        <v>Saxon Wheels</v>
      </c>
    </row>
    <row r="204" spans="1:36" ht="14.25" hidden="1" x14ac:dyDescent="0.2">
      <c r="A204" t="s">
        <v>492</v>
      </c>
      <c r="B204" s="1">
        <v>46067</v>
      </c>
      <c r="C204" t="s">
        <v>121</v>
      </c>
      <c r="D204" t="s">
        <v>151</v>
      </c>
      <c r="E204" t="s">
        <v>42</v>
      </c>
      <c r="F204" t="s">
        <v>74</v>
      </c>
      <c r="G204" t="s">
        <v>75</v>
      </c>
      <c r="H204" t="s">
        <v>76</v>
      </c>
      <c r="I204" t="s">
        <v>64</v>
      </c>
      <c r="J204" t="s">
        <v>157</v>
      </c>
      <c r="K204" t="s">
        <v>66</v>
      </c>
      <c r="L204" t="s">
        <v>33</v>
      </c>
      <c r="M204" t="s">
        <v>47</v>
      </c>
      <c r="N204" t="s">
        <v>48</v>
      </c>
      <c r="O204" t="s">
        <v>70</v>
      </c>
      <c r="P204" t="s">
        <v>71</v>
      </c>
      <c r="Q204" t="s">
        <v>122</v>
      </c>
      <c r="R204">
        <v>266</v>
      </c>
      <c r="S204">
        <v>128</v>
      </c>
      <c r="T204">
        <v>86</v>
      </c>
      <c r="U204">
        <v>32</v>
      </c>
      <c r="V204" t="s">
        <v>6403</v>
      </c>
      <c r="W204">
        <v>57734</v>
      </c>
      <c r="X204" t="s">
        <v>3526</v>
      </c>
      <c r="Y204">
        <v>44415</v>
      </c>
      <c r="Z204">
        <v>1847488</v>
      </c>
      <c r="AA204">
        <v>426208</v>
      </c>
      <c r="AB204" t="str">
        <f>(VLOOKUP(SalesData[[#This Row],[Month Number]],Reference!C$5:E$16,2,FALSE))</f>
        <v>Feb</v>
      </c>
      <c r="AC204">
        <f>MONTH(SalesData[[#This Row],[Date]])</f>
        <v>2</v>
      </c>
      <c r="AD204">
        <f>Reference!F$4</f>
        <v>2026</v>
      </c>
      <c r="AE204" t="str">
        <f>IF(OR(SalesData[[#This Row],[Day]]="Saturday",SalesData[[#This Row],[Day]]="Sunday"),"Weekend","Weekday")</f>
        <v>Weekend</v>
      </c>
      <c r="AF204" s="5">
        <f>IF(SalesData[[#This Row],[Contracts Offered]]=0,0,SalesData[[#This Row],[Contracts Signed]]/SalesData[[#This Row],[Contracts Offered]])</f>
        <v>0.37209302325581395</v>
      </c>
      <c r="AG204" s="5">
        <f>IF(SalesData[[#This Row],[Customers Visited]]=0,0,SalesData[[#This Row],[Test Drives]]/SalesData[[#This Row],[Customers Visited]])</f>
        <v>0.48120300751879697</v>
      </c>
      <c r="AH204" s="5">
        <f>IF(SalesData[[#This Row],[Customers Visited]]=0,0,SalesData[[#This Row],[Contracts Signed]]/SalesData[[#This Row],[Customers Visited]])</f>
        <v>0.12030075187969924</v>
      </c>
      <c r="AI204" s="6">
        <f>IF(SalesData[[#This Row],[Contracts Signed]]=0,0,SalesData[[#This Row],[Profit(€)]]/SalesData[[#This Row],[Contracts Signed]])</f>
        <v>13319</v>
      </c>
      <c r="AJ204" s="5" t="str">
        <f>TRIM(CLEAN(SalesData[[#This Row],[Retailer]]))</f>
        <v>Stuttgart Auto Center</v>
      </c>
    </row>
    <row r="205" spans="1:36" ht="14.25" hidden="1" x14ac:dyDescent="0.2">
      <c r="A205" t="s">
        <v>493</v>
      </c>
      <c r="B205" s="1">
        <v>46080</v>
      </c>
      <c r="C205" t="s">
        <v>53</v>
      </c>
      <c r="D205" t="s">
        <v>54</v>
      </c>
      <c r="E205" t="s">
        <v>26</v>
      </c>
      <c r="F205" t="s">
        <v>114</v>
      </c>
      <c r="G205" t="s">
        <v>115</v>
      </c>
      <c r="H205" t="s">
        <v>115</v>
      </c>
      <c r="I205" t="s">
        <v>64</v>
      </c>
      <c r="J205" t="s">
        <v>7029</v>
      </c>
      <c r="K205" t="s">
        <v>32</v>
      </c>
      <c r="L205" t="s">
        <v>33</v>
      </c>
      <c r="M205" t="s">
        <v>68</v>
      </c>
      <c r="N205" t="s">
        <v>35</v>
      </c>
      <c r="O205" t="s">
        <v>36</v>
      </c>
      <c r="P205" t="s">
        <v>71</v>
      </c>
      <c r="Q205" t="s">
        <v>106</v>
      </c>
      <c r="R205">
        <v>151</v>
      </c>
      <c r="S205">
        <v>71</v>
      </c>
      <c r="T205">
        <v>51</v>
      </c>
      <c r="U205">
        <v>21</v>
      </c>
      <c r="V205" t="s">
        <v>6772</v>
      </c>
      <c r="W205">
        <v>65885</v>
      </c>
      <c r="X205" t="s">
        <v>3288</v>
      </c>
      <c r="Y205">
        <v>50323</v>
      </c>
      <c r="Z205">
        <v>1383585</v>
      </c>
      <c r="AA205">
        <v>326802</v>
      </c>
      <c r="AB205" t="str">
        <f>(VLOOKUP(SalesData[[#This Row],[Month Number]],Reference!C$5:E$16,2,FALSE))</f>
        <v>Feb</v>
      </c>
      <c r="AC205">
        <f>MONTH(SalesData[[#This Row],[Date]])</f>
        <v>2</v>
      </c>
      <c r="AD205">
        <f>Reference!F$4</f>
        <v>2026</v>
      </c>
      <c r="AE205" t="str">
        <f>IF(OR(SalesData[[#This Row],[Day]]="Saturday",SalesData[[#This Row],[Day]]="Sunday"),"Weekend","Weekday")</f>
        <v>Weekday</v>
      </c>
      <c r="AF205" s="5">
        <f>IF(SalesData[[#This Row],[Contracts Offered]]=0,0,SalesData[[#This Row],[Contracts Signed]]/SalesData[[#This Row],[Contracts Offered]])</f>
        <v>0.41176470588235292</v>
      </c>
      <c r="AG205" s="5">
        <f>IF(SalesData[[#This Row],[Customers Visited]]=0,0,SalesData[[#This Row],[Test Drives]]/SalesData[[#This Row],[Customers Visited]])</f>
        <v>0.47019867549668876</v>
      </c>
      <c r="AH205" s="5">
        <f>IF(SalesData[[#This Row],[Customers Visited]]=0,0,SalesData[[#This Row],[Contracts Signed]]/SalesData[[#This Row],[Customers Visited]])</f>
        <v>0.13907284768211919</v>
      </c>
      <c r="AI205" s="6">
        <f>IF(SalesData[[#This Row],[Contracts Signed]]=0,0,SalesData[[#This Row],[Profit(€)]]/SalesData[[#This Row],[Contracts Signed]])</f>
        <v>15562</v>
      </c>
      <c r="AJ205" s="5" t="str">
        <f>TRIM(CLEAN(SalesData[[#This Row],[Retailer]]))</f>
        <v>Elbe Drive</v>
      </c>
    </row>
    <row r="206" spans="1:36" ht="14.25" hidden="1" x14ac:dyDescent="0.2">
      <c r="A206" t="s">
        <v>495</v>
      </c>
      <c r="B206" s="1">
        <v>46056</v>
      </c>
      <c r="C206" t="s">
        <v>24</v>
      </c>
      <c r="D206" t="s">
        <v>63</v>
      </c>
      <c r="E206" t="s">
        <v>26</v>
      </c>
      <c r="F206" t="s">
        <v>109</v>
      </c>
      <c r="G206" t="s">
        <v>110</v>
      </c>
      <c r="H206" t="s">
        <v>45</v>
      </c>
      <c r="I206" t="s">
        <v>116</v>
      </c>
      <c r="J206" t="s">
        <v>7026</v>
      </c>
      <c r="K206" t="s">
        <v>66</v>
      </c>
      <c r="L206" t="s">
        <v>46</v>
      </c>
      <c r="M206" t="s">
        <v>68</v>
      </c>
      <c r="N206" t="s">
        <v>48</v>
      </c>
      <c r="O206" t="s">
        <v>70</v>
      </c>
      <c r="P206" t="s">
        <v>37</v>
      </c>
      <c r="Q206" t="s">
        <v>158</v>
      </c>
      <c r="R206">
        <v>349</v>
      </c>
      <c r="S206">
        <v>168</v>
      </c>
      <c r="T206">
        <v>97</v>
      </c>
      <c r="U206">
        <v>25</v>
      </c>
      <c r="V206" t="s">
        <v>2480</v>
      </c>
      <c r="W206">
        <v>20963</v>
      </c>
      <c r="X206" t="s">
        <v>5036</v>
      </c>
      <c r="Y206">
        <v>19177</v>
      </c>
      <c r="Z206">
        <v>524075</v>
      </c>
      <c r="AA206">
        <v>44650</v>
      </c>
      <c r="AB206" t="str">
        <f>(VLOOKUP(SalesData[[#This Row],[Month Number]],Reference!C$5:E$16,2,FALSE))</f>
        <v>Feb</v>
      </c>
      <c r="AC206">
        <f>MONTH(SalesData[[#This Row],[Date]])</f>
        <v>2</v>
      </c>
      <c r="AD206">
        <f>Reference!F$4</f>
        <v>2026</v>
      </c>
      <c r="AE206" t="str">
        <f>IF(OR(SalesData[[#This Row],[Day]]="Saturday",SalesData[[#This Row],[Day]]="Sunday"),"Weekend","Weekday")</f>
        <v>Weekday</v>
      </c>
      <c r="AF206" s="5">
        <f>IF(SalesData[[#This Row],[Contracts Offered]]=0,0,SalesData[[#This Row],[Contracts Signed]]/SalesData[[#This Row],[Contracts Offered]])</f>
        <v>0.25773195876288657</v>
      </c>
      <c r="AG206" s="5">
        <f>IF(SalesData[[#This Row],[Customers Visited]]=0,0,SalesData[[#This Row],[Test Drives]]/SalesData[[#This Row],[Customers Visited]])</f>
        <v>0.48137535816618909</v>
      </c>
      <c r="AH206" s="5">
        <f>IF(SalesData[[#This Row],[Customers Visited]]=0,0,SalesData[[#This Row],[Contracts Signed]]/SalesData[[#This Row],[Customers Visited]])</f>
        <v>7.1633237822349566E-2</v>
      </c>
      <c r="AI206" s="6">
        <f>IF(SalesData[[#This Row],[Contracts Signed]]=0,0,SalesData[[#This Row],[Profit(€)]]/SalesData[[#This Row],[Contracts Signed]])</f>
        <v>1786</v>
      </c>
      <c r="AJ206" s="5" t="str">
        <f>TRIM(CLEAN(SalesData[[#This Row],[Retailer]]))</f>
        <v>Leipzig Mobility</v>
      </c>
    </row>
    <row r="207" spans="1:36" ht="14.25" x14ac:dyDescent="0.2">
      <c r="A207" t="s">
        <v>497</v>
      </c>
      <c r="B207" s="1">
        <v>46077</v>
      </c>
      <c r="C207" t="s">
        <v>53</v>
      </c>
      <c r="D207" t="s">
        <v>63</v>
      </c>
      <c r="E207" t="s">
        <v>26</v>
      </c>
      <c r="F207" t="s">
        <v>43</v>
      </c>
      <c r="G207" t="s">
        <v>44</v>
      </c>
      <c r="H207" t="s">
        <v>45</v>
      </c>
      <c r="I207" t="s">
        <v>30</v>
      </c>
      <c r="J207" t="s">
        <v>166</v>
      </c>
      <c r="K207" t="s">
        <v>91</v>
      </c>
      <c r="L207" t="s">
        <v>46</v>
      </c>
      <c r="M207" t="s">
        <v>68</v>
      </c>
      <c r="N207" t="s">
        <v>48</v>
      </c>
      <c r="O207" t="s">
        <v>70</v>
      </c>
      <c r="P207" t="s">
        <v>37</v>
      </c>
      <c r="Q207" t="s">
        <v>79</v>
      </c>
      <c r="R207">
        <v>191</v>
      </c>
      <c r="S207">
        <v>91</v>
      </c>
      <c r="T207">
        <v>67</v>
      </c>
      <c r="U207">
        <v>23</v>
      </c>
      <c r="V207" t="s">
        <v>6448</v>
      </c>
      <c r="W207">
        <v>66516</v>
      </c>
      <c r="X207" t="s">
        <v>7034</v>
      </c>
      <c r="Y207">
        <v>47629</v>
      </c>
      <c r="Z207">
        <v>1529868</v>
      </c>
      <c r="AA207">
        <v>434401</v>
      </c>
      <c r="AB207" t="str">
        <f>(VLOOKUP(SalesData[[#This Row],[Month Number]],Reference!C$5:E$16,2,FALSE))</f>
        <v>Feb</v>
      </c>
      <c r="AC207">
        <f>MONTH(SalesData[[#This Row],[Date]])</f>
        <v>2</v>
      </c>
      <c r="AD207">
        <f>Reference!F$4</f>
        <v>2026</v>
      </c>
      <c r="AE207" t="str">
        <f>IF(OR(SalesData[[#This Row],[Day]]="Saturday",SalesData[[#This Row],[Day]]="Sunday"),"Weekend","Weekday")</f>
        <v>Weekday</v>
      </c>
      <c r="AF207" s="5">
        <f>IF(SalesData[[#This Row],[Contracts Offered]]=0,0,SalesData[[#This Row],[Contracts Signed]]/SalesData[[#This Row],[Contracts Offered]])</f>
        <v>0.34328358208955223</v>
      </c>
      <c r="AG207" s="5">
        <f>IF(SalesData[[#This Row],[Customers Visited]]=0,0,SalesData[[#This Row],[Test Drives]]/SalesData[[#This Row],[Customers Visited]])</f>
        <v>0.47643979057591623</v>
      </c>
      <c r="AH207" s="5">
        <f>IF(SalesData[[#This Row],[Customers Visited]]=0,0,SalesData[[#This Row],[Contracts Signed]]/SalesData[[#This Row],[Customers Visited]])</f>
        <v>0.12041884816753927</v>
      </c>
      <c r="AI207" s="6">
        <f>IF(SalesData[[#This Row],[Contracts Signed]]=0,0,SalesData[[#This Row],[Profit(€)]]/SalesData[[#This Row],[Contracts Signed]])</f>
        <v>18887</v>
      </c>
      <c r="AJ207" s="5" t="str">
        <f>TRIM(CLEAN(SalesData[[#This Row],[Retailer]]))</f>
        <v>Saxon Wheels</v>
      </c>
    </row>
    <row r="208" spans="1:36" ht="14.25" hidden="1" x14ac:dyDescent="0.2">
      <c r="A208" t="s">
        <v>499</v>
      </c>
      <c r="B208" s="1">
        <v>46066</v>
      </c>
      <c r="C208" t="s">
        <v>121</v>
      </c>
      <c r="D208" t="s">
        <v>54</v>
      </c>
      <c r="E208" t="s">
        <v>26</v>
      </c>
      <c r="F208" t="s">
        <v>83</v>
      </c>
      <c r="G208" t="s">
        <v>84</v>
      </c>
      <c r="H208" t="s">
        <v>85</v>
      </c>
      <c r="I208" t="s">
        <v>56</v>
      </c>
      <c r="J208" t="s">
        <v>137</v>
      </c>
      <c r="K208" t="s">
        <v>66</v>
      </c>
      <c r="L208" t="s">
        <v>46</v>
      </c>
      <c r="M208" t="s">
        <v>68</v>
      </c>
      <c r="N208" t="s">
        <v>48</v>
      </c>
      <c r="O208" t="s">
        <v>36</v>
      </c>
      <c r="P208" t="s">
        <v>49</v>
      </c>
      <c r="Q208" t="s">
        <v>135</v>
      </c>
      <c r="R208">
        <v>292</v>
      </c>
      <c r="S208">
        <v>145</v>
      </c>
      <c r="T208">
        <v>95</v>
      </c>
      <c r="U208">
        <v>27</v>
      </c>
      <c r="V208" t="s">
        <v>2213</v>
      </c>
      <c r="W208">
        <v>43333</v>
      </c>
      <c r="X208" t="s">
        <v>1151</v>
      </c>
      <c r="Y208">
        <v>34835</v>
      </c>
      <c r="Z208">
        <v>1169991</v>
      </c>
      <c r="AA208">
        <v>229446</v>
      </c>
      <c r="AB208" t="str">
        <f>(VLOOKUP(SalesData[[#This Row],[Month Number]],Reference!C$5:E$16,2,FALSE))</f>
        <v>Feb</v>
      </c>
      <c r="AC208">
        <f>MONTH(SalesData[[#This Row],[Date]])</f>
        <v>2</v>
      </c>
      <c r="AD208">
        <f>Reference!F$4</f>
        <v>2026</v>
      </c>
      <c r="AE208" t="str">
        <f>IF(OR(SalesData[[#This Row],[Day]]="Saturday",SalesData[[#This Row],[Day]]="Sunday"),"Weekend","Weekday")</f>
        <v>Weekday</v>
      </c>
      <c r="AF208" s="5">
        <f>IF(SalesData[[#This Row],[Contracts Offered]]=0,0,SalesData[[#This Row],[Contracts Signed]]/SalesData[[#This Row],[Contracts Offered]])</f>
        <v>0.28421052631578947</v>
      </c>
      <c r="AG208" s="5">
        <f>IF(SalesData[[#This Row],[Customers Visited]]=0,0,SalesData[[#This Row],[Test Drives]]/SalesData[[#This Row],[Customers Visited]])</f>
        <v>0.49657534246575341</v>
      </c>
      <c r="AH208" s="5">
        <f>IF(SalesData[[#This Row],[Customers Visited]]=0,0,SalesData[[#This Row],[Contracts Signed]]/SalesData[[#This Row],[Customers Visited]])</f>
        <v>9.2465753424657529E-2</v>
      </c>
      <c r="AI208" s="6">
        <f>IF(SalesData[[#This Row],[Contracts Signed]]=0,0,SalesData[[#This Row],[Profit(€)]]/SalesData[[#This Row],[Contracts Signed]])</f>
        <v>8498</v>
      </c>
      <c r="AJ208" s="5" t="str">
        <f>TRIM(CLEAN(SalesData[[#This Row],[Retailer]]))</f>
        <v>Hannover Cars</v>
      </c>
    </row>
    <row r="209" spans="1:36" ht="14.25" hidden="1" x14ac:dyDescent="0.2">
      <c r="A209" t="s">
        <v>501</v>
      </c>
      <c r="B209" s="1">
        <v>46075</v>
      </c>
      <c r="C209" t="s">
        <v>53</v>
      </c>
      <c r="D209" t="s">
        <v>41</v>
      </c>
      <c r="E209" t="s">
        <v>42</v>
      </c>
      <c r="F209" t="s">
        <v>74</v>
      </c>
      <c r="G209" t="s">
        <v>75</v>
      </c>
      <c r="H209" t="s">
        <v>76</v>
      </c>
      <c r="I209" t="s">
        <v>56</v>
      </c>
      <c r="J209" t="s">
        <v>97</v>
      </c>
      <c r="K209" t="s">
        <v>66</v>
      </c>
      <c r="L209" t="s">
        <v>33</v>
      </c>
      <c r="M209" t="s">
        <v>87</v>
      </c>
      <c r="N209" t="s">
        <v>35</v>
      </c>
      <c r="O209" t="s">
        <v>70</v>
      </c>
      <c r="P209" t="s">
        <v>58</v>
      </c>
      <c r="Q209" t="s">
        <v>347</v>
      </c>
      <c r="R209">
        <v>232</v>
      </c>
      <c r="S209">
        <v>122</v>
      </c>
      <c r="T209">
        <v>94</v>
      </c>
      <c r="U209">
        <v>31</v>
      </c>
      <c r="V209" t="s">
        <v>6951</v>
      </c>
      <c r="W209">
        <v>52470</v>
      </c>
      <c r="X209" t="s">
        <v>7126</v>
      </c>
      <c r="Y209">
        <v>41210</v>
      </c>
      <c r="Z209">
        <v>1626570</v>
      </c>
      <c r="AA209">
        <v>349060</v>
      </c>
      <c r="AB209" t="str">
        <f>(VLOOKUP(SalesData[[#This Row],[Month Number]],Reference!C$5:E$16,2,FALSE))</f>
        <v>Feb</v>
      </c>
      <c r="AC209">
        <f>MONTH(SalesData[[#This Row],[Date]])</f>
        <v>2</v>
      </c>
      <c r="AD209">
        <f>Reference!F$4</f>
        <v>2026</v>
      </c>
      <c r="AE209" t="str">
        <f>IF(OR(SalesData[[#This Row],[Day]]="Saturday",SalesData[[#This Row],[Day]]="Sunday"),"Weekend","Weekday")</f>
        <v>Weekend</v>
      </c>
      <c r="AF209" s="5">
        <f>IF(SalesData[[#This Row],[Contracts Offered]]=0,0,SalesData[[#This Row],[Contracts Signed]]/SalesData[[#This Row],[Contracts Offered]])</f>
        <v>0.32978723404255317</v>
      </c>
      <c r="AG209" s="5">
        <f>IF(SalesData[[#This Row],[Customers Visited]]=0,0,SalesData[[#This Row],[Test Drives]]/SalesData[[#This Row],[Customers Visited]])</f>
        <v>0.52586206896551724</v>
      </c>
      <c r="AH209" s="5">
        <f>IF(SalesData[[#This Row],[Customers Visited]]=0,0,SalesData[[#This Row],[Contracts Signed]]/SalesData[[#This Row],[Customers Visited]])</f>
        <v>0.1336206896551724</v>
      </c>
      <c r="AI209" s="6">
        <f>IF(SalesData[[#This Row],[Contracts Signed]]=0,0,SalesData[[#This Row],[Profit(€)]]/SalesData[[#This Row],[Contracts Signed]])</f>
        <v>11260</v>
      </c>
      <c r="AJ209" s="5" t="str">
        <f>TRIM(CLEAN(SalesData[[#This Row],[Retailer]]))</f>
        <v>Stuttgart Auto Center</v>
      </c>
    </row>
    <row r="210" spans="1:36" ht="14.25" hidden="1" x14ac:dyDescent="0.2">
      <c r="A210" t="s">
        <v>503</v>
      </c>
      <c r="B210" s="1">
        <v>46058</v>
      </c>
      <c r="C210" t="s">
        <v>24</v>
      </c>
      <c r="D210" t="s">
        <v>100</v>
      </c>
      <c r="E210" t="s">
        <v>26</v>
      </c>
      <c r="F210" t="s">
        <v>27</v>
      </c>
      <c r="G210" t="s">
        <v>28</v>
      </c>
      <c r="H210" t="s">
        <v>29</v>
      </c>
      <c r="I210" t="s">
        <v>64</v>
      </c>
      <c r="J210" t="s">
        <v>7029</v>
      </c>
      <c r="K210" t="s">
        <v>91</v>
      </c>
      <c r="L210" t="s">
        <v>33</v>
      </c>
      <c r="M210" t="s">
        <v>68</v>
      </c>
      <c r="N210" t="s">
        <v>35</v>
      </c>
      <c r="O210" t="s">
        <v>36</v>
      </c>
      <c r="P210" t="s">
        <v>49</v>
      </c>
      <c r="Q210" t="s">
        <v>152</v>
      </c>
      <c r="R210">
        <v>176</v>
      </c>
      <c r="S210">
        <v>79</v>
      </c>
      <c r="T210">
        <v>54</v>
      </c>
      <c r="U210">
        <v>16</v>
      </c>
      <c r="V210" t="s">
        <v>6911</v>
      </c>
      <c r="W210">
        <v>69022</v>
      </c>
      <c r="X210" t="s">
        <v>7127</v>
      </c>
      <c r="Y210">
        <v>54266</v>
      </c>
      <c r="Z210">
        <v>1104352</v>
      </c>
      <c r="AA210">
        <v>236096</v>
      </c>
      <c r="AB210" t="str">
        <f>(VLOOKUP(SalesData[[#This Row],[Month Number]],Reference!C$5:E$16,2,FALSE))</f>
        <v>Feb</v>
      </c>
      <c r="AC210">
        <f>MONTH(SalesData[[#This Row],[Date]])</f>
        <v>2</v>
      </c>
      <c r="AD210">
        <f>Reference!F$4</f>
        <v>2026</v>
      </c>
      <c r="AE210" t="str">
        <f>IF(OR(SalesData[[#This Row],[Day]]="Saturday",SalesData[[#This Row],[Day]]="Sunday"),"Weekend","Weekday")</f>
        <v>Weekday</v>
      </c>
      <c r="AF210" s="5">
        <f>IF(SalesData[[#This Row],[Contracts Offered]]=0,0,SalesData[[#This Row],[Contracts Signed]]/SalesData[[#This Row],[Contracts Offered]])</f>
        <v>0.29629629629629628</v>
      </c>
      <c r="AG210" s="5">
        <f>IF(SalesData[[#This Row],[Customers Visited]]=0,0,SalesData[[#This Row],[Test Drives]]/SalesData[[#This Row],[Customers Visited]])</f>
        <v>0.44886363636363635</v>
      </c>
      <c r="AH210" s="5">
        <f>IF(SalesData[[#This Row],[Customers Visited]]=0,0,SalesData[[#This Row],[Contracts Signed]]/SalesData[[#This Row],[Customers Visited]])</f>
        <v>9.0909090909090912E-2</v>
      </c>
      <c r="AI210" s="6">
        <f>IF(SalesData[[#This Row],[Contracts Signed]]=0,0,SalesData[[#This Row],[Profit(€)]]/SalesData[[#This Row],[Contracts Signed]])</f>
        <v>14756</v>
      </c>
      <c r="AJ210" s="5" t="str">
        <f>TRIM(CLEAN(SalesData[[#This Row],[Retailer]]))</f>
        <v>Main Auto Hub</v>
      </c>
    </row>
    <row r="211" spans="1:36" ht="14.25" hidden="1" x14ac:dyDescent="0.2">
      <c r="A211" t="s">
        <v>505</v>
      </c>
      <c r="B211" s="1">
        <v>46057</v>
      </c>
      <c r="C211" t="s">
        <v>24</v>
      </c>
      <c r="D211" t="s">
        <v>82</v>
      </c>
      <c r="E211" t="s">
        <v>26</v>
      </c>
      <c r="F211" t="s">
        <v>27</v>
      </c>
      <c r="G211" t="s">
        <v>28</v>
      </c>
      <c r="H211" t="s">
        <v>29</v>
      </c>
      <c r="I211" t="s">
        <v>104</v>
      </c>
      <c r="J211" t="s">
        <v>143</v>
      </c>
      <c r="K211" t="s">
        <v>32</v>
      </c>
      <c r="L211" t="s">
        <v>67</v>
      </c>
      <c r="M211" t="s">
        <v>87</v>
      </c>
      <c r="N211" t="s">
        <v>69</v>
      </c>
      <c r="O211" t="s">
        <v>36</v>
      </c>
      <c r="P211" t="s">
        <v>37</v>
      </c>
      <c r="Q211" t="s">
        <v>122</v>
      </c>
      <c r="R211">
        <v>324</v>
      </c>
      <c r="S211">
        <v>152</v>
      </c>
      <c r="T211">
        <v>105</v>
      </c>
      <c r="U211">
        <v>19</v>
      </c>
      <c r="V211" t="s">
        <v>265</v>
      </c>
      <c r="W211">
        <v>25743</v>
      </c>
      <c r="X211" t="s">
        <v>1233</v>
      </c>
      <c r="Y211">
        <v>23425</v>
      </c>
      <c r="Z211">
        <v>489117</v>
      </c>
      <c r="AA211">
        <v>44042</v>
      </c>
      <c r="AB211" t="str">
        <f>(VLOOKUP(SalesData[[#This Row],[Month Number]],Reference!C$5:E$16,2,FALSE))</f>
        <v>Feb</v>
      </c>
      <c r="AC211">
        <f>MONTH(SalesData[[#This Row],[Date]])</f>
        <v>2</v>
      </c>
      <c r="AD211">
        <f>Reference!F$4</f>
        <v>2026</v>
      </c>
      <c r="AE211" t="str">
        <f>IF(OR(SalesData[[#This Row],[Day]]="Saturday",SalesData[[#This Row],[Day]]="Sunday"),"Weekend","Weekday")</f>
        <v>Weekday</v>
      </c>
      <c r="AF211" s="5">
        <f>IF(SalesData[[#This Row],[Contracts Offered]]=0,0,SalesData[[#This Row],[Contracts Signed]]/SalesData[[#This Row],[Contracts Offered]])</f>
        <v>0.18095238095238095</v>
      </c>
      <c r="AG211" s="5">
        <f>IF(SalesData[[#This Row],[Customers Visited]]=0,0,SalesData[[#This Row],[Test Drives]]/SalesData[[#This Row],[Customers Visited]])</f>
        <v>0.46913580246913578</v>
      </c>
      <c r="AH211" s="5">
        <f>IF(SalesData[[#This Row],[Customers Visited]]=0,0,SalesData[[#This Row],[Contracts Signed]]/SalesData[[#This Row],[Customers Visited]])</f>
        <v>5.8641975308641972E-2</v>
      </c>
      <c r="AI211" s="6">
        <f>IF(SalesData[[#This Row],[Contracts Signed]]=0,0,SalesData[[#This Row],[Profit(€)]]/SalesData[[#This Row],[Contracts Signed]])</f>
        <v>2318</v>
      </c>
      <c r="AJ211" s="5" t="str">
        <f>TRIM(CLEAN(SalesData[[#This Row],[Retailer]]))</f>
        <v>Main Auto Hub</v>
      </c>
    </row>
    <row r="212" spans="1:36" ht="14.25" hidden="1" x14ac:dyDescent="0.2">
      <c r="A212" t="s">
        <v>507</v>
      </c>
      <c r="B212" s="1">
        <v>46068</v>
      </c>
      <c r="C212" t="s">
        <v>62</v>
      </c>
      <c r="D212" t="s">
        <v>41</v>
      </c>
      <c r="E212" t="s">
        <v>42</v>
      </c>
      <c r="F212" t="s">
        <v>74</v>
      </c>
      <c r="G212" t="s">
        <v>75</v>
      </c>
      <c r="H212" t="s">
        <v>76</v>
      </c>
      <c r="I212" t="s">
        <v>56</v>
      </c>
      <c r="J212" t="s">
        <v>7028</v>
      </c>
      <c r="K212" t="s">
        <v>32</v>
      </c>
      <c r="L212" t="s">
        <v>46</v>
      </c>
      <c r="M212" t="s">
        <v>68</v>
      </c>
      <c r="N212" t="s">
        <v>35</v>
      </c>
      <c r="O212" t="s">
        <v>36</v>
      </c>
      <c r="P212" t="s">
        <v>49</v>
      </c>
      <c r="Q212" t="s">
        <v>347</v>
      </c>
      <c r="R212">
        <v>287</v>
      </c>
      <c r="S212">
        <v>168</v>
      </c>
      <c r="T212">
        <v>111</v>
      </c>
      <c r="U212">
        <v>41</v>
      </c>
      <c r="V212" t="s">
        <v>6692</v>
      </c>
      <c r="W212">
        <v>44067</v>
      </c>
      <c r="X212" t="s">
        <v>3642</v>
      </c>
      <c r="Y212">
        <v>34658</v>
      </c>
      <c r="Z212">
        <v>1806747</v>
      </c>
      <c r="AA212">
        <v>385769</v>
      </c>
      <c r="AB212" t="str">
        <f>(VLOOKUP(SalesData[[#This Row],[Month Number]],Reference!C$5:E$16,2,FALSE))</f>
        <v>Feb</v>
      </c>
      <c r="AC212">
        <f>MONTH(SalesData[[#This Row],[Date]])</f>
        <v>2</v>
      </c>
      <c r="AD212">
        <f>Reference!F$4</f>
        <v>2026</v>
      </c>
      <c r="AE212" t="str">
        <f>IF(OR(SalesData[[#This Row],[Day]]="Saturday",SalesData[[#This Row],[Day]]="Sunday"),"Weekend","Weekday")</f>
        <v>Weekend</v>
      </c>
      <c r="AF212" s="5">
        <f>IF(SalesData[[#This Row],[Contracts Offered]]=0,0,SalesData[[#This Row],[Contracts Signed]]/SalesData[[#This Row],[Contracts Offered]])</f>
        <v>0.36936936936936937</v>
      </c>
      <c r="AG212" s="5">
        <f>IF(SalesData[[#This Row],[Customers Visited]]=0,0,SalesData[[#This Row],[Test Drives]]/SalesData[[#This Row],[Customers Visited]])</f>
        <v>0.58536585365853655</v>
      </c>
      <c r="AH212" s="5">
        <f>IF(SalesData[[#This Row],[Customers Visited]]=0,0,SalesData[[#This Row],[Contracts Signed]]/SalesData[[#This Row],[Customers Visited]])</f>
        <v>0.14285714285714285</v>
      </c>
      <c r="AI212" s="6">
        <f>IF(SalesData[[#This Row],[Contracts Signed]]=0,0,SalesData[[#This Row],[Profit(€)]]/SalesData[[#This Row],[Contracts Signed]])</f>
        <v>9409</v>
      </c>
      <c r="AJ212" s="5" t="str">
        <f>TRIM(CLEAN(SalesData[[#This Row],[Retailer]]))</f>
        <v>Stuttgart Auto Center</v>
      </c>
    </row>
    <row r="213" spans="1:36" ht="14.25" x14ac:dyDescent="0.2">
      <c r="A213" t="s">
        <v>509</v>
      </c>
      <c r="B213" s="1">
        <v>46077</v>
      </c>
      <c r="C213" t="s">
        <v>53</v>
      </c>
      <c r="D213" t="s">
        <v>63</v>
      </c>
      <c r="E213" t="s">
        <v>26</v>
      </c>
      <c r="F213" t="s">
        <v>127</v>
      </c>
      <c r="G213" t="s">
        <v>128</v>
      </c>
      <c r="H213" t="s">
        <v>103</v>
      </c>
      <c r="I213" t="s">
        <v>30</v>
      </c>
      <c r="J213" t="s">
        <v>7075</v>
      </c>
      <c r="K213" t="s">
        <v>91</v>
      </c>
      <c r="L213" t="s">
        <v>33</v>
      </c>
      <c r="M213" t="s">
        <v>68</v>
      </c>
      <c r="N213" t="s">
        <v>35</v>
      </c>
      <c r="O213" t="s">
        <v>70</v>
      </c>
      <c r="P213" t="s">
        <v>37</v>
      </c>
      <c r="Q213" t="s">
        <v>118</v>
      </c>
      <c r="R213">
        <v>204</v>
      </c>
      <c r="S213">
        <v>95</v>
      </c>
      <c r="T213">
        <v>69</v>
      </c>
      <c r="U213">
        <v>25</v>
      </c>
      <c r="V213" t="s">
        <v>6471</v>
      </c>
      <c r="W213">
        <v>62851</v>
      </c>
      <c r="X213" t="s">
        <v>7128</v>
      </c>
      <c r="Y213">
        <v>47910</v>
      </c>
      <c r="Z213">
        <v>1571275</v>
      </c>
      <c r="AA213">
        <v>373525</v>
      </c>
      <c r="AB213" t="str">
        <f>(VLOOKUP(SalesData[[#This Row],[Month Number]],Reference!C$5:E$16,2,FALSE))</f>
        <v>Feb</v>
      </c>
      <c r="AC213">
        <f>MONTH(SalesData[[#This Row],[Date]])</f>
        <v>2</v>
      </c>
      <c r="AD213">
        <f>Reference!F$4</f>
        <v>2026</v>
      </c>
      <c r="AE213" t="str">
        <f>IF(OR(SalesData[[#This Row],[Day]]="Saturday",SalesData[[#This Row],[Day]]="Sunday"),"Weekend","Weekday")</f>
        <v>Weekday</v>
      </c>
      <c r="AF213" s="5">
        <f>IF(SalesData[[#This Row],[Contracts Offered]]=0,0,SalesData[[#This Row],[Contracts Signed]]/SalesData[[#This Row],[Contracts Offered]])</f>
        <v>0.36231884057971014</v>
      </c>
      <c r="AG213" s="5">
        <f>IF(SalesData[[#This Row],[Customers Visited]]=0,0,SalesData[[#This Row],[Test Drives]]/SalesData[[#This Row],[Customers Visited]])</f>
        <v>0.46568627450980393</v>
      </c>
      <c r="AH213" s="5">
        <f>IF(SalesData[[#This Row],[Customers Visited]]=0,0,SalesData[[#This Row],[Contracts Signed]]/SalesData[[#This Row],[Customers Visited]])</f>
        <v>0.12254901960784313</v>
      </c>
      <c r="AI213" s="6">
        <f>IF(SalesData[[#This Row],[Contracts Signed]]=0,0,SalesData[[#This Row],[Profit(€)]]/SalesData[[#This Row],[Contracts Signed]])</f>
        <v>14941</v>
      </c>
      <c r="AJ213" s="5" t="str">
        <f>TRIM(CLEAN(SalesData[[#This Row],[Retailer]]))</f>
        <v>Rhein Auto Group</v>
      </c>
    </row>
    <row r="214" spans="1:36" ht="14.25" hidden="1" x14ac:dyDescent="0.2">
      <c r="A214" t="s">
        <v>510</v>
      </c>
      <c r="B214" s="1">
        <v>46079</v>
      </c>
      <c r="C214" t="s">
        <v>53</v>
      </c>
      <c r="D214" t="s">
        <v>100</v>
      </c>
      <c r="E214" t="s">
        <v>26</v>
      </c>
      <c r="F214" t="s">
        <v>94</v>
      </c>
      <c r="G214" t="s">
        <v>95</v>
      </c>
      <c r="H214" t="s">
        <v>96</v>
      </c>
      <c r="I214" t="s">
        <v>116</v>
      </c>
      <c r="J214" t="s">
        <v>7090</v>
      </c>
      <c r="K214" t="s">
        <v>91</v>
      </c>
      <c r="L214" t="s">
        <v>46</v>
      </c>
      <c r="M214" t="s">
        <v>47</v>
      </c>
      <c r="N214" t="s">
        <v>69</v>
      </c>
      <c r="O214" t="s">
        <v>70</v>
      </c>
      <c r="P214" t="s">
        <v>58</v>
      </c>
      <c r="Q214" t="s">
        <v>144</v>
      </c>
      <c r="R214">
        <v>321</v>
      </c>
      <c r="S214">
        <v>153</v>
      </c>
      <c r="T214">
        <v>104</v>
      </c>
      <c r="U214">
        <v>33</v>
      </c>
      <c r="V214" t="s">
        <v>6457</v>
      </c>
      <c r="W214">
        <v>23431</v>
      </c>
      <c r="X214" t="s">
        <v>7129</v>
      </c>
      <c r="Y214">
        <v>21373</v>
      </c>
      <c r="Z214">
        <v>773223</v>
      </c>
      <c r="AA214">
        <v>67914</v>
      </c>
      <c r="AB214" t="str">
        <f>(VLOOKUP(SalesData[[#This Row],[Month Number]],Reference!C$5:E$16,2,FALSE))</f>
        <v>Feb</v>
      </c>
      <c r="AC214">
        <f>MONTH(SalesData[[#This Row],[Date]])</f>
        <v>2</v>
      </c>
      <c r="AD214">
        <f>Reference!F$4</f>
        <v>2026</v>
      </c>
      <c r="AE214" t="str">
        <f>IF(OR(SalesData[[#This Row],[Day]]="Saturday",SalesData[[#This Row],[Day]]="Sunday"),"Weekend","Weekday")</f>
        <v>Weekday</v>
      </c>
      <c r="AF214" s="5">
        <f>IF(SalesData[[#This Row],[Contracts Offered]]=0,0,SalesData[[#This Row],[Contracts Signed]]/SalesData[[#This Row],[Contracts Offered]])</f>
        <v>0.31730769230769229</v>
      </c>
      <c r="AG214" s="5">
        <f>IF(SalesData[[#This Row],[Customers Visited]]=0,0,SalesData[[#This Row],[Test Drives]]/SalesData[[#This Row],[Customers Visited]])</f>
        <v>0.47663551401869159</v>
      </c>
      <c r="AH214" s="5">
        <f>IF(SalesData[[#This Row],[Customers Visited]]=0,0,SalesData[[#This Row],[Contracts Signed]]/SalesData[[#This Row],[Customers Visited]])</f>
        <v>0.10280373831775701</v>
      </c>
      <c r="AI214" s="6">
        <f>IF(SalesData[[#This Row],[Contracts Signed]]=0,0,SalesData[[#This Row],[Profit(€)]]/SalesData[[#This Row],[Contracts Signed]])</f>
        <v>2058</v>
      </c>
      <c r="AJ214" s="5" t="str">
        <f>TRIM(CLEAN(SalesData[[#This Row],[Retailer]]))</f>
        <v>Bavaria Motors</v>
      </c>
    </row>
    <row r="215" spans="1:36" ht="14.25" hidden="1" x14ac:dyDescent="0.2">
      <c r="A215" t="s">
        <v>511</v>
      </c>
      <c r="B215" s="1">
        <v>46081</v>
      </c>
      <c r="C215" t="s">
        <v>53</v>
      </c>
      <c r="D215" t="s">
        <v>151</v>
      </c>
      <c r="E215" t="s">
        <v>42</v>
      </c>
      <c r="F215" t="s">
        <v>83</v>
      </c>
      <c r="G215" t="s">
        <v>84</v>
      </c>
      <c r="H215" t="s">
        <v>85</v>
      </c>
      <c r="I215" t="s">
        <v>116</v>
      </c>
      <c r="J215" t="s">
        <v>117</v>
      </c>
      <c r="K215" t="s">
        <v>91</v>
      </c>
      <c r="L215" t="s">
        <v>67</v>
      </c>
      <c r="M215" t="s">
        <v>34</v>
      </c>
      <c r="N215" t="s">
        <v>69</v>
      </c>
      <c r="O215" t="s">
        <v>70</v>
      </c>
      <c r="P215" t="s">
        <v>37</v>
      </c>
      <c r="Q215" t="s">
        <v>106</v>
      </c>
      <c r="R215">
        <v>329</v>
      </c>
      <c r="S215">
        <v>179</v>
      </c>
      <c r="T215">
        <v>121</v>
      </c>
      <c r="U215">
        <v>23</v>
      </c>
      <c r="V215" t="s">
        <v>6575</v>
      </c>
      <c r="W215">
        <v>22124</v>
      </c>
      <c r="X215" t="s">
        <v>222</v>
      </c>
      <c r="Y215">
        <v>20363</v>
      </c>
      <c r="Z215">
        <v>508852</v>
      </c>
      <c r="AA215">
        <v>40503</v>
      </c>
      <c r="AB215" t="str">
        <f>(VLOOKUP(SalesData[[#This Row],[Month Number]],Reference!C$5:E$16,2,FALSE))</f>
        <v>Feb</v>
      </c>
      <c r="AC215">
        <f>MONTH(SalesData[[#This Row],[Date]])</f>
        <v>2</v>
      </c>
      <c r="AD215">
        <f>Reference!F$4</f>
        <v>2026</v>
      </c>
      <c r="AE215" t="str">
        <f>IF(OR(SalesData[[#This Row],[Day]]="Saturday",SalesData[[#This Row],[Day]]="Sunday"),"Weekend","Weekday")</f>
        <v>Weekend</v>
      </c>
      <c r="AF215" s="5">
        <f>IF(SalesData[[#This Row],[Contracts Offered]]=0,0,SalesData[[#This Row],[Contracts Signed]]/SalesData[[#This Row],[Contracts Offered]])</f>
        <v>0.19008264462809918</v>
      </c>
      <c r="AG215" s="5">
        <f>IF(SalesData[[#This Row],[Customers Visited]]=0,0,SalesData[[#This Row],[Test Drives]]/SalesData[[#This Row],[Customers Visited]])</f>
        <v>0.54407294832826747</v>
      </c>
      <c r="AH215" s="5">
        <f>IF(SalesData[[#This Row],[Customers Visited]]=0,0,SalesData[[#This Row],[Contracts Signed]]/SalesData[[#This Row],[Customers Visited]])</f>
        <v>6.9908814589665649E-2</v>
      </c>
      <c r="AI215" s="6">
        <f>IF(SalesData[[#This Row],[Contracts Signed]]=0,0,SalesData[[#This Row],[Profit(€)]]/SalesData[[#This Row],[Contracts Signed]])</f>
        <v>1761</v>
      </c>
      <c r="AJ215" s="5" t="str">
        <f>TRIM(CLEAN(SalesData[[#This Row],[Retailer]]))</f>
        <v>Hannover Cars</v>
      </c>
    </row>
    <row r="216" spans="1:36" ht="14.25" hidden="1" x14ac:dyDescent="0.2">
      <c r="A216" t="s">
        <v>513</v>
      </c>
      <c r="B216" s="1">
        <v>46079</v>
      </c>
      <c r="C216" t="s">
        <v>53</v>
      </c>
      <c r="D216" t="s">
        <v>100</v>
      </c>
      <c r="E216" t="s">
        <v>26</v>
      </c>
      <c r="F216" t="s">
        <v>101</v>
      </c>
      <c r="G216" t="s">
        <v>102</v>
      </c>
      <c r="H216" t="s">
        <v>103</v>
      </c>
      <c r="I216" t="s">
        <v>56</v>
      </c>
      <c r="J216" t="s">
        <v>137</v>
      </c>
      <c r="K216" t="s">
        <v>66</v>
      </c>
      <c r="L216" t="s">
        <v>46</v>
      </c>
      <c r="M216" t="s">
        <v>68</v>
      </c>
      <c r="N216" t="s">
        <v>35</v>
      </c>
      <c r="O216" t="s">
        <v>36</v>
      </c>
      <c r="P216" t="s">
        <v>71</v>
      </c>
      <c r="Q216" t="s">
        <v>204</v>
      </c>
      <c r="R216">
        <v>292</v>
      </c>
      <c r="S216">
        <v>152</v>
      </c>
      <c r="T216">
        <v>102</v>
      </c>
      <c r="U216">
        <v>36</v>
      </c>
      <c r="V216" t="s">
        <v>6441</v>
      </c>
      <c r="W216">
        <v>48634</v>
      </c>
      <c r="X216" t="s">
        <v>51</v>
      </c>
      <c r="Y216">
        <v>36752</v>
      </c>
      <c r="Z216">
        <v>1750824</v>
      </c>
      <c r="AA216">
        <v>427752</v>
      </c>
      <c r="AB216" t="str">
        <f>(VLOOKUP(SalesData[[#This Row],[Month Number]],Reference!C$5:E$16,2,FALSE))</f>
        <v>Feb</v>
      </c>
      <c r="AC216">
        <f>MONTH(SalesData[[#This Row],[Date]])</f>
        <v>2</v>
      </c>
      <c r="AD216">
        <f>Reference!F$4</f>
        <v>2026</v>
      </c>
      <c r="AE216" t="str">
        <f>IF(OR(SalesData[[#This Row],[Day]]="Saturday",SalesData[[#This Row],[Day]]="Sunday"),"Weekend","Weekday")</f>
        <v>Weekday</v>
      </c>
      <c r="AF216" s="5">
        <f>IF(SalesData[[#This Row],[Contracts Offered]]=0,0,SalesData[[#This Row],[Contracts Signed]]/SalesData[[#This Row],[Contracts Offered]])</f>
        <v>0.35294117647058826</v>
      </c>
      <c r="AG216" s="5">
        <f>IF(SalesData[[#This Row],[Customers Visited]]=0,0,SalesData[[#This Row],[Test Drives]]/SalesData[[#This Row],[Customers Visited]])</f>
        <v>0.52054794520547942</v>
      </c>
      <c r="AH216" s="5">
        <f>IF(SalesData[[#This Row],[Customers Visited]]=0,0,SalesData[[#This Row],[Contracts Signed]]/SalesData[[#This Row],[Customers Visited]])</f>
        <v>0.12328767123287671</v>
      </c>
      <c r="AI216" s="6">
        <f>IF(SalesData[[#This Row],[Contracts Signed]]=0,0,SalesData[[#This Row],[Profit(€)]]/SalesData[[#This Row],[Contracts Signed]])</f>
        <v>11882</v>
      </c>
      <c r="AJ216" s="5" t="str">
        <f>TRIM(CLEAN(SalesData[[#This Row],[Retailer]]))</f>
        <v>Ruhr Auto Plaza</v>
      </c>
    </row>
    <row r="217" spans="1:36" ht="14.25" hidden="1" x14ac:dyDescent="0.2">
      <c r="A217" t="s">
        <v>514</v>
      </c>
      <c r="B217" s="1">
        <v>46081</v>
      </c>
      <c r="C217" t="s">
        <v>53</v>
      </c>
      <c r="D217" t="s">
        <v>151</v>
      </c>
      <c r="E217" t="s">
        <v>42</v>
      </c>
      <c r="F217" t="s">
        <v>94</v>
      </c>
      <c r="G217" t="s">
        <v>95</v>
      </c>
      <c r="H217" t="s">
        <v>96</v>
      </c>
      <c r="I217" t="s">
        <v>64</v>
      </c>
      <c r="J217" t="s">
        <v>111</v>
      </c>
      <c r="K217" t="s">
        <v>78</v>
      </c>
      <c r="L217" t="s">
        <v>46</v>
      </c>
      <c r="M217" t="s">
        <v>87</v>
      </c>
      <c r="N217" t="s">
        <v>48</v>
      </c>
      <c r="O217" t="s">
        <v>70</v>
      </c>
      <c r="P217" t="s">
        <v>58</v>
      </c>
      <c r="Q217" t="s">
        <v>167</v>
      </c>
      <c r="R217">
        <v>159</v>
      </c>
      <c r="S217">
        <v>74</v>
      </c>
      <c r="T217">
        <v>58</v>
      </c>
      <c r="U217">
        <v>22</v>
      </c>
      <c r="V217" t="s">
        <v>7000</v>
      </c>
      <c r="W217">
        <v>67885</v>
      </c>
      <c r="X217" t="s">
        <v>3364</v>
      </c>
      <c r="Y217">
        <v>49970</v>
      </c>
      <c r="Z217">
        <v>1493470</v>
      </c>
      <c r="AA217">
        <v>394130</v>
      </c>
      <c r="AB217" t="str">
        <f>(VLOOKUP(SalesData[[#This Row],[Month Number]],Reference!C$5:E$16,2,FALSE))</f>
        <v>Feb</v>
      </c>
      <c r="AC217">
        <f>MONTH(SalesData[[#This Row],[Date]])</f>
        <v>2</v>
      </c>
      <c r="AD217">
        <f>Reference!F$4</f>
        <v>2026</v>
      </c>
      <c r="AE217" t="str">
        <f>IF(OR(SalesData[[#This Row],[Day]]="Saturday",SalesData[[#This Row],[Day]]="Sunday"),"Weekend","Weekday")</f>
        <v>Weekend</v>
      </c>
      <c r="AF217" s="5">
        <f>IF(SalesData[[#This Row],[Contracts Offered]]=0,0,SalesData[[#This Row],[Contracts Signed]]/SalesData[[#This Row],[Contracts Offered]])</f>
        <v>0.37931034482758619</v>
      </c>
      <c r="AG217" s="5">
        <f>IF(SalesData[[#This Row],[Customers Visited]]=0,0,SalesData[[#This Row],[Test Drives]]/SalesData[[#This Row],[Customers Visited]])</f>
        <v>0.46540880503144655</v>
      </c>
      <c r="AH217" s="5">
        <f>IF(SalesData[[#This Row],[Customers Visited]]=0,0,SalesData[[#This Row],[Contracts Signed]]/SalesData[[#This Row],[Customers Visited]])</f>
        <v>0.13836477987421383</v>
      </c>
      <c r="AI217" s="6">
        <f>IF(SalesData[[#This Row],[Contracts Signed]]=0,0,SalesData[[#This Row],[Profit(€)]]/SalesData[[#This Row],[Contracts Signed]])</f>
        <v>17915</v>
      </c>
      <c r="AJ217" s="5" t="str">
        <f>TRIM(CLEAN(SalesData[[#This Row],[Retailer]]))</f>
        <v>Bavaria Motors</v>
      </c>
    </row>
    <row r="218" spans="1:36" ht="14.25" hidden="1" x14ac:dyDescent="0.2">
      <c r="A218" t="s">
        <v>516</v>
      </c>
      <c r="B218" s="1">
        <v>46054</v>
      </c>
      <c r="C218" t="s">
        <v>24</v>
      </c>
      <c r="D218" t="s">
        <v>41</v>
      </c>
      <c r="E218" t="s">
        <v>42</v>
      </c>
      <c r="F218" t="s">
        <v>94</v>
      </c>
      <c r="G218" t="s">
        <v>95</v>
      </c>
      <c r="H218" t="s">
        <v>96</v>
      </c>
      <c r="I218" t="s">
        <v>64</v>
      </c>
      <c r="J218" t="s">
        <v>7029</v>
      </c>
      <c r="K218" t="s">
        <v>66</v>
      </c>
      <c r="L218" t="s">
        <v>33</v>
      </c>
      <c r="M218" t="s">
        <v>68</v>
      </c>
      <c r="N218" t="s">
        <v>35</v>
      </c>
      <c r="O218" t="s">
        <v>36</v>
      </c>
      <c r="P218" t="s">
        <v>58</v>
      </c>
      <c r="Q218" t="s">
        <v>38</v>
      </c>
      <c r="R218">
        <v>227</v>
      </c>
      <c r="S218">
        <v>101</v>
      </c>
      <c r="T218">
        <v>69</v>
      </c>
      <c r="U218">
        <v>28</v>
      </c>
      <c r="V218" t="s">
        <v>6464</v>
      </c>
      <c r="W218">
        <v>64950</v>
      </c>
      <c r="X218" t="s">
        <v>7130</v>
      </c>
      <c r="Y218">
        <v>51293</v>
      </c>
      <c r="Z218">
        <v>1818600</v>
      </c>
      <c r="AA218">
        <v>382396</v>
      </c>
      <c r="AB218" t="str">
        <f>(VLOOKUP(SalesData[[#This Row],[Month Number]],Reference!C$5:E$16,2,FALSE))</f>
        <v>Feb</v>
      </c>
      <c r="AC218">
        <f>MONTH(SalesData[[#This Row],[Date]])</f>
        <v>2</v>
      </c>
      <c r="AD218">
        <f>Reference!F$4</f>
        <v>2026</v>
      </c>
      <c r="AE218" t="str">
        <f>IF(OR(SalesData[[#This Row],[Day]]="Saturday",SalesData[[#This Row],[Day]]="Sunday"),"Weekend","Weekday")</f>
        <v>Weekend</v>
      </c>
      <c r="AF218" s="5">
        <f>IF(SalesData[[#This Row],[Contracts Offered]]=0,0,SalesData[[#This Row],[Contracts Signed]]/SalesData[[#This Row],[Contracts Offered]])</f>
        <v>0.40579710144927539</v>
      </c>
      <c r="AG218" s="5">
        <f>IF(SalesData[[#This Row],[Customers Visited]]=0,0,SalesData[[#This Row],[Test Drives]]/SalesData[[#This Row],[Customers Visited]])</f>
        <v>0.44493392070484583</v>
      </c>
      <c r="AH218" s="5">
        <f>IF(SalesData[[#This Row],[Customers Visited]]=0,0,SalesData[[#This Row],[Contracts Signed]]/SalesData[[#This Row],[Customers Visited]])</f>
        <v>0.12334801762114538</v>
      </c>
      <c r="AI218" s="6">
        <f>IF(SalesData[[#This Row],[Contracts Signed]]=0,0,SalesData[[#This Row],[Profit(€)]]/SalesData[[#This Row],[Contracts Signed]])</f>
        <v>13657</v>
      </c>
      <c r="AJ218" s="5" t="str">
        <f>TRIM(CLEAN(SalesData[[#This Row],[Retailer]]))</f>
        <v>Bavaria Motors</v>
      </c>
    </row>
    <row r="219" spans="1:36" ht="14.25" hidden="1" x14ac:dyDescent="0.2">
      <c r="A219" t="s">
        <v>518</v>
      </c>
      <c r="B219" s="1">
        <v>46067</v>
      </c>
      <c r="C219" t="s">
        <v>121</v>
      </c>
      <c r="D219" t="s">
        <v>151</v>
      </c>
      <c r="E219" t="s">
        <v>42</v>
      </c>
      <c r="F219" t="s">
        <v>74</v>
      </c>
      <c r="G219" t="s">
        <v>75</v>
      </c>
      <c r="H219" t="s">
        <v>76</v>
      </c>
      <c r="I219" t="s">
        <v>56</v>
      </c>
      <c r="J219" t="s">
        <v>97</v>
      </c>
      <c r="K219" t="s">
        <v>32</v>
      </c>
      <c r="L219" t="s">
        <v>33</v>
      </c>
      <c r="M219" t="s">
        <v>87</v>
      </c>
      <c r="N219" t="s">
        <v>69</v>
      </c>
      <c r="O219" t="s">
        <v>36</v>
      </c>
      <c r="P219" t="s">
        <v>37</v>
      </c>
      <c r="Q219" t="s">
        <v>167</v>
      </c>
      <c r="R219">
        <v>267</v>
      </c>
      <c r="S219">
        <v>132</v>
      </c>
      <c r="T219">
        <v>92</v>
      </c>
      <c r="U219">
        <v>29</v>
      </c>
      <c r="V219" t="s">
        <v>6540</v>
      </c>
      <c r="W219">
        <v>41231</v>
      </c>
      <c r="X219" t="s">
        <v>2386</v>
      </c>
      <c r="Y219">
        <v>33341</v>
      </c>
      <c r="Z219">
        <v>1195699</v>
      </c>
      <c r="AA219">
        <v>228810</v>
      </c>
      <c r="AB219" t="str">
        <f>(VLOOKUP(SalesData[[#This Row],[Month Number]],Reference!C$5:E$16,2,FALSE))</f>
        <v>Feb</v>
      </c>
      <c r="AC219">
        <f>MONTH(SalesData[[#This Row],[Date]])</f>
        <v>2</v>
      </c>
      <c r="AD219">
        <f>Reference!F$4</f>
        <v>2026</v>
      </c>
      <c r="AE219" t="str">
        <f>IF(OR(SalesData[[#This Row],[Day]]="Saturday",SalesData[[#This Row],[Day]]="Sunday"),"Weekend","Weekday")</f>
        <v>Weekend</v>
      </c>
      <c r="AF219" s="5">
        <f>IF(SalesData[[#This Row],[Contracts Offered]]=0,0,SalesData[[#This Row],[Contracts Signed]]/SalesData[[#This Row],[Contracts Offered]])</f>
        <v>0.31521739130434784</v>
      </c>
      <c r="AG219" s="5">
        <f>IF(SalesData[[#This Row],[Customers Visited]]=0,0,SalesData[[#This Row],[Test Drives]]/SalesData[[#This Row],[Customers Visited]])</f>
        <v>0.4943820224719101</v>
      </c>
      <c r="AH219" s="5">
        <f>IF(SalesData[[#This Row],[Customers Visited]]=0,0,SalesData[[#This Row],[Contracts Signed]]/SalesData[[#This Row],[Customers Visited]])</f>
        <v>0.10861423220973783</v>
      </c>
      <c r="AI219" s="6">
        <f>IF(SalesData[[#This Row],[Contracts Signed]]=0,0,SalesData[[#This Row],[Profit(€)]]/SalesData[[#This Row],[Contracts Signed]])</f>
        <v>7890</v>
      </c>
      <c r="AJ219" s="5" t="str">
        <f>TRIM(CLEAN(SalesData[[#This Row],[Retailer]]))</f>
        <v>Stuttgart Auto Center</v>
      </c>
    </row>
    <row r="220" spans="1:36" ht="14.25" x14ac:dyDescent="0.2">
      <c r="A220" t="s">
        <v>520</v>
      </c>
      <c r="B220" s="1">
        <v>46065</v>
      </c>
      <c r="C220" t="s">
        <v>121</v>
      </c>
      <c r="D220" t="s">
        <v>100</v>
      </c>
      <c r="E220" t="s">
        <v>26</v>
      </c>
      <c r="F220" t="s">
        <v>94</v>
      </c>
      <c r="G220" t="s">
        <v>95</v>
      </c>
      <c r="H220" t="s">
        <v>96</v>
      </c>
      <c r="I220" t="s">
        <v>30</v>
      </c>
      <c r="J220" t="s">
        <v>31</v>
      </c>
      <c r="K220" t="s">
        <v>66</v>
      </c>
      <c r="L220" t="s">
        <v>46</v>
      </c>
      <c r="M220" t="s">
        <v>87</v>
      </c>
      <c r="N220" t="s">
        <v>69</v>
      </c>
      <c r="O220" t="s">
        <v>70</v>
      </c>
      <c r="P220" t="s">
        <v>58</v>
      </c>
      <c r="Q220" t="s">
        <v>122</v>
      </c>
      <c r="R220">
        <v>140</v>
      </c>
      <c r="S220">
        <v>70</v>
      </c>
      <c r="T220">
        <v>49</v>
      </c>
      <c r="U220">
        <v>23</v>
      </c>
      <c r="V220" t="s">
        <v>7131</v>
      </c>
      <c r="W220">
        <v>60267</v>
      </c>
      <c r="X220" t="s">
        <v>7132</v>
      </c>
      <c r="Y220">
        <v>45387</v>
      </c>
      <c r="Z220">
        <v>1386141</v>
      </c>
      <c r="AA220">
        <v>342240</v>
      </c>
      <c r="AB220" t="str">
        <f>(VLOOKUP(SalesData[[#This Row],[Month Number]],Reference!C$5:E$16,2,FALSE))</f>
        <v>Feb</v>
      </c>
      <c r="AC220">
        <f>MONTH(SalesData[[#This Row],[Date]])</f>
        <v>2</v>
      </c>
      <c r="AD220">
        <f>Reference!F$4</f>
        <v>2026</v>
      </c>
      <c r="AE220" t="str">
        <f>IF(OR(SalesData[[#This Row],[Day]]="Saturday",SalesData[[#This Row],[Day]]="Sunday"),"Weekend","Weekday")</f>
        <v>Weekday</v>
      </c>
      <c r="AF220" s="5">
        <f>IF(SalesData[[#This Row],[Contracts Offered]]=0,0,SalesData[[#This Row],[Contracts Signed]]/SalesData[[#This Row],[Contracts Offered]])</f>
        <v>0.46938775510204084</v>
      </c>
      <c r="AG220" s="5">
        <f>IF(SalesData[[#This Row],[Customers Visited]]=0,0,SalesData[[#This Row],[Test Drives]]/SalesData[[#This Row],[Customers Visited]])</f>
        <v>0.5</v>
      </c>
      <c r="AH220" s="5">
        <f>IF(SalesData[[#This Row],[Customers Visited]]=0,0,SalesData[[#This Row],[Contracts Signed]]/SalesData[[#This Row],[Customers Visited]])</f>
        <v>0.16428571428571428</v>
      </c>
      <c r="AI220" s="6">
        <f>IF(SalesData[[#This Row],[Contracts Signed]]=0,0,SalesData[[#This Row],[Profit(€)]]/SalesData[[#This Row],[Contracts Signed]])</f>
        <v>14880</v>
      </c>
      <c r="AJ220" s="5" t="str">
        <f>TRIM(CLEAN(SalesData[[#This Row],[Retailer]]))</f>
        <v>Bavaria Motors</v>
      </c>
    </row>
    <row r="221" spans="1:36" ht="14.25" hidden="1" x14ac:dyDescent="0.2">
      <c r="A221" t="s">
        <v>522</v>
      </c>
      <c r="B221" s="1">
        <v>46071</v>
      </c>
      <c r="C221" t="s">
        <v>62</v>
      </c>
      <c r="D221" t="s">
        <v>82</v>
      </c>
      <c r="E221" t="s">
        <v>26</v>
      </c>
      <c r="F221" t="s">
        <v>83</v>
      </c>
      <c r="G221" t="s">
        <v>84</v>
      </c>
      <c r="H221" t="s">
        <v>85</v>
      </c>
      <c r="I221" t="s">
        <v>64</v>
      </c>
      <c r="J221" t="s">
        <v>157</v>
      </c>
      <c r="K221" t="s">
        <v>66</v>
      </c>
      <c r="L221" t="s">
        <v>33</v>
      </c>
      <c r="M221" t="s">
        <v>68</v>
      </c>
      <c r="N221" t="s">
        <v>69</v>
      </c>
      <c r="O221" t="s">
        <v>36</v>
      </c>
      <c r="P221" t="s">
        <v>37</v>
      </c>
      <c r="Q221" t="s">
        <v>59</v>
      </c>
      <c r="R221">
        <v>152</v>
      </c>
      <c r="S221">
        <v>80</v>
      </c>
      <c r="T221">
        <v>62</v>
      </c>
      <c r="U221">
        <v>18</v>
      </c>
      <c r="V221" t="s">
        <v>6870</v>
      </c>
      <c r="W221">
        <v>68550</v>
      </c>
      <c r="X221" t="s">
        <v>1440</v>
      </c>
      <c r="Y221">
        <v>50076</v>
      </c>
      <c r="Z221">
        <v>1233900</v>
      </c>
      <c r="AA221">
        <v>332532</v>
      </c>
      <c r="AB221" t="str">
        <f>(VLOOKUP(SalesData[[#This Row],[Month Number]],Reference!C$5:E$16,2,FALSE))</f>
        <v>Feb</v>
      </c>
      <c r="AC221">
        <f>MONTH(SalesData[[#This Row],[Date]])</f>
        <v>2</v>
      </c>
      <c r="AD221">
        <f>Reference!F$4</f>
        <v>2026</v>
      </c>
      <c r="AE221" t="str">
        <f>IF(OR(SalesData[[#This Row],[Day]]="Saturday",SalesData[[#This Row],[Day]]="Sunday"),"Weekend","Weekday")</f>
        <v>Weekday</v>
      </c>
      <c r="AF221" s="5">
        <f>IF(SalesData[[#This Row],[Contracts Offered]]=0,0,SalesData[[#This Row],[Contracts Signed]]/SalesData[[#This Row],[Contracts Offered]])</f>
        <v>0.29032258064516131</v>
      </c>
      <c r="AG221" s="5">
        <f>IF(SalesData[[#This Row],[Customers Visited]]=0,0,SalesData[[#This Row],[Test Drives]]/SalesData[[#This Row],[Customers Visited]])</f>
        <v>0.52631578947368418</v>
      </c>
      <c r="AH221" s="5">
        <f>IF(SalesData[[#This Row],[Customers Visited]]=0,0,SalesData[[#This Row],[Contracts Signed]]/SalesData[[#This Row],[Customers Visited]])</f>
        <v>0.11842105263157894</v>
      </c>
      <c r="AI221" s="6">
        <f>IF(SalesData[[#This Row],[Contracts Signed]]=0,0,SalesData[[#This Row],[Profit(€)]]/SalesData[[#This Row],[Contracts Signed]])</f>
        <v>18474</v>
      </c>
      <c r="AJ221" s="5" t="str">
        <f>TRIM(CLEAN(SalesData[[#This Row],[Retailer]]))</f>
        <v>Hannover Cars</v>
      </c>
    </row>
    <row r="222" spans="1:36" ht="14.25" hidden="1" x14ac:dyDescent="0.2">
      <c r="A222" t="s">
        <v>524</v>
      </c>
      <c r="B222" s="1">
        <v>46062</v>
      </c>
      <c r="C222" t="s">
        <v>121</v>
      </c>
      <c r="D222" t="s">
        <v>25</v>
      </c>
      <c r="E222" t="s">
        <v>26</v>
      </c>
      <c r="F222" t="s">
        <v>109</v>
      </c>
      <c r="G222" t="s">
        <v>110</v>
      </c>
      <c r="H222" t="s">
        <v>45</v>
      </c>
      <c r="I222" t="s">
        <v>56</v>
      </c>
      <c r="J222" t="s">
        <v>179</v>
      </c>
      <c r="K222" t="s">
        <v>91</v>
      </c>
      <c r="L222" t="s">
        <v>67</v>
      </c>
      <c r="M222" t="s">
        <v>68</v>
      </c>
      <c r="N222" t="s">
        <v>69</v>
      </c>
      <c r="O222" t="s">
        <v>36</v>
      </c>
      <c r="P222" t="s">
        <v>71</v>
      </c>
      <c r="Q222" t="s">
        <v>38</v>
      </c>
      <c r="R222">
        <v>220</v>
      </c>
      <c r="S222">
        <v>115</v>
      </c>
      <c r="T222">
        <v>85</v>
      </c>
      <c r="U222">
        <v>27</v>
      </c>
      <c r="V222" t="s">
        <v>6683</v>
      </c>
      <c r="W222">
        <v>55765</v>
      </c>
      <c r="X222" t="s">
        <v>7133</v>
      </c>
      <c r="Y222">
        <v>44583</v>
      </c>
      <c r="Z222">
        <v>1505655</v>
      </c>
      <c r="AA222">
        <v>301914</v>
      </c>
      <c r="AB222" t="str">
        <f>(VLOOKUP(SalesData[[#This Row],[Month Number]],Reference!C$5:E$16,2,FALSE))</f>
        <v>Feb</v>
      </c>
      <c r="AC222">
        <f>MONTH(SalesData[[#This Row],[Date]])</f>
        <v>2</v>
      </c>
      <c r="AD222">
        <f>Reference!F$4</f>
        <v>2026</v>
      </c>
      <c r="AE222" t="str">
        <f>IF(OR(SalesData[[#This Row],[Day]]="Saturday",SalesData[[#This Row],[Day]]="Sunday"),"Weekend","Weekday")</f>
        <v>Weekday</v>
      </c>
      <c r="AF222" s="5">
        <f>IF(SalesData[[#This Row],[Contracts Offered]]=0,0,SalesData[[#This Row],[Contracts Signed]]/SalesData[[#This Row],[Contracts Offered]])</f>
        <v>0.31764705882352939</v>
      </c>
      <c r="AG222" s="5">
        <f>IF(SalesData[[#This Row],[Customers Visited]]=0,0,SalesData[[#This Row],[Test Drives]]/SalesData[[#This Row],[Customers Visited]])</f>
        <v>0.52272727272727271</v>
      </c>
      <c r="AH222" s="5">
        <f>IF(SalesData[[#This Row],[Customers Visited]]=0,0,SalesData[[#This Row],[Contracts Signed]]/SalesData[[#This Row],[Customers Visited]])</f>
        <v>0.12272727272727273</v>
      </c>
      <c r="AI222" s="6">
        <f>IF(SalesData[[#This Row],[Contracts Signed]]=0,0,SalesData[[#This Row],[Profit(€)]]/SalesData[[#This Row],[Contracts Signed]])</f>
        <v>11182</v>
      </c>
      <c r="AJ222" s="5" t="str">
        <f>TRIM(CLEAN(SalesData[[#This Row],[Retailer]]))</f>
        <v>Leipzig Mobility</v>
      </c>
    </row>
    <row r="223" spans="1:36" ht="14.25" hidden="1" x14ac:dyDescent="0.2">
      <c r="A223" t="s">
        <v>526</v>
      </c>
      <c r="B223" s="1">
        <v>46062</v>
      </c>
      <c r="C223" t="s">
        <v>121</v>
      </c>
      <c r="D223" t="s">
        <v>25</v>
      </c>
      <c r="E223" t="s">
        <v>26</v>
      </c>
      <c r="F223" t="s">
        <v>127</v>
      </c>
      <c r="G223" t="s">
        <v>128</v>
      </c>
      <c r="H223" t="s">
        <v>103</v>
      </c>
      <c r="I223" t="s">
        <v>104</v>
      </c>
      <c r="J223" t="s">
        <v>140</v>
      </c>
      <c r="K223" t="s">
        <v>78</v>
      </c>
      <c r="L223" t="s">
        <v>46</v>
      </c>
      <c r="M223" t="s">
        <v>87</v>
      </c>
      <c r="N223" t="s">
        <v>69</v>
      </c>
      <c r="O223" t="s">
        <v>36</v>
      </c>
      <c r="P223" t="s">
        <v>71</v>
      </c>
      <c r="Q223" t="s">
        <v>158</v>
      </c>
      <c r="R223">
        <v>376</v>
      </c>
      <c r="S223">
        <v>183</v>
      </c>
      <c r="T223">
        <v>119</v>
      </c>
      <c r="U223">
        <v>36</v>
      </c>
      <c r="V223" t="s">
        <v>849</v>
      </c>
      <c r="W223">
        <v>27610</v>
      </c>
      <c r="X223" t="s">
        <v>7134</v>
      </c>
      <c r="Y223">
        <v>24754</v>
      </c>
      <c r="Z223">
        <v>993960</v>
      </c>
      <c r="AA223">
        <v>102816</v>
      </c>
      <c r="AB223" t="str">
        <f>(VLOOKUP(SalesData[[#This Row],[Month Number]],Reference!C$5:E$16,2,FALSE))</f>
        <v>Feb</v>
      </c>
      <c r="AC223">
        <f>MONTH(SalesData[[#This Row],[Date]])</f>
        <v>2</v>
      </c>
      <c r="AD223">
        <f>Reference!F$4</f>
        <v>2026</v>
      </c>
      <c r="AE223" t="str">
        <f>IF(OR(SalesData[[#This Row],[Day]]="Saturday",SalesData[[#This Row],[Day]]="Sunday"),"Weekend","Weekday")</f>
        <v>Weekday</v>
      </c>
      <c r="AF223" s="5">
        <f>IF(SalesData[[#This Row],[Contracts Offered]]=0,0,SalesData[[#This Row],[Contracts Signed]]/SalesData[[#This Row],[Contracts Offered]])</f>
        <v>0.30252100840336132</v>
      </c>
      <c r="AG223" s="5">
        <f>IF(SalesData[[#This Row],[Customers Visited]]=0,0,SalesData[[#This Row],[Test Drives]]/SalesData[[#This Row],[Customers Visited]])</f>
        <v>0.48670212765957449</v>
      </c>
      <c r="AH223" s="5">
        <f>IF(SalesData[[#This Row],[Customers Visited]]=0,0,SalesData[[#This Row],[Contracts Signed]]/SalesData[[#This Row],[Customers Visited]])</f>
        <v>9.5744680851063829E-2</v>
      </c>
      <c r="AI223" s="6">
        <f>IF(SalesData[[#This Row],[Contracts Signed]]=0,0,SalesData[[#This Row],[Profit(€)]]/SalesData[[#This Row],[Contracts Signed]])</f>
        <v>2856</v>
      </c>
      <c r="AJ223" s="5" t="str">
        <f>TRIM(CLEAN(SalesData[[#This Row],[Retailer]]))</f>
        <v>Rhein Auto Group</v>
      </c>
    </row>
    <row r="224" spans="1:36" ht="14.25" x14ac:dyDescent="0.2">
      <c r="A224" t="s">
        <v>528</v>
      </c>
      <c r="B224" s="1">
        <v>46075</v>
      </c>
      <c r="C224" t="s">
        <v>53</v>
      </c>
      <c r="D224" t="s">
        <v>41</v>
      </c>
      <c r="E224" t="s">
        <v>42</v>
      </c>
      <c r="F224" t="s">
        <v>27</v>
      </c>
      <c r="G224" t="s">
        <v>28</v>
      </c>
      <c r="H224" t="s">
        <v>29</v>
      </c>
      <c r="I224" t="s">
        <v>30</v>
      </c>
      <c r="J224" t="s">
        <v>188</v>
      </c>
      <c r="K224" t="s">
        <v>32</v>
      </c>
      <c r="L224" t="s">
        <v>33</v>
      </c>
      <c r="M224" t="s">
        <v>34</v>
      </c>
      <c r="N224" t="s">
        <v>69</v>
      </c>
      <c r="O224" t="s">
        <v>36</v>
      </c>
      <c r="P224" t="s">
        <v>58</v>
      </c>
      <c r="Q224" t="s">
        <v>167</v>
      </c>
      <c r="R224">
        <v>228</v>
      </c>
      <c r="S224">
        <v>123</v>
      </c>
      <c r="T224">
        <v>97</v>
      </c>
      <c r="U224">
        <v>34</v>
      </c>
      <c r="V224" t="s">
        <v>6678</v>
      </c>
      <c r="W224">
        <v>57787</v>
      </c>
      <c r="X224" t="s">
        <v>7135</v>
      </c>
      <c r="Y224">
        <v>41012</v>
      </c>
      <c r="Z224">
        <v>1964758</v>
      </c>
      <c r="AA224">
        <v>570350</v>
      </c>
      <c r="AB224" t="str">
        <f>(VLOOKUP(SalesData[[#This Row],[Month Number]],Reference!C$5:E$16,2,FALSE))</f>
        <v>Feb</v>
      </c>
      <c r="AC224">
        <f>MONTH(SalesData[[#This Row],[Date]])</f>
        <v>2</v>
      </c>
      <c r="AD224">
        <f>Reference!F$4</f>
        <v>2026</v>
      </c>
      <c r="AE224" t="str">
        <f>IF(OR(SalesData[[#This Row],[Day]]="Saturday",SalesData[[#This Row],[Day]]="Sunday"),"Weekend","Weekday")</f>
        <v>Weekend</v>
      </c>
      <c r="AF224" s="5">
        <f>IF(SalesData[[#This Row],[Contracts Offered]]=0,0,SalesData[[#This Row],[Contracts Signed]]/SalesData[[#This Row],[Contracts Offered]])</f>
        <v>0.35051546391752575</v>
      </c>
      <c r="AG224" s="5">
        <f>IF(SalesData[[#This Row],[Customers Visited]]=0,0,SalesData[[#This Row],[Test Drives]]/SalesData[[#This Row],[Customers Visited]])</f>
        <v>0.53947368421052633</v>
      </c>
      <c r="AH224" s="5">
        <f>IF(SalesData[[#This Row],[Customers Visited]]=0,0,SalesData[[#This Row],[Contracts Signed]]/SalesData[[#This Row],[Customers Visited]])</f>
        <v>0.14912280701754385</v>
      </c>
      <c r="AI224" s="6">
        <f>IF(SalesData[[#This Row],[Contracts Signed]]=0,0,SalesData[[#This Row],[Profit(€)]]/SalesData[[#This Row],[Contracts Signed]])</f>
        <v>16775</v>
      </c>
      <c r="AJ224" s="5" t="str">
        <f>TRIM(CLEAN(SalesData[[#This Row],[Retailer]]))</f>
        <v>Main Auto Hub</v>
      </c>
    </row>
    <row r="225" spans="1:36" ht="14.25" hidden="1" x14ac:dyDescent="0.2">
      <c r="A225" t="s">
        <v>530</v>
      </c>
      <c r="B225" s="1">
        <v>46054</v>
      </c>
      <c r="C225" t="s">
        <v>24</v>
      </c>
      <c r="D225" t="s">
        <v>41</v>
      </c>
      <c r="E225" t="s">
        <v>42</v>
      </c>
      <c r="F225" t="s">
        <v>114</v>
      </c>
      <c r="G225" t="s">
        <v>115</v>
      </c>
      <c r="H225" t="s">
        <v>115</v>
      </c>
      <c r="I225" t="s">
        <v>116</v>
      </c>
      <c r="J225" t="s">
        <v>117</v>
      </c>
      <c r="K225" t="s">
        <v>91</v>
      </c>
      <c r="L225" t="s">
        <v>67</v>
      </c>
      <c r="M225" t="s">
        <v>34</v>
      </c>
      <c r="N225" t="s">
        <v>48</v>
      </c>
      <c r="O225" t="s">
        <v>70</v>
      </c>
      <c r="P225" t="s">
        <v>71</v>
      </c>
      <c r="Q225" t="s">
        <v>38</v>
      </c>
      <c r="R225">
        <v>225</v>
      </c>
      <c r="S225">
        <v>101</v>
      </c>
      <c r="T225">
        <v>61</v>
      </c>
      <c r="U225">
        <v>19</v>
      </c>
      <c r="V225" t="s">
        <v>3135</v>
      </c>
      <c r="W225">
        <v>26541</v>
      </c>
      <c r="X225" t="s">
        <v>1670</v>
      </c>
      <c r="Y225">
        <v>23862</v>
      </c>
      <c r="Z225">
        <v>504279</v>
      </c>
      <c r="AA225">
        <v>50901</v>
      </c>
      <c r="AB225" t="str">
        <f>(VLOOKUP(SalesData[[#This Row],[Month Number]],Reference!C$5:E$16,2,FALSE))</f>
        <v>Feb</v>
      </c>
      <c r="AC225">
        <f>MONTH(SalesData[[#This Row],[Date]])</f>
        <v>2</v>
      </c>
      <c r="AD225">
        <f>Reference!F$4</f>
        <v>2026</v>
      </c>
      <c r="AE225" t="str">
        <f>IF(OR(SalesData[[#This Row],[Day]]="Saturday",SalesData[[#This Row],[Day]]="Sunday"),"Weekend","Weekday")</f>
        <v>Weekend</v>
      </c>
      <c r="AF225" s="5">
        <f>IF(SalesData[[#This Row],[Contracts Offered]]=0,0,SalesData[[#This Row],[Contracts Signed]]/SalesData[[#This Row],[Contracts Offered]])</f>
        <v>0.31147540983606559</v>
      </c>
      <c r="AG225" s="5">
        <f>IF(SalesData[[#This Row],[Customers Visited]]=0,0,SalesData[[#This Row],[Test Drives]]/SalesData[[#This Row],[Customers Visited]])</f>
        <v>0.44888888888888889</v>
      </c>
      <c r="AH225" s="5">
        <f>IF(SalesData[[#This Row],[Customers Visited]]=0,0,SalesData[[#This Row],[Contracts Signed]]/SalesData[[#This Row],[Customers Visited]])</f>
        <v>8.4444444444444447E-2</v>
      </c>
      <c r="AI225" s="6">
        <f>IF(SalesData[[#This Row],[Contracts Signed]]=0,0,SalesData[[#This Row],[Profit(€)]]/SalesData[[#This Row],[Contracts Signed]])</f>
        <v>2679</v>
      </c>
      <c r="AJ225" s="5" t="str">
        <f>TRIM(CLEAN(SalesData[[#This Row],[Retailer]]))</f>
        <v>Elbe Drive</v>
      </c>
    </row>
    <row r="226" spans="1:36" ht="14.25" hidden="1" x14ac:dyDescent="0.2">
      <c r="A226" t="s">
        <v>532</v>
      </c>
      <c r="B226" s="1">
        <v>46064</v>
      </c>
      <c r="C226" t="s">
        <v>121</v>
      </c>
      <c r="D226" t="s">
        <v>82</v>
      </c>
      <c r="E226" t="s">
        <v>26</v>
      </c>
      <c r="F226" t="s">
        <v>83</v>
      </c>
      <c r="G226" t="s">
        <v>84</v>
      </c>
      <c r="H226" t="s">
        <v>85</v>
      </c>
      <c r="I226" t="s">
        <v>116</v>
      </c>
      <c r="J226" t="s">
        <v>117</v>
      </c>
      <c r="K226" t="s">
        <v>32</v>
      </c>
      <c r="L226" t="s">
        <v>67</v>
      </c>
      <c r="M226" t="s">
        <v>47</v>
      </c>
      <c r="N226" t="s">
        <v>69</v>
      </c>
      <c r="O226" t="s">
        <v>36</v>
      </c>
      <c r="P226" t="s">
        <v>49</v>
      </c>
      <c r="Q226" t="s">
        <v>152</v>
      </c>
      <c r="R226">
        <v>413</v>
      </c>
      <c r="S226">
        <v>174</v>
      </c>
      <c r="T226">
        <v>116</v>
      </c>
      <c r="U226">
        <v>23</v>
      </c>
      <c r="V226" t="s">
        <v>1612</v>
      </c>
      <c r="W226">
        <v>20824</v>
      </c>
      <c r="X226" t="s">
        <v>5289</v>
      </c>
      <c r="Y226">
        <v>18838</v>
      </c>
      <c r="Z226">
        <v>478952</v>
      </c>
      <c r="AA226">
        <v>45678</v>
      </c>
      <c r="AB226" t="str">
        <f>(VLOOKUP(SalesData[[#This Row],[Month Number]],Reference!C$5:E$16,2,FALSE))</f>
        <v>Feb</v>
      </c>
      <c r="AC226">
        <f>MONTH(SalesData[[#This Row],[Date]])</f>
        <v>2</v>
      </c>
      <c r="AD226">
        <f>Reference!F$4</f>
        <v>2026</v>
      </c>
      <c r="AE226" t="str">
        <f>IF(OR(SalesData[[#This Row],[Day]]="Saturday",SalesData[[#This Row],[Day]]="Sunday"),"Weekend","Weekday")</f>
        <v>Weekday</v>
      </c>
      <c r="AF226" s="5">
        <f>IF(SalesData[[#This Row],[Contracts Offered]]=0,0,SalesData[[#This Row],[Contracts Signed]]/SalesData[[#This Row],[Contracts Offered]])</f>
        <v>0.19827586206896552</v>
      </c>
      <c r="AG226" s="5">
        <f>IF(SalesData[[#This Row],[Customers Visited]]=0,0,SalesData[[#This Row],[Test Drives]]/SalesData[[#This Row],[Customers Visited]])</f>
        <v>0.42130750605326878</v>
      </c>
      <c r="AH226" s="5">
        <f>IF(SalesData[[#This Row],[Customers Visited]]=0,0,SalesData[[#This Row],[Contracts Signed]]/SalesData[[#This Row],[Customers Visited]])</f>
        <v>5.569007263922518E-2</v>
      </c>
      <c r="AI226" s="6">
        <f>IF(SalesData[[#This Row],[Contracts Signed]]=0,0,SalesData[[#This Row],[Profit(€)]]/SalesData[[#This Row],[Contracts Signed]])</f>
        <v>1986</v>
      </c>
      <c r="AJ226" s="5" t="str">
        <f>TRIM(CLEAN(SalesData[[#This Row],[Retailer]]))</f>
        <v>Hannover Cars</v>
      </c>
    </row>
    <row r="227" spans="1:36" ht="14.25" hidden="1" x14ac:dyDescent="0.2">
      <c r="A227" t="s">
        <v>533</v>
      </c>
      <c r="B227" s="1">
        <v>46065</v>
      </c>
      <c r="C227" t="s">
        <v>121</v>
      </c>
      <c r="D227" t="s">
        <v>100</v>
      </c>
      <c r="E227" t="s">
        <v>26</v>
      </c>
      <c r="F227" t="s">
        <v>109</v>
      </c>
      <c r="G227" t="s">
        <v>110</v>
      </c>
      <c r="H227" t="s">
        <v>45</v>
      </c>
      <c r="I227" t="s">
        <v>64</v>
      </c>
      <c r="J227" t="s">
        <v>157</v>
      </c>
      <c r="K227" t="s">
        <v>32</v>
      </c>
      <c r="L227" t="s">
        <v>33</v>
      </c>
      <c r="M227" t="s">
        <v>47</v>
      </c>
      <c r="N227" t="s">
        <v>69</v>
      </c>
      <c r="O227" t="s">
        <v>36</v>
      </c>
      <c r="P227" t="s">
        <v>49</v>
      </c>
      <c r="Q227" t="s">
        <v>347</v>
      </c>
      <c r="R227">
        <v>270</v>
      </c>
      <c r="S227">
        <v>123</v>
      </c>
      <c r="T227">
        <v>87</v>
      </c>
      <c r="U227">
        <v>26</v>
      </c>
      <c r="V227" t="s">
        <v>6424</v>
      </c>
      <c r="W227">
        <v>57138</v>
      </c>
      <c r="X227" t="s">
        <v>7136</v>
      </c>
      <c r="Y227">
        <v>43081</v>
      </c>
      <c r="Z227">
        <v>1485588</v>
      </c>
      <c r="AA227">
        <v>365482</v>
      </c>
      <c r="AB227" t="str">
        <f>(VLOOKUP(SalesData[[#This Row],[Month Number]],Reference!C$5:E$16,2,FALSE))</f>
        <v>Feb</v>
      </c>
      <c r="AC227">
        <f>MONTH(SalesData[[#This Row],[Date]])</f>
        <v>2</v>
      </c>
      <c r="AD227">
        <f>Reference!F$4</f>
        <v>2026</v>
      </c>
      <c r="AE227" t="str">
        <f>IF(OR(SalesData[[#This Row],[Day]]="Saturday",SalesData[[#This Row],[Day]]="Sunday"),"Weekend","Weekday")</f>
        <v>Weekday</v>
      </c>
      <c r="AF227" s="5">
        <f>IF(SalesData[[#This Row],[Contracts Offered]]=0,0,SalesData[[#This Row],[Contracts Signed]]/SalesData[[#This Row],[Contracts Offered]])</f>
        <v>0.2988505747126437</v>
      </c>
      <c r="AG227" s="5">
        <f>IF(SalesData[[#This Row],[Customers Visited]]=0,0,SalesData[[#This Row],[Test Drives]]/SalesData[[#This Row],[Customers Visited]])</f>
        <v>0.45555555555555555</v>
      </c>
      <c r="AH227" s="5">
        <f>IF(SalesData[[#This Row],[Customers Visited]]=0,0,SalesData[[#This Row],[Contracts Signed]]/SalesData[[#This Row],[Customers Visited]])</f>
        <v>9.6296296296296297E-2</v>
      </c>
      <c r="AI227" s="6">
        <f>IF(SalesData[[#This Row],[Contracts Signed]]=0,0,SalesData[[#This Row],[Profit(€)]]/SalesData[[#This Row],[Contracts Signed]])</f>
        <v>14057</v>
      </c>
      <c r="AJ227" s="5" t="str">
        <f>TRIM(CLEAN(SalesData[[#This Row],[Retailer]]))</f>
        <v>Leipzig Mobility</v>
      </c>
    </row>
    <row r="228" spans="1:36" ht="14.25" x14ac:dyDescent="0.2">
      <c r="A228" t="s">
        <v>535</v>
      </c>
      <c r="B228" s="1">
        <v>46057</v>
      </c>
      <c r="C228" t="s">
        <v>24</v>
      </c>
      <c r="D228" t="s">
        <v>82</v>
      </c>
      <c r="E228" t="s">
        <v>26</v>
      </c>
      <c r="F228" t="s">
        <v>127</v>
      </c>
      <c r="G228" t="s">
        <v>128</v>
      </c>
      <c r="H228" t="s">
        <v>103</v>
      </c>
      <c r="I228" t="s">
        <v>30</v>
      </c>
      <c r="J228" t="s">
        <v>166</v>
      </c>
      <c r="K228" t="s">
        <v>91</v>
      </c>
      <c r="L228" t="s">
        <v>46</v>
      </c>
      <c r="M228" t="s">
        <v>68</v>
      </c>
      <c r="N228" t="s">
        <v>35</v>
      </c>
      <c r="O228" t="s">
        <v>70</v>
      </c>
      <c r="P228" t="s">
        <v>58</v>
      </c>
      <c r="Q228" t="s">
        <v>88</v>
      </c>
      <c r="R228">
        <v>180</v>
      </c>
      <c r="S228">
        <v>85</v>
      </c>
      <c r="T228">
        <v>58</v>
      </c>
      <c r="U228">
        <v>25</v>
      </c>
      <c r="V228" t="s">
        <v>6966</v>
      </c>
      <c r="W228">
        <v>61623</v>
      </c>
      <c r="X228" t="s">
        <v>7137</v>
      </c>
      <c r="Y228">
        <v>44420</v>
      </c>
      <c r="Z228">
        <v>1540575</v>
      </c>
      <c r="AA228">
        <v>430075</v>
      </c>
      <c r="AB228" t="str">
        <f>(VLOOKUP(SalesData[[#This Row],[Month Number]],Reference!C$5:E$16,2,FALSE))</f>
        <v>Feb</v>
      </c>
      <c r="AC228">
        <f>MONTH(SalesData[[#This Row],[Date]])</f>
        <v>2</v>
      </c>
      <c r="AD228">
        <f>Reference!F$4</f>
        <v>2026</v>
      </c>
      <c r="AE228" t="str">
        <f>IF(OR(SalesData[[#This Row],[Day]]="Saturday",SalesData[[#This Row],[Day]]="Sunday"),"Weekend","Weekday")</f>
        <v>Weekday</v>
      </c>
      <c r="AF228" s="5">
        <f>IF(SalesData[[#This Row],[Contracts Offered]]=0,0,SalesData[[#This Row],[Contracts Signed]]/SalesData[[#This Row],[Contracts Offered]])</f>
        <v>0.43103448275862066</v>
      </c>
      <c r="AG228" s="5">
        <f>IF(SalesData[[#This Row],[Customers Visited]]=0,0,SalesData[[#This Row],[Test Drives]]/SalesData[[#This Row],[Customers Visited]])</f>
        <v>0.47222222222222221</v>
      </c>
      <c r="AH228" s="5">
        <f>IF(SalesData[[#This Row],[Customers Visited]]=0,0,SalesData[[#This Row],[Contracts Signed]]/SalesData[[#This Row],[Customers Visited]])</f>
        <v>0.1388888888888889</v>
      </c>
      <c r="AI228" s="6">
        <f>IF(SalesData[[#This Row],[Contracts Signed]]=0,0,SalesData[[#This Row],[Profit(€)]]/SalesData[[#This Row],[Contracts Signed]])</f>
        <v>17203</v>
      </c>
      <c r="AJ228" s="5" t="str">
        <f>TRIM(CLEAN(SalesData[[#This Row],[Retailer]]))</f>
        <v>Rhein Auto Group</v>
      </c>
    </row>
    <row r="229" spans="1:36" ht="14.25" hidden="1" x14ac:dyDescent="0.2">
      <c r="A229" t="s">
        <v>537</v>
      </c>
      <c r="B229" s="1">
        <v>46056</v>
      </c>
      <c r="C229" t="s">
        <v>24</v>
      </c>
      <c r="D229" t="s">
        <v>63</v>
      </c>
      <c r="E229" t="s">
        <v>26</v>
      </c>
      <c r="F229" t="s">
        <v>101</v>
      </c>
      <c r="G229" t="s">
        <v>102</v>
      </c>
      <c r="H229" t="s">
        <v>103</v>
      </c>
      <c r="I229" t="s">
        <v>104</v>
      </c>
      <c r="J229" t="s">
        <v>140</v>
      </c>
      <c r="K229" t="s">
        <v>91</v>
      </c>
      <c r="L229" t="s">
        <v>46</v>
      </c>
      <c r="M229" t="s">
        <v>68</v>
      </c>
      <c r="N229" t="s">
        <v>69</v>
      </c>
      <c r="O229" t="s">
        <v>70</v>
      </c>
      <c r="P229" t="s">
        <v>37</v>
      </c>
      <c r="Q229" t="s">
        <v>50</v>
      </c>
      <c r="R229">
        <v>410</v>
      </c>
      <c r="S229">
        <v>224</v>
      </c>
      <c r="T229">
        <v>138</v>
      </c>
      <c r="U229">
        <v>28</v>
      </c>
      <c r="V229" t="s">
        <v>265</v>
      </c>
      <c r="W229">
        <v>32536</v>
      </c>
      <c r="X229" t="s">
        <v>955</v>
      </c>
      <c r="Y229">
        <v>28256</v>
      </c>
      <c r="Z229">
        <v>911008</v>
      </c>
      <c r="AA229">
        <v>119840</v>
      </c>
      <c r="AB229" t="str">
        <f>(VLOOKUP(SalesData[[#This Row],[Month Number]],Reference!C$5:E$16,2,FALSE))</f>
        <v>Feb</v>
      </c>
      <c r="AC229">
        <f>MONTH(SalesData[[#This Row],[Date]])</f>
        <v>2</v>
      </c>
      <c r="AD229">
        <f>Reference!F$4</f>
        <v>2026</v>
      </c>
      <c r="AE229" t="str">
        <f>IF(OR(SalesData[[#This Row],[Day]]="Saturday",SalesData[[#This Row],[Day]]="Sunday"),"Weekend","Weekday")</f>
        <v>Weekday</v>
      </c>
      <c r="AF229" s="5">
        <f>IF(SalesData[[#This Row],[Contracts Offered]]=0,0,SalesData[[#This Row],[Contracts Signed]]/SalesData[[#This Row],[Contracts Offered]])</f>
        <v>0.20289855072463769</v>
      </c>
      <c r="AG229" s="5">
        <f>IF(SalesData[[#This Row],[Customers Visited]]=0,0,SalesData[[#This Row],[Test Drives]]/SalesData[[#This Row],[Customers Visited]])</f>
        <v>0.54634146341463419</v>
      </c>
      <c r="AH229" s="5">
        <f>IF(SalesData[[#This Row],[Customers Visited]]=0,0,SalesData[[#This Row],[Contracts Signed]]/SalesData[[#This Row],[Customers Visited]])</f>
        <v>6.8292682926829273E-2</v>
      </c>
      <c r="AI229" s="6">
        <f>IF(SalesData[[#This Row],[Contracts Signed]]=0,0,SalesData[[#This Row],[Profit(€)]]/SalesData[[#This Row],[Contracts Signed]])</f>
        <v>4280</v>
      </c>
      <c r="AJ229" s="5" t="str">
        <f>TRIM(CLEAN(SalesData[[#This Row],[Retailer]]))</f>
        <v>Ruhr Auto Plaza</v>
      </c>
    </row>
    <row r="230" spans="1:36" ht="14.25" hidden="1" x14ac:dyDescent="0.2">
      <c r="A230" t="s">
        <v>539</v>
      </c>
      <c r="B230" s="1">
        <v>46076</v>
      </c>
      <c r="C230" t="s">
        <v>53</v>
      </c>
      <c r="D230" t="s">
        <v>25</v>
      </c>
      <c r="E230" t="s">
        <v>26</v>
      </c>
      <c r="F230" t="s">
        <v>7649</v>
      </c>
      <c r="G230" t="s">
        <v>55</v>
      </c>
      <c r="H230" t="s">
        <v>55</v>
      </c>
      <c r="I230" t="s">
        <v>64</v>
      </c>
      <c r="J230" t="s">
        <v>111</v>
      </c>
      <c r="K230" t="s">
        <v>66</v>
      </c>
      <c r="L230" t="s">
        <v>46</v>
      </c>
      <c r="M230" t="s">
        <v>87</v>
      </c>
      <c r="N230" t="s">
        <v>48</v>
      </c>
      <c r="O230" t="s">
        <v>70</v>
      </c>
      <c r="P230" t="s">
        <v>49</v>
      </c>
      <c r="Q230" t="s">
        <v>38</v>
      </c>
      <c r="R230">
        <v>172</v>
      </c>
      <c r="S230">
        <v>76</v>
      </c>
      <c r="T230">
        <v>57</v>
      </c>
      <c r="U230">
        <v>18</v>
      </c>
      <c r="V230" t="s">
        <v>6441</v>
      </c>
      <c r="W230">
        <v>51295</v>
      </c>
      <c r="X230" t="s">
        <v>7138</v>
      </c>
      <c r="Y230">
        <v>39352</v>
      </c>
      <c r="Z230">
        <v>923310</v>
      </c>
      <c r="AA230">
        <v>214974</v>
      </c>
      <c r="AB230" t="str">
        <f>(VLOOKUP(SalesData[[#This Row],[Month Number]],Reference!C$5:E$16,2,FALSE))</f>
        <v>Feb</v>
      </c>
      <c r="AC230">
        <f>MONTH(SalesData[[#This Row],[Date]])</f>
        <v>2</v>
      </c>
      <c r="AD230">
        <f>Reference!F$4</f>
        <v>2026</v>
      </c>
      <c r="AE230" t="str">
        <f>IF(OR(SalesData[[#This Row],[Day]]="Saturday",SalesData[[#This Row],[Day]]="Sunday"),"Weekend","Weekday")</f>
        <v>Weekday</v>
      </c>
      <c r="AF230" s="5">
        <f>IF(SalesData[[#This Row],[Contracts Offered]]=0,0,SalesData[[#This Row],[Contracts Signed]]/SalesData[[#This Row],[Contracts Offered]])</f>
        <v>0.31578947368421051</v>
      </c>
      <c r="AG230" s="5">
        <f>IF(SalesData[[#This Row],[Customers Visited]]=0,0,SalesData[[#This Row],[Test Drives]]/SalesData[[#This Row],[Customers Visited]])</f>
        <v>0.44186046511627908</v>
      </c>
      <c r="AH230" s="5">
        <f>IF(SalesData[[#This Row],[Customers Visited]]=0,0,SalesData[[#This Row],[Contracts Signed]]/SalesData[[#This Row],[Customers Visited]])</f>
        <v>0.10465116279069768</v>
      </c>
      <c r="AI230" s="6">
        <f>IF(SalesData[[#This Row],[Contracts Signed]]=0,0,SalesData[[#This Row],[Profit(€)]]/SalesData[[#This Row],[Contracts Signed]])</f>
        <v>11943</v>
      </c>
      <c r="AJ230" s="5" t="str">
        <f>TRIM(CLEAN(SalesData[[#This Row],[Retailer]]))</f>
        <v>Autohaus Berlin</v>
      </c>
    </row>
    <row r="231" spans="1:36" ht="14.25" hidden="1" x14ac:dyDescent="0.2">
      <c r="A231" t="s">
        <v>541</v>
      </c>
      <c r="B231" s="1">
        <v>46066</v>
      </c>
      <c r="C231" t="s">
        <v>121</v>
      </c>
      <c r="D231" t="s">
        <v>54</v>
      </c>
      <c r="E231" t="s">
        <v>26</v>
      </c>
      <c r="F231" t="s">
        <v>114</v>
      </c>
      <c r="G231" t="s">
        <v>115</v>
      </c>
      <c r="H231" t="s">
        <v>115</v>
      </c>
      <c r="I231" t="s">
        <v>104</v>
      </c>
      <c r="J231" t="s">
        <v>105</v>
      </c>
      <c r="K231" t="s">
        <v>78</v>
      </c>
      <c r="L231" t="s">
        <v>33</v>
      </c>
      <c r="M231" t="s">
        <v>87</v>
      </c>
      <c r="N231" t="s">
        <v>35</v>
      </c>
      <c r="O231" t="s">
        <v>70</v>
      </c>
      <c r="P231" t="s">
        <v>37</v>
      </c>
      <c r="Q231" t="s">
        <v>135</v>
      </c>
      <c r="R231">
        <v>319</v>
      </c>
      <c r="S231">
        <v>172</v>
      </c>
      <c r="T231">
        <v>122</v>
      </c>
      <c r="U231">
        <v>24</v>
      </c>
      <c r="V231" t="s">
        <v>3935</v>
      </c>
      <c r="W231">
        <v>32685</v>
      </c>
      <c r="X231" t="s">
        <v>953</v>
      </c>
      <c r="Y231">
        <v>28139</v>
      </c>
      <c r="Z231">
        <v>784440</v>
      </c>
      <c r="AA231">
        <v>109104</v>
      </c>
      <c r="AB231" t="str">
        <f>(VLOOKUP(SalesData[[#This Row],[Month Number]],Reference!C$5:E$16,2,FALSE))</f>
        <v>Feb</v>
      </c>
      <c r="AC231">
        <f>MONTH(SalesData[[#This Row],[Date]])</f>
        <v>2</v>
      </c>
      <c r="AD231">
        <f>Reference!F$4</f>
        <v>2026</v>
      </c>
      <c r="AE231" t="str">
        <f>IF(OR(SalesData[[#This Row],[Day]]="Saturday",SalesData[[#This Row],[Day]]="Sunday"),"Weekend","Weekday")</f>
        <v>Weekday</v>
      </c>
      <c r="AF231" s="5">
        <f>IF(SalesData[[#This Row],[Contracts Offered]]=0,0,SalesData[[#This Row],[Contracts Signed]]/SalesData[[#This Row],[Contracts Offered]])</f>
        <v>0.19672131147540983</v>
      </c>
      <c r="AG231" s="5">
        <f>IF(SalesData[[#This Row],[Customers Visited]]=0,0,SalesData[[#This Row],[Test Drives]]/SalesData[[#This Row],[Customers Visited]])</f>
        <v>0.53918495297805646</v>
      </c>
      <c r="AH231" s="5">
        <f>IF(SalesData[[#This Row],[Customers Visited]]=0,0,SalesData[[#This Row],[Contracts Signed]]/SalesData[[#This Row],[Customers Visited]])</f>
        <v>7.5235109717868343E-2</v>
      </c>
      <c r="AI231" s="6">
        <f>IF(SalesData[[#This Row],[Contracts Signed]]=0,0,SalesData[[#This Row],[Profit(€)]]/SalesData[[#This Row],[Contracts Signed]])</f>
        <v>4546</v>
      </c>
      <c r="AJ231" s="5" t="str">
        <f>TRIM(CLEAN(SalesData[[#This Row],[Retailer]]))</f>
        <v>Elbe Drive</v>
      </c>
    </row>
    <row r="232" spans="1:36" ht="14.25" x14ac:dyDescent="0.2">
      <c r="A232" t="s">
        <v>543</v>
      </c>
      <c r="B232" s="1">
        <v>46056</v>
      </c>
      <c r="C232" t="s">
        <v>24</v>
      </c>
      <c r="D232" t="s">
        <v>63</v>
      </c>
      <c r="E232" t="s">
        <v>26</v>
      </c>
      <c r="F232" t="s">
        <v>101</v>
      </c>
      <c r="G232" t="s">
        <v>102</v>
      </c>
      <c r="H232" t="s">
        <v>103</v>
      </c>
      <c r="I232" t="s">
        <v>30</v>
      </c>
      <c r="J232" t="s">
        <v>31</v>
      </c>
      <c r="K232" t="s">
        <v>91</v>
      </c>
      <c r="L232" t="s">
        <v>46</v>
      </c>
      <c r="M232" t="s">
        <v>68</v>
      </c>
      <c r="N232" t="s">
        <v>69</v>
      </c>
      <c r="O232" t="s">
        <v>36</v>
      </c>
      <c r="P232" t="s">
        <v>49</v>
      </c>
      <c r="Q232" t="s">
        <v>152</v>
      </c>
      <c r="R232">
        <v>176</v>
      </c>
      <c r="S232">
        <v>101</v>
      </c>
      <c r="T232">
        <v>73</v>
      </c>
      <c r="U232">
        <v>26</v>
      </c>
      <c r="V232" t="s">
        <v>6599</v>
      </c>
      <c r="W232">
        <v>55740</v>
      </c>
      <c r="X232" t="s">
        <v>7032</v>
      </c>
      <c r="Y232">
        <v>42475</v>
      </c>
      <c r="Z232">
        <v>1449240</v>
      </c>
      <c r="AA232">
        <v>344890</v>
      </c>
      <c r="AB232" t="str">
        <f>(VLOOKUP(SalesData[[#This Row],[Month Number]],Reference!C$5:E$16,2,FALSE))</f>
        <v>Feb</v>
      </c>
      <c r="AC232">
        <f>MONTH(SalesData[[#This Row],[Date]])</f>
        <v>2</v>
      </c>
      <c r="AD232">
        <f>Reference!F$4</f>
        <v>2026</v>
      </c>
      <c r="AE232" t="str">
        <f>IF(OR(SalesData[[#This Row],[Day]]="Saturday",SalesData[[#This Row],[Day]]="Sunday"),"Weekend","Weekday")</f>
        <v>Weekday</v>
      </c>
      <c r="AF232" s="5">
        <f>IF(SalesData[[#This Row],[Contracts Offered]]=0,0,SalesData[[#This Row],[Contracts Signed]]/SalesData[[#This Row],[Contracts Offered]])</f>
        <v>0.35616438356164382</v>
      </c>
      <c r="AG232" s="5">
        <f>IF(SalesData[[#This Row],[Customers Visited]]=0,0,SalesData[[#This Row],[Test Drives]]/SalesData[[#This Row],[Customers Visited]])</f>
        <v>0.57386363636363635</v>
      </c>
      <c r="AH232" s="5">
        <f>IF(SalesData[[#This Row],[Customers Visited]]=0,0,SalesData[[#This Row],[Contracts Signed]]/SalesData[[#This Row],[Customers Visited]])</f>
        <v>0.14772727272727273</v>
      </c>
      <c r="AI232" s="6">
        <f>IF(SalesData[[#This Row],[Contracts Signed]]=0,0,SalesData[[#This Row],[Profit(€)]]/SalesData[[#This Row],[Contracts Signed]])</f>
        <v>13265</v>
      </c>
      <c r="AJ232" s="5" t="str">
        <f>TRIM(CLEAN(SalesData[[#This Row],[Retailer]]))</f>
        <v>Ruhr Auto Plaza</v>
      </c>
    </row>
    <row r="233" spans="1:36" ht="14.25" hidden="1" x14ac:dyDescent="0.2">
      <c r="A233" t="s">
        <v>545</v>
      </c>
      <c r="B233" s="1">
        <v>46079</v>
      </c>
      <c r="C233" t="s">
        <v>53</v>
      </c>
      <c r="D233" t="s">
        <v>100</v>
      </c>
      <c r="E233" t="s">
        <v>26</v>
      </c>
      <c r="F233" t="s">
        <v>94</v>
      </c>
      <c r="G233" t="s">
        <v>95</v>
      </c>
      <c r="H233" t="s">
        <v>96</v>
      </c>
      <c r="I233" t="s">
        <v>104</v>
      </c>
      <c r="J233" t="s">
        <v>105</v>
      </c>
      <c r="K233" t="s">
        <v>91</v>
      </c>
      <c r="L233" t="s">
        <v>33</v>
      </c>
      <c r="M233" t="s">
        <v>87</v>
      </c>
      <c r="N233" t="s">
        <v>35</v>
      </c>
      <c r="O233" t="s">
        <v>70</v>
      </c>
      <c r="P233" t="s">
        <v>49</v>
      </c>
      <c r="Q233" t="s">
        <v>50</v>
      </c>
      <c r="R233">
        <v>272</v>
      </c>
      <c r="S233">
        <v>127</v>
      </c>
      <c r="T233">
        <v>88</v>
      </c>
      <c r="U233">
        <v>18</v>
      </c>
      <c r="V233" t="s">
        <v>234</v>
      </c>
      <c r="W233">
        <v>31722</v>
      </c>
      <c r="X233" t="s">
        <v>864</v>
      </c>
      <c r="Y233">
        <v>28534</v>
      </c>
      <c r="Z233">
        <v>570996</v>
      </c>
      <c r="AA233">
        <v>57384</v>
      </c>
      <c r="AB233" t="str">
        <f>(VLOOKUP(SalesData[[#This Row],[Month Number]],Reference!C$5:E$16,2,FALSE))</f>
        <v>Feb</v>
      </c>
      <c r="AC233">
        <f>MONTH(SalesData[[#This Row],[Date]])</f>
        <v>2</v>
      </c>
      <c r="AD233">
        <f>Reference!F$4</f>
        <v>2026</v>
      </c>
      <c r="AE233" t="str">
        <f>IF(OR(SalesData[[#This Row],[Day]]="Saturday",SalesData[[#This Row],[Day]]="Sunday"),"Weekend","Weekday")</f>
        <v>Weekday</v>
      </c>
      <c r="AF233" s="5">
        <f>IF(SalesData[[#This Row],[Contracts Offered]]=0,0,SalesData[[#This Row],[Contracts Signed]]/SalesData[[#This Row],[Contracts Offered]])</f>
        <v>0.20454545454545456</v>
      </c>
      <c r="AG233" s="5">
        <f>IF(SalesData[[#This Row],[Customers Visited]]=0,0,SalesData[[#This Row],[Test Drives]]/SalesData[[#This Row],[Customers Visited]])</f>
        <v>0.46691176470588236</v>
      </c>
      <c r="AH233" s="5">
        <f>IF(SalesData[[#This Row],[Customers Visited]]=0,0,SalesData[[#This Row],[Contracts Signed]]/SalesData[[#This Row],[Customers Visited]])</f>
        <v>6.6176470588235295E-2</v>
      </c>
      <c r="AI233" s="6">
        <f>IF(SalesData[[#This Row],[Contracts Signed]]=0,0,SalesData[[#This Row],[Profit(€)]]/SalesData[[#This Row],[Contracts Signed]])</f>
        <v>3188</v>
      </c>
      <c r="AJ233" s="5" t="str">
        <f>TRIM(CLEAN(SalesData[[#This Row],[Retailer]]))</f>
        <v>Bavaria Motors</v>
      </c>
    </row>
    <row r="234" spans="1:36" ht="14.25" hidden="1" x14ac:dyDescent="0.2">
      <c r="A234" t="s">
        <v>546</v>
      </c>
      <c r="B234" s="1">
        <v>46077</v>
      </c>
      <c r="C234" t="s">
        <v>53</v>
      </c>
      <c r="D234" t="s">
        <v>63</v>
      </c>
      <c r="E234" t="s">
        <v>26</v>
      </c>
      <c r="F234" t="s">
        <v>74</v>
      </c>
      <c r="G234" t="s">
        <v>75</v>
      </c>
      <c r="H234" t="s">
        <v>76</v>
      </c>
      <c r="I234" t="s">
        <v>64</v>
      </c>
      <c r="J234" t="s">
        <v>7029</v>
      </c>
      <c r="K234" t="s">
        <v>91</v>
      </c>
      <c r="L234" t="s">
        <v>33</v>
      </c>
      <c r="M234" t="s">
        <v>34</v>
      </c>
      <c r="N234" t="s">
        <v>35</v>
      </c>
      <c r="O234" t="s">
        <v>36</v>
      </c>
      <c r="P234" t="s">
        <v>37</v>
      </c>
      <c r="Q234" t="s">
        <v>347</v>
      </c>
      <c r="R234">
        <v>207</v>
      </c>
      <c r="S234">
        <v>116</v>
      </c>
      <c r="T234">
        <v>89</v>
      </c>
      <c r="U234">
        <v>30</v>
      </c>
      <c r="V234" t="s">
        <v>6787</v>
      </c>
      <c r="W234">
        <v>62854</v>
      </c>
      <c r="X234" t="s">
        <v>7132</v>
      </c>
      <c r="Y234">
        <v>48225</v>
      </c>
      <c r="Z234">
        <v>1885620</v>
      </c>
      <c r="AA234">
        <v>438870</v>
      </c>
      <c r="AB234" t="str">
        <f>(VLOOKUP(SalesData[[#This Row],[Month Number]],Reference!C$5:E$16,2,FALSE))</f>
        <v>Feb</v>
      </c>
      <c r="AC234">
        <f>MONTH(SalesData[[#This Row],[Date]])</f>
        <v>2</v>
      </c>
      <c r="AD234">
        <f>Reference!F$4</f>
        <v>2026</v>
      </c>
      <c r="AE234" t="str">
        <f>IF(OR(SalesData[[#This Row],[Day]]="Saturday",SalesData[[#This Row],[Day]]="Sunday"),"Weekend","Weekday")</f>
        <v>Weekday</v>
      </c>
      <c r="AF234" s="5">
        <f>IF(SalesData[[#This Row],[Contracts Offered]]=0,0,SalesData[[#This Row],[Contracts Signed]]/SalesData[[#This Row],[Contracts Offered]])</f>
        <v>0.33707865168539325</v>
      </c>
      <c r="AG234" s="5">
        <f>IF(SalesData[[#This Row],[Customers Visited]]=0,0,SalesData[[#This Row],[Test Drives]]/SalesData[[#This Row],[Customers Visited]])</f>
        <v>0.56038647342995174</v>
      </c>
      <c r="AH234" s="5">
        <f>IF(SalesData[[#This Row],[Customers Visited]]=0,0,SalesData[[#This Row],[Contracts Signed]]/SalesData[[#This Row],[Customers Visited]])</f>
        <v>0.14492753623188406</v>
      </c>
      <c r="AI234" s="6">
        <f>IF(SalesData[[#This Row],[Contracts Signed]]=0,0,SalesData[[#This Row],[Profit(€)]]/SalesData[[#This Row],[Contracts Signed]])</f>
        <v>14629</v>
      </c>
      <c r="AJ234" s="5" t="str">
        <f>TRIM(CLEAN(SalesData[[#This Row],[Retailer]]))</f>
        <v>Stuttgart Auto Center</v>
      </c>
    </row>
    <row r="235" spans="1:36" ht="14.25" hidden="1" x14ac:dyDescent="0.2">
      <c r="A235" t="s">
        <v>547</v>
      </c>
      <c r="B235" s="1">
        <v>46081</v>
      </c>
      <c r="C235" t="s">
        <v>53</v>
      </c>
      <c r="D235" t="s">
        <v>151</v>
      </c>
      <c r="E235" t="s">
        <v>42</v>
      </c>
      <c r="F235" t="s">
        <v>83</v>
      </c>
      <c r="G235" t="s">
        <v>84</v>
      </c>
      <c r="H235" t="s">
        <v>85</v>
      </c>
      <c r="I235" t="s">
        <v>56</v>
      </c>
      <c r="J235" t="s">
        <v>137</v>
      </c>
      <c r="K235" t="s">
        <v>78</v>
      </c>
      <c r="L235" t="s">
        <v>46</v>
      </c>
      <c r="M235" t="s">
        <v>87</v>
      </c>
      <c r="N235" t="s">
        <v>69</v>
      </c>
      <c r="O235" t="s">
        <v>36</v>
      </c>
      <c r="P235" t="s">
        <v>49</v>
      </c>
      <c r="Q235" t="s">
        <v>347</v>
      </c>
      <c r="R235">
        <v>314</v>
      </c>
      <c r="S235">
        <v>154</v>
      </c>
      <c r="T235">
        <v>119</v>
      </c>
      <c r="U235">
        <v>30</v>
      </c>
      <c r="V235" t="s">
        <v>2484</v>
      </c>
      <c r="W235">
        <v>51679</v>
      </c>
      <c r="X235" t="s">
        <v>2787</v>
      </c>
      <c r="Y235">
        <v>40695</v>
      </c>
      <c r="Z235">
        <v>1550370</v>
      </c>
      <c r="AA235">
        <v>329520</v>
      </c>
      <c r="AB235" t="str">
        <f>(VLOOKUP(SalesData[[#This Row],[Month Number]],Reference!C$5:E$16,2,FALSE))</f>
        <v>Feb</v>
      </c>
      <c r="AC235">
        <f>MONTH(SalesData[[#This Row],[Date]])</f>
        <v>2</v>
      </c>
      <c r="AD235">
        <f>Reference!F$4</f>
        <v>2026</v>
      </c>
      <c r="AE235" t="str">
        <f>IF(OR(SalesData[[#This Row],[Day]]="Saturday",SalesData[[#This Row],[Day]]="Sunday"),"Weekend","Weekday")</f>
        <v>Weekend</v>
      </c>
      <c r="AF235" s="5">
        <f>IF(SalesData[[#This Row],[Contracts Offered]]=0,0,SalesData[[#This Row],[Contracts Signed]]/SalesData[[#This Row],[Contracts Offered]])</f>
        <v>0.25210084033613445</v>
      </c>
      <c r="AG235" s="5">
        <f>IF(SalesData[[#This Row],[Customers Visited]]=0,0,SalesData[[#This Row],[Test Drives]]/SalesData[[#This Row],[Customers Visited]])</f>
        <v>0.49044585987261147</v>
      </c>
      <c r="AH235" s="5">
        <f>IF(SalesData[[#This Row],[Customers Visited]]=0,0,SalesData[[#This Row],[Contracts Signed]]/SalesData[[#This Row],[Customers Visited]])</f>
        <v>9.5541401273885357E-2</v>
      </c>
      <c r="AI235" s="6">
        <f>IF(SalesData[[#This Row],[Contracts Signed]]=0,0,SalesData[[#This Row],[Profit(€)]]/SalesData[[#This Row],[Contracts Signed]])</f>
        <v>10984</v>
      </c>
      <c r="AJ235" s="5" t="str">
        <f>TRIM(CLEAN(SalesData[[#This Row],[Retailer]]))</f>
        <v>Hannover Cars</v>
      </c>
    </row>
    <row r="236" spans="1:36" ht="14.25" hidden="1" x14ac:dyDescent="0.2">
      <c r="A236" t="s">
        <v>549</v>
      </c>
      <c r="B236" s="1">
        <v>46078</v>
      </c>
      <c r="C236" t="s">
        <v>53</v>
      </c>
      <c r="D236" t="s">
        <v>82</v>
      </c>
      <c r="E236" t="s">
        <v>26</v>
      </c>
      <c r="F236" t="s">
        <v>7649</v>
      </c>
      <c r="G236" t="s">
        <v>55</v>
      </c>
      <c r="H236" t="s">
        <v>55</v>
      </c>
      <c r="I236" t="s">
        <v>64</v>
      </c>
      <c r="J236" t="s">
        <v>77</v>
      </c>
      <c r="K236" t="s">
        <v>78</v>
      </c>
      <c r="L236" t="s">
        <v>46</v>
      </c>
      <c r="M236" t="s">
        <v>87</v>
      </c>
      <c r="N236" t="s">
        <v>35</v>
      </c>
      <c r="O236" t="s">
        <v>36</v>
      </c>
      <c r="P236" t="s">
        <v>49</v>
      </c>
      <c r="Q236" t="s">
        <v>79</v>
      </c>
      <c r="R236">
        <v>175</v>
      </c>
      <c r="S236">
        <v>93</v>
      </c>
      <c r="T236">
        <v>70</v>
      </c>
      <c r="U236">
        <v>23</v>
      </c>
      <c r="V236" t="s">
        <v>6453</v>
      </c>
      <c r="W236">
        <v>62310</v>
      </c>
      <c r="X236" t="s">
        <v>7050</v>
      </c>
      <c r="Y236">
        <v>46009</v>
      </c>
      <c r="Z236">
        <v>1433130</v>
      </c>
      <c r="AA236">
        <v>374923</v>
      </c>
      <c r="AB236" t="str">
        <f>(VLOOKUP(SalesData[[#This Row],[Month Number]],Reference!C$5:E$16,2,FALSE))</f>
        <v>Feb</v>
      </c>
      <c r="AC236">
        <f>MONTH(SalesData[[#This Row],[Date]])</f>
        <v>2</v>
      </c>
      <c r="AD236">
        <f>Reference!F$4</f>
        <v>2026</v>
      </c>
      <c r="AE236" t="str">
        <f>IF(OR(SalesData[[#This Row],[Day]]="Saturday",SalesData[[#This Row],[Day]]="Sunday"),"Weekend","Weekday")</f>
        <v>Weekday</v>
      </c>
      <c r="AF236" s="5">
        <f>IF(SalesData[[#This Row],[Contracts Offered]]=0,0,SalesData[[#This Row],[Contracts Signed]]/SalesData[[#This Row],[Contracts Offered]])</f>
        <v>0.32857142857142857</v>
      </c>
      <c r="AG236" s="5">
        <f>IF(SalesData[[#This Row],[Customers Visited]]=0,0,SalesData[[#This Row],[Test Drives]]/SalesData[[#This Row],[Customers Visited]])</f>
        <v>0.53142857142857147</v>
      </c>
      <c r="AH236" s="5">
        <f>IF(SalesData[[#This Row],[Customers Visited]]=0,0,SalesData[[#This Row],[Contracts Signed]]/SalesData[[#This Row],[Customers Visited]])</f>
        <v>0.13142857142857142</v>
      </c>
      <c r="AI236" s="6">
        <f>IF(SalesData[[#This Row],[Contracts Signed]]=0,0,SalesData[[#This Row],[Profit(€)]]/SalesData[[#This Row],[Contracts Signed]])</f>
        <v>16301</v>
      </c>
      <c r="AJ236" s="5" t="str">
        <f>TRIM(CLEAN(SalesData[[#This Row],[Retailer]]))</f>
        <v>Autohaus Berlin</v>
      </c>
    </row>
    <row r="237" spans="1:36" ht="14.25" hidden="1" x14ac:dyDescent="0.2">
      <c r="A237" t="s">
        <v>551</v>
      </c>
      <c r="B237" s="1">
        <v>46058</v>
      </c>
      <c r="C237" t="s">
        <v>24</v>
      </c>
      <c r="D237" t="s">
        <v>100</v>
      </c>
      <c r="E237" t="s">
        <v>26</v>
      </c>
      <c r="F237" t="s">
        <v>109</v>
      </c>
      <c r="G237" t="s">
        <v>110</v>
      </c>
      <c r="H237" t="s">
        <v>45</v>
      </c>
      <c r="I237" t="s">
        <v>64</v>
      </c>
      <c r="J237" t="s">
        <v>65</v>
      </c>
      <c r="K237" t="s">
        <v>32</v>
      </c>
      <c r="L237" t="s">
        <v>33</v>
      </c>
      <c r="M237" t="s">
        <v>47</v>
      </c>
      <c r="N237" t="s">
        <v>35</v>
      </c>
      <c r="O237" t="s">
        <v>70</v>
      </c>
      <c r="P237" t="s">
        <v>49</v>
      </c>
      <c r="Q237" t="s">
        <v>135</v>
      </c>
      <c r="R237">
        <v>236</v>
      </c>
      <c r="S237">
        <v>116</v>
      </c>
      <c r="T237">
        <v>88</v>
      </c>
      <c r="U237">
        <v>26</v>
      </c>
      <c r="V237" t="s">
        <v>6508</v>
      </c>
      <c r="W237">
        <v>65297</v>
      </c>
      <c r="X237" t="s">
        <v>7139</v>
      </c>
      <c r="Y237">
        <v>49137</v>
      </c>
      <c r="Z237">
        <v>1697722</v>
      </c>
      <c r="AA237">
        <v>420160</v>
      </c>
      <c r="AB237" t="str">
        <f>(VLOOKUP(SalesData[[#This Row],[Month Number]],Reference!C$5:E$16,2,FALSE))</f>
        <v>Feb</v>
      </c>
      <c r="AC237">
        <f>MONTH(SalesData[[#This Row],[Date]])</f>
        <v>2</v>
      </c>
      <c r="AD237">
        <f>Reference!F$4</f>
        <v>2026</v>
      </c>
      <c r="AE237" t="str">
        <f>IF(OR(SalesData[[#This Row],[Day]]="Saturday",SalesData[[#This Row],[Day]]="Sunday"),"Weekend","Weekday")</f>
        <v>Weekday</v>
      </c>
      <c r="AF237" s="5">
        <f>IF(SalesData[[#This Row],[Contracts Offered]]=0,0,SalesData[[#This Row],[Contracts Signed]]/SalesData[[#This Row],[Contracts Offered]])</f>
        <v>0.29545454545454547</v>
      </c>
      <c r="AG237" s="5">
        <f>IF(SalesData[[#This Row],[Customers Visited]]=0,0,SalesData[[#This Row],[Test Drives]]/SalesData[[#This Row],[Customers Visited]])</f>
        <v>0.49152542372881358</v>
      </c>
      <c r="AH237" s="5">
        <f>IF(SalesData[[#This Row],[Customers Visited]]=0,0,SalesData[[#This Row],[Contracts Signed]]/SalesData[[#This Row],[Customers Visited]])</f>
        <v>0.11016949152542373</v>
      </c>
      <c r="AI237" s="6">
        <f>IF(SalesData[[#This Row],[Contracts Signed]]=0,0,SalesData[[#This Row],[Profit(€)]]/SalesData[[#This Row],[Contracts Signed]])</f>
        <v>16160</v>
      </c>
      <c r="AJ237" s="5" t="str">
        <f>TRIM(CLEAN(SalesData[[#This Row],[Retailer]]))</f>
        <v>Leipzig Mobility</v>
      </c>
    </row>
    <row r="238" spans="1:36" ht="14.25" hidden="1" x14ac:dyDescent="0.2">
      <c r="A238" t="s">
        <v>553</v>
      </c>
      <c r="B238" s="1">
        <v>46068</v>
      </c>
      <c r="C238" t="s">
        <v>62</v>
      </c>
      <c r="D238" t="s">
        <v>41</v>
      </c>
      <c r="E238" t="s">
        <v>42</v>
      </c>
      <c r="F238" t="s">
        <v>83</v>
      </c>
      <c r="G238" t="s">
        <v>84</v>
      </c>
      <c r="H238" t="s">
        <v>85</v>
      </c>
      <c r="I238" t="s">
        <v>64</v>
      </c>
      <c r="J238" t="s">
        <v>77</v>
      </c>
      <c r="K238" t="s">
        <v>66</v>
      </c>
      <c r="L238" t="s">
        <v>46</v>
      </c>
      <c r="M238" t="s">
        <v>87</v>
      </c>
      <c r="N238" t="s">
        <v>35</v>
      </c>
      <c r="O238" t="s">
        <v>36</v>
      </c>
      <c r="P238" t="s">
        <v>71</v>
      </c>
      <c r="Q238" t="s">
        <v>172</v>
      </c>
      <c r="R238">
        <v>156</v>
      </c>
      <c r="S238">
        <v>69</v>
      </c>
      <c r="T238">
        <v>46</v>
      </c>
      <c r="U238">
        <v>17</v>
      </c>
      <c r="V238" t="s">
        <v>6473</v>
      </c>
      <c r="W238">
        <v>67965</v>
      </c>
      <c r="X238" t="s">
        <v>3704</v>
      </c>
      <c r="Y238">
        <v>49146</v>
      </c>
      <c r="Z238">
        <v>1155405</v>
      </c>
      <c r="AA238">
        <v>319923</v>
      </c>
      <c r="AB238" t="str">
        <f>(VLOOKUP(SalesData[[#This Row],[Month Number]],Reference!C$5:E$16,2,FALSE))</f>
        <v>Feb</v>
      </c>
      <c r="AC238">
        <f>MONTH(SalesData[[#This Row],[Date]])</f>
        <v>2</v>
      </c>
      <c r="AD238">
        <f>Reference!F$4</f>
        <v>2026</v>
      </c>
      <c r="AE238" t="str">
        <f>IF(OR(SalesData[[#This Row],[Day]]="Saturday",SalesData[[#This Row],[Day]]="Sunday"),"Weekend","Weekday")</f>
        <v>Weekend</v>
      </c>
      <c r="AF238" s="5">
        <f>IF(SalesData[[#This Row],[Contracts Offered]]=0,0,SalesData[[#This Row],[Contracts Signed]]/SalesData[[#This Row],[Contracts Offered]])</f>
        <v>0.36956521739130432</v>
      </c>
      <c r="AG238" s="5">
        <f>IF(SalesData[[#This Row],[Customers Visited]]=0,0,SalesData[[#This Row],[Test Drives]]/SalesData[[#This Row],[Customers Visited]])</f>
        <v>0.44230769230769229</v>
      </c>
      <c r="AH238" s="5">
        <f>IF(SalesData[[#This Row],[Customers Visited]]=0,0,SalesData[[#This Row],[Contracts Signed]]/SalesData[[#This Row],[Customers Visited]])</f>
        <v>0.10897435897435898</v>
      </c>
      <c r="AI238" s="6">
        <f>IF(SalesData[[#This Row],[Contracts Signed]]=0,0,SalesData[[#This Row],[Profit(€)]]/SalesData[[#This Row],[Contracts Signed]])</f>
        <v>18819</v>
      </c>
      <c r="AJ238" s="5" t="str">
        <f>TRIM(CLEAN(SalesData[[#This Row],[Retailer]]))</f>
        <v>Hannover Cars</v>
      </c>
    </row>
    <row r="239" spans="1:36" ht="14.25" hidden="1" x14ac:dyDescent="0.2">
      <c r="A239" t="s">
        <v>555</v>
      </c>
      <c r="B239" s="1">
        <v>46061</v>
      </c>
      <c r="C239" t="s">
        <v>121</v>
      </c>
      <c r="D239" t="s">
        <v>41</v>
      </c>
      <c r="E239" t="s">
        <v>42</v>
      </c>
      <c r="F239" t="s">
        <v>83</v>
      </c>
      <c r="G239" t="s">
        <v>84</v>
      </c>
      <c r="H239" t="s">
        <v>85</v>
      </c>
      <c r="I239" t="s">
        <v>116</v>
      </c>
      <c r="J239" t="s">
        <v>203</v>
      </c>
      <c r="K239" t="s">
        <v>66</v>
      </c>
      <c r="L239" t="s">
        <v>67</v>
      </c>
      <c r="M239" t="s">
        <v>87</v>
      </c>
      <c r="N239" t="s">
        <v>48</v>
      </c>
      <c r="O239" t="s">
        <v>70</v>
      </c>
      <c r="P239" t="s">
        <v>37</v>
      </c>
      <c r="Q239" t="s">
        <v>59</v>
      </c>
      <c r="R239">
        <v>360</v>
      </c>
      <c r="S239">
        <v>184</v>
      </c>
      <c r="T239">
        <v>107</v>
      </c>
      <c r="U239">
        <v>24</v>
      </c>
      <c r="V239" t="s">
        <v>1278</v>
      </c>
      <c r="W239">
        <v>22060</v>
      </c>
      <c r="X239" t="s">
        <v>7140</v>
      </c>
      <c r="Y239">
        <v>19757</v>
      </c>
      <c r="Z239">
        <v>529440</v>
      </c>
      <c r="AA239">
        <v>55272</v>
      </c>
      <c r="AB239" t="str">
        <f>(VLOOKUP(SalesData[[#This Row],[Month Number]],Reference!C$5:E$16,2,FALSE))</f>
        <v>Feb</v>
      </c>
      <c r="AC239">
        <f>MONTH(SalesData[[#This Row],[Date]])</f>
        <v>2</v>
      </c>
      <c r="AD239">
        <f>Reference!F$4</f>
        <v>2026</v>
      </c>
      <c r="AE239" t="str">
        <f>IF(OR(SalesData[[#This Row],[Day]]="Saturday",SalesData[[#This Row],[Day]]="Sunday"),"Weekend","Weekday")</f>
        <v>Weekend</v>
      </c>
      <c r="AF239" s="5">
        <f>IF(SalesData[[#This Row],[Contracts Offered]]=0,0,SalesData[[#This Row],[Contracts Signed]]/SalesData[[#This Row],[Contracts Offered]])</f>
        <v>0.22429906542056074</v>
      </c>
      <c r="AG239" s="5">
        <f>IF(SalesData[[#This Row],[Customers Visited]]=0,0,SalesData[[#This Row],[Test Drives]]/SalesData[[#This Row],[Customers Visited]])</f>
        <v>0.51111111111111107</v>
      </c>
      <c r="AH239" s="5">
        <f>IF(SalesData[[#This Row],[Customers Visited]]=0,0,SalesData[[#This Row],[Contracts Signed]]/SalesData[[#This Row],[Customers Visited]])</f>
        <v>6.6666666666666666E-2</v>
      </c>
      <c r="AI239" s="6">
        <f>IF(SalesData[[#This Row],[Contracts Signed]]=0,0,SalesData[[#This Row],[Profit(€)]]/SalesData[[#This Row],[Contracts Signed]])</f>
        <v>2303</v>
      </c>
      <c r="AJ239" s="5" t="str">
        <f>TRIM(CLEAN(SalesData[[#This Row],[Retailer]]))</f>
        <v>Hannover Cars</v>
      </c>
    </row>
    <row r="240" spans="1:36" ht="14.25" hidden="1" x14ac:dyDescent="0.2">
      <c r="A240" t="s">
        <v>557</v>
      </c>
      <c r="B240" s="1">
        <v>46080</v>
      </c>
      <c r="C240" t="s">
        <v>53</v>
      </c>
      <c r="D240" t="s">
        <v>54</v>
      </c>
      <c r="E240" t="s">
        <v>26</v>
      </c>
      <c r="F240" t="s">
        <v>43</v>
      </c>
      <c r="G240" t="s">
        <v>44</v>
      </c>
      <c r="H240" t="s">
        <v>45</v>
      </c>
      <c r="I240" t="s">
        <v>104</v>
      </c>
      <c r="J240" t="s">
        <v>7061</v>
      </c>
      <c r="K240" t="s">
        <v>78</v>
      </c>
      <c r="L240" t="s">
        <v>46</v>
      </c>
      <c r="M240" t="s">
        <v>34</v>
      </c>
      <c r="N240" t="s">
        <v>35</v>
      </c>
      <c r="O240" t="s">
        <v>36</v>
      </c>
      <c r="P240" t="s">
        <v>37</v>
      </c>
      <c r="Q240" t="s">
        <v>59</v>
      </c>
      <c r="R240">
        <v>511</v>
      </c>
      <c r="S240">
        <v>269</v>
      </c>
      <c r="T240">
        <v>190</v>
      </c>
      <c r="U240">
        <v>34</v>
      </c>
      <c r="V240" t="s">
        <v>2012</v>
      </c>
      <c r="W240">
        <v>33949</v>
      </c>
      <c r="X240" t="s">
        <v>4276</v>
      </c>
      <c r="Y240">
        <v>29309</v>
      </c>
      <c r="Z240">
        <v>1154266</v>
      </c>
      <c r="AA240">
        <v>157760</v>
      </c>
      <c r="AB240" t="str">
        <f>(VLOOKUP(SalesData[[#This Row],[Month Number]],Reference!C$5:E$16,2,FALSE))</f>
        <v>Feb</v>
      </c>
      <c r="AC240">
        <f>MONTH(SalesData[[#This Row],[Date]])</f>
        <v>2</v>
      </c>
      <c r="AD240">
        <f>Reference!F$4</f>
        <v>2026</v>
      </c>
      <c r="AE240" t="str">
        <f>IF(OR(SalesData[[#This Row],[Day]]="Saturday",SalesData[[#This Row],[Day]]="Sunday"),"Weekend","Weekday")</f>
        <v>Weekday</v>
      </c>
      <c r="AF240" s="5">
        <f>IF(SalesData[[#This Row],[Contracts Offered]]=0,0,SalesData[[#This Row],[Contracts Signed]]/SalesData[[#This Row],[Contracts Offered]])</f>
        <v>0.17894736842105263</v>
      </c>
      <c r="AG240" s="5">
        <f>IF(SalesData[[#This Row],[Customers Visited]]=0,0,SalesData[[#This Row],[Test Drives]]/SalesData[[#This Row],[Customers Visited]])</f>
        <v>0.52641878669275932</v>
      </c>
      <c r="AH240" s="5">
        <f>IF(SalesData[[#This Row],[Customers Visited]]=0,0,SalesData[[#This Row],[Contracts Signed]]/SalesData[[#This Row],[Customers Visited]])</f>
        <v>6.6536203522504889E-2</v>
      </c>
      <c r="AI240" s="6">
        <f>IF(SalesData[[#This Row],[Contracts Signed]]=0,0,SalesData[[#This Row],[Profit(€)]]/SalesData[[#This Row],[Contracts Signed]])</f>
        <v>4640</v>
      </c>
      <c r="AJ240" s="5" t="str">
        <f>TRIM(CLEAN(SalesData[[#This Row],[Retailer]]))</f>
        <v>Saxon Wheels</v>
      </c>
    </row>
    <row r="241" spans="1:36" ht="14.25" hidden="1" x14ac:dyDescent="0.2">
      <c r="A241" t="s">
        <v>559</v>
      </c>
      <c r="B241" s="1">
        <v>46065</v>
      </c>
      <c r="C241" t="s">
        <v>121</v>
      </c>
      <c r="D241" t="s">
        <v>100</v>
      </c>
      <c r="E241" t="s">
        <v>26</v>
      </c>
      <c r="F241" t="s">
        <v>109</v>
      </c>
      <c r="G241" t="s">
        <v>110</v>
      </c>
      <c r="H241" t="s">
        <v>45</v>
      </c>
      <c r="I241" t="s">
        <v>104</v>
      </c>
      <c r="J241" t="s">
        <v>7031</v>
      </c>
      <c r="K241" t="s">
        <v>78</v>
      </c>
      <c r="L241" t="s">
        <v>46</v>
      </c>
      <c r="M241" t="s">
        <v>47</v>
      </c>
      <c r="N241" t="s">
        <v>35</v>
      </c>
      <c r="O241" t="s">
        <v>36</v>
      </c>
      <c r="P241" t="s">
        <v>49</v>
      </c>
      <c r="Q241" t="s">
        <v>50</v>
      </c>
      <c r="R241">
        <v>364</v>
      </c>
      <c r="S241">
        <v>208</v>
      </c>
      <c r="T241">
        <v>149</v>
      </c>
      <c r="U241">
        <v>31</v>
      </c>
      <c r="V241" t="s">
        <v>6597</v>
      </c>
      <c r="W241">
        <v>25111</v>
      </c>
      <c r="X241" t="s">
        <v>2056</v>
      </c>
      <c r="Y241">
        <v>22034</v>
      </c>
      <c r="Z241">
        <v>778441</v>
      </c>
      <c r="AA241">
        <v>95387</v>
      </c>
      <c r="AB241" t="str">
        <f>(VLOOKUP(SalesData[[#This Row],[Month Number]],Reference!C$5:E$16,2,FALSE))</f>
        <v>Feb</v>
      </c>
      <c r="AC241">
        <f>MONTH(SalesData[[#This Row],[Date]])</f>
        <v>2</v>
      </c>
      <c r="AD241">
        <f>Reference!F$4</f>
        <v>2026</v>
      </c>
      <c r="AE241" t="str">
        <f>IF(OR(SalesData[[#This Row],[Day]]="Saturday",SalesData[[#This Row],[Day]]="Sunday"),"Weekend","Weekday")</f>
        <v>Weekday</v>
      </c>
      <c r="AF241" s="5">
        <f>IF(SalesData[[#This Row],[Contracts Offered]]=0,0,SalesData[[#This Row],[Contracts Signed]]/SalesData[[#This Row],[Contracts Offered]])</f>
        <v>0.20805369127516779</v>
      </c>
      <c r="AG241" s="5">
        <f>IF(SalesData[[#This Row],[Customers Visited]]=0,0,SalesData[[#This Row],[Test Drives]]/SalesData[[#This Row],[Customers Visited]])</f>
        <v>0.5714285714285714</v>
      </c>
      <c r="AH241" s="5">
        <f>IF(SalesData[[#This Row],[Customers Visited]]=0,0,SalesData[[#This Row],[Contracts Signed]]/SalesData[[#This Row],[Customers Visited]])</f>
        <v>8.5164835164835168E-2</v>
      </c>
      <c r="AI241" s="6">
        <f>IF(SalesData[[#This Row],[Contracts Signed]]=0,0,SalesData[[#This Row],[Profit(€)]]/SalesData[[#This Row],[Contracts Signed]])</f>
        <v>3077</v>
      </c>
      <c r="AJ241" s="5" t="str">
        <f>TRIM(CLEAN(SalesData[[#This Row],[Retailer]]))</f>
        <v>Leipzig Mobility</v>
      </c>
    </row>
    <row r="242" spans="1:36" ht="14.25" hidden="1" x14ac:dyDescent="0.2">
      <c r="A242" t="s">
        <v>560</v>
      </c>
      <c r="B242" s="1">
        <v>46071</v>
      </c>
      <c r="C242" t="s">
        <v>62</v>
      </c>
      <c r="D242" t="s">
        <v>82</v>
      </c>
      <c r="E242" t="s">
        <v>26</v>
      </c>
      <c r="F242" t="s">
        <v>7649</v>
      </c>
      <c r="G242" t="s">
        <v>55</v>
      </c>
      <c r="H242" t="s">
        <v>55</v>
      </c>
      <c r="I242" t="s">
        <v>56</v>
      </c>
      <c r="J242" t="s">
        <v>179</v>
      </c>
      <c r="K242" t="s">
        <v>32</v>
      </c>
      <c r="L242" t="s">
        <v>67</v>
      </c>
      <c r="M242" t="s">
        <v>34</v>
      </c>
      <c r="N242" t="s">
        <v>48</v>
      </c>
      <c r="O242" t="s">
        <v>70</v>
      </c>
      <c r="P242" t="s">
        <v>37</v>
      </c>
      <c r="Q242" t="s">
        <v>88</v>
      </c>
      <c r="R242">
        <v>204</v>
      </c>
      <c r="S242">
        <v>115</v>
      </c>
      <c r="T242">
        <v>78</v>
      </c>
      <c r="U242">
        <v>23</v>
      </c>
      <c r="V242" t="s">
        <v>6410</v>
      </c>
      <c r="W242">
        <v>48773</v>
      </c>
      <c r="X242" t="s">
        <v>4006</v>
      </c>
      <c r="Y242">
        <v>37511</v>
      </c>
      <c r="Z242">
        <v>1121779</v>
      </c>
      <c r="AA242">
        <v>259026</v>
      </c>
      <c r="AB242" t="str">
        <f>(VLOOKUP(SalesData[[#This Row],[Month Number]],Reference!C$5:E$16,2,FALSE))</f>
        <v>Feb</v>
      </c>
      <c r="AC242">
        <f>MONTH(SalesData[[#This Row],[Date]])</f>
        <v>2</v>
      </c>
      <c r="AD242">
        <f>Reference!F$4</f>
        <v>2026</v>
      </c>
      <c r="AE242" t="str">
        <f>IF(OR(SalesData[[#This Row],[Day]]="Saturday",SalesData[[#This Row],[Day]]="Sunday"),"Weekend","Weekday")</f>
        <v>Weekday</v>
      </c>
      <c r="AF242" s="5">
        <f>IF(SalesData[[#This Row],[Contracts Offered]]=0,0,SalesData[[#This Row],[Contracts Signed]]/SalesData[[#This Row],[Contracts Offered]])</f>
        <v>0.29487179487179488</v>
      </c>
      <c r="AG242" s="5">
        <f>IF(SalesData[[#This Row],[Customers Visited]]=0,0,SalesData[[#This Row],[Test Drives]]/SalesData[[#This Row],[Customers Visited]])</f>
        <v>0.56372549019607843</v>
      </c>
      <c r="AH242" s="5">
        <f>IF(SalesData[[#This Row],[Customers Visited]]=0,0,SalesData[[#This Row],[Contracts Signed]]/SalesData[[#This Row],[Customers Visited]])</f>
        <v>0.11274509803921569</v>
      </c>
      <c r="AI242" s="6">
        <f>IF(SalesData[[#This Row],[Contracts Signed]]=0,0,SalesData[[#This Row],[Profit(€)]]/SalesData[[#This Row],[Contracts Signed]])</f>
        <v>11262</v>
      </c>
      <c r="AJ242" s="5" t="str">
        <f>TRIM(CLEAN(SalesData[[#This Row],[Retailer]]))</f>
        <v>Autohaus Berlin</v>
      </c>
    </row>
    <row r="243" spans="1:36" ht="14.25" hidden="1" x14ac:dyDescent="0.2">
      <c r="A243" t="s">
        <v>562</v>
      </c>
      <c r="B243" s="1">
        <v>46056</v>
      </c>
      <c r="C243" t="s">
        <v>24</v>
      </c>
      <c r="D243" t="s">
        <v>63</v>
      </c>
      <c r="E243" t="s">
        <v>26</v>
      </c>
      <c r="F243" t="s">
        <v>109</v>
      </c>
      <c r="G243" t="s">
        <v>110</v>
      </c>
      <c r="H243" t="s">
        <v>45</v>
      </c>
      <c r="I243" t="s">
        <v>116</v>
      </c>
      <c r="J243" t="s">
        <v>7026</v>
      </c>
      <c r="K243" t="s">
        <v>78</v>
      </c>
      <c r="L243" t="s">
        <v>46</v>
      </c>
      <c r="M243" t="s">
        <v>34</v>
      </c>
      <c r="N243" t="s">
        <v>35</v>
      </c>
      <c r="O243" t="s">
        <v>36</v>
      </c>
      <c r="P243" t="s">
        <v>58</v>
      </c>
      <c r="Q243" t="s">
        <v>129</v>
      </c>
      <c r="R243">
        <v>344</v>
      </c>
      <c r="S243">
        <v>191</v>
      </c>
      <c r="T243">
        <v>120</v>
      </c>
      <c r="U243">
        <v>34</v>
      </c>
      <c r="V243" t="s">
        <v>1771</v>
      </c>
      <c r="W243">
        <v>22170</v>
      </c>
      <c r="X243" t="s">
        <v>6995</v>
      </c>
      <c r="Y243">
        <v>20387</v>
      </c>
      <c r="Z243">
        <v>753780</v>
      </c>
      <c r="AA243">
        <v>60622</v>
      </c>
      <c r="AB243" t="str">
        <f>(VLOOKUP(SalesData[[#This Row],[Month Number]],Reference!C$5:E$16,2,FALSE))</f>
        <v>Feb</v>
      </c>
      <c r="AC243">
        <f>MONTH(SalesData[[#This Row],[Date]])</f>
        <v>2</v>
      </c>
      <c r="AD243">
        <f>Reference!F$4</f>
        <v>2026</v>
      </c>
      <c r="AE243" t="str">
        <f>IF(OR(SalesData[[#This Row],[Day]]="Saturday",SalesData[[#This Row],[Day]]="Sunday"),"Weekend","Weekday")</f>
        <v>Weekday</v>
      </c>
      <c r="AF243" s="5">
        <f>IF(SalesData[[#This Row],[Contracts Offered]]=0,0,SalesData[[#This Row],[Contracts Signed]]/SalesData[[#This Row],[Contracts Offered]])</f>
        <v>0.28333333333333333</v>
      </c>
      <c r="AG243" s="5">
        <f>IF(SalesData[[#This Row],[Customers Visited]]=0,0,SalesData[[#This Row],[Test Drives]]/SalesData[[#This Row],[Customers Visited]])</f>
        <v>0.55523255813953487</v>
      </c>
      <c r="AH243" s="5">
        <f>IF(SalesData[[#This Row],[Customers Visited]]=0,0,SalesData[[#This Row],[Contracts Signed]]/SalesData[[#This Row],[Customers Visited]])</f>
        <v>9.8837209302325577E-2</v>
      </c>
      <c r="AI243" s="6">
        <f>IF(SalesData[[#This Row],[Contracts Signed]]=0,0,SalesData[[#This Row],[Profit(€)]]/SalesData[[#This Row],[Contracts Signed]])</f>
        <v>1783</v>
      </c>
      <c r="AJ243" s="5" t="str">
        <f>TRIM(CLEAN(SalesData[[#This Row],[Retailer]]))</f>
        <v>Leipzig Mobility</v>
      </c>
    </row>
    <row r="244" spans="1:36" ht="14.25" hidden="1" x14ac:dyDescent="0.2">
      <c r="A244" t="s">
        <v>564</v>
      </c>
      <c r="B244" s="1">
        <v>46077</v>
      </c>
      <c r="C244" t="s">
        <v>53</v>
      </c>
      <c r="D244" t="s">
        <v>63</v>
      </c>
      <c r="E244" t="s">
        <v>26</v>
      </c>
      <c r="F244" t="s">
        <v>127</v>
      </c>
      <c r="G244" t="s">
        <v>128</v>
      </c>
      <c r="H244" t="s">
        <v>103</v>
      </c>
      <c r="I244" t="s">
        <v>56</v>
      </c>
      <c r="J244" t="s">
        <v>179</v>
      </c>
      <c r="K244" t="s">
        <v>66</v>
      </c>
      <c r="L244" t="s">
        <v>67</v>
      </c>
      <c r="M244" t="s">
        <v>34</v>
      </c>
      <c r="N244" t="s">
        <v>48</v>
      </c>
      <c r="O244" t="s">
        <v>70</v>
      </c>
      <c r="P244" t="s">
        <v>49</v>
      </c>
      <c r="Q244" t="s">
        <v>50</v>
      </c>
      <c r="R244">
        <v>183</v>
      </c>
      <c r="S244">
        <v>89</v>
      </c>
      <c r="T244">
        <v>58</v>
      </c>
      <c r="U244">
        <v>19</v>
      </c>
      <c r="V244" t="s">
        <v>7141</v>
      </c>
      <c r="W244">
        <v>39878</v>
      </c>
      <c r="X244" t="s">
        <v>7142</v>
      </c>
      <c r="Y244">
        <v>32670</v>
      </c>
      <c r="Z244">
        <v>757682</v>
      </c>
      <c r="AA244">
        <v>136952</v>
      </c>
      <c r="AB244" t="str">
        <f>(VLOOKUP(SalesData[[#This Row],[Month Number]],Reference!C$5:E$16,2,FALSE))</f>
        <v>Feb</v>
      </c>
      <c r="AC244">
        <f>MONTH(SalesData[[#This Row],[Date]])</f>
        <v>2</v>
      </c>
      <c r="AD244">
        <f>Reference!F$4</f>
        <v>2026</v>
      </c>
      <c r="AE244" t="str">
        <f>IF(OR(SalesData[[#This Row],[Day]]="Saturday",SalesData[[#This Row],[Day]]="Sunday"),"Weekend","Weekday")</f>
        <v>Weekday</v>
      </c>
      <c r="AF244" s="5">
        <f>IF(SalesData[[#This Row],[Contracts Offered]]=0,0,SalesData[[#This Row],[Contracts Signed]]/SalesData[[#This Row],[Contracts Offered]])</f>
        <v>0.32758620689655171</v>
      </c>
      <c r="AG244" s="5">
        <f>IF(SalesData[[#This Row],[Customers Visited]]=0,0,SalesData[[#This Row],[Test Drives]]/SalesData[[#This Row],[Customers Visited]])</f>
        <v>0.48633879781420764</v>
      </c>
      <c r="AH244" s="5">
        <f>IF(SalesData[[#This Row],[Customers Visited]]=0,0,SalesData[[#This Row],[Contracts Signed]]/SalesData[[#This Row],[Customers Visited]])</f>
        <v>0.10382513661202186</v>
      </c>
      <c r="AI244" s="6">
        <f>IF(SalesData[[#This Row],[Contracts Signed]]=0,0,SalesData[[#This Row],[Profit(€)]]/SalesData[[#This Row],[Contracts Signed]])</f>
        <v>7208</v>
      </c>
      <c r="AJ244" s="5" t="str">
        <f>TRIM(CLEAN(SalesData[[#This Row],[Retailer]]))</f>
        <v>Rhein Auto Group</v>
      </c>
    </row>
    <row r="245" spans="1:36" ht="14.25" hidden="1" x14ac:dyDescent="0.2">
      <c r="A245" t="s">
        <v>566</v>
      </c>
      <c r="B245" s="1">
        <v>46068</v>
      </c>
      <c r="C245" t="s">
        <v>62</v>
      </c>
      <c r="D245" t="s">
        <v>41</v>
      </c>
      <c r="E245" t="s">
        <v>42</v>
      </c>
      <c r="F245" t="s">
        <v>27</v>
      </c>
      <c r="G245" t="s">
        <v>28</v>
      </c>
      <c r="H245" t="s">
        <v>29</v>
      </c>
      <c r="I245" t="s">
        <v>104</v>
      </c>
      <c r="J245" t="s">
        <v>7061</v>
      </c>
      <c r="K245" t="s">
        <v>32</v>
      </c>
      <c r="L245" t="s">
        <v>46</v>
      </c>
      <c r="M245" t="s">
        <v>87</v>
      </c>
      <c r="N245" t="s">
        <v>69</v>
      </c>
      <c r="O245" t="s">
        <v>36</v>
      </c>
      <c r="P245" t="s">
        <v>37</v>
      </c>
      <c r="Q245" t="s">
        <v>172</v>
      </c>
      <c r="R245">
        <v>335</v>
      </c>
      <c r="S245">
        <v>137</v>
      </c>
      <c r="T245">
        <v>98</v>
      </c>
      <c r="U245">
        <v>22</v>
      </c>
      <c r="V245" t="s">
        <v>1969</v>
      </c>
      <c r="W245">
        <v>28220</v>
      </c>
      <c r="X245" t="s">
        <v>7143</v>
      </c>
      <c r="Y245">
        <v>25295</v>
      </c>
      <c r="Z245">
        <v>620840</v>
      </c>
      <c r="AA245">
        <v>64350</v>
      </c>
      <c r="AB245" t="str">
        <f>(VLOOKUP(SalesData[[#This Row],[Month Number]],Reference!C$5:E$16,2,FALSE))</f>
        <v>Feb</v>
      </c>
      <c r="AC245">
        <f>MONTH(SalesData[[#This Row],[Date]])</f>
        <v>2</v>
      </c>
      <c r="AD245">
        <f>Reference!F$4</f>
        <v>2026</v>
      </c>
      <c r="AE245" t="str">
        <f>IF(OR(SalesData[[#This Row],[Day]]="Saturday",SalesData[[#This Row],[Day]]="Sunday"),"Weekend","Weekday")</f>
        <v>Weekend</v>
      </c>
      <c r="AF245" s="5">
        <f>IF(SalesData[[#This Row],[Contracts Offered]]=0,0,SalesData[[#This Row],[Contracts Signed]]/SalesData[[#This Row],[Contracts Offered]])</f>
        <v>0.22448979591836735</v>
      </c>
      <c r="AG245" s="5">
        <f>IF(SalesData[[#This Row],[Customers Visited]]=0,0,SalesData[[#This Row],[Test Drives]]/SalesData[[#This Row],[Customers Visited]])</f>
        <v>0.40895522388059702</v>
      </c>
      <c r="AH245" s="5">
        <f>IF(SalesData[[#This Row],[Customers Visited]]=0,0,SalesData[[#This Row],[Contracts Signed]]/SalesData[[#This Row],[Customers Visited]])</f>
        <v>6.5671641791044774E-2</v>
      </c>
      <c r="AI245" s="6">
        <f>IF(SalesData[[#This Row],[Contracts Signed]]=0,0,SalesData[[#This Row],[Profit(€)]]/SalesData[[#This Row],[Contracts Signed]])</f>
        <v>2925</v>
      </c>
      <c r="AJ245" s="5" t="str">
        <f>TRIM(CLEAN(SalesData[[#This Row],[Retailer]]))</f>
        <v>Main Auto Hub</v>
      </c>
    </row>
    <row r="246" spans="1:36" ht="14.25" hidden="1" x14ac:dyDescent="0.2">
      <c r="A246" t="s">
        <v>568</v>
      </c>
      <c r="B246" s="1">
        <v>46069</v>
      </c>
      <c r="C246" t="s">
        <v>62</v>
      </c>
      <c r="D246" t="s">
        <v>25</v>
      </c>
      <c r="E246" t="s">
        <v>26</v>
      </c>
      <c r="F246" t="s">
        <v>74</v>
      </c>
      <c r="G246" t="s">
        <v>75</v>
      </c>
      <c r="H246" t="s">
        <v>76</v>
      </c>
      <c r="I246" t="s">
        <v>64</v>
      </c>
      <c r="J246" t="s">
        <v>65</v>
      </c>
      <c r="K246" t="s">
        <v>66</v>
      </c>
      <c r="L246" t="s">
        <v>33</v>
      </c>
      <c r="M246" t="s">
        <v>68</v>
      </c>
      <c r="N246" t="s">
        <v>48</v>
      </c>
      <c r="O246" t="s">
        <v>36</v>
      </c>
      <c r="P246" t="s">
        <v>58</v>
      </c>
      <c r="Q246" t="s">
        <v>158</v>
      </c>
      <c r="R246">
        <v>184</v>
      </c>
      <c r="S246">
        <v>86</v>
      </c>
      <c r="T246">
        <v>66</v>
      </c>
      <c r="U246">
        <v>24</v>
      </c>
      <c r="V246" t="s">
        <v>6513</v>
      </c>
      <c r="W246">
        <v>63540</v>
      </c>
      <c r="X246" t="s">
        <v>7144</v>
      </c>
      <c r="Y246">
        <v>46608</v>
      </c>
      <c r="Z246">
        <v>1524960</v>
      </c>
      <c r="AA246">
        <v>406368</v>
      </c>
      <c r="AB246" t="str">
        <f>(VLOOKUP(SalesData[[#This Row],[Month Number]],Reference!C$5:E$16,2,FALSE))</f>
        <v>Feb</v>
      </c>
      <c r="AC246">
        <f>MONTH(SalesData[[#This Row],[Date]])</f>
        <v>2</v>
      </c>
      <c r="AD246">
        <f>Reference!F$4</f>
        <v>2026</v>
      </c>
      <c r="AE246" t="str">
        <f>IF(OR(SalesData[[#This Row],[Day]]="Saturday",SalesData[[#This Row],[Day]]="Sunday"),"Weekend","Weekday")</f>
        <v>Weekday</v>
      </c>
      <c r="AF246" s="5">
        <f>IF(SalesData[[#This Row],[Contracts Offered]]=0,0,SalesData[[#This Row],[Contracts Signed]]/SalesData[[#This Row],[Contracts Offered]])</f>
        <v>0.36363636363636365</v>
      </c>
      <c r="AG246" s="5">
        <f>IF(SalesData[[#This Row],[Customers Visited]]=0,0,SalesData[[#This Row],[Test Drives]]/SalesData[[#This Row],[Customers Visited]])</f>
        <v>0.46739130434782611</v>
      </c>
      <c r="AH246" s="5">
        <f>IF(SalesData[[#This Row],[Customers Visited]]=0,0,SalesData[[#This Row],[Contracts Signed]]/SalesData[[#This Row],[Customers Visited]])</f>
        <v>0.13043478260869565</v>
      </c>
      <c r="AI246" s="6">
        <f>IF(SalesData[[#This Row],[Contracts Signed]]=0,0,SalesData[[#This Row],[Profit(€)]]/SalesData[[#This Row],[Contracts Signed]])</f>
        <v>16932</v>
      </c>
      <c r="AJ246" s="5" t="str">
        <f>TRIM(CLEAN(SalesData[[#This Row],[Retailer]]))</f>
        <v>Stuttgart Auto Center</v>
      </c>
    </row>
    <row r="247" spans="1:36" ht="14.25" hidden="1" x14ac:dyDescent="0.2">
      <c r="A247" t="s">
        <v>570</v>
      </c>
      <c r="B247" s="1">
        <v>46063</v>
      </c>
      <c r="C247" t="s">
        <v>121</v>
      </c>
      <c r="D247" t="s">
        <v>63</v>
      </c>
      <c r="E247" t="s">
        <v>26</v>
      </c>
      <c r="F247" t="s">
        <v>43</v>
      </c>
      <c r="G247" t="s">
        <v>44</v>
      </c>
      <c r="H247" t="s">
        <v>45</v>
      </c>
      <c r="I247" t="s">
        <v>116</v>
      </c>
      <c r="J247" t="s">
        <v>7026</v>
      </c>
      <c r="K247" t="s">
        <v>91</v>
      </c>
      <c r="L247" t="s">
        <v>46</v>
      </c>
      <c r="M247" t="s">
        <v>68</v>
      </c>
      <c r="N247" t="s">
        <v>48</v>
      </c>
      <c r="O247" t="s">
        <v>36</v>
      </c>
      <c r="P247" t="s">
        <v>58</v>
      </c>
      <c r="Q247" t="s">
        <v>129</v>
      </c>
      <c r="R247">
        <v>352</v>
      </c>
      <c r="S247">
        <v>137</v>
      </c>
      <c r="T247">
        <v>80</v>
      </c>
      <c r="U247">
        <v>25</v>
      </c>
      <c r="V247" t="s">
        <v>2360</v>
      </c>
      <c r="W247">
        <v>25725</v>
      </c>
      <c r="X247" t="s">
        <v>2971</v>
      </c>
      <c r="Y247">
        <v>23708</v>
      </c>
      <c r="Z247">
        <v>643125</v>
      </c>
      <c r="AA247">
        <v>50425</v>
      </c>
      <c r="AB247" t="str">
        <f>(VLOOKUP(SalesData[[#This Row],[Month Number]],Reference!C$5:E$16,2,FALSE))</f>
        <v>Feb</v>
      </c>
      <c r="AC247">
        <f>MONTH(SalesData[[#This Row],[Date]])</f>
        <v>2</v>
      </c>
      <c r="AD247">
        <f>Reference!F$4</f>
        <v>2026</v>
      </c>
      <c r="AE247" t="str">
        <f>IF(OR(SalesData[[#This Row],[Day]]="Saturday",SalesData[[#This Row],[Day]]="Sunday"),"Weekend","Weekday")</f>
        <v>Weekday</v>
      </c>
      <c r="AF247" s="5">
        <f>IF(SalesData[[#This Row],[Contracts Offered]]=0,0,SalesData[[#This Row],[Contracts Signed]]/SalesData[[#This Row],[Contracts Offered]])</f>
        <v>0.3125</v>
      </c>
      <c r="AG247" s="5">
        <f>IF(SalesData[[#This Row],[Customers Visited]]=0,0,SalesData[[#This Row],[Test Drives]]/SalesData[[#This Row],[Customers Visited]])</f>
        <v>0.38920454545454547</v>
      </c>
      <c r="AH247" s="5">
        <f>IF(SalesData[[#This Row],[Customers Visited]]=0,0,SalesData[[#This Row],[Contracts Signed]]/SalesData[[#This Row],[Customers Visited]])</f>
        <v>7.1022727272727279E-2</v>
      </c>
      <c r="AI247" s="6">
        <f>IF(SalesData[[#This Row],[Contracts Signed]]=0,0,SalesData[[#This Row],[Profit(€)]]/SalesData[[#This Row],[Contracts Signed]])</f>
        <v>2017</v>
      </c>
      <c r="AJ247" s="5" t="str">
        <f>TRIM(CLEAN(SalesData[[#This Row],[Retailer]]))</f>
        <v>Saxon Wheels</v>
      </c>
    </row>
    <row r="248" spans="1:36" ht="14.25" hidden="1" x14ac:dyDescent="0.2">
      <c r="A248" t="s">
        <v>571</v>
      </c>
      <c r="B248" s="1">
        <v>46062</v>
      </c>
      <c r="C248" t="s">
        <v>121</v>
      </c>
      <c r="D248" t="s">
        <v>25</v>
      </c>
      <c r="E248" t="s">
        <v>26</v>
      </c>
      <c r="F248" t="s">
        <v>83</v>
      </c>
      <c r="G248" t="s">
        <v>84</v>
      </c>
      <c r="H248" t="s">
        <v>85</v>
      </c>
      <c r="I248" t="s">
        <v>56</v>
      </c>
      <c r="J248" t="s">
        <v>7028</v>
      </c>
      <c r="K248" t="s">
        <v>78</v>
      </c>
      <c r="L248" t="s">
        <v>46</v>
      </c>
      <c r="M248" t="s">
        <v>34</v>
      </c>
      <c r="N248" t="s">
        <v>69</v>
      </c>
      <c r="O248" t="s">
        <v>36</v>
      </c>
      <c r="P248" t="s">
        <v>49</v>
      </c>
      <c r="Q248" t="s">
        <v>158</v>
      </c>
      <c r="R248">
        <v>312</v>
      </c>
      <c r="S248">
        <v>189</v>
      </c>
      <c r="T248">
        <v>145</v>
      </c>
      <c r="U248">
        <v>42</v>
      </c>
      <c r="V248" t="s">
        <v>6433</v>
      </c>
      <c r="W248">
        <v>53153</v>
      </c>
      <c r="X248" t="s">
        <v>4322</v>
      </c>
      <c r="Y248">
        <v>41023</v>
      </c>
      <c r="Z248">
        <v>2232426</v>
      </c>
      <c r="AA248">
        <v>509460</v>
      </c>
      <c r="AB248" t="str">
        <f>(VLOOKUP(SalesData[[#This Row],[Month Number]],Reference!C$5:E$16,2,FALSE))</f>
        <v>Feb</v>
      </c>
      <c r="AC248">
        <f>MONTH(SalesData[[#This Row],[Date]])</f>
        <v>2</v>
      </c>
      <c r="AD248">
        <f>Reference!F$4</f>
        <v>2026</v>
      </c>
      <c r="AE248" t="str">
        <f>IF(OR(SalesData[[#This Row],[Day]]="Saturday",SalesData[[#This Row],[Day]]="Sunday"),"Weekend","Weekday")</f>
        <v>Weekday</v>
      </c>
      <c r="AF248" s="5">
        <f>IF(SalesData[[#This Row],[Contracts Offered]]=0,0,SalesData[[#This Row],[Contracts Signed]]/SalesData[[#This Row],[Contracts Offered]])</f>
        <v>0.28965517241379313</v>
      </c>
      <c r="AG248" s="5">
        <f>IF(SalesData[[#This Row],[Customers Visited]]=0,0,SalesData[[#This Row],[Test Drives]]/SalesData[[#This Row],[Customers Visited]])</f>
        <v>0.60576923076923073</v>
      </c>
      <c r="AH248" s="5">
        <f>IF(SalesData[[#This Row],[Customers Visited]]=0,0,SalesData[[#This Row],[Contracts Signed]]/SalesData[[#This Row],[Customers Visited]])</f>
        <v>0.13461538461538461</v>
      </c>
      <c r="AI248" s="6">
        <f>IF(SalesData[[#This Row],[Contracts Signed]]=0,0,SalesData[[#This Row],[Profit(€)]]/SalesData[[#This Row],[Contracts Signed]])</f>
        <v>12130</v>
      </c>
      <c r="AJ248" s="5" t="str">
        <f>TRIM(CLEAN(SalesData[[#This Row],[Retailer]]))</f>
        <v>Hannover Cars</v>
      </c>
    </row>
    <row r="249" spans="1:36" ht="14.25" hidden="1" x14ac:dyDescent="0.2">
      <c r="A249" t="s">
        <v>573</v>
      </c>
      <c r="B249" s="1">
        <v>46065</v>
      </c>
      <c r="C249" t="s">
        <v>121</v>
      </c>
      <c r="D249" t="s">
        <v>100</v>
      </c>
      <c r="E249" t="s">
        <v>26</v>
      </c>
      <c r="F249" t="s">
        <v>7649</v>
      </c>
      <c r="G249" t="s">
        <v>55</v>
      </c>
      <c r="H249" t="s">
        <v>55</v>
      </c>
      <c r="I249" t="s">
        <v>116</v>
      </c>
      <c r="J249" t="s">
        <v>117</v>
      </c>
      <c r="K249" t="s">
        <v>91</v>
      </c>
      <c r="L249" t="s">
        <v>67</v>
      </c>
      <c r="M249" t="s">
        <v>34</v>
      </c>
      <c r="N249" t="s">
        <v>48</v>
      </c>
      <c r="O249" t="s">
        <v>70</v>
      </c>
      <c r="P249" t="s">
        <v>37</v>
      </c>
      <c r="Q249" t="s">
        <v>144</v>
      </c>
      <c r="R249">
        <v>397</v>
      </c>
      <c r="S249">
        <v>154</v>
      </c>
      <c r="T249">
        <v>88</v>
      </c>
      <c r="U249">
        <v>24</v>
      </c>
      <c r="V249" t="s">
        <v>4134</v>
      </c>
      <c r="W249">
        <v>22180</v>
      </c>
      <c r="X249" t="s">
        <v>3439</v>
      </c>
      <c r="Y249">
        <v>19787</v>
      </c>
      <c r="Z249">
        <v>532320</v>
      </c>
      <c r="AA249">
        <v>57432</v>
      </c>
      <c r="AB249" t="str">
        <f>(VLOOKUP(SalesData[[#This Row],[Month Number]],Reference!C$5:E$16,2,FALSE))</f>
        <v>Feb</v>
      </c>
      <c r="AC249">
        <f>MONTH(SalesData[[#This Row],[Date]])</f>
        <v>2</v>
      </c>
      <c r="AD249">
        <f>Reference!F$4</f>
        <v>2026</v>
      </c>
      <c r="AE249" t="str">
        <f>IF(OR(SalesData[[#This Row],[Day]]="Saturday",SalesData[[#This Row],[Day]]="Sunday"),"Weekend","Weekday")</f>
        <v>Weekday</v>
      </c>
      <c r="AF249" s="5">
        <f>IF(SalesData[[#This Row],[Contracts Offered]]=0,0,SalesData[[#This Row],[Contracts Signed]]/SalesData[[#This Row],[Contracts Offered]])</f>
        <v>0.27272727272727271</v>
      </c>
      <c r="AG249" s="5">
        <f>IF(SalesData[[#This Row],[Customers Visited]]=0,0,SalesData[[#This Row],[Test Drives]]/SalesData[[#This Row],[Customers Visited]])</f>
        <v>0.38790931989924432</v>
      </c>
      <c r="AH249" s="5">
        <f>IF(SalesData[[#This Row],[Customers Visited]]=0,0,SalesData[[#This Row],[Contracts Signed]]/SalesData[[#This Row],[Customers Visited]])</f>
        <v>6.0453400503778336E-2</v>
      </c>
      <c r="AI249" s="6">
        <f>IF(SalesData[[#This Row],[Contracts Signed]]=0,0,SalesData[[#This Row],[Profit(€)]]/SalesData[[#This Row],[Contracts Signed]])</f>
        <v>2393</v>
      </c>
      <c r="AJ249" s="5" t="str">
        <f>TRIM(CLEAN(SalesData[[#This Row],[Retailer]]))</f>
        <v>Autohaus Berlin</v>
      </c>
    </row>
    <row r="250" spans="1:36" ht="14.25" hidden="1" x14ac:dyDescent="0.2">
      <c r="A250" t="s">
        <v>574</v>
      </c>
      <c r="B250" s="1">
        <v>46072</v>
      </c>
      <c r="C250" t="s">
        <v>62</v>
      </c>
      <c r="D250" t="s">
        <v>100</v>
      </c>
      <c r="E250" t="s">
        <v>26</v>
      </c>
      <c r="F250" t="s">
        <v>101</v>
      </c>
      <c r="G250" t="s">
        <v>102</v>
      </c>
      <c r="H250" t="s">
        <v>103</v>
      </c>
      <c r="I250" t="s">
        <v>104</v>
      </c>
      <c r="J250" t="s">
        <v>140</v>
      </c>
      <c r="K250" t="s">
        <v>32</v>
      </c>
      <c r="L250" t="s">
        <v>46</v>
      </c>
      <c r="M250" t="s">
        <v>47</v>
      </c>
      <c r="N250" t="s">
        <v>48</v>
      </c>
      <c r="O250" t="s">
        <v>36</v>
      </c>
      <c r="P250" t="s">
        <v>37</v>
      </c>
      <c r="Q250" t="s">
        <v>172</v>
      </c>
      <c r="R250">
        <v>272</v>
      </c>
      <c r="S250">
        <v>136</v>
      </c>
      <c r="T250">
        <v>82</v>
      </c>
      <c r="U250">
        <v>19</v>
      </c>
      <c r="V250" t="s">
        <v>1509</v>
      </c>
      <c r="W250">
        <v>29448</v>
      </c>
      <c r="X250" t="s">
        <v>7145</v>
      </c>
      <c r="Y250">
        <v>25399</v>
      </c>
      <c r="Z250">
        <v>559512</v>
      </c>
      <c r="AA250">
        <v>76931</v>
      </c>
      <c r="AB250" t="str">
        <f>(VLOOKUP(SalesData[[#This Row],[Month Number]],Reference!C$5:E$16,2,FALSE))</f>
        <v>Feb</v>
      </c>
      <c r="AC250">
        <f>MONTH(SalesData[[#This Row],[Date]])</f>
        <v>2</v>
      </c>
      <c r="AD250">
        <f>Reference!F$4</f>
        <v>2026</v>
      </c>
      <c r="AE250" t="str">
        <f>IF(OR(SalesData[[#This Row],[Day]]="Saturday",SalesData[[#This Row],[Day]]="Sunday"),"Weekend","Weekday")</f>
        <v>Weekday</v>
      </c>
      <c r="AF250" s="5">
        <f>IF(SalesData[[#This Row],[Contracts Offered]]=0,0,SalesData[[#This Row],[Contracts Signed]]/SalesData[[#This Row],[Contracts Offered]])</f>
        <v>0.23170731707317074</v>
      </c>
      <c r="AG250" s="5">
        <f>IF(SalesData[[#This Row],[Customers Visited]]=0,0,SalesData[[#This Row],[Test Drives]]/SalesData[[#This Row],[Customers Visited]])</f>
        <v>0.5</v>
      </c>
      <c r="AH250" s="5">
        <f>IF(SalesData[[#This Row],[Customers Visited]]=0,0,SalesData[[#This Row],[Contracts Signed]]/SalesData[[#This Row],[Customers Visited]])</f>
        <v>6.985294117647059E-2</v>
      </c>
      <c r="AI250" s="6">
        <f>IF(SalesData[[#This Row],[Contracts Signed]]=0,0,SalesData[[#This Row],[Profit(€)]]/SalesData[[#This Row],[Contracts Signed]])</f>
        <v>4049</v>
      </c>
      <c r="AJ250" s="5" t="str">
        <f>TRIM(CLEAN(SalesData[[#This Row],[Retailer]]))</f>
        <v>Ruhr Auto Plaza</v>
      </c>
    </row>
    <row r="251" spans="1:36" ht="14.25" hidden="1" x14ac:dyDescent="0.2">
      <c r="A251" t="s">
        <v>575</v>
      </c>
      <c r="B251" s="1">
        <v>46074</v>
      </c>
      <c r="C251" t="s">
        <v>62</v>
      </c>
      <c r="D251" t="s">
        <v>151</v>
      </c>
      <c r="E251" t="s">
        <v>42</v>
      </c>
      <c r="F251" t="s">
        <v>27</v>
      </c>
      <c r="G251" t="s">
        <v>28</v>
      </c>
      <c r="H251" t="s">
        <v>29</v>
      </c>
      <c r="I251" t="s">
        <v>64</v>
      </c>
      <c r="J251" t="s">
        <v>7029</v>
      </c>
      <c r="K251" t="s">
        <v>32</v>
      </c>
      <c r="L251" t="s">
        <v>33</v>
      </c>
      <c r="M251" t="s">
        <v>34</v>
      </c>
      <c r="N251" t="s">
        <v>48</v>
      </c>
      <c r="O251" t="s">
        <v>36</v>
      </c>
      <c r="P251" t="s">
        <v>71</v>
      </c>
      <c r="Q251" t="s">
        <v>122</v>
      </c>
      <c r="R251">
        <v>147</v>
      </c>
      <c r="S251">
        <v>75</v>
      </c>
      <c r="T251">
        <v>57</v>
      </c>
      <c r="U251">
        <v>18</v>
      </c>
      <c r="V251" t="s">
        <v>6629</v>
      </c>
      <c r="W251">
        <v>54361</v>
      </c>
      <c r="X251" t="s">
        <v>7072</v>
      </c>
      <c r="Y251">
        <v>42530</v>
      </c>
      <c r="Z251">
        <v>978498</v>
      </c>
      <c r="AA251">
        <v>212958</v>
      </c>
      <c r="AB251" t="str">
        <f>(VLOOKUP(SalesData[[#This Row],[Month Number]],Reference!C$5:E$16,2,FALSE))</f>
        <v>Feb</v>
      </c>
      <c r="AC251">
        <f>MONTH(SalesData[[#This Row],[Date]])</f>
        <v>2</v>
      </c>
      <c r="AD251">
        <f>Reference!F$4</f>
        <v>2026</v>
      </c>
      <c r="AE251" t="str">
        <f>IF(OR(SalesData[[#This Row],[Day]]="Saturday",SalesData[[#This Row],[Day]]="Sunday"),"Weekend","Weekday")</f>
        <v>Weekend</v>
      </c>
      <c r="AF251" s="5">
        <f>IF(SalesData[[#This Row],[Contracts Offered]]=0,0,SalesData[[#This Row],[Contracts Signed]]/SalesData[[#This Row],[Contracts Offered]])</f>
        <v>0.31578947368421051</v>
      </c>
      <c r="AG251" s="5">
        <f>IF(SalesData[[#This Row],[Customers Visited]]=0,0,SalesData[[#This Row],[Test Drives]]/SalesData[[#This Row],[Customers Visited]])</f>
        <v>0.51020408163265307</v>
      </c>
      <c r="AH251" s="5">
        <f>IF(SalesData[[#This Row],[Customers Visited]]=0,0,SalesData[[#This Row],[Contracts Signed]]/SalesData[[#This Row],[Customers Visited]])</f>
        <v>0.12244897959183673</v>
      </c>
      <c r="AI251" s="6">
        <f>IF(SalesData[[#This Row],[Contracts Signed]]=0,0,SalesData[[#This Row],[Profit(€)]]/SalesData[[#This Row],[Contracts Signed]])</f>
        <v>11831</v>
      </c>
      <c r="AJ251" s="5" t="str">
        <f>TRIM(CLEAN(SalesData[[#This Row],[Retailer]]))</f>
        <v>Main Auto Hub</v>
      </c>
    </row>
    <row r="252" spans="1:36" ht="14.25" hidden="1" x14ac:dyDescent="0.2">
      <c r="A252" t="s">
        <v>577</v>
      </c>
      <c r="B252" s="1">
        <v>46065</v>
      </c>
      <c r="C252" t="s">
        <v>121</v>
      </c>
      <c r="D252" t="s">
        <v>100</v>
      </c>
      <c r="E252" t="s">
        <v>26</v>
      </c>
      <c r="F252" t="s">
        <v>94</v>
      </c>
      <c r="G252" t="s">
        <v>95</v>
      </c>
      <c r="H252" t="s">
        <v>96</v>
      </c>
      <c r="I252" t="s">
        <v>56</v>
      </c>
      <c r="J252" t="s">
        <v>137</v>
      </c>
      <c r="K252" t="s">
        <v>91</v>
      </c>
      <c r="L252" t="s">
        <v>46</v>
      </c>
      <c r="M252" t="s">
        <v>87</v>
      </c>
      <c r="N252" t="s">
        <v>35</v>
      </c>
      <c r="O252" t="s">
        <v>36</v>
      </c>
      <c r="P252" t="s">
        <v>71</v>
      </c>
      <c r="Q252" t="s">
        <v>169</v>
      </c>
      <c r="R252">
        <v>281</v>
      </c>
      <c r="S252">
        <v>156</v>
      </c>
      <c r="T252">
        <v>110</v>
      </c>
      <c r="U252">
        <v>40</v>
      </c>
      <c r="V252" t="s">
        <v>6405</v>
      </c>
      <c r="W252">
        <v>51004</v>
      </c>
      <c r="X252" t="s">
        <v>7146</v>
      </c>
      <c r="Y252">
        <v>38271</v>
      </c>
      <c r="Z252">
        <v>2040160</v>
      </c>
      <c r="AA252">
        <v>509320</v>
      </c>
      <c r="AB252" t="str">
        <f>(VLOOKUP(SalesData[[#This Row],[Month Number]],Reference!C$5:E$16,2,FALSE))</f>
        <v>Feb</v>
      </c>
      <c r="AC252">
        <f>MONTH(SalesData[[#This Row],[Date]])</f>
        <v>2</v>
      </c>
      <c r="AD252">
        <f>Reference!F$4</f>
        <v>2026</v>
      </c>
      <c r="AE252" t="str">
        <f>IF(OR(SalesData[[#This Row],[Day]]="Saturday",SalesData[[#This Row],[Day]]="Sunday"),"Weekend","Weekday")</f>
        <v>Weekday</v>
      </c>
      <c r="AF252" s="5">
        <f>IF(SalesData[[#This Row],[Contracts Offered]]=0,0,SalesData[[#This Row],[Contracts Signed]]/SalesData[[#This Row],[Contracts Offered]])</f>
        <v>0.36363636363636365</v>
      </c>
      <c r="AG252" s="5">
        <f>IF(SalesData[[#This Row],[Customers Visited]]=0,0,SalesData[[#This Row],[Test Drives]]/SalesData[[#This Row],[Customers Visited]])</f>
        <v>0.55516014234875444</v>
      </c>
      <c r="AH252" s="5">
        <f>IF(SalesData[[#This Row],[Customers Visited]]=0,0,SalesData[[#This Row],[Contracts Signed]]/SalesData[[#This Row],[Customers Visited]])</f>
        <v>0.14234875444839859</v>
      </c>
      <c r="AI252" s="6">
        <f>IF(SalesData[[#This Row],[Contracts Signed]]=0,0,SalesData[[#This Row],[Profit(€)]]/SalesData[[#This Row],[Contracts Signed]])</f>
        <v>12733</v>
      </c>
      <c r="AJ252" s="5" t="str">
        <f>TRIM(CLEAN(SalesData[[#This Row],[Retailer]]))</f>
        <v>Bavaria Motors</v>
      </c>
    </row>
    <row r="253" spans="1:36" ht="14.25" hidden="1" x14ac:dyDescent="0.2">
      <c r="A253" t="s">
        <v>578</v>
      </c>
      <c r="B253" s="1">
        <v>46077</v>
      </c>
      <c r="C253" t="s">
        <v>53</v>
      </c>
      <c r="D253" t="s">
        <v>63</v>
      </c>
      <c r="E253" t="s">
        <v>26</v>
      </c>
      <c r="F253" t="s">
        <v>101</v>
      </c>
      <c r="G253" t="s">
        <v>102</v>
      </c>
      <c r="H253" t="s">
        <v>103</v>
      </c>
      <c r="I253" t="s">
        <v>56</v>
      </c>
      <c r="J253" t="s">
        <v>179</v>
      </c>
      <c r="K253" t="s">
        <v>66</v>
      </c>
      <c r="L253" t="s">
        <v>67</v>
      </c>
      <c r="M253" t="s">
        <v>34</v>
      </c>
      <c r="N253" t="s">
        <v>48</v>
      </c>
      <c r="O253" t="s">
        <v>36</v>
      </c>
      <c r="P253" t="s">
        <v>37</v>
      </c>
      <c r="Q253" t="s">
        <v>152</v>
      </c>
      <c r="R253">
        <v>202</v>
      </c>
      <c r="S253">
        <v>103</v>
      </c>
      <c r="T253">
        <v>65</v>
      </c>
      <c r="U253">
        <v>21</v>
      </c>
      <c r="V253" t="s">
        <v>6810</v>
      </c>
      <c r="W253">
        <v>44612</v>
      </c>
      <c r="X253" t="s">
        <v>2334</v>
      </c>
      <c r="Y253">
        <v>33773</v>
      </c>
      <c r="Z253">
        <v>936852</v>
      </c>
      <c r="AA253">
        <v>227619</v>
      </c>
      <c r="AB253" t="str">
        <f>(VLOOKUP(SalesData[[#This Row],[Month Number]],Reference!C$5:E$16,2,FALSE))</f>
        <v>Feb</v>
      </c>
      <c r="AC253">
        <f>MONTH(SalesData[[#This Row],[Date]])</f>
        <v>2</v>
      </c>
      <c r="AD253">
        <f>Reference!F$4</f>
        <v>2026</v>
      </c>
      <c r="AE253" t="str">
        <f>IF(OR(SalesData[[#This Row],[Day]]="Saturday",SalesData[[#This Row],[Day]]="Sunday"),"Weekend","Weekday")</f>
        <v>Weekday</v>
      </c>
      <c r="AF253" s="5">
        <f>IF(SalesData[[#This Row],[Contracts Offered]]=0,0,SalesData[[#This Row],[Contracts Signed]]/SalesData[[#This Row],[Contracts Offered]])</f>
        <v>0.32307692307692309</v>
      </c>
      <c r="AG253" s="5">
        <f>IF(SalesData[[#This Row],[Customers Visited]]=0,0,SalesData[[#This Row],[Test Drives]]/SalesData[[#This Row],[Customers Visited]])</f>
        <v>0.50990099009900991</v>
      </c>
      <c r="AH253" s="5">
        <f>IF(SalesData[[#This Row],[Customers Visited]]=0,0,SalesData[[#This Row],[Contracts Signed]]/SalesData[[#This Row],[Customers Visited]])</f>
        <v>0.10396039603960396</v>
      </c>
      <c r="AI253" s="6">
        <f>IF(SalesData[[#This Row],[Contracts Signed]]=0,0,SalesData[[#This Row],[Profit(€)]]/SalesData[[#This Row],[Contracts Signed]])</f>
        <v>10839</v>
      </c>
      <c r="AJ253" s="5" t="str">
        <f>TRIM(CLEAN(SalesData[[#This Row],[Retailer]]))</f>
        <v>Ruhr Auto Plaza</v>
      </c>
    </row>
    <row r="254" spans="1:36" ht="14.25" x14ac:dyDescent="0.2">
      <c r="A254" t="s">
        <v>580</v>
      </c>
      <c r="B254" s="1">
        <v>46074</v>
      </c>
      <c r="C254" t="s">
        <v>62</v>
      </c>
      <c r="D254" t="s">
        <v>151</v>
      </c>
      <c r="E254" t="s">
        <v>42</v>
      </c>
      <c r="F254" t="s">
        <v>127</v>
      </c>
      <c r="G254" t="s">
        <v>128</v>
      </c>
      <c r="H254" t="s">
        <v>103</v>
      </c>
      <c r="I254" t="s">
        <v>30</v>
      </c>
      <c r="J254" t="s">
        <v>7075</v>
      </c>
      <c r="K254" t="s">
        <v>78</v>
      </c>
      <c r="L254" t="s">
        <v>33</v>
      </c>
      <c r="M254" t="s">
        <v>68</v>
      </c>
      <c r="N254" t="s">
        <v>69</v>
      </c>
      <c r="O254" t="s">
        <v>36</v>
      </c>
      <c r="P254" t="s">
        <v>71</v>
      </c>
      <c r="Q254" t="s">
        <v>172</v>
      </c>
      <c r="R254">
        <v>229</v>
      </c>
      <c r="S254">
        <v>109</v>
      </c>
      <c r="T254">
        <v>81</v>
      </c>
      <c r="U254">
        <v>31</v>
      </c>
      <c r="V254" t="s">
        <v>7147</v>
      </c>
      <c r="W254">
        <v>62564</v>
      </c>
      <c r="X254" t="s">
        <v>7148</v>
      </c>
      <c r="Y254">
        <v>43980</v>
      </c>
      <c r="Z254">
        <v>1939484</v>
      </c>
      <c r="AA254">
        <v>576104</v>
      </c>
      <c r="AB254" t="str">
        <f>(VLOOKUP(SalesData[[#This Row],[Month Number]],Reference!C$5:E$16,2,FALSE))</f>
        <v>Feb</v>
      </c>
      <c r="AC254">
        <f>MONTH(SalesData[[#This Row],[Date]])</f>
        <v>2</v>
      </c>
      <c r="AD254">
        <f>Reference!F$4</f>
        <v>2026</v>
      </c>
      <c r="AE254" t="str">
        <f>IF(OR(SalesData[[#This Row],[Day]]="Saturday",SalesData[[#This Row],[Day]]="Sunday"),"Weekend","Weekday")</f>
        <v>Weekend</v>
      </c>
      <c r="AF254" s="5">
        <f>IF(SalesData[[#This Row],[Contracts Offered]]=0,0,SalesData[[#This Row],[Contracts Signed]]/SalesData[[#This Row],[Contracts Offered]])</f>
        <v>0.38271604938271603</v>
      </c>
      <c r="AG254" s="5">
        <f>IF(SalesData[[#This Row],[Customers Visited]]=0,0,SalesData[[#This Row],[Test Drives]]/SalesData[[#This Row],[Customers Visited]])</f>
        <v>0.4759825327510917</v>
      </c>
      <c r="AH254" s="5">
        <f>IF(SalesData[[#This Row],[Customers Visited]]=0,0,SalesData[[#This Row],[Contracts Signed]]/SalesData[[#This Row],[Customers Visited]])</f>
        <v>0.13537117903930132</v>
      </c>
      <c r="AI254" s="6">
        <f>IF(SalesData[[#This Row],[Contracts Signed]]=0,0,SalesData[[#This Row],[Profit(€)]]/SalesData[[#This Row],[Contracts Signed]])</f>
        <v>18584</v>
      </c>
      <c r="AJ254" s="5" t="str">
        <f>TRIM(CLEAN(SalesData[[#This Row],[Retailer]]))</f>
        <v>Rhein Auto Group</v>
      </c>
    </row>
    <row r="255" spans="1:36" ht="14.25" hidden="1" x14ac:dyDescent="0.2">
      <c r="A255" t="s">
        <v>582</v>
      </c>
      <c r="B255" s="1">
        <v>46074</v>
      </c>
      <c r="C255" t="s">
        <v>62</v>
      </c>
      <c r="D255" t="s">
        <v>151</v>
      </c>
      <c r="E255" t="s">
        <v>42</v>
      </c>
      <c r="F255" t="s">
        <v>83</v>
      </c>
      <c r="G255" t="s">
        <v>84</v>
      </c>
      <c r="H255" t="s">
        <v>85</v>
      </c>
      <c r="I255" t="s">
        <v>56</v>
      </c>
      <c r="J255" t="s">
        <v>57</v>
      </c>
      <c r="K255" t="s">
        <v>66</v>
      </c>
      <c r="L255" t="s">
        <v>46</v>
      </c>
      <c r="M255" t="s">
        <v>34</v>
      </c>
      <c r="N255" t="s">
        <v>69</v>
      </c>
      <c r="O255" t="s">
        <v>70</v>
      </c>
      <c r="P255" t="s">
        <v>71</v>
      </c>
      <c r="Q255" t="s">
        <v>158</v>
      </c>
      <c r="R255">
        <v>193</v>
      </c>
      <c r="S255">
        <v>96</v>
      </c>
      <c r="T255">
        <v>73</v>
      </c>
      <c r="U255">
        <v>21</v>
      </c>
      <c r="V255" t="s">
        <v>6542</v>
      </c>
      <c r="W255">
        <v>45046</v>
      </c>
      <c r="X255" t="s">
        <v>7149</v>
      </c>
      <c r="Y255">
        <v>34458</v>
      </c>
      <c r="Z255">
        <v>945966</v>
      </c>
      <c r="AA255">
        <v>222348</v>
      </c>
      <c r="AB255" t="str">
        <f>(VLOOKUP(SalesData[[#This Row],[Month Number]],Reference!C$5:E$16,2,FALSE))</f>
        <v>Feb</v>
      </c>
      <c r="AC255">
        <f>MONTH(SalesData[[#This Row],[Date]])</f>
        <v>2</v>
      </c>
      <c r="AD255">
        <f>Reference!F$4</f>
        <v>2026</v>
      </c>
      <c r="AE255" t="str">
        <f>IF(OR(SalesData[[#This Row],[Day]]="Saturday",SalesData[[#This Row],[Day]]="Sunday"),"Weekend","Weekday")</f>
        <v>Weekend</v>
      </c>
      <c r="AF255" s="5">
        <f>IF(SalesData[[#This Row],[Contracts Offered]]=0,0,SalesData[[#This Row],[Contracts Signed]]/SalesData[[#This Row],[Contracts Offered]])</f>
        <v>0.28767123287671231</v>
      </c>
      <c r="AG255" s="5">
        <f>IF(SalesData[[#This Row],[Customers Visited]]=0,0,SalesData[[#This Row],[Test Drives]]/SalesData[[#This Row],[Customers Visited]])</f>
        <v>0.49740932642487046</v>
      </c>
      <c r="AH255" s="5">
        <f>IF(SalesData[[#This Row],[Customers Visited]]=0,0,SalesData[[#This Row],[Contracts Signed]]/SalesData[[#This Row],[Customers Visited]])</f>
        <v>0.10880829015544041</v>
      </c>
      <c r="AI255" s="6">
        <f>IF(SalesData[[#This Row],[Contracts Signed]]=0,0,SalesData[[#This Row],[Profit(€)]]/SalesData[[#This Row],[Contracts Signed]])</f>
        <v>10588</v>
      </c>
      <c r="AJ255" s="5" t="str">
        <f>TRIM(CLEAN(SalesData[[#This Row],[Retailer]]))</f>
        <v>Hannover Cars</v>
      </c>
    </row>
    <row r="256" spans="1:36" ht="14.25" hidden="1" x14ac:dyDescent="0.2">
      <c r="A256" t="s">
        <v>584</v>
      </c>
      <c r="B256" s="1">
        <v>46070</v>
      </c>
      <c r="C256" t="s">
        <v>62</v>
      </c>
      <c r="D256" t="s">
        <v>63</v>
      </c>
      <c r="E256" t="s">
        <v>26</v>
      </c>
      <c r="F256" t="s">
        <v>127</v>
      </c>
      <c r="G256" t="s">
        <v>128</v>
      </c>
      <c r="H256" t="s">
        <v>103</v>
      </c>
      <c r="I256" t="s">
        <v>64</v>
      </c>
      <c r="J256" t="s">
        <v>65</v>
      </c>
      <c r="K256" t="s">
        <v>32</v>
      </c>
      <c r="L256" t="s">
        <v>33</v>
      </c>
      <c r="M256" t="s">
        <v>68</v>
      </c>
      <c r="N256" t="s">
        <v>48</v>
      </c>
      <c r="O256" t="s">
        <v>36</v>
      </c>
      <c r="P256" t="s">
        <v>49</v>
      </c>
      <c r="Q256" t="s">
        <v>189</v>
      </c>
      <c r="R256">
        <v>178</v>
      </c>
      <c r="S256">
        <v>96</v>
      </c>
      <c r="T256">
        <v>76</v>
      </c>
      <c r="U256">
        <v>22</v>
      </c>
      <c r="V256" t="s">
        <v>6437</v>
      </c>
      <c r="W256">
        <v>69768</v>
      </c>
      <c r="X256" t="s">
        <v>7150</v>
      </c>
      <c r="Y256">
        <v>53318</v>
      </c>
      <c r="Z256">
        <v>1534896</v>
      </c>
      <c r="AA256">
        <v>361900</v>
      </c>
      <c r="AB256" t="str">
        <f>(VLOOKUP(SalesData[[#This Row],[Month Number]],Reference!C$5:E$16,2,FALSE))</f>
        <v>Feb</v>
      </c>
      <c r="AC256">
        <f>MONTH(SalesData[[#This Row],[Date]])</f>
        <v>2</v>
      </c>
      <c r="AD256">
        <f>Reference!F$4</f>
        <v>2026</v>
      </c>
      <c r="AE256" t="str">
        <f>IF(OR(SalesData[[#This Row],[Day]]="Saturday",SalesData[[#This Row],[Day]]="Sunday"),"Weekend","Weekday")</f>
        <v>Weekday</v>
      </c>
      <c r="AF256" s="5">
        <f>IF(SalesData[[#This Row],[Contracts Offered]]=0,0,SalesData[[#This Row],[Contracts Signed]]/SalesData[[#This Row],[Contracts Offered]])</f>
        <v>0.28947368421052633</v>
      </c>
      <c r="AG256" s="5">
        <f>IF(SalesData[[#This Row],[Customers Visited]]=0,0,SalesData[[#This Row],[Test Drives]]/SalesData[[#This Row],[Customers Visited]])</f>
        <v>0.5393258426966292</v>
      </c>
      <c r="AH256" s="5">
        <f>IF(SalesData[[#This Row],[Customers Visited]]=0,0,SalesData[[#This Row],[Contracts Signed]]/SalesData[[#This Row],[Customers Visited]])</f>
        <v>0.12359550561797752</v>
      </c>
      <c r="AI256" s="6">
        <f>IF(SalesData[[#This Row],[Contracts Signed]]=0,0,SalesData[[#This Row],[Profit(€)]]/SalesData[[#This Row],[Contracts Signed]])</f>
        <v>16450</v>
      </c>
      <c r="AJ256" s="5" t="str">
        <f>TRIM(CLEAN(SalesData[[#This Row],[Retailer]]))</f>
        <v>Rhein Auto Group</v>
      </c>
    </row>
    <row r="257" spans="1:36" ht="14.25" hidden="1" x14ac:dyDescent="0.2">
      <c r="A257" t="s">
        <v>586</v>
      </c>
      <c r="B257" s="1">
        <v>46063</v>
      </c>
      <c r="C257" t="s">
        <v>121</v>
      </c>
      <c r="D257" t="s">
        <v>63</v>
      </c>
      <c r="E257" t="s">
        <v>26</v>
      </c>
      <c r="F257" t="s">
        <v>74</v>
      </c>
      <c r="G257" t="s">
        <v>75</v>
      </c>
      <c r="H257" t="s">
        <v>76</v>
      </c>
      <c r="I257" t="s">
        <v>116</v>
      </c>
      <c r="J257" t="s">
        <v>117</v>
      </c>
      <c r="K257" t="s">
        <v>78</v>
      </c>
      <c r="L257" t="s">
        <v>67</v>
      </c>
      <c r="M257" t="s">
        <v>34</v>
      </c>
      <c r="N257" t="s">
        <v>48</v>
      </c>
      <c r="O257" t="s">
        <v>36</v>
      </c>
      <c r="P257" t="s">
        <v>58</v>
      </c>
      <c r="Q257" t="s">
        <v>169</v>
      </c>
      <c r="R257">
        <v>397</v>
      </c>
      <c r="S257">
        <v>158</v>
      </c>
      <c r="T257">
        <v>102</v>
      </c>
      <c r="U257">
        <v>29</v>
      </c>
      <c r="V257" t="s">
        <v>628</v>
      </c>
      <c r="W257">
        <v>20003</v>
      </c>
      <c r="X257" t="s">
        <v>7151</v>
      </c>
      <c r="Y257">
        <v>17990</v>
      </c>
      <c r="Z257">
        <v>580087</v>
      </c>
      <c r="AA257">
        <v>58377</v>
      </c>
      <c r="AB257" t="str">
        <f>(VLOOKUP(SalesData[[#This Row],[Month Number]],Reference!C$5:E$16,2,FALSE))</f>
        <v>Feb</v>
      </c>
      <c r="AC257">
        <f>MONTH(SalesData[[#This Row],[Date]])</f>
        <v>2</v>
      </c>
      <c r="AD257">
        <f>Reference!F$4</f>
        <v>2026</v>
      </c>
      <c r="AE257" t="str">
        <f>IF(OR(SalesData[[#This Row],[Day]]="Saturday",SalesData[[#This Row],[Day]]="Sunday"),"Weekend","Weekday")</f>
        <v>Weekday</v>
      </c>
      <c r="AF257" s="5">
        <f>IF(SalesData[[#This Row],[Contracts Offered]]=0,0,SalesData[[#This Row],[Contracts Signed]]/SalesData[[#This Row],[Contracts Offered]])</f>
        <v>0.28431372549019607</v>
      </c>
      <c r="AG257" s="5">
        <f>IF(SalesData[[#This Row],[Customers Visited]]=0,0,SalesData[[#This Row],[Test Drives]]/SalesData[[#This Row],[Customers Visited]])</f>
        <v>0.39798488664987408</v>
      </c>
      <c r="AH257" s="5">
        <f>IF(SalesData[[#This Row],[Customers Visited]]=0,0,SalesData[[#This Row],[Contracts Signed]]/SalesData[[#This Row],[Customers Visited]])</f>
        <v>7.3047858942065488E-2</v>
      </c>
      <c r="AI257" s="6">
        <f>IF(SalesData[[#This Row],[Contracts Signed]]=0,0,SalesData[[#This Row],[Profit(€)]]/SalesData[[#This Row],[Contracts Signed]])</f>
        <v>2013</v>
      </c>
      <c r="AJ257" s="5" t="str">
        <f>TRIM(CLEAN(SalesData[[#This Row],[Retailer]]))</f>
        <v>Stuttgart Auto Center</v>
      </c>
    </row>
    <row r="258" spans="1:36" ht="14.25" hidden="1" x14ac:dyDescent="0.2">
      <c r="A258" t="s">
        <v>587</v>
      </c>
      <c r="B258" s="1">
        <v>46078</v>
      </c>
      <c r="C258" t="s">
        <v>53</v>
      </c>
      <c r="D258" t="s">
        <v>82</v>
      </c>
      <c r="E258" t="s">
        <v>26</v>
      </c>
      <c r="F258" t="s">
        <v>101</v>
      </c>
      <c r="G258" t="s">
        <v>102</v>
      </c>
      <c r="H258" t="s">
        <v>103</v>
      </c>
      <c r="I258" t="s">
        <v>64</v>
      </c>
      <c r="J258" t="s">
        <v>65</v>
      </c>
      <c r="K258" t="s">
        <v>32</v>
      </c>
      <c r="L258" t="s">
        <v>33</v>
      </c>
      <c r="M258" t="s">
        <v>34</v>
      </c>
      <c r="N258" t="s">
        <v>69</v>
      </c>
      <c r="O258" t="s">
        <v>36</v>
      </c>
      <c r="P258" t="s">
        <v>71</v>
      </c>
      <c r="Q258" t="s">
        <v>50</v>
      </c>
      <c r="R258">
        <v>201</v>
      </c>
      <c r="S258">
        <v>104</v>
      </c>
      <c r="T258">
        <v>78</v>
      </c>
      <c r="U258">
        <v>27</v>
      </c>
      <c r="V258" t="s">
        <v>6635</v>
      </c>
      <c r="W258">
        <v>66350</v>
      </c>
      <c r="X258" t="s">
        <v>7152</v>
      </c>
      <c r="Y258">
        <v>51079</v>
      </c>
      <c r="Z258">
        <v>1791450</v>
      </c>
      <c r="AA258">
        <v>412317</v>
      </c>
      <c r="AB258" t="str">
        <f>(VLOOKUP(SalesData[[#This Row],[Month Number]],Reference!C$5:E$16,2,FALSE))</f>
        <v>Feb</v>
      </c>
      <c r="AC258">
        <f>MONTH(SalesData[[#This Row],[Date]])</f>
        <v>2</v>
      </c>
      <c r="AD258">
        <f>Reference!F$4</f>
        <v>2026</v>
      </c>
      <c r="AE258" t="str">
        <f>IF(OR(SalesData[[#This Row],[Day]]="Saturday",SalesData[[#This Row],[Day]]="Sunday"),"Weekend","Weekday")</f>
        <v>Weekday</v>
      </c>
      <c r="AF258" s="5">
        <f>IF(SalesData[[#This Row],[Contracts Offered]]=0,0,SalesData[[#This Row],[Contracts Signed]]/SalesData[[#This Row],[Contracts Offered]])</f>
        <v>0.34615384615384615</v>
      </c>
      <c r="AG258" s="5">
        <f>IF(SalesData[[#This Row],[Customers Visited]]=0,0,SalesData[[#This Row],[Test Drives]]/SalesData[[#This Row],[Customers Visited]])</f>
        <v>0.51741293532338306</v>
      </c>
      <c r="AH258" s="5">
        <f>IF(SalesData[[#This Row],[Customers Visited]]=0,0,SalesData[[#This Row],[Contracts Signed]]/SalesData[[#This Row],[Customers Visited]])</f>
        <v>0.13432835820895522</v>
      </c>
      <c r="AI258" s="6">
        <f>IF(SalesData[[#This Row],[Contracts Signed]]=0,0,SalesData[[#This Row],[Profit(€)]]/SalesData[[#This Row],[Contracts Signed]])</f>
        <v>15271</v>
      </c>
      <c r="AJ258" s="5" t="str">
        <f>TRIM(CLEAN(SalesData[[#This Row],[Retailer]]))</f>
        <v>Ruhr Auto Plaza</v>
      </c>
    </row>
    <row r="259" spans="1:36" ht="14.25" hidden="1" x14ac:dyDescent="0.2">
      <c r="A259" t="s">
        <v>588</v>
      </c>
      <c r="B259" s="1">
        <v>46063</v>
      </c>
      <c r="C259" t="s">
        <v>121</v>
      </c>
      <c r="D259" t="s">
        <v>63</v>
      </c>
      <c r="E259" t="s">
        <v>26</v>
      </c>
      <c r="F259" t="s">
        <v>83</v>
      </c>
      <c r="G259" t="s">
        <v>84</v>
      </c>
      <c r="H259" t="s">
        <v>85</v>
      </c>
      <c r="I259" t="s">
        <v>104</v>
      </c>
      <c r="J259" t="s">
        <v>143</v>
      </c>
      <c r="K259" t="s">
        <v>78</v>
      </c>
      <c r="L259" t="s">
        <v>67</v>
      </c>
      <c r="M259" t="s">
        <v>68</v>
      </c>
      <c r="N259" t="s">
        <v>48</v>
      </c>
      <c r="O259" t="s">
        <v>36</v>
      </c>
      <c r="P259" t="s">
        <v>71</v>
      </c>
      <c r="Q259" t="s">
        <v>144</v>
      </c>
      <c r="R259">
        <v>363</v>
      </c>
      <c r="S259">
        <v>194</v>
      </c>
      <c r="T259">
        <v>123</v>
      </c>
      <c r="U259">
        <v>36</v>
      </c>
      <c r="V259" t="s">
        <v>345</v>
      </c>
      <c r="W259">
        <v>34824</v>
      </c>
      <c r="X259" t="s">
        <v>1897</v>
      </c>
      <c r="Y259">
        <v>31599</v>
      </c>
      <c r="Z259">
        <v>1253664</v>
      </c>
      <c r="AA259">
        <v>116100</v>
      </c>
      <c r="AB259" t="str">
        <f>(VLOOKUP(SalesData[[#This Row],[Month Number]],Reference!C$5:E$16,2,FALSE))</f>
        <v>Feb</v>
      </c>
      <c r="AC259">
        <f>MONTH(SalesData[[#This Row],[Date]])</f>
        <v>2</v>
      </c>
      <c r="AD259">
        <f>Reference!F$4</f>
        <v>2026</v>
      </c>
      <c r="AE259" t="str">
        <f>IF(OR(SalesData[[#This Row],[Day]]="Saturday",SalesData[[#This Row],[Day]]="Sunday"),"Weekend","Weekday")</f>
        <v>Weekday</v>
      </c>
      <c r="AF259" s="5">
        <f>IF(SalesData[[#This Row],[Contracts Offered]]=0,0,SalesData[[#This Row],[Contracts Signed]]/SalesData[[#This Row],[Contracts Offered]])</f>
        <v>0.29268292682926828</v>
      </c>
      <c r="AG259" s="5">
        <f>IF(SalesData[[#This Row],[Customers Visited]]=0,0,SalesData[[#This Row],[Test Drives]]/SalesData[[#This Row],[Customers Visited]])</f>
        <v>0.53443526170798894</v>
      </c>
      <c r="AH259" s="5">
        <f>IF(SalesData[[#This Row],[Customers Visited]]=0,0,SalesData[[#This Row],[Contracts Signed]]/SalesData[[#This Row],[Customers Visited]])</f>
        <v>9.9173553719008267E-2</v>
      </c>
      <c r="AI259" s="6">
        <f>IF(SalesData[[#This Row],[Contracts Signed]]=0,0,SalesData[[#This Row],[Profit(€)]]/SalesData[[#This Row],[Contracts Signed]])</f>
        <v>3225</v>
      </c>
      <c r="AJ259" s="5" t="str">
        <f>TRIM(CLEAN(SalesData[[#This Row],[Retailer]]))</f>
        <v>Hannover Cars</v>
      </c>
    </row>
    <row r="260" spans="1:36" ht="14.25" hidden="1" x14ac:dyDescent="0.2">
      <c r="A260" t="s">
        <v>590</v>
      </c>
      <c r="B260" s="1">
        <v>46063</v>
      </c>
      <c r="C260" t="s">
        <v>121</v>
      </c>
      <c r="D260" t="s">
        <v>63</v>
      </c>
      <c r="E260" t="s">
        <v>26</v>
      </c>
      <c r="F260" t="s">
        <v>83</v>
      </c>
      <c r="G260" t="s">
        <v>84</v>
      </c>
      <c r="H260" t="s">
        <v>85</v>
      </c>
      <c r="I260" t="s">
        <v>116</v>
      </c>
      <c r="J260" t="s">
        <v>203</v>
      </c>
      <c r="K260" t="s">
        <v>32</v>
      </c>
      <c r="L260" t="s">
        <v>67</v>
      </c>
      <c r="M260" t="s">
        <v>87</v>
      </c>
      <c r="N260" t="s">
        <v>35</v>
      </c>
      <c r="O260" t="s">
        <v>70</v>
      </c>
      <c r="P260" t="s">
        <v>58</v>
      </c>
      <c r="Q260" t="s">
        <v>347</v>
      </c>
      <c r="R260">
        <v>295</v>
      </c>
      <c r="S260">
        <v>137</v>
      </c>
      <c r="T260">
        <v>82</v>
      </c>
      <c r="U260">
        <v>26</v>
      </c>
      <c r="V260" t="s">
        <v>3442</v>
      </c>
      <c r="W260">
        <v>23723</v>
      </c>
      <c r="X260" t="s">
        <v>7153</v>
      </c>
      <c r="Y260">
        <v>21473</v>
      </c>
      <c r="Z260">
        <v>616798</v>
      </c>
      <c r="AA260">
        <v>58500</v>
      </c>
      <c r="AB260" t="str">
        <f>(VLOOKUP(SalesData[[#This Row],[Month Number]],Reference!C$5:E$16,2,FALSE))</f>
        <v>Feb</v>
      </c>
      <c r="AC260">
        <f>MONTH(SalesData[[#This Row],[Date]])</f>
        <v>2</v>
      </c>
      <c r="AD260">
        <f>Reference!F$4</f>
        <v>2026</v>
      </c>
      <c r="AE260" t="str">
        <f>IF(OR(SalesData[[#This Row],[Day]]="Saturday",SalesData[[#This Row],[Day]]="Sunday"),"Weekend","Weekday")</f>
        <v>Weekday</v>
      </c>
      <c r="AF260" s="5">
        <f>IF(SalesData[[#This Row],[Contracts Offered]]=0,0,SalesData[[#This Row],[Contracts Signed]]/SalesData[[#This Row],[Contracts Offered]])</f>
        <v>0.31707317073170732</v>
      </c>
      <c r="AG260" s="5">
        <f>IF(SalesData[[#This Row],[Customers Visited]]=0,0,SalesData[[#This Row],[Test Drives]]/SalesData[[#This Row],[Customers Visited]])</f>
        <v>0.46440677966101696</v>
      </c>
      <c r="AH260" s="5">
        <f>IF(SalesData[[#This Row],[Customers Visited]]=0,0,SalesData[[#This Row],[Contracts Signed]]/SalesData[[#This Row],[Customers Visited]])</f>
        <v>8.8135593220338981E-2</v>
      </c>
      <c r="AI260" s="6">
        <f>IF(SalesData[[#This Row],[Contracts Signed]]=0,0,SalesData[[#This Row],[Profit(€)]]/SalesData[[#This Row],[Contracts Signed]])</f>
        <v>2250</v>
      </c>
      <c r="AJ260" s="5" t="str">
        <f>TRIM(CLEAN(SalesData[[#This Row],[Retailer]]))</f>
        <v>Hannover Cars</v>
      </c>
    </row>
    <row r="261" spans="1:36" ht="14.25" hidden="1" x14ac:dyDescent="0.2">
      <c r="A261" t="s">
        <v>591</v>
      </c>
      <c r="B261" s="1">
        <v>46073</v>
      </c>
      <c r="C261" t="s">
        <v>62</v>
      </c>
      <c r="D261" t="s">
        <v>54</v>
      </c>
      <c r="E261" t="s">
        <v>26</v>
      </c>
      <c r="F261" t="s">
        <v>94</v>
      </c>
      <c r="G261" t="s">
        <v>95</v>
      </c>
      <c r="H261" t="s">
        <v>96</v>
      </c>
      <c r="I261" t="s">
        <v>116</v>
      </c>
      <c r="J261" t="s">
        <v>132</v>
      </c>
      <c r="K261" t="s">
        <v>78</v>
      </c>
      <c r="L261" t="s">
        <v>46</v>
      </c>
      <c r="M261" t="s">
        <v>47</v>
      </c>
      <c r="N261" t="s">
        <v>69</v>
      </c>
      <c r="O261" t="s">
        <v>36</v>
      </c>
      <c r="P261" t="s">
        <v>49</v>
      </c>
      <c r="Q261" t="s">
        <v>88</v>
      </c>
      <c r="R261">
        <v>279</v>
      </c>
      <c r="S261">
        <v>148</v>
      </c>
      <c r="T261">
        <v>91</v>
      </c>
      <c r="U261">
        <v>21</v>
      </c>
      <c r="V261" t="s">
        <v>4045</v>
      </c>
      <c r="W261">
        <v>24285</v>
      </c>
      <c r="X261" t="s">
        <v>305</v>
      </c>
      <c r="Y261">
        <v>22295</v>
      </c>
      <c r="Z261">
        <v>509985</v>
      </c>
      <c r="AA261">
        <v>41790</v>
      </c>
      <c r="AB261" t="str">
        <f>(VLOOKUP(SalesData[[#This Row],[Month Number]],Reference!C$5:E$16,2,FALSE))</f>
        <v>Feb</v>
      </c>
      <c r="AC261">
        <f>MONTH(SalesData[[#This Row],[Date]])</f>
        <v>2</v>
      </c>
      <c r="AD261">
        <f>Reference!F$4</f>
        <v>2026</v>
      </c>
      <c r="AE261" t="str">
        <f>IF(OR(SalesData[[#This Row],[Day]]="Saturday",SalesData[[#This Row],[Day]]="Sunday"),"Weekend","Weekday")</f>
        <v>Weekday</v>
      </c>
      <c r="AF261" s="5">
        <f>IF(SalesData[[#This Row],[Contracts Offered]]=0,0,SalesData[[#This Row],[Contracts Signed]]/SalesData[[#This Row],[Contracts Offered]])</f>
        <v>0.23076923076923078</v>
      </c>
      <c r="AG261" s="5">
        <f>IF(SalesData[[#This Row],[Customers Visited]]=0,0,SalesData[[#This Row],[Test Drives]]/SalesData[[#This Row],[Customers Visited]])</f>
        <v>0.53046594982078854</v>
      </c>
      <c r="AH261" s="5">
        <f>IF(SalesData[[#This Row],[Customers Visited]]=0,0,SalesData[[#This Row],[Contracts Signed]]/SalesData[[#This Row],[Customers Visited]])</f>
        <v>7.5268817204301078E-2</v>
      </c>
      <c r="AI261" s="6">
        <f>IF(SalesData[[#This Row],[Contracts Signed]]=0,0,SalesData[[#This Row],[Profit(€)]]/SalesData[[#This Row],[Contracts Signed]])</f>
        <v>1990</v>
      </c>
      <c r="AJ261" s="5" t="str">
        <f>TRIM(CLEAN(SalesData[[#This Row],[Retailer]]))</f>
        <v>Bavaria Motors</v>
      </c>
    </row>
    <row r="262" spans="1:36" ht="14.25" hidden="1" x14ac:dyDescent="0.2">
      <c r="A262" t="s">
        <v>593</v>
      </c>
      <c r="B262" s="1">
        <v>46058</v>
      </c>
      <c r="C262" t="s">
        <v>24</v>
      </c>
      <c r="D262" t="s">
        <v>100</v>
      </c>
      <c r="E262" t="s">
        <v>26</v>
      </c>
      <c r="F262" t="s">
        <v>114</v>
      </c>
      <c r="G262" t="s">
        <v>115</v>
      </c>
      <c r="H262" t="s">
        <v>115</v>
      </c>
      <c r="I262" t="s">
        <v>64</v>
      </c>
      <c r="J262" t="s">
        <v>111</v>
      </c>
      <c r="K262" t="s">
        <v>66</v>
      </c>
      <c r="L262" t="s">
        <v>46</v>
      </c>
      <c r="M262" t="s">
        <v>34</v>
      </c>
      <c r="N262" t="s">
        <v>69</v>
      </c>
      <c r="O262" t="s">
        <v>36</v>
      </c>
      <c r="P262" t="s">
        <v>37</v>
      </c>
      <c r="Q262" t="s">
        <v>204</v>
      </c>
      <c r="R262">
        <v>260</v>
      </c>
      <c r="S262">
        <v>146</v>
      </c>
      <c r="T262">
        <v>104</v>
      </c>
      <c r="U262">
        <v>34</v>
      </c>
      <c r="V262" t="s">
        <v>6675</v>
      </c>
      <c r="W262">
        <v>52775</v>
      </c>
      <c r="X262" t="s">
        <v>7154</v>
      </c>
      <c r="Y262">
        <v>38378</v>
      </c>
      <c r="Z262">
        <v>1794350</v>
      </c>
      <c r="AA262">
        <v>489498</v>
      </c>
      <c r="AB262" t="str">
        <f>(VLOOKUP(SalesData[[#This Row],[Month Number]],Reference!C$5:E$16,2,FALSE))</f>
        <v>Feb</v>
      </c>
      <c r="AC262">
        <f>MONTH(SalesData[[#This Row],[Date]])</f>
        <v>2</v>
      </c>
      <c r="AD262">
        <f>Reference!F$4</f>
        <v>2026</v>
      </c>
      <c r="AE262" t="str">
        <f>IF(OR(SalesData[[#This Row],[Day]]="Saturday",SalesData[[#This Row],[Day]]="Sunday"),"Weekend","Weekday")</f>
        <v>Weekday</v>
      </c>
      <c r="AF262" s="5">
        <f>IF(SalesData[[#This Row],[Contracts Offered]]=0,0,SalesData[[#This Row],[Contracts Signed]]/SalesData[[#This Row],[Contracts Offered]])</f>
        <v>0.32692307692307693</v>
      </c>
      <c r="AG262" s="5">
        <f>IF(SalesData[[#This Row],[Customers Visited]]=0,0,SalesData[[#This Row],[Test Drives]]/SalesData[[#This Row],[Customers Visited]])</f>
        <v>0.56153846153846154</v>
      </c>
      <c r="AH262" s="5">
        <f>IF(SalesData[[#This Row],[Customers Visited]]=0,0,SalesData[[#This Row],[Contracts Signed]]/SalesData[[#This Row],[Customers Visited]])</f>
        <v>0.13076923076923078</v>
      </c>
      <c r="AI262" s="6">
        <f>IF(SalesData[[#This Row],[Contracts Signed]]=0,0,SalesData[[#This Row],[Profit(€)]]/SalesData[[#This Row],[Contracts Signed]])</f>
        <v>14397</v>
      </c>
      <c r="AJ262" s="5" t="str">
        <f>TRIM(CLEAN(SalesData[[#This Row],[Retailer]]))</f>
        <v>Elbe Drive</v>
      </c>
    </row>
    <row r="263" spans="1:36" ht="14.25" hidden="1" x14ac:dyDescent="0.2">
      <c r="A263" t="s">
        <v>594</v>
      </c>
      <c r="B263" s="1">
        <v>46073</v>
      </c>
      <c r="C263" t="s">
        <v>62</v>
      </c>
      <c r="D263" t="s">
        <v>54</v>
      </c>
      <c r="E263" t="s">
        <v>26</v>
      </c>
      <c r="F263" t="s">
        <v>101</v>
      </c>
      <c r="G263" t="s">
        <v>102</v>
      </c>
      <c r="H263" t="s">
        <v>103</v>
      </c>
      <c r="I263" t="s">
        <v>116</v>
      </c>
      <c r="J263" t="s">
        <v>7090</v>
      </c>
      <c r="K263" t="s">
        <v>32</v>
      </c>
      <c r="L263" t="s">
        <v>46</v>
      </c>
      <c r="M263" t="s">
        <v>68</v>
      </c>
      <c r="N263" t="s">
        <v>48</v>
      </c>
      <c r="O263" t="s">
        <v>70</v>
      </c>
      <c r="P263" t="s">
        <v>49</v>
      </c>
      <c r="Q263" t="s">
        <v>59</v>
      </c>
      <c r="R263">
        <v>337</v>
      </c>
      <c r="S263">
        <v>142</v>
      </c>
      <c r="T263">
        <v>98</v>
      </c>
      <c r="U263">
        <v>19</v>
      </c>
      <c r="V263" t="s">
        <v>1776</v>
      </c>
      <c r="W263">
        <v>22565</v>
      </c>
      <c r="X263" t="s">
        <v>2708</v>
      </c>
      <c r="Y263">
        <v>20420</v>
      </c>
      <c r="Z263">
        <v>428735</v>
      </c>
      <c r="AA263">
        <v>40755</v>
      </c>
      <c r="AB263" t="str">
        <f>(VLOOKUP(SalesData[[#This Row],[Month Number]],Reference!C$5:E$16,2,FALSE))</f>
        <v>Feb</v>
      </c>
      <c r="AC263">
        <f>MONTH(SalesData[[#This Row],[Date]])</f>
        <v>2</v>
      </c>
      <c r="AD263">
        <f>Reference!F$4</f>
        <v>2026</v>
      </c>
      <c r="AE263" t="str">
        <f>IF(OR(SalesData[[#This Row],[Day]]="Saturday",SalesData[[#This Row],[Day]]="Sunday"),"Weekend","Weekday")</f>
        <v>Weekday</v>
      </c>
      <c r="AF263" s="5">
        <f>IF(SalesData[[#This Row],[Contracts Offered]]=0,0,SalesData[[#This Row],[Contracts Signed]]/SalesData[[#This Row],[Contracts Offered]])</f>
        <v>0.19387755102040816</v>
      </c>
      <c r="AG263" s="5">
        <f>IF(SalesData[[#This Row],[Customers Visited]]=0,0,SalesData[[#This Row],[Test Drives]]/SalesData[[#This Row],[Customers Visited]])</f>
        <v>0.42136498516320475</v>
      </c>
      <c r="AH263" s="5">
        <f>IF(SalesData[[#This Row],[Customers Visited]]=0,0,SalesData[[#This Row],[Contracts Signed]]/SalesData[[#This Row],[Customers Visited]])</f>
        <v>5.637982195845697E-2</v>
      </c>
      <c r="AI263" s="6">
        <f>IF(SalesData[[#This Row],[Contracts Signed]]=0,0,SalesData[[#This Row],[Profit(€)]]/SalesData[[#This Row],[Contracts Signed]])</f>
        <v>2145</v>
      </c>
      <c r="AJ263" s="5" t="str">
        <f>TRIM(CLEAN(SalesData[[#This Row],[Retailer]]))</f>
        <v>Ruhr Auto Plaza</v>
      </c>
    </row>
    <row r="264" spans="1:36" ht="14.25" hidden="1" x14ac:dyDescent="0.2">
      <c r="A264" t="s">
        <v>596</v>
      </c>
      <c r="B264" s="1">
        <v>46056</v>
      </c>
      <c r="C264" t="s">
        <v>24</v>
      </c>
      <c r="D264" t="s">
        <v>63</v>
      </c>
      <c r="E264" t="s">
        <v>26</v>
      </c>
      <c r="F264" t="s">
        <v>43</v>
      </c>
      <c r="G264" t="s">
        <v>44</v>
      </c>
      <c r="H264" t="s">
        <v>45</v>
      </c>
      <c r="I264" t="s">
        <v>104</v>
      </c>
      <c r="J264" t="s">
        <v>143</v>
      </c>
      <c r="K264" t="s">
        <v>66</v>
      </c>
      <c r="L264" t="s">
        <v>67</v>
      </c>
      <c r="M264" t="s">
        <v>34</v>
      </c>
      <c r="N264" t="s">
        <v>35</v>
      </c>
      <c r="O264" t="s">
        <v>70</v>
      </c>
      <c r="P264" t="s">
        <v>37</v>
      </c>
      <c r="Q264" t="s">
        <v>79</v>
      </c>
      <c r="R264">
        <v>360</v>
      </c>
      <c r="S264">
        <v>189</v>
      </c>
      <c r="T264">
        <v>119</v>
      </c>
      <c r="U264">
        <v>29</v>
      </c>
      <c r="V264" t="s">
        <v>3824</v>
      </c>
      <c r="W264">
        <v>34365</v>
      </c>
      <c r="X264" t="s">
        <v>804</v>
      </c>
      <c r="Y264">
        <v>29939</v>
      </c>
      <c r="Z264">
        <v>996585</v>
      </c>
      <c r="AA264">
        <v>128354</v>
      </c>
      <c r="AB264" t="str">
        <f>(VLOOKUP(SalesData[[#This Row],[Month Number]],Reference!C$5:E$16,2,FALSE))</f>
        <v>Feb</v>
      </c>
      <c r="AC264">
        <f>MONTH(SalesData[[#This Row],[Date]])</f>
        <v>2</v>
      </c>
      <c r="AD264">
        <f>Reference!F$4</f>
        <v>2026</v>
      </c>
      <c r="AE264" t="str">
        <f>IF(OR(SalesData[[#This Row],[Day]]="Saturday",SalesData[[#This Row],[Day]]="Sunday"),"Weekend","Weekday")</f>
        <v>Weekday</v>
      </c>
      <c r="AF264" s="5">
        <f>IF(SalesData[[#This Row],[Contracts Offered]]=0,0,SalesData[[#This Row],[Contracts Signed]]/SalesData[[#This Row],[Contracts Offered]])</f>
        <v>0.24369747899159663</v>
      </c>
      <c r="AG264" s="5">
        <f>IF(SalesData[[#This Row],[Customers Visited]]=0,0,SalesData[[#This Row],[Test Drives]]/SalesData[[#This Row],[Customers Visited]])</f>
        <v>0.52500000000000002</v>
      </c>
      <c r="AH264" s="5">
        <f>IF(SalesData[[#This Row],[Customers Visited]]=0,0,SalesData[[#This Row],[Contracts Signed]]/SalesData[[#This Row],[Customers Visited]])</f>
        <v>8.0555555555555561E-2</v>
      </c>
      <c r="AI264" s="6">
        <f>IF(SalesData[[#This Row],[Contracts Signed]]=0,0,SalesData[[#This Row],[Profit(€)]]/SalesData[[#This Row],[Contracts Signed]])</f>
        <v>4426</v>
      </c>
      <c r="AJ264" s="5" t="str">
        <f>TRIM(CLEAN(SalesData[[#This Row],[Retailer]]))</f>
        <v>Saxon Wheels</v>
      </c>
    </row>
    <row r="265" spans="1:36" ht="14.25" hidden="1" x14ac:dyDescent="0.2">
      <c r="A265" t="s">
        <v>598</v>
      </c>
      <c r="B265" s="1">
        <v>46073</v>
      </c>
      <c r="C265" t="s">
        <v>62</v>
      </c>
      <c r="D265" t="s">
        <v>54</v>
      </c>
      <c r="E265" t="s">
        <v>26</v>
      </c>
      <c r="F265" t="s">
        <v>7649</v>
      </c>
      <c r="G265" t="s">
        <v>55</v>
      </c>
      <c r="H265" t="s">
        <v>55</v>
      </c>
      <c r="I265" t="s">
        <v>64</v>
      </c>
      <c r="J265" t="s">
        <v>7029</v>
      </c>
      <c r="K265" t="s">
        <v>32</v>
      </c>
      <c r="L265" t="s">
        <v>33</v>
      </c>
      <c r="M265" t="s">
        <v>47</v>
      </c>
      <c r="N265" t="s">
        <v>35</v>
      </c>
      <c r="O265" t="s">
        <v>70</v>
      </c>
      <c r="P265" t="s">
        <v>71</v>
      </c>
      <c r="Q265" t="s">
        <v>204</v>
      </c>
      <c r="R265">
        <v>208</v>
      </c>
      <c r="S265">
        <v>98</v>
      </c>
      <c r="T265">
        <v>65</v>
      </c>
      <c r="U265">
        <v>27</v>
      </c>
      <c r="V265" t="s">
        <v>6363</v>
      </c>
      <c r="W265">
        <v>54785</v>
      </c>
      <c r="X265" t="s">
        <v>7132</v>
      </c>
      <c r="Y265">
        <v>41563</v>
      </c>
      <c r="Z265">
        <v>1479195</v>
      </c>
      <c r="AA265">
        <v>356994</v>
      </c>
      <c r="AB265" t="str">
        <f>(VLOOKUP(SalesData[[#This Row],[Month Number]],Reference!C$5:E$16,2,FALSE))</f>
        <v>Feb</v>
      </c>
      <c r="AC265">
        <f>MONTH(SalesData[[#This Row],[Date]])</f>
        <v>2</v>
      </c>
      <c r="AD265">
        <f>Reference!F$4</f>
        <v>2026</v>
      </c>
      <c r="AE265" t="str">
        <f>IF(OR(SalesData[[#This Row],[Day]]="Saturday",SalesData[[#This Row],[Day]]="Sunday"),"Weekend","Weekday")</f>
        <v>Weekday</v>
      </c>
      <c r="AF265" s="5">
        <f>IF(SalesData[[#This Row],[Contracts Offered]]=0,0,SalesData[[#This Row],[Contracts Signed]]/SalesData[[#This Row],[Contracts Offered]])</f>
        <v>0.41538461538461541</v>
      </c>
      <c r="AG265" s="5">
        <f>IF(SalesData[[#This Row],[Customers Visited]]=0,0,SalesData[[#This Row],[Test Drives]]/SalesData[[#This Row],[Customers Visited]])</f>
        <v>0.47115384615384615</v>
      </c>
      <c r="AH265" s="5">
        <f>IF(SalesData[[#This Row],[Customers Visited]]=0,0,SalesData[[#This Row],[Contracts Signed]]/SalesData[[#This Row],[Customers Visited]])</f>
        <v>0.12980769230769232</v>
      </c>
      <c r="AI265" s="6">
        <f>IF(SalesData[[#This Row],[Contracts Signed]]=0,0,SalesData[[#This Row],[Profit(€)]]/SalesData[[#This Row],[Contracts Signed]])</f>
        <v>13222</v>
      </c>
      <c r="AJ265" s="5" t="str">
        <f>TRIM(CLEAN(SalesData[[#This Row],[Retailer]]))</f>
        <v>Autohaus Berlin</v>
      </c>
    </row>
    <row r="266" spans="1:36" ht="14.25" hidden="1" x14ac:dyDescent="0.2">
      <c r="A266" t="s">
        <v>600</v>
      </c>
      <c r="B266" s="1">
        <v>46064</v>
      </c>
      <c r="C266" t="s">
        <v>121</v>
      </c>
      <c r="D266" t="s">
        <v>82</v>
      </c>
      <c r="E266" t="s">
        <v>26</v>
      </c>
      <c r="F266" t="s">
        <v>43</v>
      </c>
      <c r="G266" t="s">
        <v>44</v>
      </c>
      <c r="H266" t="s">
        <v>45</v>
      </c>
      <c r="I266" t="s">
        <v>104</v>
      </c>
      <c r="J266" t="s">
        <v>143</v>
      </c>
      <c r="K266" t="s">
        <v>78</v>
      </c>
      <c r="L266" t="s">
        <v>67</v>
      </c>
      <c r="M266" t="s">
        <v>47</v>
      </c>
      <c r="N266" t="s">
        <v>35</v>
      </c>
      <c r="O266" t="s">
        <v>70</v>
      </c>
      <c r="P266" t="s">
        <v>49</v>
      </c>
      <c r="Q266" t="s">
        <v>106</v>
      </c>
      <c r="R266">
        <v>421</v>
      </c>
      <c r="S266">
        <v>224</v>
      </c>
      <c r="T266">
        <v>160</v>
      </c>
      <c r="U266">
        <v>29</v>
      </c>
      <c r="V266" t="s">
        <v>4532</v>
      </c>
      <c r="W266">
        <v>34035</v>
      </c>
      <c r="X266" t="s">
        <v>1305</v>
      </c>
      <c r="Y266">
        <v>30123</v>
      </c>
      <c r="Z266">
        <v>987015</v>
      </c>
      <c r="AA266">
        <v>113448</v>
      </c>
      <c r="AB266" t="str">
        <f>(VLOOKUP(SalesData[[#This Row],[Month Number]],Reference!C$5:E$16,2,FALSE))</f>
        <v>Feb</v>
      </c>
      <c r="AC266">
        <f>MONTH(SalesData[[#This Row],[Date]])</f>
        <v>2</v>
      </c>
      <c r="AD266">
        <f>Reference!F$4</f>
        <v>2026</v>
      </c>
      <c r="AE266" t="str">
        <f>IF(OR(SalesData[[#This Row],[Day]]="Saturday",SalesData[[#This Row],[Day]]="Sunday"),"Weekend","Weekday")</f>
        <v>Weekday</v>
      </c>
      <c r="AF266" s="5">
        <f>IF(SalesData[[#This Row],[Contracts Offered]]=0,0,SalesData[[#This Row],[Contracts Signed]]/SalesData[[#This Row],[Contracts Offered]])</f>
        <v>0.18124999999999999</v>
      </c>
      <c r="AG266" s="5">
        <f>IF(SalesData[[#This Row],[Customers Visited]]=0,0,SalesData[[#This Row],[Test Drives]]/SalesData[[#This Row],[Customers Visited]])</f>
        <v>0.53206650831353919</v>
      </c>
      <c r="AH266" s="5">
        <f>IF(SalesData[[#This Row],[Customers Visited]]=0,0,SalesData[[#This Row],[Contracts Signed]]/SalesData[[#This Row],[Customers Visited]])</f>
        <v>6.8883610451306407E-2</v>
      </c>
      <c r="AI266" s="6">
        <f>IF(SalesData[[#This Row],[Contracts Signed]]=0,0,SalesData[[#This Row],[Profit(€)]]/SalesData[[#This Row],[Contracts Signed]])</f>
        <v>3912</v>
      </c>
      <c r="AJ266" s="5" t="str">
        <f>TRIM(CLEAN(SalesData[[#This Row],[Retailer]]))</f>
        <v>Saxon Wheels</v>
      </c>
    </row>
    <row r="267" spans="1:36" ht="14.25" hidden="1" x14ac:dyDescent="0.2">
      <c r="A267" t="s">
        <v>602</v>
      </c>
      <c r="B267" s="1">
        <v>46073</v>
      </c>
      <c r="C267" t="s">
        <v>62</v>
      </c>
      <c r="D267" t="s">
        <v>54</v>
      </c>
      <c r="E267" t="s">
        <v>26</v>
      </c>
      <c r="F267" t="s">
        <v>74</v>
      </c>
      <c r="G267" t="s">
        <v>75</v>
      </c>
      <c r="H267" t="s">
        <v>76</v>
      </c>
      <c r="I267" t="s">
        <v>104</v>
      </c>
      <c r="J267" t="s">
        <v>105</v>
      </c>
      <c r="K267" t="s">
        <v>91</v>
      </c>
      <c r="L267" t="s">
        <v>33</v>
      </c>
      <c r="M267" t="s">
        <v>68</v>
      </c>
      <c r="N267" t="s">
        <v>69</v>
      </c>
      <c r="O267" t="s">
        <v>70</v>
      </c>
      <c r="P267" t="s">
        <v>58</v>
      </c>
      <c r="Q267" t="s">
        <v>169</v>
      </c>
      <c r="R267">
        <v>321</v>
      </c>
      <c r="S267">
        <v>150</v>
      </c>
      <c r="T267">
        <v>104</v>
      </c>
      <c r="U267">
        <v>30</v>
      </c>
      <c r="V267" t="s">
        <v>6410</v>
      </c>
      <c r="W267">
        <v>28505</v>
      </c>
      <c r="X267" t="s">
        <v>583</v>
      </c>
      <c r="Y267">
        <v>25480</v>
      </c>
      <c r="Z267">
        <v>855150</v>
      </c>
      <c r="AA267">
        <v>90750</v>
      </c>
      <c r="AB267" t="str">
        <f>(VLOOKUP(SalesData[[#This Row],[Month Number]],Reference!C$5:E$16,2,FALSE))</f>
        <v>Feb</v>
      </c>
      <c r="AC267">
        <f>MONTH(SalesData[[#This Row],[Date]])</f>
        <v>2</v>
      </c>
      <c r="AD267">
        <f>Reference!F$4</f>
        <v>2026</v>
      </c>
      <c r="AE267" t="str">
        <f>IF(OR(SalesData[[#This Row],[Day]]="Saturday",SalesData[[#This Row],[Day]]="Sunday"),"Weekend","Weekday")</f>
        <v>Weekday</v>
      </c>
      <c r="AF267" s="5">
        <f>IF(SalesData[[#This Row],[Contracts Offered]]=0,0,SalesData[[#This Row],[Contracts Signed]]/SalesData[[#This Row],[Contracts Offered]])</f>
        <v>0.28846153846153844</v>
      </c>
      <c r="AG267" s="5">
        <f>IF(SalesData[[#This Row],[Customers Visited]]=0,0,SalesData[[#This Row],[Test Drives]]/SalesData[[#This Row],[Customers Visited]])</f>
        <v>0.46728971962616822</v>
      </c>
      <c r="AH267" s="5">
        <f>IF(SalesData[[#This Row],[Customers Visited]]=0,0,SalesData[[#This Row],[Contracts Signed]]/SalesData[[#This Row],[Customers Visited]])</f>
        <v>9.3457943925233641E-2</v>
      </c>
      <c r="AI267" s="6">
        <f>IF(SalesData[[#This Row],[Contracts Signed]]=0,0,SalesData[[#This Row],[Profit(€)]]/SalesData[[#This Row],[Contracts Signed]])</f>
        <v>3025</v>
      </c>
      <c r="AJ267" s="5" t="str">
        <f>TRIM(CLEAN(SalesData[[#This Row],[Retailer]]))</f>
        <v>Stuttgart Auto Center</v>
      </c>
    </row>
    <row r="268" spans="1:36" ht="14.25" x14ac:dyDescent="0.2">
      <c r="A268" t="s">
        <v>603</v>
      </c>
      <c r="B268" s="1">
        <v>46080</v>
      </c>
      <c r="C268" t="s">
        <v>53</v>
      </c>
      <c r="D268" t="s">
        <v>54</v>
      </c>
      <c r="E268" t="s">
        <v>26</v>
      </c>
      <c r="F268" t="s">
        <v>83</v>
      </c>
      <c r="G268" t="s">
        <v>84</v>
      </c>
      <c r="H268" t="s">
        <v>85</v>
      </c>
      <c r="I268" t="s">
        <v>30</v>
      </c>
      <c r="J268" t="s">
        <v>31</v>
      </c>
      <c r="K268" t="s">
        <v>32</v>
      </c>
      <c r="L268" t="s">
        <v>46</v>
      </c>
      <c r="M268" t="s">
        <v>34</v>
      </c>
      <c r="N268" t="s">
        <v>69</v>
      </c>
      <c r="O268" t="s">
        <v>70</v>
      </c>
      <c r="P268" t="s">
        <v>49</v>
      </c>
      <c r="Q268" t="s">
        <v>122</v>
      </c>
      <c r="R268">
        <v>180</v>
      </c>
      <c r="S268">
        <v>93</v>
      </c>
      <c r="T268">
        <v>65</v>
      </c>
      <c r="U268">
        <v>24</v>
      </c>
      <c r="V268" t="s">
        <v>6546</v>
      </c>
      <c r="W268">
        <v>68383</v>
      </c>
      <c r="X268" t="s">
        <v>7146</v>
      </c>
      <c r="Y268">
        <v>52257</v>
      </c>
      <c r="Z268">
        <v>1641192</v>
      </c>
      <c r="AA268">
        <v>387024</v>
      </c>
      <c r="AB268" t="str">
        <f>(VLOOKUP(SalesData[[#This Row],[Month Number]],Reference!C$5:E$16,2,FALSE))</f>
        <v>Feb</v>
      </c>
      <c r="AC268">
        <f>MONTH(SalesData[[#This Row],[Date]])</f>
        <v>2</v>
      </c>
      <c r="AD268">
        <f>Reference!F$4</f>
        <v>2026</v>
      </c>
      <c r="AE268" t="str">
        <f>IF(OR(SalesData[[#This Row],[Day]]="Saturday",SalesData[[#This Row],[Day]]="Sunday"),"Weekend","Weekday")</f>
        <v>Weekday</v>
      </c>
      <c r="AF268" s="5">
        <f>IF(SalesData[[#This Row],[Contracts Offered]]=0,0,SalesData[[#This Row],[Contracts Signed]]/SalesData[[#This Row],[Contracts Offered]])</f>
        <v>0.36923076923076925</v>
      </c>
      <c r="AG268" s="5">
        <f>IF(SalesData[[#This Row],[Customers Visited]]=0,0,SalesData[[#This Row],[Test Drives]]/SalesData[[#This Row],[Customers Visited]])</f>
        <v>0.51666666666666672</v>
      </c>
      <c r="AH268" s="5">
        <f>IF(SalesData[[#This Row],[Customers Visited]]=0,0,SalesData[[#This Row],[Contracts Signed]]/SalesData[[#This Row],[Customers Visited]])</f>
        <v>0.13333333333333333</v>
      </c>
      <c r="AI268" s="6">
        <f>IF(SalesData[[#This Row],[Contracts Signed]]=0,0,SalesData[[#This Row],[Profit(€)]]/SalesData[[#This Row],[Contracts Signed]])</f>
        <v>16126</v>
      </c>
      <c r="AJ268" s="5" t="str">
        <f>TRIM(CLEAN(SalesData[[#This Row],[Retailer]]))</f>
        <v>Hannover Cars</v>
      </c>
    </row>
    <row r="269" spans="1:36" ht="14.25" hidden="1" x14ac:dyDescent="0.2">
      <c r="A269" t="s">
        <v>605</v>
      </c>
      <c r="B269" s="1">
        <v>46059</v>
      </c>
      <c r="C269" t="s">
        <v>24</v>
      </c>
      <c r="D269" t="s">
        <v>54</v>
      </c>
      <c r="E269" t="s">
        <v>26</v>
      </c>
      <c r="F269" t="s">
        <v>94</v>
      </c>
      <c r="G269" t="s">
        <v>95</v>
      </c>
      <c r="H269" t="s">
        <v>96</v>
      </c>
      <c r="I269" t="s">
        <v>64</v>
      </c>
      <c r="J269" t="s">
        <v>7029</v>
      </c>
      <c r="K269" t="s">
        <v>32</v>
      </c>
      <c r="L269" t="s">
        <v>33</v>
      </c>
      <c r="M269" t="s">
        <v>68</v>
      </c>
      <c r="N269" t="s">
        <v>69</v>
      </c>
      <c r="O269" t="s">
        <v>36</v>
      </c>
      <c r="P269" t="s">
        <v>58</v>
      </c>
      <c r="Q269" t="s">
        <v>152</v>
      </c>
      <c r="R269">
        <v>173</v>
      </c>
      <c r="S269">
        <v>86</v>
      </c>
      <c r="T269">
        <v>63</v>
      </c>
      <c r="U269">
        <v>27</v>
      </c>
      <c r="V269" t="s">
        <v>7155</v>
      </c>
      <c r="W269">
        <v>60547</v>
      </c>
      <c r="X269" t="s">
        <v>7111</v>
      </c>
      <c r="Y269">
        <v>43128</v>
      </c>
      <c r="Z269">
        <v>1634769</v>
      </c>
      <c r="AA269">
        <v>470313</v>
      </c>
      <c r="AB269" t="str">
        <f>(VLOOKUP(SalesData[[#This Row],[Month Number]],Reference!C$5:E$16,2,FALSE))</f>
        <v>Feb</v>
      </c>
      <c r="AC269">
        <f>MONTH(SalesData[[#This Row],[Date]])</f>
        <v>2</v>
      </c>
      <c r="AD269">
        <f>Reference!F$4</f>
        <v>2026</v>
      </c>
      <c r="AE269" t="str">
        <f>IF(OR(SalesData[[#This Row],[Day]]="Saturday",SalesData[[#This Row],[Day]]="Sunday"),"Weekend","Weekday")</f>
        <v>Weekday</v>
      </c>
      <c r="AF269" s="5">
        <f>IF(SalesData[[#This Row],[Contracts Offered]]=0,0,SalesData[[#This Row],[Contracts Signed]]/SalesData[[#This Row],[Contracts Offered]])</f>
        <v>0.42857142857142855</v>
      </c>
      <c r="AG269" s="5">
        <f>IF(SalesData[[#This Row],[Customers Visited]]=0,0,SalesData[[#This Row],[Test Drives]]/SalesData[[#This Row],[Customers Visited]])</f>
        <v>0.49710982658959535</v>
      </c>
      <c r="AH269" s="5">
        <f>IF(SalesData[[#This Row],[Customers Visited]]=0,0,SalesData[[#This Row],[Contracts Signed]]/SalesData[[#This Row],[Customers Visited]])</f>
        <v>0.15606936416184972</v>
      </c>
      <c r="AI269" s="6">
        <f>IF(SalesData[[#This Row],[Contracts Signed]]=0,0,SalesData[[#This Row],[Profit(€)]]/SalesData[[#This Row],[Contracts Signed]])</f>
        <v>17419</v>
      </c>
      <c r="AJ269" s="5" t="str">
        <f>TRIM(CLEAN(SalesData[[#This Row],[Retailer]]))</f>
        <v>Bavaria Motors</v>
      </c>
    </row>
    <row r="270" spans="1:36" ht="14.25" hidden="1" x14ac:dyDescent="0.2">
      <c r="A270" t="s">
        <v>607</v>
      </c>
      <c r="B270" s="1">
        <v>46066</v>
      </c>
      <c r="C270" t="s">
        <v>121</v>
      </c>
      <c r="D270" t="s">
        <v>54</v>
      </c>
      <c r="E270" t="s">
        <v>26</v>
      </c>
      <c r="F270" t="s">
        <v>7649</v>
      </c>
      <c r="G270" t="s">
        <v>55</v>
      </c>
      <c r="H270" t="s">
        <v>55</v>
      </c>
      <c r="I270" t="s">
        <v>104</v>
      </c>
      <c r="J270" t="s">
        <v>7031</v>
      </c>
      <c r="K270" t="s">
        <v>66</v>
      </c>
      <c r="L270" t="s">
        <v>46</v>
      </c>
      <c r="M270" t="s">
        <v>68</v>
      </c>
      <c r="N270" t="s">
        <v>69</v>
      </c>
      <c r="O270" t="s">
        <v>70</v>
      </c>
      <c r="P270" t="s">
        <v>58</v>
      </c>
      <c r="Q270" t="s">
        <v>59</v>
      </c>
      <c r="R270">
        <v>509</v>
      </c>
      <c r="S270">
        <v>247</v>
      </c>
      <c r="T270">
        <v>158</v>
      </c>
      <c r="U270">
        <v>44</v>
      </c>
      <c r="V270" t="s">
        <v>283</v>
      </c>
      <c r="W270">
        <v>27338</v>
      </c>
      <c r="X270" t="s">
        <v>7156</v>
      </c>
      <c r="Y270">
        <v>24853</v>
      </c>
      <c r="Z270">
        <v>1202872</v>
      </c>
      <c r="AA270">
        <v>109340</v>
      </c>
      <c r="AB270" t="str">
        <f>(VLOOKUP(SalesData[[#This Row],[Month Number]],Reference!C$5:E$16,2,FALSE))</f>
        <v>Feb</v>
      </c>
      <c r="AC270">
        <f>MONTH(SalesData[[#This Row],[Date]])</f>
        <v>2</v>
      </c>
      <c r="AD270">
        <f>Reference!F$4</f>
        <v>2026</v>
      </c>
      <c r="AE270" t="str">
        <f>IF(OR(SalesData[[#This Row],[Day]]="Saturday",SalesData[[#This Row],[Day]]="Sunday"),"Weekend","Weekday")</f>
        <v>Weekday</v>
      </c>
      <c r="AF270" s="5">
        <f>IF(SalesData[[#This Row],[Contracts Offered]]=0,0,SalesData[[#This Row],[Contracts Signed]]/SalesData[[#This Row],[Contracts Offered]])</f>
        <v>0.27848101265822783</v>
      </c>
      <c r="AG270" s="5">
        <f>IF(SalesData[[#This Row],[Customers Visited]]=0,0,SalesData[[#This Row],[Test Drives]]/SalesData[[#This Row],[Customers Visited]])</f>
        <v>0.48526522593320237</v>
      </c>
      <c r="AH270" s="5">
        <f>IF(SalesData[[#This Row],[Customers Visited]]=0,0,SalesData[[#This Row],[Contracts Signed]]/SalesData[[#This Row],[Customers Visited]])</f>
        <v>8.6444007858546168E-2</v>
      </c>
      <c r="AI270" s="6">
        <f>IF(SalesData[[#This Row],[Contracts Signed]]=0,0,SalesData[[#This Row],[Profit(€)]]/SalesData[[#This Row],[Contracts Signed]])</f>
        <v>2485</v>
      </c>
      <c r="AJ270" s="5" t="str">
        <f>TRIM(CLEAN(SalesData[[#This Row],[Retailer]]))</f>
        <v>Autohaus Berlin</v>
      </c>
    </row>
    <row r="271" spans="1:36" ht="14.25" hidden="1" x14ac:dyDescent="0.2">
      <c r="A271" t="s">
        <v>608</v>
      </c>
      <c r="B271" s="1">
        <v>46064</v>
      </c>
      <c r="C271" t="s">
        <v>121</v>
      </c>
      <c r="D271" t="s">
        <v>82</v>
      </c>
      <c r="E271" t="s">
        <v>26</v>
      </c>
      <c r="F271" t="s">
        <v>101</v>
      </c>
      <c r="G271" t="s">
        <v>102</v>
      </c>
      <c r="H271" t="s">
        <v>103</v>
      </c>
      <c r="I271" t="s">
        <v>64</v>
      </c>
      <c r="J271" t="s">
        <v>77</v>
      </c>
      <c r="K271" t="s">
        <v>66</v>
      </c>
      <c r="L271" t="s">
        <v>46</v>
      </c>
      <c r="M271" t="s">
        <v>47</v>
      </c>
      <c r="N271" t="s">
        <v>69</v>
      </c>
      <c r="O271" t="s">
        <v>36</v>
      </c>
      <c r="P271" t="s">
        <v>71</v>
      </c>
      <c r="Q271" t="s">
        <v>135</v>
      </c>
      <c r="R271">
        <v>244</v>
      </c>
      <c r="S271">
        <v>137</v>
      </c>
      <c r="T271">
        <v>100</v>
      </c>
      <c r="U271">
        <v>31</v>
      </c>
      <c r="V271" t="s">
        <v>6401</v>
      </c>
      <c r="W271">
        <v>68382</v>
      </c>
      <c r="X271" t="s">
        <v>7157</v>
      </c>
      <c r="Y271">
        <v>52399</v>
      </c>
      <c r="Z271">
        <v>2119842</v>
      </c>
      <c r="AA271">
        <v>495473</v>
      </c>
      <c r="AB271" t="str">
        <f>(VLOOKUP(SalesData[[#This Row],[Month Number]],Reference!C$5:E$16,2,FALSE))</f>
        <v>Feb</v>
      </c>
      <c r="AC271">
        <f>MONTH(SalesData[[#This Row],[Date]])</f>
        <v>2</v>
      </c>
      <c r="AD271">
        <f>Reference!F$4</f>
        <v>2026</v>
      </c>
      <c r="AE271" t="str">
        <f>IF(OR(SalesData[[#This Row],[Day]]="Saturday",SalesData[[#This Row],[Day]]="Sunday"),"Weekend","Weekday")</f>
        <v>Weekday</v>
      </c>
      <c r="AF271" s="5">
        <f>IF(SalesData[[#This Row],[Contracts Offered]]=0,0,SalesData[[#This Row],[Contracts Signed]]/SalesData[[#This Row],[Contracts Offered]])</f>
        <v>0.31</v>
      </c>
      <c r="AG271" s="5">
        <f>IF(SalesData[[#This Row],[Customers Visited]]=0,0,SalesData[[#This Row],[Test Drives]]/SalesData[[#This Row],[Customers Visited]])</f>
        <v>0.56147540983606559</v>
      </c>
      <c r="AH271" s="5">
        <f>IF(SalesData[[#This Row],[Customers Visited]]=0,0,SalesData[[#This Row],[Contracts Signed]]/SalesData[[#This Row],[Customers Visited]])</f>
        <v>0.12704918032786885</v>
      </c>
      <c r="AI271" s="6">
        <f>IF(SalesData[[#This Row],[Contracts Signed]]=0,0,SalesData[[#This Row],[Profit(€)]]/SalesData[[#This Row],[Contracts Signed]])</f>
        <v>15983</v>
      </c>
      <c r="AJ271" s="5" t="str">
        <f>TRIM(CLEAN(SalesData[[#This Row],[Retailer]]))</f>
        <v>Ruhr Auto Plaza</v>
      </c>
    </row>
    <row r="272" spans="1:36" ht="14.25" hidden="1" x14ac:dyDescent="0.2">
      <c r="A272" t="s">
        <v>610</v>
      </c>
      <c r="B272" s="1">
        <v>46069</v>
      </c>
      <c r="C272" t="s">
        <v>62</v>
      </c>
      <c r="D272" t="s">
        <v>25</v>
      </c>
      <c r="E272" t="s">
        <v>26</v>
      </c>
      <c r="F272" t="s">
        <v>74</v>
      </c>
      <c r="G272" t="s">
        <v>75</v>
      </c>
      <c r="H272" t="s">
        <v>76</v>
      </c>
      <c r="I272" t="s">
        <v>104</v>
      </c>
      <c r="J272" t="s">
        <v>7031</v>
      </c>
      <c r="K272" t="s">
        <v>91</v>
      </c>
      <c r="L272" t="s">
        <v>46</v>
      </c>
      <c r="M272" t="s">
        <v>47</v>
      </c>
      <c r="N272" t="s">
        <v>69</v>
      </c>
      <c r="O272" t="s">
        <v>36</v>
      </c>
      <c r="P272" t="s">
        <v>58</v>
      </c>
      <c r="Q272" t="s">
        <v>189</v>
      </c>
      <c r="R272">
        <v>447</v>
      </c>
      <c r="S272">
        <v>187</v>
      </c>
      <c r="T272">
        <v>121</v>
      </c>
      <c r="U272">
        <v>37</v>
      </c>
      <c r="V272" t="s">
        <v>517</v>
      </c>
      <c r="W272">
        <v>25109</v>
      </c>
      <c r="X272" t="s">
        <v>7158</v>
      </c>
      <c r="Y272">
        <v>22575</v>
      </c>
      <c r="Z272">
        <v>929033</v>
      </c>
      <c r="AA272">
        <v>93758</v>
      </c>
      <c r="AB272" t="str">
        <f>(VLOOKUP(SalesData[[#This Row],[Month Number]],Reference!C$5:E$16,2,FALSE))</f>
        <v>Feb</v>
      </c>
      <c r="AC272">
        <f>MONTH(SalesData[[#This Row],[Date]])</f>
        <v>2</v>
      </c>
      <c r="AD272">
        <f>Reference!F$4</f>
        <v>2026</v>
      </c>
      <c r="AE272" t="str">
        <f>IF(OR(SalesData[[#This Row],[Day]]="Saturday",SalesData[[#This Row],[Day]]="Sunday"),"Weekend","Weekday")</f>
        <v>Weekday</v>
      </c>
      <c r="AF272" s="5">
        <f>IF(SalesData[[#This Row],[Contracts Offered]]=0,0,SalesData[[#This Row],[Contracts Signed]]/SalesData[[#This Row],[Contracts Offered]])</f>
        <v>0.30578512396694213</v>
      </c>
      <c r="AG272" s="5">
        <f>IF(SalesData[[#This Row],[Customers Visited]]=0,0,SalesData[[#This Row],[Test Drives]]/SalesData[[#This Row],[Customers Visited]])</f>
        <v>0.41834451901565994</v>
      </c>
      <c r="AH272" s="5">
        <f>IF(SalesData[[#This Row],[Customers Visited]]=0,0,SalesData[[#This Row],[Contracts Signed]]/SalesData[[#This Row],[Customers Visited]])</f>
        <v>8.2774049217002238E-2</v>
      </c>
      <c r="AI272" s="6">
        <f>IF(SalesData[[#This Row],[Contracts Signed]]=0,0,SalesData[[#This Row],[Profit(€)]]/SalesData[[#This Row],[Contracts Signed]])</f>
        <v>2534</v>
      </c>
      <c r="AJ272" s="5" t="str">
        <f>TRIM(CLEAN(SalesData[[#This Row],[Retailer]]))</f>
        <v>Stuttgart Auto Center</v>
      </c>
    </row>
    <row r="273" spans="1:36" ht="14.25" hidden="1" x14ac:dyDescent="0.2">
      <c r="A273" t="s">
        <v>612</v>
      </c>
      <c r="B273" s="1">
        <v>46081</v>
      </c>
      <c r="C273" t="s">
        <v>53</v>
      </c>
      <c r="D273" t="s">
        <v>151</v>
      </c>
      <c r="E273" t="s">
        <v>42</v>
      </c>
      <c r="F273" t="s">
        <v>114</v>
      </c>
      <c r="G273" t="s">
        <v>115</v>
      </c>
      <c r="H273" t="s">
        <v>115</v>
      </c>
      <c r="I273" t="s">
        <v>56</v>
      </c>
      <c r="J273" t="s">
        <v>97</v>
      </c>
      <c r="K273" t="s">
        <v>78</v>
      </c>
      <c r="L273" t="s">
        <v>33</v>
      </c>
      <c r="M273" t="s">
        <v>87</v>
      </c>
      <c r="N273" t="s">
        <v>48</v>
      </c>
      <c r="O273" t="s">
        <v>36</v>
      </c>
      <c r="P273" t="s">
        <v>58</v>
      </c>
      <c r="Q273" t="s">
        <v>169</v>
      </c>
      <c r="R273">
        <v>319</v>
      </c>
      <c r="S273">
        <v>203</v>
      </c>
      <c r="T273">
        <v>137</v>
      </c>
      <c r="U273">
        <v>59</v>
      </c>
      <c r="V273" t="s">
        <v>6580</v>
      </c>
      <c r="W273">
        <v>49694</v>
      </c>
      <c r="X273" t="s">
        <v>3042</v>
      </c>
      <c r="Y273">
        <v>38278</v>
      </c>
      <c r="Z273">
        <v>2931946</v>
      </c>
      <c r="AA273">
        <v>673544</v>
      </c>
      <c r="AB273" t="str">
        <f>(VLOOKUP(SalesData[[#This Row],[Month Number]],Reference!C$5:E$16,2,FALSE))</f>
        <v>Feb</v>
      </c>
      <c r="AC273">
        <f>MONTH(SalesData[[#This Row],[Date]])</f>
        <v>2</v>
      </c>
      <c r="AD273">
        <f>Reference!F$4</f>
        <v>2026</v>
      </c>
      <c r="AE273" t="str">
        <f>IF(OR(SalesData[[#This Row],[Day]]="Saturday",SalesData[[#This Row],[Day]]="Sunday"),"Weekend","Weekday")</f>
        <v>Weekend</v>
      </c>
      <c r="AF273" s="5">
        <f>IF(SalesData[[#This Row],[Contracts Offered]]=0,0,SalesData[[#This Row],[Contracts Signed]]/SalesData[[#This Row],[Contracts Offered]])</f>
        <v>0.43065693430656932</v>
      </c>
      <c r="AG273" s="5">
        <f>IF(SalesData[[#This Row],[Customers Visited]]=0,0,SalesData[[#This Row],[Test Drives]]/SalesData[[#This Row],[Customers Visited]])</f>
        <v>0.63636363636363635</v>
      </c>
      <c r="AH273" s="5">
        <f>IF(SalesData[[#This Row],[Customers Visited]]=0,0,SalesData[[#This Row],[Contracts Signed]]/SalesData[[#This Row],[Customers Visited]])</f>
        <v>0.18495297805642633</v>
      </c>
      <c r="AI273" s="6">
        <f>IF(SalesData[[#This Row],[Contracts Signed]]=0,0,SalesData[[#This Row],[Profit(€)]]/SalesData[[#This Row],[Contracts Signed]])</f>
        <v>11416</v>
      </c>
      <c r="AJ273" s="5" t="str">
        <f>TRIM(CLEAN(SalesData[[#This Row],[Retailer]]))</f>
        <v>Elbe Drive</v>
      </c>
    </row>
    <row r="274" spans="1:36" ht="14.25" hidden="1" x14ac:dyDescent="0.2">
      <c r="A274" t="s">
        <v>614</v>
      </c>
      <c r="B274" s="1">
        <v>46056</v>
      </c>
      <c r="C274" t="s">
        <v>24</v>
      </c>
      <c r="D274" t="s">
        <v>63</v>
      </c>
      <c r="E274" t="s">
        <v>26</v>
      </c>
      <c r="F274" t="s">
        <v>83</v>
      </c>
      <c r="G274" t="s">
        <v>84</v>
      </c>
      <c r="H274" t="s">
        <v>85</v>
      </c>
      <c r="I274" t="s">
        <v>64</v>
      </c>
      <c r="J274" t="s">
        <v>157</v>
      </c>
      <c r="K274" t="s">
        <v>32</v>
      </c>
      <c r="L274" t="s">
        <v>33</v>
      </c>
      <c r="M274" t="s">
        <v>34</v>
      </c>
      <c r="N274" t="s">
        <v>35</v>
      </c>
      <c r="O274" t="s">
        <v>36</v>
      </c>
      <c r="P274" t="s">
        <v>71</v>
      </c>
      <c r="Q274" t="s">
        <v>106</v>
      </c>
      <c r="R274">
        <v>276</v>
      </c>
      <c r="S274">
        <v>146</v>
      </c>
      <c r="T274">
        <v>98</v>
      </c>
      <c r="U274">
        <v>41</v>
      </c>
      <c r="V274" t="s">
        <v>6545</v>
      </c>
      <c r="W274">
        <v>67622</v>
      </c>
      <c r="X274" t="s">
        <v>572</v>
      </c>
      <c r="Y274">
        <v>51831</v>
      </c>
      <c r="Z274">
        <v>2772502</v>
      </c>
      <c r="AA274">
        <v>647431</v>
      </c>
      <c r="AB274" t="str">
        <f>(VLOOKUP(SalesData[[#This Row],[Month Number]],Reference!C$5:E$16,2,FALSE))</f>
        <v>Feb</v>
      </c>
      <c r="AC274">
        <f>MONTH(SalesData[[#This Row],[Date]])</f>
        <v>2</v>
      </c>
      <c r="AD274">
        <f>Reference!F$4</f>
        <v>2026</v>
      </c>
      <c r="AE274" t="str">
        <f>IF(OR(SalesData[[#This Row],[Day]]="Saturday",SalesData[[#This Row],[Day]]="Sunday"),"Weekend","Weekday")</f>
        <v>Weekday</v>
      </c>
      <c r="AF274" s="5">
        <f>IF(SalesData[[#This Row],[Contracts Offered]]=0,0,SalesData[[#This Row],[Contracts Signed]]/SalesData[[#This Row],[Contracts Offered]])</f>
        <v>0.41836734693877553</v>
      </c>
      <c r="AG274" s="5">
        <f>IF(SalesData[[#This Row],[Customers Visited]]=0,0,SalesData[[#This Row],[Test Drives]]/SalesData[[#This Row],[Customers Visited]])</f>
        <v>0.52898550724637683</v>
      </c>
      <c r="AH274" s="5">
        <f>IF(SalesData[[#This Row],[Customers Visited]]=0,0,SalesData[[#This Row],[Contracts Signed]]/SalesData[[#This Row],[Customers Visited]])</f>
        <v>0.14855072463768115</v>
      </c>
      <c r="AI274" s="6">
        <f>IF(SalesData[[#This Row],[Contracts Signed]]=0,0,SalesData[[#This Row],[Profit(€)]]/SalesData[[#This Row],[Contracts Signed]])</f>
        <v>15791</v>
      </c>
      <c r="AJ274" s="5" t="str">
        <f>TRIM(CLEAN(SalesData[[#This Row],[Retailer]]))</f>
        <v>Hannover Cars</v>
      </c>
    </row>
    <row r="275" spans="1:36" ht="14.25" x14ac:dyDescent="0.2">
      <c r="A275" t="s">
        <v>615</v>
      </c>
      <c r="B275" s="1">
        <v>46057</v>
      </c>
      <c r="C275" t="s">
        <v>24</v>
      </c>
      <c r="D275" t="s">
        <v>82</v>
      </c>
      <c r="E275" t="s">
        <v>26</v>
      </c>
      <c r="F275" t="s">
        <v>7649</v>
      </c>
      <c r="G275" t="s">
        <v>55</v>
      </c>
      <c r="H275" t="s">
        <v>55</v>
      </c>
      <c r="I275" t="s">
        <v>30</v>
      </c>
      <c r="J275" t="s">
        <v>7075</v>
      </c>
      <c r="K275" t="s">
        <v>78</v>
      </c>
      <c r="L275" t="s">
        <v>33</v>
      </c>
      <c r="M275" t="s">
        <v>87</v>
      </c>
      <c r="N275" t="s">
        <v>35</v>
      </c>
      <c r="O275" t="s">
        <v>36</v>
      </c>
      <c r="P275" t="s">
        <v>37</v>
      </c>
      <c r="Q275" t="s">
        <v>88</v>
      </c>
      <c r="R275">
        <v>210</v>
      </c>
      <c r="S275">
        <v>105</v>
      </c>
      <c r="T275">
        <v>71</v>
      </c>
      <c r="U275">
        <v>29</v>
      </c>
      <c r="V275" t="s">
        <v>6528</v>
      </c>
      <c r="W275">
        <v>54943</v>
      </c>
      <c r="X275" t="s">
        <v>5566</v>
      </c>
      <c r="Y275">
        <v>42189</v>
      </c>
      <c r="Z275">
        <v>1593347</v>
      </c>
      <c r="AA275">
        <v>369866</v>
      </c>
      <c r="AB275" t="str">
        <f>(VLOOKUP(SalesData[[#This Row],[Month Number]],Reference!C$5:E$16,2,FALSE))</f>
        <v>Feb</v>
      </c>
      <c r="AC275">
        <f>MONTH(SalesData[[#This Row],[Date]])</f>
        <v>2</v>
      </c>
      <c r="AD275">
        <f>Reference!F$4</f>
        <v>2026</v>
      </c>
      <c r="AE275" t="str">
        <f>IF(OR(SalesData[[#This Row],[Day]]="Saturday",SalesData[[#This Row],[Day]]="Sunday"),"Weekend","Weekday")</f>
        <v>Weekday</v>
      </c>
      <c r="AF275" s="5">
        <f>IF(SalesData[[#This Row],[Contracts Offered]]=0,0,SalesData[[#This Row],[Contracts Signed]]/SalesData[[#This Row],[Contracts Offered]])</f>
        <v>0.40845070422535212</v>
      </c>
      <c r="AG275" s="5">
        <f>IF(SalesData[[#This Row],[Customers Visited]]=0,0,SalesData[[#This Row],[Test Drives]]/SalesData[[#This Row],[Customers Visited]])</f>
        <v>0.5</v>
      </c>
      <c r="AH275" s="5">
        <f>IF(SalesData[[#This Row],[Customers Visited]]=0,0,SalesData[[#This Row],[Contracts Signed]]/SalesData[[#This Row],[Customers Visited]])</f>
        <v>0.1380952380952381</v>
      </c>
      <c r="AI275" s="6">
        <f>IF(SalesData[[#This Row],[Contracts Signed]]=0,0,SalesData[[#This Row],[Profit(€)]]/SalesData[[#This Row],[Contracts Signed]])</f>
        <v>12754</v>
      </c>
      <c r="AJ275" s="5" t="str">
        <f>TRIM(CLEAN(SalesData[[#This Row],[Retailer]]))</f>
        <v>Autohaus Berlin</v>
      </c>
    </row>
    <row r="276" spans="1:36" ht="14.25" hidden="1" x14ac:dyDescent="0.2">
      <c r="A276" t="s">
        <v>617</v>
      </c>
      <c r="B276" s="1">
        <v>46066</v>
      </c>
      <c r="C276" t="s">
        <v>121</v>
      </c>
      <c r="D276" t="s">
        <v>54</v>
      </c>
      <c r="E276" t="s">
        <v>26</v>
      </c>
      <c r="F276" t="s">
        <v>94</v>
      </c>
      <c r="G276" t="s">
        <v>95</v>
      </c>
      <c r="H276" t="s">
        <v>96</v>
      </c>
      <c r="I276" t="s">
        <v>56</v>
      </c>
      <c r="J276" t="s">
        <v>179</v>
      </c>
      <c r="K276" t="s">
        <v>32</v>
      </c>
      <c r="L276" t="s">
        <v>67</v>
      </c>
      <c r="M276" t="s">
        <v>87</v>
      </c>
      <c r="N276" t="s">
        <v>48</v>
      </c>
      <c r="O276" t="s">
        <v>36</v>
      </c>
      <c r="P276" t="s">
        <v>71</v>
      </c>
      <c r="Q276" t="s">
        <v>79</v>
      </c>
      <c r="R276">
        <v>251</v>
      </c>
      <c r="S276">
        <v>153</v>
      </c>
      <c r="T276">
        <v>105</v>
      </c>
      <c r="U276">
        <v>40</v>
      </c>
      <c r="V276" t="s">
        <v>6775</v>
      </c>
      <c r="W276">
        <v>39545</v>
      </c>
      <c r="X276" t="s">
        <v>133</v>
      </c>
      <c r="Y276">
        <v>31639</v>
      </c>
      <c r="Z276">
        <v>1581800</v>
      </c>
      <c r="AA276">
        <v>316240</v>
      </c>
      <c r="AB276" t="str">
        <f>(VLOOKUP(SalesData[[#This Row],[Month Number]],Reference!C$5:E$16,2,FALSE))</f>
        <v>Feb</v>
      </c>
      <c r="AC276">
        <f>MONTH(SalesData[[#This Row],[Date]])</f>
        <v>2</v>
      </c>
      <c r="AD276">
        <f>Reference!F$4</f>
        <v>2026</v>
      </c>
      <c r="AE276" t="str">
        <f>IF(OR(SalesData[[#This Row],[Day]]="Saturday",SalesData[[#This Row],[Day]]="Sunday"),"Weekend","Weekday")</f>
        <v>Weekday</v>
      </c>
      <c r="AF276" s="5">
        <f>IF(SalesData[[#This Row],[Contracts Offered]]=0,0,SalesData[[#This Row],[Contracts Signed]]/SalesData[[#This Row],[Contracts Offered]])</f>
        <v>0.38095238095238093</v>
      </c>
      <c r="AG276" s="5">
        <f>IF(SalesData[[#This Row],[Customers Visited]]=0,0,SalesData[[#This Row],[Test Drives]]/SalesData[[#This Row],[Customers Visited]])</f>
        <v>0.60956175298804782</v>
      </c>
      <c r="AH276" s="5">
        <f>IF(SalesData[[#This Row],[Customers Visited]]=0,0,SalesData[[#This Row],[Contracts Signed]]/SalesData[[#This Row],[Customers Visited]])</f>
        <v>0.15936254980079681</v>
      </c>
      <c r="AI276" s="6">
        <f>IF(SalesData[[#This Row],[Contracts Signed]]=0,0,SalesData[[#This Row],[Profit(€)]]/SalesData[[#This Row],[Contracts Signed]])</f>
        <v>7906</v>
      </c>
      <c r="AJ276" s="5" t="str">
        <f>TRIM(CLEAN(SalesData[[#This Row],[Retailer]]))</f>
        <v>Bavaria Motors</v>
      </c>
    </row>
    <row r="277" spans="1:36" ht="14.25" hidden="1" x14ac:dyDescent="0.2">
      <c r="A277" t="s">
        <v>619</v>
      </c>
      <c r="B277" s="1">
        <v>46077</v>
      </c>
      <c r="C277" t="s">
        <v>53</v>
      </c>
      <c r="D277" t="s">
        <v>63</v>
      </c>
      <c r="E277" t="s">
        <v>26</v>
      </c>
      <c r="F277" t="s">
        <v>109</v>
      </c>
      <c r="G277" t="s">
        <v>110</v>
      </c>
      <c r="H277" t="s">
        <v>45</v>
      </c>
      <c r="I277" t="s">
        <v>104</v>
      </c>
      <c r="J277" t="s">
        <v>7061</v>
      </c>
      <c r="K277" t="s">
        <v>66</v>
      </c>
      <c r="L277" t="s">
        <v>46</v>
      </c>
      <c r="M277" t="s">
        <v>34</v>
      </c>
      <c r="N277" t="s">
        <v>35</v>
      </c>
      <c r="O277" t="s">
        <v>36</v>
      </c>
      <c r="P277" t="s">
        <v>37</v>
      </c>
      <c r="Q277" t="s">
        <v>172</v>
      </c>
      <c r="R277">
        <v>449</v>
      </c>
      <c r="S277">
        <v>230</v>
      </c>
      <c r="T277">
        <v>136</v>
      </c>
      <c r="U277">
        <v>29</v>
      </c>
      <c r="V277" t="s">
        <v>5056</v>
      </c>
      <c r="W277">
        <v>30688</v>
      </c>
      <c r="X277" t="s">
        <v>498</v>
      </c>
      <c r="Y277">
        <v>26948</v>
      </c>
      <c r="Z277">
        <v>889952</v>
      </c>
      <c r="AA277">
        <v>108460</v>
      </c>
      <c r="AB277" t="str">
        <f>(VLOOKUP(SalesData[[#This Row],[Month Number]],Reference!C$5:E$16,2,FALSE))</f>
        <v>Feb</v>
      </c>
      <c r="AC277">
        <f>MONTH(SalesData[[#This Row],[Date]])</f>
        <v>2</v>
      </c>
      <c r="AD277">
        <f>Reference!F$4</f>
        <v>2026</v>
      </c>
      <c r="AE277" t="str">
        <f>IF(OR(SalesData[[#This Row],[Day]]="Saturday",SalesData[[#This Row],[Day]]="Sunday"),"Weekend","Weekday")</f>
        <v>Weekday</v>
      </c>
      <c r="AF277" s="5">
        <f>IF(SalesData[[#This Row],[Contracts Offered]]=0,0,SalesData[[#This Row],[Contracts Signed]]/SalesData[[#This Row],[Contracts Offered]])</f>
        <v>0.21323529411764705</v>
      </c>
      <c r="AG277" s="5">
        <f>IF(SalesData[[#This Row],[Customers Visited]]=0,0,SalesData[[#This Row],[Test Drives]]/SalesData[[#This Row],[Customers Visited]])</f>
        <v>0.51224944320712695</v>
      </c>
      <c r="AH277" s="5">
        <f>IF(SalesData[[#This Row],[Customers Visited]]=0,0,SalesData[[#This Row],[Contracts Signed]]/SalesData[[#This Row],[Customers Visited]])</f>
        <v>6.4587973273942098E-2</v>
      </c>
      <c r="AI277" s="6">
        <f>IF(SalesData[[#This Row],[Contracts Signed]]=0,0,SalesData[[#This Row],[Profit(€)]]/SalesData[[#This Row],[Contracts Signed]])</f>
        <v>3740</v>
      </c>
      <c r="AJ277" s="5" t="str">
        <f>TRIM(CLEAN(SalesData[[#This Row],[Retailer]]))</f>
        <v>Leipzig Mobility</v>
      </c>
    </row>
    <row r="278" spans="1:36" ht="14.25" x14ac:dyDescent="0.2">
      <c r="A278" t="s">
        <v>620</v>
      </c>
      <c r="B278" s="1">
        <v>46056</v>
      </c>
      <c r="C278" t="s">
        <v>24</v>
      </c>
      <c r="D278" t="s">
        <v>63</v>
      </c>
      <c r="E278" t="s">
        <v>26</v>
      </c>
      <c r="F278" t="s">
        <v>94</v>
      </c>
      <c r="G278" t="s">
        <v>95</v>
      </c>
      <c r="H278" t="s">
        <v>96</v>
      </c>
      <c r="I278" t="s">
        <v>30</v>
      </c>
      <c r="J278" t="s">
        <v>86</v>
      </c>
      <c r="K278" t="s">
        <v>78</v>
      </c>
      <c r="L278" t="s">
        <v>33</v>
      </c>
      <c r="M278" t="s">
        <v>34</v>
      </c>
      <c r="N278" t="s">
        <v>69</v>
      </c>
      <c r="O278" t="s">
        <v>36</v>
      </c>
      <c r="P278" t="s">
        <v>37</v>
      </c>
      <c r="Q278" t="s">
        <v>189</v>
      </c>
      <c r="R278">
        <v>153</v>
      </c>
      <c r="S278">
        <v>85</v>
      </c>
      <c r="T278">
        <v>58</v>
      </c>
      <c r="U278">
        <v>26</v>
      </c>
      <c r="V278" t="s">
        <v>7159</v>
      </c>
      <c r="W278">
        <v>57977</v>
      </c>
      <c r="X278" t="s">
        <v>2040</v>
      </c>
      <c r="Y278">
        <v>41636</v>
      </c>
      <c r="Z278">
        <v>1507402</v>
      </c>
      <c r="AA278">
        <v>424866</v>
      </c>
      <c r="AB278" t="str">
        <f>(VLOOKUP(SalesData[[#This Row],[Month Number]],Reference!C$5:E$16,2,FALSE))</f>
        <v>Feb</v>
      </c>
      <c r="AC278">
        <f>MONTH(SalesData[[#This Row],[Date]])</f>
        <v>2</v>
      </c>
      <c r="AD278">
        <f>Reference!F$4</f>
        <v>2026</v>
      </c>
      <c r="AE278" t="str">
        <f>IF(OR(SalesData[[#This Row],[Day]]="Saturday",SalesData[[#This Row],[Day]]="Sunday"),"Weekend","Weekday")</f>
        <v>Weekday</v>
      </c>
      <c r="AF278" s="5">
        <f>IF(SalesData[[#This Row],[Contracts Offered]]=0,0,SalesData[[#This Row],[Contracts Signed]]/SalesData[[#This Row],[Contracts Offered]])</f>
        <v>0.44827586206896552</v>
      </c>
      <c r="AG278" s="5">
        <f>IF(SalesData[[#This Row],[Customers Visited]]=0,0,SalesData[[#This Row],[Test Drives]]/SalesData[[#This Row],[Customers Visited]])</f>
        <v>0.55555555555555558</v>
      </c>
      <c r="AH278" s="5">
        <f>IF(SalesData[[#This Row],[Customers Visited]]=0,0,SalesData[[#This Row],[Contracts Signed]]/SalesData[[#This Row],[Customers Visited]])</f>
        <v>0.16993464052287582</v>
      </c>
      <c r="AI278" s="6">
        <f>IF(SalesData[[#This Row],[Contracts Signed]]=0,0,SalesData[[#This Row],[Profit(€)]]/SalesData[[#This Row],[Contracts Signed]])</f>
        <v>16341</v>
      </c>
      <c r="AJ278" s="5" t="str">
        <f>TRIM(CLEAN(SalesData[[#This Row],[Retailer]]))</f>
        <v>Bavaria Motors</v>
      </c>
    </row>
    <row r="279" spans="1:36" ht="14.25" x14ac:dyDescent="0.2">
      <c r="A279" t="s">
        <v>622</v>
      </c>
      <c r="B279" s="1">
        <v>46058</v>
      </c>
      <c r="C279" t="s">
        <v>24</v>
      </c>
      <c r="D279" t="s">
        <v>100</v>
      </c>
      <c r="E279" t="s">
        <v>26</v>
      </c>
      <c r="F279" t="s">
        <v>114</v>
      </c>
      <c r="G279" t="s">
        <v>115</v>
      </c>
      <c r="H279" t="s">
        <v>115</v>
      </c>
      <c r="I279" t="s">
        <v>30</v>
      </c>
      <c r="J279" t="s">
        <v>86</v>
      </c>
      <c r="K279" t="s">
        <v>32</v>
      </c>
      <c r="L279" t="s">
        <v>33</v>
      </c>
      <c r="M279" t="s">
        <v>87</v>
      </c>
      <c r="N279" t="s">
        <v>35</v>
      </c>
      <c r="O279" t="s">
        <v>36</v>
      </c>
      <c r="P279" t="s">
        <v>49</v>
      </c>
      <c r="Q279" t="s">
        <v>118</v>
      </c>
      <c r="R279">
        <v>144</v>
      </c>
      <c r="S279">
        <v>83</v>
      </c>
      <c r="T279">
        <v>64</v>
      </c>
      <c r="U279">
        <v>24</v>
      </c>
      <c r="V279" t="s">
        <v>7006</v>
      </c>
      <c r="W279">
        <v>67705</v>
      </c>
      <c r="X279" t="s">
        <v>7160</v>
      </c>
      <c r="Y279">
        <v>48706</v>
      </c>
      <c r="Z279">
        <v>1624920</v>
      </c>
      <c r="AA279">
        <v>455976</v>
      </c>
      <c r="AB279" t="str">
        <f>(VLOOKUP(SalesData[[#This Row],[Month Number]],Reference!C$5:E$16,2,FALSE))</f>
        <v>Feb</v>
      </c>
      <c r="AC279">
        <f>MONTH(SalesData[[#This Row],[Date]])</f>
        <v>2</v>
      </c>
      <c r="AD279">
        <f>Reference!F$4</f>
        <v>2026</v>
      </c>
      <c r="AE279" t="str">
        <f>IF(OR(SalesData[[#This Row],[Day]]="Saturday",SalesData[[#This Row],[Day]]="Sunday"),"Weekend","Weekday")</f>
        <v>Weekday</v>
      </c>
      <c r="AF279" s="5">
        <f>IF(SalesData[[#This Row],[Contracts Offered]]=0,0,SalesData[[#This Row],[Contracts Signed]]/SalesData[[#This Row],[Contracts Offered]])</f>
        <v>0.375</v>
      </c>
      <c r="AG279" s="5">
        <f>IF(SalesData[[#This Row],[Customers Visited]]=0,0,SalesData[[#This Row],[Test Drives]]/SalesData[[#This Row],[Customers Visited]])</f>
        <v>0.57638888888888884</v>
      </c>
      <c r="AH279" s="5">
        <f>IF(SalesData[[#This Row],[Customers Visited]]=0,0,SalesData[[#This Row],[Contracts Signed]]/SalesData[[#This Row],[Customers Visited]])</f>
        <v>0.16666666666666666</v>
      </c>
      <c r="AI279" s="6">
        <f>IF(SalesData[[#This Row],[Contracts Signed]]=0,0,SalesData[[#This Row],[Profit(€)]]/SalesData[[#This Row],[Contracts Signed]])</f>
        <v>18999</v>
      </c>
      <c r="AJ279" s="5" t="str">
        <f>TRIM(CLEAN(SalesData[[#This Row],[Retailer]]))</f>
        <v>Elbe Drive</v>
      </c>
    </row>
    <row r="280" spans="1:36" ht="14.25" hidden="1" x14ac:dyDescent="0.2">
      <c r="A280" t="s">
        <v>624</v>
      </c>
      <c r="B280" s="1">
        <v>46055</v>
      </c>
      <c r="C280" t="s">
        <v>24</v>
      </c>
      <c r="D280" t="s">
        <v>25</v>
      </c>
      <c r="E280" t="s">
        <v>26</v>
      </c>
      <c r="F280" t="s">
        <v>109</v>
      </c>
      <c r="G280" t="s">
        <v>110</v>
      </c>
      <c r="H280" t="s">
        <v>45</v>
      </c>
      <c r="I280" t="s">
        <v>104</v>
      </c>
      <c r="J280" t="s">
        <v>7031</v>
      </c>
      <c r="K280" t="s">
        <v>78</v>
      </c>
      <c r="L280" t="s">
        <v>46</v>
      </c>
      <c r="M280" t="s">
        <v>34</v>
      </c>
      <c r="N280" t="s">
        <v>35</v>
      </c>
      <c r="O280" t="s">
        <v>36</v>
      </c>
      <c r="P280" t="s">
        <v>49</v>
      </c>
      <c r="Q280" t="s">
        <v>135</v>
      </c>
      <c r="R280">
        <v>331</v>
      </c>
      <c r="S280">
        <v>170</v>
      </c>
      <c r="T280">
        <v>120</v>
      </c>
      <c r="U280">
        <v>26</v>
      </c>
      <c r="V280" t="s">
        <v>1628</v>
      </c>
      <c r="W280">
        <v>33695</v>
      </c>
      <c r="X280" t="s">
        <v>787</v>
      </c>
      <c r="Y280">
        <v>30252</v>
      </c>
      <c r="Z280">
        <v>876070</v>
      </c>
      <c r="AA280">
        <v>89518</v>
      </c>
      <c r="AB280" t="str">
        <f>(VLOOKUP(SalesData[[#This Row],[Month Number]],Reference!C$5:E$16,2,FALSE))</f>
        <v>Feb</v>
      </c>
      <c r="AC280">
        <f>MONTH(SalesData[[#This Row],[Date]])</f>
        <v>2</v>
      </c>
      <c r="AD280">
        <f>Reference!F$4</f>
        <v>2026</v>
      </c>
      <c r="AE280" t="str">
        <f>IF(OR(SalesData[[#This Row],[Day]]="Saturday",SalesData[[#This Row],[Day]]="Sunday"),"Weekend","Weekday")</f>
        <v>Weekday</v>
      </c>
      <c r="AF280" s="5">
        <f>IF(SalesData[[#This Row],[Contracts Offered]]=0,0,SalesData[[#This Row],[Contracts Signed]]/SalesData[[#This Row],[Contracts Offered]])</f>
        <v>0.21666666666666667</v>
      </c>
      <c r="AG280" s="5">
        <f>IF(SalesData[[#This Row],[Customers Visited]]=0,0,SalesData[[#This Row],[Test Drives]]/SalesData[[#This Row],[Customers Visited]])</f>
        <v>0.51359516616314205</v>
      </c>
      <c r="AH280" s="5">
        <f>IF(SalesData[[#This Row],[Customers Visited]]=0,0,SalesData[[#This Row],[Contracts Signed]]/SalesData[[#This Row],[Customers Visited]])</f>
        <v>7.8549848942598186E-2</v>
      </c>
      <c r="AI280" s="6">
        <f>IF(SalesData[[#This Row],[Contracts Signed]]=0,0,SalesData[[#This Row],[Profit(€)]]/SalesData[[#This Row],[Contracts Signed]])</f>
        <v>3443</v>
      </c>
      <c r="AJ280" s="5" t="str">
        <f>TRIM(CLEAN(SalesData[[#This Row],[Retailer]]))</f>
        <v>Leipzig Mobility</v>
      </c>
    </row>
    <row r="281" spans="1:36" ht="14.25" hidden="1" x14ac:dyDescent="0.2">
      <c r="A281" t="s">
        <v>625</v>
      </c>
      <c r="B281" s="1">
        <v>46074</v>
      </c>
      <c r="C281" t="s">
        <v>62</v>
      </c>
      <c r="D281" t="s">
        <v>151</v>
      </c>
      <c r="E281" t="s">
        <v>42</v>
      </c>
      <c r="F281" t="s">
        <v>43</v>
      </c>
      <c r="G281" t="s">
        <v>44</v>
      </c>
      <c r="H281" t="s">
        <v>45</v>
      </c>
      <c r="I281" t="s">
        <v>56</v>
      </c>
      <c r="J281" t="s">
        <v>57</v>
      </c>
      <c r="K281" t="s">
        <v>66</v>
      </c>
      <c r="L281" t="s">
        <v>46</v>
      </c>
      <c r="M281" t="s">
        <v>87</v>
      </c>
      <c r="N281" t="s">
        <v>48</v>
      </c>
      <c r="O281" t="s">
        <v>70</v>
      </c>
      <c r="P281" t="s">
        <v>58</v>
      </c>
      <c r="Q281" t="s">
        <v>79</v>
      </c>
      <c r="R281">
        <v>283</v>
      </c>
      <c r="S281">
        <v>155</v>
      </c>
      <c r="T281">
        <v>103</v>
      </c>
      <c r="U281">
        <v>38</v>
      </c>
      <c r="V281" t="s">
        <v>6714</v>
      </c>
      <c r="W281">
        <v>49521</v>
      </c>
      <c r="X281" t="s">
        <v>4550</v>
      </c>
      <c r="Y281">
        <v>39555</v>
      </c>
      <c r="Z281">
        <v>1881798</v>
      </c>
      <c r="AA281">
        <v>378708</v>
      </c>
      <c r="AB281" t="str">
        <f>(VLOOKUP(SalesData[[#This Row],[Month Number]],Reference!C$5:E$16,2,FALSE))</f>
        <v>Feb</v>
      </c>
      <c r="AC281">
        <f>MONTH(SalesData[[#This Row],[Date]])</f>
        <v>2</v>
      </c>
      <c r="AD281">
        <f>Reference!F$4</f>
        <v>2026</v>
      </c>
      <c r="AE281" t="str">
        <f>IF(OR(SalesData[[#This Row],[Day]]="Saturday",SalesData[[#This Row],[Day]]="Sunday"),"Weekend","Weekday")</f>
        <v>Weekend</v>
      </c>
      <c r="AF281" s="5">
        <f>IF(SalesData[[#This Row],[Contracts Offered]]=0,0,SalesData[[#This Row],[Contracts Signed]]/SalesData[[#This Row],[Contracts Offered]])</f>
        <v>0.36893203883495146</v>
      </c>
      <c r="AG281" s="5">
        <f>IF(SalesData[[#This Row],[Customers Visited]]=0,0,SalesData[[#This Row],[Test Drives]]/SalesData[[#This Row],[Customers Visited]])</f>
        <v>0.54770318021201414</v>
      </c>
      <c r="AH281" s="5">
        <f>IF(SalesData[[#This Row],[Customers Visited]]=0,0,SalesData[[#This Row],[Contracts Signed]]/SalesData[[#This Row],[Customers Visited]])</f>
        <v>0.13427561837455831</v>
      </c>
      <c r="AI281" s="6">
        <f>IF(SalesData[[#This Row],[Contracts Signed]]=0,0,SalesData[[#This Row],[Profit(€)]]/SalesData[[#This Row],[Contracts Signed]])</f>
        <v>9966</v>
      </c>
      <c r="AJ281" s="5" t="str">
        <f>TRIM(CLEAN(SalesData[[#This Row],[Retailer]]))</f>
        <v>Saxon Wheels</v>
      </c>
    </row>
    <row r="282" spans="1:36" ht="14.25" hidden="1" x14ac:dyDescent="0.2">
      <c r="A282" t="s">
        <v>627</v>
      </c>
      <c r="B282" s="1">
        <v>46069</v>
      </c>
      <c r="C282" t="s">
        <v>62</v>
      </c>
      <c r="D282" t="s">
        <v>25</v>
      </c>
      <c r="E282" t="s">
        <v>26</v>
      </c>
      <c r="F282" t="s">
        <v>74</v>
      </c>
      <c r="G282" t="s">
        <v>75</v>
      </c>
      <c r="H282" t="s">
        <v>76</v>
      </c>
      <c r="I282" t="s">
        <v>116</v>
      </c>
      <c r="J282" t="s">
        <v>132</v>
      </c>
      <c r="K282" t="s">
        <v>66</v>
      </c>
      <c r="L282" t="s">
        <v>46</v>
      </c>
      <c r="M282" t="s">
        <v>68</v>
      </c>
      <c r="N282" t="s">
        <v>35</v>
      </c>
      <c r="O282" t="s">
        <v>70</v>
      </c>
      <c r="P282" t="s">
        <v>58</v>
      </c>
      <c r="Q282" t="s">
        <v>118</v>
      </c>
      <c r="R282">
        <v>249</v>
      </c>
      <c r="S282">
        <v>131</v>
      </c>
      <c r="T282">
        <v>75</v>
      </c>
      <c r="U282">
        <v>23</v>
      </c>
      <c r="V282" t="s">
        <v>2764</v>
      </c>
      <c r="W282">
        <v>23892</v>
      </c>
      <c r="X282" t="s">
        <v>112</v>
      </c>
      <c r="Y282">
        <v>21946</v>
      </c>
      <c r="Z282">
        <v>549516</v>
      </c>
      <c r="AA282">
        <v>44758</v>
      </c>
      <c r="AB282" t="str">
        <f>(VLOOKUP(SalesData[[#This Row],[Month Number]],Reference!C$5:E$16,2,FALSE))</f>
        <v>Feb</v>
      </c>
      <c r="AC282">
        <f>MONTH(SalesData[[#This Row],[Date]])</f>
        <v>2</v>
      </c>
      <c r="AD282">
        <f>Reference!F$4</f>
        <v>2026</v>
      </c>
      <c r="AE282" t="str">
        <f>IF(OR(SalesData[[#This Row],[Day]]="Saturday",SalesData[[#This Row],[Day]]="Sunday"),"Weekend","Weekday")</f>
        <v>Weekday</v>
      </c>
      <c r="AF282" s="5">
        <f>IF(SalesData[[#This Row],[Contracts Offered]]=0,0,SalesData[[#This Row],[Contracts Signed]]/SalesData[[#This Row],[Contracts Offered]])</f>
        <v>0.30666666666666664</v>
      </c>
      <c r="AG282" s="5">
        <f>IF(SalesData[[#This Row],[Customers Visited]]=0,0,SalesData[[#This Row],[Test Drives]]/SalesData[[#This Row],[Customers Visited]])</f>
        <v>0.52610441767068272</v>
      </c>
      <c r="AH282" s="5">
        <f>IF(SalesData[[#This Row],[Customers Visited]]=0,0,SalesData[[#This Row],[Contracts Signed]]/SalesData[[#This Row],[Customers Visited]])</f>
        <v>9.2369477911646583E-2</v>
      </c>
      <c r="AI282" s="6">
        <f>IF(SalesData[[#This Row],[Contracts Signed]]=0,0,SalesData[[#This Row],[Profit(€)]]/SalesData[[#This Row],[Contracts Signed]])</f>
        <v>1946</v>
      </c>
      <c r="AJ282" s="5" t="str">
        <f>TRIM(CLEAN(SalesData[[#This Row],[Retailer]]))</f>
        <v>Stuttgart Auto Center</v>
      </c>
    </row>
    <row r="283" spans="1:36" ht="14.25" x14ac:dyDescent="0.2">
      <c r="A283" t="s">
        <v>629</v>
      </c>
      <c r="B283" s="1">
        <v>46080</v>
      </c>
      <c r="C283" t="s">
        <v>53</v>
      </c>
      <c r="D283" t="s">
        <v>54</v>
      </c>
      <c r="E283" t="s">
        <v>26</v>
      </c>
      <c r="F283" t="s">
        <v>7649</v>
      </c>
      <c r="G283" t="s">
        <v>55</v>
      </c>
      <c r="H283" t="s">
        <v>55</v>
      </c>
      <c r="I283" t="s">
        <v>30</v>
      </c>
      <c r="J283" t="s">
        <v>166</v>
      </c>
      <c r="K283" t="s">
        <v>32</v>
      </c>
      <c r="L283" t="s">
        <v>46</v>
      </c>
      <c r="M283" t="s">
        <v>34</v>
      </c>
      <c r="N283" t="s">
        <v>48</v>
      </c>
      <c r="O283" t="s">
        <v>70</v>
      </c>
      <c r="P283" t="s">
        <v>58</v>
      </c>
      <c r="Q283" t="s">
        <v>189</v>
      </c>
      <c r="R283">
        <v>187</v>
      </c>
      <c r="S283">
        <v>115</v>
      </c>
      <c r="T283">
        <v>93</v>
      </c>
      <c r="U283">
        <v>34</v>
      </c>
      <c r="V283" t="s">
        <v>6656</v>
      </c>
      <c r="W283">
        <v>54992</v>
      </c>
      <c r="X283" t="s">
        <v>7161</v>
      </c>
      <c r="Y283">
        <v>41259</v>
      </c>
      <c r="Z283">
        <v>1869728</v>
      </c>
      <c r="AA283">
        <v>466922</v>
      </c>
      <c r="AB283" t="str">
        <f>(VLOOKUP(SalesData[[#This Row],[Month Number]],Reference!C$5:E$16,2,FALSE))</f>
        <v>Feb</v>
      </c>
      <c r="AC283">
        <f>MONTH(SalesData[[#This Row],[Date]])</f>
        <v>2</v>
      </c>
      <c r="AD283">
        <f>Reference!F$4</f>
        <v>2026</v>
      </c>
      <c r="AE283" t="str">
        <f>IF(OR(SalesData[[#This Row],[Day]]="Saturday",SalesData[[#This Row],[Day]]="Sunday"),"Weekend","Weekday")</f>
        <v>Weekday</v>
      </c>
      <c r="AF283" s="5">
        <f>IF(SalesData[[#This Row],[Contracts Offered]]=0,0,SalesData[[#This Row],[Contracts Signed]]/SalesData[[#This Row],[Contracts Offered]])</f>
        <v>0.36559139784946237</v>
      </c>
      <c r="AG283" s="5">
        <f>IF(SalesData[[#This Row],[Customers Visited]]=0,0,SalesData[[#This Row],[Test Drives]]/SalesData[[#This Row],[Customers Visited]])</f>
        <v>0.61497326203208558</v>
      </c>
      <c r="AH283" s="5">
        <f>IF(SalesData[[#This Row],[Customers Visited]]=0,0,SalesData[[#This Row],[Contracts Signed]]/SalesData[[#This Row],[Customers Visited]])</f>
        <v>0.18181818181818182</v>
      </c>
      <c r="AI283" s="6">
        <f>IF(SalesData[[#This Row],[Contracts Signed]]=0,0,SalesData[[#This Row],[Profit(€)]]/SalesData[[#This Row],[Contracts Signed]])</f>
        <v>13733</v>
      </c>
      <c r="AJ283" s="5" t="str">
        <f>TRIM(CLEAN(SalesData[[#This Row],[Retailer]]))</f>
        <v>Autohaus Berlin</v>
      </c>
    </row>
    <row r="284" spans="1:36" ht="14.25" x14ac:dyDescent="0.2">
      <c r="A284" t="s">
        <v>631</v>
      </c>
      <c r="B284" s="1">
        <v>46074</v>
      </c>
      <c r="C284" t="s">
        <v>62</v>
      </c>
      <c r="D284" t="s">
        <v>151</v>
      </c>
      <c r="E284" t="s">
        <v>42</v>
      </c>
      <c r="F284" t="s">
        <v>101</v>
      </c>
      <c r="G284" t="s">
        <v>102</v>
      </c>
      <c r="H284" t="s">
        <v>103</v>
      </c>
      <c r="I284" t="s">
        <v>30</v>
      </c>
      <c r="J284" t="s">
        <v>31</v>
      </c>
      <c r="K284" t="s">
        <v>78</v>
      </c>
      <c r="L284" t="s">
        <v>46</v>
      </c>
      <c r="M284" t="s">
        <v>47</v>
      </c>
      <c r="N284" t="s">
        <v>35</v>
      </c>
      <c r="O284" t="s">
        <v>70</v>
      </c>
      <c r="P284" t="s">
        <v>49</v>
      </c>
      <c r="Q284" t="s">
        <v>38</v>
      </c>
      <c r="R284">
        <v>228</v>
      </c>
      <c r="S284">
        <v>131</v>
      </c>
      <c r="T284">
        <v>104</v>
      </c>
      <c r="U284">
        <v>31</v>
      </c>
      <c r="V284" t="s">
        <v>6474</v>
      </c>
      <c r="W284">
        <v>60203</v>
      </c>
      <c r="X284" t="s">
        <v>5566</v>
      </c>
      <c r="Y284">
        <v>46944</v>
      </c>
      <c r="Z284">
        <v>1866293</v>
      </c>
      <c r="AA284">
        <v>411029</v>
      </c>
      <c r="AB284" t="str">
        <f>(VLOOKUP(SalesData[[#This Row],[Month Number]],Reference!C$5:E$16,2,FALSE))</f>
        <v>Feb</v>
      </c>
      <c r="AC284">
        <f>MONTH(SalesData[[#This Row],[Date]])</f>
        <v>2</v>
      </c>
      <c r="AD284">
        <f>Reference!F$4</f>
        <v>2026</v>
      </c>
      <c r="AE284" t="str">
        <f>IF(OR(SalesData[[#This Row],[Day]]="Saturday",SalesData[[#This Row],[Day]]="Sunday"),"Weekend","Weekday")</f>
        <v>Weekend</v>
      </c>
      <c r="AF284" s="5">
        <f>IF(SalesData[[#This Row],[Contracts Offered]]=0,0,SalesData[[#This Row],[Contracts Signed]]/SalesData[[#This Row],[Contracts Offered]])</f>
        <v>0.29807692307692307</v>
      </c>
      <c r="AG284" s="5">
        <f>IF(SalesData[[#This Row],[Customers Visited]]=0,0,SalesData[[#This Row],[Test Drives]]/SalesData[[#This Row],[Customers Visited]])</f>
        <v>0.57456140350877194</v>
      </c>
      <c r="AH284" s="5">
        <f>IF(SalesData[[#This Row],[Customers Visited]]=0,0,SalesData[[#This Row],[Contracts Signed]]/SalesData[[#This Row],[Customers Visited]])</f>
        <v>0.13596491228070176</v>
      </c>
      <c r="AI284" s="6">
        <f>IF(SalesData[[#This Row],[Contracts Signed]]=0,0,SalesData[[#This Row],[Profit(€)]]/SalesData[[#This Row],[Contracts Signed]])</f>
        <v>13259</v>
      </c>
      <c r="AJ284" s="5" t="str">
        <f>TRIM(CLEAN(SalesData[[#This Row],[Retailer]]))</f>
        <v>Ruhr Auto Plaza</v>
      </c>
    </row>
    <row r="285" spans="1:36" ht="14.25" hidden="1" x14ac:dyDescent="0.2">
      <c r="A285" t="s">
        <v>633</v>
      </c>
      <c r="B285" s="1">
        <v>46065</v>
      </c>
      <c r="C285" t="s">
        <v>121</v>
      </c>
      <c r="D285" t="s">
        <v>100</v>
      </c>
      <c r="E285" t="s">
        <v>26</v>
      </c>
      <c r="F285" t="s">
        <v>83</v>
      </c>
      <c r="G285" t="s">
        <v>84</v>
      </c>
      <c r="H285" t="s">
        <v>85</v>
      </c>
      <c r="I285" t="s">
        <v>64</v>
      </c>
      <c r="J285" t="s">
        <v>7029</v>
      </c>
      <c r="K285" t="s">
        <v>91</v>
      </c>
      <c r="L285" t="s">
        <v>33</v>
      </c>
      <c r="M285" t="s">
        <v>47</v>
      </c>
      <c r="N285" t="s">
        <v>48</v>
      </c>
      <c r="O285" t="s">
        <v>70</v>
      </c>
      <c r="P285" t="s">
        <v>37</v>
      </c>
      <c r="Q285" t="s">
        <v>135</v>
      </c>
      <c r="R285">
        <v>197</v>
      </c>
      <c r="S285">
        <v>95</v>
      </c>
      <c r="T285">
        <v>63</v>
      </c>
      <c r="U285">
        <v>20</v>
      </c>
      <c r="V285" t="s">
        <v>6421</v>
      </c>
      <c r="W285">
        <v>57363</v>
      </c>
      <c r="X285" t="s">
        <v>909</v>
      </c>
      <c r="Y285">
        <v>40930</v>
      </c>
      <c r="Z285">
        <v>1147260</v>
      </c>
      <c r="AA285">
        <v>328660</v>
      </c>
      <c r="AB285" t="str">
        <f>(VLOOKUP(SalesData[[#This Row],[Month Number]],Reference!C$5:E$16,2,FALSE))</f>
        <v>Feb</v>
      </c>
      <c r="AC285">
        <f>MONTH(SalesData[[#This Row],[Date]])</f>
        <v>2</v>
      </c>
      <c r="AD285">
        <f>Reference!F$4</f>
        <v>2026</v>
      </c>
      <c r="AE285" t="str">
        <f>IF(OR(SalesData[[#This Row],[Day]]="Saturday",SalesData[[#This Row],[Day]]="Sunday"),"Weekend","Weekday")</f>
        <v>Weekday</v>
      </c>
      <c r="AF285" s="5">
        <f>IF(SalesData[[#This Row],[Contracts Offered]]=0,0,SalesData[[#This Row],[Contracts Signed]]/SalesData[[#This Row],[Contracts Offered]])</f>
        <v>0.31746031746031744</v>
      </c>
      <c r="AG285" s="5">
        <f>IF(SalesData[[#This Row],[Customers Visited]]=0,0,SalesData[[#This Row],[Test Drives]]/SalesData[[#This Row],[Customers Visited]])</f>
        <v>0.48223350253807107</v>
      </c>
      <c r="AH285" s="5">
        <f>IF(SalesData[[#This Row],[Customers Visited]]=0,0,SalesData[[#This Row],[Contracts Signed]]/SalesData[[#This Row],[Customers Visited]])</f>
        <v>0.10152284263959391</v>
      </c>
      <c r="AI285" s="6">
        <f>IF(SalesData[[#This Row],[Contracts Signed]]=0,0,SalesData[[#This Row],[Profit(€)]]/SalesData[[#This Row],[Contracts Signed]])</f>
        <v>16433</v>
      </c>
      <c r="AJ285" s="5" t="str">
        <f>TRIM(CLEAN(SalesData[[#This Row],[Retailer]]))</f>
        <v>Hannover Cars</v>
      </c>
    </row>
    <row r="286" spans="1:36" ht="14.25" hidden="1" x14ac:dyDescent="0.2">
      <c r="A286" t="s">
        <v>635</v>
      </c>
      <c r="B286" s="1">
        <v>46057</v>
      </c>
      <c r="C286" t="s">
        <v>24</v>
      </c>
      <c r="D286" t="s">
        <v>82</v>
      </c>
      <c r="E286" t="s">
        <v>26</v>
      </c>
      <c r="F286" t="s">
        <v>101</v>
      </c>
      <c r="G286" t="s">
        <v>102</v>
      </c>
      <c r="H286" t="s">
        <v>103</v>
      </c>
      <c r="I286" t="s">
        <v>56</v>
      </c>
      <c r="J286" t="s">
        <v>179</v>
      </c>
      <c r="K286" t="s">
        <v>91</v>
      </c>
      <c r="L286" t="s">
        <v>67</v>
      </c>
      <c r="M286" t="s">
        <v>87</v>
      </c>
      <c r="N286" t="s">
        <v>35</v>
      </c>
      <c r="O286" t="s">
        <v>36</v>
      </c>
      <c r="P286" t="s">
        <v>49</v>
      </c>
      <c r="Q286" t="s">
        <v>189</v>
      </c>
      <c r="R286">
        <v>213</v>
      </c>
      <c r="S286">
        <v>98</v>
      </c>
      <c r="T286">
        <v>73</v>
      </c>
      <c r="U286">
        <v>22</v>
      </c>
      <c r="V286" t="s">
        <v>6600</v>
      </c>
      <c r="W286">
        <v>52031</v>
      </c>
      <c r="X286" t="s">
        <v>540</v>
      </c>
      <c r="Y286">
        <v>41108</v>
      </c>
      <c r="Z286">
        <v>1144682</v>
      </c>
      <c r="AA286">
        <v>240306</v>
      </c>
      <c r="AB286" t="str">
        <f>(VLOOKUP(SalesData[[#This Row],[Month Number]],Reference!C$5:E$16,2,FALSE))</f>
        <v>Feb</v>
      </c>
      <c r="AC286">
        <f>MONTH(SalesData[[#This Row],[Date]])</f>
        <v>2</v>
      </c>
      <c r="AD286">
        <f>Reference!F$4</f>
        <v>2026</v>
      </c>
      <c r="AE286" t="str">
        <f>IF(OR(SalesData[[#This Row],[Day]]="Saturday",SalesData[[#This Row],[Day]]="Sunday"),"Weekend","Weekday")</f>
        <v>Weekday</v>
      </c>
      <c r="AF286" s="5">
        <f>IF(SalesData[[#This Row],[Contracts Offered]]=0,0,SalesData[[#This Row],[Contracts Signed]]/SalesData[[#This Row],[Contracts Offered]])</f>
        <v>0.30136986301369861</v>
      </c>
      <c r="AG286" s="5">
        <f>IF(SalesData[[#This Row],[Customers Visited]]=0,0,SalesData[[#This Row],[Test Drives]]/SalesData[[#This Row],[Customers Visited]])</f>
        <v>0.460093896713615</v>
      </c>
      <c r="AH286" s="5">
        <f>IF(SalesData[[#This Row],[Customers Visited]]=0,0,SalesData[[#This Row],[Contracts Signed]]/SalesData[[#This Row],[Customers Visited]])</f>
        <v>0.10328638497652583</v>
      </c>
      <c r="AI286" s="6">
        <f>IF(SalesData[[#This Row],[Contracts Signed]]=0,0,SalesData[[#This Row],[Profit(€)]]/SalesData[[#This Row],[Contracts Signed]])</f>
        <v>10923</v>
      </c>
      <c r="AJ286" s="5" t="str">
        <f>TRIM(CLEAN(SalesData[[#This Row],[Retailer]]))</f>
        <v>Ruhr Auto Plaza</v>
      </c>
    </row>
    <row r="287" spans="1:36" ht="14.25" hidden="1" x14ac:dyDescent="0.2">
      <c r="A287" t="s">
        <v>637</v>
      </c>
      <c r="B287" s="1">
        <v>46071</v>
      </c>
      <c r="C287" t="s">
        <v>62</v>
      </c>
      <c r="D287" t="s">
        <v>82</v>
      </c>
      <c r="E287" t="s">
        <v>26</v>
      </c>
      <c r="F287" t="s">
        <v>74</v>
      </c>
      <c r="G287" t="s">
        <v>75</v>
      </c>
      <c r="H287" t="s">
        <v>76</v>
      </c>
      <c r="I287" t="s">
        <v>116</v>
      </c>
      <c r="J287" t="s">
        <v>203</v>
      </c>
      <c r="K287" t="s">
        <v>66</v>
      </c>
      <c r="L287" t="s">
        <v>67</v>
      </c>
      <c r="M287" t="s">
        <v>68</v>
      </c>
      <c r="N287" t="s">
        <v>35</v>
      </c>
      <c r="O287" t="s">
        <v>36</v>
      </c>
      <c r="P287" t="s">
        <v>71</v>
      </c>
      <c r="Q287" t="s">
        <v>158</v>
      </c>
      <c r="R287">
        <v>234</v>
      </c>
      <c r="S287">
        <v>118</v>
      </c>
      <c r="T287">
        <v>67</v>
      </c>
      <c r="U287">
        <v>20</v>
      </c>
      <c r="V287" t="s">
        <v>388</v>
      </c>
      <c r="W287">
        <v>23274</v>
      </c>
      <c r="X287" t="s">
        <v>2831</v>
      </c>
      <c r="Y287">
        <v>20743</v>
      </c>
      <c r="Z287">
        <v>465480</v>
      </c>
      <c r="AA287">
        <v>50620</v>
      </c>
      <c r="AB287" t="str">
        <f>(VLOOKUP(SalesData[[#This Row],[Month Number]],Reference!C$5:E$16,2,FALSE))</f>
        <v>Feb</v>
      </c>
      <c r="AC287">
        <f>MONTH(SalesData[[#This Row],[Date]])</f>
        <v>2</v>
      </c>
      <c r="AD287">
        <f>Reference!F$4</f>
        <v>2026</v>
      </c>
      <c r="AE287" t="str">
        <f>IF(OR(SalesData[[#This Row],[Day]]="Saturday",SalesData[[#This Row],[Day]]="Sunday"),"Weekend","Weekday")</f>
        <v>Weekday</v>
      </c>
      <c r="AF287" s="5">
        <f>IF(SalesData[[#This Row],[Contracts Offered]]=0,0,SalesData[[#This Row],[Contracts Signed]]/SalesData[[#This Row],[Contracts Offered]])</f>
        <v>0.29850746268656714</v>
      </c>
      <c r="AG287" s="5">
        <f>IF(SalesData[[#This Row],[Customers Visited]]=0,0,SalesData[[#This Row],[Test Drives]]/SalesData[[#This Row],[Customers Visited]])</f>
        <v>0.50427350427350426</v>
      </c>
      <c r="AH287" s="5">
        <f>IF(SalesData[[#This Row],[Customers Visited]]=0,0,SalesData[[#This Row],[Contracts Signed]]/SalesData[[#This Row],[Customers Visited]])</f>
        <v>8.5470085470085472E-2</v>
      </c>
      <c r="AI287" s="6">
        <f>IF(SalesData[[#This Row],[Contracts Signed]]=0,0,SalesData[[#This Row],[Profit(€)]]/SalesData[[#This Row],[Contracts Signed]])</f>
        <v>2531</v>
      </c>
      <c r="AJ287" s="5" t="str">
        <f>TRIM(CLEAN(SalesData[[#This Row],[Retailer]]))</f>
        <v>Stuttgart Auto Center</v>
      </c>
    </row>
    <row r="288" spans="1:36" ht="14.25" hidden="1" x14ac:dyDescent="0.2">
      <c r="A288" t="s">
        <v>639</v>
      </c>
      <c r="B288" s="1">
        <v>46075</v>
      </c>
      <c r="C288" t="s">
        <v>53</v>
      </c>
      <c r="D288" t="s">
        <v>41</v>
      </c>
      <c r="E288" t="s">
        <v>42</v>
      </c>
      <c r="F288" t="s">
        <v>83</v>
      </c>
      <c r="G288" t="s">
        <v>84</v>
      </c>
      <c r="H288" t="s">
        <v>85</v>
      </c>
      <c r="I288" t="s">
        <v>56</v>
      </c>
      <c r="J288" t="s">
        <v>179</v>
      </c>
      <c r="K288" t="s">
        <v>78</v>
      </c>
      <c r="L288" t="s">
        <v>67</v>
      </c>
      <c r="M288" t="s">
        <v>87</v>
      </c>
      <c r="N288" t="s">
        <v>69</v>
      </c>
      <c r="O288" t="s">
        <v>36</v>
      </c>
      <c r="P288" t="s">
        <v>71</v>
      </c>
      <c r="Q288" t="s">
        <v>50</v>
      </c>
      <c r="R288">
        <v>214</v>
      </c>
      <c r="S288">
        <v>113</v>
      </c>
      <c r="T288">
        <v>76</v>
      </c>
      <c r="U288">
        <v>27</v>
      </c>
      <c r="V288" t="s">
        <v>6640</v>
      </c>
      <c r="W288">
        <v>50442</v>
      </c>
      <c r="X288" t="s">
        <v>1518</v>
      </c>
      <c r="Y288">
        <v>40404</v>
      </c>
      <c r="Z288">
        <v>1361934</v>
      </c>
      <c r="AA288">
        <v>271026</v>
      </c>
      <c r="AB288" t="str">
        <f>(VLOOKUP(SalesData[[#This Row],[Month Number]],Reference!C$5:E$16,2,FALSE))</f>
        <v>Feb</v>
      </c>
      <c r="AC288">
        <f>MONTH(SalesData[[#This Row],[Date]])</f>
        <v>2</v>
      </c>
      <c r="AD288">
        <f>Reference!F$4</f>
        <v>2026</v>
      </c>
      <c r="AE288" t="str">
        <f>IF(OR(SalesData[[#This Row],[Day]]="Saturday",SalesData[[#This Row],[Day]]="Sunday"),"Weekend","Weekday")</f>
        <v>Weekend</v>
      </c>
      <c r="AF288" s="5">
        <f>IF(SalesData[[#This Row],[Contracts Offered]]=0,0,SalesData[[#This Row],[Contracts Signed]]/SalesData[[#This Row],[Contracts Offered]])</f>
        <v>0.35526315789473684</v>
      </c>
      <c r="AG288" s="5">
        <f>IF(SalesData[[#This Row],[Customers Visited]]=0,0,SalesData[[#This Row],[Test Drives]]/SalesData[[#This Row],[Customers Visited]])</f>
        <v>0.5280373831775701</v>
      </c>
      <c r="AH288" s="5">
        <f>IF(SalesData[[#This Row],[Customers Visited]]=0,0,SalesData[[#This Row],[Contracts Signed]]/SalesData[[#This Row],[Customers Visited]])</f>
        <v>0.12616822429906541</v>
      </c>
      <c r="AI288" s="6">
        <f>IF(SalesData[[#This Row],[Contracts Signed]]=0,0,SalesData[[#This Row],[Profit(€)]]/SalesData[[#This Row],[Contracts Signed]])</f>
        <v>10038</v>
      </c>
      <c r="AJ288" s="5" t="str">
        <f>TRIM(CLEAN(SalesData[[#This Row],[Retailer]]))</f>
        <v>Hannover Cars</v>
      </c>
    </row>
    <row r="289" spans="1:36" ht="14.25" x14ac:dyDescent="0.2">
      <c r="A289" t="s">
        <v>641</v>
      </c>
      <c r="B289" s="1">
        <v>46067</v>
      </c>
      <c r="C289" t="s">
        <v>121</v>
      </c>
      <c r="D289" t="s">
        <v>151</v>
      </c>
      <c r="E289" t="s">
        <v>42</v>
      </c>
      <c r="F289" t="s">
        <v>7649</v>
      </c>
      <c r="G289" t="s">
        <v>55</v>
      </c>
      <c r="H289" t="s">
        <v>55</v>
      </c>
      <c r="I289" t="s">
        <v>30</v>
      </c>
      <c r="J289" t="s">
        <v>166</v>
      </c>
      <c r="K289" t="s">
        <v>32</v>
      </c>
      <c r="L289" t="s">
        <v>46</v>
      </c>
      <c r="M289" t="s">
        <v>87</v>
      </c>
      <c r="N289" t="s">
        <v>35</v>
      </c>
      <c r="O289" t="s">
        <v>36</v>
      </c>
      <c r="P289" t="s">
        <v>37</v>
      </c>
      <c r="Q289" t="s">
        <v>38</v>
      </c>
      <c r="R289">
        <v>175</v>
      </c>
      <c r="S289">
        <v>95</v>
      </c>
      <c r="T289">
        <v>67</v>
      </c>
      <c r="U289">
        <v>27</v>
      </c>
      <c r="V289" t="s">
        <v>6837</v>
      </c>
      <c r="W289">
        <v>60445</v>
      </c>
      <c r="X289" t="s">
        <v>2701</v>
      </c>
      <c r="Y289">
        <v>46625</v>
      </c>
      <c r="Z289">
        <v>1632015</v>
      </c>
      <c r="AA289">
        <v>373140</v>
      </c>
      <c r="AB289" t="str">
        <f>(VLOOKUP(SalesData[[#This Row],[Month Number]],Reference!C$5:E$16,2,FALSE))</f>
        <v>Feb</v>
      </c>
      <c r="AC289">
        <f>MONTH(SalesData[[#This Row],[Date]])</f>
        <v>2</v>
      </c>
      <c r="AD289">
        <f>Reference!F$4</f>
        <v>2026</v>
      </c>
      <c r="AE289" t="str">
        <f>IF(OR(SalesData[[#This Row],[Day]]="Saturday",SalesData[[#This Row],[Day]]="Sunday"),"Weekend","Weekday")</f>
        <v>Weekend</v>
      </c>
      <c r="AF289" s="5">
        <f>IF(SalesData[[#This Row],[Contracts Offered]]=0,0,SalesData[[#This Row],[Contracts Signed]]/SalesData[[#This Row],[Contracts Offered]])</f>
        <v>0.40298507462686567</v>
      </c>
      <c r="AG289" s="5">
        <f>IF(SalesData[[#This Row],[Customers Visited]]=0,0,SalesData[[#This Row],[Test Drives]]/SalesData[[#This Row],[Customers Visited]])</f>
        <v>0.54285714285714282</v>
      </c>
      <c r="AH289" s="5">
        <f>IF(SalesData[[#This Row],[Customers Visited]]=0,0,SalesData[[#This Row],[Contracts Signed]]/SalesData[[#This Row],[Customers Visited]])</f>
        <v>0.15428571428571428</v>
      </c>
      <c r="AI289" s="6">
        <f>IF(SalesData[[#This Row],[Contracts Signed]]=0,0,SalesData[[#This Row],[Profit(€)]]/SalesData[[#This Row],[Contracts Signed]])</f>
        <v>13820</v>
      </c>
      <c r="AJ289" s="5" t="str">
        <f>TRIM(CLEAN(SalesData[[#This Row],[Retailer]]))</f>
        <v>Autohaus Berlin</v>
      </c>
    </row>
    <row r="290" spans="1:36" ht="14.25" hidden="1" x14ac:dyDescent="0.2">
      <c r="A290" t="s">
        <v>643</v>
      </c>
      <c r="B290" s="1">
        <v>46059</v>
      </c>
      <c r="C290" t="s">
        <v>24</v>
      </c>
      <c r="D290" t="s">
        <v>54</v>
      </c>
      <c r="E290" t="s">
        <v>26</v>
      </c>
      <c r="F290" t="s">
        <v>94</v>
      </c>
      <c r="G290" t="s">
        <v>95</v>
      </c>
      <c r="H290" t="s">
        <v>96</v>
      </c>
      <c r="I290" t="s">
        <v>64</v>
      </c>
      <c r="J290" t="s">
        <v>111</v>
      </c>
      <c r="K290" t="s">
        <v>66</v>
      </c>
      <c r="L290" t="s">
        <v>46</v>
      </c>
      <c r="M290" t="s">
        <v>47</v>
      </c>
      <c r="N290" t="s">
        <v>48</v>
      </c>
      <c r="O290" t="s">
        <v>36</v>
      </c>
      <c r="P290" t="s">
        <v>71</v>
      </c>
      <c r="Q290" t="s">
        <v>240</v>
      </c>
      <c r="R290">
        <v>193</v>
      </c>
      <c r="S290">
        <v>91</v>
      </c>
      <c r="T290">
        <v>67</v>
      </c>
      <c r="U290">
        <v>25</v>
      </c>
      <c r="V290" t="s">
        <v>7162</v>
      </c>
      <c r="W290">
        <v>49739</v>
      </c>
      <c r="X290" t="s">
        <v>7163</v>
      </c>
      <c r="Y290">
        <v>37132</v>
      </c>
      <c r="Z290">
        <v>1243475</v>
      </c>
      <c r="AA290">
        <v>315175</v>
      </c>
      <c r="AB290" t="str">
        <f>(VLOOKUP(SalesData[[#This Row],[Month Number]],Reference!C$5:E$16,2,FALSE))</f>
        <v>Feb</v>
      </c>
      <c r="AC290">
        <f>MONTH(SalesData[[#This Row],[Date]])</f>
        <v>2</v>
      </c>
      <c r="AD290">
        <f>Reference!F$4</f>
        <v>2026</v>
      </c>
      <c r="AE290" t="str">
        <f>IF(OR(SalesData[[#This Row],[Day]]="Saturday",SalesData[[#This Row],[Day]]="Sunday"),"Weekend","Weekday")</f>
        <v>Weekday</v>
      </c>
      <c r="AF290" s="5">
        <f>IF(SalesData[[#This Row],[Contracts Offered]]=0,0,SalesData[[#This Row],[Contracts Signed]]/SalesData[[#This Row],[Contracts Offered]])</f>
        <v>0.37313432835820898</v>
      </c>
      <c r="AG290" s="5">
        <f>IF(SalesData[[#This Row],[Customers Visited]]=0,0,SalesData[[#This Row],[Test Drives]]/SalesData[[#This Row],[Customers Visited]])</f>
        <v>0.47150259067357514</v>
      </c>
      <c r="AH290" s="5">
        <f>IF(SalesData[[#This Row],[Customers Visited]]=0,0,SalesData[[#This Row],[Contracts Signed]]/SalesData[[#This Row],[Customers Visited]])</f>
        <v>0.12953367875647667</v>
      </c>
      <c r="AI290" s="6">
        <f>IF(SalesData[[#This Row],[Contracts Signed]]=0,0,SalesData[[#This Row],[Profit(€)]]/SalesData[[#This Row],[Contracts Signed]])</f>
        <v>12607</v>
      </c>
      <c r="AJ290" s="5" t="str">
        <f>TRIM(CLEAN(SalesData[[#This Row],[Retailer]]))</f>
        <v>Bavaria Motors</v>
      </c>
    </row>
    <row r="291" spans="1:36" ht="14.25" hidden="1" x14ac:dyDescent="0.2">
      <c r="A291" t="s">
        <v>644</v>
      </c>
      <c r="B291" s="1">
        <v>46055</v>
      </c>
      <c r="C291" t="s">
        <v>24</v>
      </c>
      <c r="D291" t="s">
        <v>25</v>
      </c>
      <c r="E291" t="s">
        <v>26</v>
      </c>
      <c r="F291" t="s">
        <v>43</v>
      </c>
      <c r="G291" t="s">
        <v>44</v>
      </c>
      <c r="H291" t="s">
        <v>45</v>
      </c>
      <c r="I291" t="s">
        <v>56</v>
      </c>
      <c r="J291" t="s">
        <v>97</v>
      </c>
      <c r="K291" t="s">
        <v>91</v>
      </c>
      <c r="L291" t="s">
        <v>33</v>
      </c>
      <c r="M291" t="s">
        <v>47</v>
      </c>
      <c r="N291" t="s">
        <v>35</v>
      </c>
      <c r="O291" t="s">
        <v>36</v>
      </c>
      <c r="P291" t="s">
        <v>37</v>
      </c>
      <c r="Q291" t="s">
        <v>129</v>
      </c>
      <c r="R291">
        <v>242</v>
      </c>
      <c r="S291">
        <v>130</v>
      </c>
      <c r="T291">
        <v>99</v>
      </c>
      <c r="U291">
        <v>30</v>
      </c>
      <c r="V291" t="s">
        <v>6386</v>
      </c>
      <c r="W291">
        <v>53039</v>
      </c>
      <c r="X291" t="s">
        <v>7087</v>
      </c>
      <c r="Y291">
        <v>39812</v>
      </c>
      <c r="Z291">
        <v>1591170</v>
      </c>
      <c r="AA291">
        <v>396810</v>
      </c>
      <c r="AB291" t="str">
        <f>(VLOOKUP(SalesData[[#This Row],[Month Number]],Reference!C$5:E$16,2,FALSE))</f>
        <v>Feb</v>
      </c>
      <c r="AC291">
        <f>MONTH(SalesData[[#This Row],[Date]])</f>
        <v>2</v>
      </c>
      <c r="AD291">
        <f>Reference!F$4</f>
        <v>2026</v>
      </c>
      <c r="AE291" t="str">
        <f>IF(OR(SalesData[[#This Row],[Day]]="Saturday",SalesData[[#This Row],[Day]]="Sunday"),"Weekend","Weekday")</f>
        <v>Weekday</v>
      </c>
      <c r="AF291" s="5">
        <f>IF(SalesData[[#This Row],[Contracts Offered]]=0,0,SalesData[[#This Row],[Contracts Signed]]/SalesData[[#This Row],[Contracts Offered]])</f>
        <v>0.30303030303030304</v>
      </c>
      <c r="AG291" s="5">
        <f>IF(SalesData[[#This Row],[Customers Visited]]=0,0,SalesData[[#This Row],[Test Drives]]/SalesData[[#This Row],[Customers Visited]])</f>
        <v>0.53719008264462809</v>
      </c>
      <c r="AH291" s="5">
        <f>IF(SalesData[[#This Row],[Customers Visited]]=0,0,SalesData[[#This Row],[Contracts Signed]]/SalesData[[#This Row],[Customers Visited]])</f>
        <v>0.12396694214876033</v>
      </c>
      <c r="AI291" s="6">
        <f>IF(SalesData[[#This Row],[Contracts Signed]]=0,0,SalesData[[#This Row],[Profit(€)]]/SalesData[[#This Row],[Contracts Signed]])</f>
        <v>13227</v>
      </c>
      <c r="AJ291" s="5" t="str">
        <f>TRIM(CLEAN(SalesData[[#This Row],[Retailer]]))</f>
        <v>Saxon Wheels</v>
      </c>
    </row>
    <row r="292" spans="1:36" ht="14.25" x14ac:dyDescent="0.2">
      <c r="A292" t="s">
        <v>645</v>
      </c>
      <c r="B292" s="1">
        <v>46059</v>
      </c>
      <c r="C292" t="s">
        <v>24</v>
      </c>
      <c r="D292" t="s">
        <v>54</v>
      </c>
      <c r="E292" t="s">
        <v>26</v>
      </c>
      <c r="F292" t="s">
        <v>94</v>
      </c>
      <c r="G292" t="s">
        <v>95</v>
      </c>
      <c r="H292" t="s">
        <v>96</v>
      </c>
      <c r="I292" t="s">
        <v>30</v>
      </c>
      <c r="J292" t="s">
        <v>7075</v>
      </c>
      <c r="K292" t="s">
        <v>78</v>
      </c>
      <c r="L292" t="s">
        <v>33</v>
      </c>
      <c r="M292" t="s">
        <v>34</v>
      </c>
      <c r="N292" t="s">
        <v>69</v>
      </c>
      <c r="O292" t="s">
        <v>70</v>
      </c>
      <c r="P292" t="s">
        <v>71</v>
      </c>
      <c r="Q292" t="s">
        <v>50</v>
      </c>
      <c r="R292">
        <v>262</v>
      </c>
      <c r="S292">
        <v>153</v>
      </c>
      <c r="T292">
        <v>105</v>
      </c>
      <c r="U292">
        <v>48</v>
      </c>
      <c r="V292" t="s">
        <v>7164</v>
      </c>
      <c r="W292">
        <v>56415</v>
      </c>
      <c r="X292" t="s">
        <v>4006</v>
      </c>
      <c r="Y292">
        <v>42832</v>
      </c>
      <c r="Z292">
        <v>2707920</v>
      </c>
      <c r="AA292">
        <v>651984</v>
      </c>
      <c r="AB292" t="str">
        <f>(VLOOKUP(SalesData[[#This Row],[Month Number]],Reference!C$5:E$16,2,FALSE))</f>
        <v>Feb</v>
      </c>
      <c r="AC292">
        <f>MONTH(SalesData[[#This Row],[Date]])</f>
        <v>2</v>
      </c>
      <c r="AD292">
        <f>Reference!F$4</f>
        <v>2026</v>
      </c>
      <c r="AE292" t="str">
        <f>IF(OR(SalesData[[#This Row],[Day]]="Saturday",SalesData[[#This Row],[Day]]="Sunday"),"Weekend","Weekday")</f>
        <v>Weekday</v>
      </c>
      <c r="AF292" s="5">
        <f>IF(SalesData[[#This Row],[Contracts Offered]]=0,0,SalesData[[#This Row],[Contracts Signed]]/SalesData[[#This Row],[Contracts Offered]])</f>
        <v>0.45714285714285713</v>
      </c>
      <c r="AG292" s="5">
        <f>IF(SalesData[[#This Row],[Customers Visited]]=0,0,SalesData[[#This Row],[Test Drives]]/SalesData[[#This Row],[Customers Visited]])</f>
        <v>0.58396946564885499</v>
      </c>
      <c r="AH292" s="5">
        <f>IF(SalesData[[#This Row],[Customers Visited]]=0,0,SalesData[[#This Row],[Contracts Signed]]/SalesData[[#This Row],[Customers Visited]])</f>
        <v>0.18320610687022901</v>
      </c>
      <c r="AI292" s="6">
        <f>IF(SalesData[[#This Row],[Contracts Signed]]=0,0,SalesData[[#This Row],[Profit(€)]]/SalesData[[#This Row],[Contracts Signed]])</f>
        <v>13583</v>
      </c>
      <c r="AJ292" s="5" t="str">
        <f>TRIM(CLEAN(SalesData[[#This Row],[Retailer]]))</f>
        <v>Bavaria Motors</v>
      </c>
    </row>
    <row r="293" spans="1:36" ht="14.25" hidden="1" x14ac:dyDescent="0.2">
      <c r="A293" t="s">
        <v>647</v>
      </c>
      <c r="B293" s="1">
        <v>46055</v>
      </c>
      <c r="C293" t="s">
        <v>24</v>
      </c>
      <c r="D293" t="s">
        <v>25</v>
      </c>
      <c r="E293" t="s">
        <v>26</v>
      </c>
      <c r="F293" t="s">
        <v>109</v>
      </c>
      <c r="G293" t="s">
        <v>110</v>
      </c>
      <c r="H293" t="s">
        <v>45</v>
      </c>
      <c r="I293" t="s">
        <v>64</v>
      </c>
      <c r="J293" t="s">
        <v>65</v>
      </c>
      <c r="K293" t="s">
        <v>78</v>
      </c>
      <c r="L293" t="s">
        <v>33</v>
      </c>
      <c r="M293" t="s">
        <v>34</v>
      </c>
      <c r="N293" t="s">
        <v>69</v>
      </c>
      <c r="O293" t="s">
        <v>36</v>
      </c>
      <c r="P293" t="s">
        <v>58</v>
      </c>
      <c r="Q293" t="s">
        <v>204</v>
      </c>
      <c r="R293">
        <v>253</v>
      </c>
      <c r="S293">
        <v>129</v>
      </c>
      <c r="T293">
        <v>87</v>
      </c>
      <c r="U293">
        <v>36</v>
      </c>
      <c r="V293" t="s">
        <v>6513</v>
      </c>
      <c r="W293">
        <v>55689</v>
      </c>
      <c r="X293" t="s">
        <v>7165</v>
      </c>
      <c r="Y293">
        <v>39781</v>
      </c>
      <c r="Z293">
        <v>2004804</v>
      </c>
      <c r="AA293">
        <v>572688</v>
      </c>
      <c r="AB293" t="str">
        <f>(VLOOKUP(SalesData[[#This Row],[Month Number]],Reference!C$5:E$16,2,FALSE))</f>
        <v>Feb</v>
      </c>
      <c r="AC293">
        <f>MONTH(SalesData[[#This Row],[Date]])</f>
        <v>2</v>
      </c>
      <c r="AD293">
        <f>Reference!F$4</f>
        <v>2026</v>
      </c>
      <c r="AE293" t="str">
        <f>IF(OR(SalesData[[#This Row],[Day]]="Saturday",SalesData[[#This Row],[Day]]="Sunday"),"Weekend","Weekday")</f>
        <v>Weekday</v>
      </c>
      <c r="AF293" s="5">
        <f>IF(SalesData[[#This Row],[Contracts Offered]]=0,0,SalesData[[#This Row],[Contracts Signed]]/SalesData[[#This Row],[Contracts Offered]])</f>
        <v>0.41379310344827586</v>
      </c>
      <c r="AG293" s="5">
        <f>IF(SalesData[[#This Row],[Customers Visited]]=0,0,SalesData[[#This Row],[Test Drives]]/SalesData[[#This Row],[Customers Visited]])</f>
        <v>0.50988142292490124</v>
      </c>
      <c r="AH293" s="5">
        <f>IF(SalesData[[#This Row],[Customers Visited]]=0,0,SalesData[[#This Row],[Contracts Signed]]/SalesData[[#This Row],[Customers Visited]])</f>
        <v>0.14229249011857709</v>
      </c>
      <c r="AI293" s="6">
        <f>IF(SalesData[[#This Row],[Contracts Signed]]=0,0,SalesData[[#This Row],[Profit(€)]]/SalesData[[#This Row],[Contracts Signed]])</f>
        <v>15908</v>
      </c>
      <c r="AJ293" s="5" t="str">
        <f>TRIM(CLEAN(SalesData[[#This Row],[Retailer]]))</f>
        <v>Leipzig Mobility</v>
      </c>
    </row>
    <row r="294" spans="1:36" ht="14.25" hidden="1" x14ac:dyDescent="0.2">
      <c r="A294" t="s">
        <v>649</v>
      </c>
      <c r="B294" s="1">
        <v>46077</v>
      </c>
      <c r="C294" t="s">
        <v>53</v>
      </c>
      <c r="D294" t="s">
        <v>63</v>
      </c>
      <c r="E294" t="s">
        <v>26</v>
      </c>
      <c r="F294" t="s">
        <v>114</v>
      </c>
      <c r="G294" t="s">
        <v>115</v>
      </c>
      <c r="H294" t="s">
        <v>115</v>
      </c>
      <c r="I294" t="s">
        <v>104</v>
      </c>
      <c r="J294" t="s">
        <v>105</v>
      </c>
      <c r="K294" t="s">
        <v>32</v>
      </c>
      <c r="L294" t="s">
        <v>33</v>
      </c>
      <c r="M294" t="s">
        <v>47</v>
      </c>
      <c r="N294" t="s">
        <v>69</v>
      </c>
      <c r="O294" t="s">
        <v>36</v>
      </c>
      <c r="P294" t="s">
        <v>37</v>
      </c>
      <c r="Q294" t="s">
        <v>167</v>
      </c>
      <c r="R294">
        <v>444</v>
      </c>
      <c r="S294">
        <v>245</v>
      </c>
      <c r="T294">
        <v>168</v>
      </c>
      <c r="U294">
        <v>38</v>
      </c>
      <c r="V294" t="s">
        <v>4925</v>
      </c>
      <c r="W294">
        <v>27393</v>
      </c>
      <c r="X294" t="s">
        <v>1726</v>
      </c>
      <c r="Y294">
        <v>24330</v>
      </c>
      <c r="Z294">
        <v>1040934</v>
      </c>
      <c r="AA294">
        <v>116394</v>
      </c>
      <c r="AB294" t="str">
        <f>(VLOOKUP(SalesData[[#This Row],[Month Number]],Reference!C$5:E$16,2,FALSE))</f>
        <v>Feb</v>
      </c>
      <c r="AC294">
        <f>MONTH(SalesData[[#This Row],[Date]])</f>
        <v>2</v>
      </c>
      <c r="AD294">
        <f>Reference!F$4</f>
        <v>2026</v>
      </c>
      <c r="AE294" t="str">
        <f>IF(OR(SalesData[[#This Row],[Day]]="Saturday",SalesData[[#This Row],[Day]]="Sunday"),"Weekend","Weekday")</f>
        <v>Weekday</v>
      </c>
      <c r="AF294" s="5">
        <f>IF(SalesData[[#This Row],[Contracts Offered]]=0,0,SalesData[[#This Row],[Contracts Signed]]/SalesData[[#This Row],[Contracts Offered]])</f>
        <v>0.22619047619047619</v>
      </c>
      <c r="AG294" s="5">
        <f>IF(SalesData[[#This Row],[Customers Visited]]=0,0,SalesData[[#This Row],[Test Drives]]/SalesData[[#This Row],[Customers Visited]])</f>
        <v>0.55180180180180183</v>
      </c>
      <c r="AH294" s="5">
        <f>IF(SalesData[[#This Row],[Customers Visited]]=0,0,SalesData[[#This Row],[Contracts Signed]]/SalesData[[#This Row],[Customers Visited]])</f>
        <v>8.5585585585585586E-2</v>
      </c>
      <c r="AI294" s="6">
        <f>IF(SalesData[[#This Row],[Contracts Signed]]=0,0,SalesData[[#This Row],[Profit(€)]]/SalesData[[#This Row],[Contracts Signed]])</f>
        <v>3063</v>
      </c>
      <c r="AJ294" s="5" t="str">
        <f>TRIM(CLEAN(SalesData[[#This Row],[Retailer]]))</f>
        <v>Elbe Drive</v>
      </c>
    </row>
    <row r="295" spans="1:36" ht="14.25" hidden="1" x14ac:dyDescent="0.2">
      <c r="A295" t="s">
        <v>651</v>
      </c>
      <c r="B295" s="1">
        <v>46055</v>
      </c>
      <c r="C295" t="s">
        <v>24</v>
      </c>
      <c r="D295" t="s">
        <v>25</v>
      </c>
      <c r="E295" t="s">
        <v>26</v>
      </c>
      <c r="F295" t="s">
        <v>101</v>
      </c>
      <c r="G295" t="s">
        <v>102</v>
      </c>
      <c r="H295" t="s">
        <v>103</v>
      </c>
      <c r="I295" t="s">
        <v>64</v>
      </c>
      <c r="J295" t="s">
        <v>77</v>
      </c>
      <c r="K295" t="s">
        <v>32</v>
      </c>
      <c r="L295" t="s">
        <v>46</v>
      </c>
      <c r="M295" t="s">
        <v>87</v>
      </c>
      <c r="N295" t="s">
        <v>69</v>
      </c>
      <c r="O295" t="s">
        <v>70</v>
      </c>
      <c r="P295" t="s">
        <v>58</v>
      </c>
      <c r="Q295" t="s">
        <v>158</v>
      </c>
      <c r="R295">
        <v>163</v>
      </c>
      <c r="S295">
        <v>92</v>
      </c>
      <c r="T295">
        <v>65</v>
      </c>
      <c r="U295">
        <v>24</v>
      </c>
      <c r="V295" t="s">
        <v>6360</v>
      </c>
      <c r="W295">
        <v>60523</v>
      </c>
      <c r="X295" t="s">
        <v>7166</v>
      </c>
      <c r="Y295">
        <v>46326</v>
      </c>
      <c r="Z295">
        <v>1452552</v>
      </c>
      <c r="AA295">
        <v>340728</v>
      </c>
      <c r="AB295" t="str">
        <f>(VLOOKUP(SalesData[[#This Row],[Month Number]],Reference!C$5:E$16,2,FALSE))</f>
        <v>Feb</v>
      </c>
      <c r="AC295">
        <f>MONTH(SalesData[[#This Row],[Date]])</f>
        <v>2</v>
      </c>
      <c r="AD295">
        <f>Reference!F$4</f>
        <v>2026</v>
      </c>
      <c r="AE295" t="str">
        <f>IF(OR(SalesData[[#This Row],[Day]]="Saturday",SalesData[[#This Row],[Day]]="Sunday"),"Weekend","Weekday")</f>
        <v>Weekday</v>
      </c>
      <c r="AF295" s="5">
        <f>IF(SalesData[[#This Row],[Contracts Offered]]=0,0,SalesData[[#This Row],[Contracts Signed]]/SalesData[[#This Row],[Contracts Offered]])</f>
        <v>0.36923076923076925</v>
      </c>
      <c r="AG295" s="5">
        <f>IF(SalesData[[#This Row],[Customers Visited]]=0,0,SalesData[[#This Row],[Test Drives]]/SalesData[[#This Row],[Customers Visited]])</f>
        <v>0.56441717791411039</v>
      </c>
      <c r="AH295" s="5">
        <f>IF(SalesData[[#This Row],[Customers Visited]]=0,0,SalesData[[#This Row],[Contracts Signed]]/SalesData[[#This Row],[Customers Visited]])</f>
        <v>0.14723926380368099</v>
      </c>
      <c r="AI295" s="6">
        <f>IF(SalesData[[#This Row],[Contracts Signed]]=0,0,SalesData[[#This Row],[Profit(€)]]/SalesData[[#This Row],[Contracts Signed]])</f>
        <v>14197</v>
      </c>
      <c r="AJ295" s="5" t="str">
        <f>TRIM(CLEAN(SalesData[[#This Row],[Retailer]]))</f>
        <v>Ruhr Auto Plaza</v>
      </c>
    </row>
    <row r="296" spans="1:36" ht="14.25" hidden="1" x14ac:dyDescent="0.2">
      <c r="A296" t="s">
        <v>653</v>
      </c>
      <c r="B296" s="1">
        <v>46058</v>
      </c>
      <c r="C296" t="s">
        <v>24</v>
      </c>
      <c r="D296" t="s">
        <v>100</v>
      </c>
      <c r="E296" t="s">
        <v>26</v>
      </c>
      <c r="F296" t="s">
        <v>114</v>
      </c>
      <c r="G296" t="s">
        <v>115</v>
      </c>
      <c r="H296" t="s">
        <v>115</v>
      </c>
      <c r="I296" t="s">
        <v>56</v>
      </c>
      <c r="J296" t="s">
        <v>137</v>
      </c>
      <c r="K296" t="s">
        <v>32</v>
      </c>
      <c r="L296" t="s">
        <v>46</v>
      </c>
      <c r="M296" t="s">
        <v>34</v>
      </c>
      <c r="N296" t="s">
        <v>48</v>
      </c>
      <c r="O296" t="s">
        <v>36</v>
      </c>
      <c r="P296" t="s">
        <v>71</v>
      </c>
      <c r="Q296" t="s">
        <v>106</v>
      </c>
      <c r="R296">
        <v>228</v>
      </c>
      <c r="S296">
        <v>115</v>
      </c>
      <c r="T296">
        <v>79</v>
      </c>
      <c r="U296">
        <v>29</v>
      </c>
      <c r="V296" t="s">
        <v>6749</v>
      </c>
      <c r="W296">
        <v>45801</v>
      </c>
      <c r="X296" t="s">
        <v>1077</v>
      </c>
      <c r="Y296">
        <v>37077</v>
      </c>
      <c r="Z296">
        <v>1328229</v>
      </c>
      <c r="AA296">
        <v>252996</v>
      </c>
      <c r="AB296" t="str">
        <f>(VLOOKUP(SalesData[[#This Row],[Month Number]],Reference!C$5:E$16,2,FALSE))</f>
        <v>Feb</v>
      </c>
      <c r="AC296">
        <f>MONTH(SalesData[[#This Row],[Date]])</f>
        <v>2</v>
      </c>
      <c r="AD296">
        <f>Reference!F$4</f>
        <v>2026</v>
      </c>
      <c r="AE296" t="str">
        <f>IF(OR(SalesData[[#This Row],[Day]]="Saturday",SalesData[[#This Row],[Day]]="Sunday"),"Weekend","Weekday")</f>
        <v>Weekday</v>
      </c>
      <c r="AF296" s="5">
        <f>IF(SalesData[[#This Row],[Contracts Offered]]=0,0,SalesData[[#This Row],[Contracts Signed]]/SalesData[[#This Row],[Contracts Offered]])</f>
        <v>0.36708860759493672</v>
      </c>
      <c r="AG296" s="5">
        <f>IF(SalesData[[#This Row],[Customers Visited]]=0,0,SalesData[[#This Row],[Test Drives]]/SalesData[[#This Row],[Customers Visited]])</f>
        <v>0.50438596491228072</v>
      </c>
      <c r="AH296" s="5">
        <f>IF(SalesData[[#This Row],[Customers Visited]]=0,0,SalesData[[#This Row],[Contracts Signed]]/SalesData[[#This Row],[Customers Visited]])</f>
        <v>0.12719298245614036</v>
      </c>
      <c r="AI296" s="6">
        <f>IF(SalesData[[#This Row],[Contracts Signed]]=0,0,SalesData[[#This Row],[Profit(€)]]/SalesData[[#This Row],[Contracts Signed]])</f>
        <v>8724</v>
      </c>
      <c r="AJ296" s="5" t="str">
        <f>TRIM(CLEAN(SalesData[[#This Row],[Retailer]]))</f>
        <v>Elbe Drive</v>
      </c>
    </row>
    <row r="297" spans="1:36" ht="14.25" x14ac:dyDescent="0.2">
      <c r="A297" t="s">
        <v>655</v>
      </c>
      <c r="B297" s="1">
        <v>46055</v>
      </c>
      <c r="C297" t="s">
        <v>24</v>
      </c>
      <c r="D297" t="s">
        <v>25</v>
      </c>
      <c r="E297" t="s">
        <v>26</v>
      </c>
      <c r="F297" t="s">
        <v>43</v>
      </c>
      <c r="G297" t="s">
        <v>44</v>
      </c>
      <c r="H297" t="s">
        <v>45</v>
      </c>
      <c r="I297" t="s">
        <v>30</v>
      </c>
      <c r="J297" t="s">
        <v>188</v>
      </c>
      <c r="K297" t="s">
        <v>32</v>
      </c>
      <c r="L297" t="s">
        <v>33</v>
      </c>
      <c r="M297" t="s">
        <v>68</v>
      </c>
      <c r="N297" t="s">
        <v>35</v>
      </c>
      <c r="O297" t="s">
        <v>70</v>
      </c>
      <c r="P297" t="s">
        <v>71</v>
      </c>
      <c r="Q297" t="s">
        <v>50</v>
      </c>
      <c r="R297">
        <v>227</v>
      </c>
      <c r="S297">
        <v>123</v>
      </c>
      <c r="T297">
        <v>87</v>
      </c>
      <c r="U297">
        <v>36</v>
      </c>
      <c r="V297" t="s">
        <v>6419</v>
      </c>
      <c r="W297">
        <v>55843</v>
      </c>
      <c r="X297" t="s">
        <v>2576</v>
      </c>
      <c r="Y297">
        <v>42360</v>
      </c>
      <c r="Z297">
        <v>2010348</v>
      </c>
      <c r="AA297">
        <v>485388</v>
      </c>
      <c r="AB297" t="str">
        <f>(VLOOKUP(SalesData[[#This Row],[Month Number]],Reference!C$5:E$16,2,FALSE))</f>
        <v>Feb</v>
      </c>
      <c r="AC297">
        <f>MONTH(SalesData[[#This Row],[Date]])</f>
        <v>2</v>
      </c>
      <c r="AD297">
        <f>Reference!F$4</f>
        <v>2026</v>
      </c>
      <c r="AE297" t="str">
        <f>IF(OR(SalesData[[#This Row],[Day]]="Saturday",SalesData[[#This Row],[Day]]="Sunday"),"Weekend","Weekday")</f>
        <v>Weekday</v>
      </c>
      <c r="AF297" s="5">
        <f>IF(SalesData[[#This Row],[Contracts Offered]]=0,0,SalesData[[#This Row],[Contracts Signed]]/SalesData[[#This Row],[Contracts Offered]])</f>
        <v>0.41379310344827586</v>
      </c>
      <c r="AG297" s="5">
        <f>IF(SalesData[[#This Row],[Customers Visited]]=0,0,SalesData[[#This Row],[Test Drives]]/SalesData[[#This Row],[Customers Visited]])</f>
        <v>0.54185022026431717</v>
      </c>
      <c r="AH297" s="5">
        <f>IF(SalesData[[#This Row],[Customers Visited]]=0,0,SalesData[[#This Row],[Contracts Signed]]/SalesData[[#This Row],[Customers Visited]])</f>
        <v>0.15859030837004406</v>
      </c>
      <c r="AI297" s="6">
        <f>IF(SalesData[[#This Row],[Contracts Signed]]=0,0,SalesData[[#This Row],[Profit(€)]]/SalesData[[#This Row],[Contracts Signed]])</f>
        <v>13483</v>
      </c>
      <c r="AJ297" s="5" t="str">
        <f>TRIM(CLEAN(SalesData[[#This Row],[Retailer]]))</f>
        <v>Saxon Wheels</v>
      </c>
    </row>
    <row r="298" spans="1:36" ht="14.25" hidden="1" x14ac:dyDescent="0.2">
      <c r="A298" t="s">
        <v>657</v>
      </c>
      <c r="B298" s="1">
        <v>46062</v>
      </c>
      <c r="C298" t="s">
        <v>121</v>
      </c>
      <c r="D298" t="s">
        <v>25</v>
      </c>
      <c r="E298" t="s">
        <v>26</v>
      </c>
      <c r="F298" t="s">
        <v>74</v>
      </c>
      <c r="G298" t="s">
        <v>75</v>
      </c>
      <c r="H298" t="s">
        <v>76</v>
      </c>
      <c r="I298" t="s">
        <v>104</v>
      </c>
      <c r="J298" t="s">
        <v>7061</v>
      </c>
      <c r="K298" t="s">
        <v>66</v>
      </c>
      <c r="L298" t="s">
        <v>46</v>
      </c>
      <c r="M298" t="s">
        <v>68</v>
      </c>
      <c r="N298" t="s">
        <v>48</v>
      </c>
      <c r="O298" t="s">
        <v>36</v>
      </c>
      <c r="P298" t="s">
        <v>37</v>
      </c>
      <c r="Q298" t="s">
        <v>50</v>
      </c>
      <c r="R298">
        <v>320</v>
      </c>
      <c r="S298">
        <v>179</v>
      </c>
      <c r="T298">
        <v>119</v>
      </c>
      <c r="U298">
        <v>27</v>
      </c>
      <c r="V298" t="s">
        <v>3005</v>
      </c>
      <c r="W298">
        <v>28674</v>
      </c>
      <c r="X298" t="s">
        <v>7167</v>
      </c>
      <c r="Y298">
        <v>25331</v>
      </c>
      <c r="Z298">
        <v>774198</v>
      </c>
      <c r="AA298">
        <v>90261</v>
      </c>
      <c r="AB298" t="str">
        <f>(VLOOKUP(SalesData[[#This Row],[Month Number]],Reference!C$5:E$16,2,FALSE))</f>
        <v>Feb</v>
      </c>
      <c r="AC298">
        <f>MONTH(SalesData[[#This Row],[Date]])</f>
        <v>2</v>
      </c>
      <c r="AD298">
        <f>Reference!F$4</f>
        <v>2026</v>
      </c>
      <c r="AE298" t="str">
        <f>IF(OR(SalesData[[#This Row],[Day]]="Saturday",SalesData[[#This Row],[Day]]="Sunday"),"Weekend","Weekday")</f>
        <v>Weekday</v>
      </c>
      <c r="AF298" s="5">
        <f>IF(SalesData[[#This Row],[Contracts Offered]]=0,0,SalesData[[#This Row],[Contracts Signed]]/SalesData[[#This Row],[Contracts Offered]])</f>
        <v>0.22689075630252101</v>
      </c>
      <c r="AG298" s="5">
        <f>IF(SalesData[[#This Row],[Customers Visited]]=0,0,SalesData[[#This Row],[Test Drives]]/SalesData[[#This Row],[Customers Visited]])</f>
        <v>0.55937499999999996</v>
      </c>
      <c r="AH298" s="5">
        <f>IF(SalesData[[#This Row],[Customers Visited]]=0,0,SalesData[[#This Row],[Contracts Signed]]/SalesData[[#This Row],[Customers Visited]])</f>
        <v>8.4375000000000006E-2</v>
      </c>
      <c r="AI298" s="6">
        <f>IF(SalesData[[#This Row],[Contracts Signed]]=0,0,SalesData[[#This Row],[Profit(€)]]/SalesData[[#This Row],[Contracts Signed]])</f>
        <v>3343</v>
      </c>
      <c r="AJ298" s="5" t="str">
        <f>TRIM(CLEAN(SalesData[[#This Row],[Retailer]]))</f>
        <v>Stuttgart Auto Center</v>
      </c>
    </row>
    <row r="299" spans="1:36" ht="14.25" hidden="1" x14ac:dyDescent="0.2">
      <c r="A299" t="s">
        <v>659</v>
      </c>
      <c r="B299" s="1">
        <v>46076</v>
      </c>
      <c r="C299" t="s">
        <v>53</v>
      </c>
      <c r="D299" t="s">
        <v>25</v>
      </c>
      <c r="E299" t="s">
        <v>26</v>
      </c>
      <c r="F299" t="s">
        <v>74</v>
      </c>
      <c r="G299" t="s">
        <v>75</v>
      </c>
      <c r="H299" t="s">
        <v>76</v>
      </c>
      <c r="I299" t="s">
        <v>56</v>
      </c>
      <c r="J299" t="s">
        <v>57</v>
      </c>
      <c r="K299" t="s">
        <v>66</v>
      </c>
      <c r="L299" t="s">
        <v>46</v>
      </c>
      <c r="M299" t="s">
        <v>47</v>
      </c>
      <c r="N299" t="s">
        <v>48</v>
      </c>
      <c r="O299" t="s">
        <v>36</v>
      </c>
      <c r="P299" t="s">
        <v>71</v>
      </c>
      <c r="Q299" t="s">
        <v>167</v>
      </c>
      <c r="R299">
        <v>276</v>
      </c>
      <c r="S299">
        <v>174</v>
      </c>
      <c r="T299">
        <v>131</v>
      </c>
      <c r="U299">
        <v>39</v>
      </c>
      <c r="V299" t="s">
        <v>6508</v>
      </c>
      <c r="W299">
        <v>53804</v>
      </c>
      <c r="X299" t="s">
        <v>4990</v>
      </c>
      <c r="Y299">
        <v>41520</v>
      </c>
      <c r="Z299">
        <v>2098356</v>
      </c>
      <c r="AA299">
        <v>479076</v>
      </c>
      <c r="AB299" t="str">
        <f>(VLOOKUP(SalesData[[#This Row],[Month Number]],Reference!C$5:E$16,2,FALSE))</f>
        <v>Feb</v>
      </c>
      <c r="AC299">
        <f>MONTH(SalesData[[#This Row],[Date]])</f>
        <v>2</v>
      </c>
      <c r="AD299">
        <f>Reference!F$4</f>
        <v>2026</v>
      </c>
      <c r="AE299" t="str">
        <f>IF(OR(SalesData[[#This Row],[Day]]="Saturday",SalesData[[#This Row],[Day]]="Sunday"),"Weekend","Weekday")</f>
        <v>Weekday</v>
      </c>
      <c r="AF299" s="5">
        <f>IF(SalesData[[#This Row],[Contracts Offered]]=0,0,SalesData[[#This Row],[Contracts Signed]]/SalesData[[#This Row],[Contracts Offered]])</f>
        <v>0.29770992366412213</v>
      </c>
      <c r="AG299" s="5">
        <f>IF(SalesData[[#This Row],[Customers Visited]]=0,0,SalesData[[#This Row],[Test Drives]]/SalesData[[#This Row],[Customers Visited]])</f>
        <v>0.63043478260869568</v>
      </c>
      <c r="AH299" s="5">
        <f>IF(SalesData[[#This Row],[Customers Visited]]=0,0,SalesData[[#This Row],[Contracts Signed]]/SalesData[[#This Row],[Customers Visited]])</f>
        <v>0.14130434782608695</v>
      </c>
      <c r="AI299" s="6">
        <f>IF(SalesData[[#This Row],[Contracts Signed]]=0,0,SalesData[[#This Row],[Profit(€)]]/SalesData[[#This Row],[Contracts Signed]])</f>
        <v>12284</v>
      </c>
      <c r="AJ299" s="5" t="str">
        <f>TRIM(CLEAN(SalesData[[#This Row],[Retailer]]))</f>
        <v>Stuttgart Auto Center</v>
      </c>
    </row>
    <row r="300" spans="1:36" ht="14.25" hidden="1" x14ac:dyDescent="0.2">
      <c r="A300" t="s">
        <v>660</v>
      </c>
      <c r="B300" s="1">
        <v>46067</v>
      </c>
      <c r="C300" t="s">
        <v>121</v>
      </c>
      <c r="D300" t="s">
        <v>151</v>
      </c>
      <c r="E300" t="s">
        <v>42</v>
      </c>
      <c r="F300" t="s">
        <v>114</v>
      </c>
      <c r="G300" t="s">
        <v>115</v>
      </c>
      <c r="H300" t="s">
        <v>115</v>
      </c>
      <c r="I300" t="s">
        <v>116</v>
      </c>
      <c r="J300" t="s">
        <v>7090</v>
      </c>
      <c r="K300" t="s">
        <v>78</v>
      </c>
      <c r="L300" t="s">
        <v>46</v>
      </c>
      <c r="M300" t="s">
        <v>87</v>
      </c>
      <c r="N300" t="s">
        <v>35</v>
      </c>
      <c r="O300" t="s">
        <v>36</v>
      </c>
      <c r="P300" t="s">
        <v>71</v>
      </c>
      <c r="Q300" t="s">
        <v>118</v>
      </c>
      <c r="R300">
        <v>259</v>
      </c>
      <c r="S300">
        <v>107</v>
      </c>
      <c r="T300">
        <v>63</v>
      </c>
      <c r="U300">
        <v>21</v>
      </c>
      <c r="V300" t="s">
        <v>2075</v>
      </c>
      <c r="W300">
        <v>24257</v>
      </c>
      <c r="X300" t="s">
        <v>7168</v>
      </c>
      <c r="Y300">
        <v>22174</v>
      </c>
      <c r="Z300">
        <v>509397</v>
      </c>
      <c r="AA300">
        <v>43743</v>
      </c>
      <c r="AB300" t="str">
        <f>(VLOOKUP(SalesData[[#This Row],[Month Number]],Reference!C$5:E$16,2,FALSE))</f>
        <v>Feb</v>
      </c>
      <c r="AC300">
        <f>MONTH(SalesData[[#This Row],[Date]])</f>
        <v>2</v>
      </c>
      <c r="AD300">
        <f>Reference!F$4</f>
        <v>2026</v>
      </c>
      <c r="AE300" t="str">
        <f>IF(OR(SalesData[[#This Row],[Day]]="Saturday",SalesData[[#This Row],[Day]]="Sunday"),"Weekend","Weekday")</f>
        <v>Weekend</v>
      </c>
      <c r="AF300" s="5">
        <f>IF(SalesData[[#This Row],[Contracts Offered]]=0,0,SalesData[[#This Row],[Contracts Signed]]/SalesData[[#This Row],[Contracts Offered]])</f>
        <v>0.33333333333333331</v>
      </c>
      <c r="AG300" s="5">
        <f>IF(SalesData[[#This Row],[Customers Visited]]=0,0,SalesData[[#This Row],[Test Drives]]/SalesData[[#This Row],[Customers Visited]])</f>
        <v>0.41312741312741313</v>
      </c>
      <c r="AH300" s="5">
        <f>IF(SalesData[[#This Row],[Customers Visited]]=0,0,SalesData[[#This Row],[Contracts Signed]]/SalesData[[#This Row],[Customers Visited]])</f>
        <v>8.1081081081081086E-2</v>
      </c>
      <c r="AI300" s="6">
        <f>IF(SalesData[[#This Row],[Contracts Signed]]=0,0,SalesData[[#This Row],[Profit(€)]]/SalesData[[#This Row],[Contracts Signed]])</f>
        <v>2083</v>
      </c>
      <c r="AJ300" s="5" t="str">
        <f>TRIM(CLEAN(SalesData[[#This Row],[Retailer]]))</f>
        <v>Elbe Drive</v>
      </c>
    </row>
    <row r="301" spans="1:36" ht="14.25" x14ac:dyDescent="0.2">
      <c r="A301" t="s">
        <v>662</v>
      </c>
      <c r="B301" s="1">
        <v>46063</v>
      </c>
      <c r="C301" t="s">
        <v>121</v>
      </c>
      <c r="D301" t="s">
        <v>63</v>
      </c>
      <c r="E301" t="s">
        <v>26</v>
      </c>
      <c r="F301" t="s">
        <v>109</v>
      </c>
      <c r="G301" t="s">
        <v>110</v>
      </c>
      <c r="H301" t="s">
        <v>45</v>
      </c>
      <c r="I301" t="s">
        <v>30</v>
      </c>
      <c r="J301" t="s">
        <v>31</v>
      </c>
      <c r="K301" t="s">
        <v>91</v>
      </c>
      <c r="L301" t="s">
        <v>46</v>
      </c>
      <c r="M301" t="s">
        <v>47</v>
      </c>
      <c r="N301" t="s">
        <v>35</v>
      </c>
      <c r="O301" t="s">
        <v>36</v>
      </c>
      <c r="P301" t="s">
        <v>37</v>
      </c>
      <c r="Q301" t="s">
        <v>144</v>
      </c>
      <c r="R301">
        <v>155</v>
      </c>
      <c r="S301">
        <v>94</v>
      </c>
      <c r="T301">
        <v>68</v>
      </c>
      <c r="U301">
        <v>22</v>
      </c>
      <c r="V301" t="s">
        <v>6801</v>
      </c>
      <c r="W301">
        <v>57168</v>
      </c>
      <c r="X301" t="s">
        <v>5488</v>
      </c>
      <c r="Y301">
        <v>40084</v>
      </c>
      <c r="Z301">
        <v>1257696</v>
      </c>
      <c r="AA301">
        <v>375848</v>
      </c>
      <c r="AB301" t="str">
        <f>(VLOOKUP(SalesData[[#This Row],[Month Number]],Reference!C$5:E$16,2,FALSE))</f>
        <v>Feb</v>
      </c>
      <c r="AC301">
        <f>MONTH(SalesData[[#This Row],[Date]])</f>
        <v>2</v>
      </c>
      <c r="AD301">
        <f>Reference!F$4</f>
        <v>2026</v>
      </c>
      <c r="AE301" t="str">
        <f>IF(OR(SalesData[[#This Row],[Day]]="Saturday",SalesData[[#This Row],[Day]]="Sunday"),"Weekend","Weekday")</f>
        <v>Weekday</v>
      </c>
      <c r="AF301" s="5">
        <f>IF(SalesData[[#This Row],[Contracts Offered]]=0,0,SalesData[[#This Row],[Contracts Signed]]/SalesData[[#This Row],[Contracts Offered]])</f>
        <v>0.3235294117647059</v>
      </c>
      <c r="AG301" s="5">
        <f>IF(SalesData[[#This Row],[Customers Visited]]=0,0,SalesData[[#This Row],[Test Drives]]/SalesData[[#This Row],[Customers Visited]])</f>
        <v>0.6064516129032258</v>
      </c>
      <c r="AH301" s="5">
        <f>IF(SalesData[[#This Row],[Customers Visited]]=0,0,SalesData[[#This Row],[Contracts Signed]]/SalesData[[#This Row],[Customers Visited]])</f>
        <v>0.14193548387096774</v>
      </c>
      <c r="AI301" s="6">
        <f>IF(SalesData[[#This Row],[Contracts Signed]]=0,0,SalesData[[#This Row],[Profit(€)]]/SalesData[[#This Row],[Contracts Signed]])</f>
        <v>17084</v>
      </c>
      <c r="AJ301" s="5" t="str">
        <f>TRIM(CLEAN(SalesData[[#This Row],[Retailer]]))</f>
        <v>Leipzig Mobility</v>
      </c>
    </row>
    <row r="302" spans="1:36" ht="14.25" hidden="1" x14ac:dyDescent="0.2">
      <c r="A302" t="s">
        <v>663</v>
      </c>
      <c r="B302" s="1">
        <v>46062</v>
      </c>
      <c r="C302" t="s">
        <v>121</v>
      </c>
      <c r="D302" t="s">
        <v>25</v>
      </c>
      <c r="E302" t="s">
        <v>26</v>
      </c>
      <c r="F302" t="s">
        <v>109</v>
      </c>
      <c r="G302" t="s">
        <v>110</v>
      </c>
      <c r="H302" t="s">
        <v>45</v>
      </c>
      <c r="I302" t="s">
        <v>64</v>
      </c>
      <c r="J302" t="s">
        <v>77</v>
      </c>
      <c r="K302" t="s">
        <v>32</v>
      </c>
      <c r="L302" t="s">
        <v>46</v>
      </c>
      <c r="M302" t="s">
        <v>68</v>
      </c>
      <c r="N302" t="s">
        <v>35</v>
      </c>
      <c r="O302" t="s">
        <v>70</v>
      </c>
      <c r="P302" t="s">
        <v>49</v>
      </c>
      <c r="Q302" t="s">
        <v>50</v>
      </c>
      <c r="R302">
        <v>199</v>
      </c>
      <c r="S302">
        <v>115</v>
      </c>
      <c r="T302">
        <v>86</v>
      </c>
      <c r="U302">
        <v>25</v>
      </c>
      <c r="V302" t="s">
        <v>6379</v>
      </c>
      <c r="W302">
        <v>58693</v>
      </c>
      <c r="X302" t="s">
        <v>7169</v>
      </c>
      <c r="Y302">
        <v>41684</v>
      </c>
      <c r="Z302">
        <v>1467325</v>
      </c>
      <c r="AA302">
        <v>425225</v>
      </c>
      <c r="AB302" t="str">
        <f>(VLOOKUP(SalesData[[#This Row],[Month Number]],Reference!C$5:E$16,2,FALSE))</f>
        <v>Feb</v>
      </c>
      <c r="AC302">
        <f>MONTH(SalesData[[#This Row],[Date]])</f>
        <v>2</v>
      </c>
      <c r="AD302">
        <f>Reference!F$4</f>
        <v>2026</v>
      </c>
      <c r="AE302" t="str">
        <f>IF(OR(SalesData[[#This Row],[Day]]="Saturday",SalesData[[#This Row],[Day]]="Sunday"),"Weekend","Weekday")</f>
        <v>Weekday</v>
      </c>
      <c r="AF302" s="5">
        <f>IF(SalesData[[#This Row],[Contracts Offered]]=0,0,SalesData[[#This Row],[Contracts Signed]]/SalesData[[#This Row],[Contracts Offered]])</f>
        <v>0.29069767441860467</v>
      </c>
      <c r="AG302" s="5">
        <f>IF(SalesData[[#This Row],[Customers Visited]]=0,0,SalesData[[#This Row],[Test Drives]]/SalesData[[#This Row],[Customers Visited]])</f>
        <v>0.57788944723618085</v>
      </c>
      <c r="AH302" s="5">
        <f>IF(SalesData[[#This Row],[Customers Visited]]=0,0,SalesData[[#This Row],[Contracts Signed]]/SalesData[[#This Row],[Customers Visited]])</f>
        <v>0.12562814070351758</v>
      </c>
      <c r="AI302" s="6">
        <f>IF(SalesData[[#This Row],[Contracts Signed]]=0,0,SalesData[[#This Row],[Profit(€)]]/SalesData[[#This Row],[Contracts Signed]])</f>
        <v>17009</v>
      </c>
      <c r="AJ302" s="5" t="str">
        <f>TRIM(CLEAN(SalesData[[#This Row],[Retailer]]))</f>
        <v>Leipzig Mobility</v>
      </c>
    </row>
    <row r="303" spans="1:36" ht="14.25" hidden="1" x14ac:dyDescent="0.2">
      <c r="A303" t="s">
        <v>665</v>
      </c>
      <c r="B303" s="1">
        <v>46073</v>
      </c>
      <c r="C303" t="s">
        <v>62</v>
      </c>
      <c r="D303" t="s">
        <v>54</v>
      </c>
      <c r="E303" t="s">
        <v>26</v>
      </c>
      <c r="F303" t="s">
        <v>27</v>
      </c>
      <c r="G303" t="s">
        <v>28</v>
      </c>
      <c r="H303" t="s">
        <v>29</v>
      </c>
      <c r="I303" t="s">
        <v>56</v>
      </c>
      <c r="J303" t="s">
        <v>7028</v>
      </c>
      <c r="K303" t="s">
        <v>91</v>
      </c>
      <c r="L303" t="s">
        <v>46</v>
      </c>
      <c r="M303" t="s">
        <v>34</v>
      </c>
      <c r="N303" t="s">
        <v>35</v>
      </c>
      <c r="O303" t="s">
        <v>70</v>
      </c>
      <c r="P303" t="s">
        <v>37</v>
      </c>
      <c r="Q303" t="s">
        <v>240</v>
      </c>
      <c r="R303">
        <v>282</v>
      </c>
      <c r="S303">
        <v>166</v>
      </c>
      <c r="T303">
        <v>110</v>
      </c>
      <c r="U303">
        <v>38</v>
      </c>
      <c r="V303" t="s">
        <v>6447</v>
      </c>
      <c r="W303">
        <v>44663</v>
      </c>
      <c r="X303" t="s">
        <v>5350</v>
      </c>
      <c r="Y303">
        <v>33761</v>
      </c>
      <c r="Z303">
        <v>1697194</v>
      </c>
      <c r="AA303">
        <v>414276</v>
      </c>
      <c r="AB303" t="str">
        <f>(VLOOKUP(SalesData[[#This Row],[Month Number]],Reference!C$5:E$16,2,FALSE))</f>
        <v>Feb</v>
      </c>
      <c r="AC303">
        <f>MONTH(SalesData[[#This Row],[Date]])</f>
        <v>2</v>
      </c>
      <c r="AD303">
        <f>Reference!F$4</f>
        <v>2026</v>
      </c>
      <c r="AE303" t="str">
        <f>IF(OR(SalesData[[#This Row],[Day]]="Saturday",SalesData[[#This Row],[Day]]="Sunday"),"Weekend","Weekday")</f>
        <v>Weekday</v>
      </c>
      <c r="AF303" s="5">
        <f>IF(SalesData[[#This Row],[Contracts Offered]]=0,0,SalesData[[#This Row],[Contracts Signed]]/SalesData[[#This Row],[Contracts Offered]])</f>
        <v>0.34545454545454546</v>
      </c>
      <c r="AG303" s="5">
        <f>IF(SalesData[[#This Row],[Customers Visited]]=0,0,SalesData[[#This Row],[Test Drives]]/SalesData[[#This Row],[Customers Visited]])</f>
        <v>0.58865248226950351</v>
      </c>
      <c r="AH303" s="5">
        <f>IF(SalesData[[#This Row],[Customers Visited]]=0,0,SalesData[[#This Row],[Contracts Signed]]/SalesData[[#This Row],[Customers Visited]])</f>
        <v>0.13475177304964539</v>
      </c>
      <c r="AI303" s="6">
        <f>IF(SalesData[[#This Row],[Contracts Signed]]=0,0,SalesData[[#This Row],[Profit(€)]]/SalesData[[#This Row],[Contracts Signed]])</f>
        <v>10902</v>
      </c>
      <c r="AJ303" s="5" t="str">
        <f>TRIM(CLEAN(SalesData[[#This Row],[Retailer]]))</f>
        <v>Main Auto Hub</v>
      </c>
    </row>
    <row r="304" spans="1:36" ht="14.25" x14ac:dyDescent="0.2">
      <c r="A304" t="s">
        <v>666</v>
      </c>
      <c r="B304" s="1">
        <v>46080</v>
      </c>
      <c r="C304" t="s">
        <v>53</v>
      </c>
      <c r="D304" t="s">
        <v>54</v>
      </c>
      <c r="E304" t="s">
        <v>26</v>
      </c>
      <c r="F304" t="s">
        <v>7649</v>
      </c>
      <c r="G304" t="s">
        <v>55</v>
      </c>
      <c r="H304" t="s">
        <v>55</v>
      </c>
      <c r="I304" t="s">
        <v>30</v>
      </c>
      <c r="J304" t="s">
        <v>86</v>
      </c>
      <c r="K304" t="s">
        <v>91</v>
      </c>
      <c r="L304" t="s">
        <v>33</v>
      </c>
      <c r="M304" t="s">
        <v>47</v>
      </c>
      <c r="N304" t="s">
        <v>48</v>
      </c>
      <c r="O304" t="s">
        <v>70</v>
      </c>
      <c r="P304" t="s">
        <v>37</v>
      </c>
      <c r="Q304" t="s">
        <v>106</v>
      </c>
      <c r="R304">
        <v>224</v>
      </c>
      <c r="S304">
        <v>131</v>
      </c>
      <c r="T304">
        <v>101</v>
      </c>
      <c r="U304">
        <v>37</v>
      </c>
      <c r="V304" t="s">
        <v>6836</v>
      </c>
      <c r="W304">
        <v>64498</v>
      </c>
      <c r="X304" t="s">
        <v>7170</v>
      </c>
      <c r="Y304">
        <v>45808</v>
      </c>
      <c r="Z304">
        <v>2386426</v>
      </c>
      <c r="AA304">
        <v>691530</v>
      </c>
      <c r="AB304" t="str">
        <f>(VLOOKUP(SalesData[[#This Row],[Month Number]],Reference!C$5:E$16,2,FALSE))</f>
        <v>Feb</v>
      </c>
      <c r="AC304">
        <f>MONTH(SalesData[[#This Row],[Date]])</f>
        <v>2</v>
      </c>
      <c r="AD304">
        <f>Reference!F$4</f>
        <v>2026</v>
      </c>
      <c r="AE304" t="str">
        <f>IF(OR(SalesData[[#This Row],[Day]]="Saturday",SalesData[[#This Row],[Day]]="Sunday"),"Weekend","Weekday")</f>
        <v>Weekday</v>
      </c>
      <c r="AF304" s="5">
        <f>IF(SalesData[[#This Row],[Contracts Offered]]=0,0,SalesData[[#This Row],[Contracts Signed]]/SalesData[[#This Row],[Contracts Offered]])</f>
        <v>0.36633663366336633</v>
      </c>
      <c r="AG304" s="5">
        <f>IF(SalesData[[#This Row],[Customers Visited]]=0,0,SalesData[[#This Row],[Test Drives]]/SalesData[[#This Row],[Customers Visited]])</f>
        <v>0.5848214285714286</v>
      </c>
      <c r="AH304" s="5">
        <f>IF(SalesData[[#This Row],[Customers Visited]]=0,0,SalesData[[#This Row],[Contracts Signed]]/SalesData[[#This Row],[Customers Visited]])</f>
        <v>0.16517857142857142</v>
      </c>
      <c r="AI304" s="6">
        <f>IF(SalesData[[#This Row],[Contracts Signed]]=0,0,SalesData[[#This Row],[Profit(€)]]/SalesData[[#This Row],[Contracts Signed]])</f>
        <v>18690</v>
      </c>
      <c r="AJ304" s="5" t="str">
        <f>TRIM(CLEAN(SalesData[[#This Row],[Retailer]]))</f>
        <v>Autohaus Berlin</v>
      </c>
    </row>
    <row r="305" spans="1:36" ht="14.25" hidden="1" x14ac:dyDescent="0.2">
      <c r="A305" t="s">
        <v>668</v>
      </c>
      <c r="B305" s="1">
        <v>46074</v>
      </c>
      <c r="C305" t="s">
        <v>62</v>
      </c>
      <c r="D305" t="s">
        <v>151</v>
      </c>
      <c r="E305" t="s">
        <v>42</v>
      </c>
      <c r="F305" t="s">
        <v>43</v>
      </c>
      <c r="G305" t="s">
        <v>44</v>
      </c>
      <c r="H305" t="s">
        <v>45</v>
      </c>
      <c r="I305" t="s">
        <v>104</v>
      </c>
      <c r="J305" t="s">
        <v>143</v>
      </c>
      <c r="K305" t="s">
        <v>66</v>
      </c>
      <c r="L305" t="s">
        <v>67</v>
      </c>
      <c r="M305" t="s">
        <v>87</v>
      </c>
      <c r="N305" t="s">
        <v>35</v>
      </c>
      <c r="O305" t="s">
        <v>36</v>
      </c>
      <c r="P305" t="s">
        <v>37</v>
      </c>
      <c r="Q305" t="s">
        <v>88</v>
      </c>
      <c r="R305">
        <v>382</v>
      </c>
      <c r="S305">
        <v>182</v>
      </c>
      <c r="T305">
        <v>121</v>
      </c>
      <c r="U305">
        <v>30</v>
      </c>
      <c r="V305" t="s">
        <v>1422</v>
      </c>
      <c r="W305">
        <v>32026</v>
      </c>
      <c r="X305" t="s">
        <v>2760</v>
      </c>
      <c r="Y305">
        <v>28345</v>
      </c>
      <c r="Z305">
        <v>960780</v>
      </c>
      <c r="AA305">
        <v>110430</v>
      </c>
      <c r="AB305" t="str">
        <f>(VLOOKUP(SalesData[[#This Row],[Month Number]],Reference!C$5:E$16,2,FALSE))</f>
        <v>Feb</v>
      </c>
      <c r="AC305">
        <f>MONTH(SalesData[[#This Row],[Date]])</f>
        <v>2</v>
      </c>
      <c r="AD305">
        <f>Reference!F$4</f>
        <v>2026</v>
      </c>
      <c r="AE305" t="str">
        <f>IF(OR(SalesData[[#This Row],[Day]]="Saturday",SalesData[[#This Row],[Day]]="Sunday"),"Weekend","Weekday")</f>
        <v>Weekend</v>
      </c>
      <c r="AF305" s="5">
        <f>IF(SalesData[[#This Row],[Contracts Offered]]=0,0,SalesData[[#This Row],[Contracts Signed]]/SalesData[[#This Row],[Contracts Offered]])</f>
        <v>0.24793388429752067</v>
      </c>
      <c r="AG305" s="5">
        <f>IF(SalesData[[#This Row],[Customers Visited]]=0,0,SalesData[[#This Row],[Test Drives]]/SalesData[[#This Row],[Customers Visited]])</f>
        <v>0.47643979057591623</v>
      </c>
      <c r="AH305" s="5">
        <f>IF(SalesData[[#This Row],[Customers Visited]]=0,0,SalesData[[#This Row],[Contracts Signed]]/SalesData[[#This Row],[Customers Visited]])</f>
        <v>7.8534031413612565E-2</v>
      </c>
      <c r="AI305" s="6">
        <f>IF(SalesData[[#This Row],[Contracts Signed]]=0,0,SalesData[[#This Row],[Profit(€)]]/SalesData[[#This Row],[Contracts Signed]])</f>
        <v>3681</v>
      </c>
      <c r="AJ305" s="5" t="str">
        <f>TRIM(CLEAN(SalesData[[#This Row],[Retailer]]))</f>
        <v>Saxon Wheels</v>
      </c>
    </row>
    <row r="306" spans="1:36" ht="14.25" hidden="1" x14ac:dyDescent="0.2">
      <c r="A306" t="s">
        <v>669</v>
      </c>
      <c r="B306" s="1">
        <v>46081</v>
      </c>
      <c r="C306" t="s">
        <v>53</v>
      </c>
      <c r="D306" t="s">
        <v>151</v>
      </c>
      <c r="E306" t="s">
        <v>42</v>
      </c>
      <c r="F306" t="s">
        <v>83</v>
      </c>
      <c r="G306" t="s">
        <v>84</v>
      </c>
      <c r="H306" t="s">
        <v>85</v>
      </c>
      <c r="I306" t="s">
        <v>56</v>
      </c>
      <c r="J306" t="s">
        <v>7028</v>
      </c>
      <c r="K306" t="s">
        <v>91</v>
      </c>
      <c r="L306" t="s">
        <v>46</v>
      </c>
      <c r="M306" t="s">
        <v>87</v>
      </c>
      <c r="N306" t="s">
        <v>35</v>
      </c>
      <c r="O306" t="s">
        <v>70</v>
      </c>
      <c r="P306" t="s">
        <v>37</v>
      </c>
      <c r="Q306" t="s">
        <v>169</v>
      </c>
      <c r="R306">
        <v>180</v>
      </c>
      <c r="S306">
        <v>110</v>
      </c>
      <c r="T306">
        <v>79</v>
      </c>
      <c r="U306">
        <v>23</v>
      </c>
      <c r="V306" t="s">
        <v>6755</v>
      </c>
      <c r="W306">
        <v>50101</v>
      </c>
      <c r="X306" t="s">
        <v>4573</v>
      </c>
      <c r="Y306">
        <v>37730</v>
      </c>
      <c r="Z306">
        <v>1152323</v>
      </c>
      <c r="AA306">
        <v>284533</v>
      </c>
      <c r="AB306" t="str">
        <f>(VLOOKUP(SalesData[[#This Row],[Month Number]],Reference!C$5:E$16,2,FALSE))</f>
        <v>Feb</v>
      </c>
      <c r="AC306">
        <f>MONTH(SalesData[[#This Row],[Date]])</f>
        <v>2</v>
      </c>
      <c r="AD306">
        <f>Reference!F$4</f>
        <v>2026</v>
      </c>
      <c r="AE306" t="str">
        <f>IF(OR(SalesData[[#This Row],[Day]]="Saturday",SalesData[[#This Row],[Day]]="Sunday"),"Weekend","Weekday")</f>
        <v>Weekend</v>
      </c>
      <c r="AF306" s="5">
        <f>IF(SalesData[[#This Row],[Contracts Offered]]=0,0,SalesData[[#This Row],[Contracts Signed]]/SalesData[[#This Row],[Contracts Offered]])</f>
        <v>0.29113924050632911</v>
      </c>
      <c r="AG306" s="5">
        <f>IF(SalesData[[#This Row],[Customers Visited]]=0,0,SalesData[[#This Row],[Test Drives]]/SalesData[[#This Row],[Customers Visited]])</f>
        <v>0.61111111111111116</v>
      </c>
      <c r="AH306" s="5">
        <f>IF(SalesData[[#This Row],[Customers Visited]]=0,0,SalesData[[#This Row],[Contracts Signed]]/SalesData[[#This Row],[Customers Visited]])</f>
        <v>0.12777777777777777</v>
      </c>
      <c r="AI306" s="6">
        <f>IF(SalesData[[#This Row],[Contracts Signed]]=0,0,SalesData[[#This Row],[Profit(€)]]/SalesData[[#This Row],[Contracts Signed]])</f>
        <v>12371</v>
      </c>
      <c r="AJ306" s="5" t="str">
        <f>TRIM(CLEAN(SalesData[[#This Row],[Retailer]]))</f>
        <v>Hannover Cars</v>
      </c>
    </row>
    <row r="307" spans="1:36" ht="14.25" x14ac:dyDescent="0.2">
      <c r="A307" t="s">
        <v>671</v>
      </c>
      <c r="B307" s="1">
        <v>46075</v>
      </c>
      <c r="C307" t="s">
        <v>53</v>
      </c>
      <c r="D307" t="s">
        <v>41</v>
      </c>
      <c r="E307" t="s">
        <v>42</v>
      </c>
      <c r="F307" t="s">
        <v>74</v>
      </c>
      <c r="G307" t="s">
        <v>75</v>
      </c>
      <c r="H307" t="s">
        <v>76</v>
      </c>
      <c r="I307" t="s">
        <v>30</v>
      </c>
      <c r="J307" t="s">
        <v>188</v>
      </c>
      <c r="K307" t="s">
        <v>78</v>
      </c>
      <c r="L307" t="s">
        <v>33</v>
      </c>
      <c r="M307" t="s">
        <v>87</v>
      </c>
      <c r="N307" t="s">
        <v>35</v>
      </c>
      <c r="O307" t="s">
        <v>70</v>
      </c>
      <c r="P307" t="s">
        <v>37</v>
      </c>
      <c r="Q307" t="s">
        <v>122</v>
      </c>
      <c r="R307">
        <v>274</v>
      </c>
      <c r="S307">
        <v>160</v>
      </c>
      <c r="T307">
        <v>126</v>
      </c>
      <c r="U307">
        <v>39</v>
      </c>
      <c r="V307" t="s">
        <v>6781</v>
      </c>
      <c r="W307">
        <v>57210</v>
      </c>
      <c r="X307" t="s">
        <v>254</v>
      </c>
      <c r="Y307">
        <v>42401</v>
      </c>
      <c r="Z307">
        <v>2231190</v>
      </c>
      <c r="AA307">
        <v>577551</v>
      </c>
      <c r="AB307" t="str">
        <f>(VLOOKUP(SalesData[[#This Row],[Month Number]],Reference!C$5:E$16,2,FALSE))</f>
        <v>Feb</v>
      </c>
      <c r="AC307">
        <f>MONTH(SalesData[[#This Row],[Date]])</f>
        <v>2</v>
      </c>
      <c r="AD307">
        <f>Reference!F$4</f>
        <v>2026</v>
      </c>
      <c r="AE307" t="str">
        <f>IF(OR(SalesData[[#This Row],[Day]]="Saturday",SalesData[[#This Row],[Day]]="Sunday"),"Weekend","Weekday")</f>
        <v>Weekend</v>
      </c>
      <c r="AF307" s="5">
        <f>IF(SalesData[[#This Row],[Contracts Offered]]=0,0,SalesData[[#This Row],[Contracts Signed]]/SalesData[[#This Row],[Contracts Offered]])</f>
        <v>0.30952380952380953</v>
      </c>
      <c r="AG307" s="5">
        <f>IF(SalesData[[#This Row],[Customers Visited]]=0,0,SalesData[[#This Row],[Test Drives]]/SalesData[[#This Row],[Customers Visited]])</f>
        <v>0.58394160583941601</v>
      </c>
      <c r="AH307" s="5">
        <f>IF(SalesData[[#This Row],[Customers Visited]]=0,0,SalesData[[#This Row],[Contracts Signed]]/SalesData[[#This Row],[Customers Visited]])</f>
        <v>0.14233576642335766</v>
      </c>
      <c r="AI307" s="6">
        <f>IF(SalesData[[#This Row],[Contracts Signed]]=0,0,SalesData[[#This Row],[Profit(€)]]/SalesData[[#This Row],[Contracts Signed]])</f>
        <v>14809</v>
      </c>
      <c r="AJ307" s="5" t="str">
        <f>TRIM(CLEAN(SalesData[[#This Row],[Retailer]]))</f>
        <v>Stuttgart Auto Center</v>
      </c>
    </row>
    <row r="308" spans="1:36" ht="14.25" hidden="1" x14ac:dyDescent="0.2">
      <c r="A308" t="s">
        <v>673</v>
      </c>
      <c r="B308" s="1">
        <v>46069</v>
      </c>
      <c r="C308" t="s">
        <v>62</v>
      </c>
      <c r="D308" t="s">
        <v>25</v>
      </c>
      <c r="E308" t="s">
        <v>26</v>
      </c>
      <c r="F308" t="s">
        <v>27</v>
      </c>
      <c r="G308" t="s">
        <v>28</v>
      </c>
      <c r="H308" t="s">
        <v>29</v>
      </c>
      <c r="I308" t="s">
        <v>104</v>
      </c>
      <c r="J308" t="s">
        <v>7061</v>
      </c>
      <c r="K308" t="s">
        <v>91</v>
      </c>
      <c r="L308" t="s">
        <v>46</v>
      </c>
      <c r="M308" t="s">
        <v>87</v>
      </c>
      <c r="N308" t="s">
        <v>69</v>
      </c>
      <c r="O308" t="s">
        <v>36</v>
      </c>
      <c r="P308" t="s">
        <v>37</v>
      </c>
      <c r="Q308" t="s">
        <v>240</v>
      </c>
      <c r="R308">
        <v>321</v>
      </c>
      <c r="S308">
        <v>159</v>
      </c>
      <c r="T308">
        <v>97</v>
      </c>
      <c r="U308">
        <v>21</v>
      </c>
      <c r="V308" t="s">
        <v>822</v>
      </c>
      <c r="W308">
        <v>26869</v>
      </c>
      <c r="X308" t="s">
        <v>7171</v>
      </c>
      <c r="Y308">
        <v>24147</v>
      </c>
      <c r="Z308">
        <v>564249</v>
      </c>
      <c r="AA308">
        <v>57162</v>
      </c>
      <c r="AB308" t="str">
        <f>(VLOOKUP(SalesData[[#This Row],[Month Number]],Reference!C$5:E$16,2,FALSE))</f>
        <v>Feb</v>
      </c>
      <c r="AC308">
        <f>MONTH(SalesData[[#This Row],[Date]])</f>
        <v>2</v>
      </c>
      <c r="AD308">
        <f>Reference!F$4</f>
        <v>2026</v>
      </c>
      <c r="AE308" t="str">
        <f>IF(OR(SalesData[[#This Row],[Day]]="Saturday",SalesData[[#This Row],[Day]]="Sunday"),"Weekend","Weekday")</f>
        <v>Weekday</v>
      </c>
      <c r="AF308" s="5">
        <f>IF(SalesData[[#This Row],[Contracts Offered]]=0,0,SalesData[[#This Row],[Contracts Signed]]/SalesData[[#This Row],[Contracts Offered]])</f>
        <v>0.21649484536082475</v>
      </c>
      <c r="AG308" s="5">
        <f>IF(SalesData[[#This Row],[Customers Visited]]=0,0,SalesData[[#This Row],[Test Drives]]/SalesData[[#This Row],[Customers Visited]])</f>
        <v>0.49532710280373832</v>
      </c>
      <c r="AH308" s="5">
        <f>IF(SalesData[[#This Row],[Customers Visited]]=0,0,SalesData[[#This Row],[Contracts Signed]]/SalesData[[#This Row],[Customers Visited]])</f>
        <v>6.5420560747663545E-2</v>
      </c>
      <c r="AI308" s="6">
        <f>IF(SalesData[[#This Row],[Contracts Signed]]=0,0,SalesData[[#This Row],[Profit(€)]]/SalesData[[#This Row],[Contracts Signed]])</f>
        <v>2722</v>
      </c>
      <c r="AJ308" s="5" t="str">
        <f>TRIM(CLEAN(SalesData[[#This Row],[Retailer]]))</f>
        <v>Main Auto Hub</v>
      </c>
    </row>
    <row r="309" spans="1:36" ht="14.25" hidden="1" x14ac:dyDescent="0.2">
      <c r="A309" t="s">
        <v>675</v>
      </c>
      <c r="B309" s="1">
        <v>46066</v>
      </c>
      <c r="C309" t="s">
        <v>121</v>
      </c>
      <c r="D309" t="s">
        <v>54</v>
      </c>
      <c r="E309" t="s">
        <v>26</v>
      </c>
      <c r="F309" t="s">
        <v>43</v>
      </c>
      <c r="G309" t="s">
        <v>44</v>
      </c>
      <c r="H309" t="s">
        <v>45</v>
      </c>
      <c r="I309" t="s">
        <v>116</v>
      </c>
      <c r="J309" t="s">
        <v>7026</v>
      </c>
      <c r="K309" t="s">
        <v>91</v>
      </c>
      <c r="L309" t="s">
        <v>46</v>
      </c>
      <c r="M309" t="s">
        <v>87</v>
      </c>
      <c r="N309" t="s">
        <v>69</v>
      </c>
      <c r="O309" t="s">
        <v>70</v>
      </c>
      <c r="P309" t="s">
        <v>71</v>
      </c>
      <c r="Q309" t="s">
        <v>347</v>
      </c>
      <c r="R309">
        <v>426</v>
      </c>
      <c r="S309">
        <v>191</v>
      </c>
      <c r="T309">
        <v>108</v>
      </c>
      <c r="U309">
        <v>26</v>
      </c>
      <c r="V309" t="s">
        <v>2357</v>
      </c>
      <c r="W309">
        <v>26165</v>
      </c>
      <c r="X309" t="s">
        <v>7172</v>
      </c>
      <c r="Y309">
        <v>23554</v>
      </c>
      <c r="Z309">
        <v>680290</v>
      </c>
      <c r="AA309">
        <v>67886</v>
      </c>
      <c r="AB309" t="str">
        <f>(VLOOKUP(SalesData[[#This Row],[Month Number]],Reference!C$5:E$16,2,FALSE))</f>
        <v>Feb</v>
      </c>
      <c r="AC309">
        <f>MONTH(SalesData[[#This Row],[Date]])</f>
        <v>2</v>
      </c>
      <c r="AD309">
        <f>Reference!F$4</f>
        <v>2026</v>
      </c>
      <c r="AE309" t="str">
        <f>IF(OR(SalesData[[#This Row],[Day]]="Saturday",SalesData[[#This Row],[Day]]="Sunday"),"Weekend","Weekday")</f>
        <v>Weekday</v>
      </c>
      <c r="AF309" s="5">
        <f>IF(SalesData[[#This Row],[Contracts Offered]]=0,0,SalesData[[#This Row],[Contracts Signed]]/SalesData[[#This Row],[Contracts Offered]])</f>
        <v>0.24074074074074073</v>
      </c>
      <c r="AG309" s="5">
        <f>IF(SalesData[[#This Row],[Customers Visited]]=0,0,SalesData[[#This Row],[Test Drives]]/SalesData[[#This Row],[Customers Visited]])</f>
        <v>0.44835680751173707</v>
      </c>
      <c r="AH309" s="5">
        <f>IF(SalesData[[#This Row],[Customers Visited]]=0,0,SalesData[[#This Row],[Contracts Signed]]/SalesData[[#This Row],[Customers Visited]])</f>
        <v>6.1032863849765258E-2</v>
      </c>
      <c r="AI309" s="6">
        <f>IF(SalesData[[#This Row],[Contracts Signed]]=0,0,SalesData[[#This Row],[Profit(€)]]/SalesData[[#This Row],[Contracts Signed]])</f>
        <v>2611</v>
      </c>
      <c r="AJ309" s="5" t="str">
        <f>TRIM(CLEAN(SalesData[[#This Row],[Retailer]]))</f>
        <v>Saxon Wheels</v>
      </c>
    </row>
    <row r="310" spans="1:36" ht="14.25" hidden="1" x14ac:dyDescent="0.2">
      <c r="A310" t="s">
        <v>677</v>
      </c>
      <c r="B310" s="1">
        <v>46058</v>
      </c>
      <c r="C310" t="s">
        <v>24</v>
      </c>
      <c r="D310" t="s">
        <v>100</v>
      </c>
      <c r="E310" t="s">
        <v>26</v>
      </c>
      <c r="F310" t="s">
        <v>94</v>
      </c>
      <c r="G310" t="s">
        <v>95</v>
      </c>
      <c r="H310" t="s">
        <v>96</v>
      </c>
      <c r="I310" t="s">
        <v>56</v>
      </c>
      <c r="J310" t="s">
        <v>7028</v>
      </c>
      <c r="K310" t="s">
        <v>78</v>
      </c>
      <c r="L310" t="s">
        <v>46</v>
      </c>
      <c r="M310" t="s">
        <v>68</v>
      </c>
      <c r="N310" t="s">
        <v>35</v>
      </c>
      <c r="O310" t="s">
        <v>36</v>
      </c>
      <c r="P310" t="s">
        <v>37</v>
      </c>
      <c r="Q310" t="s">
        <v>79</v>
      </c>
      <c r="R310">
        <v>231</v>
      </c>
      <c r="S310">
        <v>141</v>
      </c>
      <c r="T310">
        <v>100</v>
      </c>
      <c r="U310">
        <v>32</v>
      </c>
      <c r="V310" t="s">
        <v>6718</v>
      </c>
      <c r="W310">
        <v>44041</v>
      </c>
      <c r="X310" t="s">
        <v>7173</v>
      </c>
      <c r="Y310">
        <v>33258</v>
      </c>
      <c r="Z310">
        <v>1409312</v>
      </c>
      <c r="AA310">
        <v>345056</v>
      </c>
      <c r="AB310" t="str">
        <f>(VLOOKUP(SalesData[[#This Row],[Month Number]],Reference!C$5:E$16,2,FALSE))</f>
        <v>Feb</v>
      </c>
      <c r="AC310">
        <f>MONTH(SalesData[[#This Row],[Date]])</f>
        <v>2</v>
      </c>
      <c r="AD310">
        <f>Reference!F$4</f>
        <v>2026</v>
      </c>
      <c r="AE310" t="str">
        <f>IF(OR(SalesData[[#This Row],[Day]]="Saturday",SalesData[[#This Row],[Day]]="Sunday"),"Weekend","Weekday")</f>
        <v>Weekday</v>
      </c>
      <c r="AF310" s="5">
        <f>IF(SalesData[[#This Row],[Contracts Offered]]=0,0,SalesData[[#This Row],[Contracts Signed]]/SalesData[[#This Row],[Contracts Offered]])</f>
        <v>0.32</v>
      </c>
      <c r="AG310" s="5">
        <f>IF(SalesData[[#This Row],[Customers Visited]]=0,0,SalesData[[#This Row],[Test Drives]]/SalesData[[#This Row],[Customers Visited]])</f>
        <v>0.61038961038961037</v>
      </c>
      <c r="AH310" s="5">
        <f>IF(SalesData[[#This Row],[Customers Visited]]=0,0,SalesData[[#This Row],[Contracts Signed]]/SalesData[[#This Row],[Customers Visited]])</f>
        <v>0.13852813852813853</v>
      </c>
      <c r="AI310" s="6">
        <f>IF(SalesData[[#This Row],[Contracts Signed]]=0,0,SalesData[[#This Row],[Profit(€)]]/SalesData[[#This Row],[Contracts Signed]])</f>
        <v>10783</v>
      </c>
      <c r="AJ310" s="5" t="str">
        <f>TRIM(CLEAN(SalesData[[#This Row],[Retailer]]))</f>
        <v>Bavaria Motors</v>
      </c>
    </row>
    <row r="311" spans="1:36" ht="14.25" hidden="1" x14ac:dyDescent="0.2">
      <c r="A311" t="s">
        <v>679</v>
      </c>
      <c r="B311" s="1">
        <v>46069</v>
      </c>
      <c r="C311" t="s">
        <v>62</v>
      </c>
      <c r="D311" t="s">
        <v>25</v>
      </c>
      <c r="E311" t="s">
        <v>26</v>
      </c>
      <c r="F311" t="s">
        <v>74</v>
      </c>
      <c r="G311" t="s">
        <v>75</v>
      </c>
      <c r="H311" t="s">
        <v>76</v>
      </c>
      <c r="I311" t="s">
        <v>116</v>
      </c>
      <c r="J311" t="s">
        <v>7090</v>
      </c>
      <c r="K311" t="s">
        <v>32</v>
      </c>
      <c r="L311" t="s">
        <v>46</v>
      </c>
      <c r="M311" t="s">
        <v>47</v>
      </c>
      <c r="N311" t="s">
        <v>69</v>
      </c>
      <c r="O311" t="s">
        <v>70</v>
      </c>
      <c r="P311" t="s">
        <v>58</v>
      </c>
      <c r="Q311" t="s">
        <v>158</v>
      </c>
      <c r="R311">
        <v>231</v>
      </c>
      <c r="S311">
        <v>99</v>
      </c>
      <c r="T311">
        <v>56</v>
      </c>
      <c r="U311">
        <v>17</v>
      </c>
      <c r="V311" t="s">
        <v>2323</v>
      </c>
      <c r="W311">
        <v>20441</v>
      </c>
      <c r="X311" t="s">
        <v>341</v>
      </c>
      <c r="Y311">
        <v>18258</v>
      </c>
      <c r="Z311">
        <v>347497</v>
      </c>
      <c r="AA311">
        <v>37111</v>
      </c>
      <c r="AB311" t="str">
        <f>(VLOOKUP(SalesData[[#This Row],[Month Number]],Reference!C$5:E$16,2,FALSE))</f>
        <v>Feb</v>
      </c>
      <c r="AC311">
        <f>MONTH(SalesData[[#This Row],[Date]])</f>
        <v>2</v>
      </c>
      <c r="AD311">
        <f>Reference!F$4</f>
        <v>2026</v>
      </c>
      <c r="AE311" t="str">
        <f>IF(OR(SalesData[[#This Row],[Day]]="Saturday",SalesData[[#This Row],[Day]]="Sunday"),"Weekend","Weekday")</f>
        <v>Weekday</v>
      </c>
      <c r="AF311" s="5">
        <f>IF(SalesData[[#This Row],[Contracts Offered]]=0,0,SalesData[[#This Row],[Contracts Signed]]/SalesData[[#This Row],[Contracts Offered]])</f>
        <v>0.30357142857142855</v>
      </c>
      <c r="AG311" s="5">
        <f>IF(SalesData[[#This Row],[Customers Visited]]=0,0,SalesData[[#This Row],[Test Drives]]/SalesData[[#This Row],[Customers Visited]])</f>
        <v>0.42857142857142855</v>
      </c>
      <c r="AH311" s="5">
        <f>IF(SalesData[[#This Row],[Customers Visited]]=0,0,SalesData[[#This Row],[Contracts Signed]]/SalesData[[#This Row],[Customers Visited]])</f>
        <v>7.3593073593073599E-2</v>
      </c>
      <c r="AI311" s="6">
        <f>IF(SalesData[[#This Row],[Contracts Signed]]=0,0,SalesData[[#This Row],[Profit(€)]]/SalesData[[#This Row],[Contracts Signed]])</f>
        <v>2183</v>
      </c>
      <c r="AJ311" s="5" t="str">
        <f>TRIM(CLEAN(SalesData[[#This Row],[Retailer]]))</f>
        <v>Stuttgart Auto Center</v>
      </c>
    </row>
    <row r="312" spans="1:36" ht="14.25" hidden="1" x14ac:dyDescent="0.2">
      <c r="A312" t="s">
        <v>681</v>
      </c>
      <c r="B312" s="1">
        <v>46081</v>
      </c>
      <c r="C312" t="s">
        <v>53</v>
      </c>
      <c r="D312" t="s">
        <v>151</v>
      </c>
      <c r="E312" t="s">
        <v>42</v>
      </c>
      <c r="F312" t="s">
        <v>127</v>
      </c>
      <c r="G312" t="s">
        <v>128</v>
      </c>
      <c r="H312" t="s">
        <v>103</v>
      </c>
      <c r="I312" t="s">
        <v>104</v>
      </c>
      <c r="J312" t="s">
        <v>105</v>
      </c>
      <c r="K312" t="s">
        <v>32</v>
      </c>
      <c r="L312" t="s">
        <v>33</v>
      </c>
      <c r="M312" t="s">
        <v>87</v>
      </c>
      <c r="N312" t="s">
        <v>69</v>
      </c>
      <c r="O312" t="s">
        <v>36</v>
      </c>
      <c r="P312" t="s">
        <v>37</v>
      </c>
      <c r="Q312" t="s">
        <v>169</v>
      </c>
      <c r="R312">
        <v>323</v>
      </c>
      <c r="S312">
        <v>179</v>
      </c>
      <c r="T312">
        <v>120</v>
      </c>
      <c r="U312">
        <v>24</v>
      </c>
      <c r="V312" t="s">
        <v>892</v>
      </c>
      <c r="W312">
        <v>30642</v>
      </c>
      <c r="X312" t="s">
        <v>613</v>
      </c>
      <c r="Y312">
        <v>26707</v>
      </c>
      <c r="Z312">
        <v>735408</v>
      </c>
      <c r="AA312">
        <v>94440</v>
      </c>
      <c r="AB312" t="str">
        <f>(VLOOKUP(SalesData[[#This Row],[Month Number]],Reference!C$5:E$16,2,FALSE))</f>
        <v>Feb</v>
      </c>
      <c r="AC312">
        <f>MONTH(SalesData[[#This Row],[Date]])</f>
        <v>2</v>
      </c>
      <c r="AD312">
        <f>Reference!F$4</f>
        <v>2026</v>
      </c>
      <c r="AE312" t="str">
        <f>IF(OR(SalesData[[#This Row],[Day]]="Saturday",SalesData[[#This Row],[Day]]="Sunday"),"Weekend","Weekday")</f>
        <v>Weekend</v>
      </c>
      <c r="AF312" s="5">
        <f>IF(SalesData[[#This Row],[Contracts Offered]]=0,0,SalesData[[#This Row],[Contracts Signed]]/SalesData[[#This Row],[Contracts Offered]])</f>
        <v>0.2</v>
      </c>
      <c r="AG312" s="5">
        <f>IF(SalesData[[#This Row],[Customers Visited]]=0,0,SalesData[[#This Row],[Test Drives]]/SalesData[[#This Row],[Customers Visited]])</f>
        <v>0.55417956656346745</v>
      </c>
      <c r="AH312" s="5">
        <f>IF(SalesData[[#This Row],[Customers Visited]]=0,0,SalesData[[#This Row],[Contracts Signed]]/SalesData[[#This Row],[Customers Visited]])</f>
        <v>7.4303405572755415E-2</v>
      </c>
      <c r="AI312" s="6">
        <f>IF(SalesData[[#This Row],[Contracts Signed]]=0,0,SalesData[[#This Row],[Profit(€)]]/SalesData[[#This Row],[Contracts Signed]])</f>
        <v>3935</v>
      </c>
      <c r="AJ312" s="5" t="str">
        <f>TRIM(CLEAN(SalesData[[#This Row],[Retailer]]))</f>
        <v>Rhein Auto Group</v>
      </c>
    </row>
    <row r="313" spans="1:36" ht="14.25" hidden="1" x14ac:dyDescent="0.2">
      <c r="A313" t="s">
        <v>682</v>
      </c>
      <c r="B313" s="1">
        <v>46081</v>
      </c>
      <c r="C313" t="s">
        <v>53</v>
      </c>
      <c r="D313" t="s">
        <v>151</v>
      </c>
      <c r="E313" t="s">
        <v>42</v>
      </c>
      <c r="F313" t="s">
        <v>94</v>
      </c>
      <c r="G313" t="s">
        <v>95</v>
      </c>
      <c r="H313" t="s">
        <v>96</v>
      </c>
      <c r="I313" t="s">
        <v>116</v>
      </c>
      <c r="J313" t="s">
        <v>7090</v>
      </c>
      <c r="K313" t="s">
        <v>91</v>
      </c>
      <c r="L313" t="s">
        <v>46</v>
      </c>
      <c r="M313" t="s">
        <v>68</v>
      </c>
      <c r="N313" t="s">
        <v>35</v>
      </c>
      <c r="O313" t="s">
        <v>70</v>
      </c>
      <c r="P313" t="s">
        <v>58</v>
      </c>
      <c r="Q313" t="s">
        <v>50</v>
      </c>
      <c r="R313">
        <v>428</v>
      </c>
      <c r="S313">
        <v>225</v>
      </c>
      <c r="T313">
        <v>152</v>
      </c>
      <c r="U313">
        <v>39</v>
      </c>
      <c r="V313" t="s">
        <v>1507</v>
      </c>
      <c r="W313">
        <v>20942</v>
      </c>
      <c r="X313" t="s">
        <v>690</v>
      </c>
      <c r="Y313">
        <v>19209</v>
      </c>
      <c r="Z313">
        <v>816738</v>
      </c>
      <c r="AA313">
        <v>67587</v>
      </c>
      <c r="AB313" t="str">
        <f>(VLOOKUP(SalesData[[#This Row],[Month Number]],Reference!C$5:E$16,2,FALSE))</f>
        <v>Feb</v>
      </c>
      <c r="AC313">
        <f>MONTH(SalesData[[#This Row],[Date]])</f>
        <v>2</v>
      </c>
      <c r="AD313">
        <f>Reference!F$4</f>
        <v>2026</v>
      </c>
      <c r="AE313" t="str">
        <f>IF(OR(SalesData[[#This Row],[Day]]="Saturday",SalesData[[#This Row],[Day]]="Sunday"),"Weekend","Weekday")</f>
        <v>Weekend</v>
      </c>
      <c r="AF313" s="5">
        <f>IF(SalesData[[#This Row],[Contracts Offered]]=0,0,SalesData[[#This Row],[Contracts Signed]]/SalesData[[#This Row],[Contracts Offered]])</f>
        <v>0.25657894736842107</v>
      </c>
      <c r="AG313" s="5">
        <f>IF(SalesData[[#This Row],[Customers Visited]]=0,0,SalesData[[#This Row],[Test Drives]]/SalesData[[#This Row],[Customers Visited]])</f>
        <v>0.52570093457943923</v>
      </c>
      <c r="AH313" s="5">
        <f>IF(SalesData[[#This Row],[Customers Visited]]=0,0,SalesData[[#This Row],[Contracts Signed]]/SalesData[[#This Row],[Customers Visited]])</f>
        <v>9.11214953271028E-2</v>
      </c>
      <c r="AI313" s="6">
        <f>IF(SalesData[[#This Row],[Contracts Signed]]=0,0,SalesData[[#This Row],[Profit(€)]]/SalesData[[#This Row],[Contracts Signed]])</f>
        <v>1733</v>
      </c>
      <c r="AJ313" s="5" t="str">
        <f>TRIM(CLEAN(SalesData[[#This Row],[Retailer]]))</f>
        <v>Bavaria Motors</v>
      </c>
    </row>
    <row r="314" spans="1:36" ht="14.25" x14ac:dyDescent="0.2">
      <c r="A314" t="s">
        <v>684</v>
      </c>
      <c r="B314" s="1">
        <v>46074</v>
      </c>
      <c r="C314" t="s">
        <v>62</v>
      </c>
      <c r="D314" t="s">
        <v>151</v>
      </c>
      <c r="E314" t="s">
        <v>42</v>
      </c>
      <c r="F314" t="s">
        <v>114</v>
      </c>
      <c r="G314" t="s">
        <v>115</v>
      </c>
      <c r="H314" t="s">
        <v>115</v>
      </c>
      <c r="I314" t="s">
        <v>30</v>
      </c>
      <c r="J314" t="s">
        <v>86</v>
      </c>
      <c r="K314" t="s">
        <v>78</v>
      </c>
      <c r="L314" t="s">
        <v>33</v>
      </c>
      <c r="M314" t="s">
        <v>34</v>
      </c>
      <c r="N314" t="s">
        <v>48</v>
      </c>
      <c r="O314" t="s">
        <v>36</v>
      </c>
      <c r="P314" t="s">
        <v>37</v>
      </c>
      <c r="Q314" t="s">
        <v>158</v>
      </c>
      <c r="R314">
        <v>173</v>
      </c>
      <c r="S314">
        <v>86</v>
      </c>
      <c r="T314">
        <v>68</v>
      </c>
      <c r="U314">
        <v>25</v>
      </c>
      <c r="V314" t="s">
        <v>6498</v>
      </c>
      <c r="W314">
        <v>67405</v>
      </c>
      <c r="X314" t="s">
        <v>7174</v>
      </c>
      <c r="Y314">
        <v>48939</v>
      </c>
      <c r="Z314">
        <v>1685125</v>
      </c>
      <c r="AA314">
        <v>461650</v>
      </c>
      <c r="AB314" t="str">
        <f>(VLOOKUP(SalesData[[#This Row],[Month Number]],Reference!C$5:E$16,2,FALSE))</f>
        <v>Feb</v>
      </c>
      <c r="AC314">
        <f>MONTH(SalesData[[#This Row],[Date]])</f>
        <v>2</v>
      </c>
      <c r="AD314">
        <f>Reference!F$4</f>
        <v>2026</v>
      </c>
      <c r="AE314" t="str">
        <f>IF(OR(SalesData[[#This Row],[Day]]="Saturday",SalesData[[#This Row],[Day]]="Sunday"),"Weekend","Weekday")</f>
        <v>Weekend</v>
      </c>
      <c r="AF314" s="5">
        <f>IF(SalesData[[#This Row],[Contracts Offered]]=0,0,SalesData[[#This Row],[Contracts Signed]]/SalesData[[#This Row],[Contracts Offered]])</f>
        <v>0.36764705882352944</v>
      </c>
      <c r="AG314" s="5">
        <f>IF(SalesData[[#This Row],[Customers Visited]]=0,0,SalesData[[#This Row],[Test Drives]]/SalesData[[#This Row],[Customers Visited]])</f>
        <v>0.49710982658959535</v>
      </c>
      <c r="AH314" s="5">
        <f>IF(SalesData[[#This Row],[Customers Visited]]=0,0,SalesData[[#This Row],[Contracts Signed]]/SalesData[[#This Row],[Customers Visited]])</f>
        <v>0.14450867052023122</v>
      </c>
      <c r="AI314" s="6">
        <f>IF(SalesData[[#This Row],[Contracts Signed]]=0,0,SalesData[[#This Row],[Profit(€)]]/SalesData[[#This Row],[Contracts Signed]])</f>
        <v>18466</v>
      </c>
      <c r="AJ314" s="5" t="str">
        <f>TRIM(CLEAN(SalesData[[#This Row],[Retailer]]))</f>
        <v>Elbe Drive</v>
      </c>
    </row>
    <row r="315" spans="1:36" ht="14.25" x14ac:dyDescent="0.2">
      <c r="A315" t="s">
        <v>686</v>
      </c>
      <c r="B315" s="1">
        <v>46059</v>
      </c>
      <c r="C315" t="s">
        <v>24</v>
      </c>
      <c r="D315" t="s">
        <v>54</v>
      </c>
      <c r="E315" t="s">
        <v>26</v>
      </c>
      <c r="F315" t="s">
        <v>74</v>
      </c>
      <c r="G315" t="s">
        <v>75</v>
      </c>
      <c r="H315" t="s">
        <v>76</v>
      </c>
      <c r="I315" t="s">
        <v>30</v>
      </c>
      <c r="J315" t="s">
        <v>31</v>
      </c>
      <c r="K315" t="s">
        <v>32</v>
      </c>
      <c r="L315" t="s">
        <v>46</v>
      </c>
      <c r="M315" t="s">
        <v>47</v>
      </c>
      <c r="N315" t="s">
        <v>35</v>
      </c>
      <c r="O315" t="s">
        <v>36</v>
      </c>
      <c r="P315" t="s">
        <v>37</v>
      </c>
      <c r="Q315" t="s">
        <v>129</v>
      </c>
      <c r="R315">
        <v>164</v>
      </c>
      <c r="S315">
        <v>75</v>
      </c>
      <c r="T315">
        <v>56</v>
      </c>
      <c r="U315">
        <v>19</v>
      </c>
      <c r="V315" t="s">
        <v>6392</v>
      </c>
      <c r="W315">
        <v>55908</v>
      </c>
      <c r="X315" t="s">
        <v>107</v>
      </c>
      <c r="Y315">
        <v>43393</v>
      </c>
      <c r="Z315">
        <v>1062252</v>
      </c>
      <c r="AA315">
        <v>237785</v>
      </c>
      <c r="AB315" t="str">
        <f>(VLOOKUP(SalesData[[#This Row],[Month Number]],Reference!C$5:E$16,2,FALSE))</f>
        <v>Feb</v>
      </c>
      <c r="AC315">
        <f>MONTH(SalesData[[#This Row],[Date]])</f>
        <v>2</v>
      </c>
      <c r="AD315">
        <f>Reference!F$4</f>
        <v>2026</v>
      </c>
      <c r="AE315" t="str">
        <f>IF(OR(SalesData[[#This Row],[Day]]="Saturday",SalesData[[#This Row],[Day]]="Sunday"),"Weekend","Weekday")</f>
        <v>Weekday</v>
      </c>
      <c r="AF315" s="5">
        <f>IF(SalesData[[#This Row],[Contracts Offered]]=0,0,SalesData[[#This Row],[Contracts Signed]]/SalesData[[#This Row],[Contracts Offered]])</f>
        <v>0.3392857142857143</v>
      </c>
      <c r="AG315" s="5">
        <f>IF(SalesData[[#This Row],[Customers Visited]]=0,0,SalesData[[#This Row],[Test Drives]]/SalesData[[#This Row],[Customers Visited]])</f>
        <v>0.45731707317073172</v>
      </c>
      <c r="AH315" s="5">
        <f>IF(SalesData[[#This Row],[Customers Visited]]=0,0,SalesData[[#This Row],[Contracts Signed]]/SalesData[[#This Row],[Customers Visited]])</f>
        <v>0.11585365853658537</v>
      </c>
      <c r="AI315" s="6">
        <f>IF(SalesData[[#This Row],[Contracts Signed]]=0,0,SalesData[[#This Row],[Profit(€)]]/SalesData[[#This Row],[Contracts Signed]])</f>
        <v>12515</v>
      </c>
      <c r="AJ315" s="5" t="str">
        <f>TRIM(CLEAN(SalesData[[#This Row],[Retailer]]))</f>
        <v>Stuttgart Auto Center</v>
      </c>
    </row>
    <row r="316" spans="1:36" ht="14.25" hidden="1" x14ac:dyDescent="0.2">
      <c r="A316" t="s">
        <v>688</v>
      </c>
      <c r="B316" s="1">
        <v>46069</v>
      </c>
      <c r="C316" t="s">
        <v>62</v>
      </c>
      <c r="D316" t="s">
        <v>25</v>
      </c>
      <c r="E316" t="s">
        <v>26</v>
      </c>
      <c r="F316" t="s">
        <v>7649</v>
      </c>
      <c r="G316" t="s">
        <v>55</v>
      </c>
      <c r="H316" t="s">
        <v>55</v>
      </c>
      <c r="I316" t="s">
        <v>56</v>
      </c>
      <c r="J316" t="s">
        <v>97</v>
      </c>
      <c r="K316" t="s">
        <v>32</v>
      </c>
      <c r="L316" t="s">
        <v>33</v>
      </c>
      <c r="M316" t="s">
        <v>87</v>
      </c>
      <c r="N316" t="s">
        <v>48</v>
      </c>
      <c r="O316" t="s">
        <v>70</v>
      </c>
      <c r="P316" t="s">
        <v>37</v>
      </c>
      <c r="Q316" t="s">
        <v>189</v>
      </c>
      <c r="R316">
        <v>296</v>
      </c>
      <c r="S316">
        <v>147</v>
      </c>
      <c r="T316">
        <v>104</v>
      </c>
      <c r="U316">
        <v>31</v>
      </c>
      <c r="V316" t="s">
        <v>6847</v>
      </c>
      <c r="W316">
        <v>48174</v>
      </c>
      <c r="X316" t="s">
        <v>5862</v>
      </c>
      <c r="Y316">
        <v>39054</v>
      </c>
      <c r="Z316">
        <v>1493394</v>
      </c>
      <c r="AA316">
        <v>282720</v>
      </c>
      <c r="AB316" t="str">
        <f>(VLOOKUP(SalesData[[#This Row],[Month Number]],Reference!C$5:E$16,2,FALSE))</f>
        <v>Feb</v>
      </c>
      <c r="AC316">
        <f>MONTH(SalesData[[#This Row],[Date]])</f>
        <v>2</v>
      </c>
      <c r="AD316">
        <f>Reference!F$4</f>
        <v>2026</v>
      </c>
      <c r="AE316" t="str">
        <f>IF(OR(SalesData[[#This Row],[Day]]="Saturday",SalesData[[#This Row],[Day]]="Sunday"),"Weekend","Weekday")</f>
        <v>Weekday</v>
      </c>
      <c r="AF316" s="5">
        <f>IF(SalesData[[#This Row],[Contracts Offered]]=0,0,SalesData[[#This Row],[Contracts Signed]]/SalesData[[#This Row],[Contracts Offered]])</f>
        <v>0.29807692307692307</v>
      </c>
      <c r="AG316" s="5">
        <f>IF(SalesData[[#This Row],[Customers Visited]]=0,0,SalesData[[#This Row],[Test Drives]]/SalesData[[#This Row],[Customers Visited]])</f>
        <v>0.4966216216216216</v>
      </c>
      <c r="AH316" s="5">
        <f>IF(SalesData[[#This Row],[Customers Visited]]=0,0,SalesData[[#This Row],[Contracts Signed]]/SalesData[[#This Row],[Customers Visited]])</f>
        <v>0.10472972972972973</v>
      </c>
      <c r="AI316" s="6">
        <f>IF(SalesData[[#This Row],[Contracts Signed]]=0,0,SalesData[[#This Row],[Profit(€)]]/SalesData[[#This Row],[Contracts Signed]])</f>
        <v>9120</v>
      </c>
      <c r="AJ316" s="5" t="str">
        <f>TRIM(CLEAN(SalesData[[#This Row],[Retailer]]))</f>
        <v>Autohaus Berlin</v>
      </c>
    </row>
    <row r="317" spans="1:36" ht="14.25" x14ac:dyDescent="0.2">
      <c r="A317" t="s">
        <v>689</v>
      </c>
      <c r="B317" s="1">
        <v>46068</v>
      </c>
      <c r="C317" t="s">
        <v>62</v>
      </c>
      <c r="D317" t="s">
        <v>41</v>
      </c>
      <c r="E317" t="s">
        <v>42</v>
      </c>
      <c r="F317" t="s">
        <v>83</v>
      </c>
      <c r="G317" t="s">
        <v>84</v>
      </c>
      <c r="H317" t="s">
        <v>85</v>
      </c>
      <c r="I317" t="s">
        <v>30</v>
      </c>
      <c r="J317" t="s">
        <v>86</v>
      </c>
      <c r="K317" t="s">
        <v>91</v>
      </c>
      <c r="L317" t="s">
        <v>33</v>
      </c>
      <c r="M317" t="s">
        <v>87</v>
      </c>
      <c r="N317" t="s">
        <v>69</v>
      </c>
      <c r="O317" t="s">
        <v>36</v>
      </c>
      <c r="P317" t="s">
        <v>71</v>
      </c>
      <c r="Q317" t="s">
        <v>240</v>
      </c>
      <c r="R317">
        <v>279</v>
      </c>
      <c r="S317">
        <v>156</v>
      </c>
      <c r="T317">
        <v>111</v>
      </c>
      <c r="U317">
        <v>45</v>
      </c>
      <c r="V317" t="s">
        <v>6532</v>
      </c>
      <c r="W317">
        <v>50235</v>
      </c>
      <c r="X317" t="s">
        <v>7175</v>
      </c>
      <c r="Y317">
        <v>38005</v>
      </c>
      <c r="Z317">
        <v>2260575</v>
      </c>
      <c r="AA317">
        <v>550350</v>
      </c>
      <c r="AB317" t="str">
        <f>(VLOOKUP(SalesData[[#This Row],[Month Number]],Reference!C$5:E$16,2,FALSE))</f>
        <v>Feb</v>
      </c>
      <c r="AC317">
        <f>MONTH(SalesData[[#This Row],[Date]])</f>
        <v>2</v>
      </c>
      <c r="AD317">
        <f>Reference!F$4</f>
        <v>2026</v>
      </c>
      <c r="AE317" t="str">
        <f>IF(OR(SalesData[[#This Row],[Day]]="Saturday",SalesData[[#This Row],[Day]]="Sunday"),"Weekend","Weekday")</f>
        <v>Weekend</v>
      </c>
      <c r="AF317" s="5">
        <f>IF(SalesData[[#This Row],[Contracts Offered]]=0,0,SalesData[[#This Row],[Contracts Signed]]/SalesData[[#This Row],[Contracts Offered]])</f>
        <v>0.40540540540540543</v>
      </c>
      <c r="AG317" s="5">
        <f>IF(SalesData[[#This Row],[Customers Visited]]=0,0,SalesData[[#This Row],[Test Drives]]/SalesData[[#This Row],[Customers Visited]])</f>
        <v>0.55913978494623651</v>
      </c>
      <c r="AH317" s="5">
        <f>IF(SalesData[[#This Row],[Customers Visited]]=0,0,SalesData[[#This Row],[Contracts Signed]]/SalesData[[#This Row],[Customers Visited]])</f>
        <v>0.16129032258064516</v>
      </c>
      <c r="AI317" s="6">
        <f>IF(SalesData[[#This Row],[Contracts Signed]]=0,0,SalesData[[#This Row],[Profit(€)]]/SalesData[[#This Row],[Contracts Signed]])</f>
        <v>12230</v>
      </c>
      <c r="AJ317" s="5" t="str">
        <f>TRIM(CLEAN(SalesData[[#This Row],[Retailer]]))</f>
        <v>Hannover Cars</v>
      </c>
    </row>
    <row r="318" spans="1:36" ht="14.25" hidden="1" x14ac:dyDescent="0.2">
      <c r="A318" t="s">
        <v>691</v>
      </c>
      <c r="B318" s="1">
        <v>46074</v>
      </c>
      <c r="C318" t="s">
        <v>62</v>
      </c>
      <c r="D318" t="s">
        <v>151</v>
      </c>
      <c r="E318" t="s">
        <v>42</v>
      </c>
      <c r="F318" t="s">
        <v>109</v>
      </c>
      <c r="G318" t="s">
        <v>110</v>
      </c>
      <c r="H318" t="s">
        <v>45</v>
      </c>
      <c r="I318" t="s">
        <v>104</v>
      </c>
      <c r="J318" t="s">
        <v>7031</v>
      </c>
      <c r="K318" t="s">
        <v>78</v>
      </c>
      <c r="L318" t="s">
        <v>46</v>
      </c>
      <c r="M318" t="s">
        <v>68</v>
      </c>
      <c r="N318" t="s">
        <v>69</v>
      </c>
      <c r="O318" t="s">
        <v>70</v>
      </c>
      <c r="P318" t="s">
        <v>71</v>
      </c>
      <c r="Q318" t="s">
        <v>189</v>
      </c>
      <c r="R318">
        <v>499</v>
      </c>
      <c r="S318">
        <v>282</v>
      </c>
      <c r="T318">
        <v>181</v>
      </c>
      <c r="U318">
        <v>46</v>
      </c>
      <c r="V318" t="s">
        <v>6529</v>
      </c>
      <c r="W318">
        <v>27636</v>
      </c>
      <c r="X318" t="s">
        <v>1082</v>
      </c>
      <c r="Y318">
        <v>24830</v>
      </c>
      <c r="Z318">
        <v>1271256</v>
      </c>
      <c r="AA318">
        <v>129076</v>
      </c>
      <c r="AB318" t="str">
        <f>(VLOOKUP(SalesData[[#This Row],[Month Number]],Reference!C$5:E$16,2,FALSE))</f>
        <v>Feb</v>
      </c>
      <c r="AC318">
        <f>MONTH(SalesData[[#This Row],[Date]])</f>
        <v>2</v>
      </c>
      <c r="AD318">
        <f>Reference!F$4</f>
        <v>2026</v>
      </c>
      <c r="AE318" t="str">
        <f>IF(OR(SalesData[[#This Row],[Day]]="Saturday",SalesData[[#This Row],[Day]]="Sunday"),"Weekend","Weekday")</f>
        <v>Weekend</v>
      </c>
      <c r="AF318" s="5">
        <f>IF(SalesData[[#This Row],[Contracts Offered]]=0,0,SalesData[[#This Row],[Contracts Signed]]/SalesData[[#This Row],[Contracts Offered]])</f>
        <v>0.2541436464088398</v>
      </c>
      <c r="AG318" s="5">
        <f>IF(SalesData[[#This Row],[Customers Visited]]=0,0,SalesData[[#This Row],[Test Drives]]/SalesData[[#This Row],[Customers Visited]])</f>
        <v>0.56513026052104209</v>
      </c>
      <c r="AH318" s="5">
        <f>IF(SalesData[[#This Row],[Customers Visited]]=0,0,SalesData[[#This Row],[Contracts Signed]]/SalesData[[#This Row],[Customers Visited]])</f>
        <v>9.2184368737474945E-2</v>
      </c>
      <c r="AI318" s="6">
        <f>IF(SalesData[[#This Row],[Contracts Signed]]=0,0,SalesData[[#This Row],[Profit(€)]]/SalesData[[#This Row],[Contracts Signed]])</f>
        <v>2806</v>
      </c>
      <c r="AJ318" s="5" t="str">
        <f>TRIM(CLEAN(SalesData[[#This Row],[Retailer]]))</f>
        <v>Leipzig Mobility</v>
      </c>
    </row>
    <row r="319" spans="1:36" ht="14.25" hidden="1" x14ac:dyDescent="0.2">
      <c r="A319" t="s">
        <v>693</v>
      </c>
      <c r="B319" s="1">
        <v>46068</v>
      </c>
      <c r="C319" t="s">
        <v>62</v>
      </c>
      <c r="D319" t="s">
        <v>41</v>
      </c>
      <c r="E319" t="s">
        <v>42</v>
      </c>
      <c r="F319" t="s">
        <v>101</v>
      </c>
      <c r="G319" t="s">
        <v>102</v>
      </c>
      <c r="H319" t="s">
        <v>103</v>
      </c>
      <c r="I319" t="s">
        <v>116</v>
      </c>
      <c r="J319" t="s">
        <v>7090</v>
      </c>
      <c r="K319" t="s">
        <v>91</v>
      </c>
      <c r="L319" t="s">
        <v>46</v>
      </c>
      <c r="M319" t="s">
        <v>87</v>
      </c>
      <c r="N319" t="s">
        <v>69</v>
      </c>
      <c r="O319" t="s">
        <v>70</v>
      </c>
      <c r="P319" t="s">
        <v>37</v>
      </c>
      <c r="Q319" t="s">
        <v>144</v>
      </c>
      <c r="R319">
        <v>407</v>
      </c>
      <c r="S319">
        <v>203</v>
      </c>
      <c r="T319">
        <v>141</v>
      </c>
      <c r="U319">
        <v>27</v>
      </c>
      <c r="V319" t="s">
        <v>4345</v>
      </c>
      <c r="W319">
        <v>24849</v>
      </c>
      <c r="X319" t="s">
        <v>2802</v>
      </c>
      <c r="Y319">
        <v>22258</v>
      </c>
      <c r="Z319">
        <v>670923</v>
      </c>
      <c r="AA319">
        <v>69957</v>
      </c>
      <c r="AB319" t="str">
        <f>(VLOOKUP(SalesData[[#This Row],[Month Number]],Reference!C$5:E$16,2,FALSE))</f>
        <v>Feb</v>
      </c>
      <c r="AC319">
        <f>MONTH(SalesData[[#This Row],[Date]])</f>
        <v>2</v>
      </c>
      <c r="AD319">
        <f>Reference!F$4</f>
        <v>2026</v>
      </c>
      <c r="AE319" t="str">
        <f>IF(OR(SalesData[[#This Row],[Day]]="Saturday",SalesData[[#This Row],[Day]]="Sunday"),"Weekend","Weekday")</f>
        <v>Weekend</v>
      </c>
      <c r="AF319" s="5">
        <f>IF(SalesData[[#This Row],[Contracts Offered]]=0,0,SalesData[[#This Row],[Contracts Signed]]/SalesData[[#This Row],[Contracts Offered]])</f>
        <v>0.19148936170212766</v>
      </c>
      <c r="AG319" s="5">
        <f>IF(SalesData[[#This Row],[Customers Visited]]=0,0,SalesData[[#This Row],[Test Drives]]/SalesData[[#This Row],[Customers Visited]])</f>
        <v>0.49877149877149879</v>
      </c>
      <c r="AH319" s="5">
        <f>IF(SalesData[[#This Row],[Customers Visited]]=0,0,SalesData[[#This Row],[Contracts Signed]]/SalesData[[#This Row],[Customers Visited]])</f>
        <v>6.6339066339066333E-2</v>
      </c>
      <c r="AI319" s="6">
        <f>IF(SalesData[[#This Row],[Contracts Signed]]=0,0,SalesData[[#This Row],[Profit(€)]]/SalesData[[#This Row],[Contracts Signed]])</f>
        <v>2591</v>
      </c>
      <c r="AJ319" s="5" t="str">
        <f>TRIM(CLEAN(SalesData[[#This Row],[Retailer]]))</f>
        <v>Ruhr Auto Plaza</v>
      </c>
    </row>
    <row r="320" spans="1:36" ht="14.25" hidden="1" x14ac:dyDescent="0.2">
      <c r="A320" t="s">
        <v>695</v>
      </c>
      <c r="B320" s="1">
        <v>46070</v>
      </c>
      <c r="C320" t="s">
        <v>62</v>
      </c>
      <c r="D320" t="s">
        <v>63</v>
      </c>
      <c r="E320" t="s">
        <v>26</v>
      </c>
      <c r="F320" t="s">
        <v>27</v>
      </c>
      <c r="G320" t="s">
        <v>28</v>
      </c>
      <c r="H320" t="s">
        <v>29</v>
      </c>
      <c r="I320" t="s">
        <v>64</v>
      </c>
      <c r="J320" t="s">
        <v>77</v>
      </c>
      <c r="K320" t="s">
        <v>91</v>
      </c>
      <c r="L320" t="s">
        <v>46</v>
      </c>
      <c r="M320" t="s">
        <v>68</v>
      </c>
      <c r="N320" t="s">
        <v>48</v>
      </c>
      <c r="O320" t="s">
        <v>36</v>
      </c>
      <c r="P320" t="s">
        <v>71</v>
      </c>
      <c r="Q320" t="s">
        <v>118</v>
      </c>
      <c r="R320">
        <v>220</v>
      </c>
      <c r="S320">
        <v>110</v>
      </c>
      <c r="T320">
        <v>79</v>
      </c>
      <c r="U320">
        <v>30</v>
      </c>
      <c r="V320" t="s">
        <v>6483</v>
      </c>
      <c r="W320">
        <v>58118</v>
      </c>
      <c r="X320" t="s">
        <v>4990</v>
      </c>
      <c r="Y320">
        <v>43193</v>
      </c>
      <c r="Z320">
        <v>1743540</v>
      </c>
      <c r="AA320">
        <v>447750</v>
      </c>
      <c r="AB320" t="str">
        <f>(VLOOKUP(SalesData[[#This Row],[Month Number]],Reference!C$5:E$16,2,FALSE))</f>
        <v>Feb</v>
      </c>
      <c r="AC320">
        <f>MONTH(SalesData[[#This Row],[Date]])</f>
        <v>2</v>
      </c>
      <c r="AD320">
        <f>Reference!F$4</f>
        <v>2026</v>
      </c>
      <c r="AE320" t="str">
        <f>IF(OR(SalesData[[#This Row],[Day]]="Saturday",SalesData[[#This Row],[Day]]="Sunday"),"Weekend","Weekday")</f>
        <v>Weekday</v>
      </c>
      <c r="AF320" s="5">
        <f>IF(SalesData[[#This Row],[Contracts Offered]]=0,0,SalesData[[#This Row],[Contracts Signed]]/SalesData[[#This Row],[Contracts Offered]])</f>
        <v>0.379746835443038</v>
      </c>
      <c r="AG320" s="5">
        <f>IF(SalesData[[#This Row],[Customers Visited]]=0,0,SalesData[[#This Row],[Test Drives]]/SalesData[[#This Row],[Customers Visited]])</f>
        <v>0.5</v>
      </c>
      <c r="AH320" s="5">
        <f>IF(SalesData[[#This Row],[Customers Visited]]=0,0,SalesData[[#This Row],[Contracts Signed]]/SalesData[[#This Row],[Customers Visited]])</f>
        <v>0.13636363636363635</v>
      </c>
      <c r="AI320" s="6">
        <f>IF(SalesData[[#This Row],[Contracts Signed]]=0,0,SalesData[[#This Row],[Profit(€)]]/SalesData[[#This Row],[Contracts Signed]])</f>
        <v>14925</v>
      </c>
      <c r="AJ320" s="5" t="str">
        <f>TRIM(CLEAN(SalesData[[#This Row],[Retailer]]))</f>
        <v>Main Auto Hub</v>
      </c>
    </row>
    <row r="321" spans="1:36" ht="14.25" hidden="1" x14ac:dyDescent="0.2">
      <c r="A321" t="s">
        <v>697</v>
      </c>
      <c r="B321" s="1">
        <v>46072</v>
      </c>
      <c r="C321" t="s">
        <v>62</v>
      </c>
      <c r="D321" t="s">
        <v>100</v>
      </c>
      <c r="E321" t="s">
        <v>26</v>
      </c>
      <c r="F321" t="s">
        <v>94</v>
      </c>
      <c r="G321" t="s">
        <v>95</v>
      </c>
      <c r="H321" t="s">
        <v>96</v>
      </c>
      <c r="I321" t="s">
        <v>56</v>
      </c>
      <c r="J321" t="s">
        <v>179</v>
      </c>
      <c r="K321" t="s">
        <v>66</v>
      </c>
      <c r="L321" t="s">
        <v>67</v>
      </c>
      <c r="M321" t="s">
        <v>34</v>
      </c>
      <c r="N321" t="s">
        <v>69</v>
      </c>
      <c r="O321" t="s">
        <v>70</v>
      </c>
      <c r="P321" t="s">
        <v>71</v>
      </c>
      <c r="Q321" t="s">
        <v>106</v>
      </c>
      <c r="R321">
        <v>303</v>
      </c>
      <c r="S321">
        <v>188</v>
      </c>
      <c r="T321">
        <v>124</v>
      </c>
      <c r="U321">
        <v>44</v>
      </c>
      <c r="V321" t="s">
        <v>6801</v>
      </c>
      <c r="W321">
        <v>40814</v>
      </c>
      <c r="X321" t="s">
        <v>7176</v>
      </c>
      <c r="Y321">
        <v>32421</v>
      </c>
      <c r="Z321">
        <v>1795816</v>
      </c>
      <c r="AA321">
        <v>369292</v>
      </c>
      <c r="AB321" t="str">
        <f>(VLOOKUP(SalesData[[#This Row],[Month Number]],Reference!C$5:E$16,2,FALSE))</f>
        <v>Feb</v>
      </c>
      <c r="AC321">
        <f>MONTH(SalesData[[#This Row],[Date]])</f>
        <v>2</v>
      </c>
      <c r="AD321">
        <f>Reference!F$4</f>
        <v>2026</v>
      </c>
      <c r="AE321" t="str">
        <f>IF(OR(SalesData[[#This Row],[Day]]="Saturday",SalesData[[#This Row],[Day]]="Sunday"),"Weekend","Weekday")</f>
        <v>Weekday</v>
      </c>
      <c r="AF321" s="5">
        <f>IF(SalesData[[#This Row],[Contracts Offered]]=0,0,SalesData[[#This Row],[Contracts Signed]]/SalesData[[#This Row],[Contracts Offered]])</f>
        <v>0.35483870967741937</v>
      </c>
      <c r="AG321" s="5">
        <f>IF(SalesData[[#This Row],[Customers Visited]]=0,0,SalesData[[#This Row],[Test Drives]]/SalesData[[#This Row],[Customers Visited]])</f>
        <v>0.62046204620462042</v>
      </c>
      <c r="AH321" s="5">
        <f>IF(SalesData[[#This Row],[Customers Visited]]=0,0,SalesData[[#This Row],[Contracts Signed]]/SalesData[[#This Row],[Customers Visited]])</f>
        <v>0.14521452145214522</v>
      </c>
      <c r="AI321" s="6">
        <f>IF(SalesData[[#This Row],[Contracts Signed]]=0,0,SalesData[[#This Row],[Profit(€)]]/SalesData[[#This Row],[Contracts Signed]])</f>
        <v>8393</v>
      </c>
      <c r="AJ321" s="5" t="str">
        <f>TRIM(CLEAN(SalesData[[#This Row],[Retailer]]))</f>
        <v>Bavaria Motors</v>
      </c>
    </row>
    <row r="322" spans="1:36" ht="14.25" hidden="1" x14ac:dyDescent="0.2">
      <c r="A322" t="s">
        <v>699</v>
      </c>
      <c r="B322" s="1">
        <v>46061</v>
      </c>
      <c r="C322" t="s">
        <v>121</v>
      </c>
      <c r="D322" t="s">
        <v>41</v>
      </c>
      <c r="E322" t="s">
        <v>42</v>
      </c>
      <c r="F322" t="s">
        <v>27</v>
      </c>
      <c r="G322" t="s">
        <v>28</v>
      </c>
      <c r="H322" t="s">
        <v>29</v>
      </c>
      <c r="I322" t="s">
        <v>104</v>
      </c>
      <c r="J322" t="s">
        <v>105</v>
      </c>
      <c r="K322" t="s">
        <v>66</v>
      </c>
      <c r="L322" t="s">
        <v>33</v>
      </c>
      <c r="M322" t="s">
        <v>87</v>
      </c>
      <c r="N322" t="s">
        <v>48</v>
      </c>
      <c r="O322" t="s">
        <v>70</v>
      </c>
      <c r="P322" t="s">
        <v>71</v>
      </c>
      <c r="Q322" t="s">
        <v>50</v>
      </c>
      <c r="R322">
        <v>427</v>
      </c>
      <c r="S322">
        <v>211</v>
      </c>
      <c r="T322">
        <v>145</v>
      </c>
      <c r="U322">
        <v>30</v>
      </c>
      <c r="V322" t="s">
        <v>2875</v>
      </c>
      <c r="W322">
        <v>34056</v>
      </c>
      <c r="X322" t="s">
        <v>692</v>
      </c>
      <c r="Y322">
        <v>30362</v>
      </c>
      <c r="Z322">
        <v>1021680</v>
      </c>
      <c r="AA322">
        <v>110820</v>
      </c>
      <c r="AB322" t="str">
        <f>(VLOOKUP(SalesData[[#This Row],[Month Number]],Reference!C$5:E$16,2,FALSE))</f>
        <v>Feb</v>
      </c>
      <c r="AC322">
        <f>MONTH(SalesData[[#This Row],[Date]])</f>
        <v>2</v>
      </c>
      <c r="AD322">
        <f>Reference!F$4</f>
        <v>2026</v>
      </c>
      <c r="AE322" t="str">
        <f>IF(OR(SalesData[[#This Row],[Day]]="Saturday",SalesData[[#This Row],[Day]]="Sunday"),"Weekend","Weekday")</f>
        <v>Weekend</v>
      </c>
      <c r="AF322" s="5">
        <f>IF(SalesData[[#This Row],[Contracts Offered]]=0,0,SalesData[[#This Row],[Contracts Signed]]/SalesData[[#This Row],[Contracts Offered]])</f>
        <v>0.20689655172413793</v>
      </c>
      <c r="AG322" s="5">
        <f>IF(SalesData[[#This Row],[Customers Visited]]=0,0,SalesData[[#This Row],[Test Drives]]/SalesData[[#This Row],[Customers Visited]])</f>
        <v>0.49414519906323184</v>
      </c>
      <c r="AH322" s="5">
        <f>IF(SalesData[[#This Row],[Customers Visited]]=0,0,SalesData[[#This Row],[Contracts Signed]]/SalesData[[#This Row],[Customers Visited]])</f>
        <v>7.0257611241217793E-2</v>
      </c>
      <c r="AI322" s="6">
        <f>IF(SalesData[[#This Row],[Contracts Signed]]=0,0,SalesData[[#This Row],[Profit(€)]]/SalesData[[#This Row],[Contracts Signed]])</f>
        <v>3694</v>
      </c>
      <c r="AJ322" s="5" t="str">
        <f>TRIM(CLEAN(SalesData[[#This Row],[Retailer]]))</f>
        <v>Main Auto Hub</v>
      </c>
    </row>
    <row r="323" spans="1:36" ht="14.25" hidden="1" x14ac:dyDescent="0.2">
      <c r="A323" t="s">
        <v>700</v>
      </c>
      <c r="B323" s="1">
        <v>46072</v>
      </c>
      <c r="C323" t="s">
        <v>62</v>
      </c>
      <c r="D323" t="s">
        <v>100</v>
      </c>
      <c r="E323" t="s">
        <v>26</v>
      </c>
      <c r="F323" t="s">
        <v>109</v>
      </c>
      <c r="G323" t="s">
        <v>110</v>
      </c>
      <c r="H323" t="s">
        <v>45</v>
      </c>
      <c r="I323" t="s">
        <v>104</v>
      </c>
      <c r="J323" t="s">
        <v>140</v>
      </c>
      <c r="K323" t="s">
        <v>78</v>
      </c>
      <c r="L323" t="s">
        <v>46</v>
      </c>
      <c r="M323" t="s">
        <v>34</v>
      </c>
      <c r="N323" t="s">
        <v>35</v>
      </c>
      <c r="O323" t="s">
        <v>70</v>
      </c>
      <c r="P323" t="s">
        <v>49</v>
      </c>
      <c r="Q323" t="s">
        <v>189</v>
      </c>
      <c r="R323">
        <v>462</v>
      </c>
      <c r="S323">
        <v>223</v>
      </c>
      <c r="T323">
        <v>145</v>
      </c>
      <c r="U323">
        <v>31</v>
      </c>
      <c r="V323" t="s">
        <v>6912</v>
      </c>
      <c r="W323">
        <v>34601</v>
      </c>
      <c r="X323" t="s">
        <v>2535</v>
      </c>
      <c r="Y323">
        <v>30473</v>
      </c>
      <c r="Z323">
        <v>1072631</v>
      </c>
      <c r="AA323">
        <v>127968</v>
      </c>
      <c r="AB323" t="str">
        <f>(VLOOKUP(SalesData[[#This Row],[Month Number]],Reference!C$5:E$16,2,FALSE))</f>
        <v>Feb</v>
      </c>
      <c r="AC323">
        <f>MONTH(SalesData[[#This Row],[Date]])</f>
        <v>2</v>
      </c>
      <c r="AD323">
        <f>Reference!F$4</f>
        <v>2026</v>
      </c>
      <c r="AE323" t="str">
        <f>IF(OR(SalesData[[#This Row],[Day]]="Saturday",SalesData[[#This Row],[Day]]="Sunday"),"Weekend","Weekday")</f>
        <v>Weekday</v>
      </c>
      <c r="AF323" s="5">
        <f>IF(SalesData[[#This Row],[Contracts Offered]]=0,0,SalesData[[#This Row],[Contracts Signed]]/SalesData[[#This Row],[Contracts Offered]])</f>
        <v>0.21379310344827587</v>
      </c>
      <c r="AG323" s="5">
        <f>IF(SalesData[[#This Row],[Customers Visited]]=0,0,SalesData[[#This Row],[Test Drives]]/SalesData[[#This Row],[Customers Visited]])</f>
        <v>0.48268398268398266</v>
      </c>
      <c r="AH323" s="5">
        <f>IF(SalesData[[#This Row],[Customers Visited]]=0,0,SalesData[[#This Row],[Contracts Signed]]/SalesData[[#This Row],[Customers Visited]])</f>
        <v>6.7099567099567103E-2</v>
      </c>
      <c r="AI323" s="6">
        <f>IF(SalesData[[#This Row],[Contracts Signed]]=0,0,SalesData[[#This Row],[Profit(€)]]/SalesData[[#This Row],[Contracts Signed]])</f>
        <v>4128</v>
      </c>
      <c r="AJ323" s="5" t="str">
        <f>TRIM(CLEAN(SalesData[[#This Row],[Retailer]]))</f>
        <v>Leipzig Mobility</v>
      </c>
    </row>
    <row r="324" spans="1:36" ht="14.25" hidden="1" x14ac:dyDescent="0.2">
      <c r="A324" t="s">
        <v>701</v>
      </c>
      <c r="B324" s="1">
        <v>46056</v>
      </c>
      <c r="C324" t="s">
        <v>24</v>
      </c>
      <c r="D324" t="s">
        <v>63</v>
      </c>
      <c r="E324" t="s">
        <v>26</v>
      </c>
      <c r="F324" t="s">
        <v>114</v>
      </c>
      <c r="G324" t="s">
        <v>115</v>
      </c>
      <c r="H324" t="s">
        <v>115</v>
      </c>
      <c r="I324" t="s">
        <v>116</v>
      </c>
      <c r="J324" t="s">
        <v>7090</v>
      </c>
      <c r="K324" t="s">
        <v>91</v>
      </c>
      <c r="L324" t="s">
        <v>46</v>
      </c>
      <c r="M324" t="s">
        <v>34</v>
      </c>
      <c r="N324" t="s">
        <v>69</v>
      </c>
      <c r="O324" t="s">
        <v>36</v>
      </c>
      <c r="P324" t="s">
        <v>49</v>
      </c>
      <c r="Q324" t="s">
        <v>172</v>
      </c>
      <c r="R324">
        <v>427</v>
      </c>
      <c r="S324">
        <v>207</v>
      </c>
      <c r="T324">
        <v>118</v>
      </c>
      <c r="U324">
        <v>33</v>
      </c>
      <c r="V324" t="s">
        <v>616</v>
      </c>
      <c r="W324">
        <v>19998</v>
      </c>
      <c r="X324" t="s">
        <v>1473</v>
      </c>
      <c r="Y324">
        <v>18186</v>
      </c>
      <c r="Z324">
        <v>659934</v>
      </c>
      <c r="AA324">
        <v>59796</v>
      </c>
      <c r="AB324" t="str">
        <f>(VLOOKUP(SalesData[[#This Row],[Month Number]],Reference!C$5:E$16,2,FALSE))</f>
        <v>Feb</v>
      </c>
      <c r="AC324">
        <f>MONTH(SalesData[[#This Row],[Date]])</f>
        <v>2</v>
      </c>
      <c r="AD324">
        <f>Reference!F$4</f>
        <v>2026</v>
      </c>
      <c r="AE324" t="str">
        <f>IF(OR(SalesData[[#This Row],[Day]]="Saturday",SalesData[[#This Row],[Day]]="Sunday"),"Weekend","Weekday")</f>
        <v>Weekday</v>
      </c>
      <c r="AF324" s="5">
        <f>IF(SalesData[[#This Row],[Contracts Offered]]=0,0,SalesData[[#This Row],[Contracts Signed]]/SalesData[[#This Row],[Contracts Offered]])</f>
        <v>0.27966101694915252</v>
      </c>
      <c r="AG324" s="5">
        <f>IF(SalesData[[#This Row],[Customers Visited]]=0,0,SalesData[[#This Row],[Test Drives]]/SalesData[[#This Row],[Customers Visited]])</f>
        <v>0.48477751756440279</v>
      </c>
      <c r="AH324" s="5">
        <f>IF(SalesData[[#This Row],[Customers Visited]]=0,0,SalesData[[#This Row],[Contracts Signed]]/SalesData[[#This Row],[Customers Visited]])</f>
        <v>7.7283372365339581E-2</v>
      </c>
      <c r="AI324" s="6">
        <f>IF(SalesData[[#This Row],[Contracts Signed]]=0,0,SalesData[[#This Row],[Profit(€)]]/SalesData[[#This Row],[Contracts Signed]])</f>
        <v>1812</v>
      </c>
      <c r="AJ324" s="5" t="str">
        <f>TRIM(CLEAN(SalesData[[#This Row],[Retailer]]))</f>
        <v>Elbe Drive</v>
      </c>
    </row>
    <row r="325" spans="1:36" ht="14.25" hidden="1" x14ac:dyDescent="0.2">
      <c r="A325" t="s">
        <v>703</v>
      </c>
      <c r="B325" s="1">
        <v>46056</v>
      </c>
      <c r="C325" t="s">
        <v>24</v>
      </c>
      <c r="D325" t="s">
        <v>63</v>
      </c>
      <c r="E325" t="s">
        <v>26</v>
      </c>
      <c r="F325" t="s">
        <v>7649</v>
      </c>
      <c r="G325" t="s">
        <v>55</v>
      </c>
      <c r="H325" t="s">
        <v>55</v>
      </c>
      <c r="I325" t="s">
        <v>104</v>
      </c>
      <c r="J325" t="s">
        <v>140</v>
      </c>
      <c r="K325" t="s">
        <v>91</v>
      </c>
      <c r="L325" t="s">
        <v>46</v>
      </c>
      <c r="M325" t="s">
        <v>87</v>
      </c>
      <c r="N325" t="s">
        <v>69</v>
      </c>
      <c r="O325" t="s">
        <v>70</v>
      </c>
      <c r="P325" t="s">
        <v>49</v>
      </c>
      <c r="Q325" t="s">
        <v>169</v>
      </c>
      <c r="R325">
        <v>403</v>
      </c>
      <c r="S325">
        <v>195</v>
      </c>
      <c r="T325">
        <v>122</v>
      </c>
      <c r="U325">
        <v>30</v>
      </c>
      <c r="V325" t="s">
        <v>1109</v>
      </c>
      <c r="W325">
        <v>26935</v>
      </c>
      <c r="X325" t="s">
        <v>4553</v>
      </c>
      <c r="Y325">
        <v>24202</v>
      </c>
      <c r="Z325">
        <v>808050</v>
      </c>
      <c r="AA325">
        <v>81990</v>
      </c>
      <c r="AB325" t="str">
        <f>(VLOOKUP(SalesData[[#This Row],[Month Number]],Reference!C$5:E$16,2,FALSE))</f>
        <v>Feb</v>
      </c>
      <c r="AC325">
        <f>MONTH(SalesData[[#This Row],[Date]])</f>
        <v>2</v>
      </c>
      <c r="AD325">
        <f>Reference!F$4</f>
        <v>2026</v>
      </c>
      <c r="AE325" t="str">
        <f>IF(OR(SalesData[[#This Row],[Day]]="Saturday",SalesData[[#This Row],[Day]]="Sunday"),"Weekend","Weekday")</f>
        <v>Weekday</v>
      </c>
      <c r="AF325" s="5">
        <f>IF(SalesData[[#This Row],[Contracts Offered]]=0,0,SalesData[[#This Row],[Contracts Signed]]/SalesData[[#This Row],[Contracts Offered]])</f>
        <v>0.24590163934426229</v>
      </c>
      <c r="AG325" s="5">
        <f>IF(SalesData[[#This Row],[Customers Visited]]=0,0,SalesData[[#This Row],[Test Drives]]/SalesData[[#This Row],[Customers Visited]])</f>
        <v>0.4838709677419355</v>
      </c>
      <c r="AH325" s="5">
        <f>IF(SalesData[[#This Row],[Customers Visited]]=0,0,SalesData[[#This Row],[Contracts Signed]]/SalesData[[#This Row],[Customers Visited]])</f>
        <v>7.4441687344913146E-2</v>
      </c>
      <c r="AI325" s="6">
        <f>IF(SalesData[[#This Row],[Contracts Signed]]=0,0,SalesData[[#This Row],[Profit(€)]]/SalesData[[#This Row],[Contracts Signed]])</f>
        <v>2733</v>
      </c>
      <c r="AJ325" s="5" t="str">
        <f>TRIM(CLEAN(SalesData[[#This Row],[Retailer]]))</f>
        <v>Autohaus Berlin</v>
      </c>
    </row>
    <row r="326" spans="1:36" ht="14.25" hidden="1" x14ac:dyDescent="0.2">
      <c r="A326" t="s">
        <v>705</v>
      </c>
      <c r="B326" s="1">
        <v>46067</v>
      </c>
      <c r="C326" t="s">
        <v>121</v>
      </c>
      <c r="D326" t="s">
        <v>151</v>
      </c>
      <c r="E326" t="s">
        <v>42</v>
      </c>
      <c r="F326" t="s">
        <v>127</v>
      </c>
      <c r="G326" t="s">
        <v>128</v>
      </c>
      <c r="H326" t="s">
        <v>103</v>
      </c>
      <c r="I326" t="s">
        <v>104</v>
      </c>
      <c r="J326" t="s">
        <v>143</v>
      </c>
      <c r="K326" t="s">
        <v>78</v>
      </c>
      <c r="L326" t="s">
        <v>67</v>
      </c>
      <c r="M326" t="s">
        <v>34</v>
      </c>
      <c r="N326" t="s">
        <v>35</v>
      </c>
      <c r="O326" t="s">
        <v>70</v>
      </c>
      <c r="P326" t="s">
        <v>58</v>
      </c>
      <c r="Q326" t="s">
        <v>59</v>
      </c>
      <c r="R326">
        <v>260</v>
      </c>
      <c r="S326">
        <v>148</v>
      </c>
      <c r="T326">
        <v>100</v>
      </c>
      <c r="U326">
        <v>26</v>
      </c>
      <c r="V326" t="s">
        <v>380</v>
      </c>
      <c r="W326">
        <v>30400</v>
      </c>
      <c r="X326" t="s">
        <v>5994</v>
      </c>
      <c r="Y326">
        <v>26419</v>
      </c>
      <c r="Z326">
        <v>790400</v>
      </c>
      <c r="AA326">
        <v>103506</v>
      </c>
      <c r="AB326" t="str">
        <f>(VLOOKUP(SalesData[[#This Row],[Month Number]],Reference!C$5:E$16,2,FALSE))</f>
        <v>Feb</v>
      </c>
      <c r="AC326">
        <f>MONTH(SalesData[[#This Row],[Date]])</f>
        <v>2</v>
      </c>
      <c r="AD326">
        <f>Reference!F$4</f>
        <v>2026</v>
      </c>
      <c r="AE326" t="str">
        <f>IF(OR(SalesData[[#This Row],[Day]]="Saturday",SalesData[[#This Row],[Day]]="Sunday"),"Weekend","Weekday")</f>
        <v>Weekend</v>
      </c>
      <c r="AF326" s="5">
        <f>IF(SalesData[[#This Row],[Contracts Offered]]=0,0,SalesData[[#This Row],[Contracts Signed]]/SalesData[[#This Row],[Contracts Offered]])</f>
        <v>0.26</v>
      </c>
      <c r="AG326" s="5">
        <f>IF(SalesData[[#This Row],[Customers Visited]]=0,0,SalesData[[#This Row],[Test Drives]]/SalesData[[#This Row],[Customers Visited]])</f>
        <v>0.56923076923076921</v>
      </c>
      <c r="AH326" s="5">
        <f>IF(SalesData[[#This Row],[Customers Visited]]=0,0,SalesData[[#This Row],[Contracts Signed]]/SalesData[[#This Row],[Customers Visited]])</f>
        <v>0.1</v>
      </c>
      <c r="AI326" s="6">
        <f>IF(SalesData[[#This Row],[Contracts Signed]]=0,0,SalesData[[#This Row],[Profit(€)]]/SalesData[[#This Row],[Contracts Signed]])</f>
        <v>3981</v>
      </c>
      <c r="AJ326" s="5" t="str">
        <f>TRIM(CLEAN(SalesData[[#This Row],[Retailer]]))</f>
        <v>Rhein Auto Group</v>
      </c>
    </row>
    <row r="327" spans="1:36" ht="14.25" hidden="1" x14ac:dyDescent="0.2">
      <c r="A327" t="s">
        <v>706</v>
      </c>
      <c r="B327" s="1">
        <v>46054</v>
      </c>
      <c r="C327" t="s">
        <v>24</v>
      </c>
      <c r="D327" t="s">
        <v>41</v>
      </c>
      <c r="E327" t="s">
        <v>42</v>
      </c>
      <c r="F327" t="s">
        <v>101</v>
      </c>
      <c r="G327" t="s">
        <v>102</v>
      </c>
      <c r="H327" t="s">
        <v>103</v>
      </c>
      <c r="I327" t="s">
        <v>56</v>
      </c>
      <c r="J327" t="s">
        <v>179</v>
      </c>
      <c r="K327" t="s">
        <v>66</v>
      </c>
      <c r="L327" t="s">
        <v>67</v>
      </c>
      <c r="M327" t="s">
        <v>47</v>
      </c>
      <c r="N327" t="s">
        <v>48</v>
      </c>
      <c r="O327" t="s">
        <v>36</v>
      </c>
      <c r="P327" t="s">
        <v>49</v>
      </c>
      <c r="Q327" t="s">
        <v>59</v>
      </c>
      <c r="R327">
        <v>284</v>
      </c>
      <c r="S327">
        <v>157</v>
      </c>
      <c r="T327">
        <v>102</v>
      </c>
      <c r="U327">
        <v>31</v>
      </c>
      <c r="V327" t="s">
        <v>2805</v>
      </c>
      <c r="W327">
        <v>47461</v>
      </c>
      <c r="X327" t="s">
        <v>7160</v>
      </c>
      <c r="Y327">
        <v>37252</v>
      </c>
      <c r="Z327">
        <v>1471291</v>
      </c>
      <c r="AA327">
        <v>316479</v>
      </c>
      <c r="AB327" t="str">
        <f>(VLOOKUP(SalesData[[#This Row],[Month Number]],Reference!C$5:E$16,2,FALSE))</f>
        <v>Feb</v>
      </c>
      <c r="AC327">
        <f>MONTH(SalesData[[#This Row],[Date]])</f>
        <v>2</v>
      </c>
      <c r="AD327">
        <f>Reference!F$4</f>
        <v>2026</v>
      </c>
      <c r="AE327" t="str">
        <f>IF(OR(SalesData[[#This Row],[Day]]="Saturday",SalesData[[#This Row],[Day]]="Sunday"),"Weekend","Weekday")</f>
        <v>Weekend</v>
      </c>
      <c r="AF327" s="5">
        <f>IF(SalesData[[#This Row],[Contracts Offered]]=0,0,SalesData[[#This Row],[Contracts Signed]]/SalesData[[#This Row],[Contracts Offered]])</f>
        <v>0.30392156862745096</v>
      </c>
      <c r="AG327" s="5">
        <f>IF(SalesData[[#This Row],[Customers Visited]]=0,0,SalesData[[#This Row],[Test Drives]]/SalesData[[#This Row],[Customers Visited]])</f>
        <v>0.55281690140845074</v>
      </c>
      <c r="AH327" s="5">
        <f>IF(SalesData[[#This Row],[Customers Visited]]=0,0,SalesData[[#This Row],[Contracts Signed]]/SalesData[[#This Row],[Customers Visited]])</f>
        <v>0.10915492957746478</v>
      </c>
      <c r="AI327" s="6">
        <f>IF(SalesData[[#This Row],[Contracts Signed]]=0,0,SalesData[[#This Row],[Profit(€)]]/SalesData[[#This Row],[Contracts Signed]])</f>
        <v>10209</v>
      </c>
      <c r="AJ327" s="5" t="str">
        <f>TRIM(CLEAN(SalesData[[#This Row],[Retailer]]))</f>
        <v>Ruhr Auto Plaza</v>
      </c>
    </row>
    <row r="328" spans="1:36" ht="14.25" hidden="1" x14ac:dyDescent="0.2">
      <c r="A328" t="s">
        <v>708</v>
      </c>
      <c r="B328" s="1">
        <v>46064</v>
      </c>
      <c r="C328" t="s">
        <v>121</v>
      </c>
      <c r="D328" t="s">
        <v>82</v>
      </c>
      <c r="E328" t="s">
        <v>26</v>
      </c>
      <c r="F328" t="s">
        <v>114</v>
      </c>
      <c r="G328" t="s">
        <v>115</v>
      </c>
      <c r="H328" t="s">
        <v>115</v>
      </c>
      <c r="I328" t="s">
        <v>56</v>
      </c>
      <c r="J328" t="s">
        <v>97</v>
      </c>
      <c r="K328" t="s">
        <v>91</v>
      </c>
      <c r="L328" t="s">
        <v>33</v>
      </c>
      <c r="M328" t="s">
        <v>87</v>
      </c>
      <c r="N328" t="s">
        <v>48</v>
      </c>
      <c r="O328" t="s">
        <v>36</v>
      </c>
      <c r="P328" t="s">
        <v>37</v>
      </c>
      <c r="Q328" t="s">
        <v>167</v>
      </c>
      <c r="R328">
        <v>297</v>
      </c>
      <c r="S328">
        <v>175</v>
      </c>
      <c r="T328">
        <v>125</v>
      </c>
      <c r="U328">
        <v>37</v>
      </c>
      <c r="V328" t="s">
        <v>6424</v>
      </c>
      <c r="W328">
        <v>40668</v>
      </c>
      <c r="X328" t="s">
        <v>407</v>
      </c>
      <c r="Y328">
        <v>30998</v>
      </c>
      <c r="Z328">
        <v>1504716</v>
      </c>
      <c r="AA328">
        <v>357790</v>
      </c>
      <c r="AB328" t="str">
        <f>(VLOOKUP(SalesData[[#This Row],[Month Number]],Reference!C$5:E$16,2,FALSE))</f>
        <v>Feb</v>
      </c>
      <c r="AC328">
        <f>MONTH(SalesData[[#This Row],[Date]])</f>
        <v>2</v>
      </c>
      <c r="AD328">
        <f>Reference!F$4</f>
        <v>2026</v>
      </c>
      <c r="AE328" t="str">
        <f>IF(OR(SalesData[[#This Row],[Day]]="Saturday",SalesData[[#This Row],[Day]]="Sunday"),"Weekend","Weekday")</f>
        <v>Weekday</v>
      </c>
      <c r="AF328" s="5">
        <f>IF(SalesData[[#This Row],[Contracts Offered]]=0,0,SalesData[[#This Row],[Contracts Signed]]/SalesData[[#This Row],[Contracts Offered]])</f>
        <v>0.29599999999999999</v>
      </c>
      <c r="AG328" s="5">
        <f>IF(SalesData[[#This Row],[Customers Visited]]=0,0,SalesData[[#This Row],[Test Drives]]/SalesData[[#This Row],[Customers Visited]])</f>
        <v>0.58922558922558921</v>
      </c>
      <c r="AH328" s="5">
        <f>IF(SalesData[[#This Row],[Customers Visited]]=0,0,SalesData[[#This Row],[Contracts Signed]]/SalesData[[#This Row],[Customers Visited]])</f>
        <v>0.12457912457912458</v>
      </c>
      <c r="AI328" s="6">
        <f>IF(SalesData[[#This Row],[Contracts Signed]]=0,0,SalesData[[#This Row],[Profit(€)]]/SalesData[[#This Row],[Contracts Signed]])</f>
        <v>9670</v>
      </c>
      <c r="AJ328" s="5" t="str">
        <f>TRIM(CLEAN(SalesData[[#This Row],[Retailer]]))</f>
        <v>Elbe Drive</v>
      </c>
    </row>
    <row r="329" spans="1:36" ht="14.25" hidden="1" x14ac:dyDescent="0.2">
      <c r="A329" t="s">
        <v>709</v>
      </c>
      <c r="B329" s="1">
        <v>46078</v>
      </c>
      <c r="C329" t="s">
        <v>53</v>
      </c>
      <c r="D329" t="s">
        <v>82</v>
      </c>
      <c r="E329" t="s">
        <v>26</v>
      </c>
      <c r="F329" t="s">
        <v>7649</v>
      </c>
      <c r="G329" t="s">
        <v>55</v>
      </c>
      <c r="H329" t="s">
        <v>55</v>
      </c>
      <c r="I329" t="s">
        <v>56</v>
      </c>
      <c r="J329" t="s">
        <v>57</v>
      </c>
      <c r="K329" t="s">
        <v>91</v>
      </c>
      <c r="L329" t="s">
        <v>46</v>
      </c>
      <c r="M329" t="s">
        <v>68</v>
      </c>
      <c r="N329" t="s">
        <v>48</v>
      </c>
      <c r="O329" t="s">
        <v>70</v>
      </c>
      <c r="P329" t="s">
        <v>58</v>
      </c>
      <c r="Q329" t="s">
        <v>106</v>
      </c>
      <c r="R329">
        <v>214</v>
      </c>
      <c r="S329">
        <v>121</v>
      </c>
      <c r="T329">
        <v>82</v>
      </c>
      <c r="U329">
        <v>34</v>
      </c>
      <c r="V329" t="s">
        <v>6414</v>
      </c>
      <c r="W329">
        <v>49433</v>
      </c>
      <c r="X329" t="s">
        <v>7035</v>
      </c>
      <c r="Y329">
        <v>37092</v>
      </c>
      <c r="Z329">
        <v>1680722</v>
      </c>
      <c r="AA329">
        <v>419594</v>
      </c>
      <c r="AB329" t="str">
        <f>(VLOOKUP(SalesData[[#This Row],[Month Number]],Reference!C$5:E$16,2,FALSE))</f>
        <v>Feb</v>
      </c>
      <c r="AC329">
        <f>MONTH(SalesData[[#This Row],[Date]])</f>
        <v>2</v>
      </c>
      <c r="AD329">
        <f>Reference!F$4</f>
        <v>2026</v>
      </c>
      <c r="AE329" t="str">
        <f>IF(OR(SalesData[[#This Row],[Day]]="Saturday",SalesData[[#This Row],[Day]]="Sunday"),"Weekend","Weekday")</f>
        <v>Weekday</v>
      </c>
      <c r="AF329" s="5">
        <f>IF(SalesData[[#This Row],[Contracts Offered]]=0,0,SalesData[[#This Row],[Contracts Signed]]/SalesData[[#This Row],[Contracts Offered]])</f>
        <v>0.41463414634146339</v>
      </c>
      <c r="AG329" s="5">
        <f>IF(SalesData[[#This Row],[Customers Visited]]=0,0,SalesData[[#This Row],[Test Drives]]/SalesData[[#This Row],[Customers Visited]])</f>
        <v>0.56542056074766356</v>
      </c>
      <c r="AH329" s="5">
        <f>IF(SalesData[[#This Row],[Customers Visited]]=0,0,SalesData[[#This Row],[Contracts Signed]]/SalesData[[#This Row],[Customers Visited]])</f>
        <v>0.15887850467289719</v>
      </c>
      <c r="AI329" s="6">
        <f>IF(SalesData[[#This Row],[Contracts Signed]]=0,0,SalesData[[#This Row],[Profit(€)]]/SalesData[[#This Row],[Contracts Signed]])</f>
        <v>12341</v>
      </c>
      <c r="AJ329" s="5" t="str">
        <f>TRIM(CLEAN(SalesData[[#This Row],[Retailer]]))</f>
        <v>Autohaus Berlin</v>
      </c>
    </row>
    <row r="330" spans="1:36" ht="14.25" hidden="1" x14ac:dyDescent="0.2">
      <c r="A330" t="s">
        <v>711</v>
      </c>
      <c r="B330" s="1">
        <v>46061</v>
      </c>
      <c r="C330" t="s">
        <v>121</v>
      </c>
      <c r="D330" t="s">
        <v>41</v>
      </c>
      <c r="E330" t="s">
        <v>42</v>
      </c>
      <c r="F330" t="s">
        <v>27</v>
      </c>
      <c r="G330" t="s">
        <v>28</v>
      </c>
      <c r="H330" t="s">
        <v>29</v>
      </c>
      <c r="I330" t="s">
        <v>64</v>
      </c>
      <c r="J330" t="s">
        <v>77</v>
      </c>
      <c r="K330" t="s">
        <v>78</v>
      </c>
      <c r="L330" t="s">
        <v>46</v>
      </c>
      <c r="M330" t="s">
        <v>87</v>
      </c>
      <c r="N330" t="s">
        <v>69</v>
      </c>
      <c r="O330" t="s">
        <v>36</v>
      </c>
      <c r="P330" t="s">
        <v>49</v>
      </c>
      <c r="Q330" t="s">
        <v>204</v>
      </c>
      <c r="R330">
        <v>274</v>
      </c>
      <c r="S330">
        <v>155</v>
      </c>
      <c r="T330">
        <v>119</v>
      </c>
      <c r="U330">
        <v>34</v>
      </c>
      <c r="V330" t="s">
        <v>6776</v>
      </c>
      <c r="W330">
        <v>53871</v>
      </c>
      <c r="X330" t="s">
        <v>7177</v>
      </c>
      <c r="Y330">
        <v>41124</v>
      </c>
      <c r="Z330">
        <v>1831614</v>
      </c>
      <c r="AA330">
        <v>433398</v>
      </c>
      <c r="AB330" t="str">
        <f>(VLOOKUP(SalesData[[#This Row],[Month Number]],Reference!C$5:E$16,2,FALSE))</f>
        <v>Feb</v>
      </c>
      <c r="AC330">
        <f>MONTH(SalesData[[#This Row],[Date]])</f>
        <v>2</v>
      </c>
      <c r="AD330">
        <f>Reference!F$4</f>
        <v>2026</v>
      </c>
      <c r="AE330" t="str">
        <f>IF(OR(SalesData[[#This Row],[Day]]="Saturday",SalesData[[#This Row],[Day]]="Sunday"),"Weekend","Weekday")</f>
        <v>Weekend</v>
      </c>
      <c r="AF330" s="5">
        <f>IF(SalesData[[#This Row],[Contracts Offered]]=0,0,SalesData[[#This Row],[Contracts Signed]]/SalesData[[#This Row],[Contracts Offered]])</f>
        <v>0.2857142857142857</v>
      </c>
      <c r="AG330" s="5">
        <f>IF(SalesData[[#This Row],[Customers Visited]]=0,0,SalesData[[#This Row],[Test Drives]]/SalesData[[#This Row],[Customers Visited]])</f>
        <v>0.56569343065693434</v>
      </c>
      <c r="AH330" s="5">
        <f>IF(SalesData[[#This Row],[Customers Visited]]=0,0,SalesData[[#This Row],[Contracts Signed]]/SalesData[[#This Row],[Customers Visited]])</f>
        <v>0.12408759124087591</v>
      </c>
      <c r="AI330" s="6">
        <f>IF(SalesData[[#This Row],[Contracts Signed]]=0,0,SalesData[[#This Row],[Profit(€)]]/SalesData[[#This Row],[Contracts Signed]])</f>
        <v>12747</v>
      </c>
      <c r="AJ330" s="5" t="str">
        <f>TRIM(CLEAN(SalesData[[#This Row],[Retailer]]))</f>
        <v>Main Auto Hub</v>
      </c>
    </row>
    <row r="331" spans="1:36" ht="14.25" hidden="1" x14ac:dyDescent="0.2">
      <c r="A331" t="s">
        <v>713</v>
      </c>
      <c r="B331" s="1">
        <v>46078</v>
      </c>
      <c r="C331" t="s">
        <v>53</v>
      </c>
      <c r="D331" t="s">
        <v>82</v>
      </c>
      <c r="E331" t="s">
        <v>26</v>
      </c>
      <c r="F331" t="s">
        <v>83</v>
      </c>
      <c r="G331" t="s">
        <v>84</v>
      </c>
      <c r="H331" t="s">
        <v>85</v>
      </c>
      <c r="I331" t="s">
        <v>64</v>
      </c>
      <c r="J331" t="s">
        <v>111</v>
      </c>
      <c r="K331" t="s">
        <v>32</v>
      </c>
      <c r="L331" t="s">
        <v>46</v>
      </c>
      <c r="M331" t="s">
        <v>34</v>
      </c>
      <c r="N331" t="s">
        <v>48</v>
      </c>
      <c r="O331" t="s">
        <v>70</v>
      </c>
      <c r="P331" t="s">
        <v>49</v>
      </c>
      <c r="Q331" t="s">
        <v>118</v>
      </c>
      <c r="R331">
        <v>272</v>
      </c>
      <c r="S331">
        <v>125</v>
      </c>
      <c r="T331">
        <v>89</v>
      </c>
      <c r="U331">
        <v>29</v>
      </c>
      <c r="V331" t="s">
        <v>6387</v>
      </c>
      <c r="W331">
        <v>69797</v>
      </c>
      <c r="X331" t="s">
        <v>7112</v>
      </c>
      <c r="Y331">
        <v>51821</v>
      </c>
      <c r="Z331">
        <v>2024113</v>
      </c>
      <c r="AA331">
        <v>521304</v>
      </c>
      <c r="AB331" t="str">
        <f>(VLOOKUP(SalesData[[#This Row],[Month Number]],Reference!C$5:E$16,2,FALSE))</f>
        <v>Feb</v>
      </c>
      <c r="AC331">
        <f>MONTH(SalesData[[#This Row],[Date]])</f>
        <v>2</v>
      </c>
      <c r="AD331">
        <f>Reference!F$4</f>
        <v>2026</v>
      </c>
      <c r="AE331" t="str">
        <f>IF(OR(SalesData[[#This Row],[Day]]="Saturday",SalesData[[#This Row],[Day]]="Sunday"),"Weekend","Weekday")</f>
        <v>Weekday</v>
      </c>
      <c r="AF331" s="5">
        <f>IF(SalesData[[#This Row],[Contracts Offered]]=0,0,SalesData[[#This Row],[Contracts Signed]]/SalesData[[#This Row],[Contracts Offered]])</f>
        <v>0.3258426966292135</v>
      </c>
      <c r="AG331" s="5">
        <f>IF(SalesData[[#This Row],[Customers Visited]]=0,0,SalesData[[#This Row],[Test Drives]]/SalesData[[#This Row],[Customers Visited]])</f>
        <v>0.45955882352941174</v>
      </c>
      <c r="AH331" s="5">
        <f>IF(SalesData[[#This Row],[Customers Visited]]=0,0,SalesData[[#This Row],[Contracts Signed]]/SalesData[[#This Row],[Customers Visited]])</f>
        <v>0.10661764705882353</v>
      </c>
      <c r="AI331" s="6">
        <f>IF(SalesData[[#This Row],[Contracts Signed]]=0,0,SalesData[[#This Row],[Profit(€)]]/SalesData[[#This Row],[Contracts Signed]])</f>
        <v>17976</v>
      </c>
      <c r="AJ331" s="5" t="str">
        <f>TRIM(CLEAN(SalesData[[#This Row],[Retailer]]))</f>
        <v>Hannover Cars</v>
      </c>
    </row>
    <row r="332" spans="1:36" ht="14.25" hidden="1" x14ac:dyDescent="0.2">
      <c r="A332" t="s">
        <v>714</v>
      </c>
      <c r="B332" s="1">
        <v>46058</v>
      </c>
      <c r="C332" t="s">
        <v>24</v>
      </c>
      <c r="D332" t="s">
        <v>100</v>
      </c>
      <c r="E332" t="s">
        <v>26</v>
      </c>
      <c r="F332" t="s">
        <v>114</v>
      </c>
      <c r="G332" t="s">
        <v>115</v>
      </c>
      <c r="H332" t="s">
        <v>115</v>
      </c>
      <c r="I332" t="s">
        <v>56</v>
      </c>
      <c r="J332" t="s">
        <v>97</v>
      </c>
      <c r="K332" t="s">
        <v>66</v>
      </c>
      <c r="L332" t="s">
        <v>33</v>
      </c>
      <c r="M332" t="s">
        <v>68</v>
      </c>
      <c r="N332" t="s">
        <v>69</v>
      </c>
      <c r="O332" t="s">
        <v>36</v>
      </c>
      <c r="P332" t="s">
        <v>58</v>
      </c>
      <c r="Q332" t="s">
        <v>122</v>
      </c>
      <c r="R332">
        <v>279</v>
      </c>
      <c r="S332">
        <v>130</v>
      </c>
      <c r="T332">
        <v>93</v>
      </c>
      <c r="U332">
        <v>38</v>
      </c>
      <c r="V332" t="s">
        <v>6961</v>
      </c>
      <c r="W332">
        <v>53947</v>
      </c>
      <c r="X332" t="s">
        <v>7178</v>
      </c>
      <c r="Y332">
        <v>40650</v>
      </c>
      <c r="Z332">
        <v>2049986</v>
      </c>
      <c r="AA332">
        <v>505286</v>
      </c>
      <c r="AB332" t="str">
        <f>(VLOOKUP(SalesData[[#This Row],[Month Number]],Reference!C$5:E$16,2,FALSE))</f>
        <v>Feb</v>
      </c>
      <c r="AC332">
        <f>MONTH(SalesData[[#This Row],[Date]])</f>
        <v>2</v>
      </c>
      <c r="AD332">
        <f>Reference!F$4</f>
        <v>2026</v>
      </c>
      <c r="AE332" t="str">
        <f>IF(OR(SalesData[[#This Row],[Day]]="Saturday",SalesData[[#This Row],[Day]]="Sunday"),"Weekend","Weekday")</f>
        <v>Weekday</v>
      </c>
      <c r="AF332" s="5">
        <f>IF(SalesData[[#This Row],[Contracts Offered]]=0,0,SalesData[[#This Row],[Contracts Signed]]/SalesData[[#This Row],[Contracts Offered]])</f>
        <v>0.40860215053763443</v>
      </c>
      <c r="AG332" s="5">
        <f>IF(SalesData[[#This Row],[Customers Visited]]=0,0,SalesData[[#This Row],[Test Drives]]/SalesData[[#This Row],[Customers Visited]])</f>
        <v>0.46594982078853048</v>
      </c>
      <c r="AH332" s="5">
        <f>IF(SalesData[[#This Row],[Customers Visited]]=0,0,SalesData[[#This Row],[Contracts Signed]]/SalesData[[#This Row],[Customers Visited]])</f>
        <v>0.13620071684587814</v>
      </c>
      <c r="AI332" s="6">
        <f>IF(SalesData[[#This Row],[Contracts Signed]]=0,0,SalesData[[#This Row],[Profit(€)]]/SalesData[[#This Row],[Contracts Signed]])</f>
        <v>13297</v>
      </c>
      <c r="AJ332" s="5" t="str">
        <f>TRIM(CLEAN(SalesData[[#This Row],[Retailer]]))</f>
        <v>Elbe Drive</v>
      </c>
    </row>
    <row r="333" spans="1:36" ht="14.25" hidden="1" x14ac:dyDescent="0.2">
      <c r="A333" t="s">
        <v>715</v>
      </c>
      <c r="B333" s="1">
        <v>46072</v>
      </c>
      <c r="C333" t="s">
        <v>62</v>
      </c>
      <c r="D333" t="s">
        <v>100</v>
      </c>
      <c r="E333" t="s">
        <v>26</v>
      </c>
      <c r="F333" t="s">
        <v>27</v>
      </c>
      <c r="G333" t="s">
        <v>28</v>
      </c>
      <c r="H333" t="s">
        <v>29</v>
      </c>
      <c r="I333" t="s">
        <v>116</v>
      </c>
      <c r="J333" t="s">
        <v>203</v>
      </c>
      <c r="K333" t="s">
        <v>66</v>
      </c>
      <c r="L333" t="s">
        <v>67</v>
      </c>
      <c r="M333" t="s">
        <v>68</v>
      </c>
      <c r="N333" t="s">
        <v>35</v>
      </c>
      <c r="O333" t="s">
        <v>36</v>
      </c>
      <c r="P333" t="s">
        <v>71</v>
      </c>
      <c r="Q333" t="s">
        <v>347</v>
      </c>
      <c r="R333">
        <v>293</v>
      </c>
      <c r="S333">
        <v>114</v>
      </c>
      <c r="T333">
        <v>67</v>
      </c>
      <c r="U333">
        <v>20</v>
      </c>
      <c r="V333" t="s">
        <v>356</v>
      </c>
      <c r="W333">
        <v>22910</v>
      </c>
      <c r="X333" t="s">
        <v>7125</v>
      </c>
      <c r="Y333">
        <v>20438</v>
      </c>
      <c r="Z333">
        <v>458200</v>
      </c>
      <c r="AA333">
        <v>49440</v>
      </c>
      <c r="AB333" t="str">
        <f>(VLOOKUP(SalesData[[#This Row],[Month Number]],Reference!C$5:E$16,2,FALSE))</f>
        <v>Feb</v>
      </c>
      <c r="AC333">
        <f>MONTH(SalesData[[#This Row],[Date]])</f>
        <v>2</v>
      </c>
      <c r="AD333">
        <f>Reference!F$4</f>
        <v>2026</v>
      </c>
      <c r="AE333" t="str">
        <f>IF(OR(SalesData[[#This Row],[Day]]="Saturday",SalesData[[#This Row],[Day]]="Sunday"),"Weekend","Weekday")</f>
        <v>Weekday</v>
      </c>
      <c r="AF333" s="5">
        <f>IF(SalesData[[#This Row],[Contracts Offered]]=0,0,SalesData[[#This Row],[Contracts Signed]]/SalesData[[#This Row],[Contracts Offered]])</f>
        <v>0.29850746268656714</v>
      </c>
      <c r="AG333" s="5">
        <f>IF(SalesData[[#This Row],[Customers Visited]]=0,0,SalesData[[#This Row],[Test Drives]]/SalesData[[#This Row],[Customers Visited]])</f>
        <v>0.38907849829351537</v>
      </c>
      <c r="AH333" s="5">
        <f>IF(SalesData[[#This Row],[Customers Visited]]=0,0,SalesData[[#This Row],[Contracts Signed]]/SalesData[[#This Row],[Customers Visited]])</f>
        <v>6.8259385665529013E-2</v>
      </c>
      <c r="AI333" s="6">
        <f>IF(SalesData[[#This Row],[Contracts Signed]]=0,0,SalesData[[#This Row],[Profit(€)]]/SalesData[[#This Row],[Contracts Signed]])</f>
        <v>2472</v>
      </c>
      <c r="AJ333" s="5" t="str">
        <f>TRIM(CLEAN(SalesData[[#This Row],[Retailer]]))</f>
        <v>Main Auto Hub</v>
      </c>
    </row>
    <row r="334" spans="1:36" ht="14.25" hidden="1" x14ac:dyDescent="0.2">
      <c r="A334" t="s">
        <v>717</v>
      </c>
      <c r="B334" s="1">
        <v>46054</v>
      </c>
      <c r="C334" t="s">
        <v>24</v>
      </c>
      <c r="D334" t="s">
        <v>41</v>
      </c>
      <c r="E334" t="s">
        <v>42</v>
      </c>
      <c r="F334" t="s">
        <v>109</v>
      </c>
      <c r="G334" t="s">
        <v>110</v>
      </c>
      <c r="H334" t="s">
        <v>45</v>
      </c>
      <c r="I334" t="s">
        <v>56</v>
      </c>
      <c r="J334" t="s">
        <v>7028</v>
      </c>
      <c r="K334" t="s">
        <v>66</v>
      </c>
      <c r="L334" t="s">
        <v>46</v>
      </c>
      <c r="M334" t="s">
        <v>87</v>
      </c>
      <c r="N334" t="s">
        <v>69</v>
      </c>
      <c r="O334" t="s">
        <v>36</v>
      </c>
      <c r="P334" t="s">
        <v>71</v>
      </c>
      <c r="Q334" t="s">
        <v>118</v>
      </c>
      <c r="R334">
        <v>317</v>
      </c>
      <c r="S334">
        <v>182</v>
      </c>
      <c r="T334">
        <v>138</v>
      </c>
      <c r="U334">
        <v>38</v>
      </c>
      <c r="V334" t="s">
        <v>6908</v>
      </c>
      <c r="W334">
        <v>39857</v>
      </c>
      <c r="X334" t="s">
        <v>3211</v>
      </c>
      <c r="Y334">
        <v>32042</v>
      </c>
      <c r="Z334">
        <v>1514566</v>
      </c>
      <c r="AA334">
        <v>296970</v>
      </c>
      <c r="AB334" t="str">
        <f>(VLOOKUP(SalesData[[#This Row],[Month Number]],Reference!C$5:E$16,2,FALSE))</f>
        <v>Feb</v>
      </c>
      <c r="AC334">
        <f>MONTH(SalesData[[#This Row],[Date]])</f>
        <v>2</v>
      </c>
      <c r="AD334">
        <f>Reference!F$4</f>
        <v>2026</v>
      </c>
      <c r="AE334" t="str">
        <f>IF(OR(SalesData[[#This Row],[Day]]="Saturday",SalesData[[#This Row],[Day]]="Sunday"),"Weekend","Weekday")</f>
        <v>Weekend</v>
      </c>
      <c r="AF334" s="5">
        <f>IF(SalesData[[#This Row],[Contracts Offered]]=0,0,SalesData[[#This Row],[Contracts Signed]]/SalesData[[#This Row],[Contracts Offered]])</f>
        <v>0.27536231884057971</v>
      </c>
      <c r="AG334" s="5">
        <f>IF(SalesData[[#This Row],[Customers Visited]]=0,0,SalesData[[#This Row],[Test Drives]]/SalesData[[#This Row],[Customers Visited]])</f>
        <v>0.57413249211356465</v>
      </c>
      <c r="AH334" s="5">
        <f>IF(SalesData[[#This Row],[Customers Visited]]=0,0,SalesData[[#This Row],[Contracts Signed]]/SalesData[[#This Row],[Customers Visited]])</f>
        <v>0.11987381703470032</v>
      </c>
      <c r="AI334" s="6">
        <f>IF(SalesData[[#This Row],[Contracts Signed]]=0,0,SalesData[[#This Row],[Profit(€)]]/SalesData[[#This Row],[Contracts Signed]])</f>
        <v>7815</v>
      </c>
      <c r="AJ334" s="5" t="str">
        <f>TRIM(CLEAN(SalesData[[#This Row],[Retailer]]))</f>
        <v>Leipzig Mobility</v>
      </c>
    </row>
    <row r="335" spans="1:36" ht="14.25" hidden="1" x14ac:dyDescent="0.2">
      <c r="A335" t="s">
        <v>719</v>
      </c>
      <c r="B335" s="1">
        <v>46078</v>
      </c>
      <c r="C335" t="s">
        <v>53</v>
      </c>
      <c r="D335" t="s">
        <v>82</v>
      </c>
      <c r="E335" t="s">
        <v>26</v>
      </c>
      <c r="F335" t="s">
        <v>74</v>
      </c>
      <c r="G335" t="s">
        <v>75</v>
      </c>
      <c r="H335" t="s">
        <v>76</v>
      </c>
      <c r="I335" t="s">
        <v>116</v>
      </c>
      <c r="J335" t="s">
        <v>7090</v>
      </c>
      <c r="K335" t="s">
        <v>66</v>
      </c>
      <c r="L335" t="s">
        <v>46</v>
      </c>
      <c r="M335" t="s">
        <v>87</v>
      </c>
      <c r="N335" t="s">
        <v>48</v>
      </c>
      <c r="O335" t="s">
        <v>36</v>
      </c>
      <c r="P335" t="s">
        <v>71</v>
      </c>
      <c r="Q335" t="s">
        <v>189</v>
      </c>
      <c r="R335">
        <v>421</v>
      </c>
      <c r="S335">
        <v>212</v>
      </c>
      <c r="T335">
        <v>147</v>
      </c>
      <c r="U335">
        <v>41</v>
      </c>
      <c r="V335" t="s">
        <v>4932</v>
      </c>
      <c r="W335">
        <v>24175</v>
      </c>
      <c r="X335" t="s">
        <v>6983</v>
      </c>
      <c r="Y335">
        <v>21854</v>
      </c>
      <c r="Z335">
        <v>991175</v>
      </c>
      <c r="AA335">
        <v>95161</v>
      </c>
      <c r="AB335" t="str">
        <f>(VLOOKUP(SalesData[[#This Row],[Month Number]],Reference!C$5:E$16,2,FALSE))</f>
        <v>Feb</v>
      </c>
      <c r="AC335">
        <f>MONTH(SalesData[[#This Row],[Date]])</f>
        <v>2</v>
      </c>
      <c r="AD335">
        <f>Reference!F$4</f>
        <v>2026</v>
      </c>
      <c r="AE335" t="str">
        <f>IF(OR(SalesData[[#This Row],[Day]]="Saturday",SalesData[[#This Row],[Day]]="Sunday"),"Weekend","Weekday")</f>
        <v>Weekday</v>
      </c>
      <c r="AF335" s="5">
        <f>IF(SalesData[[#This Row],[Contracts Offered]]=0,0,SalesData[[#This Row],[Contracts Signed]]/SalesData[[#This Row],[Contracts Offered]])</f>
        <v>0.27891156462585032</v>
      </c>
      <c r="AG335" s="5">
        <f>IF(SalesData[[#This Row],[Customers Visited]]=0,0,SalesData[[#This Row],[Test Drives]]/SalesData[[#This Row],[Customers Visited]])</f>
        <v>0.50356294536817103</v>
      </c>
      <c r="AH335" s="5">
        <f>IF(SalesData[[#This Row],[Customers Visited]]=0,0,SalesData[[#This Row],[Contracts Signed]]/SalesData[[#This Row],[Customers Visited]])</f>
        <v>9.7387173396674589E-2</v>
      </c>
      <c r="AI335" s="6">
        <f>IF(SalesData[[#This Row],[Contracts Signed]]=0,0,SalesData[[#This Row],[Profit(€)]]/SalesData[[#This Row],[Contracts Signed]])</f>
        <v>2321</v>
      </c>
      <c r="AJ335" s="5" t="str">
        <f>TRIM(CLEAN(SalesData[[#This Row],[Retailer]]))</f>
        <v>Stuttgart Auto Center</v>
      </c>
    </row>
    <row r="336" spans="1:36" ht="14.25" hidden="1" x14ac:dyDescent="0.2">
      <c r="A336" t="s">
        <v>721</v>
      </c>
      <c r="B336" s="1">
        <v>46060</v>
      </c>
      <c r="C336" t="s">
        <v>24</v>
      </c>
      <c r="D336" t="s">
        <v>151</v>
      </c>
      <c r="E336" t="s">
        <v>42</v>
      </c>
      <c r="F336" t="s">
        <v>43</v>
      </c>
      <c r="G336" t="s">
        <v>44</v>
      </c>
      <c r="H336" t="s">
        <v>45</v>
      </c>
      <c r="I336" t="s">
        <v>116</v>
      </c>
      <c r="J336" t="s">
        <v>132</v>
      </c>
      <c r="K336" t="s">
        <v>78</v>
      </c>
      <c r="L336" t="s">
        <v>46</v>
      </c>
      <c r="M336" t="s">
        <v>34</v>
      </c>
      <c r="N336" t="s">
        <v>69</v>
      </c>
      <c r="O336" t="s">
        <v>70</v>
      </c>
      <c r="P336" t="s">
        <v>71</v>
      </c>
      <c r="Q336" t="s">
        <v>122</v>
      </c>
      <c r="R336">
        <v>404</v>
      </c>
      <c r="S336">
        <v>212</v>
      </c>
      <c r="T336">
        <v>141</v>
      </c>
      <c r="U336">
        <v>35</v>
      </c>
      <c r="V336" t="s">
        <v>147</v>
      </c>
      <c r="W336">
        <v>23325</v>
      </c>
      <c r="X336" t="s">
        <v>6112</v>
      </c>
      <c r="Y336">
        <v>21496</v>
      </c>
      <c r="Z336">
        <v>816375</v>
      </c>
      <c r="AA336">
        <v>64015</v>
      </c>
      <c r="AB336" t="str">
        <f>(VLOOKUP(SalesData[[#This Row],[Month Number]],Reference!C$5:E$16,2,FALSE))</f>
        <v>Feb</v>
      </c>
      <c r="AC336">
        <f>MONTH(SalesData[[#This Row],[Date]])</f>
        <v>2</v>
      </c>
      <c r="AD336">
        <f>Reference!F$4</f>
        <v>2026</v>
      </c>
      <c r="AE336" t="str">
        <f>IF(OR(SalesData[[#This Row],[Day]]="Saturday",SalesData[[#This Row],[Day]]="Sunday"),"Weekend","Weekday")</f>
        <v>Weekend</v>
      </c>
      <c r="AF336" s="5">
        <f>IF(SalesData[[#This Row],[Contracts Offered]]=0,0,SalesData[[#This Row],[Contracts Signed]]/SalesData[[#This Row],[Contracts Offered]])</f>
        <v>0.24822695035460993</v>
      </c>
      <c r="AG336" s="5">
        <f>IF(SalesData[[#This Row],[Customers Visited]]=0,0,SalesData[[#This Row],[Test Drives]]/SalesData[[#This Row],[Customers Visited]])</f>
        <v>0.52475247524752477</v>
      </c>
      <c r="AH336" s="5">
        <f>IF(SalesData[[#This Row],[Customers Visited]]=0,0,SalesData[[#This Row],[Contracts Signed]]/SalesData[[#This Row],[Customers Visited]])</f>
        <v>8.6633663366336627E-2</v>
      </c>
      <c r="AI336" s="6">
        <f>IF(SalesData[[#This Row],[Contracts Signed]]=0,0,SalesData[[#This Row],[Profit(€)]]/SalesData[[#This Row],[Contracts Signed]])</f>
        <v>1829</v>
      </c>
      <c r="AJ336" s="5" t="str">
        <f>TRIM(CLEAN(SalesData[[#This Row],[Retailer]]))</f>
        <v>Saxon Wheels</v>
      </c>
    </row>
    <row r="337" spans="1:36" ht="14.25" hidden="1" x14ac:dyDescent="0.2">
      <c r="A337" t="s">
        <v>723</v>
      </c>
      <c r="B337" s="1">
        <v>46079</v>
      </c>
      <c r="C337" t="s">
        <v>53</v>
      </c>
      <c r="D337" t="s">
        <v>100</v>
      </c>
      <c r="E337" t="s">
        <v>26</v>
      </c>
      <c r="F337" t="s">
        <v>127</v>
      </c>
      <c r="G337" t="s">
        <v>128</v>
      </c>
      <c r="H337" t="s">
        <v>103</v>
      </c>
      <c r="I337" t="s">
        <v>56</v>
      </c>
      <c r="J337" t="s">
        <v>57</v>
      </c>
      <c r="K337" t="s">
        <v>78</v>
      </c>
      <c r="L337" t="s">
        <v>46</v>
      </c>
      <c r="M337" t="s">
        <v>68</v>
      </c>
      <c r="N337" t="s">
        <v>35</v>
      </c>
      <c r="O337" t="s">
        <v>36</v>
      </c>
      <c r="P337" t="s">
        <v>58</v>
      </c>
      <c r="Q337" t="s">
        <v>79</v>
      </c>
      <c r="R337">
        <v>285</v>
      </c>
      <c r="S337">
        <v>144</v>
      </c>
      <c r="T337">
        <v>93</v>
      </c>
      <c r="U337">
        <v>36</v>
      </c>
      <c r="V337" t="s">
        <v>6403</v>
      </c>
      <c r="W337">
        <v>49482</v>
      </c>
      <c r="X337" t="s">
        <v>7179</v>
      </c>
      <c r="Y337">
        <v>37519</v>
      </c>
      <c r="Z337">
        <v>1781352</v>
      </c>
      <c r="AA337">
        <v>430668</v>
      </c>
      <c r="AB337" t="str">
        <f>(VLOOKUP(SalesData[[#This Row],[Month Number]],Reference!C$5:E$16,2,FALSE))</f>
        <v>Feb</v>
      </c>
      <c r="AC337">
        <f>MONTH(SalesData[[#This Row],[Date]])</f>
        <v>2</v>
      </c>
      <c r="AD337">
        <f>Reference!F$4</f>
        <v>2026</v>
      </c>
      <c r="AE337" t="str">
        <f>IF(OR(SalesData[[#This Row],[Day]]="Saturday",SalesData[[#This Row],[Day]]="Sunday"),"Weekend","Weekday")</f>
        <v>Weekday</v>
      </c>
      <c r="AF337" s="5">
        <f>IF(SalesData[[#This Row],[Contracts Offered]]=0,0,SalesData[[#This Row],[Contracts Signed]]/SalesData[[#This Row],[Contracts Offered]])</f>
        <v>0.38709677419354838</v>
      </c>
      <c r="AG337" s="5">
        <f>IF(SalesData[[#This Row],[Customers Visited]]=0,0,SalesData[[#This Row],[Test Drives]]/SalesData[[#This Row],[Customers Visited]])</f>
        <v>0.50526315789473686</v>
      </c>
      <c r="AH337" s="5">
        <f>IF(SalesData[[#This Row],[Customers Visited]]=0,0,SalesData[[#This Row],[Contracts Signed]]/SalesData[[#This Row],[Customers Visited]])</f>
        <v>0.12631578947368421</v>
      </c>
      <c r="AI337" s="6">
        <f>IF(SalesData[[#This Row],[Contracts Signed]]=0,0,SalesData[[#This Row],[Profit(€)]]/SalesData[[#This Row],[Contracts Signed]])</f>
        <v>11963</v>
      </c>
      <c r="AJ337" s="5" t="str">
        <f>TRIM(CLEAN(SalesData[[#This Row],[Retailer]]))</f>
        <v>Rhein Auto Group</v>
      </c>
    </row>
    <row r="338" spans="1:36" ht="14.25" hidden="1" x14ac:dyDescent="0.2">
      <c r="A338" t="s">
        <v>724</v>
      </c>
      <c r="B338" s="1">
        <v>46076</v>
      </c>
      <c r="C338" t="s">
        <v>53</v>
      </c>
      <c r="D338" t="s">
        <v>25</v>
      </c>
      <c r="E338" t="s">
        <v>26</v>
      </c>
      <c r="F338" t="s">
        <v>83</v>
      </c>
      <c r="G338" t="s">
        <v>84</v>
      </c>
      <c r="H338" t="s">
        <v>85</v>
      </c>
      <c r="I338" t="s">
        <v>104</v>
      </c>
      <c r="J338" t="s">
        <v>105</v>
      </c>
      <c r="K338" t="s">
        <v>32</v>
      </c>
      <c r="L338" t="s">
        <v>33</v>
      </c>
      <c r="M338" t="s">
        <v>68</v>
      </c>
      <c r="N338" t="s">
        <v>48</v>
      </c>
      <c r="O338" t="s">
        <v>36</v>
      </c>
      <c r="P338" t="s">
        <v>71</v>
      </c>
      <c r="Q338" t="s">
        <v>50</v>
      </c>
      <c r="R338">
        <v>422</v>
      </c>
      <c r="S338">
        <v>217</v>
      </c>
      <c r="T338">
        <v>131</v>
      </c>
      <c r="U338">
        <v>37</v>
      </c>
      <c r="V338" t="s">
        <v>1203</v>
      </c>
      <c r="W338">
        <v>29636</v>
      </c>
      <c r="X338" t="s">
        <v>1178</v>
      </c>
      <c r="Y338">
        <v>26841</v>
      </c>
      <c r="Z338">
        <v>1096532</v>
      </c>
      <c r="AA338">
        <v>103415</v>
      </c>
      <c r="AB338" t="str">
        <f>(VLOOKUP(SalesData[[#This Row],[Month Number]],Reference!C$5:E$16,2,FALSE))</f>
        <v>Feb</v>
      </c>
      <c r="AC338">
        <f>MONTH(SalesData[[#This Row],[Date]])</f>
        <v>2</v>
      </c>
      <c r="AD338">
        <f>Reference!F$4</f>
        <v>2026</v>
      </c>
      <c r="AE338" t="str">
        <f>IF(OR(SalesData[[#This Row],[Day]]="Saturday",SalesData[[#This Row],[Day]]="Sunday"),"Weekend","Weekday")</f>
        <v>Weekday</v>
      </c>
      <c r="AF338" s="5">
        <f>IF(SalesData[[#This Row],[Contracts Offered]]=0,0,SalesData[[#This Row],[Contracts Signed]]/SalesData[[#This Row],[Contracts Offered]])</f>
        <v>0.28244274809160308</v>
      </c>
      <c r="AG338" s="5">
        <f>IF(SalesData[[#This Row],[Customers Visited]]=0,0,SalesData[[#This Row],[Test Drives]]/SalesData[[#This Row],[Customers Visited]])</f>
        <v>0.51421800947867302</v>
      </c>
      <c r="AH338" s="5">
        <f>IF(SalesData[[#This Row],[Customers Visited]]=0,0,SalesData[[#This Row],[Contracts Signed]]/SalesData[[#This Row],[Customers Visited]])</f>
        <v>8.7677725118483416E-2</v>
      </c>
      <c r="AI338" s="6">
        <f>IF(SalesData[[#This Row],[Contracts Signed]]=0,0,SalesData[[#This Row],[Profit(€)]]/SalesData[[#This Row],[Contracts Signed]])</f>
        <v>2795</v>
      </c>
      <c r="AJ338" s="5" t="str">
        <f>TRIM(CLEAN(SalesData[[#This Row],[Retailer]]))</f>
        <v>Hannover Cars</v>
      </c>
    </row>
    <row r="339" spans="1:36" ht="14.25" hidden="1" x14ac:dyDescent="0.2">
      <c r="A339" t="s">
        <v>726</v>
      </c>
      <c r="B339" s="1">
        <v>46055</v>
      </c>
      <c r="C339" t="s">
        <v>24</v>
      </c>
      <c r="D339" t="s">
        <v>25</v>
      </c>
      <c r="E339" t="s">
        <v>26</v>
      </c>
      <c r="F339" t="s">
        <v>94</v>
      </c>
      <c r="G339" t="s">
        <v>95</v>
      </c>
      <c r="H339" t="s">
        <v>96</v>
      </c>
      <c r="I339" t="s">
        <v>64</v>
      </c>
      <c r="J339" t="s">
        <v>111</v>
      </c>
      <c r="K339" t="s">
        <v>91</v>
      </c>
      <c r="L339" t="s">
        <v>46</v>
      </c>
      <c r="M339" t="s">
        <v>47</v>
      </c>
      <c r="N339" t="s">
        <v>69</v>
      </c>
      <c r="O339" t="s">
        <v>70</v>
      </c>
      <c r="P339" t="s">
        <v>49</v>
      </c>
      <c r="Q339" t="s">
        <v>172</v>
      </c>
      <c r="R339">
        <v>199</v>
      </c>
      <c r="S339">
        <v>90</v>
      </c>
      <c r="T339">
        <v>65</v>
      </c>
      <c r="U339">
        <v>23</v>
      </c>
      <c r="V339" t="s">
        <v>6344</v>
      </c>
      <c r="W339">
        <v>69115</v>
      </c>
      <c r="X339" t="s">
        <v>7180</v>
      </c>
      <c r="Y339">
        <v>49994</v>
      </c>
      <c r="Z339">
        <v>1589645</v>
      </c>
      <c r="AA339">
        <v>439783</v>
      </c>
      <c r="AB339" t="str">
        <f>(VLOOKUP(SalesData[[#This Row],[Month Number]],Reference!C$5:E$16,2,FALSE))</f>
        <v>Feb</v>
      </c>
      <c r="AC339">
        <f>MONTH(SalesData[[#This Row],[Date]])</f>
        <v>2</v>
      </c>
      <c r="AD339">
        <f>Reference!F$4</f>
        <v>2026</v>
      </c>
      <c r="AE339" t="str">
        <f>IF(OR(SalesData[[#This Row],[Day]]="Saturday",SalesData[[#This Row],[Day]]="Sunday"),"Weekend","Weekday")</f>
        <v>Weekday</v>
      </c>
      <c r="AF339" s="5">
        <f>IF(SalesData[[#This Row],[Contracts Offered]]=0,0,SalesData[[#This Row],[Contracts Signed]]/SalesData[[#This Row],[Contracts Offered]])</f>
        <v>0.35384615384615387</v>
      </c>
      <c r="AG339" s="5">
        <f>IF(SalesData[[#This Row],[Customers Visited]]=0,0,SalesData[[#This Row],[Test Drives]]/SalesData[[#This Row],[Customers Visited]])</f>
        <v>0.45226130653266333</v>
      </c>
      <c r="AH339" s="5">
        <f>IF(SalesData[[#This Row],[Customers Visited]]=0,0,SalesData[[#This Row],[Contracts Signed]]/SalesData[[#This Row],[Customers Visited]])</f>
        <v>0.11557788944723618</v>
      </c>
      <c r="AI339" s="6">
        <f>IF(SalesData[[#This Row],[Contracts Signed]]=0,0,SalesData[[#This Row],[Profit(€)]]/SalesData[[#This Row],[Contracts Signed]])</f>
        <v>19121</v>
      </c>
      <c r="AJ339" s="5" t="str">
        <f>TRIM(CLEAN(SalesData[[#This Row],[Retailer]]))</f>
        <v>Bavaria Motors</v>
      </c>
    </row>
    <row r="340" spans="1:36" ht="14.25" hidden="1" x14ac:dyDescent="0.2">
      <c r="A340" t="s">
        <v>728</v>
      </c>
      <c r="B340" s="1">
        <v>46054</v>
      </c>
      <c r="C340" t="s">
        <v>24</v>
      </c>
      <c r="D340" t="s">
        <v>41</v>
      </c>
      <c r="E340" t="s">
        <v>42</v>
      </c>
      <c r="F340" t="s">
        <v>7649</v>
      </c>
      <c r="G340" t="s">
        <v>55</v>
      </c>
      <c r="H340" t="s">
        <v>55</v>
      </c>
      <c r="I340" t="s">
        <v>64</v>
      </c>
      <c r="J340" t="s">
        <v>65</v>
      </c>
      <c r="K340" t="s">
        <v>91</v>
      </c>
      <c r="L340" t="s">
        <v>33</v>
      </c>
      <c r="M340" t="s">
        <v>47</v>
      </c>
      <c r="N340" t="s">
        <v>48</v>
      </c>
      <c r="O340" t="s">
        <v>70</v>
      </c>
      <c r="P340" t="s">
        <v>58</v>
      </c>
      <c r="Q340" t="s">
        <v>135</v>
      </c>
      <c r="R340">
        <v>174</v>
      </c>
      <c r="S340">
        <v>99</v>
      </c>
      <c r="T340">
        <v>73</v>
      </c>
      <c r="U340">
        <v>30</v>
      </c>
      <c r="V340" t="s">
        <v>7181</v>
      </c>
      <c r="W340">
        <v>65561</v>
      </c>
      <c r="X340" t="s">
        <v>7182</v>
      </c>
      <c r="Y340">
        <v>51376</v>
      </c>
      <c r="Z340">
        <v>1966830</v>
      </c>
      <c r="AA340">
        <v>425550</v>
      </c>
      <c r="AB340" t="str">
        <f>(VLOOKUP(SalesData[[#This Row],[Month Number]],Reference!C$5:E$16,2,FALSE))</f>
        <v>Feb</v>
      </c>
      <c r="AC340">
        <f>MONTH(SalesData[[#This Row],[Date]])</f>
        <v>2</v>
      </c>
      <c r="AD340">
        <f>Reference!F$4</f>
        <v>2026</v>
      </c>
      <c r="AE340" t="str">
        <f>IF(OR(SalesData[[#This Row],[Day]]="Saturday",SalesData[[#This Row],[Day]]="Sunday"),"Weekend","Weekday")</f>
        <v>Weekend</v>
      </c>
      <c r="AF340" s="5">
        <f>IF(SalesData[[#This Row],[Contracts Offered]]=0,0,SalesData[[#This Row],[Contracts Signed]]/SalesData[[#This Row],[Contracts Offered]])</f>
        <v>0.41095890410958902</v>
      </c>
      <c r="AG340" s="5">
        <f>IF(SalesData[[#This Row],[Customers Visited]]=0,0,SalesData[[#This Row],[Test Drives]]/SalesData[[#This Row],[Customers Visited]])</f>
        <v>0.56896551724137934</v>
      </c>
      <c r="AH340" s="5">
        <f>IF(SalesData[[#This Row],[Customers Visited]]=0,0,SalesData[[#This Row],[Contracts Signed]]/SalesData[[#This Row],[Customers Visited]])</f>
        <v>0.17241379310344829</v>
      </c>
      <c r="AI340" s="6">
        <f>IF(SalesData[[#This Row],[Contracts Signed]]=0,0,SalesData[[#This Row],[Profit(€)]]/SalesData[[#This Row],[Contracts Signed]])</f>
        <v>14185</v>
      </c>
      <c r="AJ340" s="5" t="str">
        <f>TRIM(CLEAN(SalesData[[#This Row],[Retailer]]))</f>
        <v>Autohaus Berlin</v>
      </c>
    </row>
    <row r="341" spans="1:36" ht="14.25" hidden="1" x14ac:dyDescent="0.2">
      <c r="A341" t="s">
        <v>730</v>
      </c>
      <c r="B341" s="1">
        <v>46075</v>
      </c>
      <c r="C341" t="s">
        <v>53</v>
      </c>
      <c r="D341" t="s">
        <v>41</v>
      </c>
      <c r="E341" t="s">
        <v>42</v>
      </c>
      <c r="F341" t="s">
        <v>74</v>
      </c>
      <c r="G341" t="s">
        <v>75</v>
      </c>
      <c r="H341" t="s">
        <v>76</v>
      </c>
      <c r="I341" t="s">
        <v>64</v>
      </c>
      <c r="J341" t="s">
        <v>111</v>
      </c>
      <c r="K341" t="s">
        <v>78</v>
      </c>
      <c r="L341" t="s">
        <v>46</v>
      </c>
      <c r="M341" t="s">
        <v>34</v>
      </c>
      <c r="N341" t="s">
        <v>35</v>
      </c>
      <c r="O341" t="s">
        <v>70</v>
      </c>
      <c r="P341" t="s">
        <v>37</v>
      </c>
      <c r="Q341" t="s">
        <v>59</v>
      </c>
      <c r="R341">
        <v>227</v>
      </c>
      <c r="S341">
        <v>106</v>
      </c>
      <c r="T341">
        <v>83</v>
      </c>
      <c r="U341">
        <v>27</v>
      </c>
      <c r="V341" t="s">
        <v>6799</v>
      </c>
      <c r="W341">
        <v>71194</v>
      </c>
      <c r="X341" t="s">
        <v>7183</v>
      </c>
      <c r="Y341">
        <v>56179</v>
      </c>
      <c r="Z341">
        <v>1922238</v>
      </c>
      <c r="AA341">
        <v>405405</v>
      </c>
      <c r="AB341" t="str">
        <f>(VLOOKUP(SalesData[[#This Row],[Month Number]],Reference!C$5:E$16,2,FALSE))</f>
        <v>Feb</v>
      </c>
      <c r="AC341">
        <f>MONTH(SalesData[[#This Row],[Date]])</f>
        <v>2</v>
      </c>
      <c r="AD341">
        <f>Reference!F$4</f>
        <v>2026</v>
      </c>
      <c r="AE341" t="str">
        <f>IF(OR(SalesData[[#This Row],[Day]]="Saturday",SalesData[[#This Row],[Day]]="Sunday"),"Weekend","Weekday")</f>
        <v>Weekend</v>
      </c>
      <c r="AF341" s="5">
        <f>IF(SalesData[[#This Row],[Contracts Offered]]=0,0,SalesData[[#This Row],[Contracts Signed]]/SalesData[[#This Row],[Contracts Offered]])</f>
        <v>0.3253012048192771</v>
      </c>
      <c r="AG341" s="5">
        <f>IF(SalesData[[#This Row],[Customers Visited]]=0,0,SalesData[[#This Row],[Test Drives]]/SalesData[[#This Row],[Customers Visited]])</f>
        <v>0.46696035242290751</v>
      </c>
      <c r="AH341" s="5">
        <f>IF(SalesData[[#This Row],[Customers Visited]]=0,0,SalesData[[#This Row],[Contracts Signed]]/SalesData[[#This Row],[Customers Visited]])</f>
        <v>0.11894273127753303</v>
      </c>
      <c r="AI341" s="6">
        <f>IF(SalesData[[#This Row],[Contracts Signed]]=0,0,SalesData[[#This Row],[Profit(€)]]/SalesData[[#This Row],[Contracts Signed]])</f>
        <v>15015</v>
      </c>
      <c r="AJ341" s="5" t="str">
        <f>TRIM(CLEAN(SalesData[[#This Row],[Retailer]]))</f>
        <v>Stuttgart Auto Center</v>
      </c>
    </row>
    <row r="342" spans="1:36" ht="14.25" x14ac:dyDescent="0.2">
      <c r="A342" t="s">
        <v>732</v>
      </c>
      <c r="B342" s="1">
        <v>46056</v>
      </c>
      <c r="C342" t="s">
        <v>24</v>
      </c>
      <c r="D342" t="s">
        <v>63</v>
      </c>
      <c r="E342" t="s">
        <v>26</v>
      </c>
      <c r="F342" t="s">
        <v>83</v>
      </c>
      <c r="G342" t="s">
        <v>84</v>
      </c>
      <c r="H342" t="s">
        <v>85</v>
      </c>
      <c r="I342" t="s">
        <v>30</v>
      </c>
      <c r="J342" t="s">
        <v>7075</v>
      </c>
      <c r="K342" t="s">
        <v>91</v>
      </c>
      <c r="L342" t="s">
        <v>33</v>
      </c>
      <c r="M342" t="s">
        <v>87</v>
      </c>
      <c r="N342" t="s">
        <v>48</v>
      </c>
      <c r="O342" t="s">
        <v>36</v>
      </c>
      <c r="P342" t="s">
        <v>71</v>
      </c>
      <c r="Q342" t="s">
        <v>79</v>
      </c>
      <c r="R342">
        <v>189</v>
      </c>
      <c r="S342">
        <v>110</v>
      </c>
      <c r="T342">
        <v>84</v>
      </c>
      <c r="U342">
        <v>34</v>
      </c>
      <c r="V342" t="s">
        <v>7184</v>
      </c>
      <c r="W342">
        <v>57002</v>
      </c>
      <c r="X342" t="s">
        <v>7185</v>
      </c>
      <c r="Y342">
        <v>42591</v>
      </c>
      <c r="Z342">
        <v>1938068</v>
      </c>
      <c r="AA342">
        <v>489974</v>
      </c>
      <c r="AB342" t="str">
        <f>(VLOOKUP(SalesData[[#This Row],[Month Number]],Reference!C$5:E$16,2,FALSE))</f>
        <v>Feb</v>
      </c>
      <c r="AC342">
        <f>MONTH(SalesData[[#This Row],[Date]])</f>
        <v>2</v>
      </c>
      <c r="AD342">
        <f>Reference!F$4</f>
        <v>2026</v>
      </c>
      <c r="AE342" t="str">
        <f>IF(OR(SalesData[[#This Row],[Day]]="Saturday",SalesData[[#This Row],[Day]]="Sunday"),"Weekend","Weekday")</f>
        <v>Weekday</v>
      </c>
      <c r="AF342" s="5">
        <f>IF(SalesData[[#This Row],[Contracts Offered]]=0,0,SalesData[[#This Row],[Contracts Signed]]/SalesData[[#This Row],[Contracts Offered]])</f>
        <v>0.40476190476190477</v>
      </c>
      <c r="AG342" s="5">
        <f>IF(SalesData[[#This Row],[Customers Visited]]=0,0,SalesData[[#This Row],[Test Drives]]/SalesData[[#This Row],[Customers Visited]])</f>
        <v>0.58201058201058198</v>
      </c>
      <c r="AH342" s="5">
        <f>IF(SalesData[[#This Row],[Customers Visited]]=0,0,SalesData[[#This Row],[Contracts Signed]]/SalesData[[#This Row],[Customers Visited]])</f>
        <v>0.17989417989417988</v>
      </c>
      <c r="AI342" s="6">
        <f>IF(SalesData[[#This Row],[Contracts Signed]]=0,0,SalesData[[#This Row],[Profit(€)]]/SalesData[[#This Row],[Contracts Signed]])</f>
        <v>14411</v>
      </c>
      <c r="AJ342" s="5" t="str">
        <f>TRIM(CLEAN(SalesData[[#This Row],[Retailer]]))</f>
        <v>Hannover Cars</v>
      </c>
    </row>
    <row r="343" spans="1:36" ht="14.25" hidden="1" x14ac:dyDescent="0.2">
      <c r="A343" t="s">
        <v>734</v>
      </c>
      <c r="B343" s="1">
        <v>46070</v>
      </c>
      <c r="C343" t="s">
        <v>62</v>
      </c>
      <c r="D343" t="s">
        <v>63</v>
      </c>
      <c r="E343" t="s">
        <v>26</v>
      </c>
      <c r="F343" t="s">
        <v>83</v>
      </c>
      <c r="G343" t="s">
        <v>84</v>
      </c>
      <c r="H343" t="s">
        <v>85</v>
      </c>
      <c r="I343" t="s">
        <v>104</v>
      </c>
      <c r="J343" t="s">
        <v>7031</v>
      </c>
      <c r="K343" t="s">
        <v>32</v>
      </c>
      <c r="L343" t="s">
        <v>46</v>
      </c>
      <c r="M343" t="s">
        <v>87</v>
      </c>
      <c r="N343" t="s">
        <v>48</v>
      </c>
      <c r="O343" t="s">
        <v>70</v>
      </c>
      <c r="P343" t="s">
        <v>71</v>
      </c>
      <c r="Q343" t="s">
        <v>79</v>
      </c>
      <c r="R343">
        <v>404</v>
      </c>
      <c r="S343">
        <v>163</v>
      </c>
      <c r="T343">
        <v>104</v>
      </c>
      <c r="U343">
        <v>25</v>
      </c>
      <c r="V343" t="s">
        <v>3824</v>
      </c>
      <c r="W343">
        <v>29572</v>
      </c>
      <c r="X343" t="s">
        <v>2829</v>
      </c>
      <c r="Y343">
        <v>25948</v>
      </c>
      <c r="Z343">
        <v>739300</v>
      </c>
      <c r="AA343">
        <v>90600</v>
      </c>
      <c r="AB343" t="str">
        <f>(VLOOKUP(SalesData[[#This Row],[Month Number]],Reference!C$5:E$16,2,FALSE))</f>
        <v>Feb</v>
      </c>
      <c r="AC343">
        <f>MONTH(SalesData[[#This Row],[Date]])</f>
        <v>2</v>
      </c>
      <c r="AD343">
        <f>Reference!F$4</f>
        <v>2026</v>
      </c>
      <c r="AE343" t="str">
        <f>IF(OR(SalesData[[#This Row],[Day]]="Saturday",SalesData[[#This Row],[Day]]="Sunday"),"Weekend","Weekday")</f>
        <v>Weekday</v>
      </c>
      <c r="AF343" s="5">
        <f>IF(SalesData[[#This Row],[Contracts Offered]]=0,0,SalesData[[#This Row],[Contracts Signed]]/SalesData[[#This Row],[Contracts Offered]])</f>
        <v>0.24038461538461539</v>
      </c>
      <c r="AG343" s="5">
        <f>IF(SalesData[[#This Row],[Customers Visited]]=0,0,SalesData[[#This Row],[Test Drives]]/SalesData[[#This Row],[Customers Visited]])</f>
        <v>0.40346534653465349</v>
      </c>
      <c r="AH343" s="5">
        <f>IF(SalesData[[#This Row],[Customers Visited]]=0,0,SalesData[[#This Row],[Contracts Signed]]/SalesData[[#This Row],[Customers Visited]])</f>
        <v>6.1881188118811881E-2</v>
      </c>
      <c r="AI343" s="6">
        <f>IF(SalesData[[#This Row],[Contracts Signed]]=0,0,SalesData[[#This Row],[Profit(€)]]/SalesData[[#This Row],[Contracts Signed]])</f>
        <v>3624</v>
      </c>
      <c r="AJ343" s="5" t="str">
        <f>TRIM(CLEAN(SalesData[[#This Row],[Retailer]]))</f>
        <v>Hannover Cars</v>
      </c>
    </row>
    <row r="344" spans="1:36" ht="14.25" x14ac:dyDescent="0.2">
      <c r="A344" t="s">
        <v>736</v>
      </c>
      <c r="B344" s="1">
        <v>46070</v>
      </c>
      <c r="C344" t="s">
        <v>62</v>
      </c>
      <c r="D344" t="s">
        <v>63</v>
      </c>
      <c r="E344" t="s">
        <v>26</v>
      </c>
      <c r="F344" t="s">
        <v>43</v>
      </c>
      <c r="G344" t="s">
        <v>44</v>
      </c>
      <c r="H344" t="s">
        <v>45</v>
      </c>
      <c r="I344" t="s">
        <v>30</v>
      </c>
      <c r="J344" t="s">
        <v>31</v>
      </c>
      <c r="K344" t="s">
        <v>66</v>
      </c>
      <c r="L344" t="s">
        <v>46</v>
      </c>
      <c r="M344" t="s">
        <v>87</v>
      </c>
      <c r="N344" t="s">
        <v>69</v>
      </c>
      <c r="O344" t="s">
        <v>70</v>
      </c>
      <c r="P344" t="s">
        <v>49</v>
      </c>
      <c r="Q344" t="s">
        <v>88</v>
      </c>
      <c r="R344">
        <v>156</v>
      </c>
      <c r="S344">
        <v>88</v>
      </c>
      <c r="T344">
        <v>69</v>
      </c>
      <c r="U344">
        <v>23</v>
      </c>
      <c r="V344" t="s">
        <v>6775</v>
      </c>
      <c r="W344">
        <v>63153</v>
      </c>
      <c r="X344" t="s">
        <v>609</v>
      </c>
      <c r="Y344">
        <v>48694</v>
      </c>
      <c r="Z344">
        <v>1452519</v>
      </c>
      <c r="AA344">
        <v>332557</v>
      </c>
      <c r="AB344" t="str">
        <f>(VLOOKUP(SalesData[[#This Row],[Month Number]],Reference!C$5:E$16,2,FALSE))</f>
        <v>Feb</v>
      </c>
      <c r="AC344">
        <f>MONTH(SalesData[[#This Row],[Date]])</f>
        <v>2</v>
      </c>
      <c r="AD344">
        <f>Reference!F$4</f>
        <v>2026</v>
      </c>
      <c r="AE344" t="str">
        <f>IF(OR(SalesData[[#This Row],[Day]]="Saturday",SalesData[[#This Row],[Day]]="Sunday"),"Weekend","Weekday")</f>
        <v>Weekday</v>
      </c>
      <c r="AF344" s="5">
        <f>IF(SalesData[[#This Row],[Contracts Offered]]=0,0,SalesData[[#This Row],[Contracts Signed]]/SalesData[[#This Row],[Contracts Offered]])</f>
        <v>0.33333333333333331</v>
      </c>
      <c r="AG344" s="5">
        <f>IF(SalesData[[#This Row],[Customers Visited]]=0,0,SalesData[[#This Row],[Test Drives]]/SalesData[[#This Row],[Customers Visited]])</f>
        <v>0.5641025641025641</v>
      </c>
      <c r="AH344" s="5">
        <f>IF(SalesData[[#This Row],[Customers Visited]]=0,0,SalesData[[#This Row],[Contracts Signed]]/SalesData[[#This Row],[Customers Visited]])</f>
        <v>0.14743589743589744</v>
      </c>
      <c r="AI344" s="6">
        <f>IF(SalesData[[#This Row],[Contracts Signed]]=0,0,SalesData[[#This Row],[Profit(€)]]/SalesData[[#This Row],[Contracts Signed]])</f>
        <v>14459</v>
      </c>
      <c r="AJ344" s="5" t="str">
        <f>TRIM(CLEAN(SalesData[[#This Row],[Retailer]]))</f>
        <v>Saxon Wheels</v>
      </c>
    </row>
    <row r="345" spans="1:36" ht="14.25" hidden="1" x14ac:dyDescent="0.2">
      <c r="A345" t="s">
        <v>737</v>
      </c>
      <c r="B345" s="1">
        <v>46055</v>
      </c>
      <c r="C345" t="s">
        <v>24</v>
      </c>
      <c r="D345" t="s">
        <v>25</v>
      </c>
      <c r="E345" t="s">
        <v>26</v>
      </c>
      <c r="F345" t="s">
        <v>43</v>
      </c>
      <c r="G345" t="s">
        <v>44</v>
      </c>
      <c r="H345" t="s">
        <v>45</v>
      </c>
      <c r="I345" t="s">
        <v>56</v>
      </c>
      <c r="J345" t="s">
        <v>179</v>
      </c>
      <c r="K345" t="s">
        <v>66</v>
      </c>
      <c r="L345" t="s">
        <v>67</v>
      </c>
      <c r="M345" t="s">
        <v>34</v>
      </c>
      <c r="N345" t="s">
        <v>48</v>
      </c>
      <c r="O345" t="s">
        <v>36</v>
      </c>
      <c r="P345" t="s">
        <v>49</v>
      </c>
      <c r="Q345" t="s">
        <v>38</v>
      </c>
      <c r="R345">
        <v>304</v>
      </c>
      <c r="S345">
        <v>171</v>
      </c>
      <c r="T345">
        <v>113</v>
      </c>
      <c r="U345">
        <v>34</v>
      </c>
      <c r="V345" t="s">
        <v>1865</v>
      </c>
      <c r="W345">
        <v>45703</v>
      </c>
      <c r="X345" t="s">
        <v>1959</v>
      </c>
      <c r="Y345">
        <v>34899</v>
      </c>
      <c r="Z345">
        <v>1553902</v>
      </c>
      <c r="AA345">
        <v>367336</v>
      </c>
      <c r="AB345" t="str">
        <f>(VLOOKUP(SalesData[[#This Row],[Month Number]],Reference!C$5:E$16,2,FALSE))</f>
        <v>Feb</v>
      </c>
      <c r="AC345">
        <f>MONTH(SalesData[[#This Row],[Date]])</f>
        <v>2</v>
      </c>
      <c r="AD345">
        <f>Reference!F$4</f>
        <v>2026</v>
      </c>
      <c r="AE345" t="str">
        <f>IF(OR(SalesData[[#This Row],[Day]]="Saturday",SalesData[[#This Row],[Day]]="Sunday"),"Weekend","Weekday")</f>
        <v>Weekday</v>
      </c>
      <c r="AF345" s="5">
        <f>IF(SalesData[[#This Row],[Contracts Offered]]=0,0,SalesData[[#This Row],[Contracts Signed]]/SalesData[[#This Row],[Contracts Offered]])</f>
        <v>0.30088495575221241</v>
      </c>
      <c r="AG345" s="5">
        <f>IF(SalesData[[#This Row],[Customers Visited]]=0,0,SalesData[[#This Row],[Test Drives]]/SalesData[[#This Row],[Customers Visited]])</f>
        <v>0.5625</v>
      </c>
      <c r="AH345" s="5">
        <f>IF(SalesData[[#This Row],[Customers Visited]]=0,0,SalesData[[#This Row],[Contracts Signed]]/SalesData[[#This Row],[Customers Visited]])</f>
        <v>0.1118421052631579</v>
      </c>
      <c r="AI345" s="6">
        <f>IF(SalesData[[#This Row],[Contracts Signed]]=0,0,SalesData[[#This Row],[Profit(€)]]/SalesData[[#This Row],[Contracts Signed]])</f>
        <v>10804</v>
      </c>
      <c r="AJ345" s="5" t="str">
        <f>TRIM(CLEAN(SalesData[[#This Row],[Retailer]]))</f>
        <v>Saxon Wheels</v>
      </c>
    </row>
    <row r="346" spans="1:36" ht="14.25" hidden="1" x14ac:dyDescent="0.2">
      <c r="A346" t="s">
        <v>739</v>
      </c>
      <c r="B346" s="1">
        <v>46076</v>
      </c>
      <c r="C346" t="s">
        <v>53</v>
      </c>
      <c r="D346" t="s">
        <v>25</v>
      </c>
      <c r="E346" t="s">
        <v>26</v>
      </c>
      <c r="F346" t="s">
        <v>114</v>
      </c>
      <c r="G346" t="s">
        <v>115</v>
      </c>
      <c r="H346" t="s">
        <v>115</v>
      </c>
      <c r="I346" t="s">
        <v>56</v>
      </c>
      <c r="J346" t="s">
        <v>7028</v>
      </c>
      <c r="K346" t="s">
        <v>91</v>
      </c>
      <c r="L346" t="s">
        <v>46</v>
      </c>
      <c r="M346" t="s">
        <v>47</v>
      </c>
      <c r="N346" t="s">
        <v>48</v>
      </c>
      <c r="O346" t="s">
        <v>36</v>
      </c>
      <c r="P346" t="s">
        <v>71</v>
      </c>
      <c r="Q346" t="s">
        <v>38</v>
      </c>
      <c r="R346">
        <v>237</v>
      </c>
      <c r="S346">
        <v>137</v>
      </c>
      <c r="T346">
        <v>88</v>
      </c>
      <c r="U346">
        <v>36</v>
      </c>
      <c r="V346" t="s">
        <v>6619</v>
      </c>
      <c r="W346">
        <v>51795</v>
      </c>
      <c r="X346" t="s">
        <v>5488</v>
      </c>
      <c r="Y346">
        <v>42311</v>
      </c>
      <c r="Z346">
        <v>1864620</v>
      </c>
      <c r="AA346">
        <v>341424</v>
      </c>
      <c r="AB346" t="str">
        <f>(VLOOKUP(SalesData[[#This Row],[Month Number]],Reference!C$5:E$16,2,FALSE))</f>
        <v>Feb</v>
      </c>
      <c r="AC346">
        <f>MONTH(SalesData[[#This Row],[Date]])</f>
        <v>2</v>
      </c>
      <c r="AD346">
        <f>Reference!F$4</f>
        <v>2026</v>
      </c>
      <c r="AE346" t="str">
        <f>IF(OR(SalesData[[#This Row],[Day]]="Saturday",SalesData[[#This Row],[Day]]="Sunday"),"Weekend","Weekday")</f>
        <v>Weekday</v>
      </c>
      <c r="AF346" s="5">
        <f>IF(SalesData[[#This Row],[Contracts Offered]]=0,0,SalesData[[#This Row],[Contracts Signed]]/SalesData[[#This Row],[Contracts Offered]])</f>
        <v>0.40909090909090912</v>
      </c>
      <c r="AG346" s="5">
        <f>IF(SalesData[[#This Row],[Customers Visited]]=0,0,SalesData[[#This Row],[Test Drives]]/SalesData[[#This Row],[Customers Visited]])</f>
        <v>0.57805907172995785</v>
      </c>
      <c r="AH346" s="5">
        <f>IF(SalesData[[#This Row],[Customers Visited]]=0,0,SalesData[[#This Row],[Contracts Signed]]/SalesData[[#This Row],[Customers Visited]])</f>
        <v>0.15189873417721519</v>
      </c>
      <c r="AI346" s="6">
        <f>IF(SalesData[[#This Row],[Contracts Signed]]=0,0,SalesData[[#This Row],[Profit(€)]]/SalesData[[#This Row],[Contracts Signed]])</f>
        <v>9484</v>
      </c>
      <c r="AJ346" s="5" t="str">
        <f>TRIM(CLEAN(SalesData[[#This Row],[Retailer]]))</f>
        <v>Elbe Drive</v>
      </c>
    </row>
    <row r="347" spans="1:36" ht="14.25" x14ac:dyDescent="0.2">
      <c r="A347" t="s">
        <v>740</v>
      </c>
      <c r="B347" s="1">
        <v>46074</v>
      </c>
      <c r="C347" t="s">
        <v>62</v>
      </c>
      <c r="D347" t="s">
        <v>151</v>
      </c>
      <c r="E347" t="s">
        <v>42</v>
      </c>
      <c r="F347" t="s">
        <v>101</v>
      </c>
      <c r="G347" t="s">
        <v>102</v>
      </c>
      <c r="H347" t="s">
        <v>103</v>
      </c>
      <c r="I347" t="s">
        <v>30</v>
      </c>
      <c r="J347" t="s">
        <v>166</v>
      </c>
      <c r="K347" t="s">
        <v>66</v>
      </c>
      <c r="L347" t="s">
        <v>46</v>
      </c>
      <c r="M347" t="s">
        <v>68</v>
      </c>
      <c r="N347" t="s">
        <v>48</v>
      </c>
      <c r="O347" t="s">
        <v>36</v>
      </c>
      <c r="P347" t="s">
        <v>49</v>
      </c>
      <c r="Q347" t="s">
        <v>50</v>
      </c>
      <c r="R347">
        <v>143</v>
      </c>
      <c r="S347">
        <v>70</v>
      </c>
      <c r="T347">
        <v>50</v>
      </c>
      <c r="U347">
        <v>17</v>
      </c>
      <c r="V347" t="s">
        <v>6572</v>
      </c>
      <c r="W347">
        <v>50854</v>
      </c>
      <c r="X347" t="s">
        <v>7127</v>
      </c>
      <c r="Y347">
        <v>38722</v>
      </c>
      <c r="Z347">
        <v>864518</v>
      </c>
      <c r="AA347">
        <v>206244</v>
      </c>
      <c r="AB347" t="str">
        <f>(VLOOKUP(SalesData[[#This Row],[Month Number]],Reference!C$5:E$16,2,FALSE))</f>
        <v>Feb</v>
      </c>
      <c r="AC347">
        <f>MONTH(SalesData[[#This Row],[Date]])</f>
        <v>2</v>
      </c>
      <c r="AD347">
        <f>Reference!F$4</f>
        <v>2026</v>
      </c>
      <c r="AE347" t="str">
        <f>IF(OR(SalesData[[#This Row],[Day]]="Saturday",SalesData[[#This Row],[Day]]="Sunday"),"Weekend","Weekday")</f>
        <v>Weekend</v>
      </c>
      <c r="AF347" s="5">
        <f>IF(SalesData[[#This Row],[Contracts Offered]]=0,0,SalesData[[#This Row],[Contracts Signed]]/SalesData[[#This Row],[Contracts Offered]])</f>
        <v>0.34</v>
      </c>
      <c r="AG347" s="5">
        <f>IF(SalesData[[#This Row],[Customers Visited]]=0,0,SalesData[[#This Row],[Test Drives]]/SalesData[[#This Row],[Customers Visited]])</f>
        <v>0.48951048951048953</v>
      </c>
      <c r="AH347" s="5">
        <f>IF(SalesData[[#This Row],[Customers Visited]]=0,0,SalesData[[#This Row],[Contracts Signed]]/SalesData[[#This Row],[Customers Visited]])</f>
        <v>0.11888111888111888</v>
      </c>
      <c r="AI347" s="6">
        <f>IF(SalesData[[#This Row],[Contracts Signed]]=0,0,SalesData[[#This Row],[Profit(€)]]/SalesData[[#This Row],[Contracts Signed]])</f>
        <v>12132</v>
      </c>
      <c r="AJ347" s="5" t="str">
        <f>TRIM(CLEAN(SalesData[[#This Row],[Retailer]]))</f>
        <v>Ruhr Auto Plaza</v>
      </c>
    </row>
    <row r="348" spans="1:36" ht="14.25" hidden="1" x14ac:dyDescent="0.2">
      <c r="A348" t="s">
        <v>742</v>
      </c>
      <c r="B348" s="1">
        <v>46058</v>
      </c>
      <c r="C348" t="s">
        <v>24</v>
      </c>
      <c r="D348" t="s">
        <v>100</v>
      </c>
      <c r="E348" t="s">
        <v>26</v>
      </c>
      <c r="F348" t="s">
        <v>109</v>
      </c>
      <c r="G348" t="s">
        <v>110</v>
      </c>
      <c r="H348" t="s">
        <v>45</v>
      </c>
      <c r="I348" t="s">
        <v>56</v>
      </c>
      <c r="J348" t="s">
        <v>57</v>
      </c>
      <c r="K348" t="s">
        <v>78</v>
      </c>
      <c r="L348" t="s">
        <v>46</v>
      </c>
      <c r="M348" t="s">
        <v>47</v>
      </c>
      <c r="N348" t="s">
        <v>69</v>
      </c>
      <c r="O348" t="s">
        <v>36</v>
      </c>
      <c r="P348" t="s">
        <v>58</v>
      </c>
      <c r="Q348" t="s">
        <v>169</v>
      </c>
      <c r="R348">
        <v>283</v>
      </c>
      <c r="S348">
        <v>167</v>
      </c>
      <c r="T348">
        <v>109</v>
      </c>
      <c r="U348">
        <v>38</v>
      </c>
      <c r="V348" t="s">
        <v>6783</v>
      </c>
      <c r="W348">
        <v>53878</v>
      </c>
      <c r="X348" t="s">
        <v>7186</v>
      </c>
      <c r="Y348">
        <v>43956</v>
      </c>
      <c r="Z348">
        <v>2047364</v>
      </c>
      <c r="AA348">
        <v>377036</v>
      </c>
      <c r="AB348" t="str">
        <f>(VLOOKUP(SalesData[[#This Row],[Month Number]],Reference!C$5:E$16,2,FALSE))</f>
        <v>Feb</v>
      </c>
      <c r="AC348">
        <f>MONTH(SalesData[[#This Row],[Date]])</f>
        <v>2</v>
      </c>
      <c r="AD348">
        <f>Reference!F$4</f>
        <v>2026</v>
      </c>
      <c r="AE348" t="str">
        <f>IF(OR(SalesData[[#This Row],[Day]]="Saturday",SalesData[[#This Row],[Day]]="Sunday"),"Weekend","Weekday")</f>
        <v>Weekday</v>
      </c>
      <c r="AF348" s="5">
        <f>IF(SalesData[[#This Row],[Contracts Offered]]=0,0,SalesData[[#This Row],[Contracts Signed]]/SalesData[[#This Row],[Contracts Offered]])</f>
        <v>0.34862385321100919</v>
      </c>
      <c r="AG348" s="5">
        <f>IF(SalesData[[#This Row],[Customers Visited]]=0,0,SalesData[[#This Row],[Test Drives]]/SalesData[[#This Row],[Customers Visited]])</f>
        <v>0.59010600706713778</v>
      </c>
      <c r="AH348" s="5">
        <f>IF(SalesData[[#This Row],[Customers Visited]]=0,0,SalesData[[#This Row],[Contracts Signed]]/SalesData[[#This Row],[Customers Visited]])</f>
        <v>0.13427561837455831</v>
      </c>
      <c r="AI348" s="6">
        <f>IF(SalesData[[#This Row],[Contracts Signed]]=0,0,SalesData[[#This Row],[Profit(€)]]/SalesData[[#This Row],[Contracts Signed]])</f>
        <v>9922</v>
      </c>
      <c r="AJ348" s="5" t="str">
        <f>TRIM(CLEAN(SalesData[[#This Row],[Retailer]]))</f>
        <v>Leipzig Mobility</v>
      </c>
    </row>
    <row r="349" spans="1:36" ht="14.25" hidden="1" x14ac:dyDescent="0.2">
      <c r="A349" t="s">
        <v>744</v>
      </c>
      <c r="B349" s="1">
        <v>46058</v>
      </c>
      <c r="C349" t="s">
        <v>24</v>
      </c>
      <c r="D349" t="s">
        <v>100</v>
      </c>
      <c r="E349" t="s">
        <v>26</v>
      </c>
      <c r="F349" t="s">
        <v>127</v>
      </c>
      <c r="G349" t="s">
        <v>128</v>
      </c>
      <c r="H349" t="s">
        <v>103</v>
      </c>
      <c r="I349" t="s">
        <v>64</v>
      </c>
      <c r="J349" t="s">
        <v>157</v>
      </c>
      <c r="K349" t="s">
        <v>66</v>
      </c>
      <c r="L349" t="s">
        <v>33</v>
      </c>
      <c r="M349" t="s">
        <v>34</v>
      </c>
      <c r="N349" t="s">
        <v>35</v>
      </c>
      <c r="O349" t="s">
        <v>70</v>
      </c>
      <c r="P349" t="s">
        <v>71</v>
      </c>
      <c r="Q349" t="s">
        <v>135</v>
      </c>
      <c r="R349">
        <v>211</v>
      </c>
      <c r="S349">
        <v>113</v>
      </c>
      <c r="T349">
        <v>77</v>
      </c>
      <c r="U349">
        <v>31</v>
      </c>
      <c r="V349" t="s">
        <v>6665</v>
      </c>
      <c r="W349">
        <v>58327</v>
      </c>
      <c r="X349" t="s">
        <v>550</v>
      </c>
      <c r="Y349">
        <v>42652</v>
      </c>
      <c r="Z349">
        <v>1808137</v>
      </c>
      <c r="AA349">
        <v>485925</v>
      </c>
      <c r="AB349" t="str">
        <f>(VLOOKUP(SalesData[[#This Row],[Month Number]],Reference!C$5:E$16,2,FALSE))</f>
        <v>Feb</v>
      </c>
      <c r="AC349">
        <f>MONTH(SalesData[[#This Row],[Date]])</f>
        <v>2</v>
      </c>
      <c r="AD349">
        <f>Reference!F$4</f>
        <v>2026</v>
      </c>
      <c r="AE349" t="str">
        <f>IF(OR(SalesData[[#This Row],[Day]]="Saturday",SalesData[[#This Row],[Day]]="Sunday"),"Weekend","Weekday")</f>
        <v>Weekday</v>
      </c>
      <c r="AF349" s="5">
        <f>IF(SalesData[[#This Row],[Contracts Offered]]=0,0,SalesData[[#This Row],[Contracts Signed]]/SalesData[[#This Row],[Contracts Offered]])</f>
        <v>0.40259740259740262</v>
      </c>
      <c r="AG349" s="5">
        <f>IF(SalesData[[#This Row],[Customers Visited]]=0,0,SalesData[[#This Row],[Test Drives]]/SalesData[[#This Row],[Customers Visited]])</f>
        <v>0.53554502369668244</v>
      </c>
      <c r="AH349" s="5">
        <f>IF(SalesData[[#This Row],[Customers Visited]]=0,0,SalesData[[#This Row],[Contracts Signed]]/SalesData[[#This Row],[Customers Visited]])</f>
        <v>0.14691943127962084</v>
      </c>
      <c r="AI349" s="6">
        <f>IF(SalesData[[#This Row],[Contracts Signed]]=0,0,SalesData[[#This Row],[Profit(€)]]/SalesData[[#This Row],[Contracts Signed]])</f>
        <v>15675</v>
      </c>
      <c r="AJ349" s="5" t="str">
        <f>TRIM(CLEAN(SalesData[[#This Row],[Retailer]]))</f>
        <v>Rhein Auto Group</v>
      </c>
    </row>
    <row r="350" spans="1:36" ht="14.25" hidden="1" x14ac:dyDescent="0.2">
      <c r="A350" t="s">
        <v>745</v>
      </c>
      <c r="B350" s="1">
        <v>46081</v>
      </c>
      <c r="C350" t="s">
        <v>53</v>
      </c>
      <c r="D350" t="s">
        <v>151</v>
      </c>
      <c r="E350" t="s">
        <v>42</v>
      </c>
      <c r="F350" t="s">
        <v>27</v>
      </c>
      <c r="G350" t="s">
        <v>28</v>
      </c>
      <c r="H350" t="s">
        <v>29</v>
      </c>
      <c r="I350" t="s">
        <v>56</v>
      </c>
      <c r="J350" t="s">
        <v>179</v>
      </c>
      <c r="K350" t="s">
        <v>78</v>
      </c>
      <c r="L350" t="s">
        <v>67</v>
      </c>
      <c r="M350" t="s">
        <v>87</v>
      </c>
      <c r="N350" t="s">
        <v>69</v>
      </c>
      <c r="O350" t="s">
        <v>36</v>
      </c>
      <c r="P350" t="s">
        <v>37</v>
      </c>
      <c r="Q350" t="s">
        <v>59</v>
      </c>
      <c r="R350">
        <v>305</v>
      </c>
      <c r="S350">
        <v>154</v>
      </c>
      <c r="T350">
        <v>109</v>
      </c>
      <c r="U350">
        <v>34</v>
      </c>
      <c r="V350" t="s">
        <v>6408</v>
      </c>
      <c r="W350">
        <v>40760</v>
      </c>
      <c r="X350" t="s">
        <v>1739</v>
      </c>
      <c r="Y350">
        <v>32424</v>
      </c>
      <c r="Z350">
        <v>1385840</v>
      </c>
      <c r="AA350">
        <v>283424</v>
      </c>
      <c r="AB350" t="str">
        <f>(VLOOKUP(SalesData[[#This Row],[Month Number]],Reference!C$5:E$16,2,FALSE))</f>
        <v>Feb</v>
      </c>
      <c r="AC350">
        <f>MONTH(SalesData[[#This Row],[Date]])</f>
        <v>2</v>
      </c>
      <c r="AD350">
        <f>Reference!F$4</f>
        <v>2026</v>
      </c>
      <c r="AE350" t="str">
        <f>IF(OR(SalesData[[#This Row],[Day]]="Saturday",SalesData[[#This Row],[Day]]="Sunday"),"Weekend","Weekday")</f>
        <v>Weekend</v>
      </c>
      <c r="AF350" s="5">
        <f>IF(SalesData[[#This Row],[Contracts Offered]]=0,0,SalesData[[#This Row],[Contracts Signed]]/SalesData[[#This Row],[Contracts Offered]])</f>
        <v>0.31192660550458717</v>
      </c>
      <c r="AG350" s="5">
        <f>IF(SalesData[[#This Row],[Customers Visited]]=0,0,SalesData[[#This Row],[Test Drives]]/SalesData[[#This Row],[Customers Visited]])</f>
        <v>0.5049180327868853</v>
      </c>
      <c r="AH350" s="5">
        <f>IF(SalesData[[#This Row],[Customers Visited]]=0,0,SalesData[[#This Row],[Contracts Signed]]/SalesData[[#This Row],[Customers Visited]])</f>
        <v>0.11147540983606558</v>
      </c>
      <c r="AI350" s="6">
        <f>IF(SalesData[[#This Row],[Contracts Signed]]=0,0,SalesData[[#This Row],[Profit(€)]]/SalesData[[#This Row],[Contracts Signed]])</f>
        <v>8336</v>
      </c>
      <c r="AJ350" s="5" t="str">
        <f>TRIM(CLEAN(SalesData[[#This Row],[Retailer]]))</f>
        <v>Main Auto Hub</v>
      </c>
    </row>
    <row r="351" spans="1:36" ht="14.25" x14ac:dyDescent="0.2">
      <c r="A351" t="s">
        <v>747</v>
      </c>
      <c r="B351" s="1">
        <v>46074</v>
      </c>
      <c r="C351" t="s">
        <v>62</v>
      </c>
      <c r="D351" t="s">
        <v>151</v>
      </c>
      <c r="E351" t="s">
        <v>42</v>
      </c>
      <c r="F351" t="s">
        <v>7649</v>
      </c>
      <c r="G351" t="s">
        <v>55</v>
      </c>
      <c r="H351" t="s">
        <v>55</v>
      </c>
      <c r="I351" t="s">
        <v>30</v>
      </c>
      <c r="J351" t="s">
        <v>188</v>
      </c>
      <c r="K351" t="s">
        <v>78</v>
      </c>
      <c r="L351" t="s">
        <v>33</v>
      </c>
      <c r="M351" t="s">
        <v>34</v>
      </c>
      <c r="N351" t="s">
        <v>35</v>
      </c>
      <c r="O351" t="s">
        <v>70</v>
      </c>
      <c r="P351" t="s">
        <v>37</v>
      </c>
      <c r="Q351" t="s">
        <v>135</v>
      </c>
      <c r="R351">
        <v>216</v>
      </c>
      <c r="S351">
        <v>122</v>
      </c>
      <c r="T351">
        <v>93</v>
      </c>
      <c r="U351">
        <v>31</v>
      </c>
      <c r="V351" t="s">
        <v>6951</v>
      </c>
      <c r="W351">
        <v>60102</v>
      </c>
      <c r="X351" t="s">
        <v>1167</v>
      </c>
      <c r="Y351">
        <v>44963</v>
      </c>
      <c r="Z351">
        <v>1863162</v>
      </c>
      <c r="AA351">
        <v>469309</v>
      </c>
      <c r="AB351" t="str">
        <f>(VLOOKUP(SalesData[[#This Row],[Month Number]],Reference!C$5:E$16,2,FALSE))</f>
        <v>Feb</v>
      </c>
      <c r="AC351">
        <f>MONTH(SalesData[[#This Row],[Date]])</f>
        <v>2</v>
      </c>
      <c r="AD351">
        <f>Reference!F$4</f>
        <v>2026</v>
      </c>
      <c r="AE351" t="str">
        <f>IF(OR(SalesData[[#This Row],[Day]]="Saturday",SalesData[[#This Row],[Day]]="Sunday"),"Weekend","Weekday")</f>
        <v>Weekend</v>
      </c>
      <c r="AF351" s="5">
        <f>IF(SalesData[[#This Row],[Contracts Offered]]=0,0,SalesData[[#This Row],[Contracts Signed]]/SalesData[[#This Row],[Contracts Offered]])</f>
        <v>0.33333333333333331</v>
      </c>
      <c r="AG351" s="5">
        <f>IF(SalesData[[#This Row],[Customers Visited]]=0,0,SalesData[[#This Row],[Test Drives]]/SalesData[[#This Row],[Customers Visited]])</f>
        <v>0.56481481481481477</v>
      </c>
      <c r="AH351" s="5">
        <f>IF(SalesData[[#This Row],[Customers Visited]]=0,0,SalesData[[#This Row],[Contracts Signed]]/SalesData[[#This Row],[Customers Visited]])</f>
        <v>0.14351851851851852</v>
      </c>
      <c r="AI351" s="6">
        <f>IF(SalesData[[#This Row],[Contracts Signed]]=0,0,SalesData[[#This Row],[Profit(€)]]/SalesData[[#This Row],[Contracts Signed]])</f>
        <v>15139</v>
      </c>
      <c r="AJ351" s="5" t="str">
        <f>TRIM(CLEAN(SalesData[[#This Row],[Retailer]]))</f>
        <v>Autohaus Berlin</v>
      </c>
    </row>
    <row r="352" spans="1:36" ht="14.25" x14ac:dyDescent="0.2">
      <c r="A352" t="s">
        <v>749</v>
      </c>
      <c r="B352" s="1">
        <v>46062</v>
      </c>
      <c r="C352" t="s">
        <v>121</v>
      </c>
      <c r="D352" t="s">
        <v>25</v>
      </c>
      <c r="E352" t="s">
        <v>26</v>
      </c>
      <c r="F352" t="s">
        <v>127</v>
      </c>
      <c r="G352" t="s">
        <v>128</v>
      </c>
      <c r="H352" t="s">
        <v>103</v>
      </c>
      <c r="I352" t="s">
        <v>30</v>
      </c>
      <c r="J352" t="s">
        <v>86</v>
      </c>
      <c r="K352" t="s">
        <v>78</v>
      </c>
      <c r="L352" t="s">
        <v>33</v>
      </c>
      <c r="M352" t="s">
        <v>87</v>
      </c>
      <c r="N352" t="s">
        <v>48</v>
      </c>
      <c r="O352" t="s">
        <v>70</v>
      </c>
      <c r="P352" t="s">
        <v>71</v>
      </c>
      <c r="Q352" t="s">
        <v>204</v>
      </c>
      <c r="R352">
        <v>206</v>
      </c>
      <c r="S352">
        <v>109</v>
      </c>
      <c r="T352">
        <v>87</v>
      </c>
      <c r="U352">
        <v>34</v>
      </c>
      <c r="V352" t="s">
        <v>7187</v>
      </c>
      <c r="W352">
        <v>59479</v>
      </c>
      <c r="X352" t="s">
        <v>7097</v>
      </c>
      <c r="Y352">
        <v>45489</v>
      </c>
      <c r="Z352">
        <v>2022286</v>
      </c>
      <c r="AA352">
        <v>475660</v>
      </c>
      <c r="AB352" t="str">
        <f>(VLOOKUP(SalesData[[#This Row],[Month Number]],Reference!C$5:E$16,2,FALSE))</f>
        <v>Feb</v>
      </c>
      <c r="AC352">
        <f>MONTH(SalesData[[#This Row],[Date]])</f>
        <v>2</v>
      </c>
      <c r="AD352">
        <f>Reference!F$4</f>
        <v>2026</v>
      </c>
      <c r="AE352" t="str">
        <f>IF(OR(SalesData[[#This Row],[Day]]="Saturday",SalesData[[#This Row],[Day]]="Sunday"),"Weekend","Weekday")</f>
        <v>Weekday</v>
      </c>
      <c r="AF352" s="5">
        <f>IF(SalesData[[#This Row],[Contracts Offered]]=0,0,SalesData[[#This Row],[Contracts Signed]]/SalesData[[#This Row],[Contracts Offered]])</f>
        <v>0.39080459770114945</v>
      </c>
      <c r="AG352" s="5">
        <f>IF(SalesData[[#This Row],[Customers Visited]]=0,0,SalesData[[#This Row],[Test Drives]]/SalesData[[#This Row],[Customers Visited]])</f>
        <v>0.529126213592233</v>
      </c>
      <c r="AH352" s="5">
        <f>IF(SalesData[[#This Row],[Customers Visited]]=0,0,SalesData[[#This Row],[Contracts Signed]]/SalesData[[#This Row],[Customers Visited]])</f>
        <v>0.1650485436893204</v>
      </c>
      <c r="AI352" s="6">
        <f>IF(SalesData[[#This Row],[Contracts Signed]]=0,0,SalesData[[#This Row],[Profit(€)]]/SalesData[[#This Row],[Contracts Signed]])</f>
        <v>13990</v>
      </c>
      <c r="AJ352" s="5" t="str">
        <f>TRIM(CLEAN(SalesData[[#This Row],[Retailer]]))</f>
        <v>Rhein Auto Group</v>
      </c>
    </row>
    <row r="353" spans="1:36" ht="14.25" hidden="1" x14ac:dyDescent="0.2">
      <c r="A353" t="s">
        <v>751</v>
      </c>
      <c r="B353" s="1">
        <v>46076</v>
      </c>
      <c r="C353" t="s">
        <v>53</v>
      </c>
      <c r="D353" t="s">
        <v>25</v>
      </c>
      <c r="E353" t="s">
        <v>26</v>
      </c>
      <c r="F353" t="s">
        <v>114</v>
      </c>
      <c r="G353" t="s">
        <v>115</v>
      </c>
      <c r="H353" t="s">
        <v>115</v>
      </c>
      <c r="I353" t="s">
        <v>64</v>
      </c>
      <c r="J353" t="s">
        <v>77</v>
      </c>
      <c r="K353" t="s">
        <v>32</v>
      </c>
      <c r="L353" t="s">
        <v>46</v>
      </c>
      <c r="M353" t="s">
        <v>47</v>
      </c>
      <c r="N353" t="s">
        <v>48</v>
      </c>
      <c r="O353" t="s">
        <v>36</v>
      </c>
      <c r="P353" t="s">
        <v>49</v>
      </c>
      <c r="Q353" t="s">
        <v>59</v>
      </c>
      <c r="R353">
        <v>248</v>
      </c>
      <c r="S353">
        <v>144</v>
      </c>
      <c r="T353">
        <v>109</v>
      </c>
      <c r="U353">
        <v>33</v>
      </c>
      <c r="V353" t="s">
        <v>6437</v>
      </c>
      <c r="W353">
        <v>65769</v>
      </c>
      <c r="X353" t="s">
        <v>1813</v>
      </c>
      <c r="Y353">
        <v>48294</v>
      </c>
      <c r="Z353">
        <v>2170377</v>
      </c>
      <c r="AA353">
        <v>576675</v>
      </c>
      <c r="AB353" t="str">
        <f>(VLOOKUP(SalesData[[#This Row],[Month Number]],Reference!C$5:E$16,2,FALSE))</f>
        <v>Feb</v>
      </c>
      <c r="AC353">
        <f>MONTH(SalesData[[#This Row],[Date]])</f>
        <v>2</v>
      </c>
      <c r="AD353">
        <f>Reference!F$4</f>
        <v>2026</v>
      </c>
      <c r="AE353" t="str">
        <f>IF(OR(SalesData[[#This Row],[Day]]="Saturday",SalesData[[#This Row],[Day]]="Sunday"),"Weekend","Weekday")</f>
        <v>Weekday</v>
      </c>
      <c r="AF353" s="5">
        <f>IF(SalesData[[#This Row],[Contracts Offered]]=0,0,SalesData[[#This Row],[Contracts Signed]]/SalesData[[#This Row],[Contracts Offered]])</f>
        <v>0.30275229357798167</v>
      </c>
      <c r="AG353" s="5">
        <f>IF(SalesData[[#This Row],[Customers Visited]]=0,0,SalesData[[#This Row],[Test Drives]]/SalesData[[#This Row],[Customers Visited]])</f>
        <v>0.58064516129032262</v>
      </c>
      <c r="AH353" s="5">
        <f>IF(SalesData[[#This Row],[Customers Visited]]=0,0,SalesData[[#This Row],[Contracts Signed]]/SalesData[[#This Row],[Customers Visited]])</f>
        <v>0.13306451612903225</v>
      </c>
      <c r="AI353" s="6">
        <f>IF(SalesData[[#This Row],[Contracts Signed]]=0,0,SalesData[[#This Row],[Profit(€)]]/SalesData[[#This Row],[Contracts Signed]])</f>
        <v>17475</v>
      </c>
      <c r="AJ353" s="5" t="str">
        <f>TRIM(CLEAN(SalesData[[#This Row],[Retailer]]))</f>
        <v>Elbe Drive</v>
      </c>
    </row>
    <row r="354" spans="1:36" ht="14.25" hidden="1" x14ac:dyDescent="0.2">
      <c r="A354" t="s">
        <v>753</v>
      </c>
      <c r="B354" s="1">
        <v>46063</v>
      </c>
      <c r="C354" t="s">
        <v>121</v>
      </c>
      <c r="D354" t="s">
        <v>63</v>
      </c>
      <c r="E354" t="s">
        <v>26</v>
      </c>
      <c r="F354" t="s">
        <v>94</v>
      </c>
      <c r="G354" t="s">
        <v>95</v>
      </c>
      <c r="H354" t="s">
        <v>96</v>
      </c>
      <c r="I354" t="s">
        <v>116</v>
      </c>
      <c r="J354" t="s">
        <v>7026</v>
      </c>
      <c r="K354" t="s">
        <v>78</v>
      </c>
      <c r="L354" t="s">
        <v>46</v>
      </c>
      <c r="M354" t="s">
        <v>68</v>
      </c>
      <c r="N354" t="s">
        <v>35</v>
      </c>
      <c r="O354" t="s">
        <v>36</v>
      </c>
      <c r="P354" t="s">
        <v>58</v>
      </c>
      <c r="Q354" t="s">
        <v>172</v>
      </c>
      <c r="R354">
        <v>419</v>
      </c>
      <c r="S354">
        <v>159</v>
      </c>
      <c r="T354">
        <v>90</v>
      </c>
      <c r="U354">
        <v>31</v>
      </c>
      <c r="V354" t="s">
        <v>7188</v>
      </c>
      <c r="W354">
        <v>24298</v>
      </c>
      <c r="X354" t="s">
        <v>4616</v>
      </c>
      <c r="Y354">
        <v>21756</v>
      </c>
      <c r="Z354">
        <v>753238</v>
      </c>
      <c r="AA354">
        <v>78802</v>
      </c>
      <c r="AB354" t="str">
        <f>(VLOOKUP(SalesData[[#This Row],[Month Number]],Reference!C$5:E$16,2,FALSE))</f>
        <v>Feb</v>
      </c>
      <c r="AC354">
        <f>MONTH(SalesData[[#This Row],[Date]])</f>
        <v>2</v>
      </c>
      <c r="AD354">
        <f>Reference!F$4</f>
        <v>2026</v>
      </c>
      <c r="AE354" t="str">
        <f>IF(OR(SalesData[[#This Row],[Day]]="Saturday",SalesData[[#This Row],[Day]]="Sunday"),"Weekend","Weekday")</f>
        <v>Weekday</v>
      </c>
      <c r="AF354" s="5">
        <f>IF(SalesData[[#This Row],[Contracts Offered]]=0,0,SalesData[[#This Row],[Contracts Signed]]/SalesData[[#This Row],[Contracts Offered]])</f>
        <v>0.34444444444444444</v>
      </c>
      <c r="AG354" s="5">
        <f>IF(SalesData[[#This Row],[Customers Visited]]=0,0,SalesData[[#This Row],[Test Drives]]/SalesData[[#This Row],[Customers Visited]])</f>
        <v>0.37947494033412887</v>
      </c>
      <c r="AH354" s="5">
        <f>IF(SalesData[[#This Row],[Customers Visited]]=0,0,SalesData[[#This Row],[Contracts Signed]]/SalesData[[#This Row],[Customers Visited]])</f>
        <v>7.3985680190930783E-2</v>
      </c>
      <c r="AI354" s="6">
        <f>IF(SalesData[[#This Row],[Contracts Signed]]=0,0,SalesData[[#This Row],[Profit(€)]]/SalesData[[#This Row],[Contracts Signed]])</f>
        <v>2542</v>
      </c>
      <c r="AJ354" s="5" t="str">
        <f>TRIM(CLEAN(SalesData[[#This Row],[Retailer]]))</f>
        <v>Bavaria Motors</v>
      </c>
    </row>
    <row r="355" spans="1:36" ht="14.25" hidden="1" x14ac:dyDescent="0.2">
      <c r="A355" t="s">
        <v>755</v>
      </c>
      <c r="B355" s="1">
        <v>46077</v>
      </c>
      <c r="C355" t="s">
        <v>53</v>
      </c>
      <c r="D355" t="s">
        <v>63</v>
      </c>
      <c r="E355" t="s">
        <v>26</v>
      </c>
      <c r="F355" t="s">
        <v>101</v>
      </c>
      <c r="G355" t="s">
        <v>102</v>
      </c>
      <c r="H355" t="s">
        <v>103</v>
      </c>
      <c r="I355" t="s">
        <v>116</v>
      </c>
      <c r="J355" t="s">
        <v>203</v>
      </c>
      <c r="K355" t="s">
        <v>32</v>
      </c>
      <c r="L355" t="s">
        <v>67</v>
      </c>
      <c r="M355" t="s">
        <v>87</v>
      </c>
      <c r="N355" t="s">
        <v>48</v>
      </c>
      <c r="O355" t="s">
        <v>70</v>
      </c>
      <c r="P355" t="s">
        <v>58</v>
      </c>
      <c r="Q355" t="s">
        <v>118</v>
      </c>
      <c r="R355">
        <v>322</v>
      </c>
      <c r="S355">
        <v>127</v>
      </c>
      <c r="T355">
        <v>81</v>
      </c>
      <c r="U355">
        <v>21</v>
      </c>
      <c r="V355" t="s">
        <v>1688</v>
      </c>
      <c r="W355">
        <v>26056</v>
      </c>
      <c r="X355" t="s">
        <v>579</v>
      </c>
      <c r="Y355">
        <v>23577</v>
      </c>
      <c r="Z355">
        <v>547176</v>
      </c>
      <c r="AA355">
        <v>52059</v>
      </c>
      <c r="AB355" t="str">
        <f>(VLOOKUP(SalesData[[#This Row],[Month Number]],Reference!C$5:E$16,2,FALSE))</f>
        <v>Feb</v>
      </c>
      <c r="AC355">
        <f>MONTH(SalesData[[#This Row],[Date]])</f>
        <v>2</v>
      </c>
      <c r="AD355">
        <f>Reference!F$4</f>
        <v>2026</v>
      </c>
      <c r="AE355" t="str">
        <f>IF(OR(SalesData[[#This Row],[Day]]="Saturday",SalesData[[#This Row],[Day]]="Sunday"),"Weekend","Weekday")</f>
        <v>Weekday</v>
      </c>
      <c r="AF355" s="5">
        <f>IF(SalesData[[#This Row],[Contracts Offered]]=0,0,SalesData[[#This Row],[Contracts Signed]]/SalesData[[#This Row],[Contracts Offered]])</f>
        <v>0.25925925925925924</v>
      </c>
      <c r="AG355" s="5">
        <f>IF(SalesData[[#This Row],[Customers Visited]]=0,0,SalesData[[#This Row],[Test Drives]]/SalesData[[#This Row],[Customers Visited]])</f>
        <v>0.39440993788819878</v>
      </c>
      <c r="AH355" s="5">
        <f>IF(SalesData[[#This Row],[Customers Visited]]=0,0,SalesData[[#This Row],[Contracts Signed]]/SalesData[[#This Row],[Customers Visited]])</f>
        <v>6.5217391304347824E-2</v>
      </c>
      <c r="AI355" s="6">
        <f>IF(SalesData[[#This Row],[Contracts Signed]]=0,0,SalesData[[#This Row],[Profit(€)]]/SalesData[[#This Row],[Contracts Signed]])</f>
        <v>2479</v>
      </c>
      <c r="AJ355" s="5" t="str">
        <f>TRIM(CLEAN(SalesData[[#This Row],[Retailer]]))</f>
        <v>Ruhr Auto Plaza</v>
      </c>
    </row>
    <row r="356" spans="1:36" ht="14.25" x14ac:dyDescent="0.2">
      <c r="A356" t="s">
        <v>757</v>
      </c>
      <c r="B356" s="1">
        <v>46076</v>
      </c>
      <c r="C356" t="s">
        <v>53</v>
      </c>
      <c r="D356" t="s">
        <v>25</v>
      </c>
      <c r="E356" t="s">
        <v>26</v>
      </c>
      <c r="F356" t="s">
        <v>114</v>
      </c>
      <c r="G356" t="s">
        <v>115</v>
      </c>
      <c r="H356" t="s">
        <v>115</v>
      </c>
      <c r="I356" t="s">
        <v>30</v>
      </c>
      <c r="J356" t="s">
        <v>7075</v>
      </c>
      <c r="K356" t="s">
        <v>32</v>
      </c>
      <c r="L356" t="s">
        <v>33</v>
      </c>
      <c r="M356" t="s">
        <v>87</v>
      </c>
      <c r="N356" t="s">
        <v>69</v>
      </c>
      <c r="O356" t="s">
        <v>70</v>
      </c>
      <c r="P356" t="s">
        <v>71</v>
      </c>
      <c r="Q356" t="s">
        <v>59</v>
      </c>
      <c r="R356">
        <v>259</v>
      </c>
      <c r="S356">
        <v>150</v>
      </c>
      <c r="T356">
        <v>112</v>
      </c>
      <c r="U356">
        <v>47</v>
      </c>
      <c r="V356" t="s">
        <v>7189</v>
      </c>
      <c r="W356">
        <v>52345</v>
      </c>
      <c r="X356" t="s">
        <v>7190</v>
      </c>
      <c r="Y356">
        <v>38726</v>
      </c>
      <c r="Z356">
        <v>2460215</v>
      </c>
      <c r="AA356">
        <v>640093</v>
      </c>
      <c r="AB356" t="str">
        <f>(VLOOKUP(SalesData[[#This Row],[Month Number]],Reference!C$5:E$16,2,FALSE))</f>
        <v>Feb</v>
      </c>
      <c r="AC356">
        <f>MONTH(SalesData[[#This Row],[Date]])</f>
        <v>2</v>
      </c>
      <c r="AD356">
        <f>Reference!F$4</f>
        <v>2026</v>
      </c>
      <c r="AE356" t="str">
        <f>IF(OR(SalesData[[#This Row],[Day]]="Saturday",SalesData[[#This Row],[Day]]="Sunday"),"Weekend","Weekday")</f>
        <v>Weekday</v>
      </c>
      <c r="AF356" s="5">
        <f>IF(SalesData[[#This Row],[Contracts Offered]]=0,0,SalesData[[#This Row],[Contracts Signed]]/SalesData[[#This Row],[Contracts Offered]])</f>
        <v>0.41964285714285715</v>
      </c>
      <c r="AG356" s="5">
        <f>IF(SalesData[[#This Row],[Customers Visited]]=0,0,SalesData[[#This Row],[Test Drives]]/SalesData[[#This Row],[Customers Visited]])</f>
        <v>0.5791505791505791</v>
      </c>
      <c r="AH356" s="5">
        <f>IF(SalesData[[#This Row],[Customers Visited]]=0,0,SalesData[[#This Row],[Contracts Signed]]/SalesData[[#This Row],[Customers Visited]])</f>
        <v>0.18146718146718147</v>
      </c>
      <c r="AI356" s="6">
        <f>IF(SalesData[[#This Row],[Contracts Signed]]=0,0,SalesData[[#This Row],[Profit(€)]]/SalesData[[#This Row],[Contracts Signed]])</f>
        <v>13619</v>
      </c>
      <c r="AJ356" s="5" t="str">
        <f>TRIM(CLEAN(SalesData[[#This Row],[Retailer]]))</f>
        <v>Elbe Drive</v>
      </c>
    </row>
    <row r="357" spans="1:36" ht="14.25" hidden="1" x14ac:dyDescent="0.2">
      <c r="A357" t="s">
        <v>758</v>
      </c>
      <c r="B357" s="1">
        <v>46066</v>
      </c>
      <c r="C357" t="s">
        <v>121</v>
      </c>
      <c r="D357" t="s">
        <v>54</v>
      </c>
      <c r="E357" t="s">
        <v>26</v>
      </c>
      <c r="F357" t="s">
        <v>94</v>
      </c>
      <c r="G357" t="s">
        <v>95</v>
      </c>
      <c r="H357" t="s">
        <v>96</v>
      </c>
      <c r="I357" t="s">
        <v>56</v>
      </c>
      <c r="J357" t="s">
        <v>57</v>
      </c>
      <c r="K357" t="s">
        <v>66</v>
      </c>
      <c r="L357" t="s">
        <v>46</v>
      </c>
      <c r="M357" t="s">
        <v>87</v>
      </c>
      <c r="N357" t="s">
        <v>35</v>
      </c>
      <c r="O357" t="s">
        <v>70</v>
      </c>
      <c r="P357" t="s">
        <v>49</v>
      </c>
      <c r="Q357" t="s">
        <v>118</v>
      </c>
      <c r="R357">
        <v>234</v>
      </c>
      <c r="S357">
        <v>130</v>
      </c>
      <c r="T357">
        <v>86</v>
      </c>
      <c r="U357">
        <v>32</v>
      </c>
      <c r="V357" t="s">
        <v>6759</v>
      </c>
      <c r="W357">
        <v>51404</v>
      </c>
      <c r="X357" t="s">
        <v>1215</v>
      </c>
      <c r="Y357">
        <v>39690</v>
      </c>
      <c r="Z357">
        <v>1644928</v>
      </c>
      <c r="AA357">
        <v>374848</v>
      </c>
      <c r="AB357" t="str">
        <f>(VLOOKUP(SalesData[[#This Row],[Month Number]],Reference!C$5:E$16,2,FALSE))</f>
        <v>Feb</v>
      </c>
      <c r="AC357">
        <f>MONTH(SalesData[[#This Row],[Date]])</f>
        <v>2</v>
      </c>
      <c r="AD357">
        <f>Reference!F$4</f>
        <v>2026</v>
      </c>
      <c r="AE357" t="str">
        <f>IF(OR(SalesData[[#This Row],[Day]]="Saturday",SalesData[[#This Row],[Day]]="Sunday"),"Weekend","Weekday")</f>
        <v>Weekday</v>
      </c>
      <c r="AF357" s="5">
        <f>IF(SalesData[[#This Row],[Contracts Offered]]=0,0,SalesData[[#This Row],[Contracts Signed]]/SalesData[[#This Row],[Contracts Offered]])</f>
        <v>0.37209302325581395</v>
      </c>
      <c r="AG357" s="5">
        <f>IF(SalesData[[#This Row],[Customers Visited]]=0,0,SalesData[[#This Row],[Test Drives]]/SalesData[[#This Row],[Customers Visited]])</f>
        <v>0.55555555555555558</v>
      </c>
      <c r="AH357" s="5">
        <f>IF(SalesData[[#This Row],[Customers Visited]]=0,0,SalesData[[#This Row],[Contracts Signed]]/SalesData[[#This Row],[Customers Visited]])</f>
        <v>0.13675213675213677</v>
      </c>
      <c r="AI357" s="6">
        <f>IF(SalesData[[#This Row],[Contracts Signed]]=0,0,SalesData[[#This Row],[Profit(€)]]/SalesData[[#This Row],[Contracts Signed]])</f>
        <v>11714</v>
      </c>
      <c r="AJ357" s="5" t="str">
        <f>TRIM(CLEAN(SalesData[[#This Row],[Retailer]]))</f>
        <v>Bavaria Motors</v>
      </c>
    </row>
    <row r="358" spans="1:36" ht="14.25" hidden="1" x14ac:dyDescent="0.2">
      <c r="A358" t="s">
        <v>759</v>
      </c>
      <c r="B358" s="1">
        <v>46070</v>
      </c>
      <c r="C358" t="s">
        <v>62</v>
      </c>
      <c r="D358" t="s">
        <v>63</v>
      </c>
      <c r="E358" t="s">
        <v>26</v>
      </c>
      <c r="F358" t="s">
        <v>43</v>
      </c>
      <c r="G358" t="s">
        <v>44</v>
      </c>
      <c r="H358" t="s">
        <v>45</v>
      </c>
      <c r="I358" t="s">
        <v>116</v>
      </c>
      <c r="J358" t="s">
        <v>132</v>
      </c>
      <c r="K358" t="s">
        <v>66</v>
      </c>
      <c r="L358" t="s">
        <v>46</v>
      </c>
      <c r="M358" t="s">
        <v>68</v>
      </c>
      <c r="N358" t="s">
        <v>35</v>
      </c>
      <c r="O358" t="s">
        <v>70</v>
      </c>
      <c r="P358" t="s">
        <v>49</v>
      </c>
      <c r="Q358" t="s">
        <v>167</v>
      </c>
      <c r="R358">
        <v>280</v>
      </c>
      <c r="S358">
        <v>107</v>
      </c>
      <c r="T358">
        <v>61</v>
      </c>
      <c r="U358">
        <v>15</v>
      </c>
      <c r="V358" t="s">
        <v>5107</v>
      </c>
      <c r="W358">
        <v>22565</v>
      </c>
      <c r="X358" t="s">
        <v>3332</v>
      </c>
      <c r="Y358">
        <v>20572</v>
      </c>
      <c r="Z358">
        <v>338475</v>
      </c>
      <c r="AA358">
        <v>29895</v>
      </c>
      <c r="AB358" t="str">
        <f>(VLOOKUP(SalesData[[#This Row],[Month Number]],Reference!C$5:E$16,2,FALSE))</f>
        <v>Feb</v>
      </c>
      <c r="AC358">
        <f>MONTH(SalesData[[#This Row],[Date]])</f>
        <v>2</v>
      </c>
      <c r="AD358">
        <f>Reference!F$4</f>
        <v>2026</v>
      </c>
      <c r="AE358" t="str">
        <f>IF(OR(SalesData[[#This Row],[Day]]="Saturday",SalesData[[#This Row],[Day]]="Sunday"),"Weekend","Weekday")</f>
        <v>Weekday</v>
      </c>
      <c r="AF358" s="5">
        <f>IF(SalesData[[#This Row],[Contracts Offered]]=0,0,SalesData[[#This Row],[Contracts Signed]]/SalesData[[#This Row],[Contracts Offered]])</f>
        <v>0.24590163934426229</v>
      </c>
      <c r="AG358" s="5">
        <f>IF(SalesData[[#This Row],[Customers Visited]]=0,0,SalesData[[#This Row],[Test Drives]]/SalesData[[#This Row],[Customers Visited]])</f>
        <v>0.38214285714285712</v>
      </c>
      <c r="AH358" s="5">
        <f>IF(SalesData[[#This Row],[Customers Visited]]=0,0,SalesData[[#This Row],[Contracts Signed]]/SalesData[[#This Row],[Customers Visited]])</f>
        <v>5.3571428571428568E-2</v>
      </c>
      <c r="AI358" s="6">
        <f>IF(SalesData[[#This Row],[Contracts Signed]]=0,0,SalesData[[#This Row],[Profit(€)]]/SalesData[[#This Row],[Contracts Signed]])</f>
        <v>1993</v>
      </c>
      <c r="AJ358" s="5" t="str">
        <f>TRIM(CLEAN(SalesData[[#This Row],[Retailer]]))</f>
        <v>Saxon Wheels</v>
      </c>
    </row>
    <row r="359" spans="1:36" ht="14.25" hidden="1" x14ac:dyDescent="0.2">
      <c r="A359" t="s">
        <v>760</v>
      </c>
      <c r="B359" s="1">
        <v>46071</v>
      </c>
      <c r="C359" t="s">
        <v>62</v>
      </c>
      <c r="D359" t="s">
        <v>82</v>
      </c>
      <c r="E359" t="s">
        <v>26</v>
      </c>
      <c r="F359" t="s">
        <v>109</v>
      </c>
      <c r="G359" t="s">
        <v>110</v>
      </c>
      <c r="H359" t="s">
        <v>45</v>
      </c>
      <c r="I359" t="s">
        <v>64</v>
      </c>
      <c r="J359" t="s">
        <v>65</v>
      </c>
      <c r="K359" t="s">
        <v>78</v>
      </c>
      <c r="L359" t="s">
        <v>33</v>
      </c>
      <c r="M359" t="s">
        <v>47</v>
      </c>
      <c r="N359" t="s">
        <v>69</v>
      </c>
      <c r="O359" t="s">
        <v>36</v>
      </c>
      <c r="P359" t="s">
        <v>37</v>
      </c>
      <c r="Q359" t="s">
        <v>129</v>
      </c>
      <c r="R359">
        <v>198</v>
      </c>
      <c r="S359">
        <v>117</v>
      </c>
      <c r="T359">
        <v>82</v>
      </c>
      <c r="U359">
        <v>26</v>
      </c>
      <c r="V359" t="s">
        <v>6433</v>
      </c>
      <c r="W359">
        <v>67260</v>
      </c>
      <c r="X359" t="s">
        <v>7191</v>
      </c>
      <c r="Y359">
        <v>48130</v>
      </c>
      <c r="Z359">
        <v>1748760</v>
      </c>
      <c r="AA359">
        <v>497380</v>
      </c>
      <c r="AB359" t="str">
        <f>(VLOOKUP(SalesData[[#This Row],[Month Number]],Reference!C$5:E$16,2,FALSE))</f>
        <v>Feb</v>
      </c>
      <c r="AC359">
        <f>MONTH(SalesData[[#This Row],[Date]])</f>
        <v>2</v>
      </c>
      <c r="AD359">
        <f>Reference!F$4</f>
        <v>2026</v>
      </c>
      <c r="AE359" t="str">
        <f>IF(OR(SalesData[[#This Row],[Day]]="Saturday",SalesData[[#This Row],[Day]]="Sunday"),"Weekend","Weekday")</f>
        <v>Weekday</v>
      </c>
      <c r="AF359" s="5">
        <f>IF(SalesData[[#This Row],[Contracts Offered]]=0,0,SalesData[[#This Row],[Contracts Signed]]/SalesData[[#This Row],[Contracts Offered]])</f>
        <v>0.31707317073170732</v>
      </c>
      <c r="AG359" s="5">
        <f>IF(SalesData[[#This Row],[Customers Visited]]=0,0,SalesData[[#This Row],[Test Drives]]/SalesData[[#This Row],[Customers Visited]])</f>
        <v>0.59090909090909094</v>
      </c>
      <c r="AH359" s="5">
        <f>IF(SalesData[[#This Row],[Customers Visited]]=0,0,SalesData[[#This Row],[Contracts Signed]]/SalesData[[#This Row],[Customers Visited]])</f>
        <v>0.13131313131313133</v>
      </c>
      <c r="AI359" s="6">
        <f>IF(SalesData[[#This Row],[Contracts Signed]]=0,0,SalesData[[#This Row],[Profit(€)]]/SalesData[[#This Row],[Contracts Signed]])</f>
        <v>19130</v>
      </c>
      <c r="AJ359" s="5" t="str">
        <f>TRIM(CLEAN(SalesData[[#This Row],[Retailer]]))</f>
        <v>Leipzig Mobility</v>
      </c>
    </row>
    <row r="360" spans="1:36" ht="14.25" x14ac:dyDescent="0.2">
      <c r="A360" t="s">
        <v>761</v>
      </c>
      <c r="B360" s="1">
        <v>46067</v>
      </c>
      <c r="C360" t="s">
        <v>121</v>
      </c>
      <c r="D360" t="s">
        <v>151</v>
      </c>
      <c r="E360" t="s">
        <v>42</v>
      </c>
      <c r="F360" t="s">
        <v>127</v>
      </c>
      <c r="G360" t="s">
        <v>128</v>
      </c>
      <c r="H360" t="s">
        <v>103</v>
      </c>
      <c r="I360" t="s">
        <v>30</v>
      </c>
      <c r="J360" t="s">
        <v>166</v>
      </c>
      <c r="K360" t="s">
        <v>78</v>
      </c>
      <c r="L360" t="s">
        <v>46</v>
      </c>
      <c r="M360" t="s">
        <v>34</v>
      </c>
      <c r="N360" t="s">
        <v>69</v>
      </c>
      <c r="O360" t="s">
        <v>36</v>
      </c>
      <c r="P360" t="s">
        <v>58</v>
      </c>
      <c r="Q360" t="s">
        <v>88</v>
      </c>
      <c r="R360">
        <v>171</v>
      </c>
      <c r="S360">
        <v>105</v>
      </c>
      <c r="T360">
        <v>75</v>
      </c>
      <c r="U360">
        <v>34</v>
      </c>
      <c r="V360" t="s">
        <v>7192</v>
      </c>
      <c r="W360">
        <v>52533</v>
      </c>
      <c r="X360" t="s">
        <v>2107</v>
      </c>
      <c r="Y360">
        <v>38665</v>
      </c>
      <c r="Z360">
        <v>1786122</v>
      </c>
      <c r="AA360">
        <v>471512</v>
      </c>
      <c r="AB360" t="str">
        <f>(VLOOKUP(SalesData[[#This Row],[Month Number]],Reference!C$5:E$16,2,FALSE))</f>
        <v>Feb</v>
      </c>
      <c r="AC360">
        <f>MONTH(SalesData[[#This Row],[Date]])</f>
        <v>2</v>
      </c>
      <c r="AD360">
        <f>Reference!F$4</f>
        <v>2026</v>
      </c>
      <c r="AE360" t="str">
        <f>IF(OR(SalesData[[#This Row],[Day]]="Saturday",SalesData[[#This Row],[Day]]="Sunday"),"Weekend","Weekday")</f>
        <v>Weekend</v>
      </c>
      <c r="AF360" s="5">
        <f>IF(SalesData[[#This Row],[Contracts Offered]]=0,0,SalesData[[#This Row],[Contracts Signed]]/SalesData[[#This Row],[Contracts Offered]])</f>
        <v>0.45333333333333331</v>
      </c>
      <c r="AG360" s="5">
        <f>IF(SalesData[[#This Row],[Customers Visited]]=0,0,SalesData[[#This Row],[Test Drives]]/SalesData[[#This Row],[Customers Visited]])</f>
        <v>0.61403508771929827</v>
      </c>
      <c r="AH360" s="5">
        <f>IF(SalesData[[#This Row],[Customers Visited]]=0,0,SalesData[[#This Row],[Contracts Signed]]/SalesData[[#This Row],[Customers Visited]])</f>
        <v>0.19883040935672514</v>
      </c>
      <c r="AI360" s="6">
        <f>IF(SalesData[[#This Row],[Contracts Signed]]=0,0,SalesData[[#This Row],[Profit(€)]]/SalesData[[#This Row],[Contracts Signed]])</f>
        <v>13868</v>
      </c>
      <c r="AJ360" s="5" t="str">
        <f>TRIM(CLEAN(SalesData[[#This Row],[Retailer]]))</f>
        <v>Rhein Auto Group</v>
      </c>
    </row>
    <row r="361" spans="1:36" ht="14.25" hidden="1" x14ac:dyDescent="0.2">
      <c r="A361" t="s">
        <v>762</v>
      </c>
      <c r="B361" s="1">
        <v>46069</v>
      </c>
      <c r="C361" t="s">
        <v>62</v>
      </c>
      <c r="D361" t="s">
        <v>25</v>
      </c>
      <c r="E361" t="s">
        <v>26</v>
      </c>
      <c r="F361" t="s">
        <v>127</v>
      </c>
      <c r="G361" t="s">
        <v>128</v>
      </c>
      <c r="H361" t="s">
        <v>103</v>
      </c>
      <c r="I361" t="s">
        <v>56</v>
      </c>
      <c r="J361" t="s">
        <v>179</v>
      </c>
      <c r="K361" t="s">
        <v>91</v>
      </c>
      <c r="L361" t="s">
        <v>67</v>
      </c>
      <c r="M361" t="s">
        <v>47</v>
      </c>
      <c r="N361" t="s">
        <v>69</v>
      </c>
      <c r="O361" t="s">
        <v>70</v>
      </c>
      <c r="P361" t="s">
        <v>71</v>
      </c>
      <c r="Q361" t="s">
        <v>189</v>
      </c>
      <c r="R361">
        <v>195</v>
      </c>
      <c r="S361">
        <v>100</v>
      </c>
      <c r="T361">
        <v>68</v>
      </c>
      <c r="U361">
        <v>24</v>
      </c>
      <c r="V361" t="s">
        <v>6629</v>
      </c>
      <c r="W361">
        <v>53463</v>
      </c>
      <c r="X361" t="s">
        <v>3288</v>
      </c>
      <c r="Y361">
        <v>43832</v>
      </c>
      <c r="Z361">
        <v>1283112</v>
      </c>
      <c r="AA361">
        <v>231144</v>
      </c>
      <c r="AB361" t="str">
        <f>(VLOOKUP(SalesData[[#This Row],[Month Number]],Reference!C$5:E$16,2,FALSE))</f>
        <v>Feb</v>
      </c>
      <c r="AC361">
        <f>MONTH(SalesData[[#This Row],[Date]])</f>
        <v>2</v>
      </c>
      <c r="AD361">
        <f>Reference!F$4</f>
        <v>2026</v>
      </c>
      <c r="AE361" t="str">
        <f>IF(OR(SalesData[[#This Row],[Day]]="Saturday",SalesData[[#This Row],[Day]]="Sunday"),"Weekend","Weekday")</f>
        <v>Weekday</v>
      </c>
      <c r="AF361" s="5">
        <f>IF(SalesData[[#This Row],[Contracts Offered]]=0,0,SalesData[[#This Row],[Contracts Signed]]/SalesData[[#This Row],[Contracts Offered]])</f>
        <v>0.35294117647058826</v>
      </c>
      <c r="AG361" s="5">
        <f>IF(SalesData[[#This Row],[Customers Visited]]=0,0,SalesData[[#This Row],[Test Drives]]/SalesData[[#This Row],[Customers Visited]])</f>
        <v>0.51282051282051277</v>
      </c>
      <c r="AH361" s="5">
        <f>IF(SalesData[[#This Row],[Customers Visited]]=0,0,SalesData[[#This Row],[Contracts Signed]]/SalesData[[#This Row],[Customers Visited]])</f>
        <v>0.12307692307692308</v>
      </c>
      <c r="AI361" s="6">
        <f>IF(SalesData[[#This Row],[Contracts Signed]]=0,0,SalesData[[#This Row],[Profit(€)]]/SalesData[[#This Row],[Contracts Signed]])</f>
        <v>9631</v>
      </c>
      <c r="AJ361" s="5" t="str">
        <f>TRIM(CLEAN(SalesData[[#This Row],[Retailer]]))</f>
        <v>Rhein Auto Group</v>
      </c>
    </row>
    <row r="362" spans="1:36" ht="14.25" hidden="1" x14ac:dyDescent="0.2">
      <c r="A362" t="s">
        <v>764</v>
      </c>
      <c r="B362" s="1">
        <v>46067</v>
      </c>
      <c r="C362" t="s">
        <v>121</v>
      </c>
      <c r="D362" t="s">
        <v>151</v>
      </c>
      <c r="E362" t="s">
        <v>42</v>
      </c>
      <c r="F362" t="s">
        <v>127</v>
      </c>
      <c r="G362" t="s">
        <v>128</v>
      </c>
      <c r="H362" t="s">
        <v>103</v>
      </c>
      <c r="I362" t="s">
        <v>56</v>
      </c>
      <c r="J362" t="s">
        <v>57</v>
      </c>
      <c r="K362" t="s">
        <v>78</v>
      </c>
      <c r="L362" t="s">
        <v>46</v>
      </c>
      <c r="M362" t="s">
        <v>34</v>
      </c>
      <c r="N362" t="s">
        <v>48</v>
      </c>
      <c r="O362" t="s">
        <v>36</v>
      </c>
      <c r="P362" t="s">
        <v>49</v>
      </c>
      <c r="Q362" t="s">
        <v>204</v>
      </c>
      <c r="R362">
        <v>252</v>
      </c>
      <c r="S362">
        <v>116</v>
      </c>
      <c r="T362">
        <v>76</v>
      </c>
      <c r="U362">
        <v>25</v>
      </c>
      <c r="V362" t="s">
        <v>6992</v>
      </c>
      <c r="W362">
        <v>45155</v>
      </c>
      <c r="X362" t="s">
        <v>7193</v>
      </c>
      <c r="Y362">
        <v>36621</v>
      </c>
      <c r="Z362">
        <v>1128875</v>
      </c>
      <c r="AA362">
        <v>213350</v>
      </c>
      <c r="AB362" t="str">
        <f>(VLOOKUP(SalesData[[#This Row],[Month Number]],Reference!C$5:E$16,2,FALSE))</f>
        <v>Feb</v>
      </c>
      <c r="AC362">
        <f>MONTH(SalesData[[#This Row],[Date]])</f>
        <v>2</v>
      </c>
      <c r="AD362">
        <f>Reference!F$4</f>
        <v>2026</v>
      </c>
      <c r="AE362" t="str">
        <f>IF(OR(SalesData[[#This Row],[Day]]="Saturday",SalesData[[#This Row],[Day]]="Sunday"),"Weekend","Weekday")</f>
        <v>Weekend</v>
      </c>
      <c r="AF362" s="5">
        <f>IF(SalesData[[#This Row],[Contracts Offered]]=0,0,SalesData[[#This Row],[Contracts Signed]]/SalesData[[#This Row],[Contracts Offered]])</f>
        <v>0.32894736842105265</v>
      </c>
      <c r="AG362" s="5">
        <f>IF(SalesData[[#This Row],[Customers Visited]]=0,0,SalesData[[#This Row],[Test Drives]]/SalesData[[#This Row],[Customers Visited]])</f>
        <v>0.46031746031746029</v>
      </c>
      <c r="AH362" s="5">
        <f>IF(SalesData[[#This Row],[Customers Visited]]=0,0,SalesData[[#This Row],[Contracts Signed]]/SalesData[[#This Row],[Customers Visited]])</f>
        <v>9.9206349206349201E-2</v>
      </c>
      <c r="AI362" s="6">
        <f>IF(SalesData[[#This Row],[Contracts Signed]]=0,0,SalesData[[#This Row],[Profit(€)]]/SalesData[[#This Row],[Contracts Signed]])</f>
        <v>8534</v>
      </c>
      <c r="AJ362" s="5" t="str">
        <f>TRIM(CLEAN(SalesData[[#This Row],[Retailer]]))</f>
        <v>Rhein Auto Group</v>
      </c>
    </row>
    <row r="363" spans="1:36" ht="14.25" hidden="1" x14ac:dyDescent="0.2">
      <c r="A363" t="s">
        <v>766</v>
      </c>
      <c r="B363" s="1">
        <v>46056</v>
      </c>
      <c r="C363" t="s">
        <v>24</v>
      </c>
      <c r="D363" t="s">
        <v>63</v>
      </c>
      <c r="E363" t="s">
        <v>26</v>
      </c>
      <c r="F363" t="s">
        <v>94</v>
      </c>
      <c r="G363" t="s">
        <v>95</v>
      </c>
      <c r="H363" t="s">
        <v>96</v>
      </c>
      <c r="I363" t="s">
        <v>56</v>
      </c>
      <c r="J363" t="s">
        <v>57</v>
      </c>
      <c r="K363" t="s">
        <v>91</v>
      </c>
      <c r="L363" t="s">
        <v>46</v>
      </c>
      <c r="M363" t="s">
        <v>47</v>
      </c>
      <c r="N363" t="s">
        <v>69</v>
      </c>
      <c r="O363" t="s">
        <v>36</v>
      </c>
      <c r="P363" t="s">
        <v>49</v>
      </c>
      <c r="Q363" t="s">
        <v>158</v>
      </c>
      <c r="R363">
        <v>313</v>
      </c>
      <c r="S363">
        <v>182</v>
      </c>
      <c r="T363">
        <v>140</v>
      </c>
      <c r="U363">
        <v>46</v>
      </c>
      <c r="V363" t="s">
        <v>6448</v>
      </c>
      <c r="W363">
        <v>43124</v>
      </c>
      <c r="X363" t="s">
        <v>1734</v>
      </c>
      <c r="Y363">
        <v>35102</v>
      </c>
      <c r="Z363">
        <v>1983704</v>
      </c>
      <c r="AA363">
        <v>369012</v>
      </c>
      <c r="AB363" t="str">
        <f>(VLOOKUP(SalesData[[#This Row],[Month Number]],Reference!C$5:E$16,2,FALSE))</f>
        <v>Feb</v>
      </c>
      <c r="AC363">
        <f>MONTH(SalesData[[#This Row],[Date]])</f>
        <v>2</v>
      </c>
      <c r="AD363">
        <f>Reference!F$4</f>
        <v>2026</v>
      </c>
      <c r="AE363" t="str">
        <f>IF(OR(SalesData[[#This Row],[Day]]="Saturday",SalesData[[#This Row],[Day]]="Sunday"),"Weekend","Weekday")</f>
        <v>Weekday</v>
      </c>
      <c r="AF363" s="5">
        <f>IF(SalesData[[#This Row],[Contracts Offered]]=0,0,SalesData[[#This Row],[Contracts Signed]]/SalesData[[#This Row],[Contracts Offered]])</f>
        <v>0.32857142857142857</v>
      </c>
      <c r="AG363" s="5">
        <f>IF(SalesData[[#This Row],[Customers Visited]]=0,0,SalesData[[#This Row],[Test Drives]]/SalesData[[#This Row],[Customers Visited]])</f>
        <v>0.58146964856230032</v>
      </c>
      <c r="AH363" s="5">
        <f>IF(SalesData[[#This Row],[Customers Visited]]=0,0,SalesData[[#This Row],[Contracts Signed]]/SalesData[[#This Row],[Customers Visited]])</f>
        <v>0.14696485623003194</v>
      </c>
      <c r="AI363" s="6">
        <f>IF(SalesData[[#This Row],[Contracts Signed]]=0,0,SalesData[[#This Row],[Profit(€)]]/SalesData[[#This Row],[Contracts Signed]])</f>
        <v>8022</v>
      </c>
      <c r="AJ363" s="5" t="str">
        <f>TRIM(CLEAN(SalesData[[#This Row],[Retailer]]))</f>
        <v>Bavaria Motors</v>
      </c>
    </row>
    <row r="364" spans="1:36" ht="14.25" hidden="1" x14ac:dyDescent="0.2">
      <c r="A364" t="s">
        <v>768</v>
      </c>
      <c r="B364" s="1">
        <v>46056</v>
      </c>
      <c r="C364" t="s">
        <v>24</v>
      </c>
      <c r="D364" t="s">
        <v>63</v>
      </c>
      <c r="E364" t="s">
        <v>26</v>
      </c>
      <c r="F364" t="s">
        <v>127</v>
      </c>
      <c r="G364" t="s">
        <v>128</v>
      </c>
      <c r="H364" t="s">
        <v>103</v>
      </c>
      <c r="I364" t="s">
        <v>56</v>
      </c>
      <c r="J364" t="s">
        <v>7028</v>
      </c>
      <c r="K364" t="s">
        <v>66</v>
      </c>
      <c r="L364" t="s">
        <v>46</v>
      </c>
      <c r="M364" t="s">
        <v>47</v>
      </c>
      <c r="N364" t="s">
        <v>48</v>
      </c>
      <c r="O364" t="s">
        <v>36</v>
      </c>
      <c r="P364" t="s">
        <v>49</v>
      </c>
      <c r="Q364" t="s">
        <v>167</v>
      </c>
      <c r="R364">
        <v>263</v>
      </c>
      <c r="S364">
        <v>141</v>
      </c>
      <c r="T364">
        <v>95</v>
      </c>
      <c r="U364">
        <v>28</v>
      </c>
      <c r="V364" t="s">
        <v>6821</v>
      </c>
      <c r="W364">
        <v>48032</v>
      </c>
      <c r="X364" t="s">
        <v>2693</v>
      </c>
      <c r="Y364">
        <v>37759</v>
      </c>
      <c r="Z364">
        <v>1344896</v>
      </c>
      <c r="AA364">
        <v>287644</v>
      </c>
      <c r="AB364" t="str">
        <f>(VLOOKUP(SalesData[[#This Row],[Month Number]],Reference!C$5:E$16,2,FALSE))</f>
        <v>Feb</v>
      </c>
      <c r="AC364">
        <f>MONTH(SalesData[[#This Row],[Date]])</f>
        <v>2</v>
      </c>
      <c r="AD364">
        <f>Reference!F$4</f>
        <v>2026</v>
      </c>
      <c r="AE364" t="str">
        <f>IF(OR(SalesData[[#This Row],[Day]]="Saturday",SalesData[[#This Row],[Day]]="Sunday"),"Weekend","Weekday")</f>
        <v>Weekday</v>
      </c>
      <c r="AF364" s="5">
        <f>IF(SalesData[[#This Row],[Contracts Offered]]=0,0,SalesData[[#This Row],[Contracts Signed]]/SalesData[[#This Row],[Contracts Offered]])</f>
        <v>0.29473684210526313</v>
      </c>
      <c r="AG364" s="5">
        <f>IF(SalesData[[#This Row],[Customers Visited]]=0,0,SalesData[[#This Row],[Test Drives]]/SalesData[[#This Row],[Customers Visited]])</f>
        <v>0.53612167300380231</v>
      </c>
      <c r="AH364" s="5">
        <f>IF(SalesData[[#This Row],[Customers Visited]]=0,0,SalesData[[#This Row],[Contracts Signed]]/SalesData[[#This Row],[Customers Visited]])</f>
        <v>0.10646387832699619</v>
      </c>
      <c r="AI364" s="6">
        <f>IF(SalesData[[#This Row],[Contracts Signed]]=0,0,SalesData[[#This Row],[Profit(€)]]/SalesData[[#This Row],[Contracts Signed]])</f>
        <v>10273</v>
      </c>
      <c r="AJ364" s="5" t="str">
        <f>TRIM(CLEAN(SalesData[[#This Row],[Retailer]]))</f>
        <v>Rhein Auto Group</v>
      </c>
    </row>
    <row r="365" spans="1:36" ht="14.25" hidden="1" x14ac:dyDescent="0.2">
      <c r="A365" t="s">
        <v>769</v>
      </c>
      <c r="B365" s="1">
        <v>46079</v>
      </c>
      <c r="C365" t="s">
        <v>53</v>
      </c>
      <c r="D365" t="s">
        <v>100</v>
      </c>
      <c r="E365" t="s">
        <v>26</v>
      </c>
      <c r="F365" t="s">
        <v>83</v>
      </c>
      <c r="G365" t="s">
        <v>84</v>
      </c>
      <c r="H365" t="s">
        <v>85</v>
      </c>
      <c r="I365" t="s">
        <v>56</v>
      </c>
      <c r="J365" t="s">
        <v>7028</v>
      </c>
      <c r="K365" t="s">
        <v>78</v>
      </c>
      <c r="L365" t="s">
        <v>46</v>
      </c>
      <c r="M365" t="s">
        <v>87</v>
      </c>
      <c r="N365" t="s">
        <v>69</v>
      </c>
      <c r="O365" t="s">
        <v>36</v>
      </c>
      <c r="P365" t="s">
        <v>37</v>
      </c>
      <c r="Q365" t="s">
        <v>240</v>
      </c>
      <c r="R365">
        <v>303</v>
      </c>
      <c r="S365">
        <v>156</v>
      </c>
      <c r="T365">
        <v>112</v>
      </c>
      <c r="U365">
        <v>31</v>
      </c>
      <c r="V365" t="s">
        <v>6972</v>
      </c>
      <c r="W365">
        <v>45987</v>
      </c>
      <c r="X365" t="s">
        <v>1813</v>
      </c>
      <c r="Y365">
        <v>36409</v>
      </c>
      <c r="Z365">
        <v>1425597</v>
      </c>
      <c r="AA365">
        <v>296918</v>
      </c>
      <c r="AB365" t="str">
        <f>(VLOOKUP(SalesData[[#This Row],[Month Number]],Reference!C$5:E$16,2,FALSE))</f>
        <v>Feb</v>
      </c>
      <c r="AC365">
        <f>MONTH(SalesData[[#This Row],[Date]])</f>
        <v>2</v>
      </c>
      <c r="AD365">
        <f>Reference!F$4</f>
        <v>2026</v>
      </c>
      <c r="AE365" t="str">
        <f>IF(OR(SalesData[[#This Row],[Day]]="Saturday",SalesData[[#This Row],[Day]]="Sunday"),"Weekend","Weekday")</f>
        <v>Weekday</v>
      </c>
      <c r="AF365" s="5">
        <f>IF(SalesData[[#This Row],[Contracts Offered]]=0,0,SalesData[[#This Row],[Contracts Signed]]/SalesData[[#This Row],[Contracts Offered]])</f>
        <v>0.2767857142857143</v>
      </c>
      <c r="AG365" s="5">
        <f>IF(SalesData[[#This Row],[Customers Visited]]=0,0,SalesData[[#This Row],[Test Drives]]/SalesData[[#This Row],[Customers Visited]])</f>
        <v>0.51485148514851486</v>
      </c>
      <c r="AH365" s="5">
        <f>IF(SalesData[[#This Row],[Customers Visited]]=0,0,SalesData[[#This Row],[Contracts Signed]]/SalesData[[#This Row],[Customers Visited]])</f>
        <v>0.10231023102310231</v>
      </c>
      <c r="AI365" s="6">
        <f>IF(SalesData[[#This Row],[Contracts Signed]]=0,0,SalesData[[#This Row],[Profit(€)]]/SalesData[[#This Row],[Contracts Signed]])</f>
        <v>9578</v>
      </c>
      <c r="AJ365" s="5" t="str">
        <f>TRIM(CLEAN(SalesData[[#This Row],[Retailer]]))</f>
        <v>Hannover Cars</v>
      </c>
    </row>
    <row r="366" spans="1:36" ht="14.25" hidden="1" x14ac:dyDescent="0.2">
      <c r="A366" t="s">
        <v>771</v>
      </c>
      <c r="B366" s="1">
        <v>46069</v>
      </c>
      <c r="C366" t="s">
        <v>62</v>
      </c>
      <c r="D366" t="s">
        <v>25</v>
      </c>
      <c r="E366" t="s">
        <v>26</v>
      </c>
      <c r="F366" t="s">
        <v>27</v>
      </c>
      <c r="G366" t="s">
        <v>28</v>
      </c>
      <c r="H366" t="s">
        <v>29</v>
      </c>
      <c r="I366" t="s">
        <v>56</v>
      </c>
      <c r="J366" t="s">
        <v>137</v>
      </c>
      <c r="K366" t="s">
        <v>78</v>
      </c>
      <c r="L366" t="s">
        <v>46</v>
      </c>
      <c r="M366" t="s">
        <v>47</v>
      </c>
      <c r="N366" t="s">
        <v>35</v>
      </c>
      <c r="O366" t="s">
        <v>36</v>
      </c>
      <c r="P366" t="s">
        <v>49</v>
      </c>
      <c r="Q366" t="s">
        <v>172</v>
      </c>
      <c r="R366">
        <v>202</v>
      </c>
      <c r="S366">
        <v>118</v>
      </c>
      <c r="T366">
        <v>82</v>
      </c>
      <c r="U366">
        <v>25</v>
      </c>
      <c r="V366" t="s">
        <v>7077</v>
      </c>
      <c r="W366">
        <v>41161</v>
      </c>
      <c r="X366" t="s">
        <v>7194</v>
      </c>
      <c r="Y366">
        <v>32383</v>
      </c>
      <c r="Z366">
        <v>1029025</v>
      </c>
      <c r="AA366">
        <v>219450</v>
      </c>
      <c r="AB366" t="str">
        <f>(VLOOKUP(SalesData[[#This Row],[Month Number]],Reference!C$5:E$16,2,FALSE))</f>
        <v>Feb</v>
      </c>
      <c r="AC366">
        <f>MONTH(SalesData[[#This Row],[Date]])</f>
        <v>2</v>
      </c>
      <c r="AD366">
        <f>Reference!F$4</f>
        <v>2026</v>
      </c>
      <c r="AE366" t="str">
        <f>IF(OR(SalesData[[#This Row],[Day]]="Saturday",SalesData[[#This Row],[Day]]="Sunday"),"Weekend","Weekday")</f>
        <v>Weekday</v>
      </c>
      <c r="AF366" s="5">
        <f>IF(SalesData[[#This Row],[Contracts Offered]]=0,0,SalesData[[#This Row],[Contracts Signed]]/SalesData[[#This Row],[Contracts Offered]])</f>
        <v>0.3048780487804878</v>
      </c>
      <c r="AG366" s="5">
        <f>IF(SalesData[[#This Row],[Customers Visited]]=0,0,SalesData[[#This Row],[Test Drives]]/SalesData[[#This Row],[Customers Visited]])</f>
        <v>0.58415841584158412</v>
      </c>
      <c r="AH366" s="5">
        <f>IF(SalesData[[#This Row],[Customers Visited]]=0,0,SalesData[[#This Row],[Contracts Signed]]/SalesData[[#This Row],[Customers Visited]])</f>
        <v>0.12376237623762376</v>
      </c>
      <c r="AI366" s="6">
        <f>IF(SalesData[[#This Row],[Contracts Signed]]=0,0,SalesData[[#This Row],[Profit(€)]]/SalesData[[#This Row],[Contracts Signed]])</f>
        <v>8778</v>
      </c>
      <c r="AJ366" s="5" t="str">
        <f>TRIM(CLEAN(SalesData[[#This Row],[Retailer]]))</f>
        <v>Main Auto Hub</v>
      </c>
    </row>
    <row r="367" spans="1:36" ht="14.25" hidden="1" x14ac:dyDescent="0.2">
      <c r="A367" t="s">
        <v>773</v>
      </c>
      <c r="B367" s="1">
        <v>46076</v>
      </c>
      <c r="C367" t="s">
        <v>53</v>
      </c>
      <c r="D367" t="s">
        <v>25</v>
      </c>
      <c r="E367" t="s">
        <v>26</v>
      </c>
      <c r="F367" t="s">
        <v>101</v>
      </c>
      <c r="G367" t="s">
        <v>102</v>
      </c>
      <c r="H367" t="s">
        <v>103</v>
      </c>
      <c r="I367" t="s">
        <v>116</v>
      </c>
      <c r="J367" t="s">
        <v>117</v>
      </c>
      <c r="K367" t="s">
        <v>91</v>
      </c>
      <c r="L367" t="s">
        <v>67</v>
      </c>
      <c r="M367" t="s">
        <v>87</v>
      </c>
      <c r="N367" t="s">
        <v>48</v>
      </c>
      <c r="O367" t="s">
        <v>36</v>
      </c>
      <c r="P367" t="s">
        <v>58</v>
      </c>
      <c r="Q367" t="s">
        <v>172</v>
      </c>
      <c r="R367">
        <v>225</v>
      </c>
      <c r="S367">
        <v>93</v>
      </c>
      <c r="T367">
        <v>63</v>
      </c>
      <c r="U367">
        <v>14</v>
      </c>
      <c r="V367" t="s">
        <v>1268</v>
      </c>
      <c r="W367">
        <v>21925</v>
      </c>
      <c r="X367" t="s">
        <v>417</v>
      </c>
      <c r="Y367">
        <v>20169</v>
      </c>
      <c r="Z367">
        <v>306950</v>
      </c>
      <c r="AA367">
        <v>24584</v>
      </c>
      <c r="AB367" t="str">
        <f>(VLOOKUP(SalesData[[#This Row],[Month Number]],Reference!C$5:E$16,2,FALSE))</f>
        <v>Feb</v>
      </c>
      <c r="AC367">
        <f>MONTH(SalesData[[#This Row],[Date]])</f>
        <v>2</v>
      </c>
      <c r="AD367">
        <f>Reference!F$4</f>
        <v>2026</v>
      </c>
      <c r="AE367" t="str">
        <f>IF(OR(SalesData[[#This Row],[Day]]="Saturday",SalesData[[#This Row],[Day]]="Sunday"),"Weekend","Weekday")</f>
        <v>Weekday</v>
      </c>
      <c r="AF367" s="5">
        <f>IF(SalesData[[#This Row],[Contracts Offered]]=0,0,SalesData[[#This Row],[Contracts Signed]]/SalesData[[#This Row],[Contracts Offered]])</f>
        <v>0.22222222222222221</v>
      </c>
      <c r="AG367" s="5">
        <f>IF(SalesData[[#This Row],[Customers Visited]]=0,0,SalesData[[#This Row],[Test Drives]]/SalesData[[#This Row],[Customers Visited]])</f>
        <v>0.41333333333333333</v>
      </c>
      <c r="AH367" s="5">
        <f>IF(SalesData[[#This Row],[Customers Visited]]=0,0,SalesData[[#This Row],[Contracts Signed]]/SalesData[[#This Row],[Customers Visited]])</f>
        <v>6.222222222222222E-2</v>
      </c>
      <c r="AI367" s="6">
        <f>IF(SalesData[[#This Row],[Contracts Signed]]=0,0,SalesData[[#This Row],[Profit(€)]]/SalesData[[#This Row],[Contracts Signed]])</f>
        <v>1756</v>
      </c>
      <c r="AJ367" s="5" t="str">
        <f>TRIM(CLEAN(SalesData[[#This Row],[Retailer]]))</f>
        <v>Ruhr Auto Plaza</v>
      </c>
    </row>
    <row r="368" spans="1:36" ht="14.25" hidden="1" x14ac:dyDescent="0.2">
      <c r="A368" t="s">
        <v>775</v>
      </c>
      <c r="B368" s="1">
        <v>46068</v>
      </c>
      <c r="C368" t="s">
        <v>62</v>
      </c>
      <c r="D368" t="s">
        <v>41</v>
      </c>
      <c r="E368" t="s">
        <v>42</v>
      </c>
      <c r="F368" t="s">
        <v>94</v>
      </c>
      <c r="G368" t="s">
        <v>95</v>
      </c>
      <c r="H368" t="s">
        <v>96</v>
      </c>
      <c r="I368" t="s">
        <v>64</v>
      </c>
      <c r="J368" t="s">
        <v>77</v>
      </c>
      <c r="K368" t="s">
        <v>78</v>
      </c>
      <c r="L368" t="s">
        <v>46</v>
      </c>
      <c r="M368" t="s">
        <v>34</v>
      </c>
      <c r="N368" t="s">
        <v>69</v>
      </c>
      <c r="O368" t="s">
        <v>70</v>
      </c>
      <c r="P368" t="s">
        <v>37</v>
      </c>
      <c r="Q368" t="s">
        <v>88</v>
      </c>
      <c r="R368">
        <v>199</v>
      </c>
      <c r="S368">
        <v>93</v>
      </c>
      <c r="T368">
        <v>69</v>
      </c>
      <c r="U368">
        <v>23</v>
      </c>
      <c r="V368" t="s">
        <v>6453</v>
      </c>
      <c r="W368">
        <v>57585</v>
      </c>
      <c r="X368" t="s">
        <v>7195</v>
      </c>
      <c r="Y368">
        <v>43806</v>
      </c>
      <c r="Z368">
        <v>1324455</v>
      </c>
      <c r="AA368">
        <v>316917</v>
      </c>
      <c r="AB368" t="str">
        <f>(VLOOKUP(SalesData[[#This Row],[Month Number]],Reference!C$5:E$16,2,FALSE))</f>
        <v>Feb</v>
      </c>
      <c r="AC368">
        <f>MONTH(SalesData[[#This Row],[Date]])</f>
        <v>2</v>
      </c>
      <c r="AD368">
        <f>Reference!F$4</f>
        <v>2026</v>
      </c>
      <c r="AE368" t="str">
        <f>IF(OR(SalesData[[#This Row],[Day]]="Saturday",SalesData[[#This Row],[Day]]="Sunday"),"Weekend","Weekday")</f>
        <v>Weekend</v>
      </c>
      <c r="AF368" s="5">
        <f>IF(SalesData[[#This Row],[Contracts Offered]]=0,0,SalesData[[#This Row],[Contracts Signed]]/SalesData[[#This Row],[Contracts Offered]])</f>
        <v>0.33333333333333331</v>
      </c>
      <c r="AG368" s="5">
        <f>IF(SalesData[[#This Row],[Customers Visited]]=0,0,SalesData[[#This Row],[Test Drives]]/SalesData[[#This Row],[Customers Visited]])</f>
        <v>0.46733668341708545</v>
      </c>
      <c r="AH368" s="5">
        <f>IF(SalesData[[#This Row],[Customers Visited]]=0,0,SalesData[[#This Row],[Contracts Signed]]/SalesData[[#This Row],[Customers Visited]])</f>
        <v>0.11557788944723618</v>
      </c>
      <c r="AI368" s="6">
        <f>IF(SalesData[[#This Row],[Contracts Signed]]=0,0,SalesData[[#This Row],[Profit(€)]]/SalesData[[#This Row],[Contracts Signed]])</f>
        <v>13779</v>
      </c>
      <c r="AJ368" s="5" t="str">
        <f>TRIM(CLEAN(SalesData[[#This Row],[Retailer]]))</f>
        <v>Bavaria Motors</v>
      </c>
    </row>
    <row r="369" spans="1:36" ht="14.25" hidden="1" x14ac:dyDescent="0.2">
      <c r="A369" t="s">
        <v>776</v>
      </c>
      <c r="B369" s="1">
        <v>46069</v>
      </c>
      <c r="C369" t="s">
        <v>62</v>
      </c>
      <c r="D369" t="s">
        <v>25</v>
      </c>
      <c r="E369" t="s">
        <v>26</v>
      </c>
      <c r="F369" t="s">
        <v>101</v>
      </c>
      <c r="G369" t="s">
        <v>102</v>
      </c>
      <c r="H369" t="s">
        <v>103</v>
      </c>
      <c r="I369" t="s">
        <v>56</v>
      </c>
      <c r="J369" t="s">
        <v>179</v>
      </c>
      <c r="K369" t="s">
        <v>78</v>
      </c>
      <c r="L369" t="s">
        <v>67</v>
      </c>
      <c r="M369" t="s">
        <v>68</v>
      </c>
      <c r="N369" t="s">
        <v>35</v>
      </c>
      <c r="O369" t="s">
        <v>36</v>
      </c>
      <c r="P369" t="s">
        <v>58</v>
      </c>
      <c r="Q369" t="s">
        <v>172</v>
      </c>
      <c r="R369">
        <v>177</v>
      </c>
      <c r="S369">
        <v>91</v>
      </c>
      <c r="T369">
        <v>67</v>
      </c>
      <c r="U369">
        <v>23</v>
      </c>
      <c r="V369" t="s">
        <v>6448</v>
      </c>
      <c r="W369">
        <v>47516</v>
      </c>
      <c r="X369" t="s">
        <v>7196</v>
      </c>
      <c r="Y369">
        <v>36997</v>
      </c>
      <c r="Z369">
        <v>1092868</v>
      </c>
      <c r="AA369">
        <v>241937</v>
      </c>
      <c r="AB369" t="str">
        <f>(VLOOKUP(SalesData[[#This Row],[Month Number]],Reference!C$5:E$16,2,FALSE))</f>
        <v>Feb</v>
      </c>
      <c r="AC369">
        <f>MONTH(SalesData[[#This Row],[Date]])</f>
        <v>2</v>
      </c>
      <c r="AD369">
        <f>Reference!F$4</f>
        <v>2026</v>
      </c>
      <c r="AE369" t="str">
        <f>IF(OR(SalesData[[#This Row],[Day]]="Saturday",SalesData[[#This Row],[Day]]="Sunday"),"Weekend","Weekday")</f>
        <v>Weekday</v>
      </c>
      <c r="AF369" s="5">
        <f>IF(SalesData[[#This Row],[Contracts Offered]]=0,0,SalesData[[#This Row],[Contracts Signed]]/SalesData[[#This Row],[Contracts Offered]])</f>
        <v>0.34328358208955223</v>
      </c>
      <c r="AG369" s="5">
        <f>IF(SalesData[[#This Row],[Customers Visited]]=0,0,SalesData[[#This Row],[Test Drives]]/SalesData[[#This Row],[Customers Visited]])</f>
        <v>0.51412429378531077</v>
      </c>
      <c r="AH369" s="5">
        <f>IF(SalesData[[#This Row],[Customers Visited]]=0,0,SalesData[[#This Row],[Contracts Signed]]/SalesData[[#This Row],[Customers Visited]])</f>
        <v>0.12994350282485875</v>
      </c>
      <c r="AI369" s="6">
        <f>IF(SalesData[[#This Row],[Contracts Signed]]=0,0,SalesData[[#This Row],[Profit(€)]]/SalesData[[#This Row],[Contracts Signed]])</f>
        <v>10519</v>
      </c>
      <c r="AJ369" s="5" t="str">
        <f>TRIM(CLEAN(SalesData[[#This Row],[Retailer]]))</f>
        <v>Ruhr Auto Plaza</v>
      </c>
    </row>
    <row r="370" spans="1:36" ht="14.25" x14ac:dyDescent="0.2">
      <c r="A370" t="s">
        <v>777</v>
      </c>
      <c r="B370" s="1">
        <v>46067</v>
      </c>
      <c r="C370" t="s">
        <v>121</v>
      </c>
      <c r="D370" t="s">
        <v>151</v>
      </c>
      <c r="E370" t="s">
        <v>42</v>
      </c>
      <c r="F370" t="s">
        <v>27</v>
      </c>
      <c r="G370" t="s">
        <v>28</v>
      </c>
      <c r="H370" t="s">
        <v>29</v>
      </c>
      <c r="I370" t="s">
        <v>30</v>
      </c>
      <c r="J370" t="s">
        <v>166</v>
      </c>
      <c r="K370" t="s">
        <v>32</v>
      </c>
      <c r="L370" t="s">
        <v>46</v>
      </c>
      <c r="M370" t="s">
        <v>34</v>
      </c>
      <c r="N370" t="s">
        <v>69</v>
      </c>
      <c r="O370" t="s">
        <v>70</v>
      </c>
      <c r="P370" t="s">
        <v>71</v>
      </c>
      <c r="Q370" t="s">
        <v>189</v>
      </c>
      <c r="R370">
        <v>262</v>
      </c>
      <c r="S370">
        <v>149</v>
      </c>
      <c r="T370">
        <v>102</v>
      </c>
      <c r="U370">
        <v>44</v>
      </c>
      <c r="V370" t="s">
        <v>7197</v>
      </c>
      <c r="W370">
        <v>64366</v>
      </c>
      <c r="X370" t="s">
        <v>7118</v>
      </c>
      <c r="Y370">
        <v>47619</v>
      </c>
      <c r="Z370">
        <v>2832104</v>
      </c>
      <c r="AA370">
        <v>736868</v>
      </c>
      <c r="AB370" t="str">
        <f>(VLOOKUP(SalesData[[#This Row],[Month Number]],Reference!C$5:E$16,2,FALSE))</f>
        <v>Feb</v>
      </c>
      <c r="AC370">
        <f>MONTH(SalesData[[#This Row],[Date]])</f>
        <v>2</v>
      </c>
      <c r="AD370">
        <f>Reference!F$4</f>
        <v>2026</v>
      </c>
      <c r="AE370" t="str">
        <f>IF(OR(SalesData[[#This Row],[Day]]="Saturday",SalesData[[#This Row],[Day]]="Sunday"),"Weekend","Weekday")</f>
        <v>Weekend</v>
      </c>
      <c r="AF370" s="5">
        <f>IF(SalesData[[#This Row],[Contracts Offered]]=0,0,SalesData[[#This Row],[Contracts Signed]]/SalesData[[#This Row],[Contracts Offered]])</f>
        <v>0.43137254901960786</v>
      </c>
      <c r="AG370" s="5">
        <f>IF(SalesData[[#This Row],[Customers Visited]]=0,0,SalesData[[#This Row],[Test Drives]]/SalesData[[#This Row],[Customers Visited]])</f>
        <v>0.56870229007633588</v>
      </c>
      <c r="AH370" s="5">
        <f>IF(SalesData[[#This Row],[Customers Visited]]=0,0,SalesData[[#This Row],[Contracts Signed]]/SalesData[[#This Row],[Customers Visited]])</f>
        <v>0.16793893129770993</v>
      </c>
      <c r="AI370" s="6">
        <f>IF(SalesData[[#This Row],[Contracts Signed]]=0,0,SalesData[[#This Row],[Profit(€)]]/SalesData[[#This Row],[Contracts Signed]])</f>
        <v>16747</v>
      </c>
      <c r="AJ370" s="5" t="str">
        <f>TRIM(CLEAN(SalesData[[#This Row],[Retailer]]))</f>
        <v>Main Auto Hub</v>
      </c>
    </row>
    <row r="371" spans="1:36" ht="14.25" hidden="1" x14ac:dyDescent="0.2">
      <c r="A371" t="s">
        <v>778</v>
      </c>
      <c r="B371" s="1">
        <v>46056</v>
      </c>
      <c r="C371" t="s">
        <v>24</v>
      </c>
      <c r="D371" t="s">
        <v>63</v>
      </c>
      <c r="E371" t="s">
        <v>26</v>
      </c>
      <c r="F371" t="s">
        <v>74</v>
      </c>
      <c r="G371" t="s">
        <v>75</v>
      </c>
      <c r="H371" t="s">
        <v>76</v>
      </c>
      <c r="I371" t="s">
        <v>104</v>
      </c>
      <c r="J371" t="s">
        <v>7031</v>
      </c>
      <c r="K371" t="s">
        <v>91</v>
      </c>
      <c r="L371" t="s">
        <v>46</v>
      </c>
      <c r="M371" t="s">
        <v>34</v>
      </c>
      <c r="N371" t="s">
        <v>35</v>
      </c>
      <c r="O371" t="s">
        <v>70</v>
      </c>
      <c r="P371" t="s">
        <v>37</v>
      </c>
      <c r="Q371" t="s">
        <v>122</v>
      </c>
      <c r="R371">
        <v>374</v>
      </c>
      <c r="S371">
        <v>208</v>
      </c>
      <c r="T371">
        <v>128</v>
      </c>
      <c r="U371">
        <v>30</v>
      </c>
      <c r="V371" t="s">
        <v>1800</v>
      </c>
      <c r="W371">
        <v>34227</v>
      </c>
      <c r="X371" t="s">
        <v>1118</v>
      </c>
      <c r="Y371">
        <v>29959</v>
      </c>
      <c r="Z371">
        <v>1026810</v>
      </c>
      <c r="AA371">
        <v>128040</v>
      </c>
      <c r="AB371" t="str">
        <f>(VLOOKUP(SalesData[[#This Row],[Month Number]],Reference!C$5:E$16,2,FALSE))</f>
        <v>Feb</v>
      </c>
      <c r="AC371">
        <f>MONTH(SalesData[[#This Row],[Date]])</f>
        <v>2</v>
      </c>
      <c r="AD371">
        <f>Reference!F$4</f>
        <v>2026</v>
      </c>
      <c r="AE371" t="str">
        <f>IF(OR(SalesData[[#This Row],[Day]]="Saturday",SalesData[[#This Row],[Day]]="Sunday"),"Weekend","Weekday")</f>
        <v>Weekday</v>
      </c>
      <c r="AF371" s="5">
        <f>IF(SalesData[[#This Row],[Contracts Offered]]=0,0,SalesData[[#This Row],[Contracts Signed]]/SalesData[[#This Row],[Contracts Offered]])</f>
        <v>0.234375</v>
      </c>
      <c r="AG371" s="5">
        <f>IF(SalesData[[#This Row],[Customers Visited]]=0,0,SalesData[[#This Row],[Test Drives]]/SalesData[[#This Row],[Customers Visited]])</f>
        <v>0.55614973262032086</v>
      </c>
      <c r="AH371" s="5">
        <f>IF(SalesData[[#This Row],[Customers Visited]]=0,0,SalesData[[#This Row],[Contracts Signed]]/SalesData[[#This Row],[Customers Visited]])</f>
        <v>8.0213903743315509E-2</v>
      </c>
      <c r="AI371" s="6">
        <f>IF(SalesData[[#This Row],[Contracts Signed]]=0,0,SalesData[[#This Row],[Profit(€)]]/SalesData[[#This Row],[Contracts Signed]])</f>
        <v>4268</v>
      </c>
      <c r="AJ371" s="5" t="str">
        <f>TRIM(CLEAN(SalesData[[#This Row],[Retailer]]))</f>
        <v>Stuttgart Auto Center</v>
      </c>
    </row>
    <row r="372" spans="1:36" ht="14.25" hidden="1" x14ac:dyDescent="0.2">
      <c r="A372" t="s">
        <v>780</v>
      </c>
      <c r="B372" s="1">
        <v>46069</v>
      </c>
      <c r="C372" t="s">
        <v>62</v>
      </c>
      <c r="D372" t="s">
        <v>25</v>
      </c>
      <c r="E372" t="s">
        <v>26</v>
      </c>
      <c r="F372" t="s">
        <v>43</v>
      </c>
      <c r="G372" t="s">
        <v>44</v>
      </c>
      <c r="H372" t="s">
        <v>45</v>
      </c>
      <c r="I372" t="s">
        <v>56</v>
      </c>
      <c r="J372" t="s">
        <v>97</v>
      </c>
      <c r="K372" t="s">
        <v>66</v>
      </c>
      <c r="L372" t="s">
        <v>33</v>
      </c>
      <c r="M372" t="s">
        <v>47</v>
      </c>
      <c r="N372" t="s">
        <v>35</v>
      </c>
      <c r="O372" t="s">
        <v>36</v>
      </c>
      <c r="P372" t="s">
        <v>71</v>
      </c>
      <c r="Q372" t="s">
        <v>189</v>
      </c>
      <c r="R372">
        <v>198</v>
      </c>
      <c r="S372">
        <v>96</v>
      </c>
      <c r="T372">
        <v>69</v>
      </c>
      <c r="U372">
        <v>25</v>
      </c>
      <c r="V372" t="s">
        <v>6831</v>
      </c>
      <c r="W372">
        <v>47884</v>
      </c>
      <c r="X372" t="s">
        <v>7185</v>
      </c>
      <c r="Y372">
        <v>38950</v>
      </c>
      <c r="Z372">
        <v>1197100</v>
      </c>
      <c r="AA372">
        <v>223350</v>
      </c>
      <c r="AB372" t="str">
        <f>(VLOOKUP(SalesData[[#This Row],[Month Number]],Reference!C$5:E$16,2,FALSE))</f>
        <v>Feb</v>
      </c>
      <c r="AC372">
        <f>MONTH(SalesData[[#This Row],[Date]])</f>
        <v>2</v>
      </c>
      <c r="AD372">
        <f>Reference!F$4</f>
        <v>2026</v>
      </c>
      <c r="AE372" t="str">
        <f>IF(OR(SalesData[[#This Row],[Day]]="Saturday",SalesData[[#This Row],[Day]]="Sunday"),"Weekend","Weekday")</f>
        <v>Weekday</v>
      </c>
      <c r="AF372" s="5">
        <f>IF(SalesData[[#This Row],[Contracts Offered]]=0,0,SalesData[[#This Row],[Contracts Signed]]/SalesData[[#This Row],[Contracts Offered]])</f>
        <v>0.36231884057971014</v>
      </c>
      <c r="AG372" s="5">
        <f>IF(SalesData[[#This Row],[Customers Visited]]=0,0,SalesData[[#This Row],[Test Drives]]/SalesData[[#This Row],[Customers Visited]])</f>
        <v>0.48484848484848486</v>
      </c>
      <c r="AH372" s="5">
        <f>IF(SalesData[[#This Row],[Customers Visited]]=0,0,SalesData[[#This Row],[Contracts Signed]]/SalesData[[#This Row],[Customers Visited]])</f>
        <v>0.12626262626262627</v>
      </c>
      <c r="AI372" s="6">
        <f>IF(SalesData[[#This Row],[Contracts Signed]]=0,0,SalesData[[#This Row],[Profit(€)]]/SalesData[[#This Row],[Contracts Signed]])</f>
        <v>8934</v>
      </c>
      <c r="AJ372" s="5" t="str">
        <f>TRIM(CLEAN(SalesData[[#This Row],[Retailer]]))</f>
        <v>Saxon Wheels</v>
      </c>
    </row>
    <row r="373" spans="1:36" ht="14.25" hidden="1" x14ac:dyDescent="0.2">
      <c r="A373" t="s">
        <v>782</v>
      </c>
      <c r="B373" s="1">
        <v>46078</v>
      </c>
      <c r="C373" t="s">
        <v>53</v>
      </c>
      <c r="D373" t="s">
        <v>82</v>
      </c>
      <c r="E373" t="s">
        <v>26</v>
      </c>
      <c r="F373" t="s">
        <v>7649</v>
      </c>
      <c r="G373" t="s">
        <v>55</v>
      </c>
      <c r="H373" t="s">
        <v>55</v>
      </c>
      <c r="I373" t="s">
        <v>56</v>
      </c>
      <c r="J373" t="s">
        <v>7028</v>
      </c>
      <c r="K373" t="s">
        <v>91</v>
      </c>
      <c r="L373" t="s">
        <v>46</v>
      </c>
      <c r="M373" t="s">
        <v>47</v>
      </c>
      <c r="N373" t="s">
        <v>35</v>
      </c>
      <c r="O373" t="s">
        <v>70</v>
      </c>
      <c r="P373" t="s">
        <v>37</v>
      </c>
      <c r="Q373" t="s">
        <v>118</v>
      </c>
      <c r="R373">
        <v>243</v>
      </c>
      <c r="S373">
        <v>136</v>
      </c>
      <c r="T373">
        <v>97</v>
      </c>
      <c r="U373">
        <v>33</v>
      </c>
      <c r="V373" t="s">
        <v>6699</v>
      </c>
      <c r="W373">
        <v>41953</v>
      </c>
      <c r="X373" t="s">
        <v>5094</v>
      </c>
      <c r="Y373">
        <v>32437</v>
      </c>
      <c r="Z373">
        <v>1384449</v>
      </c>
      <c r="AA373">
        <v>314028</v>
      </c>
      <c r="AB373" t="str">
        <f>(VLOOKUP(SalesData[[#This Row],[Month Number]],Reference!C$5:E$16,2,FALSE))</f>
        <v>Feb</v>
      </c>
      <c r="AC373">
        <f>MONTH(SalesData[[#This Row],[Date]])</f>
        <v>2</v>
      </c>
      <c r="AD373">
        <f>Reference!F$4</f>
        <v>2026</v>
      </c>
      <c r="AE373" t="str">
        <f>IF(OR(SalesData[[#This Row],[Day]]="Saturday",SalesData[[#This Row],[Day]]="Sunday"),"Weekend","Weekday")</f>
        <v>Weekday</v>
      </c>
      <c r="AF373" s="5">
        <f>IF(SalesData[[#This Row],[Contracts Offered]]=0,0,SalesData[[#This Row],[Contracts Signed]]/SalesData[[#This Row],[Contracts Offered]])</f>
        <v>0.34020618556701032</v>
      </c>
      <c r="AG373" s="5">
        <f>IF(SalesData[[#This Row],[Customers Visited]]=0,0,SalesData[[#This Row],[Test Drives]]/SalesData[[#This Row],[Customers Visited]])</f>
        <v>0.55967078189300412</v>
      </c>
      <c r="AH373" s="5">
        <f>IF(SalesData[[#This Row],[Customers Visited]]=0,0,SalesData[[#This Row],[Contracts Signed]]/SalesData[[#This Row],[Customers Visited]])</f>
        <v>0.13580246913580246</v>
      </c>
      <c r="AI373" s="6">
        <f>IF(SalesData[[#This Row],[Contracts Signed]]=0,0,SalesData[[#This Row],[Profit(€)]]/SalesData[[#This Row],[Contracts Signed]])</f>
        <v>9516</v>
      </c>
      <c r="AJ373" s="5" t="str">
        <f>TRIM(CLEAN(SalesData[[#This Row],[Retailer]]))</f>
        <v>Autohaus Berlin</v>
      </c>
    </row>
    <row r="374" spans="1:36" ht="14.25" hidden="1" x14ac:dyDescent="0.2">
      <c r="A374" t="s">
        <v>783</v>
      </c>
      <c r="B374" s="1">
        <v>46064</v>
      </c>
      <c r="C374" t="s">
        <v>121</v>
      </c>
      <c r="D374" t="s">
        <v>82</v>
      </c>
      <c r="E374" t="s">
        <v>26</v>
      </c>
      <c r="F374" t="s">
        <v>101</v>
      </c>
      <c r="G374" t="s">
        <v>102</v>
      </c>
      <c r="H374" t="s">
        <v>103</v>
      </c>
      <c r="I374" t="s">
        <v>64</v>
      </c>
      <c r="J374" t="s">
        <v>157</v>
      </c>
      <c r="K374" t="s">
        <v>78</v>
      </c>
      <c r="L374" t="s">
        <v>33</v>
      </c>
      <c r="M374" t="s">
        <v>47</v>
      </c>
      <c r="N374" t="s">
        <v>35</v>
      </c>
      <c r="O374" t="s">
        <v>70</v>
      </c>
      <c r="P374" t="s">
        <v>49</v>
      </c>
      <c r="Q374" t="s">
        <v>118</v>
      </c>
      <c r="R374">
        <v>233</v>
      </c>
      <c r="S374">
        <v>117</v>
      </c>
      <c r="T374">
        <v>91</v>
      </c>
      <c r="U374">
        <v>24</v>
      </c>
      <c r="V374" t="s">
        <v>6690</v>
      </c>
      <c r="W374">
        <v>71899</v>
      </c>
      <c r="X374" t="s">
        <v>7198</v>
      </c>
      <c r="Y374">
        <v>54299</v>
      </c>
      <c r="Z374">
        <v>1725576</v>
      </c>
      <c r="AA374">
        <v>422400</v>
      </c>
      <c r="AB374" t="str">
        <f>(VLOOKUP(SalesData[[#This Row],[Month Number]],Reference!C$5:E$16,2,FALSE))</f>
        <v>Feb</v>
      </c>
      <c r="AC374">
        <f>MONTH(SalesData[[#This Row],[Date]])</f>
        <v>2</v>
      </c>
      <c r="AD374">
        <f>Reference!F$4</f>
        <v>2026</v>
      </c>
      <c r="AE374" t="str">
        <f>IF(OR(SalesData[[#This Row],[Day]]="Saturday",SalesData[[#This Row],[Day]]="Sunday"),"Weekend","Weekday")</f>
        <v>Weekday</v>
      </c>
      <c r="AF374" s="5">
        <f>IF(SalesData[[#This Row],[Contracts Offered]]=0,0,SalesData[[#This Row],[Contracts Signed]]/SalesData[[#This Row],[Contracts Offered]])</f>
        <v>0.26373626373626374</v>
      </c>
      <c r="AG374" s="5">
        <f>IF(SalesData[[#This Row],[Customers Visited]]=0,0,SalesData[[#This Row],[Test Drives]]/SalesData[[#This Row],[Customers Visited]])</f>
        <v>0.50214592274678116</v>
      </c>
      <c r="AH374" s="5">
        <f>IF(SalesData[[#This Row],[Customers Visited]]=0,0,SalesData[[#This Row],[Contracts Signed]]/SalesData[[#This Row],[Customers Visited]])</f>
        <v>0.10300429184549356</v>
      </c>
      <c r="AI374" s="6">
        <f>IF(SalesData[[#This Row],[Contracts Signed]]=0,0,SalesData[[#This Row],[Profit(€)]]/SalesData[[#This Row],[Contracts Signed]])</f>
        <v>17600</v>
      </c>
      <c r="AJ374" s="5" t="str">
        <f>TRIM(CLEAN(SalesData[[#This Row],[Retailer]]))</f>
        <v>Ruhr Auto Plaza</v>
      </c>
    </row>
    <row r="375" spans="1:36" ht="14.25" hidden="1" x14ac:dyDescent="0.2">
      <c r="A375" t="s">
        <v>784</v>
      </c>
      <c r="B375" s="1">
        <v>46054</v>
      </c>
      <c r="C375" t="s">
        <v>24</v>
      </c>
      <c r="D375" t="s">
        <v>41</v>
      </c>
      <c r="E375" t="s">
        <v>42</v>
      </c>
      <c r="F375" t="s">
        <v>27</v>
      </c>
      <c r="G375" t="s">
        <v>28</v>
      </c>
      <c r="H375" t="s">
        <v>29</v>
      </c>
      <c r="I375" t="s">
        <v>104</v>
      </c>
      <c r="J375" t="s">
        <v>140</v>
      </c>
      <c r="K375" t="s">
        <v>91</v>
      </c>
      <c r="L375" t="s">
        <v>46</v>
      </c>
      <c r="M375" t="s">
        <v>47</v>
      </c>
      <c r="N375" t="s">
        <v>69</v>
      </c>
      <c r="O375" t="s">
        <v>70</v>
      </c>
      <c r="P375" t="s">
        <v>71</v>
      </c>
      <c r="Q375" t="s">
        <v>189</v>
      </c>
      <c r="R375">
        <v>315</v>
      </c>
      <c r="S375">
        <v>140</v>
      </c>
      <c r="T375">
        <v>94</v>
      </c>
      <c r="U375">
        <v>25</v>
      </c>
      <c r="V375" t="s">
        <v>871</v>
      </c>
      <c r="W375">
        <v>28792</v>
      </c>
      <c r="X375" t="s">
        <v>392</v>
      </c>
      <c r="Y375">
        <v>24937</v>
      </c>
      <c r="Z375">
        <v>719800</v>
      </c>
      <c r="AA375">
        <v>96375</v>
      </c>
      <c r="AB375" t="str">
        <f>(VLOOKUP(SalesData[[#This Row],[Month Number]],Reference!C$5:E$16,2,FALSE))</f>
        <v>Feb</v>
      </c>
      <c r="AC375">
        <f>MONTH(SalesData[[#This Row],[Date]])</f>
        <v>2</v>
      </c>
      <c r="AD375">
        <f>Reference!F$4</f>
        <v>2026</v>
      </c>
      <c r="AE375" t="str">
        <f>IF(OR(SalesData[[#This Row],[Day]]="Saturday",SalesData[[#This Row],[Day]]="Sunday"),"Weekend","Weekday")</f>
        <v>Weekend</v>
      </c>
      <c r="AF375" s="5">
        <f>IF(SalesData[[#This Row],[Contracts Offered]]=0,0,SalesData[[#This Row],[Contracts Signed]]/SalesData[[#This Row],[Contracts Offered]])</f>
        <v>0.26595744680851063</v>
      </c>
      <c r="AG375" s="5">
        <f>IF(SalesData[[#This Row],[Customers Visited]]=0,0,SalesData[[#This Row],[Test Drives]]/SalesData[[#This Row],[Customers Visited]])</f>
        <v>0.44444444444444442</v>
      </c>
      <c r="AH375" s="5">
        <f>IF(SalesData[[#This Row],[Customers Visited]]=0,0,SalesData[[#This Row],[Contracts Signed]]/SalesData[[#This Row],[Customers Visited]])</f>
        <v>7.9365079365079361E-2</v>
      </c>
      <c r="AI375" s="6">
        <f>IF(SalesData[[#This Row],[Contracts Signed]]=0,0,SalesData[[#This Row],[Profit(€)]]/SalesData[[#This Row],[Contracts Signed]])</f>
        <v>3855</v>
      </c>
      <c r="AJ375" s="5" t="str">
        <f>TRIM(CLEAN(SalesData[[#This Row],[Retailer]]))</f>
        <v>Main Auto Hub</v>
      </c>
    </row>
    <row r="376" spans="1:36" ht="14.25" hidden="1" x14ac:dyDescent="0.2">
      <c r="A376" t="s">
        <v>786</v>
      </c>
      <c r="B376" s="1">
        <v>46081</v>
      </c>
      <c r="C376" t="s">
        <v>53</v>
      </c>
      <c r="D376" t="s">
        <v>151</v>
      </c>
      <c r="E376" t="s">
        <v>42</v>
      </c>
      <c r="F376" t="s">
        <v>74</v>
      </c>
      <c r="G376" t="s">
        <v>75</v>
      </c>
      <c r="H376" t="s">
        <v>76</v>
      </c>
      <c r="I376" t="s">
        <v>116</v>
      </c>
      <c r="J376" t="s">
        <v>7090</v>
      </c>
      <c r="K376" t="s">
        <v>32</v>
      </c>
      <c r="L376" t="s">
        <v>46</v>
      </c>
      <c r="M376" t="s">
        <v>34</v>
      </c>
      <c r="N376" t="s">
        <v>69</v>
      </c>
      <c r="O376" t="s">
        <v>70</v>
      </c>
      <c r="P376" t="s">
        <v>71</v>
      </c>
      <c r="Q376" t="s">
        <v>172</v>
      </c>
      <c r="R376">
        <v>382</v>
      </c>
      <c r="S376">
        <v>181</v>
      </c>
      <c r="T376">
        <v>101</v>
      </c>
      <c r="U376">
        <v>34</v>
      </c>
      <c r="V376" t="s">
        <v>3729</v>
      </c>
      <c r="W376">
        <v>23203</v>
      </c>
      <c r="X376" t="s">
        <v>1612</v>
      </c>
      <c r="Y376">
        <v>20657</v>
      </c>
      <c r="Z376">
        <v>788902</v>
      </c>
      <c r="AA376">
        <v>86564</v>
      </c>
      <c r="AB376" t="str">
        <f>(VLOOKUP(SalesData[[#This Row],[Month Number]],Reference!C$5:E$16,2,FALSE))</f>
        <v>Feb</v>
      </c>
      <c r="AC376">
        <f>MONTH(SalesData[[#This Row],[Date]])</f>
        <v>2</v>
      </c>
      <c r="AD376">
        <f>Reference!F$4</f>
        <v>2026</v>
      </c>
      <c r="AE376" t="str">
        <f>IF(OR(SalesData[[#This Row],[Day]]="Saturday",SalesData[[#This Row],[Day]]="Sunday"),"Weekend","Weekday")</f>
        <v>Weekend</v>
      </c>
      <c r="AF376" s="5">
        <f>IF(SalesData[[#This Row],[Contracts Offered]]=0,0,SalesData[[#This Row],[Contracts Signed]]/SalesData[[#This Row],[Contracts Offered]])</f>
        <v>0.33663366336633666</v>
      </c>
      <c r="AG376" s="5">
        <f>IF(SalesData[[#This Row],[Customers Visited]]=0,0,SalesData[[#This Row],[Test Drives]]/SalesData[[#This Row],[Customers Visited]])</f>
        <v>0.47382198952879578</v>
      </c>
      <c r="AH376" s="5">
        <f>IF(SalesData[[#This Row],[Customers Visited]]=0,0,SalesData[[#This Row],[Contracts Signed]]/SalesData[[#This Row],[Customers Visited]])</f>
        <v>8.9005235602094238E-2</v>
      </c>
      <c r="AI376" s="6">
        <f>IF(SalesData[[#This Row],[Contracts Signed]]=0,0,SalesData[[#This Row],[Profit(€)]]/SalesData[[#This Row],[Contracts Signed]])</f>
        <v>2546</v>
      </c>
      <c r="AJ376" s="5" t="str">
        <f>TRIM(CLEAN(SalesData[[#This Row],[Retailer]]))</f>
        <v>Stuttgart Auto Center</v>
      </c>
    </row>
    <row r="377" spans="1:36" ht="14.25" x14ac:dyDescent="0.2">
      <c r="A377" t="s">
        <v>788</v>
      </c>
      <c r="B377" s="1">
        <v>46077</v>
      </c>
      <c r="C377" t="s">
        <v>53</v>
      </c>
      <c r="D377" t="s">
        <v>63</v>
      </c>
      <c r="E377" t="s">
        <v>26</v>
      </c>
      <c r="F377" t="s">
        <v>7649</v>
      </c>
      <c r="G377" t="s">
        <v>55</v>
      </c>
      <c r="H377" t="s">
        <v>55</v>
      </c>
      <c r="I377" t="s">
        <v>30</v>
      </c>
      <c r="J377" t="s">
        <v>31</v>
      </c>
      <c r="K377" t="s">
        <v>66</v>
      </c>
      <c r="L377" t="s">
        <v>46</v>
      </c>
      <c r="M377" t="s">
        <v>47</v>
      </c>
      <c r="N377" t="s">
        <v>48</v>
      </c>
      <c r="O377" t="s">
        <v>36</v>
      </c>
      <c r="P377" t="s">
        <v>37</v>
      </c>
      <c r="Q377" t="s">
        <v>172</v>
      </c>
      <c r="R377">
        <v>155</v>
      </c>
      <c r="S377">
        <v>71</v>
      </c>
      <c r="T377">
        <v>51</v>
      </c>
      <c r="U377">
        <v>21</v>
      </c>
      <c r="V377" t="s">
        <v>6772</v>
      </c>
      <c r="W377">
        <v>66048</v>
      </c>
      <c r="X377" t="s">
        <v>7199</v>
      </c>
      <c r="Y377">
        <v>46275</v>
      </c>
      <c r="Z377">
        <v>1387008</v>
      </c>
      <c r="AA377">
        <v>415233</v>
      </c>
      <c r="AB377" t="str">
        <f>(VLOOKUP(SalesData[[#This Row],[Month Number]],Reference!C$5:E$16,2,FALSE))</f>
        <v>Feb</v>
      </c>
      <c r="AC377">
        <f>MONTH(SalesData[[#This Row],[Date]])</f>
        <v>2</v>
      </c>
      <c r="AD377">
        <f>Reference!F$4</f>
        <v>2026</v>
      </c>
      <c r="AE377" t="str">
        <f>IF(OR(SalesData[[#This Row],[Day]]="Saturday",SalesData[[#This Row],[Day]]="Sunday"),"Weekend","Weekday")</f>
        <v>Weekday</v>
      </c>
      <c r="AF377" s="5">
        <f>IF(SalesData[[#This Row],[Contracts Offered]]=0,0,SalesData[[#This Row],[Contracts Signed]]/SalesData[[#This Row],[Contracts Offered]])</f>
        <v>0.41176470588235292</v>
      </c>
      <c r="AG377" s="5">
        <f>IF(SalesData[[#This Row],[Customers Visited]]=0,0,SalesData[[#This Row],[Test Drives]]/SalesData[[#This Row],[Customers Visited]])</f>
        <v>0.45806451612903226</v>
      </c>
      <c r="AH377" s="5">
        <f>IF(SalesData[[#This Row],[Customers Visited]]=0,0,SalesData[[#This Row],[Contracts Signed]]/SalesData[[#This Row],[Customers Visited]])</f>
        <v>0.13548387096774195</v>
      </c>
      <c r="AI377" s="6">
        <f>IF(SalesData[[#This Row],[Contracts Signed]]=0,0,SalesData[[#This Row],[Profit(€)]]/SalesData[[#This Row],[Contracts Signed]])</f>
        <v>19773</v>
      </c>
      <c r="AJ377" s="5" t="str">
        <f>TRIM(CLEAN(SalesData[[#This Row],[Retailer]]))</f>
        <v>Autohaus Berlin</v>
      </c>
    </row>
    <row r="378" spans="1:36" ht="14.25" hidden="1" x14ac:dyDescent="0.2">
      <c r="A378" t="s">
        <v>790</v>
      </c>
      <c r="B378" s="1">
        <v>46062</v>
      </c>
      <c r="C378" t="s">
        <v>121</v>
      </c>
      <c r="D378" t="s">
        <v>25</v>
      </c>
      <c r="E378" t="s">
        <v>26</v>
      </c>
      <c r="F378" t="s">
        <v>94</v>
      </c>
      <c r="G378" t="s">
        <v>95</v>
      </c>
      <c r="H378" t="s">
        <v>96</v>
      </c>
      <c r="I378" t="s">
        <v>104</v>
      </c>
      <c r="J378" t="s">
        <v>140</v>
      </c>
      <c r="K378" t="s">
        <v>32</v>
      </c>
      <c r="L378" t="s">
        <v>46</v>
      </c>
      <c r="M378" t="s">
        <v>68</v>
      </c>
      <c r="N378" t="s">
        <v>35</v>
      </c>
      <c r="O378" t="s">
        <v>70</v>
      </c>
      <c r="P378" t="s">
        <v>49</v>
      </c>
      <c r="Q378" t="s">
        <v>129</v>
      </c>
      <c r="R378">
        <v>372</v>
      </c>
      <c r="S378">
        <v>213</v>
      </c>
      <c r="T378">
        <v>140</v>
      </c>
      <c r="U378">
        <v>30</v>
      </c>
      <c r="V378" t="s">
        <v>927</v>
      </c>
      <c r="W378">
        <v>28419</v>
      </c>
      <c r="X378" t="s">
        <v>149</v>
      </c>
      <c r="Y378">
        <v>25019</v>
      </c>
      <c r="Z378">
        <v>852570</v>
      </c>
      <c r="AA378">
        <v>102000</v>
      </c>
      <c r="AB378" t="str">
        <f>(VLOOKUP(SalesData[[#This Row],[Month Number]],Reference!C$5:E$16,2,FALSE))</f>
        <v>Feb</v>
      </c>
      <c r="AC378">
        <f>MONTH(SalesData[[#This Row],[Date]])</f>
        <v>2</v>
      </c>
      <c r="AD378">
        <f>Reference!F$4</f>
        <v>2026</v>
      </c>
      <c r="AE378" t="str">
        <f>IF(OR(SalesData[[#This Row],[Day]]="Saturday",SalesData[[#This Row],[Day]]="Sunday"),"Weekend","Weekday")</f>
        <v>Weekday</v>
      </c>
      <c r="AF378" s="5">
        <f>IF(SalesData[[#This Row],[Contracts Offered]]=0,0,SalesData[[#This Row],[Contracts Signed]]/SalesData[[#This Row],[Contracts Offered]])</f>
        <v>0.21428571428571427</v>
      </c>
      <c r="AG378" s="5">
        <f>IF(SalesData[[#This Row],[Customers Visited]]=0,0,SalesData[[#This Row],[Test Drives]]/SalesData[[#This Row],[Customers Visited]])</f>
        <v>0.57258064516129037</v>
      </c>
      <c r="AH378" s="5">
        <f>IF(SalesData[[#This Row],[Customers Visited]]=0,0,SalesData[[#This Row],[Contracts Signed]]/SalesData[[#This Row],[Customers Visited]])</f>
        <v>8.0645161290322578E-2</v>
      </c>
      <c r="AI378" s="6">
        <f>IF(SalesData[[#This Row],[Contracts Signed]]=0,0,SalesData[[#This Row],[Profit(€)]]/SalesData[[#This Row],[Contracts Signed]])</f>
        <v>3400</v>
      </c>
      <c r="AJ378" s="5" t="str">
        <f>TRIM(CLEAN(SalesData[[#This Row],[Retailer]]))</f>
        <v>Bavaria Motors</v>
      </c>
    </row>
    <row r="379" spans="1:36" ht="14.25" hidden="1" x14ac:dyDescent="0.2">
      <c r="A379" t="s">
        <v>792</v>
      </c>
      <c r="B379" s="1">
        <v>46068</v>
      </c>
      <c r="C379" t="s">
        <v>62</v>
      </c>
      <c r="D379" t="s">
        <v>41</v>
      </c>
      <c r="E379" t="s">
        <v>42</v>
      </c>
      <c r="F379" t="s">
        <v>7649</v>
      </c>
      <c r="G379" t="s">
        <v>55</v>
      </c>
      <c r="H379" t="s">
        <v>55</v>
      </c>
      <c r="I379" t="s">
        <v>64</v>
      </c>
      <c r="J379" t="s">
        <v>7029</v>
      </c>
      <c r="K379" t="s">
        <v>78</v>
      </c>
      <c r="L379" t="s">
        <v>33</v>
      </c>
      <c r="M379" t="s">
        <v>68</v>
      </c>
      <c r="N379" t="s">
        <v>35</v>
      </c>
      <c r="O379" t="s">
        <v>70</v>
      </c>
      <c r="P379" t="s">
        <v>71</v>
      </c>
      <c r="Q379" t="s">
        <v>169</v>
      </c>
      <c r="R379">
        <v>168</v>
      </c>
      <c r="S379">
        <v>78</v>
      </c>
      <c r="T379">
        <v>57</v>
      </c>
      <c r="U379">
        <v>21</v>
      </c>
      <c r="V379" t="s">
        <v>6476</v>
      </c>
      <c r="W379">
        <v>66053</v>
      </c>
      <c r="X379" t="s">
        <v>2386</v>
      </c>
      <c r="Y379">
        <v>48928</v>
      </c>
      <c r="Z379">
        <v>1387113</v>
      </c>
      <c r="AA379">
        <v>359625</v>
      </c>
      <c r="AB379" t="str">
        <f>(VLOOKUP(SalesData[[#This Row],[Month Number]],Reference!C$5:E$16,2,FALSE))</f>
        <v>Feb</v>
      </c>
      <c r="AC379">
        <f>MONTH(SalesData[[#This Row],[Date]])</f>
        <v>2</v>
      </c>
      <c r="AD379">
        <f>Reference!F$4</f>
        <v>2026</v>
      </c>
      <c r="AE379" t="str">
        <f>IF(OR(SalesData[[#This Row],[Day]]="Saturday",SalesData[[#This Row],[Day]]="Sunday"),"Weekend","Weekday")</f>
        <v>Weekend</v>
      </c>
      <c r="AF379" s="5">
        <f>IF(SalesData[[#This Row],[Contracts Offered]]=0,0,SalesData[[#This Row],[Contracts Signed]]/SalesData[[#This Row],[Contracts Offered]])</f>
        <v>0.36842105263157893</v>
      </c>
      <c r="AG379" s="5">
        <f>IF(SalesData[[#This Row],[Customers Visited]]=0,0,SalesData[[#This Row],[Test Drives]]/SalesData[[#This Row],[Customers Visited]])</f>
        <v>0.4642857142857143</v>
      </c>
      <c r="AH379" s="5">
        <f>IF(SalesData[[#This Row],[Customers Visited]]=0,0,SalesData[[#This Row],[Contracts Signed]]/SalesData[[#This Row],[Customers Visited]])</f>
        <v>0.125</v>
      </c>
      <c r="AI379" s="6">
        <f>IF(SalesData[[#This Row],[Contracts Signed]]=0,0,SalesData[[#This Row],[Profit(€)]]/SalesData[[#This Row],[Contracts Signed]])</f>
        <v>17125</v>
      </c>
      <c r="AJ379" s="5" t="str">
        <f>TRIM(CLEAN(SalesData[[#This Row],[Retailer]]))</f>
        <v>Autohaus Berlin</v>
      </c>
    </row>
    <row r="380" spans="1:36" ht="14.25" hidden="1" x14ac:dyDescent="0.2">
      <c r="A380" t="s">
        <v>793</v>
      </c>
      <c r="B380" s="1">
        <v>46060</v>
      </c>
      <c r="C380" t="s">
        <v>24</v>
      </c>
      <c r="D380" t="s">
        <v>151</v>
      </c>
      <c r="E380" t="s">
        <v>42</v>
      </c>
      <c r="F380" t="s">
        <v>101</v>
      </c>
      <c r="G380" t="s">
        <v>102</v>
      </c>
      <c r="H380" t="s">
        <v>103</v>
      </c>
      <c r="I380" t="s">
        <v>104</v>
      </c>
      <c r="J380" t="s">
        <v>143</v>
      </c>
      <c r="K380" t="s">
        <v>78</v>
      </c>
      <c r="L380" t="s">
        <v>67</v>
      </c>
      <c r="M380" t="s">
        <v>87</v>
      </c>
      <c r="N380" t="s">
        <v>48</v>
      </c>
      <c r="O380" t="s">
        <v>36</v>
      </c>
      <c r="P380" t="s">
        <v>58</v>
      </c>
      <c r="Q380" t="s">
        <v>167</v>
      </c>
      <c r="R380">
        <v>512</v>
      </c>
      <c r="S380">
        <v>282</v>
      </c>
      <c r="T380">
        <v>177</v>
      </c>
      <c r="U380">
        <v>49</v>
      </c>
      <c r="V380" t="s">
        <v>6605</v>
      </c>
      <c r="W380">
        <v>30769</v>
      </c>
      <c r="X380" t="s">
        <v>7200</v>
      </c>
      <c r="Y380">
        <v>26824</v>
      </c>
      <c r="Z380">
        <v>1507681</v>
      </c>
      <c r="AA380">
        <v>193305</v>
      </c>
      <c r="AB380" t="str">
        <f>(VLOOKUP(SalesData[[#This Row],[Month Number]],Reference!C$5:E$16,2,FALSE))</f>
        <v>Feb</v>
      </c>
      <c r="AC380">
        <f>MONTH(SalesData[[#This Row],[Date]])</f>
        <v>2</v>
      </c>
      <c r="AD380">
        <f>Reference!F$4</f>
        <v>2026</v>
      </c>
      <c r="AE380" t="str">
        <f>IF(OR(SalesData[[#This Row],[Day]]="Saturday",SalesData[[#This Row],[Day]]="Sunday"),"Weekend","Weekday")</f>
        <v>Weekend</v>
      </c>
      <c r="AF380" s="5">
        <f>IF(SalesData[[#This Row],[Contracts Offered]]=0,0,SalesData[[#This Row],[Contracts Signed]]/SalesData[[#This Row],[Contracts Offered]])</f>
        <v>0.2768361581920904</v>
      </c>
      <c r="AG380" s="5">
        <f>IF(SalesData[[#This Row],[Customers Visited]]=0,0,SalesData[[#This Row],[Test Drives]]/SalesData[[#This Row],[Customers Visited]])</f>
        <v>0.55078125</v>
      </c>
      <c r="AH380" s="5">
        <f>IF(SalesData[[#This Row],[Customers Visited]]=0,0,SalesData[[#This Row],[Contracts Signed]]/SalesData[[#This Row],[Customers Visited]])</f>
        <v>9.5703125E-2</v>
      </c>
      <c r="AI380" s="6">
        <f>IF(SalesData[[#This Row],[Contracts Signed]]=0,0,SalesData[[#This Row],[Profit(€)]]/SalesData[[#This Row],[Contracts Signed]])</f>
        <v>3945</v>
      </c>
      <c r="AJ380" s="5" t="str">
        <f>TRIM(CLEAN(SalesData[[#This Row],[Retailer]]))</f>
        <v>Ruhr Auto Plaza</v>
      </c>
    </row>
    <row r="381" spans="1:36" ht="14.25" hidden="1" x14ac:dyDescent="0.2">
      <c r="A381" t="s">
        <v>795</v>
      </c>
      <c r="B381" s="1">
        <v>46081</v>
      </c>
      <c r="C381" t="s">
        <v>53</v>
      </c>
      <c r="D381" t="s">
        <v>151</v>
      </c>
      <c r="E381" t="s">
        <v>42</v>
      </c>
      <c r="F381" t="s">
        <v>101</v>
      </c>
      <c r="G381" t="s">
        <v>102</v>
      </c>
      <c r="H381" t="s">
        <v>103</v>
      </c>
      <c r="I381" t="s">
        <v>64</v>
      </c>
      <c r="J381" t="s">
        <v>77</v>
      </c>
      <c r="K381" t="s">
        <v>32</v>
      </c>
      <c r="L381" t="s">
        <v>46</v>
      </c>
      <c r="M381" t="s">
        <v>34</v>
      </c>
      <c r="N381" t="s">
        <v>69</v>
      </c>
      <c r="O381" t="s">
        <v>36</v>
      </c>
      <c r="P381" t="s">
        <v>49</v>
      </c>
      <c r="Q381" t="s">
        <v>240</v>
      </c>
      <c r="R381">
        <v>146</v>
      </c>
      <c r="S381">
        <v>76</v>
      </c>
      <c r="T381">
        <v>60</v>
      </c>
      <c r="U381">
        <v>17</v>
      </c>
      <c r="V381" t="s">
        <v>6477</v>
      </c>
      <c r="W381">
        <v>58035</v>
      </c>
      <c r="X381" t="s">
        <v>170</v>
      </c>
      <c r="Y381">
        <v>42480</v>
      </c>
      <c r="Z381">
        <v>986595</v>
      </c>
      <c r="AA381">
        <v>264435</v>
      </c>
      <c r="AB381" t="str">
        <f>(VLOOKUP(SalesData[[#This Row],[Month Number]],Reference!C$5:E$16,2,FALSE))</f>
        <v>Feb</v>
      </c>
      <c r="AC381">
        <f>MONTH(SalesData[[#This Row],[Date]])</f>
        <v>2</v>
      </c>
      <c r="AD381">
        <f>Reference!F$4</f>
        <v>2026</v>
      </c>
      <c r="AE381" t="str">
        <f>IF(OR(SalesData[[#This Row],[Day]]="Saturday",SalesData[[#This Row],[Day]]="Sunday"),"Weekend","Weekday")</f>
        <v>Weekend</v>
      </c>
      <c r="AF381" s="5">
        <f>IF(SalesData[[#This Row],[Contracts Offered]]=0,0,SalesData[[#This Row],[Contracts Signed]]/SalesData[[#This Row],[Contracts Offered]])</f>
        <v>0.28333333333333333</v>
      </c>
      <c r="AG381" s="5">
        <f>IF(SalesData[[#This Row],[Customers Visited]]=0,0,SalesData[[#This Row],[Test Drives]]/SalesData[[#This Row],[Customers Visited]])</f>
        <v>0.52054794520547942</v>
      </c>
      <c r="AH381" s="5">
        <f>IF(SalesData[[#This Row],[Customers Visited]]=0,0,SalesData[[#This Row],[Contracts Signed]]/SalesData[[#This Row],[Customers Visited]])</f>
        <v>0.11643835616438356</v>
      </c>
      <c r="AI381" s="6">
        <f>IF(SalesData[[#This Row],[Contracts Signed]]=0,0,SalesData[[#This Row],[Profit(€)]]/SalesData[[#This Row],[Contracts Signed]])</f>
        <v>15555</v>
      </c>
      <c r="AJ381" s="5" t="str">
        <f>TRIM(CLEAN(SalesData[[#This Row],[Retailer]]))</f>
        <v>Ruhr Auto Plaza</v>
      </c>
    </row>
    <row r="382" spans="1:36" ht="14.25" x14ac:dyDescent="0.2">
      <c r="A382" t="s">
        <v>797</v>
      </c>
      <c r="B382" s="1">
        <v>46064</v>
      </c>
      <c r="C382" t="s">
        <v>121</v>
      </c>
      <c r="D382" t="s">
        <v>82</v>
      </c>
      <c r="E382" t="s">
        <v>26</v>
      </c>
      <c r="F382" t="s">
        <v>7649</v>
      </c>
      <c r="G382" t="s">
        <v>55</v>
      </c>
      <c r="H382" t="s">
        <v>55</v>
      </c>
      <c r="I382" t="s">
        <v>30</v>
      </c>
      <c r="J382" t="s">
        <v>7075</v>
      </c>
      <c r="K382" t="s">
        <v>78</v>
      </c>
      <c r="L382" t="s">
        <v>33</v>
      </c>
      <c r="M382" t="s">
        <v>68</v>
      </c>
      <c r="N382" t="s">
        <v>69</v>
      </c>
      <c r="O382" t="s">
        <v>70</v>
      </c>
      <c r="P382" t="s">
        <v>58</v>
      </c>
      <c r="Q382" t="s">
        <v>50</v>
      </c>
      <c r="R382">
        <v>218</v>
      </c>
      <c r="S382">
        <v>110</v>
      </c>
      <c r="T382">
        <v>87</v>
      </c>
      <c r="U382">
        <v>32</v>
      </c>
      <c r="V382" t="s">
        <v>6960</v>
      </c>
      <c r="W382">
        <v>59792</v>
      </c>
      <c r="X382" t="s">
        <v>7175</v>
      </c>
      <c r="Y382">
        <v>46091</v>
      </c>
      <c r="Z382">
        <v>1913344</v>
      </c>
      <c r="AA382">
        <v>438432</v>
      </c>
      <c r="AB382" t="str">
        <f>(VLOOKUP(SalesData[[#This Row],[Month Number]],Reference!C$5:E$16,2,FALSE))</f>
        <v>Feb</v>
      </c>
      <c r="AC382">
        <f>MONTH(SalesData[[#This Row],[Date]])</f>
        <v>2</v>
      </c>
      <c r="AD382">
        <f>Reference!F$4</f>
        <v>2026</v>
      </c>
      <c r="AE382" t="str">
        <f>IF(OR(SalesData[[#This Row],[Day]]="Saturday",SalesData[[#This Row],[Day]]="Sunday"),"Weekend","Weekday")</f>
        <v>Weekday</v>
      </c>
      <c r="AF382" s="5">
        <f>IF(SalesData[[#This Row],[Contracts Offered]]=0,0,SalesData[[#This Row],[Contracts Signed]]/SalesData[[#This Row],[Contracts Offered]])</f>
        <v>0.36781609195402298</v>
      </c>
      <c r="AG382" s="5">
        <f>IF(SalesData[[#This Row],[Customers Visited]]=0,0,SalesData[[#This Row],[Test Drives]]/SalesData[[#This Row],[Customers Visited]])</f>
        <v>0.50458715596330272</v>
      </c>
      <c r="AH382" s="5">
        <f>IF(SalesData[[#This Row],[Customers Visited]]=0,0,SalesData[[#This Row],[Contracts Signed]]/SalesData[[#This Row],[Customers Visited]])</f>
        <v>0.14678899082568808</v>
      </c>
      <c r="AI382" s="6">
        <f>IF(SalesData[[#This Row],[Contracts Signed]]=0,0,SalesData[[#This Row],[Profit(€)]]/SalesData[[#This Row],[Contracts Signed]])</f>
        <v>13701</v>
      </c>
      <c r="AJ382" s="5" t="str">
        <f>TRIM(CLEAN(SalesData[[#This Row],[Retailer]]))</f>
        <v>Autohaus Berlin</v>
      </c>
    </row>
    <row r="383" spans="1:36" ht="14.25" hidden="1" x14ac:dyDescent="0.2">
      <c r="A383" t="s">
        <v>798</v>
      </c>
      <c r="B383" s="1">
        <v>46058</v>
      </c>
      <c r="C383" t="s">
        <v>24</v>
      </c>
      <c r="D383" t="s">
        <v>100</v>
      </c>
      <c r="E383" t="s">
        <v>26</v>
      </c>
      <c r="F383" t="s">
        <v>7649</v>
      </c>
      <c r="G383" t="s">
        <v>55</v>
      </c>
      <c r="H383" t="s">
        <v>55</v>
      </c>
      <c r="I383" t="s">
        <v>64</v>
      </c>
      <c r="J383" t="s">
        <v>111</v>
      </c>
      <c r="K383" t="s">
        <v>78</v>
      </c>
      <c r="L383" t="s">
        <v>46</v>
      </c>
      <c r="M383" t="s">
        <v>87</v>
      </c>
      <c r="N383" t="s">
        <v>48</v>
      </c>
      <c r="O383" t="s">
        <v>36</v>
      </c>
      <c r="P383" t="s">
        <v>58</v>
      </c>
      <c r="Q383" t="s">
        <v>129</v>
      </c>
      <c r="R383">
        <v>207</v>
      </c>
      <c r="S383">
        <v>118</v>
      </c>
      <c r="T383">
        <v>83</v>
      </c>
      <c r="U383">
        <v>36</v>
      </c>
      <c r="V383" t="s">
        <v>7201</v>
      </c>
      <c r="W383">
        <v>57800</v>
      </c>
      <c r="X383" t="s">
        <v>7069</v>
      </c>
      <c r="Y383">
        <v>43091</v>
      </c>
      <c r="Z383">
        <v>2080800</v>
      </c>
      <c r="AA383">
        <v>529524</v>
      </c>
      <c r="AB383" t="str">
        <f>(VLOOKUP(SalesData[[#This Row],[Month Number]],Reference!C$5:E$16,2,FALSE))</f>
        <v>Feb</v>
      </c>
      <c r="AC383">
        <f>MONTH(SalesData[[#This Row],[Date]])</f>
        <v>2</v>
      </c>
      <c r="AD383">
        <f>Reference!F$4</f>
        <v>2026</v>
      </c>
      <c r="AE383" t="str">
        <f>IF(OR(SalesData[[#This Row],[Day]]="Saturday",SalesData[[#This Row],[Day]]="Sunday"),"Weekend","Weekday")</f>
        <v>Weekday</v>
      </c>
      <c r="AF383" s="5">
        <f>IF(SalesData[[#This Row],[Contracts Offered]]=0,0,SalesData[[#This Row],[Contracts Signed]]/SalesData[[#This Row],[Contracts Offered]])</f>
        <v>0.43373493975903615</v>
      </c>
      <c r="AG383" s="5">
        <f>IF(SalesData[[#This Row],[Customers Visited]]=0,0,SalesData[[#This Row],[Test Drives]]/SalesData[[#This Row],[Customers Visited]])</f>
        <v>0.57004830917874394</v>
      </c>
      <c r="AH383" s="5">
        <f>IF(SalesData[[#This Row],[Customers Visited]]=0,0,SalesData[[#This Row],[Contracts Signed]]/SalesData[[#This Row],[Customers Visited]])</f>
        <v>0.17391304347826086</v>
      </c>
      <c r="AI383" s="6">
        <f>IF(SalesData[[#This Row],[Contracts Signed]]=0,0,SalesData[[#This Row],[Profit(€)]]/SalesData[[#This Row],[Contracts Signed]])</f>
        <v>14709</v>
      </c>
      <c r="AJ383" s="5" t="str">
        <f>TRIM(CLEAN(SalesData[[#This Row],[Retailer]]))</f>
        <v>Autohaus Berlin</v>
      </c>
    </row>
    <row r="384" spans="1:36" ht="14.25" hidden="1" x14ac:dyDescent="0.2">
      <c r="A384" t="s">
        <v>800</v>
      </c>
      <c r="B384" s="1">
        <v>46064</v>
      </c>
      <c r="C384" t="s">
        <v>121</v>
      </c>
      <c r="D384" t="s">
        <v>82</v>
      </c>
      <c r="E384" t="s">
        <v>26</v>
      </c>
      <c r="F384" t="s">
        <v>127</v>
      </c>
      <c r="G384" t="s">
        <v>128</v>
      </c>
      <c r="H384" t="s">
        <v>103</v>
      </c>
      <c r="I384" t="s">
        <v>116</v>
      </c>
      <c r="J384" t="s">
        <v>132</v>
      </c>
      <c r="K384" t="s">
        <v>91</v>
      </c>
      <c r="L384" t="s">
        <v>46</v>
      </c>
      <c r="M384" t="s">
        <v>87</v>
      </c>
      <c r="N384" t="s">
        <v>69</v>
      </c>
      <c r="O384" t="s">
        <v>36</v>
      </c>
      <c r="P384" t="s">
        <v>58</v>
      </c>
      <c r="Q384" t="s">
        <v>240</v>
      </c>
      <c r="R384">
        <v>382</v>
      </c>
      <c r="S384">
        <v>186</v>
      </c>
      <c r="T384">
        <v>119</v>
      </c>
      <c r="U384">
        <v>36</v>
      </c>
      <c r="V384" t="s">
        <v>1142</v>
      </c>
      <c r="W384">
        <v>21379</v>
      </c>
      <c r="X384" t="s">
        <v>1276</v>
      </c>
      <c r="Y384">
        <v>19079</v>
      </c>
      <c r="Z384">
        <v>769644</v>
      </c>
      <c r="AA384">
        <v>82800</v>
      </c>
      <c r="AB384" t="str">
        <f>(VLOOKUP(SalesData[[#This Row],[Month Number]],Reference!C$5:E$16,2,FALSE))</f>
        <v>Feb</v>
      </c>
      <c r="AC384">
        <f>MONTH(SalesData[[#This Row],[Date]])</f>
        <v>2</v>
      </c>
      <c r="AD384">
        <f>Reference!F$4</f>
        <v>2026</v>
      </c>
      <c r="AE384" t="str">
        <f>IF(OR(SalesData[[#This Row],[Day]]="Saturday",SalesData[[#This Row],[Day]]="Sunday"),"Weekend","Weekday")</f>
        <v>Weekday</v>
      </c>
      <c r="AF384" s="5">
        <f>IF(SalesData[[#This Row],[Contracts Offered]]=0,0,SalesData[[#This Row],[Contracts Signed]]/SalesData[[#This Row],[Contracts Offered]])</f>
        <v>0.30252100840336132</v>
      </c>
      <c r="AG384" s="5">
        <f>IF(SalesData[[#This Row],[Customers Visited]]=0,0,SalesData[[#This Row],[Test Drives]]/SalesData[[#This Row],[Customers Visited]])</f>
        <v>0.48691099476439792</v>
      </c>
      <c r="AH384" s="5">
        <f>IF(SalesData[[#This Row],[Customers Visited]]=0,0,SalesData[[#This Row],[Contracts Signed]]/SalesData[[#This Row],[Customers Visited]])</f>
        <v>9.4240837696335081E-2</v>
      </c>
      <c r="AI384" s="6">
        <f>IF(SalesData[[#This Row],[Contracts Signed]]=0,0,SalesData[[#This Row],[Profit(€)]]/SalesData[[#This Row],[Contracts Signed]])</f>
        <v>2300</v>
      </c>
      <c r="AJ384" s="5" t="str">
        <f>TRIM(CLEAN(SalesData[[#This Row],[Retailer]]))</f>
        <v>Rhein Auto Group</v>
      </c>
    </row>
    <row r="385" spans="1:36" ht="14.25" hidden="1" x14ac:dyDescent="0.2">
      <c r="A385" t="s">
        <v>802</v>
      </c>
      <c r="B385" s="1">
        <v>46059</v>
      </c>
      <c r="C385" t="s">
        <v>24</v>
      </c>
      <c r="D385" t="s">
        <v>54</v>
      </c>
      <c r="E385" t="s">
        <v>26</v>
      </c>
      <c r="F385" t="s">
        <v>7649</v>
      </c>
      <c r="G385" t="s">
        <v>55</v>
      </c>
      <c r="H385" t="s">
        <v>55</v>
      </c>
      <c r="I385" t="s">
        <v>56</v>
      </c>
      <c r="J385" t="s">
        <v>179</v>
      </c>
      <c r="K385" t="s">
        <v>32</v>
      </c>
      <c r="L385" t="s">
        <v>67</v>
      </c>
      <c r="M385" t="s">
        <v>34</v>
      </c>
      <c r="N385" t="s">
        <v>69</v>
      </c>
      <c r="O385" t="s">
        <v>70</v>
      </c>
      <c r="P385" t="s">
        <v>58</v>
      </c>
      <c r="Q385" t="s">
        <v>38</v>
      </c>
      <c r="R385">
        <v>225</v>
      </c>
      <c r="S385">
        <v>110</v>
      </c>
      <c r="T385">
        <v>73</v>
      </c>
      <c r="U385">
        <v>32</v>
      </c>
      <c r="V385" t="s">
        <v>6960</v>
      </c>
      <c r="W385">
        <v>43988</v>
      </c>
      <c r="X385" t="s">
        <v>7202</v>
      </c>
      <c r="Y385">
        <v>33575</v>
      </c>
      <c r="Z385">
        <v>1407616</v>
      </c>
      <c r="AA385">
        <v>333216</v>
      </c>
      <c r="AB385" t="str">
        <f>(VLOOKUP(SalesData[[#This Row],[Month Number]],Reference!C$5:E$16,2,FALSE))</f>
        <v>Feb</v>
      </c>
      <c r="AC385">
        <f>MONTH(SalesData[[#This Row],[Date]])</f>
        <v>2</v>
      </c>
      <c r="AD385">
        <f>Reference!F$4</f>
        <v>2026</v>
      </c>
      <c r="AE385" t="str">
        <f>IF(OR(SalesData[[#This Row],[Day]]="Saturday",SalesData[[#This Row],[Day]]="Sunday"),"Weekend","Weekday")</f>
        <v>Weekday</v>
      </c>
      <c r="AF385" s="5">
        <f>IF(SalesData[[#This Row],[Contracts Offered]]=0,0,SalesData[[#This Row],[Contracts Signed]]/SalesData[[#This Row],[Contracts Offered]])</f>
        <v>0.43835616438356162</v>
      </c>
      <c r="AG385" s="5">
        <f>IF(SalesData[[#This Row],[Customers Visited]]=0,0,SalesData[[#This Row],[Test Drives]]/SalesData[[#This Row],[Customers Visited]])</f>
        <v>0.48888888888888887</v>
      </c>
      <c r="AH385" s="5">
        <f>IF(SalesData[[#This Row],[Customers Visited]]=0,0,SalesData[[#This Row],[Contracts Signed]]/SalesData[[#This Row],[Customers Visited]])</f>
        <v>0.14222222222222222</v>
      </c>
      <c r="AI385" s="6">
        <f>IF(SalesData[[#This Row],[Contracts Signed]]=0,0,SalesData[[#This Row],[Profit(€)]]/SalesData[[#This Row],[Contracts Signed]])</f>
        <v>10413</v>
      </c>
      <c r="AJ385" s="5" t="str">
        <f>TRIM(CLEAN(SalesData[[#This Row],[Retailer]]))</f>
        <v>Autohaus Berlin</v>
      </c>
    </row>
    <row r="386" spans="1:36" ht="14.25" hidden="1" x14ac:dyDescent="0.2">
      <c r="A386" t="s">
        <v>803</v>
      </c>
      <c r="B386" s="1">
        <v>46056</v>
      </c>
      <c r="C386" t="s">
        <v>24</v>
      </c>
      <c r="D386" t="s">
        <v>63</v>
      </c>
      <c r="E386" t="s">
        <v>26</v>
      </c>
      <c r="F386" t="s">
        <v>127</v>
      </c>
      <c r="G386" t="s">
        <v>128</v>
      </c>
      <c r="H386" t="s">
        <v>103</v>
      </c>
      <c r="I386" t="s">
        <v>56</v>
      </c>
      <c r="J386" t="s">
        <v>97</v>
      </c>
      <c r="K386" t="s">
        <v>66</v>
      </c>
      <c r="L386" t="s">
        <v>33</v>
      </c>
      <c r="M386" t="s">
        <v>87</v>
      </c>
      <c r="N386" t="s">
        <v>48</v>
      </c>
      <c r="O386" t="s">
        <v>70</v>
      </c>
      <c r="P386" t="s">
        <v>58</v>
      </c>
      <c r="Q386" t="s">
        <v>79</v>
      </c>
      <c r="R386">
        <v>223</v>
      </c>
      <c r="S386">
        <v>116</v>
      </c>
      <c r="T386">
        <v>77</v>
      </c>
      <c r="U386">
        <v>32</v>
      </c>
      <c r="V386" t="s">
        <v>6612</v>
      </c>
      <c r="W386">
        <v>52528</v>
      </c>
      <c r="X386" t="s">
        <v>1101</v>
      </c>
      <c r="Y386">
        <v>41315</v>
      </c>
      <c r="Z386">
        <v>1680896</v>
      </c>
      <c r="AA386">
        <v>358816</v>
      </c>
      <c r="AB386" t="str">
        <f>(VLOOKUP(SalesData[[#This Row],[Month Number]],Reference!C$5:E$16,2,FALSE))</f>
        <v>Feb</v>
      </c>
      <c r="AC386">
        <f>MONTH(SalesData[[#This Row],[Date]])</f>
        <v>2</v>
      </c>
      <c r="AD386">
        <f>Reference!F$4</f>
        <v>2026</v>
      </c>
      <c r="AE386" t="str">
        <f>IF(OR(SalesData[[#This Row],[Day]]="Saturday",SalesData[[#This Row],[Day]]="Sunday"),"Weekend","Weekday")</f>
        <v>Weekday</v>
      </c>
      <c r="AF386" s="5">
        <f>IF(SalesData[[#This Row],[Contracts Offered]]=0,0,SalesData[[#This Row],[Contracts Signed]]/SalesData[[#This Row],[Contracts Offered]])</f>
        <v>0.41558441558441561</v>
      </c>
      <c r="AG386" s="5">
        <f>IF(SalesData[[#This Row],[Customers Visited]]=0,0,SalesData[[#This Row],[Test Drives]]/SalesData[[#This Row],[Customers Visited]])</f>
        <v>0.52017937219730936</v>
      </c>
      <c r="AH386" s="5">
        <f>IF(SalesData[[#This Row],[Customers Visited]]=0,0,SalesData[[#This Row],[Contracts Signed]]/SalesData[[#This Row],[Customers Visited]])</f>
        <v>0.14349775784753363</v>
      </c>
      <c r="AI386" s="6">
        <f>IF(SalesData[[#This Row],[Contracts Signed]]=0,0,SalesData[[#This Row],[Profit(€)]]/SalesData[[#This Row],[Contracts Signed]])</f>
        <v>11213</v>
      </c>
      <c r="AJ386" s="5" t="str">
        <f>TRIM(CLEAN(SalesData[[#This Row],[Retailer]]))</f>
        <v>Rhein Auto Group</v>
      </c>
    </row>
    <row r="387" spans="1:36" ht="14.25" hidden="1" x14ac:dyDescent="0.2">
      <c r="A387" t="s">
        <v>805</v>
      </c>
      <c r="B387" s="1">
        <v>46064</v>
      </c>
      <c r="C387" t="s">
        <v>121</v>
      </c>
      <c r="D387" t="s">
        <v>82</v>
      </c>
      <c r="E387" t="s">
        <v>26</v>
      </c>
      <c r="F387" t="s">
        <v>109</v>
      </c>
      <c r="G387" t="s">
        <v>110</v>
      </c>
      <c r="H387" t="s">
        <v>45</v>
      </c>
      <c r="I387" t="s">
        <v>116</v>
      </c>
      <c r="J387" t="s">
        <v>7026</v>
      </c>
      <c r="K387" t="s">
        <v>91</v>
      </c>
      <c r="L387" t="s">
        <v>46</v>
      </c>
      <c r="M387" t="s">
        <v>34</v>
      </c>
      <c r="N387" t="s">
        <v>35</v>
      </c>
      <c r="O387" t="s">
        <v>70</v>
      </c>
      <c r="P387" t="s">
        <v>58</v>
      </c>
      <c r="Q387" t="s">
        <v>158</v>
      </c>
      <c r="R387">
        <v>250</v>
      </c>
      <c r="S387">
        <v>120</v>
      </c>
      <c r="T387">
        <v>78</v>
      </c>
      <c r="U387">
        <v>18</v>
      </c>
      <c r="V387" t="s">
        <v>597</v>
      </c>
      <c r="W387">
        <v>25167</v>
      </c>
      <c r="X387" t="s">
        <v>4957</v>
      </c>
      <c r="Y387">
        <v>23219</v>
      </c>
      <c r="Z387">
        <v>453006</v>
      </c>
      <c r="AA387">
        <v>35064</v>
      </c>
      <c r="AB387" t="str">
        <f>(VLOOKUP(SalesData[[#This Row],[Month Number]],Reference!C$5:E$16,2,FALSE))</f>
        <v>Feb</v>
      </c>
      <c r="AC387">
        <f>MONTH(SalesData[[#This Row],[Date]])</f>
        <v>2</v>
      </c>
      <c r="AD387">
        <f>Reference!F$4</f>
        <v>2026</v>
      </c>
      <c r="AE387" t="str">
        <f>IF(OR(SalesData[[#This Row],[Day]]="Saturday",SalesData[[#This Row],[Day]]="Sunday"),"Weekend","Weekday")</f>
        <v>Weekday</v>
      </c>
      <c r="AF387" s="5">
        <f>IF(SalesData[[#This Row],[Contracts Offered]]=0,0,SalesData[[#This Row],[Contracts Signed]]/SalesData[[#This Row],[Contracts Offered]])</f>
        <v>0.23076923076923078</v>
      </c>
      <c r="AG387" s="5">
        <f>IF(SalesData[[#This Row],[Customers Visited]]=0,0,SalesData[[#This Row],[Test Drives]]/SalesData[[#This Row],[Customers Visited]])</f>
        <v>0.48</v>
      </c>
      <c r="AH387" s="5">
        <f>IF(SalesData[[#This Row],[Customers Visited]]=0,0,SalesData[[#This Row],[Contracts Signed]]/SalesData[[#This Row],[Customers Visited]])</f>
        <v>7.1999999999999995E-2</v>
      </c>
      <c r="AI387" s="6">
        <f>IF(SalesData[[#This Row],[Contracts Signed]]=0,0,SalesData[[#This Row],[Profit(€)]]/SalesData[[#This Row],[Contracts Signed]])</f>
        <v>1948</v>
      </c>
      <c r="AJ387" s="5" t="str">
        <f>TRIM(CLEAN(SalesData[[#This Row],[Retailer]]))</f>
        <v>Leipzig Mobility</v>
      </c>
    </row>
    <row r="388" spans="1:36" ht="14.25" hidden="1" x14ac:dyDescent="0.2">
      <c r="A388" t="s">
        <v>806</v>
      </c>
      <c r="B388" s="1">
        <v>46058</v>
      </c>
      <c r="C388" t="s">
        <v>24</v>
      </c>
      <c r="D388" t="s">
        <v>100</v>
      </c>
      <c r="E388" t="s">
        <v>26</v>
      </c>
      <c r="F388" t="s">
        <v>74</v>
      </c>
      <c r="G388" t="s">
        <v>75</v>
      </c>
      <c r="H388" t="s">
        <v>76</v>
      </c>
      <c r="I388" t="s">
        <v>56</v>
      </c>
      <c r="J388" t="s">
        <v>179</v>
      </c>
      <c r="K388" t="s">
        <v>66</v>
      </c>
      <c r="L388" t="s">
        <v>67</v>
      </c>
      <c r="M388" t="s">
        <v>34</v>
      </c>
      <c r="N388" t="s">
        <v>35</v>
      </c>
      <c r="O388" t="s">
        <v>36</v>
      </c>
      <c r="P388" t="s">
        <v>71</v>
      </c>
      <c r="Q388" t="s">
        <v>152</v>
      </c>
      <c r="R388">
        <v>209</v>
      </c>
      <c r="S388">
        <v>115</v>
      </c>
      <c r="T388">
        <v>81</v>
      </c>
      <c r="U388">
        <v>29</v>
      </c>
      <c r="V388" t="s">
        <v>6749</v>
      </c>
      <c r="W388">
        <v>40502</v>
      </c>
      <c r="X388" t="s">
        <v>2155</v>
      </c>
      <c r="Y388">
        <v>31075</v>
      </c>
      <c r="Z388">
        <v>1174558</v>
      </c>
      <c r="AA388">
        <v>273383</v>
      </c>
      <c r="AB388" t="str">
        <f>(VLOOKUP(SalesData[[#This Row],[Month Number]],Reference!C$5:E$16,2,FALSE))</f>
        <v>Feb</v>
      </c>
      <c r="AC388">
        <f>MONTH(SalesData[[#This Row],[Date]])</f>
        <v>2</v>
      </c>
      <c r="AD388">
        <f>Reference!F$4</f>
        <v>2026</v>
      </c>
      <c r="AE388" t="str">
        <f>IF(OR(SalesData[[#This Row],[Day]]="Saturday",SalesData[[#This Row],[Day]]="Sunday"),"Weekend","Weekday")</f>
        <v>Weekday</v>
      </c>
      <c r="AF388" s="5">
        <f>IF(SalesData[[#This Row],[Contracts Offered]]=0,0,SalesData[[#This Row],[Contracts Signed]]/SalesData[[#This Row],[Contracts Offered]])</f>
        <v>0.35802469135802467</v>
      </c>
      <c r="AG388" s="5">
        <f>IF(SalesData[[#This Row],[Customers Visited]]=0,0,SalesData[[#This Row],[Test Drives]]/SalesData[[#This Row],[Customers Visited]])</f>
        <v>0.55023923444976075</v>
      </c>
      <c r="AH388" s="5">
        <f>IF(SalesData[[#This Row],[Customers Visited]]=0,0,SalesData[[#This Row],[Contracts Signed]]/SalesData[[#This Row],[Customers Visited]])</f>
        <v>0.13875598086124402</v>
      </c>
      <c r="AI388" s="6">
        <f>IF(SalesData[[#This Row],[Contracts Signed]]=0,0,SalesData[[#This Row],[Profit(€)]]/SalesData[[#This Row],[Contracts Signed]])</f>
        <v>9427</v>
      </c>
      <c r="AJ388" s="5" t="str">
        <f>TRIM(CLEAN(SalesData[[#This Row],[Retailer]]))</f>
        <v>Stuttgart Auto Center</v>
      </c>
    </row>
    <row r="389" spans="1:36" ht="14.25" hidden="1" x14ac:dyDescent="0.2">
      <c r="A389" t="s">
        <v>808</v>
      </c>
      <c r="B389" s="1">
        <v>46079</v>
      </c>
      <c r="C389" t="s">
        <v>53</v>
      </c>
      <c r="D389" t="s">
        <v>100</v>
      </c>
      <c r="E389" t="s">
        <v>26</v>
      </c>
      <c r="F389" t="s">
        <v>27</v>
      </c>
      <c r="G389" t="s">
        <v>28</v>
      </c>
      <c r="H389" t="s">
        <v>29</v>
      </c>
      <c r="I389" t="s">
        <v>116</v>
      </c>
      <c r="J389" t="s">
        <v>7090</v>
      </c>
      <c r="K389" t="s">
        <v>91</v>
      </c>
      <c r="L389" t="s">
        <v>46</v>
      </c>
      <c r="M389" t="s">
        <v>68</v>
      </c>
      <c r="N389" t="s">
        <v>48</v>
      </c>
      <c r="O389" t="s">
        <v>70</v>
      </c>
      <c r="P389" t="s">
        <v>71</v>
      </c>
      <c r="Q389" t="s">
        <v>189</v>
      </c>
      <c r="R389">
        <v>368</v>
      </c>
      <c r="S389">
        <v>156</v>
      </c>
      <c r="T389">
        <v>107</v>
      </c>
      <c r="U389">
        <v>25</v>
      </c>
      <c r="V389" t="s">
        <v>2288</v>
      </c>
      <c r="W389">
        <v>22119</v>
      </c>
      <c r="X389" t="s">
        <v>1424</v>
      </c>
      <c r="Y389">
        <v>20286</v>
      </c>
      <c r="Z389">
        <v>552975</v>
      </c>
      <c r="AA389">
        <v>45825</v>
      </c>
      <c r="AB389" t="str">
        <f>(VLOOKUP(SalesData[[#This Row],[Month Number]],Reference!C$5:E$16,2,FALSE))</f>
        <v>Feb</v>
      </c>
      <c r="AC389">
        <f>MONTH(SalesData[[#This Row],[Date]])</f>
        <v>2</v>
      </c>
      <c r="AD389">
        <f>Reference!F$4</f>
        <v>2026</v>
      </c>
      <c r="AE389" t="str">
        <f>IF(OR(SalesData[[#This Row],[Day]]="Saturday",SalesData[[#This Row],[Day]]="Sunday"),"Weekend","Weekday")</f>
        <v>Weekday</v>
      </c>
      <c r="AF389" s="5">
        <f>IF(SalesData[[#This Row],[Contracts Offered]]=0,0,SalesData[[#This Row],[Contracts Signed]]/SalesData[[#This Row],[Contracts Offered]])</f>
        <v>0.23364485981308411</v>
      </c>
      <c r="AG389" s="5">
        <f>IF(SalesData[[#This Row],[Customers Visited]]=0,0,SalesData[[#This Row],[Test Drives]]/SalesData[[#This Row],[Customers Visited]])</f>
        <v>0.42391304347826086</v>
      </c>
      <c r="AH389" s="5">
        <f>IF(SalesData[[#This Row],[Customers Visited]]=0,0,SalesData[[#This Row],[Contracts Signed]]/SalesData[[#This Row],[Customers Visited]])</f>
        <v>6.7934782608695649E-2</v>
      </c>
      <c r="AI389" s="6">
        <f>IF(SalesData[[#This Row],[Contracts Signed]]=0,0,SalesData[[#This Row],[Profit(€)]]/SalesData[[#This Row],[Contracts Signed]])</f>
        <v>1833</v>
      </c>
      <c r="AJ389" s="5" t="str">
        <f>TRIM(CLEAN(SalesData[[#This Row],[Retailer]]))</f>
        <v>Main Auto Hub</v>
      </c>
    </row>
    <row r="390" spans="1:36" ht="14.25" hidden="1" x14ac:dyDescent="0.2">
      <c r="A390" t="s">
        <v>810</v>
      </c>
      <c r="B390" s="1">
        <v>46057</v>
      </c>
      <c r="C390" t="s">
        <v>24</v>
      </c>
      <c r="D390" t="s">
        <v>82</v>
      </c>
      <c r="E390" t="s">
        <v>26</v>
      </c>
      <c r="F390" t="s">
        <v>27</v>
      </c>
      <c r="G390" t="s">
        <v>28</v>
      </c>
      <c r="H390" t="s">
        <v>29</v>
      </c>
      <c r="I390" t="s">
        <v>56</v>
      </c>
      <c r="J390" t="s">
        <v>137</v>
      </c>
      <c r="K390" t="s">
        <v>32</v>
      </c>
      <c r="L390" t="s">
        <v>46</v>
      </c>
      <c r="M390" t="s">
        <v>47</v>
      </c>
      <c r="N390" t="s">
        <v>35</v>
      </c>
      <c r="O390" t="s">
        <v>36</v>
      </c>
      <c r="P390" t="s">
        <v>37</v>
      </c>
      <c r="Q390" t="s">
        <v>129</v>
      </c>
      <c r="R390">
        <v>299</v>
      </c>
      <c r="S390">
        <v>167</v>
      </c>
      <c r="T390">
        <v>129</v>
      </c>
      <c r="U390">
        <v>35</v>
      </c>
      <c r="V390" t="s">
        <v>6526</v>
      </c>
      <c r="W390">
        <v>45504</v>
      </c>
      <c r="X390" t="s">
        <v>1551</v>
      </c>
      <c r="Y390">
        <v>35066</v>
      </c>
      <c r="Z390">
        <v>1592640</v>
      </c>
      <c r="AA390">
        <v>365330</v>
      </c>
      <c r="AB390" t="str">
        <f>(VLOOKUP(SalesData[[#This Row],[Month Number]],Reference!C$5:E$16,2,FALSE))</f>
        <v>Feb</v>
      </c>
      <c r="AC390">
        <f>MONTH(SalesData[[#This Row],[Date]])</f>
        <v>2</v>
      </c>
      <c r="AD390">
        <f>Reference!F$4</f>
        <v>2026</v>
      </c>
      <c r="AE390" t="str">
        <f>IF(OR(SalesData[[#This Row],[Day]]="Saturday",SalesData[[#This Row],[Day]]="Sunday"),"Weekend","Weekday")</f>
        <v>Weekday</v>
      </c>
      <c r="AF390" s="5">
        <f>IF(SalesData[[#This Row],[Contracts Offered]]=0,0,SalesData[[#This Row],[Contracts Signed]]/SalesData[[#This Row],[Contracts Offered]])</f>
        <v>0.27131782945736432</v>
      </c>
      <c r="AG390" s="5">
        <f>IF(SalesData[[#This Row],[Customers Visited]]=0,0,SalesData[[#This Row],[Test Drives]]/SalesData[[#This Row],[Customers Visited]])</f>
        <v>0.55852842809364545</v>
      </c>
      <c r="AH390" s="5">
        <f>IF(SalesData[[#This Row],[Customers Visited]]=0,0,SalesData[[#This Row],[Contracts Signed]]/SalesData[[#This Row],[Customers Visited]])</f>
        <v>0.11705685618729098</v>
      </c>
      <c r="AI390" s="6">
        <f>IF(SalesData[[#This Row],[Contracts Signed]]=0,0,SalesData[[#This Row],[Profit(€)]]/SalesData[[#This Row],[Contracts Signed]])</f>
        <v>10438</v>
      </c>
      <c r="AJ390" s="5" t="str">
        <f>TRIM(CLEAN(SalesData[[#This Row],[Retailer]]))</f>
        <v>Main Auto Hub</v>
      </c>
    </row>
    <row r="391" spans="1:36" ht="14.25" hidden="1" x14ac:dyDescent="0.2">
      <c r="A391" t="s">
        <v>811</v>
      </c>
      <c r="B391" s="1">
        <v>46074</v>
      </c>
      <c r="C391" t="s">
        <v>62</v>
      </c>
      <c r="D391" t="s">
        <v>151</v>
      </c>
      <c r="E391" t="s">
        <v>42</v>
      </c>
      <c r="F391" t="s">
        <v>83</v>
      </c>
      <c r="G391" t="s">
        <v>84</v>
      </c>
      <c r="H391" t="s">
        <v>85</v>
      </c>
      <c r="I391" t="s">
        <v>104</v>
      </c>
      <c r="J391" t="s">
        <v>140</v>
      </c>
      <c r="K391" t="s">
        <v>78</v>
      </c>
      <c r="L391" t="s">
        <v>46</v>
      </c>
      <c r="M391" t="s">
        <v>34</v>
      </c>
      <c r="N391" t="s">
        <v>48</v>
      </c>
      <c r="O391" t="s">
        <v>36</v>
      </c>
      <c r="P391" t="s">
        <v>37</v>
      </c>
      <c r="Q391" t="s">
        <v>135</v>
      </c>
      <c r="R391">
        <v>328</v>
      </c>
      <c r="S391">
        <v>169</v>
      </c>
      <c r="T391">
        <v>116</v>
      </c>
      <c r="U391">
        <v>21</v>
      </c>
      <c r="V391" t="s">
        <v>1808</v>
      </c>
      <c r="W391">
        <v>34059</v>
      </c>
      <c r="X391" t="s">
        <v>7203</v>
      </c>
      <c r="Y391">
        <v>30495</v>
      </c>
      <c r="Z391">
        <v>715239</v>
      </c>
      <c r="AA391">
        <v>74844</v>
      </c>
      <c r="AB391" t="str">
        <f>(VLOOKUP(SalesData[[#This Row],[Month Number]],Reference!C$5:E$16,2,FALSE))</f>
        <v>Feb</v>
      </c>
      <c r="AC391">
        <f>MONTH(SalesData[[#This Row],[Date]])</f>
        <v>2</v>
      </c>
      <c r="AD391">
        <f>Reference!F$4</f>
        <v>2026</v>
      </c>
      <c r="AE391" t="str">
        <f>IF(OR(SalesData[[#This Row],[Day]]="Saturday",SalesData[[#This Row],[Day]]="Sunday"),"Weekend","Weekday")</f>
        <v>Weekend</v>
      </c>
      <c r="AF391" s="5">
        <f>IF(SalesData[[#This Row],[Contracts Offered]]=0,0,SalesData[[#This Row],[Contracts Signed]]/SalesData[[#This Row],[Contracts Offered]])</f>
        <v>0.18103448275862069</v>
      </c>
      <c r="AG391" s="5">
        <f>IF(SalesData[[#This Row],[Customers Visited]]=0,0,SalesData[[#This Row],[Test Drives]]/SalesData[[#This Row],[Customers Visited]])</f>
        <v>0.5152439024390244</v>
      </c>
      <c r="AH391" s="5">
        <f>IF(SalesData[[#This Row],[Customers Visited]]=0,0,SalesData[[#This Row],[Contracts Signed]]/SalesData[[#This Row],[Customers Visited]])</f>
        <v>6.402439024390244E-2</v>
      </c>
      <c r="AI391" s="6">
        <f>IF(SalesData[[#This Row],[Contracts Signed]]=0,0,SalesData[[#This Row],[Profit(€)]]/SalesData[[#This Row],[Contracts Signed]])</f>
        <v>3564</v>
      </c>
      <c r="AJ391" s="5" t="str">
        <f>TRIM(CLEAN(SalesData[[#This Row],[Retailer]]))</f>
        <v>Hannover Cars</v>
      </c>
    </row>
    <row r="392" spans="1:36" ht="14.25" hidden="1" x14ac:dyDescent="0.2">
      <c r="A392" t="s">
        <v>813</v>
      </c>
      <c r="B392" s="1">
        <v>46075</v>
      </c>
      <c r="C392" t="s">
        <v>53</v>
      </c>
      <c r="D392" t="s">
        <v>41</v>
      </c>
      <c r="E392" t="s">
        <v>42</v>
      </c>
      <c r="F392" t="s">
        <v>27</v>
      </c>
      <c r="G392" t="s">
        <v>28</v>
      </c>
      <c r="H392" t="s">
        <v>29</v>
      </c>
      <c r="I392" t="s">
        <v>104</v>
      </c>
      <c r="J392" t="s">
        <v>140</v>
      </c>
      <c r="K392" t="s">
        <v>66</v>
      </c>
      <c r="L392" t="s">
        <v>46</v>
      </c>
      <c r="M392" t="s">
        <v>87</v>
      </c>
      <c r="N392" t="s">
        <v>35</v>
      </c>
      <c r="O392" t="s">
        <v>70</v>
      </c>
      <c r="P392" t="s">
        <v>71</v>
      </c>
      <c r="Q392" t="s">
        <v>172</v>
      </c>
      <c r="R392">
        <v>452</v>
      </c>
      <c r="S392">
        <v>260</v>
      </c>
      <c r="T392">
        <v>162</v>
      </c>
      <c r="U392">
        <v>38</v>
      </c>
      <c r="V392" t="s">
        <v>1773</v>
      </c>
      <c r="W392">
        <v>30433</v>
      </c>
      <c r="X392" t="s">
        <v>1263</v>
      </c>
      <c r="Y392">
        <v>27062</v>
      </c>
      <c r="Z392">
        <v>1156454</v>
      </c>
      <c r="AA392">
        <v>128098</v>
      </c>
      <c r="AB392" t="str">
        <f>(VLOOKUP(SalesData[[#This Row],[Month Number]],Reference!C$5:E$16,2,FALSE))</f>
        <v>Feb</v>
      </c>
      <c r="AC392">
        <f>MONTH(SalesData[[#This Row],[Date]])</f>
        <v>2</v>
      </c>
      <c r="AD392">
        <f>Reference!F$4</f>
        <v>2026</v>
      </c>
      <c r="AE392" t="str">
        <f>IF(OR(SalesData[[#This Row],[Day]]="Saturday",SalesData[[#This Row],[Day]]="Sunday"),"Weekend","Weekday")</f>
        <v>Weekend</v>
      </c>
      <c r="AF392" s="5">
        <f>IF(SalesData[[#This Row],[Contracts Offered]]=0,0,SalesData[[#This Row],[Contracts Signed]]/SalesData[[#This Row],[Contracts Offered]])</f>
        <v>0.23456790123456789</v>
      </c>
      <c r="AG392" s="5">
        <f>IF(SalesData[[#This Row],[Customers Visited]]=0,0,SalesData[[#This Row],[Test Drives]]/SalesData[[#This Row],[Customers Visited]])</f>
        <v>0.5752212389380531</v>
      </c>
      <c r="AH392" s="5">
        <f>IF(SalesData[[#This Row],[Customers Visited]]=0,0,SalesData[[#This Row],[Contracts Signed]]/SalesData[[#This Row],[Customers Visited]])</f>
        <v>8.4070796460176997E-2</v>
      </c>
      <c r="AI392" s="6">
        <f>IF(SalesData[[#This Row],[Contracts Signed]]=0,0,SalesData[[#This Row],[Profit(€)]]/SalesData[[#This Row],[Contracts Signed]])</f>
        <v>3371</v>
      </c>
      <c r="AJ392" s="5" t="str">
        <f>TRIM(CLEAN(SalesData[[#This Row],[Retailer]]))</f>
        <v>Main Auto Hub</v>
      </c>
    </row>
    <row r="393" spans="1:36" ht="14.25" hidden="1" x14ac:dyDescent="0.2">
      <c r="A393" t="s">
        <v>814</v>
      </c>
      <c r="B393" s="1">
        <v>46065</v>
      </c>
      <c r="C393" t="s">
        <v>121</v>
      </c>
      <c r="D393" t="s">
        <v>100</v>
      </c>
      <c r="E393" t="s">
        <v>26</v>
      </c>
      <c r="F393" t="s">
        <v>83</v>
      </c>
      <c r="G393" t="s">
        <v>84</v>
      </c>
      <c r="H393" t="s">
        <v>85</v>
      </c>
      <c r="I393" t="s">
        <v>104</v>
      </c>
      <c r="J393" t="s">
        <v>7061</v>
      </c>
      <c r="K393" t="s">
        <v>32</v>
      </c>
      <c r="L393" t="s">
        <v>46</v>
      </c>
      <c r="M393" t="s">
        <v>47</v>
      </c>
      <c r="N393" t="s">
        <v>35</v>
      </c>
      <c r="O393" t="s">
        <v>70</v>
      </c>
      <c r="P393" t="s">
        <v>37</v>
      </c>
      <c r="Q393" t="s">
        <v>50</v>
      </c>
      <c r="R393">
        <v>489</v>
      </c>
      <c r="S393">
        <v>270</v>
      </c>
      <c r="T393">
        <v>183</v>
      </c>
      <c r="U393">
        <v>42</v>
      </c>
      <c r="V393" t="s">
        <v>925</v>
      </c>
      <c r="W393">
        <v>26233</v>
      </c>
      <c r="X393" t="s">
        <v>3629</v>
      </c>
      <c r="Y393">
        <v>22771</v>
      </c>
      <c r="Z393">
        <v>1101786</v>
      </c>
      <c r="AA393">
        <v>145404</v>
      </c>
      <c r="AB393" t="str">
        <f>(VLOOKUP(SalesData[[#This Row],[Month Number]],Reference!C$5:E$16,2,FALSE))</f>
        <v>Feb</v>
      </c>
      <c r="AC393">
        <f>MONTH(SalesData[[#This Row],[Date]])</f>
        <v>2</v>
      </c>
      <c r="AD393">
        <f>Reference!F$4</f>
        <v>2026</v>
      </c>
      <c r="AE393" t="str">
        <f>IF(OR(SalesData[[#This Row],[Day]]="Saturday",SalesData[[#This Row],[Day]]="Sunday"),"Weekend","Weekday")</f>
        <v>Weekday</v>
      </c>
      <c r="AF393" s="5">
        <f>IF(SalesData[[#This Row],[Contracts Offered]]=0,0,SalesData[[#This Row],[Contracts Signed]]/SalesData[[#This Row],[Contracts Offered]])</f>
        <v>0.22950819672131148</v>
      </c>
      <c r="AG393" s="5">
        <f>IF(SalesData[[#This Row],[Customers Visited]]=0,0,SalesData[[#This Row],[Test Drives]]/SalesData[[#This Row],[Customers Visited]])</f>
        <v>0.55214723926380371</v>
      </c>
      <c r="AH393" s="5">
        <f>IF(SalesData[[#This Row],[Customers Visited]]=0,0,SalesData[[#This Row],[Contracts Signed]]/SalesData[[#This Row],[Customers Visited]])</f>
        <v>8.5889570552147243E-2</v>
      </c>
      <c r="AI393" s="6">
        <f>IF(SalesData[[#This Row],[Contracts Signed]]=0,0,SalesData[[#This Row],[Profit(€)]]/SalesData[[#This Row],[Contracts Signed]])</f>
        <v>3462</v>
      </c>
      <c r="AJ393" s="5" t="str">
        <f>TRIM(CLEAN(SalesData[[#This Row],[Retailer]]))</f>
        <v>Hannover Cars</v>
      </c>
    </row>
    <row r="394" spans="1:36" ht="14.25" hidden="1" x14ac:dyDescent="0.2">
      <c r="A394" t="s">
        <v>815</v>
      </c>
      <c r="B394" s="1">
        <v>46076</v>
      </c>
      <c r="C394" t="s">
        <v>53</v>
      </c>
      <c r="D394" t="s">
        <v>25</v>
      </c>
      <c r="E394" t="s">
        <v>26</v>
      </c>
      <c r="F394" t="s">
        <v>114</v>
      </c>
      <c r="G394" t="s">
        <v>115</v>
      </c>
      <c r="H394" t="s">
        <v>115</v>
      </c>
      <c r="I394" t="s">
        <v>116</v>
      </c>
      <c r="J394" t="s">
        <v>132</v>
      </c>
      <c r="K394" t="s">
        <v>78</v>
      </c>
      <c r="L394" t="s">
        <v>46</v>
      </c>
      <c r="M394" t="s">
        <v>47</v>
      </c>
      <c r="N394" t="s">
        <v>35</v>
      </c>
      <c r="O394" t="s">
        <v>36</v>
      </c>
      <c r="P394" t="s">
        <v>37</v>
      </c>
      <c r="Q394" t="s">
        <v>347</v>
      </c>
      <c r="R394">
        <v>342</v>
      </c>
      <c r="S394">
        <v>161</v>
      </c>
      <c r="T394">
        <v>95</v>
      </c>
      <c r="U394">
        <v>27</v>
      </c>
      <c r="V394" t="s">
        <v>3685</v>
      </c>
      <c r="W394">
        <v>20529</v>
      </c>
      <c r="X394" t="s">
        <v>3038</v>
      </c>
      <c r="Y394">
        <v>18929</v>
      </c>
      <c r="Z394">
        <v>554283</v>
      </c>
      <c r="AA394">
        <v>43200</v>
      </c>
      <c r="AB394" t="str">
        <f>(VLOOKUP(SalesData[[#This Row],[Month Number]],Reference!C$5:E$16,2,FALSE))</f>
        <v>Feb</v>
      </c>
      <c r="AC394">
        <f>MONTH(SalesData[[#This Row],[Date]])</f>
        <v>2</v>
      </c>
      <c r="AD394">
        <f>Reference!F$4</f>
        <v>2026</v>
      </c>
      <c r="AE394" t="str">
        <f>IF(OR(SalesData[[#This Row],[Day]]="Saturday",SalesData[[#This Row],[Day]]="Sunday"),"Weekend","Weekday")</f>
        <v>Weekday</v>
      </c>
      <c r="AF394" s="5">
        <f>IF(SalesData[[#This Row],[Contracts Offered]]=0,0,SalesData[[#This Row],[Contracts Signed]]/SalesData[[#This Row],[Contracts Offered]])</f>
        <v>0.28421052631578947</v>
      </c>
      <c r="AG394" s="5">
        <f>IF(SalesData[[#This Row],[Customers Visited]]=0,0,SalesData[[#This Row],[Test Drives]]/SalesData[[#This Row],[Customers Visited]])</f>
        <v>0.47076023391812866</v>
      </c>
      <c r="AH394" s="5">
        <f>IF(SalesData[[#This Row],[Customers Visited]]=0,0,SalesData[[#This Row],[Contracts Signed]]/SalesData[[#This Row],[Customers Visited]])</f>
        <v>7.8947368421052627E-2</v>
      </c>
      <c r="AI394" s="6">
        <f>IF(SalesData[[#This Row],[Contracts Signed]]=0,0,SalesData[[#This Row],[Profit(€)]]/SalesData[[#This Row],[Contracts Signed]])</f>
        <v>1600</v>
      </c>
      <c r="AJ394" s="5" t="str">
        <f>TRIM(CLEAN(SalesData[[#This Row],[Retailer]]))</f>
        <v>Elbe Drive</v>
      </c>
    </row>
    <row r="395" spans="1:36" ht="14.25" hidden="1" x14ac:dyDescent="0.2">
      <c r="A395" t="s">
        <v>817</v>
      </c>
      <c r="B395" s="1">
        <v>46081</v>
      </c>
      <c r="C395" t="s">
        <v>53</v>
      </c>
      <c r="D395" t="s">
        <v>151</v>
      </c>
      <c r="E395" t="s">
        <v>42</v>
      </c>
      <c r="F395" t="s">
        <v>94</v>
      </c>
      <c r="G395" t="s">
        <v>95</v>
      </c>
      <c r="H395" t="s">
        <v>96</v>
      </c>
      <c r="I395" t="s">
        <v>56</v>
      </c>
      <c r="J395" t="s">
        <v>179</v>
      </c>
      <c r="K395" t="s">
        <v>66</v>
      </c>
      <c r="L395" t="s">
        <v>67</v>
      </c>
      <c r="M395" t="s">
        <v>87</v>
      </c>
      <c r="N395" t="s">
        <v>69</v>
      </c>
      <c r="O395" t="s">
        <v>36</v>
      </c>
      <c r="P395" t="s">
        <v>58</v>
      </c>
      <c r="Q395" t="s">
        <v>38</v>
      </c>
      <c r="R395">
        <v>277</v>
      </c>
      <c r="S395">
        <v>138</v>
      </c>
      <c r="T395">
        <v>93</v>
      </c>
      <c r="U395">
        <v>36</v>
      </c>
      <c r="V395" t="s">
        <v>6360</v>
      </c>
      <c r="W395">
        <v>46115</v>
      </c>
      <c r="X395" t="s">
        <v>170</v>
      </c>
      <c r="Y395">
        <v>36166</v>
      </c>
      <c r="Z395">
        <v>1660140</v>
      </c>
      <c r="AA395">
        <v>358164</v>
      </c>
      <c r="AB395" t="str">
        <f>(VLOOKUP(SalesData[[#This Row],[Month Number]],Reference!C$5:E$16,2,FALSE))</f>
        <v>Feb</v>
      </c>
      <c r="AC395">
        <f>MONTH(SalesData[[#This Row],[Date]])</f>
        <v>2</v>
      </c>
      <c r="AD395">
        <f>Reference!F$4</f>
        <v>2026</v>
      </c>
      <c r="AE395" t="str">
        <f>IF(OR(SalesData[[#This Row],[Day]]="Saturday",SalesData[[#This Row],[Day]]="Sunday"),"Weekend","Weekday")</f>
        <v>Weekend</v>
      </c>
      <c r="AF395" s="5">
        <f>IF(SalesData[[#This Row],[Contracts Offered]]=0,0,SalesData[[#This Row],[Contracts Signed]]/SalesData[[#This Row],[Contracts Offered]])</f>
        <v>0.38709677419354838</v>
      </c>
      <c r="AG395" s="5">
        <f>IF(SalesData[[#This Row],[Customers Visited]]=0,0,SalesData[[#This Row],[Test Drives]]/SalesData[[#This Row],[Customers Visited]])</f>
        <v>0.49819494584837543</v>
      </c>
      <c r="AH395" s="5">
        <f>IF(SalesData[[#This Row],[Customers Visited]]=0,0,SalesData[[#This Row],[Contracts Signed]]/SalesData[[#This Row],[Customers Visited]])</f>
        <v>0.1299638989169675</v>
      </c>
      <c r="AI395" s="6">
        <f>IF(SalesData[[#This Row],[Contracts Signed]]=0,0,SalesData[[#This Row],[Profit(€)]]/SalesData[[#This Row],[Contracts Signed]])</f>
        <v>9949</v>
      </c>
      <c r="AJ395" s="5" t="str">
        <f>TRIM(CLEAN(SalesData[[#This Row],[Retailer]]))</f>
        <v>Bavaria Motors</v>
      </c>
    </row>
    <row r="396" spans="1:36" ht="14.25" hidden="1" x14ac:dyDescent="0.2">
      <c r="A396" t="s">
        <v>818</v>
      </c>
      <c r="B396" s="1">
        <v>46064</v>
      </c>
      <c r="C396" t="s">
        <v>121</v>
      </c>
      <c r="D396" t="s">
        <v>82</v>
      </c>
      <c r="E396" t="s">
        <v>26</v>
      </c>
      <c r="F396" t="s">
        <v>7649</v>
      </c>
      <c r="G396" t="s">
        <v>55</v>
      </c>
      <c r="H396" t="s">
        <v>55</v>
      </c>
      <c r="I396" t="s">
        <v>116</v>
      </c>
      <c r="J396" t="s">
        <v>203</v>
      </c>
      <c r="K396" t="s">
        <v>78</v>
      </c>
      <c r="L396" t="s">
        <v>67</v>
      </c>
      <c r="M396" t="s">
        <v>87</v>
      </c>
      <c r="N396" t="s">
        <v>69</v>
      </c>
      <c r="O396" t="s">
        <v>70</v>
      </c>
      <c r="P396" t="s">
        <v>58</v>
      </c>
      <c r="Q396" t="s">
        <v>189</v>
      </c>
      <c r="R396">
        <v>248</v>
      </c>
      <c r="S396">
        <v>129</v>
      </c>
      <c r="T396">
        <v>84</v>
      </c>
      <c r="U396">
        <v>25</v>
      </c>
      <c r="V396" t="s">
        <v>4828</v>
      </c>
      <c r="W396">
        <v>25402</v>
      </c>
      <c r="X396" t="s">
        <v>7204</v>
      </c>
      <c r="Y396">
        <v>23311</v>
      </c>
      <c r="Z396">
        <v>635050</v>
      </c>
      <c r="AA396">
        <v>52275</v>
      </c>
      <c r="AB396" t="str">
        <f>(VLOOKUP(SalesData[[#This Row],[Month Number]],Reference!C$5:E$16,2,FALSE))</f>
        <v>Feb</v>
      </c>
      <c r="AC396">
        <f>MONTH(SalesData[[#This Row],[Date]])</f>
        <v>2</v>
      </c>
      <c r="AD396">
        <f>Reference!F$4</f>
        <v>2026</v>
      </c>
      <c r="AE396" t="str">
        <f>IF(OR(SalesData[[#This Row],[Day]]="Saturday",SalesData[[#This Row],[Day]]="Sunday"),"Weekend","Weekday")</f>
        <v>Weekday</v>
      </c>
      <c r="AF396" s="5">
        <f>IF(SalesData[[#This Row],[Contracts Offered]]=0,0,SalesData[[#This Row],[Contracts Signed]]/SalesData[[#This Row],[Contracts Offered]])</f>
        <v>0.29761904761904762</v>
      </c>
      <c r="AG396" s="5">
        <f>IF(SalesData[[#This Row],[Customers Visited]]=0,0,SalesData[[#This Row],[Test Drives]]/SalesData[[#This Row],[Customers Visited]])</f>
        <v>0.52016129032258063</v>
      </c>
      <c r="AH396" s="5">
        <f>IF(SalesData[[#This Row],[Customers Visited]]=0,0,SalesData[[#This Row],[Contracts Signed]]/SalesData[[#This Row],[Customers Visited]])</f>
        <v>0.10080645161290322</v>
      </c>
      <c r="AI396" s="6">
        <f>IF(SalesData[[#This Row],[Contracts Signed]]=0,0,SalesData[[#This Row],[Profit(€)]]/SalesData[[#This Row],[Contracts Signed]])</f>
        <v>2091</v>
      </c>
      <c r="AJ396" s="5" t="str">
        <f>TRIM(CLEAN(SalesData[[#This Row],[Retailer]]))</f>
        <v>Autohaus Berlin</v>
      </c>
    </row>
    <row r="397" spans="1:36" ht="14.25" hidden="1" x14ac:dyDescent="0.2">
      <c r="A397" t="s">
        <v>820</v>
      </c>
      <c r="B397" s="1">
        <v>46069</v>
      </c>
      <c r="C397" t="s">
        <v>62</v>
      </c>
      <c r="D397" t="s">
        <v>25</v>
      </c>
      <c r="E397" t="s">
        <v>26</v>
      </c>
      <c r="F397" t="s">
        <v>83</v>
      </c>
      <c r="G397" t="s">
        <v>84</v>
      </c>
      <c r="H397" t="s">
        <v>85</v>
      </c>
      <c r="I397" t="s">
        <v>116</v>
      </c>
      <c r="J397" t="s">
        <v>132</v>
      </c>
      <c r="K397" t="s">
        <v>66</v>
      </c>
      <c r="L397" t="s">
        <v>46</v>
      </c>
      <c r="M397" t="s">
        <v>87</v>
      </c>
      <c r="N397" t="s">
        <v>48</v>
      </c>
      <c r="O397" t="s">
        <v>36</v>
      </c>
      <c r="P397" t="s">
        <v>37</v>
      </c>
      <c r="Q397" t="s">
        <v>172</v>
      </c>
      <c r="R397">
        <v>386</v>
      </c>
      <c r="S397">
        <v>192</v>
      </c>
      <c r="T397">
        <v>108</v>
      </c>
      <c r="U397">
        <v>25</v>
      </c>
      <c r="V397" t="s">
        <v>3733</v>
      </c>
      <c r="W397">
        <v>23716</v>
      </c>
      <c r="X397" t="s">
        <v>4934</v>
      </c>
      <c r="Y397">
        <v>22040</v>
      </c>
      <c r="Z397">
        <v>592900</v>
      </c>
      <c r="AA397">
        <v>41900</v>
      </c>
      <c r="AB397" t="str">
        <f>(VLOOKUP(SalesData[[#This Row],[Month Number]],Reference!C$5:E$16,2,FALSE))</f>
        <v>Feb</v>
      </c>
      <c r="AC397">
        <f>MONTH(SalesData[[#This Row],[Date]])</f>
        <v>2</v>
      </c>
      <c r="AD397">
        <f>Reference!F$4</f>
        <v>2026</v>
      </c>
      <c r="AE397" t="str">
        <f>IF(OR(SalesData[[#This Row],[Day]]="Saturday",SalesData[[#This Row],[Day]]="Sunday"),"Weekend","Weekday")</f>
        <v>Weekday</v>
      </c>
      <c r="AF397" s="5">
        <f>IF(SalesData[[#This Row],[Contracts Offered]]=0,0,SalesData[[#This Row],[Contracts Signed]]/SalesData[[#This Row],[Contracts Offered]])</f>
        <v>0.23148148148148148</v>
      </c>
      <c r="AG397" s="5">
        <f>IF(SalesData[[#This Row],[Customers Visited]]=0,0,SalesData[[#This Row],[Test Drives]]/SalesData[[#This Row],[Customers Visited]])</f>
        <v>0.49740932642487046</v>
      </c>
      <c r="AH397" s="5">
        <f>IF(SalesData[[#This Row],[Customers Visited]]=0,0,SalesData[[#This Row],[Contracts Signed]]/SalesData[[#This Row],[Customers Visited]])</f>
        <v>6.4766839378238336E-2</v>
      </c>
      <c r="AI397" s="6">
        <f>IF(SalesData[[#This Row],[Contracts Signed]]=0,0,SalesData[[#This Row],[Profit(€)]]/SalesData[[#This Row],[Contracts Signed]])</f>
        <v>1676</v>
      </c>
      <c r="AJ397" s="5" t="str">
        <f>TRIM(CLEAN(SalesData[[#This Row],[Retailer]]))</f>
        <v>Hannover Cars</v>
      </c>
    </row>
    <row r="398" spans="1:36" ht="14.25" hidden="1" x14ac:dyDescent="0.2">
      <c r="A398" t="s">
        <v>821</v>
      </c>
      <c r="B398" s="1">
        <v>46071</v>
      </c>
      <c r="C398" t="s">
        <v>62</v>
      </c>
      <c r="D398" t="s">
        <v>82</v>
      </c>
      <c r="E398" t="s">
        <v>26</v>
      </c>
      <c r="F398" t="s">
        <v>114</v>
      </c>
      <c r="G398" t="s">
        <v>115</v>
      </c>
      <c r="H398" t="s">
        <v>115</v>
      </c>
      <c r="I398" t="s">
        <v>104</v>
      </c>
      <c r="J398" t="s">
        <v>143</v>
      </c>
      <c r="K398" t="s">
        <v>78</v>
      </c>
      <c r="L398" t="s">
        <v>67</v>
      </c>
      <c r="M398" t="s">
        <v>87</v>
      </c>
      <c r="N398" t="s">
        <v>35</v>
      </c>
      <c r="O398" t="s">
        <v>70</v>
      </c>
      <c r="P398" t="s">
        <v>37</v>
      </c>
      <c r="Q398" t="s">
        <v>106</v>
      </c>
      <c r="R398">
        <v>461</v>
      </c>
      <c r="S398">
        <v>186</v>
      </c>
      <c r="T398">
        <v>129</v>
      </c>
      <c r="U398">
        <v>33</v>
      </c>
      <c r="V398" t="s">
        <v>1221</v>
      </c>
      <c r="W398">
        <v>29991</v>
      </c>
      <c r="X398" t="s">
        <v>3180</v>
      </c>
      <c r="Y398">
        <v>25806</v>
      </c>
      <c r="Z398">
        <v>989703</v>
      </c>
      <c r="AA398">
        <v>138105</v>
      </c>
      <c r="AB398" t="str">
        <f>(VLOOKUP(SalesData[[#This Row],[Month Number]],Reference!C$5:E$16,2,FALSE))</f>
        <v>Feb</v>
      </c>
      <c r="AC398">
        <f>MONTH(SalesData[[#This Row],[Date]])</f>
        <v>2</v>
      </c>
      <c r="AD398">
        <f>Reference!F$4</f>
        <v>2026</v>
      </c>
      <c r="AE398" t="str">
        <f>IF(OR(SalesData[[#This Row],[Day]]="Saturday",SalesData[[#This Row],[Day]]="Sunday"),"Weekend","Weekday")</f>
        <v>Weekday</v>
      </c>
      <c r="AF398" s="5">
        <f>IF(SalesData[[#This Row],[Contracts Offered]]=0,0,SalesData[[#This Row],[Contracts Signed]]/SalesData[[#This Row],[Contracts Offered]])</f>
        <v>0.2558139534883721</v>
      </c>
      <c r="AG398" s="5">
        <f>IF(SalesData[[#This Row],[Customers Visited]]=0,0,SalesData[[#This Row],[Test Drives]]/SalesData[[#This Row],[Customers Visited]])</f>
        <v>0.40347071583514099</v>
      </c>
      <c r="AH398" s="5">
        <f>IF(SalesData[[#This Row],[Customers Visited]]=0,0,SalesData[[#This Row],[Contracts Signed]]/SalesData[[#This Row],[Customers Visited]])</f>
        <v>7.1583514099783085E-2</v>
      </c>
      <c r="AI398" s="6">
        <f>IF(SalesData[[#This Row],[Contracts Signed]]=0,0,SalesData[[#This Row],[Profit(€)]]/SalesData[[#This Row],[Contracts Signed]])</f>
        <v>4185</v>
      </c>
      <c r="AJ398" s="5" t="str">
        <f>TRIM(CLEAN(SalesData[[#This Row],[Retailer]]))</f>
        <v>Elbe Drive</v>
      </c>
    </row>
    <row r="399" spans="1:36" ht="14.25" x14ac:dyDescent="0.2">
      <c r="A399" t="s">
        <v>823</v>
      </c>
      <c r="B399" s="1">
        <v>46060</v>
      </c>
      <c r="C399" t="s">
        <v>24</v>
      </c>
      <c r="D399" t="s">
        <v>151</v>
      </c>
      <c r="E399" t="s">
        <v>42</v>
      </c>
      <c r="F399" t="s">
        <v>43</v>
      </c>
      <c r="G399" t="s">
        <v>44</v>
      </c>
      <c r="H399" t="s">
        <v>45</v>
      </c>
      <c r="I399" t="s">
        <v>30</v>
      </c>
      <c r="J399" t="s">
        <v>7075</v>
      </c>
      <c r="K399" t="s">
        <v>91</v>
      </c>
      <c r="L399" t="s">
        <v>33</v>
      </c>
      <c r="M399" t="s">
        <v>68</v>
      </c>
      <c r="N399" t="s">
        <v>69</v>
      </c>
      <c r="O399" t="s">
        <v>36</v>
      </c>
      <c r="P399" t="s">
        <v>71</v>
      </c>
      <c r="Q399" t="s">
        <v>106</v>
      </c>
      <c r="R399">
        <v>263</v>
      </c>
      <c r="S399">
        <v>122</v>
      </c>
      <c r="T399">
        <v>96</v>
      </c>
      <c r="U399">
        <v>36</v>
      </c>
      <c r="V399" t="s">
        <v>7008</v>
      </c>
      <c r="W399">
        <v>67564</v>
      </c>
      <c r="X399" t="s">
        <v>196</v>
      </c>
      <c r="Y399">
        <v>51939</v>
      </c>
      <c r="Z399">
        <v>2432304</v>
      </c>
      <c r="AA399">
        <v>562500</v>
      </c>
      <c r="AB399" t="str">
        <f>(VLOOKUP(SalesData[[#This Row],[Month Number]],Reference!C$5:E$16,2,FALSE))</f>
        <v>Feb</v>
      </c>
      <c r="AC399">
        <f>MONTH(SalesData[[#This Row],[Date]])</f>
        <v>2</v>
      </c>
      <c r="AD399">
        <f>Reference!F$4</f>
        <v>2026</v>
      </c>
      <c r="AE399" t="str">
        <f>IF(OR(SalesData[[#This Row],[Day]]="Saturday",SalesData[[#This Row],[Day]]="Sunday"),"Weekend","Weekday")</f>
        <v>Weekend</v>
      </c>
      <c r="AF399" s="5">
        <f>IF(SalesData[[#This Row],[Contracts Offered]]=0,0,SalesData[[#This Row],[Contracts Signed]]/SalesData[[#This Row],[Contracts Offered]])</f>
        <v>0.375</v>
      </c>
      <c r="AG399" s="5">
        <f>IF(SalesData[[#This Row],[Customers Visited]]=0,0,SalesData[[#This Row],[Test Drives]]/SalesData[[#This Row],[Customers Visited]])</f>
        <v>0.46387832699619774</v>
      </c>
      <c r="AH399" s="5">
        <f>IF(SalesData[[#This Row],[Customers Visited]]=0,0,SalesData[[#This Row],[Contracts Signed]]/SalesData[[#This Row],[Customers Visited]])</f>
        <v>0.13688212927756654</v>
      </c>
      <c r="AI399" s="6">
        <f>IF(SalesData[[#This Row],[Contracts Signed]]=0,0,SalesData[[#This Row],[Profit(€)]]/SalesData[[#This Row],[Contracts Signed]])</f>
        <v>15625</v>
      </c>
      <c r="AJ399" s="5" t="str">
        <f>TRIM(CLEAN(SalesData[[#This Row],[Retailer]]))</f>
        <v>Saxon Wheels</v>
      </c>
    </row>
    <row r="400" spans="1:36" ht="14.25" x14ac:dyDescent="0.2">
      <c r="A400" t="s">
        <v>825</v>
      </c>
      <c r="B400" s="1">
        <v>46058</v>
      </c>
      <c r="C400" t="s">
        <v>24</v>
      </c>
      <c r="D400" t="s">
        <v>100</v>
      </c>
      <c r="E400" t="s">
        <v>26</v>
      </c>
      <c r="F400" t="s">
        <v>109</v>
      </c>
      <c r="G400" t="s">
        <v>110</v>
      </c>
      <c r="H400" t="s">
        <v>45</v>
      </c>
      <c r="I400" t="s">
        <v>30</v>
      </c>
      <c r="J400" t="s">
        <v>31</v>
      </c>
      <c r="K400" t="s">
        <v>91</v>
      </c>
      <c r="L400" t="s">
        <v>46</v>
      </c>
      <c r="M400" t="s">
        <v>47</v>
      </c>
      <c r="N400" t="s">
        <v>35</v>
      </c>
      <c r="O400" t="s">
        <v>70</v>
      </c>
      <c r="P400" t="s">
        <v>58</v>
      </c>
      <c r="Q400" t="s">
        <v>135</v>
      </c>
      <c r="R400">
        <v>188</v>
      </c>
      <c r="S400">
        <v>98</v>
      </c>
      <c r="T400">
        <v>76</v>
      </c>
      <c r="U400">
        <v>28</v>
      </c>
      <c r="V400" t="s">
        <v>6357</v>
      </c>
      <c r="W400">
        <v>68595</v>
      </c>
      <c r="X400" t="s">
        <v>7205</v>
      </c>
      <c r="Y400">
        <v>48391</v>
      </c>
      <c r="Z400">
        <v>1920660</v>
      </c>
      <c r="AA400">
        <v>565712</v>
      </c>
      <c r="AB400" t="str">
        <f>(VLOOKUP(SalesData[[#This Row],[Month Number]],Reference!C$5:E$16,2,FALSE))</f>
        <v>Feb</v>
      </c>
      <c r="AC400">
        <f>MONTH(SalesData[[#This Row],[Date]])</f>
        <v>2</v>
      </c>
      <c r="AD400">
        <f>Reference!F$4</f>
        <v>2026</v>
      </c>
      <c r="AE400" t="str">
        <f>IF(OR(SalesData[[#This Row],[Day]]="Saturday",SalesData[[#This Row],[Day]]="Sunday"),"Weekend","Weekday")</f>
        <v>Weekday</v>
      </c>
      <c r="AF400" s="5">
        <f>IF(SalesData[[#This Row],[Contracts Offered]]=0,0,SalesData[[#This Row],[Contracts Signed]]/SalesData[[#This Row],[Contracts Offered]])</f>
        <v>0.36842105263157893</v>
      </c>
      <c r="AG400" s="5">
        <f>IF(SalesData[[#This Row],[Customers Visited]]=0,0,SalesData[[#This Row],[Test Drives]]/SalesData[[#This Row],[Customers Visited]])</f>
        <v>0.52127659574468088</v>
      </c>
      <c r="AH400" s="5">
        <f>IF(SalesData[[#This Row],[Customers Visited]]=0,0,SalesData[[#This Row],[Contracts Signed]]/SalesData[[#This Row],[Customers Visited]])</f>
        <v>0.14893617021276595</v>
      </c>
      <c r="AI400" s="6">
        <f>IF(SalesData[[#This Row],[Contracts Signed]]=0,0,SalesData[[#This Row],[Profit(€)]]/SalesData[[#This Row],[Contracts Signed]])</f>
        <v>20204</v>
      </c>
      <c r="AJ400" s="5" t="str">
        <f>TRIM(CLEAN(SalesData[[#This Row],[Retailer]]))</f>
        <v>Leipzig Mobility</v>
      </c>
    </row>
    <row r="401" spans="1:36" ht="14.25" hidden="1" x14ac:dyDescent="0.2">
      <c r="A401" t="s">
        <v>827</v>
      </c>
      <c r="B401" s="1">
        <v>46079</v>
      </c>
      <c r="C401" t="s">
        <v>53</v>
      </c>
      <c r="D401" t="s">
        <v>100</v>
      </c>
      <c r="E401" t="s">
        <v>26</v>
      </c>
      <c r="F401" t="s">
        <v>101</v>
      </c>
      <c r="G401" t="s">
        <v>102</v>
      </c>
      <c r="H401" t="s">
        <v>103</v>
      </c>
      <c r="I401" t="s">
        <v>104</v>
      </c>
      <c r="J401" t="s">
        <v>143</v>
      </c>
      <c r="K401" t="s">
        <v>78</v>
      </c>
      <c r="L401" t="s">
        <v>67</v>
      </c>
      <c r="M401" t="s">
        <v>68</v>
      </c>
      <c r="N401" t="s">
        <v>35</v>
      </c>
      <c r="O401" t="s">
        <v>70</v>
      </c>
      <c r="P401" t="s">
        <v>58</v>
      </c>
      <c r="Q401" t="s">
        <v>144</v>
      </c>
      <c r="R401">
        <v>265</v>
      </c>
      <c r="S401">
        <v>152</v>
      </c>
      <c r="T401">
        <v>105</v>
      </c>
      <c r="U401">
        <v>29</v>
      </c>
      <c r="V401" t="s">
        <v>4318</v>
      </c>
      <c r="W401">
        <v>33117</v>
      </c>
      <c r="X401" t="s">
        <v>7200</v>
      </c>
      <c r="Y401">
        <v>29307</v>
      </c>
      <c r="Z401">
        <v>960393</v>
      </c>
      <c r="AA401">
        <v>110490</v>
      </c>
      <c r="AB401" t="str">
        <f>(VLOOKUP(SalesData[[#This Row],[Month Number]],Reference!C$5:E$16,2,FALSE))</f>
        <v>Feb</v>
      </c>
      <c r="AC401">
        <f>MONTH(SalesData[[#This Row],[Date]])</f>
        <v>2</v>
      </c>
      <c r="AD401">
        <f>Reference!F$4</f>
        <v>2026</v>
      </c>
      <c r="AE401" t="str">
        <f>IF(OR(SalesData[[#This Row],[Day]]="Saturday",SalesData[[#This Row],[Day]]="Sunday"),"Weekend","Weekday")</f>
        <v>Weekday</v>
      </c>
      <c r="AF401" s="5">
        <f>IF(SalesData[[#This Row],[Contracts Offered]]=0,0,SalesData[[#This Row],[Contracts Signed]]/SalesData[[#This Row],[Contracts Offered]])</f>
        <v>0.27619047619047621</v>
      </c>
      <c r="AG401" s="5">
        <f>IF(SalesData[[#This Row],[Customers Visited]]=0,0,SalesData[[#This Row],[Test Drives]]/SalesData[[#This Row],[Customers Visited]])</f>
        <v>0.57358490566037734</v>
      </c>
      <c r="AH401" s="5">
        <f>IF(SalesData[[#This Row],[Customers Visited]]=0,0,SalesData[[#This Row],[Contracts Signed]]/SalesData[[#This Row],[Customers Visited]])</f>
        <v>0.10943396226415095</v>
      </c>
      <c r="AI401" s="6">
        <f>IF(SalesData[[#This Row],[Contracts Signed]]=0,0,SalesData[[#This Row],[Profit(€)]]/SalesData[[#This Row],[Contracts Signed]])</f>
        <v>3810</v>
      </c>
      <c r="AJ401" s="5" t="str">
        <f>TRIM(CLEAN(SalesData[[#This Row],[Retailer]]))</f>
        <v>Ruhr Auto Plaza</v>
      </c>
    </row>
    <row r="402" spans="1:36" ht="14.25" hidden="1" x14ac:dyDescent="0.2">
      <c r="A402" t="s">
        <v>829</v>
      </c>
      <c r="B402" s="1">
        <v>46075</v>
      </c>
      <c r="C402" t="s">
        <v>53</v>
      </c>
      <c r="D402" t="s">
        <v>41</v>
      </c>
      <c r="E402" t="s">
        <v>42</v>
      </c>
      <c r="F402" t="s">
        <v>7649</v>
      </c>
      <c r="G402" t="s">
        <v>55</v>
      </c>
      <c r="H402" t="s">
        <v>55</v>
      </c>
      <c r="I402" t="s">
        <v>64</v>
      </c>
      <c r="J402" t="s">
        <v>65</v>
      </c>
      <c r="K402" t="s">
        <v>78</v>
      </c>
      <c r="L402" t="s">
        <v>33</v>
      </c>
      <c r="M402" t="s">
        <v>87</v>
      </c>
      <c r="N402" t="s">
        <v>48</v>
      </c>
      <c r="O402" t="s">
        <v>36</v>
      </c>
      <c r="P402" t="s">
        <v>71</v>
      </c>
      <c r="Q402" t="s">
        <v>167</v>
      </c>
      <c r="R402">
        <v>208</v>
      </c>
      <c r="S402">
        <v>100</v>
      </c>
      <c r="T402">
        <v>69</v>
      </c>
      <c r="U402">
        <v>28</v>
      </c>
      <c r="V402" t="s">
        <v>6544</v>
      </c>
      <c r="W402">
        <v>51800</v>
      </c>
      <c r="X402" t="s">
        <v>2155</v>
      </c>
      <c r="Y402">
        <v>38425</v>
      </c>
      <c r="Z402">
        <v>1450400</v>
      </c>
      <c r="AA402">
        <v>374500</v>
      </c>
      <c r="AB402" t="str">
        <f>(VLOOKUP(SalesData[[#This Row],[Month Number]],Reference!C$5:E$16,2,FALSE))</f>
        <v>Feb</v>
      </c>
      <c r="AC402">
        <f>MONTH(SalesData[[#This Row],[Date]])</f>
        <v>2</v>
      </c>
      <c r="AD402">
        <f>Reference!F$4</f>
        <v>2026</v>
      </c>
      <c r="AE402" t="str">
        <f>IF(OR(SalesData[[#This Row],[Day]]="Saturday",SalesData[[#This Row],[Day]]="Sunday"),"Weekend","Weekday")</f>
        <v>Weekend</v>
      </c>
      <c r="AF402" s="5">
        <f>IF(SalesData[[#This Row],[Contracts Offered]]=0,0,SalesData[[#This Row],[Contracts Signed]]/SalesData[[#This Row],[Contracts Offered]])</f>
        <v>0.40579710144927539</v>
      </c>
      <c r="AG402" s="5">
        <f>IF(SalesData[[#This Row],[Customers Visited]]=0,0,SalesData[[#This Row],[Test Drives]]/SalesData[[#This Row],[Customers Visited]])</f>
        <v>0.48076923076923078</v>
      </c>
      <c r="AH402" s="5">
        <f>IF(SalesData[[#This Row],[Customers Visited]]=0,0,SalesData[[#This Row],[Contracts Signed]]/SalesData[[#This Row],[Customers Visited]])</f>
        <v>0.13461538461538461</v>
      </c>
      <c r="AI402" s="6">
        <f>IF(SalesData[[#This Row],[Contracts Signed]]=0,0,SalesData[[#This Row],[Profit(€)]]/SalesData[[#This Row],[Contracts Signed]])</f>
        <v>13375</v>
      </c>
      <c r="AJ402" s="5" t="str">
        <f>TRIM(CLEAN(SalesData[[#This Row],[Retailer]]))</f>
        <v>Autohaus Berlin</v>
      </c>
    </row>
    <row r="403" spans="1:36" ht="14.25" hidden="1" x14ac:dyDescent="0.2">
      <c r="A403" t="s">
        <v>831</v>
      </c>
      <c r="B403" s="1">
        <v>46054</v>
      </c>
      <c r="C403" t="s">
        <v>24</v>
      </c>
      <c r="D403" t="s">
        <v>41</v>
      </c>
      <c r="E403" t="s">
        <v>42</v>
      </c>
      <c r="F403" t="s">
        <v>74</v>
      </c>
      <c r="G403" t="s">
        <v>75</v>
      </c>
      <c r="H403" t="s">
        <v>76</v>
      </c>
      <c r="I403" t="s">
        <v>116</v>
      </c>
      <c r="J403" t="s">
        <v>7026</v>
      </c>
      <c r="K403" t="s">
        <v>32</v>
      </c>
      <c r="L403" t="s">
        <v>46</v>
      </c>
      <c r="M403" t="s">
        <v>68</v>
      </c>
      <c r="N403" t="s">
        <v>48</v>
      </c>
      <c r="O403" t="s">
        <v>36</v>
      </c>
      <c r="P403" t="s">
        <v>71</v>
      </c>
      <c r="Q403" t="s">
        <v>172</v>
      </c>
      <c r="R403">
        <v>411</v>
      </c>
      <c r="S403">
        <v>158</v>
      </c>
      <c r="T403">
        <v>105</v>
      </c>
      <c r="U403">
        <v>26</v>
      </c>
      <c r="V403" t="s">
        <v>618</v>
      </c>
      <c r="W403">
        <v>21212</v>
      </c>
      <c r="X403" t="s">
        <v>390</v>
      </c>
      <c r="Y403">
        <v>19671</v>
      </c>
      <c r="Z403">
        <v>551512</v>
      </c>
      <c r="AA403">
        <v>40066</v>
      </c>
      <c r="AB403" t="str">
        <f>(VLOOKUP(SalesData[[#This Row],[Month Number]],Reference!C$5:E$16,2,FALSE))</f>
        <v>Feb</v>
      </c>
      <c r="AC403">
        <f>MONTH(SalesData[[#This Row],[Date]])</f>
        <v>2</v>
      </c>
      <c r="AD403">
        <f>Reference!F$4</f>
        <v>2026</v>
      </c>
      <c r="AE403" t="str">
        <f>IF(OR(SalesData[[#This Row],[Day]]="Saturday",SalesData[[#This Row],[Day]]="Sunday"),"Weekend","Weekday")</f>
        <v>Weekend</v>
      </c>
      <c r="AF403" s="5">
        <f>IF(SalesData[[#This Row],[Contracts Offered]]=0,0,SalesData[[#This Row],[Contracts Signed]]/SalesData[[#This Row],[Contracts Offered]])</f>
        <v>0.24761904761904763</v>
      </c>
      <c r="AG403" s="5">
        <f>IF(SalesData[[#This Row],[Customers Visited]]=0,0,SalesData[[#This Row],[Test Drives]]/SalesData[[#This Row],[Customers Visited]])</f>
        <v>0.38442822384428221</v>
      </c>
      <c r="AH403" s="5">
        <f>IF(SalesData[[#This Row],[Customers Visited]]=0,0,SalesData[[#This Row],[Contracts Signed]]/SalesData[[#This Row],[Customers Visited]])</f>
        <v>6.3260340632603412E-2</v>
      </c>
      <c r="AI403" s="6">
        <f>IF(SalesData[[#This Row],[Contracts Signed]]=0,0,SalesData[[#This Row],[Profit(€)]]/SalesData[[#This Row],[Contracts Signed]])</f>
        <v>1541</v>
      </c>
      <c r="AJ403" s="5" t="str">
        <f>TRIM(CLEAN(SalesData[[#This Row],[Retailer]]))</f>
        <v>Stuttgart Auto Center</v>
      </c>
    </row>
    <row r="404" spans="1:36" ht="14.25" hidden="1" x14ac:dyDescent="0.2">
      <c r="A404" t="s">
        <v>832</v>
      </c>
      <c r="B404" s="1">
        <v>46070</v>
      </c>
      <c r="C404" t="s">
        <v>62</v>
      </c>
      <c r="D404" t="s">
        <v>63</v>
      </c>
      <c r="E404" t="s">
        <v>26</v>
      </c>
      <c r="F404" t="s">
        <v>27</v>
      </c>
      <c r="G404" t="s">
        <v>28</v>
      </c>
      <c r="H404" t="s">
        <v>29</v>
      </c>
      <c r="I404" t="s">
        <v>104</v>
      </c>
      <c r="J404" t="s">
        <v>143</v>
      </c>
      <c r="K404" t="s">
        <v>78</v>
      </c>
      <c r="L404" t="s">
        <v>67</v>
      </c>
      <c r="M404" t="s">
        <v>87</v>
      </c>
      <c r="N404" t="s">
        <v>48</v>
      </c>
      <c r="O404" t="s">
        <v>70</v>
      </c>
      <c r="P404" t="s">
        <v>71</v>
      </c>
      <c r="Q404" t="s">
        <v>167</v>
      </c>
      <c r="R404">
        <v>372</v>
      </c>
      <c r="S404">
        <v>160</v>
      </c>
      <c r="T404">
        <v>113</v>
      </c>
      <c r="U404">
        <v>29</v>
      </c>
      <c r="V404" t="s">
        <v>785</v>
      </c>
      <c r="W404">
        <v>25379</v>
      </c>
      <c r="X404" t="s">
        <v>4233</v>
      </c>
      <c r="Y404">
        <v>21879</v>
      </c>
      <c r="Z404">
        <v>735991</v>
      </c>
      <c r="AA404">
        <v>101500</v>
      </c>
      <c r="AB404" t="str">
        <f>(VLOOKUP(SalesData[[#This Row],[Month Number]],Reference!C$5:E$16,2,FALSE))</f>
        <v>Feb</v>
      </c>
      <c r="AC404">
        <f>MONTH(SalesData[[#This Row],[Date]])</f>
        <v>2</v>
      </c>
      <c r="AD404">
        <f>Reference!F$4</f>
        <v>2026</v>
      </c>
      <c r="AE404" t="str">
        <f>IF(OR(SalesData[[#This Row],[Day]]="Saturday",SalesData[[#This Row],[Day]]="Sunday"),"Weekend","Weekday")</f>
        <v>Weekday</v>
      </c>
      <c r="AF404" s="5">
        <f>IF(SalesData[[#This Row],[Contracts Offered]]=0,0,SalesData[[#This Row],[Contracts Signed]]/SalesData[[#This Row],[Contracts Offered]])</f>
        <v>0.25663716814159293</v>
      </c>
      <c r="AG404" s="5">
        <f>IF(SalesData[[#This Row],[Customers Visited]]=0,0,SalesData[[#This Row],[Test Drives]]/SalesData[[#This Row],[Customers Visited]])</f>
        <v>0.43010752688172044</v>
      </c>
      <c r="AH404" s="5">
        <f>IF(SalesData[[#This Row],[Customers Visited]]=0,0,SalesData[[#This Row],[Contracts Signed]]/SalesData[[#This Row],[Customers Visited]])</f>
        <v>7.7956989247311828E-2</v>
      </c>
      <c r="AI404" s="6">
        <f>IF(SalesData[[#This Row],[Contracts Signed]]=0,0,SalesData[[#This Row],[Profit(€)]]/SalesData[[#This Row],[Contracts Signed]])</f>
        <v>3500</v>
      </c>
      <c r="AJ404" s="5" t="str">
        <f>TRIM(CLEAN(SalesData[[#This Row],[Retailer]]))</f>
        <v>Main Auto Hub</v>
      </c>
    </row>
    <row r="405" spans="1:36" ht="14.25" x14ac:dyDescent="0.2">
      <c r="A405" t="s">
        <v>834</v>
      </c>
      <c r="B405" s="1">
        <v>46061</v>
      </c>
      <c r="C405" t="s">
        <v>121</v>
      </c>
      <c r="D405" t="s">
        <v>41</v>
      </c>
      <c r="E405" t="s">
        <v>42</v>
      </c>
      <c r="F405" t="s">
        <v>7649</v>
      </c>
      <c r="G405" t="s">
        <v>55</v>
      </c>
      <c r="H405" t="s">
        <v>55</v>
      </c>
      <c r="I405" t="s">
        <v>30</v>
      </c>
      <c r="J405" t="s">
        <v>31</v>
      </c>
      <c r="K405" t="s">
        <v>78</v>
      </c>
      <c r="L405" t="s">
        <v>46</v>
      </c>
      <c r="M405" t="s">
        <v>47</v>
      </c>
      <c r="N405" t="s">
        <v>35</v>
      </c>
      <c r="O405" t="s">
        <v>36</v>
      </c>
      <c r="P405" t="s">
        <v>58</v>
      </c>
      <c r="Q405" t="s">
        <v>88</v>
      </c>
      <c r="R405">
        <v>225</v>
      </c>
      <c r="S405">
        <v>132</v>
      </c>
      <c r="T405">
        <v>107</v>
      </c>
      <c r="U405">
        <v>44</v>
      </c>
      <c r="V405" t="s">
        <v>7206</v>
      </c>
      <c r="W405">
        <v>53554</v>
      </c>
      <c r="X405" t="s">
        <v>7207</v>
      </c>
      <c r="Y405">
        <v>37961</v>
      </c>
      <c r="Z405">
        <v>2356376</v>
      </c>
      <c r="AA405">
        <v>686092</v>
      </c>
      <c r="AB405" t="str">
        <f>(VLOOKUP(SalesData[[#This Row],[Month Number]],Reference!C$5:E$16,2,FALSE))</f>
        <v>Feb</v>
      </c>
      <c r="AC405">
        <f>MONTH(SalesData[[#This Row],[Date]])</f>
        <v>2</v>
      </c>
      <c r="AD405">
        <f>Reference!F$4</f>
        <v>2026</v>
      </c>
      <c r="AE405" t="str">
        <f>IF(OR(SalesData[[#This Row],[Day]]="Saturday",SalesData[[#This Row],[Day]]="Sunday"),"Weekend","Weekday")</f>
        <v>Weekend</v>
      </c>
      <c r="AF405" s="5">
        <f>IF(SalesData[[#This Row],[Contracts Offered]]=0,0,SalesData[[#This Row],[Contracts Signed]]/SalesData[[#This Row],[Contracts Offered]])</f>
        <v>0.41121495327102803</v>
      </c>
      <c r="AG405" s="5">
        <f>IF(SalesData[[#This Row],[Customers Visited]]=0,0,SalesData[[#This Row],[Test Drives]]/SalesData[[#This Row],[Customers Visited]])</f>
        <v>0.58666666666666667</v>
      </c>
      <c r="AH405" s="5">
        <f>IF(SalesData[[#This Row],[Customers Visited]]=0,0,SalesData[[#This Row],[Contracts Signed]]/SalesData[[#This Row],[Customers Visited]])</f>
        <v>0.19555555555555557</v>
      </c>
      <c r="AI405" s="6">
        <f>IF(SalesData[[#This Row],[Contracts Signed]]=0,0,SalesData[[#This Row],[Profit(€)]]/SalesData[[#This Row],[Contracts Signed]])</f>
        <v>15593</v>
      </c>
      <c r="AJ405" s="5" t="str">
        <f>TRIM(CLEAN(SalesData[[#This Row],[Retailer]]))</f>
        <v>Autohaus Berlin</v>
      </c>
    </row>
    <row r="406" spans="1:36" ht="14.25" hidden="1" x14ac:dyDescent="0.2">
      <c r="A406" t="s">
        <v>835</v>
      </c>
      <c r="B406" s="1">
        <v>46075</v>
      </c>
      <c r="C406" t="s">
        <v>53</v>
      </c>
      <c r="D406" t="s">
        <v>41</v>
      </c>
      <c r="E406" t="s">
        <v>42</v>
      </c>
      <c r="F406" t="s">
        <v>101</v>
      </c>
      <c r="G406" t="s">
        <v>102</v>
      </c>
      <c r="H406" t="s">
        <v>103</v>
      </c>
      <c r="I406" t="s">
        <v>56</v>
      </c>
      <c r="J406" t="s">
        <v>137</v>
      </c>
      <c r="K406" t="s">
        <v>66</v>
      </c>
      <c r="L406" t="s">
        <v>46</v>
      </c>
      <c r="M406" t="s">
        <v>34</v>
      </c>
      <c r="N406" t="s">
        <v>35</v>
      </c>
      <c r="O406" t="s">
        <v>36</v>
      </c>
      <c r="P406" t="s">
        <v>58</v>
      </c>
      <c r="Q406" t="s">
        <v>167</v>
      </c>
      <c r="R406">
        <v>182</v>
      </c>
      <c r="S406">
        <v>111</v>
      </c>
      <c r="T406">
        <v>86</v>
      </c>
      <c r="U406">
        <v>25</v>
      </c>
      <c r="V406" t="s">
        <v>6729</v>
      </c>
      <c r="W406">
        <v>48641</v>
      </c>
      <c r="X406" t="s">
        <v>1830</v>
      </c>
      <c r="Y406">
        <v>36803</v>
      </c>
      <c r="Z406">
        <v>1216025</v>
      </c>
      <c r="AA406">
        <v>295950</v>
      </c>
      <c r="AB406" t="str">
        <f>(VLOOKUP(SalesData[[#This Row],[Month Number]],Reference!C$5:E$16,2,FALSE))</f>
        <v>Feb</v>
      </c>
      <c r="AC406">
        <f>MONTH(SalesData[[#This Row],[Date]])</f>
        <v>2</v>
      </c>
      <c r="AD406">
        <f>Reference!F$4</f>
        <v>2026</v>
      </c>
      <c r="AE406" t="str">
        <f>IF(OR(SalesData[[#This Row],[Day]]="Saturday",SalesData[[#This Row],[Day]]="Sunday"),"Weekend","Weekday")</f>
        <v>Weekend</v>
      </c>
      <c r="AF406" s="5">
        <f>IF(SalesData[[#This Row],[Contracts Offered]]=0,0,SalesData[[#This Row],[Contracts Signed]]/SalesData[[#This Row],[Contracts Offered]])</f>
        <v>0.29069767441860467</v>
      </c>
      <c r="AG406" s="5">
        <f>IF(SalesData[[#This Row],[Customers Visited]]=0,0,SalesData[[#This Row],[Test Drives]]/SalesData[[#This Row],[Customers Visited]])</f>
        <v>0.60989010989010994</v>
      </c>
      <c r="AH406" s="5">
        <f>IF(SalesData[[#This Row],[Customers Visited]]=0,0,SalesData[[#This Row],[Contracts Signed]]/SalesData[[#This Row],[Customers Visited]])</f>
        <v>0.13736263736263737</v>
      </c>
      <c r="AI406" s="6">
        <f>IF(SalesData[[#This Row],[Contracts Signed]]=0,0,SalesData[[#This Row],[Profit(€)]]/SalesData[[#This Row],[Contracts Signed]])</f>
        <v>11838</v>
      </c>
      <c r="AJ406" s="5" t="str">
        <f>TRIM(CLEAN(SalesData[[#This Row],[Retailer]]))</f>
        <v>Ruhr Auto Plaza</v>
      </c>
    </row>
    <row r="407" spans="1:36" ht="14.25" hidden="1" x14ac:dyDescent="0.2">
      <c r="A407" t="s">
        <v>836</v>
      </c>
      <c r="B407" s="1">
        <v>46069</v>
      </c>
      <c r="C407" t="s">
        <v>62</v>
      </c>
      <c r="D407" t="s">
        <v>25</v>
      </c>
      <c r="E407" t="s">
        <v>26</v>
      </c>
      <c r="F407" t="s">
        <v>101</v>
      </c>
      <c r="G407" t="s">
        <v>102</v>
      </c>
      <c r="H407" t="s">
        <v>103</v>
      </c>
      <c r="I407" t="s">
        <v>116</v>
      </c>
      <c r="J407" t="s">
        <v>7090</v>
      </c>
      <c r="K407" t="s">
        <v>91</v>
      </c>
      <c r="L407" t="s">
        <v>46</v>
      </c>
      <c r="M407" t="s">
        <v>68</v>
      </c>
      <c r="N407" t="s">
        <v>69</v>
      </c>
      <c r="O407" t="s">
        <v>70</v>
      </c>
      <c r="P407" t="s">
        <v>49</v>
      </c>
      <c r="Q407" t="s">
        <v>118</v>
      </c>
      <c r="R407">
        <v>229</v>
      </c>
      <c r="S407">
        <v>123</v>
      </c>
      <c r="T407">
        <v>77</v>
      </c>
      <c r="U407">
        <v>15</v>
      </c>
      <c r="V407" t="s">
        <v>1124</v>
      </c>
      <c r="W407">
        <v>21198</v>
      </c>
      <c r="X407" t="s">
        <v>1381</v>
      </c>
      <c r="Y407">
        <v>18941</v>
      </c>
      <c r="Z407">
        <v>317970</v>
      </c>
      <c r="AA407">
        <v>33855</v>
      </c>
      <c r="AB407" t="str">
        <f>(VLOOKUP(SalesData[[#This Row],[Month Number]],Reference!C$5:E$16,2,FALSE))</f>
        <v>Feb</v>
      </c>
      <c r="AC407">
        <f>MONTH(SalesData[[#This Row],[Date]])</f>
        <v>2</v>
      </c>
      <c r="AD407">
        <f>Reference!F$4</f>
        <v>2026</v>
      </c>
      <c r="AE407" t="str">
        <f>IF(OR(SalesData[[#This Row],[Day]]="Saturday",SalesData[[#This Row],[Day]]="Sunday"),"Weekend","Weekday")</f>
        <v>Weekday</v>
      </c>
      <c r="AF407" s="5">
        <f>IF(SalesData[[#This Row],[Contracts Offered]]=0,0,SalesData[[#This Row],[Contracts Signed]]/SalesData[[#This Row],[Contracts Offered]])</f>
        <v>0.19480519480519481</v>
      </c>
      <c r="AG407" s="5">
        <f>IF(SalesData[[#This Row],[Customers Visited]]=0,0,SalesData[[#This Row],[Test Drives]]/SalesData[[#This Row],[Customers Visited]])</f>
        <v>0.53711790393013104</v>
      </c>
      <c r="AH407" s="5">
        <f>IF(SalesData[[#This Row],[Customers Visited]]=0,0,SalesData[[#This Row],[Contracts Signed]]/SalesData[[#This Row],[Customers Visited]])</f>
        <v>6.5502183406113537E-2</v>
      </c>
      <c r="AI407" s="6">
        <f>IF(SalesData[[#This Row],[Contracts Signed]]=0,0,SalesData[[#This Row],[Profit(€)]]/SalesData[[#This Row],[Contracts Signed]])</f>
        <v>2257</v>
      </c>
      <c r="AJ407" s="5" t="str">
        <f>TRIM(CLEAN(SalesData[[#This Row],[Retailer]]))</f>
        <v>Ruhr Auto Plaza</v>
      </c>
    </row>
    <row r="408" spans="1:36" ht="14.25" hidden="1" x14ac:dyDescent="0.2">
      <c r="A408" t="s">
        <v>837</v>
      </c>
      <c r="B408" s="1">
        <v>46079</v>
      </c>
      <c r="C408" t="s">
        <v>53</v>
      </c>
      <c r="D408" t="s">
        <v>100</v>
      </c>
      <c r="E408" t="s">
        <v>26</v>
      </c>
      <c r="F408" t="s">
        <v>101</v>
      </c>
      <c r="G408" t="s">
        <v>102</v>
      </c>
      <c r="H408" t="s">
        <v>103</v>
      </c>
      <c r="I408" t="s">
        <v>56</v>
      </c>
      <c r="J408" t="s">
        <v>7028</v>
      </c>
      <c r="K408" t="s">
        <v>78</v>
      </c>
      <c r="L408" t="s">
        <v>46</v>
      </c>
      <c r="M408" t="s">
        <v>87</v>
      </c>
      <c r="N408" t="s">
        <v>69</v>
      </c>
      <c r="O408" t="s">
        <v>36</v>
      </c>
      <c r="P408" t="s">
        <v>71</v>
      </c>
      <c r="Q408" t="s">
        <v>169</v>
      </c>
      <c r="R408">
        <v>202</v>
      </c>
      <c r="S408">
        <v>98</v>
      </c>
      <c r="T408">
        <v>65</v>
      </c>
      <c r="U408">
        <v>21</v>
      </c>
      <c r="V408" t="s">
        <v>6452</v>
      </c>
      <c r="W408">
        <v>50465</v>
      </c>
      <c r="X408" t="s">
        <v>1892</v>
      </c>
      <c r="Y408">
        <v>40334</v>
      </c>
      <c r="Z408">
        <v>1059765</v>
      </c>
      <c r="AA408">
        <v>212751</v>
      </c>
      <c r="AB408" t="str">
        <f>(VLOOKUP(SalesData[[#This Row],[Month Number]],Reference!C$5:E$16,2,FALSE))</f>
        <v>Feb</v>
      </c>
      <c r="AC408">
        <f>MONTH(SalesData[[#This Row],[Date]])</f>
        <v>2</v>
      </c>
      <c r="AD408">
        <f>Reference!F$4</f>
        <v>2026</v>
      </c>
      <c r="AE408" t="str">
        <f>IF(OR(SalesData[[#This Row],[Day]]="Saturday",SalesData[[#This Row],[Day]]="Sunday"),"Weekend","Weekday")</f>
        <v>Weekday</v>
      </c>
      <c r="AF408" s="5">
        <f>IF(SalesData[[#This Row],[Contracts Offered]]=0,0,SalesData[[#This Row],[Contracts Signed]]/SalesData[[#This Row],[Contracts Offered]])</f>
        <v>0.32307692307692309</v>
      </c>
      <c r="AG408" s="5">
        <f>IF(SalesData[[#This Row],[Customers Visited]]=0,0,SalesData[[#This Row],[Test Drives]]/SalesData[[#This Row],[Customers Visited]])</f>
        <v>0.48514851485148514</v>
      </c>
      <c r="AH408" s="5">
        <f>IF(SalesData[[#This Row],[Customers Visited]]=0,0,SalesData[[#This Row],[Contracts Signed]]/SalesData[[#This Row],[Customers Visited]])</f>
        <v>0.10396039603960396</v>
      </c>
      <c r="AI408" s="6">
        <f>IF(SalesData[[#This Row],[Contracts Signed]]=0,0,SalesData[[#This Row],[Profit(€)]]/SalesData[[#This Row],[Contracts Signed]])</f>
        <v>10131</v>
      </c>
      <c r="AJ408" s="5" t="str">
        <f>TRIM(CLEAN(SalesData[[#This Row],[Retailer]]))</f>
        <v>Ruhr Auto Plaza</v>
      </c>
    </row>
    <row r="409" spans="1:36" ht="14.25" hidden="1" x14ac:dyDescent="0.2">
      <c r="A409" t="s">
        <v>839</v>
      </c>
      <c r="B409" s="1">
        <v>46066</v>
      </c>
      <c r="C409" t="s">
        <v>121</v>
      </c>
      <c r="D409" t="s">
        <v>54</v>
      </c>
      <c r="E409" t="s">
        <v>26</v>
      </c>
      <c r="F409" t="s">
        <v>94</v>
      </c>
      <c r="G409" t="s">
        <v>95</v>
      </c>
      <c r="H409" t="s">
        <v>96</v>
      </c>
      <c r="I409" t="s">
        <v>56</v>
      </c>
      <c r="J409" t="s">
        <v>137</v>
      </c>
      <c r="K409" t="s">
        <v>91</v>
      </c>
      <c r="L409" t="s">
        <v>46</v>
      </c>
      <c r="M409" t="s">
        <v>68</v>
      </c>
      <c r="N409" t="s">
        <v>69</v>
      </c>
      <c r="O409" t="s">
        <v>36</v>
      </c>
      <c r="P409" t="s">
        <v>37</v>
      </c>
      <c r="Q409" t="s">
        <v>106</v>
      </c>
      <c r="R409">
        <v>301</v>
      </c>
      <c r="S409">
        <v>174</v>
      </c>
      <c r="T409">
        <v>119</v>
      </c>
      <c r="U409">
        <v>44</v>
      </c>
      <c r="V409" t="s">
        <v>6739</v>
      </c>
      <c r="W409">
        <v>49554</v>
      </c>
      <c r="X409" t="s">
        <v>7161</v>
      </c>
      <c r="Y409">
        <v>40146</v>
      </c>
      <c r="Z409">
        <v>2180376</v>
      </c>
      <c r="AA409">
        <v>413952</v>
      </c>
      <c r="AB409" t="str">
        <f>(VLOOKUP(SalesData[[#This Row],[Month Number]],Reference!C$5:E$16,2,FALSE))</f>
        <v>Feb</v>
      </c>
      <c r="AC409">
        <f>MONTH(SalesData[[#This Row],[Date]])</f>
        <v>2</v>
      </c>
      <c r="AD409">
        <f>Reference!F$4</f>
        <v>2026</v>
      </c>
      <c r="AE409" t="str">
        <f>IF(OR(SalesData[[#This Row],[Day]]="Saturday",SalesData[[#This Row],[Day]]="Sunday"),"Weekend","Weekday")</f>
        <v>Weekday</v>
      </c>
      <c r="AF409" s="5">
        <f>IF(SalesData[[#This Row],[Contracts Offered]]=0,0,SalesData[[#This Row],[Contracts Signed]]/SalesData[[#This Row],[Contracts Offered]])</f>
        <v>0.36974789915966388</v>
      </c>
      <c r="AG409" s="5">
        <f>IF(SalesData[[#This Row],[Customers Visited]]=0,0,SalesData[[#This Row],[Test Drives]]/SalesData[[#This Row],[Customers Visited]])</f>
        <v>0.57807308970099669</v>
      </c>
      <c r="AH409" s="5">
        <f>IF(SalesData[[#This Row],[Customers Visited]]=0,0,SalesData[[#This Row],[Contracts Signed]]/SalesData[[#This Row],[Customers Visited]])</f>
        <v>0.1461794019933555</v>
      </c>
      <c r="AI409" s="6">
        <f>IF(SalesData[[#This Row],[Contracts Signed]]=0,0,SalesData[[#This Row],[Profit(€)]]/SalesData[[#This Row],[Contracts Signed]])</f>
        <v>9408</v>
      </c>
      <c r="AJ409" s="5" t="str">
        <f>TRIM(CLEAN(SalesData[[#This Row],[Retailer]]))</f>
        <v>Bavaria Motors</v>
      </c>
    </row>
    <row r="410" spans="1:36" ht="14.25" x14ac:dyDescent="0.2">
      <c r="A410" t="s">
        <v>841</v>
      </c>
      <c r="B410" s="1">
        <v>46081</v>
      </c>
      <c r="C410" t="s">
        <v>53</v>
      </c>
      <c r="D410" t="s">
        <v>151</v>
      </c>
      <c r="E410" t="s">
        <v>42</v>
      </c>
      <c r="F410" t="s">
        <v>101</v>
      </c>
      <c r="G410" t="s">
        <v>102</v>
      </c>
      <c r="H410" t="s">
        <v>103</v>
      </c>
      <c r="I410" t="s">
        <v>30</v>
      </c>
      <c r="J410" t="s">
        <v>31</v>
      </c>
      <c r="K410" t="s">
        <v>78</v>
      </c>
      <c r="L410" t="s">
        <v>46</v>
      </c>
      <c r="M410" t="s">
        <v>87</v>
      </c>
      <c r="N410" t="s">
        <v>69</v>
      </c>
      <c r="O410" t="s">
        <v>70</v>
      </c>
      <c r="P410" t="s">
        <v>49</v>
      </c>
      <c r="Q410" t="s">
        <v>169</v>
      </c>
      <c r="R410">
        <v>259</v>
      </c>
      <c r="S410">
        <v>137</v>
      </c>
      <c r="T410">
        <v>95</v>
      </c>
      <c r="U410">
        <v>33</v>
      </c>
      <c r="V410" t="s">
        <v>6496</v>
      </c>
      <c r="W410">
        <v>55543</v>
      </c>
      <c r="X410" t="s">
        <v>552</v>
      </c>
      <c r="Y410">
        <v>40033</v>
      </c>
      <c r="Z410">
        <v>1832919</v>
      </c>
      <c r="AA410">
        <v>511830</v>
      </c>
      <c r="AB410" t="str">
        <f>(VLOOKUP(SalesData[[#This Row],[Month Number]],Reference!C$5:E$16,2,FALSE))</f>
        <v>Feb</v>
      </c>
      <c r="AC410">
        <f>MONTH(SalesData[[#This Row],[Date]])</f>
        <v>2</v>
      </c>
      <c r="AD410">
        <f>Reference!F$4</f>
        <v>2026</v>
      </c>
      <c r="AE410" t="str">
        <f>IF(OR(SalesData[[#This Row],[Day]]="Saturday",SalesData[[#This Row],[Day]]="Sunday"),"Weekend","Weekday")</f>
        <v>Weekend</v>
      </c>
      <c r="AF410" s="5">
        <f>IF(SalesData[[#This Row],[Contracts Offered]]=0,0,SalesData[[#This Row],[Contracts Signed]]/SalesData[[#This Row],[Contracts Offered]])</f>
        <v>0.3473684210526316</v>
      </c>
      <c r="AG410" s="5">
        <f>IF(SalesData[[#This Row],[Customers Visited]]=0,0,SalesData[[#This Row],[Test Drives]]/SalesData[[#This Row],[Customers Visited]])</f>
        <v>0.52895752895752901</v>
      </c>
      <c r="AH410" s="5">
        <f>IF(SalesData[[#This Row],[Customers Visited]]=0,0,SalesData[[#This Row],[Contracts Signed]]/SalesData[[#This Row],[Customers Visited]])</f>
        <v>0.12741312741312741</v>
      </c>
      <c r="AI410" s="6">
        <f>IF(SalesData[[#This Row],[Contracts Signed]]=0,0,SalesData[[#This Row],[Profit(€)]]/SalesData[[#This Row],[Contracts Signed]])</f>
        <v>15510</v>
      </c>
      <c r="AJ410" s="5" t="str">
        <f>TRIM(CLEAN(SalesData[[#This Row],[Retailer]]))</f>
        <v>Ruhr Auto Plaza</v>
      </c>
    </row>
    <row r="411" spans="1:36" ht="14.25" hidden="1" x14ac:dyDescent="0.2">
      <c r="A411" t="s">
        <v>843</v>
      </c>
      <c r="B411" s="1">
        <v>46060</v>
      </c>
      <c r="C411" t="s">
        <v>24</v>
      </c>
      <c r="D411" t="s">
        <v>151</v>
      </c>
      <c r="E411" t="s">
        <v>42</v>
      </c>
      <c r="F411" t="s">
        <v>127</v>
      </c>
      <c r="G411" t="s">
        <v>128</v>
      </c>
      <c r="H411" t="s">
        <v>103</v>
      </c>
      <c r="I411" t="s">
        <v>64</v>
      </c>
      <c r="J411" t="s">
        <v>7029</v>
      </c>
      <c r="K411" t="s">
        <v>78</v>
      </c>
      <c r="L411" t="s">
        <v>33</v>
      </c>
      <c r="M411" t="s">
        <v>47</v>
      </c>
      <c r="N411" t="s">
        <v>69</v>
      </c>
      <c r="O411" t="s">
        <v>36</v>
      </c>
      <c r="P411" t="s">
        <v>49</v>
      </c>
      <c r="Q411" t="s">
        <v>122</v>
      </c>
      <c r="R411">
        <v>269</v>
      </c>
      <c r="S411">
        <v>151</v>
      </c>
      <c r="T411">
        <v>104</v>
      </c>
      <c r="U411">
        <v>33</v>
      </c>
      <c r="V411" t="s">
        <v>6798</v>
      </c>
      <c r="W411">
        <v>65019</v>
      </c>
      <c r="X411" t="s">
        <v>7042</v>
      </c>
      <c r="Y411">
        <v>50898</v>
      </c>
      <c r="Z411">
        <v>2145627</v>
      </c>
      <c r="AA411">
        <v>465993</v>
      </c>
      <c r="AB411" t="str">
        <f>(VLOOKUP(SalesData[[#This Row],[Month Number]],Reference!C$5:E$16,2,FALSE))</f>
        <v>Feb</v>
      </c>
      <c r="AC411">
        <f>MONTH(SalesData[[#This Row],[Date]])</f>
        <v>2</v>
      </c>
      <c r="AD411">
        <f>Reference!F$4</f>
        <v>2026</v>
      </c>
      <c r="AE411" t="str">
        <f>IF(OR(SalesData[[#This Row],[Day]]="Saturday",SalesData[[#This Row],[Day]]="Sunday"),"Weekend","Weekday")</f>
        <v>Weekend</v>
      </c>
      <c r="AF411" s="5">
        <f>IF(SalesData[[#This Row],[Contracts Offered]]=0,0,SalesData[[#This Row],[Contracts Signed]]/SalesData[[#This Row],[Contracts Offered]])</f>
        <v>0.31730769230769229</v>
      </c>
      <c r="AG411" s="5">
        <f>IF(SalesData[[#This Row],[Customers Visited]]=0,0,SalesData[[#This Row],[Test Drives]]/SalesData[[#This Row],[Customers Visited]])</f>
        <v>0.56133828996282531</v>
      </c>
      <c r="AH411" s="5">
        <f>IF(SalesData[[#This Row],[Customers Visited]]=0,0,SalesData[[#This Row],[Contracts Signed]]/SalesData[[#This Row],[Customers Visited]])</f>
        <v>0.12267657992565056</v>
      </c>
      <c r="AI411" s="6">
        <f>IF(SalesData[[#This Row],[Contracts Signed]]=0,0,SalesData[[#This Row],[Profit(€)]]/SalesData[[#This Row],[Contracts Signed]])</f>
        <v>14121</v>
      </c>
      <c r="AJ411" s="5" t="str">
        <f>TRIM(CLEAN(SalesData[[#This Row],[Retailer]]))</f>
        <v>Rhein Auto Group</v>
      </c>
    </row>
    <row r="412" spans="1:36" ht="14.25" hidden="1" x14ac:dyDescent="0.2">
      <c r="A412" t="s">
        <v>844</v>
      </c>
      <c r="B412" s="1">
        <v>46067</v>
      </c>
      <c r="C412" t="s">
        <v>121</v>
      </c>
      <c r="D412" t="s">
        <v>151</v>
      </c>
      <c r="E412" t="s">
        <v>42</v>
      </c>
      <c r="F412" t="s">
        <v>114</v>
      </c>
      <c r="G412" t="s">
        <v>115</v>
      </c>
      <c r="H412" t="s">
        <v>115</v>
      </c>
      <c r="I412" t="s">
        <v>116</v>
      </c>
      <c r="J412" t="s">
        <v>117</v>
      </c>
      <c r="K412" t="s">
        <v>91</v>
      </c>
      <c r="L412" t="s">
        <v>67</v>
      </c>
      <c r="M412" t="s">
        <v>47</v>
      </c>
      <c r="N412" t="s">
        <v>69</v>
      </c>
      <c r="O412" t="s">
        <v>70</v>
      </c>
      <c r="P412" t="s">
        <v>71</v>
      </c>
      <c r="Q412" t="s">
        <v>50</v>
      </c>
      <c r="R412">
        <v>278</v>
      </c>
      <c r="S412">
        <v>136</v>
      </c>
      <c r="T412">
        <v>91</v>
      </c>
      <c r="U412">
        <v>23</v>
      </c>
      <c r="V412" t="s">
        <v>6367</v>
      </c>
      <c r="W412">
        <v>24374</v>
      </c>
      <c r="X412" t="s">
        <v>931</v>
      </c>
      <c r="Y412">
        <v>22653</v>
      </c>
      <c r="Z412">
        <v>560602</v>
      </c>
      <c r="AA412">
        <v>39583</v>
      </c>
      <c r="AB412" t="str">
        <f>(VLOOKUP(SalesData[[#This Row],[Month Number]],Reference!C$5:E$16,2,FALSE))</f>
        <v>Feb</v>
      </c>
      <c r="AC412">
        <f>MONTH(SalesData[[#This Row],[Date]])</f>
        <v>2</v>
      </c>
      <c r="AD412">
        <f>Reference!F$4</f>
        <v>2026</v>
      </c>
      <c r="AE412" t="str">
        <f>IF(OR(SalesData[[#This Row],[Day]]="Saturday",SalesData[[#This Row],[Day]]="Sunday"),"Weekend","Weekday")</f>
        <v>Weekend</v>
      </c>
      <c r="AF412" s="5">
        <f>IF(SalesData[[#This Row],[Contracts Offered]]=0,0,SalesData[[#This Row],[Contracts Signed]]/SalesData[[#This Row],[Contracts Offered]])</f>
        <v>0.25274725274725274</v>
      </c>
      <c r="AG412" s="5">
        <f>IF(SalesData[[#This Row],[Customers Visited]]=0,0,SalesData[[#This Row],[Test Drives]]/SalesData[[#This Row],[Customers Visited]])</f>
        <v>0.48920863309352519</v>
      </c>
      <c r="AH412" s="5">
        <f>IF(SalesData[[#This Row],[Customers Visited]]=0,0,SalesData[[#This Row],[Contracts Signed]]/SalesData[[#This Row],[Customers Visited]])</f>
        <v>8.2733812949640287E-2</v>
      </c>
      <c r="AI412" s="6">
        <f>IF(SalesData[[#This Row],[Contracts Signed]]=0,0,SalesData[[#This Row],[Profit(€)]]/SalesData[[#This Row],[Contracts Signed]])</f>
        <v>1721</v>
      </c>
      <c r="AJ412" s="5" t="str">
        <f>TRIM(CLEAN(SalesData[[#This Row],[Retailer]]))</f>
        <v>Elbe Drive</v>
      </c>
    </row>
    <row r="413" spans="1:36" ht="14.25" hidden="1" x14ac:dyDescent="0.2">
      <c r="A413" t="s">
        <v>846</v>
      </c>
      <c r="B413" s="1">
        <v>46079</v>
      </c>
      <c r="C413" t="s">
        <v>53</v>
      </c>
      <c r="D413" t="s">
        <v>100</v>
      </c>
      <c r="E413" t="s">
        <v>26</v>
      </c>
      <c r="F413" t="s">
        <v>27</v>
      </c>
      <c r="G413" t="s">
        <v>28</v>
      </c>
      <c r="H413" t="s">
        <v>29</v>
      </c>
      <c r="I413" t="s">
        <v>116</v>
      </c>
      <c r="J413" t="s">
        <v>132</v>
      </c>
      <c r="K413" t="s">
        <v>91</v>
      </c>
      <c r="L413" t="s">
        <v>46</v>
      </c>
      <c r="M413" t="s">
        <v>47</v>
      </c>
      <c r="N413" t="s">
        <v>69</v>
      </c>
      <c r="O413" t="s">
        <v>70</v>
      </c>
      <c r="P413" t="s">
        <v>58</v>
      </c>
      <c r="Q413" t="s">
        <v>106</v>
      </c>
      <c r="R413">
        <v>423</v>
      </c>
      <c r="S413">
        <v>190</v>
      </c>
      <c r="T413">
        <v>107</v>
      </c>
      <c r="U413">
        <v>36</v>
      </c>
      <c r="V413" t="s">
        <v>722</v>
      </c>
      <c r="W413">
        <v>22288</v>
      </c>
      <c r="X413" t="s">
        <v>2708</v>
      </c>
      <c r="Y413">
        <v>20150</v>
      </c>
      <c r="Z413">
        <v>802368</v>
      </c>
      <c r="AA413">
        <v>76968</v>
      </c>
      <c r="AB413" t="str">
        <f>(VLOOKUP(SalesData[[#This Row],[Month Number]],Reference!C$5:E$16,2,FALSE))</f>
        <v>Feb</v>
      </c>
      <c r="AC413">
        <f>MONTH(SalesData[[#This Row],[Date]])</f>
        <v>2</v>
      </c>
      <c r="AD413">
        <f>Reference!F$4</f>
        <v>2026</v>
      </c>
      <c r="AE413" t="str">
        <f>IF(OR(SalesData[[#This Row],[Day]]="Saturday",SalesData[[#This Row],[Day]]="Sunday"),"Weekend","Weekday")</f>
        <v>Weekday</v>
      </c>
      <c r="AF413" s="5">
        <f>IF(SalesData[[#This Row],[Contracts Offered]]=0,0,SalesData[[#This Row],[Contracts Signed]]/SalesData[[#This Row],[Contracts Offered]])</f>
        <v>0.3364485981308411</v>
      </c>
      <c r="AG413" s="5">
        <f>IF(SalesData[[#This Row],[Customers Visited]]=0,0,SalesData[[#This Row],[Test Drives]]/SalesData[[#This Row],[Customers Visited]])</f>
        <v>0.44917257683215128</v>
      </c>
      <c r="AH413" s="5">
        <f>IF(SalesData[[#This Row],[Customers Visited]]=0,0,SalesData[[#This Row],[Contracts Signed]]/SalesData[[#This Row],[Customers Visited]])</f>
        <v>8.5106382978723402E-2</v>
      </c>
      <c r="AI413" s="6">
        <f>IF(SalesData[[#This Row],[Contracts Signed]]=0,0,SalesData[[#This Row],[Profit(€)]]/SalesData[[#This Row],[Contracts Signed]])</f>
        <v>2138</v>
      </c>
      <c r="AJ413" s="5" t="str">
        <f>TRIM(CLEAN(SalesData[[#This Row],[Retailer]]))</f>
        <v>Main Auto Hub</v>
      </c>
    </row>
    <row r="414" spans="1:36" ht="14.25" hidden="1" x14ac:dyDescent="0.2">
      <c r="A414" t="s">
        <v>848</v>
      </c>
      <c r="B414" s="1">
        <v>46069</v>
      </c>
      <c r="C414" t="s">
        <v>62</v>
      </c>
      <c r="D414" t="s">
        <v>25</v>
      </c>
      <c r="E414" t="s">
        <v>26</v>
      </c>
      <c r="F414" t="s">
        <v>114</v>
      </c>
      <c r="G414" t="s">
        <v>115</v>
      </c>
      <c r="H414" t="s">
        <v>115</v>
      </c>
      <c r="I414" t="s">
        <v>64</v>
      </c>
      <c r="J414" t="s">
        <v>111</v>
      </c>
      <c r="K414" t="s">
        <v>66</v>
      </c>
      <c r="L414" t="s">
        <v>46</v>
      </c>
      <c r="M414" t="s">
        <v>34</v>
      </c>
      <c r="N414" t="s">
        <v>48</v>
      </c>
      <c r="O414" t="s">
        <v>70</v>
      </c>
      <c r="P414" t="s">
        <v>71</v>
      </c>
      <c r="Q414" t="s">
        <v>204</v>
      </c>
      <c r="R414">
        <v>183</v>
      </c>
      <c r="S414">
        <v>89</v>
      </c>
      <c r="T414">
        <v>66</v>
      </c>
      <c r="U414">
        <v>22</v>
      </c>
      <c r="V414" t="s">
        <v>6624</v>
      </c>
      <c r="W414">
        <v>60522</v>
      </c>
      <c r="X414" t="s">
        <v>7208</v>
      </c>
      <c r="Y414">
        <v>46216</v>
      </c>
      <c r="Z414">
        <v>1331484</v>
      </c>
      <c r="AA414">
        <v>314732</v>
      </c>
      <c r="AB414" t="str">
        <f>(VLOOKUP(SalesData[[#This Row],[Month Number]],Reference!C$5:E$16,2,FALSE))</f>
        <v>Feb</v>
      </c>
      <c r="AC414">
        <f>MONTH(SalesData[[#This Row],[Date]])</f>
        <v>2</v>
      </c>
      <c r="AD414">
        <f>Reference!F$4</f>
        <v>2026</v>
      </c>
      <c r="AE414" t="str">
        <f>IF(OR(SalesData[[#This Row],[Day]]="Saturday",SalesData[[#This Row],[Day]]="Sunday"),"Weekend","Weekday")</f>
        <v>Weekday</v>
      </c>
      <c r="AF414" s="5">
        <f>IF(SalesData[[#This Row],[Contracts Offered]]=0,0,SalesData[[#This Row],[Contracts Signed]]/SalesData[[#This Row],[Contracts Offered]])</f>
        <v>0.33333333333333331</v>
      </c>
      <c r="AG414" s="5">
        <f>IF(SalesData[[#This Row],[Customers Visited]]=0,0,SalesData[[#This Row],[Test Drives]]/SalesData[[#This Row],[Customers Visited]])</f>
        <v>0.48633879781420764</v>
      </c>
      <c r="AH414" s="5">
        <f>IF(SalesData[[#This Row],[Customers Visited]]=0,0,SalesData[[#This Row],[Contracts Signed]]/SalesData[[#This Row],[Customers Visited]])</f>
        <v>0.12021857923497267</v>
      </c>
      <c r="AI414" s="6">
        <f>IF(SalesData[[#This Row],[Contracts Signed]]=0,0,SalesData[[#This Row],[Profit(€)]]/SalesData[[#This Row],[Contracts Signed]])</f>
        <v>14306</v>
      </c>
      <c r="AJ414" s="5" t="str">
        <f>TRIM(CLEAN(SalesData[[#This Row],[Retailer]]))</f>
        <v>Elbe Drive</v>
      </c>
    </row>
    <row r="415" spans="1:36" ht="14.25" hidden="1" x14ac:dyDescent="0.2">
      <c r="A415" t="s">
        <v>850</v>
      </c>
      <c r="B415" s="1">
        <v>46075</v>
      </c>
      <c r="C415" t="s">
        <v>53</v>
      </c>
      <c r="D415" t="s">
        <v>41</v>
      </c>
      <c r="E415" t="s">
        <v>42</v>
      </c>
      <c r="F415" t="s">
        <v>7649</v>
      </c>
      <c r="G415" t="s">
        <v>55</v>
      </c>
      <c r="H415" t="s">
        <v>55</v>
      </c>
      <c r="I415" t="s">
        <v>104</v>
      </c>
      <c r="J415" t="s">
        <v>143</v>
      </c>
      <c r="K415" t="s">
        <v>91</v>
      </c>
      <c r="L415" t="s">
        <v>67</v>
      </c>
      <c r="M415" t="s">
        <v>87</v>
      </c>
      <c r="N415" t="s">
        <v>35</v>
      </c>
      <c r="O415" t="s">
        <v>70</v>
      </c>
      <c r="P415" t="s">
        <v>58</v>
      </c>
      <c r="Q415" t="s">
        <v>152</v>
      </c>
      <c r="R415">
        <v>394</v>
      </c>
      <c r="S415">
        <v>176</v>
      </c>
      <c r="T415">
        <v>115</v>
      </c>
      <c r="U415">
        <v>37</v>
      </c>
      <c r="V415" t="s">
        <v>7209</v>
      </c>
      <c r="W415">
        <v>26954</v>
      </c>
      <c r="X415" t="s">
        <v>2056</v>
      </c>
      <c r="Y415">
        <v>23559</v>
      </c>
      <c r="Z415">
        <v>997298</v>
      </c>
      <c r="AA415">
        <v>125615</v>
      </c>
      <c r="AB415" t="str">
        <f>(VLOOKUP(SalesData[[#This Row],[Month Number]],Reference!C$5:E$16,2,FALSE))</f>
        <v>Feb</v>
      </c>
      <c r="AC415">
        <f>MONTH(SalesData[[#This Row],[Date]])</f>
        <v>2</v>
      </c>
      <c r="AD415">
        <f>Reference!F$4</f>
        <v>2026</v>
      </c>
      <c r="AE415" t="str">
        <f>IF(OR(SalesData[[#This Row],[Day]]="Saturday",SalesData[[#This Row],[Day]]="Sunday"),"Weekend","Weekday")</f>
        <v>Weekend</v>
      </c>
      <c r="AF415" s="5">
        <f>IF(SalesData[[#This Row],[Contracts Offered]]=0,0,SalesData[[#This Row],[Contracts Signed]]/SalesData[[#This Row],[Contracts Offered]])</f>
        <v>0.32173913043478258</v>
      </c>
      <c r="AG415" s="5">
        <f>IF(SalesData[[#This Row],[Customers Visited]]=0,0,SalesData[[#This Row],[Test Drives]]/SalesData[[#This Row],[Customers Visited]])</f>
        <v>0.4467005076142132</v>
      </c>
      <c r="AH415" s="5">
        <f>IF(SalesData[[#This Row],[Customers Visited]]=0,0,SalesData[[#This Row],[Contracts Signed]]/SalesData[[#This Row],[Customers Visited]])</f>
        <v>9.3908629441624369E-2</v>
      </c>
      <c r="AI415" s="6">
        <f>IF(SalesData[[#This Row],[Contracts Signed]]=0,0,SalesData[[#This Row],[Profit(€)]]/SalesData[[#This Row],[Contracts Signed]])</f>
        <v>3395</v>
      </c>
      <c r="AJ415" s="5" t="str">
        <f>TRIM(CLEAN(SalesData[[#This Row],[Retailer]]))</f>
        <v>Autohaus Berlin</v>
      </c>
    </row>
    <row r="416" spans="1:36" ht="14.25" hidden="1" x14ac:dyDescent="0.2">
      <c r="A416" t="s">
        <v>851</v>
      </c>
      <c r="B416" s="1">
        <v>46068</v>
      </c>
      <c r="C416" t="s">
        <v>62</v>
      </c>
      <c r="D416" t="s">
        <v>41</v>
      </c>
      <c r="E416" t="s">
        <v>42</v>
      </c>
      <c r="F416" t="s">
        <v>127</v>
      </c>
      <c r="G416" t="s">
        <v>128</v>
      </c>
      <c r="H416" t="s">
        <v>103</v>
      </c>
      <c r="I416" t="s">
        <v>116</v>
      </c>
      <c r="J416" t="s">
        <v>117</v>
      </c>
      <c r="K416" t="s">
        <v>32</v>
      </c>
      <c r="L416" t="s">
        <v>67</v>
      </c>
      <c r="M416" t="s">
        <v>68</v>
      </c>
      <c r="N416" t="s">
        <v>35</v>
      </c>
      <c r="O416" t="s">
        <v>36</v>
      </c>
      <c r="P416" t="s">
        <v>71</v>
      </c>
      <c r="Q416" t="s">
        <v>38</v>
      </c>
      <c r="R416">
        <v>421</v>
      </c>
      <c r="S416">
        <v>211</v>
      </c>
      <c r="T416">
        <v>141</v>
      </c>
      <c r="U416">
        <v>34</v>
      </c>
      <c r="V416" t="s">
        <v>4155</v>
      </c>
      <c r="W416">
        <v>21433</v>
      </c>
      <c r="X416" t="s">
        <v>2159</v>
      </c>
      <c r="Y416">
        <v>19489</v>
      </c>
      <c r="Z416">
        <v>728722</v>
      </c>
      <c r="AA416">
        <v>66096</v>
      </c>
      <c r="AB416" t="str">
        <f>(VLOOKUP(SalesData[[#This Row],[Month Number]],Reference!C$5:E$16,2,FALSE))</f>
        <v>Feb</v>
      </c>
      <c r="AC416">
        <f>MONTH(SalesData[[#This Row],[Date]])</f>
        <v>2</v>
      </c>
      <c r="AD416">
        <f>Reference!F$4</f>
        <v>2026</v>
      </c>
      <c r="AE416" t="str">
        <f>IF(OR(SalesData[[#This Row],[Day]]="Saturday",SalesData[[#This Row],[Day]]="Sunday"),"Weekend","Weekday")</f>
        <v>Weekend</v>
      </c>
      <c r="AF416" s="5">
        <f>IF(SalesData[[#This Row],[Contracts Offered]]=0,0,SalesData[[#This Row],[Contracts Signed]]/SalesData[[#This Row],[Contracts Offered]])</f>
        <v>0.24113475177304963</v>
      </c>
      <c r="AG416" s="5">
        <f>IF(SalesData[[#This Row],[Customers Visited]]=0,0,SalesData[[#This Row],[Test Drives]]/SalesData[[#This Row],[Customers Visited]])</f>
        <v>0.50118764845605701</v>
      </c>
      <c r="AH416" s="5">
        <f>IF(SalesData[[#This Row],[Customers Visited]]=0,0,SalesData[[#This Row],[Contracts Signed]]/SalesData[[#This Row],[Customers Visited]])</f>
        <v>8.076009501187649E-2</v>
      </c>
      <c r="AI416" s="6">
        <f>IF(SalesData[[#This Row],[Contracts Signed]]=0,0,SalesData[[#This Row],[Profit(€)]]/SalesData[[#This Row],[Contracts Signed]])</f>
        <v>1944</v>
      </c>
      <c r="AJ416" s="5" t="str">
        <f>TRIM(CLEAN(SalesData[[#This Row],[Retailer]]))</f>
        <v>Rhein Auto Group</v>
      </c>
    </row>
    <row r="417" spans="1:36" ht="14.25" x14ac:dyDescent="0.2">
      <c r="A417" t="s">
        <v>853</v>
      </c>
      <c r="B417" s="1">
        <v>46056</v>
      </c>
      <c r="C417" t="s">
        <v>24</v>
      </c>
      <c r="D417" t="s">
        <v>63</v>
      </c>
      <c r="E417" t="s">
        <v>26</v>
      </c>
      <c r="F417" t="s">
        <v>114</v>
      </c>
      <c r="G417" t="s">
        <v>115</v>
      </c>
      <c r="H417" t="s">
        <v>115</v>
      </c>
      <c r="I417" t="s">
        <v>30</v>
      </c>
      <c r="J417" t="s">
        <v>31</v>
      </c>
      <c r="K417" t="s">
        <v>32</v>
      </c>
      <c r="L417" t="s">
        <v>46</v>
      </c>
      <c r="M417" t="s">
        <v>68</v>
      </c>
      <c r="N417" t="s">
        <v>35</v>
      </c>
      <c r="O417" t="s">
        <v>36</v>
      </c>
      <c r="P417" t="s">
        <v>37</v>
      </c>
      <c r="Q417" t="s">
        <v>106</v>
      </c>
      <c r="R417">
        <v>218</v>
      </c>
      <c r="S417">
        <v>115</v>
      </c>
      <c r="T417">
        <v>85</v>
      </c>
      <c r="U417">
        <v>34</v>
      </c>
      <c r="V417" t="s">
        <v>6656</v>
      </c>
      <c r="W417">
        <v>58478</v>
      </c>
      <c r="X417" t="s">
        <v>5630</v>
      </c>
      <c r="Y417">
        <v>43996</v>
      </c>
      <c r="Z417">
        <v>1988252</v>
      </c>
      <c r="AA417">
        <v>492388</v>
      </c>
      <c r="AB417" t="str">
        <f>(VLOOKUP(SalesData[[#This Row],[Month Number]],Reference!C$5:E$16,2,FALSE))</f>
        <v>Feb</v>
      </c>
      <c r="AC417">
        <f>MONTH(SalesData[[#This Row],[Date]])</f>
        <v>2</v>
      </c>
      <c r="AD417">
        <f>Reference!F$4</f>
        <v>2026</v>
      </c>
      <c r="AE417" t="str">
        <f>IF(OR(SalesData[[#This Row],[Day]]="Saturday",SalesData[[#This Row],[Day]]="Sunday"),"Weekend","Weekday")</f>
        <v>Weekday</v>
      </c>
      <c r="AF417" s="5">
        <f>IF(SalesData[[#This Row],[Contracts Offered]]=0,0,SalesData[[#This Row],[Contracts Signed]]/SalesData[[#This Row],[Contracts Offered]])</f>
        <v>0.4</v>
      </c>
      <c r="AG417" s="5">
        <f>IF(SalesData[[#This Row],[Customers Visited]]=0,0,SalesData[[#This Row],[Test Drives]]/SalesData[[#This Row],[Customers Visited]])</f>
        <v>0.52752293577981646</v>
      </c>
      <c r="AH417" s="5">
        <f>IF(SalesData[[#This Row],[Customers Visited]]=0,0,SalesData[[#This Row],[Contracts Signed]]/SalesData[[#This Row],[Customers Visited]])</f>
        <v>0.15596330275229359</v>
      </c>
      <c r="AI417" s="6">
        <f>IF(SalesData[[#This Row],[Contracts Signed]]=0,0,SalesData[[#This Row],[Profit(€)]]/SalesData[[#This Row],[Contracts Signed]])</f>
        <v>14482</v>
      </c>
      <c r="AJ417" s="5" t="str">
        <f>TRIM(CLEAN(SalesData[[#This Row],[Retailer]]))</f>
        <v>Elbe Drive</v>
      </c>
    </row>
    <row r="418" spans="1:36" ht="14.25" hidden="1" x14ac:dyDescent="0.2">
      <c r="A418" t="s">
        <v>855</v>
      </c>
      <c r="B418" s="1">
        <v>46081</v>
      </c>
      <c r="C418" t="s">
        <v>53</v>
      </c>
      <c r="D418" t="s">
        <v>151</v>
      </c>
      <c r="E418" t="s">
        <v>42</v>
      </c>
      <c r="F418" t="s">
        <v>7649</v>
      </c>
      <c r="G418" t="s">
        <v>55</v>
      </c>
      <c r="H418" t="s">
        <v>55</v>
      </c>
      <c r="I418" t="s">
        <v>64</v>
      </c>
      <c r="J418" t="s">
        <v>7029</v>
      </c>
      <c r="K418" t="s">
        <v>32</v>
      </c>
      <c r="L418" t="s">
        <v>33</v>
      </c>
      <c r="M418" t="s">
        <v>34</v>
      </c>
      <c r="N418" t="s">
        <v>48</v>
      </c>
      <c r="O418" t="s">
        <v>36</v>
      </c>
      <c r="P418" t="s">
        <v>37</v>
      </c>
      <c r="Q418" t="s">
        <v>347</v>
      </c>
      <c r="R418">
        <v>275</v>
      </c>
      <c r="S418">
        <v>134</v>
      </c>
      <c r="T418">
        <v>91</v>
      </c>
      <c r="U418">
        <v>32</v>
      </c>
      <c r="V418" t="s">
        <v>6531</v>
      </c>
      <c r="W418">
        <v>51074</v>
      </c>
      <c r="X418" t="s">
        <v>7210</v>
      </c>
      <c r="Y418">
        <v>38503</v>
      </c>
      <c r="Z418">
        <v>1634368</v>
      </c>
      <c r="AA418">
        <v>402272</v>
      </c>
      <c r="AB418" t="str">
        <f>(VLOOKUP(SalesData[[#This Row],[Month Number]],Reference!C$5:E$16,2,FALSE))</f>
        <v>Feb</v>
      </c>
      <c r="AC418">
        <f>MONTH(SalesData[[#This Row],[Date]])</f>
        <v>2</v>
      </c>
      <c r="AD418">
        <f>Reference!F$4</f>
        <v>2026</v>
      </c>
      <c r="AE418" t="str">
        <f>IF(OR(SalesData[[#This Row],[Day]]="Saturday",SalesData[[#This Row],[Day]]="Sunday"),"Weekend","Weekday")</f>
        <v>Weekend</v>
      </c>
      <c r="AF418" s="5">
        <f>IF(SalesData[[#This Row],[Contracts Offered]]=0,0,SalesData[[#This Row],[Contracts Signed]]/SalesData[[#This Row],[Contracts Offered]])</f>
        <v>0.35164835164835168</v>
      </c>
      <c r="AG418" s="5">
        <f>IF(SalesData[[#This Row],[Customers Visited]]=0,0,SalesData[[#This Row],[Test Drives]]/SalesData[[#This Row],[Customers Visited]])</f>
        <v>0.48727272727272725</v>
      </c>
      <c r="AH418" s="5">
        <f>IF(SalesData[[#This Row],[Customers Visited]]=0,0,SalesData[[#This Row],[Contracts Signed]]/SalesData[[#This Row],[Customers Visited]])</f>
        <v>0.11636363636363636</v>
      </c>
      <c r="AI418" s="6">
        <f>IF(SalesData[[#This Row],[Contracts Signed]]=0,0,SalesData[[#This Row],[Profit(€)]]/SalesData[[#This Row],[Contracts Signed]])</f>
        <v>12571</v>
      </c>
      <c r="AJ418" s="5" t="str">
        <f>TRIM(CLEAN(SalesData[[#This Row],[Retailer]]))</f>
        <v>Autohaus Berlin</v>
      </c>
    </row>
    <row r="419" spans="1:36" ht="14.25" hidden="1" x14ac:dyDescent="0.2">
      <c r="A419" t="s">
        <v>856</v>
      </c>
      <c r="B419" s="1">
        <v>46062</v>
      </c>
      <c r="C419" t="s">
        <v>121</v>
      </c>
      <c r="D419" t="s">
        <v>25</v>
      </c>
      <c r="E419" t="s">
        <v>26</v>
      </c>
      <c r="F419" t="s">
        <v>83</v>
      </c>
      <c r="G419" t="s">
        <v>84</v>
      </c>
      <c r="H419" t="s">
        <v>85</v>
      </c>
      <c r="I419" t="s">
        <v>104</v>
      </c>
      <c r="J419" t="s">
        <v>7061</v>
      </c>
      <c r="K419" t="s">
        <v>66</v>
      </c>
      <c r="L419" t="s">
        <v>46</v>
      </c>
      <c r="M419" t="s">
        <v>68</v>
      </c>
      <c r="N419" t="s">
        <v>69</v>
      </c>
      <c r="O419" t="s">
        <v>36</v>
      </c>
      <c r="P419" t="s">
        <v>37</v>
      </c>
      <c r="Q419" t="s">
        <v>167</v>
      </c>
      <c r="R419">
        <v>263</v>
      </c>
      <c r="S419">
        <v>131</v>
      </c>
      <c r="T419">
        <v>81</v>
      </c>
      <c r="U419">
        <v>22</v>
      </c>
      <c r="V419" t="s">
        <v>1288</v>
      </c>
      <c r="W419">
        <v>34688</v>
      </c>
      <c r="X419" t="s">
        <v>4064</v>
      </c>
      <c r="Y419">
        <v>30507</v>
      </c>
      <c r="Z419">
        <v>763136</v>
      </c>
      <c r="AA419">
        <v>91982</v>
      </c>
      <c r="AB419" t="str">
        <f>(VLOOKUP(SalesData[[#This Row],[Month Number]],Reference!C$5:E$16,2,FALSE))</f>
        <v>Feb</v>
      </c>
      <c r="AC419">
        <f>MONTH(SalesData[[#This Row],[Date]])</f>
        <v>2</v>
      </c>
      <c r="AD419">
        <f>Reference!F$4</f>
        <v>2026</v>
      </c>
      <c r="AE419" t="str">
        <f>IF(OR(SalesData[[#This Row],[Day]]="Saturday",SalesData[[#This Row],[Day]]="Sunday"),"Weekend","Weekday")</f>
        <v>Weekday</v>
      </c>
      <c r="AF419" s="5">
        <f>IF(SalesData[[#This Row],[Contracts Offered]]=0,0,SalesData[[#This Row],[Contracts Signed]]/SalesData[[#This Row],[Contracts Offered]])</f>
        <v>0.27160493827160492</v>
      </c>
      <c r="AG419" s="5">
        <f>IF(SalesData[[#This Row],[Customers Visited]]=0,0,SalesData[[#This Row],[Test Drives]]/SalesData[[#This Row],[Customers Visited]])</f>
        <v>0.49809885931558934</v>
      </c>
      <c r="AH419" s="5">
        <f>IF(SalesData[[#This Row],[Customers Visited]]=0,0,SalesData[[#This Row],[Contracts Signed]]/SalesData[[#This Row],[Customers Visited]])</f>
        <v>8.3650190114068435E-2</v>
      </c>
      <c r="AI419" s="6">
        <f>IF(SalesData[[#This Row],[Contracts Signed]]=0,0,SalesData[[#This Row],[Profit(€)]]/SalesData[[#This Row],[Contracts Signed]])</f>
        <v>4181</v>
      </c>
      <c r="AJ419" s="5" t="str">
        <f>TRIM(CLEAN(SalesData[[#This Row],[Retailer]]))</f>
        <v>Hannover Cars</v>
      </c>
    </row>
    <row r="420" spans="1:36" ht="14.25" hidden="1" x14ac:dyDescent="0.2">
      <c r="A420" t="s">
        <v>857</v>
      </c>
      <c r="B420" s="1">
        <v>46061</v>
      </c>
      <c r="C420" t="s">
        <v>121</v>
      </c>
      <c r="D420" t="s">
        <v>41</v>
      </c>
      <c r="E420" t="s">
        <v>42</v>
      </c>
      <c r="F420" t="s">
        <v>101</v>
      </c>
      <c r="G420" t="s">
        <v>102</v>
      </c>
      <c r="H420" t="s">
        <v>103</v>
      </c>
      <c r="I420" t="s">
        <v>104</v>
      </c>
      <c r="J420" t="s">
        <v>105</v>
      </c>
      <c r="K420" t="s">
        <v>91</v>
      </c>
      <c r="L420" t="s">
        <v>33</v>
      </c>
      <c r="M420" t="s">
        <v>34</v>
      </c>
      <c r="N420" t="s">
        <v>48</v>
      </c>
      <c r="O420" t="s">
        <v>70</v>
      </c>
      <c r="P420" t="s">
        <v>58</v>
      </c>
      <c r="Q420" t="s">
        <v>135</v>
      </c>
      <c r="R420">
        <v>364</v>
      </c>
      <c r="S420">
        <v>157</v>
      </c>
      <c r="T420">
        <v>100</v>
      </c>
      <c r="U420">
        <v>24</v>
      </c>
      <c r="V420" t="s">
        <v>1628</v>
      </c>
      <c r="W420">
        <v>31870</v>
      </c>
      <c r="X420" t="s">
        <v>350</v>
      </c>
      <c r="Y420">
        <v>28108</v>
      </c>
      <c r="Z420">
        <v>764880</v>
      </c>
      <c r="AA420">
        <v>90288</v>
      </c>
      <c r="AB420" t="str">
        <f>(VLOOKUP(SalesData[[#This Row],[Month Number]],Reference!C$5:E$16,2,FALSE))</f>
        <v>Feb</v>
      </c>
      <c r="AC420">
        <f>MONTH(SalesData[[#This Row],[Date]])</f>
        <v>2</v>
      </c>
      <c r="AD420">
        <f>Reference!F$4</f>
        <v>2026</v>
      </c>
      <c r="AE420" t="str">
        <f>IF(OR(SalesData[[#This Row],[Day]]="Saturday",SalesData[[#This Row],[Day]]="Sunday"),"Weekend","Weekday")</f>
        <v>Weekend</v>
      </c>
      <c r="AF420" s="5">
        <f>IF(SalesData[[#This Row],[Contracts Offered]]=0,0,SalesData[[#This Row],[Contracts Signed]]/SalesData[[#This Row],[Contracts Offered]])</f>
        <v>0.24</v>
      </c>
      <c r="AG420" s="5">
        <f>IF(SalesData[[#This Row],[Customers Visited]]=0,0,SalesData[[#This Row],[Test Drives]]/SalesData[[#This Row],[Customers Visited]])</f>
        <v>0.43131868131868134</v>
      </c>
      <c r="AH420" s="5">
        <f>IF(SalesData[[#This Row],[Customers Visited]]=0,0,SalesData[[#This Row],[Contracts Signed]]/SalesData[[#This Row],[Customers Visited]])</f>
        <v>6.5934065934065936E-2</v>
      </c>
      <c r="AI420" s="6">
        <f>IF(SalesData[[#This Row],[Contracts Signed]]=0,0,SalesData[[#This Row],[Profit(€)]]/SalesData[[#This Row],[Contracts Signed]])</f>
        <v>3762</v>
      </c>
      <c r="AJ420" s="5" t="str">
        <f>TRIM(CLEAN(SalesData[[#This Row],[Retailer]]))</f>
        <v>Ruhr Auto Plaza</v>
      </c>
    </row>
    <row r="421" spans="1:36" ht="14.25" hidden="1" x14ac:dyDescent="0.2">
      <c r="A421" t="s">
        <v>858</v>
      </c>
      <c r="B421" s="1">
        <v>46074</v>
      </c>
      <c r="C421" t="s">
        <v>62</v>
      </c>
      <c r="D421" t="s">
        <v>151</v>
      </c>
      <c r="E421" t="s">
        <v>42</v>
      </c>
      <c r="F421" t="s">
        <v>127</v>
      </c>
      <c r="G421" t="s">
        <v>128</v>
      </c>
      <c r="H421" t="s">
        <v>103</v>
      </c>
      <c r="I421" t="s">
        <v>116</v>
      </c>
      <c r="J421" t="s">
        <v>7090</v>
      </c>
      <c r="K421" t="s">
        <v>66</v>
      </c>
      <c r="L421" t="s">
        <v>46</v>
      </c>
      <c r="M421" t="s">
        <v>34</v>
      </c>
      <c r="N421" t="s">
        <v>69</v>
      </c>
      <c r="O421" t="s">
        <v>70</v>
      </c>
      <c r="P421" t="s">
        <v>37</v>
      </c>
      <c r="Q421" t="s">
        <v>118</v>
      </c>
      <c r="R421">
        <v>407</v>
      </c>
      <c r="S421">
        <v>171</v>
      </c>
      <c r="T421">
        <v>105</v>
      </c>
      <c r="U421">
        <v>22</v>
      </c>
      <c r="V421" t="s">
        <v>2670</v>
      </c>
      <c r="W421">
        <v>20996</v>
      </c>
      <c r="X421" t="s">
        <v>7129</v>
      </c>
      <c r="Y421">
        <v>19061</v>
      </c>
      <c r="Z421">
        <v>461912</v>
      </c>
      <c r="AA421">
        <v>42570</v>
      </c>
      <c r="AB421" t="str">
        <f>(VLOOKUP(SalesData[[#This Row],[Month Number]],Reference!C$5:E$16,2,FALSE))</f>
        <v>Feb</v>
      </c>
      <c r="AC421">
        <f>MONTH(SalesData[[#This Row],[Date]])</f>
        <v>2</v>
      </c>
      <c r="AD421">
        <f>Reference!F$4</f>
        <v>2026</v>
      </c>
      <c r="AE421" t="str">
        <f>IF(OR(SalesData[[#This Row],[Day]]="Saturday",SalesData[[#This Row],[Day]]="Sunday"),"Weekend","Weekday")</f>
        <v>Weekend</v>
      </c>
      <c r="AF421" s="5">
        <f>IF(SalesData[[#This Row],[Contracts Offered]]=0,0,SalesData[[#This Row],[Contracts Signed]]/SalesData[[#This Row],[Contracts Offered]])</f>
        <v>0.20952380952380953</v>
      </c>
      <c r="AG421" s="5">
        <f>IF(SalesData[[#This Row],[Customers Visited]]=0,0,SalesData[[#This Row],[Test Drives]]/SalesData[[#This Row],[Customers Visited]])</f>
        <v>0.42014742014742013</v>
      </c>
      <c r="AH421" s="5">
        <f>IF(SalesData[[#This Row],[Customers Visited]]=0,0,SalesData[[#This Row],[Contracts Signed]]/SalesData[[#This Row],[Customers Visited]])</f>
        <v>5.4054054054054057E-2</v>
      </c>
      <c r="AI421" s="6">
        <f>IF(SalesData[[#This Row],[Contracts Signed]]=0,0,SalesData[[#This Row],[Profit(€)]]/SalesData[[#This Row],[Contracts Signed]])</f>
        <v>1935</v>
      </c>
      <c r="AJ421" s="5" t="str">
        <f>TRIM(CLEAN(SalesData[[#This Row],[Retailer]]))</f>
        <v>Rhein Auto Group</v>
      </c>
    </row>
    <row r="422" spans="1:36" ht="14.25" hidden="1" x14ac:dyDescent="0.2">
      <c r="A422" t="s">
        <v>860</v>
      </c>
      <c r="B422" s="1">
        <v>46073</v>
      </c>
      <c r="C422" t="s">
        <v>62</v>
      </c>
      <c r="D422" t="s">
        <v>54</v>
      </c>
      <c r="E422" t="s">
        <v>26</v>
      </c>
      <c r="F422" t="s">
        <v>43</v>
      </c>
      <c r="G422" t="s">
        <v>44</v>
      </c>
      <c r="H422" t="s">
        <v>45</v>
      </c>
      <c r="I422" t="s">
        <v>104</v>
      </c>
      <c r="J422" t="s">
        <v>140</v>
      </c>
      <c r="K422" t="s">
        <v>91</v>
      </c>
      <c r="L422" t="s">
        <v>46</v>
      </c>
      <c r="M422" t="s">
        <v>47</v>
      </c>
      <c r="N422" t="s">
        <v>35</v>
      </c>
      <c r="O422" t="s">
        <v>70</v>
      </c>
      <c r="P422" t="s">
        <v>58</v>
      </c>
      <c r="Q422" t="s">
        <v>172</v>
      </c>
      <c r="R422">
        <v>282</v>
      </c>
      <c r="S422">
        <v>158</v>
      </c>
      <c r="T422">
        <v>100</v>
      </c>
      <c r="U422">
        <v>24</v>
      </c>
      <c r="V422" t="s">
        <v>1532</v>
      </c>
      <c r="W422">
        <v>34364</v>
      </c>
      <c r="X422" t="s">
        <v>2447</v>
      </c>
      <c r="Y422">
        <v>30659</v>
      </c>
      <c r="Z422">
        <v>824736</v>
      </c>
      <c r="AA422">
        <v>88920</v>
      </c>
      <c r="AB422" t="str">
        <f>(VLOOKUP(SalesData[[#This Row],[Month Number]],Reference!C$5:E$16,2,FALSE))</f>
        <v>Feb</v>
      </c>
      <c r="AC422">
        <f>MONTH(SalesData[[#This Row],[Date]])</f>
        <v>2</v>
      </c>
      <c r="AD422">
        <f>Reference!F$4</f>
        <v>2026</v>
      </c>
      <c r="AE422" t="str">
        <f>IF(OR(SalesData[[#This Row],[Day]]="Saturday",SalesData[[#This Row],[Day]]="Sunday"),"Weekend","Weekday")</f>
        <v>Weekday</v>
      </c>
      <c r="AF422" s="5">
        <f>IF(SalesData[[#This Row],[Contracts Offered]]=0,0,SalesData[[#This Row],[Contracts Signed]]/SalesData[[#This Row],[Contracts Offered]])</f>
        <v>0.24</v>
      </c>
      <c r="AG422" s="5">
        <f>IF(SalesData[[#This Row],[Customers Visited]]=0,0,SalesData[[#This Row],[Test Drives]]/SalesData[[#This Row],[Customers Visited]])</f>
        <v>0.56028368794326244</v>
      </c>
      <c r="AH422" s="5">
        <f>IF(SalesData[[#This Row],[Customers Visited]]=0,0,SalesData[[#This Row],[Contracts Signed]]/SalesData[[#This Row],[Customers Visited]])</f>
        <v>8.5106382978723402E-2</v>
      </c>
      <c r="AI422" s="6">
        <f>IF(SalesData[[#This Row],[Contracts Signed]]=0,0,SalesData[[#This Row],[Profit(€)]]/SalesData[[#This Row],[Contracts Signed]])</f>
        <v>3705</v>
      </c>
      <c r="AJ422" s="5" t="str">
        <f>TRIM(CLEAN(SalesData[[#This Row],[Retailer]]))</f>
        <v>Saxon Wheels</v>
      </c>
    </row>
    <row r="423" spans="1:36" ht="14.25" hidden="1" x14ac:dyDescent="0.2">
      <c r="A423" t="s">
        <v>862</v>
      </c>
      <c r="B423" s="1">
        <v>46060</v>
      </c>
      <c r="C423" t="s">
        <v>24</v>
      </c>
      <c r="D423" t="s">
        <v>151</v>
      </c>
      <c r="E423" t="s">
        <v>42</v>
      </c>
      <c r="F423" t="s">
        <v>43</v>
      </c>
      <c r="G423" t="s">
        <v>44</v>
      </c>
      <c r="H423" t="s">
        <v>45</v>
      </c>
      <c r="I423" t="s">
        <v>116</v>
      </c>
      <c r="J423" t="s">
        <v>203</v>
      </c>
      <c r="K423" t="s">
        <v>32</v>
      </c>
      <c r="L423" t="s">
        <v>67</v>
      </c>
      <c r="M423" t="s">
        <v>87</v>
      </c>
      <c r="N423" t="s">
        <v>69</v>
      </c>
      <c r="O423" t="s">
        <v>70</v>
      </c>
      <c r="P423" t="s">
        <v>71</v>
      </c>
      <c r="Q423" t="s">
        <v>79</v>
      </c>
      <c r="R423">
        <v>361</v>
      </c>
      <c r="S423">
        <v>181</v>
      </c>
      <c r="T423">
        <v>124</v>
      </c>
      <c r="U423">
        <v>31</v>
      </c>
      <c r="V423" t="s">
        <v>4209</v>
      </c>
      <c r="W423">
        <v>21060</v>
      </c>
      <c r="X423" t="s">
        <v>7211</v>
      </c>
      <c r="Y423">
        <v>18971</v>
      </c>
      <c r="Z423">
        <v>652860</v>
      </c>
      <c r="AA423">
        <v>64759</v>
      </c>
      <c r="AB423" t="str">
        <f>(VLOOKUP(SalesData[[#This Row],[Month Number]],Reference!C$5:E$16,2,FALSE))</f>
        <v>Feb</v>
      </c>
      <c r="AC423">
        <f>MONTH(SalesData[[#This Row],[Date]])</f>
        <v>2</v>
      </c>
      <c r="AD423">
        <f>Reference!F$4</f>
        <v>2026</v>
      </c>
      <c r="AE423" t="str">
        <f>IF(OR(SalesData[[#This Row],[Day]]="Saturday",SalesData[[#This Row],[Day]]="Sunday"),"Weekend","Weekday")</f>
        <v>Weekend</v>
      </c>
      <c r="AF423" s="5">
        <f>IF(SalesData[[#This Row],[Contracts Offered]]=0,0,SalesData[[#This Row],[Contracts Signed]]/SalesData[[#This Row],[Contracts Offered]])</f>
        <v>0.25</v>
      </c>
      <c r="AG423" s="5">
        <f>IF(SalesData[[#This Row],[Customers Visited]]=0,0,SalesData[[#This Row],[Test Drives]]/SalesData[[#This Row],[Customers Visited]])</f>
        <v>0.50138504155124652</v>
      </c>
      <c r="AH423" s="5">
        <f>IF(SalesData[[#This Row],[Customers Visited]]=0,0,SalesData[[#This Row],[Contracts Signed]]/SalesData[[#This Row],[Customers Visited]])</f>
        <v>8.5872576177285317E-2</v>
      </c>
      <c r="AI423" s="6">
        <f>IF(SalesData[[#This Row],[Contracts Signed]]=0,0,SalesData[[#This Row],[Profit(€)]]/SalesData[[#This Row],[Contracts Signed]])</f>
        <v>2089</v>
      </c>
      <c r="AJ423" s="5" t="str">
        <f>TRIM(CLEAN(SalesData[[#This Row],[Retailer]]))</f>
        <v>Saxon Wheels</v>
      </c>
    </row>
    <row r="424" spans="1:36" ht="14.25" x14ac:dyDescent="0.2">
      <c r="A424" t="s">
        <v>863</v>
      </c>
      <c r="B424" s="1">
        <v>46081</v>
      </c>
      <c r="C424" t="s">
        <v>53</v>
      </c>
      <c r="D424" t="s">
        <v>151</v>
      </c>
      <c r="E424" t="s">
        <v>42</v>
      </c>
      <c r="F424" t="s">
        <v>127</v>
      </c>
      <c r="G424" t="s">
        <v>128</v>
      </c>
      <c r="H424" t="s">
        <v>103</v>
      </c>
      <c r="I424" t="s">
        <v>30</v>
      </c>
      <c r="J424" t="s">
        <v>86</v>
      </c>
      <c r="K424" t="s">
        <v>91</v>
      </c>
      <c r="L424" t="s">
        <v>33</v>
      </c>
      <c r="M424" t="s">
        <v>87</v>
      </c>
      <c r="N424" t="s">
        <v>69</v>
      </c>
      <c r="O424" t="s">
        <v>36</v>
      </c>
      <c r="P424" t="s">
        <v>49</v>
      </c>
      <c r="Q424" t="s">
        <v>122</v>
      </c>
      <c r="R424">
        <v>162</v>
      </c>
      <c r="S424">
        <v>88</v>
      </c>
      <c r="T424">
        <v>69</v>
      </c>
      <c r="U424">
        <v>24</v>
      </c>
      <c r="V424" t="s">
        <v>6483</v>
      </c>
      <c r="W424">
        <v>62942</v>
      </c>
      <c r="X424" t="s">
        <v>7212</v>
      </c>
      <c r="Y424">
        <v>48879</v>
      </c>
      <c r="Z424">
        <v>1510608</v>
      </c>
      <c r="AA424">
        <v>337512</v>
      </c>
      <c r="AB424" t="str">
        <f>(VLOOKUP(SalesData[[#This Row],[Month Number]],Reference!C$5:E$16,2,FALSE))</f>
        <v>Feb</v>
      </c>
      <c r="AC424">
        <f>MONTH(SalesData[[#This Row],[Date]])</f>
        <v>2</v>
      </c>
      <c r="AD424">
        <f>Reference!F$4</f>
        <v>2026</v>
      </c>
      <c r="AE424" t="str">
        <f>IF(OR(SalesData[[#This Row],[Day]]="Saturday",SalesData[[#This Row],[Day]]="Sunday"),"Weekend","Weekday")</f>
        <v>Weekend</v>
      </c>
      <c r="AF424" s="5">
        <f>IF(SalesData[[#This Row],[Contracts Offered]]=0,0,SalesData[[#This Row],[Contracts Signed]]/SalesData[[#This Row],[Contracts Offered]])</f>
        <v>0.34782608695652173</v>
      </c>
      <c r="AG424" s="5">
        <f>IF(SalesData[[#This Row],[Customers Visited]]=0,0,SalesData[[#This Row],[Test Drives]]/SalesData[[#This Row],[Customers Visited]])</f>
        <v>0.54320987654320985</v>
      </c>
      <c r="AH424" s="5">
        <f>IF(SalesData[[#This Row],[Customers Visited]]=0,0,SalesData[[#This Row],[Contracts Signed]]/SalesData[[#This Row],[Customers Visited]])</f>
        <v>0.14814814814814814</v>
      </c>
      <c r="AI424" s="6">
        <f>IF(SalesData[[#This Row],[Contracts Signed]]=0,0,SalesData[[#This Row],[Profit(€)]]/SalesData[[#This Row],[Contracts Signed]])</f>
        <v>14063</v>
      </c>
      <c r="AJ424" s="5" t="str">
        <f>TRIM(CLEAN(SalesData[[#This Row],[Retailer]]))</f>
        <v>Rhein Auto Group</v>
      </c>
    </row>
    <row r="425" spans="1:36" ht="14.25" hidden="1" x14ac:dyDescent="0.2">
      <c r="A425" t="s">
        <v>865</v>
      </c>
      <c r="B425" s="1">
        <v>46064</v>
      </c>
      <c r="C425" t="s">
        <v>121</v>
      </c>
      <c r="D425" t="s">
        <v>82</v>
      </c>
      <c r="E425" t="s">
        <v>26</v>
      </c>
      <c r="F425" t="s">
        <v>83</v>
      </c>
      <c r="G425" t="s">
        <v>84</v>
      </c>
      <c r="H425" t="s">
        <v>85</v>
      </c>
      <c r="I425" t="s">
        <v>116</v>
      </c>
      <c r="J425" t="s">
        <v>117</v>
      </c>
      <c r="K425" t="s">
        <v>66</v>
      </c>
      <c r="L425" t="s">
        <v>67</v>
      </c>
      <c r="M425" t="s">
        <v>68</v>
      </c>
      <c r="N425" t="s">
        <v>69</v>
      </c>
      <c r="O425" t="s">
        <v>70</v>
      </c>
      <c r="P425" t="s">
        <v>49</v>
      </c>
      <c r="Q425" t="s">
        <v>204</v>
      </c>
      <c r="R425">
        <v>397</v>
      </c>
      <c r="S425">
        <v>183</v>
      </c>
      <c r="T425">
        <v>118</v>
      </c>
      <c r="U425">
        <v>21</v>
      </c>
      <c r="V425" t="s">
        <v>1009</v>
      </c>
      <c r="W425">
        <v>26281</v>
      </c>
      <c r="X425" t="s">
        <v>5693</v>
      </c>
      <c r="Y425">
        <v>24188</v>
      </c>
      <c r="Z425">
        <v>551901</v>
      </c>
      <c r="AA425">
        <v>43953</v>
      </c>
      <c r="AB425" t="str">
        <f>(VLOOKUP(SalesData[[#This Row],[Month Number]],Reference!C$5:E$16,2,FALSE))</f>
        <v>Feb</v>
      </c>
      <c r="AC425">
        <f>MONTH(SalesData[[#This Row],[Date]])</f>
        <v>2</v>
      </c>
      <c r="AD425">
        <f>Reference!F$4</f>
        <v>2026</v>
      </c>
      <c r="AE425" t="str">
        <f>IF(OR(SalesData[[#This Row],[Day]]="Saturday",SalesData[[#This Row],[Day]]="Sunday"),"Weekend","Weekday")</f>
        <v>Weekday</v>
      </c>
      <c r="AF425" s="5">
        <f>IF(SalesData[[#This Row],[Contracts Offered]]=0,0,SalesData[[#This Row],[Contracts Signed]]/SalesData[[#This Row],[Contracts Offered]])</f>
        <v>0.17796610169491525</v>
      </c>
      <c r="AG425" s="5">
        <f>IF(SalesData[[#This Row],[Customers Visited]]=0,0,SalesData[[#This Row],[Test Drives]]/SalesData[[#This Row],[Customers Visited]])</f>
        <v>0.46095717884130982</v>
      </c>
      <c r="AH425" s="5">
        <f>IF(SalesData[[#This Row],[Customers Visited]]=0,0,SalesData[[#This Row],[Contracts Signed]]/SalesData[[#This Row],[Customers Visited]])</f>
        <v>5.2896725440806043E-2</v>
      </c>
      <c r="AI425" s="6">
        <f>IF(SalesData[[#This Row],[Contracts Signed]]=0,0,SalesData[[#This Row],[Profit(€)]]/SalesData[[#This Row],[Contracts Signed]])</f>
        <v>2093</v>
      </c>
      <c r="AJ425" s="5" t="str">
        <f>TRIM(CLEAN(SalesData[[#This Row],[Retailer]]))</f>
        <v>Hannover Cars</v>
      </c>
    </row>
    <row r="426" spans="1:36" ht="14.25" hidden="1" x14ac:dyDescent="0.2">
      <c r="A426" t="s">
        <v>867</v>
      </c>
      <c r="B426" s="1">
        <v>46068</v>
      </c>
      <c r="C426" t="s">
        <v>62</v>
      </c>
      <c r="D426" t="s">
        <v>41</v>
      </c>
      <c r="E426" t="s">
        <v>42</v>
      </c>
      <c r="F426" t="s">
        <v>83</v>
      </c>
      <c r="G426" t="s">
        <v>84</v>
      </c>
      <c r="H426" t="s">
        <v>85</v>
      </c>
      <c r="I426" t="s">
        <v>56</v>
      </c>
      <c r="J426" t="s">
        <v>179</v>
      </c>
      <c r="K426" t="s">
        <v>66</v>
      </c>
      <c r="L426" t="s">
        <v>67</v>
      </c>
      <c r="M426" t="s">
        <v>87</v>
      </c>
      <c r="N426" t="s">
        <v>35</v>
      </c>
      <c r="O426" t="s">
        <v>36</v>
      </c>
      <c r="P426" t="s">
        <v>37</v>
      </c>
      <c r="Q426" t="s">
        <v>167</v>
      </c>
      <c r="R426">
        <v>304</v>
      </c>
      <c r="S426">
        <v>174</v>
      </c>
      <c r="T426">
        <v>129</v>
      </c>
      <c r="U426">
        <v>40</v>
      </c>
      <c r="V426" t="s">
        <v>6489</v>
      </c>
      <c r="W426">
        <v>47989</v>
      </c>
      <c r="X426" t="s">
        <v>1937</v>
      </c>
      <c r="Y426">
        <v>38643</v>
      </c>
      <c r="Z426">
        <v>1919560</v>
      </c>
      <c r="AA426">
        <v>373840</v>
      </c>
      <c r="AB426" t="str">
        <f>(VLOOKUP(SalesData[[#This Row],[Month Number]],Reference!C$5:E$16,2,FALSE))</f>
        <v>Feb</v>
      </c>
      <c r="AC426">
        <f>MONTH(SalesData[[#This Row],[Date]])</f>
        <v>2</v>
      </c>
      <c r="AD426">
        <f>Reference!F$4</f>
        <v>2026</v>
      </c>
      <c r="AE426" t="str">
        <f>IF(OR(SalesData[[#This Row],[Day]]="Saturday",SalesData[[#This Row],[Day]]="Sunday"),"Weekend","Weekday")</f>
        <v>Weekend</v>
      </c>
      <c r="AF426" s="5">
        <f>IF(SalesData[[#This Row],[Contracts Offered]]=0,0,SalesData[[#This Row],[Contracts Signed]]/SalesData[[#This Row],[Contracts Offered]])</f>
        <v>0.31007751937984496</v>
      </c>
      <c r="AG426" s="5">
        <f>IF(SalesData[[#This Row],[Customers Visited]]=0,0,SalesData[[#This Row],[Test Drives]]/SalesData[[#This Row],[Customers Visited]])</f>
        <v>0.57236842105263153</v>
      </c>
      <c r="AH426" s="5">
        <f>IF(SalesData[[#This Row],[Customers Visited]]=0,0,SalesData[[#This Row],[Contracts Signed]]/SalesData[[#This Row],[Customers Visited]])</f>
        <v>0.13157894736842105</v>
      </c>
      <c r="AI426" s="6">
        <f>IF(SalesData[[#This Row],[Contracts Signed]]=0,0,SalesData[[#This Row],[Profit(€)]]/SalesData[[#This Row],[Contracts Signed]])</f>
        <v>9346</v>
      </c>
      <c r="AJ426" s="5" t="str">
        <f>TRIM(CLEAN(SalesData[[#This Row],[Retailer]]))</f>
        <v>Hannover Cars</v>
      </c>
    </row>
    <row r="427" spans="1:36" ht="14.25" hidden="1" x14ac:dyDescent="0.2">
      <c r="A427" t="s">
        <v>868</v>
      </c>
      <c r="B427" s="1">
        <v>46059</v>
      </c>
      <c r="C427" t="s">
        <v>24</v>
      </c>
      <c r="D427" t="s">
        <v>54</v>
      </c>
      <c r="E427" t="s">
        <v>26</v>
      </c>
      <c r="F427" t="s">
        <v>43</v>
      </c>
      <c r="G427" t="s">
        <v>44</v>
      </c>
      <c r="H427" t="s">
        <v>45</v>
      </c>
      <c r="I427" t="s">
        <v>64</v>
      </c>
      <c r="J427" t="s">
        <v>77</v>
      </c>
      <c r="K427" t="s">
        <v>91</v>
      </c>
      <c r="L427" t="s">
        <v>46</v>
      </c>
      <c r="M427" t="s">
        <v>87</v>
      </c>
      <c r="N427" t="s">
        <v>69</v>
      </c>
      <c r="O427" t="s">
        <v>36</v>
      </c>
      <c r="P427" t="s">
        <v>58</v>
      </c>
      <c r="Q427" t="s">
        <v>189</v>
      </c>
      <c r="R427">
        <v>172</v>
      </c>
      <c r="S427">
        <v>98</v>
      </c>
      <c r="T427">
        <v>73</v>
      </c>
      <c r="U427">
        <v>26</v>
      </c>
      <c r="V427" t="s">
        <v>6655</v>
      </c>
      <c r="W427">
        <v>63368</v>
      </c>
      <c r="X427" t="s">
        <v>7213</v>
      </c>
      <c r="Y427">
        <v>45683</v>
      </c>
      <c r="Z427">
        <v>1647568</v>
      </c>
      <c r="AA427">
        <v>459810</v>
      </c>
      <c r="AB427" t="str">
        <f>(VLOOKUP(SalesData[[#This Row],[Month Number]],Reference!C$5:E$16,2,FALSE))</f>
        <v>Feb</v>
      </c>
      <c r="AC427">
        <f>MONTH(SalesData[[#This Row],[Date]])</f>
        <v>2</v>
      </c>
      <c r="AD427">
        <f>Reference!F$4</f>
        <v>2026</v>
      </c>
      <c r="AE427" t="str">
        <f>IF(OR(SalesData[[#This Row],[Day]]="Saturday",SalesData[[#This Row],[Day]]="Sunday"),"Weekend","Weekday")</f>
        <v>Weekday</v>
      </c>
      <c r="AF427" s="5">
        <f>IF(SalesData[[#This Row],[Contracts Offered]]=0,0,SalesData[[#This Row],[Contracts Signed]]/SalesData[[#This Row],[Contracts Offered]])</f>
        <v>0.35616438356164382</v>
      </c>
      <c r="AG427" s="5">
        <f>IF(SalesData[[#This Row],[Customers Visited]]=0,0,SalesData[[#This Row],[Test Drives]]/SalesData[[#This Row],[Customers Visited]])</f>
        <v>0.56976744186046513</v>
      </c>
      <c r="AH427" s="5">
        <f>IF(SalesData[[#This Row],[Customers Visited]]=0,0,SalesData[[#This Row],[Contracts Signed]]/SalesData[[#This Row],[Customers Visited]])</f>
        <v>0.15116279069767441</v>
      </c>
      <c r="AI427" s="6">
        <f>IF(SalesData[[#This Row],[Contracts Signed]]=0,0,SalesData[[#This Row],[Profit(€)]]/SalesData[[#This Row],[Contracts Signed]])</f>
        <v>17685</v>
      </c>
      <c r="AJ427" s="5" t="str">
        <f>TRIM(CLEAN(SalesData[[#This Row],[Retailer]]))</f>
        <v>Saxon Wheels</v>
      </c>
    </row>
    <row r="428" spans="1:36" ht="14.25" hidden="1" x14ac:dyDescent="0.2">
      <c r="A428" t="s">
        <v>869</v>
      </c>
      <c r="B428" s="1">
        <v>46063</v>
      </c>
      <c r="C428" t="s">
        <v>121</v>
      </c>
      <c r="D428" t="s">
        <v>63</v>
      </c>
      <c r="E428" t="s">
        <v>26</v>
      </c>
      <c r="F428" t="s">
        <v>7649</v>
      </c>
      <c r="G428" t="s">
        <v>55</v>
      </c>
      <c r="H428" t="s">
        <v>55</v>
      </c>
      <c r="I428" t="s">
        <v>64</v>
      </c>
      <c r="J428" t="s">
        <v>77</v>
      </c>
      <c r="K428" t="s">
        <v>66</v>
      </c>
      <c r="L428" t="s">
        <v>46</v>
      </c>
      <c r="M428" t="s">
        <v>47</v>
      </c>
      <c r="N428" t="s">
        <v>35</v>
      </c>
      <c r="O428" t="s">
        <v>70</v>
      </c>
      <c r="P428" t="s">
        <v>58</v>
      </c>
      <c r="Q428" t="s">
        <v>118</v>
      </c>
      <c r="R428">
        <v>154</v>
      </c>
      <c r="S428">
        <v>87</v>
      </c>
      <c r="T428">
        <v>67</v>
      </c>
      <c r="U428">
        <v>26</v>
      </c>
      <c r="V428" t="s">
        <v>6803</v>
      </c>
      <c r="W428">
        <v>59456</v>
      </c>
      <c r="X428" t="s">
        <v>7214</v>
      </c>
      <c r="Y428">
        <v>43478</v>
      </c>
      <c r="Z428">
        <v>1545856</v>
      </c>
      <c r="AA428">
        <v>415428</v>
      </c>
      <c r="AB428" t="str">
        <f>(VLOOKUP(SalesData[[#This Row],[Month Number]],Reference!C$5:E$16,2,FALSE))</f>
        <v>Feb</v>
      </c>
      <c r="AC428">
        <f>MONTH(SalesData[[#This Row],[Date]])</f>
        <v>2</v>
      </c>
      <c r="AD428">
        <f>Reference!F$4</f>
        <v>2026</v>
      </c>
      <c r="AE428" t="str">
        <f>IF(OR(SalesData[[#This Row],[Day]]="Saturday",SalesData[[#This Row],[Day]]="Sunday"),"Weekend","Weekday")</f>
        <v>Weekday</v>
      </c>
      <c r="AF428" s="5">
        <f>IF(SalesData[[#This Row],[Contracts Offered]]=0,0,SalesData[[#This Row],[Contracts Signed]]/SalesData[[#This Row],[Contracts Offered]])</f>
        <v>0.38805970149253732</v>
      </c>
      <c r="AG428" s="5">
        <f>IF(SalesData[[#This Row],[Customers Visited]]=0,0,SalesData[[#This Row],[Test Drives]]/SalesData[[#This Row],[Customers Visited]])</f>
        <v>0.56493506493506496</v>
      </c>
      <c r="AH428" s="5">
        <f>IF(SalesData[[#This Row],[Customers Visited]]=0,0,SalesData[[#This Row],[Contracts Signed]]/SalesData[[#This Row],[Customers Visited]])</f>
        <v>0.16883116883116883</v>
      </c>
      <c r="AI428" s="6">
        <f>IF(SalesData[[#This Row],[Contracts Signed]]=0,0,SalesData[[#This Row],[Profit(€)]]/SalesData[[#This Row],[Contracts Signed]])</f>
        <v>15978</v>
      </c>
      <c r="AJ428" s="5" t="str">
        <f>TRIM(CLEAN(SalesData[[#This Row],[Retailer]]))</f>
        <v>Autohaus Berlin</v>
      </c>
    </row>
    <row r="429" spans="1:36" ht="14.25" hidden="1" x14ac:dyDescent="0.2">
      <c r="A429" t="s">
        <v>870</v>
      </c>
      <c r="B429" s="1">
        <v>46062</v>
      </c>
      <c r="C429" t="s">
        <v>121</v>
      </c>
      <c r="D429" t="s">
        <v>25</v>
      </c>
      <c r="E429" t="s">
        <v>26</v>
      </c>
      <c r="F429" t="s">
        <v>114</v>
      </c>
      <c r="G429" t="s">
        <v>115</v>
      </c>
      <c r="H429" t="s">
        <v>115</v>
      </c>
      <c r="I429" t="s">
        <v>64</v>
      </c>
      <c r="J429" t="s">
        <v>65</v>
      </c>
      <c r="K429" t="s">
        <v>91</v>
      </c>
      <c r="L429" t="s">
        <v>33</v>
      </c>
      <c r="M429" t="s">
        <v>68</v>
      </c>
      <c r="N429" t="s">
        <v>35</v>
      </c>
      <c r="O429" t="s">
        <v>36</v>
      </c>
      <c r="P429" t="s">
        <v>37</v>
      </c>
      <c r="Q429" t="s">
        <v>129</v>
      </c>
      <c r="R429">
        <v>235</v>
      </c>
      <c r="S429">
        <v>137</v>
      </c>
      <c r="T429">
        <v>93</v>
      </c>
      <c r="U429">
        <v>35</v>
      </c>
      <c r="V429" t="s">
        <v>6774</v>
      </c>
      <c r="W429">
        <v>52671</v>
      </c>
      <c r="X429" t="s">
        <v>7059</v>
      </c>
      <c r="Y429">
        <v>39431</v>
      </c>
      <c r="Z429">
        <v>1843485</v>
      </c>
      <c r="AA429">
        <v>463400</v>
      </c>
      <c r="AB429" t="str">
        <f>(VLOOKUP(SalesData[[#This Row],[Month Number]],Reference!C$5:E$16,2,FALSE))</f>
        <v>Feb</v>
      </c>
      <c r="AC429">
        <f>MONTH(SalesData[[#This Row],[Date]])</f>
        <v>2</v>
      </c>
      <c r="AD429">
        <f>Reference!F$4</f>
        <v>2026</v>
      </c>
      <c r="AE429" t="str">
        <f>IF(OR(SalesData[[#This Row],[Day]]="Saturday",SalesData[[#This Row],[Day]]="Sunday"),"Weekend","Weekday")</f>
        <v>Weekday</v>
      </c>
      <c r="AF429" s="5">
        <f>IF(SalesData[[#This Row],[Contracts Offered]]=0,0,SalesData[[#This Row],[Contracts Signed]]/SalesData[[#This Row],[Contracts Offered]])</f>
        <v>0.37634408602150538</v>
      </c>
      <c r="AG429" s="5">
        <f>IF(SalesData[[#This Row],[Customers Visited]]=0,0,SalesData[[#This Row],[Test Drives]]/SalesData[[#This Row],[Customers Visited]])</f>
        <v>0.58297872340425527</v>
      </c>
      <c r="AH429" s="5">
        <f>IF(SalesData[[#This Row],[Customers Visited]]=0,0,SalesData[[#This Row],[Contracts Signed]]/SalesData[[#This Row],[Customers Visited]])</f>
        <v>0.14893617021276595</v>
      </c>
      <c r="AI429" s="6">
        <f>IF(SalesData[[#This Row],[Contracts Signed]]=0,0,SalesData[[#This Row],[Profit(€)]]/SalesData[[#This Row],[Contracts Signed]])</f>
        <v>13240</v>
      </c>
      <c r="AJ429" s="5" t="str">
        <f>TRIM(CLEAN(SalesData[[#This Row],[Retailer]]))</f>
        <v>Elbe Drive</v>
      </c>
    </row>
    <row r="430" spans="1:36" ht="14.25" hidden="1" x14ac:dyDescent="0.2">
      <c r="A430" t="s">
        <v>872</v>
      </c>
      <c r="B430" s="1">
        <v>46061</v>
      </c>
      <c r="C430" t="s">
        <v>121</v>
      </c>
      <c r="D430" t="s">
        <v>41</v>
      </c>
      <c r="E430" t="s">
        <v>42</v>
      </c>
      <c r="F430" t="s">
        <v>127</v>
      </c>
      <c r="G430" t="s">
        <v>128</v>
      </c>
      <c r="H430" t="s">
        <v>103</v>
      </c>
      <c r="I430" t="s">
        <v>116</v>
      </c>
      <c r="J430" t="s">
        <v>7090</v>
      </c>
      <c r="K430" t="s">
        <v>91</v>
      </c>
      <c r="L430" t="s">
        <v>46</v>
      </c>
      <c r="M430" t="s">
        <v>68</v>
      </c>
      <c r="N430" t="s">
        <v>35</v>
      </c>
      <c r="O430" t="s">
        <v>36</v>
      </c>
      <c r="P430" t="s">
        <v>49</v>
      </c>
      <c r="Q430" t="s">
        <v>347</v>
      </c>
      <c r="R430">
        <v>328</v>
      </c>
      <c r="S430">
        <v>176</v>
      </c>
      <c r="T430">
        <v>101</v>
      </c>
      <c r="U430">
        <v>26</v>
      </c>
      <c r="V430" t="s">
        <v>192</v>
      </c>
      <c r="W430">
        <v>20471</v>
      </c>
      <c r="X430" t="s">
        <v>4431</v>
      </c>
      <c r="Y430">
        <v>18519</v>
      </c>
      <c r="Z430">
        <v>532246</v>
      </c>
      <c r="AA430">
        <v>50752</v>
      </c>
      <c r="AB430" t="str">
        <f>(VLOOKUP(SalesData[[#This Row],[Month Number]],Reference!C$5:E$16,2,FALSE))</f>
        <v>Feb</v>
      </c>
      <c r="AC430">
        <f>MONTH(SalesData[[#This Row],[Date]])</f>
        <v>2</v>
      </c>
      <c r="AD430">
        <f>Reference!F$4</f>
        <v>2026</v>
      </c>
      <c r="AE430" t="str">
        <f>IF(OR(SalesData[[#This Row],[Day]]="Saturday",SalesData[[#This Row],[Day]]="Sunday"),"Weekend","Weekday")</f>
        <v>Weekend</v>
      </c>
      <c r="AF430" s="5">
        <f>IF(SalesData[[#This Row],[Contracts Offered]]=0,0,SalesData[[#This Row],[Contracts Signed]]/SalesData[[#This Row],[Contracts Offered]])</f>
        <v>0.25742574257425743</v>
      </c>
      <c r="AG430" s="5">
        <f>IF(SalesData[[#This Row],[Customers Visited]]=0,0,SalesData[[#This Row],[Test Drives]]/SalesData[[#This Row],[Customers Visited]])</f>
        <v>0.53658536585365857</v>
      </c>
      <c r="AH430" s="5">
        <f>IF(SalesData[[#This Row],[Customers Visited]]=0,0,SalesData[[#This Row],[Contracts Signed]]/SalesData[[#This Row],[Customers Visited]])</f>
        <v>7.926829268292683E-2</v>
      </c>
      <c r="AI430" s="6">
        <f>IF(SalesData[[#This Row],[Contracts Signed]]=0,0,SalesData[[#This Row],[Profit(€)]]/SalesData[[#This Row],[Contracts Signed]])</f>
        <v>1952</v>
      </c>
      <c r="AJ430" s="5" t="str">
        <f>TRIM(CLEAN(SalesData[[#This Row],[Retailer]]))</f>
        <v>Rhein Auto Group</v>
      </c>
    </row>
    <row r="431" spans="1:36" ht="14.25" hidden="1" x14ac:dyDescent="0.2">
      <c r="A431" t="s">
        <v>873</v>
      </c>
      <c r="B431" s="1">
        <v>46075</v>
      </c>
      <c r="C431" t="s">
        <v>53</v>
      </c>
      <c r="D431" t="s">
        <v>41</v>
      </c>
      <c r="E431" t="s">
        <v>42</v>
      </c>
      <c r="F431" t="s">
        <v>101</v>
      </c>
      <c r="G431" t="s">
        <v>102</v>
      </c>
      <c r="H431" t="s">
        <v>103</v>
      </c>
      <c r="I431" t="s">
        <v>56</v>
      </c>
      <c r="J431" t="s">
        <v>7028</v>
      </c>
      <c r="K431" t="s">
        <v>66</v>
      </c>
      <c r="L431" t="s">
        <v>46</v>
      </c>
      <c r="M431" t="s">
        <v>47</v>
      </c>
      <c r="N431" t="s">
        <v>69</v>
      </c>
      <c r="O431" t="s">
        <v>36</v>
      </c>
      <c r="P431" t="s">
        <v>71</v>
      </c>
      <c r="Q431" t="s">
        <v>240</v>
      </c>
      <c r="R431">
        <v>311</v>
      </c>
      <c r="S431">
        <v>197</v>
      </c>
      <c r="T431">
        <v>149</v>
      </c>
      <c r="U431">
        <v>42</v>
      </c>
      <c r="V431" t="s">
        <v>7215</v>
      </c>
      <c r="W431">
        <v>45294</v>
      </c>
      <c r="X431" t="s">
        <v>7216</v>
      </c>
      <c r="Y431">
        <v>35117</v>
      </c>
      <c r="Z431">
        <v>1902348</v>
      </c>
      <c r="AA431">
        <v>427434</v>
      </c>
      <c r="AB431" t="str">
        <f>(VLOOKUP(SalesData[[#This Row],[Month Number]],Reference!C$5:E$16,2,FALSE))</f>
        <v>Feb</v>
      </c>
      <c r="AC431">
        <f>MONTH(SalesData[[#This Row],[Date]])</f>
        <v>2</v>
      </c>
      <c r="AD431">
        <f>Reference!F$4</f>
        <v>2026</v>
      </c>
      <c r="AE431" t="str">
        <f>IF(OR(SalesData[[#This Row],[Day]]="Saturday",SalesData[[#This Row],[Day]]="Sunday"),"Weekend","Weekday")</f>
        <v>Weekend</v>
      </c>
      <c r="AF431" s="5">
        <f>IF(SalesData[[#This Row],[Contracts Offered]]=0,0,SalesData[[#This Row],[Contracts Signed]]/SalesData[[#This Row],[Contracts Offered]])</f>
        <v>0.28187919463087246</v>
      </c>
      <c r="AG431" s="5">
        <f>IF(SalesData[[#This Row],[Customers Visited]]=0,0,SalesData[[#This Row],[Test Drives]]/SalesData[[#This Row],[Customers Visited]])</f>
        <v>0.63344051446945338</v>
      </c>
      <c r="AH431" s="5">
        <f>IF(SalesData[[#This Row],[Customers Visited]]=0,0,SalesData[[#This Row],[Contracts Signed]]/SalesData[[#This Row],[Customers Visited]])</f>
        <v>0.13504823151125403</v>
      </c>
      <c r="AI431" s="6">
        <f>IF(SalesData[[#This Row],[Contracts Signed]]=0,0,SalesData[[#This Row],[Profit(€)]]/SalesData[[#This Row],[Contracts Signed]])</f>
        <v>10177</v>
      </c>
      <c r="AJ431" s="5" t="str">
        <f>TRIM(CLEAN(SalesData[[#This Row],[Retailer]]))</f>
        <v>Ruhr Auto Plaza</v>
      </c>
    </row>
    <row r="432" spans="1:36" ht="14.25" hidden="1" x14ac:dyDescent="0.2">
      <c r="A432" t="s">
        <v>874</v>
      </c>
      <c r="B432" s="1">
        <v>46054</v>
      </c>
      <c r="C432" t="s">
        <v>24</v>
      </c>
      <c r="D432" t="s">
        <v>41</v>
      </c>
      <c r="E432" t="s">
        <v>42</v>
      </c>
      <c r="F432" t="s">
        <v>27</v>
      </c>
      <c r="G432" t="s">
        <v>28</v>
      </c>
      <c r="H432" t="s">
        <v>29</v>
      </c>
      <c r="I432" t="s">
        <v>104</v>
      </c>
      <c r="J432" t="s">
        <v>140</v>
      </c>
      <c r="K432" t="s">
        <v>66</v>
      </c>
      <c r="L432" t="s">
        <v>46</v>
      </c>
      <c r="M432" t="s">
        <v>68</v>
      </c>
      <c r="N432" t="s">
        <v>48</v>
      </c>
      <c r="O432" t="s">
        <v>70</v>
      </c>
      <c r="P432" t="s">
        <v>49</v>
      </c>
      <c r="Q432" t="s">
        <v>122</v>
      </c>
      <c r="R432">
        <v>386</v>
      </c>
      <c r="S432">
        <v>164</v>
      </c>
      <c r="T432">
        <v>108</v>
      </c>
      <c r="U432">
        <v>25</v>
      </c>
      <c r="V432" t="s">
        <v>2774</v>
      </c>
      <c r="W432">
        <v>25830</v>
      </c>
      <c r="X432" t="s">
        <v>1668</v>
      </c>
      <c r="Y432">
        <v>23204</v>
      </c>
      <c r="Z432">
        <v>645750</v>
      </c>
      <c r="AA432">
        <v>65650</v>
      </c>
      <c r="AB432" t="str">
        <f>(VLOOKUP(SalesData[[#This Row],[Month Number]],Reference!C$5:E$16,2,FALSE))</f>
        <v>Feb</v>
      </c>
      <c r="AC432">
        <f>MONTH(SalesData[[#This Row],[Date]])</f>
        <v>2</v>
      </c>
      <c r="AD432">
        <f>Reference!F$4</f>
        <v>2026</v>
      </c>
      <c r="AE432" t="str">
        <f>IF(OR(SalesData[[#This Row],[Day]]="Saturday",SalesData[[#This Row],[Day]]="Sunday"),"Weekend","Weekday")</f>
        <v>Weekend</v>
      </c>
      <c r="AF432" s="5">
        <f>IF(SalesData[[#This Row],[Contracts Offered]]=0,0,SalesData[[#This Row],[Contracts Signed]]/SalesData[[#This Row],[Contracts Offered]])</f>
        <v>0.23148148148148148</v>
      </c>
      <c r="AG432" s="5">
        <f>IF(SalesData[[#This Row],[Customers Visited]]=0,0,SalesData[[#This Row],[Test Drives]]/SalesData[[#This Row],[Customers Visited]])</f>
        <v>0.42487046632124353</v>
      </c>
      <c r="AH432" s="5">
        <f>IF(SalesData[[#This Row],[Customers Visited]]=0,0,SalesData[[#This Row],[Contracts Signed]]/SalesData[[#This Row],[Customers Visited]])</f>
        <v>6.4766839378238336E-2</v>
      </c>
      <c r="AI432" s="6">
        <f>IF(SalesData[[#This Row],[Contracts Signed]]=0,0,SalesData[[#This Row],[Profit(€)]]/SalesData[[#This Row],[Contracts Signed]])</f>
        <v>2626</v>
      </c>
      <c r="AJ432" s="5" t="str">
        <f>TRIM(CLEAN(SalesData[[#This Row],[Retailer]]))</f>
        <v>Main Auto Hub</v>
      </c>
    </row>
    <row r="433" spans="1:36" ht="14.25" x14ac:dyDescent="0.2">
      <c r="A433" t="s">
        <v>875</v>
      </c>
      <c r="B433" s="1">
        <v>46062</v>
      </c>
      <c r="C433" t="s">
        <v>121</v>
      </c>
      <c r="D433" t="s">
        <v>25</v>
      </c>
      <c r="E433" t="s">
        <v>26</v>
      </c>
      <c r="F433" t="s">
        <v>127</v>
      </c>
      <c r="G433" t="s">
        <v>128</v>
      </c>
      <c r="H433" t="s">
        <v>103</v>
      </c>
      <c r="I433" t="s">
        <v>30</v>
      </c>
      <c r="J433" t="s">
        <v>7075</v>
      </c>
      <c r="K433" t="s">
        <v>66</v>
      </c>
      <c r="L433" t="s">
        <v>33</v>
      </c>
      <c r="M433" t="s">
        <v>47</v>
      </c>
      <c r="N433" t="s">
        <v>48</v>
      </c>
      <c r="O433" t="s">
        <v>36</v>
      </c>
      <c r="P433" t="s">
        <v>37</v>
      </c>
      <c r="Q433" t="s">
        <v>167</v>
      </c>
      <c r="R433">
        <v>149</v>
      </c>
      <c r="S433">
        <v>70</v>
      </c>
      <c r="T433">
        <v>52</v>
      </c>
      <c r="U433">
        <v>20</v>
      </c>
      <c r="V433" t="s">
        <v>6357</v>
      </c>
      <c r="W433">
        <v>61313</v>
      </c>
      <c r="X433" t="s">
        <v>7217</v>
      </c>
      <c r="Y433">
        <v>46365</v>
      </c>
      <c r="Z433">
        <v>1226260</v>
      </c>
      <c r="AA433">
        <v>298960</v>
      </c>
      <c r="AB433" t="str">
        <f>(VLOOKUP(SalesData[[#This Row],[Month Number]],Reference!C$5:E$16,2,FALSE))</f>
        <v>Feb</v>
      </c>
      <c r="AC433">
        <f>MONTH(SalesData[[#This Row],[Date]])</f>
        <v>2</v>
      </c>
      <c r="AD433">
        <f>Reference!F$4</f>
        <v>2026</v>
      </c>
      <c r="AE433" t="str">
        <f>IF(OR(SalesData[[#This Row],[Day]]="Saturday",SalesData[[#This Row],[Day]]="Sunday"),"Weekend","Weekday")</f>
        <v>Weekday</v>
      </c>
      <c r="AF433" s="5">
        <f>IF(SalesData[[#This Row],[Contracts Offered]]=0,0,SalesData[[#This Row],[Contracts Signed]]/SalesData[[#This Row],[Contracts Offered]])</f>
        <v>0.38461538461538464</v>
      </c>
      <c r="AG433" s="5">
        <f>IF(SalesData[[#This Row],[Customers Visited]]=0,0,SalesData[[#This Row],[Test Drives]]/SalesData[[#This Row],[Customers Visited]])</f>
        <v>0.46979865771812079</v>
      </c>
      <c r="AH433" s="5">
        <f>IF(SalesData[[#This Row],[Customers Visited]]=0,0,SalesData[[#This Row],[Contracts Signed]]/SalesData[[#This Row],[Customers Visited]])</f>
        <v>0.13422818791946309</v>
      </c>
      <c r="AI433" s="6">
        <f>IF(SalesData[[#This Row],[Contracts Signed]]=0,0,SalesData[[#This Row],[Profit(€)]]/SalesData[[#This Row],[Contracts Signed]])</f>
        <v>14948</v>
      </c>
      <c r="AJ433" s="5" t="str">
        <f>TRIM(CLEAN(SalesData[[#This Row],[Retailer]]))</f>
        <v>Rhein Auto Group</v>
      </c>
    </row>
    <row r="434" spans="1:36" ht="14.25" hidden="1" x14ac:dyDescent="0.2">
      <c r="A434" t="s">
        <v>877</v>
      </c>
      <c r="B434" s="1">
        <v>46073</v>
      </c>
      <c r="C434" t="s">
        <v>62</v>
      </c>
      <c r="D434" t="s">
        <v>54</v>
      </c>
      <c r="E434" t="s">
        <v>26</v>
      </c>
      <c r="F434" t="s">
        <v>127</v>
      </c>
      <c r="G434" t="s">
        <v>128</v>
      </c>
      <c r="H434" t="s">
        <v>103</v>
      </c>
      <c r="I434" t="s">
        <v>56</v>
      </c>
      <c r="J434" t="s">
        <v>97</v>
      </c>
      <c r="K434" t="s">
        <v>91</v>
      </c>
      <c r="L434" t="s">
        <v>33</v>
      </c>
      <c r="M434" t="s">
        <v>34</v>
      </c>
      <c r="N434" t="s">
        <v>35</v>
      </c>
      <c r="O434" t="s">
        <v>36</v>
      </c>
      <c r="P434" t="s">
        <v>71</v>
      </c>
      <c r="Q434" t="s">
        <v>79</v>
      </c>
      <c r="R434">
        <v>167</v>
      </c>
      <c r="S434">
        <v>86</v>
      </c>
      <c r="T434">
        <v>65</v>
      </c>
      <c r="U434">
        <v>23</v>
      </c>
      <c r="V434" t="s">
        <v>6416</v>
      </c>
      <c r="W434">
        <v>50906</v>
      </c>
      <c r="X434" t="s">
        <v>331</v>
      </c>
      <c r="Y434">
        <v>39853</v>
      </c>
      <c r="Z434">
        <v>1170838</v>
      </c>
      <c r="AA434">
        <v>254219</v>
      </c>
      <c r="AB434" t="str">
        <f>(VLOOKUP(SalesData[[#This Row],[Month Number]],Reference!C$5:E$16,2,FALSE))</f>
        <v>Feb</v>
      </c>
      <c r="AC434">
        <f>MONTH(SalesData[[#This Row],[Date]])</f>
        <v>2</v>
      </c>
      <c r="AD434">
        <f>Reference!F$4</f>
        <v>2026</v>
      </c>
      <c r="AE434" t="str">
        <f>IF(OR(SalesData[[#This Row],[Day]]="Saturday",SalesData[[#This Row],[Day]]="Sunday"),"Weekend","Weekday")</f>
        <v>Weekday</v>
      </c>
      <c r="AF434" s="5">
        <f>IF(SalesData[[#This Row],[Contracts Offered]]=0,0,SalesData[[#This Row],[Contracts Signed]]/SalesData[[#This Row],[Contracts Offered]])</f>
        <v>0.35384615384615387</v>
      </c>
      <c r="AG434" s="5">
        <f>IF(SalesData[[#This Row],[Customers Visited]]=0,0,SalesData[[#This Row],[Test Drives]]/SalesData[[#This Row],[Customers Visited]])</f>
        <v>0.51497005988023947</v>
      </c>
      <c r="AH434" s="5">
        <f>IF(SalesData[[#This Row],[Customers Visited]]=0,0,SalesData[[#This Row],[Contracts Signed]]/SalesData[[#This Row],[Customers Visited]])</f>
        <v>0.1377245508982036</v>
      </c>
      <c r="AI434" s="6">
        <f>IF(SalesData[[#This Row],[Contracts Signed]]=0,0,SalesData[[#This Row],[Profit(€)]]/SalesData[[#This Row],[Contracts Signed]])</f>
        <v>11053</v>
      </c>
      <c r="AJ434" s="5" t="str">
        <f>TRIM(CLEAN(SalesData[[#This Row],[Retailer]]))</f>
        <v>Rhein Auto Group</v>
      </c>
    </row>
    <row r="435" spans="1:36" ht="14.25" hidden="1" x14ac:dyDescent="0.2">
      <c r="A435" t="s">
        <v>879</v>
      </c>
      <c r="B435" s="1">
        <v>46063</v>
      </c>
      <c r="C435" t="s">
        <v>121</v>
      </c>
      <c r="D435" t="s">
        <v>63</v>
      </c>
      <c r="E435" t="s">
        <v>26</v>
      </c>
      <c r="F435" t="s">
        <v>27</v>
      </c>
      <c r="G435" t="s">
        <v>28</v>
      </c>
      <c r="H435" t="s">
        <v>29</v>
      </c>
      <c r="I435" t="s">
        <v>56</v>
      </c>
      <c r="J435" t="s">
        <v>57</v>
      </c>
      <c r="K435" t="s">
        <v>91</v>
      </c>
      <c r="L435" t="s">
        <v>46</v>
      </c>
      <c r="M435" t="s">
        <v>68</v>
      </c>
      <c r="N435" t="s">
        <v>69</v>
      </c>
      <c r="O435" t="s">
        <v>70</v>
      </c>
      <c r="P435" t="s">
        <v>37</v>
      </c>
      <c r="Q435" t="s">
        <v>240</v>
      </c>
      <c r="R435">
        <v>267</v>
      </c>
      <c r="S435">
        <v>123</v>
      </c>
      <c r="T435">
        <v>85</v>
      </c>
      <c r="U435">
        <v>27</v>
      </c>
      <c r="V435" t="s">
        <v>6382</v>
      </c>
      <c r="W435">
        <v>46612</v>
      </c>
      <c r="X435" t="s">
        <v>7218</v>
      </c>
      <c r="Y435">
        <v>35775</v>
      </c>
      <c r="Z435">
        <v>1258524</v>
      </c>
      <c r="AA435">
        <v>292599</v>
      </c>
      <c r="AB435" t="str">
        <f>(VLOOKUP(SalesData[[#This Row],[Month Number]],Reference!C$5:E$16,2,FALSE))</f>
        <v>Feb</v>
      </c>
      <c r="AC435">
        <f>MONTH(SalesData[[#This Row],[Date]])</f>
        <v>2</v>
      </c>
      <c r="AD435">
        <f>Reference!F$4</f>
        <v>2026</v>
      </c>
      <c r="AE435" t="str">
        <f>IF(OR(SalesData[[#This Row],[Day]]="Saturday",SalesData[[#This Row],[Day]]="Sunday"),"Weekend","Weekday")</f>
        <v>Weekday</v>
      </c>
      <c r="AF435" s="5">
        <f>IF(SalesData[[#This Row],[Contracts Offered]]=0,0,SalesData[[#This Row],[Contracts Signed]]/SalesData[[#This Row],[Contracts Offered]])</f>
        <v>0.31764705882352939</v>
      </c>
      <c r="AG435" s="5">
        <f>IF(SalesData[[#This Row],[Customers Visited]]=0,0,SalesData[[#This Row],[Test Drives]]/SalesData[[#This Row],[Customers Visited]])</f>
        <v>0.4606741573033708</v>
      </c>
      <c r="AH435" s="5">
        <f>IF(SalesData[[#This Row],[Customers Visited]]=0,0,SalesData[[#This Row],[Contracts Signed]]/SalesData[[#This Row],[Customers Visited]])</f>
        <v>0.10112359550561797</v>
      </c>
      <c r="AI435" s="6">
        <f>IF(SalesData[[#This Row],[Contracts Signed]]=0,0,SalesData[[#This Row],[Profit(€)]]/SalesData[[#This Row],[Contracts Signed]])</f>
        <v>10837</v>
      </c>
      <c r="AJ435" s="5" t="str">
        <f>TRIM(CLEAN(SalesData[[#This Row],[Retailer]]))</f>
        <v>Main Auto Hub</v>
      </c>
    </row>
    <row r="436" spans="1:36" ht="14.25" hidden="1" x14ac:dyDescent="0.2">
      <c r="A436" t="s">
        <v>881</v>
      </c>
      <c r="B436" s="1">
        <v>46063</v>
      </c>
      <c r="C436" t="s">
        <v>121</v>
      </c>
      <c r="D436" t="s">
        <v>63</v>
      </c>
      <c r="E436" t="s">
        <v>26</v>
      </c>
      <c r="F436" t="s">
        <v>94</v>
      </c>
      <c r="G436" t="s">
        <v>95</v>
      </c>
      <c r="H436" t="s">
        <v>96</v>
      </c>
      <c r="I436" t="s">
        <v>116</v>
      </c>
      <c r="J436" t="s">
        <v>132</v>
      </c>
      <c r="K436" t="s">
        <v>66</v>
      </c>
      <c r="L436" t="s">
        <v>46</v>
      </c>
      <c r="M436" t="s">
        <v>34</v>
      </c>
      <c r="N436" t="s">
        <v>69</v>
      </c>
      <c r="O436" t="s">
        <v>70</v>
      </c>
      <c r="P436" t="s">
        <v>49</v>
      </c>
      <c r="Q436" t="s">
        <v>79</v>
      </c>
      <c r="R436">
        <v>339</v>
      </c>
      <c r="S436">
        <v>171</v>
      </c>
      <c r="T436">
        <v>108</v>
      </c>
      <c r="U436">
        <v>24</v>
      </c>
      <c r="V436" t="s">
        <v>687</v>
      </c>
      <c r="W436">
        <v>24017</v>
      </c>
      <c r="X436" t="s">
        <v>232</v>
      </c>
      <c r="Y436">
        <v>21817</v>
      </c>
      <c r="Z436">
        <v>576408</v>
      </c>
      <c r="AA436">
        <v>52800</v>
      </c>
      <c r="AB436" t="str">
        <f>(VLOOKUP(SalesData[[#This Row],[Month Number]],Reference!C$5:E$16,2,FALSE))</f>
        <v>Feb</v>
      </c>
      <c r="AC436">
        <f>MONTH(SalesData[[#This Row],[Date]])</f>
        <v>2</v>
      </c>
      <c r="AD436">
        <f>Reference!F$4</f>
        <v>2026</v>
      </c>
      <c r="AE436" t="str">
        <f>IF(OR(SalesData[[#This Row],[Day]]="Saturday",SalesData[[#This Row],[Day]]="Sunday"),"Weekend","Weekday")</f>
        <v>Weekday</v>
      </c>
      <c r="AF436" s="5">
        <f>IF(SalesData[[#This Row],[Contracts Offered]]=0,0,SalesData[[#This Row],[Contracts Signed]]/SalesData[[#This Row],[Contracts Offered]])</f>
        <v>0.22222222222222221</v>
      </c>
      <c r="AG436" s="5">
        <f>IF(SalesData[[#This Row],[Customers Visited]]=0,0,SalesData[[#This Row],[Test Drives]]/SalesData[[#This Row],[Customers Visited]])</f>
        <v>0.50442477876106195</v>
      </c>
      <c r="AH436" s="5">
        <f>IF(SalesData[[#This Row],[Customers Visited]]=0,0,SalesData[[#This Row],[Contracts Signed]]/SalesData[[#This Row],[Customers Visited]])</f>
        <v>7.0796460176991149E-2</v>
      </c>
      <c r="AI436" s="6">
        <f>IF(SalesData[[#This Row],[Contracts Signed]]=0,0,SalesData[[#This Row],[Profit(€)]]/SalesData[[#This Row],[Contracts Signed]])</f>
        <v>2200</v>
      </c>
      <c r="AJ436" s="5" t="str">
        <f>TRIM(CLEAN(SalesData[[#This Row],[Retailer]]))</f>
        <v>Bavaria Motors</v>
      </c>
    </row>
    <row r="437" spans="1:36" ht="14.25" hidden="1" x14ac:dyDescent="0.2">
      <c r="A437" t="s">
        <v>883</v>
      </c>
      <c r="B437" s="1">
        <v>46066</v>
      </c>
      <c r="C437" t="s">
        <v>121</v>
      </c>
      <c r="D437" t="s">
        <v>54</v>
      </c>
      <c r="E437" t="s">
        <v>26</v>
      </c>
      <c r="F437" t="s">
        <v>7649</v>
      </c>
      <c r="G437" t="s">
        <v>55</v>
      </c>
      <c r="H437" t="s">
        <v>55</v>
      </c>
      <c r="I437" t="s">
        <v>56</v>
      </c>
      <c r="J437" t="s">
        <v>97</v>
      </c>
      <c r="K437" t="s">
        <v>32</v>
      </c>
      <c r="L437" t="s">
        <v>33</v>
      </c>
      <c r="M437" t="s">
        <v>68</v>
      </c>
      <c r="N437" t="s">
        <v>48</v>
      </c>
      <c r="O437" t="s">
        <v>70</v>
      </c>
      <c r="P437" t="s">
        <v>37</v>
      </c>
      <c r="Q437" t="s">
        <v>204</v>
      </c>
      <c r="R437">
        <v>203</v>
      </c>
      <c r="S437">
        <v>112</v>
      </c>
      <c r="T437">
        <v>73</v>
      </c>
      <c r="U437">
        <v>25</v>
      </c>
      <c r="V437" t="s">
        <v>6753</v>
      </c>
      <c r="W437">
        <v>46348</v>
      </c>
      <c r="X437" t="s">
        <v>7219</v>
      </c>
      <c r="Y437">
        <v>35711</v>
      </c>
      <c r="Z437">
        <v>1158700</v>
      </c>
      <c r="AA437">
        <v>265925</v>
      </c>
      <c r="AB437" t="str">
        <f>(VLOOKUP(SalesData[[#This Row],[Month Number]],Reference!C$5:E$16,2,FALSE))</f>
        <v>Feb</v>
      </c>
      <c r="AC437">
        <f>MONTH(SalesData[[#This Row],[Date]])</f>
        <v>2</v>
      </c>
      <c r="AD437">
        <f>Reference!F$4</f>
        <v>2026</v>
      </c>
      <c r="AE437" t="str">
        <f>IF(OR(SalesData[[#This Row],[Day]]="Saturday",SalesData[[#This Row],[Day]]="Sunday"),"Weekend","Weekday")</f>
        <v>Weekday</v>
      </c>
      <c r="AF437" s="5">
        <f>IF(SalesData[[#This Row],[Contracts Offered]]=0,0,SalesData[[#This Row],[Contracts Signed]]/SalesData[[#This Row],[Contracts Offered]])</f>
        <v>0.34246575342465752</v>
      </c>
      <c r="AG437" s="5">
        <f>IF(SalesData[[#This Row],[Customers Visited]]=0,0,SalesData[[#This Row],[Test Drives]]/SalesData[[#This Row],[Customers Visited]])</f>
        <v>0.55172413793103448</v>
      </c>
      <c r="AH437" s="5">
        <f>IF(SalesData[[#This Row],[Customers Visited]]=0,0,SalesData[[#This Row],[Contracts Signed]]/SalesData[[#This Row],[Customers Visited]])</f>
        <v>0.12315270935960591</v>
      </c>
      <c r="AI437" s="6">
        <f>IF(SalesData[[#This Row],[Contracts Signed]]=0,0,SalesData[[#This Row],[Profit(€)]]/SalesData[[#This Row],[Contracts Signed]])</f>
        <v>10637</v>
      </c>
      <c r="AJ437" s="5" t="str">
        <f>TRIM(CLEAN(SalesData[[#This Row],[Retailer]]))</f>
        <v>Autohaus Berlin</v>
      </c>
    </row>
    <row r="438" spans="1:36" ht="14.25" hidden="1" x14ac:dyDescent="0.2">
      <c r="A438" t="s">
        <v>885</v>
      </c>
      <c r="B438" s="1">
        <v>46068</v>
      </c>
      <c r="C438" t="s">
        <v>62</v>
      </c>
      <c r="D438" t="s">
        <v>41</v>
      </c>
      <c r="E438" t="s">
        <v>42</v>
      </c>
      <c r="F438" t="s">
        <v>94</v>
      </c>
      <c r="G438" t="s">
        <v>95</v>
      </c>
      <c r="H438" t="s">
        <v>96</v>
      </c>
      <c r="I438" t="s">
        <v>116</v>
      </c>
      <c r="J438" t="s">
        <v>7026</v>
      </c>
      <c r="K438" t="s">
        <v>91</v>
      </c>
      <c r="L438" t="s">
        <v>46</v>
      </c>
      <c r="M438" t="s">
        <v>47</v>
      </c>
      <c r="N438" t="s">
        <v>35</v>
      </c>
      <c r="O438" t="s">
        <v>36</v>
      </c>
      <c r="P438" t="s">
        <v>58</v>
      </c>
      <c r="Q438" t="s">
        <v>189</v>
      </c>
      <c r="R438">
        <v>355</v>
      </c>
      <c r="S438">
        <v>176</v>
      </c>
      <c r="T438">
        <v>109</v>
      </c>
      <c r="U438">
        <v>39</v>
      </c>
      <c r="V438" t="s">
        <v>6804</v>
      </c>
      <c r="W438">
        <v>24662</v>
      </c>
      <c r="X438" t="s">
        <v>260</v>
      </c>
      <c r="Y438">
        <v>22806</v>
      </c>
      <c r="Z438">
        <v>961818</v>
      </c>
      <c r="AA438">
        <v>72384</v>
      </c>
      <c r="AB438" t="str">
        <f>(VLOOKUP(SalesData[[#This Row],[Month Number]],Reference!C$5:E$16,2,FALSE))</f>
        <v>Feb</v>
      </c>
      <c r="AC438">
        <f>MONTH(SalesData[[#This Row],[Date]])</f>
        <v>2</v>
      </c>
      <c r="AD438">
        <f>Reference!F$4</f>
        <v>2026</v>
      </c>
      <c r="AE438" t="str">
        <f>IF(OR(SalesData[[#This Row],[Day]]="Saturday",SalesData[[#This Row],[Day]]="Sunday"),"Weekend","Weekday")</f>
        <v>Weekend</v>
      </c>
      <c r="AF438" s="5">
        <f>IF(SalesData[[#This Row],[Contracts Offered]]=0,0,SalesData[[#This Row],[Contracts Signed]]/SalesData[[#This Row],[Contracts Offered]])</f>
        <v>0.3577981651376147</v>
      </c>
      <c r="AG438" s="5">
        <f>IF(SalesData[[#This Row],[Customers Visited]]=0,0,SalesData[[#This Row],[Test Drives]]/SalesData[[#This Row],[Customers Visited]])</f>
        <v>0.49577464788732395</v>
      </c>
      <c r="AH438" s="5">
        <f>IF(SalesData[[#This Row],[Customers Visited]]=0,0,SalesData[[#This Row],[Contracts Signed]]/SalesData[[#This Row],[Customers Visited]])</f>
        <v>0.10985915492957747</v>
      </c>
      <c r="AI438" s="6">
        <f>IF(SalesData[[#This Row],[Contracts Signed]]=0,0,SalesData[[#This Row],[Profit(€)]]/SalesData[[#This Row],[Contracts Signed]])</f>
        <v>1856</v>
      </c>
      <c r="AJ438" s="5" t="str">
        <f>TRIM(CLEAN(SalesData[[#This Row],[Retailer]]))</f>
        <v>Bavaria Motors</v>
      </c>
    </row>
    <row r="439" spans="1:36" ht="14.25" hidden="1" x14ac:dyDescent="0.2">
      <c r="A439" t="s">
        <v>887</v>
      </c>
      <c r="B439" s="1">
        <v>46070</v>
      </c>
      <c r="C439" t="s">
        <v>62</v>
      </c>
      <c r="D439" t="s">
        <v>63</v>
      </c>
      <c r="E439" t="s">
        <v>26</v>
      </c>
      <c r="F439" t="s">
        <v>114</v>
      </c>
      <c r="G439" t="s">
        <v>115</v>
      </c>
      <c r="H439" t="s">
        <v>115</v>
      </c>
      <c r="I439" t="s">
        <v>104</v>
      </c>
      <c r="J439" t="s">
        <v>7031</v>
      </c>
      <c r="K439" t="s">
        <v>66</v>
      </c>
      <c r="L439" t="s">
        <v>46</v>
      </c>
      <c r="M439" t="s">
        <v>87</v>
      </c>
      <c r="N439" t="s">
        <v>69</v>
      </c>
      <c r="O439" t="s">
        <v>70</v>
      </c>
      <c r="P439" t="s">
        <v>71</v>
      </c>
      <c r="Q439" t="s">
        <v>118</v>
      </c>
      <c r="R439">
        <v>271</v>
      </c>
      <c r="S439">
        <v>144</v>
      </c>
      <c r="T439">
        <v>99</v>
      </c>
      <c r="U439">
        <v>25</v>
      </c>
      <c r="V439" t="s">
        <v>2646</v>
      </c>
      <c r="W439">
        <v>31027</v>
      </c>
      <c r="X439" t="s">
        <v>3906</v>
      </c>
      <c r="Y439">
        <v>27319</v>
      </c>
      <c r="Z439">
        <v>775675</v>
      </c>
      <c r="AA439">
        <v>92700</v>
      </c>
      <c r="AB439" t="str">
        <f>(VLOOKUP(SalesData[[#This Row],[Month Number]],Reference!C$5:E$16,2,FALSE))</f>
        <v>Feb</v>
      </c>
      <c r="AC439">
        <f>MONTH(SalesData[[#This Row],[Date]])</f>
        <v>2</v>
      </c>
      <c r="AD439">
        <f>Reference!F$4</f>
        <v>2026</v>
      </c>
      <c r="AE439" t="str">
        <f>IF(OR(SalesData[[#This Row],[Day]]="Saturday",SalesData[[#This Row],[Day]]="Sunday"),"Weekend","Weekday")</f>
        <v>Weekday</v>
      </c>
      <c r="AF439" s="5">
        <f>IF(SalesData[[#This Row],[Contracts Offered]]=0,0,SalesData[[#This Row],[Contracts Signed]]/SalesData[[#This Row],[Contracts Offered]])</f>
        <v>0.25252525252525254</v>
      </c>
      <c r="AG439" s="5">
        <f>IF(SalesData[[#This Row],[Customers Visited]]=0,0,SalesData[[#This Row],[Test Drives]]/SalesData[[#This Row],[Customers Visited]])</f>
        <v>0.53136531365313655</v>
      </c>
      <c r="AH439" s="5">
        <f>IF(SalesData[[#This Row],[Customers Visited]]=0,0,SalesData[[#This Row],[Contracts Signed]]/SalesData[[#This Row],[Customers Visited]])</f>
        <v>9.2250922509225092E-2</v>
      </c>
      <c r="AI439" s="6">
        <f>IF(SalesData[[#This Row],[Contracts Signed]]=0,0,SalesData[[#This Row],[Profit(€)]]/SalesData[[#This Row],[Contracts Signed]])</f>
        <v>3708</v>
      </c>
      <c r="AJ439" s="5" t="str">
        <f>TRIM(CLEAN(SalesData[[#This Row],[Retailer]]))</f>
        <v>Elbe Drive</v>
      </c>
    </row>
    <row r="440" spans="1:36" ht="14.25" hidden="1" x14ac:dyDescent="0.2">
      <c r="A440" t="s">
        <v>888</v>
      </c>
      <c r="B440" s="1">
        <v>46077</v>
      </c>
      <c r="C440" t="s">
        <v>53</v>
      </c>
      <c r="D440" t="s">
        <v>63</v>
      </c>
      <c r="E440" t="s">
        <v>26</v>
      </c>
      <c r="F440" t="s">
        <v>101</v>
      </c>
      <c r="G440" t="s">
        <v>102</v>
      </c>
      <c r="H440" t="s">
        <v>103</v>
      </c>
      <c r="I440" t="s">
        <v>64</v>
      </c>
      <c r="J440" t="s">
        <v>65</v>
      </c>
      <c r="K440" t="s">
        <v>66</v>
      </c>
      <c r="L440" t="s">
        <v>33</v>
      </c>
      <c r="M440" t="s">
        <v>34</v>
      </c>
      <c r="N440" t="s">
        <v>35</v>
      </c>
      <c r="O440" t="s">
        <v>70</v>
      </c>
      <c r="P440" t="s">
        <v>37</v>
      </c>
      <c r="Q440" t="s">
        <v>158</v>
      </c>
      <c r="R440">
        <v>170</v>
      </c>
      <c r="S440">
        <v>79</v>
      </c>
      <c r="T440">
        <v>58</v>
      </c>
      <c r="U440">
        <v>16</v>
      </c>
      <c r="V440" t="s">
        <v>6911</v>
      </c>
      <c r="W440">
        <v>63385</v>
      </c>
      <c r="X440" t="s">
        <v>1151</v>
      </c>
      <c r="Y440">
        <v>45473</v>
      </c>
      <c r="Z440">
        <v>1014160</v>
      </c>
      <c r="AA440">
        <v>286592</v>
      </c>
      <c r="AB440" t="str">
        <f>(VLOOKUP(SalesData[[#This Row],[Month Number]],Reference!C$5:E$16,2,FALSE))</f>
        <v>Feb</v>
      </c>
      <c r="AC440">
        <f>MONTH(SalesData[[#This Row],[Date]])</f>
        <v>2</v>
      </c>
      <c r="AD440">
        <f>Reference!F$4</f>
        <v>2026</v>
      </c>
      <c r="AE440" t="str">
        <f>IF(OR(SalesData[[#This Row],[Day]]="Saturday",SalesData[[#This Row],[Day]]="Sunday"),"Weekend","Weekday")</f>
        <v>Weekday</v>
      </c>
      <c r="AF440" s="5">
        <f>IF(SalesData[[#This Row],[Contracts Offered]]=0,0,SalesData[[#This Row],[Contracts Signed]]/SalesData[[#This Row],[Contracts Offered]])</f>
        <v>0.27586206896551724</v>
      </c>
      <c r="AG440" s="5">
        <f>IF(SalesData[[#This Row],[Customers Visited]]=0,0,SalesData[[#This Row],[Test Drives]]/SalesData[[#This Row],[Customers Visited]])</f>
        <v>0.46470588235294119</v>
      </c>
      <c r="AH440" s="5">
        <f>IF(SalesData[[#This Row],[Customers Visited]]=0,0,SalesData[[#This Row],[Contracts Signed]]/SalesData[[#This Row],[Customers Visited]])</f>
        <v>9.4117647058823528E-2</v>
      </c>
      <c r="AI440" s="6">
        <f>IF(SalesData[[#This Row],[Contracts Signed]]=0,0,SalesData[[#This Row],[Profit(€)]]/SalesData[[#This Row],[Contracts Signed]])</f>
        <v>17912</v>
      </c>
      <c r="AJ440" s="5" t="str">
        <f>TRIM(CLEAN(SalesData[[#This Row],[Retailer]]))</f>
        <v>Ruhr Auto Plaza</v>
      </c>
    </row>
    <row r="441" spans="1:36" ht="14.25" hidden="1" x14ac:dyDescent="0.2">
      <c r="A441" t="s">
        <v>890</v>
      </c>
      <c r="B441" s="1">
        <v>46080</v>
      </c>
      <c r="C441" t="s">
        <v>53</v>
      </c>
      <c r="D441" t="s">
        <v>54</v>
      </c>
      <c r="E441" t="s">
        <v>26</v>
      </c>
      <c r="F441" t="s">
        <v>114</v>
      </c>
      <c r="G441" t="s">
        <v>115</v>
      </c>
      <c r="H441" t="s">
        <v>115</v>
      </c>
      <c r="I441" t="s">
        <v>104</v>
      </c>
      <c r="J441" t="s">
        <v>143</v>
      </c>
      <c r="K441" t="s">
        <v>66</v>
      </c>
      <c r="L441" t="s">
        <v>67</v>
      </c>
      <c r="M441" t="s">
        <v>87</v>
      </c>
      <c r="N441" t="s">
        <v>35</v>
      </c>
      <c r="O441" t="s">
        <v>70</v>
      </c>
      <c r="P441" t="s">
        <v>58</v>
      </c>
      <c r="Q441" t="s">
        <v>167</v>
      </c>
      <c r="R441">
        <v>424</v>
      </c>
      <c r="S441">
        <v>230</v>
      </c>
      <c r="T441">
        <v>154</v>
      </c>
      <c r="U441">
        <v>43</v>
      </c>
      <c r="V441" t="s">
        <v>3598</v>
      </c>
      <c r="W441">
        <v>32313</v>
      </c>
      <c r="X441" t="s">
        <v>1465</v>
      </c>
      <c r="Y441">
        <v>28529</v>
      </c>
      <c r="Z441">
        <v>1389459</v>
      </c>
      <c r="AA441">
        <v>162712</v>
      </c>
      <c r="AB441" t="str">
        <f>(VLOOKUP(SalesData[[#This Row],[Month Number]],Reference!C$5:E$16,2,FALSE))</f>
        <v>Feb</v>
      </c>
      <c r="AC441">
        <f>MONTH(SalesData[[#This Row],[Date]])</f>
        <v>2</v>
      </c>
      <c r="AD441">
        <f>Reference!F$4</f>
        <v>2026</v>
      </c>
      <c r="AE441" t="str">
        <f>IF(OR(SalesData[[#This Row],[Day]]="Saturday",SalesData[[#This Row],[Day]]="Sunday"),"Weekend","Weekday")</f>
        <v>Weekday</v>
      </c>
      <c r="AF441" s="5">
        <f>IF(SalesData[[#This Row],[Contracts Offered]]=0,0,SalesData[[#This Row],[Contracts Signed]]/SalesData[[#This Row],[Contracts Offered]])</f>
        <v>0.2792207792207792</v>
      </c>
      <c r="AG441" s="5">
        <f>IF(SalesData[[#This Row],[Customers Visited]]=0,0,SalesData[[#This Row],[Test Drives]]/SalesData[[#This Row],[Customers Visited]])</f>
        <v>0.54245283018867929</v>
      </c>
      <c r="AH441" s="5">
        <f>IF(SalesData[[#This Row],[Customers Visited]]=0,0,SalesData[[#This Row],[Contracts Signed]]/SalesData[[#This Row],[Customers Visited]])</f>
        <v>0.10141509433962265</v>
      </c>
      <c r="AI441" s="6">
        <f>IF(SalesData[[#This Row],[Contracts Signed]]=0,0,SalesData[[#This Row],[Profit(€)]]/SalesData[[#This Row],[Contracts Signed]])</f>
        <v>3784</v>
      </c>
      <c r="AJ441" s="5" t="str">
        <f>TRIM(CLEAN(SalesData[[#This Row],[Retailer]]))</f>
        <v>Elbe Drive</v>
      </c>
    </row>
    <row r="442" spans="1:36" ht="14.25" x14ac:dyDescent="0.2">
      <c r="A442" t="s">
        <v>891</v>
      </c>
      <c r="B442" s="1">
        <v>46064</v>
      </c>
      <c r="C442" t="s">
        <v>121</v>
      </c>
      <c r="D442" t="s">
        <v>82</v>
      </c>
      <c r="E442" t="s">
        <v>26</v>
      </c>
      <c r="F442" t="s">
        <v>101</v>
      </c>
      <c r="G442" t="s">
        <v>102</v>
      </c>
      <c r="H442" t="s">
        <v>103</v>
      </c>
      <c r="I442" t="s">
        <v>30</v>
      </c>
      <c r="J442" t="s">
        <v>166</v>
      </c>
      <c r="K442" t="s">
        <v>91</v>
      </c>
      <c r="L442" t="s">
        <v>46</v>
      </c>
      <c r="M442" t="s">
        <v>87</v>
      </c>
      <c r="N442" t="s">
        <v>69</v>
      </c>
      <c r="O442" t="s">
        <v>70</v>
      </c>
      <c r="P442" t="s">
        <v>58</v>
      </c>
      <c r="Q442" t="s">
        <v>204</v>
      </c>
      <c r="R442">
        <v>273</v>
      </c>
      <c r="S442">
        <v>138</v>
      </c>
      <c r="T442">
        <v>111</v>
      </c>
      <c r="U442">
        <v>41</v>
      </c>
      <c r="V442" t="s">
        <v>6769</v>
      </c>
      <c r="W442">
        <v>53191</v>
      </c>
      <c r="X442" t="s">
        <v>7220</v>
      </c>
      <c r="Y442">
        <v>39762</v>
      </c>
      <c r="Z442">
        <v>2180831</v>
      </c>
      <c r="AA442">
        <v>550589</v>
      </c>
      <c r="AB442" t="str">
        <f>(VLOOKUP(SalesData[[#This Row],[Month Number]],Reference!C$5:E$16,2,FALSE))</f>
        <v>Feb</v>
      </c>
      <c r="AC442">
        <f>MONTH(SalesData[[#This Row],[Date]])</f>
        <v>2</v>
      </c>
      <c r="AD442">
        <f>Reference!F$4</f>
        <v>2026</v>
      </c>
      <c r="AE442" t="str">
        <f>IF(OR(SalesData[[#This Row],[Day]]="Saturday",SalesData[[#This Row],[Day]]="Sunday"),"Weekend","Weekday")</f>
        <v>Weekday</v>
      </c>
      <c r="AF442" s="5">
        <f>IF(SalesData[[#This Row],[Contracts Offered]]=0,0,SalesData[[#This Row],[Contracts Signed]]/SalesData[[#This Row],[Contracts Offered]])</f>
        <v>0.36936936936936937</v>
      </c>
      <c r="AG442" s="5">
        <f>IF(SalesData[[#This Row],[Customers Visited]]=0,0,SalesData[[#This Row],[Test Drives]]/SalesData[[#This Row],[Customers Visited]])</f>
        <v>0.50549450549450547</v>
      </c>
      <c r="AH442" s="5">
        <f>IF(SalesData[[#This Row],[Customers Visited]]=0,0,SalesData[[#This Row],[Contracts Signed]]/SalesData[[#This Row],[Customers Visited]])</f>
        <v>0.15018315018315018</v>
      </c>
      <c r="AI442" s="6">
        <f>IF(SalesData[[#This Row],[Contracts Signed]]=0,0,SalesData[[#This Row],[Profit(€)]]/SalesData[[#This Row],[Contracts Signed]])</f>
        <v>13429</v>
      </c>
      <c r="AJ442" s="5" t="str">
        <f>TRIM(CLEAN(SalesData[[#This Row],[Retailer]]))</f>
        <v>Ruhr Auto Plaza</v>
      </c>
    </row>
    <row r="443" spans="1:36" ht="14.25" hidden="1" x14ac:dyDescent="0.2">
      <c r="A443" t="s">
        <v>893</v>
      </c>
      <c r="B443" s="1">
        <v>46054</v>
      </c>
      <c r="C443" t="s">
        <v>24</v>
      </c>
      <c r="D443" t="s">
        <v>41</v>
      </c>
      <c r="E443" t="s">
        <v>42</v>
      </c>
      <c r="F443" t="s">
        <v>101</v>
      </c>
      <c r="G443" t="s">
        <v>102</v>
      </c>
      <c r="H443" t="s">
        <v>103</v>
      </c>
      <c r="I443" t="s">
        <v>104</v>
      </c>
      <c r="J443" t="s">
        <v>140</v>
      </c>
      <c r="K443" t="s">
        <v>78</v>
      </c>
      <c r="L443" t="s">
        <v>46</v>
      </c>
      <c r="M443" t="s">
        <v>68</v>
      </c>
      <c r="N443" t="s">
        <v>69</v>
      </c>
      <c r="O443" t="s">
        <v>70</v>
      </c>
      <c r="P443" t="s">
        <v>49</v>
      </c>
      <c r="Q443" t="s">
        <v>204</v>
      </c>
      <c r="R443">
        <v>367</v>
      </c>
      <c r="S443">
        <v>183</v>
      </c>
      <c r="T443">
        <v>110</v>
      </c>
      <c r="U443">
        <v>25</v>
      </c>
      <c r="V443" t="s">
        <v>1385</v>
      </c>
      <c r="W443">
        <v>28565</v>
      </c>
      <c r="X443" t="s">
        <v>861</v>
      </c>
      <c r="Y443">
        <v>25116</v>
      </c>
      <c r="Z443">
        <v>714125</v>
      </c>
      <c r="AA443">
        <v>86225</v>
      </c>
      <c r="AB443" t="str">
        <f>(VLOOKUP(SalesData[[#This Row],[Month Number]],Reference!C$5:E$16,2,FALSE))</f>
        <v>Feb</v>
      </c>
      <c r="AC443">
        <f>MONTH(SalesData[[#This Row],[Date]])</f>
        <v>2</v>
      </c>
      <c r="AD443">
        <f>Reference!F$4</f>
        <v>2026</v>
      </c>
      <c r="AE443" t="str">
        <f>IF(OR(SalesData[[#This Row],[Day]]="Saturday",SalesData[[#This Row],[Day]]="Sunday"),"Weekend","Weekday")</f>
        <v>Weekend</v>
      </c>
      <c r="AF443" s="5">
        <f>IF(SalesData[[#This Row],[Contracts Offered]]=0,0,SalesData[[#This Row],[Contracts Signed]]/SalesData[[#This Row],[Contracts Offered]])</f>
        <v>0.22727272727272727</v>
      </c>
      <c r="AG443" s="5">
        <f>IF(SalesData[[#This Row],[Customers Visited]]=0,0,SalesData[[#This Row],[Test Drives]]/SalesData[[#This Row],[Customers Visited]])</f>
        <v>0.49863760217983649</v>
      </c>
      <c r="AH443" s="5">
        <f>IF(SalesData[[#This Row],[Customers Visited]]=0,0,SalesData[[#This Row],[Contracts Signed]]/SalesData[[#This Row],[Customers Visited]])</f>
        <v>6.8119891008174394E-2</v>
      </c>
      <c r="AI443" s="6">
        <f>IF(SalesData[[#This Row],[Contracts Signed]]=0,0,SalesData[[#This Row],[Profit(€)]]/SalesData[[#This Row],[Contracts Signed]])</f>
        <v>3449</v>
      </c>
      <c r="AJ443" s="5" t="str">
        <f>TRIM(CLEAN(SalesData[[#This Row],[Retailer]]))</f>
        <v>Ruhr Auto Plaza</v>
      </c>
    </row>
    <row r="444" spans="1:36" ht="14.25" hidden="1" x14ac:dyDescent="0.2">
      <c r="A444" t="s">
        <v>895</v>
      </c>
      <c r="B444" s="1">
        <v>46066</v>
      </c>
      <c r="C444" t="s">
        <v>121</v>
      </c>
      <c r="D444" t="s">
        <v>54</v>
      </c>
      <c r="E444" t="s">
        <v>26</v>
      </c>
      <c r="F444" t="s">
        <v>109</v>
      </c>
      <c r="G444" t="s">
        <v>110</v>
      </c>
      <c r="H444" t="s">
        <v>45</v>
      </c>
      <c r="I444" t="s">
        <v>116</v>
      </c>
      <c r="J444" t="s">
        <v>7090</v>
      </c>
      <c r="K444" t="s">
        <v>66</v>
      </c>
      <c r="L444" t="s">
        <v>46</v>
      </c>
      <c r="M444" t="s">
        <v>68</v>
      </c>
      <c r="N444" t="s">
        <v>48</v>
      </c>
      <c r="O444" t="s">
        <v>36</v>
      </c>
      <c r="P444" t="s">
        <v>71</v>
      </c>
      <c r="Q444" t="s">
        <v>79</v>
      </c>
      <c r="R444">
        <v>245</v>
      </c>
      <c r="S444">
        <v>119</v>
      </c>
      <c r="T444">
        <v>80</v>
      </c>
      <c r="U444">
        <v>22</v>
      </c>
      <c r="V444" t="s">
        <v>1107</v>
      </c>
      <c r="W444">
        <v>20716</v>
      </c>
      <c r="X444" t="s">
        <v>7221</v>
      </c>
      <c r="Y444">
        <v>18740</v>
      </c>
      <c r="Z444">
        <v>455752</v>
      </c>
      <c r="AA444">
        <v>43472</v>
      </c>
      <c r="AB444" t="str">
        <f>(VLOOKUP(SalesData[[#This Row],[Month Number]],Reference!C$5:E$16,2,FALSE))</f>
        <v>Feb</v>
      </c>
      <c r="AC444">
        <f>MONTH(SalesData[[#This Row],[Date]])</f>
        <v>2</v>
      </c>
      <c r="AD444">
        <f>Reference!F$4</f>
        <v>2026</v>
      </c>
      <c r="AE444" t="str">
        <f>IF(OR(SalesData[[#This Row],[Day]]="Saturday",SalesData[[#This Row],[Day]]="Sunday"),"Weekend","Weekday")</f>
        <v>Weekday</v>
      </c>
      <c r="AF444" s="5">
        <f>IF(SalesData[[#This Row],[Contracts Offered]]=0,0,SalesData[[#This Row],[Contracts Signed]]/SalesData[[#This Row],[Contracts Offered]])</f>
        <v>0.27500000000000002</v>
      </c>
      <c r="AG444" s="5">
        <f>IF(SalesData[[#This Row],[Customers Visited]]=0,0,SalesData[[#This Row],[Test Drives]]/SalesData[[#This Row],[Customers Visited]])</f>
        <v>0.48571428571428571</v>
      </c>
      <c r="AH444" s="5">
        <f>IF(SalesData[[#This Row],[Customers Visited]]=0,0,SalesData[[#This Row],[Contracts Signed]]/SalesData[[#This Row],[Customers Visited]])</f>
        <v>8.9795918367346933E-2</v>
      </c>
      <c r="AI444" s="6">
        <f>IF(SalesData[[#This Row],[Contracts Signed]]=0,0,SalesData[[#This Row],[Profit(€)]]/SalesData[[#This Row],[Contracts Signed]])</f>
        <v>1976</v>
      </c>
      <c r="AJ444" s="5" t="str">
        <f>TRIM(CLEAN(SalesData[[#This Row],[Retailer]]))</f>
        <v>Leipzig Mobility</v>
      </c>
    </row>
    <row r="445" spans="1:36" ht="14.25" hidden="1" x14ac:dyDescent="0.2">
      <c r="A445" t="s">
        <v>897</v>
      </c>
      <c r="B445" s="1">
        <v>46068</v>
      </c>
      <c r="C445" t="s">
        <v>62</v>
      </c>
      <c r="D445" t="s">
        <v>41</v>
      </c>
      <c r="E445" t="s">
        <v>42</v>
      </c>
      <c r="F445" t="s">
        <v>7649</v>
      </c>
      <c r="G445" t="s">
        <v>55</v>
      </c>
      <c r="H445" t="s">
        <v>55</v>
      </c>
      <c r="I445" t="s">
        <v>56</v>
      </c>
      <c r="J445" t="s">
        <v>97</v>
      </c>
      <c r="K445" t="s">
        <v>32</v>
      </c>
      <c r="L445" t="s">
        <v>33</v>
      </c>
      <c r="M445" t="s">
        <v>87</v>
      </c>
      <c r="N445" t="s">
        <v>48</v>
      </c>
      <c r="O445" t="s">
        <v>36</v>
      </c>
      <c r="P445" t="s">
        <v>37</v>
      </c>
      <c r="Q445" t="s">
        <v>144</v>
      </c>
      <c r="R445">
        <v>314</v>
      </c>
      <c r="S445">
        <v>194</v>
      </c>
      <c r="T445">
        <v>134</v>
      </c>
      <c r="U445">
        <v>41</v>
      </c>
      <c r="V445" t="s">
        <v>6943</v>
      </c>
      <c r="W445">
        <v>53368</v>
      </c>
      <c r="X445" t="s">
        <v>7222</v>
      </c>
      <c r="Y445">
        <v>41008</v>
      </c>
      <c r="Z445">
        <v>2188088</v>
      </c>
      <c r="AA445">
        <v>506760</v>
      </c>
      <c r="AB445" t="str">
        <f>(VLOOKUP(SalesData[[#This Row],[Month Number]],Reference!C$5:E$16,2,FALSE))</f>
        <v>Feb</v>
      </c>
      <c r="AC445">
        <f>MONTH(SalesData[[#This Row],[Date]])</f>
        <v>2</v>
      </c>
      <c r="AD445">
        <f>Reference!F$4</f>
        <v>2026</v>
      </c>
      <c r="AE445" t="str">
        <f>IF(OR(SalesData[[#This Row],[Day]]="Saturday",SalesData[[#This Row],[Day]]="Sunday"),"Weekend","Weekday")</f>
        <v>Weekend</v>
      </c>
      <c r="AF445" s="5">
        <f>IF(SalesData[[#This Row],[Contracts Offered]]=0,0,SalesData[[#This Row],[Contracts Signed]]/SalesData[[#This Row],[Contracts Offered]])</f>
        <v>0.30597014925373134</v>
      </c>
      <c r="AG445" s="5">
        <f>IF(SalesData[[#This Row],[Customers Visited]]=0,0,SalesData[[#This Row],[Test Drives]]/SalesData[[#This Row],[Customers Visited]])</f>
        <v>0.61783439490445857</v>
      </c>
      <c r="AH445" s="5">
        <f>IF(SalesData[[#This Row],[Customers Visited]]=0,0,SalesData[[#This Row],[Contracts Signed]]/SalesData[[#This Row],[Customers Visited]])</f>
        <v>0.13057324840764331</v>
      </c>
      <c r="AI445" s="6">
        <f>IF(SalesData[[#This Row],[Contracts Signed]]=0,0,SalesData[[#This Row],[Profit(€)]]/SalesData[[#This Row],[Contracts Signed]])</f>
        <v>12360</v>
      </c>
      <c r="AJ445" s="5" t="str">
        <f>TRIM(CLEAN(SalesData[[#This Row],[Retailer]]))</f>
        <v>Autohaus Berlin</v>
      </c>
    </row>
    <row r="446" spans="1:36" ht="14.25" hidden="1" x14ac:dyDescent="0.2">
      <c r="A446" t="s">
        <v>899</v>
      </c>
      <c r="B446" s="1">
        <v>46081</v>
      </c>
      <c r="C446" t="s">
        <v>53</v>
      </c>
      <c r="D446" t="s">
        <v>151</v>
      </c>
      <c r="E446" t="s">
        <v>42</v>
      </c>
      <c r="F446" t="s">
        <v>109</v>
      </c>
      <c r="G446" t="s">
        <v>110</v>
      </c>
      <c r="H446" t="s">
        <v>45</v>
      </c>
      <c r="I446" t="s">
        <v>116</v>
      </c>
      <c r="J446" t="s">
        <v>7026</v>
      </c>
      <c r="K446" t="s">
        <v>91</v>
      </c>
      <c r="L446" t="s">
        <v>46</v>
      </c>
      <c r="M446" t="s">
        <v>68</v>
      </c>
      <c r="N446" t="s">
        <v>69</v>
      </c>
      <c r="O446" t="s">
        <v>70</v>
      </c>
      <c r="P446" t="s">
        <v>49</v>
      </c>
      <c r="Q446" t="s">
        <v>169</v>
      </c>
      <c r="R446">
        <v>417</v>
      </c>
      <c r="S446">
        <v>225</v>
      </c>
      <c r="T446">
        <v>138</v>
      </c>
      <c r="U446">
        <v>22</v>
      </c>
      <c r="V446" t="s">
        <v>2817</v>
      </c>
      <c r="W446">
        <v>25141</v>
      </c>
      <c r="X446" t="s">
        <v>5464</v>
      </c>
      <c r="Y446">
        <v>22457</v>
      </c>
      <c r="Z446">
        <v>553102</v>
      </c>
      <c r="AA446">
        <v>59048</v>
      </c>
      <c r="AB446" t="str">
        <f>(VLOOKUP(SalesData[[#This Row],[Month Number]],Reference!C$5:E$16,2,FALSE))</f>
        <v>Feb</v>
      </c>
      <c r="AC446">
        <f>MONTH(SalesData[[#This Row],[Date]])</f>
        <v>2</v>
      </c>
      <c r="AD446">
        <f>Reference!F$4</f>
        <v>2026</v>
      </c>
      <c r="AE446" t="str">
        <f>IF(OR(SalesData[[#This Row],[Day]]="Saturday",SalesData[[#This Row],[Day]]="Sunday"),"Weekend","Weekday")</f>
        <v>Weekend</v>
      </c>
      <c r="AF446" s="5">
        <f>IF(SalesData[[#This Row],[Contracts Offered]]=0,0,SalesData[[#This Row],[Contracts Signed]]/SalesData[[#This Row],[Contracts Offered]])</f>
        <v>0.15942028985507245</v>
      </c>
      <c r="AG446" s="5">
        <f>IF(SalesData[[#This Row],[Customers Visited]]=0,0,SalesData[[#This Row],[Test Drives]]/SalesData[[#This Row],[Customers Visited]])</f>
        <v>0.53956834532374098</v>
      </c>
      <c r="AH446" s="5">
        <f>IF(SalesData[[#This Row],[Customers Visited]]=0,0,SalesData[[#This Row],[Contracts Signed]]/SalesData[[#This Row],[Customers Visited]])</f>
        <v>5.2757793764988008E-2</v>
      </c>
      <c r="AI446" s="6">
        <f>IF(SalesData[[#This Row],[Contracts Signed]]=0,0,SalesData[[#This Row],[Profit(€)]]/SalesData[[#This Row],[Contracts Signed]])</f>
        <v>2684</v>
      </c>
      <c r="AJ446" s="5" t="str">
        <f>TRIM(CLEAN(SalesData[[#This Row],[Retailer]]))</f>
        <v>Leipzig Mobility</v>
      </c>
    </row>
    <row r="447" spans="1:36" ht="14.25" hidden="1" x14ac:dyDescent="0.2">
      <c r="A447" t="s">
        <v>901</v>
      </c>
      <c r="B447" s="1">
        <v>46071</v>
      </c>
      <c r="C447" t="s">
        <v>62</v>
      </c>
      <c r="D447" t="s">
        <v>82</v>
      </c>
      <c r="E447" t="s">
        <v>26</v>
      </c>
      <c r="F447" t="s">
        <v>74</v>
      </c>
      <c r="G447" t="s">
        <v>75</v>
      </c>
      <c r="H447" t="s">
        <v>76</v>
      </c>
      <c r="I447" t="s">
        <v>56</v>
      </c>
      <c r="J447" t="s">
        <v>97</v>
      </c>
      <c r="K447" t="s">
        <v>66</v>
      </c>
      <c r="L447" t="s">
        <v>33</v>
      </c>
      <c r="M447" t="s">
        <v>87</v>
      </c>
      <c r="N447" t="s">
        <v>48</v>
      </c>
      <c r="O447" t="s">
        <v>36</v>
      </c>
      <c r="P447" t="s">
        <v>58</v>
      </c>
      <c r="Q447" t="s">
        <v>79</v>
      </c>
      <c r="R447">
        <v>196</v>
      </c>
      <c r="S447">
        <v>92</v>
      </c>
      <c r="T447">
        <v>69</v>
      </c>
      <c r="U447">
        <v>26</v>
      </c>
      <c r="V447" t="s">
        <v>6896</v>
      </c>
      <c r="W447">
        <v>52739</v>
      </c>
      <c r="X447" t="s">
        <v>1286</v>
      </c>
      <c r="Y447">
        <v>40906</v>
      </c>
      <c r="Z447">
        <v>1371214</v>
      </c>
      <c r="AA447">
        <v>307658</v>
      </c>
      <c r="AB447" t="str">
        <f>(VLOOKUP(SalesData[[#This Row],[Month Number]],Reference!C$5:E$16,2,FALSE))</f>
        <v>Feb</v>
      </c>
      <c r="AC447">
        <f>MONTH(SalesData[[#This Row],[Date]])</f>
        <v>2</v>
      </c>
      <c r="AD447">
        <f>Reference!F$4</f>
        <v>2026</v>
      </c>
      <c r="AE447" t="str">
        <f>IF(OR(SalesData[[#This Row],[Day]]="Saturday",SalesData[[#This Row],[Day]]="Sunday"),"Weekend","Weekday")</f>
        <v>Weekday</v>
      </c>
      <c r="AF447" s="5">
        <f>IF(SalesData[[#This Row],[Contracts Offered]]=0,0,SalesData[[#This Row],[Contracts Signed]]/SalesData[[#This Row],[Contracts Offered]])</f>
        <v>0.37681159420289856</v>
      </c>
      <c r="AG447" s="5">
        <f>IF(SalesData[[#This Row],[Customers Visited]]=0,0,SalesData[[#This Row],[Test Drives]]/SalesData[[#This Row],[Customers Visited]])</f>
        <v>0.46938775510204084</v>
      </c>
      <c r="AH447" s="5">
        <f>IF(SalesData[[#This Row],[Customers Visited]]=0,0,SalesData[[#This Row],[Contracts Signed]]/SalesData[[#This Row],[Customers Visited]])</f>
        <v>0.1326530612244898</v>
      </c>
      <c r="AI447" s="6">
        <f>IF(SalesData[[#This Row],[Contracts Signed]]=0,0,SalesData[[#This Row],[Profit(€)]]/SalesData[[#This Row],[Contracts Signed]])</f>
        <v>11833</v>
      </c>
      <c r="AJ447" s="5" t="str">
        <f>TRIM(CLEAN(SalesData[[#This Row],[Retailer]]))</f>
        <v>Stuttgart Auto Center</v>
      </c>
    </row>
    <row r="448" spans="1:36" ht="14.25" x14ac:dyDescent="0.2">
      <c r="A448" t="s">
        <v>903</v>
      </c>
      <c r="B448" s="1">
        <v>46077</v>
      </c>
      <c r="C448" t="s">
        <v>53</v>
      </c>
      <c r="D448" t="s">
        <v>63</v>
      </c>
      <c r="E448" t="s">
        <v>26</v>
      </c>
      <c r="F448" t="s">
        <v>101</v>
      </c>
      <c r="G448" t="s">
        <v>102</v>
      </c>
      <c r="H448" t="s">
        <v>103</v>
      </c>
      <c r="I448" t="s">
        <v>30</v>
      </c>
      <c r="J448" t="s">
        <v>188</v>
      </c>
      <c r="K448" t="s">
        <v>66</v>
      </c>
      <c r="L448" t="s">
        <v>33</v>
      </c>
      <c r="M448" t="s">
        <v>68</v>
      </c>
      <c r="N448" t="s">
        <v>35</v>
      </c>
      <c r="O448" t="s">
        <v>36</v>
      </c>
      <c r="P448" t="s">
        <v>71</v>
      </c>
      <c r="Q448" t="s">
        <v>59</v>
      </c>
      <c r="R448">
        <v>239</v>
      </c>
      <c r="S448">
        <v>123</v>
      </c>
      <c r="T448">
        <v>88</v>
      </c>
      <c r="U448">
        <v>32</v>
      </c>
      <c r="V448" t="s">
        <v>6515</v>
      </c>
      <c r="W448">
        <v>62780</v>
      </c>
      <c r="X448" t="s">
        <v>2667</v>
      </c>
      <c r="Y448">
        <v>44979</v>
      </c>
      <c r="Z448">
        <v>2008960</v>
      </c>
      <c r="AA448">
        <v>569632</v>
      </c>
      <c r="AB448" t="str">
        <f>(VLOOKUP(SalesData[[#This Row],[Month Number]],Reference!C$5:E$16,2,FALSE))</f>
        <v>Feb</v>
      </c>
      <c r="AC448">
        <f>MONTH(SalesData[[#This Row],[Date]])</f>
        <v>2</v>
      </c>
      <c r="AD448">
        <f>Reference!F$4</f>
        <v>2026</v>
      </c>
      <c r="AE448" t="str">
        <f>IF(OR(SalesData[[#This Row],[Day]]="Saturday",SalesData[[#This Row],[Day]]="Sunday"),"Weekend","Weekday")</f>
        <v>Weekday</v>
      </c>
      <c r="AF448" s="5">
        <f>IF(SalesData[[#This Row],[Contracts Offered]]=0,0,SalesData[[#This Row],[Contracts Signed]]/SalesData[[#This Row],[Contracts Offered]])</f>
        <v>0.36363636363636365</v>
      </c>
      <c r="AG448" s="5">
        <f>IF(SalesData[[#This Row],[Customers Visited]]=0,0,SalesData[[#This Row],[Test Drives]]/SalesData[[#This Row],[Customers Visited]])</f>
        <v>0.5146443514644351</v>
      </c>
      <c r="AH448" s="5">
        <f>IF(SalesData[[#This Row],[Customers Visited]]=0,0,SalesData[[#This Row],[Contracts Signed]]/SalesData[[#This Row],[Customers Visited]])</f>
        <v>0.13389121338912133</v>
      </c>
      <c r="AI448" s="6">
        <f>IF(SalesData[[#This Row],[Contracts Signed]]=0,0,SalesData[[#This Row],[Profit(€)]]/SalesData[[#This Row],[Contracts Signed]])</f>
        <v>17801</v>
      </c>
      <c r="AJ448" s="5" t="str">
        <f>TRIM(CLEAN(SalesData[[#This Row],[Retailer]]))</f>
        <v>Ruhr Auto Plaza</v>
      </c>
    </row>
    <row r="449" spans="1:36" ht="14.25" hidden="1" x14ac:dyDescent="0.2">
      <c r="A449" t="s">
        <v>905</v>
      </c>
      <c r="B449" s="1">
        <v>46073</v>
      </c>
      <c r="C449" t="s">
        <v>62</v>
      </c>
      <c r="D449" t="s">
        <v>54</v>
      </c>
      <c r="E449" t="s">
        <v>26</v>
      </c>
      <c r="F449" t="s">
        <v>83</v>
      </c>
      <c r="G449" t="s">
        <v>84</v>
      </c>
      <c r="H449" t="s">
        <v>85</v>
      </c>
      <c r="I449" t="s">
        <v>104</v>
      </c>
      <c r="J449" t="s">
        <v>7061</v>
      </c>
      <c r="K449" t="s">
        <v>66</v>
      </c>
      <c r="L449" t="s">
        <v>46</v>
      </c>
      <c r="M449" t="s">
        <v>87</v>
      </c>
      <c r="N449" t="s">
        <v>48</v>
      </c>
      <c r="O449" t="s">
        <v>70</v>
      </c>
      <c r="P449" t="s">
        <v>37</v>
      </c>
      <c r="Q449" t="s">
        <v>158</v>
      </c>
      <c r="R449">
        <v>264</v>
      </c>
      <c r="S449">
        <v>137</v>
      </c>
      <c r="T449">
        <v>96</v>
      </c>
      <c r="U449">
        <v>16</v>
      </c>
      <c r="V449" t="s">
        <v>1571</v>
      </c>
      <c r="W449">
        <v>25791</v>
      </c>
      <c r="X449" t="s">
        <v>919</v>
      </c>
      <c r="Y449">
        <v>22196</v>
      </c>
      <c r="Z449">
        <v>412656</v>
      </c>
      <c r="AA449">
        <v>57520</v>
      </c>
      <c r="AB449" t="str">
        <f>(VLOOKUP(SalesData[[#This Row],[Month Number]],Reference!C$5:E$16,2,FALSE))</f>
        <v>Feb</v>
      </c>
      <c r="AC449">
        <f>MONTH(SalesData[[#This Row],[Date]])</f>
        <v>2</v>
      </c>
      <c r="AD449">
        <f>Reference!F$4</f>
        <v>2026</v>
      </c>
      <c r="AE449" t="str">
        <f>IF(OR(SalesData[[#This Row],[Day]]="Saturday",SalesData[[#This Row],[Day]]="Sunday"),"Weekend","Weekday")</f>
        <v>Weekday</v>
      </c>
      <c r="AF449" s="5">
        <f>IF(SalesData[[#This Row],[Contracts Offered]]=0,0,SalesData[[#This Row],[Contracts Signed]]/SalesData[[#This Row],[Contracts Offered]])</f>
        <v>0.16666666666666666</v>
      </c>
      <c r="AG449" s="5">
        <f>IF(SalesData[[#This Row],[Customers Visited]]=0,0,SalesData[[#This Row],[Test Drives]]/SalesData[[#This Row],[Customers Visited]])</f>
        <v>0.51893939393939392</v>
      </c>
      <c r="AH449" s="5">
        <f>IF(SalesData[[#This Row],[Customers Visited]]=0,0,SalesData[[#This Row],[Contracts Signed]]/SalesData[[#This Row],[Customers Visited]])</f>
        <v>6.0606060606060608E-2</v>
      </c>
      <c r="AI449" s="6">
        <f>IF(SalesData[[#This Row],[Contracts Signed]]=0,0,SalesData[[#This Row],[Profit(€)]]/SalesData[[#This Row],[Contracts Signed]])</f>
        <v>3595</v>
      </c>
      <c r="AJ449" s="5" t="str">
        <f>TRIM(CLEAN(SalesData[[#This Row],[Retailer]]))</f>
        <v>Hannover Cars</v>
      </c>
    </row>
    <row r="450" spans="1:36" ht="14.25" hidden="1" x14ac:dyDescent="0.2">
      <c r="A450" t="s">
        <v>907</v>
      </c>
      <c r="B450" s="1">
        <v>46067</v>
      </c>
      <c r="C450" t="s">
        <v>121</v>
      </c>
      <c r="D450" t="s">
        <v>151</v>
      </c>
      <c r="E450" t="s">
        <v>42</v>
      </c>
      <c r="F450" t="s">
        <v>114</v>
      </c>
      <c r="G450" t="s">
        <v>115</v>
      </c>
      <c r="H450" t="s">
        <v>115</v>
      </c>
      <c r="I450" t="s">
        <v>104</v>
      </c>
      <c r="J450" t="s">
        <v>7061</v>
      </c>
      <c r="K450" t="s">
        <v>78</v>
      </c>
      <c r="L450" t="s">
        <v>46</v>
      </c>
      <c r="M450" t="s">
        <v>68</v>
      </c>
      <c r="N450" t="s">
        <v>35</v>
      </c>
      <c r="O450" t="s">
        <v>36</v>
      </c>
      <c r="P450" t="s">
        <v>71</v>
      </c>
      <c r="Q450" t="s">
        <v>172</v>
      </c>
      <c r="R450">
        <v>316</v>
      </c>
      <c r="S450">
        <v>130</v>
      </c>
      <c r="T450">
        <v>87</v>
      </c>
      <c r="U450">
        <v>22</v>
      </c>
      <c r="V450" t="s">
        <v>656</v>
      </c>
      <c r="W450">
        <v>25545</v>
      </c>
      <c r="X450" t="s">
        <v>2751</v>
      </c>
      <c r="Y450">
        <v>22560</v>
      </c>
      <c r="Z450">
        <v>561990</v>
      </c>
      <c r="AA450">
        <v>65670</v>
      </c>
      <c r="AB450" t="str">
        <f>(VLOOKUP(SalesData[[#This Row],[Month Number]],Reference!C$5:E$16,2,FALSE))</f>
        <v>Feb</v>
      </c>
      <c r="AC450">
        <f>MONTH(SalesData[[#This Row],[Date]])</f>
        <v>2</v>
      </c>
      <c r="AD450">
        <f>Reference!F$4</f>
        <v>2026</v>
      </c>
      <c r="AE450" t="str">
        <f>IF(OR(SalesData[[#This Row],[Day]]="Saturday",SalesData[[#This Row],[Day]]="Sunday"),"Weekend","Weekday")</f>
        <v>Weekend</v>
      </c>
      <c r="AF450" s="5">
        <f>IF(SalesData[[#This Row],[Contracts Offered]]=0,0,SalesData[[#This Row],[Contracts Signed]]/SalesData[[#This Row],[Contracts Offered]])</f>
        <v>0.25287356321839083</v>
      </c>
      <c r="AG450" s="5">
        <f>IF(SalesData[[#This Row],[Customers Visited]]=0,0,SalesData[[#This Row],[Test Drives]]/SalesData[[#This Row],[Customers Visited]])</f>
        <v>0.41139240506329117</v>
      </c>
      <c r="AH450" s="5">
        <f>IF(SalesData[[#This Row],[Customers Visited]]=0,0,SalesData[[#This Row],[Contracts Signed]]/SalesData[[#This Row],[Customers Visited]])</f>
        <v>6.9620253164556958E-2</v>
      </c>
      <c r="AI450" s="6">
        <f>IF(SalesData[[#This Row],[Contracts Signed]]=0,0,SalesData[[#This Row],[Profit(€)]]/SalesData[[#This Row],[Contracts Signed]])</f>
        <v>2985</v>
      </c>
      <c r="AJ450" s="5" t="str">
        <f>TRIM(CLEAN(SalesData[[#This Row],[Retailer]]))</f>
        <v>Elbe Drive</v>
      </c>
    </row>
    <row r="451" spans="1:36" ht="14.25" hidden="1" x14ac:dyDescent="0.2">
      <c r="A451" t="s">
        <v>908</v>
      </c>
      <c r="B451" s="1">
        <v>46068</v>
      </c>
      <c r="C451" t="s">
        <v>62</v>
      </c>
      <c r="D451" t="s">
        <v>41</v>
      </c>
      <c r="E451" t="s">
        <v>42</v>
      </c>
      <c r="F451" t="s">
        <v>83</v>
      </c>
      <c r="G451" t="s">
        <v>84</v>
      </c>
      <c r="H451" t="s">
        <v>85</v>
      </c>
      <c r="I451" t="s">
        <v>116</v>
      </c>
      <c r="J451" t="s">
        <v>7090</v>
      </c>
      <c r="K451" t="s">
        <v>66</v>
      </c>
      <c r="L451" t="s">
        <v>46</v>
      </c>
      <c r="M451" t="s">
        <v>87</v>
      </c>
      <c r="N451" t="s">
        <v>35</v>
      </c>
      <c r="O451" t="s">
        <v>70</v>
      </c>
      <c r="P451" t="s">
        <v>58</v>
      </c>
      <c r="Q451" t="s">
        <v>347</v>
      </c>
      <c r="R451">
        <v>404</v>
      </c>
      <c r="S451">
        <v>207</v>
      </c>
      <c r="T451">
        <v>117</v>
      </c>
      <c r="U451">
        <v>35</v>
      </c>
      <c r="V451" t="s">
        <v>6367</v>
      </c>
      <c r="W451">
        <v>21339</v>
      </c>
      <c r="X451" t="s">
        <v>2090</v>
      </c>
      <c r="Y451">
        <v>19382</v>
      </c>
      <c r="Z451">
        <v>746865</v>
      </c>
      <c r="AA451">
        <v>68495</v>
      </c>
      <c r="AB451" t="str">
        <f>(VLOOKUP(SalesData[[#This Row],[Month Number]],Reference!C$5:E$16,2,FALSE))</f>
        <v>Feb</v>
      </c>
      <c r="AC451">
        <f>MONTH(SalesData[[#This Row],[Date]])</f>
        <v>2</v>
      </c>
      <c r="AD451">
        <f>Reference!F$4</f>
        <v>2026</v>
      </c>
      <c r="AE451" t="str">
        <f>IF(OR(SalesData[[#This Row],[Day]]="Saturday",SalesData[[#This Row],[Day]]="Sunday"),"Weekend","Weekday")</f>
        <v>Weekend</v>
      </c>
      <c r="AF451" s="5">
        <f>IF(SalesData[[#This Row],[Contracts Offered]]=0,0,SalesData[[#This Row],[Contracts Signed]]/SalesData[[#This Row],[Contracts Offered]])</f>
        <v>0.29914529914529914</v>
      </c>
      <c r="AG451" s="5">
        <f>IF(SalesData[[#This Row],[Customers Visited]]=0,0,SalesData[[#This Row],[Test Drives]]/SalesData[[#This Row],[Customers Visited]])</f>
        <v>0.51237623762376239</v>
      </c>
      <c r="AH451" s="5">
        <f>IF(SalesData[[#This Row],[Customers Visited]]=0,0,SalesData[[#This Row],[Contracts Signed]]/SalesData[[#This Row],[Customers Visited]])</f>
        <v>8.6633663366336627E-2</v>
      </c>
      <c r="AI451" s="6">
        <f>IF(SalesData[[#This Row],[Contracts Signed]]=0,0,SalesData[[#This Row],[Profit(€)]]/SalesData[[#This Row],[Contracts Signed]])</f>
        <v>1957</v>
      </c>
      <c r="AJ451" s="5" t="str">
        <f>TRIM(CLEAN(SalesData[[#This Row],[Retailer]]))</f>
        <v>Hannover Cars</v>
      </c>
    </row>
    <row r="452" spans="1:36" ht="14.25" hidden="1" x14ac:dyDescent="0.2">
      <c r="A452" t="s">
        <v>910</v>
      </c>
      <c r="B452" s="1">
        <v>46055</v>
      </c>
      <c r="C452" t="s">
        <v>24</v>
      </c>
      <c r="D452" t="s">
        <v>25</v>
      </c>
      <c r="E452" t="s">
        <v>26</v>
      </c>
      <c r="F452" t="s">
        <v>74</v>
      </c>
      <c r="G452" t="s">
        <v>75</v>
      </c>
      <c r="H452" t="s">
        <v>76</v>
      </c>
      <c r="I452" t="s">
        <v>64</v>
      </c>
      <c r="J452" t="s">
        <v>157</v>
      </c>
      <c r="K452" t="s">
        <v>78</v>
      </c>
      <c r="L452" t="s">
        <v>33</v>
      </c>
      <c r="M452" t="s">
        <v>87</v>
      </c>
      <c r="N452" t="s">
        <v>35</v>
      </c>
      <c r="O452" t="s">
        <v>36</v>
      </c>
      <c r="P452" t="s">
        <v>49</v>
      </c>
      <c r="Q452" t="s">
        <v>106</v>
      </c>
      <c r="R452">
        <v>175</v>
      </c>
      <c r="S452">
        <v>95</v>
      </c>
      <c r="T452">
        <v>73</v>
      </c>
      <c r="U452">
        <v>22</v>
      </c>
      <c r="V452" t="s">
        <v>6658</v>
      </c>
      <c r="W452">
        <v>60248</v>
      </c>
      <c r="X452" t="s">
        <v>7223</v>
      </c>
      <c r="Y452">
        <v>43192</v>
      </c>
      <c r="Z452">
        <v>1325456</v>
      </c>
      <c r="AA452">
        <v>375232</v>
      </c>
      <c r="AB452" t="str">
        <f>(VLOOKUP(SalesData[[#This Row],[Month Number]],Reference!C$5:E$16,2,FALSE))</f>
        <v>Feb</v>
      </c>
      <c r="AC452">
        <f>MONTH(SalesData[[#This Row],[Date]])</f>
        <v>2</v>
      </c>
      <c r="AD452">
        <f>Reference!F$4</f>
        <v>2026</v>
      </c>
      <c r="AE452" t="str">
        <f>IF(OR(SalesData[[#This Row],[Day]]="Saturday",SalesData[[#This Row],[Day]]="Sunday"),"Weekend","Weekday")</f>
        <v>Weekday</v>
      </c>
      <c r="AF452" s="5">
        <f>IF(SalesData[[#This Row],[Contracts Offered]]=0,0,SalesData[[#This Row],[Contracts Signed]]/SalesData[[#This Row],[Contracts Offered]])</f>
        <v>0.30136986301369861</v>
      </c>
      <c r="AG452" s="5">
        <f>IF(SalesData[[#This Row],[Customers Visited]]=0,0,SalesData[[#This Row],[Test Drives]]/SalesData[[#This Row],[Customers Visited]])</f>
        <v>0.54285714285714282</v>
      </c>
      <c r="AH452" s="5">
        <f>IF(SalesData[[#This Row],[Customers Visited]]=0,0,SalesData[[#This Row],[Contracts Signed]]/SalesData[[#This Row],[Customers Visited]])</f>
        <v>0.12571428571428572</v>
      </c>
      <c r="AI452" s="6">
        <f>IF(SalesData[[#This Row],[Contracts Signed]]=0,0,SalesData[[#This Row],[Profit(€)]]/SalesData[[#This Row],[Contracts Signed]])</f>
        <v>17056</v>
      </c>
      <c r="AJ452" s="5" t="str">
        <f>TRIM(CLEAN(SalesData[[#This Row],[Retailer]]))</f>
        <v>Stuttgart Auto Center</v>
      </c>
    </row>
    <row r="453" spans="1:36" ht="14.25" hidden="1" x14ac:dyDescent="0.2">
      <c r="A453" t="s">
        <v>912</v>
      </c>
      <c r="B453" s="1">
        <v>46074</v>
      </c>
      <c r="C453" t="s">
        <v>62</v>
      </c>
      <c r="D453" t="s">
        <v>151</v>
      </c>
      <c r="E453" t="s">
        <v>42</v>
      </c>
      <c r="F453" t="s">
        <v>114</v>
      </c>
      <c r="G453" t="s">
        <v>115</v>
      </c>
      <c r="H453" t="s">
        <v>115</v>
      </c>
      <c r="I453" t="s">
        <v>116</v>
      </c>
      <c r="J453" t="s">
        <v>203</v>
      </c>
      <c r="K453" t="s">
        <v>32</v>
      </c>
      <c r="L453" t="s">
        <v>67</v>
      </c>
      <c r="M453" t="s">
        <v>68</v>
      </c>
      <c r="N453" t="s">
        <v>35</v>
      </c>
      <c r="O453" t="s">
        <v>70</v>
      </c>
      <c r="P453" t="s">
        <v>49</v>
      </c>
      <c r="Q453" t="s">
        <v>79</v>
      </c>
      <c r="R453">
        <v>387</v>
      </c>
      <c r="S453">
        <v>172</v>
      </c>
      <c r="T453">
        <v>111</v>
      </c>
      <c r="U453">
        <v>21</v>
      </c>
      <c r="V453" t="s">
        <v>352</v>
      </c>
      <c r="W453">
        <v>21565</v>
      </c>
      <c r="X453" t="s">
        <v>6809</v>
      </c>
      <c r="Y453">
        <v>19489</v>
      </c>
      <c r="Z453">
        <v>452865</v>
      </c>
      <c r="AA453">
        <v>43596</v>
      </c>
      <c r="AB453" t="str">
        <f>(VLOOKUP(SalesData[[#This Row],[Month Number]],Reference!C$5:E$16,2,FALSE))</f>
        <v>Feb</v>
      </c>
      <c r="AC453">
        <f>MONTH(SalesData[[#This Row],[Date]])</f>
        <v>2</v>
      </c>
      <c r="AD453">
        <f>Reference!F$4</f>
        <v>2026</v>
      </c>
      <c r="AE453" t="str">
        <f>IF(OR(SalesData[[#This Row],[Day]]="Saturday",SalesData[[#This Row],[Day]]="Sunday"),"Weekend","Weekday")</f>
        <v>Weekend</v>
      </c>
      <c r="AF453" s="5">
        <f>IF(SalesData[[#This Row],[Contracts Offered]]=0,0,SalesData[[#This Row],[Contracts Signed]]/SalesData[[#This Row],[Contracts Offered]])</f>
        <v>0.1891891891891892</v>
      </c>
      <c r="AG453" s="5">
        <f>IF(SalesData[[#This Row],[Customers Visited]]=0,0,SalesData[[#This Row],[Test Drives]]/SalesData[[#This Row],[Customers Visited]])</f>
        <v>0.44444444444444442</v>
      </c>
      <c r="AH453" s="5">
        <f>IF(SalesData[[#This Row],[Customers Visited]]=0,0,SalesData[[#This Row],[Contracts Signed]]/SalesData[[#This Row],[Customers Visited]])</f>
        <v>5.4263565891472867E-2</v>
      </c>
      <c r="AI453" s="6">
        <f>IF(SalesData[[#This Row],[Contracts Signed]]=0,0,SalesData[[#This Row],[Profit(€)]]/SalesData[[#This Row],[Contracts Signed]])</f>
        <v>2076</v>
      </c>
      <c r="AJ453" s="5" t="str">
        <f>TRIM(CLEAN(SalesData[[#This Row],[Retailer]]))</f>
        <v>Elbe Drive</v>
      </c>
    </row>
    <row r="454" spans="1:36" ht="14.25" hidden="1" x14ac:dyDescent="0.2">
      <c r="A454" t="s">
        <v>914</v>
      </c>
      <c r="B454" s="1">
        <v>46062</v>
      </c>
      <c r="C454" t="s">
        <v>121</v>
      </c>
      <c r="D454" t="s">
        <v>25</v>
      </c>
      <c r="E454" t="s">
        <v>26</v>
      </c>
      <c r="F454" t="s">
        <v>109</v>
      </c>
      <c r="G454" t="s">
        <v>110</v>
      </c>
      <c r="H454" t="s">
        <v>45</v>
      </c>
      <c r="I454" t="s">
        <v>56</v>
      </c>
      <c r="J454" t="s">
        <v>179</v>
      </c>
      <c r="K454" t="s">
        <v>66</v>
      </c>
      <c r="L454" t="s">
        <v>67</v>
      </c>
      <c r="M454" t="s">
        <v>68</v>
      </c>
      <c r="N454" t="s">
        <v>35</v>
      </c>
      <c r="O454" t="s">
        <v>70</v>
      </c>
      <c r="P454" t="s">
        <v>49</v>
      </c>
      <c r="Q454" t="s">
        <v>59</v>
      </c>
      <c r="R454">
        <v>291</v>
      </c>
      <c r="S454">
        <v>165</v>
      </c>
      <c r="T454">
        <v>128</v>
      </c>
      <c r="U454">
        <v>30</v>
      </c>
      <c r="V454" t="s">
        <v>752</v>
      </c>
      <c r="W454">
        <v>45862</v>
      </c>
      <c r="X454" t="s">
        <v>2701</v>
      </c>
      <c r="Y454">
        <v>36335</v>
      </c>
      <c r="Z454">
        <v>1375860</v>
      </c>
      <c r="AA454">
        <v>285810</v>
      </c>
      <c r="AB454" t="str">
        <f>(VLOOKUP(SalesData[[#This Row],[Month Number]],Reference!C$5:E$16,2,FALSE))</f>
        <v>Feb</v>
      </c>
      <c r="AC454">
        <f>MONTH(SalesData[[#This Row],[Date]])</f>
        <v>2</v>
      </c>
      <c r="AD454">
        <f>Reference!F$4</f>
        <v>2026</v>
      </c>
      <c r="AE454" t="str">
        <f>IF(OR(SalesData[[#This Row],[Day]]="Saturday",SalesData[[#This Row],[Day]]="Sunday"),"Weekend","Weekday")</f>
        <v>Weekday</v>
      </c>
      <c r="AF454" s="5">
        <f>IF(SalesData[[#This Row],[Contracts Offered]]=0,0,SalesData[[#This Row],[Contracts Signed]]/SalesData[[#This Row],[Contracts Offered]])</f>
        <v>0.234375</v>
      </c>
      <c r="AG454" s="5">
        <f>IF(SalesData[[#This Row],[Customers Visited]]=0,0,SalesData[[#This Row],[Test Drives]]/SalesData[[#This Row],[Customers Visited]])</f>
        <v>0.5670103092783505</v>
      </c>
      <c r="AH454" s="5">
        <f>IF(SalesData[[#This Row],[Customers Visited]]=0,0,SalesData[[#This Row],[Contracts Signed]]/SalesData[[#This Row],[Customers Visited]])</f>
        <v>0.10309278350515463</v>
      </c>
      <c r="AI454" s="6">
        <f>IF(SalesData[[#This Row],[Contracts Signed]]=0,0,SalesData[[#This Row],[Profit(€)]]/SalesData[[#This Row],[Contracts Signed]])</f>
        <v>9527</v>
      </c>
      <c r="AJ454" s="5" t="str">
        <f>TRIM(CLEAN(SalesData[[#This Row],[Retailer]]))</f>
        <v>Leipzig Mobility</v>
      </c>
    </row>
    <row r="455" spans="1:36" ht="14.25" x14ac:dyDescent="0.2">
      <c r="A455" t="s">
        <v>916</v>
      </c>
      <c r="B455" s="1">
        <v>46064</v>
      </c>
      <c r="C455" t="s">
        <v>121</v>
      </c>
      <c r="D455" t="s">
        <v>82</v>
      </c>
      <c r="E455" t="s">
        <v>26</v>
      </c>
      <c r="F455" t="s">
        <v>27</v>
      </c>
      <c r="G455" t="s">
        <v>28</v>
      </c>
      <c r="H455" t="s">
        <v>29</v>
      </c>
      <c r="I455" t="s">
        <v>30</v>
      </c>
      <c r="J455" t="s">
        <v>31</v>
      </c>
      <c r="K455" t="s">
        <v>66</v>
      </c>
      <c r="L455" t="s">
        <v>46</v>
      </c>
      <c r="M455" t="s">
        <v>68</v>
      </c>
      <c r="N455" t="s">
        <v>48</v>
      </c>
      <c r="O455" t="s">
        <v>70</v>
      </c>
      <c r="P455" t="s">
        <v>49</v>
      </c>
      <c r="Q455" t="s">
        <v>88</v>
      </c>
      <c r="R455">
        <v>154</v>
      </c>
      <c r="S455">
        <v>86</v>
      </c>
      <c r="T455">
        <v>68</v>
      </c>
      <c r="U455">
        <v>23</v>
      </c>
      <c r="V455" t="s">
        <v>6416</v>
      </c>
      <c r="W455">
        <v>60213</v>
      </c>
      <c r="X455" t="s">
        <v>5878</v>
      </c>
      <c r="Y455">
        <v>45390</v>
      </c>
      <c r="Z455">
        <v>1384899</v>
      </c>
      <c r="AA455">
        <v>340929</v>
      </c>
      <c r="AB455" t="str">
        <f>(VLOOKUP(SalesData[[#This Row],[Month Number]],Reference!C$5:E$16,2,FALSE))</f>
        <v>Feb</v>
      </c>
      <c r="AC455">
        <f>MONTH(SalesData[[#This Row],[Date]])</f>
        <v>2</v>
      </c>
      <c r="AD455">
        <f>Reference!F$4</f>
        <v>2026</v>
      </c>
      <c r="AE455" t="str">
        <f>IF(OR(SalesData[[#This Row],[Day]]="Saturday",SalesData[[#This Row],[Day]]="Sunday"),"Weekend","Weekday")</f>
        <v>Weekday</v>
      </c>
      <c r="AF455" s="5">
        <f>IF(SalesData[[#This Row],[Contracts Offered]]=0,0,SalesData[[#This Row],[Contracts Signed]]/SalesData[[#This Row],[Contracts Offered]])</f>
        <v>0.33823529411764708</v>
      </c>
      <c r="AG455" s="5">
        <f>IF(SalesData[[#This Row],[Customers Visited]]=0,0,SalesData[[#This Row],[Test Drives]]/SalesData[[#This Row],[Customers Visited]])</f>
        <v>0.55844155844155841</v>
      </c>
      <c r="AH455" s="5">
        <f>IF(SalesData[[#This Row],[Customers Visited]]=0,0,SalesData[[#This Row],[Contracts Signed]]/SalesData[[#This Row],[Customers Visited]])</f>
        <v>0.14935064935064934</v>
      </c>
      <c r="AI455" s="6">
        <f>IF(SalesData[[#This Row],[Contracts Signed]]=0,0,SalesData[[#This Row],[Profit(€)]]/SalesData[[#This Row],[Contracts Signed]])</f>
        <v>14823</v>
      </c>
      <c r="AJ455" s="5" t="str">
        <f>TRIM(CLEAN(SalesData[[#This Row],[Retailer]]))</f>
        <v>Main Auto Hub</v>
      </c>
    </row>
    <row r="456" spans="1:36" ht="14.25" hidden="1" x14ac:dyDescent="0.2">
      <c r="A456" t="s">
        <v>918</v>
      </c>
      <c r="B456" s="1">
        <v>46063</v>
      </c>
      <c r="C456" t="s">
        <v>121</v>
      </c>
      <c r="D456" t="s">
        <v>63</v>
      </c>
      <c r="E456" t="s">
        <v>26</v>
      </c>
      <c r="F456" t="s">
        <v>27</v>
      </c>
      <c r="G456" t="s">
        <v>28</v>
      </c>
      <c r="H456" t="s">
        <v>29</v>
      </c>
      <c r="I456" t="s">
        <v>56</v>
      </c>
      <c r="J456" t="s">
        <v>97</v>
      </c>
      <c r="K456" t="s">
        <v>66</v>
      </c>
      <c r="L456" t="s">
        <v>33</v>
      </c>
      <c r="M456" t="s">
        <v>68</v>
      </c>
      <c r="N456" t="s">
        <v>35</v>
      </c>
      <c r="O456" t="s">
        <v>70</v>
      </c>
      <c r="P456" t="s">
        <v>71</v>
      </c>
      <c r="Q456" t="s">
        <v>158</v>
      </c>
      <c r="R456">
        <v>213</v>
      </c>
      <c r="S456">
        <v>132</v>
      </c>
      <c r="T456">
        <v>85</v>
      </c>
      <c r="U456">
        <v>33</v>
      </c>
      <c r="V456" t="s">
        <v>6403</v>
      </c>
      <c r="W456">
        <v>45152</v>
      </c>
      <c r="X456" t="s">
        <v>7224</v>
      </c>
      <c r="Y456">
        <v>35880</v>
      </c>
      <c r="Z456">
        <v>1490016</v>
      </c>
      <c r="AA456">
        <v>305976</v>
      </c>
      <c r="AB456" t="str">
        <f>(VLOOKUP(SalesData[[#This Row],[Month Number]],Reference!C$5:E$16,2,FALSE))</f>
        <v>Feb</v>
      </c>
      <c r="AC456">
        <f>MONTH(SalesData[[#This Row],[Date]])</f>
        <v>2</v>
      </c>
      <c r="AD456">
        <f>Reference!F$4</f>
        <v>2026</v>
      </c>
      <c r="AE456" t="str">
        <f>IF(OR(SalesData[[#This Row],[Day]]="Saturday",SalesData[[#This Row],[Day]]="Sunday"),"Weekend","Weekday")</f>
        <v>Weekday</v>
      </c>
      <c r="AF456" s="5">
        <f>IF(SalesData[[#This Row],[Contracts Offered]]=0,0,SalesData[[#This Row],[Contracts Signed]]/SalesData[[#This Row],[Contracts Offered]])</f>
        <v>0.38823529411764707</v>
      </c>
      <c r="AG456" s="5">
        <f>IF(SalesData[[#This Row],[Customers Visited]]=0,0,SalesData[[#This Row],[Test Drives]]/SalesData[[#This Row],[Customers Visited]])</f>
        <v>0.61971830985915488</v>
      </c>
      <c r="AH456" s="5">
        <f>IF(SalesData[[#This Row],[Customers Visited]]=0,0,SalesData[[#This Row],[Contracts Signed]]/SalesData[[#This Row],[Customers Visited]])</f>
        <v>0.15492957746478872</v>
      </c>
      <c r="AI456" s="6">
        <f>IF(SalesData[[#This Row],[Contracts Signed]]=0,0,SalesData[[#This Row],[Profit(€)]]/SalesData[[#This Row],[Contracts Signed]])</f>
        <v>9272</v>
      </c>
      <c r="AJ456" s="5" t="str">
        <f>TRIM(CLEAN(SalesData[[#This Row],[Retailer]]))</f>
        <v>Main Auto Hub</v>
      </c>
    </row>
    <row r="457" spans="1:36" ht="14.25" hidden="1" x14ac:dyDescent="0.2">
      <c r="A457" t="s">
        <v>920</v>
      </c>
      <c r="B457" s="1">
        <v>46057</v>
      </c>
      <c r="C457" t="s">
        <v>24</v>
      </c>
      <c r="D457" t="s">
        <v>82</v>
      </c>
      <c r="E457" t="s">
        <v>26</v>
      </c>
      <c r="F457" t="s">
        <v>7649</v>
      </c>
      <c r="G457" t="s">
        <v>55</v>
      </c>
      <c r="H457" t="s">
        <v>55</v>
      </c>
      <c r="I457" t="s">
        <v>64</v>
      </c>
      <c r="J457" t="s">
        <v>111</v>
      </c>
      <c r="K457" t="s">
        <v>91</v>
      </c>
      <c r="L457" t="s">
        <v>46</v>
      </c>
      <c r="M457" t="s">
        <v>87</v>
      </c>
      <c r="N457" t="s">
        <v>69</v>
      </c>
      <c r="O457" t="s">
        <v>70</v>
      </c>
      <c r="P457" t="s">
        <v>58</v>
      </c>
      <c r="Q457" t="s">
        <v>79</v>
      </c>
      <c r="R457">
        <v>187</v>
      </c>
      <c r="S457">
        <v>87</v>
      </c>
      <c r="T457">
        <v>67</v>
      </c>
      <c r="U457">
        <v>23</v>
      </c>
      <c r="V457" t="s">
        <v>6601</v>
      </c>
      <c r="W457">
        <v>68566</v>
      </c>
      <c r="X457" t="s">
        <v>7122</v>
      </c>
      <c r="Y457">
        <v>49778</v>
      </c>
      <c r="Z457">
        <v>1577018</v>
      </c>
      <c r="AA457">
        <v>432124</v>
      </c>
      <c r="AB457" t="str">
        <f>(VLOOKUP(SalesData[[#This Row],[Month Number]],Reference!C$5:E$16,2,FALSE))</f>
        <v>Feb</v>
      </c>
      <c r="AC457">
        <f>MONTH(SalesData[[#This Row],[Date]])</f>
        <v>2</v>
      </c>
      <c r="AD457">
        <f>Reference!F$4</f>
        <v>2026</v>
      </c>
      <c r="AE457" t="str">
        <f>IF(OR(SalesData[[#This Row],[Day]]="Saturday",SalesData[[#This Row],[Day]]="Sunday"),"Weekend","Weekday")</f>
        <v>Weekday</v>
      </c>
      <c r="AF457" s="5">
        <f>IF(SalesData[[#This Row],[Contracts Offered]]=0,0,SalesData[[#This Row],[Contracts Signed]]/SalesData[[#This Row],[Contracts Offered]])</f>
        <v>0.34328358208955223</v>
      </c>
      <c r="AG457" s="5">
        <f>IF(SalesData[[#This Row],[Customers Visited]]=0,0,SalesData[[#This Row],[Test Drives]]/SalesData[[#This Row],[Customers Visited]])</f>
        <v>0.46524064171122997</v>
      </c>
      <c r="AH457" s="5">
        <f>IF(SalesData[[#This Row],[Customers Visited]]=0,0,SalesData[[#This Row],[Contracts Signed]]/SalesData[[#This Row],[Customers Visited]])</f>
        <v>0.12299465240641712</v>
      </c>
      <c r="AI457" s="6">
        <f>IF(SalesData[[#This Row],[Contracts Signed]]=0,0,SalesData[[#This Row],[Profit(€)]]/SalesData[[#This Row],[Contracts Signed]])</f>
        <v>18788</v>
      </c>
      <c r="AJ457" s="5" t="str">
        <f>TRIM(CLEAN(SalesData[[#This Row],[Retailer]]))</f>
        <v>Autohaus Berlin</v>
      </c>
    </row>
    <row r="458" spans="1:36" ht="14.25" hidden="1" x14ac:dyDescent="0.2">
      <c r="A458" t="s">
        <v>922</v>
      </c>
      <c r="B458" s="1">
        <v>46062</v>
      </c>
      <c r="C458" t="s">
        <v>121</v>
      </c>
      <c r="D458" t="s">
        <v>25</v>
      </c>
      <c r="E458" t="s">
        <v>26</v>
      </c>
      <c r="F458" t="s">
        <v>114</v>
      </c>
      <c r="G458" t="s">
        <v>115</v>
      </c>
      <c r="H458" t="s">
        <v>115</v>
      </c>
      <c r="I458" t="s">
        <v>56</v>
      </c>
      <c r="J458" t="s">
        <v>7028</v>
      </c>
      <c r="K458" t="s">
        <v>78</v>
      </c>
      <c r="L458" t="s">
        <v>46</v>
      </c>
      <c r="M458" t="s">
        <v>87</v>
      </c>
      <c r="N458" t="s">
        <v>35</v>
      </c>
      <c r="O458" t="s">
        <v>36</v>
      </c>
      <c r="P458" t="s">
        <v>71</v>
      </c>
      <c r="Q458" t="s">
        <v>79</v>
      </c>
      <c r="R458">
        <v>293</v>
      </c>
      <c r="S458">
        <v>135</v>
      </c>
      <c r="T458">
        <v>88</v>
      </c>
      <c r="U458">
        <v>36</v>
      </c>
      <c r="V458" t="s">
        <v>6388</v>
      </c>
      <c r="W458">
        <v>49103</v>
      </c>
      <c r="X458" t="s">
        <v>4990</v>
      </c>
      <c r="Y458">
        <v>38017</v>
      </c>
      <c r="Z458">
        <v>1767708</v>
      </c>
      <c r="AA458">
        <v>399096</v>
      </c>
      <c r="AB458" t="str">
        <f>(VLOOKUP(SalesData[[#This Row],[Month Number]],Reference!C$5:E$16,2,FALSE))</f>
        <v>Feb</v>
      </c>
      <c r="AC458">
        <f>MONTH(SalesData[[#This Row],[Date]])</f>
        <v>2</v>
      </c>
      <c r="AD458">
        <f>Reference!F$4</f>
        <v>2026</v>
      </c>
      <c r="AE458" t="str">
        <f>IF(OR(SalesData[[#This Row],[Day]]="Saturday",SalesData[[#This Row],[Day]]="Sunday"),"Weekend","Weekday")</f>
        <v>Weekday</v>
      </c>
      <c r="AF458" s="5">
        <f>IF(SalesData[[#This Row],[Contracts Offered]]=0,0,SalesData[[#This Row],[Contracts Signed]]/SalesData[[#This Row],[Contracts Offered]])</f>
        <v>0.40909090909090912</v>
      </c>
      <c r="AG458" s="5">
        <f>IF(SalesData[[#This Row],[Customers Visited]]=0,0,SalesData[[#This Row],[Test Drives]]/SalesData[[#This Row],[Customers Visited]])</f>
        <v>0.46075085324232085</v>
      </c>
      <c r="AH458" s="5">
        <f>IF(SalesData[[#This Row],[Customers Visited]]=0,0,SalesData[[#This Row],[Contracts Signed]]/SalesData[[#This Row],[Customers Visited]])</f>
        <v>0.12286689419795221</v>
      </c>
      <c r="AI458" s="6">
        <f>IF(SalesData[[#This Row],[Contracts Signed]]=0,0,SalesData[[#This Row],[Profit(€)]]/SalesData[[#This Row],[Contracts Signed]])</f>
        <v>11086</v>
      </c>
      <c r="AJ458" s="5" t="str">
        <f>TRIM(CLEAN(SalesData[[#This Row],[Retailer]]))</f>
        <v>Elbe Drive</v>
      </c>
    </row>
    <row r="459" spans="1:36" ht="14.25" hidden="1" x14ac:dyDescent="0.2">
      <c r="A459" t="s">
        <v>924</v>
      </c>
      <c r="B459" s="1">
        <v>46072</v>
      </c>
      <c r="C459" t="s">
        <v>62</v>
      </c>
      <c r="D459" t="s">
        <v>100</v>
      </c>
      <c r="E459" t="s">
        <v>26</v>
      </c>
      <c r="F459" t="s">
        <v>94</v>
      </c>
      <c r="G459" t="s">
        <v>95</v>
      </c>
      <c r="H459" t="s">
        <v>96</v>
      </c>
      <c r="I459" t="s">
        <v>116</v>
      </c>
      <c r="J459" t="s">
        <v>7026</v>
      </c>
      <c r="K459" t="s">
        <v>91</v>
      </c>
      <c r="L459" t="s">
        <v>46</v>
      </c>
      <c r="M459" t="s">
        <v>68</v>
      </c>
      <c r="N459" t="s">
        <v>48</v>
      </c>
      <c r="O459" t="s">
        <v>36</v>
      </c>
      <c r="P459" t="s">
        <v>49</v>
      </c>
      <c r="Q459" t="s">
        <v>240</v>
      </c>
      <c r="R459">
        <v>277</v>
      </c>
      <c r="S459">
        <v>106</v>
      </c>
      <c r="T459">
        <v>73</v>
      </c>
      <c r="U459">
        <v>17</v>
      </c>
      <c r="V459" t="s">
        <v>707</v>
      </c>
      <c r="W459">
        <v>20458</v>
      </c>
      <c r="X459" t="s">
        <v>3596</v>
      </c>
      <c r="Y459">
        <v>18286</v>
      </c>
      <c r="Z459">
        <v>347786</v>
      </c>
      <c r="AA459">
        <v>36924</v>
      </c>
      <c r="AB459" t="str">
        <f>(VLOOKUP(SalesData[[#This Row],[Month Number]],Reference!C$5:E$16,2,FALSE))</f>
        <v>Feb</v>
      </c>
      <c r="AC459">
        <f>MONTH(SalesData[[#This Row],[Date]])</f>
        <v>2</v>
      </c>
      <c r="AD459">
        <f>Reference!F$4</f>
        <v>2026</v>
      </c>
      <c r="AE459" t="str">
        <f>IF(OR(SalesData[[#This Row],[Day]]="Saturday",SalesData[[#This Row],[Day]]="Sunday"),"Weekend","Weekday")</f>
        <v>Weekday</v>
      </c>
      <c r="AF459" s="5">
        <f>IF(SalesData[[#This Row],[Contracts Offered]]=0,0,SalesData[[#This Row],[Contracts Signed]]/SalesData[[#This Row],[Contracts Offered]])</f>
        <v>0.23287671232876711</v>
      </c>
      <c r="AG459" s="5">
        <f>IF(SalesData[[#This Row],[Customers Visited]]=0,0,SalesData[[#This Row],[Test Drives]]/SalesData[[#This Row],[Customers Visited]])</f>
        <v>0.38267148014440433</v>
      </c>
      <c r="AH459" s="5">
        <f>IF(SalesData[[#This Row],[Customers Visited]]=0,0,SalesData[[#This Row],[Contracts Signed]]/SalesData[[#This Row],[Customers Visited]])</f>
        <v>6.1371841155234655E-2</v>
      </c>
      <c r="AI459" s="6">
        <f>IF(SalesData[[#This Row],[Contracts Signed]]=0,0,SalesData[[#This Row],[Profit(€)]]/SalesData[[#This Row],[Contracts Signed]])</f>
        <v>2172</v>
      </c>
      <c r="AJ459" s="5" t="str">
        <f>TRIM(CLEAN(SalesData[[#This Row],[Retailer]]))</f>
        <v>Bavaria Motors</v>
      </c>
    </row>
    <row r="460" spans="1:36" ht="14.25" hidden="1" x14ac:dyDescent="0.2">
      <c r="A460" t="s">
        <v>926</v>
      </c>
      <c r="B460" s="1">
        <v>46066</v>
      </c>
      <c r="C460" t="s">
        <v>121</v>
      </c>
      <c r="D460" t="s">
        <v>54</v>
      </c>
      <c r="E460" t="s">
        <v>26</v>
      </c>
      <c r="F460" t="s">
        <v>101</v>
      </c>
      <c r="G460" t="s">
        <v>102</v>
      </c>
      <c r="H460" t="s">
        <v>103</v>
      </c>
      <c r="I460" t="s">
        <v>56</v>
      </c>
      <c r="J460" t="s">
        <v>179</v>
      </c>
      <c r="K460" t="s">
        <v>91</v>
      </c>
      <c r="L460" t="s">
        <v>67</v>
      </c>
      <c r="M460" t="s">
        <v>34</v>
      </c>
      <c r="N460" t="s">
        <v>69</v>
      </c>
      <c r="O460" t="s">
        <v>70</v>
      </c>
      <c r="P460" t="s">
        <v>71</v>
      </c>
      <c r="Q460" t="s">
        <v>135</v>
      </c>
      <c r="R460">
        <v>167</v>
      </c>
      <c r="S460">
        <v>99</v>
      </c>
      <c r="T460">
        <v>71</v>
      </c>
      <c r="U460">
        <v>24</v>
      </c>
      <c r="V460" t="s">
        <v>6429</v>
      </c>
      <c r="W460">
        <v>54118</v>
      </c>
      <c r="X460" t="s">
        <v>7225</v>
      </c>
      <c r="Y460">
        <v>43663</v>
      </c>
      <c r="Z460">
        <v>1298832</v>
      </c>
      <c r="AA460">
        <v>250920</v>
      </c>
      <c r="AB460" t="str">
        <f>(VLOOKUP(SalesData[[#This Row],[Month Number]],Reference!C$5:E$16,2,FALSE))</f>
        <v>Feb</v>
      </c>
      <c r="AC460">
        <f>MONTH(SalesData[[#This Row],[Date]])</f>
        <v>2</v>
      </c>
      <c r="AD460">
        <f>Reference!F$4</f>
        <v>2026</v>
      </c>
      <c r="AE460" t="str">
        <f>IF(OR(SalesData[[#This Row],[Day]]="Saturday",SalesData[[#This Row],[Day]]="Sunday"),"Weekend","Weekday")</f>
        <v>Weekday</v>
      </c>
      <c r="AF460" s="5">
        <f>IF(SalesData[[#This Row],[Contracts Offered]]=0,0,SalesData[[#This Row],[Contracts Signed]]/SalesData[[#This Row],[Contracts Offered]])</f>
        <v>0.3380281690140845</v>
      </c>
      <c r="AG460" s="5">
        <f>IF(SalesData[[#This Row],[Customers Visited]]=0,0,SalesData[[#This Row],[Test Drives]]/SalesData[[#This Row],[Customers Visited]])</f>
        <v>0.59281437125748504</v>
      </c>
      <c r="AH460" s="5">
        <f>IF(SalesData[[#This Row],[Customers Visited]]=0,0,SalesData[[#This Row],[Contracts Signed]]/SalesData[[#This Row],[Customers Visited]])</f>
        <v>0.1437125748502994</v>
      </c>
      <c r="AI460" s="6">
        <f>IF(SalesData[[#This Row],[Contracts Signed]]=0,0,SalesData[[#This Row],[Profit(€)]]/SalesData[[#This Row],[Contracts Signed]])</f>
        <v>10455</v>
      </c>
      <c r="AJ460" s="5" t="str">
        <f>TRIM(CLEAN(SalesData[[#This Row],[Retailer]]))</f>
        <v>Ruhr Auto Plaza</v>
      </c>
    </row>
    <row r="461" spans="1:36" ht="14.25" hidden="1" x14ac:dyDescent="0.2">
      <c r="A461" t="s">
        <v>928</v>
      </c>
      <c r="B461" s="1">
        <v>46057</v>
      </c>
      <c r="C461" t="s">
        <v>24</v>
      </c>
      <c r="D461" t="s">
        <v>82</v>
      </c>
      <c r="E461" t="s">
        <v>26</v>
      </c>
      <c r="F461" t="s">
        <v>7649</v>
      </c>
      <c r="G461" t="s">
        <v>55</v>
      </c>
      <c r="H461" t="s">
        <v>55</v>
      </c>
      <c r="I461" t="s">
        <v>64</v>
      </c>
      <c r="J461" t="s">
        <v>157</v>
      </c>
      <c r="K461" t="s">
        <v>32</v>
      </c>
      <c r="L461" t="s">
        <v>33</v>
      </c>
      <c r="M461" t="s">
        <v>68</v>
      </c>
      <c r="N461" t="s">
        <v>48</v>
      </c>
      <c r="O461" t="s">
        <v>36</v>
      </c>
      <c r="P461" t="s">
        <v>71</v>
      </c>
      <c r="Q461" t="s">
        <v>135</v>
      </c>
      <c r="R461">
        <v>289</v>
      </c>
      <c r="S461">
        <v>167</v>
      </c>
      <c r="T461">
        <v>117</v>
      </c>
      <c r="U461">
        <v>50</v>
      </c>
      <c r="V461" t="s">
        <v>7226</v>
      </c>
      <c r="W461">
        <v>50972</v>
      </c>
      <c r="X461" t="s">
        <v>7214</v>
      </c>
      <c r="Y461">
        <v>37734</v>
      </c>
      <c r="Z461">
        <v>2548600</v>
      </c>
      <c r="AA461">
        <v>661900</v>
      </c>
      <c r="AB461" t="str">
        <f>(VLOOKUP(SalesData[[#This Row],[Month Number]],Reference!C$5:E$16,2,FALSE))</f>
        <v>Feb</v>
      </c>
      <c r="AC461">
        <f>MONTH(SalesData[[#This Row],[Date]])</f>
        <v>2</v>
      </c>
      <c r="AD461">
        <f>Reference!F$4</f>
        <v>2026</v>
      </c>
      <c r="AE461" t="str">
        <f>IF(OR(SalesData[[#This Row],[Day]]="Saturday",SalesData[[#This Row],[Day]]="Sunday"),"Weekend","Weekday")</f>
        <v>Weekday</v>
      </c>
      <c r="AF461" s="5">
        <f>IF(SalesData[[#This Row],[Contracts Offered]]=0,0,SalesData[[#This Row],[Contracts Signed]]/SalesData[[#This Row],[Contracts Offered]])</f>
        <v>0.42735042735042733</v>
      </c>
      <c r="AG461" s="5">
        <f>IF(SalesData[[#This Row],[Customers Visited]]=0,0,SalesData[[#This Row],[Test Drives]]/SalesData[[#This Row],[Customers Visited]])</f>
        <v>0.57785467128027679</v>
      </c>
      <c r="AH461" s="5">
        <f>IF(SalesData[[#This Row],[Customers Visited]]=0,0,SalesData[[#This Row],[Contracts Signed]]/SalesData[[#This Row],[Customers Visited]])</f>
        <v>0.17301038062283736</v>
      </c>
      <c r="AI461" s="6">
        <f>IF(SalesData[[#This Row],[Contracts Signed]]=0,0,SalesData[[#This Row],[Profit(€)]]/SalesData[[#This Row],[Contracts Signed]])</f>
        <v>13238</v>
      </c>
      <c r="AJ461" s="5" t="str">
        <f>TRIM(CLEAN(SalesData[[#This Row],[Retailer]]))</f>
        <v>Autohaus Berlin</v>
      </c>
    </row>
    <row r="462" spans="1:36" ht="14.25" hidden="1" x14ac:dyDescent="0.2">
      <c r="A462" t="s">
        <v>930</v>
      </c>
      <c r="B462" s="1">
        <v>46065</v>
      </c>
      <c r="C462" t="s">
        <v>121</v>
      </c>
      <c r="D462" t="s">
        <v>100</v>
      </c>
      <c r="E462" t="s">
        <v>26</v>
      </c>
      <c r="F462" t="s">
        <v>114</v>
      </c>
      <c r="G462" t="s">
        <v>115</v>
      </c>
      <c r="H462" t="s">
        <v>115</v>
      </c>
      <c r="I462" t="s">
        <v>64</v>
      </c>
      <c r="J462" t="s">
        <v>77</v>
      </c>
      <c r="K462" t="s">
        <v>78</v>
      </c>
      <c r="L462" t="s">
        <v>46</v>
      </c>
      <c r="M462" t="s">
        <v>68</v>
      </c>
      <c r="N462" t="s">
        <v>69</v>
      </c>
      <c r="O462" t="s">
        <v>36</v>
      </c>
      <c r="P462" t="s">
        <v>49</v>
      </c>
      <c r="Q462" t="s">
        <v>88</v>
      </c>
      <c r="R462">
        <v>251</v>
      </c>
      <c r="S462">
        <v>120</v>
      </c>
      <c r="T462">
        <v>95</v>
      </c>
      <c r="U462">
        <v>29</v>
      </c>
      <c r="V462" t="s">
        <v>6732</v>
      </c>
      <c r="W462">
        <v>69422</v>
      </c>
      <c r="X462" t="s">
        <v>7161</v>
      </c>
      <c r="Y462">
        <v>54607</v>
      </c>
      <c r="Z462">
        <v>2013238</v>
      </c>
      <c r="AA462">
        <v>429635</v>
      </c>
      <c r="AB462" t="str">
        <f>(VLOOKUP(SalesData[[#This Row],[Month Number]],Reference!C$5:E$16,2,FALSE))</f>
        <v>Feb</v>
      </c>
      <c r="AC462">
        <f>MONTH(SalesData[[#This Row],[Date]])</f>
        <v>2</v>
      </c>
      <c r="AD462">
        <f>Reference!F$4</f>
        <v>2026</v>
      </c>
      <c r="AE462" t="str">
        <f>IF(OR(SalesData[[#This Row],[Day]]="Saturday",SalesData[[#This Row],[Day]]="Sunday"),"Weekend","Weekday")</f>
        <v>Weekday</v>
      </c>
      <c r="AF462" s="5">
        <f>IF(SalesData[[#This Row],[Contracts Offered]]=0,0,SalesData[[#This Row],[Contracts Signed]]/SalesData[[#This Row],[Contracts Offered]])</f>
        <v>0.30526315789473685</v>
      </c>
      <c r="AG462" s="5">
        <f>IF(SalesData[[#This Row],[Customers Visited]]=0,0,SalesData[[#This Row],[Test Drives]]/SalesData[[#This Row],[Customers Visited]])</f>
        <v>0.47808764940239046</v>
      </c>
      <c r="AH462" s="5">
        <f>IF(SalesData[[#This Row],[Customers Visited]]=0,0,SalesData[[#This Row],[Contracts Signed]]/SalesData[[#This Row],[Customers Visited]])</f>
        <v>0.11553784860557768</v>
      </c>
      <c r="AI462" s="6">
        <f>IF(SalesData[[#This Row],[Contracts Signed]]=0,0,SalesData[[#This Row],[Profit(€)]]/SalesData[[#This Row],[Contracts Signed]])</f>
        <v>14815</v>
      </c>
      <c r="AJ462" s="5" t="str">
        <f>TRIM(CLEAN(SalesData[[#This Row],[Retailer]]))</f>
        <v>Elbe Drive</v>
      </c>
    </row>
    <row r="463" spans="1:36" ht="14.25" x14ac:dyDescent="0.2">
      <c r="A463" t="s">
        <v>932</v>
      </c>
      <c r="B463" s="1">
        <v>46074</v>
      </c>
      <c r="C463" t="s">
        <v>62</v>
      </c>
      <c r="D463" t="s">
        <v>151</v>
      </c>
      <c r="E463" t="s">
        <v>42</v>
      </c>
      <c r="F463" t="s">
        <v>101</v>
      </c>
      <c r="G463" t="s">
        <v>102</v>
      </c>
      <c r="H463" t="s">
        <v>103</v>
      </c>
      <c r="I463" t="s">
        <v>30</v>
      </c>
      <c r="J463" t="s">
        <v>188</v>
      </c>
      <c r="K463" t="s">
        <v>32</v>
      </c>
      <c r="L463" t="s">
        <v>33</v>
      </c>
      <c r="M463" t="s">
        <v>47</v>
      </c>
      <c r="N463" t="s">
        <v>69</v>
      </c>
      <c r="O463" t="s">
        <v>36</v>
      </c>
      <c r="P463" t="s">
        <v>58</v>
      </c>
      <c r="Q463" t="s">
        <v>129</v>
      </c>
      <c r="R463">
        <v>232</v>
      </c>
      <c r="S463">
        <v>132</v>
      </c>
      <c r="T463">
        <v>105</v>
      </c>
      <c r="U463">
        <v>36</v>
      </c>
      <c r="V463" t="s">
        <v>6483</v>
      </c>
      <c r="W463">
        <v>52599</v>
      </c>
      <c r="X463" t="s">
        <v>7085</v>
      </c>
      <c r="Y463">
        <v>38305</v>
      </c>
      <c r="Z463">
        <v>1893564</v>
      </c>
      <c r="AA463">
        <v>514584</v>
      </c>
      <c r="AB463" t="str">
        <f>(VLOOKUP(SalesData[[#This Row],[Month Number]],Reference!C$5:E$16,2,FALSE))</f>
        <v>Feb</v>
      </c>
      <c r="AC463">
        <f>MONTH(SalesData[[#This Row],[Date]])</f>
        <v>2</v>
      </c>
      <c r="AD463">
        <f>Reference!F$4</f>
        <v>2026</v>
      </c>
      <c r="AE463" t="str">
        <f>IF(OR(SalesData[[#This Row],[Day]]="Saturday",SalesData[[#This Row],[Day]]="Sunday"),"Weekend","Weekday")</f>
        <v>Weekend</v>
      </c>
      <c r="AF463" s="5">
        <f>IF(SalesData[[#This Row],[Contracts Offered]]=0,0,SalesData[[#This Row],[Contracts Signed]]/SalesData[[#This Row],[Contracts Offered]])</f>
        <v>0.34285714285714286</v>
      </c>
      <c r="AG463" s="5">
        <f>IF(SalesData[[#This Row],[Customers Visited]]=0,0,SalesData[[#This Row],[Test Drives]]/SalesData[[#This Row],[Customers Visited]])</f>
        <v>0.56896551724137934</v>
      </c>
      <c r="AH463" s="5">
        <f>IF(SalesData[[#This Row],[Customers Visited]]=0,0,SalesData[[#This Row],[Contracts Signed]]/SalesData[[#This Row],[Customers Visited]])</f>
        <v>0.15517241379310345</v>
      </c>
      <c r="AI463" s="6">
        <f>IF(SalesData[[#This Row],[Contracts Signed]]=0,0,SalesData[[#This Row],[Profit(€)]]/SalesData[[#This Row],[Contracts Signed]])</f>
        <v>14294</v>
      </c>
      <c r="AJ463" s="5" t="str">
        <f>TRIM(CLEAN(SalesData[[#This Row],[Retailer]]))</f>
        <v>Ruhr Auto Plaza</v>
      </c>
    </row>
    <row r="464" spans="1:36" ht="14.25" hidden="1" x14ac:dyDescent="0.2">
      <c r="A464" t="s">
        <v>933</v>
      </c>
      <c r="B464" s="1">
        <v>46081</v>
      </c>
      <c r="C464" t="s">
        <v>53</v>
      </c>
      <c r="D464" t="s">
        <v>151</v>
      </c>
      <c r="E464" t="s">
        <v>42</v>
      </c>
      <c r="F464" t="s">
        <v>43</v>
      </c>
      <c r="G464" t="s">
        <v>44</v>
      </c>
      <c r="H464" t="s">
        <v>45</v>
      </c>
      <c r="I464" t="s">
        <v>116</v>
      </c>
      <c r="J464" t="s">
        <v>7090</v>
      </c>
      <c r="K464" t="s">
        <v>66</v>
      </c>
      <c r="L464" t="s">
        <v>46</v>
      </c>
      <c r="M464" t="s">
        <v>68</v>
      </c>
      <c r="N464" t="s">
        <v>69</v>
      </c>
      <c r="O464" t="s">
        <v>36</v>
      </c>
      <c r="P464" t="s">
        <v>58</v>
      </c>
      <c r="Q464" t="s">
        <v>347</v>
      </c>
      <c r="R464">
        <v>224</v>
      </c>
      <c r="S464">
        <v>111</v>
      </c>
      <c r="T464">
        <v>68</v>
      </c>
      <c r="U464">
        <v>17</v>
      </c>
      <c r="V464" t="s">
        <v>2114</v>
      </c>
      <c r="W464">
        <v>21901</v>
      </c>
      <c r="X464" t="s">
        <v>3877</v>
      </c>
      <c r="Y464">
        <v>19975</v>
      </c>
      <c r="Z464">
        <v>372317</v>
      </c>
      <c r="AA464">
        <v>32742</v>
      </c>
      <c r="AB464" t="str">
        <f>(VLOOKUP(SalesData[[#This Row],[Month Number]],Reference!C$5:E$16,2,FALSE))</f>
        <v>Feb</v>
      </c>
      <c r="AC464">
        <f>MONTH(SalesData[[#This Row],[Date]])</f>
        <v>2</v>
      </c>
      <c r="AD464">
        <f>Reference!F$4</f>
        <v>2026</v>
      </c>
      <c r="AE464" t="str">
        <f>IF(OR(SalesData[[#This Row],[Day]]="Saturday",SalesData[[#This Row],[Day]]="Sunday"),"Weekend","Weekday")</f>
        <v>Weekend</v>
      </c>
      <c r="AF464" s="5">
        <f>IF(SalesData[[#This Row],[Contracts Offered]]=0,0,SalesData[[#This Row],[Contracts Signed]]/SalesData[[#This Row],[Contracts Offered]])</f>
        <v>0.25</v>
      </c>
      <c r="AG464" s="5">
        <f>IF(SalesData[[#This Row],[Customers Visited]]=0,0,SalesData[[#This Row],[Test Drives]]/SalesData[[#This Row],[Customers Visited]])</f>
        <v>0.4955357142857143</v>
      </c>
      <c r="AH464" s="5">
        <f>IF(SalesData[[#This Row],[Customers Visited]]=0,0,SalesData[[#This Row],[Contracts Signed]]/SalesData[[#This Row],[Customers Visited]])</f>
        <v>7.5892857142857137E-2</v>
      </c>
      <c r="AI464" s="6">
        <f>IF(SalesData[[#This Row],[Contracts Signed]]=0,0,SalesData[[#This Row],[Profit(€)]]/SalesData[[#This Row],[Contracts Signed]])</f>
        <v>1926</v>
      </c>
      <c r="AJ464" s="5" t="str">
        <f>TRIM(CLEAN(SalesData[[#This Row],[Retailer]]))</f>
        <v>Saxon Wheels</v>
      </c>
    </row>
    <row r="465" spans="1:36" ht="14.25" x14ac:dyDescent="0.2">
      <c r="A465" t="s">
        <v>934</v>
      </c>
      <c r="B465" s="1">
        <v>46080</v>
      </c>
      <c r="C465" t="s">
        <v>53</v>
      </c>
      <c r="D465" t="s">
        <v>54</v>
      </c>
      <c r="E465" t="s">
        <v>26</v>
      </c>
      <c r="F465" t="s">
        <v>114</v>
      </c>
      <c r="G465" t="s">
        <v>115</v>
      </c>
      <c r="H465" t="s">
        <v>115</v>
      </c>
      <c r="I465" t="s">
        <v>30</v>
      </c>
      <c r="J465" t="s">
        <v>188</v>
      </c>
      <c r="K465" t="s">
        <v>91</v>
      </c>
      <c r="L465" t="s">
        <v>33</v>
      </c>
      <c r="M465" t="s">
        <v>87</v>
      </c>
      <c r="N465" t="s">
        <v>69</v>
      </c>
      <c r="O465" t="s">
        <v>70</v>
      </c>
      <c r="P465" t="s">
        <v>37</v>
      </c>
      <c r="Q465" t="s">
        <v>169</v>
      </c>
      <c r="R465">
        <v>213</v>
      </c>
      <c r="S465">
        <v>129</v>
      </c>
      <c r="T465">
        <v>103</v>
      </c>
      <c r="U465">
        <v>35</v>
      </c>
      <c r="V465" t="s">
        <v>6947</v>
      </c>
      <c r="W465">
        <v>56061</v>
      </c>
      <c r="X465" t="s">
        <v>7227</v>
      </c>
      <c r="Y465">
        <v>41744</v>
      </c>
      <c r="Z465">
        <v>1962135</v>
      </c>
      <c r="AA465">
        <v>501095</v>
      </c>
      <c r="AB465" t="str">
        <f>(VLOOKUP(SalesData[[#This Row],[Month Number]],Reference!C$5:E$16,2,FALSE))</f>
        <v>Feb</v>
      </c>
      <c r="AC465">
        <f>MONTH(SalesData[[#This Row],[Date]])</f>
        <v>2</v>
      </c>
      <c r="AD465">
        <f>Reference!F$4</f>
        <v>2026</v>
      </c>
      <c r="AE465" t="str">
        <f>IF(OR(SalesData[[#This Row],[Day]]="Saturday",SalesData[[#This Row],[Day]]="Sunday"),"Weekend","Weekday")</f>
        <v>Weekday</v>
      </c>
      <c r="AF465" s="5">
        <f>IF(SalesData[[#This Row],[Contracts Offered]]=0,0,SalesData[[#This Row],[Contracts Signed]]/SalesData[[#This Row],[Contracts Offered]])</f>
        <v>0.33980582524271846</v>
      </c>
      <c r="AG465" s="5">
        <f>IF(SalesData[[#This Row],[Customers Visited]]=0,0,SalesData[[#This Row],[Test Drives]]/SalesData[[#This Row],[Customers Visited]])</f>
        <v>0.60563380281690138</v>
      </c>
      <c r="AH465" s="5">
        <f>IF(SalesData[[#This Row],[Customers Visited]]=0,0,SalesData[[#This Row],[Contracts Signed]]/SalesData[[#This Row],[Customers Visited]])</f>
        <v>0.16431924882629109</v>
      </c>
      <c r="AI465" s="6">
        <f>IF(SalesData[[#This Row],[Contracts Signed]]=0,0,SalesData[[#This Row],[Profit(€)]]/SalesData[[#This Row],[Contracts Signed]])</f>
        <v>14317</v>
      </c>
      <c r="AJ465" s="5" t="str">
        <f>TRIM(CLEAN(SalesData[[#This Row],[Retailer]]))</f>
        <v>Elbe Drive</v>
      </c>
    </row>
    <row r="466" spans="1:36" ht="14.25" x14ac:dyDescent="0.2">
      <c r="A466" t="s">
        <v>936</v>
      </c>
      <c r="B466" s="1">
        <v>46063</v>
      </c>
      <c r="C466" t="s">
        <v>121</v>
      </c>
      <c r="D466" t="s">
        <v>63</v>
      </c>
      <c r="E466" t="s">
        <v>26</v>
      </c>
      <c r="F466" t="s">
        <v>127</v>
      </c>
      <c r="G466" t="s">
        <v>128</v>
      </c>
      <c r="H466" t="s">
        <v>103</v>
      </c>
      <c r="I466" t="s">
        <v>30</v>
      </c>
      <c r="J466" t="s">
        <v>7075</v>
      </c>
      <c r="K466" t="s">
        <v>66</v>
      </c>
      <c r="L466" t="s">
        <v>33</v>
      </c>
      <c r="M466" t="s">
        <v>68</v>
      </c>
      <c r="N466" t="s">
        <v>69</v>
      </c>
      <c r="O466" t="s">
        <v>70</v>
      </c>
      <c r="P466" t="s">
        <v>37</v>
      </c>
      <c r="Q466" t="s">
        <v>88</v>
      </c>
      <c r="R466">
        <v>261</v>
      </c>
      <c r="S466">
        <v>118</v>
      </c>
      <c r="T466">
        <v>82</v>
      </c>
      <c r="U466">
        <v>34</v>
      </c>
      <c r="V466" t="s">
        <v>6438</v>
      </c>
      <c r="W466">
        <v>65717</v>
      </c>
      <c r="X466" t="s">
        <v>7228</v>
      </c>
      <c r="Y466">
        <v>49592</v>
      </c>
      <c r="Z466">
        <v>2234378</v>
      </c>
      <c r="AA466">
        <v>548250</v>
      </c>
      <c r="AB466" t="str">
        <f>(VLOOKUP(SalesData[[#This Row],[Month Number]],Reference!C$5:E$16,2,FALSE))</f>
        <v>Feb</v>
      </c>
      <c r="AC466">
        <f>MONTH(SalesData[[#This Row],[Date]])</f>
        <v>2</v>
      </c>
      <c r="AD466">
        <f>Reference!F$4</f>
        <v>2026</v>
      </c>
      <c r="AE466" t="str">
        <f>IF(OR(SalesData[[#This Row],[Day]]="Saturday",SalesData[[#This Row],[Day]]="Sunday"),"Weekend","Weekday")</f>
        <v>Weekday</v>
      </c>
      <c r="AF466" s="5">
        <f>IF(SalesData[[#This Row],[Contracts Offered]]=0,0,SalesData[[#This Row],[Contracts Signed]]/SalesData[[#This Row],[Contracts Offered]])</f>
        <v>0.41463414634146339</v>
      </c>
      <c r="AG466" s="5">
        <f>IF(SalesData[[#This Row],[Customers Visited]]=0,0,SalesData[[#This Row],[Test Drives]]/SalesData[[#This Row],[Customers Visited]])</f>
        <v>0.45210727969348657</v>
      </c>
      <c r="AH466" s="5">
        <f>IF(SalesData[[#This Row],[Customers Visited]]=0,0,SalesData[[#This Row],[Contracts Signed]]/SalesData[[#This Row],[Customers Visited]])</f>
        <v>0.13026819923371646</v>
      </c>
      <c r="AI466" s="6">
        <f>IF(SalesData[[#This Row],[Contracts Signed]]=0,0,SalesData[[#This Row],[Profit(€)]]/SalesData[[#This Row],[Contracts Signed]])</f>
        <v>16125</v>
      </c>
      <c r="AJ466" s="5" t="str">
        <f>TRIM(CLEAN(SalesData[[#This Row],[Retailer]]))</f>
        <v>Rhein Auto Group</v>
      </c>
    </row>
    <row r="467" spans="1:36" ht="14.25" x14ac:dyDescent="0.2">
      <c r="A467" t="s">
        <v>938</v>
      </c>
      <c r="B467" s="1">
        <v>46066</v>
      </c>
      <c r="C467" t="s">
        <v>121</v>
      </c>
      <c r="D467" t="s">
        <v>54</v>
      </c>
      <c r="E467" t="s">
        <v>26</v>
      </c>
      <c r="F467" t="s">
        <v>114</v>
      </c>
      <c r="G467" t="s">
        <v>115</v>
      </c>
      <c r="H467" t="s">
        <v>115</v>
      </c>
      <c r="I467" t="s">
        <v>30</v>
      </c>
      <c r="J467" t="s">
        <v>166</v>
      </c>
      <c r="K467" t="s">
        <v>32</v>
      </c>
      <c r="L467" t="s">
        <v>46</v>
      </c>
      <c r="M467" t="s">
        <v>68</v>
      </c>
      <c r="N467" t="s">
        <v>69</v>
      </c>
      <c r="O467" t="s">
        <v>70</v>
      </c>
      <c r="P467" t="s">
        <v>37</v>
      </c>
      <c r="Q467" t="s">
        <v>129</v>
      </c>
      <c r="R467">
        <v>270</v>
      </c>
      <c r="S467">
        <v>145</v>
      </c>
      <c r="T467">
        <v>111</v>
      </c>
      <c r="U467">
        <v>42</v>
      </c>
      <c r="V467" t="s">
        <v>6851</v>
      </c>
      <c r="W467">
        <v>64932</v>
      </c>
      <c r="X467" t="s">
        <v>7133</v>
      </c>
      <c r="Y467">
        <v>50293</v>
      </c>
      <c r="Z467">
        <v>2727144</v>
      </c>
      <c r="AA467">
        <v>614838</v>
      </c>
      <c r="AB467" t="str">
        <f>(VLOOKUP(SalesData[[#This Row],[Month Number]],Reference!C$5:E$16,2,FALSE))</f>
        <v>Feb</v>
      </c>
      <c r="AC467">
        <f>MONTH(SalesData[[#This Row],[Date]])</f>
        <v>2</v>
      </c>
      <c r="AD467">
        <f>Reference!F$4</f>
        <v>2026</v>
      </c>
      <c r="AE467" t="str">
        <f>IF(OR(SalesData[[#This Row],[Day]]="Saturday",SalesData[[#This Row],[Day]]="Sunday"),"Weekend","Weekday")</f>
        <v>Weekday</v>
      </c>
      <c r="AF467" s="5">
        <f>IF(SalesData[[#This Row],[Contracts Offered]]=0,0,SalesData[[#This Row],[Contracts Signed]]/SalesData[[#This Row],[Contracts Offered]])</f>
        <v>0.3783783783783784</v>
      </c>
      <c r="AG467" s="5">
        <f>IF(SalesData[[#This Row],[Customers Visited]]=0,0,SalesData[[#This Row],[Test Drives]]/SalesData[[#This Row],[Customers Visited]])</f>
        <v>0.53703703703703709</v>
      </c>
      <c r="AH467" s="5">
        <f>IF(SalesData[[#This Row],[Customers Visited]]=0,0,SalesData[[#This Row],[Contracts Signed]]/SalesData[[#This Row],[Customers Visited]])</f>
        <v>0.15555555555555556</v>
      </c>
      <c r="AI467" s="6">
        <f>IF(SalesData[[#This Row],[Contracts Signed]]=0,0,SalesData[[#This Row],[Profit(€)]]/SalesData[[#This Row],[Contracts Signed]])</f>
        <v>14639</v>
      </c>
      <c r="AJ467" s="5" t="str">
        <f>TRIM(CLEAN(SalesData[[#This Row],[Retailer]]))</f>
        <v>Elbe Drive</v>
      </c>
    </row>
    <row r="468" spans="1:36" ht="14.25" hidden="1" x14ac:dyDescent="0.2">
      <c r="A468" t="s">
        <v>940</v>
      </c>
      <c r="B468" s="1">
        <v>46067</v>
      </c>
      <c r="C468" t="s">
        <v>121</v>
      </c>
      <c r="D468" t="s">
        <v>151</v>
      </c>
      <c r="E468" t="s">
        <v>42</v>
      </c>
      <c r="F468" t="s">
        <v>83</v>
      </c>
      <c r="G468" t="s">
        <v>84</v>
      </c>
      <c r="H468" t="s">
        <v>85</v>
      </c>
      <c r="I468" t="s">
        <v>116</v>
      </c>
      <c r="J468" t="s">
        <v>203</v>
      </c>
      <c r="K468" t="s">
        <v>91</v>
      </c>
      <c r="L468" t="s">
        <v>67</v>
      </c>
      <c r="M468" t="s">
        <v>68</v>
      </c>
      <c r="N468" t="s">
        <v>35</v>
      </c>
      <c r="O468" t="s">
        <v>36</v>
      </c>
      <c r="P468" t="s">
        <v>58</v>
      </c>
      <c r="Q468" t="s">
        <v>167</v>
      </c>
      <c r="R468">
        <v>396</v>
      </c>
      <c r="S468">
        <v>205</v>
      </c>
      <c r="T468">
        <v>135</v>
      </c>
      <c r="U468">
        <v>41</v>
      </c>
      <c r="V468" t="s">
        <v>6410</v>
      </c>
      <c r="W468">
        <v>22738</v>
      </c>
      <c r="X468" t="s">
        <v>3332</v>
      </c>
      <c r="Y468">
        <v>20900</v>
      </c>
      <c r="Z468">
        <v>932258</v>
      </c>
      <c r="AA468">
        <v>75358</v>
      </c>
      <c r="AB468" t="str">
        <f>(VLOOKUP(SalesData[[#This Row],[Month Number]],Reference!C$5:E$16,2,FALSE))</f>
        <v>Feb</v>
      </c>
      <c r="AC468">
        <f>MONTH(SalesData[[#This Row],[Date]])</f>
        <v>2</v>
      </c>
      <c r="AD468">
        <f>Reference!F$4</f>
        <v>2026</v>
      </c>
      <c r="AE468" t="str">
        <f>IF(OR(SalesData[[#This Row],[Day]]="Saturday",SalesData[[#This Row],[Day]]="Sunday"),"Weekend","Weekday")</f>
        <v>Weekend</v>
      </c>
      <c r="AF468" s="5">
        <f>IF(SalesData[[#This Row],[Contracts Offered]]=0,0,SalesData[[#This Row],[Contracts Signed]]/SalesData[[#This Row],[Contracts Offered]])</f>
        <v>0.3037037037037037</v>
      </c>
      <c r="AG468" s="5">
        <f>IF(SalesData[[#This Row],[Customers Visited]]=0,0,SalesData[[#This Row],[Test Drives]]/SalesData[[#This Row],[Customers Visited]])</f>
        <v>0.51767676767676762</v>
      </c>
      <c r="AH468" s="5">
        <f>IF(SalesData[[#This Row],[Customers Visited]]=0,0,SalesData[[#This Row],[Contracts Signed]]/SalesData[[#This Row],[Customers Visited]])</f>
        <v>0.10353535353535354</v>
      </c>
      <c r="AI468" s="6">
        <f>IF(SalesData[[#This Row],[Contracts Signed]]=0,0,SalesData[[#This Row],[Profit(€)]]/SalesData[[#This Row],[Contracts Signed]])</f>
        <v>1838</v>
      </c>
      <c r="AJ468" s="5" t="str">
        <f>TRIM(CLEAN(SalesData[[#This Row],[Retailer]]))</f>
        <v>Hannover Cars</v>
      </c>
    </row>
    <row r="469" spans="1:36" ht="14.25" hidden="1" x14ac:dyDescent="0.2">
      <c r="A469" t="s">
        <v>942</v>
      </c>
      <c r="B469" s="1">
        <v>46078</v>
      </c>
      <c r="C469" t="s">
        <v>53</v>
      </c>
      <c r="D469" t="s">
        <v>82</v>
      </c>
      <c r="E469" t="s">
        <v>26</v>
      </c>
      <c r="F469" t="s">
        <v>94</v>
      </c>
      <c r="G469" t="s">
        <v>95</v>
      </c>
      <c r="H469" t="s">
        <v>96</v>
      </c>
      <c r="I469" t="s">
        <v>116</v>
      </c>
      <c r="J469" t="s">
        <v>117</v>
      </c>
      <c r="K469" t="s">
        <v>78</v>
      </c>
      <c r="L469" t="s">
        <v>67</v>
      </c>
      <c r="M469" t="s">
        <v>87</v>
      </c>
      <c r="N469" t="s">
        <v>48</v>
      </c>
      <c r="O469" t="s">
        <v>70</v>
      </c>
      <c r="P469" t="s">
        <v>58</v>
      </c>
      <c r="Q469" t="s">
        <v>347</v>
      </c>
      <c r="R469">
        <v>399</v>
      </c>
      <c r="S469">
        <v>157</v>
      </c>
      <c r="T469">
        <v>96</v>
      </c>
      <c r="U469">
        <v>29</v>
      </c>
      <c r="V469" t="s">
        <v>2042</v>
      </c>
      <c r="W469">
        <v>25351</v>
      </c>
      <c r="X469" t="s">
        <v>3082</v>
      </c>
      <c r="Y469">
        <v>22966</v>
      </c>
      <c r="Z469">
        <v>735179</v>
      </c>
      <c r="AA469">
        <v>69165</v>
      </c>
      <c r="AB469" t="str">
        <f>(VLOOKUP(SalesData[[#This Row],[Month Number]],Reference!C$5:E$16,2,FALSE))</f>
        <v>Feb</v>
      </c>
      <c r="AC469">
        <f>MONTH(SalesData[[#This Row],[Date]])</f>
        <v>2</v>
      </c>
      <c r="AD469">
        <f>Reference!F$4</f>
        <v>2026</v>
      </c>
      <c r="AE469" t="str">
        <f>IF(OR(SalesData[[#This Row],[Day]]="Saturday",SalesData[[#This Row],[Day]]="Sunday"),"Weekend","Weekday")</f>
        <v>Weekday</v>
      </c>
      <c r="AF469" s="5">
        <f>IF(SalesData[[#This Row],[Contracts Offered]]=0,0,SalesData[[#This Row],[Contracts Signed]]/SalesData[[#This Row],[Contracts Offered]])</f>
        <v>0.30208333333333331</v>
      </c>
      <c r="AG469" s="5">
        <f>IF(SalesData[[#This Row],[Customers Visited]]=0,0,SalesData[[#This Row],[Test Drives]]/SalesData[[#This Row],[Customers Visited]])</f>
        <v>0.39348370927318294</v>
      </c>
      <c r="AH469" s="5">
        <f>IF(SalesData[[#This Row],[Customers Visited]]=0,0,SalesData[[#This Row],[Contracts Signed]]/SalesData[[#This Row],[Customers Visited]])</f>
        <v>7.2681704260651625E-2</v>
      </c>
      <c r="AI469" s="6">
        <f>IF(SalesData[[#This Row],[Contracts Signed]]=0,0,SalesData[[#This Row],[Profit(€)]]/SalesData[[#This Row],[Contracts Signed]])</f>
        <v>2385</v>
      </c>
      <c r="AJ469" s="5" t="str">
        <f>TRIM(CLEAN(SalesData[[#This Row],[Retailer]]))</f>
        <v>Bavaria Motors</v>
      </c>
    </row>
    <row r="470" spans="1:36" ht="14.25" hidden="1" x14ac:dyDescent="0.2">
      <c r="A470" t="s">
        <v>943</v>
      </c>
      <c r="B470" s="1">
        <v>46057</v>
      </c>
      <c r="C470" t="s">
        <v>24</v>
      </c>
      <c r="D470" t="s">
        <v>82</v>
      </c>
      <c r="E470" t="s">
        <v>26</v>
      </c>
      <c r="F470" t="s">
        <v>94</v>
      </c>
      <c r="G470" t="s">
        <v>95</v>
      </c>
      <c r="H470" t="s">
        <v>96</v>
      </c>
      <c r="I470" t="s">
        <v>104</v>
      </c>
      <c r="J470" t="s">
        <v>7061</v>
      </c>
      <c r="K470" t="s">
        <v>91</v>
      </c>
      <c r="L470" t="s">
        <v>46</v>
      </c>
      <c r="M470" t="s">
        <v>87</v>
      </c>
      <c r="N470" t="s">
        <v>35</v>
      </c>
      <c r="O470" t="s">
        <v>70</v>
      </c>
      <c r="P470" t="s">
        <v>49</v>
      </c>
      <c r="Q470" t="s">
        <v>59</v>
      </c>
      <c r="R470">
        <v>267</v>
      </c>
      <c r="S470">
        <v>137</v>
      </c>
      <c r="T470">
        <v>98</v>
      </c>
      <c r="U470">
        <v>21</v>
      </c>
      <c r="V470" t="s">
        <v>1290</v>
      </c>
      <c r="W470">
        <v>31449</v>
      </c>
      <c r="X470" t="s">
        <v>3389</v>
      </c>
      <c r="Y470">
        <v>28605</v>
      </c>
      <c r="Z470">
        <v>660429</v>
      </c>
      <c r="AA470">
        <v>59724</v>
      </c>
      <c r="AB470" t="str">
        <f>(VLOOKUP(SalesData[[#This Row],[Month Number]],Reference!C$5:E$16,2,FALSE))</f>
        <v>Feb</v>
      </c>
      <c r="AC470">
        <f>MONTH(SalesData[[#This Row],[Date]])</f>
        <v>2</v>
      </c>
      <c r="AD470">
        <f>Reference!F$4</f>
        <v>2026</v>
      </c>
      <c r="AE470" t="str">
        <f>IF(OR(SalesData[[#This Row],[Day]]="Saturday",SalesData[[#This Row],[Day]]="Sunday"),"Weekend","Weekday")</f>
        <v>Weekday</v>
      </c>
      <c r="AF470" s="5">
        <f>IF(SalesData[[#This Row],[Contracts Offered]]=0,0,SalesData[[#This Row],[Contracts Signed]]/SalesData[[#This Row],[Contracts Offered]])</f>
        <v>0.21428571428571427</v>
      </c>
      <c r="AG470" s="5">
        <f>IF(SalesData[[#This Row],[Customers Visited]]=0,0,SalesData[[#This Row],[Test Drives]]/SalesData[[#This Row],[Customers Visited]])</f>
        <v>0.51310861423220977</v>
      </c>
      <c r="AH470" s="5">
        <f>IF(SalesData[[#This Row],[Customers Visited]]=0,0,SalesData[[#This Row],[Contracts Signed]]/SalesData[[#This Row],[Customers Visited]])</f>
        <v>7.8651685393258425E-2</v>
      </c>
      <c r="AI470" s="6">
        <f>IF(SalesData[[#This Row],[Contracts Signed]]=0,0,SalesData[[#This Row],[Profit(€)]]/SalesData[[#This Row],[Contracts Signed]])</f>
        <v>2844</v>
      </c>
      <c r="AJ470" s="5" t="str">
        <f>TRIM(CLEAN(SalesData[[#This Row],[Retailer]]))</f>
        <v>Bavaria Motors</v>
      </c>
    </row>
    <row r="471" spans="1:36" ht="14.25" hidden="1" x14ac:dyDescent="0.2">
      <c r="A471" t="s">
        <v>945</v>
      </c>
      <c r="B471" s="1">
        <v>46078</v>
      </c>
      <c r="C471" t="s">
        <v>53</v>
      </c>
      <c r="D471" t="s">
        <v>82</v>
      </c>
      <c r="E471" t="s">
        <v>26</v>
      </c>
      <c r="F471" t="s">
        <v>83</v>
      </c>
      <c r="G471" t="s">
        <v>84</v>
      </c>
      <c r="H471" t="s">
        <v>85</v>
      </c>
      <c r="I471" t="s">
        <v>116</v>
      </c>
      <c r="J471" t="s">
        <v>132</v>
      </c>
      <c r="K471" t="s">
        <v>66</v>
      </c>
      <c r="L471" t="s">
        <v>46</v>
      </c>
      <c r="M471" t="s">
        <v>68</v>
      </c>
      <c r="N471" t="s">
        <v>69</v>
      </c>
      <c r="O471" t="s">
        <v>36</v>
      </c>
      <c r="P471" t="s">
        <v>49</v>
      </c>
      <c r="Q471" t="s">
        <v>347</v>
      </c>
      <c r="R471">
        <v>392</v>
      </c>
      <c r="S471">
        <v>216</v>
      </c>
      <c r="T471">
        <v>133</v>
      </c>
      <c r="U471">
        <v>30</v>
      </c>
      <c r="V471" t="s">
        <v>1418</v>
      </c>
      <c r="W471">
        <v>20174</v>
      </c>
      <c r="X471" t="s">
        <v>889</v>
      </c>
      <c r="Y471">
        <v>18530</v>
      </c>
      <c r="Z471">
        <v>605220</v>
      </c>
      <c r="AA471">
        <v>49320</v>
      </c>
      <c r="AB471" t="str">
        <f>(VLOOKUP(SalesData[[#This Row],[Month Number]],Reference!C$5:E$16,2,FALSE))</f>
        <v>Feb</v>
      </c>
      <c r="AC471">
        <f>MONTH(SalesData[[#This Row],[Date]])</f>
        <v>2</v>
      </c>
      <c r="AD471">
        <f>Reference!F$4</f>
        <v>2026</v>
      </c>
      <c r="AE471" t="str">
        <f>IF(OR(SalesData[[#This Row],[Day]]="Saturday",SalesData[[#This Row],[Day]]="Sunday"),"Weekend","Weekday")</f>
        <v>Weekday</v>
      </c>
      <c r="AF471" s="5">
        <f>IF(SalesData[[#This Row],[Contracts Offered]]=0,0,SalesData[[#This Row],[Contracts Signed]]/SalesData[[#This Row],[Contracts Offered]])</f>
        <v>0.22556390977443608</v>
      </c>
      <c r="AG471" s="5">
        <f>IF(SalesData[[#This Row],[Customers Visited]]=0,0,SalesData[[#This Row],[Test Drives]]/SalesData[[#This Row],[Customers Visited]])</f>
        <v>0.55102040816326525</v>
      </c>
      <c r="AH471" s="5">
        <f>IF(SalesData[[#This Row],[Customers Visited]]=0,0,SalesData[[#This Row],[Contracts Signed]]/SalesData[[#This Row],[Customers Visited]])</f>
        <v>7.6530612244897961E-2</v>
      </c>
      <c r="AI471" s="6">
        <f>IF(SalesData[[#This Row],[Contracts Signed]]=0,0,SalesData[[#This Row],[Profit(€)]]/SalesData[[#This Row],[Contracts Signed]])</f>
        <v>1644</v>
      </c>
      <c r="AJ471" s="5" t="str">
        <f>TRIM(CLEAN(SalesData[[#This Row],[Retailer]]))</f>
        <v>Hannover Cars</v>
      </c>
    </row>
    <row r="472" spans="1:36" ht="14.25" hidden="1" x14ac:dyDescent="0.2">
      <c r="A472" t="s">
        <v>947</v>
      </c>
      <c r="B472" s="1">
        <v>46062</v>
      </c>
      <c r="C472" t="s">
        <v>121</v>
      </c>
      <c r="D472" t="s">
        <v>25</v>
      </c>
      <c r="E472" t="s">
        <v>26</v>
      </c>
      <c r="F472" t="s">
        <v>101</v>
      </c>
      <c r="G472" t="s">
        <v>102</v>
      </c>
      <c r="H472" t="s">
        <v>103</v>
      </c>
      <c r="I472" t="s">
        <v>64</v>
      </c>
      <c r="J472" t="s">
        <v>7029</v>
      </c>
      <c r="K472" t="s">
        <v>32</v>
      </c>
      <c r="L472" t="s">
        <v>33</v>
      </c>
      <c r="M472" t="s">
        <v>68</v>
      </c>
      <c r="N472" t="s">
        <v>35</v>
      </c>
      <c r="O472" t="s">
        <v>70</v>
      </c>
      <c r="P472" t="s">
        <v>71</v>
      </c>
      <c r="Q472" t="s">
        <v>129</v>
      </c>
      <c r="R472">
        <v>230</v>
      </c>
      <c r="S472">
        <v>101</v>
      </c>
      <c r="T472">
        <v>78</v>
      </c>
      <c r="U472">
        <v>25</v>
      </c>
      <c r="V472" t="s">
        <v>6551</v>
      </c>
      <c r="W472">
        <v>62952</v>
      </c>
      <c r="X472" t="s">
        <v>7175</v>
      </c>
      <c r="Y472">
        <v>47202</v>
      </c>
      <c r="Z472">
        <v>1573800</v>
      </c>
      <c r="AA472">
        <v>393750</v>
      </c>
      <c r="AB472" t="str">
        <f>(VLOOKUP(SalesData[[#This Row],[Month Number]],Reference!C$5:E$16,2,FALSE))</f>
        <v>Feb</v>
      </c>
      <c r="AC472">
        <f>MONTH(SalesData[[#This Row],[Date]])</f>
        <v>2</v>
      </c>
      <c r="AD472">
        <f>Reference!F$4</f>
        <v>2026</v>
      </c>
      <c r="AE472" t="str">
        <f>IF(OR(SalesData[[#This Row],[Day]]="Saturday",SalesData[[#This Row],[Day]]="Sunday"),"Weekend","Weekday")</f>
        <v>Weekday</v>
      </c>
      <c r="AF472" s="5">
        <f>IF(SalesData[[#This Row],[Contracts Offered]]=0,0,SalesData[[#This Row],[Contracts Signed]]/SalesData[[#This Row],[Contracts Offered]])</f>
        <v>0.32051282051282054</v>
      </c>
      <c r="AG472" s="5">
        <f>IF(SalesData[[#This Row],[Customers Visited]]=0,0,SalesData[[#This Row],[Test Drives]]/SalesData[[#This Row],[Customers Visited]])</f>
        <v>0.43913043478260871</v>
      </c>
      <c r="AH472" s="5">
        <f>IF(SalesData[[#This Row],[Customers Visited]]=0,0,SalesData[[#This Row],[Contracts Signed]]/SalesData[[#This Row],[Customers Visited]])</f>
        <v>0.10869565217391304</v>
      </c>
      <c r="AI472" s="6">
        <f>IF(SalesData[[#This Row],[Contracts Signed]]=0,0,SalesData[[#This Row],[Profit(€)]]/SalesData[[#This Row],[Contracts Signed]])</f>
        <v>15750</v>
      </c>
      <c r="AJ472" s="5" t="str">
        <f>TRIM(CLEAN(SalesData[[#This Row],[Retailer]]))</f>
        <v>Ruhr Auto Plaza</v>
      </c>
    </row>
    <row r="473" spans="1:36" ht="14.25" hidden="1" x14ac:dyDescent="0.2">
      <c r="A473" t="s">
        <v>949</v>
      </c>
      <c r="B473" s="1">
        <v>46062</v>
      </c>
      <c r="C473" t="s">
        <v>121</v>
      </c>
      <c r="D473" t="s">
        <v>25</v>
      </c>
      <c r="E473" t="s">
        <v>26</v>
      </c>
      <c r="F473" t="s">
        <v>43</v>
      </c>
      <c r="G473" t="s">
        <v>44</v>
      </c>
      <c r="H473" t="s">
        <v>45</v>
      </c>
      <c r="I473" t="s">
        <v>104</v>
      </c>
      <c r="J473" t="s">
        <v>7031</v>
      </c>
      <c r="K473" t="s">
        <v>32</v>
      </c>
      <c r="L473" t="s">
        <v>46</v>
      </c>
      <c r="M473" t="s">
        <v>68</v>
      </c>
      <c r="N473" t="s">
        <v>48</v>
      </c>
      <c r="O473" t="s">
        <v>70</v>
      </c>
      <c r="P473" t="s">
        <v>71</v>
      </c>
      <c r="Q473" t="s">
        <v>50</v>
      </c>
      <c r="R473">
        <v>511</v>
      </c>
      <c r="S473">
        <v>295</v>
      </c>
      <c r="T473">
        <v>204</v>
      </c>
      <c r="U473">
        <v>45</v>
      </c>
      <c r="V473" t="s">
        <v>704</v>
      </c>
      <c r="W473">
        <v>33897</v>
      </c>
      <c r="X473" t="s">
        <v>794</v>
      </c>
      <c r="Y473">
        <v>29338</v>
      </c>
      <c r="Z473">
        <v>1525365</v>
      </c>
      <c r="AA473">
        <v>205155</v>
      </c>
      <c r="AB473" t="str">
        <f>(VLOOKUP(SalesData[[#This Row],[Month Number]],Reference!C$5:E$16,2,FALSE))</f>
        <v>Feb</v>
      </c>
      <c r="AC473">
        <f>MONTH(SalesData[[#This Row],[Date]])</f>
        <v>2</v>
      </c>
      <c r="AD473">
        <f>Reference!F$4</f>
        <v>2026</v>
      </c>
      <c r="AE473" t="str">
        <f>IF(OR(SalesData[[#This Row],[Day]]="Saturday",SalesData[[#This Row],[Day]]="Sunday"),"Weekend","Weekday")</f>
        <v>Weekday</v>
      </c>
      <c r="AF473" s="5">
        <f>IF(SalesData[[#This Row],[Contracts Offered]]=0,0,SalesData[[#This Row],[Contracts Signed]]/SalesData[[#This Row],[Contracts Offered]])</f>
        <v>0.22058823529411764</v>
      </c>
      <c r="AG473" s="5">
        <f>IF(SalesData[[#This Row],[Customers Visited]]=0,0,SalesData[[#This Row],[Test Drives]]/SalesData[[#This Row],[Customers Visited]])</f>
        <v>0.5772994129158513</v>
      </c>
      <c r="AH473" s="5">
        <f>IF(SalesData[[#This Row],[Customers Visited]]=0,0,SalesData[[#This Row],[Contracts Signed]]/SalesData[[#This Row],[Customers Visited]])</f>
        <v>8.8062622309197647E-2</v>
      </c>
      <c r="AI473" s="6">
        <f>IF(SalesData[[#This Row],[Contracts Signed]]=0,0,SalesData[[#This Row],[Profit(€)]]/SalesData[[#This Row],[Contracts Signed]])</f>
        <v>4559</v>
      </c>
      <c r="AJ473" s="5" t="str">
        <f>TRIM(CLEAN(SalesData[[#This Row],[Retailer]]))</f>
        <v>Saxon Wheels</v>
      </c>
    </row>
    <row r="474" spans="1:36" ht="14.25" hidden="1" x14ac:dyDescent="0.2">
      <c r="A474" t="s">
        <v>951</v>
      </c>
      <c r="B474" s="1">
        <v>46059</v>
      </c>
      <c r="C474" t="s">
        <v>24</v>
      </c>
      <c r="D474" t="s">
        <v>54</v>
      </c>
      <c r="E474" t="s">
        <v>26</v>
      </c>
      <c r="F474" t="s">
        <v>7649</v>
      </c>
      <c r="G474" t="s">
        <v>55</v>
      </c>
      <c r="H474" t="s">
        <v>55</v>
      </c>
      <c r="I474" t="s">
        <v>64</v>
      </c>
      <c r="J474" t="s">
        <v>7029</v>
      </c>
      <c r="K474" t="s">
        <v>66</v>
      </c>
      <c r="L474" t="s">
        <v>33</v>
      </c>
      <c r="M474" t="s">
        <v>68</v>
      </c>
      <c r="N474" t="s">
        <v>48</v>
      </c>
      <c r="O474" t="s">
        <v>70</v>
      </c>
      <c r="P474" t="s">
        <v>49</v>
      </c>
      <c r="Q474" t="s">
        <v>79</v>
      </c>
      <c r="R474">
        <v>285</v>
      </c>
      <c r="S474">
        <v>146</v>
      </c>
      <c r="T474">
        <v>100</v>
      </c>
      <c r="U474">
        <v>36</v>
      </c>
      <c r="V474" t="s">
        <v>6356</v>
      </c>
      <c r="W474">
        <v>56808</v>
      </c>
      <c r="X474" t="s">
        <v>3642</v>
      </c>
      <c r="Y474">
        <v>44506</v>
      </c>
      <c r="Z474">
        <v>2045088</v>
      </c>
      <c r="AA474">
        <v>442872</v>
      </c>
      <c r="AB474" t="str">
        <f>(VLOOKUP(SalesData[[#This Row],[Month Number]],Reference!C$5:E$16,2,FALSE))</f>
        <v>Feb</v>
      </c>
      <c r="AC474">
        <f>MONTH(SalesData[[#This Row],[Date]])</f>
        <v>2</v>
      </c>
      <c r="AD474">
        <f>Reference!F$4</f>
        <v>2026</v>
      </c>
      <c r="AE474" t="str">
        <f>IF(OR(SalesData[[#This Row],[Day]]="Saturday",SalesData[[#This Row],[Day]]="Sunday"),"Weekend","Weekday")</f>
        <v>Weekday</v>
      </c>
      <c r="AF474" s="5">
        <f>IF(SalesData[[#This Row],[Contracts Offered]]=0,0,SalesData[[#This Row],[Contracts Signed]]/SalesData[[#This Row],[Contracts Offered]])</f>
        <v>0.36</v>
      </c>
      <c r="AG474" s="5">
        <f>IF(SalesData[[#This Row],[Customers Visited]]=0,0,SalesData[[#This Row],[Test Drives]]/SalesData[[#This Row],[Customers Visited]])</f>
        <v>0.512280701754386</v>
      </c>
      <c r="AH474" s="5">
        <f>IF(SalesData[[#This Row],[Customers Visited]]=0,0,SalesData[[#This Row],[Contracts Signed]]/SalesData[[#This Row],[Customers Visited]])</f>
        <v>0.12631578947368421</v>
      </c>
      <c r="AI474" s="6">
        <f>IF(SalesData[[#This Row],[Contracts Signed]]=0,0,SalesData[[#This Row],[Profit(€)]]/SalesData[[#This Row],[Contracts Signed]])</f>
        <v>12302</v>
      </c>
      <c r="AJ474" s="5" t="str">
        <f>TRIM(CLEAN(SalesData[[#This Row],[Retailer]]))</f>
        <v>Autohaus Berlin</v>
      </c>
    </row>
    <row r="475" spans="1:36" ht="14.25" hidden="1" x14ac:dyDescent="0.2">
      <c r="A475" t="s">
        <v>952</v>
      </c>
      <c r="B475" s="1">
        <v>46073</v>
      </c>
      <c r="C475" t="s">
        <v>62</v>
      </c>
      <c r="D475" t="s">
        <v>54</v>
      </c>
      <c r="E475" t="s">
        <v>26</v>
      </c>
      <c r="F475" t="s">
        <v>83</v>
      </c>
      <c r="G475" t="s">
        <v>84</v>
      </c>
      <c r="H475" t="s">
        <v>85</v>
      </c>
      <c r="I475" t="s">
        <v>116</v>
      </c>
      <c r="J475" t="s">
        <v>7090</v>
      </c>
      <c r="K475" t="s">
        <v>32</v>
      </c>
      <c r="L475" t="s">
        <v>46</v>
      </c>
      <c r="M475" t="s">
        <v>34</v>
      </c>
      <c r="N475" t="s">
        <v>35</v>
      </c>
      <c r="O475" t="s">
        <v>36</v>
      </c>
      <c r="P475" t="s">
        <v>49</v>
      </c>
      <c r="Q475" t="s">
        <v>347</v>
      </c>
      <c r="R475">
        <v>356</v>
      </c>
      <c r="S475">
        <v>169</v>
      </c>
      <c r="T475">
        <v>95</v>
      </c>
      <c r="U475">
        <v>26</v>
      </c>
      <c r="V475" t="s">
        <v>1109</v>
      </c>
      <c r="W475">
        <v>20594</v>
      </c>
      <c r="X475" t="s">
        <v>774</v>
      </c>
      <c r="Y475">
        <v>18639</v>
      </c>
      <c r="Z475">
        <v>535444</v>
      </c>
      <c r="AA475">
        <v>50830</v>
      </c>
      <c r="AB475" t="str">
        <f>(VLOOKUP(SalesData[[#This Row],[Month Number]],Reference!C$5:E$16,2,FALSE))</f>
        <v>Feb</v>
      </c>
      <c r="AC475">
        <f>MONTH(SalesData[[#This Row],[Date]])</f>
        <v>2</v>
      </c>
      <c r="AD475">
        <f>Reference!F$4</f>
        <v>2026</v>
      </c>
      <c r="AE475" t="str">
        <f>IF(OR(SalesData[[#This Row],[Day]]="Saturday",SalesData[[#This Row],[Day]]="Sunday"),"Weekend","Weekday")</f>
        <v>Weekday</v>
      </c>
      <c r="AF475" s="5">
        <f>IF(SalesData[[#This Row],[Contracts Offered]]=0,0,SalesData[[#This Row],[Contracts Signed]]/SalesData[[#This Row],[Contracts Offered]])</f>
        <v>0.27368421052631581</v>
      </c>
      <c r="AG475" s="5">
        <f>IF(SalesData[[#This Row],[Customers Visited]]=0,0,SalesData[[#This Row],[Test Drives]]/SalesData[[#This Row],[Customers Visited]])</f>
        <v>0.4747191011235955</v>
      </c>
      <c r="AH475" s="5">
        <f>IF(SalesData[[#This Row],[Customers Visited]]=0,0,SalesData[[#This Row],[Contracts Signed]]/SalesData[[#This Row],[Customers Visited]])</f>
        <v>7.3033707865168537E-2</v>
      </c>
      <c r="AI475" s="6">
        <f>IF(SalesData[[#This Row],[Contracts Signed]]=0,0,SalesData[[#This Row],[Profit(€)]]/SalesData[[#This Row],[Contracts Signed]])</f>
        <v>1955</v>
      </c>
      <c r="AJ475" s="5" t="str">
        <f>TRIM(CLEAN(SalesData[[#This Row],[Retailer]]))</f>
        <v>Hannover Cars</v>
      </c>
    </row>
    <row r="476" spans="1:36" ht="14.25" hidden="1" x14ac:dyDescent="0.2">
      <c r="A476" t="s">
        <v>954</v>
      </c>
      <c r="B476" s="1">
        <v>46067</v>
      </c>
      <c r="C476" t="s">
        <v>121</v>
      </c>
      <c r="D476" t="s">
        <v>151</v>
      </c>
      <c r="E476" t="s">
        <v>42</v>
      </c>
      <c r="F476" t="s">
        <v>74</v>
      </c>
      <c r="G476" t="s">
        <v>75</v>
      </c>
      <c r="H476" t="s">
        <v>76</v>
      </c>
      <c r="I476" t="s">
        <v>104</v>
      </c>
      <c r="J476" t="s">
        <v>7031</v>
      </c>
      <c r="K476" t="s">
        <v>78</v>
      </c>
      <c r="L476" t="s">
        <v>46</v>
      </c>
      <c r="M476" t="s">
        <v>47</v>
      </c>
      <c r="N476" t="s">
        <v>35</v>
      </c>
      <c r="O476" t="s">
        <v>70</v>
      </c>
      <c r="P476" t="s">
        <v>49</v>
      </c>
      <c r="Q476" t="s">
        <v>347</v>
      </c>
      <c r="R476">
        <v>308</v>
      </c>
      <c r="S476">
        <v>145</v>
      </c>
      <c r="T476">
        <v>102</v>
      </c>
      <c r="U476">
        <v>23</v>
      </c>
      <c r="V476" t="s">
        <v>5209</v>
      </c>
      <c r="W476">
        <v>31086</v>
      </c>
      <c r="X476" t="s">
        <v>2016</v>
      </c>
      <c r="Y476">
        <v>28097</v>
      </c>
      <c r="Z476">
        <v>714978</v>
      </c>
      <c r="AA476">
        <v>68747</v>
      </c>
      <c r="AB476" t="str">
        <f>(VLOOKUP(SalesData[[#This Row],[Month Number]],Reference!C$5:E$16,2,FALSE))</f>
        <v>Feb</v>
      </c>
      <c r="AC476">
        <f>MONTH(SalesData[[#This Row],[Date]])</f>
        <v>2</v>
      </c>
      <c r="AD476">
        <f>Reference!F$4</f>
        <v>2026</v>
      </c>
      <c r="AE476" t="str">
        <f>IF(OR(SalesData[[#This Row],[Day]]="Saturday",SalesData[[#This Row],[Day]]="Sunday"),"Weekend","Weekday")</f>
        <v>Weekend</v>
      </c>
      <c r="AF476" s="5">
        <f>IF(SalesData[[#This Row],[Contracts Offered]]=0,0,SalesData[[#This Row],[Contracts Signed]]/SalesData[[#This Row],[Contracts Offered]])</f>
        <v>0.22549019607843138</v>
      </c>
      <c r="AG476" s="5">
        <f>IF(SalesData[[#This Row],[Customers Visited]]=0,0,SalesData[[#This Row],[Test Drives]]/SalesData[[#This Row],[Customers Visited]])</f>
        <v>0.4707792207792208</v>
      </c>
      <c r="AH476" s="5">
        <f>IF(SalesData[[#This Row],[Customers Visited]]=0,0,SalesData[[#This Row],[Contracts Signed]]/SalesData[[#This Row],[Customers Visited]])</f>
        <v>7.4675324675324672E-2</v>
      </c>
      <c r="AI476" s="6">
        <f>IF(SalesData[[#This Row],[Contracts Signed]]=0,0,SalesData[[#This Row],[Profit(€)]]/SalesData[[#This Row],[Contracts Signed]])</f>
        <v>2989</v>
      </c>
      <c r="AJ476" s="5" t="str">
        <f>TRIM(CLEAN(SalesData[[#This Row],[Retailer]]))</f>
        <v>Stuttgart Auto Center</v>
      </c>
    </row>
    <row r="477" spans="1:36" ht="14.25" hidden="1" x14ac:dyDescent="0.2">
      <c r="A477" t="s">
        <v>956</v>
      </c>
      <c r="B477" s="1">
        <v>46077</v>
      </c>
      <c r="C477" t="s">
        <v>53</v>
      </c>
      <c r="D477" t="s">
        <v>63</v>
      </c>
      <c r="E477" t="s">
        <v>26</v>
      </c>
      <c r="F477" t="s">
        <v>43</v>
      </c>
      <c r="G477" t="s">
        <v>44</v>
      </c>
      <c r="H477" t="s">
        <v>45</v>
      </c>
      <c r="I477" t="s">
        <v>116</v>
      </c>
      <c r="J477" t="s">
        <v>117</v>
      </c>
      <c r="K477" t="s">
        <v>91</v>
      </c>
      <c r="L477" t="s">
        <v>67</v>
      </c>
      <c r="M477" t="s">
        <v>68</v>
      </c>
      <c r="N477" t="s">
        <v>69</v>
      </c>
      <c r="O477" t="s">
        <v>70</v>
      </c>
      <c r="P477" t="s">
        <v>49</v>
      </c>
      <c r="Q477" t="s">
        <v>79</v>
      </c>
      <c r="R477">
        <v>252</v>
      </c>
      <c r="S477">
        <v>123</v>
      </c>
      <c r="T477">
        <v>79</v>
      </c>
      <c r="U477">
        <v>14</v>
      </c>
      <c r="V477" t="s">
        <v>1992</v>
      </c>
      <c r="W477">
        <v>22897</v>
      </c>
      <c r="X477" t="s">
        <v>4265</v>
      </c>
      <c r="Y477">
        <v>20686</v>
      </c>
      <c r="Z477">
        <v>320558</v>
      </c>
      <c r="AA477">
        <v>30954</v>
      </c>
      <c r="AB477" t="str">
        <f>(VLOOKUP(SalesData[[#This Row],[Month Number]],Reference!C$5:E$16,2,FALSE))</f>
        <v>Feb</v>
      </c>
      <c r="AC477">
        <f>MONTH(SalesData[[#This Row],[Date]])</f>
        <v>2</v>
      </c>
      <c r="AD477">
        <f>Reference!F$4</f>
        <v>2026</v>
      </c>
      <c r="AE477" t="str">
        <f>IF(OR(SalesData[[#This Row],[Day]]="Saturday",SalesData[[#This Row],[Day]]="Sunday"),"Weekend","Weekday")</f>
        <v>Weekday</v>
      </c>
      <c r="AF477" s="5">
        <f>IF(SalesData[[#This Row],[Contracts Offered]]=0,0,SalesData[[#This Row],[Contracts Signed]]/SalesData[[#This Row],[Contracts Offered]])</f>
        <v>0.17721518987341772</v>
      </c>
      <c r="AG477" s="5">
        <f>IF(SalesData[[#This Row],[Customers Visited]]=0,0,SalesData[[#This Row],[Test Drives]]/SalesData[[#This Row],[Customers Visited]])</f>
        <v>0.48809523809523808</v>
      </c>
      <c r="AH477" s="5">
        <f>IF(SalesData[[#This Row],[Customers Visited]]=0,0,SalesData[[#This Row],[Contracts Signed]]/SalesData[[#This Row],[Customers Visited]])</f>
        <v>5.5555555555555552E-2</v>
      </c>
      <c r="AI477" s="6">
        <f>IF(SalesData[[#This Row],[Contracts Signed]]=0,0,SalesData[[#This Row],[Profit(€)]]/SalesData[[#This Row],[Contracts Signed]])</f>
        <v>2211</v>
      </c>
      <c r="AJ477" s="5" t="str">
        <f>TRIM(CLEAN(SalesData[[#This Row],[Retailer]]))</f>
        <v>Saxon Wheels</v>
      </c>
    </row>
    <row r="478" spans="1:36" ht="14.25" hidden="1" x14ac:dyDescent="0.2">
      <c r="A478" t="s">
        <v>957</v>
      </c>
      <c r="B478" s="1">
        <v>46063</v>
      </c>
      <c r="C478" t="s">
        <v>121</v>
      </c>
      <c r="D478" t="s">
        <v>63</v>
      </c>
      <c r="E478" t="s">
        <v>26</v>
      </c>
      <c r="F478" t="s">
        <v>43</v>
      </c>
      <c r="G478" t="s">
        <v>44</v>
      </c>
      <c r="H478" t="s">
        <v>45</v>
      </c>
      <c r="I478" t="s">
        <v>116</v>
      </c>
      <c r="J478" t="s">
        <v>117</v>
      </c>
      <c r="K478" t="s">
        <v>66</v>
      </c>
      <c r="L478" t="s">
        <v>67</v>
      </c>
      <c r="M478" t="s">
        <v>47</v>
      </c>
      <c r="N478" t="s">
        <v>35</v>
      </c>
      <c r="O478" t="s">
        <v>36</v>
      </c>
      <c r="P478" t="s">
        <v>71</v>
      </c>
      <c r="Q478" t="s">
        <v>204</v>
      </c>
      <c r="R478">
        <v>278</v>
      </c>
      <c r="S478">
        <v>131</v>
      </c>
      <c r="T478">
        <v>79</v>
      </c>
      <c r="U478">
        <v>19</v>
      </c>
      <c r="V478" t="s">
        <v>1431</v>
      </c>
      <c r="W478">
        <v>19407</v>
      </c>
      <c r="X478" t="s">
        <v>1776</v>
      </c>
      <c r="Y478">
        <v>17558</v>
      </c>
      <c r="Z478">
        <v>368733</v>
      </c>
      <c r="AA478">
        <v>35131</v>
      </c>
      <c r="AB478" t="str">
        <f>(VLOOKUP(SalesData[[#This Row],[Month Number]],Reference!C$5:E$16,2,FALSE))</f>
        <v>Feb</v>
      </c>
      <c r="AC478">
        <f>MONTH(SalesData[[#This Row],[Date]])</f>
        <v>2</v>
      </c>
      <c r="AD478">
        <f>Reference!F$4</f>
        <v>2026</v>
      </c>
      <c r="AE478" t="str">
        <f>IF(OR(SalesData[[#This Row],[Day]]="Saturday",SalesData[[#This Row],[Day]]="Sunday"),"Weekend","Weekday")</f>
        <v>Weekday</v>
      </c>
      <c r="AF478" s="5">
        <f>IF(SalesData[[#This Row],[Contracts Offered]]=0,0,SalesData[[#This Row],[Contracts Signed]]/SalesData[[#This Row],[Contracts Offered]])</f>
        <v>0.24050632911392406</v>
      </c>
      <c r="AG478" s="5">
        <f>IF(SalesData[[#This Row],[Customers Visited]]=0,0,SalesData[[#This Row],[Test Drives]]/SalesData[[#This Row],[Customers Visited]])</f>
        <v>0.47122302158273383</v>
      </c>
      <c r="AH478" s="5">
        <f>IF(SalesData[[#This Row],[Customers Visited]]=0,0,SalesData[[#This Row],[Contracts Signed]]/SalesData[[#This Row],[Customers Visited]])</f>
        <v>6.83453237410072E-2</v>
      </c>
      <c r="AI478" s="6">
        <f>IF(SalesData[[#This Row],[Contracts Signed]]=0,0,SalesData[[#This Row],[Profit(€)]]/SalesData[[#This Row],[Contracts Signed]])</f>
        <v>1849</v>
      </c>
      <c r="AJ478" s="5" t="str">
        <f>TRIM(CLEAN(SalesData[[#This Row],[Retailer]]))</f>
        <v>Saxon Wheels</v>
      </c>
    </row>
    <row r="479" spans="1:36" ht="14.25" hidden="1" x14ac:dyDescent="0.2">
      <c r="A479" t="s">
        <v>959</v>
      </c>
      <c r="B479" s="1">
        <v>46057</v>
      </c>
      <c r="C479" t="s">
        <v>24</v>
      </c>
      <c r="D479" t="s">
        <v>82</v>
      </c>
      <c r="E479" t="s">
        <v>26</v>
      </c>
      <c r="F479" t="s">
        <v>127</v>
      </c>
      <c r="G479" t="s">
        <v>128</v>
      </c>
      <c r="H479" t="s">
        <v>103</v>
      </c>
      <c r="I479" t="s">
        <v>64</v>
      </c>
      <c r="J479" t="s">
        <v>65</v>
      </c>
      <c r="K479" t="s">
        <v>91</v>
      </c>
      <c r="L479" t="s">
        <v>33</v>
      </c>
      <c r="M479" t="s">
        <v>47</v>
      </c>
      <c r="N479" t="s">
        <v>48</v>
      </c>
      <c r="O479" t="s">
        <v>70</v>
      </c>
      <c r="P479" t="s">
        <v>58</v>
      </c>
      <c r="Q479" t="s">
        <v>144</v>
      </c>
      <c r="R479">
        <v>270</v>
      </c>
      <c r="S479">
        <v>159</v>
      </c>
      <c r="T479">
        <v>120</v>
      </c>
      <c r="U479">
        <v>40</v>
      </c>
      <c r="V479" t="s">
        <v>6890</v>
      </c>
      <c r="W479">
        <v>62847</v>
      </c>
      <c r="X479" t="s">
        <v>7229</v>
      </c>
      <c r="Y479">
        <v>48416</v>
      </c>
      <c r="Z479">
        <v>2513880</v>
      </c>
      <c r="AA479">
        <v>577240</v>
      </c>
      <c r="AB479" t="str">
        <f>(VLOOKUP(SalesData[[#This Row],[Month Number]],Reference!C$5:E$16,2,FALSE))</f>
        <v>Feb</v>
      </c>
      <c r="AC479">
        <f>MONTH(SalesData[[#This Row],[Date]])</f>
        <v>2</v>
      </c>
      <c r="AD479">
        <f>Reference!F$4</f>
        <v>2026</v>
      </c>
      <c r="AE479" t="str">
        <f>IF(OR(SalesData[[#This Row],[Day]]="Saturday",SalesData[[#This Row],[Day]]="Sunday"),"Weekend","Weekday")</f>
        <v>Weekday</v>
      </c>
      <c r="AF479" s="5">
        <f>IF(SalesData[[#This Row],[Contracts Offered]]=0,0,SalesData[[#This Row],[Contracts Signed]]/SalesData[[#This Row],[Contracts Offered]])</f>
        <v>0.33333333333333331</v>
      </c>
      <c r="AG479" s="5">
        <f>IF(SalesData[[#This Row],[Customers Visited]]=0,0,SalesData[[#This Row],[Test Drives]]/SalesData[[#This Row],[Customers Visited]])</f>
        <v>0.58888888888888891</v>
      </c>
      <c r="AH479" s="5">
        <f>IF(SalesData[[#This Row],[Customers Visited]]=0,0,SalesData[[#This Row],[Contracts Signed]]/SalesData[[#This Row],[Customers Visited]])</f>
        <v>0.14814814814814814</v>
      </c>
      <c r="AI479" s="6">
        <f>IF(SalesData[[#This Row],[Contracts Signed]]=0,0,SalesData[[#This Row],[Profit(€)]]/SalesData[[#This Row],[Contracts Signed]])</f>
        <v>14431</v>
      </c>
      <c r="AJ479" s="5" t="str">
        <f>TRIM(CLEAN(SalesData[[#This Row],[Retailer]]))</f>
        <v>Rhein Auto Group</v>
      </c>
    </row>
    <row r="480" spans="1:36" ht="14.25" hidden="1" x14ac:dyDescent="0.2">
      <c r="A480" t="s">
        <v>961</v>
      </c>
      <c r="B480" s="1">
        <v>46062</v>
      </c>
      <c r="C480" t="s">
        <v>121</v>
      </c>
      <c r="D480" t="s">
        <v>25</v>
      </c>
      <c r="E480" t="s">
        <v>26</v>
      </c>
      <c r="F480" t="s">
        <v>127</v>
      </c>
      <c r="G480" t="s">
        <v>128</v>
      </c>
      <c r="H480" t="s">
        <v>103</v>
      </c>
      <c r="I480" t="s">
        <v>64</v>
      </c>
      <c r="J480" t="s">
        <v>65</v>
      </c>
      <c r="K480" t="s">
        <v>32</v>
      </c>
      <c r="L480" t="s">
        <v>33</v>
      </c>
      <c r="M480" t="s">
        <v>47</v>
      </c>
      <c r="N480" t="s">
        <v>69</v>
      </c>
      <c r="O480" t="s">
        <v>70</v>
      </c>
      <c r="P480" t="s">
        <v>58</v>
      </c>
      <c r="Q480" t="s">
        <v>79</v>
      </c>
      <c r="R480">
        <v>164</v>
      </c>
      <c r="S480">
        <v>95</v>
      </c>
      <c r="T480">
        <v>71</v>
      </c>
      <c r="U480">
        <v>27</v>
      </c>
      <c r="V480" t="s">
        <v>6837</v>
      </c>
      <c r="W480">
        <v>65969</v>
      </c>
      <c r="X480" t="s">
        <v>7230</v>
      </c>
      <c r="Y480">
        <v>49586</v>
      </c>
      <c r="Z480">
        <v>1781163</v>
      </c>
      <c r="AA480">
        <v>442341</v>
      </c>
      <c r="AB480" t="str">
        <f>(VLOOKUP(SalesData[[#This Row],[Month Number]],Reference!C$5:E$16,2,FALSE))</f>
        <v>Feb</v>
      </c>
      <c r="AC480">
        <f>MONTH(SalesData[[#This Row],[Date]])</f>
        <v>2</v>
      </c>
      <c r="AD480">
        <f>Reference!F$4</f>
        <v>2026</v>
      </c>
      <c r="AE480" t="str">
        <f>IF(OR(SalesData[[#This Row],[Day]]="Saturday",SalesData[[#This Row],[Day]]="Sunday"),"Weekend","Weekday")</f>
        <v>Weekday</v>
      </c>
      <c r="AF480" s="5">
        <f>IF(SalesData[[#This Row],[Contracts Offered]]=0,0,SalesData[[#This Row],[Contracts Signed]]/SalesData[[#This Row],[Contracts Offered]])</f>
        <v>0.38028169014084506</v>
      </c>
      <c r="AG480" s="5">
        <f>IF(SalesData[[#This Row],[Customers Visited]]=0,0,SalesData[[#This Row],[Test Drives]]/SalesData[[#This Row],[Customers Visited]])</f>
        <v>0.57926829268292679</v>
      </c>
      <c r="AH480" s="5">
        <f>IF(SalesData[[#This Row],[Customers Visited]]=0,0,SalesData[[#This Row],[Contracts Signed]]/SalesData[[#This Row],[Customers Visited]])</f>
        <v>0.16463414634146342</v>
      </c>
      <c r="AI480" s="6">
        <f>IF(SalesData[[#This Row],[Contracts Signed]]=0,0,SalesData[[#This Row],[Profit(€)]]/SalesData[[#This Row],[Contracts Signed]])</f>
        <v>16383</v>
      </c>
      <c r="AJ480" s="5" t="str">
        <f>TRIM(CLEAN(SalesData[[#This Row],[Retailer]]))</f>
        <v>Rhein Auto Group</v>
      </c>
    </row>
    <row r="481" spans="1:36" ht="14.25" x14ac:dyDescent="0.2">
      <c r="A481" t="s">
        <v>963</v>
      </c>
      <c r="B481" s="1">
        <v>46069</v>
      </c>
      <c r="C481" t="s">
        <v>62</v>
      </c>
      <c r="D481" t="s">
        <v>25</v>
      </c>
      <c r="E481" t="s">
        <v>26</v>
      </c>
      <c r="F481" t="s">
        <v>101</v>
      </c>
      <c r="G481" t="s">
        <v>102</v>
      </c>
      <c r="H481" t="s">
        <v>103</v>
      </c>
      <c r="I481" t="s">
        <v>30</v>
      </c>
      <c r="J481" t="s">
        <v>7075</v>
      </c>
      <c r="K481" t="s">
        <v>32</v>
      </c>
      <c r="L481" t="s">
        <v>33</v>
      </c>
      <c r="M481" t="s">
        <v>47</v>
      </c>
      <c r="N481" t="s">
        <v>35</v>
      </c>
      <c r="O481" t="s">
        <v>36</v>
      </c>
      <c r="P481" t="s">
        <v>71</v>
      </c>
      <c r="Q481" t="s">
        <v>172</v>
      </c>
      <c r="R481">
        <v>251</v>
      </c>
      <c r="S481">
        <v>154</v>
      </c>
      <c r="T481">
        <v>106</v>
      </c>
      <c r="U481">
        <v>43</v>
      </c>
      <c r="V481" t="s">
        <v>6957</v>
      </c>
      <c r="W481">
        <v>68824</v>
      </c>
      <c r="X481" t="s">
        <v>7178</v>
      </c>
      <c r="Y481">
        <v>52062</v>
      </c>
      <c r="Z481">
        <v>2959432</v>
      </c>
      <c r="AA481">
        <v>720766</v>
      </c>
      <c r="AB481" t="str">
        <f>(VLOOKUP(SalesData[[#This Row],[Month Number]],Reference!C$5:E$16,2,FALSE))</f>
        <v>Feb</v>
      </c>
      <c r="AC481">
        <f>MONTH(SalesData[[#This Row],[Date]])</f>
        <v>2</v>
      </c>
      <c r="AD481">
        <f>Reference!F$4</f>
        <v>2026</v>
      </c>
      <c r="AE481" t="str">
        <f>IF(OR(SalesData[[#This Row],[Day]]="Saturday",SalesData[[#This Row],[Day]]="Sunday"),"Weekend","Weekday")</f>
        <v>Weekday</v>
      </c>
      <c r="AF481" s="5">
        <f>IF(SalesData[[#This Row],[Contracts Offered]]=0,0,SalesData[[#This Row],[Contracts Signed]]/SalesData[[#This Row],[Contracts Offered]])</f>
        <v>0.40566037735849059</v>
      </c>
      <c r="AG481" s="5">
        <f>IF(SalesData[[#This Row],[Customers Visited]]=0,0,SalesData[[#This Row],[Test Drives]]/SalesData[[#This Row],[Customers Visited]])</f>
        <v>0.61354581673306774</v>
      </c>
      <c r="AH481" s="5">
        <f>IF(SalesData[[#This Row],[Customers Visited]]=0,0,SalesData[[#This Row],[Contracts Signed]]/SalesData[[#This Row],[Customers Visited]])</f>
        <v>0.17131474103585656</v>
      </c>
      <c r="AI481" s="6">
        <f>IF(SalesData[[#This Row],[Contracts Signed]]=0,0,SalesData[[#This Row],[Profit(€)]]/SalesData[[#This Row],[Contracts Signed]])</f>
        <v>16762</v>
      </c>
      <c r="AJ481" s="5" t="str">
        <f>TRIM(CLEAN(SalesData[[#This Row],[Retailer]]))</f>
        <v>Ruhr Auto Plaza</v>
      </c>
    </row>
    <row r="482" spans="1:36" ht="14.25" hidden="1" x14ac:dyDescent="0.2">
      <c r="A482" t="s">
        <v>965</v>
      </c>
      <c r="B482" s="1">
        <v>46059</v>
      </c>
      <c r="C482" t="s">
        <v>24</v>
      </c>
      <c r="D482" t="s">
        <v>54</v>
      </c>
      <c r="E482" t="s">
        <v>26</v>
      </c>
      <c r="F482" t="s">
        <v>101</v>
      </c>
      <c r="G482" t="s">
        <v>102</v>
      </c>
      <c r="H482" t="s">
        <v>103</v>
      </c>
      <c r="I482" t="s">
        <v>104</v>
      </c>
      <c r="J482" t="s">
        <v>7031</v>
      </c>
      <c r="K482" t="s">
        <v>91</v>
      </c>
      <c r="L482" t="s">
        <v>46</v>
      </c>
      <c r="M482" t="s">
        <v>34</v>
      </c>
      <c r="N482" t="s">
        <v>35</v>
      </c>
      <c r="O482" t="s">
        <v>36</v>
      </c>
      <c r="P482" t="s">
        <v>37</v>
      </c>
      <c r="Q482" t="s">
        <v>158</v>
      </c>
      <c r="R482">
        <v>276</v>
      </c>
      <c r="S482">
        <v>148</v>
      </c>
      <c r="T482">
        <v>94</v>
      </c>
      <c r="U482">
        <v>18</v>
      </c>
      <c r="V482" t="s">
        <v>321</v>
      </c>
      <c r="W482">
        <v>34236</v>
      </c>
      <c r="X482" t="s">
        <v>5712</v>
      </c>
      <c r="Y482">
        <v>31122</v>
      </c>
      <c r="Z482">
        <v>616248</v>
      </c>
      <c r="AA482">
        <v>56052</v>
      </c>
      <c r="AB482" t="str">
        <f>(VLOOKUP(SalesData[[#This Row],[Month Number]],Reference!C$5:E$16,2,FALSE))</f>
        <v>Feb</v>
      </c>
      <c r="AC482">
        <f>MONTH(SalesData[[#This Row],[Date]])</f>
        <v>2</v>
      </c>
      <c r="AD482">
        <f>Reference!F$4</f>
        <v>2026</v>
      </c>
      <c r="AE482" t="str">
        <f>IF(OR(SalesData[[#This Row],[Day]]="Saturday",SalesData[[#This Row],[Day]]="Sunday"),"Weekend","Weekday")</f>
        <v>Weekday</v>
      </c>
      <c r="AF482" s="5">
        <f>IF(SalesData[[#This Row],[Contracts Offered]]=0,0,SalesData[[#This Row],[Contracts Signed]]/SalesData[[#This Row],[Contracts Offered]])</f>
        <v>0.19148936170212766</v>
      </c>
      <c r="AG482" s="5">
        <f>IF(SalesData[[#This Row],[Customers Visited]]=0,0,SalesData[[#This Row],[Test Drives]]/SalesData[[#This Row],[Customers Visited]])</f>
        <v>0.53623188405797106</v>
      </c>
      <c r="AH482" s="5">
        <f>IF(SalesData[[#This Row],[Customers Visited]]=0,0,SalesData[[#This Row],[Contracts Signed]]/SalesData[[#This Row],[Customers Visited]])</f>
        <v>6.5217391304347824E-2</v>
      </c>
      <c r="AI482" s="6">
        <f>IF(SalesData[[#This Row],[Contracts Signed]]=0,0,SalesData[[#This Row],[Profit(€)]]/SalesData[[#This Row],[Contracts Signed]])</f>
        <v>3114</v>
      </c>
      <c r="AJ482" s="5" t="str">
        <f>TRIM(CLEAN(SalesData[[#This Row],[Retailer]]))</f>
        <v>Ruhr Auto Plaza</v>
      </c>
    </row>
    <row r="483" spans="1:36" ht="14.25" hidden="1" x14ac:dyDescent="0.2">
      <c r="A483" t="s">
        <v>966</v>
      </c>
      <c r="B483" s="1">
        <v>46074</v>
      </c>
      <c r="C483" t="s">
        <v>62</v>
      </c>
      <c r="D483" t="s">
        <v>151</v>
      </c>
      <c r="E483" t="s">
        <v>42</v>
      </c>
      <c r="F483" t="s">
        <v>74</v>
      </c>
      <c r="G483" t="s">
        <v>75</v>
      </c>
      <c r="H483" t="s">
        <v>76</v>
      </c>
      <c r="I483" t="s">
        <v>116</v>
      </c>
      <c r="J483" t="s">
        <v>132</v>
      </c>
      <c r="K483" t="s">
        <v>91</v>
      </c>
      <c r="L483" t="s">
        <v>46</v>
      </c>
      <c r="M483" t="s">
        <v>87</v>
      </c>
      <c r="N483" t="s">
        <v>69</v>
      </c>
      <c r="O483" t="s">
        <v>36</v>
      </c>
      <c r="P483" t="s">
        <v>71</v>
      </c>
      <c r="Q483" t="s">
        <v>347</v>
      </c>
      <c r="R483">
        <v>399</v>
      </c>
      <c r="S483">
        <v>215</v>
      </c>
      <c r="T483">
        <v>120</v>
      </c>
      <c r="U483">
        <v>35</v>
      </c>
      <c r="V483" t="s">
        <v>89</v>
      </c>
      <c r="W483">
        <v>25528</v>
      </c>
      <c r="X483" t="s">
        <v>534</v>
      </c>
      <c r="Y483">
        <v>23330</v>
      </c>
      <c r="Z483">
        <v>893480</v>
      </c>
      <c r="AA483">
        <v>76930</v>
      </c>
      <c r="AB483" t="str">
        <f>(VLOOKUP(SalesData[[#This Row],[Month Number]],Reference!C$5:E$16,2,FALSE))</f>
        <v>Feb</v>
      </c>
      <c r="AC483">
        <f>MONTH(SalesData[[#This Row],[Date]])</f>
        <v>2</v>
      </c>
      <c r="AD483">
        <f>Reference!F$4</f>
        <v>2026</v>
      </c>
      <c r="AE483" t="str">
        <f>IF(OR(SalesData[[#This Row],[Day]]="Saturday",SalesData[[#This Row],[Day]]="Sunday"),"Weekend","Weekday")</f>
        <v>Weekend</v>
      </c>
      <c r="AF483" s="5">
        <f>IF(SalesData[[#This Row],[Contracts Offered]]=0,0,SalesData[[#This Row],[Contracts Signed]]/SalesData[[#This Row],[Contracts Offered]])</f>
        <v>0.29166666666666669</v>
      </c>
      <c r="AG483" s="5">
        <f>IF(SalesData[[#This Row],[Customers Visited]]=0,0,SalesData[[#This Row],[Test Drives]]/SalesData[[#This Row],[Customers Visited]])</f>
        <v>0.53884711779448624</v>
      </c>
      <c r="AH483" s="5">
        <f>IF(SalesData[[#This Row],[Customers Visited]]=0,0,SalesData[[#This Row],[Contracts Signed]]/SalesData[[#This Row],[Customers Visited]])</f>
        <v>8.771929824561403E-2</v>
      </c>
      <c r="AI483" s="6">
        <f>IF(SalesData[[#This Row],[Contracts Signed]]=0,0,SalesData[[#This Row],[Profit(€)]]/SalesData[[#This Row],[Contracts Signed]])</f>
        <v>2198</v>
      </c>
      <c r="AJ483" s="5" t="str">
        <f>TRIM(CLEAN(SalesData[[#This Row],[Retailer]]))</f>
        <v>Stuttgart Auto Center</v>
      </c>
    </row>
    <row r="484" spans="1:36" ht="14.25" hidden="1" x14ac:dyDescent="0.2">
      <c r="A484" t="s">
        <v>967</v>
      </c>
      <c r="B484" s="1">
        <v>46056</v>
      </c>
      <c r="C484" t="s">
        <v>24</v>
      </c>
      <c r="D484" t="s">
        <v>63</v>
      </c>
      <c r="E484" t="s">
        <v>26</v>
      </c>
      <c r="F484" t="s">
        <v>74</v>
      </c>
      <c r="G484" t="s">
        <v>75</v>
      </c>
      <c r="H484" t="s">
        <v>76</v>
      </c>
      <c r="I484" t="s">
        <v>56</v>
      </c>
      <c r="J484" t="s">
        <v>137</v>
      </c>
      <c r="K484" t="s">
        <v>32</v>
      </c>
      <c r="L484" t="s">
        <v>46</v>
      </c>
      <c r="M484" t="s">
        <v>87</v>
      </c>
      <c r="N484" t="s">
        <v>48</v>
      </c>
      <c r="O484" t="s">
        <v>36</v>
      </c>
      <c r="P484" t="s">
        <v>71</v>
      </c>
      <c r="Q484" t="s">
        <v>59</v>
      </c>
      <c r="R484">
        <v>211</v>
      </c>
      <c r="S484">
        <v>104</v>
      </c>
      <c r="T484">
        <v>67</v>
      </c>
      <c r="U484">
        <v>24</v>
      </c>
      <c r="V484" t="s">
        <v>6386</v>
      </c>
      <c r="W484">
        <v>43738</v>
      </c>
      <c r="X484" t="s">
        <v>7231</v>
      </c>
      <c r="Y484">
        <v>32917</v>
      </c>
      <c r="Z484">
        <v>1049712</v>
      </c>
      <c r="AA484">
        <v>259704</v>
      </c>
      <c r="AB484" t="str">
        <f>(VLOOKUP(SalesData[[#This Row],[Month Number]],Reference!C$5:E$16,2,FALSE))</f>
        <v>Feb</v>
      </c>
      <c r="AC484">
        <f>MONTH(SalesData[[#This Row],[Date]])</f>
        <v>2</v>
      </c>
      <c r="AD484">
        <f>Reference!F$4</f>
        <v>2026</v>
      </c>
      <c r="AE484" t="str">
        <f>IF(OR(SalesData[[#This Row],[Day]]="Saturday",SalesData[[#This Row],[Day]]="Sunday"),"Weekend","Weekday")</f>
        <v>Weekday</v>
      </c>
      <c r="AF484" s="5">
        <f>IF(SalesData[[#This Row],[Contracts Offered]]=0,0,SalesData[[#This Row],[Contracts Signed]]/SalesData[[#This Row],[Contracts Offered]])</f>
        <v>0.35820895522388058</v>
      </c>
      <c r="AG484" s="5">
        <f>IF(SalesData[[#This Row],[Customers Visited]]=0,0,SalesData[[#This Row],[Test Drives]]/SalesData[[#This Row],[Customers Visited]])</f>
        <v>0.49289099526066349</v>
      </c>
      <c r="AH484" s="5">
        <f>IF(SalesData[[#This Row],[Customers Visited]]=0,0,SalesData[[#This Row],[Contracts Signed]]/SalesData[[#This Row],[Customers Visited]])</f>
        <v>0.11374407582938388</v>
      </c>
      <c r="AI484" s="6">
        <f>IF(SalesData[[#This Row],[Contracts Signed]]=0,0,SalesData[[#This Row],[Profit(€)]]/SalesData[[#This Row],[Contracts Signed]])</f>
        <v>10821</v>
      </c>
      <c r="AJ484" s="5" t="str">
        <f>TRIM(CLEAN(SalesData[[#This Row],[Retailer]]))</f>
        <v>Stuttgart Auto Center</v>
      </c>
    </row>
    <row r="485" spans="1:36" ht="14.25" hidden="1" x14ac:dyDescent="0.2">
      <c r="A485" t="s">
        <v>969</v>
      </c>
      <c r="B485" s="1">
        <v>46076</v>
      </c>
      <c r="C485" t="s">
        <v>53</v>
      </c>
      <c r="D485" t="s">
        <v>25</v>
      </c>
      <c r="E485" t="s">
        <v>26</v>
      </c>
      <c r="F485" t="s">
        <v>109</v>
      </c>
      <c r="G485" t="s">
        <v>110</v>
      </c>
      <c r="H485" t="s">
        <v>45</v>
      </c>
      <c r="I485" t="s">
        <v>104</v>
      </c>
      <c r="J485" t="s">
        <v>143</v>
      </c>
      <c r="K485" t="s">
        <v>91</v>
      </c>
      <c r="L485" t="s">
        <v>67</v>
      </c>
      <c r="M485" t="s">
        <v>87</v>
      </c>
      <c r="N485" t="s">
        <v>48</v>
      </c>
      <c r="O485" t="s">
        <v>36</v>
      </c>
      <c r="P485" t="s">
        <v>49</v>
      </c>
      <c r="Q485" t="s">
        <v>347</v>
      </c>
      <c r="R485">
        <v>438</v>
      </c>
      <c r="S485">
        <v>240</v>
      </c>
      <c r="T485">
        <v>148</v>
      </c>
      <c r="U485">
        <v>38</v>
      </c>
      <c r="V485" t="s">
        <v>1698</v>
      </c>
      <c r="W485">
        <v>30931</v>
      </c>
      <c r="X485" t="s">
        <v>5619</v>
      </c>
      <c r="Y485">
        <v>27383</v>
      </c>
      <c r="Z485">
        <v>1175378</v>
      </c>
      <c r="AA485">
        <v>134824</v>
      </c>
      <c r="AB485" t="str">
        <f>(VLOOKUP(SalesData[[#This Row],[Month Number]],Reference!C$5:E$16,2,FALSE))</f>
        <v>Feb</v>
      </c>
      <c r="AC485">
        <f>MONTH(SalesData[[#This Row],[Date]])</f>
        <v>2</v>
      </c>
      <c r="AD485">
        <f>Reference!F$4</f>
        <v>2026</v>
      </c>
      <c r="AE485" t="str">
        <f>IF(OR(SalesData[[#This Row],[Day]]="Saturday",SalesData[[#This Row],[Day]]="Sunday"),"Weekend","Weekday")</f>
        <v>Weekday</v>
      </c>
      <c r="AF485" s="5">
        <f>IF(SalesData[[#This Row],[Contracts Offered]]=0,0,SalesData[[#This Row],[Contracts Signed]]/SalesData[[#This Row],[Contracts Offered]])</f>
        <v>0.25675675675675674</v>
      </c>
      <c r="AG485" s="5">
        <f>IF(SalesData[[#This Row],[Customers Visited]]=0,0,SalesData[[#This Row],[Test Drives]]/SalesData[[#This Row],[Customers Visited]])</f>
        <v>0.54794520547945202</v>
      </c>
      <c r="AH485" s="5">
        <f>IF(SalesData[[#This Row],[Customers Visited]]=0,0,SalesData[[#This Row],[Contracts Signed]]/SalesData[[#This Row],[Customers Visited]])</f>
        <v>8.6757990867579904E-2</v>
      </c>
      <c r="AI485" s="6">
        <f>IF(SalesData[[#This Row],[Contracts Signed]]=0,0,SalesData[[#This Row],[Profit(€)]]/SalesData[[#This Row],[Contracts Signed]])</f>
        <v>3548</v>
      </c>
      <c r="AJ485" s="5" t="str">
        <f>TRIM(CLEAN(SalesData[[#This Row],[Retailer]]))</f>
        <v>Leipzig Mobility</v>
      </c>
    </row>
    <row r="486" spans="1:36" ht="14.25" x14ac:dyDescent="0.2">
      <c r="A486" t="s">
        <v>970</v>
      </c>
      <c r="B486" s="1">
        <v>46067</v>
      </c>
      <c r="C486" t="s">
        <v>121</v>
      </c>
      <c r="D486" t="s">
        <v>151</v>
      </c>
      <c r="E486" t="s">
        <v>42</v>
      </c>
      <c r="F486" t="s">
        <v>109</v>
      </c>
      <c r="G486" t="s">
        <v>110</v>
      </c>
      <c r="H486" t="s">
        <v>45</v>
      </c>
      <c r="I486" t="s">
        <v>30</v>
      </c>
      <c r="J486" t="s">
        <v>86</v>
      </c>
      <c r="K486" t="s">
        <v>66</v>
      </c>
      <c r="L486" t="s">
        <v>33</v>
      </c>
      <c r="M486" t="s">
        <v>47</v>
      </c>
      <c r="N486" t="s">
        <v>69</v>
      </c>
      <c r="O486" t="s">
        <v>36</v>
      </c>
      <c r="P486" t="s">
        <v>49</v>
      </c>
      <c r="Q486" t="s">
        <v>152</v>
      </c>
      <c r="R486">
        <v>249</v>
      </c>
      <c r="S486">
        <v>132</v>
      </c>
      <c r="T486">
        <v>99</v>
      </c>
      <c r="U486">
        <v>32</v>
      </c>
      <c r="V486" t="s">
        <v>6429</v>
      </c>
      <c r="W486">
        <v>63748</v>
      </c>
      <c r="X486" t="s">
        <v>7058</v>
      </c>
      <c r="Y486">
        <v>48728</v>
      </c>
      <c r="Z486">
        <v>2039936</v>
      </c>
      <c r="AA486">
        <v>480640</v>
      </c>
      <c r="AB486" t="str">
        <f>(VLOOKUP(SalesData[[#This Row],[Month Number]],Reference!C$5:E$16,2,FALSE))</f>
        <v>Feb</v>
      </c>
      <c r="AC486">
        <f>MONTH(SalesData[[#This Row],[Date]])</f>
        <v>2</v>
      </c>
      <c r="AD486">
        <f>Reference!F$4</f>
        <v>2026</v>
      </c>
      <c r="AE486" t="str">
        <f>IF(OR(SalesData[[#This Row],[Day]]="Saturday",SalesData[[#This Row],[Day]]="Sunday"),"Weekend","Weekday")</f>
        <v>Weekend</v>
      </c>
      <c r="AF486" s="5">
        <f>IF(SalesData[[#This Row],[Contracts Offered]]=0,0,SalesData[[#This Row],[Contracts Signed]]/SalesData[[#This Row],[Contracts Offered]])</f>
        <v>0.32323232323232326</v>
      </c>
      <c r="AG486" s="5">
        <f>IF(SalesData[[#This Row],[Customers Visited]]=0,0,SalesData[[#This Row],[Test Drives]]/SalesData[[#This Row],[Customers Visited]])</f>
        <v>0.53012048192771088</v>
      </c>
      <c r="AH486" s="5">
        <f>IF(SalesData[[#This Row],[Customers Visited]]=0,0,SalesData[[#This Row],[Contracts Signed]]/SalesData[[#This Row],[Customers Visited]])</f>
        <v>0.12851405622489959</v>
      </c>
      <c r="AI486" s="6">
        <f>IF(SalesData[[#This Row],[Contracts Signed]]=0,0,SalesData[[#This Row],[Profit(€)]]/SalesData[[#This Row],[Contracts Signed]])</f>
        <v>15020</v>
      </c>
      <c r="AJ486" s="5" t="str">
        <f>TRIM(CLEAN(SalesData[[#This Row],[Retailer]]))</f>
        <v>Leipzig Mobility</v>
      </c>
    </row>
    <row r="487" spans="1:36" ht="14.25" hidden="1" x14ac:dyDescent="0.2">
      <c r="A487" t="s">
        <v>971</v>
      </c>
      <c r="B487" s="1">
        <v>46057</v>
      </c>
      <c r="C487" t="s">
        <v>24</v>
      </c>
      <c r="D487" t="s">
        <v>82</v>
      </c>
      <c r="E487" t="s">
        <v>26</v>
      </c>
      <c r="F487" t="s">
        <v>7649</v>
      </c>
      <c r="G487" t="s">
        <v>55</v>
      </c>
      <c r="H487" t="s">
        <v>55</v>
      </c>
      <c r="I487" t="s">
        <v>56</v>
      </c>
      <c r="J487" t="s">
        <v>137</v>
      </c>
      <c r="K487" t="s">
        <v>78</v>
      </c>
      <c r="L487" t="s">
        <v>46</v>
      </c>
      <c r="M487" t="s">
        <v>34</v>
      </c>
      <c r="N487" t="s">
        <v>69</v>
      </c>
      <c r="O487" t="s">
        <v>36</v>
      </c>
      <c r="P487" t="s">
        <v>58</v>
      </c>
      <c r="Q487" t="s">
        <v>59</v>
      </c>
      <c r="R487">
        <v>244</v>
      </c>
      <c r="S487">
        <v>117</v>
      </c>
      <c r="T487">
        <v>87</v>
      </c>
      <c r="U487">
        <v>34</v>
      </c>
      <c r="V487" t="s">
        <v>6580</v>
      </c>
      <c r="W487">
        <v>49548</v>
      </c>
      <c r="X487" t="s">
        <v>1590</v>
      </c>
      <c r="Y487">
        <v>38263</v>
      </c>
      <c r="Z487">
        <v>1684632</v>
      </c>
      <c r="AA487">
        <v>383690</v>
      </c>
      <c r="AB487" t="str">
        <f>(VLOOKUP(SalesData[[#This Row],[Month Number]],Reference!C$5:E$16,2,FALSE))</f>
        <v>Feb</v>
      </c>
      <c r="AC487">
        <f>MONTH(SalesData[[#This Row],[Date]])</f>
        <v>2</v>
      </c>
      <c r="AD487">
        <f>Reference!F$4</f>
        <v>2026</v>
      </c>
      <c r="AE487" t="str">
        <f>IF(OR(SalesData[[#This Row],[Day]]="Saturday",SalesData[[#This Row],[Day]]="Sunday"),"Weekend","Weekday")</f>
        <v>Weekday</v>
      </c>
      <c r="AF487" s="5">
        <f>IF(SalesData[[#This Row],[Contracts Offered]]=0,0,SalesData[[#This Row],[Contracts Signed]]/SalesData[[#This Row],[Contracts Offered]])</f>
        <v>0.39080459770114945</v>
      </c>
      <c r="AG487" s="5">
        <f>IF(SalesData[[#This Row],[Customers Visited]]=0,0,SalesData[[#This Row],[Test Drives]]/SalesData[[#This Row],[Customers Visited]])</f>
        <v>0.47950819672131145</v>
      </c>
      <c r="AH487" s="5">
        <f>IF(SalesData[[#This Row],[Customers Visited]]=0,0,SalesData[[#This Row],[Contracts Signed]]/SalesData[[#This Row],[Customers Visited]])</f>
        <v>0.13934426229508196</v>
      </c>
      <c r="AI487" s="6">
        <f>IF(SalesData[[#This Row],[Contracts Signed]]=0,0,SalesData[[#This Row],[Profit(€)]]/SalesData[[#This Row],[Contracts Signed]])</f>
        <v>11285</v>
      </c>
      <c r="AJ487" s="5" t="str">
        <f>TRIM(CLEAN(SalesData[[#This Row],[Retailer]]))</f>
        <v>Autohaus Berlin</v>
      </c>
    </row>
    <row r="488" spans="1:36" ht="14.25" x14ac:dyDescent="0.2">
      <c r="A488" t="s">
        <v>973</v>
      </c>
      <c r="B488" s="1">
        <v>46078</v>
      </c>
      <c r="C488" t="s">
        <v>53</v>
      </c>
      <c r="D488" t="s">
        <v>82</v>
      </c>
      <c r="E488" t="s">
        <v>26</v>
      </c>
      <c r="F488" t="s">
        <v>109</v>
      </c>
      <c r="G488" t="s">
        <v>110</v>
      </c>
      <c r="H488" t="s">
        <v>45</v>
      </c>
      <c r="I488" t="s">
        <v>30</v>
      </c>
      <c r="J488" t="s">
        <v>188</v>
      </c>
      <c r="K488" t="s">
        <v>66</v>
      </c>
      <c r="L488" t="s">
        <v>33</v>
      </c>
      <c r="M488" t="s">
        <v>34</v>
      </c>
      <c r="N488" t="s">
        <v>48</v>
      </c>
      <c r="O488" t="s">
        <v>36</v>
      </c>
      <c r="P488" t="s">
        <v>49</v>
      </c>
      <c r="Q488" t="s">
        <v>167</v>
      </c>
      <c r="R488">
        <v>172</v>
      </c>
      <c r="S488">
        <v>88</v>
      </c>
      <c r="T488">
        <v>71</v>
      </c>
      <c r="U488">
        <v>24</v>
      </c>
      <c r="V488" t="s">
        <v>6483</v>
      </c>
      <c r="W488">
        <v>52153</v>
      </c>
      <c r="X488" t="s">
        <v>7106</v>
      </c>
      <c r="Y488">
        <v>37888</v>
      </c>
      <c r="Z488">
        <v>1251672</v>
      </c>
      <c r="AA488">
        <v>342360</v>
      </c>
      <c r="AB488" t="str">
        <f>(VLOOKUP(SalesData[[#This Row],[Month Number]],Reference!C$5:E$16,2,FALSE))</f>
        <v>Feb</v>
      </c>
      <c r="AC488">
        <f>MONTH(SalesData[[#This Row],[Date]])</f>
        <v>2</v>
      </c>
      <c r="AD488">
        <f>Reference!F$4</f>
        <v>2026</v>
      </c>
      <c r="AE488" t="str">
        <f>IF(OR(SalesData[[#This Row],[Day]]="Saturday",SalesData[[#This Row],[Day]]="Sunday"),"Weekend","Weekday")</f>
        <v>Weekday</v>
      </c>
      <c r="AF488" s="5">
        <f>IF(SalesData[[#This Row],[Contracts Offered]]=0,0,SalesData[[#This Row],[Contracts Signed]]/SalesData[[#This Row],[Contracts Offered]])</f>
        <v>0.3380281690140845</v>
      </c>
      <c r="AG488" s="5">
        <f>IF(SalesData[[#This Row],[Customers Visited]]=0,0,SalesData[[#This Row],[Test Drives]]/SalesData[[#This Row],[Customers Visited]])</f>
        <v>0.51162790697674421</v>
      </c>
      <c r="AH488" s="5">
        <f>IF(SalesData[[#This Row],[Customers Visited]]=0,0,SalesData[[#This Row],[Contracts Signed]]/SalesData[[#This Row],[Customers Visited]])</f>
        <v>0.13953488372093023</v>
      </c>
      <c r="AI488" s="6">
        <f>IF(SalesData[[#This Row],[Contracts Signed]]=0,0,SalesData[[#This Row],[Profit(€)]]/SalesData[[#This Row],[Contracts Signed]])</f>
        <v>14265</v>
      </c>
      <c r="AJ488" s="5" t="str">
        <f>TRIM(CLEAN(SalesData[[#This Row],[Retailer]]))</f>
        <v>Leipzig Mobility</v>
      </c>
    </row>
    <row r="489" spans="1:36" ht="14.25" hidden="1" x14ac:dyDescent="0.2">
      <c r="A489" t="s">
        <v>974</v>
      </c>
      <c r="B489" s="1">
        <v>46064</v>
      </c>
      <c r="C489" t="s">
        <v>121</v>
      </c>
      <c r="D489" t="s">
        <v>82</v>
      </c>
      <c r="E489" t="s">
        <v>26</v>
      </c>
      <c r="F489" t="s">
        <v>101</v>
      </c>
      <c r="G489" t="s">
        <v>102</v>
      </c>
      <c r="H489" t="s">
        <v>103</v>
      </c>
      <c r="I489" t="s">
        <v>116</v>
      </c>
      <c r="J489" t="s">
        <v>7090</v>
      </c>
      <c r="K489" t="s">
        <v>91</v>
      </c>
      <c r="L489" t="s">
        <v>46</v>
      </c>
      <c r="M489" t="s">
        <v>68</v>
      </c>
      <c r="N489" t="s">
        <v>35</v>
      </c>
      <c r="O489" t="s">
        <v>36</v>
      </c>
      <c r="P489" t="s">
        <v>58</v>
      </c>
      <c r="Q489" t="s">
        <v>152</v>
      </c>
      <c r="R489">
        <v>253</v>
      </c>
      <c r="S489">
        <v>137</v>
      </c>
      <c r="T489">
        <v>90</v>
      </c>
      <c r="U489">
        <v>25</v>
      </c>
      <c r="V489" t="s">
        <v>2360</v>
      </c>
      <c r="W489">
        <v>23606</v>
      </c>
      <c r="X489" t="s">
        <v>2587</v>
      </c>
      <c r="Y489">
        <v>21495</v>
      </c>
      <c r="Z489">
        <v>590150</v>
      </c>
      <c r="AA489">
        <v>52775</v>
      </c>
      <c r="AB489" t="str">
        <f>(VLOOKUP(SalesData[[#This Row],[Month Number]],Reference!C$5:E$16,2,FALSE))</f>
        <v>Feb</v>
      </c>
      <c r="AC489">
        <f>MONTH(SalesData[[#This Row],[Date]])</f>
        <v>2</v>
      </c>
      <c r="AD489">
        <f>Reference!F$4</f>
        <v>2026</v>
      </c>
      <c r="AE489" t="str">
        <f>IF(OR(SalesData[[#This Row],[Day]]="Saturday",SalesData[[#This Row],[Day]]="Sunday"),"Weekend","Weekday")</f>
        <v>Weekday</v>
      </c>
      <c r="AF489" s="5">
        <f>IF(SalesData[[#This Row],[Contracts Offered]]=0,0,SalesData[[#This Row],[Contracts Signed]]/SalesData[[#This Row],[Contracts Offered]])</f>
        <v>0.27777777777777779</v>
      </c>
      <c r="AG489" s="5">
        <f>IF(SalesData[[#This Row],[Customers Visited]]=0,0,SalesData[[#This Row],[Test Drives]]/SalesData[[#This Row],[Customers Visited]])</f>
        <v>0.54150197628458496</v>
      </c>
      <c r="AH489" s="5">
        <f>IF(SalesData[[#This Row],[Customers Visited]]=0,0,SalesData[[#This Row],[Contracts Signed]]/SalesData[[#This Row],[Customers Visited]])</f>
        <v>9.8814229249011856E-2</v>
      </c>
      <c r="AI489" s="6">
        <f>IF(SalesData[[#This Row],[Contracts Signed]]=0,0,SalesData[[#This Row],[Profit(€)]]/SalesData[[#This Row],[Contracts Signed]])</f>
        <v>2111</v>
      </c>
      <c r="AJ489" s="5" t="str">
        <f>TRIM(CLEAN(SalesData[[#This Row],[Retailer]]))</f>
        <v>Ruhr Auto Plaza</v>
      </c>
    </row>
    <row r="490" spans="1:36" ht="14.25" hidden="1" x14ac:dyDescent="0.2">
      <c r="A490" t="s">
        <v>976</v>
      </c>
      <c r="B490" s="1">
        <v>46056</v>
      </c>
      <c r="C490" t="s">
        <v>24</v>
      </c>
      <c r="D490" t="s">
        <v>63</v>
      </c>
      <c r="E490" t="s">
        <v>26</v>
      </c>
      <c r="F490" t="s">
        <v>94</v>
      </c>
      <c r="G490" t="s">
        <v>95</v>
      </c>
      <c r="H490" t="s">
        <v>96</v>
      </c>
      <c r="I490" t="s">
        <v>64</v>
      </c>
      <c r="J490" t="s">
        <v>65</v>
      </c>
      <c r="K490" t="s">
        <v>66</v>
      </c>
      <c r="L490" t="s">
        <v>33</v>
      </c>
      <c r="M490" t="s">
        <v>47</v>
      </c>
      <c r="N490" t="s">
        <v>48</v>
      </c>
      <c r="O490" t="s">
        <v>70</v>
      </c>
      <c r="P490" t="s">
        <v>49</v>
      </c>
      <c r="Q490" t="s">
        <v>189</v>
      </c>
      <c r="R490">
        <v>161</v>
      </c>
      <c r="S490">
        <v>88</v>
      </c>
      <c r="T490">
        <v>66</v>
      </c>
      <c r="U490">
        <v>21</v>
      </c>
      <c r="V490" t="s">
        <v>6954</v>
      </c>
      <c r="W490">
        <v>53429</v>
      </c>
      <c r="X490" t="s">
        <v>572</v>
      </c>
      <c r="Y490">
        <v>38775</v>
      </c>
      <c r="Z490">
        <v>1122009</v>
      </c>
      <c r="AA490">
        <v>307734</v>
      </c>
      <c r="AB490" t="str">
        <f>(VLOOKUP(SalesData[[#This Row],[Month Number]],Reference!C$5:E$16,2,FALSE))</f>
        <v>Feb</v>
      </c>
      <c r="AC490">
        <f>MONTH(SalesData[[#This Row],[Date]])</f>
        <v>2</v>
      </c>
      <c r="AD490">
        <f>Reference!F$4</f>
        <v>2026</v>
      </c>
      <c r="AE490" t="str">
        <f>IF(OR(SalesData[[#This Row],[Day]]="Saturday",SalesData[[#This Row],[Day]]="Sunday"),"Weekend","Weekday")</f>
        <v>Weekday</v>
      </c>
      <c r="AF490" s="5">
        <f>IF(SalesData[[#This Row],[Contracts Offered]]=0,0,SalesData[[#This Row],[Contracts Signed]]/SalesData[[#This Row],[Contracts Offered]])</f>
        <v>0.31818181818181818</v>
      </c>
      <c r="AG490" s="5">
        <f>IF(SalesData[[#This Row],[Customers Visited]]=0,0,SalesData[[#This Row],[Test Drives]]/SalesData[[#This Row],[Customers Visited]])</f>
        <v>0.54658385093167705</v>
      </c>
      <c r="AH490" s="5">
        <f>IF(SalesData[[#This Row],[Customers Visited]]=0,0,SalesData[[#This Row],[Contracts Signed]]/SalesData[[#This Row],[Customers Visited]])</f>
        <v>0.13043478260869565</v>
      </c>
      <c r="AI490" s="6">
        <f>IF(SalesData[[#This Row],[Contracts Signed]]=0,0,SalesData[[#This Row],[Profit(€)]]/SalesData[[#This Row],[Contracts Signed]])</f>
        <v>14654</v>
      </c>
      <c r="AJ490" s="5" t="str">
        <f>TRIM(CLEAN(SalesData[[#This Row],[Retailer]]))</f>
        <v>Bavaria Motors</v>
      </c>
    </row>
    <row r="491" spans="1:36" ht="14.25" x14ac:dyDescent="0.2">
      <c r="A491" t="s">
        <v>978</v>
      </c>
      <c r="B491" s="1">
        <v>46069</v>
      </c>
      <c r="C491" t="s">
        <v>62</v>
      </c>
      <c r="D491" t="s">
        <v>25</v>
      </c>
      <c r="E491" t="s">
        <v>26</v>
      </c>
      <c r="F491" t="s">
        <v>7649</v>
      </c>
      <c r="G491" t="s">
        <v>55</v>
      </c>
      <c r="H491" t="s">
        <v>55</v>
      </c>
      <c r="I491" t="s">
        <v>30</v>
      </c>
      <c r="J491" t="s">
        <v>166</v>
      </c>
      <c r="K491" t="s">
        <v>32</v>
      </c>
      <c r="L491" t="s">
        <v>46</v>
      </c>
      <c r="M491" t="s">
        <v>68</v>
      </c>
      <c r="N491" t="s">
        <v>35</v>
      </c>
      <c r="O491" t="s">
        <v>36</v>
      </c>
      <c r="P491" t="s">
        <v>49</v>
      </c>
      <c r="Q491" t="s">
        <v>79</v>
      </c>
      <c r="R491">
        <v>178</v>
      </c>
      <c r="S491">
        <v>84</v>
      </c>
      <c r="T491">
        <v>57</v>
      </c>
      <c r="U491">
        <v>23</v>
      </c>
      <c r="V491" t="s">
        <v>6944</v>
      </c>
      <c r="W491">
        <v>52913</v>
      </c>
      <c r="X491" t="s">
        <v>1739</v>
      </c>
      <c r="Y491">
        <v>37801</v>
      </c>
      <c r="Z491">
        <v>1216999</v>
      </c>
      <c r="AA491">
        <v>347576</v>
      </c>
      <c r="AB491" t="str">
        <f>(VLOOKUP(SalesData[[#This Row],[Month Number]],Reference!C$5:E$16,2,FALSE))</f>
        <v>Feb</v>
      </c>
      <c r="AC491">
        <f>MONTH(SalesData[[#This Row],[Date]])</f>
        <v>2</v>
      </c>
      <c r="AD491">
        <f>Reference!F$4</f>
        <v>2026</v>
      </c>
      <c r="AE491" t="str">
        <f>IF(OR(SalesData[[#This Row],[Day]]="Saturday",SalesData[[#This Row],[Day]]="Sunday"),"Weekend","Weekday")</f>
        <v>Weekday</v>
      </c>
      <c r="AF491" s="5">
        <f>IF(SalesData[[#This Row],[Contracts Offered]]=0,0,SalesData[[#This Row],[Contracts Signed]]/SalesData[[#This Row],[Contracts Offered]])</f>
        <v>0.40350877192982454</v>
      </c>
      <c r="AG491" s="5">
        <f>IF(SalesData[[#This Row],[Customers Visited]]=0,0,SalesData[[#This Row],[Test Drives]]/SalesData[[#This Row],[Customers Visited]])</f>
        <v>0.47191011235955055</v>
      </c>
      <c r="AH491" s="5">
        <f>IF(SalesData[[#This Row],[Customers Visited]]=0,0,SalesData[[#This Row],[Contracts Signed]]/SalesData[[#This Row],[Customers Visited]])</f>
        <v>0.12921348314606743</v>
      </c>
      <c r="AI491" s="6">
        <f>IF(SalesData[[#This Row],[Contracts Signed]]=0,0,SalesData[[#This Row],[Profit(€)]]/SalesData[[#This Row],[Contracts Signed]])</f>
        <v>15112</v>
      </c>
      <c r="AJ491" s="5" t="str">
        <f>TRIM(CLEAN(SalesData[[#This Row],[Retailer]]))</f>
        <v>Autohaus Berlin</v>
      </c>
    </row>
    <row r="492" spans="1:36" ht="14.25" hidden="1" x14ac:dyDescent="0.2">
      <c r="A492" t="s">
        <v>980</v>
      </c>
      <c r="B492" s="1">
        <v>46073</v>
      </c>
      <c r="C492" t="s">
        <v>62</v>
      </c>
      <c r="D492" t="s">
        <v>54</v>
      </c>
      <c r="E492" t="s">
        <v>26</v>
      </c>
      <c r="F492" t="s">
        <v>101</v>
      </c>
      <c r="G492" t="s">
        <v>102</v>
      </c>
      <c r="H492" t="s">
        <v>103</v>
      </c>
      <c r="I492" t="s">
        <v>56</v>
      </c>
      <c r="J492" t="s">
        <v>7028</v>
      </c>
      <c r="K492" t="s">
        <v>78</v>
      </c>
      <c r="L492" t="s">
        <v>46</v>
      </c>
      <c r="M492" t="s">
        <v>87</v>
      </c>
      <c r="N492" t="s">
        <v>48</v>
      </c>
      <c r="O492" t="s">
        <v>70</v>
      </c>
      <c r="P492" t="s">
        <v>37</v>
      </c>
      <c r="Q492" t="s">
        <v>347</v>
      </c>
      <c r="R492">
        <v>224</v>
      </c>
      <c r="S492">
        <v>136</v>
      </c>
      <c r="T492">
        <v>87</v>
      </c>
      <c r="U492">
        <v>29</v>
      </c>
      <c r="V492" t="s">
        <v>7215</v>
      </c>
      <c r="W492">
        <v>42572</v>
      </c>
      <c r="X492" t="s">
        <v>7232</v>
      </c>
      <c r="Y492">
        <v>32193</v>
      </c>
      <c r="Z492">
        <v>1234588</v>
      </c>
      <c r="AA492">
        <v>300991</v>
      </c>
      <c r="AB492" t="str">
        <f>(VLOOKUP(SalesData[[#This Row],[Month Number]],Reference!C$5:E$16,2,FALSE))</f>
        <v>Feb</v>
      </c>
      <c r="AC492">
        <f>MONTH(SalesData[[#This Row],[Date]])</f>
        <v>2</v>
      </c>
      <c r="AD492">
        <f>Reference!F$4</f>
        <v>2026</v>
      </c>
      <c r="AE492" t="str">
        <f>IF(OR(SalesData[[#This Row],[Day]]="Saturday",SalesData[[#This Row],[Day]]="Sunday"),"Weekend","Weekday")</f>
        <v>Weekday</v>
      </c>
      <c r="AF492" s="5">
        <f>IF(SalesData[[#This Row],[Contracts Offered]]=0,0,SalesData[[#This Row],[Contracts Signed]]/SalesData[[#This Row],[Contracts Offered]])</f>
        <v>0.33333333333333331</v>
      </c>
      <c r="AG492" s="5">
        <f>IF(SalesData[[#This Row],[Customers Visited]]=0,0,SalesData[[#This Row],[Test Drives]]/SalesData[[#This Row],[Customers Visited]])</f>
        <v>0.6071428571428571</v>
      </c>
      <c r="AH492" s="5">
        <f>IF(SalesData[[#This Row],[Customers Visited]]=0,0,SalesData[[#This Row],[Contracts Signed]]/SalesData[[#This Row],[Customers Visited]])</f>
        <v>0.12946428571428573</v>
      </c>
      <c r="AI492" s="6">
        <f>IF(SalesData[[#This Row],[Contracts Signed]]=0,0,SalesData[[#This Row],[Profit(€)]]/SalesData[[#This Row],[Contracts Signed]])</f>
        <v>10379</v>
      </c>
      <c r="AJ492" s="5" t="str">
        <f>TRIM(CLEAN(SalesData[[#This Row],[Retailer]]))</f>
        <v>Ruhr Auto Plaza</v>
      </c>
    </row>
    <row r="493" spans="1:36" ht="14.25" hidden="1" x14ac:dyDescent="0.2">
      <c r="A493" t="s">
        <v>982</v>
      </c>
      <c r="B493" s="1">
        <v>46065</v>
      </c>
      <c r="C493" t="s">
        <v>121</v>
      </c>
      <c r="D493" t="s">
        <v>100</v>
      </c>
      <c r="E493" t="s">
        <v>26</v>
      </c>
      <c r="F493" t="s">
        <v>114</v>
      </c>
      <c r="G493" t="s">
        <v>115</v>
      </c>
      <c r="H493" t="s">
        <v>115</v>
      </c>
      <c r="I493" t="s">
        <v>56</v>
      </c>
      <c r="J493" t="s">
        <v>137</v>
      </c>
      <c r="K493" t="s">
        <v>78</v>
      </c>
      <c r="L493" t="s">
        <v>46</v>
      </c>
      <c r="M493" t="s">
        <v>47</v>
      </c>
      <c r="N493" t="s">
        <v>48</v>
      </c>
      <c r="O493" t="s">
        <v>36</v>
      </c>
      <c r="P493" t="s">
        <v>37</v>
      </c>
      <c r="Q493" t="s">
        <v>122</v>
      </c>
      <c r="R493">
        <v>220</v>
      </c>
      <c r="S493">
        <v>103</v>
      </c>
      <c r="T493">
        <v>71</v>
      </c>
      <c r="U493">
        <v>21</v>
      </c>
      <c r="V493" t="s">
        <v>6810</v>
      </c>
      <c r="W493">
        <v>55438</v>
      </c>
      <c r="X493" t="s">
        <v>7087</v>
      </c>
      <c r="Y493">
        <v>45084</v>
      </c>
      <c r="Z493">
        <v>1164198</v>
      </c>
      <c r="AA493">
        <v>217434</v>
      </c>
      <c r="AB493" t="str">
        <f>(VLOOKUP(SalesData[[#This Row],[Month Number]],Reference!C$5:E$16,2,FALSE))</f>
        <v>Feb</v>
      </c>
      <c r="AC493">
        <f>MONTH(SalesData[[#This Row],[Date]])</f>
        <v>2</v>
      </c>
      <c r="AD493">
        <f>Reference!F$4</f>
        <v>2026</v>
      </c>
      <c r="AE493" t="str">
        <f>IF(OR(SalesData[[#This Row],[Day]]="Saturday",SalesData[[#This Row],[Day]]="Sunday"),"Weekend","Weekday")</f>
        <v>Weekday</v>
      </c>
      <c r="AF493" s="5">
        <f>IF(SalesData[[#This Row],[Contracts Offered]]=0,0,SalesData[[#This Row],[Contracts Signed]]/SalesData[[#This Row],[Contracts Offered]])</f>
        <v>0.29577464788732394</v>
      </c>
      <c r="AG493" s="5">
        <f>IF(SalesData[[#This Row],[Customers Visited]]=0,0,SalesData[[#This Row],[Test Drives]]/SalesData[[#This Row],[Customers Visited]])</f>
        <v>0.4681818181818182</v>
      </c>
      <c r="AH493" s="5">
        <f>IF(SalesData[[#This Row],[Customers Visited]]=0,0,SalesData[[#This Row],[Contracts Signed]]/SalesData[[#This Row],[Customers Visited]])</f>
        <v>9.5454545454545459E-2</v>
      </c>
      <c r="AI493" s="6">
        <f>IF(SalesData[[#This Row],[Contracts Signed]]=0,0,SalesData[[#This Row],[Profit(€)]]/SalesData[[#This Row],[Contracts Signed]])</f>
        <v>10354</v>
      </c>
      <c r="AJ493" s="5" t="str">
        <f>TRIM(CLEAN(SalesData[[#This Row],[Retailer]]))</f>
        <v>Elbe Drive</v>
      </c>
    </row>
    <row r="494" spans="1:36" ht="14.25" x14ac:dyDescent="0.2">
      <c r="A494" t="s">
        <v>983</v>
      </c>
      <c r="B494" s="1">
        <v>46068</v>
      </c>
      <c r="C494" t="s">
        <v>62</v>
      </c>
      <c r="D494" t="s">
        <v>41</v>
      </c>
      <c r="E494" t="s">
        <v>42</v>
      </c>
      <c r="F494" t="s">
        <v>94</v>
      </c>
      <c r="G494" t="s">
        <v>95</v>
      </c>
      <c r="H494" t="s">
        <v>96</v>
      </c>
      <c r="I494" t="s">
        <v>30</v>
      </c>
      <c r="J494" t="s">
        <v>31</v>
      </c>
      <c r="K494" t="s">
        <v>78</v>
      </c>
      <c r="L494" t="s">
        <v>46</v>
      </c>
      <c r="M494" t="s">
        <v>87</v>
      </c>
      <c r="N494" t="s">
        <v>35</v>
      </c>
      <c r="O494" t="s">
        <v>70</v>
      </c>
      <c r="P494" t="s">
        <v>58</v>
      </c>
      <c r="Q494" t="s">
        <v>79</v>
      </c>
      <c r="R494">
        <v>276</v>
      </c>
      <c r="S494">
        <v>144</v>
      </c>
      <c r="T494">
        <v>107</v>
      </c>
      <c r="U494">
        <v>47</v>
      </c>
      <c r="V494" t="s">
        <v>7233</v>
      </c>
      <c r="W494">
        <v>55080</v>
      </c>
      <c r="X494" t="s">
        <v>1739</v>
      </c>
      <c r="Y494">
        <v>42279</v>
      </c>
      <c r="Z494">
        <v>2588760</v>
      </c>
      <c r="AA494">
        <v>601647</v>
      </c>
      <c r="AB494" t="str">
        <f>(VLOOKUP(SalesData[[#This Row],[Month Number]],Reference!C$5:E$16,2,FALSE))</f>
        <v>Feb</v>
      </c>
      <c r="AC494">
        <f>MONTH(SalesData[[#This Row],[Date]])</f>
        <v>2</v>
      </c>
      <c r="AD494">
        <f>Reference!F$4</f>
        <v>2026</v>
      </c>
      <c r="AE494" t="str">
        <f>IF(OR(SalesData[[#This Row],[Day]]="Saturday",SalesData[[#This Row],[Day]]="Sunday"),"Weekend","Weekday")</f>
        <v>Weekend</v>
      </c>
      <c r="AF494" s="5">
        <f>IF(SalesData[[#This Row],[Contracts Offered]]=0,0,SalesData[[#This Row],[Contracts Signed]]/SalesData[[#This Row],[Contracts Offered]])</f>
        <v>0.43925233644859812</v>
      </c>
      <c r="AG494" s="5">
        <f>IF(SalesData[[#This Row],[Customers Visited]]=0,0,SalesData[[#This Row],[Test Drives]]/SalesData[[#This Row],[Customers Visited]])</f>
        <v>0.52173913043478259</v>
      </c>
      <c r="AH494" s="5">
        <f>IF(SalesData[[#This Row],[Customers Visited]]=0,0,SalesData[[#This Row],[Contracts Signed]]/SalesData[[#This Row],[Customers Visited]])</f>
        <v>0.17028985507246377</v>
      </c>
      <c r="AI494" s="6">
        <f>IF(SalesData[[#This Row],[Contracts Signed]]=0,0,SalesData[[#This Row],[Profit(€)]]/SalesData[[#This Row],[Contracts Signed]])</f>
        <v>12801</v>
      </c>
      <c r="AJ494" s="5" t="str">
        <f>TRIM(CLEAN(SalesData[[#This Row],[Retailer]]))</f>
        <v>Bavaria Motors</v>
      </c>
    </row>
    <row r="495" spans="1:36" ht="14.25" hidden="1" x14ac:dyDescent="0.2">
      <c r="A495" t="s">
        <v>984</v>
      </c>
      <c r="B495" s="1">
        <v>46070</v>
      </c>
      <c r="C495" t="s">
        <v>62</v>
      </c>
      <c r="D495" t="s">
        <v>63</v>
      </c>
      <c r="E495" t="s">
        <v>26</v>
      </c>
      <c r="F495" t="s">
        <v>43</v>
      </c>
      <c r="G495" t="s">
        <v>44</v>
      </c>
      <c r="H495" t="s">
        <v>45</v>
      </c>
      <c r="I495" t="s">
        <v>56</v>
      </c>
      <c r="J495" t="s">
        <v>179</v>
      </c>
      <c r="K495" t="s">
        <v>66</v>
      </c>
      <c r="L495" t="s">
        <v>67</v>
      </c>
      <c r="M495" t="s">
        <v>34</v>
      </c>
      <c r="N495" t="s">
        <v>48</v>
      </c>
      <c r="O495" t="s">
        <v>36</v>
      </c>
      <c r="P495" t="s">
        <v>37</v>
      </c>
      <c r="Q495" t="s">
        <v>38</v>
      </c>
      <c r="R495">
        <v>219</v>
      </c>
      <c r="S495">
        <v>136</v>
      </c>
      <c r="T495">
        <v>89</v>
      </c>
      <c r="U495">
        <v>26</v>
      </c>
      <c r="V495" t="s">
        <v>512</v>
      </c>
      <c r="W495">
        <v>45027</v>
      </c>
      <c r="X495" t="s">
        <v>3427</v>
      </c>
      <c r="Y495">
        <v>33953</v>
      </c>
      <c r="Z495">
        <v>1170702</v>
      </c>
      <c r="AA495">
        <v>287924</v>
      </c>
      <c r="AB495" t="str">
        <f>(VLOOKUP(SalesData[[#This Row],[Month Number]],Reference!C$5:E$16,2,FALSE))</f>
        <v>Feb</v>
      </c>
      <c r="AC495">
        <f>MONTH(SalesData[[#This Row],[Date]])</f>
        <v>2</v>
      </c>
      <c r="AD495">
        <f>Reference!F$4</f>
        <v>2026</v>
      </c>
      <c r="AE495" t="str">
        <f>IF(OR(SalesData[[#This Row],[Day]]="Saturday",SalesData[[#This Row],[Day]]="Sunday"),"Weekend","Weekday")</f>
        <v>Weekday</v>
      </c>
      <c r="AF495" s="5">
        <f>IF(SalesData[[#This Row],[Contracts Offered]]=0,0,SalesData[[#This Row],[Contracts Signed]]/SalesData[[#This Row],[Contracts Offered]])</f>
        <v>0.29213483146067415</v>
      </c>
      <c r="AG495" s="5">
        <f>IF(SalesData[[#This Row],[Customers Visited]]=0,0,SalesData[[#This Row],[Test Drives]]/SalesData[[#This Row],[Customers Visited]])</f>
        <v>0.62100456621004563</v>
      </c>
      <c r="AH495" s="5">
        <f>IF(SalesData[[#This Row],[Customers Visited]]=0,0,SalesData[[#This Row],[Contracts Signed]]/SalesData[[#This Row],[Customers Visited]])</f>
        <v>0.11872146118721461</v>
      </c>
      <c r="AI495" s="6">
        <f>IF(SalesData[[#This Row],[Contracts Signed]]=0,0,SalesData[[#This Row],[Profit(€)]]/SalesData[[#This Row],[Contracts Signed]])</f>
        <v>11074</v>
      </c>
      <c r="AJ495" s="5" t="str">
        <f>TRIM(CLEAN(SalesData[[#This Row],[Retailer]]))</f>
        <v>Saxon Wheels</v>
      </c>
    </row>
    <row r="496" spans="1:36" ht="14.25" hidden="1" x14ac:dyDescent="0.2">
      <c r="A496" t="s">
        <v>986</v>
      </c>
      <c r="B496" s="1">
        <v>46057</v>
      </c>
      <c r="C496" t="s">
        <v>24</v>
      </c>
      <c r="D496" t="s">
        <v>82</v>
      </c>
      <c r="E496" t="s">
        <v>26</v>
      </c>
      <c r="F496" t="s">
        <v>27</v>
      </c>
      <c r="G496" t="s">
        <v>28</v>
      </c>
      <c r="H496" t="s">
        <v>29</v>
      </c>
      <c r="I496" t="s">
        <v>116</v>
      </c>
      <c r="J496" t="s">
        <v>132</v>
      </c>
      <c r="K496" t="s">
        <v>66</v>
      </c>
      <c r="L496" t="s">
        <v>46</v>
      </c>
      <c r="M496" t="s">
        <v>68</v>
      </c>
      <c r="N496" t="s">
        <v>69</v>
      </c>
      <c r="O496" t="s">
        <v>36</v>
      </c>
      <c r="P496" t="s">
        <v>58</v>
      </c>
      <c r="Q496" t="s">
        <v>172</v>
      </c>
      <c r="R496">
        <v>259</v>
      </c>
      <c r="S496">
        <v>117</v>
      </c>
      <c r="T496">
        <v>77</v>
      </c>
      <c r="U496">
        <v>23</v>
      </c>
      <c r="V496" t="s">
        <v>6895</v>
      </c>
      <c r="W496">
        <v>20609</v>
      </c>
      <c r="X496" t="s">
        <v>3184</v>
      </c>
      <c r="Y496">
        <v>19119</v>
      </c>
      <c r="Z496">
        <v>474007</v>
      </c>
      <c r="AA496">
        <v>34270</v>
      </c>
      <c r="AB496" t="str">
        <f>(VLOOKUP(SalesData[[#This Row],[Month Number]],Reference!C$5:E$16,2,FALSE))</f>
        <v>Feb</v>
      </c>
      <c r="AC496">
        <f>MONTH(SalesData[[#This Row],[Date]])</f>
        <v>2</v>
      </c>
      <c r="AD496">
        <f>Reference!F$4</f>
        <v>2026</v>
      </c>
      <c r="AE496" t="str">
        <f>IF(OR(SalesData[[#This Row],[Day]]="Saturday",SalesData[[#This Row],[Day]]="Sunday"),"Weekend","Weekday")</f>
        <v>Weekday</v>
      </c>
      <c r="AF496" s="5">
        <f>IF(SalesData[[#This Row],[Contracts Offered]]=0,0,SalesData[[#This Row],[Contracts Signed]]/SalesData[[#This Row],[Contracts Offered]])</f>
        <v>0.29870129870129869</v>
      </c>
      <c r="AG496" s="5">
        <f>IF(SalesData[[#This Row],[Customers Visited]]=0,0,SalesData[[#This Row],[Test Drives]]/SalesData[[#This Row],[Customers Visited]])</f>
        <v>0.45173745173745172</v>
      </c>
      <c r="AH496" s="5">
        <f>IF(SalesData[[#This Row],[Customers Visited]]=0,0,SalesData[[#This Row],[Contracts Signed]]/SalesData[[#This Row],[Customers Visited]])</f>
        <v>8.8803088803088806E-2</v>
      </c>
      <c r="AI496" s="6">
        <f>IF(SalesData[[#This Row],[Contracts Signed]]=0,0,SalesData[[#This Row],[Profit(€)]]/SalesData[[#This Row],[Contracts Signed]])</f>
        <v>1490</v>
      </c>
      <c r="AJ496" s="5" t="str">
        <f>TRIM(CLEAN(SalesData[[#This Row],[Retailer]]))</f>
        <v>Main Auto Hub</v>
      </c>
    </row>
    <row r="497" spans="1:36" ht="14.25" hidden="1" x14ac:dyDescent="0.2">
      <c r="A497" t="s">
        <v>987</v>
      </c>
      <c r="B497" s="1">
        <v>46072</v>
      </c>
      <c r="C497" t="s">
        <v>62</v>
      </c>
      <c r="D497" t="s">
        <v>100</v>
      </c>
      <c r="E497" t="s">
        <v>26</v>
      </c>
      <c r="F497" t="s">
        <v>7649</v>
      </c>
      <c r="G497" t="s">
        <v>55</v>
      </c>
      <c r="H497" t="s">
        <v>55</v>
      </c>
      <c r="I497" t="s">
        <v>116</v>
      </c>
      <c r="J497" t="s">
        <v>7026</v>
      </c>
      <c r="K497" t="s">
        <v>91</v>
      </c>
      <c r="L497" t="s">
        <v>46</v>
      </c>
      <c r="M497" t="s">
        <v>47</v>
      </c>
      <c r="N497" t="s">
        <v>48</v>
      </c>
      <c r="O497" t="s">
        <v>36</v>
      </c>
      <c r="P497" t="s">
        <v>58</v>
      </c>
      <c r="Q497" t="s">
        <v>118</v>
      </c>
      <c r="R497">
        <v>281</v>
      </c>
      <c r="S497">
        <v>155</v>
      </c>
      <c r="T497">
        <v>102</v>
      </c>
      <c r="U497">
        <v>33</v>
      </c>
      <c r="V497" t="s">
        <v>6402</v>
      </c>
      <c r="W497">
        <v>20332</v>
      </c>
      <c r="X497" t="s">
        <v>3180</v>
      </c>
      <c r="Y497">
        <v>18717</v>
      </c>
      <c r="Z497">
        <v>670956</v>
      </c>
      <c r="AA497">
        <v>53295</v>
      </c>
      <c r="AB497" t="str">
        <f>(VLOOKUP(SalesData[[#This Row],[Month Number]],Reference!C$5:E$16,2,FALSE))</f>
        <v>Feb</v>
      </c>
      <c r="AC497">
        <f>MONTH(SalesData[[#This Row],[Date]])</f>
        <v>2</v>
      </c>
      <c r="AD497">
        <f>Reference!F$4</f>
        <v>2026</v>
      </c>
      <c r="AE497" t="str">
        <f>IF(OR(SalesData[[#This Row],[Day]]="Saturday",SalesData[[#This Row],[Day]]="Sunday"),"Weekend","Weekday")</f>
        <v>Weekday</v>
      </c>
      <c r="AF497" s="5">
        <f>IF(SalesData[[#This Row],[Contracts Offered]]=0,0,SalesData[[#This Row],[Contracts Signed]]/SalesData[[#This Row],[Contracts Offered]])</f>
        <v>0.3235294117647059</v>
      </c>
      <c r="AG497" s="5">
        <f>IF(SalesData[[#This Row],[Customers Visited]]=0,0,SalesData[[#This Row],[Test Drives]]/SalesData[[#This Row],[Customers Visited]])</f>
        <v>0.55160142348754448</v>
      </c>
      <c r="AH497" s="5">
        <f>IF(SalesData[[#This Row],[Customers Visited]]=0,0,SalesData[[#This Row],[Contracts Signed]]/SalesData[[#This Row],[Customers Visited]])</f>
        <v>0.11743772241992882</v>
      </c>
      <c r="AI497" s="6">
        <f>IF(SalesData[[#This Row],[Contracts Signed]]=0,0,SalesData[[#This Row],[Profit(€)]]/SalesData[[#This Row],[Contracts Signed]])</f>
        <v>1615</v>
      </c>
      <c r="AJ497" s="5" t="str">
        <f>TRIM(CLEAN(SalesData[[#This Row],[Retailer]]))</f>
        <v>Autohaus Berlin</v>
      </c>
    </row>
    <row r="498" spans="1:36" ht="14.25" hidden="1" x14ac:dyDescent="0.2">
      <c r="A498" t="s">
        <v>988</v>
      </c>
      <c r="B498" s="1">
        <v>46080</v>
      </c>
      <c r="C498" t="s">
        <v>53</v>
      </c>
      <c r="D498" t="s">
        <v>54</v>
      </c>
      <c r="E498" t="s">
        <v>26</v>
      </c>
      <c r="F498" t="s">
        <v>7649</v>
      </c>
      <c r="G498" t="s">
        <v>55</v>
      </c>
      <c r="H498" t="s">
        <v>55</v>
      </c>
      <c r="I498" t="s">
        <v>56</v>
      </c>
      <c r="J498" t="s">
        <v>179</v>
      </c>
      <c r="K498" t="s">
        <v>91</v>
      </c>
      <c r="L498" t="s">
        <v>67</v>
      </c>
      <c r="M498" t="s">
        <v>87</v>
      </c>
      <c r="N498" t="s">
        <v>48</v>
      </c>
      <c r="O498" t="s">
        <v>36</v>
      </c>
      <c r="P498" t="s">
        <v>71</v>
      </c>
      <c r="Q498" t="s">
        <v>169</v>
      </c>
      <c r="R498">
        <v>173</v>
      </c>
      <c r="S498">
        <v>104</v>
      </c>
      <c r="T498">
        <v>78</v>
      </c>
      <c r="U498">
        <v>25</v>
      </c>
      <c r="V498" t="s">
        <v>6828</v>
      </c>
      <c r="W498">
        <v>42084</v>
      </c>
      <c r="X498" t="s">
        <v>1002</v>
      </c>
      <c r="Y498">
        <v>32127</v>
      </c>
      <c r="Z498">
        <v>1052100</v>
      </c>
      <c r="AA498">
        <v>248925</v>
      </c>
      <c r="AB498" t="str">
        <f>(VLOOKUP(SalesData[[#This Row],[Month Number]],Reference!C$5:E$16,2,FALSE))</f>
        <v>Feb</v>
      </c>
      <c r="AC498">
        <f>MONTH(SalesData[[#This Row],[Date]])</f>
        <v>2</v>
      </c>
      <c r="AD498">
        <f>Reference!F$4</f>
        <v>2026</v>
      </c>
      <c r="AE498" t="str">
        <f>IF(OR(SalesData[[#This Row],[Day]]="Saturday",SalesData[[#This Row],[Day]]="Sunday"),"Weekend","Weekday")</f>
        <v>Weekday</v>
      </c>
      <c r="AF498" s="5">
        <f>IF(SalesData[[#This Row],[Contracts Offered]]=0,0,SalesData[[#This Row],[Contracts Signed]]/SalesData[[#This Row],[Contracts Offered]])</f>
        <v>0.32051282051282054</v>
      </c>
      <c r="AG498" s="5">
        <f>IF(SalesData[[#This Row],[Customers Visited]]=0,0,SalesData[[#This Row],[Test Drives]]/SalesData[[#This Row],[Customers Visited]])</f>
        <v>0.60115606936416188</v>
      </c>
      <c r="AH498" s="5">
        <f>IF(SalesData[[#This Row],[Customers Visited]]=0,0,SalesData[[#This Row],[Contracts Signed]]/SalesData[[#This Row],[Customers Visited]])</f>
        <v>0.14450867052023122</v>
      </c>
      <c r="AI498" s="6">
        <f>IF(SalesData[[#This Row],[Contracts Signed]]=0,0,SalesData[[#This Row],[Profit(€)]]/SalesData[[#This Row],[Contracts Signed]])</f>
        <v>9957</v>
      </c>
      <c r="AJ498" s="5" t="str">
        <f>TRIM(CLEAN(SalesData[[#This Row],[Retailer]]))</f>
        <v>Autohaus Berlin</v>
      </c>
    </row>
    <row r="499" spans="1:36" ht="14.25" hidden="1" x14ac:dyDescent="0.2">
      <c r="A499" t="s">
        <v>989</v>
      </c>
      <c r="B499" s="1">
        <v>46059</v>
      </c>
      <c r="C499" t="s">
        <v>24</v>
      </c>
      <c r="D499" t="s">
        <v>54</v>
      </c>
      <c r="E499" t="s">
        <v>26</v>
      </c>
      <c r="F499" t="s">
        <v>101</v>
      </c>
      <c r="G499" t="s">
        <v>102</v>
      </c>
      <c r="H499" t="s">
        <v>103</v>
      </c>
      <c r="I499" t="s">
        <v>104</v>
      </c>
      <c r="J499" t="s">
        <v>143</v>
      </c>
      <c r="K499" t="s">
        <v>66</v>
      </c>
      <c r="L499" t="s">
        <v>67</v>
      </c>
      <c r="M499" t="s">
        <v>87</v>
      </c>
      <c r="N499" t="s">
        <v>69</v>
      </c>
      <c r="O499" t="s">
        <v>70</v>
      </c>
      <c r="P499" t="s">
        <v>49</v>
      </c>
      <c r="Q499" t="s">
        <v>135</v>
      </c>
      <c r="R499">
        <v>279</v>
      </c>
      <c r="S499">
        <v>119</v>
      </c>
      <c r="T499">
        <v>84</v>
      </c>
      <c r="U499">
        <v>14</v>
      </c>
      <c r="V499" t="s">
        <v>313</v>
      </c>
      <c r="W499">
        <v>26325</v>
      </c>
      <c r="X499" t="s">
        <v>7234</v>
      </c>
      <c r="Y499">
        <v>23332</v>
      </c>
      <c r="Z499">
        <v>368550</v>
      </c>
      <c r="AA499">
        <v>41902</v>
      </c>
      <c r="AB499" t="str">
        <f>(VLOOKUP(SalesData[[#This Row],[Month Number]],Reference!C$5:E$16,2,FALSE))</f>
        <v>Feb</v>
      </c>
      <c r="AC499">
        <f>MONTH(SalesData[[#This Row],[Date]])</f>
        <v>2</v>
      </c>
      <c r="AD499">
        <f>Reference!F$4</f>
        <v>2026</v>
      </c>
      <c r="AE499" t="str">
        <f>IF(OR(SalesData[[#This Row],[Day]]="Saturday",SalesData[[#This Row],[Day]]="Sunday"),"Weekend","Weekday")</f>
        <v>Weekday</v>
      </c>
      <c r="AF499" s="5">
        <f>IF(SalesData[[#This Row],[Contracts Offered]]=0,0,SalesData[[#This Row],[Contracts Signed]]/SalesData[[#This Row],[Contracts Offered]])</f>
        <v>0.16666666666666666</v>
      </c>
      <c r="AG499" s="5">
        <f>IF(SalesData[[#This Row],[Customers Visited]]=0,0,SalesData[[#This Row],[Test Drives]]/SalesData[[#This Row],[Customers Visited]])</f>
        <v>0.4265232974910394</v>
      </c>
      <c r="AH499" s="5">
        <f>IF(SalesData[[#This Row],[Customers Visited]]=0,0,SalesData[[#This Row],[Contracts Signed]]/SalesData[[#This Row],[Customers Visited]])</f>
        <v>5.0179211469534052E-2</v>
      </c>
      <c r="AI499" s="6">
        <f>IF(SalesData[[#This Row],[Contracts Signed]]=0,0,SalesData[[#This Row],[Profit(€)]]/SalesData[[#This Row],[Contracts Signed]])</f>
        <v>2993</v>
      </c>
      <c r="AJ499" s="5" t="str">
        <f>TRIM(CLEAN(SalesData[[#This Row],[Retailer]]))</f>
        <v>Ruhr Auto Plaza</v>
      </c>
    </row>
    <row r="500" spans="1:36" ht="14.25" x14ac:dyDescent="0.2">
      <c r="A500" t="s">
        <v>991</v>
      </c>
      <c r="B500" s="1">
        <v>46071</v>
      </c>
      <c r="C500" t="s">
        <v>62</v>
      </c>
      <c r="D500" t="s">
        <v>82</v>
      </c>
      <c r="E500" t="s">
        <v>26</v>
      </c>
      <c r="F500" t="s">
        <v>101</v>
      </c>
      <c r="G500" t="s">
        <v>102</v>
      </c>
      <c r="H500" t="s">
        <v>103</v>
      </c>
      <c r="I500" t="s">
        <v>30</v>
      </c>
      <c r="J500" t="s">
        <v>166</v>
      </c>
      <c r="K500" t="s">
        <v>32</v>
      </c>
      <c r="L500" t="s">
        <v>46</v>
      </c>
      <c r="M500" t="s">
        <v>47</v>
      </c>
      <c r="N500" t="s">
        <v>48</v>
      </c>
      <c r="O500" t="s">
        <v>36</v>
      </c>
      <c r="P500" t="s">
        <v>49</v>
      </c>
      <c r="Q500" t="s">
        <v>167</v>
      </c>
      <c r="R500">
        <v>199</v>
      </c>
      <c r="S500">
        <v>97</v>
      </c>
      <c r="T500">
        <v>69</v>
      </c>
      <c r="U500">
        <v>24</v>
      </c>
      <c r="V500" t="s">
        <v>6892</v>
      </c>
      <c r="W500">
        <v>55860</v>
      </c>
      <c r="X500" t="s">
        <v>7235</v>
      </c>
      <c r="Y500">
        <v>42904</v>
      </c>
      <c r="Z500">
        <v>1340640</v>
      </c>
      <c r="AA500">
        <v>310944</v>
      </c>
      <c r="AB500" t="str">
        <f>(VLOOKUP(SalesData[[#This Row],[Month Number]],Reference!C$5:E$16,2,FALSE))</f>
        <v>Feb</v>
      </c>
      <c r="AC500">
        <f>MONTH(SalesData[[#This Row],[Date]])</f>
        <v>2</v>
      </c>
      <c r="AD500">
        <f>Reference!F$4</f>
        <v>2026</v>
      </c>
      <c r="AE500" t="str">
        <f>IF(OR(SalesData[[#This Row],[Day]]="Saturday",SalesData[[#This Row],[Day]]="Sunday"),"Weekend","Weekday")</f>
        <v>Weekday</v>
      </c>
      <c r="AF500" s="5">
        <f>IF(SalesData[[#This Row],[Contracts Offered]]=0,0,SalesData[[#This Row],[Contracts Signed]]/SalesData[[#This Row],[Contracts Offered]])</f>
        <v>0.34782608695652173</v>
      </c>
      <c r="AG500" s="5">
        <f>IF(SalesData[[#This Row],[Customers Visited]]=0,0,SalesData[[#This Row],[Test Drives]]/SalesData[[#This Row],[Customers Visited]])</f>
        <v>0.48743718592964824</v>
      </c>
      <c r="AH500" s="5">
        <f>IF(SalesData[[#This Row],[Customers Visited]]=0,0,SalesData[[#This Row],[Contracts Signed]]/SalesData[[#This Row],[Customers Visited]])</f>
        <v>0.12060301507537688</v>
      </c>
      <c r="AI500" s="6">
        <f>IF(SalesData[[#This Row],[Contracts Signed]]=0,0,SalesData[[#This Row],[Profit(€)]]/SalesData[[#This Row],[Contracts Signed]])</f>
        <v>12956</v>
      </c>
      <c r="AJ500" s="5" t="str">
        <f>TRIM(CLEAN(SalesData[[#This Row],[Retailer]]))</f>
        <v>Ruhr Auto Plaza</v>
      </c>
    </row>
    <row r="501" spans="1:36" ht="14.25" x14ac:dyDescent="0.2">
      <c r="A501" t="s">
        <v>992</v>
      </c>
      <c r="B501" s="1">
        <v>46061</v>
      </c>
      <c r="C501" t="s">
        <v>121</v>
      </c>
      <c r="D501" t="s">
        <v>41</v>
      </c>
      <c r="E501" t="s">
        <v>42</v>
      </c>
      <c r="F501" t="s">
        <v>109</v>
      </c>
      <c r="G501" t="s">
        <v>110</v>
      </c>
      <c r="H501" t="s">
        <v>45</v>
      </c>
      <c r="I501" t="s">
        <v>30</v>
      </c>
      <c r="J501" t="s">
        <v>188</v>
      </c>
      <c r="K501" t="s">
        <v>66</v>
      </c>
      <c r="L501" t="s">
        <v>33</v>
      </c>
      <c r="M501" t="s">
        <v>87</v>
      </c>
      <c r="N501" t="s">
        <v>35</v>
      </c>
      <c r="O501" t="s">
        <v>36</v>
      </c>
      <c r="P501" t="s">
        <v>71</v>
      </c>
      <c r="Q501" t="s">
        <v>158</v>
      </c>
      <c r="R501">
        <v>228</v>
      </c>
      <c r="S501">
        <v>129</v>
      </c>
      <c r="T501">
        <v>88</v>
      </c>
      <c r="U501">
        <v>37</v>
      </c>
      <c r="V501" t="s">
        <v>6866</v>
      </c>
      <c r="W501">
        <v>65268</v>
      </c>
      <c r="X501" t="s">
        <v>7112</v>
      </c>
      <c r="Y501">
        <v>49492</v>
      </c>
      <c r="Z501">
        <v>2414916</v>
      </c>
      <c r="AA501">
        <v>583712</v>
      </c>
      <c r="AB501" t="str">
        <f>(VLOOKUP(SalesData[[#This Row],[Month Number]],Reference!C$5:E$16,2,FALSE))</f>
        <v>Feb</v>
      </c>
      <c r="AC501">
        <f>MONTH(SalesData[[#This Row],[Date]])</f>
        <v>2</v>
      </c>
      <c r="AD501">
        <f>Reference!F$4</f>
        <v>2026</v>
      </c>
      <c r="AE501" t="str">
        <f>IF(OR(SalesData[[#This Row],[Day]]="Saturday",SalesData[[#This Row],[Day]]="Sunday"),"Weekend","Weekday")</f>
        <v>Weekend</v>
      </c>
      <c r="AF501" s="5">
        <f>IF(SalesData[[#This Row],[Contracts Offered]]=0,0,SalesData[[#This Row],[Contracts Signed]]/SalesData[[#This Row],[Contracts Offered]])</f>
        <v>0.42045454545454547</v>
      </c>
      <c r="AG501" s="5">
        <f>IF(SalesData[[#This Row],[Customers Visited]]=0,0,SalesData[[#This Row],[Test Drives]]/SalesData[[#This Row],[Customers Visited]])</f>
        <v>0.56578947368421051</v>
      </c>
      <c r="AH501" s="5">
        <f>IF(SalesData[[#This Row],[Customers Visited]]=0,0,SalesData[[#This Row],[Contracts Signed]]/SalesData[[#This Row],[Customers Visited]])</f>
        <v>0.16228070175438597</v>
      </c>
      <c r="AI501" s="6">
        <f>IF(SalesData[[#This Row],[Contracts Signed]]=0,0,SalesData[[#This Row],[Profit(€)]]/SalesData[[#This Row],[Contracts Signed]])</f>
        <v>15776</v>
      </c>
      <c r="AJ501" s="5" t="str">
        <f>TRIM(CLEAN(SalesData[[#This Row],[Retailer]]))</f>
        <v>Leipzig Mobility</v>
      </c>
    </row>
    <row r="502" spans="1:36" ht="14.25" hidden="1" x14ac:dyDescent="0.2">
      <c r="A502" t="s">
        <v>993</v>
      </c>
      <c r="B502" s="1">
        <v>46076</v>
      </c>
      <c r="C502" t="s">
        <v>53</v>
      </c>
      <c r="D502" t="s">
        <v>25</v>
      </c>
      <c r="E502" t="s">
        <v>26</v>
      </c>
      <c r="F502" t="s">
        <v>27</v>
      </c>
      <c r="G502" t="s">
        <v>28</v>
      </c>
      <c r="H502" t="s">
        <v>29</v>
      </c>
      <c r="I502" t="s">
        <v>64</v>
      </c>
      <c r="J502" t="s">
        <v>111</v>
      </c>
      <c r="K502" t="s">
        <v>66</v>
      </c>
      <c r="L502" t="s">
        <v>46</v>
      </c>
      <c r="M502" t="s">
        <v>68</v>
      </c>
      <c r="N502" t="s">
        <v>35</v>
      </c>
      <c r="O502" t="s">
        <v>70</v>
      </c>
      <c r="P502" t="s">
        <v>49</v>
      </c>
      <c r="Q502" t="s">
        <v>122</v>
      </c>
      <c r="R502">
        <v>218</v>
      </c>
      <c r="S502">
        <v>98</v>
      </c>
      <c r="T502">
        <v>70</v>
      </c>
      <c r="U502">
        <v>20</v>
      </c>
      <c r="V502" t="s">
        <v>6728</v>
      </c>
      <c r="W502">
        <v>59980</v>
      </c>
      <c r="X502" t="s">
        <v>7236</v>
      </c>
      <c r="Y502">
        <v>45831</v>
      </c>
      <c r="Z502">
        <v>1199600</v>
      </c>
      <c r="AA502">
        <v>282980</v>
      </c>
      <c r="AB502" t="str">
        <f>(VLOOKUP(SalesData[[#This Row],[Month Number]],Reference!C$5:E$16,2,FALSE))</f>
        <v>Feb</v>
      </c>
      <c r="AC502">
        <f>MONTH(SalesData[[#This Row],[Date]])</f>
        <v>2</v>
      </c>
      <c r="AD502">
        <f>Reference!F$4</f>
        <v>2026</v>
      </c>
      <c r="AE502" t="str">
        <f>IF(OR(SalesData[[#This Row],[Day]]="Saturday",SalesData[[#This Row],[Day]]="Sunday"),"Weekend","Weekday")</f>
        <v>Weekday</v>
      </c>
      <c r="AF502" s="5">
        <f>IF(SalesData[[#This Row],[Contracts Offered]]=0,0,SalesData[[#This Row],[Contracts Signed]]/SalesData[[#This Row],[Contracts Offered]])</f>
        <v>0.2857142857142857</v>
      </c>
      <c r="AG502" s="5">
        <f>IF(SalesData[[#This Row],[Customers Visited]]=0,0,SalesData[[#This Row],[Test Drives]]/SalesData[[#This Row],[Customers Visited]])</f>
        <v>0.44954128440366975</v>
      </c>
      <c r="AH502" s="5">
        <f>IF(SalesData[[#This Row],[Customers Visited]]=0,0,SalesData[[#This Row],[Contracts Signed]]/SalesData[[#This Row],[Customers Visited]])</f>
        <v>9.1743119266055051E-2</v>
      </c>
      <c r="AI502" s="6">
        <f>IF(SalesData[[#This Row],[Contracts Signed]]=0,0,SalesData[[#This Row],[Profit(€)]]/SalesData[[#This Row],[Contracts Signed]])</f>
        <v>14149</v>
      </c>
      <c r="AJ502" s="5" t="str">
        <f>TRIM(CLEAN(SalesData[[#This Row],[Retailer]]))</f>
        <v>Main Auto Hub</v>
      </c>
    </row>
    <row r="503" spans="1:36" ht="14.25" hidden="1" x14ac:dyDescent="0.2">
      <c r="A503" t="s">
        <v>995</v>
      </c>
      <c r="B503" s="1">
        <v>46066</v>
      </c>
      <c r="C503" t="s">
        <v>121</v>
      </c>
      <c r="D503" t="s">
        <v>54</v>
      </c>
      <c r="E503" t="s">
        <v>26</v>
      </c>
      <c r="F503" t="s">
        <v>83</v>
      </c>
      <c r="G503" t="s">
        <v>84</v>
      </c>
      <c r="H503" t="s">
        <v>85</v>
      </c>
      <c r="I503" t="s">
        <v>56</v>
      </c>
      <c r="J503" t="s">
        <v>7028</v>
      </c>
      <c r="K503" t="s">
        <v>66</v>
      </c>
      <c r="L503" t="s">
        <v>46</v>
      </c>
      <c r="M503" t="s">
        <v>34</v>
      </c>
      <c r="N503" t="s">
        <v>69</v>
      </c>
      <c r="O503" t="s">
        <v>36</v>
      </c>
      <c r="P503" t="s">
        <v>37</v>
      </c>
      <c r="Q503" t="s">
        <v>79</v>
      </c>
      <c r="R503">
        <v>282</v>
      </c>
      <c r="S503">
        <v>130</v>
      </c>
      <c r="T503">
        <v>85</v>
      </c>
      <c r="U503">
        <v>31</v>
      </c>
      <c r="V503" t="s">
        <v>6785</v>
      </c>
      <c r="W503">
        <v>47717</v>
      </c>
      <c r="X503" t="s">
        <v>396</v>
      </c>
      <c r="Y503">
        <v>36231</v>
      </c>
      <c r="Z503">
        <v>1479227</v>
      </c>
      <c r="AA503">
        <v>356066</v>
      </c>
      <c r="AB503" t="str">
        <f>(VLOOKUP(SalesData[[#This Row],[Month Number]],Reference!C$5:E$16,2,FALSE))</f>
        <v>Feb</v>
      </c>
      <c r="AC503">
        <f>MONTH(SalesData[[#This Row],[Date]])</f>
        <v>2</v>
      </c>
      <c r="AD503">
        <f>Reference!F$4</f>
        <v>2026</v>
      </c>
      <c r="AE503" t="str">
        <f>IF(OR(SalesData[[#This Row],[Day]]="Saturday",SalesData[[#This Row],[Day]]="Sunday"),"Weekend","Weekday")</f>
        <v>Weekday</v>
      </c>
      <c r="AF503" s="5">
        <f>IF(SalesData[[#This Row],[Contracts Offered]]=0,0,SalesData[[#This Row],[Contracts Signed]]/SalesData[[#This Row],[Contracts Offered]])</f>
        <v>0.36470588235294116</v>
      </c>
      <c r="AG503" s="5">
        <f>IF(SalesData[[#This Row],[Customers Visited]]=0,0,SalesData[[#This Row],[Test Drives]]/SalesData[[#This Row],[Customers Visited]])</f>
        <v>0.46099290780141844</v>
      </c>
      <c r="AH503" s="5">
        <f>IF(SalesData[[#This Row],[Customers Visited]]=0,0,SalesData[[#This Row],[Contracts Signed]]/SalesData[[#This Row],[Customers Visited]])</f>
        <v>0.1099290780141844</v>
      </c>
      <c r="AI503" s="6">
        <f>IF(SalesData[[#This Row],[Contracts Signed]]=0,0,SalesData[[#This Row],[Profit(€)]]/SalesData[[#This Row],[Contracts Signed]])</f>
        <v>11486</v>
      </c>
      <c r="AJ503" s="5" t="str">
        <f>TRIM(CLEAN(SalesData[[#This Row],[Retailer]]))</f>
        <v>Hannover Cars</v>
      </c>
    </row>
    <row r="504" spans="1:36" ht="14.25" hidden="1" x14ac:dyDescent="0.2">
      <c r="A504" t="s">
        <v>996</v>
      </c>
      <c r="B504" s="1">
        <v>46071</v>
      </c>
      <c r="C504" t="s">
        <v>62</v>
      </c>
      <c r="D504" t="s">
        <v>82</v>
      </c>
      <c r="E504" t="s">
        <v>26</v>
      </c>
      <c r="F504" t="s">
        <v>27</v>
      </c>
      <c r="G504" t="s">
        <v>28</v>
      </c>
      <c r="H504" t="s">
        <v>29</v>
      </c>
      <c r="I504" t="s">
        <v>116</v>
      </c>
      <c r="J504" t="s">
        <v>132</v>
      </c>
      <c r="K504" t="s">
        <v>78</v>
      </c>
      <c r="L504" t="s">
        <v>46</v>
      </c>
      <c r="M504" t="s">
        <v>68</v>
      </c>
      <c r="N504" t="s">
        <v>35</v>
      </c>
      <c r="O504" t="s">
        <v>36</v>
      </c>
      <c r="P504" t="s">
        <v>49</v>
      </c>
      <c r="Q504" t="s">
        <v>158</v>
      </c>
      <c r="R504">
        <v>329</v>
      </c>
      <c r="S504">
        <v>150</v>
      </c>
      <c r="T504">
        <v>88</v>
      </c>
      <c r="U504">
        <v>22</v>
      </c>
      <c r="V504" t="s">
        <v>4665</v>
      </c>
      <c r="W504">
        <v>20487</v>
      </c>
      <c r="X504" t="s">
        <v>7237</v>
      </c>
      <c r="Y504">
        <v>19042</v>
      </c>
      <c r="Z504">
        <v>450714</v>
      </c>
      <c r="AA504">
        <v>31790</v>
      </c>
      <c r="AB504" t="str">
        <f>(VLOOKUP(SalesData[[#This Row],[Month Number]],Reference!C$5:E$16,2,FALSE))</f>
        <v>Feb</v>
      </c>
      <c r="AC504">
        <f>MONTH(SalesData[[#This Row],[Date]])</f>
        <v>2</v>
      </c>
      <c r="AD504">
        <f>Reference!F$4</f>
        <v>2026</v>
      </c>
      <c r="AE504" t="str">
        <f>IF(OR(SalesData[[#This Row],[Day]]="Saturday",SalesData[[#This Row],[Day]]="Sunday"),"Weekend","Weekday")</f>
        <v>Weekday</v>
      </c>
      <c r="AF504" s="5">
        <f>IF(SalesData[[#This Row],[Contracts Offered]]=0,0,SalesData[[#This Row],[Contracts Signed]]/SalesData[[#This Row],[Contracts Offered]])</f>
        <v>0.25</v>
      </c>
      <c r="AG504" s="5">
        <f>IF(SalesData[[#This Row],[Customers Visited]]=0,0,SalesData[[#This Row],[Test Drives]]/SalesData[[#This Row],[Customers Visited]])</f>
        <v>0.45592705167173253</v>
      </c>
      <c r="AH504" s="5">
        <f>IF(SalesData[[#This Row],[Customers Visited]]=0,0,SalesData[[#This Row],[Contracts Signed]]/SalesData[[#This Row],[Customers Visited]])</f>
        <v>6.6869300911854099E-2</v>
      </c>
      <c r="AI504" s="6">
        <f>IF(SalesData[[#This Row],[Contracts Signed]]=0,0,SalesData[[#This Row],[Profit(€)]]/SalesData[[#This Row],[Contracts Signed]])</f>
        <v>1445</v>
      </c>
      <c r="AJ504" s="5" t="str">
        <f>TRIM(CLEAN(SalesData[[#This Row],[Retailer]]))</f>
        <v>Main Auto Hub</v>
      </c>
    </row>
    <row r="505" spans="1:36" ht="14.25" hidden="1" x14ac:dyDescent="0.2">
      <c r="A505" t="s">
        <v>997</v>
      </c>
      <c r="B505" s="1">
        <v>46065</v>
      </c>
      <c r="C505" t="s">
        <v>121</v>
      </c>
      <c r="D505" t="s">
        <v>100</v>
      </c>
      <c r="E505" t="s">
        <v>26</v>
      </c>
      <c r="F505" t="s">
        <v>43</v>
      </c>
      <c r="G505" t="s">
        <v>44</v>
      </c>
      <c r="H505" t="s">
        <v>45</v>
      </c>
      <c r="I505" t="s">
        <v>56</v>
      </c>
      <c r="J505" t="s">
        <v>179</v>
      </c>
      <c r="K505" t="s">
        <v>91</v>
      </c>
      <c r="L505" t="s">
        <v>67</v>
      </c>
      <c r="M505" t="s">
        <v>47</v>
      </c>
      <c r="N505" t="s">
        <v>69</v>
      </c>
      <c r="O505" t="s">
        <v>36</v>
      </c>
      <c r="P505" t="s">
        <v>71</v>
      </c>
      <c r="Q505" t="s">
        <v>79</v>
      </c>
      <c r="R505">
        <v>184</v>
      </c>
      <c r="S505">
        <v>116</v>
      </c>
      <c r="T505">
        <v>89</v>
      </c>
      <c r="U505">
        <v>26</v>
      </c>
      <c r="V505" t="s">
        <v>6508</v>
      </c>
      <c r="W505">
        <v>42677</v>
      </c>
      <c r="X505" t="s">
        <v>7238</v>
      </c>
      <c r="Y505">
        <v>34329</v>
      </c>
      <c r="Z505">
        <v>1109602</v>
      </c>
      <c r="AA505">
        <v>217048</v>
      </c>
      <c r="AB505" t="str">
        <f>(VLOOKUP(SalesData[[#This Row],[Month Number]],Reference!C$5:E$16,2,FALSE))</f>
        <v>Feb</v>
      </c>
      <c r="AC505">
        <f>MONTH(SalesData[[#This Row],[Date]])</f>
        <v>2</v>
      </c>
      <c r="AD505">
        <f>Reference!F$4</f>
        <v>2026</v>
      </c>
      <c r="AE505" t="str">
        <f>IF(OR(SalesData[[#This Row],[Day]]="Saturday",SalesData[[#This Row],[Day]]="Sunday"),"Weekend","Weekday")</f>
        <v>Weekday</v>
      </c>
      <c r="AF505" s="5">
        <f>IF(SalesData[[#This Row],[Contracts Offered]]=0,0,SalesData[[#This Row],[Contracts Signed]]/SalesData[[#This Row],[Contracts Offered]])</f>
        <v>0.29213483146067415</v>
      </c>
      <c r="AG505" s="5">
        <f>IF(SalesData[[#This Row],[Customers Visited]]=0,0,SalesData[[#This Row],[Test Drives]]/SalesData[[#This Row],[Customers Visited]])</f>
        <v>0.63043478260869568</v>
      </c>
      <c r="AH505" s="5">
        <f>IF(SalesData[[#This Row],[Customers Visited]]=0,0,SalesData[[#This Row],[Contracts Signed]]/SalesData[[#This Row],[Customers Visited]])</f>
        <v>0.14130434782608695</v>
      </c>
      <c r="AI505" s="6">
        <f>IF(SalesData[[#This Row],[Contracts Signed]]=0,0,SalesData[[#This Row],[Profit(€)]]/SalesData[[#This Row],[Contracts Signed]])</f>
        <v>8348</v>
      </c>
      <c r="AJ505" s="5" t="str">
        <f>TRIM(CLEAN(SalesData[[#This Row],[Retailer]]))</f>
        <v>Saxon Wheels</v>
      </c>
    </row>
    <row r="506" spans="1:36" ht="14.25" x14ac:dyDescent="0.2">
      <c r="A506" t="s">
        <v>999</v>
      </c>
      <c r="B506" s="1">
        <v>46059</v>
      </c>
      <c r="C506" t="s">
        <v>24</v>
      </c>
      <c r="D506" t="s">
        <v>54</v>
      </c>
      <c r="E506" t="s">
        <v>26</v>
      </c>
      <c r="F506" t="s">
        <v>83</v>
      </c>
      <c r="G506" t="s">
        <v>84</v>
      </c>
      <c r="H506" t="s">
        <v>85</v>
      </c>
      <c r="I506" t="s">
        <v>30</v>
      </c>
      <c r="J506" t="s">
        <v>166</v>
      </c>
      <c r="K506" t="s">
        <v>66</v>
      </c>
      <c r="L506" t="s">
        <v>46</v>
      </c>
      <c r="M506" t="s">
        <v>87</v>
      </c>
      <c r="N506" t="s">
        <v>69</v>
      </c>
      <c r="O506" t="s">
        <v>70</v>
      </c>
      <c r="P506" t="s">
        <v>58</v>
      </c>
      <c r="Q506" t="s">
        <v>158</v>
      </c>
      <c r="R506">
        <v>240</v>
      </c>
      <c r="S506">
        <v>108</v>
      </c>
      <c r="T506">
        <v>79</v>
      </c>
      <c r="U506">
        <v>30</v>
      </c>
      <c r="V506" t="s">
        <v>6351</v>
      </c>
      <c r="W506">
        <v>69157</v>
      </c>
      <c r="X506" t="s">
        <v>7178</v>
      </c>
      <c r="Y506">
        <v>51970</v>
      </c>
      <c r="Z506">
        <v>2074710</v>
      </c>
      <c r="AA506">
        <v>515610</v>
      </c>
      <c r="AB506" t="str">
        <f>(VLOOKUP(SalesData[[#This Row],[Month Number]],Reference!C$5:E$16,2,FALSE))</f>
        <v>Feb</v>
      </c>
      <c r="AC506">
        <f>MONTH(SalesData[[#This Row],[Date]])</f>
        <v>2</v>
      </c>
      <c r="AD506">
        <f>Reference!F$4</f>
        <v>2026</v>
      </c>
      <c r="AE506" t="str">
        <f>IF(OR(SalesData[[#This Row],[Day]]="Saturday",SalesData[[#This Row],[Day]]="Sunday"),"Weekend","Weekday")</f>
        <v>Weekday</v>
      </c>
      <c r="AF506" s="5">
        <f>IF(SalesData[[#This Row],[Contracts Offered]]=0,0,SalesData[[#This Row],[Contracts Signed]]/SalesData[[#This Row],[Contracts Offered]])</f>
        <v>0.379746835443038</v>
      </c>
      <c r="AG506" s="5">
        <f>IF(SalesData[[#This Row],[Customers Visited]]=0,0,SalesData[[#This Row],[Test Drives]]/SalesData[[#This Row],[Customers Visited]])</f>
        <v>0.45</v>
      </c>
      <c r="AH506" s="5">
        <f>IF(SalesData[[#This Row],[Customers Visited]]=0,0,SalesData[[#This Row],[Contracts Signed]]/SalesData[[#This Row],[Customers Visited]])</f>
        <v>0.125</v>
      </c>
      <c r="AI506" s="6">
        <f>IF(SalesData[[#This Row],[Contracts Signed]]=0,0,SalesData[[#This Row],[Profit(€)]]/SalesData[[#This Row],[Contracts Signed]])</f>
        <v>17187</v>
      </c>
      <c r="AJ506" s="5" t="str">
        <f>TRIM(CLEAN(SalesData[[#This Row],[Retailer]]))</f>
        <v>Hannover Cars</v>
      </c>
    </row>
    <row r="507" spans="1:36" ht="14.25" hidden="1" x14ac:dyDescent="0.2">
      <c r="A507" t="s">
        <v>1001</v>
      </c>
      <c r="B507" s="1">
        <v>46061</v>
      </c>
      <c r="C507" t="s">
        <v>121</v>
      </c>
      <c r="D507" t="s">
        <v>41</v>
      </c>
      <c r="E507" t="s">
        <v>42</v>
      </c>
      <c r="F507" t="s">
        <v>101</v>
      </c>
      <c r="G507" t="s">
        <v>102</v>
      </c>
      <c r="H507" t="s">
        <v>103</v>
      </c>
      <c r="I507" t="s">
        <v>64</v>
      </c>
      <c r="J507" t="s">
        <v>65</v>
      </c>
      <c r="K507" t="s">
        <v>66</v>
      </c>
      <c r="L507" t="s">
        <v>33</v>
      </c>
      <c r="M507" t="s">
        <v>47</v>
      </c>
      <c r="N507" t="s">
        <v>48</v>
      </c>
      <c r="O507" t="s">
        <v>70</v>
      </c>
      <c r="P507" t="s">
        <v>49</v>
      </c>
      <c r="Q507" t="s">
        <v>152</v>
      </c>
      <c r="R507">
        <v>212</v>
      </c>
      <c r="S507">
        <v>105</v>
      </c>
      <c r="T507">
        <v>69</v>
      </c>
      <c r="U507">
        <v>22</v>
      </c>
      <c r="V507" t="s">
        <v>6846</v>
      </c>
      <c r="W507">
        <v>63470</v>
      </c>
      <c r="X507" t="s">
        <v>7239</v>
      </c>
      <c r="Y507">
        <v>47728</v>
      </c>
      <c r="Z507">
        <v>1396340</v>
      </c>
      <c r="AA507">
        <v>346324</v>
      </c>
      <c r="AB507" t="str">
        <f>(VLOOKUP(SalesData[[#This Row],[Month Number]],Reference!C$5:E$16,2,FALSE))</f>
        <v>Feb</v>
      </c>
      <c r="AC507">
        <f>MONTH(SalesData[[#This Row],[Date]])</f>
        <v>2</v>
      </c>
      <c r="AD507">
        <f>Reference!F$4</f>
        <v>2026</v>
      </c>
      <c r="AE507" t="str">
        <f>IF(OR(SalesData[[#This Row],[Day]]="Saturday",SalesData[[#This Row],[Day]]="Sunday"),"Weekend","Weekday")</f>
        <v>Weekend</v>
      </c>
      <c r="AF507" s="5">
        <f>IF(SalesData[[#This Row],[Contracts Offered]]=0,0,SalesData[[#This Row],[Contracts Signed]]/SalesData[[#This Row],[Contracts Offered]])</f>
        <v>0.3188405797101449</v>
      </c>
      <c r="AG507" s="5">
        <f>IF(SalesData[[#This Row],[Customers Visited]]=0,0,SalesData[[#This Row],[Test Drives]]/SalesData[[#This Row],[Customers Visited]])</f>
        <v>0.49528301886792453</v>
      </c>
      <c r="AH507" s="5">
        <f>IF(SalesData[[#This Row],[Customers Visited]]=0,0,SalesData[[#This Row],[Contracts Signed]]/SalesData[[#This Row],[Customers Visited]])</f>
        <v>0.10377358490566038</v>
      </c>
      <c r="AI507" s="6">
        <f>IF(SalesData[[#This Row],[Contracts Signed]]=0,0,SalesData[[#This Row],[Profit(€)]]/SalesData[[#This Row],[Contracts Signed]])</f>
        <v>15742</v>
      </c>
      <c r="AJ507" s="5" t="str">
        <f>TRIM(CLEAN(SalesData[[#This Row],[Retailer]]))</f>
        <v>Ruhr Auto Plaza</v>
      </c>
    </row>
    <row r="508" spans="1:36" ht="14.25" x14ac:dyDescent="0.2">
      <c r="A508" t="s">
        <v>1003</v>
      </c>
      <c r="B508" s="1">
        <v>46077</v>
      </c>
      <c r="C508" t="s">
        <v>53</v>
      </c>
      <c r="D508" t="s">
        <v>63</v>
      </c>
      <c r="E508" t="s">
        <v>26</v>
      </c>
      <c r="F508" t="s">
        <v>43</v>
      </c>
      <c r="G508" t="s">
        <v>44</v>
      </c>
      <c r="H508" t="s">
        <v>45</v>
      </c>
      <c r="I508" t="s">
        <v>30</v>
      </c>
      <c r="J508" t="s">
        <v>7075</v>
      </c>
      <c r="K508" t="s">
        <v>32</v>
      </c>
      <c r="L508" t="s">
        <v>33</v>
      </c>
      <c r="M508" t="s">
        <v>34</v>
      </c>
      <c r="N508" t="s">
        <v>48</v>
      </c>
      <c r="O508" t="s">
        <v>70</v>
      </c>
      <c r="P508" t="s">
        <v>49</v>
      </c>
      <c r="Q508" t="s">
        <v>88</v>
      </c>
      <c r="R508">
        <v>269</v>
      </c>
      <c r="S508">
        <v>163</v>
      </c>
      <c r="T508">
        <v>115</v>
      </c>
      <c r="U508">
        <v>42</v>
      </c>
      <c r="V508" t="s">
        <v>6838</v>
      </c>
      <c r="W508">
        <v>62464</v>
      </c>
      <c r="X508" t="s">
        <v>7240</v>
      </c>
      <c r="Y508">
        <v>44083</v>
      </c>
      <c r="Z508">
        <v>2623488</v>
      </c>
      <c r="AA508">
        <v>772002</v>
      </c>
      <c r="AB508" t="str">
        <f>(VLOOKUP(SalesData[[#This Row],[Month Number]],Reference!C$5:E$16,2,FALSE))</f>
        <v>Feb</v>
      </c>
      <c r="AC508">
        <f>MONTH(SalesData[[#This Row],[Date]])</f>
        <v>2</v>
      </c>
      <c r="AD508">
        <f>Reference!F$4</f>
        <v>2026</v>
      </c>
      <c r="AE508" t="str">
        <f>IF(OR(SalesData[[#This Row],[Day]]="Saturday",SalesData[[#This Row],[Day]]="Sunday"),"Weekend","Weekday")</f>
        <v>Weekday</v>
      </c>
      <c r="AF508" s="5">
        <f>IF(SalesData[[#This Row],[Contracts Offered]]=0,0,SalesData[[#This Row],[Contracts Signed]]/SalesData[[#This Row],[Contracts Offered]])</f>
        <v>0.36521739130434783</v>
      </c>
      <c r="AG508" s="5">
        <f>IF(SalesData[[#This Row],[Customers Visited]]=0,0,SalesData[[#This Row],[Test Drives]]/SalesData[[#This Row],[Customers Visited]])</f>
        <v>0.60594795539033453</v>
      </c>
      <c r="AH508" s="5">
        <f>IF(SalesData[[#This Row],[Customers Visited]]=0,0,SalesData[[#This Row],[Contracts Signed]]/SalesData[[#This Row],[Customers Visited]])</f>
        <v>0.15613382899628253</v>
      </c>
      <c r="AI508" s="6">
        <f>IF(SalesData[[#This Row],[Contracts Signed]]=0,0,SalesData[[#This Row],[Profit(€)]]/SalesData[[#This Row],[Contracts Signed]])</f>
        <v>18381</v>
      </c>
      <c r="AJ508" s="5" t="str">
        <f>TRIM(CLEAN(SalesData[[#This Row],[Retailer]]))</f>
        <v>Saxon Wheels</v>
      </c>
    </row>
    <row r="509" spans="1:36" ht="14.25" x14ac:dyDescent="0.2">
      <c r="A509" t="s">
        <v>1005</v>
      </c>
      <c r="B509" s="1">
        <v>46056</v>
      </c>
      <c r="C509" t="s">
        <v>24</v>
      </c>
      <c r="D509" t="s">
        <v>63</v>
      </c>
      <c r="E509" t="s">
        <v>26</v>
      </c>
      <c r="F509" t="s">
        <v>127</v>
      </c>
      <c r="G509" t="s">
        <v>128</v>
      </c>
      <c r="H509" t="s">
        <v>103</v>
      </c>
      <c r="I509" t="s">
        <v>30</v>
      </c>
      <c r="J509" t="s">
        <v>166</v>
      </c>
      <c r="K509" t="s">
        <v>91</v>
      </c>
      <c r="L509" t="s">
        <v>46</v>
      </c>
      <c r="M509" t="s">
        <v>47</v>
      </c>
      <c r="N509" t="s">
        <v>35</v>
      </c>
      <c r="O509" t="s">
        <v>36</v>
      </c>
      <c r="P509" t="s">
        <v>71</v>
      </c>
      <c r="Q509" t="s">
        <v>50</v>
      </c>
      <c r="R509">
        <v>272</v>
      </c>
      <c r="S509">
        <v>139</v>
      </c>
      <c r="T509">
        <v>111</v>
      </c>
      <c r="U509">
        <v>44</v>
      </c>
      <c r="V509" t="s">
        <v>7241</v>
      </c>
      <c r="W509">
        <v>50630</v>
      </c>
      <c r="X509" t="s">
        <v>5878</v>
      </c>
      <c r="Y509">
        <v>39390</v>
      </c>
      <c r="Z509">
        <v>2227720</v>
      </c>
      <c r="AA509">
        <v>494560</v>
      </c>
      <c r="AB509" t="str">
        <f>(VLOOKUP(SalesData[[#This Row],[Month Number]],Reference!C$5:E$16,2,FALSE))</f>
        <v>Feb</v>
      </c>
      <c r="AC509">
        <f>MONTH(SalesData[[#This Row],[Date]])</f>
        <v>2</v>
      </c>
      <c r="AD509">
        <f>Reference!F$4</f>
        <v>2026</v>
      </c>
      <c r="AE509" t="str">
        <f>IF(OR(SalesData[[#This Row],[Day]]="Saturday",SalesData[[#This Row],[Day]]="Sunday"),"Weekend","Weekday")</f>
        <v>Weekday</v>
      </c>
      <c r="AF509" s="5">
        <f>IF(SalesData[[#This Row],[Contracts Offered]]=0,0,SalesData[[#This Row],[Contracts Signed]]/SalesData[[#This Row],[Contracts Offered]])</f>
        <v>0.3963963963963964</v>
      </c>
      <c r="AG509" s="5">
        <f>IF(SalesData[[#This Row],[Customers Visited]]=0,0,SalesData[[#This Row],[Test Drives]]/SalesData[[#This Row],[Customers Visited]])</f>
        <v>0.51102941176470584</v>
      </c>
      <c r="AH509" s="5">
        <f>IF(SalesData[[#This Row],[Customers Visited]]=0,0,SalesData[[#This Row],[Contracts Signed]]/SalesData[[#This Row],[Customers Visited]])</f>
        <v>0.16176470588235295</v>
      </c>
      <c r="AI509" s="6">
        <f>IF(SalesData[[#This Row],[Contracts Signed]]=0,0,SalesData[[#This Row],[Profit(€)]]/SalesData[[#This Row],[Contracts Signed]])</f>
        <v>11240</v>
      </c>
      <c r="AJ509" s="5" t="str">
        <f>TRIM(CLEAN(SalesData[[#This Row],[Retailer]]))</f>
        <v>Rhein Auto Group</v>
      </c>
    </row>
    <row r="510" spans="1:36" ht="14.25" hidden="1" x14ac:dyDescent="0.2">
      <c r="A510" t="s">
        <v>1006</v>
      </c>
      <c r="B510" s="1">
        <v>46066</v>
      </c>
      <c r="C510" t="s">
        <v>121</v>
      </c>
      <c r="D510" t="s">
        <v>54</v>
      </c>
      <c r="E510" t="s">
        <v>26</v>
      </c>
      <c r="F510" t="s">
        <v>127</v>
      </c>
      <c r="G510" t="s">
        <v>128</v>
      </c>
      <c r="H510" t="s">
        <v>103</v>
      </c>
      <c r="I510" t="s">
        <v>64</v>
      </c>
      <c r="J510" t="s">
        <v>77</v>
      </c>
      <c r="K510" t="s">
        <v>91</v>
      </c>
      <c r="L510" t="s">
        <v>46</v>
      </c>
      <c r="M510" t="s">
        <v>47</v>
      </c>
      <c r="N510" t="s">
        <v>35</v>
      </c>
      <c r="O510" t="s">
        <v>36</v>
      </c>
      <c r="P510" t="s">
        <v>37</v>
      </c>
      <c r="Q510" t="s">
        <v>59</v>
      </c>
      <c r="R510">
        <v>188</v>
      </c>
      <c r="S510">
        <v>104</v>
      </c>
      <c r="T510">
        <v>80</v>
      </c>
      <c r="U510">
        <v>24</v>
      </c>
      <c r="V510" t="s">
        <v>6386</v>
      </c>
      <c r="W510">
        <v>53459</v>
      </c>
      <c r="X510" t="s">
        <v>184</v>
      </c>
      <c r="Y510">
        <v>40126</v>
      </c>
      <c r="Z510">
        <v>1283016</v>
      </c>
      <c r="AA510">
        <v>319992</v>
      </c>
      <c r="AB510" t="str">
        <f>(VLOOKUP(SalesData[[#This Row],[Month Number]],Reference!C$5:E$16,2,FALSE))</f>
        <v>Feb</v>
      </c>
      <c r="AC510">
        <f>MONTH(SalesData[[#This Row],[Date]])</f>
        <v>2</v>
      </c>
      <c r="AD510">
        <f>Reference!F$4</f>
        <v>2026</v>
      </c>
      <c r="AE510" t="str">
        <f>IF(OR(SalesData[[#This Row],[Day]]="Saturday",SalesData[[#This Row],[Day]]="Sunday"),"Weekend","Weekday")</f>
        <v>Weekday</v>
      </c>
      <c r="AF510" s="5">
        <f>IF(SalesData[[#This Row],[Contracts Offered]]=0,0,SalesData[[#This Row],[Contracts Signed]]/SalesData[[#This Row],[Contracts Offered]])</f>
        <v>0.3</v>
      </c>
      <c r="AG510" s="5">
        <f>IF(SalesData[[#This Row],[Customers Visited]]=0,0,SalesData[[#This Row],[Test Drives]]/SalesData[[#This Row],[Customers Visited]])</f>
        <v>0.55319148936170215</v>
      </c>
      <c r="AH510" s="5">
        <f>IF(SalesData[[#This Row],[Customers Visited]]=0,0,SalesData[[#This Row],[Contracts Signed]]/SalesData[[#This Row],[Customers Visited]])</f>
        <v>0.1276595744680851</v>
      </c>
      <c r="AI510" s="6">
        <f>IF(SalesData[[#This Row],[Contracts Signed]]=0,0,SalesData[[#This Row],[Profit(€)]]/SalesData[[#This Row],[Contracts Signed]])</f>
        <v>13333</v>
      </c>
      <c r="AJ510" s="5" t="str">
        <f>TRIM(CLEAN(SalesData[[#This Row],[Retailer]]))</f>
        <v>Rhein Auto Group</v>
      </c>
    </row>
    <row r="511" spans="1:36" ht="14.25" hidden="1" x14ac:dyDescent="0.2">
      <c r="A511" t="s">
        <v>1007</v>
      </c>
      <c r="B511" s="1">
        <v>46069</v>
      </c>
      <c r="C511" t="s">
        <v>62</v>
      </c>
      <c r="D511" t="s">
        <v>25</v>
      </c>
      <c r="E511" t="s">
        <v>26</v>
      </c>
      <c r="F511" t="s">
        <v>83</v>
      </c>
      <c r="G511" t="s">
        <v>84</v>
      </c>
      <c r="H511" t="s">
        <v>85</v>
      </c>
      <c r="I511" t="s">
        <v>64</v>
      </c>
      <c r="J511" t="s">
        <v>77</v>
      </c>
      <c r="K511" t="s">
        <v>66</v>
      </c>
      <c r="L511" t="s">
        <v>46</v>
      </c>
      <c r="M511" t="s">
        <v>34</v>
      </c>
      <c r="N511" t="s">
        <v>48</v>
      </c>
      <c r="O511" t="s">
        <v>36</v>
      </c>
      <c r="P511" t="s">
        <v>37</v>
      </c>
      <c r="Q511" t="s">
        <v>38</v>
      </c>
      <c r="R511">
        <v>159</v>
      </c>
      <c r="S511">
        <v>94</v>
      </c>
      <c r="T511">
        <v>64</v>
      </c>
      <c r="U511">
        <v>24</v>
      </c>
      <c r="V511" t="s">
        <v>6461</v>
      </c>
      <c r="W511">
        <v>49025</v>
      </c>
      <c r="X511" t="s">
        <v>7196</v>
      </c>
      <c r="Y511">
        <v>35728</v>
      </c>
      <c r="Z511">
        <v>1176600</v>
      </c>
      <c r="AA511">
        <v>319128</v>
      </c>
      <c r="AB511" t="str">
        <f>(VLOOKUP(SalesData[[#This Row],[Month Number]],Reference!C$5:E$16,2,FALSE))</f>
        <v>Feb</v>
      </c>
      <c r="AC511">
        <f>MONTH(SalesData[[#This Row],[Date]])</f>
        <v>2</v>
      </c>
      <c r="AD511">
        <f>Reference!F$4</f>
        <v>2026</v>
      </c>
      <c r="AE511" t="str">
        <f>IF(OR(SalesData[[#This Row],[Day]]="Saturday",SalesData[[#This Row],[Day]]="Sunday"),"Weekend","Weekday")</f>
        <v>Weekday</v>
      </c>
      <c r="AF511" s="5">
        <f>IF(SalesData[[#This Row],[Contracts Offered]]=0,0,SalesData[[#This Row],[Contracts Signed]]/SalesData[[#This Row],[Contracts Offered]])</f>
        <v>0.375</v>
      </c>
      <c r="AG511" s="5">
        <f>IF(SalesData[[#This Row],[Customers Visited]]=0,0,SalesData[[#This Row],[Test Drives]]/SalesData[[#This Row],[Customers Visited]])</f>
        <v>0.5911949685534591</v>
      </c>
      <c r="AH511" s="5">
        <f>IF(SalesData[[#This Row],[Customers Visited]]=0,0,SalesData[[#This Row],[Contracts Signed]]/SalesData[[#This Row],[Customers Visited]])</f>
        <v>0.15094339622641509</v>
      </c>
      <c r="AI511" s="6">
        <f>IF(SalesData[[#This Row],[Contracts Signed]]=0,0,SalesData[[#This Row],[Profit(€)]]/SalesData[[#This Row],[Contracts Signed]])</f>
        <v>13297</v>
      </c>
      <c r="AJ511" s="5" t="str">
        <f>TRIM(CLEAN(SalesData[[#This Row],[Retailer]]))</f>
        <v>Hannover Cars</v>
      </c>
    </row>
    <row r="512" spans="1:36" ht="14.25" hidden="1" x14ac:dyDescent="0.2">
      <c r="A512" t="s">
        <v>1008</v>
      </c>
      <c r="B512" s="1">
        <v>46078</v>
      </c>
      <c r="C512" t="s">
        <v>53</v>
      </c>
      <c r="D512" t="s">
        <v>82</v>
      </c>
      <c r="E512" t="s">
        <v>26</v>
      </c>
      <c r="F512" t="s">
        <v>7649</v>
      </c>
      <c r="G512" t="s">
        <v>55</v>
      </c>
      <c r="H512" t="s">
        <v>55</v>
      </c>
      <c r="I512" t="s">
        <v>116</v>
      </c>
      <c r="J512" t="s">
        <v>7026</v>
      </c>
      <c r="K512" t="s">
        <v>66</v>
      </c>
      <c r="L512" t="s">
        <v>46</v>
      </c>
      <c r="M512" t="s">
        <v>68</v>
      </c>
      <c r="N512" t="s">
        <v>69</v>
      </c>
      <c r="O512" t="s">
        <v>70</v>
      </c>
      <c r="P512" t="s">
        <v>58</v>
      </c>
      <c r="Q512" t="s">
        <v>79</v>
      </c>
      <c r="R512">
        <v>241</v>
      </c>
      <c r="S512">
        <v>121</v>
      </c>
      <c r="T512">
        <v>69</v>
      </c>
      <c r="U512">
        <v>22</v>
      </c>
      <c r="V512" t="s">
        <v>752</v>
      </c>
      <c r="W512">
        <v>23404</v>
      </c>
      <c r="X512" t="s">
        <v>138</v>
      </c>
      <c r="Y512">
        <v>21059</v>
      </c>
      <c r="Z512">
        <v>514888</v>
      </c>
      <c r="AA512">
        <v>51590</v>
      </c>
      <c r="AB512" t="str">
        <f>(VLOOKUP(SalesData[[#This Row],[Month Number]],Reference!C$5:E$16,2,FALSE))</f>
        <v>Feb</v>
      </c>
      <c r="AC512">
        <f>MONTH(SalesData[[#This Row],[Date]])</f>
        <v>2</v>
      </c>
      <c r="AD512">
        <f>Reference!F$4</f>
        <v>2026</v>
      </c>
      <c r="AE512" t="str">
        <f>IF(OR(SalesData[[#This Row],[Day]]="Saturday",SalesData[[#This Row],[Day]]="Sunday"),"Weekend","Weekday")</f>
        <v>Weekday</v>
      </c>
      <c r="AF512" s="5">
        <f>IF(SalesData[[#This Row],[Contracts Offered]]=0,0,SalesData[[#This Row],[Contracts Signed]]/SalesData[[#This Row],[Contracts Offered]])</f>
        <v>0.3188405797101449</v>
      </c>
      <c r="AG512" s="5">
        <f>IF(SalesData[[#This Row],[Customers Visited]]=0,0,SalesData[[#This Row],[Test Drives]]/SalesData[[#This Row],[Customers Visited]])</f>
        <v>0.50207468879668049</v>
      </c>
      <c r="AH512" s="5">
        <f>IF(SalesData[[#This Row],[Customers Visited]]=0,0,SalesData[[#This Row],[Contracts Signed]]/SalesData[[#This Row],[Customers Visited]])</f>
        <v>9.1286307053941904E-2</v>
      </c>
      <c r="AI512" s="6">
        <f>IF(SalesData[[#This Row],[Contracts Signed]]=0,0,SalesData[[#This Row],[Profit(€)]]/SalesData[[#This Row],[Contracts Signed]])</f>
        <v>2345</v>
      </c>
      <c r="AJ512" s="5" t="str">
        <f>TRIM(CLEAN(SalesData[[#This Row],[Retailer]]))</f>
        <v>Autohaus Berlin</v>
      </c>
    </row>
    <row r="513" spans="1:36" ht="14.25" hidden="1" x14ac:dyDescent="0.2">
      <c r="A513" t="s">
        <v>1010</v>
      </c>
      <c r="B513" s="1">
        <v>46055</v>
      </c>
      <c r="C513" t="s">
        <v>24</v>
      </c>
      <c r="D513" t="s">
        <v>25</v>
      </c>
      <c r="E513" t="s">
        <v>26</v>
      </c>
      <c r="F513" t="s">
        <v>109</v>
      </c>
      <c r="G513" t="s">
        <v>110</v>
      </c>
      <c r="H513" t="s">
        <v>45</v>
      </c>
      <c r="I513" t="s">
        <v>64</v>
      </c>
      <c r="J513" t="s">
        <v>7029</v>
      </c>
      <c r="K513" t="s">
        <v>78</v>
      </c>
      <c r="L513" t="s">
        <v>33</v>
      </c>
      <c r="M513" t="s">
        <v>68</v>
      </c>
      <c r="N513" t="s">
        <v>35</v>
      </c>
      <c r="O513" t="s">
        <v>70</v>
      </c>
      <c r="P513" t="s">
        <v>49</v>
      </c>
      <c r="Q513" t="s">
        <v>88</v>
      </c>
      <c r="R513">
        <v>276</v>
      </c>
      <c r="S513">
        <v>164</v>
      </c>
      <c r="T513">
        <v>125</v>
      </c>
      <c r="U513">
        <v>35</v>
      </c>
      <c r="V513" t="s">
        <v>7242</v>
      </c>
      <c r="W513">
        <v>54622</v>
      </c>
      <c r="X513" t="s">
        <v>7163</v>
      </c>
      <c r="Y513">
        <v>39113</v>
      </c>
      <c r="Z513">
        <v>1911770</v>
      </c>
      <c r="AA513">
        <v>542815</v>
      </c>
      <c r="AB513" t="str">
        <f>(VLOOKUP(SalesData[[#This Row],[Month Number]],Reference!C$5:E$16,2,FALSE))</f>
        <v>Feb</v>
      </c>
      <c r="AC513">
        <f>MONTH(SalesData[[#This Row],[Date]])</f>
        <v>2</v>
      </c>
      <c r="AD513">
        <f>Reference!F$4</f>
        <v>2026</v>
      </c>
      <c r="AE513" t="str">
        <f>IF(OR(SalesData[[#This Row],[Day]]="Saturday",SalesData[[#This Row],[Day]]="Sunday"),"Weekend","Weekday")</f>
        <v>Weekday</v>
      </c>
      <c r="AF513" s="5">
        <f>IF(SalesData[[#This Row],[Contracts Offered]]=0,0,SalesData[[#This Row],[Contracts Signed]]/SalesData[[#This Row],[Contracts Offered]])</f>
        <v>0.28000000000000003</v>
      </c>
      <c r="AG513" s="5">
        <f>IF(SalesData[[#This Row],[Customers Visited]]=0,0,SalesData[[#This Row],[Test Drives]]/SalesData[[#This Row],[Customers Visited]])</f>
        <v>0.59420289855072461</v>
      </c>
      <c r="AH513" s="5">
        <f>IF(SalesData[[#This Row],[Customers Visited]]=0,0,SalesData[[#This Row],[Contracts Signed]]/SalesData[[#This Row],[Customers Visited]])</f>
        <v>0.12681159420289856</v>
      </c>
      <c r="AI513" s="6">
        <f>IF(SalesData[[#This Row],[Contracts Signed]]=0,0,SalesData[[#This Row],[Profit(€)]]/SalesData[[#This Row],[Contracts Signed]])</f>
        <v>15509</v>
      </c>
      <c r="AJ513" s="5" t="str">
        <f>TRIM(CLEAN(SalesData[[#This Row],[Retailer]]))</f>
        <v>Leipzig Mobility</v>
      </c>
    </row>
    <row r="514" spans="1:36" ht="14.25" hidden="1" x14ac:dyDescent="0.2">
      <c r="A514" t="s">
        <v>1012</v>
      </c>
      <c r="B514" s="1">
        <v>46054</v>
      </c>
      <c r="C514" t="s">
        <v>24</v>
      </c>
      <c r="D514" t="s">
        <v>41</v>
      </c>
      <c r="E514" t="s">
        <v>42</v>
      </c>
      <c r="F514" t="s">
        <v>83</v>
      </c>
      <c r="G514" t="s">
        <v>84</v>
      </c>
      <c r="H514" t="s">
        <v>85</v>
      </c>
      <c r="I514" t="s">
        <v>116</v>
      </c>
      <c r="J514" t="s">
        <v>117</v>
      </c>
      <c r="K514" t="s">
        <v>32</v>
      </c>
      <c r="L514" t="s">
        <v>67</v>
      </c>
      <c r="M514" t="s">
        <v>68</v>
      </c>
      <c r="N514" t="s">
        <v>69</v>
      </c>
      <c r="O514" t="s">
        <v>70</v>
      </c>
      <c r="P514" t="s">
        <v>71</v>
      </c>
      <c r="Q514" t="s">
        <v>122</v>
      </c>
      <c r="R514">
        <v>330</v>
      </c>
      <c r="S514">
        <v>147</v>
      </c>
      <c r="T514">
        <v>95</v>
      </c>
      <c r="U514">
        <v>24</v>
      </c>
      <c r="V514" t="s">
        <v>2332</v>
      </c>
      <c r="W514">
        <v>24741</v>
      </c>
      <c r="X514" t="s">
        <v>2248</v>
      </c>
      <c r="Y514">
        <v>22692</v>
      </c>
      <c r="Z514">
        <v>593784</v>
      </c>
      <c r="AA514">
        <v>49176</v>
      </c>
      <c r="AB514" t="str">
        <f>(VLOOKUP(SalesData[[#This Row],[Month Number]],Reference!C$5:E$16,2,FALSE))</f>
        <v>Feb</v>
      </c>
      <c r="AC514">
        <f>MONTH(SalesData[[#This Row],[Date]])</f>
        <v>2</v>
      </c>
      <c r="AD514">
        <f>Reference!F$4</f>
        <v>2026</v>
      </c>
      <c r="AE514" t="str">
        <f>IF(OR(SalesData[[#This Row],[Day]]="Saturday",SalesData[[#This Row],[Day]]="Sunday"),"Weekend","Weekday")</f>
        <v>Weekend</v>
      </c>
      <c r="AF514" s="5">
        <f>IF(SalesData[[#This Row],[Contracts Offered]]=0,0,SalesData[[#This Row],[Contracts Signed]]/SalesData[[#This Row],[Contracts Offered]])</f>
        <v>0.25263157894736843</v>
      </c>
      <c r="AG514" s="5">
        <f>IF(SalesData[[#This Row],[Customers Visited]]=0,0,SalesData[[#This Row],[Test Drives]]/SalesData[[#This Row],[Customers Visited]])</f>
        <v>0.44545454545454544</v>
      </c>
      <c r="AH514" s="5">
        <f>IF(SalesData[[#This Row],[Customers Visited]]=0,0,SalesData[[#This Row],[Contracts Signed]]/SalesData[[#This Row],[Customers Visited]])</f>
        <v>7.2727272727272724E-2</v>
      </c>
      <c r="AI514" s="6">
        <f>IF(SalesData[[#This Row],[Contracts Signed]]=0,0,SalesData[[#This Row],[Profit(€)]]/SalesData[[#This Row],[Contracts Signed]])</f>
        <v>2049</v>
      </c>
      <c r="AJ514" s="5" t="str">
        <f>TRIM(CLEAN(SalesData[[#This Row],[Retailer]]))</f>
        <v>Hannover Cars</v>
      </c>
    </row>
    <row r="515" spans="1:36" ht="14.25" hidden="1" x14ac:dyDescent="0.2">
      <c r="A515" t="s">
        <v>1014</v>
      </c>
      <c r="B515" s="1">
        <v>46078</v>
      </c>
      <c r="C515" t="s">
        <v>53</v>
      </c>
      <c r="D515" t="s">
        <v>82</v>
      </c>
      <c r="E515" t="s">
        <v>26</v>
      </c>
      <c r="F515" t="s">
        <v>83</v>
      </c>
      <c r="G515" t="s">
        <v>84</v>
      </c>
      <c r="H515" t="s">
        <v>85</v>
      </c>
      <c r="I515" t="s">
        <v>64</v>
      </c>
      <c r="J515" t="s">
        <v>111</v>
      </c>
      <c r="K515" t="s">
        <v>78</v>
      </c>
      <c r="L515" t="s">
        <v>46</v>
      </c>
      <c r="M515" t="s">
        <v>34</v>
      </c>
      <c r="N515" t="s">
        <v>48</v>
      </c>
      <c r="O515" t="s">
        <v>36</v>
      </c>
      <c r="P515" t="s">
        <v>49</v>
      </c>
      <c r="Q515" t="s">
        <v>152</v>
      </c>
      <c r="R515">
        <v>252</v>
      </c>
      <c r="S515">
        <v>140</v>
      </c>
      <c r="T515">
        <v>108</v>
      </c>
      <c r="U515">
        <v>30</v>
      </c>
      <c r="V515" t="s">
        <v>6452</v>
      </c>
      <c r="W515">
        <v>54884</v>
      </c>
      <c r="X515" t="s">
        <v>2348</v>
      </c>
      <c r="Y515">
        <v>41001</v>
      </c>
      <c r="Z515">
        <v>1646520</v>
      </c>
      <c r="AA515">
        <v>416490</v>
      </c>
      <c r="AB515" t="str">
        <f>(VLOOKUP(SalesData[[#This Row],[Month Number]],Reference!C$5:E$16,2,FALSE))</f>
        <v>Feb</v>
      </c>
      <c r="AC515">
        <f>MONTH(SalesData[[#This Row],[Date]])</f>
        <v>2</v>
      </c>
      <c r="AD515">
        <f>Reference!F$4</f>
        <v>2026</v>
      </c>
      <c r="AE515" t="str">
        <f>IF(OR(SalesData[[#This Row],[Day]]="Saturday",SalesData[[#This Row],[Day]]="Sunday"),"Weekend","Weekday")</f>
        <v>Weekday</v>
      </c>
      <c r="AF515" s="5">
        <f>IF(SalesData[[#This Row],[Contracts Offered]]=0,0,SalesData[[#This Row],[Contracts Signed]]/SalesData[[#This Row],[Contracts Offered]])</f>
        <v>0.27777777777777779</v>
      </c>
      <c r="AG515" s="5">
        <f>IF(SalesData[[#This Row],[Customers Visited]]=0,0,SalesData[[#This Row],[Test Drives]]/SalesData[[#This Row],[Customers Visited]])</f>
        <v>0.55555555555555558</v>
      </c>
      <c r="AH515" s="5">
        <f>IF(SalesData[[#This Row],[Customers Visited]]=0,0,SalesData[[#This Row],[Contracts Signed]]/SalesData[[#This Row],[Customers Visited]])</f>
        <v>0.11904761904761904</v>
      </c>
      <c r="AI515" s="6">
        <f>IF(SalesData[[#This Row],[Contracts Signed]]=0,0,SalesData[[#This Row],[Profit(€)]]/SalesData[[#This Row],[Contracts Signed]])</f>
        <v>13883</v>
      </c>
      <c r="AJ515" s="5" t="str">
        <f>TRIM(CLEAN(SalesData[[#This Row],[Retailer]]))</f>
        <v>Hannover Cars</v>
      </c>
    </row>
    <row r="516" spans="1:36" ht="14.25" hidden="1" x14ac:dyDescent="0.2">
      <c r="A516" t="s">
        <v>1016</v>
      </c>
      <c r="B516" s="1">
        <v>46065</v>
      </c>
      <c r="C516" t="s">
        <v>121</v>
      </c>
      <c r="D516" t="s">
        <v>100</v>
      </c>
      <c r="E516" t="s">
        <v>26</v>
      </c>
      <c r="F516" t="s">
        <v>7649</v>
      </c>
      <c r="G516" t="s">
        <v>55</v>
      </c>
      <c r="H516" t="s">
        <v>55</v>
      </c>
      <c r="I516" t="s">
        <v>104</v>
      </c>
      <c r="J516" t="s">
        <v>7061</v>
      </c>
      <c r="K516" t="s">
        <v>91</v>
      </c>
      <c r="L516" t="s">
        <v>46</v>
      </c>
      <c r="M516" t="s">
        <v>47</v>
      </c>
      <c r="N516" t="s">
        <v>48</v>
      </c>
      <c r="O516" t="s">
        <v>70</v>
      </c>
      <c r="P516" t="s">
        <v>37</v>
      </c>
      <c r="Q516" t="s">
        <v>189</v>
      </c>
      <c r="R516">
        <v>460</v>
      </c>
      <c r="S516">
        <v>195</v>
      </c>
      <c r="T516">
        <v>120</v>
      </c>
      <c r="U516">
        <v>30</v>
      </c>
      <c r="V516" t="s">
        <v>1109</v>
      </c>
      <c r="W516">
        <v>31403</v>
      </c>
      <c r="X516" t="s">
        <v>7243</v>
      </c>
      <c r="Y516">
        <v>28053</v>
      </c>
      <c r="Z516">
        <v>942090</v>
      </c>
      <c r="AA516">
        <v>100500</v>
      </c>
      <c r="AB516" t="str">
        <f>(VLOOKUP(SalesData[[#This Row],[Month Number]],Reference!C$5:E$16,2,FALSE))</f>
        <v>Feb</v>
      </c>
      <c r="AC516">
        <f>MONTH(SalesData[[#This Row],[Date]])</f>
        <v>2</v>
      </c>
      <c r="AD516">
        <f>Reference!F$4</f>
        <v>2026</v>
      </c>
      <c r="AE516" t="str">
        <f>IF(OR(SalesData[[#This Row],[Day]]="Saturday",SalesData[[#This Row],[Day]]="Sunday"),"Weekend","Weekday")</f>
        <v>Weekday</v>
      </c>
      <c r="AF516" s="5">
        <f>IF(SalesData[[#This Row],[Contracts Offered]]=0,0,SalesData[[#This Row],[Contracts Signed]]/SalesData[[#This Row],[Contracts Offered]])</f>
        <v>0.25</v>
      </c>
      <c r="AG516" s="5">
        <f>IF(SalesData[[#This Row],[Customers Visited]]=0,0,SalesData[[#This Row],[Test Drives]]/SalesData[[#This Row],[Customers Visited]])</f>
        <v>0.42391304347826086</v>
      </c>
      <c r="AH516" s="5">
        <f>IF(SalesData[[#This Row],[Customers Visited]]=0,0,SalesData[[#This Row],[Contracts Signed]]/SalesData[[#This Row],[Customers Visited]])</f>
        <v>6.5217391304347824E-2</v>
      </c>
      <c r="AI516" s="6">
        <f>IF(SalesData[[#This Row],[Contracts Signed]]=0,0,SalesData[[#This Row],[Profit(€)]]/SalesData[[#This Row],[Contracts Signed]])</f>
        <v>3350</v>
      </c>
      <c r="AJ516" s="5" t="str">
        <f>TRIM(CLEAN(SalesData[[#This Row],[Retailer]]))</f>
        <v>Autohaus Berlin</v>
      </c>
    </row>
    <row r="517" spans="1:36" ht="14.25" hidden="1" x14ac:dyDescent="0.2">
      <c r="A517" t="s">
        <v>1018</v>
      </c>
      <c r="B517" s="1">
        <v>46073</v>
      </c>
      <c r="C517" t="s">
        <v>62</v>
      </c>
      <c r="D517" t="s">
        <v>54</v>
      </c>
      <c r="E517" t="s">
        <v>26</v>
      </c>
      <c r="F517" t="s">
        <v>43</v>
      </c>
      <c r="G517" t="s">
        <v>44</v>
      </c>
      <c r="H517" t="s">
        <v>45</v>
      </c>
      <c r="I517" t="s">
        <v>64</v>
      </c>
      <c r="J517" t="s">
        <v>65</v>
      </c>
      <c r="K517" t="s">
        <v>78</v>
      </c>
      <c r="L517" t="s">
        <v>33</v>
      </c>
      <c r="M517" t="s">
        <v>34</v>
      </c>
      <c r="N517" t="s">
        <v>69</v>
      </c>
      <c r="O517" t="s">
        <v>70</v>
      </c>
      <c r="P517" t="s">
        <v>58</v>
      </c>
      <c r="Q517" t="s">
        <v>167</v>
      </c>
      <c r="R517">
        <v>163</v>
      </c>
      <c r="S517">
        <v>91</v>
      </c>
      <c r="T517">
        <v>66</v>
      </c>
      <c r="U517">
        <v>23</v>
      </c>
      <c r="V517" t="s">
        <v>6448</v>
      </c>
      <c r="W517">
        <v>63218</v>
      </c>
      <c r="X517" t="s">
        <v>7244</v>
      </c>
      <c r="Y517">
        <v>46382</v>
      </c>
      <c r="Z517">
        <v>1454014</v>
      </c>
      <c r="AA517">
        <v>387228</v>
      </c>
      <c r="AB517" t="str">
        <f>(VLOOKUP(SalesData[[#This Row],[Month Number]],Reference!C$5:E$16,2,FALSE))</f>
        <v>Feb</v>
      </c>
      <c r="AC517">
        <f>MONTH(SalesData[[#This Row],[Date]])</f>
        <v>2</v>
      </c>
      <c r="AD517">
        <f>Reference!F$4</f>
        <v>2026</v>
      </c>
      <c r="AE517" t="str">
        <f>IF(OR(SalesData[[#This Row],[Day]]="Saturday",SalesData[[#This Row],[Day]]="Sunday"),"Weekend","Weekday")</f>
        <v>Weekday</v>
      </c>
      <c r="AF517" s="5">
        <f>IF(SalesData[[#This Row],[Contracts Offered]]=0,0,SalesData[[#This Row],[Contracts Signed]]/SalesData[[#This Row],[Contracts Offered]])</f>
        <v>0.34848484848484851</v>
      </c>
      <c r="AG517" s="5">
        <f>IF(SalesData[[#This Row],[Customers Visited]]=0,0,SalesData[[#This Row],[Test Drives]]/SalesData[[#This Row],[Customers Visited]])</f>
        <v>0.55828220858895705</v>
      </c>
      <c r="AH517" s="5">
        <f>IF(SalesData[[#This Row],[Customers Visited]]=0,0,SalesData[[#This Row],[Contracts Signed]]/SalesData[[#This Row],[Customers Visited]])</f>
        <v>0.1411042944785276</v>
      </c>
      <c r="AI517" s="6">
        <f>IF(SalesData[[#This Row],[Contracts Signed]]=0,0,SalesData[[#This Row],[Profit(€)]]/SalesData[[#This Row],[Contracts Signed]])</f>
        <v>16836</v>
      </c>
      <c r="AJ517" s="5" t="str">
        <f>TRIM(CLEAN(SalesData[[#This Row],[Retailer]]))</f>
        <v>Saxon Wheels</v>
      </c>
    </row>
    <row r="518" spans="1:36" ht="14.25" hidden="1" x14ac:dyDescent="0.2">
      <c r="A518" t="s">
        <v>1019</v>
      </c>
      <c r="B518" s="1">
        <v>46070</v>
      </c>
      <c r="C518" t="s">
        <v>62</v>
      </c>
      <c r="D518" t="s">
        <v>63</v>
      </c>
      <c r="E518" t="s">
        <v>26</v>
      </c>
      <c r="F518" t="s">
        <v>94</v>
      </c>
      <c r="G518" t="s">
        <v>95</v>
      </c>
      <c r="H518" t="s">
        <v>96</v>
      </c>
      <c r="I518" t="s">
        <v>56</v>
      </c>
      <c r="J518" t="s">
        <v>179</v>
      </c>
      <c r="K518" t="s">
        <v>78</v>
      </c>
      <c r="L518" t="s">
        <v>67</v>
      </c>
      <c r="M518" t="s">
        <v>34</v>
      </c>
      <c r="N518" t="s">
        <v>35</v>
      </c>
      <c r="O518" t="s">
        <v>36</v>
      </c>
      <c r="P518" t="s">
        <v>58</v>
      </c>
      <c r="Q518" t="s">
        <v>38</v>
      </c>
      <c r="R518">
        <v>192</v>
      </c>
      <c r="S518">
        <v>89</v>
      </c>
      <c r="T518">
        <v>57</v>
      </c>
      <c r="U518">
        <v>27</v>
      </c>
      <c r="V518" t="s">
        <v>7245</v>
      </c>
      <c r="W518">
        <v>44783</v>
      </c>
      <c r="X518" t="s">
        <v>7246</v>
      </c>
      <c r="Y518">
        <v>35538</v>
      </c>
      <c r="Z518">
        <v>1209141</v>
      </c>
      <c r="AA518">
        <v>249615</v>
      </c>
      <c r="AB518" t="str">
        <f>(VLOOKUP(SalesData[[#This Row],[Month Number]],Reference!C$5:E$16,2,FALSE))</f>
        <v>Feb</v>
      </c>
      <c r="AC518">
        <f>MONTH(SalesData[[#This Row],[Date]])</f>
        <v>2</v>
      </c>
      <c r="AD518">
        <f>Reference!F$4</f>
        <v>2026</v>
      </c>
      <c r="AE518" t="str">
        <f>IF(OR(SalesData[[#This Row],[Day]]="Saturday",SalesData[[#This Row],[Day]]="Sunday"),"Weekend","Weekday")</f>
        <v>Weekday</v>
      </c>
      <c r="AF518" s="5">
        <f>IF(SalesData[[#This Row],[Contracts Offered]]=0,0,SalesData[[#This Row],[Contracts Signed]]/SalesData[[#This Row],[Contracts Offered]])</f>
        <v>0.47368421052631576</v>
      </c>
      <c r="AG518" s="5">
        <f>IF(SalesData[[#This Row],[Customers Visited]]=0,0,SalesData[[#This Row],[Test Drives]]/SalesData[[#This Row],[Customers Visited]])</f>
        <v>0.46354166666666669</v>
      </c>
      <c r="AH518" s="5">
        <f>IF(SalesData[[#This Row],[Customers Visited]]=0,0,SalesData[[#This Row],[Contracts Signed]]/SalesData[[#This Row],[Customers Visited]])</f>
        <v>0.140625</v>
      </c>
      <c r="AI518" s="6">
        <f>IF(SalesData[[#This Row],[Contracts Signed]]=0,0,SalesData[[#This Row],[Profit(€)]]/SalesData[[#This Row],[Contracts Signed]])</f>
        <v>9245</v>
      </c>
      <c r="AJ518" s="5" t="str">
        <f>TRIM(CLEAN(SalesData[[#This Row],[Retailer]]))</f>
        <v>Bavaria Motors</v>
      </c>
    </row>
    <row r="519" spans="1:36" ht="14.25" hidden="1" x14ac:dyDescent="0.2">
      <c r="A519" t="s">
        <v>1020</v>
      </c>
      <c r="B519" s="1">
        <v>46076</v>
      </c>
      <c r="C519" t="s">
        <v>53</v>
      </c>
      <c r="D519" t="s">
        <v>25</v>
      </c>
      <c r="E519" t="s">
        <v>26</v>
      </c>
      <c r="F519" t="s">
        <v>27</v>
      </c>
      <c r="G519" t="s">
        <v>28</v>
      </c>
      <c r="H519" t="s">
        <v>29</v>
      </c>
      <c r="I519" t="s">
        <v>104</v>
      </c>
      <c r="J519" t="s">
        <v>140</v>
      </c>
      <c r="K519" t="s">
        <v>66</v>
      </c>
      <c r="L519" t="s">
        <v>46</v>
      </c>
      <c r="M519" t="s">
        <v>34</v>
      </c>
      <c r="N519" t="s">
        <v>69</v>
      </c>
      <c r="O519" t="s">
        <v>36</v>
      </c>
      <c r="P519" t="s">
        <v>71</v>
      </c>
      <c r="Q519" t="s">
        <v>204</v>
      </c>
      <c r="R519">
        <v>381</v>
      </c>
      <c r="S519">
        <v>220</v>
      </c>
      <c r="T519">
        <v>148</v>
      </c>
      <c r="U519">
        <v>39</v>
      </c>
      <c r="V519" t="s">
        <v>1823</v>
      </c>
      <c r="W519">
        <v>33712</v>
      </c>
      <c r="X519" t="s">
        <v>1692</v>
      </c>
      <c r="Y519">
        <v>30544</v>
      </c>
      <c r="Z519">
        <v>1314768</v>
      </c>
      <c r="AA519">
        <v>123552</v>
      </c>
      <c r="AB519" t="str">
        <f>(VLOOKUP(SalesData[[#This Row],[Month Number]],Reference!C$5:E$16,2,FALSE))</f>
        <v>Feb</v>
      </c>
      <c r="AC519">
        <f>MONTH(SalesData[[#This Row],[Date]])</f>
        <v>2</v>
      </c>
      <c r="AD519">
        <f>Reference!F$4</f>
        <v>2026</v>
      </c>
      <c r="AE519" t="str">
        <f>IF(OR(SalesData[[#This Row],[Day]]="Saturday",SalesData[[#This Row],[Day]]="Sunday"),"Weekend","Weekday")</f>
        <v>Weekday</v>
      </c>
      <c r="AF519" s="5">
        <f>IF(SalesData[[#This Row],[Contracts Offered]]=0,0,SalesData[[#This Row],[Contracts Signed]]/SalesData[[#This Row],[Contracts Offered]])</f>
        <v>0.26351351351351349</v>
      </c>
      <c r="AG519" s="5">
        <f>IF(SalesData[[#This Row],[Customers Visited]]=0,0,SalesData[[#This Row],[Test Drives]]/SalesData[[#This Row],[Customers Visited]])</f>
        <v>0.57742782152230976</v>
      </c>
      <c r="AH519" s="5">
        <f>IF(SalesData[[#This Row],[Customers Visited]]=0,0,SalesData[[#This Row],[Contracts Signed]]/SalesData[[#This Row],[Customers Visited]])</f>
        <v>0.10236220472440945</v>
      </c>
      <c r="AI519" s="6">
        <f>IF(SalesData[[#This Row],[Contracts Signed]]=0,0,SalesData[[#This Row],[Profit(€)]]/SalesData[[#This Row],[Contracts Signed]])</f>
        <v>3168</v>
      </c>
      <c r="AJ519" s="5" t="str">
        <f>TRIM(CLEAN(SalesData[[#This Row],[Retailer]]))</f>
        <v>Main Auto Hub</v>
      </c>
    </row>
    <row r="520" spans="1:36" ht="14.25" x14ac:dyDescent="0.2">
      <c r="A520" t="s">
        <v>1021</v>
      </c>
      <c r="B520" s="1">
        <v>46080</v>
      </c>
      <c r="C520" t="s">
        <v>53</v>
      </c>
      <c r="D520" t="s">
        <v>54</v>
      </c>
      <c r="E520" t="s">
        <v>26</v>
      </c>
      <c r="F520" t="s">
        <v>83</v>
      </c>
      <c r="G520" t="s">
        <v>84</v>
      </c>
      <c r="H520" t="s">
        <v>85</v>
      </c>
      <c r="I520" t="s">
        <v>30</v>
      </c>
      <c r="J520" t="s">
        <v>86</v>
      </c>
      <c r="K520" t="s">
        <v>78</v>
      </c>
      <c r="L520" t="s">
        <v>33</v>
      </c>
      <c r="M520" t="s">
        <v>47</v>
      </c>
      <c r="N520" t="s">
        <v>48</v>
      </c>
      <c r="O520" t="s">
        <v>70</v>
      </c>
      <c r="P520" t="s">
        <v>49</v>
      </c>
      <c r="Q520" t="s">
        <v>152</v>
      </c>
      <c r="R520">
        <v>140</v>
      </c>
      <c r="S520">
        <v>82</v>
      </c>
      <c r="T520">
        <v>66</v>
      </c>
      <c r="U520">
        <v>22</v>
      </c>
      <c r="V520" t="s">
        <v>7247</v>
      </c>
      <c r="W520">
        <v>65373</v>
      </c>
      <c r="X520" t="s">
        <v>7138</v>
      </c>
      <c r="Y520">
        <v>46722</v>
      </c>
      <c r="Z520">
        <v>1438206</v>
      </c>
      <c r="AA520">
        <v>410322</v>
      </c>
      <c r="AB520" t="str">
        <f>(VLOOKUP(SalesData[[#This Row],[Month Number]],Reference!C$5:E$16,2,FALSE))</f>
        <v>Feb</v>
      </c>
      <c r="AC520">
        <f>MONTH(SalesData[[#This Row],[Date]])</f>
        <v>2</v>
      </c>
      <c r="AD520">
        <f>Reference!F$4</f>
        <v>2026</v>
      </c>
      <c r="AE520" t="str">
        <f>IF(OR(SalesData[[#This Row],[Day]]="Saturday",SalesData[[#This Row],[Day]]="Sunday"),"Weekend","Weekday")</f>
        <v>Weekday</v>
      </c>
      <c r="AF520" s="5">
        <f>IF(SalesData[[#This Row],[Contracts Offered]]=0,0,SalesData[[#This Row],[Contracts Signed]]/SalesData[[#This Row],[Contracts Offered]])</f>
        <v>0.33333333333333331</v>
      </c>
      <c r="AG520" s="5">
        <f>IF(SalesData[[#This Row],[Customers Visited]]=0,0,SalesData[[#This Row],[Test Drives]]/SalesData[[#This Row],[Customers Visited]])</f>
        <v>0.58571428571428574</v>
      </c>
      <c r="AH520" s="5">
        <f>IF(SalesData[[#This Row],[Customers Visited]]=0,0,SalesData[[#This Row],[Contracts Signed]]/SalesData[[#This Row],[Customers Visited]])</f>
        <v>0.15714285714285714</v>
      </c>
      <c r="AI520" s="6">
        <f>IF(SalesData[[#This Row],[Contracts Signed]]=0,0,SalesData[[#This Row],[Profit(€)]]/SalesData[[#This Row],[Contracts Signed]])</f>
        <v>18651</v>
      </c>
      <c r="AJ520" s="5" t="str">
        <f>TRIM(CLEAN(SalesData[[#This Row],[Retailer]]))</f>
        <v>Hannover Cars</v>
      </c>
    </row>
    <row r="521" spans="1:36" ht="14.25" hidden="1" x14ac:dyDescent="0.2">
      <c r="A521" t="s">
        <v>1022</v>
      </c>
      <c r="B521" s="1">
        <v>46072</v>
      </c>
      <c r="C521" t="s">
        <v>62</v>
      </c>
      <c r="D521" t="s">
        <v>100</v>
      </c>
      <c r="E521" t="s">
        <v>26</v>
      </c>
      <c r="F521" t="s">
        <v>127</v>
      </c>
      <c r="G521" t="s">
        <v>128</v>
      </c>
      <c r="H521" t="s">
        <v>103</v>
      </c>
      <c r="I521" t="s">
        <v>64</v>
      </c>
      <c r="J521" t="s">
        <v>157</v>
      </c>
      <c r="K521" t="s">
        <v>78</v>
      </c>
      <c r="L521" t="s">
        <v>33</v>
      </c>
      <c r="M521" t="s">
        <v>47</v>
      </c>
      <c r="N521" t="s">
        <v>69</v>
      </c>
      <c r="O521" t="s">
        <v>70</v>
      </c>
      <c r="P521" t="s">
        <v>37</v>
      </c>
      <c r="Q521" t="s">
        <v>122</v>
      </c>
      <c r="R521">
        <v>187</v>
      </c>
      <c r="S521">
        <v>92</v>
      </c>
      <c r="T521">
        <v>73</v>
      </c>
      <c r="U521">
        <v>21</v>
      </c>
      <c r="V521" t="s">
        <v>6711</v>
      </c>
      <c r="W521">
        <v>54261</v>
      </c>
      <c r="X521" t="s">
        <v>7248</v>
      </c>
      <c r="Y521">
        <v>42200</v>
      </c>
      <c r="Z521">
        <v>1139481</v>
      </c>
      <c r="AA521">
        <v>253281</v>
      </c>
      <c r="AB521" t="str">
        <f>(VLOOKUP(SalesData[[#This Row],[Month Number]],Reference!C$5:E$16,2,FALSE))</f>
        <v>Feb</v>
      </c>
      <c r="AC521">
        <f>MONTH(SalesData[[#This Row],[Date]])</f>
        <v>2</v>
      </c>
      <c r="AD521">
        <f>Reference!F$4</f>
        <v>2026</v>
      </c>
      <c r="AE521" t="str">
        <f>IF(OR(SalesData[[#This Row],[Day]]="Saturday",SalesData[[#This Row],[Day]]="Sunday"),"Weekend","Weekday")</f>
        <v>Weekday</v>
      </c>
      <c r="AF521" s="5">
        <f>IF(SalesData[[#This Row],[Contracts Offered]]=0,0,SalesData[[#This Row],[Contracts Signed]]/SalesData[[#This Row],[Contracts Offered]])</f>
        <v>0.28767123287671231</v>
      </c>
      <c r="AG521" s="5">
        <f>IF(SalesData[[#This Row],[Customers Visited]]=0,0,SalesData[[#This Row],[Test Drives]]/SalesData[[#This Row],[Customers Visited]])</f>
        <v>0.49197860962566847</v>
      </c>
      <c r="AH521" s="5">
        <f>IF(SalesData[[#This Row],[Customers Visited]]=0,0,SalesData[[#This Row],[Contracts Signed]]/SalesData[[#This Row],[Customers Visited]])</f>
        <v>0.11229946524064172</v>
      </c>
      <c r="AI521" s="6">
        <f>IF(SalesData[[#This Row],[Contracts Signed]]=0,0,SalesData[[#This Row],[Profit(€)]]/SalesData[[#This Row],[Contracts Signed]])</f>
        <v>12061</v>
      </c>
      <c r="AJ521" s="5" t="str">
        <f>TRIM(CLEAN(SalesData[[#This Row],[Retailer]]))</f>
        <v>Rhein Auto Group</v>
      </c>
    </row>
    <row r="522" spans="1:36" ht="14.25" hidden="1" x14ac:dyDescent="0.2">
      <c r="A522" t="s">
        <v>1024</v>
      </c>
      <c r="B522" s="1">
        <v>46072</v>
      </c>
      <c r="C522" t="s">
        <v>62</v>
      </c>
      <c r="D522" t="s">
        <v>100</v>
      </c>
      <c r="E522" t="s">
        <v>26</v>
      </c>
      <c r="F522" t="s">
        <v>83</v>
      </c>
      <c r="G522" t="s">
        <v>84</v>
      </c>
      <c r="H522" t="s">
        <v>85</v>
      </c>
      <c r="I522" t="s">
        <v>116</v>
      </c>
      <c r="J522" t="s">
        <v>117</v>
      </c>
      <c r="K522" t="s">
        <v>91</v>
      </c>
      <c r="L522" t="s">
        <v>67</v>
      </c>
      <c r="M522" t="s">
        <v>34</v>
      </c>
      <c r="N522" t="s">
        <v>48</v>
      </c>
      <c r="O522" t="s">
        <v>70</v>
      </c>
      <c r="P522" t="s">
        <v>58</v>
      </c>
      <c r="Q522" t="s">
        <v>167</v>
      </c>
      <c r="R522">
        <v>237</v>
      </c>
      <c r="S522">
        <v>123</v>
      </c>
      <c r="T522">
        <v>72</v>
      </c>
      <c r="U522">
        <v>20</v>
      </c>
      <c r="V522" t="s">
        <v>664</v>
      </c>
      <c r="W522">
        <v>20909</v>
      </c>
      <c r="X522" t="s">
        <v>1794</v>
      </c>
      <c r="Y522">
        <v>19078</v>
      </c>
      <c r="Z522">
        <v>418180</v>
      </c>
      <c r="AA522">
        <v>36620</v>
      </c>
      <c r="AB522" t="str">
        <f>(VLOOKUP(SalesData[[#This Row],[Month Number]],Reference!C$5:E$16,2,FALSE))</f>
        <v>Feb</v>
      </c>
      <c r="AC522">
        <f>MONTH(SalesData[[#This Row],[Date]])</f>
        <v>2</v>
      </c>
      <c r="AD522">
        <f>Reference!F$4</f>
        <v>2026</v>
      </c>
      <c r="AE522" t="str">
        <f>IF(OR(SalesData[[#This Row],[Day]]="Saturday",SalesData[[#This Row],[Day]]="Sunday"),"Weekend","Weekday")</f>
        <v>Weekday</v>
      </c>
      <c r="AF522" s="5">
        <f>IF(SalesData[[#This Row],[Contracts Offered]]=0,0,SalesData[[#This Row],[Contracts Signed]]/SalesData[[#This Row],[Contracts Offered]])</f>
        <v>0.27777777777777779</v>
      </c>
      <c r="AG522" s="5">
        <f>IF(SalesData[[#This Row],[Customers Visited]]=0,0,SalesData[[#This Row],[Test Drives]]/SalesData[[#This Row],[Customers Visited]])</f>
        <v>0.51898734177215189</v>
      </c>
      <c r="AH522" s="5">
        <f>IF(SalesData[[#This Row],[Customers Visited]]=0,0,SalesData[[#This Row],[Contracts Signed]]/SalesData[[#This Row],[Customers Visited]])</f>
        <v>8.4388185654008435E-2</v>
      </c>
      <c r="AI522" s="6">
        <f>IF(SalesData[[#This Row],[Contracts Signed]]=0,0,SalesData[[#This Row],[Profit(€)]]/SalesData[[#This Row],[Contracts Signed]])</f>
        <v>1831</v>
      </c>
      <c r="AJ522" s="5" t="str">
        <f>TRIM(CLEAN(SalesData[[#This Row],[Retailer]]))</f>
        <v>Hannover Cars</v>
      </c>
    </row>
    <row r="523" spans="1:36" ht="14.25" x14ac:dyDescent="0.2">
      <c r="A523" t="s">
        <v>1025</v>
      </c>
      <c r="B523" s="1">
        <v>46074</v>
      </c>
      <c r="C523" t="s">
        <v>62</v>
      </c>
      <c r="D523" t="s">
        <v>151</v>
      </c>
      <c r="E523" t="s">
        <v>42</v>
      </c>
      <c r="F523" t="s">
        <v>109</v>
      </c>
      <c r="G523" t="s">
        <v>110</v>
      </c>
      <c r="H523" t="s">
        <v>45</v>
      </c>
      <c r="I523" t="s">
        <v>30</v>
      </c>
      <c r="J523" t="s">
        <v>31</v>
      </c>
      <c r="K523" t="s">
        <v>91</v>
      </c>
      <c r="L523" t="s">
        <v>46</v>
      </c>
      <c r="M523" t="s">
        <v>34</v>
      </c>
      <c r="N523" t="s">
        <v>69</v>
      </c>
      <c r="O523" t="s">
        <v>70</v>
      </c>
      <c r="P523" t="s">
        <v>58</v>
      </c>
      <c r="Q523" t="s">
        <v>59</v>
      </c>
      <c r="R523">
        <v>228</v>
      </c>
      <c r="S523">
        <v>136</v>
      </c>
      <c r="T523">
        <v>110</v>
      </c>
      <c r="U523">
        <v>38</v>
      </c>
      <c r="V523" t="s">
        <v>6589</v>
      </c>
      <c r="W523">
        <v>67035</v>
      </c>
      <c r="X523" t="s">
        <v>5488</v>
      </c>
      <c r="Y523">
        <v>48840</v>
      </c>
      <c r="Z523">
        <v>2547330</v>
      </c>
      <c r="AA523">
        <v>691410</v>
      </c>
      <c r="AB523" t="str">
        <f>(VLOOKUP(SalesData[[#This Row],[Month Number]],Reference!C$5:E$16,2,FALSE))</f>
        <v>Feb</v>
      </c>
      <c r="AC523">
        <f>MONTH(SalesData[[#This Row],[Date]])</f>
        <v>2</v>
      </c>
      <c r="AD523">
        <f>Reference!F$4</f>
        <v>2026</v>
      </c>
      <c r="AE523" t="str">
        <f>IF(OR(SalesData[[#This Row],[Day]]="Saturday",SalesData[[#This Row],[Day]]="Sunday"),"Weekend","Weekday")</f>
        <v>Weekend</v>
      </c>
      <c r="AF523" s="5">
        <f>IF(SalesData[[#This Row],[Contracts Offered]]=0,0,SalesData[[#This Row],[Contracts Signed]]/SalesData[[#This Row],[Contracts Offered]])</f>
        <v>0.34545454545454546</v>
      </c>
      <c r="AG523" s="5">
        <f>IF(SalesData[[#This Row],[Customers Visited]]=0,0,SalesData[[#This Row],[Test Drives]]/SalesData[[#This Row],[Customers Visited]])</f>
        <v>0.59649122807017541</v>
      </c>
      <c r="AH523" s="5">
        <f>IF(SalesData[[#This Row],[Customers Visited]]=0,0,SalesData[[#This Row],[Contracts Signed]]/SalesData[[#This Row],[Customers Visited]])</f>
        <v>0.16666666666666666</v>
      </c>
      <c r="AI523" s="6">
        <f>IF(SalesData[[#This Row],[Contracts Signed]]=0,0,SalesData[[#This Row],[Profit(€)]]/SalesData[[#This Row],[Contracts Signed]])</f>
        <v>18195</v>
      </c>
      <c r="AJ523" s="5" t="str">
        <f>TRIM(CLEAN(SalesData[[#This Row],[Retailer]]))</f>
        <v>Leipzig Mobility</v>
      </c>
    </row>
    <row r="524" spans="1:36" ht="14.25" x14ac:dyDescent="0.2">
      <c r="A524" t="s">
        <v>1027</v>
      </c>
      <c r="B524" s="1">
        <v>46062</v>
      </c>
      <c r="C524" t="s">
        <v>121</v>
      </c>
      <c r="D524" t="s">
        <v>25</v>
      </c>
      <c r="E524" t="s">
        <v>26</v>
      </c>
      <c r="F524" t="s">
        <v>114</v>
      </c>
      <c r="G524" t="s">
        <v>115</v>
      </c>
      <c r="H524" t="s">
        <v>115</v>
      </c>
      <c r="I524" t="s">
        <v>30</v>
      </c>
      <c r="J524" t="s">
        <v>188</v>
      </c>
      <c r="K524" t="s">
        <v>32</v>
      </c>
      <c r="L524" t="s">
        <v>33</v>
      </c>
      <c r="M524" t="s">
        <v>87</v>
      </c>
      <c r="N524" t="s">
        <v>48</v>
      </c>
      <c r="O524" t="s">
        <v>36</v>
      </c>
      <c r="P524" t="s">
        <v>37</v>
      </c>
      <c r="Q524" t="s">
        <v>144</v>
      </c>
      <c r="R524">
        <v>259</v>
      </c>
      <c r="S524">
        <v>129</v>
      </c>
      <c r="T524">
        <v>105</v>
      </c>
      <c r="U524">
        <v>34</v>
      </c>
      <c r="V524" t="s">
        <v>6522</v>
      </c>
      <c r="W524">
        <v>55888</v>
      </c>
      <c r="X524" t="s">
        <v>7246</v>
      </c>
      <c r="Y524">
        <v>40240</v>
      </c>
      <c r="Z524">
        <v>1900192</v>
      </c>
      <c r="AA524">
        <v>532032</v>
      </c>
      <c r="AB524" t="str">
        <f>(VLOOKUP(SalesData[[#This Row],[Month Number]],Reference!C$5:E$16,2,FALSE))</f>
        <v>Feb</v>
      </c>
      <c r="AC524">
        <f>MONTH(SalesData[[#This Row],[Date]])</f>
        <v>2</v>
      </c>
      <c r="AD524">
        <f>Reference!F$4</f>
        <v>2026</v>
      </c>
      <c r="AE524" t="str">
        <f>IF(OR(SalesData[[#This Row],[Day]]="Saturday",SalesData[[#This Row],[Day]]="Sunday"),"Weekend","Weekday")</f>
        <v>Weekday</v>
      </c>
      <c r="AF524" s="5">
        <f>IF(SalesData[[#This Row],[Contracts Offered]]=0,0,SalesData[[#This Row],[Contracts Signed]]/SalesData[[#This Row],[Contracts Offered]])</f>
        <v>0.32380952380952382</v>
      </c>
      <c r="AG524" s="5">
        <f>IF(SalesData[[#This Row],[Customers Visited]]=0,0,SalesData[[#This Row],[Test Drives]]/SalesData[[#This Row],[Customers Visited]])</f>
        <v>0.49806949806949807</v>
      </c>
      <c r="AH524" s="5">
        <f>IF(SalesData[[#This Row],[Customers Visited]]=0,0,SalesData[[#This Row],[Contracts Signed]]/SalesData[[#This Row],[Customers Visited]])</f>
        <v>0.13127413127413126</v>
      </c>
      <c r="AI524" s="6">
        <f>IF(SalesData[[#This Row],[Contracts Signed]]=0,0,SalesData[[#This Row],[Profit(€)]]/SalesData[[#This Row],[Contracts Signed]])</f>
        <v>15648</v>
      </c>
      <c r="AJ524" s="5" t="str">
        <f>TRIM(CLEAN(SalesData[[#This Row],[Retailer]]))</f>
        <v>Elbe Drive</v>
      </c>
    </row>
    <row r="525" spans="1:36" ht="14.25" x14ac:dyDescent="0.2">
      <c r="A525" t="s">
        <v>1029</v>
      </c>
      <c r="B525" s="1">
        <v>46075</v>
      </c>
      <c r="C525" t="s">
        <v>53</v>
      </c>
      <c r="D525" t="s">
        <v>41</v>
      </c>
      <c r="E525" t="s">
        <v>42</v>
      </c>
      <c r="F525" t="s">
        <v>94</v>
      </c>
      <c r="G525" t="s">
        <v>95</v>
      </c>
      <c r="H525" t="s">
        <v>96</v>
      </c>
      <c r="I525" t="s">
        <v>30</v>
      </c>
      <c r="J525" t="s">
        <v>86</v>
      </c>
      <c r="K525" t="s">
        <v>91</v>
      </c>
      <c r="L525" t="s">
        <v>33</v>
      </c>
      <c r="M525" t="s">
        <v>87</v>
      </c>
      <c r="N525" t="s">
        <v>35</v>
      </c>
      <c r="O525" t="s">
        <v>70</v>
      </c>
      <c r="P525" t="s">
        <v>49</v>
      </c>
      <c r="Q525" t="s">
        <v>50</v>
      </c>
      <c r="R525">
        <v>237</v>
      </c>
      <c r="S525">
        <v>119</v>
      </c>
      <c r="T525">
        <v>83</v>
      </c>
      <c r="U525">
        <v>33</v>
      </c>
      <c r="V525" t="s">
        <v>6373</v>
      </c>
      <c r="W525">
        <v>57241</v>
      </c>
      <c r="X525" t="s">
        <v>443</v>
      </c>
      <c r="Y525">
        <v>40209</v>
      </c>
      <c r="Z525">
        <v>1888953</v>
      </c>
      <c r="AA525">
        <v>562056</v>
      </c>
      <c r="AB525" t="str">
        <f>(VLOOKUP(SalesData[[#This Row],[Month Number]],Reference!C$5:E$16,2,FALSE))</f>
        <v>Feb</v>
      </c>
      <c r="AC525">
        <f>MONTH(SalesData[[#This Row],[Date]])</f>
        <v>2</v>
      </c>
      <c r="AD525">
        <f>Reference!F$4</f>
        <v>2026</v>
      </c>
      <c r="AE525" t="str">
        <f>IF(OR(SalesData[[#This Row],[Day]]="Saturday",SalesData[[#This Row],[Day]]="Sunday"),"Weekend","Weekday")</f>
        <v>Weekend</v>
      </c>
      <c r="AF525" s="5">
        <f>IF(SalesData[[#This Row],[Contracts Offered]]=0,0,SalesData[[#This Row],[Contracts Signed]]/SalesData[[#This Row],[Contracts Offered]])</f>
        <v>0.39759036144578314</v>
      </c>
      <c r="AG525" s="5">
        <f>IF(SalesData[[#This Row],[Customers Visited]]=0,0,SalesData[[#This Row],[Test Drives]]/SalesData[[#This Row],[Customers Visited]])</f>
        <v>0.50210970464135019</v>
      </c>
      <c r="AH525" s="5">
        <f>IF(SalesData[[#This Row],[Customers Visited]]=0,0,SalesData[[#This Row],[Contracts Signed]]/SalesData[[#This Row],[Customers Visited]])</f>
        <v>0.13924050632911392</v>
      </c>
      <c r="AI525" s="6">
        <f>IF(SalesData[[#This Row],[Contracts Signed]]=0,0,SalesData[[#This Row],[Profit(€)]]/SalesData[[#This Row],[Contracts Signed]])</f>
        <v>17032</v>
      </c>
      <c r="AJ525" s="5" t="str">
        <f>TRIM(CLEAN(SalesData[[#This Row],[Retailer]]))</f>
        <v>Bavaria Motors</v>
      </c>
    </row>
    <row r="526" spans="1:36" ht="14.25" hidden="1" x14ac:dyDescent="0.2">
      <c r="A526" t="s">
        <v>1031</v>
      </c>
      <c r="B526" s="1">
        <v>46067</v>
      </c>
      <c r="C526" t="s">
        <v>121</v>
      </c>
      <c r="D526" t="s">
        <v>151</v>
      </c>
      <c r="E526" t="s">
        <v>42</v>
      </c>
      <c r="F526" t="s">
        <v>74</v>
      </c>
      <c r="G526" t="s">
        <v>75</v>
      </c>
      <c r="H526" t="s">
        <v>76</v>
      </c>
      <c r="I526" t="s">
        <v>104</v>
      </c>
      <c r="J526" t="s">
        <v>143</v>
      </c>
      <c r="K526" t="s">
        <v>91</v>
      </c>
      <c r="L526" t="s">
        <v>67</v>
      </c>
      <c r="M526" t="s">
        <v>68</v>
      </c>
      <c r="N526" t="s">
        <v>69</v>
      </c>
      <c r="O526" t="s">
        <v>70</v>
      </c>
      <c r="P526" t="s">
        <v>37</v>
      </c>
      <c r="Q526" t="s">
        <v>144</v>
      </c>
      <c r="R526">
        <v>350</v>
      </c>
      <c r="S526">
        <v>170</v>
      </c>
      <c r="T526">
        <v>99</v>
      </c>
      <c r="U526">
        <v>22</v>
      </c>
      <c r="V526" t="s">
        <v>3455</v>
      </c>
      <c r="W526">
        <v>27708</v>
      </c>
      <c r="X526" t="s">
        <v>7156</v>
      </c>
      <c r="Y526">
        <v>24336</v>
      </c>
      <c r="Z526">
        <v>609576</v>
      </c>
      <c r="AA526">
        <v>74184</v>
      </c>
      <c r="AB526" t="str">
        <f>(VLOOKUP(SalesData[[#This Row],[Month Number]],Reference!C$5:E$16,2,FALSE))</f>
        <v>Feb</v>
      </c>
      <c r="AC526">
        <f>MONTH(SalesData[[#This Row],[Date]])</f>
        <v>2</v>
      </c>
      <c r="AD526">
        <f>Reference!F$4</f>
        <v>2026</v>
      </c>
      <c r="AE526" t="str">
        <f>IF(OR(SalesData[[#This Row],[Day]]="Saturday",SalesData[[#This Row],[Day]]="Sunday"),"Weekend","Weekday")</f>
        <v>Weekend</v>
      </c>
      <c r="AF526" s="5">
        <f>IF(SalesData[[#This Row],[Contracts Offered]]=0,0,SalesData[[#This Row],[Contracts Signed]]/SalesData[[#This Row],[Contracts Offered]])</f>
        <v>0.22222222222222221</v>
      </c>
      <c r="AG526" s="5">
        <f>IF(SalesData[[#This Row],[Customers Visited]]=0,0,SalesData[[#This Row],[Test Drives]]/SalesData[[#This Row],[Customers Visited]])</f>
        <v>0.48571428571428571</v>
      </c>
      <c r="AH526" s="5">
        <f>IF(SalesData[[#This Row],[Customers Visited]]=0,0,SalesData[[#This Row],[Contracts Signed]]/SalesData[[#This Row],[Customers Visited]])</f>
        <v>6.2857142857142861E-2</v>
      </c>
      <c r="AI526" s="6">
        <f>IF(SalesData[[#This Row],[Contracts Signed]]=0,0,SalesData[[#This Row],[Profit(€)]]/SalesData[[#This Row],[Contracts Signed]])</f>
        <v>3372</v>
      </c>
      <c r="AJ526" s="5" t="str">
        <f>TRIM(CLEAN(SalesData[[#This Row],[Retailer]]))</f>
        <v>Stuttgart Auto Center</v>
      </c>
    </row>
    <row r="527" spans="1:36" ht="14.25" hidden="1" x14ac:dyDescent="0.2">
      <c r="A527" t="s">
        <v>1032</v>
      </c>
      <c r="B527" s="1">
        <v>46066</v>
      </c>
      <c r="C527" t="s">
        <v>121</v>
      </c>
      <c r="D527" t="s">
        <v>54</v>
      </c>
      <c r="E527" t="s">
        <v>26</v>
      </c>
      <c r="F527" t="s">
        <v>94</v>
      </c>
      <c r="G527" t="s">
        <v>95</v>
      </c>
      <c r="H527" t="s">
        <v>96</v>
      </c>
      <c r="I527" t="s">
        <v>56</v>
      </c>
      <c r="J527" t="s">
        <v>179</v>
      </c>
      <c r="K527" t="s">
        <v>32</v>
      </c>
      <c r="L527" t="s">
        <v>67</v>
      </c>
      <c r="M527" t="s">
        <v>68</v>
      </c>
      <c r="N527" t="s">
        <v>35</v>
      </c>
      <c r="O527" t="s">
        <v>36</v>
      </c>
      <c r="P527" t="s">
        <v>37</v>
      </c>
      <c r="Q527" t="s">
        <v>129</v>
      </c>
      <c r="R527">
        <v>170</v>
      </c>
      <c r="S527">
        <v>78</v>
      </c>
      <c r="T527">
        <v>57</v>
      </c>
      <c r="U527">
        <v>17</v>
      </c>
      <c r="V527" t="s">
        <v>6443</v>
      </c>
      <c r="W527">
        <v>54634</v>
      </c>
      <c r="X527" t="s">
        <v>2023</v>
      </c>
      <c r="Y527">
        <v>42569</v>
      </c>
      <c r="Z527">
        <v>928778</v>
      </c>
      <c r="AA527">
        <v>205105</v>
      </c>
      <c r="AB527" t="str">
        <f>(VLOOKUP(SalesData[[#This Row],[Month Number]],Reference!C$5:E$16,2,FALSE))</f>
        <v>Feb</v>
      </c>
      <c r="AC527">
        <f>MONTH(SalesData[[#This Row],[Date]])</f>
        <v>2</v>
      </c>
      <c r="AD527">
        <f>Reference!F$4</f>
        <v>2026</v>
      </c>
      <c r="AE527" t="str">
        <f>IF(OR(SalesData[[#This Row],[Day]]="Saturday",SalesData[[#This Row],[Day]]="Sunday"),"Weekend","Weekday")</f>
        <v>Weekday</v>
      </c>
      <c r="AF527" s="5">
        <f>IF(SalesData[[#This Row],[Contracts Offered]]=0,0,SalesData[[#This Row],[Contracts Signed]]/SalesData[[#This Row],[Contracts Offered]])</f>
        <v>0.2982456140350877</v>
      </c>
      <c r="AG527" s="5">
        <f>IF(SalesData[[#This Row],[Customers Visited]]=0,0,SalesData[[#This Row],[Test Drives]]/SalesData[[#This Row],[Customers Visited]])</f>
        <v>0.45882352941176469</v>
      </c>
      <c r="AH527" s="5">
        <f>IF(SalesData[[#This Row],[Customers Visited]]=0,0,SalesData[[#This Row],[Contracts Signed]]/SalesData[[#This Row],[Customers Visited]])</f>
        <v>0.1</v>
      </c>
      <c r="AI527" s="6">
        <f>IF(SalesData[[#This Row],[Contracts Signed]]=0,0,SalesData[[#This Row],[Profit(€)]]/SalesData[[#This Row],[Contracts Signed]])</f>
        <v>12065</v>
      </c>
      <c r="AJ527" s="5" t="str">
        <f>TRIM(CLEAN(SalesData[[#This Row],[Retailer]]))</f>
        <v>Bavaria Motors</v>
      </c>
    </row>
    <row r="528" spans="1:36" ht="14.25" hidden="1" x14ac:dyDescent="0.2">
      <c r="A528" t="s">
        <v>1033</v>
      </c>
      <c r="B528" s="1">
        <v>46072</v>
      </c>
      <c r="C528" t="s">
        <v>62</v>
      </c>
      <c r="D528" t="s">
        <v>100</v>
      </c>
      <c r="E528" t="s">
        <v>26</v>
      </c>
      <c r="F528" t="s">
        <v>27</v>
      </c>
      <c r="G528" t="s">
        <v>28</v>
      </c>
      <c r="H528" t="s">
        <v>29</v>
      </c>
      <c r="I528" t="s">
        <v>116</v>
      </c>
      <c r="J528" t="s">
        <v>203</v>
      </c>
      <c r="K528" t="s">
        <v>32</v>
      </c>
      <c r="L528" t="s">
        <v>67</v>
      </c>
      <c r="M528" t="s">
        <v>68</v>
      </c>
      <c r="N528" t="s">
        <v>48</v>
      </c>
      <c r="O528" t="s">
        <v>36</v>
      </c>
      <c r="P528" t="s">
        <v>49</v>
      </c>
      <c r="Q528" t="s">
        <v>122</v>
      </c>
      <c r="R528">
        <v>426</v>
      </c>
      <c r="S528">
        <v>189</v>
      </c>
      <c r="T528">
        <v>108</v>
      </c>
      <c r="U528">
        <v>27</v>
      </c>
      <c r="V528" t="s">
        <v>527</v>
      </c>
      <c r="W528">
        <v>22304</v>
      </c>
      <c r="X528" t="s">
        <v>4097</v>
      </c>
      <c r="Y528">
        <v>20735</v>
      </c>
      <c r="Z528">
        <v>602208</v>
      </c>
      <c r="AA528">
        <v>42363</v>
      </c>
      <c r="AB528" t="str">
        <f>(VLOOKUP(SalesData[[#This Row],[Month Number]],Reference!C$5:E$16,2,FALSE))</f>
        <v>Feb</v>
      </c>
      <c r="AC528">
        <f>MONTH(SalesData[[#This Row],[Date]])</f>
        <v>2</v>
      </c>
      <c r="AD528">
        <f>Reference!F$4</f>
        <v>2026</v>
      </c>
      <c r="AE528" t="str">
        <f>IF(OR(SalesData[[#This Row],[Day]]="Saturday",SalesData[[#This Row],[Day]]="Sunday"),"Weekend","Weekday")</f>
        <v>Weekday</v>
      </c>
      <c r="AF528" s="5">
        <f>IF(SalesData[[#This Row],[Contracts Offered]]=0,0,SalesData[[#This Row],[Contracts Signed]]/SalesData[[#This Row],[Contracts Offered]])</f>
        <v>0.25</v>
      </c>
      <c r="AG528" s="5">
        <f>IF(SalesData[[#This Row],[Customers Visited]]=0,0,SalesData[[#This Row],[Test Drives]]/SalesData[[#This Row],[Customers Visited]])</f>
        <v>0.44366197183098594</v>
      </c>
      <c r="AH528" s="5">
        <f>IF(SalesData[[#This Row],[Customers Visited]]=0,0,SalesData[[#This Row],[Contracts Signed]]/SalesData[[#This Row],[Customers Visited]])</f>
        <v>6.3380281690140844E-2</v>
      </c>
      <c r="AI528" s="6">
        <f>IF(SalesData[[#This Row],[Contracts Signed]]=0,0,SalesData[[#This Row],[Profit(€)]]/SalesData[[#This Row],[Contracts Signed]])</f>
        <v>1569</v>
      </c>
      <c r="AJ528" s="5" t="str">
        <f>TRIM(CLEAN(SalesData[[#This Row],[Retailer]]))</f>
        <v>Main Auto Hub</v>
      </c>
    </row>
    <row r="529" spans="1:36" ht="14.25" hidden="1" x14ac:dyDescent="0.2">
      <c r="A529" t="s">
        <v>1035</v>
      </c>
      <c r="B529" s="1">
        <v>46070</v>
      </c>
      <c r="C529" t="s">
        <v>62</v>
      </c>
      <c r="D529" t="s">
        <v>63</v>
      </c>
      <c r="E529" t="s">
        <v>26</v>
      </c>
      <c r="F529" t="s">
        <v>109</v>
      </c>
      <c r="G529" t="s">
        <v>110</v>
      </c>
      <c r="H529" t="s">
        <v>45</v>
      </c>
      <c r="I529" t="s">
        <v>56</v>
      </c>
      <c r="J529" t="s">
        <v>57</v>
      </c>
      <c r="K529" t="s">
        <v>78</v>
      </c>
      <c r="L529" t="s">
        <v>46</v>
      </c>
      <c r="M529" t="s">
        <v>87</v>
      </c>
      <c r="N529" t="s">
        <v>69</v>
      </c>
      <c r="O529" t="s">
        <v>70</v>
      </c>
      <c r="P529" t="s">
        <v>71</v>
      </c>
      <c r="Q529" t="s">
        <v>169</v>
      </c>
      <c r="R529">
        <v>311</v>
      </c>
      <c r="S529">
        <v>164</v>
      </c>
      <c r="T529">
        <v>107</v>
      </c>
      <c r="U529">
        <v>40</v>
      </c>
      <c r="V529" t="s">
        <v>6903</v>
      </c>
      <c r="W529">
        <v>52054</v>
      </c>
      <c r="X529" t="s">
        <v>7126</v>
      </c>
      <c r="Y529">
        <v>40393</v>
      </c>
      <c r="Z529">
        <v>2082160</v>
      </c>
      <c r="AA529">
        <v>466440</v>
      </c>
      <c r="AB529" t="str">
        <f>(VLOOKUP(SalesData[[#This Row],[Month Number]],Reference!C$5:E$16,2,FALSE))</f>
        <v>Feb</v>
      </c>
      <c r="AC529">
        <f>MONTH(SalesData[[#This Row],[Date]])</f>
        <v>2</v>
      </c>
      <c r="AD529">
        <f>Reference!F$4</f>
        <v>2026</v>
      </c>
      <c r="AE529" t="str">
        <f>IF(OR(SalesData[[#This Row],[Day]]="Saturday",SalesData[[#This Row],[Day]]="Sunday"),"Weekend","Weekday")</f>
        <v>Weekday</v>
      </c>
      <c r="AF529" s="5">
        <f>IF(SalesData[[#This Row],[Contracts Offered]]=0,0,SalesData[[#This Row],[Contracts Signed]]/SalesData[[#This Row],[Contracts Offered]])</f>
        <v>0.37383177570093457</v>
      </c>
      <c r="AG529" s="5">
        <f>IF(SalesData[[#This Row],[Customers Visited]]=0,0,SalesData[[#This Row],[Test Drives]]/SalesData[[#This Row],[Customers Visited]])</f>
        <v>0.52733118971061088</v>
      </c>
      <c r="AH529" s="5">
        <f>IF(SalesData[[#This Row],[Customers Visited]]=0,0,SalesData[[#This Row],[Contracts Signed]]/SalesData[[#This Row],[Customers Visited]])</f>
        <v>0.12861736334405144</v>
      </c>
      <c r="AI529" s="6">
        <f>IF(SalesData[[#This Row],[Contracts Signed]]=0,0,SalesData[[#This Row],[Profit(€)]]/SalesData[[#This Row],[Contracts Signed]])</f>
        <v>11661</v>
      </c>
      <c r="AJ529" s="5" t="str">
        <f>TRIM(CLEAN(SalesData[[#This Row],[Retailer]]))</f>
        <v>Leipzig Mobility</v>
      </c>
    </row>
    <row r="530" spans="1:36" ht="14.25" hidden="1" x14ac:dyDescent="0.2">
      <c r="A530" t="s">
        <v>1036</v>
      </c>
      <c r="B530" s="1">
        <v>46055</v>
      </c>
      <c r="C530" t="s">
        <v>24</v>
      </c>
      <c r="D530" t="s">
        <v>25</v>
      </c>
      <c r="E530" t="s">
        <v>26</v>
      </c>
      <c r="F530" t="s">
        <v>114</v>
      </c>
      <c r="G530" t="s">
        <v>115</v>
      </c>
      <c r="H530" t="s">
        <v>115</v>
      </c>
      <c r="I530" t="s">
        <v>116</v>
      </c>
      <c r="J530" t="s">
        <v>117</v>
      </c>
      <c r="K530" t="s">
        <v>78</v>
      </c>
      <c r="L530" t="s">
        <v>67</v>
      </c>
      <c r="M530" t="s">
        <v>68</v>
      </c>
      <c r="N530" t="s">
        <v>48</v>
      </c>
      <c r="O530" t="s">
        <v>36</v>
      </c>
      <c r="P530" t="s">
        <v>49</v>
      </c>
      <c r="Q530" t="s">
        <v>129</v>
      </c>
      <c r="R530">
        <v>264</v>
      </c>
      <c r="S530">
        <v>134</v>
      </c>
      <c r="T530">
        <v>89</v>
      </c>
      <c r="U530">
        <v>21</v>
      </c>
      <c r="V530" t="s">
        <v>425</v>
      </c>
      <c r="W530">
        <v>26285</v>
      </c>
      <c r="X530" t="s">
        <v>483</v>
      </c>
      <c r="Y530">
        <v>23491</v>
      </c>
      <c r="Z530">
        <v>551985</v>
      </c>
      <c r="AA530">
        <v>58674</v>
      </c>
      <c r="AB530" t="str">
        <f>(VLOOKUP(SalesData[[#This Row],[Month Number]],Reference!C$5:E$16,2,FALSE))</f>
        <v>Feb</v>
      </c>
      <c r="AC530">
        <f>MONTH(SalesData[[#This Row],[Date]])</f>
        <v>2</v>
      </c>
      <c r="AD530">
        <f>Reference!F$4</f>
        <v>2026</v>
      </c>
      <c r="AE530" t="str">
        <f>IF(OR(SalesData[[#This Row],[Day]]="Saturday",SalesData[[#This Row],[Day]]="Sunday"),"Weekend","Weekday")</f>
        <v>Weekday</v>
      </c>
      <c r="AF530" s="5">
        <f>IF(SalesData[[#This Row],[Contracts Offered]]=0,0,SalesData[[#This Row],[Contracts Signed]]/SalesData[[#This Row],[Contracts Offered]])</f>
        <v>0.23595505617977527</v>
      </c>
      <c r="AG530" s="5">
        <f>IF(SalesData[[#This Row],[Customers Visited]]=0,0,SalesData[[#This Row],[Test Drives]]/SalesData[[#This Row],[Customers Visited]])</f>
        <v>0.50757575757575757</v>
      </c>
      <c r="AH530" s="5">
        <f>IF(SalesData[[#This Row],[Customers Visited]]=0,0,SalesData[[#This Row],[Contracts Signed]]/SalesData[[#This Row],[Customers Visited]])</f>
        <v>7.9545454545454544E-2</v>
      </c>
      <c r="AI530" s="6">
        <f>IF(SalesData[[#This Row],[Contracts Signed]]=0,0,SalesData[[#This Row],[Profit(€)]]/SalesData[[#This Row],[Contracts Signed]])</f>
        <v>2794</v>
      </c>
      <c r="AJ530" s="5" t="str">
        <f>TRIM(CLEAN(SalesData[[#This Row],[Retailer]]))</f>
        <v>Elbe Drive</v>
      </c>
    </row>
    <row r="531" spans="1:36" ht="14.25" hidden="1" x14ac:dyDescent="0.2">
      <c r="A531" t="s">
        <v>1037</v>
      </c>
      <c r="B531" s="1">
        <v>46064</v>
      </c>
      <c r="C531" t="s">
        <v>121</v>
      </c>
      <c r="D531" t="s">
        <v>82</v>
      </c>
      <c r="E531" t="s">
        <v>26</v>
      </c>
      <c r="F531" t="s">
        <v>94</v>
      </c>
      <c r="G531" t="s">
        <v>95</v>
      </c>
      <c r="H531" t="s">
        <v>96</v>
      </c>
      <c r="I531" t="s">
        <v>116</v>
      </c>
      <c r="J531" t="s">
        <v>132</v>
      </c>
      <c r="K531" t="s">
        <v>66</v>
      </c>
      <c r="L531" t="s">
        <v>46</v>
      </c>
      <c r="M531" t="s">
        <v>87</v>
      </c>
      <c r="N531" t="s">
        <v>69</v>
      </c>
      <c r="O531" t="s">
        <v>70</v>
      </c>
      <c r="P531" t="s">
        <v>58</v>
      </c>
      <c r="Q531" t="s">
        <v>135</v>
      </c>
      <c r="R531">
        <v>373</v>
      </c>
      <c r="S531">
        <v>152</v>
      </c>
      <c r="T531">
        <v>89</v>
      </c>
      <c r="U531">
        <v>31</v>
      </c>
      <c r="V531" t="s">
        <v>6810</v>
      </c>
      <c r="W531">
        <v>22390</v>
      </c>
      <c r="X531" t="s">
        <v>1566</v>
      </c>
      <c r="Y531">
        <v>20613</v>
      </c>
      <c r="Z531">
        <v>694090</v>
      </c>
      <c r="AA531">
        <v>55087</v>
      </c>
      <c r="AB531" t="str">
        <f>(VLOOKUP(SalesData[[#This Row],[Month Number]],Reference!C$5:E$16,2,FALSE))</f>
        <v>Feb</v>
      </c>
      <c r="AC531">
        <f>MONTH(SalesData[[#This Row],[Date]])</f>
        <v>2</v>
      </c>
      <c r="AD531">
        <f>Reference!F$4</f>
        <v>2026</v>
      </c>
      <c r="AE531" t="str">
        <f>IF(OR(SalesData[[#This Row],[Day]]="Saturday",SalesData[[#This Row],[Day]]="Sunday"),"Weekend","Weekday")</f>
        <v>Weekday</v>
      </c>
      <c r="AF531" s="5">
        <f>IF(SalesData[[#This Row],[Contracts Offered]]=0,0,SalesData[[#This Row],[Contracts Signed]]/SalesData[[#This Row],[Contracts Offered]])</f>
        <v>0.34831460674157305</v>
      </c>
      <c r="AG531" s="5">
        <f>IF(SalesData[[#This Row],[Customers Visited]]=0,0,SalesData[[#This Row],[Test Drives]]/SalesData[[#This Row],[Customers Visited]])</f>
        <v>0.40750670241286863</v>
      </c>
      <c r="AH531" s="5">
        <f>IF(SalesData[[#This Row],[Customers Visited]]=0,0,SalesData[[#This Row],[Contracts Signed]]/SalesData[[#This Row],[Customers Visited]])</f>
        <v>8.3109919571045576E-2</v>
      </c>
      <c r="AI531" s="6">
        <f>IF(SalesData[[#This Row],[Contracts Signed]]=0,0,SalesData[[#This Row],[Profit(€)]]/SalesData[[#This Row],[Contracts Signed]])</f>
        <v>1777</v>
      </c>
      <c r="AJ531" s="5" t="str">
        <f>TRIM(CLEAN(SalesData[[#This Row],[Retailer]]))</f>
        <v>Bavaria Motors</v>
      </c>
    </row>
    <row r="532" spans="1:36" ht="14.25" hidden="1" x14ac:dyDescent="0.2">
      <c r="A532" t="s">
        <v>1039</v>
      </c>
      <c r="B532" s="1">
        <v>46069</v>
      </c>
      <c r="C532" t="s">
        <v>62</v>
      </c>
      <c r="D532" t="s">
        <v>25</v>
      </c>
      <c r="E532" t="s">
        <v>26</v>
      </c>
      <c r="F532" t="s">
        <v>83</v>
      </c>
      <c r="G532" t="s">
        <v>84</v>
      </c>
      <c r="H532" t="s">
        <v>85</v>
      </c>
      <c r="I532" t="s">
        <v>104</v>
      </c>
      <c r="J532" t="s">
        <v>105</v>
      </c>
      <c r="K532" t="s">
        <v>32</v>
      </c>
      <c r="L532" t="s">
        <v>33</v>
      </c>
      <c r="M532" t="s">
        <v>34</v>
      </c>
      <c r="N532" t="s">
        <v>48</v>
      </c>
      <c r="O532" t="s">
        <v>36</v>
      </c>
      <c r="P532" t="s">
        <v>71</v>
      </c>
      <c r="Q532" t="s">
        <v>38</v>
      </c>
      <c r="R532">
        <v>372</v>
      </c>
      <c r="S532">
        <v>166</v>
      </c>
      <c r="T532">
        <v>97</v>
      </c>
      <c r="U532">
        <v>26</v>
      </c>
      <c r="V532" t="s">
        <v>1197</v>
      </c>
      <c r="W532">
        <v>34297</v>
      </c>
      <c r="X532" t="s">
        <v>7249</v>
      </c>
      <c r="Y532">
        <v>30421</v>
      </c>
      <c r="Z532">
        <v>891722</v>
      </c>
      <c r="AA532">
        <v>100776</v>
      </c>
      <c r="AB532" t="str">
        <f>(VLOOKUP(SalesData[[#This Row],[Month Number]],Reference!C$5:E$16,2,FALSE))</f>
        <v>Feb</v>
      </c>
      <c r="AC532">
        <f>MONTH(SalesData[[#This Row],[Date]])</f>
        <v>2</v>
      </c>
      <c r="AD532">
        <f>Reference!F$4</f>
        <v>2026</v>
      </c>
      <c r="AE532" t="str">
        <f>IF(OR(SalesData[[#This Row],[Day]]="Saturday",SalesData[[#This Row],[Day]]="Sunday"),"Weekend","Weekday")</f>
        <v>Weekday</v>
      </c>
      <c r="AF532" s="5">
        <f>IF(SalesData[[#This Row],[Contracts Offered]]=0,0,SalesData[[#This Row],[Contracts Signed]]/SalesData[[#This Row],[Contracts Offered]])</f>
        <v>0.26804123711340205</v>
      </c>
      <c r="AG532" s="5">
        <f>IF(SalesData[[#This Row],[Customers Visited]]=0,0,SalesData[[#This Row],[Test Drives]]/SalesData[[#This Row],[Customers Visited]])</f>
        <v>0.44623655913978494</v>
      </c>
      <c r="AH532" s="5">
        <f>IF(SalesData[[#This Row],[Customers Visited]]=0,0,SalesData[[#This Row],[Contracts Signed]]/SalesData[[#This Row],[Customers Visited]])</f>
        <v>6.9892473118279563E-2</v>
      </c>
      <c r="AI532" s="6">
        <f>IF(SalesData[[#This Row],[Contracts Signed]]=0,0,SalesData[[#This Row],[Profit(€)]]/SalesData[[#This Row],[Contracts Signed]])</f>
        <v>3876</v>
      </c>
      <c r="AJ532" s="5" t="str">
        <f>TRIM(CLEAN(SalesData[[#This Row],[Retailer]]))</f>
        <v>Hannover Cars</v>
      </c>
    </row>
    <row r="533" spans="1:36" ht="14.25" hidden="1" x14ac:dyDescent="0.2">
      <c r="A533" t="s">
        <v>1041</v>
      </c>
      <c r="B533" s="1">
        <v>46078</v>
      </c>
      <c r="C533" t="s">
        <v>53</v>
      </c>
      <c r="D533" t="s">
        <v>82</v>
      </c>
      <c r="E533" t="s">
        <v>26</v>
      </c>
      <c r="F533" t="s">
        <v>101</v>
      </c>
      <c r="G533" t="s">
        <v>102</v>
      </c>
      <c r="H533" t="s">
        <v>103</v>
      </c>
      <c r="I533" t="s">
        <v>56</v>
      </c>
      <c r="J533" t="s">
        <v>137</v>
      </c>
      <c r="K533" t="s">
        <v>91</v>
      </c>
      <c r="L533" t="s">
        <v>46</v>
      </c>
      <c r="M533" t="s">
        <v>87</v>
      </c>
      <c r="N533" t="s">
        <v>69</v>
      </c>
      <c r="O533" t="s">
        <v>36</v>
      </c>
      <c r="P533" t="s">
        <v>71</v>
      </c>
      <c r="Q533" t="s">
        <v>88</v>
      </c>
      <c r="R533">
        <v>302</v>
      </c>
      <c r="S533">
        <v>153</v>
      </c>
      <c r="T533">
        <v>102</v>
      </c>
      <c r="U533">
        <v>31</v>
      </c>
      <c r="V533" t="s">
        <v>6676</v>
      </c>
      <c r="W533">
        <v>48027</v>
      </c>
      <c r="X533" t="s">
        <v>1739</v>
      </c>
      <c r="Y533">
        <v>36449</v>
      </c>
      <c r="Z533">
        <v>1488837</v>
      </c>
      <c r="AA533">
        <v>358918</v>
      </c>
      <c r="AB533" t="str">
        <f>(VLOOKUP(SalesData[[#This Row],[Month Number]],Reference!C$5:E$16,2,FALSE))</f>
        <v>Feb</v>
      </c>
      <c r="AC533">
        <f>MONTH(SalesData[[#This Row],[Date]])</f>
        <v>2</v>
      </c>
      <c r="AD533">
        <f>Reference!F$4</f>
        <v>2026</v>
      </c>
      <c r="AE533" t="str">
        <f>IF(OR(SalesData[[#This Row],[Day]]="Saturday",SalesData[[#This Row],[Day]]="Sunday"),"Weekend","Weekday")</f>
        <v>Weekday</v>
      </c>
      <c r="AF533" s="5">
        <f>IF(SalesData[[#This Row],[Contracts Offered]]=0,0,SalesData[[#This Row],[Contracts Signed]]/SalesData[[#This Row],[Contracts Offered]])</f>
        <v>0.30392156862745096</v>
      </c>
      <c r="AG533" s="5">
        <f>IF(SalesData[[#This Row],[Customers Visited]]=0,0,SalesData[[#This Row],[Test Drives]]/SalesData[[#This Row],[Customers Visited]])</f>
        <v>0.50662251655629142</v>
      </c>
      <c r="AH533" s="5">
        <f>IF(SalesData[[#This Row],[Customers Visited]]=0,0,SalesData[[#This Row],[Contracts Signed]]/SalesData[[#This Row],[Customers Visited]])</f>
        <v>0.10264900662251655</v>
      </c>
      <c r="AI533" s="6">
        <f>IF(SalesData[[#This Row],[Contracts Signed]]=0,0,SalesData[[#This Row],[Profit(€)]]/SalesData[[#This Row],[Contracts Signed]])</f>
        <v>11578</v>
      </c>
      <c r="AJ533" s="5" t="str">
        <f>TRIM(CLEAN(SalesData[[#This Row],[Retailer]]))</f>
        <v>Ruhr Auto Plaza</v>
      </c>
    </row>
    <row r="534" spans="1:36" ht="14.25" x14ac:dyDescent="0.2">
      <c r="A534" t="s">
        <v>1043</v>
      </c>
      <c r="B534" s="1">
        <v>46070</v>
      </c>
      <c r="C534" t="s">
        <v>62</v>
      </c>
      <c r="D534" t="s">
        <v>63</v>
      </c>
      <c r="E534" t="s">
        <v>26</v>
      </c>
      <c r="F534" t="s">
        <v>101</v>
      </c>
      <c r="G534" t="s">
        <v>102</v>
      </c>
      <c r="H534" t="s">
        <v>103</v>
      </c>
      <c r="I534" t="s">
        <v>30</v>
      </c>
      <c r="J534" t="s">
        <v>86</v>
      </c>
      <c r="K534" t="s">
        <v>32</v>
      </c>
      <c r="L534" t="s">
        <v>33</v>
      </c>
      <c r="M534" t="s">
        <v>68</v>
      </c>
      <c r="N534" t="s">
        <v>69</v>
      </c>
      <c r="O534" t="s">
        <v>36</v>
      </c>
      <c r="P534" t="s">
        <v>58</v>
      </c>
      <c r="Q534" t="s">
        <v>347</v>
      </c>
      <c r="R534">
        <v>262</v>
      </c>
      <c r="S534">
        <v>145</v>
      </c>
      <c r="T534">
        <v>112</v>
      </c>
      <c r="U534">
        <v>46</v>
      </c>
      <c r="V534" t="s">
        <v>7250</v>
      </c>
      <c r="W534">
        <v>64208</v>
      </c>
      <c r="X534" t="s">
        <v>7239</v>
      </c>
      <c r="Y534">
        <v>46555</v>
      </c>
      <c r="Z534">
        <v>2953568</v>
      </c>
      <c r="AA534">
        <v>812038</v>
      </c>
      <c r="AB534" t="str">
        <f>(VLOOKUP(SalesData[[#This Row],[Month Number]],Reference!C$5:E$16,2,FALSE))</f>
        <v>Feb</v>
      </c>
      <c r="AC534">
        <f>MONTH(SalesData[[#This Row],[Date]])</f>
        <v>2</v>
      </c>
      <c r="AD534">
        <f>Reference!F$4</f>
        <v>2026</v>
      </c>
      <c r="AE534" t="str">
        <f>IF(OR(SalesData[[#This Row],[Day]]="Saturday",SalesData[[#This Row],[Day]]="Sunday"),"Weekend","Weekday")</f>
        <v>Weekday</v>
      </c>
      <c r="AF534" s="5">
        <f>IF(SalesData[[#This Row],[Contracts Offered]]=0,0,SalesData[[#This Row],[Contracts Signed]]/SalesData[[#This Row],[Contracts Offered]])</f>
        <v>0.4107142857142857</v>
      </c>
      <c r="AG534" s="5">
        <f>IF(SalesData[[#This Row],[Customers Visited]]=0,0,SalesData[[#This Row],[Test Drives]]/SalesData[[#This Row],[Customers Visited]])</f>
        <v>0.55343511450381677</v>
      </c>
      <c r="AH534" s="5">
        <f>IF(SalesData[[#This Row],[Customers Visited]]=0,0,SalesData[[#This Row],[Contracts Signed]]/SalesData[[#This Row],[Customers Visited]])</f>
        <v>0.17557251908396945</v>
      </c>
      <c r="AI534" s="6">
        <f>IF(SalesData[[#This Row],[Contracts Signed]]=0,0,SalesData[[#This Row],[Profit(€)]]/SalesData[[#This Row],[Contracts Signed]])</f>
        <v>17653</v>
      </c>
      <c r="AJ534" s="5" t="str">
        <f>TRIM(CLEAN(SalesData[[#This Row],[Retailer]]))</f>
        <v>Ruhr Auto Plaza</v>
      </c>
    </row>
    <row r="535" spans="1:36" ht="14.25" x14ac:dyDescent="0.2">
      <c r="A535" t="s">
        <v>1044</v>
      </c>
      <c r="B535" s="1">
        <v>46074</v>
      </c>
      <c r="C535" t="s">
        <v>62</v>
      </c>
      <c r="D535" t="s">
        <v>151</v>
      </c>
      <c r="E535" t="s">
        <v>42</v>
      </c>
      <c r="F535" t="s">
        <v>114</v>
      </c>
      <c r="G535" t="s">
        <v>115</v>
      </c>
      <c r="H535" t="s">
        <v>115</v>
      </c>
      <c r="I535" t="s">
        <v>30</v>
      </c>
      <c r="J535" t="s">
        <v>188</v>
      </c>
      <c r="K535" t="s">
        <v>66</v>
      </c>
      <c r="L535" t="s">
        <v>33</v>
      </c>
      <c r="M535" t="s">
        <v>34</v>
      </c>
      <c r="N535" t="s">
        <v>69</v>
      </c>
      <c r="O535" t="s">
        <v>36</v>
      </c>
      <c r="P535" t="s">
        <v>58</v>
      </c>
      <c r="Q535" t="s">
        <v>50</v>
      </c>
      <c r="R535">
        <v>163</v>
      </c>
      <c r="S535">
        <v>84</v>
      </c>
      <c r="T535">
        <v>67</v>
      </c>
      <c r="U535">
        <v>27</v>
      </c>
      <c r="V535" t="s">
        <v>7251</v>
      </c>
      <c r="W535">
        <v>65003</v>
      </c>
      <c r="X535" t="s">
        <v>7252</v>
      </c>
      <c r="Y535">
        <v>48102</v>
      </c>
      <c r="Z535">
        <v>1755081</v>
      </c>
      <c r="AA535">
        <v>456327</v>
      </c>
      <c r="AB535" t="str">
        <f>(VLOOKUP(SalesData[[#This Row],[Month Number]],Reference!C$5:E$16,2,FALSE))</f>
        <v>Feb</v>
      </c>
      <c r="AC535">
        <f>MONTH(SalesData[[#This Row],[Date]])</f>
        <v>2</v>
      </c>
      <c r="AD535">
        <f>Reference!F$4</f>
        <v>2026</v>
      </c>
      <c r="AE535" t="str">
        <f>IF(OR(SalesData[[#This Row],[Day]]="Saturday",SalesData[[#This Row],[Day]]="Sunday"),"Weekend","Weekday")</f>
        <v>Weekend</v>
      </c>
      <c r="AF535" s="5">
        <f>IF(SalesData[[#This Row],[Contracts Offered]]=0,0,SalesData[[#This Row],[Contracts Signed]]/SalesData[[#This Row],[Contracts Offered]])</f>
        <v>0.40298507462686567</v>
      </c>
      <c r="AG535" s="5">
        <f>IF(SalesData[[#This Row],[Customers Visited]]=0,0,SalesData[[#This Row],[Test Drives]]/SalesData[[#This Row],[Customers Visited]])</f>
        <v>0.51533742331288346</v>
      </c>
      <c r="AH535" s="5">
        <f>IF(SalesData[[#This Row],[Customers Visited]]=0,0,SalesData[[#This Row],[Contracts Signed]]/SalesData[[#This Row],[Customers Visited]])</f>
        <v>0.16564417177914109</v>
      </c>
      <c r="AI535" s="6">
        <f>IF(SalesData[[#This Row],[Contracts Signed]]=0,0,SalesData[[#This Row],[Profit(€)]]/SalesData[[#This Row],[Contracts Signed]])</f>
        <v>16901</v>
      </c>
      <c r="AJ535" s="5" t="str">
        <f>TRIM(CLEAN(SalesData[[#This Row],[Retailer]]))</f>
        <v>Elbe Drive</v>
      </c>
    </row>
    <row r="536" spans="1:36" ht="14.25" hidden="1" x14ac:dyDescent="0.2">
      <c r="A536" t="s">
        <v>1046</v>
      </c>
      <c r="B536" s="1">
        <v>46056</v>
      </c>
      <c r="C536" t="s">
        <v>24</v>
      </c>
      <c r="D536" t="s">
        <v>63</v>
      </c>
      <c r="E536" t="s">
        <v>26</v>
      </c>
      <c r="F536" t="s">
        <v>114</v>
      </c>
      <c r="G536" t="s">
        <v>115</v>
      </c>
      <c r="H536" t="s">
        <v>115</v>
      </c>
      <c r="I536" t="s">
        <v>56</v>
      </c>
      <c r="J536" t="s">
        <v>57</v>
      </c>
      <c r="K536" t="s">
        <v>78</v>
      </c>
      <c r="L536" t="s">
        <v>46</v>
      </c>
      <c r="M536" t="s">
        <v>87</v>
      </c>
      <c r="N536" t="s">
        <v>35</v>
      </c>
      <c r="O536" t="s">
        <v>36</v>
      </c>
      <c r="P536" t="s">
        <v>71</v>
      </c>
      <c r="Q536" t="s">
        <v>169</v>
      </c>
      <c r="R536">
        <v>181</v>
      </c>
      <c r="S536">
        <v>110</v>
      </c>
      <c r="T536">
        <v>73</v>
      </c>
      <c r="U536">
        <v>25</v>
      </c>
      <c r="V536" t="s">
        <v>6591</v>
      </c>
      <c r="W536">
        <v>48013</v>
      </c>
      <c r="X536" t="s">
        <v>589</v>
      </c>
      <c r="Y536">
        <v>37546</v>
      </c>
      <c r="Z536">
        <v>1200325</v>
      </c>
      <c r="AA536">
        <v>261675</v>
      </c>
      <c r="AB536" t="str">
        <f>(VLOOKUP(SalesData[[#This Row],[Month Number]],Reference!C$5:E$16,2,FALSE))</f>
        <v>Feb</v>
      </c>
      <c r="AC536">
        <f>MONTH(SalesData[[#This Row],[Date]])</f>
        <v>2</v>
      </c>
      <c r="AD536">
        <f>Reference!F$4</f>
        <v>2026</v>
      </c>
      <c r="AE536" t="str">
        <f>IF(OR(SalesData[[#This Row],[Day]]="Saturday",SalesData[[#This Row],[Day]]="Sunday"),"Weekend","Weekday")</f>
        <v>Weekday</v>
      </c>
      <c r="AF536" s="5">
        <f>IF(SalesData[[#This Row],[Contracts Offered]]=0,0,SalesData[[#This Row],[Contracts Signed]]/SalesData[[#This Row],[Contracts Offered]])</f>
        <v>0.34246575342465752</v>
      </c>
      <c r="AG536" s="5">
        <f>IF(SalesData[[#This Row],[Customers Visited]]=0,0,SalesData[[#This Row],[Test Drives]]/SalesData[[#This Row],[Customers Visited]])</f>
        <v>0.60773480662983426</v>
      </c>
      <c r="AH536" s="5">
        <f>IF(SalesData[[#This Row],[Customers Visited]]=0,0,SalesData[[#This Row],[Contracts Signed]]/SalesData[[#This Row],[Customers Visited]])</f>
        <v>0.13812154696132597</v>
      </c>
      <c r="AI536" s="6">
        <f>IF(SalesData[[#This Row],[Contracts Signed]]=0,0,SalesData[[#This Row],[Profit(€)]]/SalesData[[#This Row],[Contracts Signed]])</f>
        <v>10467</v>
      </c>
      <c r="AJ536" s="5" t="str">
        <f>TRIM(CLEAN(SalesData[[#This Row],[Retailer]]))</f>
        <v>Elbe Drive</v>
      </c>
    </row>
    <row r="537" spans="1:36" ht="14.25" hidden="1" x14ac:dyDescent="0.2">
      <c r="A537" t="s">
        <v>1048</v>
      </c>
      <c r="B537" s="1">
        <v>46070</v>
      </c>
      <c r="C537" t="s">
        <v>62</v>
      </c>
      <c r="D537" t="s">
        <v>63</v>
      </c>
      <c r="E537" t="s">
        <v>26</v>
      </c>
      <c r="F537" t="s">
        <v>74</v>
      </c>
      <c r="G537" t="s">
        <v>75</v>
      </c>
      <c r="H537" t="s">
        <v>76</v>
      </c>
      <c r="I537" t="s">
        <v>116</v>
      </c>
      <c r="J537" t="s">
        <v>117</v>
      </c>
      <c r="K537" t="s">
        <v>66</v>
      </c>
      <c r="L537" t="s">
        <v>67</v>
      </c>
      <c r="M537" t="s">
        <v>68</v>
      </c>
      <c r="N537" t="s">
        <v>35</v>
      </c>
      <c r="O537" t="s">
        <v>70</v>
      </c>
      <c r="P537" t="s">
        <v>71</v>
      </c>
      <c r="Q537" t="s">
        <v>152</v>
      </c>
      <c r="R537">
        <v>397</v>
      </c>
      <c r="S537">
        <v>151</v>
      </c>
      <c r="T537">
        <v>93</v>
      </c>
      <c r="U537">
        <v>26</v>
      </c>
      <c r="V537" t="s">
        <v>3653</v>
      </c>
      <c r="W537">
        <v>25927</v>
      </c>
      <c r="X537" t="s">
        <v>854</v>
      </c>
      <c r="Y537">
        <v>23392</v>
      </c>
      <c r="Z537">
        <v>674102</v>
      </c>
      <c r="AA537">
        <v>65910</v>
      </c>
      <c r="AB537" t="str">
        <f>(VLOOKUP(SalesData[[#This Row],[Month Number]],Reference!C$5:E$16,2,FALSE))</f>
        <v>Feb</v>
      </c>
      <c r="AC537">
        <f>MONTH(SalesData[[#This Row],[Date]])</f>
        <v>2</v>
      </c>
      <c r="AD537">
        <f>Reference!F$4</f>
        <v>2026</v>
      </c>
      <c r="AE537" t="str">
        <f>IF(OR(SalesData[[#This Row],[Day]]="Saturday",SalesData[[#This Row],[Day]]="Sunday"),"Weekend","Weekday")</f>
        <v>Weekday</v>
      </c>
      <c r="AF537" s="5">
        <f>IF(SalesData[[#This Row],[Contracts Offered]]=0,0,SalesData[[#This Row],[Contracts Signed]]/SalesData[[#This Row],[Contracts Offered]])</f>
        <v>0.27956989247311825</v>
      </c>
      <c r="AG537" s="5">
        <f>IF(SalesData[[#This Row],[Customers Visited]]=0,0,SalesData[[#This Row],[Test Drives]]/SalesData[[#This Row],[Customers Visited]])</f>
        <v>0.38035264483627201</v>
      </c>
      <c r="AH537" s="5">
        <f>IF(SalesData[[#This Row],[Customers Visited]]=0,0,SalesData[[#This Row],[Contracts Signed]]/SalesData[[#This Row],[Customers Visited]])</f>
        <v>6.5491183879093195E-2</v>
      </c>
      <c r="AI537" s="6">
        <f>IF(SalesData[[#This Row],[Contracts Signed]]=0,0,SalesData[[#This Row],[Profit(€)]]/SalesData[[#This Row],[Contracts Signed]])</f>
        <v>2535</v>
      </c>
      <c r="AJ537" s="5" t="str">
        <f>TRIM(CLEAN(SalesData[[#This Row],[Retailer]]))</f>
        <v>Stuttgart Auto Center</v>
      </c>
    </row>
    <row r="538" spans="1:36" ht="14.25" hidden="1" x14ac:dyDescent="0.2">
      <c r="A538" t="s">
        <v>1049</v>
      </c>
      <c r="B538" s="1">
        <v>46058</v>
      </c>
      <c r="C538" t="s">
        <v>24</v>
      </c>
      <c r="D538" t="s">
        <v>100</v>
      </c>
      <c r="E538" t="s">
        <v>26</v>
      </c>
      <c r="F538" t="s">
        <v>7649</v>
      </c>
      <c r="G538" t="s">
        <v>55</v>
      </c>
      <c r="H538" t="s">
        <v>55</v>
      </c>
      <c r="I538" t="s">
        <v>104</v>
      </c>
      <c r="J538" t="s">
        <v>7031</v>
      </c>
      <c r="K538" t="s">
        <v>78</v>
      </c>
      <c r="L538" t="s">
        <v>46</v>
      </c>
      <c r="M538" t="s">
        <v>68</v>
      </c>
      <c r="N538" t="s">
        <v>69</v>
      </c>
      <c r="O538" t="s">
        <v>70</v>
      </c>
      <c r="P538" t="s">
        <v>71</v>
      </c>
      <c r="Q538" t="s">
        <v>152</v>
      </c>
      <c r="R538">
        <v>464</v>
      </c>
      <c r="S538">
        <v>235</v>
      </c>
      <c r="T538">
        <v>157</v>
      </c>
      <c r="U538">
        <v>37</v>
      </c>
      <c r="V538" t="s">
        <v>1996</v>
      </c>
      <c r="W538">
        <v>34237</v>
      </c>
      <c r="X538" t="s">
        <v>2630</v>
      </c>
      <c r="Y538">
        <v>30952</v>
      </c>
      <c r="Z538">
        <v>1266769</v>
      </c>
      <c r="AA538">
        <v>121545</v>
      </c>
      <c r="AB538" t="str">
        <f>(VLOOKUP(SalesData[[#This Row],[Month Number]],Reference!C$5:E$16,2,FALSE))</f>
        <v>Feb</v>
      </c>
      <c r="AC538">
        <f>MONTH(SalesData[[#This Row],[Date]])</f>
        <v>2</v>
      </c>
      <c r="AD538">
        <f>Reference!F$4</f>
        <v>2026</v>
      </c>
      <c r="AE538" t="str">
        <f>IF(OR(SalesData[[#This Row],[Day]]="Saturday",SalesData[[#This Row],[Day]]="Sunday"),"Weekend","Weekday")</f>
        <v>Weekday</v>
      </c>
      <c r="AF538" s="5">
        <f>IF(SalesData[[#This Row],[Contracts Offered]]=0,0,SalesData[[#This Row],[Contracts Signed]]/SalesData[[#This Row],[Contracts Offered]])</f>
        <v>0.2356687898089172</v>
      </c>
      <c r="AG538" s="5">
        <f>IF(SalesData[[#This Row],[Customers Visited]]=0,0,SalesData[[#This Row],[Test Drives]]/SalesData[[#This Row],[Customers Visited]])</f>
        <v>0.50646551724137934</v>
      </c>
      <c r="AH538" s="5">
        <f>IF(SalesData[[#This Row],[Customers Visited]]=0,0,SalesData[[#This Row],[Contracts Signed]]/SalesData[[#This Row],[Customers Visited]])</f>
        <v>7.9741379310344834E-2</v>
      </c>
      <c r="AI538" s="6">
        <f>IF(SalesData[[#This Row],[Contracts Signed]]=0,0,SalesData[[#This Row],[Profit(€)]]/SalesData[[#This Row],[Contracts Signed]])</f>
        <v>3285</v>
      </c>
      <c r="AJ538" s="5" t="str">
        <f>TRIM(CLEAN(SalesData[[#This Row],[Retailer]]))</f>
        <v>Autohaus Berlin</v>
      </c>
    </row>
    <row r="539" spans="1:36" ht="14.25" x14ac:dyDescent="0.2">
      <c r="A539" t="s">
        <v>1050</v>
      </c>
      <c r="B539" s="1">
        <v>46073</v>
      </c>
      <c r="C539" t="s">
        <v>62</v>
      </c>
      <c r="D539" t="s">
        <v>54</v>
      </c>
      <c r="E539" t="s">
        <v>26</v>
      </c>
      <c r="F539" t="s">
        <v>74</v>
      </c>
      <c r="G539" t="s">
        <v>75</v>
      </c>
      <c r="H539" t="s">
        <v>76</v>
      </c>
      <c r="I539" t="s">
        <v>30</v>
      </c>
      <c r="J539" t="s">
        <v>31</v>
      </c>
      <c r="K539" t="s">
        <v>78</v>
      </c>
      <c r="L539" t="s">
        <v>46</v>
      </c>
      <c r="M539" t="s">
        <v>47</v>
      </c>
      <c r="N539" t="s">
        <v>48</v>
      </c>
      <c r="O539" t="s">
        <v>70</v>
      </c>
      <c r="P539" t="s">
        <v>58</v>
      </c>
      <c r="Q539" t="s">
        <v>204</v>
      </c>
      <c r="R539">
        <v>236</v>
      </c>
      <c r="S539">
        <v>127</v>
      </c>
      <c r="T539">
        <v>93</v>
      </c>
      <c r="U539">
        <v>38</v>
      </c>
      <c r="V539" t="s">
        <v>7253</v>
      </c>
      <c r="W539">
        <v>61392</v>
      </c>
      <c r="X539" t="s">
        <v>7254</v>
      </c>
      <c r="Y539">
        <v>43117</v>
      </c>
      <c r="Z539">
        <v>2332896</v>
      </c>
      <c r="AA539">
        <v>694450</v>
      </c>
      <c r="AB539" t="str">
        <f>(VLOOKUP(SalesData[[#This Row],[Month Number]],Reference!C$5:E$16,2,FALSE))</f>
        <v>Feb</v>
      </c>
      <c r="AC539">
        <f>MONTH(SalesData[[#This Row],[Date]])</f>
        <v>2</v>
      </c>
      <c r="AD539">
        <f>Reference!F$4</f>
        <v>2026</v>
      </c>
      <c r="AE539" t="str">
        <f>IF(OR(SalesData[[#This Row],[Day]]="Saturday",SalesData[[#This Row],[Day]]="Sunday"),"Weekend","Weekday")</f>
        <v>Weekday</v>
      </c>
      <c r="AF539" s="5">
        <f>IF(SalesData[[#This Row],[Contracts Offered]]=0,0,SalesData[[#This Row],[Contracts Signed]]/SalesData[[#This Row],[Contracts Offered]])</f>
        <v>0.40860215053763443</v>
      </c>
      <c r="AG539" s="5">
        <f>IF(SalesData[[#This Row],[Customers Visited]]=0,0,SalesData[[#This Row],[Test Drives]]/SalesData[[#This Row],[Customers Visited]])</f>
        <v>0.53813559322033899</v>
      </c>
      <c r="AH539" s="5">
        <f>IF(SalesData[[#This Row],[Customers Visited]]=0,0,SalesData[[#This Row],[Contracts Signed]]/SalesData[[#This Row],[Customers Visited]])</f>
        <v>0.16101694915254236</v>
      </c>
      <c r="AI539" s="6">
        <f>IF(SalesData[[#This Row],[Contracts Signed]]=0,0,SalesData[[#This Row],[Profit(€)]]/SalesData[[#This Row],[Contracts Signed]])</f>
        <v>18275</v>
      </c>
      <c r="AJ539" s="5" t="str">
        <f>TRIM(CLEAN(SalesData[[#This Row],[Retailer]]))</f>
        <v>Stuttgart Auto Center</v>
      </c>
    </row>
    <row r="540" spans="1:36" ht="14.25" hidden="1" x14ac:dyDescent="0.2">
      <c r="A540" t="s">
        <v>1051</v>
      </c>
      <c r="B540" s="1">
        <v>46076</v>
      </c>
      <c r="C540" t="s">
        <v>53</v>
      </c>
      <c r="D540" t="s">
        <v>25</v>
      </c>
      <c r="E540" t="s">
        <v>26</v>
      </c>
      <c r="F540" t="s">
        <v>109</v>
      </c>
      <c r="G540" t="s">
        <v>110</v>
      </c>
      <c r="H540" t="s">
        <v>45</v>
      </c>
      <c r="I540" t="s">
        <v>56</v>
      </c>
      <c r="J540" t="s">
        <v>137</v>
      </c>
      <c r="K540" t="s">
        <v>78</v>
      </c>
      <c r="L540" t="s">
        <v>46</v>
      </c>
      <c r="M540" t="s">
        <v>87</v>
      </c>
      <c r="N540" t="s">
        <v>69</v>
      </c>
      <c r="O540" t="s">
        <v>36</v>
      </c>
      <c r="P540" t="s">
        <v>49</v>
      </c>
      <c r="Q540" t="s">
        <v>347</v>
      </c>
      <c r="R540">
        <v>244</v>
      </c>
      <c r="S540">
        <v>152</v>
      </c>
      <c r="T540">
        <v>110</v>
      </c>
      <c r="U540">
        <v>29</v>
      </c>
      <c r="V540" t="s">
        <v>4318</v>
      </c>
      <c r="W540">
        <v>41788</v>
      </c>
      <c r="X540" t="s">
        <v>828</v>
      </c>
      <c r="Y540">
        <v>33984</v>
      </c>
      <c r="Z540">
        <v>1211852</v>
      </c>
      <c r="AA540">
        <v>226316</v>
      </c>
      <c r="AB540" t="str">
        <f>(VLOOKUP(SalesData[[#This Row],[Month Number]],Reference!C$5:E$16,2,FALSE))</f>
        <v>Feb</v>
      </c>
      <c r="AC540">
        <f>MONTH(SalesData[[#This Row],[Date]])</f>
        <v>2</v>
      </c>
      <c r="AD540">
        <f>Reference!F$4</f>
        <v>2026</v>
      </c>
      <c r="AE540" t="str">
        <f>IF(OR(SalesData[[#This Row],[Day]]="Saturday",SalesData[[#This Row],[Day]]="Sunday"),"Weekend","Weekday")</f>
        <v>Weekday</v>
      </c>
      <c r="AF540" s="5">
        <f>IF(SalesData[[#This Row],[Contracts Offered]]=0,0,SalesData[[#This Row],[Contracts Signed]]/SalesData[[#This Row],[Contracts Offered]])</f>
        <v>0.26363636363636361</v>
      </c>
      <c r="AG540" s="5">
        <f>IF(SalesData[[#This Row],[Customers Visited]]=0,0,SalesData[[#This Row],[Test Drives]]/SalesData[[#This Row],[Customers Visited]])</f>
        <v>0.62295081967213117</v>
      </c>
      <c r="AH540" s="5">
        <f>IF(SalesData[[#This Row],[Customers Visited]]=0,0,SalesData[[#This Row],[Contracts Signed]]/SalesData[[#This Row],[Customers Visited]])</f>
        <v>0.11885245901639344</v>
      </c>
      <c r="AI540" s="6">
        <f>IF(SalesData[[#This Row],[Contracts Signed]]=0,0,SalesData[[#This Row],[Profit(€)]]/SalesData[[#This Row],[Contracts Signed]])</f>
        <v>7804</v>
      </c>
      <c r="AJ540" s="5" t="str">
        <f>TRIM(CLEAN(SalesData[[#This Row],[Retailer]]))</f>
        <v>Leipzig Mobility</v>
      </c>
    </row>
    <row r="541" spans="1:36" ht="14.25" hidden="1" x14ac:dyDescent="0.2">
      <c r="A541" t="s">
        <v>1053</v>
      </c>
      <c r="B541" s="1">
        <v>46078</v>
      </c>
      <c r="C541" t="s">
        <v>53</v>
      </c>
      <c r="D541" t="s">
        <v>82</v>
      </c>
      <c r="E541" t="s">
        <v>26</v>
      </c>
      <c r="F541" t="s">
        <v>43</v>
      </c>
      <c r="G541" t="s">
        <v>44</v>
      </c>
      <c r="H541" t="s">
        <v>45</v>
      </c>
      <c r="I541" t="s">
        <v>56</v>
      </c>
      <c r="J541" t="s">
        <v>57</v>
      </c>
      <c r="K541" t="s">
        <v>66</v>
      </c>
      <c r="L541" t="s">
        <v>46</v>
      </c>
      <c r="M541" t="s">
        <v>87</v>
      </c>
      <c r="N541" t="s">
        <v>69</v>
      </c>
      <c r="O541" t="s">
        <v>70</v>
      </c>
      <c r="P541" t="s">
        <v>49</v>
      </c>
      <c r="Q541" t="s">
        <v>59</v>
      </c>
      <c r="R541">
        <v>190</v>
      </c>
      <c r="S541">
        <v>115</v>
      </c>
      <c r="T541">
        <v>83</v>
      </c>
      <c r="U541">
        <v>24</v>
      </c>
      <c r="V541" t="s">
        <v>6807</v>
      </c>
      <c r="W541">
        <v>47419</v>
      </c>
      <c r="X541" t="s">
        <v>7176</v>
      </c>
      <c r="Y541">
        <v>37632</v>
      </c>
      <c r="Z541">
        <v>1138056</v>
      </c>
      <c r="AA541">
        <v>234888</v>
      </c>
      <c r="AB541" t="str">
        <f>(VLOOKUP(SalesData[[#This Row],[Month Number]],Reference!C$5:E$16,2,FALSE))</f>
        <v>Feb</v>
      </c>
      <c r="AC541">
        <f>MONTH(SalesData[[#This Row],[Date]])</f>
        <v>2</v>
      </c>
      <c r="AD541">
        <f>Reference!F$4</f>
        <v>2026</v>
      </c>
      <c r="AE541" t="str">
        <f>IF(OR(SalesData[[#This Row],[Day]]="Saturday",SalesData[[#This Row],[Day]]="Sunday"),"Weekend","Weekday")</f>
        <v>Weekday</v>
      </c>
      <c r="AF541" s="5">
        <f>IF(SalesData[[#This Row],[Contracts Offered]]=0,0,SalesData[[#This Row],[Contracts Signed]]/SalesData[[#This Row],[Contracts Offered]])</f>
        <v>0.28915662650602408</v>
      </c>
      <c r="AG541" s="5">
        <f>IF(SalesData[[#This Row],[Customers Visited]]=0,0,SalesData[[#This Row],[Test Drives]]/SalesData[[#This Row],[Customers Visited]])</f>
        <v>0.60526315789473684</v>
      </c>
      <c r="AH541" s="5">
        <f>IF(SalesData[[#This Row],[Customers Visited]]=0,0,SalesData[[#This Row],[Contracts Signed]]/SalesData[[#This Row],[Customers Visited]])</f>
        <v>0.12631578947368421</v>
      </c>
      <c r="AI541" s="6">
        <f>IF(SalesData[[#This Row],[Contracts Signed]]=0,0,SalesData[[#This Row],[Profit(€)]]/SalesData[[#This Row],[Contracts Signed]])</f>
        <v>9787</v>
      </c>
      <c r="AJ541" s="5" t="str">
        <f>TRIM(CLEAN(SalesData[[#This Row],[Retailer]]))</f>
        <v>Saxon Wheels</v>
      </c>
    </row>
    <row r="542" spans="1:36" ht="14.25" hidden="1" x14ac:dyDescent="0.2">
      <c r="A542" t="s">
        <v>1054</v>
      </c>
      <c r="B542" s="1">
        <v>46064</v>
      </c>
      <c r="C542" t="s">
        <v>121</v>
      </c>
      <c r="D542" t="s">
        <v>82</v>
      </c>
      <c r="E542" t="s">
        <v>26</v>
      </c>
      <c r="F542" t="s">
        <v>101</v>
      </c>
      <c r="G542" t="s">
        <v>102</v>
      </c>
      <c r="H542" t="s">
        <v>103</v>
      </c>
      <c r="I542" t="s">
        <v>104</v>
      </c>
      <c r="J542" t="s">
        <v>143</v>
      </c>
      <c r="K542" t="s">
        <v>66</v>
      </c>
      <c r="L542" t="s">
        <v>67</v>
      </c>
      <c r="M542" t="s">
        <v>87</v>
      </c>
      <c r="N542" t="s">
        <v>69</v>
      </c>
      <c r="O542" t="s">
        <v>70</v>
      </c>
      <c r="P542" t="s">
        <v>37</v>
      </c>
      <c r="Q542" t="s">
        <v>158</v>
      </c>
      <c r="R542">
        <v>439</v>
      </c>
      <c r="S542">
        <v>254</v>
      </c>
      <c r="T542">
        <v>176</v>
      </c>
      <c r="U542">
        <v>32</v>
      </c>
      <c r="V542" t="s">
        <v>7237</v>
      </c>
      <c r="W542">
        <v>34402</v>
      </c>
      <c r="X542" t="s">
        <v>241</v>
      </c>
      <c r="Y542">
        <v>30577</v>
      </c>
      <c r="Z542">
        <v>1100864</v>
      </c>
      <c r="AA542">
        <v>122400</v>
      </c>
      <c r="AB542" t="str">
        <f>(VLOOKUP(SalesData[[#This Row],[Month Number]],Reference!C$5:E$16,2,FALSE))</f>
        <v>Feb</v>
      </c>
      <c r="AC542">
        <f>MONTH(SalesData[[#This Row],[Date]])</f>
        <v>2</v>
      </c>
      <c r="AD542">
        <f>Reference!F$4</f>
        <v>2026</v>
      </c>
      <c r="AE542" t="str">
        <f>IF(OR(SalesData[[#This Row],[Day]]="Saturday",SalesData[[#This Row],[Day]]="Sunday"),"Weekend","Weekday")</f>
        <v>Weekday</v>
      </c>
      <c r="AF542" s="5">
        <f>IF(SalesData[[#This Row],[Contracts Offered]]=0,0,SalesData[[#This Row],[Contracts Signed]]/SalesData[[#This Row],[Contracts Offered]])</f>
        <v>0.18181818181818182</v>
      </c>
      <c r="AG542" s="5">
        <f>IF(SalesData[[#This Row],[Customers Visited]]=0,0,SalesData[[#This Row],[Test Drives]]/SalesData[[#This Row],[Customers Visited]])</f>
        <v>0.57858769931662868</v>
      </c>
      <c r="AH542" s="5">
        <f>IF(SalesData[[#This Row],[Customers Visited]]=0,0,SalesData[[#This Row],[Contracts Signed]]/SalesData[[#This Row],[Customers Visited]])</f>
        <v>7.289293849658314E-2</v>
      </c>
      <c r="AI542" s="6">
        <f>IF(SalesData[[#This Row],[Contracts Signed]]=0,0,SalesData[[#This Row],[Profit(€)]]/SalesData[[#This Row],[Contracts Signed]])</f>
        <v>3825</v>
      </c>
      <c r="AJ542" s="5" t="str">
        <f>TRIM(CLEAN(SalesData[[#This Row],[Retailer]]))</f>
        <v>Ruhr Auto Plaza</v>
      </c>
    </row>
    <row r="543" spans="1:36" ht="14.25" hidden="1" x14ac:dyDescent="0.2">
      <c r="A543" t="s">
        <v>1055</v>
      </c>
      <c r="B543" s="1">
        <v>46078</v>
      </c>
      <c r="C543" t="s">
        <v>53</v>
      </c>
      <c r="D543" t="s">
        <v>82</v>
      </c>
      <c r="E543" t="s">
        <v>26</v>
      </c>
      <c r="F543" t="s">
        <v>43</v>
      </c>
      <c r="G543" t="s">
        <v>44</v>
      </c>
      <c r="H543" t="s">
        <v>45</v>
      </c>
      <c r="I543" t="s">
        <v>104</v>
      </c>
      <c r="J543" t="s">
        <v>140</v>
      </c>
      <c r="K543" t="s">
        <v>66</v>
      </c>
      <c r="L543" t="s">
        <v>46</v>
      </c>
      <c r="M543" t="s">
        <v>47</v>
      </c>
      <c r="N543" t="s">
        <v>48</v>
      </c>
      <c r="O543" t="s">
        <v>70</v>
      </c>
      <c r="P543" t="s">
        <v>37</v>
      </c>
      <c r="Q543" t="s">
        <v>59</v>
      </c>
      <c r="R543">
        <v>356</v>
      </c>
      <c r="S543">
        <v>161</v>
      </c>
      <c r="T543">
        <v>95</v>
      </c>
      <c r="U543">
        <v>20</v>
      </c>
      <c r="V543" t="s">
        <v>458</v>
      </c>
      <c r="W543">
        <v>32745</v>
      </c>
      <c r="X543" t="s">
        <v>3747</v>
      </c>
      <c r="Y543">
        <v>29006</v>
      </c>
      <c r="Z543">
        <v>654900</v>
      </c>
      <c r="AA543">
        <v>74780</v>
      </c>
      <c r="AB543" t="str">
        <f>(VLOOKUP(SalesData[[#This Row],[Month Number]],Reference!C$5:E$16,2,FALSE))</f>
        <v>Feb</v>
      </c>
      <c r="AC543">
        <f>MONTH(SalesData[[#This Row],[Date]])</f>
        <v>2</v>
      </c>
      <c r="AD543">
        <f>Reference!F$4</f>
        <v>2026</v>
      </c>
      <c r="AE543" t="str">
        <f>IF(OR(SalesData[[#This Row],[Day]]="Saturday",SalesData[[#This Row],[Day]]="Sunday"),"Weekend","Weekday")</f>
        <v>Weekday</v>
      </c>
      <c r="AF543" s="5">
        <f>IF(SalesData[[#This Row],[Contracts Offered]]=0,0,SalesData[[#This Row],[Contracts Signed]]/SalesData[[#This Row],[Contracts Offered]])</f>
        <v>0.21052631578947367</v>
      </c>
      <c r="AG543" s="5">
        <f>IF(SalesData[[#This Row],[Customers Visited]]=0,0,SalesData[[#This Row],[Test Drives]]/SalesData[[#This Row],[Customers Visited]])</f>
        <v>0.45224719101123595</v>
      </c>
      <c r="AH543" s="5">
        <f>IF(SalesData[[#This Row],[Customers Visited]]=0,0,SalesData[[#This Row],[Contracts Signed]]/SalesData[[#This Row],[Customers Visited]])</f>
        <v>5.6179775280898875E-2</v>
      </c>
      <c r="AI543" s="6">
        <f>IF(SalesData[[#This Row],[Contracts Signed]]=0,0,SalesData[[#This Row],[Profit(€)]]/SalesData[[#This Row],[Contracts Signed]])</f>
        <v>3739</v>
      </c>
      <c r="AJ543" s="5" t="str">
        <f>TRIM(CLEAN(SalesData[[#This Row],[Retailer]]))</f>
        <v>Saxon Wheels</v>
      </c>
    </row>
    <row r="544" spans="1:36" ht="14.25" hidden="1" x14ac:dyDescent="0.2">
      <c r="A544" t="s">
        <v>1057</v>
      </c>
      <c r="B544" s="1">
        <v>46068</v>
      </c>
      <c r="C544" t="s">
        <v>62</v>
      </c>
      <c r="D544" t="s">
        <v>41</v>
      </c>
      <c r="E544" t="s">
        <v>42</v>
      </c>
      <c r="F544" t="s">
        <v>27</v>
      </c>
      <c r="G544" t="s">
        <v>28</v>
      </c>
      <c r="H544" t="s">
        <v>29</v>
      </c>
      <c r="I544" t="s">
        <v>104</v>
      </c>
      <c r="J544" t="s">
        <v>105</v>
      </c>
      <c r="K544" t="s">
        <v>66</v>
      </c>
      <c r="L544" t="s">
        <v>33</v>
      </c>
      <c r="M544" t="s">
        <v>87</v>
      </c>
      <c r="N544" t="s">
        <v>35</v>
      </c>
      <c r="O544" t="s">
        <v>70</v>
      </c>
      <c r="P544" t="s">
        <v>58</v>
      </c>
      <c r="Q544" t="s">
        <v>38</v>
      </c>
      <c r="R544">
        <v>280</v>
      </c>
      <c r="S544">
        <v>134</v>
      </c>
      <c r="T544">
        <v>91</v>
      </c>
      <c r="U544">
        <v>23</v>
      </c>
      <c r="V544" t="s">
        <v>833</v>
      </c>
      <c r="W544">
        <v>33305</v>
      </c>
      <c r="X544" t="s">
        <v>1092</v>
      </c>
      <c r="Y544">
        <v>29286</v>
      </c>
      <c r="Z544">
        <v>766015</v>
      </c>
      <c r="AA544">
        <v>92437</v>
      </c>
      <c r="AB544" t="str">
        <f>(VLOOKUP(SalesData[[#This Row],[Month Number]],Reference!C$5:E$16,2,FALSE))</f>
        <v>Feb</v>
      </c>
      <c r="AC544">
        <f>MONTH(SalesData[[#This Row],[Date]])</f>
        <v>2</v>
      </c>
      <c r="AD544">
        <f>Reference!F$4</f>
        <v>2026</v>
      </c>
      <c r="AE544" t="str">
        <f>IF(OR(SalesData[[#This Row],[Day]]="Saturday",SalesData[[#This Row],[Day]]="Sunday"),"Weekend","Weekday")</f>
        <v>Weekend</v>
      </c>
      <c r="AF544" s="5">
        <f>IF(SalesData[[#This Row],[Contracts Offered]]=0,0,SalesData[[#This Row],[Contracts Signed]]/SalesData[[#This Row],[Contracts Offered]])</f>
        <v>0.25274725274725274</v>
      </c>
      <c r="AG544" s="5">
        <f>IF(SalesData[[#This Row],[Customers Visited]]=0,0,SalesData[[#This Row],[Test Drives]]/SalesData[[#This Row],[Customers Visited]])</f>
        <v>0.47857142857142859</v>
      </c>
      <c r="AH544" s="5">
        <f>IF(SalesData[[#This Row],[Customers Visited]]=0,0,SalesData[[#This Row],[Contracts Signed]]/SalesData[[#This Row],[Customers Visited]])</f>
        <v>8.2142857142857142E-2</v>
      </c>
      <c r="AI544" s="6">
        <f>IF(SalesData[[#This Row],[Contracts Signed]]=0,0,SalesData[[#This Row],[Profit(€)]]/SalesData[[#This Row],[Contracts Signed]])</f>
        <v>4019</v>
      </c>
      <c r="AJ544" s="5" t="str">
        <f>TRIM(CLEAN(SalesData[[#This Row],[Retailer]]))</f>
        <v>Main Auto Hub</v>
      </c>
    </row>
    <row r="545" spans="1:36" ht="14.25" hidden="1" x14ac:dyDescent="0.2">
      <c r="A545" t="s">
        <v>1059</v>
      </c>
      <c r="B545" s="1">
        <v>46078</v>
      </c>
      <c r="C545" t="s">
        <v>53</v>
      </c>
      <c r="D545" t="s">
        <v>82</v>
      </c>
      <c r="E545" t="s">
        <v>26</v>
      </c>
      <c r="F545" t="s">
        <v>83</v>
      </c>
      <c r="G545" t="s">
        <v>84</v>
      </c>
      <c r="H545" t="s">
        <v>85</v>
      </c>
      <c r="I545" t="s">
        <v>104</v>
      </c>
      <c r="J545" t="s">
        <v>7061</v>
      </c>
      <c r="K545" t="s">
        <v>91</v>
      </c>
      <c r="L545" t="s">
        <v>46</v>
      </c>
      <c r="M545" t="s">
        <v>87</v>
      </c>
      <c r="N545" t="s">
        <v>69</v>
      </c>
      <c r="O545" t="s">
        <v>36</v>
      </c>
      <c r="P545" t="s">
        <v>58</v>
      </c>
      <c r="Q545" t="s">
        <v>118</v>
      </c>
      <c r="R545">
        <v>309</v>
      </c>
      <c r="S545">
        <v>131</v>
      </c>
      <c r="T545">
        <v>83</v>
      </c>
      <c r="U545">
        <v>24</v>
      </c>
      <c r="V545" t="s">
        <v>1736</v>
      </c>
      <c r="W545">
        <v>28142</v>
      </c>
      <c r="X545" t="s">
        <v>7047</v>
      </c>
      <c r="Y545">
        <v>24949</v>
      </c>
      <c r="Z545">
        <v>675408</v>
      </c>
      <c r="AA545">
        <v>76632</v>
      </c>
      <c r="AB545" t="str">
        <f>(VLOOKUP(SalesData[[#This Row],[Month Number]],Reference!C$5:E$16,2,FALSE))</f>
        <v>Feb</v>
      </c>
      <c r="AC545">
        <f>MONTH(SalesData[[#This Row],[Date]])</f>
        <v>2</v>
      </c>
      <c r="AD545">
        <f>Reference!F$4</f>
        <v>2026</v>
      </c>
      <c r="AE545" t="str">
        <f>IF(OR(SalesData[[#This Row],[Day]]="Saturday",SalesData[[#This Row],[Day]]="Sunday"),"Weekend","Weekday")</f>
        <v>Weekday</v>
      </c>
      <c r="AF545" s="5">
        <f>IF(SalesData[[#This Row],[Contracts Offered]]=0,0,SalesData[[#This Row],[Contracts Signed]]/SalesData[[#This Row],[Contracts Offered]])</f>
        <v>0.28915662650602408</v>
      </c>
      <c r="AG545" s="5">
        <f>IF(SalesData[[#This Row],[Customers Visited]]=0,0,SalesData[[#This Row],[Test Drives]]/SalesData[[#This Row],[Customers Visited]])</f>
        <v>0.42394822006472493</v>
      </c>
      <c r="AH545" s="5">
        <f>IF(SalesData[[#This Row],[Customers Visited]]=0,0,SalesData[[#This Row],[Contracts Signed]]/SalesData[[#This Row],[Customers Visited]])</f>
        <v>7.7669902912621352E-2</v>
      </c>
      <c r="AI545" s="6">
        <f>IF(SalesData[[#This Row],[Contracts Signed]]=0,0,SalesData[[#This Row],[Profit(€)]]/SalesData[[#This Row],[Contracts Signed]])</f>
        <v>3193</v>
      </c>
      <c r="AJ545" s="5" t="str">
        <f>TRIM(CLEAN(SalesData[[#This Row],[Retailer]]))</f>
        <v>Hannover Cars</v>
      </c>
    </row>
    <row r="546" spans="1:36" ht="14.25" hidden="1" x14ac:dyDescent="0.2">
      <c r="A546" t="s">
        <v>1061</v>
      </c>
      <c r="B546" s="1">
        <v>46073</v>
      </c>
      <c r="C546" t="s">
        <v>62</v>
      </c>
      <c r="D546" t="s">
        <v>54</v>
      </c>
      <c r="E546" t="s">
        <v>26</v>
      </c>
      <c r="F546" t="s">
        <v>94</v>
      </c>
      <c r="G546" t="s">
        <v>95</v>
      </c>
      <c r="H546" t="s">
        <v>96</v>
      </c>
      <c r="I546" t="s">
        <v>64</v>
      </c>
      <c r="J546" t="s">
        <v>7029</v>
      </c>
      <c r="K546" t="s">
        <v>78</v>
      </c>
      <c r="L546" t="s">
        <v>33</v>
      </c>
      <c r="M546" t="s">
        <v>87</v>
      </c>
      <c r="N546" t="s">
        <v>48</v>
      </c>
      <c r="O546" t="s">
        <v>36</v>
      </c>
      <c r="P546" t="s">
        <v>37</v>
      </c>
      <c r="Q546" t="s">
        <v>144</v>
      </c>
      <c r="R546">
        <v>209</v>
      </c>
      <c r="S546">
        <v>99</v>
      </c>
      <c r="T546">
        <v>67</v>
      </c>
      <c r="U546">
        <v>28</v>
      </c>
      <c r="V546" t="s">
        <v>6541</v>
      </c>
      <c r="W546">
        <v>59374</v>
      </c>
      <c r="X546" t="s">
        <v>7255</v>
      </c>
      <c r="Y546">
        <v>44418</v>
      </c>
      <c r="Z546">
        <v>1662472</v>
      </c>
      <c r="AA546">
        <v>418768</v>
      </c>
      <c r="AB546" t="str">
        <f>(VLOOKUP(SalesData[[#This Row],[Month Number]],Reference!C$5:E$16,2,FALSE))</f>
        <v>Feb</v>
      </c>
      <c r="AC546">
        <f>MONTH(SalesData[[#This Row],[Date]])</f>
        <v>2</v>
      </c>
      <c r="AD546">
        <f>Reference!F$4</f>
        <v>2026</v>
      </c>
      <c r="AE546" t="str">
        <f>IF(OR(SalesData[[#This Row],[Day]]="Saturday",SalesData[[#This Row],[Day]]="Sunday"),"Weekend","Weekday")</f>
        <v>Weekday</v>
      </c>
      <c r="AF546" s="5">
        <f>IF(SalesData[[#This Row],[Contracts Offered]]=0,0,SalesData[[#This Row],[Contracts Signed]]/SalesData[[#This Row],[Contracts Offered]])</f>
        <v>0.41791044776119401</v>
      </c>
      <c r="AG546" s="5">
        <f>IF(SalesData[[#This Row],[Customers Visited]]=0,0,SalesData[[#This Row],[Test Drives]]/SalesData[[#This Row],[Customers Visited]])</f>
        <v>0.47368421052631576</v>
      </c>
      <c r="AH546" s="5">
        <f>IF(SalesData[[#This Row],[Customers Visited]]=0,0,SalesData[[#This Row],[Contracts Signed]]/SalesData[[#This Row],[Customers Visited]])</f>
        <v>0.13397129186602871</v>
      </c>
      <c r="AI546" s="6">
        <f>IF(SalesData[[#This Row],[Contracts Signed]]=0,0,SalesData[[#This Row],[Profit(€)]]/SalesData[[#This Row],[Contracts Signed]])</f>
        <v>14956</v>
      </c>
      <c r="AJ546" s="5" t="str">
        <f>TRIM(CLEAN(SalesData[[#This Row],[Retailer]]))</f>
        <v>Bavaria Motors</v>
      </c>
    </row>
    <row r="547" spans="1:36" ht="14.25" hidden="1" x14ac:dyDescent="0.2">
      <c r="A547" t="s">
        <v>1062</v>
      </c>
      <c r="B547" s="1">
        <v>46055</v>
      </c>
      <c r="C547" t="s">
        <v>24</v>
      </c>
      <c r="D547" t="s">
        <v>25</v>
      </c>
      <c r="E547" t="s">
        <v>26</v>
      </c>
      <c r="F547" t="s">
        <v>7649</v>
      </c>
      <c r="G547" t="s">
        <v>55</v>
      </c>
      <c r="H547" t="s">
        <v>55</v>
      </c>
      <c r="I547" t="s">
        <v>64</v>
      </c>
      <c r="J547" t="s">
        <v>77</v>
      </c>
      <c r="K547" t="s">
        <v>32</v>
      </c>
      <c r="L547" t="s">
        <v>46</v>
      </c>
      <c r="M547" t="s">
        <v>68</v>
      </c>
      <c r="N547" t="s">
        <v>35</v>
      </c>
      <c r="O547" t="s">
        <v>36</v>
      </c>
      <c r="P547" t="s">
        <v>49</v>
      </c>
      <c r="Q547" t="s">
        <v>189</v>
      </c>
      <c r="R547">
        <v>210</v>
      </c>
      <c r="S547">
        <v>112</v>
      </c>
      <c r="T547">
        <v>77</v>
      </c>
      <c r="U547">
        <v>26</v>
      </c>
      <c r="V547" t="s">
        <v>6557</v>
      </c>
      <c r="W547">
        <v>51037</v>
      </c>
      <c r="X547" t="s">
        <v>184</v>
      </c>
      <c r="Y547">
        <v>36891</v>
      </c>
      <c r="Z547">
        <v>1326962</v>
      </c>
      <c r="AA547">
        <v>367796</v>
      </c>
      <c r="AB547" t="str">
        <f>(VLOOKUP(SalesData[[#This Row],[Month Number]],Reference!C$5:E$16,2,FALSE))</f>
        <v>Feb</v>
      </c>
      <c r="AC547">
        <f>MONTH(SalesData[[#This Row],[Date]])</f>
        <v>2</v>
      </c>
      <c r="AD547">
        <f>Reference!F$4</f>
        <v>2026</v>
      </c>
      <c r="AE547" t="str">
        <f>IF(OR(SalesData[[#This Row],[Day]]="Saturday",SalesData[[#This Row],[Day]]="Sunday"),"Weekend","Weekday")</f>
        <v>Weekday</v>
      </c>
      <c r="AF547" s="5">
        <f>IF(SalesData[[#This Row],[Contracts Offered]]=0,0,SalesData[[#This Row],[Contracts Signed]]/SalesData[[#This Row],[Contracts Offered]])</f>
        <v>0.33766233766233766</v>
      </c>
      <c r="AG547" s="5">
        <f>IF(SalesData[[#This Row],[Customers Visited]]=0,0,SalesData[[#This Row],[Test Drives]]/SalesData[[#This Row],[Customers Visited]])</f>
        <v>0.53333333333333333</v>
      </c>
      <c r="AH547" s="5">
        <f>IF(SalesData[[#This Row],[Customers Visited]]=0,0,SalesData[[#This Row],[Contracts Signed]]/SalesData[[#This Row],[Customers Visited]])</f>
        <v>0.12380952380952381</v>
      </c>
      <c r="AI547" s="6">
        <f>IF(SalesData[[#This Row],[Contracts Signed]]=0,0,SalesData[[#This Row],[Profit(€)]]/SalesData[[#This Row],[Contracts Signed]])</f>
        <v>14146</v>
      </c>
      <c r="AJ547" s="5" t="str">
        <f>TRIM(CLEAN(SalesData[[#This Row],[Retailer]]))</f>
        <v>Autohaus Berlin</v>
      </c>
    </row>
    <row r="548" spans="1:36" ht="14.25" hidden="1" x14ac:dyDescent="0.2">
      <c r="A548" t="s">
        <v>1063</v>
      </c>
      <c r="B548" s="1">
        <v>46068</v>
      </c>
      <c r="C548" t="s">
        <v>62</v>
      </c>
      <c r="D548" t="s">
        <v>41</v>
      </c>
      <c r="E548" t="s">
        <v>42</v>
      </c>
      <c r="F548" t="s">
        <v>7649</v>
      </c>
      <c r="G548" t="s">
        <v>55</v>
      </c>
      <c r="H548" t="s">
        <v>55</v>
      </c>
      <c r="I548" t="s">
        <v>116</v>
      </c>
      <c r="J548" t="s">
        <v>7026</v>
      </c>
      <c r="K548" t="s">
        <v>91</v>
      </c>
      <c r="L548" t="s">
        <v>46</v>
      </c>
      <c r="M548" t="s">
        <v>47</v>
      </c>
      <c r="N548" t="s">
        <v>69</v>
      </c>
      <c r="O548" t="s">
        <v>36</v>
      </c>
      <c r="P548" t="s">
        <v>49</v>
      </c>
      <c r="Q548" t="s">
        <v>204</v>
      </c>
      <c r="R548">
        <v>339</v>
      </c>
      <c r="S548">
        <v>187</v>
      </c>
      <c r="T548">
        <v>129</v>
      </c>
      <c r="U548">
        <v>27</v>
      </c>
      <c r="V548" t="s">
        <v>224</v>
      </c>
      <c r="W548">
        <v>21420</v>
      </c>
      <c r="X548" t="s">
        <v>1911</v>
      </c>
      <c r="Y548">
        <v>19175</v>
      </c>
      <c r="Z548">
        <v>578340</v>
      </c>
      <c r="AA548">
        <v>60615</v>
      </c>
      <c r="AB548" t="str">
        <f>(VLOOKUP(SalesData[[#This Row],[Month Number]],Reference!C$5:E$16,2,FALSE))</f>
        <v>Feb</v>
      </c>
      <c r="AC548">
        <f>MONTH(SalesData[[#This Row],[Date]])</f>
        <v>2</v>
      </c>
      <c r="AD548">
        <f>Reference!F$4</f>
        <v>2026</v>
      </c>
      <c r="AE548" t="str">
        <f>IF(OR(SalesData[[#This Row],[Day]]="Saturday",SalesData[[#This Row],[Day]]="Sunday"),"Weekend","Weekday")</f>
        <v>Weekend</v>
      </c>
      <c r="AF548" s="5">
        <f>IF(SalesData[[#This Row],[Contracts Offered]]=0,0,SalesData[[#This Row],[Contracts Signed]]/SalesData[[#This Row],[Contracts Offered]])</f>
        <v>0.20930232558139536</v>
      </c>
      <c r="AG548" s="5">
        <f>IF(SalesData[[#This Row],[Customers Visited]]=0,0,SalesData[[#This Row],[Test Drives]]/SalesData[[#This Row],[Customers Visited]])</f>
        <v>0.55162241887905605</v>
      </c>
      <c r="AH548" s="5">
        <f>IF(SalesData[[#This Row],[Customers Visited]]=0,0,SalesData[[#This Row],[Contracts Signed]]/SalesData[[#This Row],[Customers Visited]])</f>
        <v>7.9646017699115043E-2</v>
      </c>
      <c r="AI548" s="6">
        <f>IF(SalesData[[#This Row],[Contracts Signed]]=0,0,SalesData[[#This Row],[Profit(€)]]/SalesData[[#This Row],[Contracts Signed]])</f>
        <v>2245</v>
      </c>
      <c r="AJ548" s="5" t="str">
        <f>TRIM(CLEAN(SalesData[[#This Row],[Retailer]]))</f>
        <v>Autohaus Berlin</v>
      </c>
    </row>
    <row r="549" spans="1:36" ht="14.25" hidden="1" x14ac:dyDescent="0.2">
      <c r="A549" t="s">
        <v>1065</v>
      </c>
      <c r="B549" s="1">
        <v>46064</v>
      </c>
      <c r="C549" t="s">
        <v>121</v>
      </c>
      <c r="D549" t="s">
        <v>82</v>
      </c>
      <c r="E549" t="s">
        <v>26</v>
      </c>
      <c r="F549" t="s">
        <v>83</v>
      </c>
      <c r="G549" t="s">
        <v>84</v>
      </c>
      <c r="H549" t="s">
        <v>85</v>
      </c>
      <c r="I549" t="s">
        <v>116</v>
      </c>
      <c r="J549" t="s">
        <v>132</v>
      </c>
      <c r="K549" t="s">
        <v>78</v>
      </c>
      <c r="L549" t="s">
        <v>46</v>
      </c>
      <c r="M549" t="s">
        <v>87</v>
      </c>
      <c r="N549" t="s">
        <v>69</v>
      </c>
      <c r="O549" t="s">
        <v>36</v>
      </c>
      <c r="P549" t="s">
        <v>58</v>
      </c>
      <c r="Q549" t="s">
        <v>129</v>
      </c>
      <c r="R549">
        <v>342</v>
      </c>
      <c r="S549">
        <v>150</v>
      </c>
      <c r="T549">
        <v>95</v>
      </c>
      <c r="U549">
        <v>28</v>
      </c>
      <c r="V549" t="s">
        <v>935</v>
      </c>
      <c r="W549">
        <v>26015</v>
      </c>
      <c r="X549" t="s">
        <v>3932</v>
      </c>
      <c r="Y549">
        <v>24181</v>
      </c>
      <c r="Z549">
        <v>728420</v>
      </c>
      <c r="AA549">
        <v>51352</v>
      </c>
      <c r="AB549" t="str">
        <f>(VLOOKUP(SalesData[[#This Row],[Month Number]],Reference!C$5:E$16,2,FALSE))</f>
        <v>Feb</v>
      </c>
      <c r="AC549">
        <f>MONTH(SalesData[[#This Row],[Date]])</f>
        <v>2</v>
      </c>
      <c r="AD549">
        <f>Reference!F$4</f>
        <v>2026</v>
      </c>
      <c r="AE549" t="str">
        <f>IF(OR(SalesData[[#This Row],[Day]]="Saturday",SalesData[[#This Row],[Day]]="Sunday"),"Weekend","Weekday")</f>
        <v>Weekday</v>
      </c>
      <c r="AF549" s="5">
        <f>IF(SalesData[[#This Row],[Contracts Offered]]=0,0,SalesData[[#This Row],[Contracts Signed]]/SalesData[[#This Row],[Contracts Offered]])</f>
        <v>0.29473684210526313</v>
      </c>
      <c r="AG549" s="5">
        <f>IF(SalesData[[#This Row],[Customers Visited]]=0,0,SalesData[[#This Row],[Test Drives]]/SalesData[[#This Row],[Customers Visited]])</f>
        <v>0.43859649122807015</v>
      </c>
      <c r="AH549" s="5">
        <f>IF(SalesData[[#This Row],[Customers Visited]]=0,0,SalesData[[#This Row],[Contracts Signed]]/SalesData[[#This Row],[Customers Visited]])</f>
        <v>8.1871345029239762E-2</v>
      </c>
      <c r="AI549" s="6">
        <f>IF(SalesData[[#This Row],[Contracts Signed]]=0,0,SalesData[[#This Row],[Profit(€)]]/SalesData[[#This Row],[Contracts Signed]])</f>
        <v>1834</v>
      </c>
      <c r="AJ549" s="5" t="str">
        <f>TRIM(CLEAN(SalesData[[#This Row],[Retailer]]))</f>
        <v>Hannover Cars</v>
      </c>
    </row>
    <row r="550" spans="1:36" ht="14.25" hidden="1" x14ac:dyDescent="0.2">
      <c r="A550" t="s">
        <v>1067</v>
      </c>
      <c r="B550" s="1">
        <v>46077</v>
      </c>
      <c r="C550" t="s">
        <v>53</v>
      </c>
      <c r="D550" t="s">
        <v>63</v>
      </c>
      <c r="E550" t="s">
        <v>26</v>
      </c>
      <c r="F550" t="s">
        <v>43</v>
      </c>
      <c r="G550" t="s">
        <v>44</v>
      </c>
      <c r="H550" t="s">
        <v>45</v>
      </c>
      <c r="I550" t="s">
        <v>56</v>
      </c>
      <c r="J550" t="s">
        <v>57</v>
      </c>
      <c r="K550" t="s">
        <v>78</v>
      </c>
      <c r="L550" t="s">
        <v>46</v>
      </c>
      <c r="M550" t="s">
        <v>68</v>
      </c>
      <c r="N550" t="s">
        <v>35</v>
      </c>
      <c r="O550" t="s">
        <v>36</v>
      </c>
      <c r="P550" t="s">
        <v>49</v>
      </c>
      <c r="Q550" t="s">
        <v>79</v>
      </c>
      <c r="R550">
        <v>161</v>
      </c>
      <c r="S550">
        <v>82</v>
      </c>
      <c r="T550">
        <v>61</v>
      </c>
      <c r="U550">
        <v>16</v>
      </c>
      <c r="V550" t="s">
        <v>1624</v>
      </c>
      <c r="W550">
        <v>46093</v>
      </c>
      <c r="X550" t="s">
        <v>7218</v>
      </c>
      <c r="Y550">
        <v>35149</v>
      </c>
      <c r="Z550">
        <v>737488</v>
      </c>
      <c r="AA550">
        <v>175104</v>
      </c>
      <c r="AB550" t="str">
        <f>(VLOOKUP(SalesData[[#This Row],[Month Number]],Reference!C$5:E$16,2,FALSE))</f>
        <v>Feb</v>
      </c>
      <c r="AC550">
        <f>MONTH(SalesData[[#This Row],[Date]])</f>
        <v>2</v>
      </c>
      <c r="AD550">
        <f>Reference!F$4</f>
        <v>2026</v>
      </c>
      <c r="AE550" t="str">
        <f>IF(OR(SalesData[[#This Row],[Day]]="Saturday",SalesData[[#This Row],[Day]]="Sunday"),"Weekend","Weekday")</f>
        <v>Weekday</v>
      </c>
      <c r="AF550" s="5">
        <f>IF(SalesData[[#This Row],[Contracts Offered]]=0,0,SalesData[[#This Row],[Contracts Signed]]/SalesData[[#This Row],[Contracts Offered]])</f>
        <v>0.26229508196721313</v>
      </c>
      <c r="AG550" s="5">
        <f>IF(SalesData[[#This Row],[Customers Visited]]=0,0,SalesData[[#This Row],[Test Drives]]/SalesData[[#This Row],[Customers Visited]])</f>
        <v>0.50931677018633537</v>
      </c>
      <c r="AH550" s="5">
        <f>IF(SalesData[[#This Row],[Customers Visited]]=0,0,SalesData[[#This Row],[Contracts Signed]]/SalesData[[#This Row],[Customers Visited]])</f>
        <v>9.9378881987577633E-2</v>
      </c>
      <c r="AI550" s="6">
        <f>IF(SalesData[[#This Row],[Contracts Signed]]=0,0,SalesData[[#This Row],[Profit(€)]]/SalesData[[#This Row],[Contracts Signed]])</f>
        <v>10944</v>
      </c>
      <c r="AJ550" s="5" t="str">
        <f>TRIM(CLEAN(SalesData[[#This Row],[Retailer]]))</f>
        <v>Saxon Wheels</v>
      </c>
    </row>
    <row r="551" spans="1:36" ht="14.25" hidden="1" x14ac:dyDescent="0.2">
      <c r="A551" t="s">
        <v>1069</v>
      </c>
      <c r="B551" s="1">
        <v>46058</v>
      </c>
      <c r="C551" t="s">
        <v>24</v>
      </c>
      <c r="D551" t="s">
        <v>100</v>
      </c>
      <c r="E551" t="s">
        <v>26</v>
      </c>
      <c r="F551" t="s">
        <v>7649</v>
      </c>
      <c r="G551" t="s">
        <v>55</v>
      </c>
      <c r="H551" t="s">
        <v>55</v>
      </c>
      <c r="I551" t="s">
        <v>104</v>
      </c>
      <c r="J551" t="s">
        <v>7031</v>
      </c>
      <c r="K551" t="s">
        <v>32</v>
      </c>
      <c r="L551" t="s">
        <v>46</v>
      </c>
      <c r="M551" t="s">
        <v>68</v>
      </c>
      <c r="N551" t="s">
        <v>35</v>
      </c>
      <c r="O551" t="s">
        <v>36</v>
      </c>
      <c r="P551" t="s">
        <v>58</v>
      </c>
      <c r="Q551" t="s">
        <v>152</v>
      </c>
      <c r="R551">
        <v>502</v>
      </c>
      <c r="S551">
        <v>266</v>
      </c>
      <c r="T551">
        <v>170</v>
      </c>
      <c r="U551">
        <v>57</v>
      </c>
      <c r="V551" t="s">
        <v>6452</v>
      </c>
      <c r="W551">
        <v>32713</v>
      </c>
      <c r="X551" t="s">
        <v>1146</v>
      </c>
      <c r="Y551">
        <v>29325</v>
      </c>
      <c r="Z551">
        <v>1864641</v>
      </c>
      <c r="AA551">
        <v>193116</v>
      </c>
      <c r="AB551" t="str">
        <f>(VLOOKUP(SalesData[[#This Row],[Month Number]],Reference!C$5:E$16,2,FALSE))</f>
        <v>Feb</v>
      </c>
      <c r="AC551">
        <f>MONTH(SalesData[[#This Row],[Date]])</f>
        <v>2</v>
      </c>
      <c r="AD551">
        <f>Reference!F$4</f>
        <v>2026</v>
      </c>
      <c r="AE551" t="str">
        <f>IF(OR(SalesData[[#This Row],[Day]]="Saturday",SalesData[[#This Row],[Day]]="Sunday"),"Weekend","Weekday")</f>
        <v>Weekday</v>
      </c>
      <c r="AF551" s="5">
        <f>IF(SalesData[[#This Row],[Contracts Offered]]=0,0,SalesData[[#This Row],[Contracts Signed]]/SalesData[[#This Row],[Contracts Offered]])</f>
        <v>0.3352941176470588</v>
      </c>
      <c r="AG551" s="5">
        <f>IF(SalesData[[#This Row],[Customers Visited]]=0,0,SalesData[[#This Row],[Test Drives]]/SalesData[[#This Row],[Customers Visited]])</f>
        <v>0.52988047808764938</v>
      </c>
      <c r="AH551" s="5">
        <f>IF(SalesData[[#This Row],[Customers Visited]]=0,0,SalesData[[#This Row],[Contracts Signed]]/SalesData[[#This Row],[Customers Visited]])</f>
        <v>0.11354581673306773</v>
      </c>
      <c r="AI551" s="6">
        <f>IF(SalesData[[#This Row],[Contracts Signed]]=0,0,SalesData[[#This Row],[Profit(€)]]/SalesData[[#This Row],[Contracts Signed]])</f>
        <v>3388</v>
      </c>
      <c r="AJ551" s="5" t="str">
        <f>TRIM(CLEAN(SalesData[[#This Row],[Retailer]]))</f>
        <v>Autohaus Berlin</v>
      </c>
    </row>
    <row r="552" spans="1:36" ht="14.25" hidden="1" x14ac:dyDescent="0.2">
      <c r="A552" t="s">
        <v>1071</v>
      </c>
      <c r="B552" s="1">
        <v>46060</v>
      </c>
      <c r="C552" t="s">
        <v>24</v>
      </c>
      <c r="D552" t="s">
        <v>151</v>
      </c>
      <c r="E552" t="s">
        <v>42</v>
      </c>
      <c r="F552" t="s">
        <v>114</v>
      </c>
      <c r="G552" t="s">
        <v>115</v>
      </c>
      <c r="H552" t="s">
        <v>115</v>
      </c>
      <c r="I552" t="s">
        <v>56</v>
      </c>
      <c r="J552" t="s">
        <v>57</v>
      </c>
      <c r="K552" t="s">
        <v>78</v>
      </c>
      <c r="L552" t="s">
        <v>46</v>
      </c>
      <c r="M552" t="s">
        <v>68</v>
      </c>
      <c r="N552" t="s">
        <v>48</v>
      </c>
      <c r="O552" t="s">
        <v>70</v>
      </c>
      <c r="P552" t="s">
        <v>71</v>
      </c>
      <c r="Q552" t="s">
        <v>152</v>
      </c>
      <c r="R552">
        <v>196</v>
      </c>
      <c r="S552">
        <v>119</v>
      </c>
      <c r="T552">
        <v>82</v>
      </c>
      <c r="U552">
        <v>27</v>
      </c>
      <c r="V552" t="s">
        <v>6715</v>
      </c>
      <c r="W552">
        <v>46806</v>
      </c>
      <c r="X552" t="s">
        <v>7171</v>
      </c>
      <c r="Y552">
        <v>38029</v>
      </c>
      <c r="Z552">
        <v>1263762</v>
      </c>
      <c r="AA552">
        <v>236979</v>
      </c>
      <c r="AB552" t="str">
        <f>(VLOOKUP(SalesData[[#This Row],[Month Number]],Reference!C$5:E$16,2,FALSE))</f>
        <v>Feb</v>
      </c>
      <c r="AC552">
        <f>MONTH(SalesData[[#This Row],[Date]])</f>
        <v>2</v>
      </c>
      <c r="AD552">
        <f>Reference!F$4</f>
        <v>2026</v>
      </c>
      <c r="AE552" t="str">
        <f>IF(OR(SalesData[[#This Row],[Day]]="Saturday",SalesData[[#This Row],[Day]]="Sunday"),"Weekend","Weekday")</f>
        <v>Weekend</v>
      </c>
      <c r="AF552" s="5">
        <f>IF(SalesData[[#This Row],[Contracts Offered]]=0,0,SalesData[[#This Row],[Contracts Signed]]/SalesData[[#This Row],[Contracts Offered]])</f>
        <v>0.32926829268292684</v>
      </c>
      <c r="AG552" s="5">
        <f>IF(SalesData[[#This Row],[Customers Visited]]=0,0,SalesData[[#This Row],[Test Drives]]/SalesData[[#This Row],[Customers Visited]])</f>
        <v>0.6071428571428571</v>
      </c>
      <c r="AH552" s="5">
        <f>IF(SalesData[[#This Row],[Customers Visited]]=0,0,SalesData[[#This Row],[Contracts Signed]]/SalesData[[#This Row],[Customers Visited]])</f>
        <v>0.13775510204081631</v>
      </c>
      <c r="AI552" s="6">
        <f>IF(SalesData[[#This Row],[Contracts Signed]]=0,0,SalesData[[#This Row],[Profit(€)]]/SalesData[[#This Row],[Contracts Signed]])</f>
        <v>8777</v>
      </c>
      <c r="AJ552" s="5" t="str">
        <f>TRIM(CLEAN(SalesData[[#This Row],[Retailer]]))</f>
        <v>Elbe Drive</v>
      </c>
    </row>
    <row r="553" spans="1:36" ht="14.25" hidden="1" x14ac:dyDescent="0.2">
      <c r="A553" t="s">
        <v>1072</v>
      </c>
      <c r="B553" s="1">
        <v>46072</v>
      </c>
      <c r="C553" t="s">
        <v>62</v>
      </c>
      <c r="D553" t="s">
        <v>100</v>
      </c>
      <c r="E553" t="s">
        <v>26</v>
      </c>
      <c r="F553" t="s">
        <v>94</v>
      </c>
      <c r="G553" t="s">
        <v>95</v>
      </c>
      <c r="H553" t="s">
        <v>96</v>
      </c>
      <c r="I553" t="s">
        <v>64</v>
      </c>
      <c r="J553" t="s">
        <v>111</v>
      </c>
      <c r="K553" t="s">
        <v>66</v>
      </c>
      <c r="L553" t="s">
        <v>46</v>
      </c>
      <c r="M553" t="s">
        <v>68</v>
      </c>
      <c r="N553" t="s">
        <v>48</v>
      </c>
      <c r="O553" t="s">
        <v>70</v>
      </c>
      <c r="P553" t="s">
        <v>49</v>
      </c>
      <c r="Q553" t="s">
        <v>79</v>
      </c>
      <c r="R553">
        <v>283</v>
      </c>
      <c r="S553">
        <v>132</v>
      </c>
      <c r="T553">
        <v>99</v>
      </c>
      <c r="U553">
        <v>33</v>
      </c>
      <c r="V553" t="s">
        <v>6403</v>
      </c>
      <c r="W553">
        <v>61821</v>
      </c>
      <c r="X553" t="s">
        <v>488</v>
      </c>
      <c r="Y553">
        <v>48361</v>
      </c>
      <c r="Z553">
        <v>2040093</v>
      </c>
      <c r="AA553">
        <v>444180</v>
      </c>
      <c r="AB553" t="str">
        <f>(VLOOKUP(SalesData[[#This Row],[Month Number]],Reference!C$5:E$16,2,FALSE))</f>
        <v>Feb</v>
      </c>
      <c r="AC553">
        <f>MONTH(SalesData[[#This Row],[Date]])</f>
        <v>2</v>
      </c>
      <c r="AD553">
        <f>Reference!F$4</f>
        <v>2026</v>
      </c>
      <c r="AE553" t="str">
        <f>IF(OR(SalesData[[#This Row],[Day]]="Saturday",SalesData[[#This Row],[Day]]="Sunday"),"Weekend","Weekday")</f>
        <v>Weekday</v>
      </c>
      <c r="AF553" s="5">
        <f>IF(SalesData[[#This Row],[Contracts Offered]]=0,0,SalesData[[#This Row],[Contracts Signed]]/SalesData[[#This Row],[Contracts Offered]])</f>
        <v>0.33333333333333331</v>
      </c>
      <c r="AG553" s="5">
        <f>IF(SalesData[[#This Row],[Customers Visited]]=0,0,SalesData[[#This Row],[Test Drives]]/SalesData[[#This Row],[Customers Visited]])</f>
        <v>0.46643109540636041</v>
      </c>
      <c r="AH553" s="5">
        <f>IF(SalesData[[#This Row],[Customers Visited]]=0,0,SalesData[[#This Row],[Contracts Signed]]/SalesData[[#This Row],[Customers Visited]])</f>
        <v>0.1166077738515901</v>
      </c>
      <c r="AI553" s="6">
        <f>IF(SalesData[[#This Row],[Contracts Signed]]=0,0,SalesData[[#This Row],[Profit(€)]]/SalesData[[#This Row],[Contracts Signed]])</f>
        <v>13460</v>
      </c>
      <c r="AJ553" s="5" t="str">
        <f>TRIM(CLEAN(SalesData[[#This Row],[Retailer]]))</f>
        <v>Bavaria Motors</v>
      </c>
    </row>
    <row r="554" spans="1:36" ht="14.25" hidden="1" x14ac:dyDescent="0.2">
      <c r="A554" t="s">
        <v>1074</v>
      </c>
      <c r="B554" s="1">
        <v>46081</v>
      </c>
      <c r="C554" t="s">
        <v>53</v>
      </c>
      <c r="D554" t="s">
        <v>151</v>
      </c>
      <c r="E554" t="s">
        <v>42</v>
      </c>
      <c r="F554" t="s">
        <v>101</v>
      </c>
      <c r="G554" t="s">
        <v>102</v>
      </c>
      <c r="H554" t="s">
        <v>103</v>
      </c>
      <c r="I554" t="s">
        <v>104</v>
      </c>
      <c r="J554" t="s">
        <v>140</v>
      </c>
      <c r="K554" t="s">
        <v>32</v>
      </c>
      <c r="L554" t="s">
        <v>46</v>
      </c>
      <c r="M554" t="s">
        <v>34</v>
      </c>
      <c r="N554" t="s">
        <v>48</v>
      </c>
      <c r="O554" t="s">
        <v>70</v>
      </c>
      <c r="P554" t="s">
        <v>58</v>
      </c>
      <c r="Q554" t="s">
        <v>122</v>
      </c>
      <c r="R554">
        <v>519</v>
      </c>
      <c r="S554">
        <v>298</v>
      </c>
      <c r="T554">
        <v>195</v>
      </c>
      <c r="U554">
        <v>48</v>
      </c>
      <c r="V554" t="s">
        <v>4155</v>
      </c>
      <c r="W554">
        <v>33181</v>
      </c>
      <c r="X554" t="s">
        <v>450</v>
      </c>
      <c r="Y554">
        <v>29799</v>
      </c>
      <c r="Z554">
        <v>1592688</v>
      </c>
      <c r="AA554">
        <v>162336</v>
      </c>
      <c r="AB554" t="str">
        <f>(VLOOKUP(SalesData[[#This Row],[Month Number]],Reference!C$5:E$16,2,FALSE))</f>
        <v>Feb</v>
      </c>
      <c r="AC554">
        <f>MONTH(SalesData[[#This Row],[Date]])</f>
        <v>2</v>
      </c>
      <c r="AD554">
        <f>Reference!F$4</f>
        <v>2026</v>
      </c>
      <c r="AE554" t="str">
        <f>IF(OR(SalesData[[#This Row],[Day]]="Saturday",SalesData[[#This Row],[Day]]="Sunday"),"Weekend","Weekday")</f>
        <v>Weekend</v>
      </c>
      <c r="AF554" s="5">
        <f>IF(SalesData[[#This Row],[Contracts Offered]]=0,0,SalesData[[#This Row],[Contracts Signed]]/SalesData[[#This Row],[Contracts Offered]])</f>
        <v>0.24615384615384617</v>
      </c>
      <c r="AG554" s="5">
        <f>IF(SalesData[[#This Row],[Customers Visited]]=0,0,SalesData[[#This Row],[Test Drives]]/SalesData[[#This Row],[Customers Visited]])</f>
        <v>0.5741811175337187</v>
      </c>
      <c r="AH554" s="5">
        <f>IF(SalesData[[#This Row],[Customers Visited]]=0,0,SalesData[[#This Row],[Contracts Signed]]/SalesData[[#This Row],[Customers Visited]])</f>
        <v>9.2485549132947972E-2</v>
      </c>
      <c r="AI554" s="6">
        <f>IF(SalesData[[#This Row],[Contracts Signed]]=0,0,SalesData[[#This Row],[Profit(€)]]/SalesData[[#This Row],[Contracts Signed]])</f>
        <v>3382</v>
      </c>
      <c r="AJ554" s="5" t="str">
        <f>TRIM(CLEAN(SalesData[[#This Row],[Retailer]]))</f>
        <v>Ruhr Auto Plaza</v>
      </c>
    </row>
    <row r="555" spans="1:36" ht="14.25" hidden="1" x14ac:dyDescent="0.2">
      <c r="A555" t="s">
        <v>1076</v>
      </c>
      <c r="B555" s="1">
        <v>46060</v>
      </c>
      <c r="C555" t="s">
        <v>24</v>
      </c>
      <c r="D555" t="s">
        <v>151</v>
      </c>
      <c r="E555" t="s">
        <v>42</v>
      </c>
      <c r="F555" t="s">
        <v>74</v>
      </c>
      <c r="G555" t="s">
        <v>75</v>
      </c>
      <c r="H555" t="s">
        <v>76</v>
      </c>
      <c r="I555" t="s">
        <v>104</v>
      </c>
      <c r="J555" t="s">
        <v>105</v>
      </c>
      <c r="K555" t="s">
        <v>32</v>
      </c>
      <c r="L555" t="s">
        <v>33</v>
      </c>
      <c r="M555" t="s">
        <v>34</v>
      </c>
      <c r="N555" t="s">
        <v>69</v>
      </c>
      <c r="O555" t="s">
        <v>36</v>
      </c>
      <c r="P555" t="s">
        <v>58</v>
      </c>
      <c r="Q555" t="s">
        <v>88</v>
      </c>
      <c r="R555">
        <v>438</v>
      </c>
      <c r="S555">
        <v>231</v>
      </c>
      <c r="T555">
        <v>160</v>
      </c>
      <c r="U555">
        <v>50</v>
      </c>
      <c r="V555" t="s">
        <v>6762</v>
      </c>
      <c r="W555">
        <v>27314</v>
      </c>
      <c r="X555" t="s">
        <v>3480</v>
      </c>
      <c r="Y555">
        <v>24226</v>
      </c>
      <c r="Z555">
        <v>1365700</v>
      </c>
      <c r="AA555">
        <v>154400</v>
      </c>
      <c r="AB555" t="str">
        <f>(VLOOKUP(SalesData[[#This Row],[Month Number]],Reference!C$5:E$16,2,FALSE))</f>
        <v>Feb</v>
      </c>
      <c r="AC555">
        <f>MONTH(SalesData[[#This Row],[Date]])</f>
        <v>2</v>
      </c>
      <c r="AD555">
        <f>Reference!F$4</f>
        <v>2026</v>
      </c>
      <c r="AE555" t="str">
        <f>IF(OR(SalesData[[#This Row],[Day]]="Saturday",SalesData[[#This Row],[Day]]="Sunday"),"Weekend","Weekday")</f>
        <v>Weekend</v>
      </c>
      <c r="AF555" s="5">
        <f>IF(SalesData[[#This Row],[Contracts Offered]]=0,0,SalesData[[#This Row],[Contracts Signed]]/SalesData[[#This Row],[Contracts Offered]])</f>
        <v>0.3125</v>
      </c>
      <c r="AG555" s="5">
        <f>IF(SalesData[[#This Row],[Customers Visited]]=0,0,SalesData[[#This Row],[Test Drives]]/SalesData[[#This Row],[Customers Visited]])</f>
        <v>0.5273972602739726</v>
      </c>
      <c r="AH555" s="5">
        <f>IF(SalesData[[#This Row],[Customers Visited]]=0,0,SalesData[[#This Row],[Contracts Signed]]/SalesData[[#This Row],[Customers Visited]])</f>
        <v>0.11415525114155251</v>
      </c>
      <c r="AI555" s="6">
        <f>IF(SalesData[[#This Row],[Contracts Signed]]=0,0,SalesData[[#This Row],[Profit(€)]]/SalesData[[#This Row],[Contracts Signed]])</f>
        <v>3088</v>
      </c>
      <c r="AJ555" s="5" t="str">
        <f>TRIM(CLEAN(SalesData[[#This Row],[Retailer]]))</f>
        <v>Stuttgart Auto Center</v>
      </c>
    </row>
    <row r="556" spans="1:36" ht="14.25" hidden="1" x14ac:dyDescent="0.2">
      <c r="A556" t="s">
        <v>1078</v>
      </c>
      <c r="B556" s="1">
        <v>46061</v>
      </c>
      <c r="C556" t="s">
        <v>121</v>
      </c>
      <c r="D556" t="s">
        <v>41</v>
      </c>
      <c r="E556" t="s">
        <v>42</v>
      </c>
      <c r="F556" t="s">
        <v>101</v>
      </c>
      <c r="G556" t="s">
        <v>102</v>
      </c>
      <c r="H556" t="s">
        <v>103</v>
      </c>
      <c r="I556" t="s">
        <v>104</v>
      </c>
      <c r="J556" t="s">
        <v>143</v>
      </c>
      <c r="K556" t="s">
        <v>78</v>
      </c>
      <c r="L556" t="s">
        <v>67</v>
      </c>
      <c r="M556" t="s">
        <v>87</v>
      </c>
      <c r="N556" t="s">
        <v>69</v>
      </c>
      <c r="O556" t="s">
        <v>70</v>
      </c>
      <c r="P556" t="s">
        <v>49</v>
      </c>
      <c r="Q556" t="s">
        <v>88</v>
      </c>
      <c r="R556">
        <v>396</v>
      </c>
      <c r="S556">
        <v>224</v>
      </c>
      <c r="T556">
        <v>135</v>
      </c>
      <c r="U556">
        <v>28</v>
      </c>
      <c r="V556" t="s">
        <v>265</v>
      </c>
      <c r="W556">
        <v>29290</v>
      </c>
      <c r="X556" t="s">
        <v>735</v>
      </c>
      <c r="Y556">
        <v>25378</v>
      </c>
      <c r="Z556">
        <v>820120</v>
      </c>
      <c r="AA556">
        <v>109536</v>
      </c>
      <c r="AB556" t="str">
        <f>(VLOOKUP(SalesData[[#This Row],[Month Number]],Reference!C$5:E$16,2,FALSE))</f>
        <v>Feb</v>
      </c>
      <c r="AC556">
        <f>MONTH(SalesData[[#This Row],[Date]])</f>
        <v>2</v>
      </c>
      <c r="AD556">
        <f>Reference!F$4</f>
        <v>2026</v>
      </c>
      <c r="AE556" t="str">
        <f>IF(OR(SalesData[[#This Row],[Day]]="Saturday",SalesData[[#This Row],[Day]]="Sunday"),"Weekend","Weekday")</f>
        <v>Weekend</v>
      </c>
      <c r="AF556" s="5">
        <f>IF(SalesData[[#This Row],[Contracts Offered]]=0,0,SalesData[[#This Row],[Contracts Signed]]/SalesData[[#This Row],[Contracts Offered]])</f>
        <v>0.2074074074074074</v>
      </c>
      <c r="AG556" s="5">
        <f>IF(SalesData[[#This Row],[Customers Visited]]=0,0,SalesData[[#This Row],[Test Drives]]/SalesData[[#This Row],[Customers Visited]])</f>
        <v>0.56565656565656564</v>
      </c>
      <c r="AH556" s="5">
        <f>IF(SalesData[[#This Row],[Customers Visited]]=0,0,SalesData[[#This Row],[Contracts Signed]]/SalesData[[#This Row],[Customers Visited]])</f>
        <v>7.0707070707070704E-2</v>
      </c>
      <c r="AI556" s="6">
        <f>IF(SalesData[[#This Row],[Contracts Signed]]=0,0,SalesData[[#This Row],[Profit(€)]]/SalesData[[#This Row],[Contracts Signed]])</f>
        <v>3912</v>
      </c>
      <c r="AJ556" s="5" t="str">
        <f>TRIM(CLEAN(SalesData[[#This Row],[Retailer]]))</f>
        <v>Ruhr Auto Plaza</v>
      </c>
    </row>
    <row r="557" spans="1:36" ht="14.25" hidden="1" x14ac:dyDescent="0.2">
      <c r="A557" t="s">
        <v>1080</v>
      </c>
      <c r="B557" s="1">
        <v>46075</v>
      </c>
      <c r="C557" t="s">
        <v>53</v>
      </c>
      <c r="D557" t="s">
        <v>41</v>
      </c>
      <c r="E557" t="s">
        <v>42</v>
      </c>
      <c r="F557" t="s">
        <v>27</v>
      </c>
      <c r="G557" t="s">
        <v>28</v>
      </c>
      <c r="H557" t="s">
        <v>29</v>
      </c>
      <c r="I557" t="s">
        <v>56</v>
      </c>
      <c r="J557" t="s">
        <v>7028</v>
      </c>
      <c r="K557" t="s">
        <v>91</v>
      </c>
      <c r="L557" t="s">
        <v>46</v>
      </c>
      <c r="M557" t="s">
        <v>34</v>
      </c>
      <c r="N557" t="s">
        <v>69</v>
      </c>
      <c r="O557" t="s">
        <v>70</v>
      </c>
      <c r="P557" t="s">
        <v>49</v>
      </c>
      <c r="Q557" t="s">
        <v>129</v>
      </c>
      <c r="R557">
        <v>316</v>
      </c>
      <c r="S557">
        <v>183</v>
      </c>
      <c r="T557">
        <v>125</v>
      </c>
      <c r="U557">
        <v>36</v>
      </c>
      <c r="V557" t="s">
        <v>849</v>
      </c>
      <c r="W557">
        <v>52421</v>
      </c>
      <c r="X557" t="s">
        <v>7256</v>
      </c>
      <c r="Y557">
        <v>40779</v>
      </c>
      <c r="Z557">
        <v>1887156</v>
      </c>
      <c r="AA557">
        <v>419112</v>
      </c>
      <c r="AB557" t="str">
        <f>(VLOOKUP(SalesData[[#This Row],[Month Number]],Reference!C$5:E$16,2,FALSE))</f>
        <v>Feb</v>
      </c>
      <c r="AC557">
        <f>MONTH(SalesData[[#This Row],[Date]])</f>
        <v>2</v>
      </c>
      <c r="AD557">
        <f>Reference!F$4</f>
        <v>2026</v>
      </c>
      <c r="AE557" t="str">
        <f>IF(OR(SalesData[[#This Row],[Day]]="Saturday",SalesData[[#This Row],[Day]]="Sunday"),"Weekend","Weekday")</f>
        <v>Weekend</v>
      </c>
      <c r="AF557" s="5">
        <f>IF(SalesData[[#This Row],[Contracts Offered]]=0,0,SalesData[[#This Row],[Contracts Signed]]/SalesData[[#This Row],[Contracts Offered]])</f>
        <v>0.28799999999999998</v>
      </c>
      <c r="AG557" s="5">
        <f>IF(SalesData[[#This Row],[Customers Visited]]=0,0,SalesData[[#This Row],[Test Drives]]/SalesData[[#This Row],[Customers Visited]])</f>
        <v>0.57911392405063289</v>
      </c>
      <c r="AH557" s="5">
        <f>IF(SalesData[[#This Row],[Customers Visited]]=0,0,SalesData[[#This Row],[Contracts Signed]]/SalesData[[#This Row],[Customers Visited]])</f>
        <v>0.11392405063291139</v>
      </c>
      <c r="AI557" s="6">
        <f>IF(SalesData[[#This Row],[Contracts Signed]]=0,0,SalesData[[#This Row],[Profit(€)]]/SalesData[[#This Row],[Contracts Signed]])</f>
        <v>11642</v>
      </c>
      <c r="AJ557" s="5" t="str">
        <f>TRIM(CLEAN(SalesData[[#This Row],[Retailer]]))</f>
        <v>Main Auto Hub</v>
      </c>
    </row>
    <row r="558" spans="1:36" ht="14.25" x14ac:dyDescent="0.2">
      <c r="A558" t="s">
        <v>1081</v>
      </c>
      <c r="B558" s="1">
        <v>46055</v>
      </c>
      <c r="C558" t="s">
        <v>24</v>
      </c>
      <c r="D558" t="s">
        <v>25</v>
      </c>
      <c r="E558" t="s">
        <v>26</v>
      </c>
      <c r="F558" t="s">
        <v>43</v>
      </c>
      <c r="G558" t="s">
        <v>44</v>
      </c>
      <c r="H558" t="s">
        <v>45</v>
      </c>
      <c r="I558" t="s">
        <v>30</v>
      </c>
      <c r="J558" t="s">
        <v>7075</v>
      </c>
      <c r="K558" t="s">
        <v>66</v>
      </c>
      <c r="L558" t="s">
        <v>33</v>
      </c>
      <c r="M558" t="s">
        <v>68</v>
      </c>
      <c r="N558" t="s">
        <v>35</v>
      </c>
      <c r="O558" t="s">
        <v>36</v>
      </c>
      <c r="P558" t="s">
        <v>37</v>
      </c>
      <c r="Q558" t="s">
        <v>118</v>
      </c>
      <c r="R558">
        <v>194</v>
      </c>
      <c r="S558">
        <v>89</v>
      </c>
      <c r="T558">
        <v>72</v>
      </c>
      <c r="U558">
        <v>22</v>
      </c>
      <c r="V558" t="s">
        <v>6624</v>
      </c>
      <c r="W558">
        <v>66954</v>
      </c>
      <c r="X558" t="s">
        <v>550</v>
      </c>
      <c r="Y558">
        <v>47676</v>
      </c>
      <c r="Z558">
        <v>1472988</v>
      </c>
      <c r="AA558">
        <v>424116</v>
      </c>
      <c r="AB558" t="str">
        <f>(VLOOKUP(SalesData[[#This Row],[Month Number]],Reference!C$5:E$16,2,FALSE))</f>
        <v>Feb</v>
      </c>
      <c r="AC558">
        <f>MONTH(SalesData[[#This Row],[Date]])</f>
        <v>2</v>
      </c>
      <c r="AD558">
        <f>Reference!F$4</f>
        <v>2026</v>
      </c>
      <c r="AE558" t="str">
        <f>IF(OR(SalesData[[#This Row],[Day]]="Saturday",SalesData[[#This Row],[Day]]="Sunday"),"Weekend","Weekday")</f>
        <v>Weekday</v>
      </c>
      <c r="AF558" s="5">
        <f>IF(SalesData[[#This Row],[Contracts Offered]]=0,0,SalesData[[#This Row],[Contracts Signed]]/SalesData[[#This Row],[Contracts Offered]])</f>
        <v>0.30555555555555558</v>
      </c>
      <c r="AG558" s="5">
        <f>IF(SalesData[[#This Row],[Customers Visited]]=0,0,SalesData[[#This Row],[Test Drives]]/SalesData[[#This Row],[Customers Visited]])</f>
        <v>0.45876288659793812</v>
      </c>
      <c r="AH558" s="5">
        <f>IF(SalesData[[#This Row],[Customers Visited]]=0,0,SalesData[[#This Row],[Contracts Signed]]/SalesData[[#This Row],[Customers Visited]])</f>
        <v>0.1134020618556701</v>
      </c>
      <c r="AI558" s="6">
        <f>IF(SalesData[[#This Row],[Contracts Signed]]=0,0,SalesData[[#This Row],[Profit(€)]]/SalesData[[#This Row],[Contracts Signed]])</f>
        <v>19278</v>
      </c>
      <c r="AJ558" s="5" t="str">
        <f>TRIM(CLEAN(SalesData[[#This Row],[Retailer]]))</f>
        <v>Saxon Wheels</v>
      </c>
    </row>
    <row r="559" spans="1:36" ht="14.25" hidden="1" x14ac:dyDescent="0.2">
      <c r="A559" t="s">
        <v>1083</v>
      </c>
      <c r="B559" s="1">
        <v>46080</v>
      </c>
      <c r="C559" t="s">
        <v>53</v>
      </c>
      <c r="D559" t="s">
        <v>54</v>
      </c>
      <c r="E559" t="s">
        <v>26</v>
      </c>
      <c r="F559" t="s">
        <v>127</v>
      </c>
      <c r="G559" t="s">
        <v>128</v>
      </c>
      <c r="H559" t="s">
        <v>103</v>
      </c>
      <c r="I559" t="s">
        <v>64</v>
      </c>
      <c r="J559" t="s">
        <v>65</v>
      </c>
      <c r="K559" t="s">
        <v>66</v>
      </c>
      <c r="L559" t="s">
        <v>33</v>
      </c>
      <c r="M559" t="s">
        <v>47</v>
      </c>
      <c r="N559" t="s">
        <v>35</v>
      </c>
      <c r="O559" t="s">
        <v>36</v>
      </c>
      <c r="P559" t="s">
        <v>37</v>
      </c>
      <c r="Q559" t="s">
        <v>79</v>
      </c>
      <c r="R559">
        <v>186</v>
      </c>
      <c r="S559">
        <v>102</v>
      </c>
      <c r="T559">
        <v>73</v>
      </c>
      <c r="U559">
        <v>24</v>
      </c>
      <c r="V559" t="s">
        <v>6439</v>
      </c>
      <c r="W559">
        <v>66734</v>
      </c>
      <c r="X559" t="s">
        <v>7257</v>
      </c>
      <c r="Y559">
        <v>49427</v>
      </c>
      <c r="Z559">
        <v>1601616</v>
      </c>
      <c r="AA559">
        <v>415368</v>
      </c>
      <c r="AB559" t="str">
        <f>(VLOOKUP(SalesData[[#This Row],[Month Number]],Reference!C$5:E$16,2,FALSE))</f>
        <v>Feb</v>
      </c>
      <c r="AC559">
        <f>MONTH(SalesData[[#This Row],[Date]])</f>
        <v>2</v>
      </c>
      <c r="AD559">
        <f>Reference!F$4</f>
        <v>2026</v>
      </c>
      <c r="AE559" t="str">
        <f>IF(OR(SalesData[[#This Row],[Day]]="Saturday",SalesData[[#This Row],[Day]]="Sunday"),"Weekend","Weekday")</f>
        <v>Weekday</v>
      </c>
      <c r="AF559" s="5">
        <f>IF(SalesData[[#This Row],[Contracts Offered]]=0,0,SalesData[[#This Row],[Contracts Signed]]/SalesData[[#This Row],[Contracts Offered]])</f>
        <v>0.32876712328767121</v>
      </c>
      <c r="AG559" s="5">
        <f>IF(SalesData[[#This Row],[Customers Visited]]=0,0,SalesData[[#This Row],[Test Drives]]/SalesData[[#This Row],[Customers Visited]])</f>
        <v>0.54838709677419351</v>
      </c>
      <c r="AH559" s="5">
        <f>IF(SalesData[[#This Row],[Customers Visited]]=0,0,SalesData[[#This Row],[Contracts Signed]]/SalesData[[#This Row],[Customers Visited]])</f>
        <v>0.12903225806451613</v>
      </c>
      <c r="AI559" s="6">
        <f>IF(SalesData[[#This Row],[Contracts Signed]]=0,0,SalesData[[#This Row],[Profit(€)]]/SalesData[[#This Row],[Contracts Signed]])</f>
        <v>17307</v>
      </c>
      <c r="AJ559" s="5" t="str">
        <f>TRIM(CLEAN(SalesData[[#This Row],[Retailer]]))</f>
        <v>Rhein Auto Group</v>
      </c>
    </row>
    <row r="560" spans="1:36" ht="14.25" hidden="1" x14ac:dyDescent="0.2">
      <c r="A560" t="s">
        <v>1085</v>
      </c>
      <c r="B560" s="1">
        <v>46066</v>
      </c>
      <c r="C560" t="s">
        <v>121</v>
      </c>
      <c r="D560" t="s">
        <v>54</v>
      </c>
      <c r="E560" t="s">
        <v>26</v>
      </c>
      <c r="F560" t="s">
        <v>109</v>
      </c>
      <c r="G560" t="s">
        <v>110</v>
      </c>
      <c r="H560" t="s">
        <v>45</v>
      </c>
      <c r="I560" t="s">
        <v>116</v>
      </c>
      <c r="J560" t="s">
        <v>7026</v>
      </c>
      <c r="K560" t="s">
        <v>66</v>
      </c>
      <c r="L560" t="s">
        <v>46</v>
      </c>
      <c r="M560" t="s">
        <v>68</v>
      </c>
      <c r="N560" t="s">
        <v>35</v>
      </c>
      <c r="O560" t="s">
        <v>36</v>
      </c>
      <c r="P560" t="s">
        <v>37</v>
      </c>
      <c r="Q560" t="s">
        <v>167</v>
      </c>
      <c r="R560">
        <v>252</v>
      </c>
      <c r="S560">
        <v>133</v>
      </c>
      <c r="T560">
        <v>85</v>
      </c>
      <c r="U560">
        <v>21</v>
      </c>
      <c r="V560" t="s">
        <v>456</v>
      </c>
      <c r="W560">
        <v>21468</v>
      </c>
      <c r="X560" t="s">
        <v>2259</v>
      </c>
      <c r="Y560">
        <v>19252</v>
      </c>
      <c r="Z560">
        <v>450828</v>
      </c>
      <c r="AA560">
        <v>46536</v>
      </c>
      <c r="AB560" t="str">
        <f>(VLOOKUP(SalesData[[#This Row],[Month Number]],Reference!C$5:E$16,2,FALSE))</f>
        <v>Feb</v>
      </c>
      <c r="AC560">
        <f>MONTH(SalesData[[#This Row],[Date]])</f>
        <v>2</v>
      </c>
      <c r="AD560">
        <f>Reference!F$4</f>
        <v>2026</v>
      </c>
      <c r="AE560" t="str">
        <f>IF(OR(SalesData[[#This Row],[Day]]="Saturday",SalesData[[#This Row],[Day]]="Sunday"),"Weekend","Weekday")</f>
        <v>Weekday</v>
      </c>
      <c r="AF560" s="5">
        <f>IF(SalesData[[#This Row],[Contracts Offered]]=0,0,SalesData[[#This Row],[Contracts Signed]]/SalesData[[#This Row],[Contracts Offered]])</f>
        <v>0.24705882352941178</v>
      </c>
      <c r="AG560" s="5">
        <f>IF(SalesData[[#This Row],[Customers Visited]]=0,0,SalesData[[#This Row],[Test Drives]]/SalesData[[#This Row],[Customers Visited]])</f>
        <v>0.52777777777777779</v>
      </c>
      <c r="AH560" s="5">
        <f>IF(SalesData[[#This Row],[Customers Visited]]=0,0,SalesData[[#This Row],[Contracts Signed]]/SalesData[[#This Row],[Customers Visited]])</f>
        <v>8.3333333333333329E-2</v>
      </c>
      <c r="AI560" s="6">
        <f>IF(SalesData[[#This Row],[Contracts Signed]]=0,0,SalesData[[#This Row],[Profit(€)]]/SalesData[[#This Row],[Contracts Signed]])</f>
        <v>2216</v>
      </c>
      <c r="AJ560" s="5" t="str">
        <f>TRIM(CLEAN(SalesData[[#This Row],[Retailer]]))</f>
        <v>Leipzig Mobility</v>
      </c>
    </row>
    <row r="561" spans="1:36" ht="14.25" hidden="1" x14ac:dyDescent="0.2">
      <c r="A561" t="s">
        <v>1086</v>
      </c>
      <c r="B561" s="1">
        <v>46070</v>
      </c>
      <c r="C561" t="s">
        <v>62</v>
      </c>
      <c r="D561" t="s">
        <v>63</v>
      </c>
      <c r="E561" t="s">
        <v>26</v>
      </c>
      <c r="F561" t="s">
        <v>101</v>
      </c>
      <c r="G561" t="s">
        <v>102</v>
      </c>
      <c r="H561" t="s">
        <v>103</v>
      </c>
      <c r="I561" t="s">
        <v>64</v>
      </c>
      <c r="J561" t="s">
        <v>7029</v>
      </c>
      <c r="K561" t="s">
        <v>91</v>
      </c>
      <c r="L561" t="s">
        <v>33</v>
      </c>
      <c r="M561" t="s">
        <v>47</v>
      </c>
      <c r="N561" t="s">
        <v>35</v>
      </c>
      <c r="O561" t="s">
        <v>36</v>
      </c>
      <c r="P561" t="s">
        <v>71</v>
      </c>
      <c r="Q561" t="s">
        <v>172</v>
      </c>
      <c r="R561">
        <v>158</v>
      </c>
      <c r="S561">
        <v>93</v>
      </c>
      <c r="T561">
        <v>71</v>
      </c>
      <c r="U561">
        <v>24</v>
      </c>
      <c r="V561" t="s">
        <v>6546</v>
      </c>
      <c r="W561">
        <v>70602</v>
      </c>
      <c r="X561" t="s">
        <v>7258</v>
      </c>
      <c r="Y561">
        <v>51018</v>
      </c>
      <c r="Z561">
        <v>1694448</v>
      </c>
      <c r="AA561">
        <v>470016</v>
      </c>
      <c r="AB561" t="str">
        <f>(VLOOKUP(SalesData[[#This Row],[Month Number]],Reference!C$5:E$16,2,FALSE))</f>
        <v>Feb</v>
      </c>
      <c r="AC561">
        <f>MONTH(SalesData[[#This Row],[Date]])</f>
        <v>2</v>
      </c>
      <c r="AD561">
        <f>Reference!F$4</f>
        <v>2026</v>
      </c>
      <c r="AE561" t="str">
        <f>IF(OR(SalesData[[#This Row],[Day]]="Saturday",SalesData[[#This Row],[Day]]="Sunday"),"Weekend","Weekday")</f>
        <v>Weekday</v>
      </c>
      <c r="AF561" s="5">
        <f>IF(SalesData[[#This Row],[Contracts Offered]]=0,0,SalesData[[#This Row],[Contracts Signed]]/SalesData[[#This Row],[Contracts Offered]])</f>
        <v>0.3380281690140845</v>
      </c>
      <c r="AG561" s="5">
        <f>IF(SalesData[[#This Row],[Customers Visited]]=0,0,SalesData[[#This Row],[Test Drives]]/SalesData[[#This Row],[Customers Visited]])</f>
        <v>0.58860759493670889</v>
      </c>
      <c r="AH561" s="5">
        <f>IF(SalesData[[#This Row],[Customers Visited]]=0,0,SalesData[[#This Row],[Contracts Signed]]/SalesData[[#This Row],[Customers Visited]])</f>
        <v>0.15189873417721519</v>
      </c>
      <c r="AI561" s="6">
        <f>IF(SalesData[[#This Row],[Contracts Signed]]=0,0,SalesData[[#This Row],[Profit(€)]]/SalesData[[#This Row],[Contracts Signed]])</f>
        <v>19584</v>
      </c>
      <c r="AJ561" s="5" t="str">
        <f>TRIM(CLEAN(SalesData[[#This Row],[Retailer]]))</f>
        <v>Ruhr Auto Plaza</v>
      </c>
    </row>
    <row r="562" spans="1:36" ht="14.25" hidden="1" x14ac:dyDescent="0.2">
      <c r="A562" t="s">
        <v>1087</v>
      </c>
      <c r="B562" s="1">
        <v>46075</v>
      </c>
      <c r="C562" t="s">
        <v>53</v>
      </c>
      <c r="D562" t="s">
        <v>41</v>
      </c>
      <c r="E562" t="s">
        <v>42</v>
      </c>
      <c r="F562" t="s">
        <v>27</v>
      </c>
      <c r="G562" t="s">
        <v>28</v>
      </c>
      <c r="H562" t="s">
        <v>29</v>
      </c>
      <c r="I562" t="s">
        <v>104</v>
      </c>
      <c r="J562" t="s">
        <v>7031</v>
      </c>
      <c r="K562" t="s">
        <v>32</v>
      </c>
      <c r="L562" t="s">
        <v>46</v>
      </c>
      <c r="M562" t="s">
        <v>34</v>
      </c>
      <c r="N562" t="s">
        <v>35</v>
      </c>
      <c r="O562" t="s">
        <v>36</v>
      </c>
      <c r="P562" t="s">
        <v>58</v>
      </c>
      <c r="Q562" t="s">
        <v>129</v>
      </c>
      <c r="R562">
        <v>489</v>
      </c>
      <c r="S562">
        <v>239</v>
      </c>
      <c r="T562">
        <v>144</v>
      </c>
      <c r="U562">
        <v>44</v>
      </c>
      <c r="V562" t="s">
        <v>5583</v>
      </c>
      <c r="W562">
        <v>26286</v>
      </c>
      <c r="X562" t="s">
        <v>3014</v>
      </c>
      <c r="Y562">
        <v>23326</v>
      </c>
      <c r="Z562">
        <v>1156584</v>
      </c>
      <c r="AA562">
        <v>130240</v>
      </c>
      <c r="AB562" t="str">
        <f>(VLOOKUP(SalesData[[#This Row],[Month Number]],Reference!C$5:E$16,2,FALSE))</f>
        <v>Feb</v>
      </c>
      <c r="AC562">
        <f>MONTH(SalesData[[#This Row],[Date]])</f>
        <v>2</v>
      </c>
      <c r="AD562">
        <f>Reference!F$4</f>
        <v>2026</v>
      </c>
      <c r="AE562" t="str">
        <f>IF(OR(SalesData[[#This Row],[Day]]="Saturday",SalesData[[#This Row],[Day]]="Sunday"),"Weekend","Weekday")</f>
        <v>Weekend</v>
      </c>
      <c r="AF562" s="5">
        <f>IF(SalesData[[#This Row],[Contracts Offered]]=0,0,SalesData[[#This Row],[Contracts Signed]]/SalesData[[#This Row],[Contracts Offered]])</f>
        <v>0.30555555555555558</v>
      </c>
      <c r="AG562" s="5">
        <f>IF(SalesData[[#This Row],[Customers Visited]]=0,0,SalesData[[#This Row],[Test Drives]]/SalesData[[#This Row],[Customers Visited]])</f>
        <v>0.4887525562372188</v>
      </c>
      <c r="AH562" s="5">
        <f>IF(SalesData[[#This Row],[Customers Visited]]=0,0,SalesData[[#This Row],[Contracts Signed]]/SalesData[[#This Row],[Customers Visited]])</f>
        <v>8.9979550102249492E-2</v>
      </c>
      <c r="AI562" s="6">
        <f>IF(SalesData[[#This Row],[Contracts Signed]]=0,0,SalesData[[#This Row],[Profit(€)]]/SalesData[[#This Row],[Contracts Signed]])</f>
        <v>2960</v>
      </c>
      <c r="AJ562" s="5" t="str">
        <f>TRIM(CLEAN(SalesData[[#This Row],[Retailer]]))</f>
        <v>Main Auto Hub</v>
      </c>
    </row>
    <row r="563" spans="1:36" ht="14.25" hidden="1" x14ac:dyDescent="0.2">
      <c r="A563" t="s">
        <v>1088</v>
      </c>
      <c r="B563" s="1">
        <v>46076</v>
      </c>
      <c r="C563" t="s">
        <v>53</v>
      </c>
      <c r="D563" t="s">
        <v>25</v>
      </c>
      <c r="E563" t="s">
        <v>26</v>
      </c>
      <c r="F563" t="s">
        <v>114</v>
      </c>
      <c r="G563" t="s">
        <v>115</v>
      </c>
      <c r="H563" t="s">
        <v>115</v>
      </c>
      <c r="I563" t="s">
        <v>56</v>
      </c>
      <c r="J563" t="s">
        <v>97</v>
      </c>
      <c r="K563" t="s">
        <v>91</v>
      </c>
      <c r="L563" t="s">
        <v>33</v>
      </c>
      <c r="M563" t="s">
        <v>87</v>
      </c>
      <c r="N563" t="s">
        <v>69</v>
      </c>
      <c r="O563" t="s">
        <v>70</v>
      </c>
      <c r="P563" t="s">
        <v>71</v>
      </c>
      <c r="Q563" t="s">
        <v>240</v>
      </c>
      <c r="R563">
        <v>174</v>
      </c>
      <c r="S563">
        <v>91</v>
      </c>
      <c r="T563">
        <v>62</v>
      </c>
      <c r="U563">
        <v>20</v>
      </c>
      <c r="V563" t="s">
        <v>7259</v>
      </c>
      <c r="W563">
        <v>41750</v>
      </c>
      <c r="X563" t="s">
        <v>7260</v>
      </c>
      <c r="Y563">
        <v>33226</v>
      </c>
      <c r="Z563">
        <v>835000</v>
      </c>
      <c r="AA563">
        <v>170480</v>
      </c>
      <c r="AB563" t="str">
        <f>(VLOOKUP(SalesData[[#This Row],[Month Number]],Reference!C$5:E$16,2,FALSE))</f>
        <v>Feb</v>
      </c>
      <c r="AC563">
        <f>MONTH(SalesData[[#This Row],[Date]])</f>
        <v>2</v>
      </c>
      <c r="AD563">
        <f>Reference!F$4</f>
        <v>2026</v>
      </c>
      <c r="AE563" t="str">
        <f>IF(OR(SalesData[[#This Row],[Day]]="Saturday",SalesData[[#This Row],[Day]]="Sunday"),"Weekend","Weekday")</f>
        <v>Weekday</v>
      </c>
      <c r="AF563" s="5">
        <f>IF(SalesData[[#This Row],[Contracts Offered]]=0,0,SalesData[[#This Row],[Contracts Signed]]/SalesData[[#This Row],[Contracts Offered]])</f>
        <v>0.32258064516129031</v>
      </c>
      <c r="AG563" s="5">
        <f>IF(SalesData[[#This Row],[Customers Visited]]=0,0,SalesData[[#This Row],[Test Drives]]/SalesData[[#This Row],[Customers Visited]])</f>
        <v>0.52298850574712641</v>
      </c>
      <c r="AH563" s="5">
        <f>IF(SalesData[[#This Row],[Customers Visited]]=0,0,SalesData[[#This Row],[Contracts Signed]]/SalesData[[#This Row],[Customers Visited]])</f>
        <v>0.11494252873563218</v>
      </c>
      <c r="AI563" s="6">
        <f>IF(SalesData[[#This Row],[Contracts Signed]]=0,0,SalesData[[#This Row],[Profit(€)]]/SalesData[[#This Row],[Contracts Signed]])</f>
        <v>8524</v>
      </c>
      <c r="AJ563" s="5" t="str">
        <f>TRIM(CLEAN(SalesData[[#This Row],[Retailer]]))</f>
        <v>Elbe Drive</v>
      </c>
    </row>
    <row r="564" spans="1:36" ht="14.25" x14ac:dyDescent="0.2">
      <c r="A564" t="s">
        <v>1090</v>
      </c>
      <c r="B564" s="1">
        <v>46062</v>
      </c>
      <c r="C564" t="s">
        <v>121</v>
      </c>
      <c r="D564" t="s">
        <v>25</v>
      </c>
      <c r="E564" t="s">
        <v>26</v>
      </c>
      <c r="F564" t="s">
        <v>27</v>
      </c>
      <c r="G564" t="s">
        <v>28</v>
      </c>
      <c r="H564" t="s">
        <v>29</v>
      </c>
      <c r="I564" t="s">
        <v>30</v>
      </c>
      <c r="J564" t="s">
        <v>31</v>
      </c>
      <c r="K564" t="s">
        <v>91</v>
      </c>
      <c r="L564" t="s">
        <v>46</v>
      </c>
      <c r="M564" t="s">
        <v>68</v>
      </c>
      <c r="N564" t="s">
        <v>48</v>
      </c>
      <c r="O564" t="s">
        <v>36</v>
      </c>
      <c r="P564" t="s">
        <v>71</v>
      </c>
      <c r="Q564" t="s">
        <v>122</v>
      </c>
      <c r="R564">
        <v>271</v>
      </c>
      <c r="S564">
        <v>126</v>
      </c>
      <c r="T564">
        <v>98</v>
      </c>
      <c r="U564">
        <v>34</v>
      </c>
      <c r="V564" t="s">
        <v>6955</v>
      </c>
      <c r="W564">
        <v>54562</v>
      </c>
      <c r="X564" t="s">
        <v>552</v>
      </c>
      <c r="Y564">
        <v>40809</v>
      </c>
      <c r="Z564">
        <v>1855108</v>
      </c>
      <c r="AA564">
        <v>467602</v>
      </c>
      <c r="AB564" t="str">
        <f>(VLOOKUP(SalesData[[#This Row],[Month Number]],Reference!C$5:E$16,2,FALSE))</f>
        <v>Feb</v>
      </c>
      <c r="AC564">
        <f>MONTH(SalesData[[#This Row],[Date]])</f>
        <v>2</v>
      </c>
      <c r="AD564">
        <f>Reference!F$4</f>
        <v>2026</v>
      </c>
      <c r="AE564" t="str">
        <f>IF(OR(SalesData[[#This Row],[Day]]="Saturday",SalesData[[#This Row],[Day]]="Sunday"),"Weekend","Weekday")</f>
        <v>Weekday</v>
      </c>
      <c r="AF564" s="5">
        <f>IF(SalesData[[#This Row],[Contracts Offered]]=0,0,SalesData[[#This Row],[Contracts Signed]]/SalesData[[#This Row],[Contracts Offered]])</f>
        <v>0.34693877551020408</v>
      </c>
      <c r="AG564" s="5">
        <f>IF(SalesData[[#This Row],[Customers Visited]]=0,0,SalesData[[#This Row],[Test Drives]]/SalesData[[#This Row],[Customers Visited]])</f>
        <v>0.46494464944649444</v>
      </c>
      <c r="AH564" s="5">
        <f>IF(SalesData[[#This Row],[Customers Visited]]=0,0,SalesData[[#This Row],[Contracts Signed]]/SalesData[[#This Row],[Customers Visited]])</f>
        <v>0.12546125461254612</v>
      </c>
      <c r="AI564" s="6">
        <f>IF(SalesData[[#This Row],[Contracts Signed]]=0,0,SalesData[[#This Row],[Profit(€)]]/SalesData[[#This Row],[Contracts Signed]])</f>
        <v>13753</v>
      </c>
      <c r="AJ564" s="5" t="str">
        <f>TRIM(CLEAN(SalesData[[#This Row],[Retailer]]))</f>
        <v>Main Auto Hub</v>
      </c>
    </row>
    <row r="565" spans="1:36" ht="14.25" hidden="1" x14ac:dyDescent="0.2">
      <c r="A565" t="s">
        <v>1091</v>
      </c>
      <c r="B565" s="1">
        <v>46076</v>
      </c>
      <c r="C565" t="s">
        <v>53</v>
      </c>
      <c r="D565" t="s">
        <v>25</v>
      </c>
      <c r="E565" t="s">
        <v>26</v>
      </c>
      <c r="F565" t="s">
        <v>27</v>
      </c>
      <c r="G565" t="s">
        <v>28</v>
      </c>
      <c r="H565" t="s">
        <v>29</v>
      </c>
      <c r="I565" t="s">
        <v>64</v>
      </c>
      <c r="J565" t="s">
        <v>111</v>
      </c>
      <c r="K565" t="s">
        <v>66</v>
      </c>
      <c r="L565" t="s">
        <v>46</v>
      </c>
      <c r="M565" t="s">
        <v>34</v>
      </c>
      <c r="N565" t="s">
        <v>48</v>
      </c>
      <c r="O565" t="s">
        <v>36</v>
      </c>
      <c r="P565" t="s">
        <v>58</v>
      </c>
      <c r="Q565" t="s">
        <v>38</v>
      </c>
      <c r="R565">
        <v>224</v>
      </c>
      <c r="S565">
        <v>106</v>
      </c>
      <c r="T565">
        <v>74</v>
      </c>
      <c r="U565">
        <v>28</v>
      </c>
      <c r="V565" t="s">
        <v>6539</v>
      </c>
      <c r="W565">
        <v>68215</v>
      </c>
      <c r="X565" t="s">
        <v>7261</v>
      </c>
      <c r="Y565">
        <v>53185</v>
      </c>
      <c r="Z565">
        <v>1910020</v>
      </c>
      <c r="AA565">
        <v>420840</v>
      </c>
      <c r="AB565" t="str">
        <f>(VLOOKUP(SalesData[[#This Row],[Month Number]],Reference!C$5:E$16,2,FALSE))</f>
        <v>Feb</v>
      </c>
      <c r="AC565">
        <f>MONTH(SalesData[[#This Row],[Date]])</f>
        <v>2</v>
      </c>
      <c r="AD565">
        <f>Reference!F$4</f>
        <v>2026</v>
      </c>
      <c r="AE565" t="str">
        <f>IF(OR(SalesData[[#This Row],[Day]]="Saturday",SalesData[[#This Row],[Day]]="Sunday"),"Weekend","Weekday")</f>
        <v>Weekday</v>
      </c>
      <c r="AF565" s="5">
        <f>IF(SalesData[[#This Row],[Contracts Offered]]=0,0,SalesData[[#This Row],[Contracts Signed]]/SalesData[[#This Row],[Contracts Offered]])</f>
        <v>0.3783783783783784</v>
      </c>
      <c r="AG565" s="5">
        <f>IF(SalesData[[#This Row],[Customers Visited]]=0,0,SalesData[[#This Row],[Test Drives]]/SalesData[[#This Row],[Customers Visited]])</f>
        <v>0.4732142857142857</v>
      </c>
      <c r="AH565" s="5">
        <f>IF(SalesData[[#This Row],[Customers Visited]]=0,0,SalesData[[#This Row],[Contracts Signed]]/SalesData[[#This Row],[Customers Visited]])</f>
        <v>0.125</v>
      </c>
      <c r="AI565" s="6">
        <f>IF(SalesData[[#This Row],[Contracts Signed]]=0,0,SalesData[[#This Row],[Profit(€)]]/SalesData[[#This Row],[Contracts Signed]])</f>
        <v>15030</v>
      </c>
      <c r="AJ565" s="5" t="str">
        <f>TRIM(CLEAN(SalesData[[#This Row],[Retailer]]))</f>
        <v>Main Auto Hub</v>
      </c>
    </row>
    <row r="566" spans="1:36" ht="14.25" hidden="1" x14ac:dyDescent="0.2">
      <c r="A566" t="s">
        <v>1093</v>
      </c>
      <c r="B566" s="1">
        <v>46054</v>
      </c>
      <c r="C566" t="s">
        <v>24</v>
      </c>
      <c r="D566" t="s">
        <v>41</v>
      </c>
      <c r="E566" t="s">
        <v>42</v>
      </c>
      <c r="F566" t="s">
        <v>94</v>
      </c>
      <c r="G566" t="s">
        <v>95</v>
      </c>
      <c r="H566" t="s">
        <v>96</v>
      </c>
      <c r="I566" t="s">
        <v>56</v>
      </c>
      <c r="J566" t="s">
        <v>97</v>
      </c>
      <c r="K566" t="s">
        <v>66</v>
      </c>
      <c r="L566" t="s">
        <v>33</v>
      </c>
      <c r="M566" t="s">
        <v>87</v>
      </c>
      <c r="N566" t="s">
        <v>48</v>
      </c>
      <c r="O566" t="s">
        <v>36</v>
      </c>
      <c r="P566" t="s">
        <v>71</v>
      </c>
      <c r="Q566" t="s">
        <v>59</v>
      </c>
      <c r="R566">
        <v>301</v>
      </c>
      <c r="S566">
        <v>177</v>
      </c>
      <c r="T566">
        <v>121</v>
      </c>
      <c r="U566">
        <v>44</v>
      </c>
      <c r="V566" t="s">
        <v>6460</v>
      </c>
      <c r="W566">
        <v>51661</v>
      </c>
      <c r="X566" t="s">
        <v>7262</v>
      </c>
      <c r="Y566">
        <v>41880</v>
      </c>
      <c r="Z566">
        <v>2273084</v>
      </c>
      <c r="AA566">
        <v>430364</v>
      </c>
      <c r="AB566" t="str">
        <f>(VLOOKUP(SalesData[[#This Row],[Month Number]],Reference!C$5:E$16,2,FALSE))</f>
        <v>Feb</v>
      </c>
      <c r="AC566">
        <f>MONTH(SalesData[[#This Row],[Date]])</f>
        <v>2</v>
      </c>
      <c r="AD566">
        <f>Reference!F$4</f>
        <v>2026</v>
      </c>
      <c r="AE566" t="str">
        <f>IF(OR(SalesData[[#This Row],[Day]]="Saturday",SalesData[[#This Row],[Day]]="Sunday"),"Weekend","Weekday")</f>
        <v>Weekend</v>
      </c>
      <c r="AF566" s="5">
        <f>IF(SalesData[[#This Row],[Contracts Offered]]=0,0,SalesData[[#This Row],[Contracts Signed]]/SalesData[[#This Row],[Contracts Offered]])</f>
        <v>0.36363636363636365</v>
      </c>
      <c r="AG566" s="5">
        <f>IF(SalesData[[#This Row],[Customers Visited]]=0,0,SalesData[[#This Row],[Test Drives]]/SalesData[[#This Row],[Customers Visited]])</f>
        <v>0.58803986710963452</v>
      </c>
      <c r="AH566" s="5">
        <f>IF(SalesData[[#This Row],[Customers Visited]]=0,0,SalesData[[#This Row],[Contracts Signed]]/SalesData[[#This Row],[Customers Visited]])</f>
        <v>0.1461794019933555</v>
      </c>
      <c r="AI566" s="6">
        <f>IF(SalesData[[#This Row],[Contracts Signed]]=0,0,SalesData[[#This Row],[Profit(€)]]/SalesData[[#This Row],[Contracts Signed]])</f>
        <v>9781</v>
      </c>
      <c r="AJ566" s="5" t="str">
        <f>TRIM(CLEAN(SalesData[[#This Row],[Retailer]]))</f>
        <v>Bavaria Motors</v>
      </c>
    </row>
    <row r="567" spans="1:36" ht="14.25" hidden="1" x14ac:dyDescent="0.2">
      <c r="A567" t="s">
        <v>1094</v>
      </c>
      <c r="B567" s="1">
        <v>46058</v>
      </c>
      <c r="C567" t="s">
        <v>24</v>
      </c>
      <c r="D567" t="s">
        <v>100</v>
      </c>
      <c r="E567" t="s">
        <v>26</v>
      </c>
      <c r="F567" t="s">
        <v>127</v>
      </c>
      <c r="G567" t="s">
        <v>128</v>
      </c>
      <c r="H567" t="s">
        <v>103</v>
      </c>
      <c r="I567" t="s">
        <v>56</v>
      </c>
      <c r="J567" t="s">
        <v>7028</v>
      </c>
      <c r="K567" t="s">
        <v>66</v>
      </c>
      <c r="L567" t="s">
        <v>46</v>
      </c>
      <c r="M567" t="s">
        <v>68</v>
      </c>
      <c r="N567" t="s">
        <v>69</v>
      </c>
      <c r="O567" t="s">
        <v>70</v>
      </c>
      <c r="P567" t="s">
        <v>58</v>
      </c>
      <c r="Q567" t="s">
        <v>50</v>
      </c>
      <c r="R567">
        <v>307</v>
      </c>
      <c r="S567">
        <v>188</v>
      </c>
      <c r="T567">
        <v>134</v>
      </c>
      <c r="U567">
        <v>50</v>
      </c>
      <c r="V567" t="s">
        <v>6985</v>
      </c>
      <c r="W567">
        <v>54171</v>
      </c>
      <c r="X567" t="s">
        <v>7263</v>
      </c>
      <c r="Y567">
        <v>41835</v>
      </c>
      <c r="Z567">
        <v>2708550</v>
      </c>
      <c r="AA567">
        <v>616800</v>
      </c>
      <c r="AB567" t="str">
        <f>(VLOOKUP(SalesData[[#This Row],[Month Number]],Reference!C$5:E$16,2,FALSE))</f>
        <v>Feb</v>
      </c>
      <c r="AC567">
        <f>MONTH(SalesData[[#This Row],[Date]])</f>
        <v>2</v>
      </c>
      <c r="AD567">
        <f>Reference!F$4</f>
        <v>2026</v>
      </c>
      <c r="AE567" t="str">
        <f>IF(OR(SalesData[[#This Row],[Day]]="Saturday",SalesData[[#This Row],[Day]]="Sunday"),"Weekend","Weekday")</f>
        <v>Weekday</v>
      </c>
      <c r="AF567" s="5">
        <f>IF(SalesData[[#This Row],[Contracts Offered]]=0,0,SalesData[[#This Row],[Contracts Signed]]/SalesData[[#This Row],[Contracts Offered]])</f>
        <v>0.37313432835820898</v>
      </c>
      <c r="AG567" s="5">
        <f>IF(SalesData[[#This Row],[Customers Visited]]=0,0,SalesData[[#This Row],[Test Drives]]/SalesData[[#This Row],[Customers Visited]])</f>
        <v>0.6123778501628665</v>
      </c>
      <c r="AH567" s="5">
        <f>IF(SalesData[[#This Row],[Customers Visited]]=0,0,SalesData[[#This Row],[Contracts Signed]]/SalesData[[#This Row],[Customers Visited]])</f>
        <v>0.16286644951140064</v>
      </c>
      <c r="AI567" s="6">
        <f>IF(SalesData[[#This Row],[Contracts Signed]]=0,0,SalesData[[#This Row],[Profit(€)]]/SalesData[[#This Row],[Contracts Signed]])</f>
        <v>12336</v>
      </c>
      <c r="AJ567" s="5" t="str">
        <f>TRIM(CLEAN(SalesData[[#This Row],[Retailer]]))</f>
        <v>Rhein Auto Group</v>
      </c>
    </row>
    <row r="568" spans="1:36" ht="14.25" x14ac:dyDescent="0.2">
      <c r="A568" t="s">
        <v>1095</v>
      </c>
      <c r="B568" s="1">
        <v>46068</v>
      </c>
      <c r="C568" t="s">
        <v>62</v>
      </c>
      <c r="D568" t="s">
        <v>41</v>
      </c>
      <c r="E568" t="s">
        <v>42</v>
      </c>
      <c r="F568" t="s">
        <v>114</v>
      </c>
      <c r="G568" t="s">
        <v>115</v>
      </c>
      <c r="H568" t="s">
        <v>115</v>
      </c>
      <c r="I568" t="s">
        <v>30</v>
      </c>
      <c r="J568" t="s">
        <v>166</v>
      </c>
      <c r="K568" t="s">
        <v>66</v>
      </c>
      <c r="L568" t="s">
        <v>46</v>
      </c>
      <c r="M568" t="s">
        <v>87</v>
      </c>
      <c r="N568" t="s">
        <v>48</v>
      </c>
      <c r="O568" t="s">
        <v>70</v>
      </c>
      <c r="P568" t="s">
        <v>37</v>
      </c>
      <c r="Q568" t="s">
        <v>38</v>
      </c>
      <c r="R568">
        <v>190</v>
      </c>
      <c r="S568">
        <v>92</v>
      </c>
      <c r="T568">
        <v>66</v>
      </c>
      <c r="U568">
        <v>24</v>
      </c>
      <c r="V568" t="s">
        <v>6360</v>
      </c>
      <c r="W568">
        <v>60727</v>
      </c>
      <c r="X568" t="s">
        <v>7072</v>
      </c>
      <c r="Y568">
        <v>42625</v>
      </c>
      <c r="Z568">
        <v>1457448</v>
      </c>
      <c r="AA568">
        <v>434448</v>
      </c>
      <c r="AB568" t="str">
        <f>(VLOOKUP(SalesData[[#This Row],[Month Number]],Reference!C$5:E$16,2,FALSE))</f>
        <v>Feb</v>
      </c>
      <c r="AC568">
        <f>MONTH(SalesData[[#This Row],[Date]])</f>
        <v>2</v>
      </c>
      <c r="AD568">
        <f>Reference!F$4</f>
        <v>2026</v>
      </c>
      <c r="AE568" t="str">
        <f>IF(OR(SalesData[[#This Row],[Day]]="Saturday",SalesData[[#This Row],[Day]]="Sunday"),"Weekend","Weekday")</f>
        <v>Weekend</v>
      </c>
      <c r="AF568" s="5">
        <f>IF(SalesData[[#This Row],[Contracts Offered]]=0,0,SalesData[[#This Row],[Contracts Signed]]/SalesData[[#This Row],[Contracts Offered]])</f>
        <v>0.36363636363636365</v>
      </c>
      <c r="AG568" s="5">
        <f>IF(SalesData[[#This Row],[Customers Visited]]=0,0,SalesData[[#This Row],[Test Drives]]/SalesData[[#This Row],[Customers Visited]])</f>
        <v>0.48421052631578948</v>
      </c>
      <c r="AH568" s="5">
        <f>IF(SalesData[[#This Row],[Customers Visited]]=0,0,SalesData[[#This Row],[Contracts Signed]]/SalesData[[#This Row],[Customers Visited]])</f>
        <v>0.12631578947368421</v>
      </c>
      <c r="AI568" s="6">
        <f>IF(SalesData[[#This Row],[Contracts Signed]]=0,0,SalesData[[#This Row],[Profit(€)]]/SalesData[[#This Row],[Contracts Signed]])</f>
        <v>18102</v>
      </c>
      <c r="AJ568" s="5" t="str">
        <f>TRIM(CLEAN(SalesData[[#This Row],[Retailer]]))</f>
        <v>Elbe Drive</v>
      </c>
    </row>
    <row r="569" spans="1:36" ht="14.25" x14ac:dyDescent="0.2">
      <c r="A569" t="s">
        <v>1097</v>
      </c>
      <c r="B569" s="1">
        <v>46060</v>
      </c>
      <c r="C569" t="s">
        <v>24</v>
      </c>
      <c r="D569" t="s">
        <v>151</v>
      </c>
      <c r="E569" t="s">
        <v>42</v>
      </c>
      <c r="F569" t="s">
        <v>83</v>
      </c>
      <c r="G569" t="s">
        <v>84</v>
      </c>
      <c r="H569" t="s">
        <v>85</v>
      </c>
      <c r="I569" t="s">
        <v>30</v>
      </c>
      <c r="J569" t="s">
        <v>86</v>
      </c>
      <c r="K569" t="s">
        <v>32</v>
      </c>
      <c r="L569" t="s">
        <v>33</v>
      </c>
      <c r="M569" t="s">
        <v>87</v>
      </c>
      <c r="N569" t="s">
        <v>35</v>
      </c>
      <c r="O569" t="s">
        <v>36</v>
      </c>
      <c r="P569" t="s">
        <v>49</v>
      </c>
      <c r="Q569" t="s">
        <v>135</v>
      </c>
      <c r="R569">
        <v>229</v>
      </c>
      <c r="S569">
        <v>124</v>
      </c>
      <c r="T569">
        <v>91</v>
      </c>
      <c r="U569">
        <v>30</v>
      </c>
      <c r="V569" t="s">
        <v>6766</v>
      </c>
      <c r="W569">
        <v>62066</v>
      </c>
      <c r="X569" t="s">
        <v>828</v>
      </c>
      <c r="Y569">
        <v>47542</v>
      </c>
      <c r="Z569">
        <v>1861980</v>
      </c>
      <c r="AA569">
        <v>435720</v>
      </c>
      <c r="AB569" t="str">
        <f>(VLOOKUP(SalesData[[#This Row],[Month Number]],Reference!C$5:E$16,2,FALSE))</f>
        <v>Feb</v>
      </c>
      <c r="AC569">
        <f>MONTH(SalesData[[#This Row],[Date]])</f>
        <v>2</v>
      </c>
      <c r="AD569">
        <f>Reference!F$4</f>
        <v>2026</v>
      </c>
      <c r="AE569" t="str">
        <f>IF(OR(SalesData[[#This Row],[Day]]="Saturday",SalesData[[#This Row],[Day]]="Sunday"),"Weekend","Weekday")</f>
        <v>Weekend</v>
      </c>
      <c r="AF569" s="5">
        <f>IF(SalesData[[#This Row],[Contracts Offered]]=0,0,SalesData[[#This Row],[Contracts Signed]]/SalesData[[#This Row],[Contracts Offered]])</f>
        <v>0.32967032967032966</v>
      </c>
      <c r="AG569" s="5">
        <f>IF(SalesData[[#This Row],[Customers Visited]]=0,0,SalesData[[#This Row],[Test Drives]]/SalesData[[#This Row],[Customers Visited]])</f>
        <v>0.54148471615720528</v>
      </c>
      <c r="AH569" s="5">
        <f>IF(SalesData[[#This Row],[Customers Visited]]=0,0,SalesData[[#This Row],[Contracts Signed]]/SalesData[[#This Row],[Customers Visited]])</f>
        <v>0.13100436681222707</v>
      </c>
      <c r="AI569" s="6">
        <f>IF(SalesData[[#This Row],[Contracts Signed]]=0,0,SalesData[[#This Row],[Profit(€)]]/SalesData[[#This Row],[Contracts Signed]])</f>
        <v>14524</v>
      </c>
      <c r="AJ569" s="5" t="str">
        <f>TRIM(CLEAN(SalesData[[#This Row],[Retailer]]))</f>
        <v>Hannover Cars</v>
      </c>
    </row>
    <row r="570" spans="1:36" ht="14.25" hidden="1" x14ac:dyDescent="0.2">
      <c r="A570" t="s">
        <v>1099</v>
      </c>
      <c r="B570" s="1">
        <v>46069</v>
      </c>
      <c r="C570" t="s">
        <v>62</v>
      </c>
      <c r="D570" t="s">
        <v>25</v>
      </c>
      <c r="E570" t="s">
        <v>26</v>
      </c>
      <c r="F570" t="s">
        <v>101</v>
      </c>
      <c r="G570" t="s">
        <v>102</v>
      </c>
      <c r="H570" t="s">
        <v>103</v>
      </c>
      <c r="I570" t="s">
        <v>104</v>
      </c>
      <c r="J570" t="s">
        <v>140</v>
      </c>
      <c r="K570" t="s">
        <v>91</v>
      </c>
      <c r="L570" t="s">
        <v>46</v>
      </c>
      <c r="M570" t="s">
        <v>87</v>
      </c>
      <c r="N570" t="s">
        <v>35</v>
      </c>
      <c r="O570" t="s">
        <v>36</v>
      </c>
      <c r="P570" t="s">
        <v>37</v>
      </c>
      <c r="Q570" t="s">
        <v>122</v>
      </c>
      <c r="R570">
        <v>452</v>
      </c>
      <c r="S570">
        <v>223</v>
      </c>
      <c r="T570">
        <v>132</v>
      </c>
      <c r="U570">
        <v>27</v>
      </c>
      <c r="V570" t="s">
        <v>7264</v>
      </c>
      <c r="W570">
        <v>26741</v>
      </c>
      <c r="X570" t="s">
        <v>1146</v>
      </c>
      <c r="Y570">
        <v>24066</v>
      </c>
      <c r="Z570">
        <v>722007</v>
      </c>
      <c r="AA570">
        <v>72225</v>
      </c>
      <c r="AB570" t="str">
        <f>(VLOOKUP(SalesData[[#This Row],[Month Number]],Reference!C$5:E$16,2,FALSE))</f>
        <v>Feb</v>
      </c>
      <c r="AC570">
        <f>MONTH(SalesData[[#This Row],[Date]])</f>
        <v>2</v>
      </c>
      <c r="AD570">
        <f>Reference!F$4</f>
        <v>2026</v>
      </c>
      <c r="AE570" t="str">
        <f>IF(OR(SalesData[[#This Row],[Day]]="Saturday",SalesData[[#This Row],[Day]]="Sunday"),"Weekend","Weekday")</f>
        <v>Weekday</v>
      </c>
      <c r="AF570" s="5">
        <f>IF(SalesData[[#This Row],[Contracts Offered]]=0,0,SalesData[[#This Row],[Contracts Signed]]/SalesData[[#This Row],[Contracts Offered]])</f>
        <v>0.20454545454545456</v>
      </c>
      <c r="AG570" s="5">
        <f>IF(SalesData[[#This Row],[Customers Visited]]=0,0,SalesData[[#This Row],[Test Drives]]/SalesData[[#This Row],[Customers Visited]])</f>
        <v>0.49336283185840707</v>
      </c>
      <c r="AH570" s="5">
        <f>IF(SalesData[[#This Row],[Customers Visited]]=0,0,SalesData[[#This Row],[Contracts Signed]]/SalesData[[#This Row],[Customers Visited]])</f>
        <v>5.9734513274336286E-2</v>
      </c>
      <c r="AI570" s="6">
        <f>IF(SalesData[[#This Row],[Contracts Signed]]=0,0,SalesData[[#This Row],[Profit(€)]]/SalesData[[#This Row],[Contracts Signed]])</f>
        <v>2675</v>
      </c>
      <c r="AJ570" s="5" t="str">
        <f>TRIM(CLEAN(SalesData[[#This Row],[Retailer]]))</f>
        <v>Ruhr Auto Plaza</v>
      </c>
    </row>
    <row r="571" spans="1:36" ht="14.25" hidden="1" x14ac:dyDescent="0.2">
      <c r="A571" t="s">
        <v>1100</v>
      </c>
      <c r="B571" s="1">
        <v>46059</v>
      </c>
      <c r="C571" t="s">
        <v>24</v>
      </c>
      <c r="D571" t="s">
        <v>54</v>
      </c>
      <c r="E571" t="s">
        <v>26</v>
      </c>
      <c r="F571" t="s">
        <v>94</v>
      </c>
      <c r="G571" t="s">
        <v>95</v>
      </c>
      <c r="H571" t="s">
        <v>96</v>
      </c>
      <c r="I571" t="s">
        <v>64</v>
      </c>
      <c r="J571" t="s">
        <v>157</v>
      </c>
      <c r="K571" t="s">
        <v>32</v>
      </c>
      <c r="L571" t="s">
        <v>33</v>
      </c>
      <c r="M571" t="s">
        <v>47</v>
      </c>
      <c r="N571" t="s">
        <v>69</v>
      </c>
      <c r="O571" t="s">
        <v>70</v>
      </c>
      <c r="P571" t="s">
        <v>37</v>
      </c>
      <c r="Q571" t="s">
        <v>118</v>
      </c>
      <c r="R571">
        <v>229</v>
      </c>
      <c r="S571">
        <v>100</v>
      </c>
      <c r="T571">
        <v>77</v>
      </c>
      <c r="U571">
        <v>25</v>
      </c>
      <c r="V571" t="s">
        <v>6403</v>
      </c>
      <c r="W571">
        <v>71319</v>
      </c>
      <c r="X571" t="s">
        <v>7127</v>
      </c>
      <c r="Y571">
        <v>54460</v>
      </c>
      <c r="Z571">
        <v>1782975</v>
      </c>
      <c r="AA571">
        <v>421475</v>
      </c>
      <c r="AB571" t="str">
        <f>(VLOOKUP(SalesData[[#This Row],[Month Number]],Reference!C$5:E$16,2,FALSE))</f>
        <v>Feb</v>
      </c>
      <c r="AC571">
        <f>MONTH(SalesData[[#This Row],[Date]])</f>
        <v>2</v>
      </c>
      <c r="AD571">
        <f>Reference!F$4</f>
        <v>2026</v>
      </c>
      <c r="AE571" t="str">
        <f>IF(OR(SalesData[[#This Row],[Day]]="Saturday",SalesData[[#This Row],[Day]]="Sunday"),"Weekend","Weekday")</f>
        <v>Weekday</v>
      </c>
      <c r="AF571" s="5">
        <f>IF(SalesData[[#This Row],[Contracts Offered]]=0,0,SalesData[[#This Row],[Contracts Signed]]/SalesData[[#This Row],[Contracts Offered]])</f>
        <v>0.32467532467532467</v>
      </c>
      <c r="AG571" s="5">
        <f>IF(SalesData[[#This Row],[Customers Visited]]=0,0,SalesData[[#This Row],[Test Drives]]/SalesData[[#This Row],[Customers Visited]])</f>
        <v>0.4366812227074236</v>
      </c>
      <c r="AH571" s="5">
        <f>IF(SalesData[[#This Row],[Customers Visited]]=0,0,SalesData[[#This Row],[Contracts Signed]]/SalesData[[#This Row],[Customers Visited]])</f>
        <v>0.1091703056768559</v>
      </c>
      <c r="AI571" s="6">
        <f>IF(SalesData[[#This Row],[Contracts Signed]]=0,0,SalesData[[#This Row],[Profit(€)]]/SalesData[[#This Row],[Contracts Signed]])</f>
        <v>16859</v>
      </c>
      <c r="AJ571" s="5" t="str">
        <f>TRIM(CLEAN(SalesData[[#This Row],[Retailer]]))</f>
        <v>Bavaria Motors</v>
      </c>
    </row>
    <row r="572" spans="1:36" ht="14.25" hidden="1" x14ac:dyDescent="0.2">
      <c r="A572" t="s">
        <v>1102</v>
      </c>
      <c r="B572" s="1">
        <v>46058</v>
      </c>
      <c r="C572" t="s">
        <v>24</v>
      </c>
      <c r="D572" t="s">
        <v>100</v>
      </c>
      <c r="E572" t="s">
        <v>26</v>
      </c>
      <c r="F572" t="s">
        <v>7649</v>
      </c>
      <c r="G572" t="s">
        <v>55</v>
      </c>
      <c r="H572" t="s">
        <v>55</v>
      </c>
      <c r="I572" t="s">
        <v>56</v>
      </c>
      <c r="J572" t="s">
        <v>57</v>
      </c>
      <c r="K572" t="s">
        <v>78</v>
      </c>
      <c r="L572" t="s">
        <v>46</v>
      </c>
      <c r="M572" t="s">
        <v>34</v>
      </c>
      <c r="N572" t="s">
        <v>48</v>
      </c>
      <c r="O572" t="s">
        <v>70</v>
      </c>
      <c r="P572" t="s">
        <v>49</v>
      </c>
      <c r="Q572" t="s">
        <v>122</v>
      </c>
      <c r="R572">
        <v>276</v>
      </c>
      <c r="S572">
        <v>130</v>
      </c>
      <c r="T572">
        <v>101</v>
      </c>
      <c r="U572">
        <v>31</v>
      </c>
      <c r="V572" t="s">
        <v>6785</v>
      </c>
      <c r="W572">
        <v>47508</v>
      </c>
      <c r="X572" t="s">
        <v>184</v>
      </c>
      <c r="Y572">
        <v>36968</v>
      </c>
      <c r="Z572">
        <v>1472748</v>
      </c>
      <c r="AA572">
        <v>326740</v>
      </c>
      <c r="AB572" t="str">
        <f>(VLOOKUP(SalesData[[#This Row],[Month Number]],Reference!C$5:E$16,2,FALSE))</f>
        <v>Feb</v>
      </c>
      <c r="AC572">
        <f>MONTH(SalesData[[#This Row],[Date]])</f>
        <v>2</v>
      </c>
      <c r="AD572">
        <f>Reference!F$4</f>
        <v>2026</v>
      </c>
      <c r="AE572" t="str">
        <f>IF(OR(SalesData[[#This Row],[Day]]="Saturday",SalesData[[#This Row],[Day]]="Sunday"),"Weekend","Weekday")</f>
        <v>Weekday</v>
      </c>
      <c r="AF572" s="5">
        <f>IF(SalesData[[#This Row],[Contracts Offered]]=0,0,SalesData[[#This Row],[Contracts Signed]]/SalesData[[#This Row],[Contracts Offered]])</f>
        <v>0.30693069306930693</v>
      </c>
      <c r="AG572" s="5">
        <f>IF(SalesData[[#This Row],[Customers Visited]]=0,0,SalesData[[#This Row],[Test Drives]]/SalesData[[#This Row],[Customers Visited]])</f>
        <v>0.47101449275362317</v>
      </c>
      <c r="AH572" s="5">
        <f>IF(SalesData[[#This Row],[Customers Visited]]=0,0,SalesData[[#This Row],[Contracts Signed]]/SalesData[[#This Row],[Customers Visited]])</f>
        <v>0.11231884057971014</v>
      </c>
      <c r="AI572" s="6">
        <f>IF(SalesData[[#This Row],[Contracts Signed]]=0,0,SalesData[[#This Row],[Profit(€)]]/SalesData[[#This Row],[Contracts Signed]])</f>
        <v>10540</v>
      </c>
      <c r="AJ572" s="5" t="str">
        <f>TRIM(CLEAN(SalesData[[#This Row],[Retailer]]))</f>
        <v>Autohaus Berlin</v>
      </c>
    </row>
    <row r="573" spans="1:36" ht="14.25" x14ac:dyDescent="0.2">
      <c r="A573" t="s">
        <v>1104</v>
      </c>
      <c r="B573" s="1">
        <v>46056</v>
      </c>
      <c r="C573" t="s">
        <v>24</v>
      </c>
      <c r="D573" t="s">
        <v>63</v>
      </c>
      <c r="E573" t="s">
        <v>26</v>
      </c>
      <c r="F573" t="s">
        <v>109</v>
      </c>
      <c r="G573" t="s">
        <v>110</v>
      </c>
      <c r="H573" t="s">
        <v>45</v>
      </c>
      <c r="I573" t="s">
        <v>30</v>
      </c>
      <c r="J573" t="s">
        <v>7075</v>
      </c>
      <c r="K573" t="s">
        <v>32</v>
      </c>
      <c r="L573" t="s">
        <v>33</v>
      </c>
      <c r="M573" t="s">
        <v>34</v>
      </c>
      <c r="N573" t="s">
        <v>35</v>
      </c>
      <c r="O573" t="s">
        <v>70</v>
      </c>
      <c r="P573" t="s">
        <v>71</v>
      </c>
      <c r="Q573" t="s">
        <v>347</v>
      </c>
      <c r="R573">
        <v>195</v>
      </c>
      <c r="S573">
        <v>93</v>
      </c>
      <c r="T573">
        <v>67</v>
      </c>
      <c r="U573">
        <v>24</v>
      </c>
      <c r="V573" t="s">
        <v>6546</v>
      </c>
      <c r="W573">
        <v>62436</v>
      </c>
      <c r="X573" t="s">
        <v>2261</v>
      </c>
      <c r="Y573">
        <v>43726</v>
      </c>
      <c r="Z573">
        <v>1498464</v>
      </c>
      <c r="AA573">
        <v>449040</v>
      </c>
      <c r="AB573" t="str">
        <f>(VLOOKUP(SalesData[[#This Row],[Month Number]],Reference!C$5:E$16,2,FALSE))</f>
        <v>Feb</v>
      </c>
      <c r="AC573">
        <f>MONTH(SalesData[[#This Row],[Date]])</f>
        <v>2</v>
      </c>
      <c r="AD573">
        <f>Reference!F$4</f>
        <v>2026</v>
      </c>
      <c r="AE573" t="str">
        <f>IF(OR(SalesData[[#This Row],[Day]]="Saturday",SalesData[[#This Row],[Day]]="Sunday"),"Weekend","Weekday")</f>
        <v>Weekday</v>
      </c>
      <c r="AF573" s="5">
        <f>IF(SalesData[[#This Row],[Contracts Offered]]=0,0,SalesData[[#This Row],[Contracts Signed]]/SalesData[[#This Row],[Contracts Offered]])</f>
        <v>0.35820895522388058</v>
      </c>
      <c r="AG573" s="5">
        <f>IF(SalesData[[#This Row],[Customers Visited]]=0,0,SalesData[[#This Row],[Test Drives]]/SalesData[[#This Row],[Customers Visited]])</f>
        <v>0.47692307692307695</v>
      </c>
      <c r="AH573" s="5">
        <f>IF(SalesData[[#This Row],[Customers Visited]]=0,0,SalesData[[#This Row],[Contracts Signed]]/SalesData[[#This Row],[Customers Visited]])</f>
        <v>0.12307692307692308</v>
      </c>
      <c r="AI573" s="6">
        <f>IF(SalesData[[#This Row],[Contracts Signed]]=0,0,SalesData[[#This Row],[Profit(€)]]/SalesData[[#This Row],[Contracts Signed]])</f>
        <v>18710</v>
      </c>
      <c r="AJ573" s="5" t="str">
        <f>TRIM(CLEAN(SalesData[[#This Row],[Retailer]]))</f>
        <v>Leipzig Mobility</v>
      </c>
    </row>
    <row r="574" spans="1:36" ht="14.25" x14ac:dyDescent="0.2">
      <c r="A574" t="s">
        <v>1106</v>
      </c>
      <c r="B574" s="1">
        <v>46056</v>
      </c>
      <c r="C574" t="s">
        <v>24</v>
      </c>
      <c r="D574" t="s">
        <v>63</v>
      </c>
      <c r="E574" t="s">
        <v>26</v>
      </c>
      <c r="F574" t="s">
        <v>94</v>
      </c>
      <c r="G574" t="s">
        <v>95</v>
      </c>
      <c r="H574" t="s">
        <v>96</v>
      </c>
      <c r="I574" t="s">
        <v>30</v>
      </c>
      <c r="J574" t="s">
        <v>166</v>
      </c>
      <c r="K574" t="s">
        <v>32</v>
      </c>
      <c r="L574" t="s">
        <v>46</v>
      </c>
      <c r="M574" t="s">
        <v>47</v>
      </c>
      <c r="N574" t="s">
        <v>69</v>
      </c>
      <c r="O574" t="s">
        <v>70</v>
      </c>
      <c r="P574" t="s">
        <v>71</v>
      </c>
      <c r="Q574" t="s">
        <v>129</v>
      </c>
      <c r="R574">
        <v>186</v>
      </c>
      <c r="S574">
        <v>103</v>
      </c>
      <c r="T574">
        <v>73</v>
      </c>
      <c r="U574">
        <v>30</v>
      </c>
      <c r="V574" t="s">
        <v>6636</v>
      </c>
      <c r="W574">
        <v>53719</v>
      </c>
      <c r="X574" t="s">
        <v>7195</v>
      </c>
      <c r="Y574">
        <v>40660</v>
      </c>
      <c r="Z574">
        <v>1611570</v>
      </c>
      <c r="AA574">
        <v>391770</v>
      </c>
      <c r="AB574" t="str">
        <f>(VLOOKUP(SalesData[[#This Row],[Month Number]],Reference!C$5:E$16,2,FALSE))</f>
        <v>Feb</v>
      </c>
      <c r="AC574">
        <f>MONTH(SalesData[[#This Row],[Date]])</f>
        <v>2</v>
      </c>
      <c r="AD574">
        <f>Reference!F$4</f>
        <v>2026</v>
      </c>
      <c r="AE574" t="str">
        <f>IF(OR(SalesData[[#This Row],[Day]]="Saturday",SalesData[[#This Row],[Day]]="Sunday"),"Weekend","Weekday")</f>
        <v>Weekday</v>
      </c>
      <c r="AF574" s="5">
        <f>IF(SalesData[[#This Row],[Contracts Offered]]=0,0,SalesData[[#This Row],[Contracts Signed]]/SalesData[[#This Row],[Contracts Offered]])</f>
        <v>0.41095890410958902</v>
      </c>
      <c r="AG574" s="5">
        <f>IF(SalesData[[#This Row],[Customers Visited]]=0,0,SalesData[[#This Row],[Test Drives]]/SalesData[[#This Row],[Customers Visited]])</f>
        <v>0.55376344086021501</v>
      </c>
      <c r="AH574" s="5">
        <f>IF(SalesData[[#This Row],[Customers Visited]]=0,0,SalesData[[#This Row],[Contracts Signed]]/SalesData[[#This Row],[Customers Visited]])</f>
        <v>0.16129032258064516</v>
      </c>
      <c r="AI574" s="6">
        <f>IF(SalesData[[#This Row],[Contracts Signed]]=0,0,SalesData[[#This Row],[Profit(€)]]/SalesData[[#This Row],[Contracts Signed]])</f>
        <v>13059</v>
      </c>
      <c r="AJ574" s="5" t="str">
        <f>TRIM(CLEAN(SalesData[[#This Row],[Retailer]]))</f>
        <v>Bavaria Motors</v>
      </c>
    </row>
    <row r="575" spans="1:36" ht="14.25" hidden="1" x14ac:dyDescent="0.2">
      <c r="A575" t="s">
        <v>1108</v>
      </c>
      <c r="B575" s="1">
        <v>46057</v>
      </c>
      <c r="C575" t="s">
        <v>24</v>
      </c>
      <c r="D575" t="s">
        <v>82</v>
      </c>
      <c r="E575" t="s">
        <v>26</v>
      </c>
      <c r="F575" t="s">
        <v>94</v>
      </c>
      <c r="G575" t="s">
        <v>95</v>
      </c>
      <c r="H575" t="s">
        <v>96</v>
      </c>
      <c r="I575" t="s">
        <v>104</v>
      </c>
      <c r="J575" t="s">
        <v>140</v>
      </c>
      <c r="K575" t="s">
        <v>91</v>
      </c>
      <c r="L575" t="s">
        <v>46</v>
      </c>
      <c r="M575" t="s">
        <v>34</v>
      </c>
      <c r="N575" t="s">
        <v>35</v>
      </c>
      <c r="O575" t="s">
        <v>70</v>
      </c>
      <c r="P575" t="s">
        <v>58</v>
      </c>
      <c r="Q575" t="s">
        <v>158</v>
      </c>
      <c r="R575">
        <v>296</v>
      </c>
      <c r="S575">
        <v>127</v>
      </c>
      <c r="T575">
        <v>90</v>
      </c>
      <c r="U575">
        <v>23</v>
      </c>
      <c r="V575" t="s">
        <v>2960</v>
      </c>
      <c r="W575">
        <v>33125</v>
      </c>
      <c r="X575" t="s">
        <v>2070</v>
      </c>
      <c r="Y575">
        <v>30132</v>
      </c>
      <c r="Z575">
        <v>761875</v>
      </c>
      <c r="AA575">
        <v>68839</v>
      </c>
      <c r="AB575" t="str">
        <f>(VLOOKUP(SalesData[[#This Row],[Month Number]],Reference!C$5:E$16,2,FALSE))</f>
        <v>Feb</v>
      </c>
      <c r="AC575">
        <f>MONTH(SalesData[[#This Row],[Date]])</f>
        <v>2</v>
      </c>
      <c r="AD575">
        <f>Reference!F$4</f>
        <v>2026</v>
      </c>
      <c r="AE575" t="str">
        <f>IF(OR(SalesData[[#This Row],[Day]]="Saturday",SalesData[[#This Row],[Day]]="Sunday"),"Weekend","Weekday")</f>
        <v>Weekday</v>
      </c>
      <c r="AF575" s="5">
        <f>IF(SalesData[[#This Row],[Contracts Offered]]=0,0,SalesData[[#This Row],[Contracts Signed]]/SalesData[[#This Row],[Contracts Offered]])</f>
        <v>0.25555555555555554</v>
      </c>
      <c r="AG575" s="5">
        <f>IF(SalesData[[#This Row],[Customers Visited]]=0,0,SalesData[[#This Row],[Test Drives]]/SalesData[[#This Row],[Customers Visited]])</f>
        <v>0.42905405405405406</v>
      </c>
      <c r="AH575" s="5">
        <f>IF(SalesData[[#This Row],[Customers Visited]]=0,0,SalesData[[#This Row],[Contracts Signed]]/SalesData[[#This Row],[Customers Visited]])</f>
        <v>7.77027027027027E-2</v>
      </c>
      <c r="AI575" s="6">
        <f>IF(SalesData[[#This Row],[Contracts Signed]]=0,0,SalesData[[#This Row],[Profit(€)]]/SalesData[[#This Row],[Contracts Signed]])</f>
        <v>2993</v>
      </c>
      <c r="AJ575" s="5" t="str">
        <f>TRIM(CLEAN(SalesData[[#This Row],[Retailer]]))</f>
        <v>Bavaria Motors</v>
      </c>
    </row>
    <row r="576" spans="1:36" ht="14.25" hidden="1" x14ac:dyDescent="0.2">
      <c r="A576" t="s">
        <v>1110</v>
      </c>
      <c r="B576" s="1">
        <v>46079</v>
      </c>
      <c r="C576" t="s">
        <v>53</v>
      </c>
      <c r="D576" t="s">
        <v>100</v>
      </c>
      <c r="E576" t="s">
        <v>26</v>
      </c>
      <c r="F576" t="s">
        <v>114</v>
      </c>
      <c r="G576" t="s">
        <v>115</v>
      </c>
      <c r="H576" t="s">
        <v>115</v>
      </c>
      <c r="I576" t="s">
        <v>56</v>
      </c>
      <c r="J576" t="s">
        <v>57</v>
      </c>
      <c r="K576" t="s">
        <v>91</v>
      </c>
      <c r="L576" t="s">
        <v>46</v>
      </c>
      <c r="M576" t="s">
        <v>47</v>
      </c>
      <c r="N576" t="s">
        <v>69</v>
      </c>
      <c r="O576" t="s">
        <v>70</v>
      </c>
      <c r="P576" t="s">
        <v>49</v>
      </c>
      <c r="Q576" t="s">
        <v>144</v>
      </c>
      <c r="R576">
        <v>284</v>
      </c>
      <c r="S576">
        <v>158</v>
      </c>
      <c r="T576">
        <v>119</v>
      </c>
      <c r="U576">
        <v>36</v>
      </c>
      <c r="V576" t="s">
        <v>6634</v>
      </c>
      <c r="W576">
        <v>42904</v>
      </c>
      <c r="X576" t="s">
        <v>1293</v>
      </c>
      <c r="Y576">
        <v>33608</v>
      </c>
      <c r="Z576">
        <v>1544544</v>
      </c>
      <c r="AA576">
        <v>334656</v>
      </c>
      <c r="AB576" t="str">
        <f>(VLOOKUP(SalesData[[#This Row],[Month Number]],Reference!C$5:E$16,2,FALSE))</f>
        <v>Feb</v>
      </c>
      <c r="AC576">
        <f>MONTH(SalesData[[#This Row],[Date]])</f>
        <v>2</v>
      </c>
      <c r="AD576">
        <f>Reference!F$4</f>
        <v>2026</v>
      </c>
      <c r="AE576" t="str">
        <f>IF(OR(SalesData[[#This Row],[Day]]="Saturday",SalesData[[#This Row],[Day]]="Sunday"),"Weekend","Weekday")</f>
        <v>Weekday</v>
      </c>
      <c r="AF576" s="5">
        <f>IF(SalesData[[#This Row],[Contracts Offered]]=0,0,SalesData[[#This Row],[Contracts Signed]]/SalesData[[#This Row],[Contracts Offered]])</f>
        <v>0.30252100840336132</v>
      </c>
      <c r="AG576" s="5">
        <f>IF(SalesData[[#This Row],[Customers Visited]]=0,0,SalesData[[#This Row],[Test Drives]]/SalesData[[#This Row],[Customers Visited]])</f>
        <v>0.55633802816901412</v>
      </c>
      <c r="AH576" s="5">
        <f>IF(SalesData[[#This Row],[Customers Visited]]=0,0,SalesData[[#This Row],[Contracts Signed]]/SalesData[[#This Row],[Customers Visited]])</f>
        <v>0.12676056338028169</v>
      </c>
      <c r="AI576" s="6">
        <f>IF(SalesData[[#This Row],[Contracts Signed]]=0,0,SalesData[[#This Row],[Profit(€)]]/SalesData[[#This Row],[Contracts Signed]])</f>
        <v>9296</v>
      </c>
      <c r="AJ576" s="5" t="str">
        <f>TRIM(CLEAN(SalesData[[#This Row],[Retailer]]))</f>
        <v>Elbe Drive</v>
      </c>
    </row>
    <row r="577" spans="1:36" ht="14.25" hidden="1" x14ac:dyDescent="0.2">
      <c r="A577" t="s">
        <v>1111</v>
      </c>
      <c r="B577" s="1">
        <v>46065</v>
      </c>
      <c r="C577" t="s">
        <v>121</v>
      </c>
      <c r="D577" t="s">
        <v>100</v>
      </c>
      <c r="E577" t="s">
        <v>26</v>
      </c>
      <c r="F577" t="s">
        <v>94</v>
      </c>
      <c r="G577" t="s">
        <v>95</v>
      </c>
      <c r="H577" t="s">
        <v>96</v>
      </c>
      <c r="I577" t="s">
        <v>116</v>
      </c>
      <c r="J577" t="s">
        <v>132</v>
      </c>
      <c r="K577" t="s">
        <v>32</v>
      </c>
      <c r="L577" t="s">
        <v>46</v>
      </c>
      <c r="M577" t="s">
        <v>68</v>
      </c>
      <c r="N577" t="s">
        <v>48</v>
      </c>
      <c r="O577" t="s">
        <v>70</v>
      </c>
      <c r="P577" t="s">
        <v>37</v>
      </c>
      <c r="Q577" t="s">
        <v>144</v>
      </c>
      <c r="R577">
        <v>309</v>
      </c>
      <c r="S577">
        <v>142</v>
      </c>
      <c r="T577">
        <v>81</v>
      </c>
      <c r="U577">
        <v>24</v>
      </c>
      <c r="V577" t="s">
        <v>4622</v>
      </c>
      <c r="W577">
        <v>19661</v>
      </c>
      <c r="X577" t="s">
        <v>1571</v>
      </c>
      <c r="Y577">
        <v>18237</v>
      </c>
      <c r="Z577">
        <v>471864</v>
      </c>
      <c r="AA577">
        <v>34176</v>
      </c>
      <c r="AB577" t="str">
        <f>(VLOOKUP(SalesData[[#This Row],[Month Number]],Reference!C$5:E$16,2,FALSE))</f>
        <v>Feb</v>
      </c>
      <c r="AC577">
        <f>MONTH(SalesData[[#This Row],[Date]])</f>
        <v>2</v>
      </c>
      <c r="AD577">
        <f>Reference!F$4</f>
        <v>2026</v>
      </c>
      <c r="AE577" t="str">
        <f>IF(OR(SalesData[[#This Row],[Day]]="Saturday",SalesData[[#This Row],[Day]]="Sunday"),"Weekend","Weekday")</f>
        <v>Weekday</v>
      </c>
      <c r="AF577" s="5">
        <f>IF(SalesData[[#This Row],[Contracts Offered]]=0,0,SalesData[[#This Row],[Contracts Signed]]/SalesData[[#This Row],[Contracts Offered]])</f>
        <v>0.29629629629629628</v>
      </c>
      <c r="AG577" s="5">
        <f>IF(SalesData[[#This Row],[Customers Visited]]=0,0,SalesData[[#This Row],[Test Drives]]/SalesData[[#This Row],[Customers Visited]])</f>
        <v>0.45954692556634302</v>
      </c>
      <c r="AH577" s="5">
        <f>IF(SalesData[[#This Row],[Customers Visited]]=0,0,SalesData[[#This Row],[Contracts Signed]]/SalesData[[#This Row],[Customers Visited]])</f>
        <v>7.7669902912621352E-2</v>
      </c>
      <c r="AI577" s="6">
        <f>IF(SalesData[[#This Row],[Contracts Signed]]=0,0,SalesData[[#This Row],[Profit(€)]]/SalesData[[#This Row],[Contracts Signed]])</f>
        <v>1424</v>
      </c>
      <c r="AJ577" s="5" t="str">
        <f>TRIM(CLEAN(SalesData[[#This Row],[Retailer]]))</f>
        <v>Bavaria Motors</v>
      </c>
    </row>
    <row r="578" spans="1:36" ht="14.25" hidden="1" x14ac:dyDescent="0.2">
      <c r="A578" t="s">
        <v>1113</v>
      </c>
      <c r="B578" s="1">
        <v>46071</v>
      </c>
      <c r="C578" t="s">
        <v>62</v>
      </c>
      <c r="D578" t="s">
        <v>82</v>
      </c>
      <c r="E578" t="s">
        <v>26</v>
      </c>
      <c r="F578" t="s">
        <v>43</v>
      </c>
      <c r="G578" t="s">
        <v>44</v>
      </c>
      <c r="H578" t="s">
        <v>45</v>
      </c>
      <c r="I578" t="s">
        <v>116</v>
      </c>
      <c r="J578" t="s">
        <v>117</v>
      </c>
      <c r="K578" t="s">
        <v>78</v>
      </c>
      <c r="L578" t="s">
        <v>67</v>
      </c>
      <c r="M578" t="s">
        <v>68</v>
      </c>
      <c r="N578" t="s">
        <v>48</v>
      </c>
      <c r="O578" t="s">
        <v>36</v>
      </c>
      <c r="P578" t="s">
        <v>58</v>
      </c>
      <c r="Q578" t="s">
        <v>172</v>
      </c>
      <c r="R578">
        <v>378</v>
      </c>
      <c r="S578">
        <v>178</v>
      </c>
      <c r="T578">
        <v>112</v>
      </c>
      <c r="U578">
        <v>36</v>
      </c>
      <c r="V578" t="s">
        <v>6996</v>
      </c>
      <c r="W578">
        <v>26267</v>
      </c>
      <c r="X578" t="s">
        <v>579</v>
      </c>
      <c r="Y578">
        <v>24245</v>
      </c>
      <c r="Z578">
        <v>945612</v>
      </c>
      <c r="AA578">
        <v>72792</v>
      </c>
      <c r="AB578" t="str">
        <f>(VLOOKUP(SalesData[[#This Row],[Month Number]],Reference!C$5:E$16,2,FALSE))</f>
        <v>Feb</v>
      </c>
      <c r="AC578">
        <f>MONTH(SalesData[[#This Row],[Date]])</f>
        <v>2</v>
      </c>
      <c r="AD578">
        <f>Reference!F$4</f>
        <v>2026</v>
      </c>
      <c r="AE578" t="str">
        <f>IF(OR(SalesData[[#This Row],[Day]]="Saturday",SalesData[[#This Row],[Day]]="Sunday"),"Weekend","Weekday")</f>
        <v>Weekday</v>
      </c>
      <c r="AF578" s="5">
        <f>IF(SalesData[[#This Row],[Contracts Offered]]=0,0,SalesData[[#This Row],[Contracts Signed]]/SalesData[[#This Row],[Contracts Offered]])</f>
        <v>0.32142857142857145</v>
      </c>
      <c r="AG578" s="5">
        <f>IF(SalesData[[#This Row],[Customers Visited]]=0,0,SalesData[[#This Row],[Test Drives]]/SalesData[[#This Row],[Customers Visited]])</f>
        <v>0.47089947089947087</v>
      </c>
      <c r="AH578" s="5">
        <f>IF(SalesData[[#This Row],[Customers Visited]]=0,0,SalesData[[#This Row],[Contracts Signed]]/SalesData[[#This Row],[Customers Visited]])</f>
        <v>9.5238095238095233E-2</v>
      </c>
      <c r="AI578" s="6">
        <f>IF(SalesData[[#This Row],[Contracts Signed]]=0,0,SalesData[[#This Row],[Profit(€)]]/SalesData[[#This Row],[Contracts Signed]])</f>
        <v>2022</v>
      </c>
      <c r="AJ578" s="5" t="str">
        <f>TRIM(CLEAN(SalesData[[#This Row],[Retailer]]))</f>
        <v>Saxon Wheels</v>
      </c>
    </row>
    <row r="579" spans="1:36" ht="14.25" hidden="1" x14ac:dyDescent="0.2">
      <c r="A579" t="s">
        <v>1115</v>
      </c>
      <c r="B579" s="1">
        <v>46054</v>
      </c>
      <c r="C579" t="s">
        <v>24</v>
      </c>
      <c r="D579" t="s">
        <v>41</v>
      </c>
      <c r="E579" t="s">
        <v>42</v>
      </c>
      <c r="F579" t="s">
        <v>94</v>
      </c>
      <c r="G579" t="s">
        <v>95</v>
      </c>
      <c r="H579" t="s">
        <v>96</v>
      </c>
      <c r="I579" t="s">
        <v>104</v>
      </c>
      <c r="J579" t="s">
        <v>7061</v>
      </c>
      <c r="K579" t="s">
        <v>66</v>
      </c>
      <c r="L579" t="s">
        <v>46</v>
      </c>
      <c r="M579" t="s">
        <v>34</v>
      </c>
      <c r="N579" t="s">
        <v>69</v>
      </c>
      <c r="O579" t="s">
        <v>36</v>
      </c>
      <c r="P579" t="s">
        <v>49</v>
      </c>
      <c r="Q579" t="s">
        <v>158</v>
      </c>
      <c r="R579">
        <v>346</v>
      </c>
      <c r="S579">
        <v>195</v>
      </c>
      <c r="T579">
        <v>127</v>
      </c>
      <c r="U579">
        <v>33</v>
      </c>
      <c r="V579" t="s">
        <v>656</v>
      </c>
      <c r="W579">
        <v>32788</v>
      </c>
      <c r="X579" t="s">
        <v>3932</v>
      </c>
      <c r="Y579">
        <v>29702</v>
      </c>
      <c r="Z579">
        <v>1082004</v>
      </c>
      <c r="AA579">
        <v>101838</v>
      </c>
      <c r="AB579" t="str">
        <f>(VLOOKUP(SalesData[[#This Row],[Month Number]],Reference!C$5:E$16,2,FALSE))</f>
        <v>Feb</v>
      </c>
      <c r="AC579">
        <f>MONTH(SalesData[[#This Row],[Date]])</f>
        <v>2</v>
      </c>
      <c r="AD579">
        <f>Reference!F$4</f>
        <v>2026</v>
      </c>
      <c r="AE579" t="str">
        <f>IF(OR(SalesData[[#This Row],[Day]]="Saturday",SalesData[[#This Row],[Day]]="Sunday"),"Weekend","Weekday")</f>
        <v>Weekend</v>
      </c>
      <c r="AF579" s="5">
        <f>IF(SalesData[[#This Row],[Contracts Offered]]=0,0,SalesData[[#This Row],[Contracts Signed]]/SalesData[[#This Row],[Contracts Offered]])</f>
        <v>0.25984251968503935</v>
      </c>
      <c r="AG579" s="5">
        <f>IF(SalesData[[#This Row],[Customers Visited]]=0,0,SalesData[[#This Row],[Test Drives]]/SalesData[[#This Row],[Customers Visited]])</f>
        <v>0.56358381502890176</v>
      </c>
      <c r="AH579" s="5">
        <f>IF(SalesData[[#This Row],[Customers Visited]]=0,0,SalesData[[#This Row],[Contracts Signed]]/SalesData[[#This Row],[Customers Visited]])</f>
        <v>9.5375722543352595E-2</v>
      </c>
      <c r="AI579" s="6">
        <f>IF(SalesData[[#This Row],[Contracts Signed]]=0,0,SalesData[[#This Row],[Profit(€)]]/SalesData[[#This Row],[Contracts Signed]])</f>
        <v>3086</v>
      </c>
      <c r="AJ579" s="5" t="str">
        <f>TRIM(CLEAN(SalesData[[#This Row],[Retailer]]))</f>
        <v>Bavaria Motors</v>
      </c>
    </row>
    <row r="580" spans="1:36" ht="14.25" hidden="1" x14ac:dyDescent="0.2">
      <c r="A580" t="s">
        <v>1116</v>
      </c>
      <c r="B580" s="1">
        <v>46066</v>
      </c>
      <c r="C580" t="s">
        <v>121</v>
      </c>
      <c r="D580" t="s">
        <v>54</v>
      </c>
      <c r="E580" t="s">
        <v>26</v>
      </c>
      <c r="F580" t="s">
        <v>114</v>
      </c>
      <c r="G580" t="s">
        <v>115</v>
      </c>
      <c r="H580" t="s">
        <v>115</v>
      </c>
      <c r="I580" t="s">
        <v>116</v>
      </c>
      <c r="J580" t="s">
        <v>132</v>
      </c>
      <c r="K580" t="s">
        <v>78</v>
      </c>
      <c r="L580" t="s">
        <v>46</v>
      </c>
      <c r="M580" t="s">
        <v>68</v>
      </c>
      <c r="N580" t="s">
        <v>35</v>
      </c>
      <c r="O580" t="s">
        <v>36</v>
      </c>
      <c r="P580" t="s">
        <v>37</v>
      </c>
      <c r="Q580" t="s">
        <v>118</v>
      </c>
      <c r="R580">
        <v>411</v>
      </c>
      <c r="S580">
        <v>221</v>
      </c>
      <c r="T580">
        <v>131</v>
      </c>
      <c r="U580">
        <v>33</v>
      </c>
      <c r="V580" t="s">
        <v>327</v>
      </c>
      <c r="W580">
        <v>20778</v>
      </c>
      <c r="X580" t="s">
        <v>791</v>
      </c>
      <c r="Y580">
        <v>18807</v>
      </c>
      <c r="Z580">
        <v>685674</v>
      </c>
      <c r="AA580">
        <v>65043</v>
      </c>
      <c r="AB580" t="str">
        <f>(VLOOKUP(SalesData[[#This Row],[Month Number]],Reference!C$5:E$16,2,FALSE))</f>
        <v>Feb</v>
      </c>
      <c r="AC580">
        <f>MONTH(SalesData[[#This Row],[Date]])</f>
        <v>2</v>
      </c>
      <c r="AD580">
        <f>Reference!F$4</f>
        <v>2026</v>
      </c>
      <c r="AE580" t="str">
        <f>IF(OR(SalesData[[#This Row],[Day]]="Saturday",SalesData[[#This Row],[Day]]="Sunday"),"Weekend","Weekday")</f>
        <v>Weekday</v>
      </c>
      <c r="AF580" s="5">
        <f>IF(SalesData[[#This Row],[Contracts Offered]]=0,0,SalesData[[#This Row],[Contracts Signed]]/SalesData[[#This Row],[Contracts Offered]])</f>
        <v>0.25190839694656486</v>
      </c>
      <c r="AG580" s="5">
        <f>IF(SalesData[[#This Row],[Customers Visited]]=0,0,SalesData[[#This Row],[Test Drives]]/SalesData[[#This Row],[Customers Visited]])</f>
        <v>0.53771289537712896</v>
      </c>
      <c r="AH580" s="5">
        <f>IF(SalesData[[#This Row],[Customers Visited]]=0,0,SalesData[[#This Row],[Contracts Signed]]/SalesData[[#This Row],[Customers Visited]])</f>
        <v>8.0291970802919707E-2</v>
      </c>
      <c r="AI580" s="6">
        <f>IF(SalesData[[#This Row],[Contracts Signed]]=0,0,SalesData[[#This Row],[Profit(€)]]/SalesData[[#This Row],[Contracts Signed]])</f>
        <v>1971</v>
      </c>
      <c r="AJ580" s="5" t="str">
        <f>TRIM(CLEAN(SalesData[[#This Row],[Retailer]]))</f>
        <v>Elbe Drive</v>
      </c>
    </row>
    <row r="581" spans="1:36" ht="14.25" hidden="1" x14ac:dyDescent="0.2">
      <c r="A581" t="s">
        <v>1117</v>
      </c>
      <c r="B581" s="1">
        <v>46060</v>
      </c>
      <c r="C581" t="s">
        <v>24</v>
      </c>
      <c r="D581" t="s">
        <v>151</v>
      </c>
      <c r="E581" t="s">
        <v>42</v>
      </c>
      <c r="F581" t="s">
        <v>114</v>
      </c>
      <c r="G581" t="s">
        <v>115</v>
      </c>
      <c r="H581" t="s">
        <v>115</v>
      </c>
      <c r="I581" t="s">
        <v>56</v>
      </c>
      <c r="J581" t="s">
        <v>137</v>
      </c>
      <c r="K581" t="s">
        <v>32</v>
      </c>
      <c r="L581" t="s">
        <v>46</v>
      </c>
      <c r="M581" t="s">
        <v>47</v>
      </c>
      <c r="N581" t="s">
        <v>35</v>
      </c>
      <c r="O581" t="s">
        <v>36</v>
      </c>
      <c r="P581" t="s">
        <v>58</v>
      </c>
      <c r="Q581" t="s">
        <v>79</v>
      </c>
      <c r="R581">
        <v>306</v>
      </c>
      <c r="S581">
        <v>150</v>
      </c>
      <c r="T581">
        <v>101</v>
      </c>
      <c r="U581">
        <v>40</v>
      </c>
      <c r="V581" t="s">
        <v>6388</v>
      </c>
      <c r="W581">
        <v>52973</v>
      </c>
      <c r="X581" t="s">
        <v>7265</v>
      </c>
      <c r="Y581">
        <v>40271</v>
      </c>
      <c r="Z581">
        <v>2118920</v>
      </c>
      <c r="AA581">
        <v>508080</v>
      </c>
      <c r="AB581" t="str">
        <f>(VLOOKUP(SalesData[[#This Row],[Month Number]],Reference!C$5:E$16,2,FALSE))</f>
        <v>Feb</v>
      </c>
      <c r="AC581">
        <f>MONTH(SalesData[[#This Row],[Date]])</f>
        <v>2</v>
      </c>
      <c r="AD581">
        <f>Reference!F$4</f>
        <v>2026</v>
      </c>
      <c r="AE581" t="str">
        <f>IF(OR(SalesData[[#This Row],[Day]]="Saturday",SalesData[[#This Row],[Day]]="Sunday"),"Weekend","Weekday")</f>
        <v>Weekend</v>
      </c>
      <c r="AF581" s="5">
        <f>IF(SalesData[[#This Row],[Contracts Offered]]=0,0,SalesData[[#This Row],[Contracts Signed]]/SalesData[[#This Row],[Contracts Offered]])</f>
        <v>0.39603960396039606</v>
      </c>
      <c r="AG581" s="5">
        <f>IF(SalesData[[#This Row],[Customers Visited]]=0,0,SalesData[[#This Row],[Test Drives]]/SalesData[[#This Row],[Customers Visited]])</f>
        <v>0.49019607843137253</v>
      </c>
      <c r="AH581" s="5">
        <f>IF(SalesData[[#This Row],[Customers Visited]]=0,0,SalesData[[#This Row],[Contracts Signed]]/SalesData[[#This Row],[Customers Visited]])</f>
        <v>0.13071895424836602</v>
      </c>
      <c r="AI581" s="6">
        <f>IF(SalesData[[#This Row],[Contracts Signed]]=0,0,SalesData[[#This Row],[Profit(€)]]/SalesData[[#This Row],[Contracts Signed]])</f>
        <v>12702</v>
      </c>
      <c r="AJ581" s="5" t="str">
        <f>TRIM(CLEAN(SalesData[[#This Row],[Retailer]]))</f>
        <v>Elbe Drive</v>
      </c>
    </row>
    <row r="582" spans="1:36" ht="14.25" hidden="1" x14ac:dyDescent="0.2">
      <c r="A582" t="s">
        <v>1119</v>
      </c>
      <c r="B582" s="1">
        <v>46071</v>
      </c>
      <c r="C582" t="s">
        <v>62</v>
      </c>
      <c r="D582" t="s">
        <v>82</v>
      </c>
      <c r="E582" t="s">
        <v>26</v>
      </c>
      <c r="F582" t="s">
        <v>94</v>
      </c>
      <c r="G582" t="s">
        <v>95</v>
      </c>
      <c r="H582" t="s">
        <v>96</v>
      </c>
      <c r="I582" t="s">
        <v>64</v>
      </c>
      <c r="J582" t="s">
        <v>111</v>
      </c>
      <c r="K582" t="s">
        <v>32</v>
      </c>
      <c r="L582" t="s">
        <v>46</v>
      </c>
      <c r="M582" t="s">
        <v>87</v>
      </c>
      <c r="N582" t="s">
        <v>69</v>
      </c>
      <c r="O582" t="s">
        <v>36</v>
      </c>
      <c r="P582" t="s">
        <v>49</v>
      </c>
      <c r="Q582" t="s">
        <v>79</v>
      </c>
      <c r="R582">
        <v>222</v>
      </c>
      <c r="S582">
        <v>120</v>
      </c>
      <c r="T582">
        <v>84</v>
      </c>
      <c r="U582">
        <v>32</v>
      </c>
      <c r="V582" t="s">
        <v>6388</v>
      </c>
      <c r="W582">
        <v>63859</v>
      </c>
      <c r="X582" t="s">
        <v>7266</v>
      </c>
      <c r="Y582">
        <v>48399</v>
      </c>
      <c r="Z582">
        <v>2043488</v>
      </c>
      <c r="AA582">
        <v>494720</v>
      </c>
      <c r="AB582" t="str">
        <f>(VLOOKUP(SalesData[[#This Row],[Month Number]],Reference!C$5:E$16,2,FALSE))</f>
        <v>Feb</v>
      </c>
      <c r="AC582">
        <f>MONTH(SalesData[[#This Row],[Date]])</f>
        <v>2</v>
      </c>
      <c r="AD582">
        <f>Reference!F$4</f>
        <v>2026</v>
      </c>
      <c r="AE582" t="str">
        <f>IF(OR(SalesData[[#This Row],[Day]]="Saturday",SalesData[[#This Row],[Day]]="Sunday"),"Weekend","Weekday")</f>
        <v>Weekday</v>
      </c>
      <c r="AF582" s="5">
        <f>IF(SalesData[[#This Row],[Contracts Offered]]=0,0,SalesData[[#This Row],[Contracts Signed]]/SalesData[[#This Row],[Contracts Offered]])</f>
        <v>0.38095238095238093</v>
      </c>
      <c r="AG582" s="5">
        <f>IF(SalesData[[#This Row],[Customers Visited]]=0,0,SalesData[[#This Row],[Test Drives]]/SalesData[[#This Row],[Customers Visited]])</f>
        <v>0.54054054054054057</v>
      </c>
      <c r="AH582" s="5">
        <f>IF(SalesData[[#This Row],[Customers Visited]]=0,0,SalesData[[#This Row],[Contracts Signed]]/SalesData[[#This Row],[Customers Visited]])</f>
        <v>0.14414414414414414</v>
      </c>
      <c r="AI582" s="6">
        <f>IF(SalesData[[#This Row],[Contracts Signed]]=0,0,SalesData[[#This Row],[Profit(€)]]/SalesData[[#This Row],[Contracts Signed]])</f>
        <v>15460</v>
      </c>
      <c r="AJ582" s="5" t="str">
        <f>TRIM(CLEAN(SalesData[[#This Row],[Retailer]]))</f>
        <v>Bavaria Motors</v>
      </c>
    </row>
    <row r="583" spans="1:36" ht="14.25" x14ac:dyDescent="0.2">
      <c r="A583" t="s">
        <v>1121</v>
      </c>
      <c r="B583" s="1">
        <v>46076</v>
      </c>
      <c r="C583" t="s">
        <v>53</v>
      </c>
      <c r="D583" t="s">
        <v>25</v>
      </c>
      <c r="E583" t="s">
        <v>26</v>
      </c>
      <c r="F583" t="s">
        <v>27</v>
      </c>
      <c r="G583" t="s">
        <v>28</v>
      </c>
      <c r="H583" t="s">
        <v>29</v>
      </c>
      <c r="I583" t="s">
        <v>30</v>
      </c>
      <c r="J583" t="s">
        <v>31</v>
      </c>
      <c r="K583" t="s">
        <v>66</v>
      </c>
      <c r="L583" t="s">
        <v>46</v>
      </c>
      <c r="M583" t="s">
        <v>68</v>
      </c>
      <c r="N583" t="s">
        <v>35</v>
      </c>
      <c r="O583" t="s">
        <v>36</v>
      </c>
      <c r="P583" t="s">
        <v>71</v>
      </c>
      <c r="Q583" t="s">
        <v>204</v>
      </c>
      <c r="R583">
        <v>214</v>
      </c>
      <c r="S583">
        <v>113</v>
      </c>
      <c r="T583">
        <v>77</v>
      </c>
      <c r="U583">
        <v>32</v>
      </c>
      <c r="V583" t="s">
        <v>6878</v>
      </c>
      <c r="W583">
        <v>62167</v>
      </c>
      <c r="X583" t="s">
        <v>3853</v>
      </c>
      <c r="Y583">
        <v>46255</v>
      </c>
      <c r="Z583">
        <v>1989344</v>
      </c>
      <c r="AA583">
        <v>509184</v>
      </c>
      <c r="AB583" t="str">
        <f>(VLOOKUP(SalesData[[#This Row],[Month Number]],Reference!C$5:E$16,2,FALSE))</f>
        <v>Feb</v>
      </c>
      <c r="AC583">
        <f>MONTH(SalesData[[#This Row],[Date]])</f>
        <v>2</v>
      </c>
      <c r="AD583">
        <f>Reference!F$4</f>
        <v>2026</v>
      </c>
      <c r="AE583" t="str">
        <f>IF(OR(SalesData[[#This Row],[Day]]="Saturday",SalesData[[#This Row],[Day]]="Sunday"),"Weekend","Weekday")</f>
        <v>Weekday</v>
      </c>
      <c r="AF583" s="5">
        <f>IF(SalesData[[#This Row],[Contracts Offered]]=0,0,SalesData[[#This Row],[Contracts Signed]]/SalesData[[#This Row],[Contracts Offered]])</f>
        <v>0.41558441558441561</v>
      </c>
      <c r="AG583" s="5">
        <f>IF(SalesData[[#This Row],[Customers Visited]]=0,0,SalesData[[#This Row],[Test Drives]]/SalesData[[#This Row],[Customers Visited]])</f>
        <v>0.5280373831775701</v>
      </c>
      <c r="AH583" s="5">
        <f>IF(SalesData[[#This Row],[Customers Visited]]=0,0,SalesData[[#This Row],[Contracts Signed]]/SalesData[[#This Row],[Customers Visited]])</f>
        <v>0.14953271028037382</v>
      </c>
      <c r="AI583" s="6">
        <f>IF(SalesData[[#This Row],[Contracts Signed]]=0,0,SalesData[[#This Row],[Profit(€)]]/SalesData[[#This Row],[Contracts Signed]])</f>
        <v>15912</v>
      </c>
      <c r="AJ583" s="5" t="str">
        <f>TRIM(CLEAN(SalesData[[#This Row],[Retailer]]))</f>
        <v>Main Auto Hub</v>
      </c>
    </row>
    <row r="584" spans="1:36" ht="14.25" hidden="1" x14ac:dyDescent="0.2">
      <c r="A584" t="s">
        <v>1123</v>
      </c>
      <c r="B584" s="1">
        <v>46076</v>
      </c>
      <c r="C584" t="s">
        <v>53</v>
      </c>
      <c r="D584" t="s">
        <v>25</v>
      </c>
      <c r="E584" t="s">
        <v>26</v>
      </c>
      <c r="F584" t="s">
        <v>43</v>
      </c>
      <c r="G584" t="s">
        <v>44</v>
      </c>
      <c r="H584" t="s">
        <v>45</v>
      </c>
      <c r="I584" t="s">
        <v>104</v>
      </c>
      <c r="J584" t="s">
        <v>105</v>
      </c>
      <c r="K584" t="s">
        <v>66</v>
      </c>
      <c r="L584" t="s">
        <v>33</v>
      </c>
      <c r="M584" t="s">
        <v>34</v>
      </c>
      <c r="N584" t="s">
        <v>35</v>
      </c>
      <c r="O584" t="s">
        <v>70</v>
      </c>
      <c r="P584" t="s">
        <v>49</v>
      </c>
      <c r="Q584" t="s">
        <v>122</v>
      </c>
      <c r="R584">
        <v>314</v>
      </c>
      <c r="S584">
        <v>137</v>
      </c>
      <c r="T584">
        <v>89</v>
      </c>
      <c r="U584">
        <v>21</v>
      </c>
      <c r="V584" t="s">
        <v>1290</v>
      </c>
      <c r="W584">
        <v>32739</v>
      </c>
      <c r="X584" t="s">
        <v>3831</v>
      </c>
      <c r="Y584">
        <v>28826</v>
      </c>
      <c r="Z584">
        <v>687519</v>
      </c>
      <c r="AA584">
        <v>82173</v>
      </c>
      <c r="AB584" t="str">
        <f>(VLOOKUP(SalesData[[#This Row],[Month Number]],Reference!C$5:E$16,2,FALSE))</f>
        <v>Feb</v>
      </c>
      <c r="AC584">
        <f>MONTH(SalesData[[#This Row],[Date]])</f>
        <v>2</v>
      </c>
      <c r="AD584">
        <f>Reference!F$4</f>
        <v>2026</v>
      </c>
      <c r="AE584" t="str">
        <f>IF(OR(SalesData[[#This Row],[Day]]="Saturday",SalesData[[#This Row],[Day]]="Sunday"),"Weekend","Weekday")</f>
        <v>Weekday</v>
      </c>
      <c r="AF584" s="5">
        <f>IF(SalesData[[#This Row],[Contracts Offered]]=0,0,SalesData[[#This Row],[Contracts Signed]]/SalesData[[#This Row],[Contracts Offered]])</f>
        <v>0.23595505617977527</v>
      </c>
      <c r="AG584" s="5">
        <f>IF(SalesData[[#This Row],[Customers Visited]]=0,0,SalesData[[#This Row],[Test Drives]]/SalesData[[#This Row],[Customers Visited]])</f>
        <v>0.43630573248407645</v>
      </c>
      <c r="AH584" s="5">
        <f>IF(SalesData[[#This Row],[Customers Visited]]=0,0,SalesData[[#This Row],[Contracts Signed]]/SalesData[[#This Row],[Customers Visited]])</f>
        <v>6.6878980891719744E-2</v>
      </c>
      <c r="AI584" s="6">
        <f>IF(SalesData[[#This Row],[Contracts Signed]]=0,0,SalesData[[#This Row],[Profit(€)]]/SalesData[[#This Row],[Contracts Signed]])</f>
        <v>3913</v>
      </c>
      <c r="AJ584" s="5" t="str">
        <f>TRIM(CLEAN(SalesData[[#This Row],[Retailer]]))</f>
        <v>Saxon Wheels</v>
      </c>
    </row>
    <row r="585" spans="1:36" ht="14.25" hidden="1" x14ac:dyDescent="0.2">
      <c r="A585" t="s">
        <v>1125</v>
      </c>
      <c r="B585" s="1">
        <v>46067</v>
      </c>
      <c r="C585" t="s">
        <v>121</v>
      </c>
      <c r="D585" t="s">
        <v>151</v>
      </c>
      <c r="E585" t="s">
        <v>42</v>
      </c>
      <c r="F585" t="s">
        <v>83</v>
      </c>
      <c r="G585" t="s">
        <v>84</v>
      </c>
      <c r="H585" t="s">
        <v>85</v>
      </c>
      <c r="I585" t="s">
        <v>116</v>
      </c>
      <c r="J585" t="s">
        <v>203</v>
      </c>
      <c r="K585" t="s">
        <v>66</v>
      </c>
      <c r="L585" t="s">
        <v>67</v>
      </c>
      <c r="M585" t="s">
        <v>68</v>
      </c>
      <c r="N585" t="s">
        <v>48</v>
      </c>
      <c r="O585" t="s">
        <v>36</v>
      </c>
      <c r="P585" t="s">
        <v>71</v>
      </c>
      <c r="Q585" t="s">
        <v>59</v>
      </c>
      <c r="R585">
        <v>248</v>
      </c>
      <c r="S585">
        <v>102</v>
      </c>
      <c r="T585">
        <v>60</v>
      </c>
      <c r="U585">
        <v>18</v>
      </c>
      <c r="V585" t="s">
        <v>859</v>
      </c>
      <c r="W585">
        <v>20650</v>
      </c>
      <c r="X585" t="s">
        <v>2878</v>
      </c>
      <c r="Y585">
        <v>18408</v>
      </c>
      <c r="Z585">
        <v>371700</v>
      </c>
      <c r="AA585">
        <v>40356</v>
      </c>
      <c r="AB585" t="str">
        <f>(VLOOKUP(SalesData[[#This Row],[Month Number]],Reference!C$5:E$16,2,FALSE))</f>
        <v>Feb</v>
      </c>
      <c r="AC585">
        <f>MONTH(SalesData[[#This Row],[Date]])</f>
        <v>2</v>
      </c>
      <c r="AD585">
        <f>Reference!F$4</f>
        <v>2026</v>
      </c>
      <c r="AE585" t="str">
        <f>IF(OR(SalesData[[#This Row],[Day]]="Saturday",SalesData[[#This Row],[Day]]="Sunday"),"Weekend","Weekday")</f>
        <v>Weekend</v>
      </c>
      <c r="AF585" s="5">
        <f>IF(SalesData[[#This Row],[Contracts Offered]]=0,0,SalesData[[#This Row],[Contracts Signed]]/SalesData[[#This Row],[Contracts Offered]])</f>
        <v>0.3</v>
      </c>
      <c r="AG585" s="5">
        <f>IF(SalesData[[#This Row],[Customers Visited]]=0,0,SalesData[[#This Row],[Test Drives]]/SalesData[[#This Row],[Customers Visited]])</f>
        <v>0.41129032258064518</v>
      </c>
      <c r="AH585" s="5">
        <f>IF(SalesData[[#This Row],[Customers Visited]]=0,0,SalesData[[#This Row],[Contracts Signed]]/SalesData[[#This Row],[Customers Visited]])</f>
        <v>7.2580645161290328E-2</v>
      </c>
      <c r="AI585" s="6">
        <f>IF(SalesData[[#This Row],[Contracts Signed]]=0,0,SalesData[[#This Row],[Profit(€)]]/SalesData[[#This Row],[Contracts Signed]])</f>
        <v>2242</v>
      </c>
      <c r="AJ585" s="5" t="str">
        <f>TRIM(CLEAN(SalesData[[#This Row],[Retailer]]))</f>
        <v>Hannover Cars</v>
      </c>
    </row>
    <row r="586" spans="1:36" ht="14.25" hidden="1" x14ac:dyDescent="0.2">
      <c r="A586" t="s">
        <v>1126</v>
      </c>
      <c r="B586" s="1">
        <v>46058</v>
      </c>
      <c r="C586" t="s">
        <v>24</v>
      </c>
      <c r="D586" t="s">
        <v>100</v>
      </c>
      <c r="E586" t="s">
        <v>26</v>
      </c>
      <c r="F586" t="s">
        <v>74</v>
      </c>
      <c r="G586" t="s">
        <v>75</v>
      </c>
      <c r="H586" t="s">
        <v>76</v>
      </c>
      <c r="I586" t="s">
        <v>104</v>
      </c>
      <c r="J586" t="s">
        <v>7031</v>
      </c>
      <c r="K586" t="s">
        <v>66</v>
      </c>
      <c r="L586" t="s">
        <v>46</v>
      </c>
      <c r="M586" t="s">
        <v>87</v>
      </c>
      <c r="N586" t="s">
        <v>48</v>
      </c>
      <c r="O586" t="s">
        <v>36</v>
      </c>
      <c r="P586" t="s">
        <v>49</v>
      </c>
      <c r="Q586" t="s">
        <v>158</v>
      </c>
      <c r="R586">
        <v>307</v>
      </c>
      <c r="S586">
        <v>133</v>
      </c>
      <c r="T586">
        <v>78</v>
      </c>
      <c r="U586">
        <v>18</v>
      </c>
      <c r="V586" t="s">
        <v>6615</v>
      </c>
      <c r="W586">
        <v>32984</v>
      </c>
      <c r="X586" t="s">
        <v>7267</v>
      </c>
      <c r="Y586">
        <v>28866</v>
      </c>
      <c r="Z586">
        <v>593712</v>
      </c>
      <c r="AA586">
        <v>74124</v>
      </c>
      <c r="AB586" t="str">
        <f>(VLOOKUP(SalesData[[#This Row],[Month Number]],Reference!C$5:E$16,2,FALSE))</f>
        <v>Feb</v>
      </c>
      <c r="AC586">
        <f>MONTH(SalesData[[#This Row],[Date]])</f>
        <v>2</v>
      </c>
      <c r="AD586">
        <f>Reference!F$4</f>
        <v>2026</v>
      </c>
      <c r="AE586" t="str">
        <f>IF(OR(SalesData[[#This Row],[Day]]="Saturday",SalesData[[#This Row],[Day]]="Sunday"),"Weekend","Weekday")</f>
        <v>Weekday</v>
      </c>
      <c r="AF586" s="5">
        <f>IF(SalesData[[#This Row],[Contracts Offered]]=0,0,SalesData[[#This Row],[Contracts Signed]]/SalesData[[#This Row],[Contracts Offered]])</f>
        <v>0.23076923076923078</v>
      </c>
      <c r="AG586" s="5">
        <f>IF(SalesData[[#This Row],[Customers Visited]]=0,0,SalesData[[#This Row],[Test Drives]]/SalesData[[#This Row],[Customers Visited]])</f>
        <v>0.43322475570032576</v>
      </c>
      <c r="AH586" s="5">
        <f>IF(SalesData[[#This Row],[Customers Visited]]=0,0,SalesData[[#This Row],[Contracts Signed]]/SalesData[[#This Row],[Customers Visited]])</f>
        <v>5.8631921824104233E-2</v>
      </c>
      <c r="AI586" s="6">
        <f>IF(SalesData[[#This Row],[Contracts Signed]]=0,0,SalesData[[#This Row],[Profit(€)]]/SalesData[[#This Row],[Contracts Signed]])</f>
        <v>4118</v>
      </c>
      <c r="AJ586" s="5" t="str">
        <f>TRIM(CLEAN(SalesData[[#This Row],[Retailer]]))</f>
        <v>Stuttgart Auto Center</v>
      </c>
    </row>
    <row r="587" spans="1:36" ht="14.25" hidden="1" x14ac:dyDescent="0.2">
      <c r="A587" t="s">
        <v>1128</v>
      </c>
      <c r="B587" s="1">
        <v>46059</v>
      </c>
      <c r="C587" t="s">
        <v>24</v>
      </c>
      <c r="D587" t="s">
        <v>54</v>
      </c>
      <c r="E587" t="s">
        <v>26</v>
      </c>
      <c r="F587" t="s">
        <v>94</v>
      </c>
      <c r="G587" t="s">
        <v>95</v>
      </c>
      <c r="H587" t="s">
        <v>96</v>
      </c>
      <c r="I587" t="s">
        <v>56</v>
      </c>
      <c r="J587" t="s">
        <v>97</v>
      </c>
      <c r="K587" t="s">
        <v>78</v>
      </c>
      <c r="L587" t="s">
        <v>33</v>
      </c>
      <c r="M587" t="s">
        <v>87</v>
      </c>
      <c r="N587" t="s">
        <v>35</v>
      </c>
      <c r="O587" t="s">
        <v>36</v>
      </c>
      <c r="P587" t="s">
        <v>71</v>
      </c>
      <c r="Q587" t="s">
        <v>118</v>
      </c>
      <c r="R587">
        <v>272</v>
      </c>
      <c r="S587">
        <v>170</v>
      </c>
      <c r="T587">
        <v>121</v>
      </c>
      <c r="U587">
        <v>42</v>
      </c>
      <c r="V587" t="s">
        <v>6827</v>
      </c>
      <c r="W587">
        <v>53863</v>
      </c>
      <c r="X587" t="s">
        <v>7208</v>
      </c>
      <c r="Y587">
        <v>42007</v>
      </c>
      <c r="Z587">
        <v>2262246</v>
      </c>
      <c r="AA587">
        <v>497952</v>
      </c>
      <c r="AB587" t="str">
        <f>(VLOOKUP(SalesData[[#This Row],[Month Number]],Reference!C$5:E$16,2,FALSE))</f>
        <v>Feb</v>
      </c>
      <c r="AC587">
        <f>MONTH(SalesData[[#This Row],[Date]])</f>
        <v>2</v>
      </c>
      <c r="AD587">
        <f>Reference!F$4</f>
        <v>2026</v>
      </c>
      <c r="AE587" t="str">
        <f>IF(OR(SalesData[[#This Row],[Day]]="Saturday",SalesData[[#This Row],[Day]]="Sunday"),"Weekend","Weekday")</f>
        <v>Weekday</v>
      </c>
      <c r="AF587" s="5">
        <f>IF(SalesData[[#This Row],[Contracts Offered]]=0,0,SalesData[[#This Row],[Contracts Signed]]/SalesData[[#This Row],[Contracts Offered]])</f>
        <v>0.34710743801652894</v>
      </c>
      <c r="AG587" s="5">
        <f>IF(SalesData[[#This Row],[Customers Visited]]=0,0,SalesData[[#This Row],[Test Drives]]/SalesData[[#This Row],[Customers Visited]])</f>
        <v>0.625</v>
      </c>
      <c r="AH587" s="5">
        <f>IF(SalesData[[#This Row],[Customers Visited]]=0,0,SalesData[[#This Row],[Contracts Signed]]/SalesData[[#This Row],[Customers Visited]])</f>
        <v>0.15441176470588236</v>
      </c>
      <c r="AI587" s="6">
        <f>IF(SalesData[[#This Row],[Contracts Signed]]=0,0,SalesData[[#This Row],[Profit(€)]]/SalesData[[#This Row],[Contracts Signed]])</f>
        <v>11856</v>
      </c>
      <c r="AJ587" s="5" t="str">
        <f>TRIM(CLEAN(SalesData[[#This Row],[Retailer]]))</f>
        <v>Bavaria Motors</v>
      </c>
    </row>
    <row r="588" spans="1:36" ht="14.25" x14ac:dyDescent="0.2">
      <c r="A588" t="s">
        <v>1129</v>
      </c>
      <c r="B588" s="1">
        <v>46065</v>
      </c>
      <c r="C588" t="s">
        <v>121</v>
      </c>
      <c r="D588" t="s">
        <v>100</v>
      </c>
      <c r="E588" t="s">
        <v>26</v>
      </c>
      <c r="F588" t="s">
        <v>127</v>
      </c>
      <c r="G588" t="s">
        <v>128</v>
      </c>
      <c r="H588" t="s">
        <v>103</v>
      </c>
      <c r="I588" t="s">
        <v>30</v>
      </c>
      <c r="J588" t="s">
        <v>31</v>
      </c>
      <c r="K588" t="s">
        <v>91</v>
      </c>
      <c r="L588" t="s">
        <v>46</v>
      </c>
      <c r="M588" t="s">
        <v>87</v>
      </c>
      <c r="N588" t="s">
        <v>35</v>
      </c>
      <c r="O588" t="s">
        <v>70</v>
      </c>
      <c r="P588" t="s">
        <v>37</v>
      </c>
      <c r="Q588" t="s">
        <v>347</v>
      </c>
      <c r="R588">
        <v>261</v>
      </c>
      <c r="S588">
        <v>159</v>
      </c>
      <c r="T588">
        <v>116</v>
      </c>
      <c r="U588">
        <v>42</v>
      </c>
      <c r="V588" t="s">
        <v>6539</v>
      </c>
      <c r="W588">
        <v>51944</v>
      </c>
      <c r="X588" t="s">
        <v>7224</v>
      </c>
      <c r="Y588">
        <v>37282</v>
      </c>
      <c r="Z588">
        <v>2181648</v>
      </c>
      <c r="AA588">
        <v>615804</v>
      </c>
      <c r="AB588" t="str">
        <f>(VLOOKUP(SalesData[[#This Row],[Month Number]],Reference!C$5:E$16,2,FALSE))</f>
        <v>Feb</v>
      </c>
      <c r="AC588">
        <f>MONTH(SalesData[[#This Row],[Date]])</f>
        <v>2</v>
      </c>
      <c r="AD588">
        <f>Reference!F$4</f>
        <v>2026</v>
      </c>
      <c r="AE588" t="str">
        <f>IF(OR(SalesData[[#This Row],[Day]]="Saturday",SalesData[[#This Row],[Day]]="Sunday"),"Weekend","Weekday")</f>
        <v>Weekday</v>
      </c>
      <c r="AF588" s="5">
        <f>IF(SalesData[[#This Row],[Contracts Offered]]=0,0,SalesData[[#This Row],[Contracts Signed]]/SalesData[[#This Row],[Contracts Offered]])</f>
        <v>0.36206896551724138</v>
      </c>
      <c r="AG588" s="5">
        <f>IF(SalesData[[#This Row],[Customers Visited]]=0,0,SalesData[[#This Row],[Test Drives]]/SalesData[[#This Row],[Customers Visited]])</f>
        <v>0.60919540229885061</v>
      </c>
      <c r="AH588" s="5">
        <f>IF(SalesData[[#This Row],[Customers Visited]]=0,0,SalesData[[#This Row],[Contracts Signed]]/SalesData[[#This Row],[Customers Visited]])</f>
        <v>0.16091954022988506</v>
      </c>
      <c r="AI588" s="6">
        <f>IF(SalesData[[#This Row],[Contracts Signed]]=0,0,SalesData[[#This Row],[Profit(€)]]/SalesData[[#This Row],[Contracts Signed]])</f>
        <v>14662</v>
      </c>
      <c r="AJ588" s="5" t="str">
        <f>TRIM(CLEAN(SalesData[[#This Row],[Retailer]]))</f>
        <v>Rhein Auto Group</v>
      </c>
    </row>
    <row r="589" spans="1:36" ht="14.25" hidden="1" x14ac:dyDescent="0.2">
      <c r="A589" t="s">
        <v>1130</v>
      </c>
      <c r="B589" s="1">
        <v>46073</v>
      </c>
      <c r="C589" t="s">
        <v>62</v>
      </c>
      <c r="D589" t="s">
        <v>54</v>
      </c>
      <c r="E589" t="s">
        <v>26</v>
      </c>
      <c r="F589" t="s">
        <v>114</v>
      </c>
      <c r="G589" t="s">
        <v>115</v>
      </c>
      <c r="H589" t="s">
        <v>115</v>
      </c>
      <c r="I589" t="s">
        <v>104</v>
      </c>
      <c r="J589" t="s">
        <v>7031</v>
      </c>
      <c r="K589" t="s">
        <v>78</v>
      </c>
      <c r="L589" t="s">
        <v>46</v>
      </c>
      <c r="M589" t="s">
        <v>87</v>
      </c>
      <c r="N589" t="s">
        <v>48</v>
      </c>
      <c r="O589" t="s">
        <v>36</v>
      </c>
      <c r="P589" t="s">
        <v>58</v>
      </c>
      <c r="Q589" t="s">
        <v>169</v>
      </c>
      <c r="R589">
        <v>385</v>
      </c>
      <c r="S589">
        <v>154</v>
      </c>
      <c r="T589">
        <v>94</v>
      </c>
      <c r="U589">
        <v>32</v>
      </c>
      <c r="V589" t="s">
        <v>7012</v>
      </c>
      <c r="W589">
        <v>31257</v>
      </c>
      <c r="X589" t="s">
        <v>521</v>
      </c>
      <c r="Y589">
        <v>28272</v>
      </c>
      <c r="Z589">
        <v>1000224</v>
      </c>
      <c r="AA589">
        <v>95520</v>
      </c>
      <c r="AB589" t="str">
        <f>(VLOOKUP(SalesData[[#This Row],[Month Number]],Reference!C$5:E$16,2,FALSE))</f>
        <v>Feb</v>
      </c>
      <c r="AC589">
        <f>MONTH(SalesData[[#This Row],[Date]])</f>
        <v>2</v>
      </c>
      <c r="AD589">
        <f>Reference!F$4</f>
        <v>2026</v>
      </c>
      <c r="AE589" t="str">
        <f>IF(OR(SalesData[[#This Row],[Day]]="Saturday",SalesData[[#This Row],[Day]]="Sunday"),"Weekend","Weekday")</f>
        <v>Weekday</v>
      </c>
      <c r="AF589" s="5">
        <f>IF(SalesData[[#This Row],[Contracts Offered]]=0,0,SalesData[[#This Row],[Contracts Signed]]/SalesData[[#This Row],[Contracts Offered]])</f>
        <v>0.34042553191489361</v>
      </c>
      <c r="AG589" s="5">
        <f>IF(SalesData[[#This Row],[Customers Visited]]=0,0,SalesData[[#This Row],[Test Drives]]/SalesData[[#This Row],[Customers Visited]])</f>
        <v>0.4</v>
      </c>
      <c r="AH589" s="5">
        <f>IF(SalesData[[#This Row],[Customers Visited]]=0,0,SalesData[[#This Row],[Contracts Signed]]/SalesData[[#This Row],[Customers Visited]])</f>
        <v>8.3116883116883117E-2</v>
      </c>
      <c r="AI589" s="6">
        <f>IF(SalesData[[#This Row],[Contracts Signed]]=0,0,SalesData[[#This Row],[Profit(€)]]/SalesData[[#This Row],[Contracts Signed]])</f>
        <v>2985</v>
      </c>
      <c r="AJ589" s="5" t="str">
        <f>TRIM(CLEAN(SalesData[[#This Row],[Retailer]]))</f>
        <v>Elbe Drive</v>
      </c>
    </row>
    <row r="590" spans="1:36" ht="14.25" hidden="1" x14ac:dyDescent="0.2">
      <c r="A590" t="s">
        <v>1131</v>
      </c>
      <c r="B590" s="1">
        <v>46080</v>
      </c>
      <c r="C590" t="s">
        <v>53</v>
      </c>
      <c r="D590" t="s">
        <v>54</v>
      </c>
      <c r="E590" t="s">
        <v>26</v>
      </c>
      <c r="F590" t="s">
        <v>114</v>
      </c>
      <c r="G590" t="s">
        <v>115</v>
      </c>
      <c r="H590" t="s">
        <v>115</v>
      </c>
      <c r="I590" t="s">
        <v>104</v>
      </c>
      <c r="J590" t="s">
        <v>140</v>
      </c>
      <c r="K590" t="s">
        <v>78</v>
      </c>
      <c r="L590" t="s">
        <v>46</v>
      </c>
      <c r="M590" t="s">
        <v>87</v>
      </c>
      <c r="N590" t="s">
        <v>48</v>
      </c>
      <c r="O590" t="s">
        <v>70</v>
      </c>
      <c r="P590" t="s">
        <v>49</v>
      </c>
      <c r="Q590" t="s">
        <v>152</v>
      </c>
      <c r="R590">
        <v>288</v>
      </c>
      <c r="S590">
        <v>143</v>
      </c>
      <c r="T590">
        <v>89</v>
      </c>
      <c r="U590">
        <v>24</v>
      </c>
      <c r="V590" t="s">
        <v>5143</v>
      </c>
      <c r="W590">
        <v>29990</v>
      </c>
      <c r="X590" t="s">
        <v>279</v>
      </c>
      <c r="Y590">
        <v>26454</v>
      </c>
      <c r="Z590">
        <v>719760</v>
      </c>
      <c r="AA590">
        <v>84864</v>
      </c>
      <c r="AB590" t="str">
        <f>(VLOOKUP(SalesData[[#This Row],[Month Number]],Reference!C$5:E$16,2,FALSE))</f>
        <v>Feb</v>
      </c>
      <c r="AC590">
        <f>MONTH(SalesData[[#This Row],[Date]])</f>
        <v>2</v>
      </c>
      <c r="AD590">
        <f>Reference!F$4</f>
        <v>2026</v>
      </c>
      <c r="AE590" t="str">
        <f>IF(OR(SalesData[[#This Row],[Day]]="Saturday",SalesData[[#This Row],[Day]]="Sunday"),"Weekend","Weekday")</f>
        <v>Weekday</v>
      </c>
      <c r="AF590" s="5">
        <f>IF(SalesData[[#This Row],[Contracts Offered]]=0,0,SalesData[[#This Row],[Contracts Signed]]/SalesData[[#This Row],[Contracts Offered]])</f>
        <v>0.2696629213483146</v>
      </c>
      <c r="AG590" s="5">
        <f>IF(SalesData[[#This Row],[Customers Visited]]=0,0,SalesData[[#This Row],[Test Drives]]/SalesData[[#This Row],[Customers Visited]])</f>
        <v>0.49652777777777779</v>
      </c>
      <c r="AH590" s="5">
        <f>IF(SalesData[[#This Row],[Customers Visited]]=0,0,SalesData[[#This Row],[Contracts Signed]]/SalesData[[#This Row],[Customers Visited]])</f>
        <v>8.3333333333333329E-2</v>
      </c>
      <c r="AI590" s="6">
        <f>IF(SalesData[[#This Row],[Contracts Signed]]=0,0,SalesData[[#This Row],[Profit(€)]]/SalesData[[#This Row],[Contracts Signed]])</f>
        <v>3536</v>
      </c>
      <c r="AJ590" s="5" t="str">
        <f>TRIM(CLEAN(SalesData[[#This Row],[Retailer]]))</f>
        <v>Elbe Drive</v>
      </c>
    </row>
    <row r="591" spans="1:36" ht="14.25" hidden="1" x14ac:dyDescent="0.2">
      <c r="A591" t="s">
        <v>1132</v>
      </c>
      <c r="B591" s="1">
        <v>46065</v>
      </c>
      <c r="C591" t="s">
        <v>121</v>
      </c>
      <c r="D591" t="s">
        <v>100</v>
      </c>
      <c r="E591" t="s">
        <v>26</v>
      </c>
      <c r="F591" t="s">
        <v>94</v>
      </c>
      <c r="G591" t="s">
        <v>95</v>
      </c>
      <c r="H591" t="s">
        <v>96</v>
      </c>
      <c r="I591" t="s">
        <v>116</v>
      </c>
      <c r="J591" t="s">
        <v>117</v>
      </c>
      <c r="K591" t="s">
        <v>32</v>
      </c>
      <c r="L591" t="s">
        <v>67</v>
      </c>
      <c r="M591" t="s">
        <v>34</v>
      </c>
      <c r="N591" t="s">
        <v>35</v>
      </c>
      <c r="O591" t="s">
        <v>36</v>
      </c>
      <c r="P591" t="s">
        <v>71</v>
      </c>
      <c r="Q591" t="s">
        <v>59</v>
      </c>
      <c r="R591">
        <v>402</v>
      </c>
      <c r="S591">
        <v>158</v>
      </c>
      <c r="T591">
        <v>99</v>
      </c>
      <c r="U591">
        <v>33</v>
      </c>
      <c r="V591" t="s">
        <v>7268</v>
      </c>
      <c r="W591">
        <v>25375</v>
      </c>
      <c r="X591" t="s">
        <v>3997</v>
      </c>
      <c r="Y591">
        <v>22984</v>
      </c>
      <c r="Z591">
        <v>837375</v>
      </c>
      <c r="AA591">
        <v>78903</v>
      </c>
      <c r="AB591" t="str">
        <f>(VLOOKUP(SalesData[[#This Row],[Month Number]],Reference!C$5:E$16,2,FALSE))</f>
        <v>Feb</v>
      </c>
      <c r="AC591">
        <f>MONTH(SalesData[[#This Row],[Date]])</f>
        <v>2</v>
      </c>
      <c r="AD591">
        <f>Reference!F$4</f>
        <v>2026</v>
      </c>
      <c r="AE591" t="str">
        <f>IF(OR(SalesData[[#This Row],[Day]]="Saturday",SalesData[[#This Row],[Day]]="Sunday"),"Weekend","Weekday")</f>
        <v>Weekday</v>
      </c>
      <c r="AF591" s="5">
        <f>IF(SalesData[[#This Row],[Contracts Offered]]=0,0,SalesData[[#This Row],[Contracts Signed]]/SalesData[[#This Row],[Contracts Offered]])</f>
        <v>0.33333333333333331</v>
      </c>
      <c r="AG591" s="5">
        <f>IF(SalesData[[#This Row],[Customers Visited]]=0,0,SalesData[[#This Row],[Test Drives]]/SalesData[[#This Row],[Customers Visited]])</f>
        <v>0.39303482587064675</v>
      </c>
      <c r="AH591" s="5">
        <f>IF(SalesData[[#This Row],[Customers Visited]]=0,0,SalesData[[#This Row],[Contracts Signed]]/SalesData[[#This Row],[Customers Visited]])</f>
        <v>8.2089552238805971E-2</v>
      </c>
      <c r="AI591" s="6">
        <f>IF(SalesData[[#This Row],[Contracts Signed]]=0,0,SalesData[[#This Row],[Profit(€)]]/SalesData[[#This Row],[Contracts Signed]])</f>
        <v>2391</v>
      </c>
      <c r="AJ591" s="5" t="str">
        <f>TRIM(CLEAN(SalesData[[#This Row],[Retailer]]))</f>
        <v>Bavaria Motors</v>
      </c>
    </row>
    <row r="592" spans="1:36" ht="14.25" hidden="1" x14ac:dyDescent="0.2">
      <c r="A592" t="s">
        <v>1134</v>
      </c>
      <c r="B592" s="1">
        <v>46078</v>
      </c>
      <c r="C592" t="s">
        <v>53</v>
      </c>
      <c r="D592" t="s">
        <v>82</v>
      </c>
      <c r="E592" t="s">
        <v>26</v>
      </c>
      <c r="F592" t="s">
        <v>114</v>
      </c>
      <c r="G592" t="s">
        <v>115</v>
      </c>
      <c r="H592" t="s">
        <v>115</v>
      </c>
      <c r="I592" t="s">
        <v>116</v>
      </c>
      <c r="J592" t="s">
        <v>7090</v>
      </c>
      <c r="K592" t="s">
        <v>66</v>
      </c>
      <c r="L592" t="s">
        <v>46</v>
      </c>
      <c r="M592" t="s">
        <v>68</v>
      </c>
      <c r="N592" t="s">
        <v>48</v>
      </c>
      <c r="O592" t="s">
        <v>70</v>
      </c>
      <c r="P592" t="s">
        <v>37</v>
      </c>
      <c r="Q592" t="s">
        <v>172</v>
      </c>
      <c r="R592">
        <v>299</v>
      </c>
      <c r="S592">
        <v>158</v>
      </c>
      <c r="T592">
        <v>102</v>
      </c>
      <c r="U592">
        <v>22</v>
      </c>
      <c r="V592" t="s">
        <v>840</v>
      </c>
      <c r="W592">
        <v>21741</v>
      </c>
      <c r="X592" t="s">
        <v>7203</v>
      </c>
      <c r="Y592">
        <v>19864</v>
      </c>
      <c r="Z592">
        <v>478302</v>
      </c>
      <c r="AA592">
        <v>41294</v>
      </c>
      <c r="AB592" t="str">
        <f>(VLOOKUP(SalesData[[#This Row],[Month Number]],Reference!C$5:E$16,2,FALSE))</f>
        <v>Feb</v>
      </c>
      <c r="AC592">
        <f>MONTH(SalesData[[#This Row],[Date]])</f>
        <v>2</v>
      </c>
      <c r="AD592">
        <f>Reference!F$4</f>
        <v>2026</v>
      </c>
      <c r="AE592" t="str">
        <f>IF(OR(SalesData[[#This Row],[Day]]="Saturday",SalesData[[#This Row],[Day]]="Sunday"),"Weekend","Weekday")</f>
        <v>Weekday</v>
      </c>
      <c r="AF592" s="5">
        <f>IF(SalesData[[#This Row],[Contracts Offered]]=0,0,SalesData[[#This Row],[Contracts Signed]]/SalesData[[#This Row],[Contracts Offered]])</f>
        <v>0.21568627450980393</v>
      </c>
      <c r="AG592" s="5">
        <f>IF(SalesData[[#This Row],[Customers Visited]]=0,0,SalesData[[#This Row],[Test Drives]]/SalesData[[#This Row],[Customers Visited]])</f>
        <v>0.52842809364548493</v>
      </c>
      <c r="AH592" s="5">
        <f>IF(SalesData[[#This Row],[Customers Visited]]=0,0,SalesData[[#This Row],[Contracts Signed]]/SalesData[[#This Row],[Customers Visited]])</f>
        <v>7.3578595317725759E-2</v>
      </c>
      <c r="AI592" s="6">
        <f>IF(SalesData[[#This Row],[Contracts Signed]]=0,0,SalesData[[#This Row],[Profit(€)]]/SalesData[[#This Row],[Contracts Signed]])</f>
        <v>1877</v>
      </c>
      <c r="AJ592" s="5" t="str">
        <f>TRIM(CLEAN(SalesData[[#This Row],[Retailer]]))</f>
        <v>Elbe Drive</v>
      </c>
    </row>
    <row r="593" spans="1:36" ht="14.25" hidden="1" x14ac:dyDescent="0.2">
      <c r="A593" t="s">
        <v>1135</v>
      </c>
      <c r="B593" s="1">
        <v>46074</v>
      </c>
      <c r="C593" t="s">
        <v>62</v>
      </c>
      <c r="D593" t="s">
        <v>151</v>
      </c>
      <c r="E593" t="s">
        <v>42</v>
      </c>
      <c r="F593" t="s">
        <v>114</v>
      </c>
      <c r="G593" t="s">
        <v>115</v>
      </c>
      <c r="H593" t="s">
        <v>115</v>
      </c>
      <c r="I593" t="s">
        <v>116</v>
      </c>
      <c r="J593" t="s">
        <v>132</v>
      </c>
      <c r="K593" t="s">
        <v>66</v>
      </c>
      <c r="L593" t="s">
        <v>46</v>
      </c>
      <c r="M593" t="s">
        <v>34</v>
      </c>
      <c r="N593" t="s">
        <v>48</v>
      </c>
      <c r="O593" t="s">
        <v>70</v>
      </c>
      <c r="P593" t="s">
        <v>37</v>
      </c>
      <c r="Q593" t="s">
        <v>50</v>
      </c>
      <c r="R593">
        <v>384</v>
      </c>
      <c r="S593">
        <v>192</v>
      </c>
      <c r="T593">
        <v>129</v>
      </c>
      <c r="U593">
        <v>25</v>
      </c>
      <c r="V593" t="s">
        <v>3733</v>
      </c>
      <c r="W593">
        <v>21864</v>
      </c>
      <c r="X593" t="s">
        <v>2751</v>
      </c>
      <c r="Y593">
        <v>19803</v>
      </c>
      <c r="Z593">
        <v>546600</v>
      </c>
      <c r="AA593">
        <v>51525</v>
      </c>
      <c r="AB593" t="str">
        <f>(VLOOKUP(SalesData[[#This Row],[Month Number]],Reference!C$5:E$16,2,FALSE))</f>
        <v>Feb</v>
      </c>
      <c r="AC593">
        <f>MONTH(SalesData[[#This Row],[Date]])</f>
        <v>2</v>
      </c>
      <c r="AD593">
        <f>Reference!F$4</f>
        <v>2026</v>
      </c>
      <c r="AE593" t="str">
        <f>IF(OR(SalesData[[#This Row],[Day]]="Saturday",SalesData[[#This Row],[Day]]="Sunday"),"Weekend","Weekday")</f>
        <v>Weekend</v>
      </c>
      <c r="AF593" s="5">
        <f>IF(SalesData[[#This Row],[Contracts Offered]]=0,0,SalesData[[#This Row],[Contracts Signed]]/SalesData[[#This Row],[Contracts Offered]])</f>
        <v>0.19379844961240311</v>
      </c>
      <c r="AG593" s="5">
        <f>IF(SalesData[[#This Row],[Customers Visited]]=0,0,SalesData[[#This Row],[Test Drives]]/SalesData[[#This Row],[Customers Visited]])</f>
        <v>0.5</v>
      </c>
      <c r="AH593" s="5">
        <f>IF(SalesData[[#This Row],[Customers Visited]]=0,0,SalesData[[#This Row],[Contracts Signed]]/SalesData[[#This Row],[Customers Visited]])</f>
        <v>6.5104166666666671E-2</v>
      </c>
      <c r="AI593" s="6">
        <f>IF(SalesData[[#This Row],[Contracts Signed]]=0,0,SalesData[[#This Row],[Profit(€)]]/SalesData[[#This Row],[Contracts Signed]])</f>
        <v>2061</v>
      </c>
      <c r="AJ593" s="5" t="str">
        <f>TRIM(CLEAN(SalesData[[#This Row],[Retailer]]))</f>
        <v>Elbe Drive</v>
      </c>
    </row>
    <row r="594" spans="1:36" ht="14.25" hidden="1" x14ac:dyDescent="0.2">
      <c r="A594" t="s">
        <v>1137</v>
      </c>
      <c r="B594" s="1">
        <v>46069</v>
      </c>
      <c r="C594" t="s">
        <v>62</v>
      </c>
      <c r="D594" t="s">
        <v>25</v>
      </c>
      <c r="E594" t="s">
        <v>26</v>
      </c>
      <c r="F594" t="s">
        <v>114</v>
      </c>
      <c r="G594" t="s">
        <v>115</v>
      </c>
      <c r="H594" t="s">
        <v>115</v>
      </c>
      <c r="I594" t="s">
        <v>64</v>
      </c>
      <c r="J594" t="s">
        <v>7029</v>
      </c>
      <c r="K594" t="s">
        <v>66</v>
      </c>
      <c r="L594" t="s">
        <v>33</v>
      </c>
      <c r="M594" t="s">
        <v>68</v>
      </c>
      <c r="N594" t="s">
        <v>69</v>
      </c>
      <c r="O594" t="s">
        <v>36</v>
      </c>
      <c r="P594" t="s">
        <v>71</v>
      </c>
      <c r="Q594" t="s">
        <v>122</v>
      </c>
      <c r="R594">
        <v>216</v>
      </c>
      <c r="S594">
        <v>121</v>
      </c>
      <c r="T594">
        <v>88</v>
      </c>
      <c r="U594">
        <v>34</v>
      </c>
      <c r="V594" t="s">
        <v>6414</v>
      </c>
      <c r="W594">
        <v>58197</v>
      </c>
      <c r="X594" t="s">
        <v>7078</v>
      </c>
      <c r="Y594">
        <v>42973</v>
      </c>
      <c r="Z594">
        <v>1978698</v>
      </c>
      <c r="AA594">
        <v>517616</v>
      </c>
      <c r="AB594" t="str">
        <f>(VLOOKUP(SalesData[[#This Row],[Month Number]],Reference!C$5:E$16,2,FALSE))</f>
        <v>Feb</v>
      </c>
      <c r="AC594">
        <f>MONTH(SalesData[[#This Row],[Date]])</f>
        <v>2</v>
      </c>
      <c r="AD594">
        <f>Reference!F$4</f>
        <v>2026</v>
      </c>
      <c r="AE594" t="str">
        <f>IF(OR(SalesData[[#This Row],[Day]]="Saturday",SalesData[[#This Row],[Day]]="Sunday"),"Weekend","Weekday")</f>
        <v>Weekday</v>
      </c>
      <c r="AF594" s="5">
        <f>IF(SalesData[[#This Row],[Contracts Offered]]=0,0,SalesData[[#This Row],[Contracts Signed]]/SalesData[[#This Row],[Contracts Offered]])</f>
        <v>0.38636363636363635</v>
      </c>
      <c r="AG594" s="5">
        <f>IF(SalesData[[#This Row],[Customers Visited]]=0,0,SalesData[[#This Row],[Test Drives]]/SalesData[[#This Row],[Customers Visited]])</f>
        <v>0.56018518518518523</v>
      </c>
      <c r="AH594" s="5">
        <f>IF(SalesData[[#This Row],[Customers Visited]]=0,0,SalesData[[#This Row],[Contracts Signed]]/SalesData[[#This Row],[Customers Visited]])</f>
        <v>0.15740740740740741</v>
      </c>
      <c r="AI594" s="6">
        <f>IF(SalesData[[#This Row],[Contracts Signed]]=0,0,SalesData[[#This Row],[Profit(€)]]/SalesData[[#This Row],[Contracts Signed]])</f>
        <v>15224</v>
      </c>
      <c r="AJ594" s="5" t="str">
        <f>TRIM(CLEAN(SalesData[[#This Row],[Retailer]]))</f>
        <v>Elbe Drive</v>
      </c>
    </row>
    <row r="595" spans="1:36" ht="14.25" hidden="1" x14ac:dyDescent="0.2">
      <c r="A595" t="s">
        <v>1138</v>
      </c>
      <c r="B595" s="1">
        <v>46054</v>
      </c>
      <c r="C595" t="s">
        <v>24</v>
      </c>
      <c r="D595" t="s">
        <v>41</v>
      </c>
      <c r="E595" t="s">
        <v>42</v>
      </c>
      <c r="F595" t="s">
        <v>94</v>
      </c>
      <c r="G595" t="s">
        <v>95</v>
      </c>
      <c r="H595" t="s">
        <v>96</v>
      </c>
      <c r="I595" t="s">
        <v>116</v>
      </c>
      <c r="J595" t="s">
        <v>203</v>
      </c>
      <c r="K595" t="s">
        <v>66</v>
      </c>
      <c r="L595" t="s">
        <v>67</v>
      </c>
      <c r="M595" t="s">
        <v>87</v>
      </c>
      <c r="N595" t="s">
        <v>48</v>
      </c>
      <c r="O595" t="s">
        <v>70</v>
      </c>
      <c r="P595" t="s">
        <v>71</v>
      </c>
      <c r="Q595" t="s">
        <v>50</v>
      </c>
      <c r="R595">
        <v>276</v>
      </c>
      <c r="S595">
        <v>120</v>
      </c>
      <c r="T595">
        <v>74</v>
      </c>
      <c r="U595">
        <v>22</v>
      </c>
      <c r="V595" t="s">
        <v>496</v>
      </c>
      <c r="W595">
        <v>25811</v>
      </c>
      <c r="X595" t="s">
        <v>238</v>
      </c>
      <c r="Y595">
        <v>23465</v>
      </c>
      <c r="Z595">
        <v>567842</v>
      </c>
      <c r="AA595">
        <v>51612</v>
      </c>
      <c r="AB595" t="str">
        <f>(VLOOKUP(SalesData[[#This Row],[Month Number]],Reference!C$5:E$16,2,FALSE))</f>
        <v>Feb</v>
      </c>
      <c r="AC595">
        <f>MONTH(SalesData[[#This Row],[Date]])</f>
        <v>2</v>
      </c>
      <c r="AD595">
        <f>Reference!F$4</f>
        <v>2026</v>
      </c>
      <c r="AE595" t="str">
        <f>IF(OR(SalesData[[#This Row],[Day]]="Saturday",SalesData[[#This Row],[Day]]="Sunday"),"Weekend","Weekday")</f>
        <v>Weekend</v>
      </c>
      <c r="AF595" s="5">
        <f>IF(SalesData[[#This Row],[Contracts Offered]]=0,0,SalesData[[#This Row],[Contracts Signed]]/SalesData[[#This Row],[Contracts Offered]])</f>
        <v>0.29729729729729731</v>
      </c>
      <c r="AG595" s="5">
        <f>IF(SalesData[[#This Row],[Customers Visited]]=0,0,SalesData[[#This Row],[Test Drives]]/SalesData[[#This Row],[Customers Visited]])</f>
        <v>0.43478260869565216</v>
      </c>
      <c r="AH595" s="5">
        <f>IF(SalesData[[#This Row],[Customers Visited]]=0,0,SalesData[[#This Row],[Contracts Signed]]/SalesData[[#This Row],[Customers Visited]])</f>
        <v>7.9710144927536225E-2</v>
      </c>
      <c r="AI595" s="6">
        <f>IF(SalesData[[#This Row],[Contracts Signed]]=0,0,SalesData[[#This Row],[Profit(€)]]/SalesData[[#This Row],[Contracts Signed]])</f>
        <v>2346</v>
      </c>
      <c r="AJ595" s="5" t="str">
        <f>TRIM(CLEAN(SalesData[[#This Row],[Retailer]]))</f>
        <v>Bavaria Motors</v>
      </c>
    </row>
    <row r="596" spans="1:36" ht="14.25" x14ac:dyDescent="0.2">
      <c r="A596" t="s">
        <v>1140</v>
      </c>
      <c r="B596" s="1">
        <v>46062</v>
      </c>
      <c r="C596" t="s">
        <v>121</v>
      </c>
      <c r="D596" t="s">
        <v>25</v>
      </c>
      <c r="E596" t="s">
        <v>26</v>
      </c>
      <c r="F596" t="s">
        <v>27</v>
      </c>
      <c r="G596" t="s">
        <v>28</v>
      </c>
      <c r="H596" t="s">
        <v>29</v>
      </c>
      <c r="I596" t="s">
        <v>30</v>
      </c>
      <c r="J596" t="s">
        <v>86</v>
      </c>
      <c r="K596" t="s">
        <v>78</v>
      </c>
      <c r="L596" t="s">
        <v>33</v>
      </c>
      <c r="M596" t="s">
        <v>47</v>
      </c>
      <c r="N596" t="s">
        <v>69</v>
      </c>
      <c r="O596" t="s">
        <v>36</v>
      </c>
      <c r="P596" t="s">
        <v>58</v>
      </c>
      <c r="Q596" t="s">
        <v>129</v>
      </c>
      <c r="R596">
        <v>215</v>
      </c>
      <c r="S596">
        <v>125</v>
      </c>
      <c r="T596">
        <v>91</v>
      </c>
      <c r="U596">
        <v>36</v>
      </c>
      <c r="V596" t="s">
        <v>6534</v>
      </c>
      <c r="W596">
        <v>60443</v>
      </c>
      <c r="X596" t="s">
        <v>7185</v>
      </c>
      <c r="Y596">
        <v>43281</v>
      </c>
      <c r="Z596">
        <v>2175948</v>
      </c>
      <c r="AA596">
        <v>617832</v>
      </c>
      <c r="AB596" t="str">
        <f>(VLOOKUP(SalesData[[#This Row],[Month Number]],Reference!C$5:E$16,2,FALSE))</f>
        <v>Feb</v>
      </c>
      <c r="AC596">
        <f>MONTH(SalesData[[#This Row],[Date]])</f>
        <v>2</v>
      </c>
      <c r="AD596">
        <f>Reference!F$4</f>
        <v>2026</v>
      </c>
      <c r="AE596" t="str">
        <f>IF(OR(SalesData[[#This Row],[Day]]="Saturday",SalesData[[#This Row],[Day]]="Sunday"),"Weekend","Weekday")</f>
        <v>Weekday</v>
      </c>
      <c r="AF596" s="5">
        <f>IF(SalesData[[#This Row],[Contracts Offered]]=0,0,SalesData[[#This Row],[Contracts Signed]]/SalesData[[#This Row],[Contracts Offered]])</f>
        <v>0.39560439560439559</v>
      </c>
      <c r="AG596" s="5">
        <f>IF(SalesData[[#This Row],[Customers Visited]]=0,0,SalesData[[#This Row],[Test Drives]]/SalesData[[#This Row],[Customers Visited]])</f>
        <v>0.58139534883720934</v>
      </c>
      <c r="AH596" s="5">
        <f>IF(SalesData[[#This Row],[Customers Visited]]=0,0,SalesData[[#This Row],[Contracts Signed]]/SalesData[[#This Row],[Customers Visited]])</f>
        <v>0.16744186046511628</v>
      </c>
      <c r="AI596" s="6">
        <f>IF(SalesData[[#This Row],[Contracts Signed]]=0,0,SalesData[[#This Row],[Profit(€)]]/SalesData[[#This Row],[Contracts Signed]])</f>
        <v>17162</v>
      </c>
      <c r="AJ596" s="5" t="str">
        <f>TRIM(CLEAN(SalesData[[#This Row],[Retailer]]))</f>
        <v>Main Auto Hub</v>
      </c>
    </row>
    <row r="597" spans="1:36" ht="14.25" hidden="1" x14ac:dyDescent="0.2">
      <c r="A597" t="s">
        <v>1141</v>
      </c>
      <c r="B597" s="1">
        <v>46056</v>
      </c>
      <c r="C597" t="s">
        <v>24</v>
      </c>
      <c r="D597" t="s">
        <v>63</v>
      </c>
      <c r="E597" t="s">
        <v>26</v>
      </c>
      <c r="F597" t="s">
        <v>94</v>
      </c>
      <c r="G597" t="s">
        <v>95</v>
      </c>
      <c r="H597" t="s">
        <v>96</v>
      </c>
      <c r="I597" t="s">
        <v>104</v>
      </c>
      <c r="J597" t="s">
        <v>143</v>
      </c>
      <c r="K597" t="s">
        <v>32</v>
      </c>
      <c r="L597" t="s">
        <v>67</v>
      </c>
      <c r="M597" t="s">
        <v>34</v>
      </c>
      <c r="N597" t="s">
        <v>48</v>
      </c>
      <c r="O597" t="s">
        <v>70</v>
      </c>
      <c r="P597" t="s">
        <v>49</v>
      </c>
      <c r="Q597" t="s">
        <v>135</v>
      </c>
      <c r="R597">
        <v>410</v>
      </c>
      <c r="S597">
        <v>228</v>
      </c>
      <c r="T597">
        <v>137</v>
      </c>
      <c r="U597">
        <v>32</v>
      </c>
      <c r="V597" t="s">
        <v>687</v>
      </c>
      <c r="W597">
        <v>31377</v>
      </c>
      <c r="X597" t="s">
        <v>2185</v>
      </c>
      <c r="Y597">
        <v>28307</v>
      </c>
      <c r="Z597">
        <v>1004064</v>
      </c>
      <c r="AA597">
        <v>98240</v>
      </c>
      <c r="AB597" t="str">
        <f>(VLOOKUP(SalesData[[#This Row],[Month Number]],Reference!C$5:E$16,2,FALSE))</f>
        <v>Feb</v>
      </c>
      <c r="AC597">
        <f>MONTH(SalesData[[#This Row],[Date]])</f>
        <v>2</v>
      </c>
      <c r="AD597">
        <f>Reference!F$4</f>
        <v>2026</v>
      </c>
      <c r="AE597" t="str">
        <f>IF(OR(SalesData[[#This Row],[Day]]="Saturday",SalesData[[#This Row],[Day]]="Sunday"),"Weekend","Weekday")</f>
        <v>Weekday</v>
      </c>
      <c r="AF597" s="5">
        <f>IF(SalesData[[#This Row],[Contracts Offered]]=0,0,SalesData[[#This Row],[Contracts Signed]]/SalesData[[#This Row],[Contracts Offered]])</f>
        <v>0.23357664233576642</v>
      </c>
      <c r="AG597" s="5">
        <f>IF(SalesData[[#This Row],[Customers Visited]]=0,0,SalesData[[#This Row],[Test Drives]]/SalesData[[#This Row],[Customers Visited]])</f>
        <v>0.55609756097560981</v>
      </c>
      <c r="AH597" s="5">
        <f>IF(SalesData[[#This Row],[Customers Visited]]=0,0,SalesData[[#This Row],[Contracts Signed]]/SalesData[[#This Row],[Customers Visited]])</f>
        <v>7.8048780487804878E-2</v>
      </c>
      <c r="AI597" s="6">
        <f>IF(SalesData[[#This Row],[Contracts Signed]]=0,0,SalesData[[#This Row],[Profit(€)]]/SalesData[[#This Row],[Contracts Signed]])</f>
        <v>3070</v>
      </c>
      <c r="AJ597" s="5" t="str">
        <f>TRIM(CLEAN(SalesData[[#This Row],[Retailer]]))</f>
        <v>Bavaria Motors</v>
      </c>
    </row>
    <row r="598" spans="1:36" ht="14.25" hidden="1" x14ac:dyDescent="0.2">
      <c r="A598" t="s">
        <v>1143</v>
      </c>
      <c r="B598" s="1">
        <v>46068</v>
      </c>
      <c r="C598" t="s">
        <v>62</v>
      </c>
      <c r="D598" t="s">
        <v>41</v>
      </c>
      <c r="E598" t="s">
        <v>42</v>
      </c>
      <c r="F598" t="s">
        <v>43</v>
      </c>
      <c r="G598" t="s">
        <v>44</v>
      </c>
      <c r="H598" t="s">
        <v>45</v>
      </c>
      <c r="I598" t="s">
        <v>56</v>
      </c>
      <c r="J598" t="s">
        <v>179</v>
      </c>
      <c r="K598" t="s">
        <v>78</v>
      </c>
      <c r="L598" t="s">
        <v>67</v>
      </c>
      <c r="M598" t="s">
        <v>47</v>
      </c>
      <c r="N598" t="s">
        <v>35</v>
      </c>
      <c r="O598" t="s">
        <v>36</v>
      </c>
      <c r="P598" t="s">
        <v>58</v>
      </c>
      <c r="Q598" t="s">
        <v>59</v>
      </c>
      <c r="R598">
        <v>183</v>
      </c>
      <c r="S598">
        <v>94</v>
      </c>
      <c r="T598">
        <v>70</v>
      </c>
      <c r="U598">
        <v>24</v>
      </c>
      <c r="V598" t="s">
        <v>6461</v>
      </c>
      <c r="W598">
        <v>40477</v>
      </c>
      <c r="X598" t="s">
        <v>7269</v>
      </c>
      <c r="Y598">
        <v>32884</v>
      </c>
      <c r="Z598">
        <v>971448</v>
      </c>
      <c r="AA598">
        <v>182232</v>
      </c>
      <c r="AB598" t="str">
        <f>(VLOOKUP(SalesData[[#This Row],[Month Number]],Reference!C$5:E$16,2,FALSE))</f>
        <v>Feb</v>
      </c>
      <c r="AC598">
        <f>MONTH(SalesData[[#This Row],[Date]])</f>
        <v>2</v>
      </c>
      <c r="AD598">
        <f>Reference!F$4</f>
        <v>2026</v>
      </c>
      <c r="AE598" t="str">
        <f>IF(OR(SalesData[[#This Row],[Day]]="Saturday",SalesData[[#This Row],[Day]]="Sunday"),"Weekend","Weekday")</f>
        <v>Weekend</v>
      </c>
      <c r="AF598" s="5">
        <f>IF(SalesData[[#This Row],[Contracts Offered]]=0,0,SalesData[[#This Row],[Contracts Signed]]/SalesData[[#This Row],[Contracts Offered]])</f>
        <v>0.34285714285714286</v>
      </c>
      <c r="AG598" s="5">
        <f>IF(SalesData[[#This Row],[Customers Visited]]=0,0,SalesData[[#This Row],[Test Drives]]/SalesData[[#This Row],[Customers Visited]])</f>
        <v>0.51366120218579236</v>
      </c>
      <c r="AH598" s="5">
        <f>IF(SalesData[[#This Row],[Customers Visited]]=0,0,SalesData[[#This Row],[Contracts Signed]]/SalesData[[#This Row],[Customers Visited]])</f>
        <v>0.13114754098360656</v>
      </c>
      <c r="AI598" s="6">
        <f>IF(SalesData[[#This Row],[Contracts Signed]]=0,0,SalesData[[#This Row],[Profit(€)]]/SalesData[[#This Row],[Contracts Signed]])</f>
        <v>7593</v>
      </c>
      <c r="AJ598" s="5" t="str">
        <f>TRIM(CLEAN(SalesData[[#This Row],[Retailer]]))</f>
        <v>Saxon Wheels</v>
      </c>
    </row>
    <row r="599" spans="1:36" ht="14.25" hidden="1" x14ac:dyDescent="0.2">
      <c r="A599" t="s">
        <v>1145</v>
      </c>
      <c r="B599" s="1">
        <v>46055</v>
      </c>
      <c r="C599" t="s">
        <v>24</v>
      </c>
      <c r="D599" t="s">
        <v>25</v>
      </c>
      <c r="E599" t="s">
        <v>26</v>
      </c>
      <c r="F599" t="s">
        <v>43</v>
      </c>
      <c r="G599" t="s">
        <v>44</v>
      </c>
      <c r="H599" t="s">
        <v>45</v>
      </c>
      <c r="I599" t="s">
        <v>104</v>
      </c>
      <c r="J599" t="s">
        <v>7031</v>
      </c>
      <c r="K599" t="s">
        <v>66</v>
      </c>
      <c r="L599" t="s">
        <v>46</v>
      </c>
      <c r="M599" t="s">
        <v>68</v>
      </c>
      <c r="N599" t="s">
        <v>69</v>
      </c>
      <c r="O599" t="s">
        <v>70</v>
      </c>
      <c r="P599" t="s">
        <v>49</v>
      </c>
      <c r="Q599" t="s">
        <v>144</v>
      </c>
      <c r="R599">
        <v>299</v>
      </c>
      <c r="S599">
        <v>147</v>
      </c>
      <c r="T599">
        <v>92</v>
      </c>
      <c r="U599">
        <v>20</v>
      </c>
      <c r="V599" t="s">
        <v>2357</v>
      </c>
      <c r="W599">
        <v>31938</v>
      </c>
      <c r="X599" t="s">
        <v>623</v>
      </c>
      <c r="Y599">
        <v>28979</v>
      </c>
      <c r="Z599">
        <v>638760</v>
      </c>
      <c r="AA599">
        <v>59180</v>
      </c>
      <c r="AB599" t="str">
        <f>(VLOOKUP(SalesData[[#This Row],[Month Number]],Reference!C$5:E$16,2,FALSE))</f>
        <v>Feb</v>
      </c>
      <c r="AC599">
        <f>MONTH(SalesData[[#This Row],[Date]])</f>
        <v>2</v>
      </c>
      <c r="AD599">
        <f>Reference!F$4</f>
        <v>2026</v>
      </c>
      <c r="AE599" t="str">
        <f>IF(OR(SalesData[[#This Row],[Day]]="Saturday",SalesData[[#This Row],[Day]]="Sunday"),"Weekend","Weekday")</f>
        <v>Weekday</v>
      </c>
      <c r="AF599" s="5">
        <f>IF(SalesData[[#This Row],[Contracts Offered]]=0,0,SalesData[[#This Row],[Contracts Signed]]/SalesData[[#This Row],[Contracts Offered]])</f>
        <v>0.21739130434782608</v>
      </c>
      <c r="AG599" s="5">
        <f>IF(SalesData[[#This Row],[Customers Visited]]=0,0,SalesData[[#This Row],[Test Drives]]/SalesData[[#This Row],[Customers Visited]])</f>
        <v>0.49163879598662208</v>
      </c>
      <c r="AH599" s="5">
        <f>IF(SalesData[[#This Row],[Customers Visited]]=0,0,SalesData[[#This Row],[Contracts Signed]]/SalesData[[#This Row],[Customers Visited]])</f>
        <v>6.6889632107023408E-2</v>
      </c>
      <c r="AI599" s="6">
        <f>IF(SalesData[[#This Row],[Contracts Signed]]=0,0,SalesData[[#This Row],[Profit(€)]]/SalesData[[#This Row],[Contracts Signed]])</f>
        <v>2959</v>
      </c>
      <c r="AJ599" s="5" t="str">
        <f>TRIM(CLEAN(SalesData[[#This Row],[Retailer]]))</f>
        <v>Saxon Wheels</v>
      </c>
    </row>
    <row r="600" spans="1:36" ht="14.25" x14ac:dyDescent="0.2">
      <c r="A600" t="s">
        <v>1147</v>
      </c>
      <c r="B600" s="1">
        <v>46065</v>
      </c>
      <c r="C600" t="s">
        <v>121</v>
      </c>
      <c r="D600" t="s">
        <v>100</v>
      </c>
      <c r="E600" t="s">
        <v>26</v>
      </c>
      <c r="F600" t="s">
        <v>83</v>
      </c>
      <c r="G600" t="s">
        <v>84</v>
      </c>
      <c r="H600" t="s">
        <v>85</v>
      </c>
      <c r="I600" t="s">
        <v>30</v>
      </c>
      <c r="J600" t="s">
        <v>31</v>
      </c>
      <c r="K600" t="s">
        <v>32</v>
      </c>
      <c r="L600" t="s">
        <v>46</v>
      </c>
      <c r="M600" t="s">
        <v>68</v>
      </c>
      <c r="N600" t="s">
        <v>35</v>
      </c>
      <c r="O600" t="s">
        <v>36</v>
      </c>
      <c r="P600" t="s">
        <v>37</v>
      </c>
      <c r="Q600" t="s">
        <v>122</v>
      </c>
      <c r="R600">
        <v>205</v>
      </c>
      <c r="S600">
        <v>119</v>
      </c>
      <c r="T600">
        <v>86</v>
      </c>
      <c r="U600">
        <v>29</v>
      </c>
      <c r="V600" t="s">
        <v>6756</v>
      </c>
      <c r="W600">
        <v>64430</v>
      </c>
      <c r="X600" t="s">
        <v>7089</v>
      </c>
      <c r="Y600">
        <v>45508</v>
      </c>
      <c r="Z600">
        <v>1868470</v>
      </c>
      <c r="AA600">
        <v>548738</v>
      </c>
      <c r="AB600" t="str">
        <f>(VLOOKUP(SalesData[[#This Row],[Month Number]],Reference!C$5:E$16,2,FALSE))</f>
        <v>Feb</v>
      </c>
      <c r="AC600">
        <f>MONTH(SalesData[[#This Row],[Date]])</f>
        <v>2</v>
      </c>
      <c r="AD600">
        <f>Reference!F$4</f>
        <v>2026</v>
      </c>
      <c r="AE600" t="str">
        <f>IF(OR(SalesData[[#This Row],[Day]]="Saturday",SalesData[[#This Row],[Day]]="Sunday"),"Weekend","Weekday")</f>
        <v>Weekday</v>
      </c>
      <c r="AF600" s="5">
        <f>IF(SalesData[[#This Row],[Contracts Offered]]=0,0,SalesData[[#This Row],[Contracts Signed]]/SalesData[[#This Row],[Contracts Offered]])</f>
        <v>0.33720930232558138</v>
      </c>
      <c r="AG600" s="5">
        <f>IF(SalesData[[#This Row],[Customers Visited]]=0,0,SalesData[[#This Row],[Test Drives]]/SalesData[[#This Row],[Customers Visited]])</f>
        <v>0.58048780487804874</v>
      </c>
      <c r="AH600" s="5">
        <f>IF(SalesData[[#This Row],[Customers Visited]]=0,0,SalesData[[#This Row],[Contracts Signed]]/SalesData[[#This Row],[Customers Visited]])</f>
        <v>0.14146341463414633</v>
      </c>
      <c r="AI600" s="6">
        <f>IF(SalesData[[#This Row],[Contracts Signed]]=0,0,SalesData[[#This Row],[Profit(€)]]/SalesData[[#This Row],[Contracts Signed]])</f>
        <v>18922</v>
      </c>
      <c r="AJ600" s="5" t="str">
        <f>TRIM(CLEAN(SalesData[[#This Row],[Retailer]]))</f>
        <v>Hannover Cars</v>
      </c>
    </row>
    <row r="601" spans="1:36" ht="14.25" hidden="1" x14ac:dyDescent="0.2">
      <c r="A601" t="s">
        <v>1148</v>
      </c>
      <c r="B601" s="1">
        <v>46064</v>
      </c>
      <c r="C601" t="s">
        <v>121</v>
      </c>
      <c r="D601" t="s">
        <v>82</v>
      </c>
      <c r="E601" t="s">
        <v>26</v>
      </c>
      <c r="F601" t="s">
        <v>114</v>
      </c>
      <c r="G601" t="s">
        <v>115</v>
      </c>
      <c r="H601" t="s">
        <v>115</v>
      </c>
      <c r="I601" t="s">
        <v>64</v>
      </c>
      <c r="J601" t="s">
        <v>65</v>
      </c>
      <c r="K601" t="s">
        <v>66</v>
      </c>
      <c r="L601" t="s">
        <v>33</v>
      </c>
      <c r="M601" t="s">
        <v>34</v>
      </c>
      <c r="N601" t="s">
        <v>35</v>
      </c>
      <c r="O601" t="s">
        <v>70</v>
      </c>
      <c r="P601" t="s">
        <v>71</v>
      </c>
      <c r="Q601" t="s">
        <v>59</v>
      </c>
      <c r="R601">
        <v>182</v>
      </c>
      <c r="S601">
        <v>95</v>
      </c>
      <c r="T601">
        <v>65</v>
      </c>
      <c r="U601">
        <v>25</v>
      </c>
      <c r="V601" t="s">
        <v>6471</v>
      </c>
      <c r="W601">
        <v>72108</v>
      </c>
      <c r="X601" t="s">
        <v>7270</v>
      </c>
      <c r="Y601">
        <v>56122</v>
      </c>
      <c r="Z601">
        <v>1802700</v>
      </c>
      <c r="AA601">
        <v>399650</v>
      </c>
      <c r="AB601" t="str">
        <f>(VLOOKUP(SalesData[[#This Row],[Month Number]],Reference!C$5:E$16,2,FALSE))</f>
        <v>Feb</v>
      </c>
      <c r="AC601">
        <f>MONTH(SalesData[[#This Row],[Date]])</f>
        <v>2</v>
      </c>
      <c r="AD601">
        <f>Reference!F$4</f>
        <v>2026</v>
      </c>
      <c r="AE601" t="str">
        <f>IF(OR(SalesData[[#This Row],[Day]]="Saturday",SalesData[[#This Row],[Day]]="Sunday"),"Weekend","Weekday")</f>
        <v>Weekday</v>
      </c>
      <c r="AF601" s="5">
        <f>IF(SalesData[[#This Row],[Contracts Offered]]=0,0,SalesData[[#This Row],[Contracts Signed]]/SalesData[[#This Row],[Contracts Offered]])</f>
        <v>0.38461538461538464</v>
      </c>
      <c r="AG601" s="5">
        <f>IF(SalesData[[#This Row],[Customers Visited]]=0,0,SalesData[[#This Row],[Test Drives]]/SalesData[[#This Row],[Customers Visited]])</f>
        <v>0.52197802197802201</v>
      </c>
      <c r="AH601" s="5">
        <f>IF(SalesData[[#This Row],[Customers Visited]]=0,0,SalesData[[#This Row],[Contracts Signed]]/SalesData[[#This Row],[Customers Visited]])</f>
        <v>0.13736263736263737</v>
      </c>
      <c r="AI601" s="6">
        <f>IF(SalesData[[#This Row],[Contracts Signed]]=0,0,SalesData[[#This Row],[Profit(€)]]/SalesData[[#This Row],[Contracts Signed]])</f>
        <v>15986</v>
      </c>
      <c r="AJ601" s="5" t="str">
        <f>TRIM(CLEAN(SalesData[[#This Row],[Retailer]]))</f>
        <v>Elbe Drive</v>
      </c>
    </row>
    <row r="602" spans="1:36" ht="14.25" hidden="1" x14ac:dyDescent="0.2">
      <c r="A602" t="s">
        <v>1150</v>
      </c>
      <c r="B602" s="1">
        <v>46058</v>
      </c>
      <c r="C602" t="s">
        <v>24</v>
      </c>
      <c r="D602" t="s">
        <v>100</v>
      </c>
      <c r="E602" t="s">
        <v>26</v>
      </c>
      <c r="F602" t="s">
        <v>83</v>
      </c>
      <c r="G602" t="s">
        <v>84</v>
      </c>
      <c r="H602" t="s">
        <v>85</v>
      </c>
      <c r="I602" t="s">
        <v>104</v>
      </c>
      <c r="J602" t="s">
        <v>140</v>
      </c>
      <c r="K602" t="s">
        <v>66</v>
      </c>
      <c r="L602" t="s">
        <v>46</v>
      </c>
      <c r="M602" t="s">
        <v>34</v>
      </c>
      <c r="N602" t="s">
        <v>69</v>
      </c>
      <c r="O602" t="s">
        <v>36</v>
      </c>
      <c r="P602" t="s">
        <v>71</v>
      </c>
      <c r="Q602" t="s">
        <v>189</v>
      </c>
      <c r="R602">
        <v>465</v>
      </c>
      <c r="S602">
        <v>228</v>
      </c>
      <c r="T602">
        <v>136</v>
      </c>
      <c r="U602">
        <v>33</v>
      </c>
      <c r="V602" t="s">
        <v>211</v>
      </c>
      <c r="W602">
        <v>27303</v>
      </c>
      <c r="X602" t="s">
        <v>2739</v>
      </c>
      <c r="Y602">
        <v>24541</v>
      </c>
      <c r="Z602">
        <v>900999</v>
      </c>
      <c r="AA602">
        <v>91146</v>
      </c>
      <c r="AB602" t="str">
        <f>(VLOOKUP(SalesData[[#This Row],[Month Number]],Reference!C$5:E$16,2,FALSE))</f>
        <v>Feb</v>
      </c>
      <c r="AC602">
        <f>MONTH(SalesData[[#This Row],[Date]])</f>
        <v>2</v>
      </c>
      <c r="AD602">
        <f>Reference!F$4</f>
        <v>2026</v>
      </c>
      <c r="AE602" t="str">
        <f>IF(OR(SalesData[[#This Row],[Day]]="Saturday",SalesData[[#This Row],[Day]]="Sunday"),"Weekend","Weekday")</f>
        <v>Weekday</v>
      </c>
      <c r="AF602" s="5">
        <f>IF(SalesData[[#This Row],[Contracts Offered]]=0,0,SalesData[[#This Row],[Contracts Signed]]/SalesData[[#This Row],[Contracts Offered]])</f>
        <v>0.24264705882352941</v>
      </c>
      <c r="AG602" s="5">
        <f>IF(SalesData[[#This Row],[Customers Visited]]=0,0,SalesData[[#This Row],[Test Drives]]/SalesData[[#This Row],[Customers Visited]])</f>
        <v>0.49032258064516127</v>
      </c>
      <c r="AH602" s="5">
        <f>IF(SalesData[[#This Row],[Customers Visited]]=0,0,SalesData[[#This Row],[Contracts Signed]]/SalesData[[#This Row],[Customers Visited]])</f>
        <v>7.0967741935483872E-2</v>
      </c>
      <c r="AI602" s="6">
        <f>IF(SalesData[[#This Row],[Contracts Signed]]=0,0,SalesData[[#This Row],[Profit(€)]]/SalesData[[#This Row],[Contracts Signed]])</f>
        <v>2762</v>
      </c>
      <c r="AJ602" s="5" t="str">
        <f>TRIM(CLEAN(SalesData[[#This Row],[Retailer]]))</f>
        <v>Hannover Cars</v>
      </c>
    </row>
    <row r="603" spans="1:36" ht="14.25" hidden="1" x14ac:dyDescent="0.2">
      <c r="A603" t="s">
        <v>1152</v>
      </c>
      <c r="B603" s="1">
        <v>46069</v>
      </c>
      <c r="C603" t="s">
        <v>62</v>
      </c>
      <c r="D603" t="s">
        <v>25</v>
      </c>
      <c r="E603" t="s">
        <v>26</v>
      </c>
      <c r="F603" t="s">
        <v>74</v>
      </c>
      <c r="G603" t="s">
        <v>75</v>
      </c>
      <c r="H603" t="s">
        <v>76</v>
      </c>
      <c r="I603" t="s">
        <v>116</v>
      </c>
      <c r="J603" t="s">
        <v>132</v>
      </c>
      <c r="K603" t="s">
        <v>32</v>
      </c>
      <c r="L603" t="s">
        <v>46</v>
      </c>
      <c r="M603" t="s">
        <v>47</v>
      </c>
      <c r="N603" t="s">
        <v>35</v>
      </c>
      <c r="O603" t="s">
        <v>36</v>
      </c>
      <c r="P603" t="s">
        <v>71</v>
      </c>
      <c r="Q603" t="s">
        <v>204</v>
      </c>
      <c r="R603">
        <v>261</v>
      </c>
      <c r="S603">
        <v>142</v>
      </c>
      <c r="T603">
        <v>97</v>
      </c>
      <c r="U603">
        <v>23</v>
      </c>
      <c r="V603" t="s">
        <v>1990</v>
      </c>
      <c r="W603">
        <v>19025</v>
      </c>
      <c r="X603" t="s">
        <v>348</v>
      </c>
      <c r="Y603">
        <v>17601</v>
      </c>
      <c r="Z603">
        <v>437575</v>
      </c>
      <c r="AA603">
        <v>32752</v>
      </c>
      <c r="AB603" t="str">
        <f>(VLOOKUP(SalesData[[#This Row],[Month Number]],Reference!C$5:E$16,2,FALSE))</f>
        <v>Feb</v>
      </c>
      <c r="AC603">
        <f>MONTH(SalesData[[#This Row],[Date]])</f>
        <v>2</v>
      </c>
      <c r="AD603">
        <f>Reference!F$4</f>
        <v>2026</v>
      </c>
      <c r="AE603" t="str">
        <f>IF(OR(SalesData[[#This Row],[Day]]="Saturday",SalesData[[#This Row],[Day]]="Sunday"),"Weekend","Weekday")</f>
        <v>Weekday</v>
      </c>
      <c r="AF603" s="5">
        <f>IF(SalesData[[#This Row],[Contracts Offered]]=0,0,SalesData[[#This Row],[Contracts Signed]]/SalesData[[#This Row],[Contracts Offered]])</f>
        <v>0.23711340206185566</v>
      </c>
      <c r="AG603" s="5">
        <f>IF(SalesData[[#This Row],[Customers Visited]]=0,0,SalesData[[#This Row],[Test Drives]]/SalesData[[#This Row],[Customers Visited]])</f>
        <v>0.54406130268199238</v>
      </c>
      <c r="AH603" s="5">
        <f>IF(SalesData[[#This Row],[Customers Visited]]=0,0,SalesData[[#This Row],[Contracts Signed]]/SalesData[[#This Row],[Customers Visited]])</f>
        <v>8.8122605363984668E-2</v>
      </c>
      <c r="AI603" s="6">
        <f>IF(SalesData[[#This Row],[Contracts Signed]]=0,0,SalesData[[#This Row],[Profit(€)]]/SalesData[[#This Row],[Contracts Signed]])</f>
        <v>1424</v>
      </c>
      <c r="AJ603" s="5" t="str">
        <f>TRIM(CLEAN(SalesData[[#This Row],[Retailer]]))</f>
        <v>Stuttgart Auto Center</v>
      </c>
    </row>
    <row r="604" spans="1:36" ht="14.25" hidden="1" x14ac:dyDescent="0.2">
      <c r="A604" t="s">
        <v>1153</v>
      </c>
      <c r="B604" s="1">
        <v>46077</v>
      </c>
      <c r="C604" t="s">
        <v>53</v>
      </c>
      <c r="D604" t="s">
        <v>63</v>
      </c>
      <c r="E604" t="s">
        <v>26</v>
      </c>
      <c r="F604" t="s">
        <v>127</v>
      </c>
      <c r="G604" t="s">
        <v>128</v>
      </c>
      <c r="H604" t="s">
        <v>103</v>
      </c>
      <c r="I604" t="s">
        <v>64</v>
      </c>
      <c r="J604" t="s">
        <v>7029</v>
      </c>
      <c r="K604" t="s">
        <v>91</v>
      </c>
      <c r="L604" t="s">
        <v>33</v>
      </c>
      <c r="M604" t="s">
        <v>68</v>
      </c>
      <c r="N604" t="s">
        <v>35</v>
      </c>
      <c r="O604" t="s">
        <v>70</v>
      </c>
      <c r="P604" t="s">
        <v>49</v>
      </c>
      <c r="Q604" t="s">
        <v>50</v>
      </c>
      <c r="R604">
        <v>244</v>
      </c>
      <c r="S604">
        <v>120</v>
      </c>
      <c r="T604">
        <v>79</v>
      </c>
      <c r="U604">
        <v>28</v>
      </c>
      <c r="V604" t="s">
        <v>6365</v>
      </c>
      <c r="W604">
        <v>54924</v>
      </c>
      <c r="X604" t="s">
        <v>7256</v>
      </c>
      <c r="Y604">
        <v>42804</v>
      </c>
      <c r="Z604">
        <v>1537872</v>
      </c>
      <c r="AA604">
        <v>339360</v>
      </c>
      <c r="AB604" t="str">
        <f>(VLOOKUP(SalesData[[#This Row],[Month Number]],Reference!C$5:E$16,2,FALSE))</f>
        <v>Feb</v>
      </c>
      <c r="AC604">
        <f>MONTH(SalesData[[#This Row],[Date]])</f>
        <v>2</v>
      </c>
      <c r="AD604">
        <f>Reference!F$4</f>
        <v>2026</v>
      </c>
      <c r="AE604" t="str">
        <f>IF(OR(SalesData[[#This Row],[Day]]="Saturday",SalesData[[#This Row],[Day]]="Sunday"),"Weekend","Weekday")</f>
        <v>Weekday</v>
      </c>
      <c r="AF604" s="5">
        <f>IF(SalesData[[#This Row],[Contracts Offered]]=0,0,SalesData[[#This Row],[Contracts Signed]]/SalesData[[#This Row],[Contracts Offered]])</f>
        <v>0.35443037974683544</v>
      </c>
      <c r="AG604" s="5">
        <f>IF(SalesData[[#This Row],[Customers Visited]]=0,0,SalesData[[#This Row],[Test Drives]]/SalesData[[#This Row],[Customers Visited]])</f>
        <v>0.49180327868852458</v>
      </c>
      <c r="AH604" s="5">
        <f>IF(SalesData[[#This Row],[Customers Visited]]=0,0,SalesData[[#This Row],[Contracts Signed]]/SalesData[[#This Row],[Customers Visited]])</f>
        <v>0.11475409836065574</v>
      </c>
      <c r="AI604" s="6">
        <f>IF(SalesData[[#This Row],[Contracts Signed]]=0,0,SalesData[[#This Row],[Profit(€)]]/SalesData[[#This Row],[Contracts Signed]])</f>
        <v>12120</v>
      </c>
      <c r="AJ604" s="5" t="str">
        <f>TRIM(CLEAN(SalesData[[#This Row],[Retailer]]))</f>
        <v>Rhein Auto Group</v>
      </c>
    </row>
    <row r="605" spans="1:36" ht="14.25" hidden="1" x14ac:dyDescent="0.2">
      <c r="A605" t="s">
        <v>1154</v>
      </c>
      <c r="B605" s="1">
        <v>46069</v>
      </c>
      <c r="C605" t="s">
        <v>62</v>
      </c>
      <c r="D605" t="s">
        <v>25</v>
      </c>
      <c r="E605" t="s">
        <v>26</v>
      </c>
      <c r="F605" t="s">
        <v>7649</v>
      </c>
      <c r="G605" t="s">
        <v>55</v>
      </c>
      <c r="H605" t="s">
        <v>55</v>
      </c>
      <c r="I605" t="s">
        <v>116</v>
      </c>
      <c r="J605" t="s">
        <v>7026</v>
      </c>
      <c r="K605" t="s">
        <v>91</v>
      </c>
      <c r="L605" t="s">
        <v>46</v>
      </c>
      <c r="M605" t="s">
        <v>34</v>
      </c>
      <c r="N605" t="s">
        <v>69</v>
      </c>
      <c r="O605" t="s">
        <v>36</v>
      </c>
      <c r="P605" t="s">
        <v>58</v>
      </c>
      <c r="Q605" t="s">
        <v>79</v>
      </c>
      <c r="R605">
        <v>369</v>
      </c>
      <c r="S605">
        <v>195</v>
      </c>
      <c r="T605">
        <v>109</v>
      </c>
      <c r="U605">
        <v>37</v>
      </c>
      <c r="V605" t="s">
        <v>1659</v>
      </c>
      <c r="W605">
        <v>22322</v>
      </c>
      <c r="X605" t="s">
        <v>2706</v>
      </c>
      <c r="Y605">
        <v>20056</v>
      </c>
      <c r="Z605">
        <v>825914</v>
      </c>
      <c r="AA605">
        <v>83842</v>
      </c>
      <c r="AB605" t="str">
        <f>(VLOOKUP(SalesData[[#This Row],[Month Number]],Reference!C$5:E$16,2,FALSE))</f>
        <v>Feb</v>
      </c>
      <c r="AC605">
        <f>MONTH(SalesData[[#This Row],[Date]])</f>
        <v>2</v>
      </c>
      <c r="AD605">
        <f>Reference!F$4</f>
        <v>2026</v>
      </c>
      <c r="AE605" t="str">
        <f>IF(OR(SalesData[[#This Row],[Day]]="Saturday",SalesData[[#This Row],[Day]]="Sunday"),"Weekend","Weekday")</f>
        <v>Weekday</v>
      </c>
      <c r="AF605" s="5">
        <f>IF(SalesData[[#This Row],[Contracts Offered]]=0,0,SalesData[[#This Row],[Contracts Signed]]/SalesData[[#This Row],[Contracts Offered]])</f>
        <v>0.33944954128440369</v>
      </c>
      <c r="AG605" s="5">
        <f>IF(SalesData[[#This Row],[Customers Visited]]=0,0,SalesData[[#This Row],[Test Drives]]/SalesData[[#This Row],[Customers Visited]])</f>
        <v>0.52845528455284552</v>
      </c>
      <c r="AH605" s="5">
        <f>IF(SalesData[[#This Row],[Customers Visited]]=0,0,SalesData[[#This Row],[Contracts Signed]]/SalesData[[#This Row],[Customers Visited]])</f>
        <v>0.1002710027100271</v>
      </c>
      <c r="AI605" s="6">
        <f>IF(SalesData[[#This Row],[Contracts Signed]]=0,0,SalesData[[#This Row],[Profit(€)]]/SalesData[[#This Row],[Contracts Signed]])</f>
        <v>2266</v>
      </c>
      <c r="AJ605" s="5" t="str">
        <f>TRIM(CLEAN(SalesData[[#This Row],[Retailer]]))</f>
        <v>Autohaus Berlin</v>
      </c>
    </row>
    <row r="606" spans="1:36" ht="14.25" hidden="1" x14ac:dyDescent="0.2">
      <c r="A606" t="s">
        <v>1155</v>
      </c>
      <c r="B606" s="1">
        <v>46070</v>
      </c>
      <c r="C606" t="s">
        <v>62</v>
      </c>
      <c r="D606" t="s">
        <v>63</v>
      </c>
      <c r="E606" t="s">
        <v>26</v>
      </c>
      <c r="F606" t="s">
        <v>94</v>
      </c>
      <c r="G606" t="s">
        <v>95</v>
      </c>
      <c r="H606" t="s">
        <v>96</v>
      </c>
      <c r="I606" t="s">
        <v>56</v>
      </c>
      <c r="J606" t="s">
        <v>137</v>
      </c>
      <c r="K606" t="s">
        <v>78</v>
      </c>
      <c r="L606" t="s">
        <v>46</v>
      </c>
      <c r="M606" t="s">
        <v>47</v>
      </c>
      <c r="N606" t="s">
        <v>69</v>
      </c>
      <c r="O606" t="s">
        <v>36</v>
      </c>
      <c r="P606" t="s">
        <v>49</v>
      </c>
      <c r="Q606" t="s">
        <v>172</v>
      </c>
      <c r="R606">
        <v>182</v>
      </c>
      <c r="S606">
        <v>111</v>
      </c>
      <c r="T606">
        <v>76</v>
      </c>
      <c r="U606">
        <v>25</v>
      </c>
      <c r="V606" t="s">
        <v>6729</v>
      </c>
      <c r="W606">
        <v>41758</v>
      </c>
      <c r="X606" t="s">
        <v>1764</v>
      </c>
      <c r="Y606">
        <v>33478</v>
      </c>
      <c r="Z606">
        <v>1043950</v>
      </c>
      <c r="AA606">
        <v>207000</v>
      </c>
      <c r="AB606" t="str">
        <f>(VLOOKUP(SalesData[[#This Row],[Month Number]],Reference!C$5:E$16,2,FALSE))</f>
        <v>Feb</v>
      </c>
      <c r="AC606">
        <f>MONTH(SalesData[[#This Row],[Date]])</f>
        <v>2</v>
      </c>
      <c r="AD606">
        <f>Reference!F$4</f>
        <v>2026</v>
      </c>
      <c r="AE606" t="str">
        <f>IF(OR(SalesData[[#This Row],[Day]]="Saturday",SalesData[[#This Row],[Day]]="Sunday"),"Weekend","Weekday")</f>
        <v>Weekday</v>
      </c>
      <c r="AF606" s="5">
        <f>IF(SalesData[[#This Row],[Contracts Offered]]=0,0,SalesData[[#This Row],[Contracts Signed]]/SalesData[[#This Row],[Contracts Offered]])</f>
        <v>0.32894736842105265</v>
      </c>
      <c r="AG606" s="5">
        <f>IF(SalesData[[#This Row],[Customers Visited]]=0,0,SalesData[[#This Row],[Test Drives]]/SalesData[[#This Row],[Customers Visited]])</f>
        <v>0.60989010989010994</v>
      </c>
      <c r="AH606" s="5">
        <f>IF(SalesData[[#This Row],[Customers Visited]]=0,0,SalesData[[#This Row],[Contracts Signed]]/SalesData[[#This Row],[Customers Visited]])</f>
        <v>0.13736263736263737</v>
      </c>
      <c r="AI606" s="6">
        <f>IF(SalesData[[#This Row],[Contracts Signed]]=0,0,SalesData[[#This Row],[Profit(€)]]/SalesData[[#This Row],[Contracts Signed]])</f>
        <v>8280</v>
      </c>
      <c r="AJ606" s="5" t="str">
        <f>TRIM(CLEAN(SalesData[[#This Row],[Retailer]]))</f>
        <v>Bavaria Motors</v>
      </c>
    </row>
    <row r="607" spans="1:36" ht="14.25" hidden="1" x14ac:dyDescent="0.2">
      <c r="A607" t="s">
        <v>1157</v>
      </c>
      <c r="B607" s="1">
        <v>46054</v>
      </c>
      <c r="C607" t="s">
        <v>24</v>
      </c>
      <c r="D607" t="s">
        <v>41</v>
      </c>
      <c r="E607" t="s">
        <v>42</v>
      </c>
      <c r="F607" t="s">
        <v>94</v>
      </c>
      <c r="G607" t="s">
        <v>95</v>
      </c>
      <c r="H607" t="s">
        <v>96</v>
      </c>
      <c r="I607" t="s">
        <v>56</v>
      </c>
      <c r="J607" t="s">
        <v>179</v>
      </c>
      <c r="K607" t="s">
        <v>91</v>
      </c>
      <c r="L607" t="s">
        <v>67</v>
      </c>
      <c r="M607" t="s">
        <v>47</v>
      </c>
      <c r="N607" t="s">
        <v>48</v>
      </c>
      <c r="O607" t="s">
        <v>70</v>
      </c>
      <c r="P607" t="s">
        <v>49</v>
      </c>
      <c r="Q607" t="s">
        <v>167</v>
      </c>
      <c r="R607">
        <v>160</v>
      </c>
      <c r="S607">
        <v>79</v>
      </c>
      <c r="T607">
        <v>59</v>
      </c>
      <c r="U607">
        <v>16</v>
      </c>
      <c r="V607" t="s">
        <v>6911</v>
      </c>
      <c r="W607">
        <v>40784</v>
      </c>
      <c r="X607" t="s">
        <v>4550</v>
      </c>
      <c r="Y607">
        <v>32624</v>
      </c>
      <c r="Z607">
        <v>652544</v>
      </c>
      <c r="AA607">
        <v>130560</v>
      </c>
      <c r="AB607" t="str">
        <f>(VLOOKUP(SalesData[[#This Row],[Month Number]],Reference!C$5:E$16,2,FALSE))</f>
        <v>Feb</v>
      </c>
      <c r="AC607">
        <f>MONTH(SalesData[[#This Row],[Date]])</f>
        <v>2</v>
      </c>
      <c r="AD607">
        <f>Reference!F$4</f>
        <v>2026</v>
      </c>
      <c r="AE607" t="str">
        <f>IF(OR(SalesData[[#This Row],[Day]]="Saturday",SalesData[[#This Row],[Day]]="Sunday"),"Weekend","Weekday")</f>
        <v>Weekend</v>
      </c>
      <c r="AF607" s="5">
        <f>IF(SalesData[[#This Row],[Contracts Offered]]=0,0,SalesData[[#This Row],[Contracts Signed]]/SalesData[[#This Row],[Contracts Offered]])</f>
        <v>0.2711864406779661</v>
      </c>
      <c r="AG607" s="5">
        <f>IF(SalesData[[#This Row],[Customers Visited]]=0,0,SalesData[[#This Row],[Test Drives]]/SalesData[[#This Row],[Customers Visited]])</f>
        <v>0.49375000000000002</v>
      </c>
      <c r="AH607" s="5">
        <f>IF(SalesData[[#This Row],[Customers Visited]]=0,0,SalesData[[#This Row],[Contracts Signed]]/SalesData[[#This Row],[Customers Visited]])</f>
        <v>0.1</v>
      </c>
      <c r="AI607" s="6">
        <f>IF(SalesData[[#This Row],[Contracts Signed]]=0,0,SalesData[[#This Row],[Profit(€)]]/SalesData[[#This Row],[Contracts Signed]])</f>
        <v>8160</v>
      </c>
      <c r="AJ607" s="5" t="str">
        <f>TRIM(CLEAN(SalesData[[#This Row],[Retailer]]))</f>
        <v>Bavaria Motors</v>
      </c>
    </row>
    <row r="608" spans="1:36" ht="14.25" hidden="1" x14ac:dyDescent="0.2">
      <c r="A608" t="s">
        <v>1159</v>
      </c>
      <c r="B608" s="1">
        <v>46066</v>
      </c>
      <c r="C608" t="s">
        <v>121</v>
      </c>
      <c r="D608" t="s">
        <v>54</v>
      </c>
      <c r="E608" t="s">
        <v>26</v>
      </c>
      <c r="F608" t="s">
        <v>43</v>
      </c>
      <c r="G608" t="s">
        <v>44</v>
      </c>
      <c r="H608" t="s">
        <v>45</v>
      </c>
      <c r="I608" t="s">
        <v>56</v>
      </c>
      <c r="J608" t="s">
        <v>97</v>
      </c>
      <c r="K608" t="s">
        <v>32</v>
      </c>
      <c r="L608" t="s">
        <v>33</v>
      </c>
      <c r="M608" t="s">
        <v>47</v>
      </c>
      <c r="N608" t="s">
        <v>35</v>
      </c>
      <c r="O608" t="s">
        <v>70</v>
      </c>
      <c r="P608" t="s">
        <v>58</v>
      </c>
      <c r="Q608" t="s">
        <v>38</v>
      </c>
      <c r="R608">
        <v>171</v>
      </c>
      <c r="S608">
        <v>101</v>
      </c>
      <c r="T608">
        <v>72</v>
      </c>
      <c r="U608">
        <v>25</v>
      </c>
      <c r="V608" t="s">
        <v>6551</v>
      </c>
      <c r="W608">
        <v>52298</v>
      </c>
      <c r="X608" t="s">
        <v>2313</v>
      </c>
      <c r="Y608">
        <v>40337</v>
      </c>
      <c r="Z608">
        <v>1307450</v>
      </c>
      <c r="AA608">
        <v>299025</v>
      </c>
      <c r="AB608" t="str">
        <f>(VLOOKUP(SalesData[[#This Row],[Month Number]],Reference!C$5:E$16,2,FALSE))</f>
        <v>Feb</v>
      </c>
      <c r="AC608">
        <f>MONTH(SalesData[[#This Row],[Date]])</f>
        <v>2</v>
      </c>
      <c r="AD608">
        <f>Reference!F$4</f>
        <v>2026</v>
      </c>
      <c r="AE608" t="str">
        <f>IF(OR(SalesData[[#This Row],[Day]]="Saturday",SalesData[[#This Row],[Day]]="Sunday"),"Weekend","Weekday")</f>
        <v>Weekday</v>
      </c>
      <c r="AF608" s="5">
        <f>IF(SalesData[[#This Row],[Contracts Offered]]=0,0,SalesData[[#This Row],[Contracts Signed]]/SalesData[[#This Row],[Contracts Offered]])</f>
        <v>0.34722222222222221</v>
      </c>
      <c r="AG608" s="5">
        <f>IF(SalesData[[#This Row],[Customers Visited]]=0,0,SalesData[[#This Row],[Test Drives]]/SalesData[[#This Row],[Customers Visited]])</f>
        <v>0.59064327485380119</v>
      </c>
      <c r="AH608" s="5">
        <f>IF(SalesData[[#This Row],[Customers Visited]]=0,0,SalesData[[#This Row],[Contracts Signed]]/SalesData[[#This Row],[Customers Visited]])</f>
        <v>0.14619883040935672</v>
      </c>
      <c r="AI608" s="6">
        <f>IF(SalesData[[#This Row],[Contracts Signed]]=0,0,SalesData[[#This Row],[Profit(€)]]/SalesData[[#This Row],[Contracts Signed]])</f>
        <v>11961</v>
      </c>
      <c r="AJ608" s="5" t="str">
        <f>TRIM(CLEAN(SalesData[[#This Row],[Retailer]]))</f>
        <v>Saxon Wheels</v>
      </c>
    </row>
    <row r="609" spans="1:36" ht="14.25" hidden="1" x14ac:dyDescent="0.2">
      <c r="A609" t="s">
        <v>1160</v>
      </c>
      <c r="B609" s="1">
        <v>46077</v>
      </c>
      <c r="C609" t="s">
        <v>53</v>
      </c>
      <c r="D609" t="s">
        <v>63</v>
      </c>
      <c r="E609" t="s">
        <v>26</v>
      </c>
      <c r="F609" t="s">
        <v>74</v>
      </c>
      <c r="G609" t="s">
        <v>75</v>
      </c>
      <c r="H609" t="s">
        <v>76</v>
      </c>
      <c r="I609" t="s">
        <v>104</v>
      </c>
      <c r="J609" t="s">
        <v>7031</v>
      </c>
      <c r="K609" t="s">
        <v>66</v>
      </c>
      <c r="L609" t="s">
        <v>46</v>
      </c>
      <c r="M609" t="s">
        <v>87</v>
      </c>
      <c r="N609" t="s">
        <v>69</v>
      </c>
      <c r="O609" t="s">
        <v>36</v>
      </c>
      <c r="P609" t="s">
        <v>37</v>
      </c>
      <c r="Q609" t="s">
        <v>135</v>
      </c>
      <c r="R609">
        <v>321</v>
      </c>
      <c r="S609">
        <v>175</v>
      </c>
      <c r="T609">
        <v>113</v>
      </c>
      <c r="U609">
        <v>29</v>
      </c>
      <c r="V609" t="s">
        <v>1967</v>
      </c>
      <c r="W609">
        <v>29874</v>
      </c>
      <c r="X609" t="s">
        <v>7271</v>
      </c>
      <c r="Y609">
        <v>25803</v>
      </c>
      <c r="Z609">
        <v>866346</v>
      </c>
      <c r="AA609">
        <v>118059</v>
      </c>
      <c r="AB609" t="str">
        <f>(VLOOKUP(SalesData[[#This Row],[Month Number]],Reference!C$5:E$16,2,FALSE))</f>
        <v>Feb</v>
      </c>
      <c r="AC609">
        <f>MONTH(SalesData[[#This Row],[Date]])</f>
        <v>2</v>
      </c>
      <c r="AD609">
        <f>Reference!F$4</f>
        <v>2026</v>
      </c>
      <c r="AE609" t="str">
        <f>IF(OR(SalesData[[#This Row],[Day]]="Saturday",SalesData[[#This Row],[Day]]="Sunday"),"Weekend","Weekday")</f>
        <v>Weekday</v>
      </c>
      <c r="AF609" s="5">
        <f>IF(SalesData[[#This Row],[Contracts Offered]]=0,0,SalesData[[#This Row],[Contracts Signed]]/SalesData[[#This Row],[Contracts Offered]])</f>
        <v>0.25663716814159293</v>
      </c>
      <c r="AG609" s="5">
        <f>IF(SalesData[[#This Row],[Customers Visited]]=0,0,SalesData[[#This Row],[Test Drives]]/SalesData[[#This Row],[Customers Visited]])</f>
        <v>0.54517133956386288</v>
      </c>
      <c r="AH609" s="5">
        <f>IF(SalesData[[#This Row],[Customers Visited]]=0,0,SalesData[[#This Row],[Contracts Signed]]/SalesData[[#This Row],[Customers Visited]])</f>
        <v>9.0342679127725853E-2</v>
      </c>
      <c r="AI609" s="6">
        <f>IF(SalesData[[#This Row],[Contracts Signed]]=0,0,SalesData[[#This Row],[Profit(€)]]/SalesData[[#This Row],[Contracts Signed]])</f>
        <v>4071</v>
      </c>
      <c r="AJ609" s="5" t="str">
        <f>TRIM(CLEAN(SalesData[[#This Row],[Retailer]]))</f>
        <v>Stuttgart Auto Center</v>
      </c>
    </row>
    <row r="610" spans="1:36" ht="14.25" hidden="1" x14ac:dyDescent="0.2">
      <c r="A610" t="s">
        <v>1161</v>
      </c>
      <c r="B610" s="1">
        <v>46059</v>
      </c>
      <c r="C610" t="s">
        <v>24</v>
      </c>
      <c r="D610" t="s">
        <v>54</v>
      </c>
      <c r="E610" t="s">
        <v>26</v>
      </c>
      <c r="F610" t="s">
        <v>109</v>
      </c>
      <c r="G610" t="s">
        <v>110</v>
      </c>
      <c r="H610" t="s">
        <v>45</v>
      </c>
      <c r="I610" t="s">
        <v>104</v>
      </c>
      <c r="J610" t="s">
        <v>105</v>
      </c>
      <c r="K610" t="s">
        <v>91</v>
      </c>
      <c r="L610" t="s">
        <v>33</v>
      </c>
      <c r="M610" t="s">
        <v>68</v>
      </c>
      <c r="N610" t="s">
        <v>69</v>
      </c>
      <c r="O610" t="s">
        <v>36</v>
      </c>
      <c r="P610" t="s">
        <v>71</v>
      </c>
      <c r="Q610" t="s">
        <v>204</v>
      </c>
      <c r="R610">
        <v>291</v>
      </c>
      <c r="S610">
        <v>132</v>
      </c>
      <c r="T610">
        <v>81</v>
      </c>
      <c r="U610">
        <v>19</v>
      </c>
      <c r="V610" t="s">
        <v>411</v>
      </c>
      <c r="W610">
        <v>28188</v>
      </c>
      <c r="X610" t="s">
        <v>209</v>
      </c>
      <c r="Y610">
        <v>24881</v>
      </c>
      <c r="Z610">
        <v>535572</v>
      </c>
      <c r="AA610">
        <v>62833</v>
      </c>
      <c r="AB610" t="str">
        <f>(VLOOKUP(SalesData[[#This Row],[Month Number]],Reference!C$5:E$16,2,FALSE))</f>
        <v>Feb</v>
      </c>
      <c r="AC610">
        <f>MONTH(SalesData[[#This Row],[Date]])</f>
        <v>2</v>
      </c>
      <c r="AD610">
        <f>Reference!F$4</f>
        <v>2026</v>
      </c>
      <c r="AE610" t="str">
        <f>IF(OR(SalesData[[#This Row],[Day]]="Saturday",SalesData[[#This Row],[Day]]="Sunday"),"Weekend","Weekday")</f>
        <v>Weekday</v>
      </c>
      <c r="AF610" s="5">
        <f>IF(SalesData[[#This Row],[Contracts Offered]]=0,0,SalesData[[#This Row],[Contracts Signed]]/SalesData[[#This Row],[Contracts Offered]])</f>
        <v>0.23456790123456789</v>
      </c>
      <c r="AG610" s="5">
        <f>IF(SalesData[[#This Row],[Customers Visited]]=0,0,SalesData[[#This Row],[Test Drives]]/SalesData[[#This Row],[Customers Visited]])</f>
        <v>0.45360824742268041</v>
      </c>
      <c r="AH610" s="5">
        <f>IF(SalesData[[#This Row],[Customers Visited]]=0,0,SalesData[[#This Row],[Contracts Signed]]/SalesData[[#This Row],[Customers Visited]])</f>
        <v>6.5292096219931275E-2</v>
      </c>
      <c r="AI610" s="6">
        <f>IF(SalesData[[#This Row],[Contracts Signed]]=0,0,SalesData[[#This Row],[Profit(€)]]/SalesData[[#This Row],[Contracts Signed]])</f>
        <v>3307</v>
      </c>
      <c r="AJ610" s="5" t="str">
        <f>TRIM(CLEAN(SalesData[[#This Row],[Retailer]]))</f>
        <v>Leipzig Mobility</v>
      </c>
    </row>
    <row r="611" spans="1:36" ht="14.25" hidden="1" x14ac:dyDescent="0.2">
      <c r="A611" t="s">
        <v>1163</v>
      </c>
      <c r="B611" s="1">
        <v>46057</v>
      </c>
      <c r="C611" t="s">
        <v>24</v>
      </c>
      <c r="D611" t="s">
        <v>82</v>
      </c>
      <c r="E611" t="s">
        <v>26</v>
      </c>
      <c r="F611" t="s">
        <v>7649</v>
      </c>
      <c r="G611" t="s">
        <v>55</v>
      </c>
      <c r="H611" t="s">
        <v>55</v>
      </c>
      <c r="I611" t="s">
        <v>104</v>
      </c>
      <c r="J611" t="s">
        <v>7061</v>
      </c>
      <c r="K611" t="s">
        <v>32</v>
      </c>
      <c r="L611" t="s">
        <v>46</v>
      </c>
      <c r="M611" t="s">
        <v>47</v>
      </c>
      <c r="N611" t="s">
        <v>35</v>
      </c>
      <c r="O611" t="s">
        <v>70</v>
      </c>
      <c r="P611" t="s">
        <v>71</v>
      </c>
      <c r="Q611" t="s">
        <v>347</v>
      </c>
      <c r="R611">
        <v>397</v>
      </c>
      <c r="S611">
        <v>168</v>
      </c>
      <c r="T611">
        <v>99</v>
      </c>
      <c r="U611">
        <v>34</v>
      </c>
      <c r="V611" t="s">
        <v>6909</v>
      </c>
      <c r="W611">
        <v>28870</v>
      </c>
      <c r="X611" t="s">
        <v>544</v>
      </c>
      <c r="Y611">
        <v>25625</v>
      </c>
      <c r="Z611">
        <v>981580</v>
      </c>
      <c r="AA611">
        <v>110330</v>
      </c>
      <c r="AB611" t="str">
        <f>(VLOOKUP(SalesData[[#This Row],[Month Number]],Reference!C$5:E$16,2,FALSE))</f>
        <v>Feb</v>
      </c>
      <c r="AC611">
        <f>MONTH(SalesData[[#This Row],[Date]])</f>
        <v>2</v>
      </c>
      <c r="AD611">
        <f>Reference!F$4</f>
        <v>2026</v>
      </c>
      <c r="AE611" t="str">
        <f>IF(OR(SalesData[[#This Row],[Day]]="Saturday",SalesData[[#This Row],[Day]]="Sunday"),"Weekend","Weekday")</f>
        <v>Weekday</v>
      </c>
      <c r="AF611" s="5">
        <f>IF(SalesData[[#This Row],[Contracts Offered]]=0,0,SalesData[[#This Row],[Contracts Signed]]/SalesData[[#This Row],[Contracts Offered]])</f>
        <v>0.34343434343434343</v>
      </c>
      <c r="AG611" s="5">
        <f>IF(SalesData[[#This Row],[Customers Visited]]=0,0,SalesData[[#This Row],[Test Drives]]/SalesData[[#This Row],[Customers Visited]])</f>
        <v>0.42317380352644834</v>
      </c>
      <c r="AH611" s="5">
        <f>IF(SalesData[[#This Row],[Customers Visited]]=0,0,SalesData[[#This Row],[Contracts Signed]]/SalesData[[#This Row],[Customers Visited]])</f>
        <v>8.5642317380352648E-2</v>
      </c>
      <c r="AI611" s="6">
        <f>IF(SalesData[[#This Row],[Contracts Signed]]=0,0,SalesData[[#This Row],[Profit(€)]]/SalesData[[#This Row],[Contracts Signed]])</f>
        <v>3245</v>
      </c>
      <c r="AJ611" s="5" t="str">
        <f>TRIM(CLEAN(SalesData[[#This Row],[Retailer]]))</f>
        <v>Autohaus Berlin</v>
      </c>
    </row>
    <row r="612" spans="1:36" ht="14.25" hidden="1" x14ac:dyDescent="0.2">
      <c r="A612" t="s">
        <v>1164</v>
      </c>
      <c r="B612" s="1">
        <v>46059</v>
      </c>
      <c r="C612" t="s">
        <v>24</v>
      </c>
      <c r="D612" t="s">
        <v>54</v>
      </c>
      <c r="E612" t="s">
        <v>26</v>
      </c>
      <c r="F612" t="s">
        <v>43</v>
      </c>
      <c r="G612" t="s">
        <v>44</v>
      </c>
      <c r="H612" t="s">
        <v>45</v>
      </c>
      <c r="I612" t="s">
        <v>64</v>
      </c>
      <c r="J612" t="s">
        <v>65</v>
      </c>
      <c r="K612" t="s">
        <v>78</v>
      </c>
      <c r="L612" t="s">
        <v>33</v>
      </c>
      <c r="M612" t="s">
        <v>87</v>
      </c>
      <c r="N612" t="s">
        <v>48</v>
      </c>
      <c r="O612" t="s">
        <v>70</v>
      </c>
      <c r="P612" t="s">
        <v>49</v>
      </c>
      <c r="Q612" t="s">
        <v>59</v>
      </c>
      <c r="R612">
        <v>270</v>
      </c>
      <c r="S612">
        <v>151</v>
      </c>
      <c r="T612">
        <v>100</v>
      </c>
      <c r="U612">
        <v>35</v>
      </c>
      <c r="V612" t="s">
        <v>7123</v>
      </c>
      <c r="W612">
        <v>61059</v>
      </c>
      <c r="X612" t="s">
        <v>7069</v>
      </c>
      <c r="Y612">
        <v>47252</v>
      </c>
      <c r="Z612">
        <v>2137065</v>
      </c>
      <c r="AA612">
        <v>483245</v>
      </c>
      <c r="AB612" t="str">
        <f>(VLOOKUP(SalesData[[#This Row],[Month Number]],Reference!C$5:E$16,2,FALSE))</f>
        <v>Feb</v>
      </c>
      <c r="AC612">
        <f>MONTH(SalesData[[#This Row],[Date]])</f>
        <v>2</v>
      </c>
      <c r="AD612">
        <f>Reference!F$4</f>
        <v>2026</v>
      </c>
      <c r="AE612" t="str">
        <f>IF(OR(SalesData[[#This Row],[Day]]="Saturday",SalesData[[#This Row],[Day]]="Sunday"),"Weekend","Weekday")</f>
        <v>Weekday</v>
      </c>
      <c r="AF612" s="5">
        <f>IF(SalesData[[#This Row],[Contracts Offered]]=0,0,SalesData[[#This Row],[Contracts Signed]]/SalesData[[#This Row],[Contracts Offered]])</f>
        <v>0.35</v>
      </c>
      <c r="AG612" s="5">
        <f>IF(SalesData[[#This Row],[Customers Visited]]=0,0,SalesData[[#This Row],[Test Drives]]/SalesData[[#This Row],[Customers Visited]])</f>
        <v>0.55925925925925923</v>
      </c>
      <c r="AH612" s="5">
        <f>IF(SalesData[[#This Row],[Customers Visited]]=0,0,SalesData[[#This Row],[Contracts Signed]]/SalesData[[#This Row],[Customers Visited]])</f>
        <v>0.12962962962962962</v>
      </c>
      <c r="AI612" s="6">
        <f>IF(SalesData[[#This Row],[Contracts Signed]]=0,0,SalesData[[#This Row],[Profit(€)]]/SalesData[[#This Row],[Contracts Signed]])</f>
        <v>13807</v>
      </c>
      <c r="AJ612" s="5" t="str">
        <f>TRIM(CLEAN(SalesData[[#This Row],[Retailer]]))</f>
        <v>Saxon Wheels</v>
      </c>
    </row>
    <row r="613" spans="1:36" ht="14.25" x14ac:dyDescent="0.2">
      <c r="A613" t="s">
        <v>1165</v>
      </c>
      <c r="B613" s="1">
        <v>46071</v>
      </c>
      <c r="C613" t="s">
        <v>62</v>
      </c>
      <c r="D613" t="s">
        <v>82</v>
      </c>
      <c r="E613" t="s">
        <v>26</v>
      </c>
      <c r="F613" t="s">
        <v>43</v>
      </c>
      <c r="G613" t="s">
        <v>44</v>
      </c>
      <c r="H613" t="s">
        <v>45</v>
      </c>
      <c r="I613" t="s">
        <v>30</v>
      </c>
      <c r="J613" t="s">
        <v>7075</v>
      </c>
      <c r="K613" t="s">
        <v>78</v>
      </c>
      <c r="L613" t="s">
        <v>33</v>
      </c>
      <c r="M613" t="s">
        <v>34</v>
      </c>
      <c r="N613" t="s">
        <v>69</v>
      </c>
      <c r="O613" t="s">
        <v>36</v>
      </c>
      <c r="P613" t="s">
        <v>49</v>
      </c>
      <c r="Q613" t="s">
        <v>144</v>
      </c>
      <c r="R613">
        <v>235</v>
      </c>
      <c r="S613">
        <v>125</v>
      </c>
      <c r="T613">
        <v>102</v>
      </c>
      <c r="U613">
        <v>34</v>
      </c>
      <c r="V613" t="s">
        <v>6982</v>
      </c>
      <c r="W613">
        <v>54945</v>
      </c>
      <c r="X613" t="s">
        <v>7272</v>
      </c>
      <c r="Y613">
        <v>39978</v>
      </c>
      <c r="Z613">
        <v>1868130</v>
      </c>
      <c r="AA613">
        <v>508878</v>
      </c>
      <c r="AB613" t="str">
        <f>(VLOOKUP(SalesData[[#This Row],[Month Number]],Reference!C$5:E$16,2,FALSE))</f>
        <v>Feb</v>
      </c>
      <c r="AC613">
        <f>MONTH(SalesData[[#This Row],[Date]])</f>
        <v>2</v>
      </c>
      <c r="AD613">
        <f>Reference!F$4</f>
        <v>2026</v>
      </c>
      <c r="AE613" t="str">
        <f>IF(OR(SalesData[[#This Row],[Day]]="Saturday",SalesData[[#This Row],[Day]]="Sunday"),"Weekend","Weekday")</f>
        <v>Weekday</v>
      </c>
      <c r="AF613" s="5">
        <f>IF(SalesData[[#This Row],[Contracts Offered]]=0,0,SalesData[[#This Row],[Contracts Signed]]/SalesData[[#This Row],[Contracts Offered]])</f>
        <v>0.33333333333333331</v>
      </c>
      <c r="AG613" s="5">
        <f>IF(SalesData[[#This Row],[Customers Visited]]=0,0,SalesData[[#This Row],[Test Drives]]/SalesData[[#This Row],[Customers Visited]])</f>
        <v>0.53191489361702127</v>
      </c>
      <c r="AH613" s="5">
        <f>IF(SalesData[[#This Row],[Customers Visited]]=0,0,SalesData[[#This Row],[Contracts Signed]]/SalesData[[#This Row],[Customers Visited]])</f>
        <v>0.14468085106382977</v>
      </c>
      <c r="AI613" s="6">
        <f>IF(SalesData[[#This Row],[Contracts Signed]]=0,0,SalesData[[#This Row],[Profit(€)]]/SalesData[[#This Row],[Contracts Signed]])</f>
        <v>14967</v>
      </c>
      <c r="AJ613" s="5" t="str">
        <f>TRIM(CLEAN(SalesData[[#This Row],[Retailer]]))</f>
        <v>Saxon Wheels</v>
      </c>
    </row>
    <row r="614" spans="1:36" ht="14.25" hidden="1" x14ac:dyDescent="0.2">
      <c r="A614" t="s">
        <v>1166</v>
      </c>
      <c r="B614" s="1">
        <v>46056</v>
      </c>
      <c r="C614" t="s">
        <v>24</v>
      </c>
      <c r="D614" t="s">
        <v>63</v>
      </c>
      <c r="E614" t="s">
        <v>26</v>
      </c>
      <c r="F614" t="s">
        <v>74</v>
      </c>
      <c r="G614" t="s">
        <v>75</v>
      </c>
      <c r="H614" t="s">
        <v>76</v>
      </c>
      <c r="I614" t="s">
        <v>104</v>
      </c>
      <c r="J614" t="s">
        <v>143</v>
      </c>
      <c r="K614" t="s">
        <v>66</v>
      </c>
      <c r="L614" t="s">
        <v>67</v>
      </c>
      <c r="M614" t="s">
        <v>68</v>
      </c>
      <c r="N614" t="s">
        <v>35</v>
      </c>
      <c r="O614" t="s">
        <v>36</v>
      </c>
      <c r="P614" t="s">
        <v>37</v>
      </c>
      <c r="Q614" t="s">
        <v>169</v>
      </c>
      <c r="R614">
        <v>398</v>
      </c>
      <c r="S614">
        <v>217</v>
      </c>
      <c r="T614">
        <v>145</v>
      </c>
      <c r="U614">
        <v>35</v>
      </c>
      <c r="V614" t="s">
        <v>125</v>
      </c>
      <c r="W614">
        <v>26653</v>
      </c>
      <c r="X614" t="s">
        <v>676</v>
      </c>
      <c r="Y614">
        <v>23843</v>
      </c>
      <c r="Z614">
        <v>932855</v>
      </c>
      <c r="AA614">
        <v>98350</v>
      </c>
      <c r="AB614" t="str">
        <f>(VLOOKUP(SalesData[[#This Row],[Month Number]],Reference!C$5:E$16,2,FALSE))</f>
        <v>Feb</v>
      </c>
      <c r="AC614">
        <f>MONTH(SalesData[[#This Row],[Date]])</f>
        <v>2</v>
      </c>
      <c r="AD614">
        <f>Reference!F$4</f>
        <v>2026</v>
      </c>
      <c r="AE614" t="str">
        <f>IF(OR(SalesData[[#This Row],[Day]]="Saturday",SalesData[[#This Row],[Day]]="Sunday"),"Weekend","Weekday")</f>
        <v>Weekday</v>
      </c>
      <c r="AF614" s="5">
        <f>IF(SalesData[[#This Row],[Contracts Offered]]=0,0,SalesData[[#This Row],[Contracts Signed]]/SalesData[[#This Row],[Contracts Offered]])</f>
        <v>0.2413793103448276</v>
      </c>
      <c r="AG614" s="5">
        <f>IF(SalesData[[#This Row],[Customers Visited]]=0,0,SalesData[[#This Row],[Test Drives]]/SalesData[[#This Row],[Customers Visited]])</f>
        <v>0.54522613065326631</v>
      </c>
      <c r="AH614" s="5">
        <f>IF(SalesData[[#This Row],[Customers Visited]]=0,0,SalesData[[#This Row],[Contracts Signed]]/SalesData[[#This Row],[Customers Visited]])</f>
        <v>8.7939698492462318E-2</v>
      </c>
      <c r="AI614" s="6">
        <f>IF(SalesData[[#This Row],[Contracts Signed]]=0,0,SalesData[[#This Row],[Profit(€)]]/SalesData[[#This Row],[Contracts Signed]])</f>
        <v>2810</v>
      </c>
      <c r="AJ614" s="5" t="str">
        <f>TRIM(CLEAN(SalesData[[#This Row],[Retailer]]))</f>
        <v>Stuttgart Auto Center</v>
      </c>
    </row>
    <row r="615" spans="1:36" ht="14.25" hidden="1" x14ac:dyDescent="0.2">
      <c r="A615" t="s">
        <v>1168</v>
      </c>
      <c r="B615" s="1">
        <v>46059</v>
      </c>
      <c r="C615" t="s">
        <v>24</v>
      </c>
      <c r="D615" t="s">
        <v>54</v>
      </c>
      <c r="E615" t="s">
        <v>26</v>
      </c>
      <c r="F615" t="s">
        <v>94</v>
      </c>
      <c r="G615" t="s">
        <v>95</v>
      </c>
      <c r="H615" t="s">
        <v>96</v>
      </c>
      <c r="I615" t="s">
        <v>116</v>
      </c>
      <c r="J615" t="s">
        <v>132</v>
      </c>
      <c r="K615" t="s">
        <v>78</v>
      </c>
      <c r="L615" t="s">
        <v>46</v>
      </c>
      <c r="M615" t="s">
        <v>68</v>
      </c>
      <c r="N615" t="s">
        <v>35</v>
      </c>
      <c r="O615" t="s">
        <v>70</v>
      </c>
      <c r="P615" t="s">
        <v>58</v>
      </c>
      <c r="Q615" t="s">
        <v>152</v>
      </c>
      <c r="R615">
        <v>243</v>
      </c>
      <c r="S615">
        <v>97</v>
      </c>
      <c r="T615">
        <v>57</v>
      </c>
      <c r="U615">
        <v>21</v>
      </c>
      <c r="V615" t="s">
        <v>6762</v>
      </c>
      <c r="W615">
        <v>23932</v>
      </c>
      <c r="X615" t="s">
        <v>3980</v>
      </c>
      <c r="Y615">
        <v>21344</v>
      </c>
      <c r="Z615">
        <v>502572</v>
      </c>
      <c r="AA615">
        <v>54348</v>
      </c>
      <c r="AB615" t="str">
        <f>(VLOOKUP(SalesData[[#This Row],[Month Number]],Reference!C$5:E$16,2,FALSE))</f>
        <v>Feb</v>
      </c>
      <c r="AC615">
        <f>MONTH(SalesData[[#This Row],[Date]])</f>
        <v>2</v>
      </c>
      <c r="AD615">
        <f>Reference!F$4</f>
        <v>2026</v>
      </c>
      <c r="AE615" t="str">
        <f>IF(OR(SalesData[[#This Row],[Day]]="Saturday",SalesData[[#This Row],[Day]]="Sunday"),"Weekend","Weekday")</f>
        <v>Weekday</v>
      </c>
      <c r="AF615" s="5">
        <f>IF(SalesData[[#This Row],[Contracts Offered]]=0,0,SalesData[[#This Row],[Contracts Signed]]/SalesData[[#This Row],[Contracts Offered]])</f>
        <v>0.36842105263157893</v>
      </c>
      <c r="AG615" s="5">
        <f>IF(SalesData[[#This Row],[Customers Visited]]=0,0,SalesData[[#This Row],[Test Drives]]/SalesData[[#This Row],[Customers Visited]])</f>
        <v>0.3991769547325103</v>
      </c>
      <c r="AH615" s="5">
        <f>IF(SalesData[[#This Row],[Customers Visited]]=0,0,SalesData[[#This Row],[Contracts Signed]]/SalesData[[#This Row],[Customers Visited]])</f>
        <v>8.6419753086419748E-2</v>
      </c>
      <c r="AI615" s="6">
        <f>IF(SalesData[[#This Row],[Contracts Signed]]=0,0,SalesData[[#This Row],[Profit(€)]]/SalesData[[#This Row],[Contracts Signed]])</f>
        <v>2588</v>
      </c>
      <c r="AJ615" s="5" t="str">
        <f>TRIM(CLEAN(SalesData[[#This Row],[Retailer]]))</f>
        <v>Bavaria Motors</v>
      </c>
    </row>
    <row r="616" spans="1:36" ht="14.25" hidden="1" x14ac:dyDescent="0.2">
      <c r="A616" t="s">
        <v>1169</v>
      </c>
      <c r="B616" s="1">
        <v>46054</v>
      </c>
      <c r="C616" t="s">
        <v>24</v>
      </c>
      <c r="D616" t="s">
        <v>41</v>
      </c>
      <c r="E616" t="s">
        <v>42</v>
      </c>
      <c r="F616" t="s">
        <v>83</v>
      </c>
      <c r="G616" t="s">
        <v>84</v>
      </c>
      <c r="H616" t="s">
        <v>85</v>
      </c>
      <c r="I616" t="s">
        <v>116</v>
      </c>
      <c r="J616" t="s">
        <v>7090</v>
      </c>
      <c r="K616" t="s">
        <v>66</v>
      </c>
      <c r="L616" t="s">
        <v>46</v>
      </c>
      <c r="M616" t="s">
        <v>87</v>
      </c>
      <c r="N616" t="s">
        <v>35</v>
      </c>
      <c r="O616" t="s">
        <v>70</v>
      </c>
      <c r="P616" t="s">
        <v>58</v>
      </c>
      <c r="Q616" t="s">
        <v>38</v>
      </c>
      <c r="R616">
        <v>382</v>
      </c>
      <c r="S616">
        <v>187</v>
      </c>
      <c r="T616">
        <v>130</v>
      </c>
      <c r="U616">
        <v>32</v>
      </c>
      <c r="V616" t="s">
        <v>468</v>
      </c>
      <c r="W616">
        <v>26980</v>
      </c>
      <c r="X616" t="s">
        <v>421</v>
      </c>
      <c r="Y616">
        <v>24428</v>
      </c>
      <c r="Z616">
        <v>863360</v>
      </c>
      <c r="AA616">
        <v>81664</v>
      </c>
      <c r="AB616" t="str">
        <f>(VLOOKUP(SalesData[[#This Row],[Month Number]],Reference!C$5:E$16,2,FALSE))</f>
        <v>Feb</v>
      </c>
      <c r="AC616">
        <f>MONTH(SalesData[[#This Row],[Date]])</f>
        <v>2</v>
      </c>
      <c r="AD616">
        <f>Reference!F$4</f>
        <v>2026</v>
      </c>
      <c r="AE616" t="str">
        <f>IF(OR(SalesData[[#This Row],[Day]]="Saturday",SalesData[[#This Row],[Day]]="Sunday"),"Weekend","Weekday")</f>
        <v>Weekend</v>
      </c>
      <c r="AF616" s="5">
        <f>IF(SalesData[[#This Row],[Contracts Offered]]=0,0,SalesData[[#This Row],[Contracts Signed]]/SalesData[[#This Row],[Contracts Offered]])</f>
        <v>0.24615384615384617</v>
      </c>
      <c r="AG616" s="5">
        <f>IF(SalesData[[#This Row],[Customers Visited]]=0,0,SalesData[[#This Row],[Test Drives]]/SalesData[[#This Row],[Customers Visited]])</f>
        <v>0.48952879581151831</v>
      </c>
      <c r="AH616" s="5">
        <f>IF(SalesData[[#This Row],[Customers Visited]]=0,0,SalesData[[#This Row],[Contracts Signed]]/SalesData[[#This Row],[Customers Visited]])</f>
        <v>8.3769633507853408E-2</v>
      </c>
      <c r="AI616" s="6">
        <f>IF(SalesData[[#This Row],[Contracts Signed]]=0,0,SalesData[[#This Row],[Profit(€)]]/SalesData[[#This Row],[Contracts Signed]])</f>
        <v>2552</v>
      </c>
      <c r="AJ616" s="5" t="str">
        <f>TRIM(CLEAN(SalesData[[#This Row],[Retailer]]))</f>
        <v>Hannover Cars</v>
      </c>
    </row>
    <row r="617" spans="1:36" ht="14.25" x14ac:dyDescent="0.2">
      <c r="A617" t="s">
        <v>1171</v>
      </c>
      <c r="B617" s="1">
        <v>46070</v>
      </c>
      <c r="C617" t="s">
        <v>62</v>
      </c>
      <c r="D617" t="s">
        <v>63</v>
      </c>
      <c r="E617" t="s">
        <v>26</v>
      </c>
      <c r="F617" t="s">
        <v>74</v>
      </c>
      <c r="G617" t="s">
        <v>75</v>
      </c>
      <c r="H617" t="s">
        <v>76</v>
      </c>
      <c r="I617" t="s">
        <v>30</v>
      </c>
      <c r="J617" t="s">
        <v>166</v>
      </c>
      <c r="K617" t="s">
        <v>66</v>
      </c>
      <c r="L617" t="s">
        <v>46</v>
      </c>
      <c r="M617" t="s">
        <v>34</v>
      </c>
      <c r="N617" t="s">
        <v>48</v>
      </c>
      <c r="O617" t="s">
        <v>70</v>
      </c>
      <c r="P617" t="s">
        <v>37</v>
      </c>
      <c r="Q617" t="s">
        <v>122</v>
      </c>
      <c r="R617">
        <v>191</v>
      </c>
      <c r="S617">
        <v>111</v>
      </c>
      <c r="T617">
        <v>76</v>
      </c>
      <c r="U617">
        <v>31</v>
      </c>
      <c r="V617" t="s">
        <v>6653</v>
      </c>
      <c r="W617">
        <v>58937</v>
      </c>
      <c r="X617" t="s">
        <v>7154</v>
      </c>
      <c r="Y617">
        <v>41353</v>
      </c>
      <c r="Z617">
        <v>1827047</v>
      </c>
      <c r="AA617">
        <v>545104</v>
      </c>
      <c r="AB617" t="str">
        <f>(VLOOKUP(SalesData[[#This Row],[Month Number]],Reference!C$5:E$16,2,FALSE))</f>
        <v>Feb</v>
      </c>
      <c r="AC617">
        <f>MONTH(SalesData[[#This Row],[Date]])</f>
        <v>2</v>
      </c>
      <c r="AD617">
        <f>Reference!F$4</f>
        <v>2026</v>
      </c>
      <c r="AE617" t="str">
        <f>IF(OR(SalesData[[#This Row],[Day]]="Saturday",SalesData[[#This Row],[Day]]="Sunday"),"Weekend","Weekday")</f>
        <v>Weekday</v>
      </c>
      <c r="AF617" s="5">
        <f>IF(SalesData[[#This Row],[Contracts Offered]]=0,0,SalesData[[#This Row],[Contracts Signed]]/SalesData[[#This Row],[Contracts Offered]])</f>
        <v>0.40789473684210525</v>
      </c>
      <c r="AG617" s="5">
        <f>IF(SalesData[[#This Row],[Customers Visited]]=0,0,SalesData[[#This Row],[Test Drives]]/SalesData[[#This Row],[Customers Visited]])</f>
        <v>0.58115183246073299</v>
      </c>
      <c r="AH617" s="5">
        <f>IF(SalesData[[#This Row],[Customers Visited]]=0,0,SalesData[[#This Row],[Contracts Signed]]/SalesData[[#This Row],[Customers Visited]])</f>
        <v>0.16230366492146597</v>
      </c>
      <c r="AI617" s="6">
        <f>IF(SalesData[[#This Row],[Contracts Signed]]=0,0,SalesData[[#This Row],[Profit(€)]]/SalesData[[#This Row],[Contracts Signed]])</f>
        <v>17584</v>
      </c>
      <c r="AJ617" s="5" t="str">
        <f>TRIM(CLEAN(SalesData[[#This Row],[Retailer]]))</f>
        <v>Stuttgart Auto Center</v>
      </c>
    </row>
    <row r="618" spans="1:36" ht="14.25" hidden="1" x14ac:dyDescent="0.2">
      <c r="A618" t="s">
        <v>1172</v>
      </c>
      <c r="B618" s="1">
        <v>46068</v>
      </c>
      <c r="C618" t="s">
        <v>62</v>
      </c>
      <c r="D618" t="s">
        <v>41</v>
      </c>
      <c r="E618" t="s">
        <v>42</v>
      </c>
      <c r="F618" t="s">
        <v>101</v>
      </c>
      <c r="G618" t="s">
        <v>102</v>
      </c>
      <c r="H618" t="s">
        <v>103</v>
      </c>
      <c r="I618" t="s">
        <v>56</v>
      </c>
      <c r="J618" t="s">
        <v>137</v>
      </c>
      <c r="K618" t="s">
        <v>91</v>
      </c>
      <c r="L618" t="s">
        <v>46</v>
      </c>
      <c r="M618" t="s">
        <v>87</v>
      </c>
      <c r="N618" t="s">
        <v>69</v>
      </c>
      <c r="O618" t="s">
        <v>70</v>
      </c>
      <c r="P618" t="s">
        <v>71</v>
      </c>
      <c r="Q618" t="s">
        <v>135</v>
      </c>
      <c r="R618">
        <v>306</v>
      </c>
      <c r="S618">
        <v>173</v>
      </c>
      <c r="T618">
        <v>115</v>
      </c>
      <c r="U618">
        <v>36</v>
      </c>
      <c r="V618" t="s">
        <v>6661</v>
      </c>
      <c r="W618">
        <v>41124</v>
      </c>
      <c r="X618" t="s">
        <v>2107</v>
      </c>
      <c r="Y618">
        <v>33183</v>
      </c>
      <c r="Z618">
        <v>1480464</v>
      </c>
      <c r="AA618">
        <v>285876</v>
      </c>
      <c r="AB618" t="str">
        <f>(VLOOKUP(SalesData[[#This Row],[Month Number]],Reference!C$5:E$16,2,FALSE))</f>
        <v>Feb</v>
      </c>
      <c r="AC618">
        <f>MONTH(SalesData[[#This Row],[Date]])</f>
        <v>2</v>
      </c>
      <c r="AD618">
        <f>Reference!F$4</f>
        <v>2026</v>
      </c>
      <c r="AE618" t="str">
        <f>IF(OR(SalesData[[#This Row],[Day]]="Saturday",SalesData[[#This Row],[Day]]="Sunday"),"Weekend","Weekday")</f>
        <v>Weekend</v>
      </c>
      <c r="AF618" s="5">
        <f>IF(SalesData[[#This Row],[Contracts Offered]]=0,0,SalesData[[#This Row],[Contracts Signed]]/SalesData[[#This Row],[Contracts Offered]])</f>
        <v>0.31304347826086959</v>
      </c>
      <c r="AG618" s="5">
        <f>IF(SalesData[[#This Row],[Customers Visited]]=0,0,SalesData[[#This Row],[Test Drives]]/SalesData[[#This Row],[Customers Visited]])</f>
        <v>0.565359477124183</v>
      </c>
      <c r="AH618" s="5">
        <f>IF(SalesData[[#This Row],[Customers Visited]]=0,0,SalesData[[#This Row],[Contracts Signed]]/SalesData[[#This Row],[Customers Visited]])</f>
        <v>0.11764705882352941</v>
      </c>
      <c r="AI618" s="6">
        <f>IF(SalesData[[#This Row],[Contracts Signed]]=0,0,SalesData[[#This Row],[Profit(€)]]/SalesData[[#This Row],[Contracts Signed]])</f>
        <v>7941</v>
      </c>
      <c r="AJ618" s="5" t="str">
        <f>TRIM(CLEAN(SalesData[[#This Row],[Retailer]]))</f>
        <v>Ruhr Auto Plaza</v>
      </c>
    </row>
    <row r="619" spans="1:36" ht="14.25" hidden="1" x14ac:dyDescent="0.2">
      <c r="A619" t="s">
        <v>1173</v>
      </c>
      <c r="B619" s="1">
        <v>46061</v>
      </c>
      <c r="C619" t="s">
        <v>121</v>
      </c>
      <c r="D619" t="s">
        <v>41</v>
      </c>
      <c r="E619" t="s">
        <v>42</v>
      </c>
      <c r="F619" t="s">
        <v>7649</v>
      </c>
      <c r="G619" t="s">
        <v>55</v>
      </c>
      <c r="H619" t="s">
        <v>55</v>
      </c>
      <c r="I619" t="s">
        <v>116</v>
      </c>
      <c r="J619" t="s">
        <v>7026</v>
      </c>
      <c r="K619" t="s">
        <v>91</v>
      </c>
      <c r="L619" t="s">
        <v>46</v>
      </c>
      <c r="M619" t="s">
        <v>68</v>
      </c>
      <c r="N619" t="s">
        <v>35</v>
      </c>
      <c r="O619" t="s">
        <v>70</v>
      </c>
      <c r="P619" t="s">
        <v>37</v>
      </c>
      <c r="Q619" t="s">
        <v>167</v>
      </c>
      <c r="R619">
        <v>303</v>
      </c>
      <c r="S619">
        <v>121</v>
      </c>
      <c r="T619">
        <v>79</v>
      </c>
      <c r="U619">
        <v>17</v>
      </c>
      <c r="V619" t="s">
        <v>2597</v>
      </c>
      <c r="W619">
        <v>23094</v>
      </c>
      <c r="X619" t="s">
        <v>1068</v>
      </c>
      <c r="Y619">
        <v>20669</v>
      </c>
      <c r="Z619">
        <v>392598</v>
      </c>
      <c r="AA619">
        <v>41225</v>
      </c>
      <c r="AB619" t="str">
        <f>(VLOOKUP(SalesData[[#This Row],[Month Number]],Reference!C$5:E$16,2,FALSE))</f>
        <v>Feb</v>
      </c>
      <c r="AC619">
        <f>MONTH(SalesData[[#This Row],[Date]])</f>
        <v>2</v>
      </c>
      <c r="AD619">
        <f>Reference!F$4</f>
        <v>2026</v>
      </c>
      <c r="AE619" t="str">
        <f>IF(OR(SalesData[[#This Row],[Day]]="Saturday",SalesData[[#This Row],[Day]]="Sunday"),"Weekend","Weekday")</f>
        <v>Weekend</v>
      </c>
      <c r="AF619" s="5">
        <f>IF(SalesData[[#This Row],[Contracts Offered]]=0,0,SalesData[[#This Row],[Contracts Signed]]/SalesData[[#This Row],[Contracts Offered]])</f>
        <v>0.21518987341772153</v>
      </c>
      <c r="AG619" s="5">
        <f>IF(SalesData[[#This Row],[Customers Visited]]=0,0,SalesData[[#This Row],[Test Drives]]/SalesData[[#This Row],[Customers Visited]])</f>
        <v>0.39933993399339934</v>
      </c>
      <c r="AH619" s="5">
        <f>IF(SalesData[[#This Row],[Customers Visited]]=0,0,SalesData[[#This Row],[Contracts Signed]]/SalesData[[#This Row],[Customers Visited]])</f>
        <v>5.6105610561056105E-2</v>
      </c>
      <c r="AI619" s="6">
        <f>IF(SalesData[[#This Row],[Contracts Signed]]=0,0,SalesData[[#This Row],[Profit(€)]]/SalesData[[#This Row],[Contracts Signed]])</f>
        <v>2425</v>
      </c>
      <c r="AJ619" s="5" t="str">
        <f>TRIM(CLEAN(SalesData[[#This Row],[Retailer]]))</f>
        <v>Autohaus Berlin</v>
      </c>
    </row>
    <row r="620" spans="1:36" ht="14.25" hidden="1" x14ac:dyDescent="0.2">
      <c r="A620" t="s">
        <v>1175</v>
      </c>
      <c r="B620" s="1">
        <v>46060</v>
      </c>
      <c r="C620" t="s">
        <v>24</v>
      </c>
      <c r="D620" t="s">
        <v>151</v>
      </c>
      <c r="E620" t="s">
        <v>42</v>
      </c>
      <c r="F620" t="s">
        <v>127</v>
      </c>
      <c r="G620" t="s">
        <v>128</v>
      </c>
      <c r="H620" t="s">
        <v>103</v>
      </c>
      <c r="I620" t="s">
        <v>116</v>
      </c>
      <c r="J620" t="s">
        <v>7090</v>
      </c>
      <c r="K620" t="s">
        <v>66</v>
      </c>
      <c r="L620" t="s">
        <v>46</v>
      </c>
      <c r="M620" t="s">
        <v>68</v>
      </c>
      <c r="N620" t="s">
        <v>69</v>
      </c>
      <c r="O620" t="s">
        <v>36</v>
      </c>
      <c r="P620" t="s">
        <v>58</v>
      </c>
      <c r="Q620" t="s">
        <v>106</v>
      </c>
      <c r="R620">
        <v>280</v>
      </c>
      <c r="S620">
        <v>109</v>
      </c>
      <c r="T620">
        <v>66</v>
      </c>
      <c r="U620">
        <v>21</v>
      </c>
      <c r="V620" t="s">
        <v>358</v>
      </c>
      <c r="W620">
        <v>26668</v>
      </c>
      <c r="X620" t="s">
        <v>238</v>
      </c>
      <c r="Y620">
        <v>24333</v>
      </c>
      <c r="Z620">
        <v>560028</v>
      </c>
      <c r="AA620">
        <v>49035</v>
      </c>
      <c r="AB620" t="str">
        <f>(VLOOKUP(SalesData[[#This Row],[Month Number]],Reference!C$5:E$16,2,FALSE))</f>
        <v>Feb</v>
      </c>
      <c r="AC620">
        <f>MONTH(SalesData[[#This Row],[Date]])</f>
        <v>2</v>
      </c>
      <c r="AD620">
        <f>Reference!F$4</f>
        <v>2026</v>
      </c>
      <c r="AE620" t="str">
        <f>IF(OR(SalesData[[#This Row],[Day]]="Saturday",SalesData[[#This Row],[Day]]="Sunday"),"Weekend","Weekday")</f>
        <v>Weekend</v>
      </c>
      <c r="AF620" s="5">
        <f>IF(SalesData[[#This Row],[Contracts Offered]]=0,0,SalesData[[#This Row],[Contracts Signed]]/SalesData[[#This Row],[Contracts Offered]])</f>
        <v>0.31818181818181818</v>
      </c>
      <c r="AG620" s="5">
        <f>IF(SalesData[[#This Row],[Customers Visited]]=0,0,SalesData[[#This Row],[Test Drives]]/SalesData[[#This Row],[Customers Visited]])</f>
        <v>0.38928571428571429</v>
      </c>
      <c r="AH620" s="5">
        <f>IF(SalesData[[#This Row],[Customers Visited]]=0,0,SalesData[[#This Row],[Contracts Signed]]/SalesData[[#This Row],[Customers Visited]])</f>
        <v>7.4999999999999997E-2</v>
      </c>
      <c r="AI620" s="6">
        <f>IF(SalesData[[#This Row],[Contracts Signed]]=0,0,SalesData[[#This Row],[Profit(€)]]/SalesData[[#This Row],[Contracts Signed]])</f>
        <v>2335</v>
      </c>
      <c r="AJ620" s="5" t="str">
        <f>TRIM(CLEAN(SalesData[[#This Row],[Retailer]]))</f>
        <v>Rhein Auto Group</v>
      </c>
    </row>
    <row r="621" spans="1:36" ht="14.25" hidden="1" x14ac:dyDescent="0.2">
      <c r="A621" t="s">
        <v>1176</v>
      </c>
      <c r="B621" s="1">
        <v>46055</v>
      </c>
      <c r="C621" t="s">
        <v>24</v>
      </c>
      <c r="D621" t="s">
        <v>25</v>
      </c>
      <c r="E621" t="s">
        <v>26</v>
      </c>
      <c r="F621" t="s">
        <v>94</v>
      </c>
      <c r="G621" t="s">
        <v>95</v>
      </c>
      <c r="H621" t="s">
        <v>96</v>
      </c>
      <c r="I621" t="s">
        <v>64</v>
      </c>
      <c r="J621" t="s">
        <v>157</v>
      </c>
      <c r="K621" t="s">
        <v>91</v>
      </c>
      <c r="L621" t="s">
        <v>33</v>
      </c>
      <c r="M621" t="s">
        <v>68</v>
      </c>
      <c r="N621" t="s">
        <v>48</v>
      </c>
      <c r="O621" t="s">
        <v>70</v>
      </c>
      <c r="P621" t="s">
        <v>49</v>
      </c>
      <c r="Q621" t="s">
        <v>204</v>
      </c>
      <c r="R621">
        <v>216</v>
      </c>
      <c r="S621">
        <v>121</v>
      </c>
      <c r="T621">
        <v>94</v>
      </c>
      <c r="U621">
        <v>27</v>
      </c>
      <c r="V621" t="s">
        <v>6923</v>
      </c>
      <c r="W621">
        <v>53265</v>
      </c>
      <c r="X621" t="s">
        <v>7273</v>
      </c>
      <c r="Y621">
        <v>38619</v>
      </c>
      <c r="Z621">
        <v>1438155</v>
      </c>
      <c r="AA621">
        <v>395442</v>
      </c>
      <c r="AB621" t="str">
        <f>(VLOOKUP(SalesData[[#This Row],[Month Number]],Reference!C$5:E$16,2,FALSE))</f>
        <v>Feb</v>
      </c>
      <c r="AC621">
        <f>MONTH(SalesData[[#This Row],[Date]])</f>
        <v>2</v>
      </c>
      <c r="AD621">
        <f>Reference!F$4</f>
        <v>2026</v>
      </c>
      <c r="AE621" t="str">
        <f>IF(OR(SalesData[[#This Row],[Day]]="Saturday",SalesData[[#This Row],[Day]]="Sunday"),"Weekend","Weekday")</f>
        <v>Weekday</v>
      </c>
      <c r="AF621" s="5">
        <f>IF(SalesData[[#This Row],[Contracts Offered]]=0,0,SalesData[[#This Row],[Contracts Signed]]/SalesData[[#This Row],[Contracts Offered]])</f>
        <v>0.28723404255319152</v>
      </c>
      <c r="AG621" s="5">
        <f>IF(SalesData[[#This Row],[Customers Visited]]=0,0,SalesData[[#This Row],[Test Drives]]/SalesData[[#This Row],[Customers Visited]])</f>
        <v>0.56018518518518523</v>
      </c>
      <c r="AH621" s="5">
        <f>IF(SalesData[[#This Row],[Customers Visited]]=0,0,SalesData[[#This Row],[Contracts Signed]]/SalesData[[#This Row],[Customers Visited]])</f>
        <v>0.125</v>
      </c>
      <c r="AI621" s="6">
        <f>IF(SalesData[[#This Row],[Contracts Signed]]=0,0,SalesData[[#This Row],[Profit(€)]]/SalesData[[#This Row],[Contracts Signed]])</f>
        <v>14646</v>
      </c>
      <c r="AJ621" s="5" t="str">
        <f>TRIM(CLEAN(SalesData[[#This Row],[Retailer]]))</f>
        <v>Bavaria Motors</v>
      </c>
    </row>
    <row r="622" spans="1:36" ht="14.25" hidden="1" x14ac:dyDescent="0.2">
      <c r="A622" t="s">
        <v>1177</v>
      </c>
      <c r="B622" s="1">
        <v>46074</v>
      </c>
      <c r="C622" t="s">
        <v>62</v>
      </c>
      <c r="D622" t="s">
        <v>151</v>
      </c>
      <c r="E622" t="s">
        <v>42</v>
      </c>
      <c r="F622" t="s">
        <v>74</v>
      </c>
      <c r="G622" t="s">
        <v>75</v>
      </c>
      <c r="H622" t="s">
        <v>76</v>
      </c>
      <c r="I622" t="s">
        <v>64</v>
      </c>
      <c r="J622" t="s">
        <v>111</v>
      </c>
      <c r="K622" t="s">
        <v>32</v>
      </c>
      <c r="L622" t="s">
        <v>46</v>
      </c>
      <c r="M622" t="s">
        <v>68</v>
      </c>
      <c r="N622" t="s">
        <v>48</v>
      </c>
      <c r="O622" t="s">
        <v>70</v>
      </c>
      <c r="P622" t="s">
        <v>37</v>
      </c>
      <c r="Q622" t="s">
        <v>189</v>
      </c>
      <c r="R622">
        <v>269</v>
      </c>
      <c r="S622">
        <v>122</v>
      </c>
      <c r="T622">
        <v>95</v>
      </c>
      <c r="U622">
        <v>28</v>
      </c>
      <c r="V622" t="s">
        <v>6710</v>
      </c>
      <c r="W622">
        <v>56561</v>
      </c>
      <c r="X622" t="s">
        <v>7093</v>
      </c>
      <c r="Y622">
        <v>43636</v>
      </c>
      <c r="Z622">
        <v>1583708</v>
      </c>
      <c r="AA622">
        <v>361900</v>
      </c>
      <c r="AB622" t="str">
        <f>(VLOOKUP(SalesData[[#This Row],[Month Number]],Reference!C$5:E$16,2,FALSE))</f>
        <v>Feb</v>
      </c>
      <c r="AC622">
        <f>MONTH(SalesData[[#This Row],[Date]])</f>
        <v>2</v>
      </c>
      <c r="AD622">
        <f>Reference!F$4</f>
        <v>2026</v>
      </c>
      <c r="AE622" t="str">
        <f>IF(OR(SalesData[[#This Row],[Day]]="Saturday",SalesData[[#This Row],[Day]]="Sunday"),"Weekend","Weekday")</f>
        <v>Weekend</v>
      </c>
      <c r="AF622" s="5">
        <f>IF(SalesData[[#This Row],[Contracts Offered]]=0,0,SalesData[[#This Row],[Contracts Signed]]/SalesData[[#This Row],[Contracts Offered]])</f>
        <v>0.29473684210526313</v>
      </c>
      <c r="AG622" s="5">
        <f>IF(SalesData[[#This Row],[Customers Visited]]=0,0,SalesData[[#This Row],[Test Drives]]/SalesData[[#This Row],[Customers Visited]])</f>
        <v>0.45353159851301117</v>
      </c>
      <c r="AH622" s="5">
        <f>IF(SalesData[[#This Row],[Customers Visited]]=0,0,SalesData[[#This Row],[Contracts Signed]]/SalesData[[#This Row],[Customers Visited]])</f>
        <v>0.10408921933085502</v>
      </c>
      <c r="AI622" s="6">
        <f>IF(SalesData[[#This Row],[Contracts Signed]]=0,0,SalesData[[#This Row],[Profit(€)]]/SalesData[[#This Row],[Contracts Signed]])</f>
        <v>12925</v>
      </c>
      <c r="AJ622" s="5" t="str">
        <f>TRIM(CLEAN(SalesData[[#This Row],[Retailer]]))</f>
        <v>Stuttgart Auto Center</v>
      </c>
    </row>
    <row r="623" spans="1:36" ht="14.25" hidden="1" x14ac:dyDescent="0.2">
      <c r="A623" t="s">
        <v>1179</v>
      </c>
      <c r="B623" s="1">
        <v>46058</v>
      </c>
      <c r="C623" t="s">
        <v>24</v>
      </c>
      <c r="D623" t="s">
        <v>100</v>
      </c>
      <c r="E623" t="s">
        <v>26</v>
      </c>
      <c r="F623" t="s">
        <v>43</v>
      </c>
      <c r="G623" t="s">
        <v>44</v>
      </c>
      <c r="H623" t="s">
        <v>45</v>
      </c>
      <c r="I623" t="s">
        <v>104</v>
      </c>
      <c r="J623" t="s">
        <v>7061</v>
      </c>
      <c r="K623" t="s">
        <v>66</v>
      </c>
      <c r="L623" t="s">
        <v>46</v>
      </c>
      <c r="M623" t="s">
        <v>47</v>
      </c>
      <c r="N623" t="s">
        <v>35</v>
      </c>
      <c r="O623" t="s">
        <v>36</v>
      </c>
      <c r="P623" t="s">
        <v>71</v>
      </c>
      <c r="Q623" t="s">
        <v>189</v>
      </c>
      <c r="R623">
        <v>517</v>
      </c>
      <c r="S623">
        <v>227</v>
      </c>
      <c r="T623">
        <v>158</v>
      </c>
      <c r="U623">
        <v>36</v>
      </c>
      <c r="V623" t="s">
        <v>5209</v>
      </c>
      <c r="W623">
        <v>25588</v>
      </c>
      <c r="X623" t="s">
        <v>290</v>
      </c>
      <c r="Y623">
        <v>22490</v>
      </c>
      <c r="Z623">
        <v>921168</v>
      </c>
      <c r="AA623">
        <v>111528</v>
      </c>
      <c r="AB623" t="str">
        <f>(VLOOKUP(SalesData[[#This Row],[Month Number]],Reference!C$5:E$16,2,FALSE))</f>
        <v>Feb</v>
      </c>
      <c r="AC623">
        <f>MONTH(SalesData[[#This Row],[Date]])</f>
        <v>2</v>
      </c>
      <c r="AD623">
        <f>Reference!F$4</f>
        <v>2026</v>
      </c>
      <c r="AE623" t="str">
        <f>IF(OR(SalesData[[#This Row],[Day]]="Saturday",SalesData[[#This Row],[Day]]="Sunday"),"Weekend","Weekday")</f>
        <v>Weekday</v>
      </c>
      <c r="AF623" s="5">
        <f>IF(SalesData[[#This Row],[Contracts Offered]]=0,0,SalesData[[#This Row],[Contracts Signed]]/SalesData[[#This Row],[Contracts Offered]])</f>
        <v>0.22784810126582278</v>
      </c>
      <c r="AG623" s="5">
        <f>IF(SalesData[[#This Row],[Customers Visited]]=0,0,SalesData[[#This Row],[Test Drives]]/SalesData[[#This Row],[Customers Visited]])</f>
        <v>0.43907156673114117</v>
      </c>
      <c r="AH623" s="5">
        <f>IF(SalesData[[#This Row],[Customers Visited]]=0,0,SalesData[[#This Row],[Contracts Signed]]/SalesData[[#This Row],[Customers Visited]])</f>
        <v>6.9632495164410058E-2</v>
      </c>
      <c r="AI623" s="6">
        <f>IF(SalesData[[#This Row],[Contracts Signed]]=0,0,SalesData[[#This Row],[Profit(€)]]/SalesData[[#This Row],[Contracts Signed]])</f>
        <v>3098</v>
      </c>
      <c r="AJ623" s="5" t="str">
        <f>TRIM(CLEAN(SalesData[[#This Row],[Retailer]]))</f>
        <v>Saxon Wheels</v>
      </c>
    </row>
    <row r="624" spans="1:36" ht="14.25" x14ac:dyDescent="0.2">
      <c r="A624" t="s">
        <v>1180</v>
      </c>
      <c r="B624" s="1">
        <v>46058</v>
      </c>
      <c r="C624" t="s">
        <v>24</v>
      </c>
      <c r="D624" t="s">
        <v>100</v>
      </c>
      <c r="E624" t="s">
        <v>26</v>
      </c>
      <c r="F624" t="s">
        <v>83</v>
      </c>
      <c r="G624" t="s">
        <v>84</v>
      </c>
      <c r="H624" t="s">
        <v>85</v>
      </c>
      <c r="I624" t="s">
        <v>30</v>
      </c>
      <c r="J624" t="s">
        <v>7075</v>
      </c>
      <c r="K624" t="s">
        <v>32</v>
      </c>
      <c r="L624" t="s">
        <v>33</v>
      </c>
      <c r="M624" t="s">
        <v>47</v>
      </c>
      <c r="N624" t="s">
        <v>35</v>
      </c>
      <c r="O624" t="s">
        <v>70</v>
      </c>
      <c r="P624" t="s">
        <v>37</v>
      </c>
      <c r="Q624" t="s">
        <v>167</v>
      </c>
      <c r="R624">
        <v>247</v>
      </c>
      <c r="S624">
        <v>143</v>
      </c>
      <c r="T624">
        <v>113</v>
      </c>
      <c r="U624">
        <v>39</v>
      </c>
      <c r="V624" t="s">
        <v>6483</v>
      </c>
      <c r="W624">
        <v>66125</v>
      </c>
      <c r="X624" t="s">
        <v>7101</v>
      </c>
      <c r="Y624">
        <v>46700</v>
      </c>
      <c r="Z624">
        <v>2578875</v>
      </c>
      <c r="AA624">
        <v>757575</v>
      </c>
      <c r="AB624" t="str">
        <f>(VLOOKUP(SalesData[[#This Row],[Month Number]],Reference!C$5:E$16,2,FALSE))</f>
        <v>Feb</v>
      </c>
      <c r="AC624">
        <f>MONTH(SalesData[[#This Row],[Date]])</f>
        <v>2</v>
      </c>
      <c r="AD624">
        <f>Reference!F$4</f>
        <v>2026</v>
      </c>
      <c r="AE624" t="str">
        <f>IF(OR(SalesData[[#This Row],[Day]]="Saturday",SalesData[[#This Row],[Day]]="Sunday"),"Weekend","Weekday")</f>
        <v>Weekday</v>
      </c>
      <c r="AF624" s="5">
        <f>IF(SalesData[[#This Row],[Contracts Offered]]=0,0,SalesData[[#This Row],[Contracts Signed]]/SalesData[[#This Row],[Contracts Offered]])</f>
        <v>0.34513274336283184</v>
      </c>
      <c r="AG624" s="5">
        <f>IF(SalesData[[#This Row],[Customers Visited]]=0,0,SalesData[[#This Row],[Test Drives]]/SalesData[[#This Row],[Customers Visited]])</f>
        <v>0.57894736842105265</v>
      </c>
      <c r="AH624" s="5">
        <f>IF(SalesData[[#This Row],[Customers Visited]]=0,0,SalesData[[#This Row],[Contracts Signed]]/SalesData[[#This Row],[Customers Visited]])</f>
        <v>0.15789473684210525</v>
      </c>
      <c r="AI624" s="6">
        <f>IF(SalesData[[#This Row],[Contracts Signed]]=0,0,SalesData[[#This Row],[Profit(€)]]/SalesData[[#This Row],[Contracts Signed]])</f>
        <v>19425</v>
      </c>
      <c r="AJ624" s="5" t="str">
        <f>TRIM(CLEAN(SalesData[[#This Row],[Retailer]]))</f>
        <v>Hannover Cars</v>
      </c>
    </row>
    <row r="625" spans="1:36" ht="14.25" hidden="1" x14ac:dyDescent="0.2">
      <c r="A625" t="s">
        <v>1181</v>
      </c>
      <c r="B625" s="1">
        <v>46066</v>
      </c>
      <c r="C625" t="s">
        <v>121</v>
      </c>
      <c r="D625" t="s">
        <v>54</v>
      </c>
      <c r="E625" t="s">
        <v>26</v>
      </c>
      <c r="F625" t="s">
        <v>74</v>
      </c>
      <c r="G625" t="s">
        <v>75</v>
      </c>
      <c r="H625" t="s">
        <v>76</v>
      </c>
      <c r="I625" t="s">
        <v>116</v>
      </c>
      <c r="J625" t="s">
        <v>7026</v>
      </c>
      <c r="K625" t="s">
        <v>78</v>
      </c>
      <c r="L625" t="s">
        <v>46</v>
      </c>
      <c r="M625" t="s">
        <v>34</v>
      </c>
      <c r="N625" t="s">
        <v>35</v>
      </c>
      <c r="O625" t="s">
        <v>70</v>
      </c>
      <c r="P625" t="s">
        <v>49</v>
      </c>
      <c r="Q625" t="s">
        <v>118</v>
      </c>
      <c r="R625">
        <v>314</v>
      </c>
      <c r="S625">
        <v>132</v>
      </c>
      <c r="T625">
        <v>76</v>
      </c>
      <c r="U625">
        <v>19</v>
      </c>
      <c r="V625" t="s">
        <v>411</v>
      </c>
      <c r="W625">
        <v>19653</v>
      </c>
      <c r="X625" t="s">
        <v>7264</v>
      </c>
      <c r="Y625">
        <v>18086</v>
      </c>
      <c r="Z625">
        <v>373407</v>
      </c>
      <c r="AA625">
        <v>29773</v>
      </c>
      <c r="AB625" t="str">
        <f>(VLOOKUP(SalesData[[#This Row],[Month Number]],Reference!C$5:E$16,2,FALSE))</f>
        <v>Feb</v>
      </c>
      <c r="AC625">
        <f>MONTH(SalesData[[#This Row],[Date]])</f>
        <v>2</v>
      </c>
      <c r="AD625">
        <f>Reference!F$4</f>
        <v>2026</v>
      </c>
      <c r="AE625" t="str">
        <f>IF(OR(SalesData[[#This Row],[Day]]="Saturday",SalesData[[#This Row],[Day]]="Sunday"),"Weekend","Weekday")</f>
        <v>Weekday</v>
      </c>
      <c r="AF625" s="5">
        <f>IF(SalesData[[#This Row],[Contracts Offered]]=0,0,SalesData[[#This Row],[Contracts Signed]]/SalesData[[#This Row],[Contracts Offered]])</f>
        <v>0.25</v>
      </c>
      <c r="AG625" s="5">
        <f>IF(SalesData[[#This Row],[Customers Visited]]=0,0,SalesData[[#This Row],[Test Drives]]/SalesData[[#This Row],[Customers Visited]])</f>
        <v>0.42038216560509556</v>
      </c>
      <c r="AH625" s="5">
        <f>IF(SalesData[[#This Row],[Customers Visited]]=0,0,SalesData[[#This Row],[Contracts Signed]]/SalesData[[#This Row],[Customers Visited]])</f>
        <v>6.0509554140127389E-2</v>
      </c>
      <c r="AI625" s="6">
        <f>IF(SalesData[[#This Row],[Contracts Signed]]=0,0,SalesData[[#This Row],[Profit(€)]]/SalesData[[#This Row],[Contracts Signed]])</f>
        <v>1567</v>
      </c>
      <c r="AJ625" s="5" t="str">
        <f>TRIM(CLEAN(SalesData[[#This Row],[Retailer]]))</f>
        <v>Stuttgart Auto Center</v>
      </c>
    </row>
    <row r="626" spans="1:36" ht="14.25" hidden="1" x14ac:dyDescent="0.2">
      <c r="A626" t="s">
        <v>1183</v>
      </c>
      <c r="B626" s="1">
        <v>46079</v>
      </c>
      <c r="C626" t="s">
        <v>53</v>
      </c>
      <c r="D626" t="s">
        <v>100</v>
      </c>
      <c r="E626" t="s">
        <v>26</v>
      </c>
      <c r="F626" t="s">
        <v>101</v>
      </c>
      <c r="G626" t="s">
        <v>102</v>
      </c>
      <c r="H626" t="s">
        <v>103</v>
      </c>
      <c r="I626" t="s">
        <v>64</v>
      </c>
      <c r="J626" t="s">
        <v>111</v>
      </c>
      <c r="K626" t="s">
        <v>78</v>
      </c>
      <c r="L626" t="s">
        <v>46</v>
      </c>
      <c r="M626" t="s">
        <v>47</v>
      </c>
      <c r="N626" t="s">
        <v>69</v>
      </c>
      <c r="O626" t="s">
        <v>70</v>
      </c>
      <c r="P626" t="s">
        <v>71</v>
      </c>
      <c r="Q626" t="s">
        <v>50</v>
      </c>
      <c r="R626">
        <v>170</v>
      </c>
      <c r="S626">
        <v>101</v>
      </c>
      <c r="T626">
        <v>74</v>
      </c>
      <c r="U626">
        <v>24</v>
      </c>
      <c r="V626" t="s">
        <v>6490</v>
      </c>
      <c r="W626">
        <v>59150</v>
      </c>
      <c r="X626" t="s">
        <v>7274</v>
      </c>
      <c r="Y626">
        <v>42119</v>
      </c>
      <c r="Z626">
        <v>1419600</v>
      </c>
      <c r="AA626">
        <v>408744</v>
      </c>
      <c r="AB626" t="str">
        <f>(VLOOKUP(SalesData[[#This Row],[Month Number]],Reference!C$5:E$16,2,FALSE))</f>
        <v>Feb</v>
      </c>
      <c r="AC626">
        <f>MONTH(SalesData[[#This Row],[Date]])</f>
        <v>2</v>
      </c>
      <c r="AD626">
        <f>Reference!F$4</f>
        <v>2026</v>
      </c>
      <c r="AE626" t="str">
        <f>IF(OR(SalesData[[#This Row],[Day]]="Saturday",SalesData[[#This Row],[Day]]="Sunday"),"Weekend","Weekday")</f>
        <v>Weekday</v>
      </c>
      <c r="AF626" s="5">
        <f>IF(SalesData[[#This Row],[Contracts Offered]]=0,0,SalesData[[#This Row],[Contracts Signed]]/SalesData[[#This Row],[Contracts Offered]])</f>
        <v>0.32432432432432434</v>
      </c>
      <c r="AG626" s="5">
        <f>IF(SalesData[[#This Row],[Customers Visited]]=0,0,SalesData[[#This Row],[Test Drives]]/SalesData[[#This Row],[Customers Visited]])</f>
        <v>0.59411764705882353</v>
      </c>
      <c r="AH626" s="5">
        <f>IF(SalesData[[#This Row],[Customers Visited]]=0,0,SalesData[[#This Row],[Contracts Signed]]/SalesData[[#This Row],[Customers Visited]])</f>
        <v>0.14117647058823529</v>
      </c>
      <c r="AI626" s="6">
        <f>IF(SalesData[[#This Row],[Contracts Signed]]=0,0,SalesData[[#This Row],[Profit(€)]]/SalesData[[#This Row],[Contracts Signed]])</f>
        <v>17031</v>
      </c>
      <c r="AJ626" s="5" t="str">
        <f>TRIM(CLEAN(SalesData[[#This Row],[Retailer]]))</f>
        <v>Ruhr Auto Plaza</v>
      </c>
    </row>
    <row r="627" spans="1:36" ht="14.25" x14ac:dyDescent="0.2">
      <c r="A627" t="s">
        <v>1185</v>
      </c>
      <c r="B627" s="1">
        <v>46059</v>
      </c>
      <c r="C627" t="s">
        <v>24</v>
      </c>
      <c r="D627" t="s">
        <v>54</v>
      </c>
      <c r="E627" t="s">
        <v>26</v>
      </c>
      <c r="F627" t="s">
        <v>83</v>
      </c>
      <c r="G627" t="s">
        <v>84</v>
      </c>
      <c r="H627" t="s">
        <v>85</v>
      </c>
      <c r="I627" t="s">
        <v>30</v>
      </c>
      <c r="J627" t="s">
        <v>31</v>
      </c>
      <c r="K627" t="s">
        <v>32</v>
      </c>
      <c r="L627" t="s">
        <v>46</v>
      </c>
      <c r="M627" t="s">
        <v>47</v>
      </c>
      <c r="N627" t="s">
        <v>35</v>
      </c>
      <c r="O627" t="s">
        <v>36</v>
      </c>
      <c r="P627" t="s">
        <v>37</v>
      </c>
      <c r="Q627" t="s">
        <v>106</v>
      </c>
      <c r="R627">
        <v>214</v>
      </c>
      <c r="S627">
        <v>100</v>
      </c>
      <c r="T627">
        <v>72</v>
      </c>
      <c r="U627">
        <v>27</v>
      </c>
      <c r="V627" t="s">
        <v>6648</v>
      </c>
      <c r="W627">
        <v>57654</v>
      </c>
      <c r="X627" t="s">
        <v>589</v>
      </c>
      <c r="Y627">
        <v>40605</v>
      </c>
      <c r="Z627">
        <v>1556658</v>
      </c>
      <c r="AA627">
        <v>460323</v>
      </c>
      <c r="AB627" t="str">
        <f>(VLOOKUP(SalesData[[#This Row],[Month Number]],Reference!C$5:E$16,2,FALSE))</f>
        <v>Feb</v>
      </c>
      <c r="AC627">
        <f>MONTH(SalesData[[#This Row],[Date]])</f>
        <v>2</v>
      </c>
      <c r="AD627">
        <f>Reference!F$4</f>
        <v>2026</v>
      </c>
      <c r="AE627" t="str">
        <f>IF(OR(SalesData[[#This Row],[Day]]="Saturday",SalesData[[#This Row],[Day]]="Sunday"),"Weekend","Weekday")</f>
        <v>Weekday</v>
      </c>
      <c r="AF627" s="5">
        <f>IF(SalesData[[#This Row],[Contracts Offered]]=0,0,SalesData[[#This Row],[Contracts Signed]]/SalesData[[#This Row],[Contracts Offered]])</f>
        <v>0.375</v>
      </c>
      <c r="AG627" s="5">
        <f>IF(SalesData[[#This Row],[Customers Visited]]=0,0,SalesData[[#This Row],[Test Drives]]/SalesData[[#This Row],[Customers Visited]])</f>
        <v>0.46728971962616822</v>
      </c>
      <c r="AH627" s="5">
        <f>IF(SalesData[[#This Row],[Customers Visited]]=0,0,SalesData[[#This Row],[Contracts Signed]]/SalesData[[#This Row],[Customers Visited]])</f>
        <v>0.12616822429906541</v>
      </c>
      <c r="AI627" s="6">
        <f>IF(SalesData[[#This Row],[Contracts Signed]]=0,0,SalesData[[#This Row],[Profit(€)]]/SalesData[[#This Row],[Contracts Signed]])</f>
        <v>17049</v>
      </c>
      <c r="AJ627" s="5" t="str">
        <f>TRIM(CLEAN(SalesData[[#This Row],[Retailer]]))</f>
        <v>Hannover Cars</v>
      </c>
    </row>
    <row r="628" spans="1:36" ht="14.25" hidden="1" x14ac:dyDescent="0.2">
      <c r="A628" t="s">
        <v>1186</v>
      </c>
      <c r="B628" s="1">
        <v>46067</v>
      </c>
      <c r="C628" t="s">
        <v>121</v>
      </c>
      <c r="D628" t="s">
        <v>151</v>
      </c>
      <c r="E628" t="s">
        <v>42</v>
      </c>
      <c r="F628" t="s">
        <v>43</v>
      </c>
      <c r="G628" t="s">
        <v>44</v>
      </c>
      <c r="H628" t="s">
        <v>45</v>
      </c>
      <c r="I628" t="s">
        <v>116</v>
      </c>
      <c r="J628" t="s">
        <v>203</v>
      </c>
      <c r="K628" t="s">
        <v>66</v>
      </c>
      <c r="L628" t="s">
        <v>67</v>
      </c>
      <c r="M628" t="s">
        <v>34</v>
      </c>
      <c r="N628" t="s">
        <v>69</v>
      </c>
      <c r="O628" t="s">
        <v>70</v>
      </c>
      <c r="P628" t="s">
        <v>37</v>
      </c>
      <c r="Q628" t="s">
        <v>169</v>
      </c>
      <c r="R628">
        <v>403</v>
      </c>
      <c r="S628">
        <v>172</v>
      </c>
      <c r="T628">
        <v>105</v>
      </c>
      <c r="U628">
        <v>19</v>
      </c>
      <c r="V628" t="s">
        <v>2242</v>
      </c>
      <c r="W628">
        <v>21573</v>
      </c>
      <c r="X628" t="s">
        <v>1963</v>
      </c>
      <c r="Y628">
        <v>20000</v>
      </c>
      <c r="Z628">
        <v>409887</v>
      </c>
      <c r="AA628">
        <v>29887</v>
      </c>
      <c r="AB628" t="str">
        <f>(VLOOKUP(SalesData[[#This Row],[Month Number]],Reference!C$5:E$16,2,FALSE))</f>
        <v>Feb</v>
      </c>
      <c r="AC628">
        <f>MONTH(SalesData[[#This Row],[Date]])</f>
        <v>2</v>
      </c>
      <c r="AD628">
        <f>Reference!F$4</f>
        <v>2026</v>
      </c>
      <c r="AE628" t="str">
        <f>IF(OR(SalesData[[#This Row],[Day]]="Saturday",SalesData[[#This Row],[Day]]="Sunday"),"Weekend","Weekday")</f>
        <v>Weekend</v>
      </c>
      <c r="AF628" s="5">
        <f>IF(SalesData[[#This Row],[Contracts Offered]]=0,0,SalesData[[#This Row],[Contracts Signed]]/SalesData[[#This Row],[Contracts Offered]])</f>
        <v>0.18095238095238095</v>
      </c>
      <c r="AG628" s="5">
        <f>IF(SalesData[[#This Row],[Customers Visited]]=0,0,SalesData[[#This Row],[Test Drives]]/SalesData[[#This Row],[Customers Visited]])</f>
        <v>0.42679900744416871</v>
      </c>
      <c r="AH628" s="5">
        <f>IF(SalesData[[#This Row],[Customers Visited]]=0,0,SalesData[[#This Row],[Contracts Signed]]/SalesData[[#This Row],[Customers Visited]])</f>
        <v>4.7146401985111663E-2</v>
      </c>
      <c r="AI628" s="6">
        <f>IF(SalesData[[#This Row],[Contracts Signed]]=0,0,SalesData[[#This Row],[Profit(€)]]/SalesData[[#This Row],[Contracts Signed]])</f>
        <v>1573</v>
      </c>
      <c r="AJ628" s="5" t="str">
        <f>TRIM(CLEAN(SalesData[[#This Row],[Retailer]]))</f>
        <v>Saxon Wheels</v>
      </c>
    </row>
    <row r="629" spans="1:36" ht="14.25" hidden="1" x14ac:dyDescent="0.2">
      <c r="A629" t="s">
        <v>1187</v>
      </c>
      <c r="B629" s="1">
        <v>46062</v>
      </c>
      <c r="C629" t="s">
        <v>121</v>
      </c>
      <c r="D629" t="s">
        <v>25</v>
      </c>
      <c r="E629" t="s">
        <v>26</v>
      </c>
      <c r="F629" t="s">
        <v>43</v>
      </c>
      <c r="G629" t="s">
        <v>44</v>
      </c>
      <c r="H629" t="s">
        <v>45</v>
      </c>
      <c r="I629" t="s">
        <v>56</v>
      </c>
      <c r="J629" t="s">
        <v>7028</v>
      </c>
      <c r="K629" t="s">
        <v>78</v>
      </c>
      <c r="L629" t="s">
        <v>46</v>
      </c>
      <c r="M629" t="s">
        <v>87</v>
      </c>
      <c r="N629" t="s">
        <v>69</v>
      </c>
      <c r="O629" t="s">
        <v>70</v>
      </c>
      <c r="P629" t="s">
        <v>58</v>
      </c>
      <c r="Q629" t="s">
        <v>88</v>
      </c>
      <c r="R629">
        <v>260</v>
      </c>
      <c r="S629">
        <v>147</v>
      </c>
      <c r="T629">
        <v>96</v>
      </c>
      <c r="U629">
        <v>34</v>
      </c>
      <c r="V629" t="s">
        <v>6825</v>
      </c>
      <c r="W629">
        <v>50039</v>
      </c>
      <c r="X629" t="s">
        <v>7275</v>
      </c>
      <c r="Y629">
        <v>40991</v>
      </c>
      <c r="Z629">
        <v>1701326</v>
      </c>
      <c r="AA629">
        <v>307632</v>
      </c>
      <c r="AB629" t="str">
        <f>(VLOOKUP(SalesData[[#This Row],[Month Number]],Reference!C$5:E$16,2,FALSE))</f>
        <v>Feb</v>
      </c>
      <c r="AC629">
        <f>MONTH(SalesData[[#This Row],[Date]])</f>
        <v>2</v>
      </c>
      <c r="AD629">
        <f>Reference!F$4</f>
        <v>2026</v>
      </c>
      <c r="AE629" t="str">
        <f>IF(OR(SalesData[[#This Row],[Day]]="Saturday",SalesData[[#This Row],[Day]]="Sunday"),"Weekend","Weekday")</f>
        <v>Weekday</v>
      </c>
      <c r="AF629" s="5">
        <f>IF(SalesData[[#This Row],[Contracts Offered]]=0,0,SalesData[[#This Row],[Contracts Signed]]/SalesData[[#This Row],[Contracts Offered]])</f>
        <v>0.35416666666666669</v>
      </c>
      <c r="AG629" s="5">
        <f>IF(SalesData[[#This Row],[Customers Visited]]=0,0,SalesData[[#This Row],[Test Drives]]/SalesData[[#This Row],[Customers Visited]])</f>
        <v>0.56538461538461537</v>
      </c>
      <c r="AH629" s="5">
        <f>IF(SalesData[[#This Row],[Customers Visited]]=0,0,SalesData[[#This Row],[Contracts Signed]]/SalesData[[#This Row],[Customers Visited]])</f>
        <v>0.13076923076923078</v>
      </c>
      <c r="AI629" s="6">
        <f>IF(SalesData[[#This Row],[Contracts Signed]]=0,0,SalesData[[#This Row],[Profit(€)]]/SalesData[[#This Row],[Contracts Signed]])</f>
        <v>9048</v>
      </c>
      <c r="AJ629" s="5" t="str">
        <f>TRIM(CLEAN(SalesData[[#This Row],[Retailer]]))</f>
        <v>Saxon Wheels</v>
      </c>
    </row>
    <row r="630" spans="1:36" ht="14.25" hidden="1" x14ac:dyDescent="0.2">
      <c r="A630" t="s">
        <v>1189</v>
      </c>
      <c r="B630" s="1">
        <v>46078</v>
      </c>
      <c r="C630" t="s">
        <v>53</v>
      </c>
      <c r="D630" t="s">
        <v>82</v>
      </c>
      <c r="E630" t="s">
        <v>26</v>
      </c>
      <c r="F630" t="s">
        <v>43</v>
      </c>
      <c r="G630" t="s">
        <v>44</v>
      </c>
      <c r="H630" t="s">
        <v>45</v>
      </c>
      <c r="I630" t="s">
        <v>64</v>
      </c>
      <c r="J630" t="s">
        <v>7029</v>
      </c>
      <c r="K630" t="s">
        <v>66</v>
      </c>
      <c r="L630" t="s">
        <v>33</v>
      </c>
      <c r="M630" t="s">
        <v>34</v>
      </c>
      <c r="N630" t="s">
        <v>48</v>
      </c>
      <c r="O630" t="s">
        <v>70</v>
      </c>
      <c r="P630" t="s">
        <v>49</v>
      </c>
      <c r="Q630" t="s">
        <v>122</v>
      </c>
      <c r="R630">
        <v>160</v>
      </c>
      <c r="S630">
        <v>89</v>
      </c>
      <c r="T630">
        <v>66</v>
      </c>
      <c r="U630">
        <v>20</v>
      </c>
      <c r="V630" t="s">
        <v>6578</v>
      </c>
      <c r="W630">
        <v>67793</v>
      </c>
      <c r="X630" t="s">
        <v>2334</v>
      </c>
      <c r="Y630">
        <v>51713</v>
      </c>
      <c r="Z630">
        <v>1355860</v>
      </c>
      <c r="AA630">
        <v>321600</v>
      </c>
      <c r="AB630" t="str">
        <f>(VLOOKUP(SalesData[[#This Row],[Month Number]],Reference!C$5:E$16,2,FALSE))</f>
        <v>Feb</v>
      </c>
      <c r="AC630">
        <f>MONTH(SalesData[[#This Row],[Date]])</f>
        <v>2</v>
      </c>
      <c r="AD630">
        <f>Reference!F$4</f>
        <v>2026</v>
      </c>
      <c r="AE630" t="str">
        <f>IF(OR(SalesData[[#This Row],[Day]]="Saturday",SalesData[[#This Row],[Day]]="Sunday"),"Weekend","Weekday")</f>
        <v>Weekday</v>
      </c>
      <c r="AF630" s="5">
        <f>IF(SalesData[[#This Row],[Contracts Offered]]=0,0,SalesData[[#This Row],[Contracts Signed]]/SalesData[[#This Row],[Contracts Offered]])</f>
        <v>0.30303030303030304</v>
      </c>
      <c r="AG630" s="5">
        <f>IF(SalesData[[#This Row],[Customers Visited]]=0,0,SalesData[[#This Row],[Test Drives]]/SalesData[[#This Row],[Customers Visited]])</f>
        <v>0.55625000000000002</v>
      </c>
      <c r="AH630" s="5">
        <f>IF(SalesData[[#This Row],[Customers Visited]]=0,0,SalesData[[#This Row],[Contracts Signed]]/SalesData[[#This Row],[Customers Visited]])</f>
        <v>0.125</v>
      </c>
      <c r="AI630" s="6">
        <f>IF(SalesData[[#This Row],[Contracts Signed]]=0,0,SalesData[[#This Row],[Profit(€)]]/SalesData[[#This Row],[Contracts Signed]])</f>
        <v>16080</v>
      </c>
      <c r="AJ630" s="5" t="str">
        <f>TRIM(CLEAN(SalesData[[#This Row],[Retailer]]))</f>
        <v>Saxon Wheels</v>
      </c>
    </row>
    <row r="631" spans="1:36" ht="14.25" hidden="1" x14ac:dyDescent="0.2">
      <c r="A631" t="s">
        <v>1190</v>
      </c>
      <c r="B631" s="1">
        <v>46062</v>
      </c>
      <c r="C631" t="s">
        <v>121</v>
      </c>
      <c r="D631" t="s">
        <v>25</v>
      </c>
      <c r="E631" t="s">
        <v>26</v>
      </c>
      <c r="F631" t="s">
        <v>7649</v>
      </c>
      <c r="G631" t="s">
        <v>55</v>
      </c>
      <c r="H631" t="s">
        <v>55</v>
      </c>
      <c r="I631" t="s">
        <v>104</v>
      </c>
      <c r="J631" t="s">
        <v>105</v>
      </c>
      <c r="K631" t="s">
        <v>91</v>
      </c>
      <c r="L631" t="s">
        <v>33</v>
      </c>
      <c r="M631" t="s">
        <v>87</v>
      </c>
      <c r="N631" t="s">
        <v>69</v>
      </c>
      <c r="O631" t="s">
        <v>70</v>
      </c>
      <c r="P631" t="s">
        <v>71</v>
      </c>
      <c r="Q631" t="s">
        <v>189</v>
      </c>
      <c r="R631">
        <v>520</v>
      </c>
      <c r="S631">
        <v>251</v>
      </c>
      <c r="T631">
        <v>150</v>
      </c>
      <c r="U631">
        <v>40</v>
      </c>
      <c r="V631" t="s">
        <v>616</v>
      </c>
      <c r="W631">
        <v>30744</v>
      </c>
      <c r="X631" t="s">
        <v>7098</v>
      </c>
      <c r="Y631">
        <v>26712</v>
      </c>
      <c r="Z631">
        <v>1229760</v>
      </c>
      <c r="AA631">
        <v>161280</v>
      </c>
      <c r="AB631" t="str">
        <f>(VLOOKUP(SalesData[[#This Row],[Month Number]],Reference!C$5:E$16,2,FALSE))</f>
        <v>Feb</v>
      </c>
      <c r="AC631">
        <f>MONTH(SalesData[[#This Row],[Date]])</f>
        <v>2</v>
      </c>
      <c r="AD631">
        <f>Reference!F$4</f>
        <v>2026</v>
      </c>
      <c r="AE631" t="str">
        <f>IF(OR(SalesData[[#This Row],[Day]]="Saturday",SalesData[[#This Row],[Day]]="Sunday"),"Weekend","Weekday")</f>
        <v>Weekday</v>
      </c>
      <c r="AF631" s="5">
        <f>IF(SalesData[[#This Row],[Contracts Offered]]=0,0,SalesData[[#This Row],[Contracts Signed]]/SalesData[[#This Row],[Contracts Offered]])</f>
        <v>0.26666666666666666</v>
      </c>
      <c r="AG631" s="5">
        <f>IF(SalesData[[#This Row],[Customers Visited]]=0,0,SalesData[[#This Row],[Test Drives]]/SalesData[[#This Row],[Customers Visited]])</f>
        <v>0.4826923076923077</v>
      </c>
      <c r="AH631" s="5">
        <f>IF(SalesData[[#This Row],[Customers Visited]]=0,0,SalesData[[#This Row],[Contracts Signed]]/SalesData[[#This Row],[Customers Visited]])</f>
        <v>7.6923076923076927E-2</v>
      </c>
      <c r="AI631" s="6">
        <f>IF(SalesData[[#This Row],[Contracts Signed]]=0,0,SalesData[[#This Row],[Profit(€)]]/SalesData[[#This Row],[Contracts Signed]])</f>
        <v>4032</v>
      </c>
      <c r="AJ631" s="5" t="str">
        <f>TRIM(CLEAN(SalesData[[#This Row],[Retailer]]))</f>
        <v>Autohaus Berlin</v>
      </c>
    </row>
    <row r="632" spans="1:36" ht="14.25" hidden="1" x14ac:dyDescent="0.2">
      <c r="A632" t="s">
        <v>1191</v>
      </c>
      <c r="B632" s="1">
        <v>46076</v>
      </c>
      <c r="C632" t="s">
        <v>53</v>
      </c>
      <c r="D632" t="s">
        <v>25</v>
      </c>
      <c r="E632" t="s">
        <v>26</v>
      </c>
      <c r="F632" t="s">
        <v>114</v>
      </c>
      <c r="G632" t="s">
        <v>115</v>
      </c>
      <c r="H632" t="s">
        <v>115</v>
      </c>
      <c r="I632" t="s">
        <v>56</v>
      </c>
      <c r="J632" t="s">
        <v>137</v>
      </c>
      <c r="K632" t="s">
        <v>66</v>
      </c>
      <c r="L632" t="s">
        <v>46</v>
      </c>
      <c r="M632" t="s">
        <v>87</v>
      </c>
      <c r="N632" t="s">
        <v>35</v>
      </c>
      <c r="O632" t="s">
        <v>36</v>
      </c>
      <c r="P632" t="s">
        <v>49</v>
      </c>
      <c r="Q632" t="s">
        <v>189</v>
      </c>
      <c r="R632">
        <v>219</v>
      </c>
      <c r="S632">
        <v>112</v>
      </c>
      <c r="T632">
        <v>78</v>
      </c>
      <c r="U632">
        <v>23</v>
      </c>
      <c r="V632" t="s">
        <v>6444</v>
      </c>
      <c r="W632">
        <v>55225</v>
      </c>
      <c r="X632" t="s">
        <v>1167</v>
      </c>
      <c r="Y632">
        <v>41630</v>
      </c>
      <c r="Z632">
        <v>1270175</v>
      </c>
      <c r="AA632">
        <v>312685</v>
      </c>
      <c r="AB632" t="str">
        <f>(VLOOKUP(SalesData[[#This Row],[Month Number]],Reference!C$5:E$16,2,FALSE))</f>
        <v>Feb</v>
      </c>
      <c r="AC632">
        <f>MONTH(SalesData[[#This Row],[Date]])</f>
        <v>2</v>
      </c>
      <c r="AD632">
        <f>Reference!F$4</f>
        <v>2026</v>
      </c>
      <c r="AE632" t="str">
        <f>IF(OR(SalesData[[#This Row],[Day]]="Saturday",SalesData[[#This Row],[Day]]="Sunday"),"Weekend","Weekday")</f>
        <v>Weekday</v>
      </c>
      <c r="AF632" s="5">
        <f>IF(SalesData[[#This Row],[Contracts Offered]]=0,0,SalesData[[#This Row],[Contracts Signed]]/SalesData[[#This Row],[Contracts Offered]])</f>
        <v>0.29487179487179488</v>
      </c>
      <c r="AG632" s="5">
        <f>IF(SalesData[[#This Row],[Customers Visited]]=0,0,SalesData[[#This Row],[Test Drives]]/SalesData[[#This Row],[Customers Visited]])</f>
        <v>0.51141552511415522</v>
      </c>
      <c r="AH632" s="5">
        <f>IF(SalesData[[#This Row],[Customers Visited]]=0,0,SalesData[[#This Row],[Contracts Signed]]/SalesData[[#This Row],[Customers Visited]])</f>
        <v>0.1050228310502283</v>
      </c>
      <c r="AI632" s="6">
        <f>IF(SalesData[[#This Row],[Contracts Signed]]=0,0,SalesData[[#This Row],[Profit(€)]]/SalesData[[#This Row],[Contracts Signed]])</f>
        <v>13595</v>
      </c>
      <c r="AJ632" s="5" t="str">
        <f>TRIM(CLEAN(SalesData[[#This Row],[Retailer]]))</f>
        <v>Elbe Drive</v>
      </c>
    </row>
    <row r="633" spans="1:36" ht="14.25" hidden="1" x14ac:dyDescent="0.2">
      <c r="A633" t="s">
        <v>1193</v>
      </c>
      <c r="B633" s="1">
        <v>46057</v>
      </c>
      <c r="C633" t="s">
        <v>24</v>
      </c>
      <c r="D633" t="s">
        <v>82</v>
      </c>
      <c r="E633" t="s">
        <v>26</v>
      </c>
      <c r="F633" t="s">
        <v>127</v>
      </c>
      <c r="G633" t="s">
        <v>128</v>
      </c>
      <c r="H633" t="s">
        <v>103</v>
      </c>
      <c r="I633" t="s">
        <v>104</v>
      </c>
      <c r="J633" t="s">
        <v>7061</v>
      </c>
      <c r="K633" t="s">
        <v>91</v>
      </c>
      <c r="L633" t="s">
        <v>46</v>
      </c>
      <c r="M633" t="s">
        <v>34</v>
      </c>
      <c r="N633" t="s">
        <v>48</v>
      </c>
      <c r="O633" t="s">
        <v>36</v>
      </c>
      <c r="P633" t="s">
        <v>37</v>
      </c>
      <c r="Q633" t="s">
        <v>144</v>
      </c>
      <c r="R633">
        <v>351</v>
      </c>
      <c r="S633">
        <v>148</v>
      </c>
      <c r="T633">
        <v>90</v>
      </c>
      <c r="U633">
        <v>20</v>
      </c>
      <c r="V633" t="s">
        <v>437</v>
      </c>
      <c r="W633">
        <v>29085</v>
      </c>
      <c r="X633" t="s">
        <v>1653</v>
      </c>
      <c r="Y633">
        <v>26027</v>
      </c>
      <c r="Z633">
        <v>581700</v>
      </c>
      <c r="AA633">
        <v>61160</v>
      </c>
      <c r="AB633" t="str">
        <f>(VLOOKUP(SalesData[[#This Row],[Month Number]],Reference!C$5:E$16,2,FALSE))</f>
        <v>Feb</v>
      </c>
      <c r="AC633">
        <f>MONTH(SalesData[[#This Row],[Date]])</f>
        <v>2</v>
      </c>
      <c r="AD633">
        <f>Reference!F$4</f>
        <v>2026</v>
      </c>
      <c r="AE633" t="str">
        <f>IF(OR(SalesData[[#This Row],[Day]]="Saturday",SalesData[[#This Row],[Day]]="Sunday"),"Weekend","Weekday")</f>
        <v>Weekday</v>
      </c>
      <c r="AF633" s="5">
        <f>IF(SalesData[[#This Row],[Contracts Offered]]=0,0,SalesData[[#This Row],[Contracts Signed]]/SalesData[[#This Row],[Contracts Offered]])</f>
        <v>0.22222222222222221</v>
      </c>
      <c r="AG633" s="5">
        <f>IF(SalesData[[#This Row],[Customers Visited]]=0,0,SalesData[[#This Row],[Test Drives]]/SalesData[[#This Row],[Customers Visited]])</f>
        <v>0.42165242165242167</v>
      </c>
      <c r="AH633" s="5">
        <f>IF(SalesData[[#This Row],[Customers Visited]]=0,0,SalesData[[#This Row],[Contracts Signed]]/SalesData[[#This Row],[Customers Visited]])</f>
        <v>5.6980056980056981E-2</v>
      </c>
      <c r="AI633" s="6">
        <f>IF(SalesData[[#This Row],[Contracts Signed]]=0,0,SalesData[[#This Row],[Profit(€)]]/SalesData[[#This Row],[Contracts Signed]])</f>
        <v>3058</v>
      </c>
      <c r="AJ633" s="5" t="str">
        <f>TRIM(CLEAN(SalesData[[#This Row],[Retailer]]))</f>
        <v>Rhein Auto Group</v>
      </c>
    </row>
    <row r="634" spans="1:36" ht="14.25" hidden="1" x14ac:dyDescent="0.2">
      <c r="A634" t="s">
        <v>1194</v>
      </c>
      <c r="B634" s="1">
        <v>46057</v>
      </c>
      <c r="C634" t="s">
        <v>24</v>
      </c>
      <c r="D634" t="s">
        <v>82</v>
      </c>
      <c r="E634" t="s">
        <v>26</v>
      </c>
      <c r="F634" t="s">
        <v>127</v>
      </c>
      <c r="G634" t="s">
        <v>128</v>
      </c>
      <c r="H634" t="s">
        <v>103</v>
      </c>
      <c r="I634" t="s">
        <v>56</v>
      </c>
      <c r="J634" t="s">
        <v>179</v>
      </c>
      <c r="K634" t="s">
        <v>32</v>
      </c>
      <c r="L634" t="s">
        <v>67</v>
      </c>
      <c r="M634" t="s">
        <v>87</v>
      </c>
      <c r="N634" t="s">
        <v>69</v>
      </c>
      <c r="O634" t="s">
        <v>36</v>
      </c>
      <c r="P634" t="s">
        <v>71</v>
      </c>
      <c r="Q634" t="s">
        <v>347</v>
      </c>
      <c r="R634">
        <v>231</v>
      </c>
      <c r="S634">
        <v>147</v>
      </c>
      <c r="T634">
        <v>105</v>
      </c>
      <c r="U634">
        <v>36</v>
      </c>
      <c r="V634" t="s">
        <v>6518</v>
      </c>
      <c r="W634">
        <v>49212</v>
      </c>
      <c r="X634" t="s">
        <v>2334</v>
      </c>
      <c r="Y634">
        <v>37323</v>
      </c>
      <c r="Z634">
        <v>1771632</v>
      </c>
      <c r="AA634">
        <v>428004</v>
      </c>
      <c r="AB634" t="str">
        <f>(VLOOKUP(SalesData[[#This Row],[Month Number]],Reference!C$5:E$16,2,FALSE))</f>
        <v>Feb</v>
      </c>
      <c r="AC634">
        <f>MONTH(SalesData[[#This Row],[Date]])</f>
        <v>2</v>
      </c>
      <c r="AD634">
        <f>Reference!F$4</f>
        <v>2026</v>
      </c>
      <c r="AE634" t="str">
        <f>IF(OR(SalesData[[#This Row],[Day]]="Saturday",SalesData[[#This Row],[Day]]="Sunday"),"Weekend","Weekday")</f>
        <v>Weekday</v>
      </c>
      <c r="AF634" s="5">
        <f>IF(SalesData[[#This Row],[Contracts Offered]]=0,0,SalesData[[#This Row],[Contracts Signed]]/SalesData[[#This Row],[Contracts Offered]])</f>
        <v>0.34285714285714286</v>
      </c>
      <c r="AG634" s="5">
        <f>IF(SalesData[[#This Row],[Customers Visited]]=0,0,SalesData[[#This Row],[Test Drives]]/SalesData[[#This Row],[Customers Visited]])</f>
        <v>0.63636363636363635</v>
      </c>
      <c r="AH634" s="5">
        <f>IF(SalesData[[#This Row],[Customers Visited]]=0,0,SalesData[[#This Row],[Contracts Signed]]/SalesData[[#This Row],[Customers Visited]])</f>
        <v>0.15584415584415584</v>
      </c>
      <c r="AI634" s="6">
        <f>IF(SalesData[[#This Row],[Contracts Signed]]=0,0,SalesData[[#This Row],[Profit(€)]]/SalesData[[#This Row],[Contracts Signed]])</f>
        <v>11889</v>
      </c>
      <c r="AJ634" s="5" t="str">
        <f>TRIM(CLEAN(SalesData[[#This Row],[Retailer]]))</f>
        <v>Rhein Auto Group</v>
      </c>
    </row>
    <row r="635" spans="1:36" ht="14.25" hidden="1" x14ac:dyDescent="0.2">
      <c r="A635" t="s">
        <v>1196</v>
      </c>
      <c r="B635" s="1">
        <v>46064</v>
      </c>
      <c r="C635" t="s">
        <v>121</v>
      </c>
      <c r="D635" t="s">
        <v>82</v>
      </c>
      <c r="E635" t="s">
        <v>26</v>
      </c>
      <c r="F635" t="s">
        <v>114</v>
      </c>
      <c r="G635" t="s">
        <v>115</v>
      </c>
      <c r="H635" t="s">
        <v>115</v>
      </c>
      <c r="I635" t="s">
        <v>116</v>
      </c>
      <c r="J635" t="s">
        <v>132</v>
      </c>
      <c r="K635" t="s">
        <v>91</v>
      </c>
      <c r="L635" t="s">
        <v>46</v>
      </c>
      <c r="M635" t="s">
        <v>87</v>
      </c>
      <c r="N635" t="s">
        <v>48</v>
      </c>
      <c r="O635" t="s">
        <v>36</v>
      </c>
      <c r="P635" t="s">
        <v>49</v>
      </c>
      <c r="Q635" t="s">
        <v>50</v>
      </c>
      <c r="R635">
        <v>407</v>
      </c>
      <c r="S635">
        <v>216</v>
      </c>
      <c r="T635">
        <v>126</v>
      </c>
      <c r="U635">
        <v>39</v>
      </c>
      <c r="V635" t="s">
        <v>1783</v>
      </c>
      <c r="W635">
        <v>25567</v>
      </c>
      <c r="X635" t="s">
        <v>3322</v>
      </c>
      <c r="Y635">
        <v>23656</v>
      </c>
      <c r="Z635">
        <v>997113</v>
      </c>
      <c r="AA635">
        <v>74529</v>
      </c>
      <c r="AB635" t="str">
        <f>(VLOOKUP(SalesData[[#This Row],[Month Number]],Reference!C$5:E$16,2,FALSE))</f>
        <v>Feb</v>
      </c>
      <c r="AC635">
        <f>MONTH(SalesData[[#This Row],[Date]])</f>
        <v>2</v>
      </c>
      <c r="AD635">
        <f>Reference!F$4</f>
        <v>2026</v>
      </c>
      <c r="AE635" t="str">
        <f>IF(OR(SalesData[[#This Row],[Day]]="Saturday",SalesData[[#This Row],[Day]]="Sunday"),"Weekend","Weekday")</f>
        <v>Weekday</v>
      </c>
      <c r="AF635" s="5">
        <f>IF(SalesData[[#This Row],[Contracts Offered]]=0,0,SalesData[[#This Row],[Contracts Signed]]/SalesData[[#This Row],[Contracts Offered]])</f>
        <v>0.30952380952380953</v>
      </c>
      <c r="AG635" s="5">
        <f>IF(SalesData[[#This Row],[Customers Visited]]=0,0,SalesData[[#This Row],[Test Drives]]/SalesData[[#This Row],[Customers Visited]])</f>
        <v>0.53071253071253066</v>
      </c>
      <c r="AH635" s="5">
        <f>IF(SalesData[[#This Row],[Customers Visited]]=0,0,SalesData[[#This Row],[Contracts Signed]]/SalesData[[#This Row],[Customers Visited]])</f>
        <v>9.5823095823095825E-2</v>
      </c>
      <c r="AI635" s="6">
        <f>IF(SalesData[[#This Row],[Contracts Signed]]=0,0,SalesData[[#This Row],[Profit(€)]]/SalesData[[#This Row],[Contracts Signed]])</f>
        <v>1911</v>
      </c>
      <c r="AJ635" s="5" t="str">
        <f>TRIM(CLEAN(SalesData[[#This Row],[Retailer]]))</f>
        <v>Elbe Drive</v>
      </c>
    </row>
    <row r="636" spans="1:36" ht="14.25" hidden="1" x14ac:dyDescent="0.2">
      <c r="A636" t="s">
        <v>1198</v>
      </c>
      <c r="B636" s="1">
        <v>46069</v>
      </c>
      <c r="C636" t="s">
        <v>62</v>
      </c>
      <c r="D636" t="s">
        <v>25</v>
      </c>
      <c r="E636" t="s">
        <v>26</v>
      </c>
      <c r="F636" t="s">
        <v>74</v>
      </c>
      <c r="G636" t="s">
        <v>75</v>
      </c>
      <c r="H636" t="s">
        <v>76</v>
      </c>
      <c r="I636" t="s">
        <v>64</v>
      </c>
      <c r="J636" t="s">
        <v>111</v>
      </c>
      <c r="K636" t="s">
        <v>66</v>
      </c>
      <c r="L636" t="s">
        <v>46</v>
      </c>
      <c r="M636" t="s">
        <v>34</v>
      </c>
      <c r="N636" t="s">
        <v>48</v>
      </c>
      <c r="O636" t="s">
        <v>70</v>
      </c>
      <c r="P636" t="s">
        <v>49</v>
      </c>
      <c r="Q636" t="s">
        <v>135</v>
      </c>
      <c r="R636">
        <v>240</v>
      </c>
      <c r="S636">
        <v>120</v>
      </c>
      <c r="T636">
        <v>95</v>
      </c>
      <c r="U636">
        <v>31</v>
      </c>
      <c r="V636" t="s">
        <v>6350</v>
      </c>
      <c r="W636">
        <v>53653</v>
      </c>
      <c r="X636" t="s">
        <v>7276</v>
      </c>
      <c r="Y636">
        <v>41568</v>
      </c>
      <c r="Z636">
        <v>1663243</v>
      </c>
      <c r="AA636">
        <v>374635</v>
      </c>
      <c r="AB636" t="str">
        <f>(VLOOKUP(SalesData[[#This Row],[Month Number]],Reference!C$5:E$16,2,FALSE))</f>
        <v>Feb</v>
      </c>
      <c r="AC636">
        <f>MONTH(SalesData[[#This Row],[Date]])</f>
        <v>2</v>
      </c>
      <c r="AD636">
        <f>Reference!F$4</f>
        <v>2026</v>
      </c>
      <c r="AE636" t="str">
        <f>IF(OR(SalesData[[#This Row],[Day]]="Saturday",SalesData[[#This Row],[Day]]="Sunday"),"Weekend","Weekday")</f>
        <v>Weekday</v>
      </c>
      <c r="AF636" s="5">
        <f>IF(SalesData[[#This Row],[Contracts Offered]]=0,0,SalesData[[#This Row],[Contracts Signed]]/SalesData[[#This Row],[Contracts Offered]])</f>
        <v>0.32631578947368423</v>
      </c>
      <c r="AG636" s="5">
        <f>IF(SalesData[[#This Row],[Customers Visited]]=0,0,SalesData[[#This Row],[Test Drives]]/SalesData[[#This Row],[Customers Visited]])</f>
        <v>0.5</v>
      </c>
      <c r="AH636" s="5">
        <f>IF(SalesData[[#This Row],[Customers Visited]]=0,0,SalesData[[#This Row],[Contracts Signed]]/SalesData[[#This Row],[Customers Visited]])</f>
        <v>0.12916666666666668</v>
      </c>
      <c r="AI636" s="6">
        <f>IF(SalesData[[#This Row],[Contracts Signed]]=0,0,SalesData[[#This Row],[Profit(€)]]/SalesData[[#This Row],[Contracts Signed]])</f>
        <v>12085</v>
      </c>
      <c r="AJ636" s="5" t="str">
        <f>TRIM(CLEAN(SalesData[[#This Row],[Retailer]]))</f>
        <v>Stuttgart Auto Center</v>
      </c>
    </row>
    <row r="637" spans="1:36" ht="14.25" hidden="1" x14ac:dyDescent="0.2">
      <c r="A637" t="s">
        <v>1200</v>
      </c>
      <c r="B637" s="1">
        <v>46077</v>
      </c>
      <c r="C637" t="s">
        <v>53</v>
      </c>
      <c r="D637" t="s">
        <v>63</v>
      </c>
      <c r="E637" t="s">
        <v>26</v>
      </c>
      <c r="F637" t="s">
        <v>74</v>
      </c>
      <c r="G637" t="s">
        <v>75</v>
      </c>
      <c r="H637" t="s">
        <v>76</v>
      </c>
      <c r="I637" t="s">
        <v>64</v>
      </c>
      <c r="J637" t="s">
        <v>7029</v>
      </c>
      <c r="K637" t="s">
        <v>78</v>
      </c>
      <c r="L637" t="s">
        <v>33</v>
      </c>
      <c r="M637" t="s">
        <v>87</v>
      </c>
      <c r="N637" t="s">
        <v>48</v>
      </c>
      <c r="O637" t="s">
        <v>36</v>
      </c>
      <c r="P637" t="s">
        <v>71</v>
      </c>
      <c r="Q637" t="s">
        <v>152</v>
      </c>
      <c r="R637">
        <v>157</v>
      </c>
      <c r="S637">
        <v>83</v>
      </c>
      <c r="T637">
        <v>66</v>
      </c>
      <c r="U637">
        <v>23</v>
      </c>
      <c r="V637" t="s">
        <v>6708</v>
      </c>
      <c r="W637">
        <v>70229</v>
      </c>
      <c r="X637" t="s">
        <v>7111</v>
      </c>
      <c r="Y637">
        <v>50772</v>
      </c>
      <c r="Z637">
        <v>1615267</v>
      </c>
      <c r="AA637">
        <v>447511</v>
      </c>
      <c r="AB637" t="str">
        <f>(VLOOKUP(SalesData[[#This Row],[Month Number]],Reference!C$5:E$16,2,FALSE))</f>
        <v>Feb</v>
      </c>
      <c r="AC637">
        <f>MONTH(SalesData[[#This Row],[Date]])</f>
        <v>2</v>
      </c>
      <c r="AD637">
        <f>Reference!F$4</f>
        <v>2026</v>
      </c>
      <c r="AE637" t="str">
        <f>IF(OR(SalesData[[#This Row],[Day]]="Saturday",SalesData[[#This Row],[Day]]="Sunday"),"Weekend","Weekday")</f>
        <v>Weekday</v>
      </c>
      <c r="AF637" s="5">
        <f>IF(SalesData[[#This Row],[Contracts Offered]]=0,0,SalesData[[#This Row],[Contracts Signed]]/SalesData[[#This Row],[Contracts Offered]])</f>
        <v>0.34848484848484851</v>
      </c>
      <c r="AG637" s="5">
        <f>IF(SalesData[[#This Row],[Customers Visited]]=0,0,SalesData[[#This Row],[Test Drives]]/SalesData[[#This Row],[Customers Visited]])</f>
        <v>0.5286624203821656</v>
      </c>
      <c r="AH637" s="5">
        <f>IF(SalesData[[#This Row],[Customers Visited]]=0,0,SalesData[[#This Row],[Contracts Signed]]/SalesData[[#This Row],[Customers Visited]])</f>
        <v>0.1464968152866242</v>
      </c>
      <c r="AI637" s="6">
        <f>IF(SalesData[[#This Row],[Contracts Signed]]=0,0,SalesData[[#This Row],[Profit(€)]]/SalesData[[#This Row],[Contracts Signed]])</f>
        <v>19457</v>
      </c>
      <c r="AJ637" s="5" t="str">
        <f>TRIM(CLEAN(SalesData[[#This Row],[Retailer]]))</f>
        <v>Stuttgart Auto Center</v>
      </c>
    </row>
    <row r="638" spans="1:36" ht="14.25" hidden="1" x14ac:dyDescent="0.2">
      <c r="A638" t="s">
        <v>1202</v>
      </c>
      <c r="B638" s="1">
        <v>46064</v>
      </c>
      <c r="C638" t="s">
        <v>121</v>
      </c>
      <c r="D638" t="s">
        <v>82</v>
      </c>
      <c r="E638" t="s">
        <v>26</v>
      </c>
      <c r="F638" t="s">
        <v>83</v>
      </c>
      <c r="G638" t="s">
        <v>84</v>
      </c>
      <c r="H638" t="s">
        <v>85</v>
      </c>
      <c r="I638" t="s">
        <v>56</v>
      </c>
      <c r="J638" t="s">
        <v>97</v>
      </c>
      <c r="K638" t="s">
        <v>32</v>
      </c>
      <c r="L638" t="s">
        <v>33</v>
      </c>
      <c r="M638" t="s">
        <v>87</v>
      </c>
      <c r="N638" t="s">
        <v>48</v>
      </c>
      <c r="O638" t="s">
        <v>36</v>
      </c>
      <c r="P638" t="s">
        <v>37</v>
      </c>
      <c r="Q638" t="s">
        <v>122</v>
      </c>
      <c r="R638">
        <v>224</v>
      </c>
      <c r="S638">
        <v>132</v>
      </c>
      <c r="T638">
        <v>101</v>
      </c>
      <c r="U638">
        <v>30</v>
      </c>
      <c r="V638" t="s">
        <v>6591</v>
      </c>
      <c r="W638">
        <v>52333</v>
      </c>
      <c r="X638" t="s">
        <v>1217</v>
      </c>
      <c r="Y638">
        <v>39378</v>
      </c>
      <c r="Z638">
        <v>1569990</v>
      </c>
      <c r="AA638">
        <v>388650</v>
      </c>
      <c r="AB638" t="str">
        <f>(VLOOKUP(SalesData[[#This Row],[Month Number]],Reference!C$5:E$16,2,FALSE))</f>
        <v>Feb</v>
      </c>
      <c r="AC638">
        <f>MONTH(SalesData[[#This Row],[Date]])</f>
        <v>2</v>
      </c>
      <c r="AD638">
        <f>Reference!F$4</f>
        <v>2026</v>
      </c>
      <c r="AE638" t="str">
        <f>IF(OR(SalesData[[#This Row],[Day]]="Saturday",SalesData[[#This Row],[Day]]="Sunday"),"Weekend","Weekday")</f>
        <v>Weekday</v>
      </c>
      <c r="AF638" s="5">
        <f>IF(SalesData[[#This Row],[Contracts Offered]]=0,0,SalesData[[#This Row],[Contracts Signed]]/SalesData[[#This Row],[Contracts Offered]])</f>
        <v>0.29702970297029702</v>
      </c>
      <c r="AG638" s="5">
        <f>IF(SalesData[[#This Row],[Customers Visited]]=0,0,SalesData[[#This Row],[Test Drives]]/SalesData[[#This Row],[Customers Visited]])</f>
        <v>0.5892857142857143</v>
      </c>
      <c r="AH638" s="5">
        <f>IF(SalesData[[#This Row],[Customers Visited]]=0,0,SalesData[[#This Row],[Contracts Signed]]/SalesData[[#This Row],[Customers Visited]])</f>
        <v>0.13392857142857142</v>
      </c>
      <c r="AI638" s="6">
        <f>IF(SalesData[[#This Row],[Contracts Signed]]=0,0,SalesData[[#This Row],[Profit(€)]]/SalesData[[#This Row],[Contracts Signed]])</f>
        <v>12955</v>
      </c>
      <c r="AJ638" s="5" t="str">
        <f>TRIM(CLEAN(SalesData[[#This Row],[Retailer]]))</f>
        <v>Hannover Cars</v>
      </c>
    </row>
    <row r="639" spans="1:36" ht="14.25" hidden="1" x14ac:dyDescent="0.2">
      <c r="A639" t="s">
        <v>1204</v>
      </c>
      <c r="B639" s="1">
        <v>46069</v>
      </c>
      <c r="C639" t="s">
        <v>62</v>
      </c>
      <c r="D639" t="s">
        <v>25</v>
      </c>
      <c r="E639" t="s">
        <v>26</v>
      </c>
      <c r="F639" t="s">
        <v>114</v>
      </c>
      <c r="G639" t="s">
        <v>115</v>
      </c>
      <c r="H639" t="s">
        <v>115</v>
      </c>
      <c r="I639" t="s">
        <v>104</v>
      </c>
      <c r="J639" t="s">
        <v>7031</v>
      </c>
      <c r="K639" t="s">
        <v>91</v>
      </c>
      <c r="L639" t="s">
        <v>46</v>
      </c>
      <c r="M639" t="s">
        <v>47</v>
      </c>
      <c r="N639" t="s">
        <v>69</v>
      </c>
      <c r="O639" t="s">
        <v>70</v>
      </c>
      <c r="P639" t="s">
        <v>71</v>
      </c>
      <c r="Q639" t="s">
        <v>122</v>
      </c>
      <c r="R639">
        <v>420</v>
      </c>
      <c r="S639">
        <v>178</v>
      </c>
      <c r="T639">
        <v>117</v>
      </c>
      <c r="U639">
        <v>32</v>
      </c>
      <c r="V639" t="s">
        <v>2580</v>
      </c>
      <c r="W639">
        <v>26100</v>
      </c>
      <c r="X639" t="s">
        <v>1983</v>
      </c>
      <c r="Y639">
        <v>23053</v>
      </c>
      <c r="Z639">
        <v>835200</v>
      </c>
      <c r="AA639">
        <v>97504</v>
      </c>
      <c r="AB639" t="str">
        <f>(VLOOKUP(SalesData[[#This Row],[Month Number]],Reference!C$5:E$16,2,FALSE))</f>
        <v>Feb</v>
      </c>
      <c r="AC639">
        <f>MONTH(SalesData[[#This Row],[Date]])</f>
        <v>2</v>
      </c>
      <c r="AD639">
        <f>Reference!F$4</f>
        <v>2026</v>
      </c>
      <c r="AE639" t="str">
        <f>IF(OR(SalesData[[#This Row],[Day]]="Saturday",SalesData[[#This Row],[Day]]="Sunday"),"Weekend","Weekday")</f>
        <v>Weekday</v>
      </c>
      <c r="AF639" s="5">
        <f>IF(SalesData[[#This Row],[Contracts Offered]]=0,0,SalesData[[#This Row],[Contracts Signed]]/SalesData[[#This Row],[Contracts Offered]])</f>
        <v>0.27350427350427353</v>
      </c>
      <c r="AG639" s="5">
        <f>IF(SalesData[[#This Row],[Customers Visited]]=0,0,SalesData[[#This Row],[Test Drives]]/SalesData[[#This Row],[Customers Visited]])</f>
        <v>0.4238095238095238</v>
      </c>
      <c r="AH639" s="5">
        <f>IF(SalesData[[#This Row],[Customers Visited]]=0,0,SalesData[[#This Row],[Contracts Signed]]/SalesData[[#This Row],[Customers Visited]])</f>
        <v>7.6190476190476197E-2</v>
      </c>
      <c r="AI639" s="6">
        <f>IF(SalesData[[#This Row],[Contracts Signed]]=0,0,SalesData[[#This Row],[Profit(€)]]/SalesData[[#This Row],[Contracts Signed]])</f>
        <v>3047</v>
      </c>
      <c r="AJ639" s="5" t="str">
        <f>TRIM(CLEAN(SalesData[[#This Row],[Retailer]]))</f>
        <v>Elbe Drive</v>
      </c>
    </row>
    <row r="640" spans="1:36" ht="14.25" x14ac:dyDescent="0.2">
      <c r="A640" t="s">
        <v>1206</v>
      </c>
      <c r="B640" s="1">
        <v>46080</v>
      </c>
      <c r="C640" t="s">
        <v>53</v>
      </c>
      <c r="D640" t="s">
        <v>54</v>
      </c>
      <c r="E640" t="s">
        <v>26</v>
      </c>
      <c r="F640" t="s">
        <v>27</v>
      </c>
      <c r="G640" t="s">
        <v>28</v>
      </c>
      <c r="H640" t="s">
        <v>29</v>
      </c>
      <c r="I640" t="s">
        <v>30</v>
      </c>
      <c r="J640" t="s">
        <v>86</v>
      </c>
      <c r="K640" t="s">
        <v>91</v>
      </c>
      <c r="L640" t="s">
        <v>33</v>
      </c>
      <c r="M640" t="s">
        <v>68</v>
      </c>
      <c r="N640" t="s">
        <v>35</v>
      </c>
      <c r="O640" t="s">
        <v>36</v>
      </c>
      <c r="P640" t="s">
        <v>71</v>
      </c>
      <c r="Q640" t="s">
        <v>204</v>
      </c>
      <c r="R640">
        <v>276</v>
      </c>
      <c r="S640">
        <v>124</v>
      </c>
      <c r="T640">
        <v>90</v>
      </c>
      <c r="U640">
        <v>38</v>
      </c>
      <c r="V640" t="s">
        <v>7277</v>
      </c>
      <c r="W640">
        <v>50786</v>
      </c>
      <c r="X640" t="s">
        <v>7182</v>
      </c>
      <c r="Y640">
        <v>37519</v>
      </c>
      <c r="Z640">
        <v>1929868</v>
      </c>
      <c r="AA640">
        <v>504146</v>
      </c>
      <c r="AB640" t="str">
        <f>(VLOOKUP(SalesData[[#This Row],[Month Number]],Reference!C$5:E$16,2,FALSE))</f>
        <v>Feb</v>
      </c>
      <c r="AC640">
        <f>MONTH(SalesData[[#This Row],[Date]])</f>
        <v>2</v>
      </c>
      <c r="AD640">
        <f>Reference!F$4</f>
        <v>2026</v>
      </c>
      <c r="AE640" t="str">
        <f>IF(OR(SalesData[[#This Row],[Day]]="Saturday",SalesData[[#This Row],[Day]]="Sunday"),"Weekend","Weekday")</f>
        <v>Weekday</v>
      </c>
      <c r="AF640" s="5">
        <f>IF(SalesData[[#This Row],[Contracts Offered]]=0,0,SalesData[[#This Row],[Contracts Signed]]/SalesData[[#This Row],[Contracts Offered]])</f>
        <v>0.42222222222222222</v>
      </c>
      <c r="AG640" s="5">
        <f>IF(SalesData[[#This Row],[Customers Visited]]=0,0,SalesData[[#This Row],[Test Drives]]/SalesData[[#This Row],[Customers Visited]])</f>
        <v>0.44927536231884058</v>
      </c>
      <c r="AH640" s="5">
        <f>IF(SalesData[[#This Row],[Customers Visited]]=0,0,SalesData[[#This Row],[Contracts Signed]]/SalesData[[#This Row],[Customers Visited]])</f>
        <v>0.13768115942028986</v>
      </c>
      <c r="AI640" s="6">
        <f>IF(SalesData[[#This Row],[Contracts Signed]]=0,0,SalesData[[#This Row],[Profit(€)]]/SalesData[[#This Row],[Contracts Signed]])</f>
        <v>13267</v>
      </c>
      <c r="AJ640" s="5" t="str">
        <f>TRIM(CLEAN(SalesData[[#This Row],[Retailer]]))</f>
        <v>Main Auto Hub</v>
      </c>
    </row>
    <row r="641" spans="1:36" ht="14.25" hidden="1" x14ac:dyDescent="0.2">
      <c r="A641" t="s">
        <v>1208</v>
      </c>
      <c r="B641" s="1">
        <v>46081</v>
      </c>
      <c r="C641" t="s">
        <v>53</v>
      </c>
      <c r="D641" t="s">
        <v>151</v>
      </c>
      <c r="E641" t="s">
        <v>42</v>
      </c>
      <c r="F641" t="s">
        <v>101</v>
      </c>
      <c r="G641" t="s">
        <v>102</v>
      </c>
      <c r="H641" t="s">
        <v>103</v>
      </c>
      <c r="I641" t="s">
        <v>56</v>
      </c>
      <c r="J641" t="s">
        <v>137</v>
      </c>
      <c r="K641" t="s">
        <v>66</v>
      </c>
      <c r="L641" t="s">
        <v>46</v>
      </c>
      <c r="M641" t="s">
        <v>34</v>
      </c>
      <c r="N641" t="s">
        <v>48</v>
      </c>
      <c r="O641" t="s">
        <v>70</v>
      </c>
      <c r="P641" t="s">
        <v>58</v>
      </c>
      <c r="Q641" t="s">
        <v>106</v>
      </c>
      <c r="R641">
        <v>307</v>
      </c>
      <c r="S641">
        <v>156</v>
      </c>
      <c r="T641">
        <v>112</v>
      </c>
      <c r="U641">
        <v>39</v>
      </c>
      <c r="V641" t="s">
        <v>6403</v>
      </c>
      <c r="W641">
        <v>53535</v>
      </c>
      <c r="X641" t="s">
        <v>1047</v>
      </c>
      <c r="Y641">
        <v>41595</v>
      </c>
      <c r="Z641">
        <v>2087865</v>
      </c>
      <c r="AA641">
        <v>465660</v>
      </c>
      <c r="AB641" t="str">
        <f>(VLOOKUP(SalesData[[#This Row],[Month Number]],Reference!C$5:E$16,2,FALSE))</f>
        <v>Feb</v>
      </c>
      <c r="AC641">
        <f>MONTH(SalesData[[#This Row],[Date]])</f>
        <v>2</v>
      </c>
      <c r="AD641">
        <f>Reference!F$4</f>
        <v>2026</v>
      </c>
      <c r="AE641" t="str">
        <f>IF(OR(SalesData[[#This Row],[Day]]="Saturday",SalesData[[#This Row],[Day]]="Sunday"),"Weekend","Weekday")</f>
        <v>Weekend</v>
      </c>
      <c r="AF641" s="5">
        <f>IF(SalesData[[#This Row],[Contracts Offered]]=0,0,SalesData[[#This Row],[Contracts Signed]]/SalesData[[#This Row],[Contracts Offered]])</f>
        <v>0.3482142857142857</v>
      </c>
      <c r="AG641" s="5">
        <f>IF(SalesData[[#This Row],[Customers Visited]]=0,0,SalesData[[#This Row],[Test Drives]]/SalesData[[#This Row],[Customers Visited]])</f>
        <v>0.50814332247557004</v>
      </c>
      <c r="AH641" s="5">
        <f>IF(SalesData[[#This Row],[Customers Visited]]=0,0,SalesData[[#This Row],[Contracts Signed]]/SalesData[[#This Row],[Customers Visited]])</f>
        <v>0.12703583061889251</v>
      </c>
      <c r="AI641" s="6">
        <f>IF(SalesData[[#This Row],[Contracts Signed]]=0,0,SalesData[[#This Row],[Profit(€)]]/SalesData[[#This Row],[Contracts Signed]])</f>
        <v>11940</v>
      </c>
      <c r="AJ641" s="5" t="str">
        <f>TRIM(CLEAN(SalesData[[#This Row],[Retailer]]))</f>
        <v>Ruhr Auto Plaza</v>
      </c>
    </row>
    <row r="642" spans="1:36" ht="14.25" x14ac:dyDescent="0.2">
      <c r="A642" t="s">
        <v>1210</v>
      </c>
      <c r="B642" s="1">
        <v>46069</v>
      </c>
      <c r="C642" t="s">
        <v>62</v>
      </c>
      <c r="D642" t="s">
        <v>25</v>
      </c>
      <c r="E642" t="s">
        <v>26</v>
      </c>
      <c r="F642" t="s">
        <v>94</v>
      </c>
      <c r="G642" t="s">
        <v>95</v>
      </c>
      <c r="H642" t="s">
        <v>96</v>
      </c>
      <c r="I642" t="s">
        <v>30</v>
      </c>
      <c r="J642" t="s">
        <v>86</v>
      </c>
      <c r="K642" t="s">
        <v>32</v>
      </c>
      <c r="L642" t="s">
        <v>33</v>
      </c>
      <c r="M642" t="s">
        <v>47</v>
      </c>
      <c r="N642" t="s">
        <v>35</v>
      </c>
      <c r="O642" t="s">
        <v>36</v>
      </c>
      <c r="P642" t="s">
        <v>58</v>
      </c>
      <c r="Q642" t="s">
        <v>240</v>
      </c>
      <c r="R642">
        <v>250</v>
      </c>
      <c r="S642">
        <v>149</v>
      </c>
      <c r="T642">
        <v>101</v>
      </c>
      <c r="U642">
        <v>47</v>
      </c>
      <c r="V642" t="s">
        <v>7278</v>
      </c>
      <c r="W642">
        <v>55011</v>
      </c>
      <c r="X642" t="s">
        <v>7279</v>
      </c>
      <c r="Y642">
        <v>39573</v>
      </c>
      <c r="Z642">
        <v>2585517</v>
      </c>
      <c r="AA642">
        <v>725586</v>
      </c>
      <c r="AB642" t="str">
        <f>(VLOOKUP(SalesData[[#This Row],[Month Number]],Reference!C$5:E$16,2,FALSE))</f>
        <v>Feb</v>
      </c>
      <c r="AC642">
        <f>MONTH(SalesData[[#This Row],[Date]])</f>
        <v>2</v>
      </c>
      <c r="AD642">
        <f>Reference!F$4</f>
        <v>2026</v>
      </c>
      <c r="AE642" t="str">
        <f>IF(OR(SalesData[[#This Row],[Day]]="Saturday",SalesData[[#This Row],[Day]]="Sunday"),"Weekend","Weekday")</f>
        <v>Weekday</v>
      </c>
      <c r="AF642" s="5">
        <f>IF(SalesData[[#This Row],[Contracts Offered]]=0,0,SalesData[[#This Row],[Contracts Signed]]/SalesData[[#This Row],[Contracts Offered]])</f>
        <v>0.46534653465346537</v>
      </c>
      <c r="AG642" s="5">
        <f>IF(SalesData[[#This Row],[Customers Visited]]=0,0,SalesData[[#This Row],[Test Drives]]/SalesData[[#This Row],[Customers Visited]])</f>
        <v>0.59599999999999997</v>
      </c>
      <c r="AH642" s="5">
        <f>IF(SalesData[[#This Row],[Customers Visited]]=0,0,SalesData[[#This Row],[Contracts Signed]]/SalesData[[#This Row],[Customers Visited]])</f>
        <v>0.188</v>
      </c>
      <c r="AI642" s="6">
        <f>IF(SalesData[[#This Row],[Contracts Signed]]=0,0,SalesData[[#This Row],[Profit(€)]]/SalesData[[#This Row],[Contracts Signed]])</f>
        <v>15438</v>
      </c>
      <c r="AJ642" s="5" t="str">
        <f>TRIM(CLEAN(SalesData[[#This Row],[Retailer]]))</f>
        <v>Bavaria Motors</v>
      </c>
    </row>
    <row r="643" spans="1:36" ht="14.25" hidden="1" x14ac:dyDescent="0.2">
      <c r="A643" t="s">
        <v>1212</v>
      </c>
      <c r="B643" s="1">
        <v>46080</v>
      </c>
      <c r="C643" t="s">
        <v>53</v>
      </c>
      <c r="D643" t="s">
        <v>54</v>
      </c>
      <c r="E643" t="s">
        <v>26</v>
      </c>
      <c r="F643" t="s">
        <v>7649</v>
      </c>
      <c r="G643" t="s">
        <v>55</v>
      </c>
      <c r="H643" t="s">
        <v>55</v>
      </c>
      <c r="I643" t="s">
        <v>116</v>
      </c>
      <c r="J643" t="s">
        <v>132</v>
      </c>
      <c r="K643" t="s">
        <v>78</v>
      </c>
      <c r="L643" t="s">
        <v>46</v>
      </c>
      <c r="M643" t="s">
        <v>87</v>
      </c>
      <c r="N643" t="s">
        <v>48</v>
      </c>
      <c r="O643" t="s">
        <v>70</v>
      </c>
      <c r="P643" t="s">
        <v>71</v>
      </c>
      <c r="Q643" t="s">
        <v>88</v>
      </c>
      <c r="R643">
        <v>235</v>
      </c>
      <c r="S643">
        <v>120</v>
      </c>
      <c r="T643">
        <v>70</v>
      </c>
      <c r="U643">
        <v>20</v>
      </c>
      <c r="V643" t="s">
        <v>508</v>
      </c>
      <c r="W643">
        <v>25941</v>
      </c>
      <c r="X643" t="s">
        <v>1120</v>
      </c>
      <c r="Y643">
        <v>23625</v>
      </c>
      <c r="Z643">
        <v>518820</v>
      </c>
      <c r="AA643">
        <v>46320</v>
      </c>
      <c r="AB643" t="str">
        <f>(VLOOKUP(SalesData[[#This Row],[Month Number]],Reference!C$5:E$16,2,FALSE))</f>
        <v>Feb</v>
      </c>
      <c r="AC643">
        <f>MONTH(SalesData[[#This Row],[Date]])</f>
        <v>2</v>
      </c>
      <c r="AD643">
        <f>Reference!F$4</f>
        <v>2026</v>
      </c>
      <c r="AE643" t="str">
        <f>IF(OR(SalesData[[#This Row],[Day]]="Saturday",SalesData[[#This Row],[Day]]="Sunday"),"Weekend","Weekday")</f>
        <v>Weekday</v>
      </c>
      <c r="AF643" s="5">
        <f>IF(SalesData[[#This Row],[Contracts Offered]]=0,0,SalesData[[#This Row],[Contracts Signed]]/SalesData[[#This Row],[Contracts Offered]])</f>
        <v>0.2857142857142857</v>
      </c>
      <c r="AG643" s="5">
        <f>IF(SalesData[[#This Row],[Customers Visited]]=0,0,SalesData[[#This Row],[Test Drives]]/SalesData[[#This Row],[Customers Visited]])</f>
        <v>0.51063829787234039</v>
      </c>
      <c r="AH643" s="5">
        <f>IF(SalesData[[#This Row],[Customers Visited]]=0,0,SalesData[[#This Row],[Contracts Signed]]/SalesData[[#This Row],[Customers Visited]])</f>
        <v>8.5106382978723402E-2</v>
      </c>
      <c r="AI643" s="6">
        <f>IF(SalesData[[#This Row],[Contracts Signed]]=0,0,SalesData[[#This Row],[Profit(€)]]/SalesData[[#This Row],[Contracts Signed]])</f>
        <v>2316</v>
      </c>
      <c r="AJ643" s="5" t="str">
        <f>TRIM(CLEAN(SalesData[[#This Row],[Retailer]]))</f>
        <v>Autohaus Berlin</v>
      </c>
    </row>
    <row r="644" spans="1:36" ht="14.25" hidden="1" x14ac:dyDescent="0.2">
      <c r="A644" t="s">
        <v>1214</v>
      </c>
      <c r="B644" s="1">
        <v>46063</v>
      </c>
      <c r="C644" t="s">
        <v>121</v>
      </c>
      <c r="D644" t="s">
        <v>63</v>
      </c>
      <c r="E644" t="s">
        <v>26</v>
      </c>
      <c r="F644" t="s">
        <v>7649</v>
      </c>
      <c r="G644" t="s">
        <v>55</v>
      </c>
      <c r="H644" t="s">
        <v>55</v>
      </c>
      <c r="I644" t="s">
        <v>56</v>
      </c>
      <c r="J644" t="s">
        <v>7028</v>
      </c>
      <c r="K644" t="s">
        <v>91</v>
      </c>
      <c r="L644" t="s">
        <v>46</v>
      </c>
      <c r="M644" t="s">
        <v>47</v>
      </c>
      <c r="N644" t="s">
        <v>69</v>
      </c>
      <c r="O644" t="s">
        <v>36</v>
      </c>
      <c r="P644" t="s">
        <v>58</v>
      </c>
      <c r="Q644" t="s">
        <v>106</v>
      </c>
      <c r="R644">
        <v>310</v>
      </c>
      <c r="S644">
        <v>157</v>
      </c>
      <c r="T644">
        <v>110</v>
      </c>
      <c r="U644">
        <v>45</v>
      </c>
      <c r="V644" t="s">
        <v>6425</v>
      </c>
      <c r="W644">
        <v>43194</v>
      </c>
      <c r="X644" t="s">
        <v>1347</v>
      </c>
      <c r="Y644">
        <v>32837</v>
      </c>
      <c r="Z644">
        <v>1943730</v>
      </c>
      <c r="AA644">
        <v>466065</v>
      </c>
      <c r="AB644" t="str">
        <f>(VLOOKUP(SalesData[[#This Row],[Month Number]],Reference!C$5:E$16,2,FALSE))</f>
        <v>Feb</v>
      </c>
      <c r="AC644">
        <f>MONTH(SalesData[[#This Row],[Date]])</f>
        <v>2</v>
      </c>
      <c r="AD644">
        <f>Reference!F$4</f>
        <v>2026</v>
      </c>
      <c r="AE644" t="str">
        <f>IF(OR(SalesData[[#This Row],[Day]]="Saturday",SalesData[[#This Row],[Day]]="Sunday"),"Weekend","Weekday")</f>
        <v>Weekday</v>
      </c>
      <c r="AF644" s="5">
        <f>IF(SalesData[[#This Row],[Contracts Offered]]=0,0,SalesData[[#This Row],[Contracts Signed]]/SalesData[[#This Row],[Contracts Offered]])</f>
        <v>0.40909090909090912</v>
      </c>
      <c r="AG644" s="5">
        <f>IF(SalesData[[#This Row],[Customers Visited]]=0,0,SalesData[[#This Row],[Test Drives]]/SalesData[[#This Row],[Customers Visited]])</f>
        <v>0.50645161290322582</v>
      </c>
      <c r="AH644" s="5">
        <f>IF(SalesData[[#This Row],[Customers Visited]]=0,0,SalesData[[#This Row],[Contracts Signed]]/SalesData[[#This Row],[Customers Visited]])</f>
        <v>0.14516129032258066</v>
      </c>
      <c r="AI644" s="6">
        <f>IF(SalesData[[#This Row],[Contracts Signed]]=0,0,SalesData[[#This Row],[Profit(€)]]/SalesData[[#This Row],[Contracts Signed]])</f>
        <v>10357</v>
      </c>
      <c r="AJ644" s="5" t="str">
        <f>TRIM(CLEAN(SalesData[[#This Row],[Retailer]]))</f>
        <v>Autohaus Berlin</v>
      </c>
    </row>
    <row r="645" spans="1:36" ht="14.25" hidden="1" x14ac:dyDescent="0.2">
      <c r="A645" t="s">
        <v>1216</v>
      </c>
      <c r="B645" s="1">
        <v>46062</v>
      </c>
      <c r="C645" t="s">
        <v>121</v>
      </c>
      <c r="D645" t="s">
        <v>25</v>
      </c>
      <c r="E645" t="s">
        <v>26</v>
      </c>
      <c r="F645" t="s">
        <v>101</v>
      </c>
      <c r="G645" t="s">
        <v>102</v>
      </c>
      <c r="H645" t="s">
        <v>103</v>
      </c>
      <c r="I645" t="s">
        <v>116</v>
      </c>
      <c r="J645" t="s">
        <v>132</v>
      </c>
      <c r="K645" t="s">
        <v>66</v>
      </c>
      <c r="L645" t="s">
        <v>46</v>
      </c>
      <c r="M645" t="s">
        <v>87</v>
      </c>
      <c r="N645" t="s">
        <v>69</v>
      </c>
      <c r="O645" t="s">
        <v>70</v>
      </c>
      <c r="P645" t="s">
        <v>58</v>
      </c>
      <c r="Q645" t="s">
        <v>59</v>
      </c>
      <c r="R645">
        <v>317</v>
      </c>
      <c r="S645">
        <v>142</v>
      </c>
      <c r="T645">
        <v>95</v>
      </c>
      <c r="U645">
        <v>27</v>
      </c>
      <c r="V645" t="s">
        <v>1825</v>
      </c>
      <c r="W645">
        <v>24511</v>
      </c>
      <c r="X645" t="s">
        <v>5149</v>
      </c>
      <c r="Y645">
        <v>22398</v>
      </c>
      <c r="Z645">
        <v>661797</v>
      </c>
      <c r="AA645">
        <v>57051</v>
      </c>
      <c r="AB645" t="str">
        <f>(VLOOKUP(SalesData[[#This Row],[Month Number]],Reference!C$5:E$16,2,FALSE))</f>
        <v>Feb</v>
      </c>
      <c r="AC645">
        <f>MONTH(SalesData[[#This Row],[Date]])</f>
        <v>2</v>
      </c>
      <c r="AD645">
        <f>Reference!F$4</f>
        <v>2026</v>
      </c>
      <c r="AE645" t="str">
        <f>IF(OR(SalesData[[#This Row],[Day]]="Saturday",SalesData[[#This Row],[Day]]="Sunday"),"Weekend","Weekday")</f>
        <v>Weekday</v>
      </c>
      <c r="AF645" s="5">
        <f>IF(SalesData[[#This Row],[Contracts Offered]]=0,0,SalesData[[#This Row],[Contracts Signed]]/SalesData[[#This Row],[Contracts Offered]])</f>
        <v>0.28421052631578947</v>
      </c>
      <c r="AG645" s="5">
        <f>IF(SalesData[[#This Row],[Customers Visited]]=0,0,SalesData[[#This Row],[Test Drives]]/SalesData[[#This Row],[Customers Visited]])</f>
        <v>0.44794952681388012</v>
      </c>
      <c r="AH645" s="5">
        <f>IF(SalesData[[#This Row],[Customers Visited]]=0,0,SalesData[[#This Row],[Contracts Signed]]/SalesData[[#This Row],[Customers Visited]])</f>
        <v>8.5173501577287064E-2</v>
      </c>
      <c r="AI645" s="6">
        <f>IF(SalesData[[#This Row],[Contracts Signed]]=0,0,SalesData[[#This Row],[Profit(€)]]/SalesData[[#This Row],[Contracts Signed]])</f>
        <v>2113</v>
      </c>
      <c r="AJ645" s="5" t="str">
        <f>TRIM(CLEAN(SalesData[[#This Row],[Retailer]]))</f>
        <v>Ruhr Auto Plaza</v>
      </c>
    </row>
    <row r="646" spans="1:36" ht="14.25" hidden="1" x14ac:dyDescent="0.2">
      <c r="A646" t="s">
        <v>1218</v>
      </c>
      <c r="B646" s="1">
        <v>46058</v>
      </c>
      <c r="C646" t="s">
        <v>24</v>
      </c>
      <c r="D646" t="s">
        <v>100</v>
      </c>
      <c r="E646" t="s">
        <v>26</v>
      </c>
      <c r="F646" t="s">
        <v>109</v>
      </c>
      <c r="G646" t="s">
        <v>110</v>
      </c>
      <c r="H646" t="s">
        <v>45</v>
      </c>
      <c r="I646" t="s">
        <v>64</v>
      </c>
      <c r="J646" t="s">
        <v>77</v>
      </c>
      <c r="K646" t="s">
        <v>91</v>
      </c>
      <c r="L646" t="s">
        <v>46</v>
      </c>
      <c r="M646" t="s">
        <v>87</v>
      </c>
      <c r="N646" t="s">
        <v>48</v>
      </c>
      <c r="O646" t="s">
        <v>70</v>
      </c>
      <c r="P646" t="s">
        <v>37</v>
      </c>
      <c r="Q646" t="s">
        <v>152</v>
      </c>
      <c r="R646">
        <v>269</v>
      </c>
      <c r="S646">
        <v>136</v>
      </c>
      <c r="T646">
        <v>95</v>
      </c>
      <c r="U646">
        <v>33</v>
      </c>
      <c r="V646" t="s">
        <v>6699</v>
      </c>
      <c r="W646">
        <v>66239</v>
      </c>
      <c r="X646" t="s">
        <v>7229</v>
      </c>
      <c r="Y646">
        <v>49701</v>
      </c>
      <c r="Z646">
        <v>2185887</v>
      </c>
      <c r="AA646">
        <v>545754</v>
      </c>
      <c r="AB646" t="str">
        <f>(VLOOKUP(SalesData[[#This Row],[Month Number]],Reference!C$5:E$16,2,FALSE))</f>
        <v>Feb</v>
      </c>
      <c r="AC646">
        <f>MONTH(SalesData[[#This Row],[Date]])</f>
        <v>2</v>
      </c>
      <c r="AD646">
        <f>Reference!F$4</f>
        <v>2026</v>
      </c>
      <c r="AE646" t="str">
        <f>IF(OR(SalesData[[#This Row],[Day]]="Saturday",SalesData[[#This Row],[Day]]="Sunday"),"Weekend","Weekday")</f>
        <v>Weekday</v>
      </c>
      <c r="AF646" s="5">
        <f>IF(SalesData[[#This Row],[Contracts Offered]]=0,0,SalesData[[#This Row],[Contracts Signed]]/SalesData[[#This Row],[Contracts Offered]])</f>
        <v>0.3473684210526316</v>
      </c>
      <c r="AG646" s="5">
        <f>IF(SalesData[[#This Row],[Customers Visited]]=0,0,SalesData[[#This Row],[Test Drives]]/SalesData[[#This Row],[Customers Visited]])</f>
        <v>0.50557620817843862</v>
      </c>
      <c r="AH646" s="5">
        <f>IF(SalesData[[#This Row],[Customers Visited]]=0,0,SalesData[[#This Row],[Contracts Signed]]/SalesData[[#This Row],[Customers Visited]])</f>
        <v>0.12267657992565056</v>
      </c>
      <c r="AI646" s="6">
        <f>IF(SalesData[[#This Row],[Contracts Signed]]=0,0,SalesData[[#This Row],[Profit(€)]]/SalesData[[#This Row],[Contracts Signed]])</f>
        <v>16538</v>
      </c>
      <c r="AJ646" s="5" t="str">
        <f>TRIM(CLEAN(SalesData[[#This Row],[Retailer]]))</f>
        <v>Leipzig Mobility</v>
      </c>
    </row>
    <row r="647" spans="1:36" ht="14.25" hidden="1" x14ac:dyDescent="0.2">
      <c r="A647" t="s">
        <v>1219</v>
      </c>
      <c r="B647" s="1">
        <v>46078</v>
      </c>
      <c r="C647" t="s">
        <v>53</v>
      </c>
      <c r="D647" t="s">
        <v>82</v>
      </c>
      <c r="E647" t="s">
        <v>26</v>
      </c>
      <c r="F647" t="s">
        <v>94</v>
      </c>
      <c r="G647" t="s">
        <v>95</v>
      </c>
      <c r="H647" t="s">
        <v>96</v>
      </c>
      <c r="I647" t="s">
        <v>104</v>
      </c>
      <c r="J647" t="s">
        <v>7031</v>
      </c>
      <c r="K647" t="s">
        <v>91</v>
      </c>
      <c r="L647" t="s">
        <v>46</v>
      </c>
      <c r="M647" t="s">
        <v>68</v>
      </c>
      <c r="N647" t="s">
        <v>48</v>
      </c>
      <c r="O647" t="s">
        <v>70</v>
      </c>
      <c r="P647" t="s">
        <v>71</v>
      </c>
      <c r="Q647" t="s">
        <v>169</v>
      </c>
      <c r="R647">
        <v>303</v>
      </c>
      <c r="S647">
        <v>174</v>
      </c>
      <c r="T647">
        <v>113</v>
      </c>
      <c r="U647">
        <v>31</v>
      </c>
      <c r="V647" t="s">
        <v>2717</v>
      </c>
      <c r="W647">
        <v>31355</v>
      </c>
      <c r="X647" t="s">
        <v>4603</v>
      </c>
      <c r="Y647">
        <v>27597</v>
      </c>
      <c r="Z647">
        <v>972005</v>
      </c>
      <c r="AA647">
        <v>116498</v>
      </c>
      <c r="AB647" t="str">
        <f>(VLOOKUP(SalesData[[#This Row],[Month Number]],Reference!C$5:E$16,2,FALSE))</f>
        <v>Feb</v>
      </c>
      <c r="AC647">
        <f>MONTH(SalesData[[#This Row],[Date]])</f>
        <v>2</v>
      </c>
      <c r="AD647">
        <f>Reference!F$4</f>
        <v>2026</v>
      </c>
      <c r="AE647" t="str">
        <f>IF(OR(SalesData[[#This Row],[Day]]="Saturday",SalesData[[#This Row],[Day]]="Sunday"),"Weekend","Weekday")</f>
        <v>Weekday</v>
      </c>
      <c r="AF647" s="5">
        <f>IF(SalesData[[#This Row],[Contracts Offered]]=0,0,SalesData[[#This Row],[Contracts Signed]]/SalesData[[#This Row],[Contracts Offered]])</f>
        <v>0.27433628318584069</v>
      </c>
      <c r="AG647" s="5">
        <f>IF(SalesData[[#This Row],[Customers Visited]]=0,0,SalesData[[#This Row],[Test Drives]]/SalesData[[#This Row],[Customers Visited]])</f>
        <v>0.57425742574257421</v>
      </c>
      <c r="AH647" s="5">
        <f>IF(SalesData[[#This Row],[Customers Visited]]=0,0,SalesData[[#This Row],[Contracts Signed]]/SalesData[[#This Row],[Customers Visited]])</f>
        <v>0.10231023102310231</v>
      </c>
      <c r="AI647" s="6">
        <f>IF(SalesData[[#This Row],[Contracts Signed]]=0,0,SalesData[[#This Row],[Profit(€)]]/SalesData[[#This Row],[Contracts Signed]])</f>
        <v>3758</v>
      </c>
      <c r="AJ647" s="5" t="str">
        <f>TRIM(CLEAN(SalesData[[#This Row],[Retailer]]))</f>
        <v>Bavaria Motors</v>
      </c>
    </row>
    <row r="648" spans="1:36" ht="14.25" hidden="1" x14ac:dyDescent="0.2">
      <c r="A648" t="s">
        <v>1220</v>
      </c>
      <c r="B648" s="1">
        <v>46057</v>
      </c>
      <c r="C648" t="s">
        <v>24</v>
      </c>
      <c r="D648" t="s">
        <v>82</v>
      </c>
      <c r="E648" t="s">
        <v>26</v>
      </c>
      <c r="F648" t="s">
        <v>101</v>
      </c>
      <c r="G648" t="s">
        <v>102</v>
      </c>
      <c r="H648" t="s">
        <v>103</v>
      </c>
      <c r="I648" t="s">
        <v>64</v>
      </c>
      <c r="J648" t="s">
        <v>77</v>
      </c>
      <c r="K648" t="s">
        <v>32</v>
      </c>
      <c r="L648" t="s">
        <v>46</v>
      </c>
      <c r="M648" t="s">
        <v>68</v>
      </c>
      <c r="N648" t="s">
        <v>35</v>
      </c>
      <c r="O648" t="s">
        <v>36</v>
      </c>
      <c r="P648" t="s">
        <v>37</v>
      </c>
      <c r="Q648" t="s">
        <v>167</v>
      </c>
      <c r="R648">
        <v>221</v>
      </c>
      <c r="S648">
        <v>117</v>
      </c>
      <c r="T648">
        <v>79</v>
      </c>
      <c r="U648">
        <v>27</v>
      </c>
      <c r="V648" t="s">
        <v>6386</v>
      </c>
      <c r="W648">
        <v>52471</v>
      </c>
      <c r="X648" t="s">
        <v>7280</v>
      </c>
      <c r="Y648">
        <v>40902</v>
      </c>
      <c r="Z648">
        <v>1416717</v>
      </c>
      <c r="AA648">
        <v>312363</v>
      </c>
      <c r="AB648" t="str">
        <f>(VLOOKUP(SalesData[[#This Row],[Month Number]],Reference!C$5:E$16,2,FALSE))</f>
        <v>Feb</v>
      </c>
      <c r="AC648">
        <f>MONTH(SalesData[[#This Row],[Date]])</f>
        <v>2</v>
      </c>
      <c r="AD648">
        <f>Reference!F$4</f>
        <v>2026</v>
      </c>
      <c r="AE648" t="str">
        <f>IF(OR(SalesData[[#This Row],[Day]]="Saturday",SalesData[[#This Row],[Day]]="Sunday"),"Weekend","Weekday")</f>
        <v>Weekday</v>
      </c>
      <c r="AF648" s="5">
        <f>IF(SalesData[[#This Row],[Contracts Offered]]=0,0,SalesData[[#This Row],[Contracts Signed]]/SalesData[[#This Row],[Contracts Offered]])</f>
        <v>0.34177215189873417</v>
      </c>
      <c r="AG648" s="5">
        <f>IF(SalesData[[#This Row],[Customers Visited]]=0,0,SalesData[[#This Row],[Test Drives]]/SalesData[[#This Row],[Customers Visited]])</f>
        <v>0.52941176470588236</v>
      </c>
      <c r="AH648" s="5">
        <f>IF(SalesData[[#This Row],[Customers Visited]]=0,0,SalesData[[#This Row],[Contracts Signed]]/SalesData[[#This Row],[Customers Visited]])</f>
        <v>0.12217194570135746</v>
      </c>
      <c r="AI648" s="6">
        <f>IF(SalesData[[#This Row],[Contracts Signed]]=0,0,SalesData[[#This Row],[Profit(€)]]/SalesData[[#This Row],[Contracts Signed]])</f>
        <v>11569</v>
      </c>
      <c r="AJ648" s="5" t="str">
        <f>TRIM(CLEAN(SalesData[[#This Row],[Retailer]]))</f>
        <v>Ruhr Auto Plaza</v>
      </c>
    </row>
    <row r="649" spans="1:36" ht="14.25" hidden="1" x14ac:dyDescent="0.2">
      <c r="A649" t="s">
        <v>1222</v>
      </c>
      <c r="B649" s="1">
        <v>46071</v>
      </c>
      <c r="C649" t="s">
        <v>62</v>
      </c>
      <c r="D649" t="s">
        <v>82</v>
      </c>
      <c r="E649" t="s">
        <v>26</v>
      </c>
      <c r="F649" t="s">
        <v>101</v>
      </c>
      <c r="G649" t="s">
        <v>102</v>
      </c>
      <c r="H649" t="s">
        <v>103</v>
      </c>
      <c r="I649" t="s">
        <v>104</v>
      </c>
      <c r="J649" t="s">
        <v>105</v>
      </c>
      <c r="K649" t="s">
        <v>66</v>
      </c>
      <c r="L649" t="s">
        <v>33</v>
      </c>
      <c r="M649" t="s">
        <v>87</v>
      </c>
      <c r="N649" t="s">
        <v>69</v>
      </c>
      <c r="O649" t="s">
        <v>70</v>
      </c>
      <c r="P649" t="s">
        <v>71</v>
      </c>
      <c r="Q649" t="s">
        <v>144</v>
      </c>
      <c r="R649">
        <v>345</v>
      </c>
      <c r="S649">
        <v>186</v>
      </c>
      <c r="T649">
        <v>111</v>
      </c>
      <c r="U649">
        <v>31</v>
      </c>
      <c r="V649" t="s">
        <v>508</v>
      </c>
      <c r="W649">
        <v>32856</v>
      </c>
      <c r="X649" t="s">
        <v>1112</v>
      </c>
      <c r="Y649">
        <v>29092</v>
      </c>
      <c r="Z649">
        <v>1018536</v>
      </c>
      <c r="AA649">
        <v>116684</v>
      </c>
      <c r="AB649" t="str">
        <f>(VLOOKUP(SalesData[[#This Row],[Month Number]],Reference!C$5:E$16,2,FALSE))</f>
        <v>Feb</v>
      </c>
      <c r="AC649">
        <f>MONTH(SalesData[[#This Row],[Date]])</f>
        <v>2</v>
      </c>
      <c r="AD649">
        <f>Reference!F$4</f>
        <v>2026</v>
      </c>
      <c r="AE649" t="str">
        <f>IF(OR(SalesData[[#This Row],[Day]]="Saturday",SalesData[[#This Row],[Day]]="Sunday"),"Weekend","Weekday")</f>
        <v>Weekday</v>
      </c>
      <c r="AF649" s="5">
        <f>IF(SalesData[[#This Row],[Contracts Offered]]=0,0,SalesData[[#This Row],[Contracts Signed]]/SalesData[[#This Row],[Contracts Offered]])</f>
        <v>0.27927927927927926</v>
      </c>
      <c r="AG649" s="5">
        <f>IF(SalesData[[#This Row],[Customers Visited]]=0,0,SalesData[[#This Row],[Test Drives]]/SalesData[[#This Row],[Customers Visited]])</f>
        <v>0.53913043478260869</v>
      </c>
      <c r="AH649" s="5">
        <f>IF(SalesData[[#This Row],[Customers Visited]]=0,0,SalesData[[#This Row],[Contracts Signed]]/SalesData[[#This Row],[Customers Visited]])</f>
        <v>8.9855072463768115E-2</v>
      </c>
      <c r="AI649" s="6">
        <f>IF(SalesData[[#This Row],[Contracts Signed]]=0,0,SalesData[[#This Row],[Profit(€)]]/SalesData[[#This Row],[Contracts Signed]])</f>
        <v>3764</v>
      </c>
      <c r="AJ649" s="5" t="str">
        <f>TRIM(CLEAN(SalesData[[#This Row],[Retailer]]))</f>
        <v>Ruhr Auto Plaza</v>
      </c>
    </row>
    <row r="650" spans="1:36" ht="14.25" hidden="1" x14ac:dyDescent="0.2">
      <c r="A650" t="s">
        <v>1223</v>
      </c>
      <c r="B650" s="1">
        <v>46066</v>
      </c>
      <c r="C650" t="s">
        <v>121</v>
      </c>
      <c r="D650" t="s">
        <v>54</v>
      </c>
      <c r="E650" t="s">
        <v>26</v>
      </c>
      <c r="F650" t="s">
        <v>43</v>
      </c>
      <c r="G650" t="s">
        <v>44</v>
      </c>
      <c r="H650" t="s">
        <v>45</v>
      </c>
      <c r="I650" t="s">
        <v>116</v>
      </c>
      <c r="J650" t="s">
        <v>203</v>
      </c>
      <c r="K650" t="s">
        <v>91</v>
      </c>
      <c r="L650" t="s">
        <v>67</v>
      </c>
      <c r="M650" t="s">
        <v>68</v>
      </c>
      <c r="N650" t="s">
        <v>48</v>
      </c>
      <c r="O650" t="s">
        <v>36</v>
      </c>
      <c r="P650" t="s">
        <v>58</v>
      </c>
      <c r="Q650" t="s">
        <v>106</v>
      </c>
      <c r="R650">
        <v>226</v>
      </c>
      <c r="S650">
        <v>91</v>
      </c>
      <c r="T650">
        <v>62</v>
      </c>
      <c r="U650">
        <v>15</v>
      </c>
      <c r="V650" t="s">
        <v>1422</v>
      </c>
      <c r="W650">
        <v>25800</v>
      </c>
      <c r="X650" t="s">
        <v>1349</v>
      </c>
      <c r="Y650">
        <v>23215</v>
      </c>
      <c r="Z650">
        <v>387000</v>
      </c>
      <c r="AA650">
        <v>38775</v>
      </c>
      <c r="AB650" t="str">
        <f>(VLOOKUP(SalesData[[#This Row],[Month Number]],Reference!C$5:E$16,2,FALSE))</f>
        <v>Feb</v>
      </c>
      <c r="AC650">
        <f>MONTH(SalesData[[#This Row],[Date]])</f>
        <v>2</v>
      </c>
      <c r="AD650">
        <f>Reference!F$4</f>
        <v>2026</v>
      </c>
      <c r="AE650" t="str">
        <f>IF(OR(SalesData[[#This Row],[Day]]="Saturday",SalesData[[#This Row],[Day]]="Sunday"),"Weekend","Weekday")</f>
        <v>Weekday</v>
      </c>
      <c r="AF650" s="5">
        <f>IF(SalesData[[#This Row],[Contracts Offered]]=0,0,SalesData[[#This Row],[Contracts Signed]]/SalesData[[#This Row],[Contracts Offered]])</f>
        <v>0.24193548387096775</v>
      </c>
      <c r="AG650" s="5">
        <f>IF(SalesData[[#This Row],[Customers Visited]]=0,0,SalesData[[#This Row],[Test Drives]]/SalesData[[#This Row],[Customers Visited]])</f>
        <v>0.40265486725663718</v>
      </c>
      <c r="AH650" s="5">
        <f>IF(SalesData[[#This Row],[Customers Visited]]=0,0,SalesData[[#This Row],[Contracts Signed]]/SalesData[[#This Row],[Customers Visited]])</f>
        <v>6.637168141592921E-2</v>
      </c>
      <c r="AI650" s="6">
        <f>IF(SalesData[[#This Row],[Contracts Signed]]=0,0,SalesData[[#This Row],[Profit(€)]]/SalesData[[#This Row],[Contracts Signed]])</f>
        <v>2585</v>
      </c>
      <c r="AJ650" s="5" t="str">
        <f>TRIM(CLEAN(SalesData[[#This Row],[Retailer]]))</f>
        <v>Saxon Wheels</v>
      </c>
    </row>
    <row r="651" spans="1:36" ht="14.25" x14ac:dyDescent="0.2">
      <c r="A651" t="s">
        <v>1224</v>
      </c>
      <c r="B651" s="1">
        <v>46061</v>
      </c>
      <c r="C651" t="s">
        <v>121</v>
      </c>
      <c r="D651" t="s">
        <v>41</v>
      </c>
      <c r="E651" t="s">
        <v>42</v>
      </c>
      <c r="F651" t="s">
        <v>43</v>
      </c>
      <c r="G651" t="s">
        <v>44</v>
      </c>
      <c r="H651" t="s">
        <v>45</v>
      </c>
      <c r="I651" t="s">
        <v>30</v>
      </c>
      <c r="J651" t="s">
        <v>86</v>
      </c>
      <c r="K651" t="s">
        <v>32</v>
      </c>
      <c r="L651" t="s">
        <v>33</v>
      </c>
      <c r="M651" t="s">
        <v>87</v>
      </c>
      <c r="N651" t="s">
        <v>69</v>
      </c>
      <c r="O651" t="s">
        <v>70</v>
      </c>
      <c r="P651" t="s">
        <v>37</v>
      </c>
      <c r="Q651" t="s">
        <v>118</v>
      </c>
      <c r="R651">
        <v>233</v>
      </c>
      <c r="S651">
        <v>134</v>
      </c>
      <c r="T651">
        <v>94</v>
      </c>
      <c r="U651">
        <v>31</v>
      </c>
      <c r="V651" t="s">
        <v>6825</v>
      </c>
      <c r="W651">
        <v>55784</v>
      </c>
      <c r="X651" t="s">
        <v>7136</v>
      </c>
      <c r="Y651">
        <v>41952</v>
      </c>
      <c r="Z651">
        <v>1729304</v>
      </c>
      <c r="AA651">
        <v>428792</v>
      </c>
      <c r="AB651" t="str">
        <f>(VLOOKUP(SalesData[[#This Row],[Month Number]],Reference!C$5:E$16,2,FALSE))</f>
        <v>Feb</v>
      </c>
      <c r="AC651">
        <f>MONTH(SalesData[[#This Row],[Date]])</f>
        <v>2</v>
      </c>
      <c r="AD651">
        <f>Reference!F$4</f>
        <v>2026</v>
      </c>
      <c r="AE651" t="str">
        <f>IF(OR(SalesData[[#This Row],[Day]]="Saturday",SalesData[[#This Row],[Day]]="Sunday"),"Weekend","Weekday")</f>
        <v>Weekend</v>
      </c>
      <c r="AF651" s="5">
        <f>IF(SalesData[[#This Row],[Contracts Offered]]=0,0,SalesData[[#This Row],[Contracts Signed]]/SalesData[[#This Row],[Contracts Offered]])</f>
        <v>0.32978723404255317</v>
      </c>
      <c r="AG651" s="5">
        <f>IF(SalesData[[#This Row],[Customers Visited]]=0,0,SalesData[[#This Row],[Test Drives]]/SalesData[[#This Row],[Customers Visited]])</f>
        <v>0.57510729613733902</v>
      </c>
      <c r="AH651" s="5">
        <f>IF(SalesData[[#This Row],[Customers Visited]]=0,0,SalesData[[#This Row],[Contracts Signed]]/SalesData[[#This Row],[Customers Visited]])</f>
        <v>0.13304721030042918</v>
      </c>
      <c r="AI651" s="6">
        <f>IF(SalesData[[#This Row],[Contracts Signed]]=0,0,SalesData[[#This Row],[Profit(€)]]/SalesData[[#This Row],[Contracts Signed]])</f>
        <v>13832</v>
      </c>
      <c r="AJ651" s="5" t="str">
        <f>TRIM(CLEAN(SalesData[[#This Row],[Retailer]]))</f>
        <v>Saxon Wheels</v>
      </c>
    </row>
    <row r="652" spans="1:36" ht="14.25" hidden="1" x14ac:dyDescent="0.2">
      <c r="A652" t="s">
        <v>1226</v>
      </c>
      <c r="B652" s="1">
        <v>46070</v>
      </c>
      <c r="C652" t="s">
        <v>62</v>
      </c>
      <c r="D652" t="s">
        <v>63</v>
      </c>
      <c r="E652" t="s">
        <v>26</v>
      </c>
      <c r="F652" t="s">
        <v>94</v>
      </c>
      <c r="G652" t="s">
        <v>95</v>
      </c>
      <c r="H652" t="s">
        <v>96</v>
      </c>
      <c r="I652" t="s">
        <v>104</v>
      </c>
      <c r="J652" t="s">
        <v>7031</v>
      </c>
      <c r="K652" t="s">
        <v>91</v>
      </c>
      <c r="L652" t="s">
        <v>46</v>
      </c>
      <c r="M652" t="s">
        <v>47</v>
      </c>
      <c r="N652" t="s">
        <v>35</v>
      </c>
      <c r="O652" t="s">
        <v>36</v>
      </c>
      <c r="P652" t="s">
        <v>58</v>
      </c>
      <c r="Q652" t="s">
        <v>135</v>
      </c>
      <c r="R652">
        <v>468</v>
      </c>
      <c r="S652">
        <v>191</v>
      </c>
      <c r="T652">
        <v>120</v>
      </c>
      <c r="U652">
        <v>40</v>
      </c>
      <c r="V652" t="s">
        <v>7281</v>
      </c>
      <c r="W652">
        <v>29470</v>
      </c>
      <c r="X652" t="s">
        <v>3283</v>
      </c>
      <c r="Y652">
        <v>26049</v>
      </c>
      <c r="Z652">
        <v>1178800</v>
      </c>
      <c r="AA652">
        <v>136840</v>
      </c>
      <c r="AB652" t="str">
        <f>(VLOOKUP(SalesData[[#This Row],[Month Number]],Reference!C$5:E$16,2,FALSE))</f>
        <v>Feb</v>
      </c>
      <c r="AC652">
        <f>MONTH(SalesData[[#This Row],[Date]])</f>
        <v>2</v>
      </c>
      <c r="AD652">
        <f>Reference!F$4</f>
        <v>2026</v>
      </c>
      <c r="AE652" t="str">
        <f>IF(OR(SalesData[[#This Row],[Day]]="Saturday",SalesData[[#This Row],[Day]]="Sunday"),"Weekend","Weekday")</f>
        <v>Weekday</v>
      </c>
      <c r="AF652" s="5">
        <f>IF(SalesData[[#This Row],[Contracts Offered]]=0,0,SalesData[[#This Row],[Contracts Signed]]/SalesData[[#This Row],[Contracts Offered]])</f>
        <v>0.33333333333333331</v>
      </c>
      <c r="AG652" s="5">
        <f>IF(SalesData[[#This Row],[Customers Visited]]=0,0,SalesData[[#This Row],[Test Drives]]/SalesData[[#This Row],[Customers Visited]])</f>
        <v>0.40811965811965811</v>
      </c>
      <c r="AH652" s="5">
        <f>IF(SalesData[[#This Row],[Customers Visited]]=0,0,SalesData[[#This Row],[Contracts Signed]]/SalesData[[#This Row],[Customers Visited]])</f>
        <v>8.5470085470085472E-2</v>
      </c>
      <c r="AI652" s="6">
        <f>IF(SalesData[[#This Row],[Contracts Signed]]=0,0,SalesData[[#This Row],[Profit(€)]]/SalesData[[#This Row],[Contracts Signed]])</f>
        <v>3421</v>
      </c>
      <c r="AJ652" s="5" t="str">
        <f>TRIM(CLEAN(SalesData[[#This Row],[Retailer]]))</f>
        <v>Bavaria Motors</v>
      </c>
    </row>
    <row r="653" spans="1:36" ht="14.25" x14ac:dyDescent="0.2">
      <c r="A653" t="s">
        <v>1227</v>
      </c>
      <c r="B653" s="1">
        <v>46063</v>
      </c>
      <c r="C653" t="s">
        <v>121</v>
      </c>
      <c r="D653" t="s">
        <v>63</v>
      </c>
      <c r="E653" t="s">
        <v>26</v>
      </c>
      <c r="F653" t="s">
        <v>7649</v>
      </c>
      <c r="G653" t="s">
        <v>55</v>
      </c>
      <c r="H653" t="s">
        <v>55</v>
      </c>
      <c r="I653" t="s">
        <v>30</v>
      </c>
      <c r="J653" t="s">
        <v>86</v>
      </c>
      <c r="K653" t="s">
        <v>32</v>
      </c>
      <c r="L653" t="s">
        <v>33</v>
      </c>
      <c r="M653" t="s">
        <v>68</v>
      </c>
      <c r="N653" t="s">
        <v>35</v>
      </c>
      <c r="O653" t="s">
        <v>36</v>
      </c>
      <c r="P653" t="s">
        <v>49</v>
      </c>
      <c r="Q653" t="s">
        <v>118</v>
      </c>
      <c r="R653">
        <v>175</v>
      </c>
      <c r="S653">
        <v>98</v>
      </c>
      <c r="T653">
        <v>69</v>
      </c>
      <c r="U653">
        <v>25</v>
      </c>
      <c r="V653" t="s">
        <v>6742</v>
      </c>
      <c r="W653">
        <v>55943</v>
      </c>
      <c r="X653" t="s">
        <v>2142</v>
      </c>
      <c r="Y653">
        <v>42059</v>
      </c>
      <c r="Z653">
        <v>1398575</v>
      </c>
      <c r="AA653">
        <v>347100</v>
      </c>
      <c r="AB653" t="str">
        <f>(VLOOKUP(SalesData[[#This Row],[Month Number]],Reference!C$5:E$16,2,FALSE))</f>
        <v>Feb</v>
      </c>
      <c r="AC653">
        <f>MONTH(SalesData[[#This Row],[Date]])</f>
        <v>2</v>
      </c>
      <c r="AD653">
        <f>Reference!F$4</f>
        <v>2026</v>
      </c>
      <c r="AE653" t="str">
        <f>IF(OR(SalesData[[#This Row],[Day]]="Saturday",SalesData[[#This Row],[Day]]="Sunday"),"Weekend","Weekday")</f>
        <v>Weekday</v>
      </c>
      <c r="AF653" s="5">
        <f>IF(SalesData[[#This Row],[Contracts Offered]]=0,0,SalesData[[#This Row],[Contracts Signed]]/SalesData[[#This Row],[Contracts Offered]])</f>
        <v>0.36231884057971014</v>
      </c>
      <c r="AG653" s="5">
        <f>IF(SalesData[[#This Row],[Customers Visited]]=0,0,SalesData[[#This Row],[Test Drives]]/SalesData[[#This Row],[Customers Visited]])</f>
        <v>0.56000000000000005</v>
      </c>
      <c r="AH653" s="5">
        <f>IF(SalesData[[#This Row],[Customers Visited]]=0,0,SalesData[[#This Row],[Contracts Signed]]/SalesData[[#This Row],[Customers Visited]])</f>
        <v>0.14285714285714285</v>
      </c>
      <c r="AI653" s="6">
        <f>IF(SalesData[[#This Row],[Contracts Signed]]=0,0,SalesData[[#This Row],[Profit(€)]]/SalesData[[#This Row],[Contracts Signed]])</f>
        <v>13884</v>
      </c>
      <c r="AJ653" s="5" t="str">
        <f>TRIM(CLEAN(SalesData[[#This Row],[Retailer]]))</f>
        <v>Autohaus Berlin</v>
      </c>
    </row>
    <row r="654" spans="1:36" ht="14.25" hidden="1" x14ac:dyDescent="0.2">
      <c r="A654" t="s">
        <v>1229</v>
      </c>
      <c r="B654" s="1">
        <v>46065</v>
      </c>
      <c r="C654" t="s">
        <v>121</v>
      </c>
      <c r="D654" t="s">
        <v>100</v>
      </c>
      <c r="E654" t="s">
        <v>26</v>
      </c>
      <c r="F654" t="s">
        <v>74</v>
      </c>
      <c r="G654" t="s">
        <v>75</v>
      </c>
      <c r="H654" t="s">
        <v>76</v>
      </c>
      <c r="I654" t="s">
        <v>56</v>
      </c>
      <c r="J654" t="s">
        <v>137</v>
      </c>
      <c r="K654" t="s">
        <v>78</v>
      </c>
      <c r="L654" t="s">
        <v>46</v>
      </c>
      <c r="M654" t="s">
        <v>47</v>
      </c>
      <c r="N654" t="s">
        <v>48</v>
      </c>
      <c r="O654" t="s">
        <v>70</v>
      </c>
      <c r="P654" t="s">
        <v>37</v>
      </c>
      <c r="Q654" t="s">
        <v>144</v>
      </c>
      <c r="R654">
        <v>286</v>
      </c>
      <c r="S654">
        <v>138</v>
      </c>
      <c r="T654">
        <v>89</v>
      </c>
      <c r="U654">
        <v>29</v>
      </c>
      <c r="V654" t="s">
        <v>6998</v>
      </c>
      <c r="W654">
        <v>52375</v>
      </c>
      <c r="X654" t="s">
        <v>7282</v>
      </c>
      <c r="Y654">
        <v>39970</v>
      </c>
      <c r="Z654">
        <v>1518875</v>
      </c>
      <c r="AA654">
        <v>359745</v>
      </c>
      <c r="AB654" t="str">
        <f>(VLOOKUP(SalesData[[#This Row],[Month Number]],Reference!C$5:E$16,2,FALSE))</f>
        <v>Feb</v>
      </c>
      <c r="AC654">
        <f>MONTH(SalesData[[#This Row],[Date]])</f>
        <v>2</v>
      </c>
      <c r="AD654">
        <f>Reference!F$4</f>
        <v>2026</v>
      </c>
      <c r="AE654" t="str">
        <f>IF(OR(SalesData[[#This Row],[Day]]="Saturday",SalesData[[#This Row],[Day]]="Sunday"),"Weekend","Weekday")</f>
        <v>Weekday</v>
      </c>
      <c r="AF654" s="5">
        <f>IF(SalesData[[#This Row],[Contracts Offered]]=0,0,SalesData[[#This Row],[Contracts Signed]]/SalesData[[#This Row],[Contracts Offered]])</f>
        <v>0.3258426966292135</v>
      </c>
      <c r="AG654" s="5">
        <f>IF(SalesData[[#This Row],[Customers Visited]]=0,0,SalesData[[#This Row],[Test Drives]]/SalesData[[#This Row],[Customers Visited]])</f>
        <v>0.4825174825174825</v>
      </c>
      <c r="AH654" s="5">
        <f>IF(SalesData[[#This Row],[Customers Visited]]=0,0,SalesData[[#This Row],[Contracts Signed]]/SalesData[[#This Row],[Customers Visited]])</f>
        <v>0.10139860139860139</v>
      </c>
      <c r="AI654" s="6">
        <f>IF(SalesData[[#This Row],[Contracts Signed]]=0,0,SalesData[[#This Row],[Profit(€)]]/SalesData[[#This Row],[Contracts Signed]])</f>
        <v>12405</v>
      </c>
      <c r="AJ654" s="5" t="str">
        <f>TRIM(CLEAN(SalesData[[#This Row],[Retailer]]))</f>
        <v>Stuttgart Auto Center</v>
      </c>
    </row>
    <row r="655" spans="1:36" ht="14.25" hidden="1" x14ac:dyDescent="0.2">
      <c r="A655" t="s">
        <v>1230</v>
      </c>
      <c r="B655" s="1">
        <v>46075</v>
      </c>
      <c r="C655" t="s">
        <v>53</v>
      </c>
      <c r="D655" t="s">
        <v>41</v>
      </c>
      <c r="E655" t="s">
        <v>42</v>
      </c>
      <c r="F655" t="s">
        <v>83</v>
      </c>
      <c r="G655" t="s">
        <v>84</v>
      </c>
      <c r="H655" t="s">
        <v>85</v>
      </c>
      <c r="I655" t="s">
        <v>56</v>
      </c>
      <c r="J655" t="s">
        <v>97</v>
      </c>
      <c r="K655" t="s">
        <v>91</v>
      </c>
      <c r="L655" t="s">
        <v>33</v>
      </c>
      <c r="M655" t="s">
        <v>87</v>
      </c>
      <c r="N655" t="s">
        <v>69</v>
      </c>
      <c r="O655" t="s">
        <v>70</v>
      </c>
      <c r="P655" t="s">
        <v>58</v>
      </c>
      <c r="Q655" t="s">
        <v>204</v>
      </c>
      <c r="R655">
        <v>201</v>
      </c>
      <c r="S655">
        <v>125</v>
      </c>
      <c r="T655">
        <v>85</v>
      </c>
      <c r="U655">
        <v>33</v>
      </c>
      <c r="V655" t="s">
        <v>6480</v>
      </c>
      <c r="W655">
        <v>43885</v>
      </c>
      <c r="X655" t="s">
        <v>7178</v>
      </c>
      <c r="Y655">
        <v>33832</v>
      </c>
      <c r="Z655">
        <v>1448205</v>
      </c>
      <c r="AA655">
        <v>331749</v>
      </c>
      <c r="AB655" t="str">
        <f>(VLOOKUP(SalesData[[#This Row],[Month Number]],Reference!C$5:E$16,2,FALSE))</f>
        <v>Feb</v>
      </c>
      <c r="AC655">
        <f>MONTH(SalesData[[#This Row],[Date]])</f>
        <v>2</v>
      </c>
      <c r="AD655">
        <f>Reference!F$4</f>
        <v>2026</v>
      </c>
      <c r="AE655" t="str">
        <f>IF(OR(SalesData[[#This Row],[Day]]="Saturday",SalesData[[#This Row],[Day]]="Sunday"),"Weekend","Weekday")</f>
        <v>Weekend</v>
      </c>
      <c r="AF655" s="5">
        <f>IF(SalesData[[#This Row],[Contracts Offered]]=0,0,SalesData[[#This Row],[Contracts Signed]]/SalesData[[#This Row],[Contracts Offered]])</f>
        <v>0.38823529411764707</v>
      </c>
      <c r="AG655" s="5">
        <f>IF(SalesData[[#This Row],[Customers Visited]]=0,0,SalesData[[#This Row],[Test Drives]]/SalesData[[#This Row],[Customers Visited]])</f>
        <v>0.62189054726368154</v>
      </c>
      <c r="AH655" s="5">
        <f>IF(SalesData[[#This Row],[Customers Visited]]=0,0,SalesData[[#This Row],[Contracts Signed]]/SalesData[[#This Row],[Customers Visited]])</f>
        <v>0.16417910447761194</v>
      </c>
      <c r="AI655" s="6">
        <f>IF(SalesData[[#This Row],[Contracts Signed]]=0,0,SalesData[[#This Row],[Profit(€)]]/SalesData[[#This Row],[Contracts Signed]])</f>
        <v>10053</v>
      </c>
      <c r="AJ655" s="5" t="str">
        <f>TRIM(CLEAN(SalesData[[#This Row],[Retailer]]))</f>
        <v>Hannover Cars</v>
      </c>
    </row>
    <row r="656" spans="1:36" ht="14.25" hidden="1" x14ac:dyDescent="0.2">
      <c r="A656" t="s">
        <v>1231</v>
      </c>
      <c r="B656" s="1">
        <v>46068</v>
      </c>
      <c r="C656" t="s">
        <v>62</v>
      </c>
      <c r="D656" t="s">
        <v>41</v>
      </c>
      <c r="E656" t="s">
        <v>42</v>
      </c>
      <c r="F656" t="s">
        <v>43</v>
      </c>
      <c r="G656" t="s">
        <v>44</v>
      </c>
      <c r="H656" t="s">
        <v>45</v>
      </c>
      <c r="I656" t="s">
        <v>104</v>
      </c>
      <c r="J656" t="s">
        <v>7061</v>
      </c>
      <c r="K656" t="s">
        <v>66</v>
      </c>
      <c r="L656" t="s">
        <v>46</v>
      </c>
      <c r="M656" t="s">
        <v>68</v>
      </c>
      <c r="N656" t="s">
        <v>35</v>
      </c>
      <c r="O656" t="s">
        <v>70</v>
      </c>
      <c r="P656" t="s">
        <v>71</v>
      </c>
      <c r="Q656" t="s">
        <v>189</v>
      </c>
      <c r="R656">
        <v>454</v>
      </c>
      <c r="S656">
        <v>199</v>
      </c>
      <c r="T656">
        <v>142</v>
      </c>
      <c r="U656">
        <v>25</v>
      </c>
      <c r="V656" t="s">
        <v>4608</v>
      </c>
      <c r="W656">
        <v>30242</v>
      </c>
      <c r="X656" t="s">
        <v>2543</v>
      </c>
      <c r="Y656">
        <v>26701</v>
      </c>
      <c r="Z656">
        <v>756050</v>
      </c>
      <c r="AA656">
        <v>88525</v>
      </c>
      <c r="AB656" t="str">
        <f>(VLOOKUP(SalesData[[#This Row],[Month Number]],Reference!C$5:E$16,2,FALSE))</f>
        <v>Feb</v>
      </c>
      <c r="AC656">
        <f>MONTH(SalesData[[#This Row],[Date]])</f>
        <v>2</v>
      </c>
      <c r="AD656">
        <f>Reference!F$4</f>
        <v>2026</v>
      </c>
      <c r="AE656" t="str">
        <f>IF(OR(SalesData[[#This Row],[Day]]="Saturday",SalesData[[#This Row],[Day]]="Sunday"),"Weekend","Weekday")</f>
        <v>Weekend</v>
      </c>
      <c r="AF656" s="5">
        <f>IF(SalesData[[#This Row],[Contracts Offered]]=0,0,SalesData[[#This Row],[Contracts Signed]]/SalesData[[#This Row],[Contracts Offered]])</f>
        <v>0.176056338028169</v>
      </c>
      <c r="AG656" s="5">
        <f>IF(SalesData[[#This Row],[Customers Visited]]=0,0,SalesData[[#This Row],[Test Drives]]/SalesData[[#This Row],[Customers Visited]])</f>
        <v>0.43832599118942733</v>
      </c>
      <c r="AH656" s="5">
        <f>IF(SalesData[[#This Row],[Customers Visited]]=0,0,SalesData[[#This Row],[Contracts Signed]]/SalesData[[#This Row],[Customers Visited]])</f>
        <v>5.5066079295154183E-2</v>
      </c>
      <c r="AI656" s="6">
        <f>IF(SalesData[[#This Row],[Contracts Signed]]=0,0,SalesData[[#This Row],[Profit(€)]]/SalesData[[#This Row],[Contracts Signed]])</f>
        <v>3541</v>
      </c>
      <c r="AJ656" s="5" t="str">
        <f>TRIM(CLEAN(SalesData[[#This Row],[Retailer]]))</f>
        <v>Saxon Wheels</v>
      </c>
    </row>
    <row r="657" spans="1:36" ht="14.25" hidden="1" x14ac:dyDescent="0.2">
      <c r="A657" t="s">
        <v>1232</v>
      </c>
      <c r="B657" s="1">
        <v>46073</v>
      </c>
      <c r="C657" t="s">
        <v>62</v>
      </c>
      <c r="D657" t="s">
        <v>54</v>
      </c>
      <c r="E657" t="s">
        <v>26</v>
      </c>
      <c r="F657" t="s">
        <v>74</v>
      </c>
      <c r="G657" t="s">
        <v>75</v>
      </c>
      <c r="H657" t="s">
        <v>76</v>
      </c>
      <c r="I657" t="s">
        <v>64</v>
      </c>
      <c r="J657" t="s">
        <v>65</v>
      </c>
      <c r="K657" t="s">
        <v>66</v>
      </c>
      <c r="L657" t="s">
        <v>33</v>
      </c>
      <c r="M657" t="s">
        <v>47</v>
      </c>
      <c r="N657" t="s">
        <v>69</v>
      </c>
      <c r="O657" t="s">
        <v>70</v>
      </c>
      <c r="P657" t="s">
        <v>71</v>
      </c>
      <c r="Q657" t="s">
        <v>38</v>
      </c>
      <c r="R657">
        <v>159</v>
      </c>
      <c r="S657">
        <v>76</v>
      </c>
      <c r="T657">
        <v>56</v>
      </c>
      <c r="U657">
        <v>20</v>
      </c>
      <c r="V657" t="s">
        <v>6471</v>
      </c>
      <c r="W657">
        <v>56789</v>
      </c>
      <c r="X657" t="s">
        <v>7107</v>
      </c>
      <c r="Y657">
        <v>41745</v>
      </c>
      <c r="Z657">
        <v>1135780</v>
      </c>
      <c r="AA657">
        <v>300880</v>
      </c>
      <c r="AB657" t="str">
        <f>(VLOOKUP(SalesData[[#This Row],[Month Number]],Reference!C$5:E$16,2,FALSE))</f>
        <v>Feb</v>
      </c>
      <c r="AC657">
        <f>MONTH(SalesData[[#This Row],[Date]])</f>
        <v>2</v>
      </c>
      <c r="AD657">
        <f>Reference!F$4</f>
        <v>2026</v>
      </c>
      <c r="AE657" t="str">
        <f>IF(OR(SalesData[[#This Row],[Day]]="Saturday",SalesData[[#This Row],[Day]]="Sunday"),"Weekend","Weekday")</f>
        <v>Weekday</v>
      </c>
      <c r="AF657" s="5">
        <f>IF(SalesData[[#This Row],[Contracts Offered]]=0,0,SalesData[[#This Row],[Contracts Signed]]/SalesData[[#This Row],[Contracts Offered]])</f>
        <v>0.35714285714285715</v>
      </c>
      <c r="AG657" s="5">
        <f>IF(SalesData[[#This Row],[Customers Visited]]=0,0,SalesData[[#This Row],[Test Drives]]/SalesData[[#This Row],[Customers Visited]])</f>
        <v>0.4779874213836478</v>
      </c>
      <c r="AH657" s="5">
        <f>IF(SalesData[[#This Row],[Customers Visited]]=0,0,SalesData[[#This Row],[Contracts Signed]]/SalesData[[#This Row],[Customers Visited]])</f>
        <v>0.12578616352201258</v>
      </c>
      <c r="AI657" s="6">
        <f>IF(SalesData[[#This Row],[Contracts Signed]]=0,0,SalesData[[#This Row],[Profit(€)]]/SalesData[[#This Row],[Contracts Signed]])</f>
        <v>15044</v>
      </c>
      <c r="AJ657" s="5" t="str">
        <f>TRIM(CLEAN(SalesData[[#This Row],[Retailer]]))</f>
        <v>Stuttgart Auto Center</v>
      </c>
    </row>
    <row r="658" spans="1:36" ht="14.25" x14ac:dyDescent="0.2">
      <c r="A658" t="s">
        <v>1234</v>
      </c>
      <c r="B658" s="1">
        <v>46057</v>
      </c>
      <c r="C658" t="s">
        <v>24</v>
      </c>
      <c r="D658" t="s">
        <v>82</v>
      </c>
      <c r="E658" t="s">
        <v>26</v>
      </c>
      <c r="F658" t="s">
        <v>109</v>
      </c>
      <c r="G658" t="s">
        <v>110</v>
      </c>
      <c r="H658" t="s">
        <v>45</v>
      </c>
      <c r="I658" t="s">
        <v>30</v>
      </c>
      <c r="J658" t="s">
        <v>7075</v>
      </c>
      <c r="K658" t="s">
        <v>66</v>
      </c>
      <c r="L658" t="s">
        <v>33</v>
      </c>
      <c r="M658" t="s">
        <v>68</v>
      </c>
      <c r="N658" t="s">
        <v>35</v>
      </c>
      <c r="O658" t="s">
        <v>70</v>
      </c>
      <c r="P658" t="s">
        <v>58</v>
      </c>
      <c r="Q658" t="s">
        <v>59</v>
      </c>
      <c r="R658">
        <v>275</v>
      </c>
      <c r="S658">
        <v>132</v>
      </c>
      <c r="T658">
        <v>99</v>
      </c>
      <c r="U658">
        <v>37</v>
      </c>
      <c r="V658" t="s">
        <v>6925</v>
      </c>
      <c r="W658">
        <v>62499</v>
      </c>
      <c r="X658" t="s">
        <v>7283</v>
      </c>
      <c r="Y658">
        <v>44375</v>
      </c>
      <c r="Z658">
        <v>2312463</v>
      </c>
      <c r="AA658">
        <v>670588</v>
      </c>
      <c r="AB658" t="str">
        <f>(VLOOKUP(SalesData[[#This Row],[Month Number]],Reference!C$5:E$16,2,FALSE))</f>
        <v>Feb</v>
      </c>
      <c r="AC658">
        <f>MONTH(SalesData[[#This Row],[Date]])</f>
        <v>2</v>
      </c>
      <c r="AD658">
        <f>Reference!F$4</f>
        <v>2026</v>
      </c>
      <c r="AE658" t="str">
        <f>IF(OR(SalesData[[#This Row],[Day]]="Saturday",SalesData[[#This Row],[Day]]="Sunday"),"Weekend","Weekday")</f>
        <v>Weekday</v>
      </c>
      <c r="AF658" s="5">
        <f>IF(SalesData[[#This Row],[Contracts Offered]]=0,0,SalesData[[#This Row],[Contracts Signed]]/SalesData[[#This Row],[Contracts Offered]])</f>
        <v>0.37373737373737376</v>
      </c>
      <c r="AG658" s="5">
        <f>IF(SalesData[[#This Row],[Customers Visited]]=0,0,SalesData[[#This Row],[Test Drives]]/SalesData[[#This Row],[Customers Visited]])</f>
        <v>0.48</v>
      </c>
      <c r="AH658" s="5">
        <f>IF(SalesData[[#This Row],[Customers Visited]]=0,0,SalesData[[#This Row],[Contracts Signed]]/SalesData[[#This Row],[Customers Visited]])</f>
        <v>0.13454545454545455</v>
      </c>
      <c r="AI658" s="6">
        <f>IF(SalesData[[#This Row],[Contracts Signed]]=0,0,SalesData[[#This Row],[Profit(€)]]/SalesData[[#This Row],[Contracts Signed]])</f>
        <v>18124</v>
      </c>
      <c r="AJ658" s="5" t="str">
        <f>TRIM(CLEAN(SalesData[[#This Row],[Retailer]]))</f>
        <v>Leipzig Mobility</v>
      </c>
    </row>
    <row r="659" spans="1:36" ht="14.25" hidden="1" x14ac:dyDescent="0.2">
      <c r="A659" t="s">
        <v>1236</v>
      </c>
      <c r="B659" s="1">
        <v>46067</v>
      </c>
      <c r="C659" t="s">
        <v>121</v>
      </c>
      <c r="D659" t="s">
        <v>151</v>
      </c>
      <c r="E659" t="s">
        <v>42</v>
      </c>
      <c r="F659" t="s">
        <v>101</v>
      </c>
      <c r="G659" t="s">
        <v>102</v>
      </c>
      <c r="H659" t="s">
        <v>103</v>
      </c>
      <c r="I659" t="s">
        <v>64</v>
      </c>
      <c r="J659" t="s">
        <v>77</v>
      </c>
      <c r="K659" t="s">
        <v>91</v>
      </c>
      <c r="L659" t="s">
        <v>46</v>
      </c>
      <c r="M659" t="s">
        <v>47</v>
      </c>
      <c r="N659" t="s">
        <v>48</v>
      </c>
      <c r="O659" t="s">
        <v>70</v>
      </c>
      <c r="P659" t="s">
        <v>49</v>
      </c>
      <c r="Q659" t="s">
        <v>118</v>
      </c>
      <c r="R659">
        <v>233</v>
      </c>
      <c r="S659">
        <v>119</v>
      </c>
      <c r="T659">
        <v>79</v>
      </c>
      <c r="U659">
        <v>26</v>
      </c>
      <c r="V659" t="s">
        <v>6798</v>
      </c>
      <c r="W659">
        <v>72898</v>
      </c>
      <c r="X659" t="s">
        <v>7284</v>
      </c>
      <c r="Y659">
        <v>54235</v>
      </c>
      <c r="Z659">
        <v>1895348</v>
      </c>
      <c r="AA659">
        <v>485238</v>
      </c>
      <c r="AB659" t="str">
        <f>(VLOOKUP(SalesData[[#This Row],[Month Number]],Reference!C$5:E$16,2,FALSE))</f>
        <v>Feb</v>
      </c>
      <c r="AC659">
        <f>MONTH(SalesData[[#This Row],[Date]])</f>
        <v>2</v>
      </c>
      <c r="AD659">
        <f>Reference!F$4</f>
        <v>2026</v>
      </c>
      <c r="AE659" t="str">
        <f>IF(OR(SalesData[[#This Row],[Day]]="Saturday",SalesData[[#This Row],[Day]]="Sunday"),"Weekend","Weekday")</f>
        <v>Weekend</v>
      </c>
      <c r="AF659" s="5">
        <f>IF(SalesData[[#This Row],[Contracts Offered]]=0,0,SalesData[[#This Row],[Contracts Signed]]/SalesData[[#This Row],[Contracts Offered]])</f>
        <v>0.32911392405063289</v>
      </c>
      <c r="AG659" s="5">
        <f>IF(SalesData[[#This Row],[Customers Visited]]=0,0,SalesData[[#This Row],[Test Drives]]/SalesData[[#This Row],[Customers Visited]])</f>
        <v>0.51072961373390557</v>
      </c>
      <c r="AH659" s="5">
        <f>IF(SalesData[[#This Row],[Customers Visited]]=0,0,SalesData[[#This Row],[Contracts Signed]]/SalesData[[#This Row],[Customers Visited]])</f>
        <v>0.11158798283261803</v>
      </c>
      <c r="AI659" s="6">
        <f>IF(SalesData[[#This Row],[Contracts Signed]]=0,0,SalesData[[#This Row],[Profit(€)]]/SalesData[[#This Row],[Contracts Signed]])</f>
        <v>18663</v>
      </c>
      <c r="AJ659" s="5" t="str">
        <f>TRIM(CLEAN(SalesData[[#This Row],[Retailer]]))</f>
        <v>Ruhr Auto Plaza</v>
      </c>
    </row>
    <row r="660" spans="1:36" ht="14.25" x14ac:dyDescent="0.2">
      <c r="A660" t="s">
        <v>1238</v>
      </c>
      <c r="B660" s="1">
        <v>46062</v>
      </c>
      <c r="C660" t="s">
        <v>121</v>
      </c>
      <c r="D660" t="s">
        <v>25</v>
      </c>
      <c r="E660" t="s">
        <v>26</v>
      </c>
      <c r="F660" t="s">
        <v>27</v>
      </c>
      <c r="G660" t="s">
        <v>28</v>
      </c>
      <c r="H660" t="s">
        <v>29</v>
      </c>
      <c r="I660" t="s">
        <v>30</v>
      </c>
      <c r="J660" t="s">
        <v>31</v>
      </c>
      <c r="K660" t="s">
        <v>91</v>
      </c>
      <c r="L660" t="s">
        <v>46</v>
      </c>
      <c r="M660" t="s">
        <v>87</v>
      </c>
      <c r="N660" t="s">
        <v>35</v>
      </c>
      <c r="O660" t="s">
        <v>70</v>
      </c>
      <c r="P660" t="s">
        <v>37</v>
      </c>
      <c r="Q660" t="s">
        <v>59</v>
      </c>
      <c r="R660">
        <v>221</v>
      </c>
      <c r="S660">
        <v>132</v>
      </c>
      <c r="T660">
        <v>101</v>
      </c>
      <c r="U660">
        <v>36</v>
      </c>
      <c r="V660" t="s">
        <v>6483</v>
      </c>
      <c r="W660">
        <v>67399</v>
      </c>
      <c r="X660" t="s">
        <v>2348</v>
      </c>
      <c r="Y660">
        <v>48761</v>
      </c>
      <c r="Z660">
        <v>2426364</v>
      </c>
      <c r="AA660">
        <v>670968</v>
      </c>
      <c r="AB660" t="str">
        <f>(VLOOKUP(SalesData[[#This Row],[Month Number]],Reference!C$5:E$16,2,FALSE))</f>
        <v>Feb</v>
      </c>
      <c r="AC660">
        <f>MONTH(SalesData[[#This Row],[Date]])</f>
        <v>2</v>
      </c>
      <c r="AD660">
        <f>Reference!F$4</f>
        <v>2026</v>
      </c>
      <c r="AE660" t="str">
        <f>IF(OR(SalesData[[#This Row],[Day]]="Saturday",SalesData[[#This Row],[Day]]="Sunday"),"Weekend","Weekday")</f>
        <v>Weekday</v>
      </c>
      <c r="AF660" s="5">
        <f>IF(SalesData[[#This Row],[Contracts Offered]]=0,0,SalesData[[#This Row],[Contracts Signed]]/SalesData[[#This Row],[Contracts Offered]])</f>
        <v>0.35643564356435642</v>
      </c>
      <c r="AG660" s="5">
        <f>IF(SalesData[[#This Row],[Customers Visited]]=0,0,SalesData[[#This Row],[Test Drives]]/SalesData[[#This Row],[Customers Visited]])</f>
        <v>0.59728506787330315</v>
      </c>
      <c r="AH660" s="5">
        <f>IF(SalesData[[#This Row],[Customers Visited]]=0,0,SalesData[[#This Row],[Contracts Signed]]/SalesData[[#This Row],[Customers Visited]])</f>
        <v>0.16289592760180996</v>
      </c>
      <c r="AI660" s="6">
        <f>IF(SalesData[[#This Row],[Contracts Signed]]=0,0,SalesData[[#This Row],[Profit(€)]]/SalesData[[#This Row],[Contracts Signed]])</f>
        <v>18638</v>
      </c>
      <c r="AJ660" s="5" t="str">
        <f>TRIM(CLEAN(SalesData[[#This Row],[Retailer]]))</f>
        <v>Main Auto Hub</v>
      </c>
    </row>
    <row r="661" spans="1:36" ht="14.25" hidden="1" x14ac:dyDescent="0.2">
      <c r="A661" t="s">
        <v>1240</v>
      </c>
      <c r="B661" s="1">
        <v>46070</v>
      </c>
      <c r="C661" t="s">
        <v>62</v>
      </c>
      <c r="D661" t="s">
        <v>63</v>
      </c>
      <c r="E661" t="s">
        <v>26</v>
      </c>
      <c r="F661" t="s">
        <v>101</v>
      </c>
      <c r="G661" t="s">
        <v>102</v>
      </c>
      <c r="H661" t="s">
        <v>103</v>
      </c>
      <c r="I661" t="s">
        <v>56</v>
      </c>
      <c r="J661" t="s">
        <v>97</v>
      </c>
      <c r="K661" t="s">
        <v>32</v>
      </c>
      <c r="L661" t="s">
        <v>33</v>
      </c>
      <c r="M661" t="s">
        <v>87</v>
      </c>
      <c r="N661" t="s">
        <v>69</v>
      </c>
      <c r="O661" t="s">
        <v>36</v>
      </c>
      <c r="P661" t="s">
        <v>49</v>
      </c>
      <c r="Q661" t="s">
        <v>204</v>
      </c>
      <c r="R661">
        <v>310</v>
      </c>
      <c r="S661">
        <v>145</v>
      </c>
      <c r="T661">
        <v>109</v>
      </c>
      <c r="U661">
        <v>30</v>
      </c>
      <c r="V661" t="s">
        <v>6818</v>
      </c>
      <c r="W661">
        <v>50810</v>
      </c>
      <c r="X661" t="s">
        <v>826</v>
      </c>
      <c r="Y661">
        <v>40872</v>
      </c>
      <c r="Z661">
        <v>1524300</v>
      </c>
      <c r="AA661">
        <v>298140</v>
      </c>
      <c r="AB661" t="str">
        <f>(VLOOKUP(SalesData[[#This Row],[Month Number]],Reference!C$5:E$16,2,FALSE))</f>
        <v>Feb</v>
      </c>
      <c r="AC661">
        <f>MONTH(SalesData[[#This Row],[Date]])</f>
        <v>2</v>
      </c>
      <c r="AD661">
        <f>Reference!F$4</f>
        <v>2026</v>
      </c>
      <c r="AE661" t="str">
        <f>IF(OR(SalesData[[#This Row],[Day]]="Saturday",SalesData[[#This Row],[Day]]="Sunday"),"Weekend","Weekday")</f>
        <v>Weekday</v>
      </c>
      <c r="AF661" s="5">
        <f>IF(SalesData[[#This Row],[Contracts Offered]]=0,0,SalesData[[#This Row],[Contracts Signed]]/SalesData[[#This Row],[Contracts Offered]])</f>
        <v>0.27522935779816515</v>
      </c>
      <c r="AG661" s="5">
        <f>IF(SalesData[[#This Row],[Customers Visited]]=0,0,SalesData[[#This Row],[Test Drives]]/SalesData[[#This Row],[Customers Visited]])</f>
        <v>0.46774193548387094</v>
      </c>
      <c r="AH661" s="5">
        <f>IF(SalesData[[#This Row],[Customers Visited]]=0,0,SalesData[[#This Row],[Contracts Signed]]/SalesData[[#This Row],[Customers Visited]])</f>
        <v>9.6774193548387094E-2</v>
      </c>
      <c r="AI661" s="6">
        <f>IF(SalesData[[#This Row],[Contracts Signed]]=0,0,SalesData[[#This Row],[Profit(€)]]/SalesData[[#This Row],[Contracts Signed]])</f>
        <v>9938</v>
      </c>
      <c r="AJ661" s="5" t="str">
        <f>TRIM(CLEAN(SalesData[[#This Row],[Retailer]]))</f>
        <v>Ruhr Auto Plaza</v>
      </c>
    </row>
    <row r="662" spans="1:36" ht="14.25" hidden="1" x14ac:dyDescent="0.2">
      <c r="A662" t="s">
        <v>1241</v>
      </c>
      <c r="B662" s="1">
        <v>46064</v>
      </c>
      <c r="C662" t="s">
        <v>121</v>
      </c>
      <c r="D662" t="s">
        <v>82</v>
      </c>
      <c r="E662" t="s">
        <v>26</v>
      </c>
      <c r="F662" t="s">
        <v>114</v>
      </c>
      <c r="G662" t="s">
        <v>115</v>
      </c>
      <c r="H662" t="s">
        <v>115</v>
      </c>
      <c r="I662" t="s">
        <v>56</v>
      </c>
      <c r="J662" t="s">
        <v>57</v>
      </c>
      <c r="K662" t="s">
        <v>32</v>
      </c>
      <c r="L662" t="s">
        <v>46</v>
      </c>
      <c r="M662" t="s">
        <v>68</v>
      </c>
      <c r="N662" t="s">
        <v>35</v>
      </c>
      <c r="O662" t="s">
        <v>36</v>
      </c>
      <c r="P662" t="s">
        <v>71</v>
      </c>
      <c r="Q662" t="s">
        <v>347</v>
      </c>
      <c r="R662">
        <v>313</v>
      </c>
      <c r="S662">
        <v>195</v>
      </c>
      <c r="T662">
        <v>142</v>
      </c>
      <c r="U662">
        <v>48</v>
      </c>
      <c r="V662" t="s">
        <v>6759</v>
      </c>
      <c r="W662">
        <v>51974</v>
      </c>
      <c r="X662" t="s">
        <v>170</v>
      </c>
      <c r="Y662">
        <v>42420</v>
      </c>
      <c r="Z662">
        <v>2494752</v>
      </c>
      <c r="AA662">
        <v>458592</v>
      </c>
      <c r="AB662" t="str">
        <f>(VLOOKUP(SalesData[[#This Row],[Month Number]],Reference!C$5:E$16,2,FALSE))</f>
        <v>Feb</v>
      </c>
      <c r="AC662">
        <f>MONTH(SalesData[[#This Row],[Date]])</f>
        <v>2</v>
      </c>
      <c r="AD662">
        <f>Reference!F$4</f>
        <v>2026</v>
      </c>
      <c r="AE662" t="str">
        <f>IF(OR(SalesData[[#This Row],[Day]]="Saturday",SalesData[[#This Row],[Day]]="Sunday"),"Weekend","Weekday")</f>
        <v>Weekday</v>
      </c>
      <c r="AF662" s="5">
        <f>IF(SalesData[[#This Row],[Contracts Offered]]=0,0,SalesData[[#This Row],[Contracts Signed]]/SalesData[[#This Row],[Contracts Offered]])</f>
        <v>0.3380281690140845</v>
      </c>
      <c r="AG662" s="5">
        <f>IF(SalesData[[#This Row],[Customers Visited]]=0,0,SalesData[[#This Row],[Test Drives]]/SalesData[[#This Row],[Customers Visited]])</f>
        <v>0.6230031948881789</v>
      </c>
      <c r="AH662" s="5">
        <f>IF(SalesData[[#This Row],[Customers Visited]]=0,0,SalesData[[#This Row],[Contracts Signed]]/SalesData[[#This Row],[Customers Visited]])</f>
        <v>0.15335463258785942</v>
      </c>
      <c r="AI662" s="6">
        <f>IF(SalesData[[#This Row],[Contracts Signed]]=0,0,SalesData[[#This Row],[Profit(€)]]/SalesData[[#This Row],[Contracts Signed]])</f>
        <v>9554</v>
      </c>
      <c r="AJ662" s="5" t="str">
        <f>TRIM(CLEAN(SalesData[[#This Row],[Retailer]]))</f>
        <v>Elbe Drive</v>
      </c>
    </row>
    <row r="663" spans="1:36" ht="14.25" hidden="1" x14ac:dyDescent="0.2">
      <c r="A663" t="s">
        <v>1242</v>
      </c>
      <c r="B663" s="1">
        <v>46058</v>
      </c>
      <c r="C663" t="s">
        <v>24</v>
      </c>
      <c r="D663" t="s">
        <v>100</v>
      </c>
      <c r="E663" t="s">
        <v>26</v>
      </c>
      <c r="F663" t="s">
        <v>83</v>
      </c>
      <c r="G663" t="s">
        <v>84</v>
      </c>
      <c r="H663" t="s">
        <v>85</v>
      </c>
      <c r="I663" t="s">
        <v>104</v>
      </c>
      <c r="J663" t="s">
        <v>140</v>
      </c>
      <c r="K663" t="s">
        <v>78</v>
      </c>
      <c r="L663" t="s">
        <v>46</v>
      </c>
      <c r="M663" t="s">
        <v>47</v>
      </c>
      <c r="N663" t="s">
        <v>35</v>
      </c>
      <c r="O663" t="s">
        <v>70</v>
      </c>
      <c r="P663" t="s">
        <v>37</v>
      </c>
      <c r="Q663" t="s">
        <v>152</v>
      </c>
      <c r="R663">
        <v>377</v>
      </c>
      <c r="S663">
        <v>197</v>
      </c>
      <c r="T663">
        <v>140</v>
      </c>
      <c r="U663">
        <v>32</v>
      </c>
      <c r="V663" t="s">
        <v>1493</v>
      </c>
      <c r="W663">
        <v>25862</v>
      </c>
      <c r="X663" t="s">
        <v>7211</v>
      </c>
      <c r="Y663">
        <v>22625</v>
      </c>
      <c r="Z663">
        <v>827584</v>
      </c>
      <c r="AA663">
        <v>103584</v>
      </c>
      <c r="AB663" t="str">
        <f>(VLOOKUP(SalesData[[#This Row],[Month Number]],Reference!C$5:E$16,2,FALSE))</f>
        <v>Feb</v>
      </c>
      <c r="AC663">
        <f>MONTH(SalesData[[#This Row],[Date]])</f>
        <v>2</v>
      </c>
      <c r="AD663">
        <f>Reference!F$4</f>
        <v>2026</v>
      </c>
      <c r="AE663" t="str">
        <f>IF(OR(SalesData[[#This Row],[Day]]="Saturday",SalesData[[#This Row],[Day]]="Sunday"),"Weekend","Weekday")</f>
        <v>Weekday</v>
      </c>
      <c r="AF663" s="5">
        <f>IF(SalesData[[#This Row],[Contracts Offered]]=0,0,SalesData[[#This Row],[Contracts Signed]]/SalesData[[#This Row],[Contracts Offered]])</f>
        <v>0.22857142857142856</v>
      </c>
      <c r="AG663" s="5">
        <f>IF(SalesData[[#This Row],[Customers Visited]]=0,0,SalesData[[#This Row],[Test Drives]]/SalesData[[#This Row],[Customers Visited]])</f>
        <v>0.52254641909814326</v>
      </c>
      <c r="AH663" s="5">
        <f>IF(SalesData[[#This Row],[Customers Visited]]=0,0,SalesData[[#This Row],[Contracts Signed]]/SalesData[[#This Row],[Customers Visited]])</f>
        <v>8.4880636604774531E-2</v>
      </c>
      <c r="AI663" s="6">
        <f>IF(SalesData[[#This Row],[Contracts Signed]]=0,0,SalesData[[#This Row],[Profit(€)]]/SalesData[[#This Row],[Contracts Signed]])</f>
        <v>3237</v>
      </c>
      <c r="AJ663" s="5" t="str">
        <f>TRIM(CLEAN(SalesData[[#This Row],[Retailer]]))</f>
        <v>Hannover Cars</v>
      </c>
    </row>
    <row r="664" spans="1:36" ht="14.25" hidden="1" x14ac:dyDescent="0.2">
      <c r="A664" t="s">
        <v>1243</v>
      </c>
      <c r="B664" s="1">
        <v>46056</v>
      </c>
      <c r="C664" t="s">
        <v>24</v>
      </c>
      <c r="D664" t="s">
        <v>63</v>
      </c>
      <c r="E664" t="s">
        <v>26</v>
      </c>
      <c r="F664" t="s">
        <v>7649</v>
      </c>
      <c r="G664" t="s">
        <v>55</v>
      </c>
      <c r="H664" t="s">
        <v>55</v>
      </c>
      <c r="I664" t="s">
        <v>56</v>
      </c>
      <c r="J664" t="s">
        <v>7028</v>
      </c>
      <c r="K664" t="s">
        <v>91</v>
      </c>
      <c r="L664" t="s">
        <v>46</v>
      </c>
      <c r="M664" t="s">
        <v>34</v>
      </c>
      <c r="N664" t="s">
        <v>48</v>
      </c>
      <c r="O664" t="s">
        <v>70</v>
      </c>
      <c r="P664" t="s">
        <v>49</v>
      </c>
      <c r="Q664" t="s">
        <v>50</v>
      </c>
      <c r="R664">
        <v>318</v>
      </c>
      <c r="S664">
        <v>195</v>
      </c>
      <c r="T664">
        <v>141</v>
      </c>
      <c r="U664">
        <v>43</v>
      </c>
      <c r="V664" t="s">
        <v>6538</v>
      </c>
      <c r="W664">
        <v>45383</v>
      </c>
      <c r="X664" t="s">
        <v>7217</v>
      </c>
      <c r="Y664">
        <v>36488</v>
      </c>
      <c r="Z664">
        <v>1951469</v>
      </c>
      <c r="AA664">
        <v>382485</v>
      </c>
      <c r="AB664" t="str">
        <f>(VLOOKUP(SalesData[[#This Row],[Month Number]],Reference!C$5:E$16,2,FALSE))</f>
        <v>Feb</v>
      </c>
      <c r="AC664">
        <f>MONTH(SalesData[[#This Row],[Date]])</f>
        <v>2</v>
      </c>
      <c r="AD664">
        <f>Reference!F$4</f>
        <v>2026</v>
      </c>
      <c r="AE664" t="str">
        <f>IF(OR(SalesData[[#This Row],[Day]]="Saturday",SalesData[[#This Row],[Day]]="Sunday"),"Weekend","Weekday")</f>
        <v>Weekday</v>
      </c>
      <c r="AF664" s="5">
        <f>IF(SalesData[[#This Row],[Contracts Offered]]=0,0,SalesData[[#This Row],[Contracts Signed]]/SalesData[[#This Row],[Contracts Offered]])</f>
        <v>0.30496453900709219</v>
      </c>
      <c r="AG664" s="5">
        <f>IF(SalesData[[#This Row],[Customers Visited]]=0,0,SalesData[[#This Row],[Test Drives]]/SalesData[[#This Row],[Customers Visited]])</f>
        <v>0.6132075471698113</v>
      </c>
      <c r="AH664" s="5">
        <f>IF(SalesData[[#This Row],[Customers Visited]]=0,0,SalesData[[#This Row],[Contracts Signed]]/SalesData[[#This Row],[Customers Visited]])</f>
        <v>0.13522012578616352</v>
      </c>
      <c r="AI664" s="6">
        <f>IF(SalesData[[#This Row],[Contracts Signed]]=0,0,SalesData[[#This Row],[Profit(€)]]/SalesData[[#This Row],[Contracts Signed]])</f>
        <v>8895</v>
      </c>
      <c r="AJ664" s="5" t="str">
        <f>TRIM(CLEAN(SalesData[[#This Row],[Retailer]]))</f>
        <v>Autohaus Berlin</v>
      </c>
    </row>
    <row r="665" spans="1:36" ht="14.25" hidden="1" x14ac:dyDescent="0.2">
      <c r="A665" t="s">
        <v>1245</v>
      </c>
      <c r="B665" s="1">
        <v>46076</v>
      </c>
      <c r="C665" t="s">
        <v>53</v>
      </c>
      <c r="D665" t="s">
        <v>25</v>
      </c>
      <c r="E665" t="s">
        <v>26</v>
      </c>
      <c r="F665" t="s">
        <v>114</v>
      </c>
      <c r="G665" t="s">
        <v>115</v>
      </c>
      <c r="H665" t="s">
        <v>115</v>
      </c>
      <c r="I665" t="s">
        <v>116</v>
      </c>
      <c r="J665" t="s">
        <v>7090</v>
      </c>
      <c r="K665" t="s">
        <v>32</v>
      </c>
      <c r="L665" t="s">
        <v>46</v>
      </c>
      <c r="M665" t="s">
        <v>87</v>
      </c>
      <c r="N665" t="s">
        <v>48</v>
      </c>
      <c r="O665" t="s">
        <v>36</v>
      </c>
      <c r="P665" t="s">
        <v>37</v>
      </c>
      <c r="Q665" t="s">
        <v>129</v>
      </c>
      <c r="R665">
        <v>326</v>
      </c>
      <c r="S665">
        <v>155</v>
      </c>
      <c r="T665">
        <v>103</v>
      </c>
      <c r="U665">
        <v>27</v>
      </c>
      <c r="V665" t="s">
        <v>1139</v>
      </c>
      <c r="W665">
        <v>21269</v>
      </c>
      <c r="X665" t="s">
        <v>1124</v>
      </c>
      <c r="Y665">
        <v>19729</v>
      </c>
      <c r="Z665">
        <v>574263</v>
      </c>
      <c r="AA665">
        <v>41580</v>
      </c>
      <c r="AB665" t="str">
        <f>(VLOOKUP(SalesData[[#This Row],[Month Number]],Reference!C$5:E$16,2,FALSE))</f>
        <v>Feb</v>
      </c>
      <c r="AC665">
        <f>MONTH(SalesData[[#This Row],[Date]])</f>
        <v>2</v>
      </c>
      <c r="AD665">
        <f>Reference!F$4</f>
        <v>2026</v>
      </c>
      <c r="AE665" t="str">
        <f>IF(OR(SalesData[[#This Row],[Day]]="Saturday",SalesData[[#This Row],[Day]]="Sunday"),"Weekend","Weekday")</f>
        <v>Weekday</v>
      </c>
      <c r="AF665" s="5">
        <f>IF(SalesData[[#This Row],[Contracts Offered]]=0,0,SalesData[[#This Row],[Contracts Signed]]/SalesData[[#This Row],[Contracts Offered]])</f>
        <v>0.26213592233009708</v>
      </c>
      <c r="AG665" s="5">
        <f>IF(SalesData[[#This Row],[Customers Visited]]=0,0,SalesData[[#This Row],[Test Drives]]/SalesData[[#This Row],[Customers Visited]])</f>
        <v>0.47546012269938648</v>
      </c>
      <c r="AH665" s="5">
        <f>IF(SalesData[[#This Row],[Customers Visited]]=0,0,SalesData[[#This Row],[Contracts Signed]]/SalesData[[#This Row],[Customers Visited]])</f>
        <v>8.2822085889570546E-2</v>
      </c>
      <c r="AI665" s="6">
        <f>IF(SalesData[[#This Row],[Contracts Signed]]=0,0,SalesData[[#This Row],[Profit(€)]]/SalesData[[#This Row],[Contracts Signed]])</f>
        <v>1540</v>
      </c>
      <c r="AJ665" s="5" t="str">
        <f>TRIM(CLEAN(SalesData[[#This Row],[Retailer]]))</f>
        <v>Elbe Drive</v>
      </c>
    </row>
    <row r="666" spans="1:36" ht="14.25" hidden="1" x14ac:dyDescent="0.2">
      <c r="A666" t="s">
        <v>1246</v>
      </c>
      <c r="B666" s="1">
        <v>46081</v>
      </c>
      <c r="C666" t="s">
        <v>53</v>
      </c>
      <c r="D666" t="s">
        <v>151</v>
      </c>
      <c r="E666" t="s">
        <v>42</v>
      </c>
      <c r="F666" t="s">
        <v>43</v>
      </c>
      <c r="G666" t="s">
        <v>44</v>
      </c>
      <c r="H666" t="s">
        <v>45</v>
      </c>
      <c r="I666" t="s">
        <v>64</v>
      </c>
      <c r="J666" t="s">
        <v>7029</v>
      </c>
      <c r="K666" t="s">
        <v>66</v>
      </c>
      <c r="L666" t="s">
        <v>33</v>
      </c>
      <c r="M666" t="s">
        <v>87</v>
      </c>
      <c r="N666" t="s">
        <v>35</v>
      </c>
      <c r="O666" t="s">
        <v>36</v>
      </c>
      <c r="P666" t="s">
        <v>71</v>
      </c>
      <c r="Q666" t="s">
        <v>50</v>
      </c>
      <c r="R666">
        <v>172</v>
      </c>
      <c r="S666">
        <v>101</v>
      </c>
      <c r="T666">
        <v>73</v>
      </c>
      <c r="U666">
        <v>25</v>
      </c>
      <c r="V666" t="s">
        <v>6551</v>
      </c>
      <c r="W666">
        <v>67740</v>
      </c>
      <c r="X666" t="s">
        <v>7252</v>
      </c>
      <c r="Y666">
        <v>52008</v>
      </c>
      <c r="Z666">
        <v>1693500</v>
      </c>
      <c r="AA666">
        <v>393300</v>
      </c>
      <c r="AB666" t="str">
        <f>(VLOOKUP(SalesData[[#This Row],[Month Number]],Reference!C$5:E$16,2,FALSE))</f>
        <v>Feb</v>
      </c>
      <c r="AC666">
        <f>MONTH(SalesData[[#This Row],[Date]])</f>
        <v>2</v>
      </c>
      <c r="AD666">
        <f>Reference!F$4</f>
        <v>2026</v>
      </c>
      <c r="AE666" t="str">
        <f>IF(OR(SalesData[[#This Row],[Day]]="Saturday",SalesData[[#This Row],[Day]]="Sunday"),"Weekend","Weekday")</f>
        <v>Weekend</v>
      </c>
      <c r="AF666" s="5">
        <f>IF(SalesData[[#This Row],[Contracts Offered]]=0,0,SalesData[[#This Row],[Contracts Signed]]/SalesData[[#This Row],[Contracts Offered]])</f>
        <v>0.34246575342465752</v>
      </c>
      <c r="AG666" s="5">
        <f>IF(SalesData[[#This Row],[Customers Visited]]=0,0,SalesData[[#This Row],[Test Drives]]/SalesData[[#This Row],[Customers Visited]])</f>
        <v>0.58720930232558144</v>
      </c>
      <c r="AH666" s="5">
        <f>IF(SalesData[[#This Row],[Customers Visited]]=0,0,SalesData[[#This Row],[Contracts Signed]]/SalesData[[#This Row],[Customers Visited]])</f>
        <v>0.14534883720930233</v>
      </c>
      <c r="AI666" s="6">
        <f>IF(SalesData[[#This Row],[Contracts Signed]]=0,0,SalesData[[#This Row],[Profit(€)]]/SalesData[[#This Row],[Contracts Signed]])</f>
        <v>15732</v>
      </c>
      <c r="AJ666" s="5" t="str">
        <f>TRIM(CLEAN(SalesData[[#This Row],[Retailer]]))</f>
        <v>Saxon Wheels</v>
      </c>
    </row>
    <row r="667" spans="1:36" ht="14.25" hidden="1" x14ac:dyDescent="0.2">
      <c r="A667" t="s">
        <v>1247</v>
      </c>
      <c r="B667" s="1">
        <v>46059</v>
      </c>
      <c r="C667" t="s">
        <v>24</v>
      </c>
      <c r="D667" t="s">
        <v>54</v>
      </c>
      <c r="E667" t="s">
        <v>26</v>
      </c>
      <c r="F667" t="s">
        <v>27</v>
      </c>
      <c r="G667" t="s">
        <v>28</v>
      </c>
      <c r="H667" t="s">
        <v>29</v>
      </c>
      <c r="I667" t="s">
        <v>56</v>
      </c>
      <c r="J667" t="s">
        <v>97</v>
      </c>
      <c r="K667" t="s">
        <v>78</v>
      </c>
      <c r="L667" t="s">
        <v>33</v>
      </c>
      <c r="M667" t="s">
        <v>68</v>
      </c>
      <c r="N667" t="s">
        <v>69</v>
      </c>
      <c r="O667" t="s">
        <v>36</v>
      </c>
      <c r="P667" t="s">
        <v>49</v>
      </c>
      <c r="Q667" t="s">
        <v>189</v>
      </c>
      <c r="R667">
        <v>270</v>
      </c>
      <c r="S667">
        <v>141</v>
      </c>
      <c r="T667">
        <v>105</v>
      </c>
      <c r="U667">
        <v>29</v>
      </c>
      <c r="V667" t="s">
        <v>6502</v>
      </c>
      <c r="W667">
        <v>47649</v>
      </c>
      <c r="X667" t="s">
        <v>4982</v>
      </c>
      <c r="Y667">
        <v>39031</v>
      </c>
      <c r="Z667">
        <v>1381821</v>
      </c>
      <c r="AA667">
        <v>249922</v>
      </c>
      <c r="AB667" t="str">
        <f>(VLOOKUP(SalesData[[#This Row],[Month Number]],Reference!C$5:E$16,2,FALSE))</f>
        <v>Feb</v>
      </c>
      <c r="AC667">
        <f>MONTH(SalesData[[#This Row],[Date]])</f>
        <v>2</v>
      </c>
      <c r="AD667">
        <f>Reference!F$4</f>
        <v>2026</v>
      </c>
      <c r="AE667" t="str">
        <f>IF(OR(SalesData[[#This Row],[Day]]="Saturday",SalesData[[#This Row],[Day]]="Sunday"),"Weekend","Weekday")</f>
        <v>Weekday</v>
      </c>
      <c r="AF667" s="5">
        <f>IF(SalesData[[#This Row],[Contracts Offered]]=0,0,SalesData[[#This Row],[Contracts Signed]]/SalesData[[#This Row],[Contracts Offered]])</f>
        <v>0.27619047619047621</v>
      </c>
      <c r="AG667" s="5">
        <f>IF(SalesData[[#This Row],[Customers Visited]]=0,0,SalesData[[#This Row],[Test Drives]]/SalesData[[#This Row],[Customers Visited]])</f>
        <v>0.52222222222222225</v>
      </c>
      <c r="AH667" s="5">
        <f>IF(SalesData[[#This Row],[Customers Visited]]=0,0,SalesData[[#This Row],[Contracts Signed]]/SalesData[[#This Row],[Customers Visited]])</f>
        <v>0.10740740740740741</v>
      </c>
      <c r="AI667" s="6">
        <f>IF(SalesData[[#This Row],[Contracts Signed]]=0,0,SalesData[[#This Row],[Profit(€)]]/SalesData[[#This Row],[Contracts Signed]])</f>
        <v>8618</v>
      </c>
      <c r="AJ667" s="5" t="str">
        <f>TRIM(CLEAN(SalesData[[#This Row],[Retailer]]))</f>
        <v>Main Auto Hub</v>
      </c>
    </row>
    <row r="668" spans="1:36" ht="14.25" hidden="1" x14ac:dyDescent="0.2">
      <c r="A668" t="s">
        <v>1249</v>
      </c>
      <c r="B668" s="1">
        <v>46054</v>
      </c>
      <c r="C668" t="s">
        <v>24</v>
      </c>
      <c r="D668" t="s">
        <v>41</v>
      </c>
      <c r="E668" t="s">
        <v>42</v>
      </c>
      <c r="F668" t="s">
        <v>94</v>
      </c>
      <c r="G668" t="s">
        <v>95</v>
      </c>
      <c r="H668" t="s">
        <v>96</v>
      </c>
      <c r="I668" t="s">
        <v>116</v>
      </c>
      <c r="J668" t="s">
        <v>132</v>
      </c>
      <c r="K668" t="s">
        <v>91</v>
      </c>
      <c r="L668" t="s">
        <v>46</v>
      </c>
      <c r="M668" t="s">
        <v>47</v>
      </c>
      <c r="N668" t="s">
        <v>35</v>
      </c>
      <c r="O668" t="s">
        <v>36</v>
      </c>
      <c r="P668" t="s">
        <v>71</v>
      </c>
      <c r="Q668" t="s">
        <v>167</v>
      </c>
      <c r="R668">
        <v>273</v>
      </c>
      <c r="S668">
        <v>119</v>
      </c>
      <c r="T668">
        <v>69</v>
      </c>
      <c r="U668">
        <v>25</v>
      </c>
      <c r="V668" t="s">
        <v>6998</v>
      </c>
      <c r="W668">
        <v>24046</v>
      </c>
      <c r="X668" t="s">
        <v>900</v>
      </c>
      <c r="Y668">
        <v>22005</v>
      </c>
      <c r="Z668">
        <v>601150</v>
      </c>
      <c r="AA668">
        <v>51025</v>
      </c>
      <c r="AB668" t="str">
        <f>(VLOOKUP(SalesData[[#This Row],[Month Number]],Reference!C$5:E$16,2,FALSE))</f>
        <v>Feb</v>
      </c>
      <c r="AC668">
        <f>MONTH(SalesData[[#This Row],[Date]])</f>
        <v>2</v>
      </c>
      <c r="AD668">
        <f>Reference!F$4</f>
        <v>2026</v>
      </c>
      <c r="AE668" t="str">
        <f>IF(OR(SalesData[[#This Row],[Day]]="Saturday",SalesData[[#This Row],[Day]]="Sunday"),"Weekend","Weekday")</f>
        <v>Weekend</v>
      </c>
      <c r="AF668" s="5">
        <f>IF(SalesData[[#This Row],[Contracts Offered]]=0,0,SalesData[[#This Row],[Contracts Signed]]/SalesData[[#This Row],[Contracts Offered]])</f>
        <v>0.36231884057971014</v>
      </c>
      <c r="AG668" s="5">
        <f>IF(SalesData[[#This Row],[Customers Visited]]=0,0,SalesData[[#This Row],[Test Drives]]/SalesData[[#This Row],[Customers Visited]])</f>
        <v>0.4358974358974359</v>
      </c>
      <c r="AH668" s="5">
        <f>IF(SalesData[[#This Row],[Customers Visited]]=0,0,SalesData[[#This Row],[Contracts Signed]]/SalesData[[#This Row],[Customers Visited]])</f>
        <v>9.1575091575091569E-2</v>
      </c>
      <c r="AI668" s="6">
        <f>IF(SalesData[[#This Row],[Contracts Signed]]=0,0,SalesData[[#This Row],[Profit(€)]]/SalesData[[#This Row],[Contracts Signed]])</f>
        <v>2041</v>
      </c>
      <c r="AJ668" s="5" t="str">
        <f>TRIM(CLEAN(SalesData[[#This Row],[Retailer]]))</f>
        <v>Bavaria Motors</v>
      </c>
    </row>
    <row r="669" spans="1:36" ht="14.25" x14ac:dyDescent="0.2">
      <c r="A669" t="s">
        <v>1250</v>
      </c>
      <c r="B669" s="1">
        <v>46075</v>
      </c>
      <c r="C669" t="s">
        <v>53</v>
      </c>
      <c r="D669" t="s">
        <v>41</v>
      </c>
      <c r="E669" t="s">
        <v>42</v>
      </c>
      <c r="F669" t="s">
        <v>127</v>
      </c>
      <c r="G669" t="s">
        <v>128</v>
      </c>
      <c r="H669" t="s">
        <v>103</v>
      </c>
      <c r="I669" t="s">
        <v>30</v>
      </c>
      <c r="J669" t="s">
        <v>188</v>
      </c>
      <c r="K669" t="s">
        <v>66</v>
      </c>
      <c r="L669" t="s">
        <v>33</v>
      </c>
      <c r="M669" t="s">
        <v>34</v>
      </c>
      <c r="N669" t="s">
        <v>35</v>
      </c>
      <c r="O669" t="s">
        <v>70</v>
      </c>
      <c r="P669" t="s">
        <v>49</v>
      </c>
      <c r="Q669" t="s">
        <v>135</v>
      </c>
      <c r="R669">
        <v>254</v>
      </c>
      <c r="S669">
        <v>151</v>
      </c>
      <c r="T669">
        <v>117</v>
      </c>
      <c r="U669">
        <v>41</v>
      </c>
      <c r="V669" t="s">
        <v>6637</v>
      </c>
      <c r="W669">
        <v>60590</v>
      </c>
      <c r="X669" t="s">
        <v>7285</v>
      </c>
      <c r="Y669">
        <v>43160</v>
      </c>
      <c r="Z669">
        <v>2484190</v>
      </c>
      <c r="AA669">
        <v>714630</v>
      </c>
      <c r="AB669" t="str">
        <f>(VLOOKUP(SalesData[[#This Row],[Month Number]],Reference!C$5:E$16,2,FALSE))</f>
        <v>Feb</v>
      </c>
      <c r="AC669">
        <f>MONTH(SalesData[[#This Row],[Date]])</f>
        <v>2</v>
      </c>
      <c r="AD669">
        <f>Reference!F$4</f>
        <v>2026</v>
      </c>
      <c r="AE669" t="str">
        <f>IF(OR(SalesData[[#This Row],[Day]]="Saturday",SalesData[[#This Row],[Day]]="Sunday"),"Weekend","Weekday")</f>
        <v>Weekend</v>
      </c>
      <c r="AF669" s="5">
        <f>IF(SalesData[[#This Row],[Contracts Offered]]=0,0,SalesData[[#This Row],[Contracts Signed]]/SalesData[[#This Row],[Contracts Offered]])</f>
        <v>0.3504273504273504</v>
      </c>
      <c r="AG669" s="5">
        <f>IF(SalesData[[#This Row],[Customers Visited]]=0,0,SalesData[[#This Row],[Test Drives]]/SalesData[[#This Row],[Customers Visited]])</f>
        <v>0.59448818897637801</v>
      </c>
      <c r="AH669" s="5">
        <f>IF(SalesData[[#This Row],[Customers Visited]]=0,0,SalesData[[#This Row],[Contracts Signed]]/SalesData[[#This Row],[Customers Visited]])</f>
        <v>0.16141732283464566</v>
      </c>
      <c r="AI669" s="6">
        <f>IF(SalesData[[#This Row],[Contracts Signed]]=0,0,SalesData[[#This Row],[Profit(€)]]/SalesData[[#This Row],[Contracts Signed]])</f>
        <v>17430</v>
      </c>
      <c r="AJ669" s="5" t="str">
        <f>TRIM(CLEAN(SalesData[[#This Row],[Retailer]]))</f>
        <v>Rhein Auto Group</v>
      </c>
    </row>
    <row r="670" spans="1:36" ht="14.25" hidden="1" x14ac:dyDescent="0.2">
      <c r="A670" t="s">
        <v>1251</v>
      </c>
      <c r="B670" s="1">
        <v>46059</v>
      </c>
      <c r="C670" t="s">
        <v>24</v>
      </c>
      <c r="D670" t="s">
        <v>54</v>
      </c>
      <c r="E670" t="s">
        <v>26</v>
      </c>
      <c r="F670" t="s">
        <v>7649</v>
      </c>
      <c r="G670" t="s">
        <v>55</v>
      </c>
      <c r="H670" t="s">
        <v>55</v>
      </c>
      <c r="I670" t="s">
        <v>56</v>
      </c>
      <c r="J670" t="s">
        <v>137</v>
      </c>
      <c r="K670" t="s">
        <v>91</v>
      </c>
      <c r="L670" t="s">
        <v>46</v>
      </c>
      <c r="M670" t="s">
        <v>68</v>
      </c>
      <c r="N670" t="s">
        <v>35</v>
      </c>
      <c r="O670" t="s">
        <v>70</v>
      </c>
      <c r="P670" t="s">
        <v>58</v>
      </c>
      <c r="Q670" t="s">
        <v>158</v>
      </c>
      <c r="R670">
        <v>266</v>
      </c>
      <c r="S670">
        <v>157</v>
      </c>
      <c r="T670">
        <v>116</v>
      </c>
      <c r="U670">
        <v>40</v>
      </c>
      <c r="V670" t="s">
        <v>6613</v>
      </c>
      <c r="W670">
        <v>41211</v>
      </c>
      <c r="X670" t="s">
        <v>7124</v>
      </c>
      <c r="Y670">
        <v>32242</v>
      </c>
      <c r="Z670">
        <v>1648440</v>
      </c>
      <c r="AA670">
        <v>358760</v>
      </c>
      <c r="AB670" t="str">
        <f>(VLOOKUP(SalesData[[#This Row],[Month Number]],Reference!C$5:E$16,2,FALSE))</f>
        <v>Feb</v>
      </c>
      <c r="AC670">
        <f>MONTH(SalesData[[#This Row],[Date]])</f>
        <v>2</v>
      </c>
      <c r="AD670">
        <f>Reference!F$4</f>
        <v>2026</v>
      </c>
      <c r="AE670" t="str">
        <f>IF(OR(SalesData[[#This Row],[Day]]="Saturday",SalesData[[#This Row],[Day]]="Sunday"),"Weekend","Weekday")</f>
        <v>Weekday</v>
      </c>
      <c r="AF670" s="5">
        <f>IF(SalesData[[#This Row],[Contracts Offered]]=0,0,SalesData[[#This Row],[Contracts Signed]]/SalesData[[#This Row],[Contracts Offered]])</f>
        <v>0.34482758620689657</v>
      </c>
      <c r="AG670" s="5">
        <f>IF(SalesData[[#This Row],[Customers Visited]]=0,0,SalesData[[#This Row],[Test Drives]]/SalesData[[#This Row],[Customers Visited]])</f>
        <v>0.59022556390977443</v>
      </c>
      <c r="AH670" s="5">
        <f>IF(SalesData[[#This Row],[Customers Visited]]=0,0,SalesData[[#This Row],[Contracts Signed]]/SalesData[[#This Row],[Customers Visited]])</f>
        <v>0.15037593984962405</v>
      </c>
      <c r="AI670" s="6">
        <f>IF(SalesData[[#This Row],[Contracts Signed]]=0,0,SalesData[[#This Row],[Profit(€)]]/SalesData[[#This Row],[Contracts Signed]])</f>
        <v>8969</v>
      </c>
      <c r="AJ670" s="5" t="str">
        <f>TRIM(CLEAN(SalesData[[#This Row],[Retailer]]))</f>
        <v>Autohaus Berlin</v>
      </c>
    </row>
    <row r="671" spans="1:36" ht="14.25" hidden="1" x14ac:dyDescent="0.2">
      <c r="A671" t="s">
        <v>1252</v>
      </c>
      <c r="B671" s="1">
        <v>46079</v>
      </c>
      <c r="C671" t="s">
        <v>53</v>
      </c>
      <c r="D671" t="s">
        <v>100</v>
      </c>
      <c r="E671" t="s">
        <v>26</v>
      </c>
      <c r="F671" t="s">
        <v>27</v>
      </c>
      <c r="G671" t="s">
        <v>28</v>
      </c>
      <c r="H671" t="s">
        <v>29</v>
      </c>
      <c r="I671" t="s">
        <v>56</v>
      </c>
      <c r="J671" t="s">
        <v>137</v>
      </c>
      <c r="K671" t="s">
        <v>78</v>
      </c>
      <c r="L671" t="s">
        <v>46</v>
      </c>
      <c r="M671" t="s">
        <v>34</v>
      </c>
      <c r="N671" t="s">
        <v>48</v>
      </c>
      <c r="O671" t="s">
        <v>70</v>
      </c>
      <c r="P671" t="s">
        <v>58</v>
      </c>
      <c r="Q671" t="s">
        <v>204</v>
      </c>
      <c r="R671">
        <v>236</v>
      </c>
      <c r="S671">
        <v>129</v>
      </c>
      <c r="T671">
        <v>84</v>
      </c>
      <c r="U671">
        <v>35</v>
      </c>
      <c r="V671" t="s">
        <v>6947</v>
      </c>
      <c r="W671">
        <v>40829</v>
      </c>
      <c r="X671" t="s">
        <v>1959</v>
      </c>
      <c r="Y671">
        <v>32839</v>
      </c>
      <c r="Z671">
        <v>1429015</v>
      </c>
      <c r="AA671">
        <v>279650</v>
      </c>
      <c r="AB671" t="str">
        <f>(VLOOKUP(SalesData[[#This Row],[Month Number]],Reference!C$5:E$16,2,FALSE))</f>
        <v>Feb</v>
      </c>
      <c r="AC671">
        <f>MONTH(SalesData[[#This Row],[Date]])</f>
        <v>2</v>
      </c>
      <c r="AD671">
        <f>Reference!F$4</f>
        <v>2026</v>
      </c>
      <c r="AE671" t="str">
        <f>IF(OR(SalesData[[#This Row],[Day]]="Saturday",SalesData[[#This Row],[Day]]="Sunday"),"Weekend","Weekday")</f>
        <v>Weekday</v>
      </c>
      <c r="AF671" s="5">
        <f>IF(SalesData[[#This Row],[Contracts Offered]]=0,0,SalesData[[#This Row],[Contracts Signed]]/SalesData[[#This Row],[Contracts Offered]])</f>
        <v>0.41666666666666669</v>
      </c>
      <c r="AG671" s="5">
        <f>IF(SalesData[[#This Row],[Customers Visited]]=0,0,SalesData[[#This Row],[Test Drives]]/SalesData[[#This Row],[Customers Visited]])</f>
        <v>0.54661016949152541</v>
      </c>
      <c r="AH671" s="5">
        <f>IF(SalesData[[#This Row],[Customers Visited]]=0,0,SalesData[[#This Row],[Contracts Signed]]/SalesData[[#This Row],[Customers Visited]])</f>
        <v>0.14830508474576271</v>
      </c>
      <c r="AI671" s="6">
        <f>IF(SalesData[[#This Row],[Contracts Signed]]=0,0,SalesData[[#This Row],[Profit(€)]]/SalesData[[#This Row],[Contracts Signed]])</f>
        <v>7990</v>
      </c>
      <c r="AJ671" s="5" t="str">
        <f>TRIM(CLEAN(SalesData[[#This Row],[Retailer]]))</f>
        <v>Main Auto Hub</v>
      </c>
    </row>
    <row r="672" spans="1:36" ht="14.25" hidden="1" x14ac:dyDescent="0.2">
      <c r="A672" t="s">
        <v>1254</v>
      </c>
      <c r="B672" s="1">
        <v>46068</v>
      </c>
      <c r="C672" t="s">
        <v>62</v>
      </c>
      <c r="D672" t="s">
        <v>41</v>
      </c>
      <c r="E672" t="s">
        <v>42</v>
      </c>
      <c r="F672" t="s">
        <v>7649</v>
      </c>
      <c r="G672" t="s">
        <v>55</v>
      </c>
      <c r="H672" t="s">
        <v>55</v>
      </c>
      <c r="I672" t="s">
        <v>104</v>
      </c>
      <c r="J672" t="s">
        <v>105</v>
      </c>
      <c r="K672" t="s">
        <v>91</v>
      </c>
      <c r="L672" t="s">
        <v>33</v>
      </c>
      <c r="M672" t="s">
        <v>87</v>
      </c>
      <c r="N672" t="s">
        <v>35</v>
      </c>
      <c r="O672" t="s">
        <v>36</v>
      </c>
      <c r="P672" t="s">
        <v>71</v>
      </c>
      <c r="Q672" t="s">
        <v>88</v>
      </c>
      <c r="R672">
        <v>260</v>
      </c>
      <c r="S672">
        <v>144</v>
      </c>
      <c r="T672">
        <v>99</v>
      </c>
      <c r="U672">
        <v>23</v>
      </c>
      <c r="V672" t="s">
        <v>558</v>
      </c>
      <c r="W672">
        <v>28486</v>
      </c>
      <c r="X672" t="s">
        <v>789</v>
      </c>
      <c r="Y672">
        <v>25768</v>
      </c>
      <c r="Z672">
        <v>655178</v>
      </c>
      <c r="AA672">
        <v>62514</v>
      </c>
      <c r="AB672" t="str">
        <f>(VLOOKUP(SalesData[[#This Row],[Month Number]],Reference!C$5:E$16,2,FALSE))</f>
        <v>Feb</v>
      </c>
      <c r="AC672">
        <f>MONTH(SalesData[[#This Row],[Date]])</f>
        <v>2</v>
      </c>
      <c r="AD672">
        <f>Reference!F$4</f>
        <v>2026</v>
      </c>
      <c r="AE672" t="str">
        <f>IF(OR(SalesData[[#This Row],[Day]]="Saturday",SalesData[[#This Row],[Day]]="Sunday"),"Weekend","Weekday")</f>
        <v>Weekend</v>
      </c>
      <c r="AF672" s="5">
        <f>IF(SalesData[[#This Row],[Contracts Offered]]=0,0,SalesData[[#This Row],[Contracts Signed]]/SalesData[[#This Row],[Contracts Offered]])</f>
        <v>0.23232323232323232</v>
      </c>
      <c r="AG672" s="5">
        <f>IF(SalesData[[#This Row],[Customers Visited]]=0,0,SalesData[[#This Row],[Test Drives]]/SalesData[[#This Row],[Customers Visited]])</f>
        <v>0.55384615384615388</v>
      </c>
      <c r="AH672" s="5">
        <f>IF(SalesData[[#This Row],[Customers Visited]]=0,0,SalesData[[#This Row],[Contracts Signed]]/SalesData[[#This Row],[Customers Visited]])</f>
        <v>8.8461538461538466E-2</v>
      </c>
      <c r="AI672" s="6">
        <f>IF(SalesData[[#This Row],[Contracts Signed]]=0,0,SalesData[[#This Row],[Profit(€)]]/SalesData[[#This Row],[Contracts Signed]])</f>
        <v>2718</v>
      </c>
      <c r="AJ672" s="5" t="str">
        <f>TRIM(CLEAN(SalesData[[#This Row],[Retailer]]))</f>
        <v>Autohaus Berlin</v>
      </c>
    </row>
    <row r="673" spans="1:36" ht="14.25" hidden="1" x14ac:dyDescent="0.2">
      <c r="A673" t="s">
        <v>1256</v>
      </c>
      <c r="B673" s="1">
        <v>46062</v>
      </c>
      <c r="C673" t="s">
        <v>121</v>
      </c>
      <c r="D673" t="s">
        <v>25</v>
      </c>
      <c r="E673" t="s">
        <v>26</v>
      </c>
      <c r="F673" t="s">
        <v>114</v>
      </c>
      <c r="G673" t="s">
        <v>115</v>
      </c>
      <c r="H673" t="s">
        <v>115</v>
      </c>
      <c r="I673" t="s">
        <v>104</v>
      </c>
      <c r="J673" t="s">
        <v>105</v>
      </c>
      <c r="K673" t="s">
        <v>91</v>
      </c>
      <c r="L673" t="s">
        <v>33</v>
      </c>
      <c r="M673" t="s">
        <v>87</v>
      </c>
      <c r="N673" t="s">
        <v>35</v>
      </c>
      <c r="O673" t="s">
        <v>36</v>
      </c>
      <c r="P673" t="s">
        <v>49</v>
      </c>
      <c r="Q673" t="s">
        <v>38</v>
      </c>
      <c r="R673">
        <v>392</v>
      </c>
      <c r="S673">
        <v>174</v>
      </c>
      <c r="T673">
        <v>123</v>
      </c>
      <c r="U673">
        <v>31</v>
      </c>
      <c r="V673" t="s">
        <v>2717</v>
      </c>
      <c r="W673">
        <v>27242</v>
      </c>
      <c r="X673" t="s">
        <v>5113</v>
      </c>
      <c r="Y673">
        <v>24040</v>
      </c>
      <c r="Z673">
        <v>844502</v>
      </c>
      <c r="AA673">
        <v>99262</v>
      </c>
      <c r="AB673" t="str">
        <f>(VLOOKUP(SalesData[[#This Row],[Month Number]],Reference!C$5:E$16,2,FALSE))</f>
        <v>Feb</v>
      </c>
      <c r="AC673">
        <f>MONTH(SalesData[[#This Row],[Date]])</f>
        <v>2</v>
      </c>
      <c r="AD673">
        <f>Reference!F$4</f>
        <v>2026</v>
      </c>
      <c r="AE673" t="str">
        <f>IF(OR(SalesData[[#This Row],[Day]]="Saturday",SalesData[[#This Row],[Day]]="Sunday"),"Weekend","Weekday")</f>
        <v>Weekday</v>
      </c>
      <c r="AF673" s="5">
        <f>IF(SalesData[[#This Row],[Contracts Offered]]=0,0,SalesData[[#This Row],[Contracts Signed]]/SalesData[[#This Row],[Contracts Offered]])</f>
        <v>0.25203252032520324</v>
      </c>
      <c r="AG673" s="5">
        <f>IF(SalesData[[#This Row],[Customers Visited]]=0,0,SalesData[[#This Row],[Test Drives]]/SalesData[[#This Row],[Customers Visited]])</f>
        <v>0.44387755102040816</v>
      </c>
      <c r="AH673" s="5">
        <f>IF(SalesData[[#This Row],[Customers Visited]]=0,0,SalesData[[#This Row],[Contracts Signed]]/SalesData[[#This Row],[Customers Visited]])</f>
        <v>7.9081632653061229E-2</v>
      </c>
      <c r="AI673" s="6">
        <f>IF(SalesData[[#This Row],[Contracts Signed]]=0,0,SalesData[[#This Row],[Profit(€)]]/SalesData[[#This Row],[Contracts Signed]])</f>
        <v>3202</v>
      </c>
      <c r="AJ673" s="5" t="str">
        <f>TRIM(CLEAN(SalesData[[#This Row],[Retailer]]))</f>
        <v>Elbe Drive</v>
      </c>
    </row>
    <row r="674" spans="1:36" ht="14.25" hidden="1" x14ac:dyDescent="0.2">
      <c r="A674" t="s">
        <v>1258</v>
      </c>
      <c r="B674" s="1">
        <v>46071</v>
      </c>
      <c r="C674" t="s">
        <v>62</v>
      </c>
      <c r="D674" t="s">
        <v>82</v>
      </c>
      <c r="E674" t="s">
        <v>26</v>
      </c>
      <c r="F674" t="s">
        <v>114</v>
      </c>
      <c r="G674" t="s">
        <v>115</v>
      </c>
      <c r="H674" t="s">
        <v>115</v>
      </c>
      <c r="I674" t="s">
        <v>64</v>
      </c>
      <c r="J674" t="s">
        <v>157</v>
      </c>
      <c r="K674" t="s">
        <v>78</v>
      </c>
      <c r="L674" t="s">
        <v>33</v>
      </c>
      <c r="M674" t="s">
        <v>47</v>
      </c>
      <c r="N674" t="s">
        <v>69</v>
      </c>
      <c r="O674" t="s">
        <v>70</v>
      </c>
      <c r="P674" t="s">
        <v>71</v>
      </c>
      <c r="Q674" t="s">
        <v>50</v>
      </c>
      <c r="R674">
        <v>246</v>
      </c>
      <c r="S674">
        <v>135</v>
      </c>
      <c r="T674">
        <v>92</v>
      </c>
      <c r="U674">
        <v>33</v>
      </c>
      <c r="V674" t="s">
        <v>6705</v>
      </c>
      <c r="W674">
        <v>59785</v>
      </c>
      <c r="X674" t="s">
        <v>1403</v>
      </c>
      <c r="Y674">
        <v>42543</v>
      </c>
      <c r="Z674">
        <v>1972905</v>
      </c>
      <c r="AA674">
        <v>568986</v>
      </c>
      <c r="AB674" t="str">
        <f>(VLOOKUP(SalesData[[#This Row],[Month Number]],Reference!C$5:E$16,2,FALSE))</f>
        <v>Feb</v>
      </c>
      <c r="AC674">
        <f>MONTH(SalesData[[#This Row],[Date]])</f>
        <v>2</v>
      </c>
      <c r="AD674">
        <f>Reference!F$4</f>
        <v>2026</v>
      </c>
      <c r="AE674" t="str">
        <f>IF(OR(SalesData[[#This Row],[Day]]="Saturday",SalesData[[#This Row],[Day]]="Sunday"),"Weekend","Weekday")</f>
        <v>Weekday</v>
      </c>
      <c r="AF674" s="5">
        <f>IF(SalesData[[#This Row],[Contracts Offered]]=0,0,SalesData[[#This Row],[Contracts Signed]]/SalesData[[#This Row],[Contracts Offered]])</f>
        <v>0.35869565217391303</v>
      </c>
      <c r="AG674" s="5">
        <f>IF(SalesData[[#This Row],[Customers Visited]]=0,0,SalesData[[#This Row],[Test Drives]]/SalesData[[#This Row],[Customers Visited]])</f>
        <v>0.54878048780487809</v>
      </c>
      <c r="AH674" s="5">
        <f>IF(SalesData[[#This Row],[Customers Visited]]=0,0,SalesData[[#This Row],[Contracts Signed]]/SalesData[[#This Row],[Customers Visited]])</f>
        <v>0.13414634146341464</v>
      </c>
      <c r="AI674" s="6">
        <f>IF(SalesData[[#This Row],[Contracts Signed]]=0,0,SalesData[[#This Row],[Profit(€)]]/SalesData[[#This Row],[Contracts Signed]])</f>
        <v>17242</v>
      </c>
      <c r="AJ674" s="5" t="str">
        <f>TRIM(CLEAN(SalesData[[#This Row],[Retailer]]))</f>
        <v>Elbe Drive</v>
      </c>
    </row>
    <row r="675" spans="1:36" ht="14.25" x14ac:dyDescent="0.2">
      <c r="A675" t="s">
        <v>1260</v>
      </c>
      <c r="B675" s="1">
        <v>46059</v>
      </c>
      <c r="C675" t="s">
        <v>24</v>
      </c>
      <c r="D675" t="s">
        <v>54</v>
      </c>
      <c r="E675" t="s">
        <v>26</v>
      </c>
      <c r="F675" t="s">
        <v>114</v>
      </c>
      <c r="G675" t="s">
        <v>115</v>
      </c>
      <c r="H675" t="s">
        <v>115</v>
      </c>
      <c r="I675" t="s">
        <v>30</v>
      </c>
      <c r="J675" t="s">
        <v>188</v>
      </c>
      <c r="K675" t="s">
        <v>32</v>
      </c>
      <c r="L675" t="s">
        <v>33</v>
      </c>
      <c r="M675" t="s">
        <v>34</v>
      </c>
      <c r="N675" t="s">
        <v>35</v>
      </c>
      <c r="O675" t="s">
        <v>70</v>
      </c>
      <c r="P675" t="s">
        <v>58</v>
      </c>
      <c r="Q675" t="s">
        <v>152</v>
      </c>
      <c r="R675">
        <v>267</v>
      </c>
      <c r="S675">
        <v>143</v>
      </c>
      <c r="T675">
        <v>111</v>
      </c>
      <c r="U675">
        <v>43</v>
      </c>
      <c r="V675" t="s">
        <v>7286</v>
      </c>
      <c r="W675">
        <v>66661</v>
      </c>
      <c r="X675" t="s">
        <v>7287</v>
      </c>
      <c r="Y675">
        <v>51964</v>
      </c>
      <c r="Z675">
        <v>2866423</v>
      </c>
      <c r="AA675">
        <v>631971</v>
      </c>
      <c r="AB675" t="str">
        <f>(VLOOKUP(SalesData[[#This Row],[Month Number]],Reference!C$5:E$16,2,FALSE))</f>
        <v>Feb</v>
      </c>
      <c r="AC675">
        <f>MONTH(SalesData[[#This Row],[Date]])</f>
        <v>2</v>
      </c>
      <c r="AD675">
        <f>Reference!F$4</f>
        <v>2026</v>
      </c>
      <c r="AE675" t="str">
        <f>IF(OR(SalesData[[#This Row],[Day]]="Saturday",SalesData[[#This Row],[Day]]="Sunday"),"Weekend","Weekday")</f>
        <v>Weekday</v>
      </c>
      <c r="AF675" s="5">
        <f>IF(SalesData[[#This Row],[Contracts Offered]]=0,0,SalesData[[#This Row],[Contracts Signed]]/SalesData[[#This Row],[Contracts Offered]])</f>
        <v>0.38738738738738737</v>
      </c>
      <c r="AG675" s="5">
        <f>IF(SalesData[[#This Row],[Customers Visited]]=0,0,SalesData[[#This Row],[Test Drives]]/SalesData[[#This Row],[Customers Visited]])</f>
        <v>0.53558052434456926</v>
      </c>
      <c r="AH675" s="5">
        <f>IF(SalesData[[#This Row],[Customers Visited]]=0,0,SalesData[[#This Row],[Contracts Signed]]/SalesData[[#This Row],[Customers Visited]])</f>
        <v>0.16104868913857678</v>
      </c>
      <c r="AI675" s="6">
        <f>IF(SalesData[[#This Row],[Contracts Signed]]=0,0,SalesData[[#This Row],[Profit(€)]]/SalesData[[#This Row],[Contracts Signed]])</f>
        <v>14697</v>
      </c>
      <c r="AJ675" s="5" t="str">
        <f>TRIM(CLEAN(SalesData[[#This Row],[Retailer]]))</f>
        <v>Elbe Drive</v>
      </c>
    </row>
    <row r="676" spans="1:36" ht="14.25" hidden="1" x14ac:dyDescent="0.2">
      <c r="A676" t="s">
        <v>1261</v>
      </c>
      <c r="B676" s="1">
        <v>46070</v>
      </c>
      <c r="C676" t="s">
        <v>62</v>
      </c>
      <c r="D676" t="s">
        <v>63</v>
      </c>
      <c r="E676" t="s">
        <v>26</v>
      </c>
      <c r="F676" t="s">
        <v>27</v>
      </c>
      <c r="G676" t="s">
        <v>28</v>
      </c>
      <c r="H676" t="s">
        <v>29</v>
      </c>
      <c r="I676" t="s">
        <v>64</v>
      </c>
      <c r="J676" t="s">
        <v>111</v>
      </c>
      <c r="K676" t="s">
        <v>91</v>
      </c>
      <c r="L676" t="s">
        <v>46</v>
      </c>
      <c r="M676" t="s">
        <v>68</v>
      </c>
      <c r="N676" t="s">
        <v>69</v>
      </c>
      <c r="O676" t="s">
        <v>70</v>
      </c>
      <c r="P676" t="s">
        <v>58</v>
      </c>
      <c r="Q676" t="s">
        <v>204</v>
      </c>
      <c r="R676">
        <v>236</v>
      </c>
      <c r="S676">
        <v>132</v>
      </c>
      <c r="T676">
        <v>89</v>
      </c>
      <c r="U676">
        <v>37</v>
      </c>
      <c r="V676" t="s">
        <v>6925</v>
      </c>
      <c r="W676">
        <v>53970</v>
      </c>
      <c r="X676" t="s">
        <v>7059</v>
      </c>
      <c r="Y676">
        <v>42267</v>
      </c>
      <c r="Z676">
        <v>1996890</v>
      </c>
      <c r="AA676">
        <v>433011</v>
      </c>
      <c r="AB676" t="str">
        <f>(VLOOKUP(SalesData[[#This Row],[Month Number]],Reference!C$5:E$16,2,FALSE))</f>
        <v>Feb</v>
      </c>
      <c r="AC676">
        <f>MONTH(SalesData[[#This Row],[Date]])</f>
        <v>2</v>
      </c>
      <c r="AD676">
        <f>Reference!F$4</f>
        <v>2026</v>
      </c>
      <c r="AE676" t="str">
        <f>IF(OR(SalesData[[#This Row],[Day]]="Saturday",SalesData[[#This Row],[Day]]="Sunday"),"Weekend","Weekday")</f>
        <v>Weekday</v>
      </c>
      <c r="AF676" s="5">
        <f>IF(SalesData[[#This Row],[Contracts Offered]]=0,0,SalesData[[#This Row],[Contracts Signed]]/SalesData[[#This Row],[Contracts Offered]])</f>
        <v>0.4157303370786517</v>
      </c>
      <c r="AG676" s="5">
        <f>IF(SalesData[[#This Row],[Customers Visited]]=0,0,SalesData[[#This Row],[Test Drives]]/SalesData[[#This Row],[Customers Visited]])</f>
        <v>0.55932203389830504</v>
      </c>
      <c r="AH676" s="5">
        <f>IF(SalesData[[#This Row],[Customers Visited]]=0,0,SalesData[[#This Row],[Contracts Signed]]/SalesData[[#This Row],[Customers Visited]])</f>
        <v>0.15677966101694915</v>
      </c>
      <c r="AI676" s="6">
        <f>IF(SalesData[[#This Row],[Contracts Signed]]=0,0,SalesData[[#This Row],[Profit(€)]]/SalesData[[#This Row],[Contracts Signed]])</f>
        <v>11703</v>
      </c>
      <c r="AJ676" s="5" t="str">
        <f>TRIM(CLEAN(SalesData[[#This Row],[Retailer]]))</f>
        <v>Main Auto Hub</v>
      </c>
    </row>
    <row r="677" spans="1:36" ht="14.25" hidden="1" x14ac:dyDescent="0.2">
      <c r="A677" t="s">
        <v>1262</v>
      </c>
      <c r="B677" s="1">
        <v>46060</v>
      </c>
      <c r="C677" t="s">
        <v>24</v>
      </c>
      <c r="D677" t="s">
        <v>151</v>
      </c>
      <c r="E677" t="s">
        <v>42</v>
      </c>
      <c r="F677" t="s">
        <v>114</v>
      </c>
      <c r="G677" t="s">
        <v>115</v>
      </c>
      <c r="H677" t="s">
        <v>115</v>
      </c>
      <c r="I677" t="s">
        <v>104</v>
      </c>
      <c r="J677" t="s">
        <v>105</v>
      </c>
      <c r="K677" t="s">
        <v>32</v>
      </c>
      <c r="L677" t="s">
        <v>33</v>
      </c>
      <c r="M677" t="s">
        <v>87</v>
      </c>
      <c r="N677" t="s">
        <v>35</v>
      </c>
      <c r="O677" t="s">
        <v>70</v>
      </c>
      <c r="P677" t="s">
        <v>37</v>
      </c>
      <c r="Q677" t="s">
        <v>79</v>
      </c>
      <c r="R677">
        <v>439</v>
      </c>
      <c r="S677">
        <v>182</v>
      </c>
      <c r="T677">
        <v>120</v>
      </c>
      <c r="U677">
        <v>25</v>
      </c>
      <c r="V677" t="s">
        <v>3072</v>
      </c>
      <c r="W677">
        <v>26041</v>
      </c>
      <c r="X677" t="s">
        <v>2010</v>
      </c>
      <c r="Y677">
        <v>23159</v>
      </c>
      <c r="Z677">
        <v>651025</v>
      </c>
      <c r="AA677">
        <v>72050</v>
      </c>
      <c r="AB677" t="str">
        <f>(VLOOKUP(SalesData[[#This Row],[Month Number]],Reference!C$5:E$16,2,FALSE))</f>
        <v>Feb</v>
      </c>
      <c r="AC677">
        <f>MONTH(SalesData[[#This Row],[Date]])</f>
        <v>2</v>
      </c>
      <c r="AD677">
        <f>Reference!F$4</f>
        <v>2026</v>
      </c>
      <c r="AE677" t="str">
        <f>IF(OR(SalesData[[#This Row],[Day]]="Saturday",SalesData[[#This Row],[Day]]="Sunday"),"Weekend","Weekday")</f>
        <v>Weekend</v>
      </c>
      <c r="AF677" s="5">
        <f>IF(SalesData[[#This Row],[Contracts Offered]]=0,0,SalesData[[#This Row],[Contracts Signed]]/SalesData[[#This Row],[Contracts Offered]])</f>
        <v>0.20833333333333334</v>
      </c>
      <c r="AG677" s="5">
        <f>IF(SalesData[[#This Row],[Customers Visited]]=0,0,SalesData[[#This Row],[Test Drives]]/SalesData[[#This Row],[Customers Visited]])</f>
        <v>0.4145785876993166</v>
      </c>
      <c r="AH677" s="5">
        <f>IF(SalesData[[#This Row],[Customers Visited]]=0,0,SalesData[[#This Row],[Contracts Signed]]/SalesData[[#This Row],[Customers Visited]])</f>
        <v>5.6947608200455579E-2</v>
      </c>
      <c r="AI677" s="6">
        <f>IF(SalesData[[#This Row],[Contracts Signed]]=0,0,SalesData[[#This Row],[Profit(€)]]/SalesData[[#This Row],[Contracts Signed]])</f>
        <v>2882</v>
      </c>
      <c r="AJ677" s="5" t="str">
        <f>TRIM(CLEAN(SalesData[[#This Row],[Retailer]]))</f>
        <v>Elbe Drive</v>
      </c>
    </row>
    <row r="678" spans="1:36" ht="14.25" x14ac:dyDescent="0.2">
      <c r="A678" t="s">
        <v>1264</v>
      </c>
      <c r="B678" s="1">
        <v>46065</v>
      </c>
      <c r="C678" t="s">
        <v>121</v>
      </c>
      <c r="D678" t="s">
        <v>100</v>
      </c>
      <c r="E678" t="s">
        <v>26</v>
      </c>
      <c r="F678" t="s">
        <v>114</v>
      </c>
      <c r="G678" t="s">
        <v>115</v>
      </c>
      <c r="H678" t="s">
        <v>115</v>
      </c>
      <c r="I678" t="s">
        <v>30</v>
      </c>
      <c r="J678" t="s">
        <v>86</v>
      </c>
      <c r="K678" t="s">
        <v>32</v>
      </c>
      <c r="L678" t="s">
        <v>33</v>
      </c>
      <c r="M678" t="s">
        <v>87</v>
      </c>
      <c r="N678" t="s">
        <v>35</v>
      </c>
      <c r="O678" t="s">
        <v>70</v>
      </c>
      <c r="P678" t="s">
        <v>37</v>
      </c>
      <c r="Q678" t="s">
        <v>167</v>
      </c>
      <c r="R678">
        <v>221</v>
      </c>
      <c r="S678">
        <v>106</v>
      </c>
      <c r="T678">
        <v>78</v>
      </c>
      <c r="U678">
        <v>29</v>
      </c>
      <c r="V678" t="s">
        <v>6717</v>
      </c>
      <c r="W678">
        <v>64906</v>
      </c>
      <c r="X678" t="s">
        <v>1813</v>
      </c>
      <c r="Y678">
        <v>49493</v>
      </c>
      <c r="Z678">
        <v>1882274</v>
      </c>
      <c r="AA678">
        <v>446977</v>
      </c>
      <c r="AB678" t="str">
        <f>(VLOOKUP(SalesData[[#This Row],[Month Number]],Reference!C$5:E$16,2,FALSE))</f>
        <v>Feb</v>
      </c>
      <c r="AC678">
        <f>MONTH(SalesData[[#This Row],[Date]])</f>
        <v>2</v>
      </c>
      <c r="AD678">
        <f>Reference!F$4</f>
        <v>2026</v>
      </c>
      <c r="AE678" t="str">
        <f>IF(OR(SalesData[[#This Row],[Day]]="Saturday",SalesData[[#This Row],[Day]]="Sunday"),"Weekend","Weekday")</f>
        <v>Weekday</v>
      </c>
      <c r="AF678" s="5">
        <f>IF(SalesData[[#This Row],[Contracts Offered]]=0,0,SalesData[[#This Row],[Contracts Signed]]/SalesData[[#This Row],[Contracts Offered]])</f>
        <v>0.37179487179487181</v>
      </c>
      <c r="AG678" s="5">
        <f>IF(SalesData[[#This Row],[Customers Visited]]=0,0,SalesData[[#This Row],[Test Drives]]/SalesData[[#This Row],[Customers Visited]])</f>
        <v>0.47963800904977377</v>
      </c>
      <c r="AH678" s="5">
        <f>IF(SalesData[[#This Row],[Customers Visited]]=0,0,SalesData[[#This Row],[Contracts Signed]]/SalesData[[#This Row],[Customers Visited]])</f>
        <v>0.13122171945701358</v>
      </c>
      <c r="AI678" s="6">
        <f>IF(SalesData[[#This Row],[Contracts Signed]]=0,0,SalesData[[#This Row],[Profit(€)]]/SalesData[[#This Row],[Contracts Signed]])</f>
        <v>15413</v>
      </c>
      <c r="AJ678" s="5" t="str">
        <f>TRIM(CLEAN(SalesData[[#This Row],[Retailer]]))</f>
        <v>Elbe Drive</v>
      </c>
    </row>
    <row r="679" spans="1:36" ht="14.25" hidden="1" x14ac:dyDescent="0.2">
      <c r="A679" t="s">
        <v>1265</v>
      </c>
      <c r="B679" s="1">
        <v>46074</v>
      </c>
      <c r="C679" t="s">
        <v>62</v>
      </c>
      <c r="D679" t="s">
        <v>151</v>
      </c>
      <c r="E679" t="s">
        <v>42</v>
      </c>
      <c r="F679" t="s">
        <v>109</v>
      </c>
      <c r="G679" t="s">
        <v>110</v>
      </c>
      <c r="H679" t="s">
        <v>45</v>
      </c>
      <c r="I679" t="s">
        <v>56</v>
      </c>
      <c r="J679" t="s">
        <v>179</v>
      </c>
      <c r="K679" t="s">
        <v>91</v>
      </c>
      <c r="L679" t="s">
        <v>67</v>
      </c>
      <c r="M679" t="s">
        <v>47</v>
      </c>
      <c r="N679" t="s">
        <v>69</v>
      </c>
      <c r="O679" t="s">
        <v>70</v>
      </c>
      <c r="P679" t="s">
        <v>71</v>
      </c>
      <c r="Q679" t="s">
        <v>189</v>
      </c>
      <c r="R679">
        <v>293</v>
      </c>
      <c r="S679">
        <v>143</v>
      </c>
      <c r="T679">
        <v>95</v>
      </c>
      <c r="U679">
        <v>33</v>
      </c>
      <c r="V679" t="s">
        <v>6386</v>
      </c>
      <c r="W679">
        <v>51297</v>
      </c>
      <c r="X679" t="s">
        <v>2216</v>
      </c>
      <c r="Y679">
        <v>39965</v>
      </c>
      <c r="Z679">
        <v>1692801</v>
      </c>
      <c r="AA679">
        <v>373956</v>
      </c>
      <c r="AB679" t="str">
        <f>(VLOOKUP(SalesData[[#This Row],[Month Number]],Reference!C$5:E$16,2,FALSE))</f>
        <v>Feb</v>
      </c>
      <c r="AC679">
        <f>MONTH(SalesData[[#This Row],[Date]])</f>
        <v>2</v>
      </c>
      <c r="AD679">
        <f>Reference!F$4</f>
        <v>2026</v>
      </c>
      <c r="AE679" t="str">
        <f>IF(OR(SalesData[[#This Row],[Day]]="Saturday",SalesData[[#This Row],[Day]]="Sunday"),"Weekend","Weekday")</f>
        <v>Weekend</v>
      </c>
      <c r="AF679" s="5">
        <f>IF(SalesData[[#This Row],[Contracts Offered]]=0,0,SalesData[[#This Row],[Contracts Signed]]/SalesData[[#This Row],[Contracts Offered]])</f>
        <v>0.3473684210526316</v>
      </c>
      <c r="AG679" s="5">
        <f>IF(SalesData[[#This Row],[Customers Visited]]=0,0,SalesData[[#This Row],[Test Drives]]/SalesData[[#This Row],[Customers Visited]])</f>
        <v>0.48805460750853241</v>
      </c>
      <c r="AH679" s="5">
        <f>IF(SalesData[[#This Row],[Customers Visited]]=0,0,SalesData[[#This Row],[Contracts Signed]]/SalesData[[#This Row],[Customers Visited]])</f>
        <v>0.11262798634812286</v>
      </c>
      <c r="AI679" s="6">
        <f>IF(SalesData[[#This Row],[Contracts Signed]]=0,0,SalesData[[#This Row],[Profit(€)]]/SalesData[[#This Row],[Contracts Signed]])</f>
        <v>11332</v>
      </c>
      <c r="AJ679" s="5" t="str">
        <f>TRIM(CLEAN(SalesData[[#This Row],[Retailer]]))</f>
        <v>Leipzig Mobility</v>
      </c>
    </row>
    <row r="680" spans="1:36" ht="14.25" hidden="1" x14ac:dyDescent="0.2">
      <c r="A680" t="s">
        <v>1267</v>
      </c>
      <c r="B680" s="1">
        <v>46075</v>
      </c>
      <c r="C680" t="s">
        <v>53</v>
      </c>
      <c r="D680" t="s">
        <v>41</v>
      </c>
      <c r="E680" t="s">
        <v>42</v>
      </c>
      <c r="F680" t="s">
        <v>27</v>
      </c>
      <c r="G680" t="s">
        <v>28</v>
      </c>
      <c r="H680" t="s">
        <v>29</v>
      </c>
      <c r="I680" t="s">
        <v>116</v>
      </c>
      <c r="J680" t="s">
        <v>7026</v>
      </c>
      <c r="K680" t="s">
        <v>66</v>
      </c>
      <c r="L680" t="s">
        <v>46</v>
      </c>
      <c r="M680" t="s">
        <v>47</v>
      </c>
      <c r="N680" t="s">
        <v>69</v>
      </c>
      <c r="O680" t="s">
        <v>70</v>
      </c>
      <c r="P680" t="s">
        <v>58</v>
      </c>
      <c r="Q680" t="s">
        <v>122</v>
      </c>
      <c r="R680">
        <v>234</v>
      </c>
      <c r="S680">
        <v>112</v>
      </c>
      <c r="T680">
        <v>69</v>
      </c>
      <c r="U680">
        <v>21</v>
      </c>
      <c r="V680" t="s">
        <v>729</v>
      </c>
      <c r="W680">
        <v>21467</v>
      </c>
      <c r="X680" t="s">
        <v>1398</v>
      </c>
      <c r="Y680">
        <v>19322</v>
      </c>
      <c r="Z680">
        <v>450807</v>
      </c>
      <c r="AA680">
        <v>45045</v>
      </c>
      <c r="AB680" t="str">
        <f>(VLOOKUP(SalesData[[#This Row],[Month Number]],Reference!C$5:E$16,2,FALSE))</f>
        <v>Feb</v>
      </c>
      <c r="AC680">
        <f>MONTH(SalesData[[#This Row],[Date]])</f>
        <v>2</v>
      </c>
      <c r="AD680">
        <f>Reference!F$4</f>
        <v>2026</v>
      </c>
      <c r="AE680" t="str">
        <f>IF(OR(SalesData[[#This Row],[Day]]="Saturday",SalesData[[#This Row],[Day]]="Sunday"),"Weekend","Weekday")</f>
        <v>Weekend</v>
      </c>
      <c r="AF680" s="5">
        <f>IF(SalesData[[#This Row],[Contracts Offered]]=0,0,SalesData[[#This Row],[Contracts Signed]]/SalesData[[#This Row],[Contracts Offered]])</f>
        <v>0.30434782608695654</v>
      </c>
      <c r="AG680" s="5">
        <f>IF(SalesData[[#This Row],[Customers Visited]]=0,0,SalesData[[#This Row],[Test Drives]]/SalesData[[#This Row],[Customers Visited]])</f>
        <v>0.47863247863247865</v>
      </c>
      <c r="AH680" s="5">
        <f>IF(SalesData[[#This Row],[Customers Visited]]=0,0,SalesData[[#This Row],[Contracts Signed]]/SalesData[[#This Row],[Customers Visited]])</f>
        <v>8.9743589743589744E-2</v>
      </c>
      <c r="AI680" s="6">
        <f>IF(SalesData[[#This Row],[Contracts Signed]]=0,0,SalesData[[#This Row],[Profit(€)]]/SalesData[[#This Row],[Contracts Signed]])</f>
        <v>2145</v>
      </c>
      <c r="AJ680" s="5" t="str">
        <f>TRIM(CLEAN(SalesData[[#This Row],[Retailer]]))</f>
        <v>Main Auto Hub</v>
      </c>
    </row>
    <row r="681" spans="1:36" ht="14.25" hidden="1" x14ac:dyDescent="0.2">
      <c r="A681" t="s">
        <v>1269</v>
      </c>
      <c r="B681" s="1">
        <v>46076</v>
      </c>
      <c r="C681" t="s">
        <v>53</v>
      </c>
      <c r="D681" t="s">
        <v>25</v>
      </c>
      <c r="E681" t="s">
        <v>26</v>
      </c>
      <c r="F681" t="s">
        <v>114</v>
      </c>
      <c r="G681" t="s">
        <v>115</v>
      </c>
      <c r="H681" t="s">
        <v>115</v>
      </c>
      <c r="I681" t="s">
        <v>56</v>
      </c>
      <c r="J681" t="s">
        <v>57</v>
      </c>
      <c r="K681" t="s">
        <v>91</v>
      </c>
      <c r="L681" t="s">
        <v>46</v>
      </c>
      <c r="M681" t="s">
        <v>87</v>
      </c>
      <c r="N681" t="s">
        <v>69</v>
      </c>
      <c r="O681" t="s">
        <v>36</v>
      </c>
      <c r="P681" t="s">
        <v>58</v>
      </c>
      <c r="Q681" t="s">
        <v>152</v>
      </c>
      <c r="R681">
        <v>174</v>
      </c>
      <c r="S681">
        <v>87</v>
      </c>
      <c r="T681">
        <v>63</v>
      </c>
      <c r="U681">
        <v>23</v>
      </c>
      <c r="V681" t="s">
        <v>6601</v>
      </c>
      <c r="W681">
        <v>43385</v>
      </c>
      <c r="X681" t="s">
        <v>159</v>
      </c>
      <c r="Y681">
        <v>33979</v>
      </c>
      <c r="Z681">
        <v>997855</v>
      </c>
      <c r="AA681">
        <v>216338</v>
      </c>
      <c r="AB681" t="str">
        <f>(VLOOKUP(SalesData[[#This Row],[Month Number]],Reference!C$5:E$16,2,FALSE))</f>
        <v>Feb</v>
      </c>
      <c r="AC681">
        <f>MONTH(SalesData[[#This Row],[Date]])</f>
        <v>2</v>
      </c>
      <c r="AD681">
        <f>Reference!F$4</f>
        <v>2026</v>
      </c>
      <c r="AE681" t="str">
        <f>IF(OR(SalesData[[#This Row],[Day]]="Saturday",SalesData[[#This Row],[Day]]="Sunday"),"Weekend","Weekday")</f>
        <v>Weekday</v>
      </c>
      <c r="AF681" s="5">
        <f>IF(SalesData[[#This Row],[Contracts Offered]]=0,0,SalesData[[#This Row],[Contracts Signed]]/SalesData[[#This Row],[Contracts Offered]])</f>
        <v>0.36507936507936506</v>
      </c>
      <c r="AG681" s="5">
        <f>IF(SalesData[[#This Row],[Customers Visited]]=0,0,SalesData[[#This Row],[Test Drives]]/SalesData[[#This Row],[Customers Visited]])</f>
        <v>0.5</v>
      </c>
      <c r="AH681" s="5">
        <f>IF(SalesData[[#This Row],[Customers Visited]]=0,0,SalesData[[#This Row],[Contracts Signed]]/SalesData[[#This Row],[Customers Visited]])</f>
        <v>0.13218390804597702</v>
      </c>
      <c r="AI681" s="6">
        <f>IF(SalesData[[#This Row],[Contracts Signed]]=0,0,SalesData[[#This Row],[Profit(€)]]/SalesData[[#This Row],[Contracts Signed]])</f>
        <v>9406</v>
      </c>
      <c r="AJ681" s="5" t="str">
        <f>TRIM(CLEAN(SalesData[[#This Row],[Retailer]]))</f>
        <v>Elbe Drive</v>
      </c>
    </row>
    <row r="682" spans="1:36" ht="14.25" x14ac:dyDescent="0.2">
      <c r="A682" t="s">
        <v>1271</v>
      </c>
      <c r="B682" s="1">
        <v>46072</v>
      </c>
      <c r="C682" t="s">
        <v>62</v>
      </c>
      <c r="D682" t="s">
        <v>100</v>
      </c>
      <c r="E682" t="s">
        <v>26</v>
      </c>
      <c r="F682" t="s">
        <v>43</v>
      </c>
      <c r="G682" t="s">
        <v>44</v>
      </c>
      <c r="H682" t="s">
        <v>45</v>
      </c>
      <c r="I682" t="s">
        <v>30</v>
      </c>
      <c r="J682" t="s">
        <v>31</v>
      </c>
      <c r="K682" t="s">
        <v>66</v>
      </c>
      <c r="L682" t="s">
        <v>46</v>
      </c>
      <c r="M682" t="s">
        <v>68</v>
      </c>
      <c r="N682" t="s">
        <v>69</v>
      </c>
      <c r="O682" t="s">
        <v>36</v>
      </c>
      <c r="P682" t="s">
        <v>49</v>
      </c>
      <c r="Q682" t="s">
        <v>189</v>
      </c>
      <c r="R682">
        <v>155</v>
      </c>
      <c r="S682">
        <v>95</v>
      </c>
      <c r="T682">
        <v>73</v>
      </c>
      <c r="U682">
        <v>26</v>
      </c>
      <c r="V682" t="s">
        <v>6559</v>
      </c>
      <c r="W682">
        <v>58373</v>
      </c>
      <c r="X682" t="s">
        <v>5566</v>
      </c>
      <c r="Y682">
        <v>42139</v>
      </c>
      <c r="Z682">
        <v>1517698</v>
      </c>
      <c r="AA682">
        <v>422084</v>
      </c>
      <c r="AB682" t="str">
        <f>(VLOOKUP(SalesData[[#This Row],[Month Number]],Reference!C$5:E$16,2,FALSE))</f>
        <v>Feb</v>
      </c>
      <c r="AC682">
        <f>MONTH(SalesData[[#This Row],[Date]])</f>
        <v>2</v>
      </c>
      <c r="AD682">
        <f>Reference!F$4</f>
        <v>2026</v>
      </c>
      <c r="AE682" t="str">
        <f>IF(OR(SalesData[[#This Row],[Day]]="Saturday",SalesData[[#This Row],[Day]]="Sunday"),"Weekend","Weekday")</f>
        <v>Weekday</v>
      </c>
      <c r="AF682" s="5">
        <f>IF(SalesData[[#This Row],[Contracts Offered]]=0,0,SalesData[[#This Row],[Contracts Signed]]/SalesData[[#This Row],[Contracts Offered]])</f>
        <v>0.35616438356164382</v>
      </c>
      <c r="AG682" s="5">
        <f>IF(SalesData[[#This Row],[Customers Visited]]=0,0,SalesData[[#This Row],[Test Drives]]/SalesData[[#This Row],[Customers Visited]])</f>
        <v>0.61290322580645162</v>
      </c>
      <c r="AH682" s="5">
        <f>IF(SalesData[[#This Row],[Customers Visited]]=0,0,SalesData[[#This Row],[Contracts Signed]]/SalesData[[#This Row],[Customers Visited]])</f>
        <v>0.16774193548387098</v>
      </c>
      <c r="AI682" s="6">
        <f>IF(SalesData[[#This Row],[Contracts Signed]]=0,0,SalesData[[#This Row],[Profit(€)]]/SalesData[[#This Row],[Contracts Signed]])</f>
        <v>16234</v>
      </c>
      <c r="AJ682" s="5" t="str">
        <f>TRIM(CLEAN(SalesData[[#This Row],[Retailer]]))</f>
        <v>Saxon Wheels</v>
      </c>
    </row>
    <row r="683" spans="1:36" ht="14.25" hidden="1" x14ac:dyDescent="0.2">
      <c r="A683" t="s">
        <v>1273</v>
      </c>
      <c r="B683" s="1">
        <v>46063</v>
      </c>
      <c r="C683" t="s">
        <v>121</v>
      </c>
      <c r="D683" t="s">
        <v>63</v>
      </c>
      <c r="E683" t="s">
        <v>26</v>
      </c>
      <c r="F683" t="s">
        <v>109</v>
      </c>
      <c r="G683" t="s">
        <v>110</v>
      </c>
      <c r="H683" t="s">
        <v>45</v>
      </c>
      <c r="I683" t="s">
        <v>56</v>
      </c>
      <c r="J683" t="s">
        <v>7028</v>
      </c>
      <c r="K683" t="s">
        <v>66</v>
      </c>
      <c r="L683" t="s">
        <v>46</v>
      </c>
      <c r="M683" t="s">
        <v>34</v>
      </c>
      <c r="N683" t="s">
        <v>48</v>
      </c>
      <c r="O683" t="s">
        <v>70</v>
      </c>
      <c r="P683" t="s">
        <v>37</v>
      </c>
      <c r="Q683" t="s">
        <v>129</v>
      </c>
      <c r="R683">
        <v>165</v>
      </c>
      <c r="S683">
        <v>104</v>
      </c>
      <c r="T683">
        <v>74</v>
      </c>
      <c r="U683">
        <v>18</v>
      </c>
      <c r="V683" t="s">
        <v>430</v>
      </c>
      <c r="W683">
        <v>48878</v>
      </c>
      <c r="X683" t="s">
        <v>923</v>
      </c>
      <c r="Y683">
        <v>38399</v>
      </c>
      <c r="Z683">
        <v>879804</v>
      </c>
      <c r="AA683">
        <v>188622</v>
      </c>
      <c r="AB683" t="str">
        <f>(VLOOKUP(SalesData[[#This Row],[Month Number]],Reference!C$5:E$16,2,FALSE))</f>
        <v>Feb</v>
      </c>
      <c r="AC683">
        <f>MONTH(SalesData[[#This Row],[Date]])</f>
        <v>2</v>
      </c>
      <c r="AD683">
        <f>Reference!F$4</f>
        <v>2026</v>
      </c>
      <c r="AE683" t="str">
        <f>IF(OR(SalesData[[#This Row],[Day]]="Saturday",SalesData[[#This Row],[Day]]="Sunday"),"Weekend","Weekday")</f>
        <v>Weekday</v>
      </c>
      <c r="AF683" s="5">
        <f>IF(SalesData[[#This Row],[Contracts Offered]]=0,0,SalesData[[#This Row],[Contracts Signed]]/SalesData[[#This Row],[Contracts Offered]])</f>
        <v>0.24324324324324326</v>
      </c>
      <c r="AG683" s="5">
        <f>IF(SalesData[[#This Row],[Customers Visited]]=0,0,SalesData[[#This Row],[Test Drives]]/SalesData[[#This Row],[Customers Visited]])</f>
        <v>0.63030303030303025</v>
      </c>
      <c r="AH683" s="5">
        <f>IF(SalesData[[#This Row],[Customers Visited]]=0,0,SalesData[[#This Row],[Contracts Signed]]/SalesData[[#This Row],[Customers Visited]])</f>
        <v>0.10909090909090909</v>
      </c>
      <c r="AI683" s="6">
        <f>IF(SalesData[[#This Row],[Contracts Signed]]=0,0,SalesData[[#This Row],[Profit(€)]]/SalesData[[#This Row],[Contracts Signed]])</f>
        <v>10479</v>
      </c>
      <c r="AJ683" s="5" t="str">
        <f>TRIM(CLEAN(SalesData[[#This Row],[Retailer]]))</f>
        <v>Leipzig Mobility</v>
      </c>
    </row>
    <row r="684" spans="1:36" ht="14.25" hidden="1" x14ac:dyDescent="0.2">
      <c r="A684" t="s">
        <v>1275</v>
      </c>
      <c r="B684" s="1">
        <v>46069</v>
      </c>
      <c r="C684" t="s">
        <v>62</v>
      </c>
      <c r="D684" t="s">
        <v>25</v>
      </c>
      <c r="E684" t="s">
        <v>26</v>
      </c>
      <c r="F684" t="s">
        <v>7649</v>
      </c>
      <c r="G684" t="s">
        <v>55</v>
      </c>
      <c r="H684" t="s">
        <v>55</v>
      </c>
      <c r="I684" t="s">
        <v>104</v>
      </c>
      <c r="J684" t="s">
        <v>105</v>
      </c>
      <c r="K684" t="s">
        <v>32</v>
      </c>
      <c r="L684" t="s">
        <v>33</v>
      </c>
      <c r="M684" t="s">
        <v>34</v>
      </c>
      <c r="N684" t="s">
        <v>69</v>
      </c>
      <c r="O684" t="s">
        <v>70</v>
      </c>
      <c r="P684" t="s">
        <v>37</v>
      </c>
      <c r="Q684" t="s">
        <v>240</v>
      </c>
      <c r="R684">
        <v>502</v>
      </c>
      <c r="S684">
        <v>279</v>
      </c>
      <c r="T684">
        <v>197</v>
      </c>
      <c r="U684">
        <v>39</v>
      </c>
      <c r="V684" t="s">
        <v>245</v>
      </c>
      <c r="W684">
        <v>28469</v>
      </c>
      <c r="X684" t="s">
        <v>462</v>
      </c>
      <c r="Y684">
        <v>24707</v>
      </c>
      <c r="Z684">
        <v>1110291</v>
      </c>
      <c r="AA684">
        <v>146718</v>
      </c>
      <c r="AB684" t="str">
        <f>(VLOOKUP(SalesData[[#This Row],[Month Number]],Reference!C$5:E$16,2,FALSE))</f>
        <v>Feb</v>
      </c>
      <c r="AC684">
        <f>MONTH(SalesData[[#This Row],[Date]])</f>
        <v>2</v>
      </c>
      <c r="AD684">
        <f>Reference!F$4</f>
        <v>2026</v>
      </c>
      <c r="AE684" t="str">
        <f>IF(OR(SalesData[[#This Row],[Day]]="Saturday",SalesData[[#This Row],[Day]]="Sunday"),"Weekend","Weekday")</f>
        <v>Weekday</v>
      </c>
      <c r="AF684" s="5">
        <f>IF(SalesData[[#This Row],[Contracts Offered]]=0,0,SalesData[[#This Row],[Contracts Signed]]/SalesData[[#This Row],[Contracts Offered]])</f>
        <v>0.19796954314720813</v>
      </c>
      <c r="AG684" s="5">
        <f>IF(SalesData[[#This Row],[Customers Visited]]=0,0,SalesData[[#This Row],[Test Drives]]/SalesData[[#This Row],[Customers Visited]])</f>
        <v>0.55577689243027883</v>
      </c>
      <c r="AH684" s="5">
        <f>IF(SalesData[[#This Row],[Customers Visited]]=0,0,SalesData[[#This Row],[Contracts Signed]]/SalesData[[#This Row],[Customers Visited]])</f>
        <v>7.7689243027888447E-2</v>
      </c>
      <c r="AI684" s="6">
        <f>IF(SalesData[[#This Row],[Contracts Signed]]=0,0,SalesData[[#This Row],[Profit(€)]]/SalesData[[#This Row],[Contracts Signed]])</f>
        <v>3762</v>
      </c>
      <c r="AJ684" s="5" t="str">
        <f>TRIM(CLEAN(SalesData[[#This Row],[Retailer]]))</f>
        <v>Autohaus Berlin</v>
      </c>
    </row>
    <row r="685" spans="1:36" ht="14.25" hidden="1" x14ac:dyDescent="0.2">
      <c r="A685" t="s">
        <v>1277</v>
      </c>
      <c r="B685" s="1">
        <v>46060</v>
      </c>
      <c r="C685" t="s">
        <v>24</v>
      </c>
      <c r="D685" t="s">
        <v>151</v>
      </c>
      <c r="E685" t="s">
        <v>42</v>
      </c>
      <c r="F685" t="s">
        <v>101</v>
      </c>
      <c r="G685" t="s">
        <v>102</v>
      </c>
      <c r="H685" t="s">
        <v>103</v>
      </c>
      <c r="I685" t="s">
        <v>64</v>
      </c>
      <c r="J685" t="s">
        <v>65</v>
      </c>
      <c r="K685" t="s">
        <v>91</v>
      </c>
      <c r="L685" t="s">
        <v>33</v>
      </c>
      <c r="M685" t="s">
        <v>34</v>
      </c>
      <c r="N685" t="s">
        <v>48</v>
      </c>
      <c r="O685" t="s">
        <v>36</v>
      </c>
      <c r="P685" t="s">
        <v>37</v>
      </c>
      <c r="Q685" t="s">
        <v>152</v>
      </c>
      <c r="R685">
        <v>231</v>
      </c>
      <c r="S685">
        <v>103</v>
      </c>
      <c r="T685">
        <v>75</v>
      </c>
      <c r="U685">
        <v>22</v>
      </c>
      <c r="V685" t="s">
        <v>6956</v>
      </c>
      <c r="W685">
        <v>54517</v>
      </c>
      <c r="X685" t="s">
        <v>5350</v>
      </c>
      <c r="Y685">
        <v>39151</v>
      </c>
      <c r="Z685">
        <v>1199374</v>
      </c>
      <c r="AA685">
        <v>338052</v>
      </c>
      <c r="AB685" t="str">
        <f>(VLOOKUP(SalesData[[#This Row],[Month Number]],Reference!C$5:E$16,2,FALSE))</f>
        <v>Feb</v>
      </c>
      <c r="AC685">
        <f>MONTH(SalesData[[#This Row],[Date]])</f>
        <v>2</v>
      </c>
      <c r="AD685">
        <f>Reference!F$4</f>
        <v>2026</v>
      </c>
      <c r="AE685" t="str">
        <f>IF(OR(SalesData[[#This Row],[Day]]="Saturday",SalesData[[#This Row],[Day]]="Sunday"),"Weekend","Weekday")</f>
        <v>Weekend</v>
      </c>
      <c r="AF685" s="5">
        <f>IF(SalesData[[#This Row],[Contracts Offered]]=0,0,SalesData[[#This Row],[Contracts Signed]]/SalesData[[#This Row],[Contracts Offered]])</f>
        <v>0.29333333333333333</v>
      </c>
      <c r="AG685" s="5">
        <f>IF(SalesData[[#This Row],[Customers Visited]]=0,0,SalesData[[#This Row],[Test Drives]]/SalesData[[#This Row],[Customers Visited]])</f>
        <v>0.44588744588744589</v>
      </c>
      <c r="AH685" s="5">
        <f>IF(SalesData[[#This Row],[Customers Visited]]=0,0,SalesData[[#This Row],[Contracts Signed]]/SalesData[[#This Row],[Customers Visited]])</f>
        <v>9.5238095238095233E-2</v>
      </c>
      <c r="AI685" s="6">
        <f>IF(SalesData[[#This Row],[Contracts Signed]]=0,0,SalesData[[#This Row],[Profit(€)]]/SalesData[[#This Row],[Contracts Signed]])</f>
        <v>15366</v>
      </c>
      <c r="AJ685" s="5" t="str">
        <f>TRIM(CLEAN(SalesData[[#This Row],[Retailer]]))</f>
        <v>Ruhr Auto Plaza</v>
      </c>
    </row>
    <row r="686" spans="1:36" ht="14.25" hidden="1" x14ac:dyDescent="0.2">
      <c r="A686" t="s">
        <v>1279</v>
      </c>
      <c r="B686" s="1">
        <v>46066</v>
      </c>
      <c r="C686" t="s">
        <v>121</v>
      </c>
      <c r="D686" t="s">
        <v>54</v>
      </c>
      <c r="E686" t="s">
        <v>26</v>
      </c>
      <c r="F686" t="s">
        <v>109</v>
      </c>
      <c r="G686" t="s">
        <v>110</v>
      </c>
      <c r="H686" t="s">
        <v>45</v>
      </c>
      <c r="I686" t="s">
        <v>104</v>
      </c>
      <c r="J686" t="s">
        <v>143</v>
      </c>
      <c r="K686" t="s">
        <v>32</v>
      </c>
      <c r="L686" t="s">
        <v>67</v>
      </c>
      <c r="M686" t="s">
        <v>47</v>
      </c>
      <c r="N686" t="s">
        <v>48</v>
      </c>
      <c r="O686" t="s">
        <v>36</v>
      </c>
      <c r="P686" t="s">
        <v>71</v>
      </c>
      <c r="Q686" t="s">
        <v>169</v>
      </c>
      <c r="R686">
        <v>464</v>
      </c>
      <c r="S686">
        <v>185</v>
      </c>
      <c r="T686">
        <v>122</v>
      </c>
      <c r="U686">
        <v>32</v>
      </c>
      <c r="V686" t="s">
        <v>6813</v>
      </c>
      <c r="W686">
        <v>26094</v>
      </c>
      <c r="X686" t="s">
        <v>7288</v>
      </c>
      <c r="Y686">
        <v>23025</v>
      </c>
      <c r="Z686">
        <v>835008</v>
      </c>
      <c r="AA686">
        <v>98208</v>
      </c>
      <c r="AB686" t="str">
        <f>(VLOOKUP(SalesData[[#This Row],[Month Number]],Reference!C$5:E$16,2,FALSE))</f>
        <v>Feb</v>
      </c>
      <c r="AC686">
        <f>MONTH(SalesData[[#This Row],[Date]])</f>
        <v>2</v>
      </c>
      <c r="AD686">
        <f>Reference!F$4</f>
        <v>2026</v>
      </c>
      <c r="AE686" t="str">
        <f>IF(OR(SalesData[[#This Row],[Day]]="Saturday",SalesData[[#This Row],[Day]]="Sunday"),"Weekend","Weekday")</f>
        <v>Weekday</v>
      </c>
      <c r="AF686" s="5">
        <f>IF(SalesData[[#This Row],[Contracts Offered]]=0,0,SalesData[[#This Row],[Contracts Signed]]/SalesData[[#This Row],[Contracts Offered]])</f>
        <v>0.26229508196721313</v>
      </c>
      <c r="AG686" s="5">
        <f>IF(SalesData[[#This Row],[Customers Visited]]=0,0,SalesData[[#This Row],[Test Drives]]/SalesData[[#This Row],[Customers Visited]])</f>
        <v>0.39870689655172414</v>
      </c>
      <c r="AH686" s="5">
        <f>IF(SalesData[[#This Row],[Customers Visited]]=0,0,SalesData[[#This Row],[Contracts Signed]]/SalesData[[#This Row],[Customers Visited]])</f>
        <v>6.8965517241379309E-2</v>
      </c>
      <c r="AI686" s="6">
        <f>IF(SalesData[[#This Row],[Contracts Signed]]=0,0,SalesData[[#This Row],[Profit(€)]]/SalesData[[#This Row],[Contracts Signed]])</f>
        <v>3069</v>
      </c>
      <c r="AJ686" s="5" t="str">
        <f>TRIM(CLEAN(SalesData[[#This Row],[Retailer]]))</f>
        <v>Leipzig Mobility</v>
      </c>
    </row>
    <row r="687" spans="1:36" ht="14.25" hidden="1" x14ac:dyDescent="0.2">
      <c r="A687" t="s">
        <v>1280</v>
      </c>
      <c r="B687" s="1">
        <v>46054</v>
      </c>
      <c r="C687" t="s">
        <v>24</v>
      </c>
      <c r="D687" t="s">
        <v>41</v>
      </c>
      <c r="E687" t="s">
        <v>42</v>
      </c>
      <c r="F687" t="s">
        <v>74</v>
      </c>
      <c r="G687" t="s">
        <v>75</v>
      </c>
      <c r="H687" t="s">
        <v>76</v>
      </c>
      <c r="I687" t="s">
        <v>56</v>
      </c>
      <c r="J687" t="s">
        <v>179</v>
      </c>
      <c r="K687" t="s">
        <v>78</v>
      </c>
      <c r="L687" t="s">
        <v>67</v>
      </c>
      <c r="M687" t="s">
        <v>87</v>
      </c>
      <c r="N687" t="s">
        <v>35</v>
      </c>
      <c r="O687" t="s">
        <v>70</v>
      </c>
      <c r="P687" t="s">
        <v>37</v>
      </c>
      <c r="Q687" t="s">
        <v>158</v>
      </c>
      <c r="R687">
        <v>256</v>
      </c>
      <c r="S687">
        <v>140</v>
      </c>
      <c r="T687">
        <v>106</v>
      </c>
      <c r="U687">
        <v>33</v>
      </c>
      <c r="V687" t="s">
        <v>6782</v>
      </c>
      <c r="W687">
        <v>50002</v>
      </c>
      <c r="X687" t="s">
        <v>7160</v>
      </c>
      <c r="Y687">
        <v>38037</v>
      </c>
      <c r="Z687">
        <v>1650066</v>
      </c>
      <c r="AA687">
        <v>394845</v>
      </c>
      <c r="AB687" t="str">
        <f>(VLOOKUP(SalesData[[#This Row],[Month Number]],Reference!C$5:E$16,2,FALSE))</f>
        <v>Feb</v>
      </c>
      <c r="AC687">
        <f>MONTH(SalesData[[#This Row],[Date]])</f>
        <v>2</v>
      </c>
      <c r="AD687">
        <f>Reference!F$4</f>
        <v>2026</v>
      </c>
      <c r="AE687" t="str">
        <f>IF(OR(SalesData[[#This Row],[Day]]="Saturday",SalesData[[#This Row],[Day]]="Sunday"),"Weekend","Weekday")</f>
        <v>Weekend</v>
      </c>
      <c r="AF687" s="5">
        <f>IF(SalesData[[#This Row],[Contracts Offered]]=0,0,SalesData[[#This Row],[Contracts Signed]]/SalesData[[#This Row],[Contracts Offered]])</f>
        <v>0.31132075471698112</v>
      </c>
      <c r="AG687" s="5">
        <f>IF(SalesData[[#This Row],[Customers Visited]]=0,0,SalesData[[#This Row],[Test Drives]]/SalesData[[#This Row],[Customers Visited]])</f>
        <v>0.546875</v>
      </c>
      <c r="AH687" s="5">
        <f>IF(SalesData[[#This Row],[Customers Visited]]=0,0,SalesData[[#This Row],[Contracts Signed]]/SalesData[[#This Row],[Customers Visited]])</f>
        <v>0.12890625</v>
      </c>
      <c r="AI687" s="6">
        <f>IF(SalesData[[#This Row],[Contracts Signed]]=0,0,SalesData[[#This Row],[Profit(€)]]/SalesData[[#This Row],[Contracts Signed]])</f>
        <v>11965</v>
      </c>
      <c r="AJ687" s="5" t="str">
        <f>TRIM(CLEAN(SalesData[[#This Row],[Retailer]]))</f>
        <v>Stuttgart Auto Center</v>
      </c>
    </row>
    <row r="688" spans="1:36" ht="14.25" x14ac:dyDescent="0.2">
      <c r="A688" t="s">
        <v>1281</v>
      </c>
      <c r="B688" s="1">
        <v>46065</v>
      </c>
      <c r="C688" t="s">
        <v>121</v>
      </c>
      <c r="D688" t="s">
        <v>100</v>
      </c>
      <c r="E688" t="s">
        <v>26</v>
      </c>
      <c r="F688" t="s">
        <v>94</v>
      </c>
      <c r="G688" t="s">
        <v>95</v>
      </c>
      <c r="H688" t="s">
        <v>96</v>
      </c>
      <c r="I688" t="s">
        <v>30</v>
      </c>
      <c r="J688" t="s">
        <v>86</v>
      </c>
      <c r="K688" t="s">
        <v>66</v>
      </c>
      <c r="L688" t="s">
        <v>33</v>
      </c>
      <c r="M688" t="s">
        <v>87</v>
      </c>
      <c r="N688" t="s">
        <v>69</v>
      </c>
      <c r="O688" t="s">
        <v>36</v>
      </c>
      <c r="P688" t="s">
        <v>58</v>
      </c>
      <c r="Q688" t="s">
        <v>204</v>
      </c>
      <c r="R688">
        <v>275</v>
      </c>
      <c r="S688">
        <v>152</v>
      </c>
      <c r="T688">
        <v>113</v>
      </c>
      <c r="U688">
        <v>51</v>
      </c>
      <c r="V688" t="s">
        <v>7289</v>
      </c>
      <c r="W688">
        <v>53074</v>
      </c>
      <c r="X688" t="s">
        <v>2887</v>
      </c>
      <c r="Y688">
        <v>37189</v>
      </c>
      <c r="Z688">
        <v>2706774</v>
      </c>
      <c r="AA688">
        <v>810135</v>
      </c>
      <c r="AB688" t="str">
        <f>(VLOOKUP(SalesData[[#This Row],[Month Number]],Reference!C$5:E$16,2,FALSE))</f>
        <v>Feb</v>
      </c>
      <c r="AC688">
        <f>MONTH(SalesData[[#This Row],[Date]])</f>
        <v>2</v>
      </c>
      <c r="AD688">
        <f>Reference!F$4</f>
        <v>2026</v>
      </c>
      <c r="AE688" t="str">
        <f>IF(OR(SalesData[[#This Row],[Day]]="Saturday",SalesData[[#This Row],[Day]]="Sunday"),"Weekend","Weekday")</f>
        <v>Weekday</v>
      </c>
      <c r="AF688" s="5">
        <f>IF(SalesData[[#This Row],[Contracts Offered]]=0,0,SalesData[[#This Row],[Contracts Signed]]/SalesData[[#This Row],[Contracts Offered]])</f>
        <v>0.45132743362831856</v>
      </c>
      <c r="AG688" s="5">
        <f>IF(SalesData[[#This Row],[Customers Visited]]=0,0,SalesData[[#This Row],[Test Drives]]/SalesData[[#This Row],[Customers Visited]])</f>
        <v>0.55272727272727273</v>
      </c>
      <c r="AH688" s="5">
        <f>IF(SalesData[[#This Row],[Customers Visited]]=0,0,SalesData[[#This Row],[Contracts Signed]]/SalesData[[#This Row],[Customers Visited]])</f>
        <v>0.18545454545454546</v>
      </c>
      <c r="AI688" s="6">
        <f>IF(SalesData[[#This Row],[Contracts Signed]]=0,0,SalesData[[#This Row],[Profit(€)]]/SalesData[[#This Row],[Contracts Signed]])</f>
        <v>15885</v>
      </c>
      <c r="AJ688" s="5" t="str">
        <f>TRIM(CLEAN(SalesData[[#This Row],[Retailer]]))</f>
        <v>Bavaria Motors</v>
      </c>
    </row>
    <row r="689" spans="1:36" ht="14.25" hidden="1" x14ac:dyDescent="0.2">
      <c r="A689" t="s">
        <v>1283</v>
      </c>
      <c r="B689" s="1">
        <v>46072</v>
      </c>
      <c r="C689" t="s">
        <v>62</v>
      </c>
      <c r="D689" t="s">
        <v>100</v>
      </c>
      <c r="E689" t="s">
        <v>26</v>
      </c>
      <c r="F689" t="s">
        <v>7649</v>
      </c>
      <c r="G689" t="s">
        <v>55</v>
      </c>
      <c r="H689" t="s">
        <v>55</v>
      </c>
      <c r="I689" t="s">
        <v>104</v>
      </c>
      <c r="J689" t="s">
        <v>143</v>
      </c>
      <c r="K689" t="s">
        <v>32</v>
      </c>
      <c r="L689" t="s">
        <v>67</v>
      </c>
      <c r="M689" t="s">
        <v>68</v>
      </c>
      <c r="N689" t="s">
        <v>48</v>
      </c>
      <c r="O689" t="s">
        <v>70</v>
      </c>
      <c r="P689" t="s">
        <v>49</v>
      </c>
      <c r="Q689" t="s">
        <v>347</v>
      </c>
      <c r="R689">
        <v>373</v>
      </c>
      <c r="S689">
        <v>156</v>
      </c>
      <c r="T689">
        <v>108</v>
      </c>
      <c r="U689">
        <v>23</v>
      </c>
      <c r="V689" t="s">
        <v>1363</v>
      </c>
      <c r="W689">
        <v>34099</v>
      </c>
      <c r="X689" t="s">
        <v>3997</v>
      </c>
      <c r="Y689">
        <v>29640</v>
      </c>
      <c r="Z689">
        <v>784277</v>
      </c>
      <c r="AA689">
        <v>102557</v>
      </c>
      <c r="AB689" t="str">
        <f>(VLOOKUP(SalesData[[#This Row],[Month Number]],Reference!C$5:E$16,2,FALSE))</f>
        <v>Feb</v>
      </c>
      <c r="AC689">
        <f>MONTH(SalesData[[#This Row],[Date]])</f>
        <v>2</v>
      </c>
      <c r="AD689">
        <f>Reference!F$4</f>
        <v>2026</v>
      </c>
      <c r="AE689" t="str">
        <f>IF(OR(SalesData[[#This Row],[Day]]="Saturday",SalesData[[#This Row],[Day]]="Sunday"),"Weekend","Weekday")</f>
        <v>Weekday</v>
      </c>
      <c r="AF689" s="5">
        <f>IF(SalesData[[#This Row],[Contracts Offered]]=0,0,SalesData[[#This Row],[Contracts Signed]]/SalesData[[#This Row],[Contracts Offered]])</f>
        <v>0.21296296296296297</v>
      </c>
      <c r="AG689" s="5">
        <f>IF(SalesData[[#This Row],[Customers Visited]]=0,0,SalesData[[#This Row],[Test Drives]]/SalesData[[#This Row],[Customers Visited]])</f>
        <v>0.41823056300268097</v>
      </c>
      <c r="AH689" s="5">
        <f>IF(SalesData[[#This Row],[Customers Visited]]=0,0,SalesData[[#This Row],[Contracts Signed]]/SalesData[[#This Row],[Customers Visited]])</f>
        <v>6.1662198391420911E-2</v>
      </c>
      <c r="AI689" s="6">
        <f>IF(SalesData[[#This Row],[Contracts Signed]]=0,0,SalesData[[#This Row],[Profit(€)]]/SalesData[[#This Row],[Contracts Signed]])</f>
        <v>4459</v>
      </c>
      <c r="AJ689" s="5" t="str">
        <f>TRIM(CLEAN(SalesData[[#This Row],[Retailer]]))</f>
        <v>Autohaus Berlin</v>
      </c>
    </row>
    <row r="690" spans="1:36" ht="14.25" hidden="1" x14ac:dyDescent="0.2">
      <c r="A690" t="s">
        <v>1285</v>
      </c>
      <c r="B690" s="1">
        <v>46073</v>
      </c>
      <c r="C690" t="s">
        <v>62</v>
      </c>
      <c r="D690" t="s">
        <v>54</v>
      </c>
      <c r="E690" t="s">
        <v>26</v>
      </c>
      <c r="F690" t="s">
        <v>101</v>
      </c>
      <c r="G690" t="s">
        <v>102</v>
      </c>
      <c r="H690" t="s">
        <v>103</v>
      </c>
      <c r="I690" t="s">
        <v>104</v>
      </c>
      <c r="J690" t="s">
        <v>7061</v>
      </c>
      <c r="K690" t="s">
        <v>78</v>
      </c>
      <c r="L690" t="s">
        <v>46</v>
      </c>
      <c r="M690" t="s">
        <v>34</v>
      </c>
      <c r="N690" t="s">
        <v>48</v>
      </c>
      <c r="O690" t="s">
        <v>36</v>
      </c>
      <c r="P690" t="s">
        <v>58</v>
      </c>
      <c r="Q690" t="s">
        <v>79</v>
      </c>
      <c r="R690">
        <v>390</v>
      </c>
      <c r="S690">
        <v>224</v>
      </c>
      <c r="T690">
        <v>135</v>
      </c>
      <c r="U690">
        <v>45</v>
      </c>
      <c r="V690" t="s">
        <v>6768</v>
      </c>
      <c r="W690">
        <v>29371</v>
      </c>
      <c r="X690" t="s">
        <v>3747</v>
      </c>
      <c r="Y690">
        <v>26649</v>
      </c>
      <c r="Z690">
        <v>1321695</v>
      </c>
      <c r="AA690">
        <v>122490</v>
      </c>
      <c r="AB690" t="str">
        <f>(VLOOKUP(SalesData[[#This Row],[Month Number]],Reference!C$5:E$16,2,FALSE))</f>
        <v>Feb</v>
      </c>
      <c r="AC690">
        <f>MONTH(SalesData[[#This Row],[Date]])</f>
        <v>2</v>
      </c>
      <c r="AD690">
        <f>Reference!F$4</f>
        <v>2026</v>
      </c>
      <c r="AE690" t="str">
        <f>IF(OR(SalesData[[#This Row],[Day]]="Saturday",SalesData[[#This Row],[Day]]="Sunday"),"Weekend","Weekday")</f>
        <v>Weekday</v>
      </c>
      <c r="AF690" s="5">
        <f>IF(SalesData[[#This Row],[Contracts Offered]]=0,0,SalesData[[#This Row],[Contracts Signed]]/SalesData[[#This Row],[Contracts Offered]])</f>
        <v>0.33333333333333331</v>
      </c>
      <c r="AG690" s="5">
        <f>IF(SalesData[[#This Row],[Customers Visited]]=0,0,SalesData[[#This Row],[Test Drives]]/SalesData[[#This Row],[Customers Visited]])</f>
        <v>0.57435897435897432</v>
      </c>
      <c r="AH690" s="5">
        <f>IF(SalesData[[#This Row],[Customers Visited]]=0,0,SalesData[[#This Row],[Contracts Signed]]/SalesData[[#This Row],[Customers Visited]])</f>
        <v>0.11538461538461539</v>
      </c>
      <c r="AI690" s="6">
        <f>IF(SalesData[[#This Row],[Contracts Signed]]=0,0,SalesData[[#This Row],[Profit(€)]]/SalesData[[#This Row],[Contracts Signed]])</f>
        <v>2722</v>
      </c>
      <c r="AJ690" s="5" t="str">
        <f>TRIM(CLEAN(SalesData[[#This Row],[Retailer]]))</f>
        <v>Ruhr Auto Plaza</v>
      </c>
    </row>
    <row r="691" spans="1:36" ht="14.25" hidden="1" x14ac:dyDescent="0.2">
      <c r="A691" t="s">
        <v>1287</v>
      </c>
      <c r="B691" s="1">
        <v>46075</v>
      </c>
      <c r="C691" t="s">
        <v>53</v>
      </c>
      <c r="D691" t="s">
        <v>41</v>
      </c>
      <c r="E691" t="s">
        <v>42</v>
      </c>
      <c r="F691" t="s">
        <v>114</v>
      </c>
      <c r="G691" t="s">
        <v>115</v>
      </c>
      <c r="H691" t="s">
        <v>115</v>
      </c>
      <c r="I691" t="s">
        <v>116</v>
      </c>
      <c r="J691" t="s">
        <v>7026</v>
      </c>
      <c r="K691" t="s">
        <v>78</v>
      </c>
      <c r="L691" t="s">
        <v>46</v>
      </c>
      <c r="M691" t="s">
        <v>87</v>
      </c>
      <c r="N691" t="s">
        <v>48</v>
      </c>
      <c r="O691" t="s">
        <v>36</v>
      </c>
      <c r="P691" t="s">
        <v>58</v>
      </c>
      <c r="Q691" t="s">
        <v>347</v>
      </c>
      <c r="R691">
        <v>386</v>
      </c>
      <c r="S691">
        <v>169</v>
      </c>
      <c r="T691">
        <v>112</v>
      </c>
      <c r="U691">
        <v>33</v>
      </c>
      <c r="V691" t="s">
        <v>2294</v>
      </c>
      <c r="W691">
        <v>20191</v>
      </c>
      <c r="X691" t="s">
        <v>141</v>
      </c>
      <c r="Y691">
        <v>18360</v>
      </c>
      <c r="Z691">
        <v>666303</v>
      </c>
      <c r="AA691">
        <v>60423</v>
      </c>
      <c r="AB691" t="str">
        <f>(VLOOKUP(SalesData[[#This Row],[Month Number]],Reference!C$5:E$16,2,FALSE))</f>
        <v>Feb</v>
      </c>
      <c r="AC691">
        <f>MONTH(SalesData[[#This Row],[Date]])</f>
        <v>2</v>
      </c>
      <c r="AD691">
        <f>Reference!F$4</f>
        <v>2026</v>
      </c>
      <c r="AE691" t="str">
        <f>IF(OR(SalesData[[#This Row],[Day]]="Saturday",SalesData[[#This Row],[Day]]="Sunday"),"Weekend","Weekday")</f>
        <v>Weekend</v>
      </c>
      <c r="AF691" s="5">
        <f>IF(SalesData[[#This Row],[Contracts Offered]]=0,0,SalesData[[#This Row],[Contracts Signed]]/SalesData[[#This Row],[Contracts Offered]])</f>
        <v>0.29464285714285715</v>
      </c>
      <c r="AG691" s="5">
        <f>IF(SalesData[[#This Row],[Customers Visited]]=0,0,SalesData[[#This Row],[Test Drives]]/SalesData[[#This Row],[Customers Visited]])</f>
        <v>0.43782383419689119</v>
      </c>
      <c r="AH691" s="5">
        <f>IF(SalesData[[#This Row],[Customers Visited]]=0,0,SalesData[[#This Row],[Contracts Signed]]/SalesData[[#This Row],[Customers Visited]])</f>
        <v>8.549222797927461E-2</v>
      </c>
      <c r="AI691" s="6">
        <f>IF(SalesData[[#This Row],[Contracts Signed]]=0,0,SalesData[[#This Row],[Profit(€)]]/SalesData[[#This Row],[Contracts Signed]])</f>
        <v>1831</v>
      </c>
      <c r="AJ691" s="5" t="str">
        <f>TRIM(CLEAN(SalesData[[#This Row],[Retailer]]))</f>
        <v>Elbe Drive</v>
      </c>
    </row>
    <row r="692" spans="1:36" ht="14.25" hidden="1" x14ac:dyDescent="0.2">
      <c r="A692" t="s">
        <v>1289</v>
      </c>
      <c r="B692" s="1">
        <v>46078</v>
      </c>
      <c r="C692" t="s">
        <v>53</v>
      </c>
      <c r="D692" t="s">
        <v>82</v>
      </c>
      <c r="E692" t="s">
        <v>26</v>
      </c>
      <c r="F692" t="s">
        <v>127</v>
      </c>
      <c r="G692" t="s">
        <v>128</v>
      </c>
      <c r="H692" t="s">
        <v>103</v>
      </c>
      <c r="I692" t="s">
        <v>64</v>
      </c>
      <c r="J692" t="s">
        <v>77</v>
      </c>
      <c r="K692" t="s">
        <v>91</v>
      </c>
      <c r="L692" t="s">
        <v>46</v>
      </c>
      <c r="M692" t="s">
        <v>68</v>
      </c>
      <c r="N692" t="s">
        <v>69</v>
      </c>
      <c r="O692" t="s">
        <v>36</v>
      </c>
      <c r="P692" t="s">
        <v>37</v>
      </c>
      <c r="Q692" t="s">
        <v>167</v>
      </c>
      <c r="R692">
        <v>186</v>
      </c>
      <c r="S692">
        <v>104</v>
      </c>
      <c r="T692">
        <v>81</v>
      </c>
      <c r="U692">
        <v>26</v>
      </c>
      <c r="V692" t="s">
        <v>6403</v>
      </c>
      <c r="W692">
        <v>70364</v>
      </c>
      <c r="X692" t="s">
        <v>5727</v>
      </c>
      <c r="Y692">
        <v>52391</v>
      </c>
      <c r="Z692">
        <v>1829464</v>
      </c>
      <c r="AA692">
        <v>467298</v>
      </c>
      <c r="AB692" t="str">
        <f>(VLOOKUP(SalesData[[#This Row],[Month Number]],Reference!C$5:E$16,2,FALSE))</f>
        <v>Feb</v>
      </c>
      <c r="AC692">
        <f>MONTH(SalesData[[#This Row],[Date]])</f>
        <v>2</v>
      </c>
      <c r="AD692">
        <f>Reference!F$4</f>
        <v>2026</v>
      </c>
      <c r="AE692" t="str">
        <f>IF(OR(SalesData[[#This Row],[Day]]="Saturday",SalesData[[#This Row],[Day]]="Sunday"),"Weekend","Weekday")</f>
        <v>Weekday</v>
      </c>
      <c r="AF692" s="5">
        <f>IF(SalesData[[#This Row],[Contracts Offered]]=0,0,SalesData[[#This Row],[Contracts Signed]]/SalesData[[#This Row],[Contracts Offered]])</f>
        <v>0.32098765432098764</v>
      </c>
      <c r="AG692" s="5">
        <f>IF(SalesData[[#This Row],[Customers Visited]]=0,0,SalesData[[#This Row],[Test Drives]]/SalesData[[#This Row],[Customers Visited]])</f>
        <v>0.55913978494623651</v>
      </c>
      <c r="AH692" s="5">
        <f>IF(SalesData[[#This Row],[Customers Visited]]=0,0,SalesData[[#This Row],[Contracts Signed]]/SalesData[[#This Row],[Customers Visited]])</f>
        <v>0.13978494623655913</v>
      </c>
      <c r="AI692" s="6">
        <f>IF(SalesData[[#This Row],[Contracts Signed]]=0,0,SalesData[[#This Row],[Profit(€)]]/SalesData[[#This Row],[Contracts Signed]])</f>
        <v>17973</v>
      </c>
      <c r="AJ692" s="5" t="str">
        <f>TRIM(CLEAN(SalesData[[#This Row],[Retailer]]))</f>
        <v>Rhein Auto Group</v>
      </c>
    </row>
    <row r="693" spans="1:36" ht="14.25" x14ac:dyDescent="0.2">
      <c r="A693" t="s">
        <v>1291</v>
      </c>
      <c r="B693" s="1">
        <v>46073</v>
      </c>
      <c r="C693" t="s">
        <v>62</v>
      </c>
      <c r="D693" t="s">
        <v>54</v>
      </c>
      <c r="E693" t="s">
        <v>26</v>
      </c>
      <c r="F693" t="s">
        <v>114</v>
      </c>
      <c r="G693" t="s">
        <v>115</v>
      </c>
      <c r="H693" t="s">
        <v>115</v>
      </c>
      <c r="I693" t="s">
        <v>30</v>
      </c>
      <c r="J693" t="s">
        <v>166</v>
      </c>
      <c r="K693" t="s">
        <v>78</v>
      </c>
      <c r="L693" t="s">
        <v>46</v>
      </c>
      <c r="M693" t="s">
        <v>68</v>
      </c>
      <c r="N693" t="s">
        <v>69</v>
      </c>
      <c r="O693" t="s">
        <v>36</v>
      </c>
      <c r="P693" t="s">
        <v>58</v>
      </c>
      <c r="Q693" t="s">
        <v>167</v>
      </c>
      <c r="R693">
        <v>234</v>
      </c>
      <c r="S693">
        <v>131</v>
      </c>
      <c r="T693">
        <v>105</v>
      </c>
      <c r="U693">
        <v>44</v>
      </c>
      <c r="V693" t="s">
        <v>7290</v>
      </c>
      <c r="W693">
        <v>66044</v>
      </c>
      <c r="X693" t="s">
        <v>7291</v>
      </c>
      <c r="Y693">
        <v>50378</v>
      </c>
      <c r="Z693">
        <v>2905936</v>
      </c>
      <c r="AA693">
        <v>689304</v>
      </c>
      <c r="AB693" t="str">
        <f>(VLOOKUP(SalesData[[#This Row],[Month Number]],Reference!C$5:E$16,2,FALSE))</f>
        <v>Feb</v>
      </c>
      <c r="AC693">
        <f>MONTH(SalesData[[#This Row],[Date]])</f>
        <v>2</v>
      </c>
      <c r="AD693">
        <f>Reference!F$4</f>
        <v>2026</v>
      </c>
      <c r="AE693" t="str">
        <f>IF(OR(SalesData[[#This Row],[Day]]="Saturday",SalesData[[#This Row],[Day]]="Sunday"),"Weekend","Weekday")</f>
        <v>Weekday</v>
      </c>
      <c r="AF693" s="5">
        <f>IF(SalesData[[#This Row],[Contracts Offered]]=0,0,SalesData[[#This Row],[Contracts Signed]]/SalesData[[#This Row],[Contracts Offered]])</f>
        <v>0.41904761904761906</v>
      </c>
      <c r="AG693" s="5">
        <f>IF(SalesData[[#This Row],[Customers Visited]]=0,0,SalesData[[#This Row],[Test Drives]]/SalesData[[#This Row],[Customers Visited]])</f>
        <v>0.55982905982905984</v>
      </c>
      <c r="AH693" s="5">
        <f>IF(SalesData[[#This Row],[Customers Visited]]=0,0,SalesData[[#This Row],[Contracts Signed]]/SalesData[[#This Row],[Customers Visited]])</f>
        <v>0.18803418803418803</v>
      </c>
      <c r="AI693" s="6">
        <f>IF(SalesData[[#This Row],[Contracts Signed]]=0,0,SalesData[[#This Row],[Profit(€)]]/SalesData[[#This Row],[Contracts Signed]])</f>
        <v>15666</v>
      </c>
      <c r="AJ693" s="5" t="str">
        <f>TRIM(CLEAN(SalesData[[#This Row],[Retailer]]))</f>
        <v>Elbe Drive</v>
      </c>
    </row>
    <row r="694" spans="1:36" ht="14.25" hidden="1" x14ac:dyDescent="0.2">
      <c r="A694" t="s">
        <v>1292</v>
      </c>
      <c r="B694" s="1">
        <v>46076</v>
      </c>
      <c r="C694" t="s">
        <v>53</v>
      </c>
      <c r="D694" t="s">
        <v>25</v>
      </c>
      <c r="E694" t="s">
        <v>26</v>
      </c>
      <c r="F694" t="s">
        <v>74</v>
      </c>
      <c r="G694" t="s">
        <v>75</v>
      </c>
      <c r="H694" t="s">
        <v>76</v>
      </c>
      <c r="I694" t="s">
        <v>116</v>
      </c>
      <c r="J694" t="s">
        <v>7026</v>
      </c>
      <c r="K694" t="s">
        <v>91</v>
      </c>
      <c r="L694" t="s">
        <v>46</v>
      </c>
      <c r="M694" t="s">
        <v>47</v>
      </c>
      <c r="N694" t="s">
        <v>48</v>
      </c>
      <c r="O694" t="s">
        <v>70</v>
      </c>
      <c r="P694" t="s">
        <v>58</v>
      </c>
      <c r="Q694" t="s">
        <v>172</v>
      </c>
      <c r="R694">
        <v>261</v>
      </c>
      <c r="S694">
        <v>130</v>
      </c>
      <c r="T694">
        <v>80</v>
      </c>
      <c r="U694">
        <v>23</v>
      </c>
      <c r="V694" t="s">
        <v>3264</v>
      </c>
      <c r="W694">
        <v>21837</v>
      </c>
      <c r="X694" t="s">
        <v>7292</v>
      </c>
      <c r="Y694">
        <v>19679</v>
      </c>
      <c r="Z694">
        <v>502251</v>
      </c>
      <c r="AA694">
        <v>49634</v>
      </c>
      <c r="AB694" t="str">
        <f>(VLOOKUP(SalesData[[#This Row],[Month Number]],Reference!C$5:E$16,2,FALSE))</f>
        <v>Feb</v>
      </c>
      <c r="AC694">
        <f>MONTH(SalesData[[#This Row],[Date]])</f>
        <v>2</v>
      </c>
      <c r="AD694">
        <f>Reference!F$4</f>
        <v>2026</v>
      </c>
      <c r="AE694" t="str">
        <f>IF(OR(SalesData[[#This Row],[Day]]="Saturday",SalesData[[#This Row],[Day]]="Sunday"),"Weekend","Weekday")</f>
        <v>Weekday</v>
      </c>
      <c r="AF694" s="5">
        <f>IF(SalesData[[#This Row],[Contracts Offered]]=0,0,SalesData[[#This Row],[Contracts Signed]]/SalesData[[#This Row],[Contracts Offered]])</f>
        <v>0.28749999999999998</v>
      </c>
      <c r="AG694" s="5">
        <f>IF(SalesData[[#This Row],[Customers Visited]]=0,0,SalesData[[#This Row],[Test Drives]]/SalesData[[#This Row],[Customers Visited]])</f>
        <v>0.49808429118773945</v>
      </c>
      <c r="AH694" s="5">
        <f>IF(SalesData[[#This Row],[Customers Visited]]=0,0,SalesData[[#This Row],[Contracts Signed]]/SalesData[[#This Row],[Customers Visited]])</f>
        <v>8.8122605363984668E-2</v>
      </c>
      <c r="AI694" s="6">
        <f>IF(SalesData[[#This Row],[Contracts Signed]]=0,0,SalesData[[#This Row],[Profit(€)]]/SalesData[[#This Row],[Contracts Signed]])</f>
        <v>2158</v>
      </c>
      <c r="AJ694" s="5" t="str">
        <f>TRIM(CLEAN(SalesData[[#This Row],[Retailer]]))</f>
        <v>Stuttgart Auto Center</v>
      </c>
    </row>
    <row r="695" spans="1:36" ht="14.25" hidden="1" x14ac:dyDescent="0.2">
      <c r="A695" t="s">
        <v>1294</v>
      </c>
      <c r="B695" s="1">
        <v>46066</v>
      </c>
      <c r="C695" t="s">
        <v>121</v>
      </c>
      <c r="D695" t="s">
        <v>54</v>
      </c>
      <c r="E695" t="s">
        <v>26</v>
      </c>
      <c r="F695" t="s">
        <v>114</v>
      </c>
      <c r="G695" t="s">
        <v>115</v>
      </c>
      <c r="H695" t="s">
        <v>115</v>
      </c>
      <c r="I695" t="s">
        <v>104</v>
      </c>
      <c r="J695" t="s">
        <v>7061</v>
      </c>
      <c r="K695" t="s">
        <v>91</v>
      </c>
      <c r="L695" t="s">
        <v>46</v>
      </c>
      <c r="M695" t="s">
        <v>34</v>
      </c>
      <c r="N695" t="s">
        <v>35</v>
      </c>
      <c r="O695" t="s">
        <v>36</v>
      </c>
      <c r="P695" t="s">
        <v>58</v>
      </c>
      <c r="Q695" t="s">
        <v>152</v>
      </c>
      <c r="R695">
        <v>343</v>
      </c>
      <c r="S695">
        <v>173</v>
      </c>
      <c r="T695">
        <v>117</v>
      </c>
      <c r="U695">
        <v>32</v>
      </c>
      <c r="V695" t="s">
        <v>7293</v>
      </c>
      <c r="W695">
        <v>28384</v>
      </c>
      <c r="X695" t="s">
        <v>2159</v>
      </c>
      <c r="Y695">
        <v>24524</v>
      </c>
      <c r="Z695">
        <v>908288</v>
      </c>
      <c r="AA695">
        <v>123520</v>
      </c>
      <c r="AB695" t="str">
        <f>(VLOOKUP(SalesData[[#This Row],[Month Number]],Reference!C$5:E$16,2,FALSE))</f>
        <v>Feb</v>
      </c>
      <c r="AC695">
        <f>MONTH(SalesData[[#This Row],[Date]])</f>
        <v>2</v>
      </c>
      <c r="AD695">
        <f>Reference!F$4</f>
        <v>2026</v>
      </c>
      <c r="AE695" t="str">
        <f>IF(OR(SalesData[[#This Row],[Day]]="Saturday",SalesData[[#This Row],[Day]]="Sunday"),"Weekend","Weekday")</f>
        <v>Weekday</v>
      </c>
      <c r="AF695" s="5">
        <f>IF(SalesData[[#This Row],[Contracts Offered]]=0,0,SalesData[[#This Row],[Contracts Signed]]/SalesData[[#This Row],[Contracts Offered]])</f>
        <v>0.27350427350427353</v>
      </c>
      <c r="AG695" s="5">
        <f>IF(SalesData[[#This Row],[Customers Visited]]=0,0,SalesData[[#This Row],[Test Drives]]/SalesData[[#This Row],[Customers Visited]])</f>
        <v>0.50437317784256563</v>
      </c>
      <c r="AH695" s="5">
        <f>IF(SalesData[[#This Row],[Customers Visited]]=0,0,SalesData[[#This Row],[Contracts Signed]]/SalesData[[#This Row],[Customers Visited]])</f>
        <v>9.3294460641399415E-2</v>
      </c>
      <c r="AI695" s="6">
        <f>IF(SalesData[[#This Row],[Contracts Signed]]=0,0,SalesData[[#This Row],[Profit(€)]]/SalesData[[#This Row],[Contracts Signed]])</f>
        <v>3860</v>
      </c>
      <c r="AJ695" s="5" t="str">
        <f>TRIM(CLEAN(SalesData[[#This Row],[Retailer]]))</f>
        <v>Elbe Drive</v>
      </c>
    </row>
    <row r="696" spans="1:36" ht="14.25" hidden="1" x14ac:dyDescent="0.2">
      <c r="A696" t="s">
        <v>1296</v>
      </c>
      <c r="B696" s="1">
        <v>46061</v>
      </c>
      <c r="C696" t="s">
        <v>121</v>
      </c>
      <c r="D696" t="s">
        <v>41</v>
      </c>
      <c r="E696" t="s">
        <v>42</v>
      </c>
      <c r="F696" t="s">
        <v>101</v>
      </c>
      <c r="G696" t="s">
        <v>102</v>
      </c>
      <c r="H696" t="s">
        <v>103</v>
      </c>
      <c r="I696" t="s">
        <v>64</v>
      </c>
      <c r="J696" t="s">
        <v>65</v>
      </c>
      <c r="K696" t="s">
        <v>91</v>
      </c>
      <c r="L696" t="s">
        <v>33</v>
      </c>
      <c r="M696" t="s">
        <v>47</v>
      </c>
      <c r="N696" t="s">
        <v>48</v>
      </c>
      <c r="O696" t="s">
        <v>70</v>
      </c>
      <c r="P696" t="s">
        <v>71</v>
      </c>
      <c r="Q696" t="s">
        <v>144</v>
      </c>
      <c r="R696">
        <v>215</v>
      </c>
      <c r="S696">
        <v>109</v>
      </c>
      <c r="T696">
        <v>80</v>
      </c>
      <c r="U696">
        <v>24</v>
      </c>
      <c r="V696" t="s">
        <v>6702</v>
      </c>
      <c r="W696">
        <v>70269</v>
      </c>
      <c r="X696" t="s">
        <v>7256</v>
      </c>
      <c r="Y696">
        <v>50811</v>
      </c>
      <c r="Z696">
        <v>1686456</v>
      </c>
      <c r="AA696">
        <v>466992</v>
      </c>
      <c r="AB696" t="str">
        <f>(VLOOKUP(SalesData[[#This Row],[Month Number]],Reference!C$5:E$16,2,FALSE))</f>
        <v>Feb</v>
      </c>
      <c r="AC696">
        <f>MONTH(SalesData[[#This Row],[Date]])</f>
        <v>2</v>
      </c>
      <c r="AD696">
        <f>Reference!F$4</f>
        <v>2026</v>
      </c>
      <c r="AE696" t="str">
        <f>IF(OR(SalesData[[#This Row],[Day]]="Saturday",SalesData[[#This Row],[Day]]="Sunday"),"Weekend","Weekday")</f>
        <v>Weekend</v>
      </c>
      <c r="AF696" s="5">
        <f>IF(SalesData[[#This Row],[Contracts Offered]]=0,0,SalesData[[#This Row],[Contracts Signed]]/SalesData[[#This Row],[Contracts Offered]])</f>
        <v>0.3</v>
      </c>
      <c r="AG696" s="5">
        <f>IF(SalesData[[#This Row],[Customers Visited]]=0,0,SalesData[[#This Row],[Test Drives]]/SalesData[[#This Row],[Customers Visited]])</f>
        <v>0.50697674418604655</v>
      </c>
      <c r="AH696" s="5">
        <f>IF(SalesData[[#This Row],[Customers Visited]]=0,0,SalesData[[#This Row],[Contracts Signed]]/SalesData[[#This Row],[Customers Visited]])</f>
        <v>0.11162790697674418</v>
      </c>
      <c r="AI696" s="6">
        <f>IF(SalesData[[#This Row],[Contracts Signed]]=0,0,SalesData[[#This Row],[Profit(€)]]/SalesData[[#This Row],[Contracts Signed]])</f>
        <v>19458</v>
      </c>
      <c r="AJ696" s="5" t="str">
        <f>TRIM(CLEAN(SalesData[[#This Row],[Retailer]]))</f>
        <v>Ruhr Auto Plaza</v>
      </c>
    </row>
    <row r="697" spans="1:36" ht="14.25" hidden="1" x14ac:dyDescent="0.2">
      <c r="A697" t="s">
        <v>1298</v>
      </c>
      <c r="B697" s="1">
        <v>46065</v>
      </c>
      <c r="C697" t="s">
        <v>121</v>
      </c>
      <c r="D697" t="s">
        <v>100</v>
      </c>
      <c r="E697" t="s">
        <v>26</v>
      </c>
      <c r="F697" t="s">
        <v>27</v>
      </c>
      <c r="G697" t="s">
        <v>28</v>
      </c>
      <c r="H697" t="s">
        <v>29</v>
      </c>
      <c r="I697" t="s">
        <v>116</v>
      </c>
      <c r="J697" t="s">
        <v>203</v>
      </c>
      <c r="K697" t="s">
        <v>91</v>
      </c>
      <c r="L697" t="s">
        <v>67</v>
      </c>
      <c r="M697" t="s">
        <v>34</v>
      </c>
      <c r="N697" t="s">
        <v>69</v>
      </c>
      <c r="O697" t="s">
        <v>70</v>
      </c>
      <c r="P697" t="s">
        <v>49</v>
      </c>
      <c r="Q697" t="s">
        <v>88</v>
      </c>
      <c r="R697">
        <v>245</v>
      </c>
      <c r="S697">
        <v>118</v>
      </c>
      <c r="T697">
        <v>78</v>
      </c>
      <c r="U697">
        <v>18</v>
      </c>
      <c r="V697" t="s">
        <v>704</v>
      </c>
      <c r="W697">
        <v>24543</v>
      </c>
      <c r="X697" t="s">
        <v>1885</v>
      </c>
      <c r="Y697">
        <v>22450</v>
      </c>
      <c r="Z697">
        <v>441774</v>
      </c>
      <c r="AA697">
        <v>37674</v>
      </c>
      <c r="AB697" t="str">
        <f>(VLOOKUP(SalesData[[#This Row],[Month Number]],Reference!C$5:E$16,2,FALSE))</f>
        <v>Feb</v>
      </c>
      <c r="AC697">
        <f>MONTH(SalesData[[#This Row],[Date]])</f>
        <v>2</v>
      </c>
      <c r="AD697">
        <f>Reference!F$4</f>
        <v>2026</v>
      </c>
      <c r="AE697" t="str">
        <f>IF(OR(SalesData[[#This Row],[Day]]="Saturday",SalesData[[#This Row],[Day]]="Sunday"),"Weekend","Weekday")</f>
        <v>Weekday</v>
      </c>
      <c r="AF697" s="5">
        <f>IF(SalesData[[#This Row],[Contracts Offered]]=0,0,SalesData[[#This Row],[Contracts Signed]]/SalesData[[#This Row],[Contracts Offered]])</f>
        <v>0.23076923076923078</v>
      </c>
      <c r="AG697" s="5">
        <f>IF(SalesData[[#This Row],[Customers Visited]]=0,0,SalesData[[#This Row],[Test Drives]]/SalesData[[#This Row],[Customers Visited]])</f>
        <v>0.48163265306122449</v>
      </c>
      <c r="AH697" s="5">
        <f>IF(SalesData[[#This Row],[Customers Visited]]=0,0,SalesData[[#This Row],[Contracts Signed]]/SalesData[[#This Row],[Customers Visited]])</f>
        <v>7.3469387755102047E-2</v>
      </c>
      <c r="AI697" s="6">
        <f>IF(SalesData[[#This Row],[Contracts Signed]]=0,0,SalesData[[#This Row],[Profit(€)]]/SalesData[[#This Row],[Contracts Signed]])</f>
        <v>2093</v>
      </c>
      <c r="AJ697" s="5" t="str">
        <f>TRIM(CLEAN(SalesData[[#This Row],[Retailer]]))</f>
        <v>Main Auto Hub</v>
      </c>
    </row>
    <row r="698" spans="1:36" ht="14.25" x14ac:dyDescent="0.2">
      <c r="A698" t="s">
        <v>1300</v>
      </c>
      <c r="B698" s="1">
        <v>46081</v>
      </c>
      <c r="C698" t="s">
        <v>53</v>
      </c>
      <c r="D698" t="s">
        <v>151</v>
      </c>
      <c r="E698" t="s">
        <v>42</v>
      </c>
      <c r="F698" t="s">
        <v>43</v>
      </c>
      <c r="G698" t="s">
        <v>44</v>
      </c>
      <c r="H698" t="s">
        <v>45</v>
      </c>
      <c r="I698" t="s">
        <v>30</v>
      </c>
      <c r="J698" t="s">
        <v>86</v>
      </c>
      <c r="K698" t="s">
        <v>91</v>
      </c>
      <c r="L698" t="s">
        <v>33</v>
      </c>
      <c r="M698" t="s">
        <v>87</v>
      </c>
      <c r="N698" t="s">
        <v>48</v>
      </c>
      <c r="O698" t="s">
        <v>70</v>
      </c>
      <c r="P698" t="s">
        <v>58</v>
      </c>
      <c r="Q698" t="s">
        <v>129</v>
      </c>
      <c r="R698">
        <v>240</v>
      </c>
      <c r="S698">
        <v>148</v>
      </c>
      <c r="T698">
        <v>110</v>
      </c>
      <c r="U698">
        <v>42</v>
      </c>
      <c r="V698" t="s">
        <v>6475</v>
      </c>
      <c r="W698">
        <v>57998</v>
      </c>
      <c r="X698" t="s">
        <v>7176</v>
      </c>
      <c r="Y698">
        <v>42549</v>
      </c>
      <c r="Z698">
        <v>2435916</v>
      </c>
      <c r="AA698">
        <v>648858</v>
      </c>
      <c r="AB698" t="str">
        <f>(VLOOKUP(SalesData[[#This Row],[Month Number]],Reference!C$5:E$16,2,FALSE))</f>
        <v>Feb</v>
      </c>
      <c r="AC698">
        <f>MONTH(SalesData[[#This Row],[Date]])</f>
        <v>2</v>
      </c>
      <c r="AD698">
        <f>Reference!F$4</f>
        <v>2026</v>
      </c>
      <c r="AE698" t="str">
        <f>IF(OR(SalesData[[#This Row],[Day]]="Saturday",SalesData[[#This Row],[Day]]="Sunday"),"Weekend","Weekday")</f>
        <v>Weekend</v>
      </c>
      <c r="AF698" s="5">
        <f>IF(SalesData[[#This Row],[Contracts Offered]]=0,0,SalesData[[#This Row],[Contracts Signed]]/SalesData[[#This Row],[Contracts Offered]])</f>
        <v>0.38181818181818183</v>
      </c>
      <c r="AG698" s="5">
        <f>IF(SalesData[[#This Row],[Customers Visited]]=0,0,SalesData[[#This Row],[Test Drives]]/SalesData[[#This Row],[Customers Visited]])</f>
        <v>0.6166666666666667</v>
      </c>
      <c r="AH698" s="5">
        <f>IF(SalesData[[#This Row],[Customers Visited]]=0,0,SalesData[[#This Row],[Contracts Signed]]/SalesData[[#This Row],[Customers Visited]])</f>
        <v>0.17499999999999999</v>
      </c>
      <c r="AI698" s="6">
        <f>IF(SalesData[[#This Row],[Contracts Signed]]=0,0,SalesData[[#This Row],[Profit(€)]]/SalesData[[#This Row],[Contracts Signed]])</f>
        <v>15449</v>
      </c>
      <c r="AJ698" s="5" t="str">
        <f>TRIM(CLEAN(SalesData[[#This Row],[Retailer]]))</f>
        <v>Saxon Wheels</v>
      </c>
    </row>
    <row r="699" spans="1:36" ht="14.25" hidden="1" x14ac:dyDescent="0.2">
      <c r="A699" t="s">
        <v>1301</v>
      </c>
      <c r="B699" s="1">
        <v>46068</v>
      </c>
      <c r="C699" t="s">
        <v>62</v>
      </c>
      <c r="D699" t="s">
        <v>41</v>
      </c>
      <c r="E699" t="s">
        <v>42</v>
      </c>
      <c r="F699" t="s">
        <v>94</v>
      </c>
      <c r="G699" t="s">
        <v>95</v>
      </c>
      <c r="H699" t="s">
        <v>96</v>
      </c>
      <c r="I699" t="s">
        <v>104</v>
      </c>
      <c r="J699" t="s">
        <v>143</v>
      </c>
      <c r="K699" t="s">
        <v>32</v>
      </c>
      <c r="L699" t="s">
        <v>67</v>
      </c>
      <c r="M699" t="s">
        <v>47</v>
      </c>
      <c r="N699" t="s">
        <v>69</v>
      </c>
      <c r="O699" t="s">
        <v>36</v>
      </c>
      <c r="P699" t="s">
        <v>37</v>
      </c>
      <c r="Q699" t="s">
        <v>129</v>
      </c>
      <c r="R699">
        <v>495</v>
      </c>
      <c r="S699">
        <v>235</v>
      </c>
      <c r="T699">
        <v>148</v>
      </c>
      <c r="U699">
        <v>45</v>
      </c>
      <c r="V699" t="s">
        <v>2858</v>
      </c>
      <c r="W699">
        <v>26639</v>
      </c>
      <c r="X699" t="s">
        <v>1286</v>
      </c>
      <c r="Y699">
        <v>23358</v>
      </c>
      <c r="Z699">
        <v>1198755</v>
      </c>
      <c r="AA699">
        <v>147645</v>
      </c>
      <c r="AB699" t="str">
        <f>(VLOOKUP(SalesData[[#This Row],[Month Number]],Reference!C$5:E$16,2,FALSE))</f>
        <v>Feb</v>
      </c>
      <c r="AC699">
        <f>MONTH(SalesData[[#This Row],[Date]])</f>
        <v>2</v>
      </c>
      <c r="AD699">
        <f>Reference!F$4</f>
        <v>2026</v>
      </c>
      <c r="AE699" t="str">
        <f>IF(OR(SalesData[[#This Row],[Day]]="Saturday",SalesData[[#This Row],[Day]]="Sunday"),"Weekend","Weekday")</f>
        <v>Weekend</v>
      </c>
      <c r="AF699" s="5">
        <f>IF(SalesData[[#This Row],[Contracts Offered]]=0,0,SalesData[[#This Row],[Contracts Signed]]/SalesData[[#This Row],[Contracts Offered]])</f>
        <v>0.30405405405405406</v>
      </c>
      <c r="AG699" s="5">
        <f>IF(SalesData[[#This Row],[Customers Visited]]=0,0,SalesData[[#This Row],[Test Drives]]/SalesData[[#This Row],[Customers Visited]])</f>
        <v>0.47474747474747475</v>
      </c>
      <c r="AH699" s="5">
        <f>IF(SalesData[[#This Row],[Customers Visited]]=0,0,SalesData[[#This Row],[Contracts Signed]]/SalesData[[#This Row],[Customers Visited]])</f>
        <v>9.0909090909090912E-2</v>
      </c>
      <c r="AI699" s="6">
        <f>IF(SalesData[[#This Row],[Contracts Signed]]=0,0,SalesData[[#This Row],[Profit(€)]]/SalesData[[#This Row],[Contracts Signed]])</f>
        <v>3281</v>
      </c>
      <c r="AJ699" s="5" t="str">
        <f>TRIM(CLEAN(SalesData[[#This Row],[Retailer]]))</f>
        <v>Bavaria Motors</v>
      </c>
    </row>
    <row r="700" spans="1:36" ht="14.25" hidden="1" x14ac:dyDescent="0.2">
      <c r="A700" t="s">
        <v>1303</v>
      </c>
      <c r="B700" s="1">
        <v>46062</v>
      </c>
      <c r="C700" t="s">
        <v>121</v>
      </c>
      <c r="D700" t="s">
        <v>25</v>
      </c>
      <c r="E700" t="s">
        <v>26</v>
      </c>
      <c r="F700" t="s">
        <v>109</v>
      </c>
      <c r="G700" t="s">
        <v>110</v>
      </c>
      <c r="H700" t="s">
        <v>45</v>
      </c>
      <c r="I700" t="s">
        <v>104</v>
      </c>
      <c r="J700" t="s">
        <v>7061</v>
      </c>
      <c r="K700" t="s">
        <v>78</v>
      </c>
      <c r="L700" t="s">
        <v>46</v>
      </c>
      <c r="M700" t="s">
        <v>68</v>
      </c>
      <c r="N700" t="s">
        <v>48</v>
      </c>
      <c r="O700" t="s">
        <v>70</v>
      </c>
      <c r="P700" t="s">
        <v>37</v>
      </c>
      <c r="Q700" t="s">
        <v>189</v>
      </c>
      <c r="R700">
        <v>473</v>
      </c>
      <c r="S700">
        <v>221</v>
      </c>
      <c r="T700">
        <v>154</v>
      </c>
      <c r="U700">
        <v>28</v>
      </c>
      <c r="V700" t="s">
        <v>6995</v>
      </c>
      <c r="W700">
        <v>34356</v>
      </c>
      <c r="X700" t="s">
        <v>4556</v>
      </c>
      <c r="Y700">
        <v>29935</v>
      </c>
      <c r="Z700">
        <v>961968</v>
      </c>
      <c r="AA700">
        <v>123788</v>
      </c>
      <c r="AB700" t="str">
        <f>(VLOOKUP(SalesData[[#This Row],[Month Number]],Reference!C$5:E$16,2,FALSE))</f>
        <v>Feb</v>
      </c>
      <c r="AC700">
        <f>MONTH(SalesData[[#This Row],[Date]])</f>
        <v>2</v>
      </c>
      <c r="AD700">
        <f>Reference!F$4</f>
        <v>2026</v>
      </c>
      <c r="AE700" t="str">
        <f>IF(OR(SalesData[[#This Row],[Day]]="Saturday",SalesData[[#This Row],[Day]]="Sunday"),"Weekend","Weekday")</f>
        <v>Weekday</v>
      </c>
      <c r="AF700" s="5">
        <f>IF(SalesData[[#This Row],[Contracts Offered]]=0,0,SalesData[[#This Row],[Contracts Signed]]/SalesData[[#This Row],[Contracts Offered]])</f>
        <v>0.18181818181818182</v>
      </c>
      <c r="AG700" s="5">
        <f>IF(SalesData[[#This Row],[Customers Visited]]=0,0,SalesData[[#This Row],[Test Drives]]/SalesData[[#This Row],[Customers Visited]])</f>
        <v>0.46723044397463004</v>
      </c>
      <c r="AH700" s="5">
        <f>IF(SalesData[[#This Row],[Customers Visited]]=0,0,SalesData[[#This Row],[Contracts Signed]]/SalesData[[#This Row],[Customers Visited]])</f>
        <v>5.9196617336152217E-2</v>
      </c>
      <c r="AI700" s="6">
        <f>IF(SalesData[[#This Row],[Contracts Signed]]=0,0,SalesData[[#This Row],[Profit(€)]]/SalesData[[#This Row],[Contracts Signed]])</f>
        <v>4421</v>
      </c>
      <c r="AJ700" s="5" t="str">
        <f>TRIM(CLEAN(SalesData[[#This Row],[Retailer]]))</f>
        <v>Leipzig Mobility</v>
      </c>
    </row>
    <row r="701" spans="1:36" ht="14.25" hidden="1" x14ac:dyDescent="0.2">
      <c r="A701" t="s">
        <v>1304</v>
      </c>
      <c r="B701" s="1">
        <v>46064</v>
      </c>
      <c r="C701" t="s">
        <v>121</v>
      </c>
      <c r="D701" t="s">
        <v>82</v>
      </c>
      <c r="E701" t="s">
        <v>26</v>
      </c>
      <c r="F701" t="s">
        <v>114</v>
      </c>
      <c r="G701" t="s">
        <v>115</v>
      </c>
      <c r="H701" t="s">
        <v>115</v>
      </c>
      <c r="I701" t="s">
        <v>116</v>
      </c>
      <c r="J701" t="s">
        <v>203</v>
      </c>
      <c r="K701" t="s">
        <v>66</v>
      </c>
      <c r="L701" t="s">
        <v>67</v>
      </c>
      <c r="M701" t="s">
        <v>34</v>
      </c>
      <c r="N701" t="s">
        <v>35</v>
      </c>
      <c r="O701" t="s">
        <v>70</v>
      </c>
      <c r="P701" t="s">
        <v>49</v>
      </c>
      <c r="Q701" t="s">
        <v>38</v>
      </c>
      <c r="R701">
        <v>272</v>
      </c>
      <c r="S701">
        <v>120</v>
      </c>
      <c r="T701">
        <v>71</v>
      </c>
      <c r="U701">
        <v>19</v>
      </c>
      <c r="V701" t="s">
        <v>1698</v>
      </c>
      <c r="W701">
        <v>24469</v>
      </c>
      <c r="X701" t="s">
        <v>2706</v>
      </c>
      <c r="Y701">
        <v>22149</v>
      </c>
      <c r="Z701">
        <v>464911</v>
      </c>
      <c r="AA701">
        <v>44080</v>
      </c>
      <c r="AB701" t="str">
        <f>(VLOOKUP(SalesData[[#This Row],[Month Number]],Reference!C$5:E$16,2,FALSE))</f>
        <v>Feb</v>
      </c>
      <c r="AC701">
        <f>MONTH(SalesData[[#This Row],[Date]])</f>
        <v>2</v>
      </c>
      <c r="AD701">
        <f>Reference!F$4</f>
        <v>2026</v>
      </c>
      <c r="AE701" t="str">
        <f>IF(OR(SalesData[[#This Row],[Day]]="Saturday",SalesData[[#This Row],[Day]]="Sunday"),"Weekend","Weekday")</f>
        <v>Weekday</v>
      </c>
      <c r="AF701" s="5">
        <f>IF(SalesData[[#This Row],[Contracts Offered]]=0,0,SalesData[[#This Row],[Contracts Signed]]/SalesData[[#This Row],[Contracts Offered]])</f>
        <v>0.26760563380281688</v>
      </c>
      <c r="AG701" s="5">
        <f>IF(SalesData[[#This Row],[Customers Visited]]=0,0,SalesData[[#This Row],[Test Drives]]/SalesData[[#This Row],[Customers Visited]])</f>
        <v>0.44117647058823528</v>
      </c>
      <c r="AH701" s="5">
        <f>IF(SalesData[[#This Row],[Customers Visited]]=0,0,SalesData[[#This Row],[Contracts Signed]]/SalesData[[#This Row],[Customers Visited]])</f>
        <v>6.985294117647059E-2</v>
      </c>
      <c r="AI701" s="6">
        <f>IF(SalesData[[#This Row],[Contracts Signed]]=0,0,SalesData[[#This Row],[Profit(€)]]/SalesData[[#This Row],[Contracts Signed]])</f>
        <v>2320</v>
      </c>
      <c r="AJ701" s="5" t="str">
        <f>TRIM(CLEAN(SalesData[[#This Row],[Retailer]]))</f>
        <v>Elbe Drive</v>
      </c>
    </row>
    <row r="702" spans="1:36" ht="14.25" hidden="1" x14ac:dyDescent="0.2">
      <c r="A702" t="s">
        <v>1306</v>
      </c>
      <c r="B702" s="1">
        <v>46069</v>
      </c>
      <c r="C702" t="s">
        <v>62</v>
      </c>
      <c r="D702" t="s">
        <v>25</v>
      </c>
      <c r="E702" t="s">
        <v>26</v>
      </c>
      <c r="F702" t="s">
        <v>101</v>
      </c>
      <c r="G702" t="s">
        <v>102</v>
      </c>
      <c r="H702" t="s">
        <v>103</v>
      </c>
      <c r="I702" t="s">
        <v>56</v>
      </c>
      <c r="J702" t="s">
        <v>7028</v>
      </c>
      <c r="K702" t="s">
        <v>66</v>
      </c>
      <c r="L702" t="s">
        <v>46</v>
      </c>
      <c r="M702" t="s">
        <v>68</v>
      </c>
      <c r="N702" t="s">
        <v>48</v>
      </c>
      <c r="O702" t="s">
        <v>70</v>
      </c>
      <c r="P702" t="s">
        <v>58</v>
      </c>
      <c r="Q702" t="s">
        <v>122</v>
      </c>
      <c r="R702">
        <v>261</v>
      </c>
      <c r="S702">
        <v>129</v>
      </c>
      <c r="T702">
        <v>96</v>
      </c>
      <c r="U702">
        <v>32</v>
      </c>
      <c r="V702" t="s">
        <v>6394</v>
      </c>
      <c r="W702">
        <v>46079</v>
      </c>
      <c r="X702" t="s">
        <v>7294</v>
      </c>
      <c r="Y702">
        <v>36747</v>
      </c>
      <c r="Z702">
        <v>1474528</v>
      </c>
      <c r="AA702">
        <v>298624</v>
      </c>
      <c r="AB702" t="str">
        <f>(VLOOKUP(SalesData[[#This Row],[Month Number]],Reference!C$5:E$16,2,FALSE))</f>
        <v>Feb</v>
      </c>
      <c r="AC702">
        <f>MONTH(SalesData[[#This Row],[Date]])</f>
        <v>2</v>
      </c>
      <c r="AD702">
        <f>Reference!F$4</f>
        <v>2026</v>
      </c>
      <c r="AE702" t="str">
        <f>IF(OR(SalesData[[#This Row],[Day]]="Saturday",SalesData[[#This Row],[Day]]="Sunday"),"Weekend","Weekday")</f>
        <v>Weekday</v>
      </c>
      <c r="AF702" s="5">
        <f>IF(SalesData[[#This Row],[Contracts Offered]]=0,0,SalesData[[#This Row],[Contracts Signed]]/SalesData[[#This Row],[Contracts Offered]])</f>
        <v>0.33333333333333331</v>
      </c>
      <c r="AG702" s="5">
        <f>IF(SalesData[[#This Row],[Customers Visited]]=0,0,SalesData[[#This Row],[Test Drives]]/SalesData[[#This Row],[Customers Visited]])</f>
        <v>0.4942528735632184</v>
      </c>
      <c r="AH702" s="5">
        <f>IF(SalesData[[#This Row],[Customers Visited]]=0,0,SalesData[[#This Row],[Contracts Signed]]/SalesData[[#This Row],[Customers Visited]])</f>
        <v>0.12260536398467432</v>
      </c>
      <c r="AI702" s="6">
        <f>IF(SalesData[[#This Row],[Contracts Signed]]=0,0,SalesData[[#This Row],[Profit(€)]]/SalesData[[#This Row],[Contracts Signed]])</f>
        <v>9332</v>
      </c>
      <c r="AJ702" s="5" t="str">
        <f>TRIM(CLEAN(SalesData[[#This Row],[Retailer]]))</f>
        <v>Ruhr Auto Plaza</v>
      </c>
    </row>
    <row r="703" spans="1:36" ht="14.25" hidden="1" x14ac:dyDescent="0.2">
      <c r="A703" t="s">
        <v>1308</v>
      </c>
      <c r="B703" s="1">
        <v>46073</v>
      </c>
      <c r="C703" t="s">
        <v>62</v>
      </c>
      <c r="D703" t="s">
        <v>54</v>
      </c>
      <c r="E703" t="s">
        <v>26</v>
      </c>
      <c r="F703" t="s">
        <v>101</v>
      </c>
      <c r="G703" t="s">
        <v>102</v>
      </c>
      <c r="H703" t="s">
        <v>103</v>
      </c>
      <c r="I703" t="s">
        <v>56</v>
      </c>
      <c r="J703" t="s">
        <v>179</v>
      </c>
      <c r="K703" t="s">
        <v>91</v>
      </c>
      <c r="L703" t="s">
        <v>67</v>
      </c>
      <c r="M703" t="s">
        <v>68</v>
      </c>
      <c r="N703" t="s">
        <v>69</v>
      </c>
      <c r="O703" t="s">
        <v>70</v>
      </c>
      <c r="P703" t="s">
        <v>71</v>
      </c>
      <c r="Q703" t="s">
        <v>144</v>
      </c>
      <c r="R703">
        <v>265</v>
      </c>
      <c r="S703">
        <v>151</v>
      </c>
      <c r="T703">
        <v>104</v>
      </c>
      <c r="U703">
        <v>35</v>
      </c>
      <c r="V703" t="s">
        <v>7123</v>
      </c>
      <c r="W703">
        <v>51544</v>
      </c>
      <c r="X703" t="s">
        <v>7295</v>
      </c>
      <c r="Y703">
        <v>39163</v>
      </c>
      <c r="Z703">
        <v>1804040</v>
      </c>
      <c r="AA703">
        <v>433335</v>
      </c>
      <c r="AB703" t="str">
        <f>(VLOOKUP(SalesData[[#This Row],[Month Number]],Reference!C$5:E$16,2,FALSE))</f>
        <v>Feb</v>
      </c>
      <c r="AC703">
        <f>MONTH(SalesData[[#This Row],[Date]])</f>
        <v>2</v>
      </c>
      <c r="AD703">
        <f>Reference!F$4</f>
        <v>2026</v>
      </c>
      <c r="AE703" t="str">
        <f>IF(OR(SalesData[[#This Row],[Day]]="Saturday",SalesData[[#This Row],[Day]]="Sunday"),"Weekend","Weekday")</f>
        <v>Weekday</v>
      </c>
      <c r="AF703" s="5">
        <f>IF(SalesData[[#This Row],[Contracts Offered]]=0,0,SalesData[[#This Row],[Contracts Signed]]/SalesData[[#This Row],[Contracts Offered]])</f>
        <v>0.33653846153846156</v>
      </c>
      <c r="AG703" s="5">
        <f>IF(SalesData[[#This Row],[Customers Visited]]=0,0,SalesData[[#This Row],[Test Drives]]/SalesData[[#This Row],[Customers Visited]])</f>
        <v>0.56981132075471697</v>
      </c>
      <c r="AH703" s="5">
        <f>IF(SalesData[[#This Row],[Customers Visited]]=0,0,SalesData[[#This Row],[Contracts Signed]]/SalesData[[#This Row],[Customers Visited]])</f>
        <v>0.13207547169811321</v>
      </c>
      <c r="AI703" s="6">
        <f>IF(SalesData[[#This Row],[Contracts Signed]]=0,0,SalesData[[#This Row],[Profit(€)]]/SalesData[[#This Row],[Contracts Signed]])</f>
        <v>12381</v>
      </c>
      <c r="AJ703" s="5" t="str">
        <f>TRIM(CLEAN(SalesData[[#This Row],[Retailer]]))</f>
        <v>Ruhr Auto Plaza</v>
      </c>
    </row>
    <row r="704" spans="1:36" ht="14.25" hidden="1" x14ac:dyDescent="0.2">
      <c r="A704" t="s">
        <v>1309</v>
      </c>
      <c r="B704" s="1">
        <v>46065</v>
      </c>
      <c r="C704" t="s">
        <v>121</v>
      </c>
      <c r="D704" t="s">
        <v>100</v>
      </c>
      <c r="E704" t="s">
        <v>26</v>
      </c>
      <c r="F704" t="s">
        <v>127</v>
      </c>
      <c r="G704" t="s">
        <v>128</v>
      </c>
      <c r="H704" t="s">
        <v>103</v>
      </c>
      <c r="I704" t="s">
        <v>56</v>
      </c>
      <c r="J704" t="s">
        <v>57</v>
      </c>
      <c r="K704" t="s">
        <v>91</v>
      </c>
      <c r="L704" t="s">
        <v>46</v>
      </c>
      <c r="M704" t="s">
        <v>68</v>
      </c>
      <c r="N704" t="s">
        <v>48</v>
      </c>
      <c r="O704" t="s">
        <v>36</v>
      </c>
      <c r="P704" t="s">
        <v>58</v>
      </c>
      <c r="Q704" t="s">
        <v>79</v>
      </c>
      <c r="R704">
        <v>254</v>
      </c>
      <c r="S704">
        <v>154</v>
      </c>
      <c r="T704">
        <v>107</v>
      </c>
      <c r="U704">
        <v>39</v>
      </c>
      <c r="V704" t="s">
        <v>6625</v>
      </c>
      <c r="W704">
        <v>42540</v>
      </c>
      <c r="X704" t="s">
        <v>678</v>
      </c>
      <c r="Y704">
        <v>32509</v>
      </c>
      <c r="Z704">
        <v>1659060</v>
      </c>
      <c r="AA704">
        <v>391209</v>
      </c>
      <c r="AB704" t="str">
        <f>(VLOOKUP(SalesData[[#This Row],[Month Number]],Reference!C$5:E$16,2,FALSE))</f>
        <v>Feb</v>
      </c>
      <c r="AC704">
        <f>MONTH(SalesData[[#This Row],[Date]])</f>
        <v>2</v>
      </c>
      <c r="AD704">
        <f>Reference!F$4</f>
        <v>2026</v>
      </c>
      <c r="AE704" t="str">
        <f>IF(OR(SalesData[[#This Row],[Day]]="Saturday",SalesData[[#This Row],[Day]]="Sunday"),"Weekend","Weekday")</f>
        <v>Weekday</v>
      </c>
      <c r="AF704" s="5">
        <f>IF(SalesData[[#This Row],[Contracts Offered]]=0,0,SalesData[[#This Row],[Contracts Signed]]/SalesData[[#This Row],[Contracts Offered]])</f>
        <v>0.3644859813084112</v>
      </c>
      <c r="AG704" s="5">
        <f>IF(SalesData[[#This Row],[Customers Visited]]=0,0,SalesData[[#This Row],[Test Drives]]/SalesData[[#This Row],[Customers Visited]])</f>
        <v>0.60629921259842523</v>
      </c>
      <c r="AH704" s="5">
        <f>IF(SalesData[[#This Row],[Customers Visited]]=0,0,SalesData[[#This Row],[Contracts Signed]]/SalesData[[#This Row],[Customers Visited]])</f>
        <v>0.15354330708661418</v>
      </c>
      <c r="AI704" s="6">
        <f>IF(SalesData[[#This Row],[Contracts Signed]]=0,0,SalesData[[#This Row],[Profit(€)]]/SalesData[[#This Row],[Contracts Signed]])</f>
        <v>10031</v>
      </c>
      <c r="AJ704" s="5" t="str">
        <f>TRIM(CLEAN(SalesData[[#This Row],[Retailer]]))</f>
        <v>Rhein Auto Group</v>
      </c>
    </row>
    <row r="705" spans="1:36" ht="14.25" x14ac:dyDescent="0.2">
      <c r="A705" t="s">
        <v>1311</v>
      </c>
      <c r="B705" s="1">
        <v>46060</v>
      </c>
      <c r="C705" t="s">
        <v>24</v>
      </c>
      <c r="D705" t="s">
        <v>151</v>
      </c>
      <c r="E705" t="s">
        <v>42</v>
      </c>
      <c r="F705" t="s">
        <v>43</v>
      </c>
      <c r="G705" t="s">
        <v>44</v>
      </c>
      <c r="H705" t="s">
        <v>45</v>
      </c>
      <c r="I705" t="s">
        <v>30</v>
      </c>
      <c r="J705" t="s">
        <v>86</v>
      </c>
      <c r="K705" t="s">
        <v>32</v>
      </c>
      <c r="L705" t="s">
        <v>33</v>
      </c>
      <c r="M705" t="s">
        <v>47</v>
      </c>
      <c r="N705" t="s">
        <v>48</v>
      </c>
      <c r="O705" t="s">
        <v>36</v>
      </c>
      <c r="P705" t="s">
        <v>37</v>
      </c>
      <c r="Q705" t="s">
        <v>169</v>
      </c>
      <c r="R705">
        <v>258</v>
      </c>
      <c r="S705">
        <v>149</v>
      </c>
      <c r="T705">
        <v>104</v>
      </c>
      <c r="U705">
        <v>37</v>
      </c>
      <c r="V705" t="s">
        <v>6856</v>
      </c>
      <c r="W705">
        <v>65724</v>
      </c>
      <c r="X705" t="s">
        <v>7139</v>
      </c>
      <c r="Y705">
        <v>47720</v>
      </c>
      <c r="Z705">
        <v>2431788</v>
      </c>
      <c r="AA705">
        <v>666148</v>
      </c>
      <c r="AB705" t="str">
        <f>(VLOOKUP(SalesData[[#This Row],[Month Number]],Reference!C$5:E$16,2,FALSE))</f>
        <v>Feb</v>
      </c>
      <c r="AC705">
        <f>MONTH(SalesData[[#This Row],[Date]])</f>
        <v>2</v>
      </c>
      <c r="AD705">
        <f>Reference!F$4</f>
        <v>2026</v>
      </c>
      <c r="AE705" t="str">
        <f>IF(OR(SalesData[[#This Row],[Day]]="Saturday",SalesData[[#This Row],[Day]]="Sunday"),"Weekend","Weekday")</f>
        <v>Weekend</v>
      </c>
      <c r="AF705" s="5">
        <f>IF(SalesData[[#This Row],[Contracts Offered]]=0,0,SalesData[[#This Row],[Contracts Signed]]/SalesData[[#This Row],[Contracts Offered]])</f>
        <v>0.35576923076923078</v>
      </c>
      <c r="AG705" s="5">
        <f>IF(SalesData[[#This Row],[Customers Visited]]=0,0,SalesData[[#This Row],[Test Drives]]/SalesData[[#This Row],[Customers Visited]])</f>
        <v>0.57751937984496127</v>
      </c>
      <c r="AH705" s="5">
        <f>IF(SalesData[[#This Row],[Customers Visited]]=0,0,SalesData[[#This Row],[Contracts Signed]]/SalesData[[#This Row],[Customers Visited]])</f>
        <v>0.1434108527131783</v>
      </c>
      <c r="AI705" s="6">
        <f>IF(SalesData[[#This Row],[Contracts Signed]]=0,0,SalesData[[#This Row],[Profit(€)]]/SalesData[[#This Row],[Contracts Signed]])</f>
        <v>18004</v>
      </c>
      <c r="AJ705" s="5" t="str">
        <f>TRIM(CLEAN(SalesData[[#This Row],[Retailer]]))</f>
        <v>Saxon Wheels</v>
      </c>
    </row>
    <row r="706" spans="1:36" ht="14.25" hidden="1" x14ac:dyDescent="0.2">
      <c r="A706" t="s">
        <v>1312</v>
      </c>
      <c r="B706" s="1">
        <v>46063</v>
      </c>
      <c r="C706" t="s">
        <v>121</v>
      </c>
      <c r="D706" t="s">
        <v>63</v>
      </c>
      <c r="E706" t="s">
        <v>26</v>
      </c>
      <c r="F706" t="s">
        <v>7649</v>
      </c>
      <c r="G706" t="s">
        <v>55</v>
      </c>
      <c r="H706" t="s">
        <v>55</v>
      </c>
      <c r="I706" t="s">
        <v>116</v>
      </c>
      <c r="J706" t="s">
        <v>117</v>
      </c>
      <c r="K706" t="s">
        <v>78</v>
      </c>
      <c r="L706" t="s">
        <v>67</v>
      </c>
      <c r="M706" t="s">
        <v>68</v>
      </c>
      <c r="N706" t="s">
        <v>35</v>
      </c>
      <c r="O706" t="s">
        <v>70</v>
      </c>
      <c r="P706" t="s">
        <v>49</v>
      </c>
      <c r="Q706" t="s">
        <v>118</v>
      </c>
      <c r="R706">
        <v>263</v>
      </c>
      <c r="S706">
        <v>102</v>
      </c>
      <c r="T706">
        <v>63</v>
      </c>
      <c r="U706">
        <v>16</v>
      </c>
      <c r="V706" t="s">
        <v>1342</v>
      </c>
      <c r="W706">
        <v>21692</v>
      </c>
      <c r="X706" t="s">
        <v>4791</v>
      </c>
      <c r="Y706">
        <v>20148</v>
      </c>
      <c r="Z706">
        <v>347072</v>
      </c>
      <c r="AA706">
        <v>24704</v>
      </c>
      <c r="AB706" t="str">
        <f>(VLOOKUP(SalesData[[#This Row],[Month Number]],Reference!C$5:E$16,2,FALSE))</f>
        <v>Feb</v>
      </c>
      <c r="AC706">
        <f>MONTH(SalesData[[#This Row],[Date]])</f>
        <v>2</v>
      </c>
      <c r="AD706">
        <f>Reference!F$4</f>
        <v>2026</v>
      </c>
      <c r="AE706" t="str">
        <f>IF(OR(SalesData[[#This Row],[Day]]="Saturday",SalesData[[#This Row],[Day]]="Sunday"),"Weekend","Weekday")</f>
        <v>Weekday</v>
      </c>
      <c r="AF706" s="5">
        <f>IF(SalesData[[#This Row],[Contracts Offered]]=0,0,SalesData[[#This Row],[Contracts Signed]]/SalesData[[#This Row],[Contracts Offered]])</f>
        <v>0.25396825396825395</v>
      </c>
      <c r="AG706" s="5">
        <f>IF(SalesData[[#This Row],[Customers Visited]]=0,0,SalesData[[#This Row],[Test Drives]]/SalesData[[#This Row],[Customers Visited]])</f>
        <v>0.38783269961977185</v>
      </c>
      <c r="AH706" s="5">
        <f>IF(SalesData[[#This Row],[Customers Visited]]=0,0,SalesData[[#This Row],[Contracts Signed]]/SalesData[[#This Row],[Customers Visited]])</f>
        <v>6.0836501901140684E-2</v>
      </c>
      <c r="AI706" s="6">
        <f>IF(SalesData[[#This Row],[Contracts Signed]]=0,0,SalesData[[#This Row],[Profit(€)]]/SalesData[[#This Row],[Contracts Signed]])</f>
        <v>1544</v>
      </c>
      <c r="AJ706" s="5" t="str">
        <f>TRIM(CLEAN(SalesData[[#This Row],[Retailer]]))</f>
        <v>Autohaus Berlin</v>
      </c>
    </row>
    <row r="707" spans="1:36" ht="14.25" hidden="1" x14ac:dyDescent="0.2">
      <c r="A707" t="s">
        <v>1313</v>
      </c>
      <c r="B707" s="1">
        <v>46078</v>
      </c>
      <c r="C707" t="s">
        <v>53</v>
      </c>
      <c r="D707" t="s">
        <v>82</v>
      </c>
      <c r="E707" t="s">
        <v>26</v>
      </c>
      <c r="F707" t="s">
        <v>27</v>
      </c>
      <c r="G707" t="s">
        <v>28</v>
      </c>
      <c r="H707" t="s">
        <v>29</v>
      </c>
      <c r="I707" t="s">
        <v>64</v>
      </c>
      <c r="J707" t="s">
        <v>157</v>
      </c>
      <c r="K707" t="s">
        <v>66</v>
      </c>
      <c r="L707" t="s">
        <v>33</v>
      </c>
      <c r="M707" t="s">
        <v>68</v>
      </c>
      <c r="N707" t="s">
        <v>35</v>
      </c>
      <c r="O707" t="s">
        <v>36</v>
      </c>
      <c r="P707" t="s">
        <v>71</v>
      </c>
      <c r="Q707" t="s">
        <v>240</v>
      </c>
      <c r="R707">
        <v>166</v>
      </c>
      <c r="S707">
        <v>82</v>
      </c>
      <c r="T707">
        <v>58</v>
      </c>
      <c r="U707">
        <v>19</v>
      </c>
      <c r="V707" t="s">
        <v>6652</v>
      </c>
      <c r="W707">
        <v>66446</v>
      </c>
      <c r="X707" t="s">
        <v>7296</v>
      </c>
      <c r="Y707">
        <v>48507</v>
      </c>
      <c r="Z707">
        <v>1262474</v>
      </c>
      <c r="AA707">
        <v>340841</v>
      </c>
      <c r="AB707" t="str">
        <f>(VLOOKUP(SalesData[[#This Row],[Month Number]],Reference!C$5:E$16,2,FALSE))</f>
        <v>Feb</v>
      </c>
      <c r="AC707">
        <f>MONTH(SalesData[[#This Row],[Date]])</f>
        <v>2</v>
      </c>
      <c r="AD707">
        <f>Reference!F$4</f>
        <v>2026</v>
      </c>
      <c r="AE707" t="str">
        <f>IF(OR(SalesData[[#This Row],[Day]]="Saturday",SalesData[[#This Row],[Day]]="Sunday"),"Weekend","Weekday")</f>
        <v>Weekday</v>
      </c>
      <c r="AF707" s="5">
        <f>IF(SalesData[[#This Row],[Contracts Offered]]=0,0,SalesData[[#This Row],[Contracts Signed]]/SalesData[[#This Row],[Contracts Offered]])</f>
        <v>0.32758620689655171</v>
      </c>
      <c r="AG707" s="5">
        <f>IF(SalesData[[#This Row],[Customers Visited]]=0,0,SalesData[[#This Row],[Test Drives]]/SalesData[[#This Row],[Customers Visited]])</f>
        <v>0.49397590361445781</v>
      </c>
      <c r="AH707" s="5">
        <f>IF(SalesData[[#This Row],[Customers Visited]]=0,0,SalesData[[#This Row],[Contracts Signed]]/SalesData[[#This Row],[Customers Visited]])</f>
        <v>0.1144578313253012</v>
      </c>
      <c r="AI707" s="6">
        <f>IF(SalesData[[#This Row],[Contracts Signed]]=0,0,SalesData[[#This Row],[Profit(€)]]/SalesData[[#This Row],[Contracts Signed]])</f>
        <v>17939</v>
      </c>
      <c r="AJ707" s="5" t="str">
        <f>TRIM(CLEAN(SalesData[[#This Row],[Retailer]]))</f>
        <v>Main Auto Hub</v>
      </c>
    </row>
    <row r="708" spans="1:36" ht="14.25" hidden="1" x14ac:dyDescent="0.2">
      <c r="A708" t="s">
        <v>1314</v>
      </c>
      <c r="B708" s="1">
        <v>46054</v>
      </c>
      <c r="C708" t="s">
        <v>24</v>
      </c>
      <c r="D708" t="s">
        <v>41</v>
      </c>
      <c r="E708" t="s">
        <v>42</v>
      </c>
      <c r="F708" t="s">
        <v>109</v>
      </c>
      <c r="G708" t="s">
        <v>110</v>
      </c>
      <c r="H708" t="s">
        <v>45</v>
      </c>
      <c r="I708" t="s">
        <v>116</v>
      </c>
      <c r="J708" t="s">
        <v>7026</v>
      </c>
      <c r="K708" t="s">
        <v>91</v>
      </c>
      <c r="L708" t="s">
        <v>46</v>
      </c>
      <c r="M708" t="s">
        <v>87</v>
      </c>
      <c r="N708" t="s">
        <v>69</v>
      </c>
      <c r="O708" t="s">
        <v>70</v>
      </c>
      <c r="P708" t="s">
        <v>49</v>
      </c>
      <c r="Q708" t="s">
        <v>144</v>
      </c>
      <c r="R708">
        <v>338</v>
      </c>
      <c r="S708">
        <v>167</v>
      </c>
      <c r="T708">
        <v>113</v>
      </c>
      <c r="U708">
        <v>17</v>
      </c>
      <c r="V708" t="s">
        <v>7297</v>
      </c>
      <c r="W708">
        <v>20659</v>
      </c>
      <c r="X708" t="s">
        <v>770</v>
      </c>
      <c r="Y708">
        <v>18850</v>
      </c>
      <c r="Z708">
        <v>351203</v>
      </c>
      <c r="AA708">
        <v>30753</v>
      </c>
      <c r="AB708" t="str">
        <f>(VLOOKUP(SalesData[[#This Row],[Month Number]],Reference!C$5:E$16,2,FALSE))</f>
        <v>Feb</v>
      </c>
      <c r="AC708">
        <f>MONTH(SalesData[[#This Row],[Date]])</f>
        <v>2</v>
      </c>
      <c r="AD708">
        <f>Reference!F$4</f>
        <v>2026</v>
      </c>
      <c r="AE708" t="str">
        <f>IF(OR(SalesData[[#This Row],[Day]]="Saturday",SalesData[[#This Row],[Day]]="Sunday"),"Weekend","Weekday")</f>
        <v>Weekend</v>
      </c>
      <c r="AF708" s="5">
        <f>IF(SalesData[[#This Row],[Contracts Offered]]=0,0,SalesData[[#This Row],[Contracts Signed]]/SalesData[[#This Row],[Contracts Offered]])</f>
        <v>0.15044247787610621</v>
      </c>
      <c r="AG708" s="5">
        <f>IF(SalesData[[#This Row],[Customers Visited]]=0,0,SalesData[[#This Row],[Test Drives]]/SalesData[[#This Row],[Customers Visited]])</f>
        <v>0.49408284023668642</v>
      </c>
      <c r="AH708" s="5">
        <f>IF(SalesData[[#This Row],[Customers Visited]]=0,0,SalesData[[#This Row],[Contracts Signed]]/SalesData[[#This Row],[Customers Visited]])</f>
        <v>5.0295857988165681E-2</v>
      </c>
      <c r="AI708" s="6">
        <f>IF(SalesData[[#This Row],[Contracts Signed]]=0,0,SalesData[[#This Row],[Profit(€)]]/SalesData[[#This Row],[Contracts Signed]])</f>
        <v>1809</v>
      </c>
      <c r="AJ708" s="5" t="str">
        <f>TRIM(CLEAN(SalesData[[#This Row],[Retailer]]))</f>
        <v>Leipzig Mobility</v>
      </c>
    </row>
    <row r="709" spans="1:36" ht="14.25" hidden="1" x14ac:dyDescent="0.2">
      <c r="A709" t="s">
        <v>1315</v>
      </c>
      <c r="B709" s="1">
        <v>46081</v>
      </c>
      <c r="C709" t="s">
        <v>53</v>
      </c>
      <c r="D709" t="s">
        <v>151</v>
      </c>
      <c r="E709" t="s">
        <v>42</v>
      </c>
      <c r="F709" t="s">
        <v>101</v>
      </c>
      <c r="G709" t="s">
        <v>102</v>
      </c>
      <c r="H709" t="s">
        <v>103</v>
      </c>
      <c r="I709" t="s">
        <v>56</v>
      </c>
      <c r="J709" t="s">
        <v>57</v>
      </c>
      <c r="K709" t="s">
        <v>91</v>
      </c>
      <c r="L709" t="s">
        <v>46</v>
      </c>
      <c r="M709" t="s">
        <v>68</v>
      </c>
      <c r="N709" t="s">
        <v>48</v>
      </c>
      <c r="O709" t="s">
        <v>70</v>
      </c>
      <c r="P709" t="s">
        <v>37</v>
      </c>
      <c r="Q709" t="s">
        <v>118</v>
      </c>
      <c r="R709">
        <v>301</v>
      </c>
      <c r="S709">
        <v>174</v>
      </c>
      <c r="T709">
        <v>130</v>
      </c>
      <c r="U709">
        <v>31</v>
      </c>
      <c r="V709" t="s">
        <v>2717</v>
      </c>
      <c r="W709">
        <v>42682</v>
      </c>
      <c r="X709" t="s">
        <v>929</v>
      </c>
      <c r="Y709">
        <v>33100</v>
      </c>
      <c r="Z709">
        <v>1323142</v>
      </c>
      <c r="AA709">
        <v>297042</v>
      </c>
      <c r="AB709" t="str">
        <f>(VLOOKUP(SalesData[[#This Row],[Month Number]],Reference!C$5:E$16,2,FALSE))</f>
        <v>Feb</v>
      </c>
      <c r="AC709">
        <f>MONTH(SalesData[[#This Row],[Date]])</f>
        <v>2</v>
      </c>
      <c r="AD709">
        <f>Reference!F$4</f>
        <v>2026</v>
      </c>
      <c r="AE709" t="str">
        <f>IF(OR(SalesData[[#This Row],[Day]]="Saturday",SalesData[[#This Row],[Day]]="Sunday"),"Weekend","Weekday")</f>
        <v>Weekend</v>
      </c>
      <c r="AF709" s="5">
        <f>IF(SalesData[[#This Row],[Contracts Offered]]=0,0,SalesData[[#This Row],[Contracts Signed]]/SalesData[[#This Row],[Contracts Offered]])</f>
        <v>0.23846153846153847</v>
      </c>
      <c r="AG709" s="5">
        <f>IF(SalesData[[#This Row],[Customers Visited]]=0,0,SalesData[[#This Row],[Test Drives]]/SalesData[[#This Row],[Customers Visited]])</f>
        <v>0.57807308970099669</v>
      </c>
      <c r="AH709" s="5">
        <f>IF(SalesData[[#This Row],[Customers Visited]]=0,0,SalesData[[#This Row],[Contracts Signed]]/SalesData[[#This Row],[Customers Visited]])</f>
        <v>0.10299003322259136</v>
      </c>
      <c r="AI709" s="6">
        <f>IF(SalesData[[#This Row],[Contracts Signed]]=0,0,SalesData[[#This Row],[Profit(€)]]/SalesData[[#This Row],[Contracts Signed]])</f>
        <v>9582</v>
      </c>
      <c r="AJ709" s="5" t="str">
        <f>TRIM(CLEAN(SalesData[[#This Row],[Retailer]]))</f>
        <v>Ruhr Auto Plaza</v>
      </c>
    </row>
    <row r="710" spans="1:36" ht="14.25" hidden="1" x14ac:dyDescent="0.2">
      <c r="A710" t="s">
        <v>1316</v>
      </c>
      <c r="B710" s="1">
        <v>46056</v>
      </c>
      <c r="C710" t="s">
        <v>24</v>
      </c>
      <c r="D710" t="s">
        <v>63</v>
      </c>
      <c r="E710" t="s">
        <v>26</v>
      </c>
      <c r="F710" t="s">
        <v>43</v>
      </c>
      <c r="G710" t="s">
        <v>44</v>
      </c>
      <c r="H710" t="s">
        <v>45</v>
      </c>
      <c r="I710" t="s">
        <v>116</v>
      </c>
      <c r="J710" t="s">
        <v>7026</v>
      </c>
      <c r="K710" t="s">
        <v>91</v>
      </c>
      <c r="L710" t="s">
        <v>46</v>
      </c>
      <c r="M710" t="s">
        <v>47</v>
      </c>
      <c r="N710" t="s">
        <v>69</v>
      </c>
      <c r="O710" t="s">
        <v>70</v>
      </c>
      <c r="P710" t="s">
        <v>37</v>
      </c>
      <c r="Q710" t="s">
        <v>189</v>
      </c>
      <c r="R710">
        <v>267</v>
      </c>
      <c r="S710">
        <v>101</v>
      </c>
      <c r="T710">
        <v>56</v>
      </c>
      <c r="U710">
        <v>15</v>
      </c>
      <c r="V710" t="s">
        <v>1319</v>
      </c>
      <c r="W710">
        <v>24961</v>
      </c>
      <c r="X710" t="s">
        <v>2081</v>
      </c>
      <c r="Y710">
        <v>22531</v>
      </c>
      <c r="Z710">
        <v>374415</v>
      </c>
      <c r="AA710">
        <v>36450</v>
      </c>
      <c r="AB710" t="str">
        <f>(VLOOKUP(SalesData[[#This Row],[Month Number]],Reference!C$5:E$16,2,FALSE))</f>
        <v>Feb</v>
      </c>
      <c r="AC710">
        <f>MONTH(SalesData[[#This Row],[Date]])</f>
        <v>2</v>
      </c>
      <c r="AD710">
        <f>Reference!F$4</f>
        <v>2026</v>
      </c>
      <c r="AE710" t="str">
        <f>IF(OR(SalesData[[#This Row],[Day]]="Saturday",SalesData[[#This Row],[Day]]="Sunday"),"Weekend","Weekday")</f>
        <v>Weekday</v>
      </c>
      <c r="AF710" s="5">
        <f>IF(SalesData[[#This Row],[Contracts Offered]]=0,0,SalesData[[#This Row],[Contracts Signed]]/SalesData[[#This Row],[Contracts Offered]])</f>
        <v>0.26785714285714285</v>
      </c>
      <c r="AG710" s="5">
        <f>IF(SalesData[[#This Row],[Customers Visited]]=0,0,SalesData[[#This Row],[Test Drives]]/SalesData[[#This Row],[Customers Visited]])</f>
        <v>0.37827715355805241</v>
      </c>
      <c r="AH710" s="5">
        <f>IF(SalesData[[#This Row],[Customers Visited]]=0,0,SalesData[[#This Row],[Contracts Signed]]/SalesData[[#This Row],[Customers Visited]])</f>
        <v>5.6179775280898875E-2</v>
      </c>
      <c r="AI710" s="6">
        <f>IF(SalesData[[#This Row],[Contracts Signed]]=0,0,SalesData[[#This Row],[Profit(€)]]/SalesData[[#This Row],[Contracts Signed]])</f>
        <v>2430</v>
      </c>
      <c r="AJ710" s="5" t="str">
        <f>TRIM(CLEAN(SalesData[[#This Row],[Retailer]]))</f>
        <v>Saxon Wheels</v>
      </c>
    </row>
    <row r="711" spans="1:36" ht="14.25" hidden="1" x14ac:dyDescent="0.2">
      <c r="A711" t="s">
        <v>1317</v>
      </c>
      <c r="B711" s="1">
        <v>46076</v>
      </c>
      <c r="C711" t="s">
        <v>53</v>
      </c>
      <c r="D711" t="s">
        <v>25</v>
      </c>
      <c r="E711" t="s">
        <v>26</v>
      </c>
      <c r="F711" t="s">
        <v>27</v>
      </c>
      <c r="G711" t="s">
        <v>28</v>
      </c>
      <c r="H711" t="s">
        <v>29</v>
      </c>
      <c r="I711" t="s">
        <v>116</v>
      </c>
      <c r="J711" t="s">
        <v>132</v>
      </c>
      <c r="K711" t="s">
        <v>32</v>
      </c>
      <c r="L711" t="s">
        <v>46</v>
      </c>
      <c r="M711" t="s">
        <v>68</v>
      </c>
      <c r="N711" t="s">
        <v>69</v>
      </c>
      <c r="O711" t="s">
        <v>36</v>
      </c>
      <c r="P711" t="s">
        <v>71</v>
      </c>
      <c r="Q711" t="s">
        <v>189</v>
      </c>
      <c r="R711">
        <v>238</v>
      </c>
      <c r="S711">
        <v>93</v>
      </c>
      <c r="T711">
        <v>57</v>
      </c>
      <c r="U711">
        <v>16</v>
      </c>
      <c r="V711" t="s">
        <v>1642</v>
      </c>
      <c r="W711">
        <v>22971</v>
      </c>
      <c r="X711" t="s">
        <v>7298</v>
      </c>
      <c r="Y711">
        <v>20816</v>
      </c>
      <c r="Z711">
        <v>367536</v>
      </c>
      <c r="AA711">
        <v>34480</v>
      </c>
      <c r="AB711" t="str">
        <f>(VLOOKUP(SalesData[[#This Row],[Month Number]],Reference!C$5:E$16,2,FALSE))</f>
        <v>Feb</v>
      </c>
      <c r="AC711">
        <f>MONTH(SalesData[[#This Row],[Date]])</f>
        <v>2</v>
      </c>
      <c r="AD711">
        <f>Reference!F$4</f>
        <v>2026</v>
      </c>
      <c r="AE711" t="str">
        <f>IF(OR(SalesData[[#This Row],[Day]]="Saturday",SalesData[[#This Row],[Day]]="Sunday"),"Weekend","Weekday")</f>
        <v>Weekday</v>
      </c>
      <c r="AF711" s="5">
        <f>IF(SalesData[[#This Row],[Contracts Offered]]=0,0,SalesData[[#This Row],[Contracts Signed]]/SalesData[[#This Row],[Contracts Offered]])</f>
        <v>0.2807017543859649</v>
      </c>
      <c r="AG711" s="5">
        <f>IF(SalesData[[#This Row],[Customers Visited]]=0,0,SalesData[[#This Row],[Test Drives]]/SalesData[[#This Row],[Customers Visited]])</f>
        <v>0.3907563025210084</v>
      </c>
      <c r="AH711" s="5">
        <f>IF(SalesData[[#This Row],[Customers Visited]]=0,0,SalesData[[#This Row],[Contracts Signed]]/SalesData[[#This Row],[Customers Visited]])</f>
        <v>6.7226890756302518E-2</v>
      </c>
      <c r="AI711" s="6">
        <f>IF(SalesData[[#This Row],[Contracts Signed]]=0,0,SalesData[[#This Row],[Profit(€)]]/SalesData[[#This Row],[Contracts Signed]])</f>
        <v>2155</v>
      </c>
      <c r="AJ711" s="5" t="str">
        <f>TRIM(CLEAN(SalesData[[#This Row],[Retailer]]))</f>
        <v>Main Auto Hub</v>
      </c>
    </row>
    <row r="712" spans="1:36" ht="14.25" hidden="1" x14ac:dyDescent="0.2">
      <c r="A712" t="s">
        <v>1318</v>
      </c>
      <c r="B712" s="1">
        <v>46055</v>
      </c>
      <c r="C712" t="s">
        <v>24</v>
      </c>
      <c r="D712" t="s">
        <v>25</v>
      </c>
      <c r="E712" t="s">
        <v>26</v>
      </c>
      <c r="F712" t="s">
        <v>43</v>
      </c>
      <c r="G712" t="s">
        <v>44</v>
      </c>
      <c r="H712" t="s">
        <v>45</v>
      </c>
      <c r="I712" t="s">
        <v>104</v>
      </c>
      <c r="J712" t="s">
        <v>7061</v>
      </c>
      <c r="K712" t="s">
        <v>66</v>
      </c>
      <c r="L712" t="s">
        <v>46</v>
      </c>
      <c r="M712" t="s">
        <v>47</v>
      </c>
      <c r="N712" t="s">
        <v>48</v>
      </c>
      <c r="O712" t="s">
        <v>70</v>
      </c>
      <c r="P712" t="s">
        <v>37</v>
      </c>
      <c r="Q712" t="s">
        <v>167</v>
      </c>
      <c r="R712">
        <v>360</v>
      </c>
      <c r="S712">
        <v>197</v>
      </c>
      <c r="T712">
        <v>114</v>
      </c>
      <c r="U712">
        <v>23</v>
      </c>
      <c r="V712" t="s">
        <v>1571</v>
      </c>
      <c r="W712">
        <v>28418</v>
      </c>
      <c r="X712" t="s">
        <v>450</v>
      </c>
      <c r="Y712">
        <v>24530</v>
      </c>
      <c r="Z712">
        <v>653614</v>
      </c>
      <c r="AA712">
        <v>89424</v>
      </c>
      <c r="AB712" t="str">
        <f>(VLOOKUP(SalesData[[#This Row],[Month Number]],Reference!C$5:E$16,2,FALSE))</f>
        <v>Feb</v>
      </c>
      <c r="AC712">
        <f>MONTH(SalesData[[#This Row],[Date]])</f>
        <v>2</v>
      </c>
      <c r="AD712">
        <f>Reference!F$4</f>
        <v>2026</v>
      </c>
      <c r="AE712" t="str">
        <f>IF(OR(SalesData[[#This Row],[Day]]="Saturday",SalesData[[#This Row],[Day]]="Sunday"),"Weekend","Weekday")</f>
        <v>Weekday</v>
      </c>
      <c r="AF712" s="5">
        <f>IF(SalesData[[#This Row],[Contracts Offered]]=0,0,SalesData[[#This Row],[Contracts Signed]]/SalesData[[#This Row],[Contracts Offered]])</f>
        <v>0.20175438596491227</v>
      </c>
      <c r="AG712" s="5">
        <f>IF(SalesData[[#This Row],[Customers Visited]]=0,0,SalesData[[#This Row],[Test Drives]]/SalesData[[#This Row],[Customers Visited]])</f>
        <v>0.54722222222222228</v>
      </c>
      <c r="AH712" s="5">
        <f>IF(SalesData[[#This Row],[Customers Visited]]=0,0,SalesData[[#This Row],[Contracts Signed]]/SalesData[[#This Row],[Customers Visited]])</f>
        <v>6.3888888888888884E-2</v>
      </c>
      <c r="AI712" s="6">
        <f>IF(SalesData[[#This Row],[Contracts Signed]]=0,0,SalesData[[#This Row],[Profit(€)]]/SalesData[[#This Row],[Contracts Signed]])</f>
        <v>3888</v>
      </c>
      <c r="AJ712" s="5" t="str">
        <f>TRIM(CLEAN(SalesData[[#This Row],[Retailer]]))</f>
        <v>Saxon Wheels</v>
      </c>
    </row>
    <row r="713" spans="1:36" ht="14.25" hidden="1" x14ac:dyDescent="0.2">
      <c r="A713" t="s">
        <v>1320</v>
      </c>
      <c r="B713" s="1">
        <v>46061</v>
      </c>
      <c r="C713" t="s">
        <v>121</v>
      </c>
      <c r="D713" t="s">
        <v>41</v>
      </c>
      <c r="E713" t="s">
        <v>42</v>
      </c>
      <c r="F713" t="s">
        <v>83</v>
      </c>
      <c r="G713" t="s">
        <v>84</v>
      </c>
      <c r="H713" t="s">
        <v>85</v>
      </c>
      <c r="I713" t="s">
        <v>104</v>
      </c>
      <c r="J713" t="s">
        <v>140</v>
      </c>
      <c r="K713" t="s">
        <v>78</v>
      </c>
      <c r="L713" t="s">
        <v>46</v>
      </c>
      <c r="M713" t="s">
        <v>68</v>
      </c>
      <c r="N713" t="s">
        <v>48</v>
      </c>
      <c r="O713" t="s">
        <v>36</v>
      </c>
      <c r="P713" t="s">
        <v>49</v>
      </c>
      <c r="Q713" t="s">
        <v>59</v>
      </c>
      <c r="R713">
        <v>396</v>
      </c>
      <c r="S713">
        <v>172</v>
      </c>
      <c r="T713">
        <v>112</v>
      </c>
      <c r="U713">
        <v>21</v>
      </c>
      <c r="V713" t="s">
        <v>352</v>
      </c>
      <c r="W713">
        <v>26270</v>
      </c>
      <c r="X713" t="s">
        <v>1286</v>
      </c>
      <c r="Y713">
        <v>23745</v>
      </c>
      <c r="Z713">
        <v>551670</v>
      </c>
      <c r="AA713">
        <v>53025</v>
      </c>
      <c r="AB713" t="str">
        <f>(VLOOKUP(SalesData[[#This Row],[Month Number]],Reference!C$5:E$16,2,FALSE))</f>
        <v>Feb</v>
      </c>
      <c r="AC713">
        <f>MONTH(SalesData[[#This Row],[Date]])</f>
        <v>2</v>
      </c>
      <c r="AD713">
        <f>Reference!F$4</f>
        <v>2026</v>
      </c>
      <c r="AE713" t="str">
        <f>IF(OR(SalesData[[#This Row],[Day]]="Saturday",SalesData[[#This Row],[Day]]="Sunday"),"Weekend","Weekday")</f>
        <v>Weekend</v>
      </c>
      <c r="AF713" s="5">
        <f>IF(SalesData[[#This Row],[Contracts Offered]]=0,0,SalesData[[#This Row],[Contracts Signed]]/SalesData[[#This Row],[Contracts Offered]])</f>
        <v>0.1875</v>
      </c>
      <c r="AG713" s="5">
        <f>IF(SalesData[[#This Row],[Customers Visited]]=0,0,SalesData[[#This Row],[Test Drives]]/SalesData[[#This Row],[Customers Visited]])</f>
        <v>0.43434343434343436</v>
      </c>
      <c r="AH713" s="5">
        <f>IF(SalesData[[#This Row],[Customers Visited]]=0,0,SalesData[[#This Row],[Contracts Signed]]/SalesData[[#This Row],[Customers Visited]])</f>
        <v>5.3030303030303032E-2</v>
      </c>
      <c r="AI713" s="6">
        <f>IF(SalesData[[#This Row],[Contracts Signed]]=0,0,SalesData[[#This Row],[Profit(€)]]/SalesData[[#This Row],[Contracts Signed]])</f>
        <v>2525</v>
      </c>
      <c r="AJ713" s="5" t="str">
        <f>TRIM(CLEAN(SalesData[[#This Row],[Retailer]]))</f>
        <v>Hannover Cars</v>
      </c>
    </row>
    <row r="714" spans="1:36" ht="14.25" hidden="1" x14ac:dyDescent="0.2">
      <c r="A714" t="s">
        <v>1321</v>
      </c>
      <c r="B714" s="1">
        <v>46076</v>
      </c>
      <c r="C714" t="s">
        <v>53</v>
      </c>
      <c r="D714" t="s">
        <v>25</v>
      </c>
      <c r="E714" t="s">
        <v>26</v>
      </c>
      <c r="F714" t="s">
        <v>74</v>
      </c>
      <c r="G714" t="s">
        <v>75</v>
      </c>
      <c r="H714" t="s">
        <v>76</v>
      </c>
      <c r="I714" t="s">
        <v>56</v>
      </c>
      <c r="J714" t="s">
        <v>137</v>
      </c>
      <c r="K714" t="s">
        <v>91</v>
      </c>
      <c r="L714" t="s">
        <v>46</v>
      </c>
      <c r="M714" t="s">
        <v>34</v>
      </c>
      <c r="N714" t="s">
        <v>69</v>
      </c>
      <c r="O714" t="s">
        <v>36</v>
      </c>
      <c r="P714" t="s">
        <v>49</v>
      </c>
      <c r="Q714" t="s">
        <v>50</v>
      </c>
      <c r="R714">
        <v>270</v>
      </c>
      <c r="S714">
        <v>134</v>
      </c>
      <c r="T714">
        <v>89</v>
      </c>
      <c r="U714">
        <v>31</v>
      </c>
      <c r="V714" t="s">
        <v>6825</v>
      </c>
      <c r="W714">
        <v>53582</v>
      </c>
      <c r="X714" t="s">
        <v>7299</v>
      </c>
      <c r="Y714">
        <v>42520</v>
      </c>
      <c r="Z714">
        <v>1661042</v>
      </c>
      <c r="AA714">
        <v>342922</v>
      </c>
      <c r="AB714" t="str">
        <f>(VLOOKUP(SalesData[[#This Row],[Month Number]],Reference!C$5:E$16,2,FALSE))</f>
        <v>Feb</v>
      </c>
      <c r="AC714">
        <f>MONTH(SalesData[[#This Row],[Date]])</f>
        <v>2</v>
      </c>
      <c r="AD714">
        <f>Reference!F$4</f>
        <v>2026</v>
      </c>
      <c r="AE714" t="str">
        <f>IF(OR(SalesData[[#This Row],[Day]]="Saturday",SalesData[[#This Row],[Day]]="Sunday"),"Weekend","Weekday")</f>
        <v>Weekday</v>
      </c>
      <c r="AF714" s="5">
        <f>IF(SalesData[[#This Row],[Contracts Offered]]=0,0,SalesData[[#This Row],[Contracts Signed]]/SalesData[[#This Row],[Contracts Offered]])</f>
        <v>0.34831460674157305</v>
      </c>
      <c r="AG714" s="5">
        <f>IF(SalesData[[#This Row],[Customers Visited]]=0,0,SalesData[[#This Row],[Test Drives]]/SalesData[[#This Row],[Customers Visited]])</f>
        <v>0.49629629629629629</v>
      </c>
      <c r="AH714" s="5">
        <f>IF(SalesData[[#This Row],[Customers Visited]]=0,0,SalesData[[#This Row],[Contracts Signed]]/SalesData[[#This Row],[Customers Visited]])</f>
        <v>0.11481481481481481</v>
      </c>
      <c r="AI714" s="6">
        <f>IF(SalesData[[#This Row],[Contracts Signed]]=0,0,SalesData[[#This Row],[Profit(€)]]/SalesData[[#This Row],[Contracts Signed]])</f>
        <v>11062</v>
      </c>
      <c r="AJ714" s="5" t="str">
        <f>TRIM(CLEAN(SalesData[[#This Row],[Retailer]]))</f>
        <v>Stuttgart Auto Center</v>
      </c>
    </row>
    <row r="715" spans="1:36" ht="14.25" hidden="1" x14ac:dyDescent="0.2">
      <c r="A715" t="s">
        <v>1322</v>
      </c>
      <c r="B715" s="1">
        <v>46059</v>
      </c>
      <c r="C715" t="s">
        <v>24</v>
      </c>
      <c r="D715" t="s">
        <v>54</v>
      </c>
      <c r="E715" t="s">
        <v>26</v>
      </c>
      <c r="F715" t="s">
        <v>127</v>
      </c>
      <c r="G715" t="s">
        <v>128</v>
      </c>
      <c r="H715" t="s">
        <v>103</v>
      </c>
      <c r="I715" t="s">
        <v>64</v>
      </c>
      <c r="J715" t="s">
        <v>111</v>
      </c>
      <c r="K715" t="s">
        <v>66</v>
      </c>
      <c r="L715" t="s">
        <v>46</v>
      </c>
      <c r="M715" t="s">
        <v>47</v>
      </c>
      <c r="N715" t="s">
        <v>48</v>
      </c>
      <c r="O715" t="s">
        <v>36</v>
      </c>
      <c r="P715" t="s">
        <v>49</v>
      </c>
      <c r="Q715" t="s">
        <v>189</v>
      </c>
      <c r="R715">
        <v>285</v>
      </c>
      <c r="S715">
        <v>153</v>
      </c>
      <c r="T715">
        <v>105</v>
      </c>
      <c r="U715">
        <v>41</v>
      </c>
      <c r="V715" t="s">
        <v>6440</v>
      </c>
      <c r="W715">
        <v>69717</v>
      </c>
      <c r="X715" t="s">
        <v>1739</v>
      </c>
      <c r="Y715">
        <v>51265</v>
      </c>
      <c r="Z715">
        <v>2858397</v>
      </c>
      <c r="AA715">
        <v>756532</v>
      </c>
      <c r="AB715" t="str">
        <f>(VLOOKUP(SalesData[[#This Row],[Month Number]],Reference!C$5:E$16,2,FALSE))</f>
        <v>Feb</v>
      </c>
      <c r="AC715">
        <f>MONTH(SalesData[[#This Row],[Date]])</f>
        <v>2</v>
      </c>
      <c r="AD715">
        <f>Reference!F$4</f>
        <v>2026</v>
      </c>
      <c r="AE715" t="str">
        <f>IF(OR(SalesData[[#This Row],[Day]]="Saturday",SalesData[[#This Row],[Day]]="Sunday"),"Weekend","Weekday")</f>
        <v>Weekday</v>
      </c>
      <c r="AF715" s="5">
        <f>IF(SalesData[[#This Row],[Contracts Offered]]=0,0,SalesData[[#This Row],[Contracts Signed]]/SalesData[[#This Row],[Contracts Offered]])</f>
        <v>0.39047619047619048</v>
      </c>
      <c r="AG715" s="5">
        <f>IF(SalesData[[#This Row],[Customers Visited]]=0,0,SalesData[[#This Row],[Test Drives]]/SalesData[[#This Row],[Customers Visited]])</f>
        <v>0.5368421052631579</v>
      </c>
      <c r="AH715" s="5">
        <f>IF(SalesData[[#This Row],[Customers Visited]]=0,0,SalesData[[#This Row],[Contracts Signed]]/SalesData[[#This Row],[Customers Visited]])</f>
        <v>0.14385964912280702</v>
      </c>
      <c r="AI715" s="6">
        <f>IF(SalesData[[#This Row],[Contracts Signed]]=0,0,SalesData[[#This Row],[Profit(€)]]/SalesData[[#This Row],[Contracts Signed]])</f>
        <v>18452</v>
      </c>
      <c r="AJ715" s="5" t="str">
        <f>TRIM(CLEAN(SalesData[[#This Row],[Retailer]]))</f>
        <v>Rhein Auto Group</v>
      </c>
    </row>
    <row r="716" spans="1:36" ht="14.25" hidden="1" x14ac:dyDescent="0.2">
      <c r="A716" t="s">
        <v>1323</v>
      </c>
      <c r="B716" s="1">
        <v>46077</v>
      </c>
      <c r="C716" t="s">
        <v>53</v>
      </c>
      <c r="D716" t="s">
        <v>63</v>
      </c>
      <c r="E716" t="s">
        <v>26</v>
      </c>
      <c r="F716" t="s">
        <v>109</v>
      </c>
      <c r="G716" t="s">
        <v>110</v>
      </c>
      <c r="H716" t="s">
        <v>45</v>
      </c>
      <c r="I716" t="s">
        <v>116</v>
      </c>
      <c r="J716" t="s">
        <v>7026</v>
      </c>
      <c r="K716" t="s">
        <v>32</v>
      </c>
      <c r="L716" t="s">
        <v>46</v>
      </c>
      <c r="M716" t="s">
        <v>68</v>
      </c>
      <c r="N716" t="s">
        <v>35</v>
      </c>
      <c r="O716" t="s">
        <v>36</v>
      </c>
      <c r="P716" t="s">
        <v>58</v>
      </c>
      <c r="Q716" t="s">
        <v>129</v>
      </c>
      <c r="R716">
        <v>387</v>
      </c>
      <c r="S716">
        <v>172</v>
      </c>
      <c r="T716">
        <v>115</v>
      </c>
      <c r="U716">
        <v>35</v>
      </c>
      <c r="V716" t="s">
        <v>6626</v>
      </c>
      <c r="W716">
        <v>21184</v>
      </c>
      <c r="X716" t="s">
        <v>672</v>
      </c>
      <c r="Y716">
        <v>19590</v>
      </c>
      <c r="Z716">
        <v>741440</v>
      </c>
      <c r="AA716">
        <v>55790</v>
      </c>
      <c r="AB716" t="str">
        <f>(VLOOKUP(SalesData[[#This Row],[Month Number]],Reference!C$5:E$16,2,FALSE))</f>
        <v>Feb</v>
      </c>
      <c r="AC716">
        <f>MONTH(SalesData[[#This Row],[Date]])</f>
        <v>2</v>
      </c>
      <c r="AD716">
        <f>Reference!F$4</f>
        <v>2026</v>
      </c>
      <c r="AE716" t="str">
        <f>IF(OR(SalesData[[#This Row],[Day]]="Saturday",SalesData[[#This Row],[Day]]="Sunday"),"Weekend","Weekday")</f>
        <v>Weekday</v>
      </c>
      <c r="AF716" s="5">
        <f>IF(SalesData[[#This Row],[Contracts Offered]]=0,0,SalesData[[#This Row],[Contracts Signed]]/SalesData[[#This Row],[Contracts Offered]])</f>
        <v>0.30434782608695654</v>
      </c>
      <c r="AG716" s="5">
        <f>IF(SalesData[[#This Row],[Customers Visited]]=0,0,SalesData[[#This Row],[Test Drives]]/SalesData[[#This Row],[Customers Visited]])</f>
        <v>0.44444444444444442</v>
      </c>
      <c r="AH716" s="5">
        <f>IF(SalesData[[#This Row],[Customers Visited]]=0,0,SalesData[[#This Row],[Contracts Signed]]/SalesData[[#This Row],[Customers Visited]])</f>
        <v>9.0439276485788117E-2</v>
      </c>
      <c r="AI716" s="6">
        <f>IF(SalesData[[#This Row],[Contracts Signed]]=0,0,SalesData[[#This Row],[Profit(€)]]/SalesData[[#This Row],[Contracts Signed]])</f>
        <v>1594</v>
      </c>
      <c r="AJ716" s="5" t="str">
        <f>TRIM(CLEAN(SalesData[[#This Row],[Retailer]]))</f>
        <v>Leipzig Mobility</v>
      </c>
    </row>
    <row r="717" spans="1:36" ht="14.25" hidden="1" x14ac:dyDescent="0.2">
      <c r="A717" t="s">
        <v>1324</v>
      </c>
      <c r="B717" s="1">
        <v>46054</v>
      </c>
      <c r="C717" t="s">
        <v>24</v>
      </c>
      <c r="D717" t="s">
        <v>41</v>
      </c>
      <c r="E717" t="s">
        <v>42</v>
      </c>
      <c r="F717" t="s">
        <v>27</v>
      </c>
      <c r="G717" t="s">
        <v>28</v>
      </c>
      <c r="H717" t="s">
        <v>29</v>
      </c>
      <c r="I717" t="s">
        <v>56</v>
      </c>
      <c r="J717" t="s">
        <v>7028</v>
      </c>
      <c r="K717" t="s">
        <v>32</v>
      </c>
      <c r="L717" t="s">
        <v>46</v>
      </c>
      <c r="M717" t="s">
        <v>34</v>
      </c>
      <c r="N717" t="s">
        <v>48</v>
      </c>
      <c r="O717" t="s">
        <v>36</v>
      </c>
      <c r="P717" t="s">
        <v>49</v>
      </c>
      <c r="Q717" t="s">
        <v>59</v>
      </c>
      <c r="R717">
        <v>162</v>
      </c>
      <c r="S717">
        <v>97</v>
      </c>
      <c r="T717">
        <v>68</v>
      </c>
      <c r="U717">
        <v>22</v>
      </c>
      <c r="V717" t="s">
        <v>6479</v>
      </c>
      <c r="W717">
        <v>42998</v>
      </c>
      <c r="X717" t="s">
        <v>7300</v>
      </c>
      <c r="Y717">
        <v>34055</v>
      </c>
      <c r="Z717">
        <v>945956</v>
      </c>
      <c r="AA717">
        <v>196746</v>
      </c>
      <c r="AB717" t="str">
        <f>(VLOOKUP(SalesData[[#This Row],[Month Number]],Reference!C$5:E$16,2,FALSE))</f>
        <v>Feb</v>
      </c>
      <c r="AC717">
        <f>MONTH(SalesData[[#This Row],[Date]])</f>
        <v>2</v>
      </c>
      <c r="AD717">
        <f>Reference!F$4</f>
        <v>2026</v>
      </c>
      <c r="AE717" t="str">
        <f>IF(OR(SalesData[[#This Row],[Day]]="Saturday",SalesData[[#This Row],[Day]]="Sunday"),"Weekend","Weekday")</f>
        <v>Weekend</v>
      </c>
      <c r="AF717" s="5">
        <f>IF(SalesData[[#This Row],[Contracts Offered]]=0,0,SalesData[[#This Row],[Contracts Signed]]/SalesData[[#This Row],[Contracts Offered]])</f>
        <v>0.3235294117647059</v>
      </c>
      <c r="AG717" s="5">
        <f>IF(SalesData[[#This Row],[Customers Visited]]=0,0,SalesData[[#This Row],[Test Drives]]/SalesData[[#This Row],[Customers Visited]])</f>
        <v>0.59876543209876543</v>
      </c>
      <c r="AH717" s="5">
        <f>IF(SalesData[[#This Row],[Customers Visited]]=0,0,SalesData[[#This Row],[Contracts Signed]]/SalesData[[#This Row],[Customers Visited]])</f>
        <v>0.13580246913580246</v>
      </c>
      <c r="AI717" s="6">
        <f>IF(SalesData[[#This Row],[Contracts Signed]]=0,0,SalesData[[#This Row],[Profit(€)]]/SalesData[[#This Row],[Contracts Signed]])</f>
        <v>8943</v>
      </c>
      <c r="AJ717" s="5" t="str">
        <f>TRIM(CLEAN(SalesData[[#This Row],[Retailer]]))</f>
        <v>Main Auto Hub</v>
      </c>
    </row>
    <row r="718" spans="1:36" ht="14.25" hidden="1" x14ac:dyDescent="0.2">
      <c r="A718" t="s">
        <v>1326</v>
      </c>
      <c r="B718" s="1">
        <v>46066</v>
      </c>
      <c r="C718" t="s">
        <v>121</v>
      </c>
      <c r="D718" t="s">
        <v>54</v>
      </c>
      <c r="E718" t="s">
        <v>26</v>
      </c>
      <c r="F718" t="s">
        <v>109</v>
      </c>
      <c r="G718" t="s">
        <v>110</v>
      </c>
      <c r="H718" t="s">
        <v>45</v>
      </c>
      <c r="I718" t="s">
        <v>116</v>
      </c>
      <c r="J718" t="s">
        <v>132</v>
      </c>
      <c r="K718" t="s">
        <v>78</v>
      </c>
      <c r="L718" t="s">
        <v>46</v>
      </c>
      <c r="M718" t="s">
        <v>47</v>
      </c>
      <c r="N718" t="s">
        <v>69</v>
      </c>
      <c r="O718" t="s">
        <v>70</v>
      </c>
      <c r="P718" t="s">
        <v>37</v>
      </c>
      <c r="Q718" t="s">
        <v>158</v>
      </c>
      <c r="R718">
        <v>290</v>
      </c>
      <c r="S718">
        <v>118</v>
      </c>
      <c r="T718">
        <v>78</v>
      </c>
      <c r="U718">
        <v>18</v>
      </c>
      <c r="V718" t="s">
        <v>704</v>
      </c>
      <c r="W718">
        <v>20354</v>
      </c>
      <c r="X718" t="s">
        <v>483</v>
      </c>
      <c r="Y718">
        <v>18814</v>
      </c>
      <c r="Z718">
        <v>366372</v>
      </c>
      <c r="AA718">
        <v>27720</v>
      </c>
      <c r="AB718" t="str">
        <f>(VLOOKUP(SalesData[[#This Row],[Month Number]],Reference!C$5:E$16,2,FALSE))</f>
        <v>Feb</v>
      </c>
      <c r="AC718">
        <f>MONTH(SalesData[[#This Row],[Date]])</f>
        <v>2</v>
      </c>
      <c r="AD718">
        <f>Reference!F$4</f>
        <v>2026</v>
      </c>
      <c r="AE718" t="str">
        <f>IF(OR(SalesData[[#This Row],[Day]]="Saturday",SalesData[[#This Row],[Day]]="Sunday"),"Weekend","Weekday")</f>
        <v>Weekday</v>
      </c>
      <c r="AF718" s="5">
        <f>IF(SalesData[[#This Row],[Contracts Offered]]=0,0,SalesData[[#This Row],[Contracts Signed]]/SalesData[[#This Row],[Contracts Offered]])</f>
        <v>0.23076923076923078</v>
      </c>
      <c r="AG718" s="5">
        <f>IF(SalesData[[#This Row],[Customers Visited]]=0,0,SalesData[[#This Row],[Test Drives]]/SalesData[[#This Row],[Customers Visited]])</f>
        <v>0.40689655172413791</v>
      </c>
      <c r="AH718" s="5">
        <f>IF(SalesData[[#This Row],[Customers Visited]]=0,0,SalesData[[#This Row],[Contracts Signed]]/SalesData[[#This Row],[Customers Visited]])</f>
        <v>6.2068965517241378E-2</v>
      </c>
      <c r="AI718" s="6">
        <f>IF(SalesData[[#This Row],[Contracts Signed]]=0,0,SalesData[[#This Row],[Profit(€)]]/SalesData[[#This Row],[Contracts Signed]])</f>
        <v>1540</v>
      </c>
      <c r="AJ718" s="5" t="str">
        <f>TRIM(CLEAN(SalesData[[#This Row],[Retailer]]))</f>
        <v>Leipzig Mobility</v>
      </c>
    </row>
    <row r="719" spans="1:36" ht="14.25" hidden="1" x14ac:dyDescent="0.2">
      <c r="A719" t="s">
        <v>1328</v>
      </c>
      <c r="B719" s="1">
        <v>46067</v>
      </c>
      <c r="C719" t="s">
        <v>121</v>
      </c>
      <c r="D719" t="s">
        <v>151</v>
      </c>
      <c r="E719" t="s">
        <v>42</v>
      </c>
      <c r="F719" t="s">
        <v>109</v>
      </c>
      <c r="G719" t="s">
        <v>110</v>
      </c>
      <c r="H719" t="s">
        <v>45</v>
      </c>
      <c r="I719" t="s">
        <v>56</v>
      </c>
      <c r="J719" t="s">
        <v>137</v>
      </c>
      <c r="K719" t="s">
        <v>91</v>
      </c>
      <c r="L719" t="s">
        <v>46</v>
      </c>
      <c r="M719" t="s">
        <v>47</v>
      </c>
      <c r="N719" t="s">
        <v>35</v>
      </c>
      <c r="O719" t="s">
        <v>70</v>
      </c>
      <c r="P719" t="s">
        <v>49</v>
      </c>
      <c r="Q719" t="s">
        <v>50</v>
      </c>
      <c r="R719">
        <v>185</v>
      </c>
      <c r="S719">
        <v>115</v>
      </c>
      <c r="T719">
        <v>74</v>
      </c>
      <c r="U719">
        <v>20</v>
      </c>
      <c r="V719" t="s">
        <v>292</v>
      </c>
      <c r="W719">
        <v>53961</v>
      </c>
      <c r="X719" t="s">
        <v>7124</v>
      </c>
      <c r="Y719">
        <v>44171</v>
      </c>
      <c r="Z719">
        <v>1079220</v>
      </c>
      <c r="AA719">
        <v>195800</v>
      </c>
      <c r="AB719" t="str">
        <f>(VLOOKUP(SalesData[[#This Row],[Month Number]],Reference!C$5:E$16,2,FALSE))</f>
        <v>Feb</v>
      </c>
      <c r="AC719">
        <f>MONTH(SalesData[[#This Row],[Date]])</f>
        <v>2</v>
      </c>
      <c r="AD719">
        <f>Reference!F$4</f>
        <v>2026</v>
      </c>
      <c r="AE719" t="str">
        <f>IF(OR(SalesData[[#This Row],[Day]]="Saturday",SalesData[[#This Row],[Day]]="Sunday"),"Weekend","Weekday")</f>
        <v>Weekend</v>
      </c>
      <c r="AF719" s="5">
        <f>IF(SalesData[[#This Row],[Contracts Offered]]=0,0,SalesData[[#This Row],[Contracts Signed]]/SalesData[[#This Row],[Contracts Offered]])</f>
        <v>0.27027027027027029</v>
      </c>
      <c r="AG719" s="5">
        <f>IF(SalesData[[#This Row],[Customers Visited]]=0,0,SalesData[[#This Row],[Test Drives]]/SalesData[[#This Row],[Customers Visited]])</f>
        <v>0.6216216216216216</v>
      </c>
      <c r="AH719" s="5">
        <f>IF(SalesData[[#This Row],[Customers Visited]]=0,0,SalesData[[#This Row],[Contracts Signed]]/SalesData[[#This Row],[Customers Visited]])</f>
        <v>0.10810810810810811</v>
      </c>
      <c r="AI719" s="6">
        <f>IF(SalesData[[#This Row],[Contracts Signed]]=0,0,SalesData[[#This Row],[Profit(€)]]/SalesData[[#This Row],[Contracts Signed]])</f>
        <v>9790</v>
      </c>
      <c r="AJ719" s="5" t="str">
        <f>TRIM(CLEAN(SalesData[[#This Row],[Retailer]]))</f>
        <v>Leipzig Mobility</v>
      </c>
    </row>
    <row r="720" spans="1:36" ht="14.25" x14ac:dyDescent="0.2">
      <c r="A720" t="s">
        <v>1329</v>
      </c>
      <c r="B720" s="1">
        <v>46062</v>
      </c>
      <c r="C720" t="s">
        <v>121</v>
      </c>
      <c r="D720" t="s">
        <v>25</v>
      </c>
      <c r="E720" t="s">
        <v>26</v>
      </c>
      <c r="F720" t="s">
        <v>127</v>
      </c>
      <c r="G720" t="s">
        <v>128</v>
      </c>
      <c r="H720" t="s">
        <v>103</v>
      </c>
      <c r="I720" t="s">
        <v>30</v>
      </c>
      <c r="J720" t="s">
        <v>166</v>
      </c>
      <c r="K720" t="s">
        <v>66</v>
      </c>
      <c r="L720" t="s">
        <v>46</v>
      </c>
      <c r="M720" t="s">
        <v>87</v>
      </c>
      <c r="N720" t="s">
        <v>69</v>
      </c>
      <c r="O720" t="s">
        <v>70</v>
      </c>
      <c r="P720" t="s">
        <v>58</v>
      </c>
      <c r="Q720" t="s">
        <v>118</v>
      </c>
      <c r="R720">
        <v>243</v>
      </c>
      <c r="S720">
        <v>141</v>
      </c>
      <c r="T720">
        <v>102</v>
      </c>
      <c r="U720">
        <v>42</v>
      </c>
      <c r="V720" t="s">
        <v>6808</v>
      </c>
      <c r="W720">
        <v>70047</v>
      </c>
      <c r="X720" t="s">
        <v>7284</v>
      </c>
      <c r="Y720">
        <v>54617</v>
      </c>
      <c r="Z720">
        <v>2941974</v>
      </c>
      <c r="AA720">
        <v>648060</v>
      </c>
      <c r="AB720" t="str">
        <f>(VLOOKUP(SalesData[[#This Row],[Month Number]],Reference!C$5:E$16,2,FALSE))</f>
        <v>Feb</v>
      </c>
      <c r="AC720">
        <f>MONTH(SalesData[[#This Row],[Date]])</f>
        <v>2</v>
      </c>
      <c r="AD720">
        <f>Reference!F$4</f>
        <v>2026</v>
      </c>
      <c r="AE720" t="str">
        <f>IF(OR(SalesData[[#This Row],[Day]]="Saturday",SalesData[[#This Row],[Day]]="Sunday"),"Weekend","Weekday")</f>
        <v>Weekday</v>
      </c>
      <c r="AF720" s="5">
        <f>IF(SalesData[[#This Row],[Contracts Offered]]=0,0,SalesData[[#This Row],[Contracts Signed]]/SalesData[[#This Row],[Contracts Offered]])</f>
        <v>0.41176470588235292</v>
      </c>
      <c r="AG720" s="5">
        <f>IF(SalesData[[#This Row],[Customers Visited]]=0,0,SalesData[[#This Row],[Test Drives]]/SalesData[[#This Row],[Customers Visited]])</f>
        <v>0.58024691358024694</v>
      </c>
      <c r="AH720" s="5">
        <f>IF(SalesData[[#This Row],[Customers Visited]]=0,0,SalesData[[#This Row],[Contracts Signed]]/SalesData[[#This Row],[Customers Visited]])</f>
        <v>0.1728395061728395</v>
      </c>
      <c r="AI720" s="6">
        <f>IF(SalesData[[#This Row],[Contracts Signed]]=0,0,SalesData[[#This Row],[Profit(€)]]/SalesData[[#This Row],[Contracts Signed]])</f>
        <v>15430</v>
      </c>
      <c r="AJ720" s="5" t="str">
        <f>TRIM(CLEAN(SalesData[[#This Row],[Retailer]]))</f>
        <v>Rhein Auto Group</v>
      </c>
    </row>
    <row r="721" spans="1:36" ht="14.25" hidden="1" x14ac:dyDescent="0.2">
      <c r="A721" t="s">
        <v>1331</v>
      </c>
      <c r="B721" s="1">
        <v>46079</v>
      </c>
      <c r="C721" t="s">
        <v>53</v>
      </c>
      <c r="D721" t="s">
        <v>100</v>
      </c>
      <c r="E721" t="s">
        <v>26</v>
      </c>
      <c r="F721" t="s">
        <v>7649</v>
      </c>
      <c r="G721" t="s">
        <v>55</v>
      </c>
      <c r="H721" t="s">
        <v>55</v>
      </c>
      <c r="I721" t="s">
        <v>64</v>
      </c>
      <c r="J721" t="s">
        <v>65</v>
      </c>
      <c r="K721" t="s">
        <v>66</v>
      </c>
      <c r="L721" t="s">
        <v>33</v>
      </c>
      <c r="M721" t="s">
        <v>87</v>
      </c>
      <c r="N721" t="s">
        <v>69</v>
      </c>
      <c r="O721" t="s">
        <v>70</v>
      </c>
      <c r="P721" t="s">
        <v>49</v>
      </c>
      <c r="Q721" t="s">
        <v>122</v>
      </c>
      <c r="R721">
        <v>168</v>
      </c>
      <c r="S721">
        <v>85</v>
      </c>
      <c r="T721">
        <v>62</v>
      </c>
      <c r="U721">
        <v>19</v>
      </c>
      <c r="V721" t="s">
        <v>6744</v>
      </c>
      <c r="W721">
        <v>58508</v>
      </c>
      <c r="X721" t="s">
        <v>2728</v>
      </c>
      <c r="Y721">
        <v>43036</v>
      </c>
      <c r="Z721">
        <v>1111652</v>
      </c>
      <c r="AA721">
        <v>293968</v>
      </c>
      <c r="AB721" t="str">
        <f>(VLOOKUP(SalesData[[#This Row],[Month Number]],Reference!C$5:E$16,2,FALSE))</f>
        <v>Feb</v>
      </c>
      <c r="AC721">
        <f>MONTH(SalesData[[#This Row],[Date]])</f>
        <v>2</v>
      </c>
      <c r="AD721">
        <f>Reference!F$4</f>
        <v>2026</v>
      </c>
      <c r="AE721" t="str">
        <f>IF(OR(SalesData[[#This Row],[Day]]="Saturday",SalesData[[#This Row],[Day]]="Sunday"),"Weekend","Weekday")</f>
        <v>Weekday</v>
      </c>
      <c r="AF721" s="5">
        <f>IF(SalesData[[#This Row],[Contracts Offered]]=0,0,SalesData[[#This Row],[Contracts Signed]]/SalesData[[#This Row],[Contracts Offered]])</f>
        <v>0.30645161290322581</v>
      </c>
      <c r="AG721" s="5">
        <f>IF(SalesData[[#This Row],[Customers Visited]]=0,0,SalesData[[#This Row],[Test Drives]]/SalesData[[#This Row],[Customers Visited]])</f>
        <v>0.50595238095238093</v>
      </c>
      <c r="AH721" s="5">
        <f>IF(SalesData[[#This Row],[Customers Visited]]=0,0,SalesData[[#This Row],[Contracts Signed]]/SalesData[[#This Row],[Customers Visited]])</f>
        <v>0.1130952380952381</v>
      </c>
      <c r="AI721" s="6">
        <f>IF(SalesData[[#This Row],[Contracts Signed]]=0,0,SalesData[[#This Row],[Profit(€)]]/SalesData[[#This Row],[Contracts Signed]])</f>
        <v>15472</v>
      </c>
      <c r="AJ721" s="5" t="str">
        <f>TRIM(CLEAN(SalesData[[#This Row],[Retailer]]))</f>
        <v>Autohaus Berlin</v>
      </c>
    </row>
    <row r="722" spans="1:36" ht="14.25" hidden="1" x14ac:dyDescent="0.2">
      <c r="A722" t="s">
        <v>1332</v>
      </c>
      <c r="B722" s="1">
        <v>46060</v>
      </c>
      <c r="C722" t="s">
        <v>24</v>
      </c>
      <c r="D722" t="s">
        <v>151</v>
      </c>
      <c r="E722" t="s">
        <v>42</v>
      </c>
      <c r="F722" t="s">
        <v>94</v>
      </c>
      <c r="G722" t="s">
        <v>95</v>
      </c>
      <c r="H722" t="s">
        <v>96</v>
      </c>
      <c r="I722" t="s">
        <v>116</v>
      </c>
      <c r="J722" t="s">
        <v>132</v>
      </c>
      <c r="K722" t="s">
        <v>32</v>
      </c>
      <c r="L722" t="s">
        <v>46</v>
      </c>
      <c r="M722" t="s">
        <v>47</v>
      </c>
      <c r="N722" t="s">
        <v>35</v>
      </c>
      <c r="O722" t="s">
        <v>70</v>
      </c>
      <c r="P722" t="s">
        <v>37</v>
      </c>
      <c r="Q722" t="s">
        <v>240</v>
      </c>
      <c r="R722">
        <v>362</v>
      </c>
      <c r="S722">
        <v>175</v>
      </c>
      <c r="T722">
        <v>108</v>
      </c>
      <c r="U722">
        <v>31</v>
      </c>
      <c r="V722" t="s">
        <v>4445</v>
      </c>
      <c r="W722">
        <v>19230</v>
      </c>
      <c r="X722" t="s">
        <v>2144</v>
      </c>
      <c r="Y722">
        <v>17498</v>
      </c>
      <c r="Z722">
        <v>596130</v>
      </c>
      <c r="AA722">
        <v>53692</v>
      </c>
      <c r="AB722" t="str">
        <f>(VLOOKUP(SalesData[[#This Row],[Month Number]],Reference!C$5:E$16,2,FALSE))</f>
        <v>Feb</v>
      </c>
      <c r="AC722">
        <f>MONTH(SalesData[[#This Row],[Date]])</f>
        <v>2</v>
      </c>
      <c r="AD722">
        <f>Reference!F$4</f>
        <v>2026</v>
      </c>
      <c r="AE722" t="str">
        <f>IF(OR(SalesData[[#This Row],[Day]]="Saturday",SalesData[[#This Row],[Day]]="Sunday"),"Weekend","Weekday")</f>
        <v>Weekend</v>
      </c>
      <c r="AF722" s="5">
        <f>IF(SalesData[[#This Row],[Contracts Offered]]=0,0,SalesData[[#This Row],[Contracts Signed]]/SalesData[[#This Row],[Contracts Offered]])</f>
        <v>0.28703703703703703</v>
      </c>
      <c r="AG722" s="5">
        <f>IF(SalesData[[#This Row],[Customers Visited]]=0,0,SalesData[[#This Row],[Test Drives]]/SalesData[[#This Row],[Customers Visited]])</f>
        <v>0.48342541436464087</v>
      </c>
      <c r="AH722" s="5">
        <f>IF(SalesData[[#This Row],[Customers Visited]]=0,0,SalesData[[#This Row],[Contracts Signed]]/SalesData[[#This Row],[Customers Visited]])</f>
        <v>8.5635359116022103E-2</v>
      </c>
      <c r="AI722" s="6">
        <f>IF(SalesData[[#This Row],[Contracts Signed]]=0,0,SalesData[[#This Row],[Profit(€)]]/SalesData[[#This Row],[Contracts Signed]])</f>
        <v>1732</v>
      </c>
      <c r="AJ722" s="5" t="str">
        <f>TRIM(CLEAN(SalesData[[#This Row],[Retailer]]))</f>
        <v>Bavaria Motors</v>
      </c>
    </row>
    <row r="723" spans="1:36" ht="14.25" hidden="1" x14ac:dyDescent="0.2">
      <c r="A723" t="s">
        <v>1333</v>
      </c>
      <c r="B723" s="1">
        <v>46065</v>
      </c>
      <c r="C723" t="s">
        <v>121</v>
      </c>
      <c r="D723" t="s">
        <v>100</v>
      </c>
      <c r="E723" t="s">
        <v>26</v>
      </c>
      <c r="F723" t="s">
        <v>114</v>
      </c>
      <c r="G723" t="s">
        <v>115</v>
      </c>
      <c r="H723" t="s">
        <v>115</v>
      </c>
      <c r="I723" t="s">
        <v>56</v>
      </c>
      <c r="J723" t="s">
        <v>7028</v>
      </c>
      <c r="K723" t="s">
        <v>66</v>
      </c>
      <c r="L723" t="s">
        <v>46</v>
      </c>
      <c r="M723" t="s">
        <v>47</v>
      </c>
      <c r="N723" t="s">
        <v>69</v>
      </c>
      <c r="O723" t="s">
        <v>70</v>
      </c>
      <c r="P723" t="s">
        <v>49</v>
      </c>
      <c r="Q723" t="s">
        <v>38</v>
      </c>
      <c r="R723">
        <v>221</v>
      </c>
      <c r="S723">
        <v>109</v>
      </c>
      <c r="T723">
        <v>71</v>
      </c>
      <c r="U723">
        <v>21</v>
      </c>
      <c r="V723" t="s">
        <v>358</v>
      </c>
      <c r="W723">
        <v>50331</v>
      </c>
      <c r="X723" t="s">
        <v>3061</v>
      </c>
      <c r="Y723">
        <v>40606</v>
      </c>
      <c r="Z723">
        <v>1056951</v>
      </c>
      <c r="AA723">
        <v>204225</v>
      </c>
      <c r="AB723" t="str">
        <f>(VLOOKUP(SalesData[[#This Row],[Month Number]],Reference!C$5:E$16,2,FALSE))</f>
        <v>Feb</v>
      </c>
      <c r="AC723">
        <f>MONTH(SalesData[[#This Row],[Date]])</f>
        <v>2</v>
      </c>
      <c r="AD723">
        <f>Reference!F$4</f>
        <v>2026</v>
      </c>
      <c r="AE723" t="str">
        <f>IF(OR(SalesData[[#This Row],[Day]]="Saturday",SalesData[[#This Row],[Day]]="Sunday"),"Weekend","Weekday")</f>
        <v>Weekday</v>
      </c>
      <c r="AF723" s="5">
        <f>IF(SalesData[[#This Row],[Contracts Offered]]=0,0,SalesData[[#This Row],[Contracts Signed]]/SalesData[[#This Row],[Contracts Offered]])</f>
        <v>0.29577464788732394</v>
      </c>
      <c r="AG723" s="5">
        <f>IF(SalesData[[#This Row],[Customers Visited]]=0,0,SalesData[[#This Row],[Test Drives]]/SalesData[[#This Row],[Customers Visited]])</f>
        <v>0.49321266968325794</v>
      </c>
      <c r="AH723" s="5">
        <f>IF(SalesData[[#This Row],[Customers Visited]]=0,0,SalesData[[#This Row],[Contracts Signed]]/SalesData[[#This Row],[Customers Visited]])</f>
        <v>9.5022624434389136E-2</v>
      </c>
      <c r="AI723" s="6">
        <f>IF(SalesData[[#This Row],[Contracts Signed]]=0,0,SalesData[[#This Row],[Profit(€)]]/SalesData[[#This Row],[Contracts Signed]])</f>
        <v>9725</v>
      </c>
      <c r="AJ723" s="5" t="str">
        <f>TRIM(CLEAN(SalesData[[#This Row],[Retailer]]))</f>
        <v>Elbe Drive</v>
      </c>
    </row>
    <row r="724" spans="1:36" ht="14.25" hidden="1" x14ac:dyDescent="0.2">
      <c r="A724" t="s">
        <v>1335</v>
      </c>
      <c r="B724" s="1">
        <v>46074</v>
      </c>
      <c r="C724" t="s">
        <v>62</v>
      </c>
      <c r="D724" t="s">
        <v>151</v>
      </c>
      <c r="E724" t="s">
        <v>42</v>
      </c>
      <c r="F724" t="s">
        <v>7649</v>
      </c>
      <c r="G724" t="s">
        <v>55</v>
      </c>
      <c r="H724" t="s">
        <v>55</v>
      </c>
      <c r="I724" t="s">
        <v>104</v>
      </c>
      <c r="J724" t="s">
        <v>7061</v>
      </c>
      <c r="K724" t="s">
        <v>78</v>
      </c>
      <c r="L724" t="s">
        <v>46</v>
      </c>
      <c r="M724" t="s">
        <v>87</v>
      </c>
      <c r="N724" t="s">
        <v>69</v>
      </c>
      <c r="O724" t="s">
        <v>36</v>
      </c>
      <c r="P724" t="s">
        <v>58</v>
      </c>
      <c r="Q724" t="s">
        <v>122</v>
      </c>
      <c r="R724">
        <v>303</v>
      </c>
      <c r="S724">
        <v>138</v>
      </c>
      <c r="T724">
        <v>97</v>
      </c>
      <c r="U724">
        <v>31</v>
      </c>
      <c r="V724" t="s">
        <v>6990</v>
      </c>
      <c r="W724">
        <v>28183</v>
      </c>
      <c r="X724" t="s">
        <v>350</v>
      </c>
      <c r="Y724">
        <v>25116</v>
      </c>
      <c r="Z724">
        <v>873673</v>
      </c>
      <c r="AA724">
        <v>95077</v>
      </c>
      <c r="AB724" t="str">
        <f>(VLOOKUP(SalesData[[#This Row],[Month Number]],Reference!C$5:E$16,2,FALSE))</f>
        <v>Feb</v>
      </c>
      <c r="AC724">
        <f>MONTH(SalesData[[#This Row],[Date]])</f>
        <v>2</v>
      </c>
      <c r="AD724">
        <f>Reference!F$4</f>
        <v>2026</v>
      </c>
      <c r="AE724" t="str">
        <f>IF(OR(SalesData[[#This Row],[Day]]="Saturday",SalesData[[#This Row],[Day]]="Sunday"),"Weekend","Weekday")</f>
        <v>Weekend</v>
      </c>
      <c r="AF724" s="5">
        <f>IF(SalesData[[#This Row],[Contracts Offered]]=0,0,SalesData[[#This Row],[Contracts Signed]]/SalesData[[#This Row],[Contracts Offered]])</f>
        <v>0.31958762886597936</v>
      </c>
      <c r="AG724" s="5">
        <f>IF(SalesData[[#This Row],[Customers Visited]]=0,0,SalesData[[#This Row],[Test Drives]]/SalesData[[#This Row],[Customers Visited]])</f>
        <v>0.45544554455445546</v>
      </c>
      <c r="AH724" s="5">
        <f>IF(SalesData[[#This Row],[Customers Visited]]=0,0,SalesData[[#This Row],[Contracts Signed]]/SalesData[[#This Row],[Customers Visited]])</f>
        <v>0.10231023102310231</v>
      </c>
      <c r="AI724" s="6">
        <f>IF(SalesData[[#This Row],[Contracts Signed]]=0,0,SalesData[[#This Row],[Profit(€)]]/SalesData[[#This Row],[Contracts Signed]])</f>
        <v>3067</v>
      </c>
      <c r="AJ724" s="5" t="str">
        <f>TRIM(CLEAN(SalesData[[#This Row],[Retailer]]))</f>
        <v>Autohaus Berlin</v>
      </c>
    </row>
    <row r="725" spans="1:36" ht="14.25" x14ac:dyDescent="0.2">
      <c r="A725" t="s">
        <v>1336</v>
      </c>
      <c r="B725" s="1">
        <v>46079</v>
      </c>
      <c r="C725" t="s">
        <v>53</v>
      </c>
      <c r="D725" t="s">
        <v>100</v>
      </c>
      <c r="E725" t="s">
        <v>26</v>
      </c>
      <c r="F725" t="s">
        <v>94</v>
      </c>
      <c r="G725" t="s">
        <v>95</v>
      </c>
      <c r="H725" t="s">
        <v>96</v>
      </c>
      <c r="I725" t="s">
        <v>30</v>
      </c>
      <c r="J725" t="s">
        <v>86</v>
      </c>
      <c r="K725" t="s">
        <v>78</v>
      </c>
      <c r="L725" t="s">
        <v>33</v>
      </c>
      <c r="M725" t="s">
        <v>47</v>
      </c>
      <c r="N725" t="s">
        <v>69</v>
      </c>
      <c r="O725" t="s">
        <v>70</v>
      </c>
      <c r="P725" t="s">
        <v>37</v>
      </c>
      <c r="Q725" t="s">
        <v>240</v>
      </c>
      <c r="R725">
        <v>151</v>
      </c>
      <c r="S725">
        <v>86</v>
      </c>
      <c r="T725">
        <v>65</v>
      </c>
      <c r="U725">
        <v>24</v>
      </c>
      <c r="V725" t="s">
        <v>6513</v>
      </c>
      <c r="W725">
        <v>68457</v>
      </c>
      <c r="X725" t="s">
        <v>7240</v>
      </c>
      <c r="Y725">
        <v>49547</v>
      </c>
      <c r="Z725">
        <v>1642968</v>
      </c>
      <c r="AA725">
        <v>453840</v>
      </c>
      <c r="AB725" t="str">
        <f>(VLOOKUP(SalesData[[#This Row],[Month Number]],Reference!C$5:E$16,2,FALSE))</f>
        <v>Feb</v>
      </c>
      <c r="AC725">
        <f>MONTH(SalesData[[#This Row],[Date]])</f>
        <v>2</v>
      </c>
      <c r="AD725">
        <f>Reference!F$4</f>
        <v>2026</v>
      </c>
      <c r="AE725" t="str">
        <f>IF(OR(SalesData[[#This Row],[Day]]="Saturday",SalesData[[#This Row],[Day]]="Sunday"),"Weekend","Weekday")</f>
        <v>Weekday</v>
      </c>
      <c r="AF725" s="5">
        <f>IF(SalesData[[#This Row],[Contracts Offered]]=0,0,SalesData[[#This Row],[Contracts Signed]]/SalesData[[#This Row],[Contracts Offered]])</f>
        <v>0.36923076923076925</v>
      </c>
      <c r="AG725" s="5">
        <f>IF(SalesData[[#This Row],[Customers Visited]]=0,0,SalesData[[#This Row],[Test Drives]]/SalesData[[#This Row],[Customers Visited]])</f>
        <v>0.56953642384105962</v>
      </c>
      <c r="AH725" s="5">
        <f>IF(SalesData[[#This Row],[Customers Visited]]=0,0,SalesData[[#This Row],[Contracts Signed]]/SalesData[[#This Row],[Customers Visited]])</f>
        <v>0.15894039735099338</v>
      </c>
      <c r="AI725" s="6">
        <f>IF(SalesData[[#This Row],[Contracts Signed]]=0,0,SalesData[[#This Row],[Profit(€)]]/SalesData[[#This Row],[Contracts Signed]])</f>
        <v>18910</v>
      </c>
      <c r="AJ725" s="5" t="str">
        <f>TRIM(CLEAN(SalesData[[#This Row],[Retailer]]))</f>
        <v>Bavaria Motors</v>
      </c>
    </row>
    <row r="726" spans="1:36" ht="14.25" hidden="1" x14ac:dyDescent="0.2">
      <c r="A726" t="s">
        <v>1337</v>
      </c>
      <c r="B726" s="1">
        <v>46066</v>
      </c>
      <c r="C726" t="s">
        <v>121</v>
      </c>
      <c r="D726" t="s">
        <v>54</v>
      </c>
      <c r="E726" t="s">
        <v>26</v>
      </c>
      <c r="F726" t="s">
        <v>101</v>
      </c>
      <c r="G726" t="s">
        <v>102</v>
      </c>
      <c r="H726" t="s">
        <v>103</v>
      </c>
      <c r="I726" t="s">
        <v>56</v>
      </c>
      <c r="J726" t="s">
        <v>97</v>
      </c>
      <c r="K726" t="s">
        <v>32</v>
      </c>
      <c r="L726" t="s">
        <v>33</v>
      </c>
      <c r="M726" t="s">
        <v>68</v>
      </c>
      <c r="N726" t="s">
        <v>35</v>
      </c>
      <c r="O726" t="s">
        <v>36</v>
      </c>
      <c r="P726" t="s">
        <v>37</v>
      </c>
      <c r="Q726" t="s">
        <v>88</v>
      </c>
      <c r="R726">
        <v>273</v>
      </c>
      <c r="S726">
        <v>143</v>
      </c>
      <c r="T726">
        <v>105</v>
      </c>
      <c r="U726">
        <v>27</v>
      </c>
      <c r="V726" t="s">
        <v>2505</v>
      </c>
      <c r="W726">
        <v>48715</v>
      </c>
      <c r="X726" t="s">
        <v>7214</v>
      </c>
      <c r="Y726">
        <v>37997</v>
      </c>
      <c r="Z726">
        <v>1315305</v>
      </c>
      <c r="AA726">
        <v>289386</v>
      </c>
      <c r="AB726" t="str">
        <f>(VLOOKUP(SalesData[[#This Row],[Month Number]],Reference!C$5:E$16,2,FALSE))</f>
        <v>Feb</v>
      </c>
      <c r="AC726">
        <f>MONTH(SalesData[[#This Row],[Date]])</f>
        <v>2</v>
      </c>
      <c r="AD726">
        <f>Reference!F$4</f>
        <v>2026</v>
      </c>
      <c r="AE726" t="str">
        <f>IF(OR(SalesData[[#This Row],[Day]]="Saturday",SalesData[[#This Row],[Day]]="Sunday"),"Weekend","Weekday")</f>
        <v>Weekday</v>
      </c>
      <c r="AF726" s="5">
        <f>IF(SalesData[[#This Row],[Contracts Offered]]=0,0,SalesData[[#This Row],[Contracts Signed]]/SalesData[[#This Row],[Contracts Offered]])</f>
        <v>0.25714285714285712</v>
      </c>
      <c r="AG726" s="5">
        <f>IF(SalesData[[#This Row],[Customers Visited]]=0,0,SalesData[[#This Row],[Test Drives]]/SalesData[[#This Row],[Customers Visited]])</f>
        <v>0.52380952380952384</v>
      </c>
      <c r="AH726" s="5">
        <f>IF(SalesData[[#This Row],[Customers Visited]]=0,0,SalesData[[#This Row],[Contracts Signed]]/SalesData[[#This Row],[Customers Visited]])</f>
        <v>9.8901098901098897E-2</v>
      </c>
      <c r="AI726" s="6">
        <f>IF(SalesData[[#This Row],[Contracts Signed]]=0,0,SalesData[[#This Row],[Profit(€)]]/SalesData[[#This Row],[Contracts Signed]])</f>
        <v>10718</v>
      </c>
      <c r="AJ726" s="5" t="str">
        <f>TRIM(CLEAN(SalesData[[#This Row],[Retailer]]))</f>
        <v>Ruhr Auto Plaza</v>
      </c>
    </row>
    <row r="727" spans="1:36" ht="14.25" hidden="1" x14ac:dyDescent="0.2">
      <c r="A727" t="s">
        <v>1338</v>
      </c>
      <c r="B727" s="1">
        <v>46058</v>
      </c>
      <c r="C727" t="s">
        <v>24</v>
      </c>
      <c r="D727" t="s">
        <v>100</v>
      </c>
      <c r="E727" t="s">
        <v>26</v>
      </c>
      <c r="F727" t="s">
        <v>43</v>
      </c>
      <c r="G727" t="s">
        <v>44</v>
      </c>
      <c r="H727" t="s">
        <v>45</v>
      </c>
      <c r="I727" t="s">
        <v>104</v>
      </c>
      <c r="J727" t="s">
        <v>140</v>
      </c>
      <c r="K727" t="s">
        <v>78</v>
      </c>
      <c r="L727" t="s">
        <v>46</v>
      </c>
      <c r="M727" t="s">
        <v>47</v>
      </c>
      <c r="N727" t="s">
        <v>48</v>
      </c>
      <c r="O727" t="s">
        <v>36</v>
      </c>
      <c r="P727" t="s">
        <v>37</v>
      </c>
      <c r="Q727" t="s">
        <v>169</v>
      </c>
      <c r="R727">
        <v>460</v>
      </c>
      <c r="S727">
        <v>227</v>
      </c>
      <c r="T727">
        <v>154</v>
      </c>
      <c r="U727">
        <v>30</v>
      </c>
      <c r="V727" t="s">
        <v>1612</v>
      </c>
      <c r="W727">
        <v>31404</v>
      </c>
      <c r="X727" t="s">
        <v>2035</v>
      </c>
      <c r="Y727">
        <v>28208</v>
      </c>
      <c r="Z727">
        <v>942120</v>
      </c>
      <c r="AA727">
        <v>95880</v>
      </c>
      <c r="AB727" t="str">
        <f>(VLOOKUP(SalesData[[#This Row],[Month Number]],Reference!C$5:E$16,2,FALSE))</f>
        <v>Feb</v>
      </c>
      <c r="AC727">
        <f>MONTH(SalesData[[#This Row],[Date]])</f>
        <v>2</v>
      </c>
      <c r="AD727">
        <f>Reference!F$4</f>
        <v>2026</v>
      </c>
      <c r="AE727" t="str">
        <f>IF(OR(SalesData[[#This Row],[Day]]="Saturday",SalesData[[#This Row],[Day]]="Sunday"),"Weekend","Weekday")</f>
        <v>Weekday</v>
      </c>
      <c r="AF727" s="5">
        <f>IF(SalesData[[#This Row],[Contracts Offered]]=0,0,SalesData[[#This Row],[Contracts Signed]]/SalesData[[#This Row],[Contracts Offered]])</f>
        <v>0.19480519480519481</v>
      </c>
      <c r="AG727" s="5">
        <f>IF(SalesData[[#This Row],[Customers Visited]]=0,0,SalesData[[#This Row],[Test Drives]]/SalesData[[#This Row],[Customers Visited]])</f>
        <v>0.4934782608695652</v>
      </c>
      <c r="AH727" s="5">
        <f>IF(SalesData[[#This Row],[Customers Visited]]=0,0,SalesData[[#This Row],[Contracts Signed]]/SalesData[[#This Row],[Customers Visited]])</f>
        <v>6.5217391304347824E-2</v>
      </c>
      <c r="AI727" s="6">
        <f>IF(SalesData[[#This Row],[Contracts Signed]]=0,0,SalesData[[#This Row],[Profit(€)]]/SalesData[[#This Row],[Contracts Signed]])</f>
        <v>3196</v>
      </c>
      <c r="AJ727" s="5" t="str">
        <f>TRIM(CLEAN(SalesData[[#This Row],[Retailer]]))</f>
        <v>Saxon Wheels</v>
      </c>
    </row>
    <row r="728" spans="1:36" ht="14.25" x14ac:dyDescent="0.2">
      <c r="A728" t="s">
        <v>1340</v>
      </c>
      <c r="B728" s="1">
        <v>46077</v>
      </c>
      <c r="C728" t="s">
        <v>53</v>
      </c>
      <c r="D728" t="s">
        <v>63</v>
      </c>
      <c r="E728" t="s">
        <v>26</v>
      </c>
      <c r="F728" t="s">
        <v>43</v>
      </c>
      <c r="G728" t="s">
        <v>44</v>
      </c>
      <c r="H728" t="s">
        <v>45</v>
      </c>
      <c r="I728" t="s">
        <v>30</v>
      </c>
      <c r="J728" t="s">
        <v>86</v>
      </c>
      <c r="K728" t="s">
        <v>78</v>
      </c>
      <c r="L728" t="s">
        <v>33</v>
      </c>
      <c r="M728" t="s">
        <v>34</v>
      </c>
      <c r="N728" t="s">
        <v>69</v>
      </c>
      <c r="O728" t="s">
        <v>36</v>
      </c>
      <c r="P728" t="s">
        <v>58</v>
      </c>
      <c r="Q728" t="s">
        <v>118</v>
      </c>
      <c r="R728">
        <v>190</v>
      </c>
      <c r="S728">
        <v>103</v>
      </c>
      <c r="T728">
        <v>79</v>
      </c>
      <c r="U728">
        <v>29</v>
      </c>
      <c r="V728" t="s">
        <v>6723</v>
      </c>
      <c r="W728">
        <v>64228</v>
      </c>
      <c r="X728" t="s">
        <v>7112</v>
      </c>
      <c r="Y728">
        <v>49923</v>
      </c>
      <c r="Z728">
        <v>1862612</v>
      </c>
      <c r="AA728">
        <v>414845</v>
      </c>
      <c r="AB728" t="str">
        <f>(VLOOKUP(SalesData[[#This Row],[Month Number]],Reference!C$5:E$16,2,FALSE))</f>
        <v>Feb</v>
      </c>
      <c r="AC728">
        <f>MONTH(SalesData[[#This Row],[Date]])</f>
        <v>2</v>
      </c>
      <c r="AD728">
        <f>Reference!F$4</f>
        <v>2026</v>
      </c>
      <c r="AE728" t="str">
        <f>IF(OR(SalesData[[#This Row],[Day]]="Saturday",SalesData[[#This Row],[Day]]="Sunday"),"Weekend","Weekday")</f>
        <v>Weekday</v>
      </c>
      <c r="AF728" s="5">
        <f>IF(SalesData[[#This Row],[Contracts Offered]]=0,0,SalesData[[#This Row],[Contracts Signed]]/SalesData[[#This Row],[Contracts Offered]])</f>
        <v>0.36708860759493672</v>
      </c>
      <c r="AG728" s="5">
        <f>IF(SalesData[[#This Row],[Customers Visited]]=0,0,SalesData[[#This Row],[Test Drives]]/SalesData[[#This Row],[Customers Visited]])</f>
        <v>0.54210526315789476</v>
      </c>
      <c r="AH728" s="5">
        <f>IF(SalesData[[#This Row],[Customers Visited]]=0,0,SalesData[[#This Row],[Contracts Signed]]/SalesData[[#This Row],[Customers Visited]])</f>
        <v>0.15263157894736842</v>
      </c>
      <c r="AI728" s="6">
        <f>IF(SalesData[[#This Row],[Contracts Signed]]=0,0,SalesData[[#This Row],[Profit(€)]]/SalesData[[#This Row],[Contracts Signed]])</f>
        <v>14305</v>
      </c>
      <c r="AJ728" s="5" t="str">
        <f>TRIM(CLEAN(SalesData[[#This Row],[Retailer]]))</f>
        <v>Saxon Wheels</v>
      </c>
    </row>
    <row r="729" spans="1:36" ht="14.25" hidden="1" x14ac:dyDescent="0.2">
      <c r="A729" t="s">
        <v>1341</v>
      </c>
      <c r="B729" s="1">
        <v>46074</v>
      </c>
      <c r="C729" t="s">
        <v>62</v>
      </c>
      <c r="D729" t="s">
        <v>151</v>
      </c>
      <c r="E729" t="s">
        <v>42</v>
      </c>
      <c r="F729" t="s">
        <v>127</v>
      </c>
      <c r="G729" t="s">
        <v>128</v>
      </c>
      <c r="H729" t="s">
        <v>103</v>
      </c>
      <c r="I729" t="s">
        <v>64</v>
      </c>
      <c r="J729" t="s">
        <v>111</v>
      </c>
      <c r="K729" t="s">
        <v>91</v>
      </c>
      <c r="L729" t="s">
        <v>46</v>
      </c>
      <c r="M729" t="s">
        <v>34</v>
      </c>
      <c r="N729" t="s">
        <v>35</v>
      </c>
      <c r="O729" t="s">
        <v>36</v>
      </c>
      <c r="P729" t="s">
        <v>37</v>
      </c>
      <c r="Q729" t="s">
        <v>88</v>
      </c>
      <c r="R729">
        <v>150</v>
      </c>
      <c r="S729">
        <v>69</v>
      </c>
      <c r="T729">
        <v>55</v>
      </c>
      <c r="U729">
        <v>15</v>
      </c>
      <c r="V729" t="s">
        <v>6379</v>
      </c>
      <c r="W729">
        <v>72798</v>
      </c>
      <c r="X729" t="s">
        <v>7301</v>
      </c>
      <c r="Y729">
        <v>53823</v>
      </c>
      <c r="Z729">
        <v>1091970</v>
      </c>
      <c r="AA729">
        <v>284625</v>
      </c>
      <c r="AB729" t="str">
        <f>(VLOOKUP(SalesData[[#This Row],[Month Number]],Reference!C$5:E$16,2,FALSE))</f>
        <v>Feb</v>
      </c>
      <c r="AC729">
        <f>MONTH(SalesData[[#This Row],[Date]])</f>
        <v>2</v>
      </c>
      <c r="AD729">
        <f>Reference!F$4</f>
        <v>2026</v>
      </c>
      <c r="AE729" t="str">
        <f>IF(OR(SalesData[[#This Row],[Day]]="Saturday",SalesData[[#This Row],[Day]]="Sunday"),"Weekend","Weekday")</f>
        <v>Weekend</v>
      </c>
      <c r="AF729" s="5">
        <f>IF(SalesData[[#This Row],[Contracts Offered]]=0,0,SalesData[[#This Row],[Contracts Signed]]/SalesData[[#This Row],[Contracts Offered]])</f>
        <v>0.27272727272727271</v>
      </c>
      <c r="AG729" s="5">
        <f>IF(SalesData[[#This Row],[Customers Visited]]=0,0,SalesData[[#This Row],[Test Drives]]/SalesData[[#This Row],[Customers Visited]])</f>
        <v>0.46</v>
      </c>
      <c r="AH729" s="5">
        <f>IF(SalesData[[#This Row],[Customers Visited]]=0,0,SalesData[[#This Row],[Contracts Signed]]/SalesData[[#This Row],[Customers Visited]])</f>
        <v>0.1</v>
      </c>
      <c r="AI729" s="6">
        <f>IF(SalesData[[#This Row],[Contracts Signed]]=0,0,SalesData[[#This Row],[Profit(€)]]/SalesData[[#This Row],[Contracts Signed]])</f>
        <v>18975</v>
      </c>
      <c r="AJ729" s="5" t="str">
        <f>TRIM(CLEAN(SalesData[[#This Row],[Retailer]]))</f>
        <v>Rhein Auto Group</v>
      </c>
    </row>
    <row r="730" spans="1:36" ht="14.25" hidden="1" x14ac:dyDescent="0.2">
      <c r="A730" t="s">
        <v>1343</v>
      </c>
      <c r="B730" s="1">
        <v>46058</v>
      </c>
      <c r="C730" t="s">
        <v>24</v>
      </c>
      <c r="D730" t="s">
        <v>100</v>
      </c>
      <c r="E730" t="s">
        <v>26</v>
      </c>
      <c r="F730" t="s">
        <v>43</v>
      </c>
      <c r="G730" t="s">
        <v>44</v>
      </c>
      <c r="H730" t="s">
        <v>45</v>
      </c>
      <c r="I730" t="s">
        <v>56</v>
      </c>
      <c r="J730" t="s">
        <v>7028</v>
      </c>
      <c r="K730" t="s">
        <v>91</v>
      </c>
      <c r="L730" t="s">
        <v>46</v>
      </c>
      <c r="M730" t="s">
        <v>68</v>
      </c>
      <c r="N730" t="s">
        <v>35</v>
      </c>
      <c r="O730" t="s">
        <v>70</v>
      </c>
      <c r="P730" t="s">
        <v>58</v>
      </c>
      <c r="Q730" t="s">
        <v>189</v>
      </c>
      <c r="R730">
        <v>192</v>
      </c>
      <c r="S730">
        <v>114</v>
      </c>
      <c r="T730">
        <v>80</v>
      </c>
      <c r="U730">
        <v>29</v>
      </c>
      <c r="V730" t="s">
        <v>6596</v>
      </c>
      <c r="W730">
        <v>44417</v>
      </c>
      <c r="X730" t="s">
        <v>554</v>
      </c>
      <c r="Y730">
        <v>35060</v>
      </c>
      <c r="Z730">
        <v>1288093</v>
      </c>
      <c r="AA730">
        <v>271353</v>
      </c>
      <c r="AB730" t="str">
        <f>(VLOOKUP(SalesData[[#This Row],[Month Number]],Reference!C$5:E$16,2,FALSE))</f>
        <v>Feb</v>
      </c>
      <c r="AC730">
        <f>MONTH(SalesData[[#This Row],[Date]])</f>
        <v>2</v>
      </c>
      <c r="AD730">
        <f>Reference!F$4</f>
        <v>2026</v>
      </c>
      <c r="AE730" t="str">
        <f>IF(OR(SalesData[[#This Row],[Day]]="Saturday",SalesData[[#This Row],[Day]]="Sunday"),"Weekend","Weekday")</f>
        <v>Weekday</v>
      </c>
      <c r="AF730" s="5">
        <f>IF(SalesData[[#This Row],[Contracts Offered]]=0,0,SalesData[[#This Row],[Contracts Signed]]/SalesData[[#This Row],[Contracts Offered]])</f>
        <v>0.36249999999999999</v>
      </c>
      <c r="AG730" s="5">
        <f>IF(SalesData[[#This Row],[Customers Visited]]=0,0,SalesData[[#This Row],[Test Drives]]/SalesData[[#This Row],[Customers Visited]])</f>
        <v>0.59375</v>
      </c>
      <c r="AH730" s="5">
        <f>IF(SalesData[[#This Row],[Customers Visited]]=0,0,SalesData[[#This Row],[Contracts Signed]]/SalesData[[#This Row],[Customers Visited]])</f>
        <v>0.15104166666666666</v>
      </c>
      <c r="AI730" s="6">
        <f>IF(SalesData[[#This Row],[Contracts Signed]]=0,0,SalesData[[#This Row],[Profit(€)]]/SalesData[[#This Row],[Contracts Signed]])</f>
        <v>9357</v>
      </c>
      <c r="AJ730" s="5" t="str">
        <f>TRIM(CLEAN(SalesData[[#This Row],[Retailer]]))</f>
        <v>Saxon Wheels</v>
      </c>
    </row>
    <row r="731" spans="1:36" ht="14.25" hidden="1" x14ac:dyDescent="0.2">
      <c r="A731" t="s">
        <v>1344</v>
      </c>
      <c r="B731" s="1">
        <v>46064</v>
      </c>
      <c r="C731" t="s">
        <v>121</v>
      </c>
      <c r="D731" t="s">
        <v>82</v>
      </c>
      <c r="E731" t="s">
        <v>26</v>
      </c>
      <c r="F731" t="s">
        <v>94</v>
      </c>
      <c r="G731" t="s">
        <v>95</v>
      </c>
      <c r="H731" t="s">
        <v>96</v>
      </c>
      <c r="I731" t="s">
        <v>116</v>
      </c>
      <c r="J731" t="s">
        <v>203</v>
      </c>
      <c r="K731" t="s">
        <v>66</v>
      </c>
      <c r="L731" t="s">
        <v>67</v>
      </c>
      <c r="M731" t="s">
        <v>47</v>
      </c>
      <c r="N731" t="s">
        <v>69</v>
      </c>
      <c r="O731" t="s">
        <v>36</v>
      </c>
      <c r="P731" t="s">
        <v>37</v>
      </c>
      <c r="Q731" t="s">
        <v>59</v>
      </c>
      <c r="R731">
        <v>269</v>
      </c>
      <c r="S731">
        <v>137</v>
      </c>
      <c r="T731">
        <v>91</v>
      </c>
      <c r="U731">
        <v>25</v>
      </c>
      <c r="V731" t="s">
        <v>2360</v>
      </c>
      <c r="W731">
        <v>20969</v>
      </c>
      <c r="X731" t="s">
        <v>1802</v>
      </c>
      <c r="Y731">
        <v>19204</v>
      </c>
      <c r="Z731">
        <v>524225</v>
      </c>
      <c r="AA731">
        <v>44125</v>
      </c>
      <c r="AB731" t="str">
        <f>(VLOOKUP(SalesData[[#This Row],[Month Number]],Reference!C$5:E$16,2,FALSE))</f>
        <v>Feb</v>
      </c>
      <c r="AC731">
        <f>MONTH(SalesData[[#This Row],[Date]])</f>
        <v>2</v>
      </c>
      <c r="AD731">
        <f>Reference!F$4</f>
        <v>2026</v>
      </c>
      <c r="AE731" t="str">
        <f>IF(OR(SalesData[[#This Row],[Day]]="Saturday",SalesData[[#This Row],[Day]]="Sunday"),"Weekend","Weekday")</f>
        <v>Weekday</v>
      </c>
      <c r="AF731" s="5">
        <f>IF(SalesData[[#This Row],[Contracts Offered]]=0,0,SalesData[[#This Row],[Contracts Signed]]/SalesData[[#This Row],[Contracts Offered]])</f>
        <v>0.27472527472527475</v>
      </c>
      <c r="AG731" s="5">
        <f>IF(SalesData[[#This Row],[Customers Visited]]=0,0,SalesData[[#This Row],[Test Drives]]/SalesData[[#This Row],[Customers Visited]])</f>
        <v>0.50929368029739774</v>
      </c>
      <c r="AH731" s="5">
        <f>IF(SalesData[[#This Row],[Customers Visited]]=0,0,SalesData[[#This Row],[Contracts Signed]]/SalesData[[#This Row],[Customers Visited]])</f>
        <v>9.2936802973977689E-2</v>
      </c>
      <c r="AI731" s="6">
        <f>IF(SalesData[[#This Row],[Contracts Signed]]=0,0,SalesData[[#This Row],[Profit(€)]]/SalesData[[#This Row],[Contracts Signed]])</f>
        <v>1765</v>
      </c>
      <c r="AJ731" s="5" t="str">
        <f>TRIM(CLEAN(SalesData[[#This Row],[Retailer]]))</f>
        <v>Bavaria Motors</v>
      </c>
    </row>
    <row r="732" spans="1:36" ht="14.25" hidden="1" x14ac:dyDescent="0.2">
      <c r="A732" t="s">
        <v>1345</v>
      </c>
      <c r="B732" s="1">
        <v>46070</v>
      </c>
      <c r="C732" t="s">
        <v>62</v>
      </c>
      <c r="D732" t="s">
        <v>63</v>
      </c>
      <c r="E732" t="s">
        <v>26</v>
      </c>
      <c r="F732" t="s">
        <v>127</v>
      </c>
      <c r="G732" t="s">
        <v>128</v>
      </c>
      <c r="H732" t="s">
        <v>103</v>
      </c>
      <c r="I732" t="s">
        <v>64</v>
      </c>
      <c r="J732" t="s">
        <v>111</v>
      </c>
      <c r="K732" t="s">
        <v>66</v>
      </c>
      <c r="L732" t="s">
        <v>46</v>
      </c>
      <c r="M732" t="s">
        <v>68</v>
      </c>
      <c r="N732" t="s">
        <v>69</v>
      </c>
      <c r="O732" t="s">
        <v>36</v>
      </c>
      <c r="P732" t="s">
        <v>49</v>
      </c>
      <c r="Q732" t="s">
        <v>189</v>
      </c>
      <c r="R732">
        <v>199</v>
      </c>
      <c r="S732">
        <v>116</v>
      </c>
      <c r="T732">
        <v>91</v>
      </c>
      <c r="U732">
        <v>31</v>
      </c>
      <c r="V732" t="s">
        <v>6607</v>
      </c>
      <c r="W732">
        <v>53636</v>
      </c>
      <c r="X732" t="s">
        <v>7104</v>
      </c>
      <c r="Y732">
        <v>40400</v>
      </c>
      <c r="Z732">
        <v>1662716</v>
      </c>
      <c r="AA732">
        <v>410316</v>
      </c>
      <c r="AB732" t="str">
        <f>(VLOOKUP(SalesData[[#This Row],[Month Number]],Reference!C$5:E$16,2,FALSE))</f>
        <v>Feb</v>
      </c>
      <c r="AC732">
        <f>MONTH(SalesData[[#This Row],[Date]])</f>
        <v>2</v>
      </c>
      <c r="AD732">
        <f>Reference!F$4</f>
        <v>2026</v>
      </c>
      <c r="AE732" t="str">
        <f>IF(OR(SalesData[[#This Row],[Day]]="Saturday",SalesData[[#This Row],[Day]]="Sunday"),"Weekend","Weekday")</f>
        <v>Weekday</v>
      </c>
      <c r="AF732" s="5">
        <f>IF(SalesData[[#This Row],[Contracts Offered]]=0,0,SalesData[[#This Row],[Contracts Signed]]/SalesData[[#This Row],[Contracts Offered]])</f>
        <v>0.34065934065934067</v>
      </c>
      <c r="AG732" s="5">
        <f>IF(SalesData[[#This Row],[Customers Visited]]=0,0,SalesData[[#This Row],[Test Drives]]/SalesData[[#This Row],[Customers Visited]])</f>
        <v>0.58291457286432158</v>
      </c>
      <c r="AH732" s="5">
        <f>IF(SalesData[[#This Row],[Customers Visited]]=0,0,SalesData[[#This Row],[Contracts Signed]]/SalesData[[#This Row],[Customers Visited]])</f>
        <v>0.15577889447236182</v>
      </c>
      <c r="AI732" s="6">
        <f>IF(SalesData[[#This Row],[Contracts Signed]]=0,0,SalesData[[#This Row],[Profit(€)]]/SalesData[[#This Row],[Contracts Signed]])</f>
        <v>13236</v>
      </c>
      <c r="AJ732" s="5" t="str">
        <f>TRIM(CLEAN(SalesData[[#This Row],[Retailer]]))</f>
        <v>Rhein Auto Group</v>
      </c>
    </row>
    <row r="733" spans="1:36" ht="14.25" hidden="1" x14ac:dyDescent="0.2">
      <c r="A733" t="s">
        <v>1346</v>
      </c>
      <c r="B733" s="1">
        <v>46059</v>
      </c>
      <c r="C733" t="s">
        <v>24</v>
      </c>
      <c r="D733" t="s">
        <v>54</v>
      </c>
      <c r="E733" t="s">
        <v>26</v>
      </c>
      <c r="F733" t="s">
        <v>109</v>
      </c>
      <c r="G733" t="s">
        <v>110</v>
      </c>
      <c r="H733" t="s">
        <v>45</v>
      </c>
      <c r="I733" t="s">
        <v>64</v>
      </c>
      <c r="J733" t="s">
        <v>65</v>
      </c>
      <c r="K733" t="s">
        <v>32</v>
      </c>
      <c r="L733" t="s">
        <v>33</v>
      </c>
      <c r="M733" t="s">
        <v>68</v>
      </c>
      <c r="N733" t="s">
        <v>35</v>
      </c>
      <c r="O733" t="s">
        <v>70</v>
      </c>
      <c r="P733" t="s">
        <v>58</v>
      </c>
      <c r="Q733" t="s">
        <v>59</v>
      </c>
      <c r="R733">
        <v>250</v>
      </c>
      <c r="S733">
        <v>143</v>
      </c>
      <c r="T733">
        <v>105</v>
      </c>
      <c r="U733">
        <v>35</v>
      </c>
      <c r="V733" t="s">
        <v>6459</v>
      </c>
      <c r="W733">
        <v>67845</v>
      </c>
      <c r="X733" t="s">
        <v>7111</v>
      </c>
      <c r="Y733">
        <v>48236</v>
      </c>
      <c r="Z733">
        <v>2374575</v>
      </c>
      <c r="AA733">
        <v>686315</v>
      </c>
      <c r="AB733" t="str">
        <f>(VLOOKUP(SalesData[[#This Row],[Month Number]],Reference!C$5:E$16,2,FALSE))</f>
        <v>Feb</v>
      </c>
      <c r="AC733">
        <f>MONTH(SalesData[[#This Row],[Date]])</f>
        <v>2</v>
      </c>
      <c r="AD733">
        <f>Reference!F$4</f>
        <v>2026</v>
      </c>
      <c r="AE733" t="str">
        <f>IF(OR(SalesData[[#This Row],[Day]]="Saturday",SalesData[[#This Row],[Day]]="Sunday"),"Weekend","Weekday")</f>
        <v>Weekday</v>
      </c>
      <c r="AF733" s="5">
        <f>IF(SalesData[[#This Row],[Contracts Offered]]=0,0,SalesData[[#This Row],[Contracts Signed]]/SalesData[[#This Row],[Contracts Offered]])</f>
        <v>0.33333333333333331</v>
      </c>
      <c r="AG733" s="5">
        <f>IF(SalesData[[#This Row],[Customers Visited]]=0,0,SalesData[[#This Row],[Test Drives]]/SalesData[[#This Row],[Customers Visited]])</f>
        <v>0.57199999999999995</v>
      </c>
      <c r="AH733" s="5">
        <f>IF(SalesData[[#This Row],[Customers Visited]]=0,0,SalesData[[#This Row],[Contracts Signed]]/SalesData[[#This Row],[Customers Visited]])</f>
        <v>0.14000000000000001</v>
      </c>
      <c r="AI733" s="6">
        <f>IF(SalesData[[#This Row],[Contracts Signed]]=0,0,SalesData[[#This Row],[Profit(€)]]/SalesData[[#This Row],[Contracts Signed]])</f>
        <v>19609</v>
      </c>
      <c r="AJ733" s="5" t="str">
        <f>TRIM(CLEAN(SalesData[[#This Row],[Retailer]]))</f>
        <v>Leipzig Mobility</v>
      </c>
    </row>
    <row r="734" spans="1:36" ht="14.25" hidden="1" x14ac:dyDescent="0.2">
      <c r="A734" t="s">
        <v>1348</v>
      </c>
      <c r="B734" s="1">
        <v>46077</v>
      </c>
      <c r="C734" t="s">
        <v>53</v>
      </c>
      <c r="D734" t="s">
        <v>63</v>
      </c>
      <c r="E734" t="s">
        <v>26</v>
      </c>
      <c r="F734" t="s">
        <v>94</v>
      </c>
      <c r="G734" t="s">
        <v>95</v>
      </c>
      <c r="H734" t="s">
        <v>96</v>
      </c>
      <c r="I734" t="s">
        <v>56</v>
      </c>
      <c r="J734" t="s">
        <v>57</v>
      </c>
      <c r="K734" t="s">
        <v>32</v>
      </c>
      <c r="L734" t="s">
        <v>46</v>
      </c>
      <c r="M734" t="s">
        <v>47</v>
      </c>
      <c r="N734" t="s">
        <v>69</v>
      </c>
      <c r="O734" t="s">
        <v>36</v>
      </c>
      <c r="P734" t="s">
        <v>71</v>
      </c>
      <c r="Q734" t="s">
        <v>347</v>
      </c>
      <c r="R734">
        <v>187</v>
      </c>
      <c r="S734">
        <v>99</v>
      </c>
      <c r="T734">
        <v>72</v>
      </c>
      <c r="U734">
        <v>27</v>
      </c>
      <c r="V734" t="s">
        <v>6483</v>
      </c>
      <c r="W734">
        <v>48912</v>
      </c>
      <c r="X734" t="s">
        <v>4461</v>
      </c>
      <c r="Y734">
        <v>37055</v>
      </c>
      <c r="Z734">
        <v>1320624</v>
      </c>
      <c r="AA734">
        <v>320139</v>
      </c>
      <c r="AB734" t="str">
        <f>(VLOOKUP(SalesData[[#This Row],[Month Number]],Reference!C$5:E$16,2,FALSE))</f>
        <v>Feb</v>
      </c>
      <c r="AC734">
        <f>MONTH(SalesData[[#This Row],[Date]])</f>
        <v>2</v>
      </c>
      <c r="AD734">
        <f>Reference!F$4</f>
        <v>2026</v>
      </c>
      <c r="AE734" t="str">
        <f>IF(OR(SalesData[[#This Row],[Day]]="Saturday",SalesData[[#This Row],[Day]]="Sunday"),"Weekend","Weekday")</f>
        <v>Weekday</v>
      </c>
      <c r="AF734" s="5">
        <f>IF(SalesData[[#This Row],[Contracts Offered]]=0,0,SalesData[[#This Row],[Contracts Signed]]/SalesData[[#This Row],[Contracts Offered]])</f>
        <v>0.375</v>
      </c>
      <c r="AG734" s="5">
        <f>IF(SalesData[[#This Row],[Customers Visited]]=0,0,SalesData[[#This Row],[Test Drives]]/SalesData[[#This Row],[Customers Visited]])</f>
        <v>0.52941176470588236</v>
      </c>
      <c r="AH734" s="5">
        <f>IF(SalesData[[#This Row],[Customers Visited]]=0,0,SalesData[[#This Row],[Contracts Signed]]/SalesData[[#This Row],[Customers Visited]])</f>
        <v>0.14438502673796791</v>
      </c>
      <c r="AI734" s="6">
        <f>IF(SalesData[[#This Row],[Contracts Signed]]=0,0,SalesData[[#This Row],[Profit(€)]]/SalesData[[#This Row],[Contracts Signed]])</f>
        <v>11857</v>
      </c>
      <c r="AJ734" s="5" t="str">
        <f>TRIM(CLEAN(SalesData[[#This Row],[Retailer]]))</f>
        <v>Bavaria Motors</v>
      </c>
    </row>
    <row r="735" spans="1:36" ht="14.25" x14ac:dyDescent="0.2">
      <c r="A735" t="s">
        <v>1350</v>
      </c>
      <c r="B735" s="1">
        <v>46066</v>
      </c>
      <c r="C735" t="s">
        <v>121</v>
      </c>
      <c r="D735" t="s">
        <v>54</v>
      </c>
      <c r="E735" t="s">
        <v>26</v>
      </c>
      <c r="F735" t="s">
        <v>74</v>
      </c>
      <c r="G735" t="s">
        <v>75</v>
      </c>
      <c r="H735" t="s">
        <v>76</v>
      </c>
      <c r="I735" t="s">
        <v>30</v>
      </c>
      <c r="J735" t="s">
        <v>86</v>
      </c>
      <c r="K735" t="s">
        <v>32</v>
      </c>
      <c r="L735" t="s">
        <v>33</v>
      </c>
      <c r="M735" t="s">
        <v>68</v>
      </c>
      <c r="N735" t="s">
        <v>48</v>
      </c>
      <c r="O735" t="s">
        <v>70</v>
      </c>
      <c r="P735" t="s">
        <v>37</v>
      </c>
      <c r="Q735" t="s">
        <v>129</v>
      </c>
      <c r="R735">
        <v>246</v>
      </c>
      <c r="S735">
        <v>124</v>
      </c>
      <c r="T735">
        <v>100</v>
      </c>
      <c r="U735">
        <v>35</v>
      </c>
      <c r="V735" t="s">
        <v>6860</v>
      </c>
      <c r="W735">
        <v>65341</v>
      </c>
      <c r="X735" t="s">
        <v>1677</v>
      </c>
      <c r="Y735">
        <v>47794</v>
      </c>
      <c r="Z735">
        <v>2286935</v>
      </c>
      <c r="AA735">
        <v>614145</v>
      </c>
      <c r="AB735" t="str">
        <f>(VLOOKUP(SalesData[[#This Row],[Month Number]],Reference!C$5:E$16,2,FALSE))</f>
        <v>Feb</v>
      </c>
      <c r="AC735">
        <f>MONTH(SalesData[[#This Row],[Date]])</f>
        <v>2</v>
      </c>
      <c r="AD735">
        <f>Reference!F$4</f>
        <v>2026</v>
      </c>
      <c r="AE735" t="str">
        <f>IF(OR(SalesData[[#This Row],[Day]]="Saturday",SalesData[[#This Row],[Day]]="Sunday"),"Weekend","Weekday")</f>
        <v>Weekday</v>
      </c>
      <c r="AF735" s="5">
        <f>IF(SalesData[[#This Row],[Contracts Offered]]=0,0,SalesData[[#This Row],[Contracts Signed]]/SalesData[[#This Row],[Contracts Offered]])</f>
        <v>0.35</v>
      </c>
      <c r="AG735" s="5">
        <f>IF(SalesData[[#This Row],[Customers Visited]]=0,0,SalesData[[#This Row],[Test Drives]]/SalesData[[#This Row],[Customers Visited]])</f>
        <v>0.50406504065040647</v>
      </c>
      <c r="AH735" s="5">
        <f>IF(SalesData[[#This Row],[Customers Visited]]=0,0,SalesData[[#This Row],[Contracts Signed]]/SalesData[[#This Row],[Customers Visited]])</f>
        <v>0.14227642276422764</v>
      </c>
      <c r="AI735" s="6">
        <f>IF(SalesData[[#This Row],[Contracts Signed]]=0,0,SalesData[[#This Row],[Profit(€)]]/SalesData[[#This Row],[Contracts Signed]])</f>
        <v>17547</v>
      </c>
      <c r="AJ735" s="5" t="str">
        <f>TRIM(CLEAN(SalesData[[#This Row],[Retailer]]))</f>
        <v>Stuttgart Auto Center</v>
      </c>
    </row>
    <row r="736" spans="1:36" ht="14.25" hidden="1" x14ac:dyDescent="0.2">
      <c r="A736" t="s">
        <v>1352</v>
      </c>
      <c r="B736" s="1">
        <v>46072</v>
      </c>
      <c r="C736" t="s">
        <v>62</v>
      </c>
      <c r="D736" t="s">
        <v>100</v>
      </c>
      <c r="E736" t="s">
        <v>26</v>
      </c>
      <c r="F736" t="s">
        <v>109</v>
      </c>
      <c r="G736" t="s">
        <v>110</v>
      </c>
      <c r="H736" t="s">
        <v>45</v>
      </c>
      <c r="I736" t="s">
        <v>64</v>
      </c>
      <c r="J736" t="s">
        <v>157</v>
      </c>
      <c r="K736" t="s">
        <v>91</v>
      </c>
      <c r="L736" t="s">
        <v>33</v>
      </c>
      <c r="M736" t="s">
        <v>68</v>
      </c>
      <c r="N736" t="s">
        <v>35</v>
      </c>
      <c r="O736" t="s">
        <v>36</v>
      </c>
      <c r="P736" t="s">
        <v>58</v>
      </c>
      <c r="Q736" t="s">
        <v>204</v>
      </c>
      <c r="R736">
        <v>183</v>
      </c>
      <c r="S736">
        <v>83</v>
      </c>
      <c r="T736">
        <v>56</v>
      </c>
      <c r="U736">
        <v>22</v>
      </c>
      <c r="V736" t="s">
        <v>6606</v>
      </c>
      <c r="W736">
        <v>60941</v>
      </c>
      <c r="X736" t="s">
        <v>7302</v>
      </c>
      <c r="Y736">
        <v>44705</v>
      </c>
      <c r="Z736">
        <v>1340702</v>
      </c>
      <c r="AA736">
        <v>357192</v>
      </c>
      <c r="AB736" t="str">
        <f>(VLOOKUP(SalesData[[#This Row],[Month Number]],Reference!C$5:E$16,2,FALSE))</f>
        <v>Feb</v>
      </c>
      <c r="AC736">
        <f>MONTH(SalesData[[#This Row],[Date]])</f>
        <v>2</v>
      </c>
      <c r="AD736">
        <f>Reference!F$4</f>
        <v>2026</v>
      </c>
      <c r="AE736" t="str">
        <f>IF(OR(SalesData[[#This Row],[Day]]="Saturday",SalesData[[#This Row],[Day]]="Sunday"),"Weekend","Weekday")</f>
        <v>Weekday</v>
      </c>
      <c r="AF736" s="5">
        <f>IF(SalesData[[#This Row],[Contracts Offered]]=0,0,SalesData[[#This Row],[Contracts Signed]]/SalesData[[#This Row],[Contracts Offered]])</f>
        <v>0.39285714285714285</v>
      </c>
      <c r="AG736" s="5">
        <f>IF(SalesData[[#This Row],[Customers Visited]]=0,0,SalesData[[#This Row],[Test Drives]]/SalesData[[#This Row],[Customers Visited]])</f>
        <v>0.45355191256830601</v>
      </c>
      <c r="AH736" s="5">
        <f>IF(SalesData[[#This Row],[Customers Visited]]=0,0,SalesData[[#This Row],[Contracts Signed]]/SalesData[[#This Row],[Customers Visited]])</f>
        <v>0.12021857923497267</v>
      </c>
      <c r="AI736" s="6">
        <f>IF(SalesData[[#This Row],[Contracts Signed]]=0,0,SalesData[[#This Row],[Profit(€)]]/SalesData[[#This Row],[Contracts Signed]])</f>
        <v>16236</v>
      </c>
      <c r="AJ736" s="5" t="str">
        <f>TRIM(CLEAN(SalesData[[#This Row],[Retailer]]))</f>
        <v>Leipzig Mobility</v>
      </c>
    </row>
    <row r="737" spans="1:36" ht="14.25" hidden="1" x14ac:dyDescent="0.2">
      <c r="A737" t="s">
        <v>1353</v>
      </c>
      <c r="B737" s="1">
        <v>46078</v>
      </c>
      <c r="C737" t="s">
        <v>53</v>
      </c>
      <c r="D737" t="s">
        <v>82</v>
      </c>
      <c r="E737" t="s">
        <v>26</v>
      </c>
      <c r="F737" t="s">
        <v>109</v>
      </c>
      <c r="G737" t="s">
        <v>110</v>
      </c>
      <c r="H737" t="s">
        <v>45</v>
      </c>
      <c r="I737" t="s">
        <v>56</v>
      </c>
      <c r="J737" t="s">
        <v>7028</v>
      </c>
      <c r="K737" t="s">
        <v>91</v>
      </c>
      <c r="L737" t="s">
        <v>46</v>
      </c>
      <c r="M737" t="s">
        <v>68</v>
      </c>
      <c r="N737" t="s">
        <v>69</v>
      </c>
      <c r="O737" t="s">
        <v>36</v>
      </c>
      <c r="P737" t="s">
        <v>37</v>
      </c>
      <c r="Q737" t="s">
        <v>122</v>
      </c>
      <c r="R737">
        <v>289</v>
      </c>
      <c r="S737">
        <v>137</v>
      </c>
      <c r="T737">
        <v>87</v>
      </c>
      <c r="U737">
        <v>31</v>
      </c>
      <c r="V737" t="s">
        <v>6401</v>
      </c>
      <c r="W737">
        <v>47870</v>
      </c>
      <c r="X737" t="s">
        <v>4223</v>
      </c>
      <c r="Y737">
        <v>37525</v>
      </c>
      <c r="Z737">
        <v>1483970</v>
      </c>
      <c r="AA737">
        <v>320695</v>
      </c>
      <c r="AB737" t="str">
        <f>(VLOOKUP(SalesData[[#This Row],[Month Number]],Reference!C$5:E$16,2,FALSE))</f>
        <v>Feb</v>
      </c>
      <c r="AC737">
        <f>MONTH(SalesData[[#This Row],[Date]])</f>
        <v>2</v>
      </c>
      <c r="AD737">
        <f>Reference!F$4</f>
        <v>2026</v>
      </c>
      <c r="AE737" t="str">
        <f>IF(OR(SalesData[[#This Row],[Day]]="Saturday",SalesData[[#This Row],[Day]]="Sunday"),"Weekend","Weekday")</f>
        <v>Weekday</v>
      </c>
      <c r="AF737" s="5">
        <f>IF(SalesData[[#This Row],[Contracts Offered]]=0,0,SalesData[[#This Row],[Contracts Signed]]/SalesData[[#This Row],[Contracts Offered]])</f>
        <v>0.35632183908045978</v>
      </c>
      <c r="AG737" s="5">
        <f>IF(SalesData[[#This Row],[Customers Visited]]=0,0,SalesData[[#This Row],[Test Drives]]/SalesData[[#This Row],[Customers Visited]])</f>
        <v>0.47404844290657439</v>
      </c>
      <c r="AH737" s="5">
        <f>IF(SalesData[[#This Row],[Customers Visited]]=0,0,SalesData[[#This Row],[Contracts Signed]]/SalesData[[#This Row],[Customers Visited]])</f>
        <v>0.10726643598615918</v>
      </c>
      <c r="AI737" s="6">
        <f>IF(SalesData[[#This Row],[Contracts Signed]]=0,0,SalesData[[#This Row],[Profit(€)]]/SalesData[[#This Row],[Contracts Signed]])</f>
        <v>10345</v>
      </c>
      <c r="AJ737" s="5" t="str">
        <f>TRIM(CLEAN(SalesData[[#This Row],[Retailer]]))</f>
        <v>Leipzig Mobility</v>
      </c>
    </row>
    <row r="738" spans="1:36" ht="14.25" x14ac:dyDescent="0.2">
      <c r="A738" t="s">
        <v>1354</v>
      </c>
      <c r="B738" s="1">
        <v>46075</v>
      </c>
      <c r="C738" t="s">
        <v>53</v>
      </c>
      <c r="D738" t="s">
        <v>41</v>
      </c>
      <c r="E738" t="s">
        <v>42</v>
      </c>
      <c r="F738" t="s">
        <v>94</v>
      </c>
      <c r="G738" t="s">
        <v>95</v>
      </c>
      <c r="H738" t="s">
        <v>96</v>
      </c>
      <c r="I738" t="s">
        <v>30</v>
      </c>
      <c r="J738" t="s">
        <v>86</v>
      </c>
      <c r="K738" t="s">
        <v>91</v>
      </c>
      <c r="L738" t="s">
        <v>33</v>
      </c>
      <c r="M738" t="s">
        <v>68</v>
      </c>
      <c r="N738" t="s">
        <v>35</v>
      </c>
      <c r="O738" t="s">
        <v>70</v>
      </c>
      <c r="P738" t="s">
        <v>49</v>
      </c>
      <c r="Q738" t="s">
        <v>158</v>
      </c>
      <c r="R738">
        <v>209</v>
      </c>
      <c r="S738">
        <v>118</v>
      </c>
      <c r="T738">
        <v>88</v>
      </c>
      <c r="U738">
        <v>34</v>
      </c>
      <c r="V738" t="s">
        <v>6438</v>
      </c>
      <c r="W738">
        <v>55907</v>
      </c>
      <c r="X738" t="s">
        <v>909</v>
      </c>
      <c r="Y738">
        <v>42548</v>
      </c>
      <c r="Z738">
        <v>1900838</v>
      </c>
      <c r="AA738">
        <v>454206</v>
      </c>
      <c r="AB738" t="str">
        <f>(VLOOKUP(SalesData[[#This Row],[Month Number]],Reference!C$5:E$16,2,FALSE))</f>
        <v>Feb</v>
      </c>
      <c r="AC738">
        <f>MONTH(SalesData[[#This Row],[Date]])</f>
        <v>2</v>
      </c>
      <c r="AD738">
        <f>Reference!F$4</f>
        <v>2026</v>
      </c>
      <c r="AE738" t="str">
        <f>IF(OR(SalesData[[#This Row],[Day]]="Saturday",SalesData[[#This Row],[Day]]="Sunday"),"Weekend","Weekday")</f>
        <v>Weekend</v>
      </c>
      <c r="AF738" s="5">
        <f>IF(SalesData[[#This Row],[Contracts Offered]]=0,0,SalesData[[#This Row],[Contracts Signed]]/SalesData[[#This Row],[Contracts Offered]])</f>
        <v>0.38636363636363635</v>
      </c>
      <c r="AG738" s="5">
        <f>IF(SalesData[[#This Row],[Customers Visited]]=0,0,SalesData[[#This Row],[Test Drives]]/SalesData[[#This Row],[Customers Visited]])</f>
        <v>0.56459330143540665</v>
      </c>
      <c r="AH738" s="5">
        <f>IF(SalesData[[#This Row],[Customers Visited]]=0,0,SalesData[[#This Row],[Contracts Signed]]/SalesData[[#This Row],[Customers Visited]])</f>
        <v>0.16267942583732056</v>
      </c>
      <c r="AI738" s="6">
        <f>IF(SalesData[[#This Row],[Contracts Signed]]=0,0,SalesData[[#This Row],[Profit(€)]]/SalesData[[#This Row],[Contracts Signed]])</f>
        <v>13359</v>
      </c>
      <c r="AJ738" s="5" t="str">
        <f>TRIM(CLEAN(SalesData[[#This Row],[Retailer]]))</f>
        <v>Bavaria Motors</v>
      </c>
    </row>
    <row r="739" spans="1:36" ht="14.25" hidden="1" x14ac:dyDescent="0.2">
      <c r="A739" t="s">
        <v>1356</v>
      </c>
      <c r="B739" s="1">
        <v>46075</v>
      </c>
      <c r="C739" t="s">
        <v>53</v>
      </c>
      <c r="D739" t="s">
        <v>41</v>
      </c>
      <c r="E739" t="s">
        <v>42</v>
      </c>
      <c r="F739" t="s">
        <v>127</v>
      </c>
      <c r="G739" t="s">
        <v>128</v>
      </c>
      <c r="H739" t="s">
        <v>103</v>
      </c>
      <c r="I739" t="s">
        <v>104</v>
      </c>
      <c r="J739" t="s">
        <v>143</v>
      </c>
      <c r="K739" t="s">
        <v>32</v>
      </c>
      <c r="L739" t="s">
        <v>67</v>
      </c>
      <c r="M739" t="s">
        <v>34</v>
      </c>
      <c r="N739" t="s">
        <v>69</v>
      </c>
      <c r="O739" t="s">
        <v>70</v>
      </c>
      <c r="P739" t="s">
        <v>71</v>
      </c>
      <c r="Q739" t="s">
        <v>169</v>
      </c>
      <c r="R739">
        <v>509</v>
      </c>
      <c r="S739">
        <v>247</v>
      </c>
      <c r="T739">
        <v>163</v>
      </c>
      <c r="U739">
        <v>46</v>
      </c>
      <c r="V739" t="s">
        <v>2213</v>
      </c>
      <c r="W739">
        <v>34399</v>
      </c>
      <c r="X739" t="s">
        <v>4461</v>
      </c>
      <c r="Y739">
        <v>30388</v>
      </c>
      <c r="Z739">
        <v>1582354</v>
      </c>
      <c r="AA739">
        <v>184506</v>
      </c>
      <c r="AB739" t="str">
        <f>(VLOOKUP(SalesData[[#This Row],[Month Number]],Reference!C$5:E$16,2,FALSE))</f>
        <v>Feb</v>
      </c>
      <c r="AC739">
        <f>MONTH(SalesData[[#This Row],[Date]])</f>
        <v>2</v>
      </c>
      <c r="AD739">
        <f>Reference!F$4</f>
        <v>2026</v>
      </c>
      <c r="AE739" t="str">
        <f>IF(OR(SalesData[[#This Row],[Day]]="Saturday",SalesData[[#This Row],[Day]]="Sunday"),"Weekend","Weekday")</f>
        <v>Weekend</v>
      </c>
      <c r="AF739" s="5">
        <f>IF(SalesData[[#This Row],[Contracts Offered]]=0,0,SalesData[[#This Row],[Contracts Signed]]/SalesData[[#This Row],[Contracts Offered]])</f>
        <v>0.2822085889570552</v>
      </c>
      <c r="AG739" s="5">
        <f>IF(SalesData[[#This Row],[Customers Visited]]=0,0,SalesData[[#This Row],[Test Drives]]/SalesData[[#This Row],[Customers Visited]])</f>
        <v>0.48526522593320237</v>
      </c>
      <c r="AH739" s="5">
        <f>IF(SalesData[[#This Row],[Customers Visited]]=0,0,SalesData[[#This Row],[Contracts Signed]]/SalesData[[#This Row],[Customers Visited]])</f>
        <v>9.0373280943025547E-2</v>
      </c>
      <c r="AI739" s="6">
        <f>IF(SalesData[[#This Row],[Contracts Signed]]=0,0,SalesData[[#This Row],[Profit(€)]]/SalesData[[#This Row],[Contracts Signed]])</f>
        <v>4011</v>
      </c>
      <c r="AJ739" s="5" t="str">
        <f>TRIM(CLEAN(SalesData[[#This Row],[Retailer]]))</f>
        <v>Rhein Auto Group</v>
      </c>
    </row>
    <row r="740" spans="1:36" ht="14.25" hidden="1" x14ac:dyDescent="0.2">
      <c r="A740" t="s">
        <v>1358</v>
      </c>
      <c r="B740" s="1">
        <v>46080</v>
      </c>
      <c r="C740" t="s">
        <v>53</v>
      </c>
      <c r="D740" t="s">
        <v>54</v>
      </c>
      <c r="E740" t="s">
        <v>26</v>
      </c>
      <c r="F740" t="s">
        <v>83</v>
      </c>
      <c r="G740" t="s">
        <v>84</v>
      </c>
      <c r="H740" t="s">
        <v>85</v>
      </c>
      <c r="I740" t="s">
        <v>104</v>
      </c>
      <c r="J740" t="s">
        <v>7031</v>
      </c>
      <c r="K740" t="s">
        <v>78</v>
      </c>
      <c r="L740" t="s">
        <v>46</v>
      </c>
      <c r="M740" t="s">
        <v>34</v>
      </c>
      <c r="N740" t="s">
        <v>35</v>
      </c>
      <c r="O740" t="s">
        <v>70</v>
      </c>
      <c r="P740" t="s">
        <v>71</v>
      </c>
      <c r="Q740" t="s">
        <v>118</v>
      </c>
      <c r="R740">
        <v>472</v>
      </c>
      <c r="S740">
        <v>223</v>
      </c>
      <c r="T740">
        <v>141</v>
      </c>
      <c r="U740">
        <v>41</v>
      </c>
      <c r="V740" t="s">
        <v>1228</v>
      </c>
      <c r="W740">
        <v>30712</v>
      </c>
      <c r="X740" t="s">
        <v>3980</v>
      </c>
      <c r="Y740">
        <v>27261</v>
      </c>
      <c r="Z740">
        <v>1259192</v>
      </c>
      <c r="AA740">
        <v>141491</v>
      </c>
      <c r="AB740" t="str">
        <f>(VLOOKUP(SalesData[[#This Row],[Month Number]],Reference!C$5:E$16,2,FALSE))</f>
        <v>Feb</v>
      </c>
      <c r="AC740">
        <f>MONTH(SalesData[[#This Row],[Date]])</f>
        <v>2</v>
      </c>
      <c r="AD740">
        <f>Reference!F$4</f>
        <v>2026</v>
      </c>
      <c r="AE740" t="str">
        <f>IF(OR(SalesData[[#This Row],[Day]]="Saturday",SalesData[[#This Row],[Day]]="Sunday"),"Weekend","Weekday")</f>
        <v>Weekday</v>
      </c>
      <c r="AF740" s="5">
        <f>IF(SalesData[[#This Row],[Contracts Offered]]=0,0,SalesData[[#This Row],[Contracts Signed]]/SalesData[[#This Row],[Contracts Offered]])</f>
        <v>0.29078014184397161</v>
      </c>
      <c r="AG740" s="5">
        <f>IF(SalesData[[#This Row],[Customers Visited]]=0,0,SalesData[[#This Row],[Test Drives]]/SalesData[[#This Row],[Customers Visited]])</f>
        <v>0.47245762711864409</v>
      </c>
      <c r="AH740" s="5">
        <f>IF(SalesData[[#This Row],[Customers Visited]]=0,0,SalesData[[#This Row],[Contracts Signed]]/SalesData[[#This Row],[Customers Visited]])</f>
        <v>8.6864406779661021E-2</v>
      </c>
      <c r="AI740" s="6">
        <f>IF(SalesData[[#This Row],[Contracts Signed]]=0,0,SalesData[[#This Row],[Profit(€)]]/SalesData[[#This Row],[Contracts Signed]])</f>
        <v>3451</v>
      </c>
      <c r="AJ740" s="5" t="str">
        <f>TRIM(CLEAN(SalesData[[#This Row],[Retailer]]))</f>
        <v>Hannover Cars</v>
      </c>
    </row>
    <row r="741" spans="1:36" ht="14.25" hidden="1" x14ac:dyDescent="0.2">
      <c r="A741" t="s">
        <v>1359</v>
      </c>
      <c r="B741" s="1">
        <v>46072</v>
      </c>
      <c r="C741" t="s">
        <v>62</v>
      </c>
      <c r="D741" t="s">
        <v>100</v>
      </c>
      <c r="E741" t="s">
        <v>26</v>
      </c>
      <c r="F741" t="s">
        <v>127</v>
      </c>
      <c r="G741" t="s">
        <v>128</v>
      </c>
      <c r="H741" t="s">
        <v>103</v>
      </c>
      <c r="I741" t="s">
        <v>64</v>
      </c>
      <c r="J741" t="s">
        <v>157</v>
      </c>
      <c r="K741" t="s">
        <v>32</v>
      </c>
      <c r="L741" t="s">
        <v>33</v>
      </c>
      <c r="M741" t="s">
        <v>47</v>
      </c>
      <c r="N741" t="s">
        <v>48</v>
      </c>
      <c r="O741" t="s">
        <v>70</v>
      </c>
      <c r="P741" t="s">
        <v>49</v>
      </c>
      <c r="Q741" t="s">
        <v>50</v>
      </c>
      <c r="R741">
        <v>187</v>
      </c>
      <c r="S741">
        <v>97</v>
      </c>
      <c r="T741">
        <v>70</v>
      </c>
      <c r="U741">
        <v>21</v>
      </c>
      <c r="V741" t="s">
        <v>6762</v>
      </c>
      <c r="W741">
        <v>62487</v>
      </c>
      <c r="X741" t="s">
        <v>7303</v>
      </c>
      <c r="Y741">
        <v>45068</v>
      </c>
      <c r="Z741">
        <v>1312227</v>
      </c>
      <c r="AA741">
        <v>365799</v>
      </c>
      <c r="AB741" t="str">
        <f>(VLOOKUP(SalesData[[#This Row],[Month Number]],Reference!C$5:E$16,2,FALSE))</f>
        <v>Feb</v>
      </c>
      <c r="AC741">
        <f>MONTH(SalesData[[#This Row],[Date]])</f>
        <v>2</v>
      </c>
      <c r="AD741">
        <f>Reference!F$4</f>
        <v>2026</v>
      </c>
      <c r="AE741" t="str">
        <f>IF(OR(SalesData[[#This Row],[Day]]="Saturday",SalesData[[#This Row],[Day]]="Sunday"),"Weekend","Weekday")</f>
        <v>Weekday</v>
      </c>
      <c r="AF741" s="5">
        <f>IF(SalesData[[#This Row],[Contracts Offered]]=0,0,SalesData[[#This Row],[Contracts Signed]]/SalesData[[#This Row],[Contracts Offered]])</f>
        <v>0.3</v>
      </c>
      <c r="AG741" s="5">
        <f>IF(SalesData[[#This Row],[Customers Visited]]=0,0,SalesData[[#This Row],[Test Drives]]/SalesData[[#This Row],[Customers Visited]])</f>
        <v>0.51871657754010692</v>
      </c>
      <c r="AH741" s="5">
        <f>IF(SalesData[[#This Row],[Customers Visited]]=0,0,SalesData[[#This Row],[Contracts Signed]]/SalesData[[#This Row],[Customers Visited]])</f>
        <v>0.11229946524064172</v>
      </c>
      <c r="AI741" s="6">
        <f>IF(SalesData[[#This Row],[Contracts Signed]]=0,0,SalesData[[#This Row],[Profit(€)]]/SalesData[[#This Row],[Contracts Signed]])</f>
        <v>17419</v>
      </c>
      <c r="AJ741" s="5" t="str">
        <f>TRIM(CLEAN(SalesData[[#This Row],[Retailer]]))</f>
        <v>Rhein Auto Group</v>
      </c>
    </row>
    <row r="742" spans="1:36" ht="14.25" hidden="1" x14ac:dyDescent="0.2">
      <c r="A742" t="s">
        <v>1360</v>
      </c>
      <c r="B742" s="1">
        <v>46066</v>
      </c>
      <c r="C742" t="s">
        <v>121</v>
      </c>
      <c r="D742" t="s">
        <v>54</v>
      </c>
      <c r="E742" t="s">
        <v>26</v>
      </c>
      <c r="F742" t="s">
        <v>43</v>
      </c>
      <c r="G742" t="s">
        <v>44</v>
      </c>
      <c r="H742" t="s">
        <v>45</v>
      </c>
      <c r="I742" t="s">
        <v>104</v>
      </c>
      <c r="J742" t="s">
        <v>143</v>
      </c>
      <c r="K742" t="s">
        <v>66</v>
      </c>
      <c r="L742" t="s">
        <v>67</v>
      </c>
      <c r="M742" t="s">
        <v>68</v>
      </c>
      <c r="N742" t="s">
        <v>35</v>
      </c>
      <c r="O742" t="s">
        <v>70</v>
      </c>
      <c r="P742" t="s">
        <v>71</v>
      </c>
      <c r="Q742" t="s">
        <v>50</v>
      </c>
      <c r="R742">
        <v>468</v>
      </c>
      <c r="S742">
        <v>193</v>
      </c>
      <c r="T742">
        <v>138</v>
      </c>
      <c r="U742">
        <v>27</v>
      </c>
      <c r="V742" t="s">
        <v>1505</v>
      </c>
      <c r="W742">
        <v>29453</v>
      </c>
      <c r="X742" t="s">
        <v>1064</v>
      </c>
      <c r="Y742">
        <v>25848</v>
      </c>
      <c r="Z742">
        <v>795231</v>
      </c>
      <c r="AA742">
        <v>97335</v>
      </c>
      <c r="AB742" t="str">
        <f>(VLOOKUP(SalesData[[#This Row],[Month Number]],Reference!C$5:E$16,2,FALSE))</f>
        <v>Feb</v>
      </c>
      <c r="AC742">
        <f>MONTH(SalesData[[#This Row],[Date]])</f>
        <v>2</v>
      </c>
      <c r="AD742">
        <f>Reference!F$4</f>
        <v>2026</v>
      </c>
      <c r="AE742" t="str">
        <f>IF(OR(SalesData[[#This Row],[Day]]="Saturday",SalesData[[#This Row],[Day]]="Sunday"),"Weekend","Weekday")</f>
        <v>Weekday</v>
      </c>
      <c r="AF742" s="5">
        <f>IF(SalesData[[#This Row],[Contracts Offered]]=0,0,SalesData[[#This Row],[Contracts Signed]]/SalesData[[#This Row],[Contracts Offered]])</f>
        <v>0.19565217391304349</v>
      </c>
      <c r="AG742" s="5">
        <f>IF(SalesData[[#This Row],[Customers Visited]]=0,0,SalesData[[#This Row],[Test Drives]]/SalesData[[#This Row],[Customers Visited]])</f>
        <v>0.41239316239316237</v>
      </c>
      <c r="AH742" s="5">
        <f>IF(SalesData[[#This Row],[Customers Visited]]=0,0,SalesData[[#This Row],[Contracts Signed]]/SalesData[[#This Row],[Customers Visited]])</f>
        <v>5.7692307692307696E-2</v>
      </c>
      <c r="AI742" s="6">
        <f>IF(SalesData[[#This Row],[Contracts Signed]]=0,0,SalesData[[#This Row],[Profit(€)]]/SalesData[[#This Row],[Contracts Signed]])</f>
        <v>3605</v>
      </c>
      <c r="AJ742" s="5" t="str">
        <f>TRIM(CLEAN(SalesData[[#This Row],[Retailer]]))</f>
        <v>Saxon Wheels</v>
      </c>
    </row>
    <row r="743" spans="1:36" ht="14.25" hidden="1" x14ac:dyDescent="0.2">
      <c r="A743" t="s">
        <v>1362</v>
      </c>
      <c r="B743" s="1">
        <v>46058</v>
      </c>
      <c r="C743" t="s">
        <v>24</v>
      </c>
      <c r="D743" t="s">
        <v>100</v>
      </c>
      <c r="E743" t="s">
        <v>26</v>
      </c>
      <c r="F743" t="s">
        <v>74</v>
      </c>
      <c r="G743" t="s">
        <v>75</v>
      </c>
      <c r="H743" t="s">
        <v>76</v>
      </c>
      <c r="I743" t="s">
        <v>56</v>
      </c>
      <c r="J743" t="s">
        <v>137</v>
      </c>
      <c r="K743" t="s">
        <v>91</v>
      </c>
      <c r="L743" t="s">
        <v>46</v>
      </c>
      <c r="M743" t="s">
        <v>87</v>
      </c>
      <c r="N743" t="s">
        <v>69</v>
      </c>
      <c r="O743" t="s">
        <v>70</v>
      </c>
      <c r="P743" t="s">
        <v>49</v>
      </c>
      <c r="Q743" t="s">
        <v>122</v>
      </c>
      <c r="R743">
        <v>247</v>
      </c>
      <c r="S743">
        <v>154</v>
      </c>
      <c r="T743">
        <v>120</v>
      </c>
      <c r="U743">
        <v>29</v>
      </c>
      <c r="V743" t="s">
        <v>3122</v>
      </c>
      <c r="W743">
        <v>43568</v>
      </c>
      <c r="X743" t="s">
        <v>3025</v>
      </c>
      <c r="Y743">
        <v>33187</v>
      </c>
      <c r="Z743">
        <v>1263472</v>
      </c>
      <c r="AA743">
        <v>301049</v>
      </c>
      <c r="AB743" t="str">
        <f>(VLOOKUP(SalesData[[#This Row],[Month Number]],Reference!C$5:E$16,2,FALSE))</f>
        <v>Feb</v>
      </c>
      <c r="AC743">
        <f>MONTH(SalesData[[#This Row],[Date]])</f>
        <v>2</v>
      </c>
      <c r="AD743">
        <f>Reference!F$4</f>
        <v>2026</v>
      </c>
      <c r="AE743" t="str">
        <f>IF(OR(SalesData[[#This Row],[Day]]="Saturday",SalesData[[#This Row],[Day]]="Sunday"),"Weekend","Weekday")</f>
        <v>Weekday</v>
      </c>
      <c r="AF743" s="5">
        <f>IF(SalesData[[#This Row],[Contracts Offered]]=0,0,SalesData[[#This Row],[Contracts Signed]]/SalesData[[#This Row],[Contracts Offered]])</f>
        <v>0.24166666666666667</v>
      </c>
      <c r="AG743" s="5">
        <f>IF(SalesData[[#This Row],[Customers Visited]]=0,0,SalesData[[#This Row],[Test Drives]]/SalesData[[#This Row],[Customers Visited]])</f>
        <v>0.62348178137651822</v>
      </c>
      <c r="AH743" s="5">
        <f>IF(SalesData[[#This Row],[Customers Visited]]=0,0,SalesData[[#This Row],[Contracts Signed]]/SalesData[[#This Row],[Customers Visited]])</f>
        <v>0.11740890688259109</v>
      </c>
      <c r="AI743" s="6">
        <f>IF(SalesData[[#This Row],[Contracts Signed]]=0,0,SalesData[[#This Row],[Profit(€)]]/SalesData[[#This Row],[Contracts Signed]])</f>
        <v>10381</v>
      </c>
      <c r="AJ743" s="5" t="str">
        <f>TRIM(CLEAN(SalesData[[#This Row],[Retailer]]))</f>
        <v>Stuttgart Auto Center</v>
      </c>
    </row>
    <row r="744" spans="1:36" ht="14.25" hidden="1" x14ac:dyDescent="0.2">
      <c r="A744" t="s">
        <v>1364</v>
      </c>
      <c r="B744" s="1">
        <v>46079</v>
      </c>
      <c r="C744" t="s">
        <v>53</v>
      </c>
      <c r="D744" t="s">
        <v>100</v>
      </c>
      <c r="E744" t="s">
        <v>26</v>
      </c>
      <c r="F744" t="s">
        <v>43</v>
      </c>
      <c r="G744" t="s">
        <v>44</v>
      </c>
      <c r="H744" t="s">
        <v>45</v>
      </c>
      <c r="I744" t="s">
        <v>116</v>
      </c>
      <c r="J744" t="s">
        <v>7026</v>
      </c>
      <c r="K744" t="s">
        <v>66</v>
      </c>
      <c r="L744" t="s">
        <v>46</v>
      </c>
      <c r="M744" t="s">
        <v>34</v>
      </c>
      <c r="N744" t="s">
        <v>69</v>
      </c>
      <c r="O744" t="s">
        <v>70</v>
      </c>
      <c r="P744" t="s">
        <v>58</v>
      </c>
      <c r="Q744" t="s">
        <v>122</v>
      </c>
      <c r="R744">
        <v>430</v>
      </c>
      <c r="S744">
        <v>191</v>
      </c>
      <c r="T744">
        <v>114</v>
      </c>
      <c r="U744">
        <v>38</v>
      </c>
      <c r="V744" t="s">
        <v>6608</v>
      </c>
      <c r="W744">
        <v>25206</v>
      </c>
      <c r="X744" t="s">
        <v>3038</v>
      </c>
      <c r="Y744">
        <v>22700</v>
      </c>
      <c r="Z744">
        <v>957828</v>
      </c>
      <c r="AA744">
        <v>95228</v>
      </c>
      <c r="AB744" t="str">
        <f>(VLOOKUP(SalesData[[#This Row],[Month Number]],Reference!C$5:E$16,2,FALSE))</f>
        <v>Feb</v>
      </c>
      <c r="AC744">
        <f>MONTH(SalesData[[#This Row],[Date]])</f>
        <v>2</v>
      </c>
      <c r="AD744">
        <f>Reference!F$4</f>
        <v>2026</v>
      </c>
      <c r="AE744" t="str">
        <f>IF(OR(SalesData[[#This Row],[Day]]="Saturday",SalesData[[#This Row],[Day]]="Sunday"),"Weekend","Weekday")</f>
        <v>Weekday</v>
      </c>
      <c r="AF744" s="5">
        <f>IF(SalesData[[#This Row],[Contracts Offered]]=0,0,SalesData[[#This Row],[Contracts Signed]]/SalesData[[#This Row],[Contracts Offered]])</f>
        <v>0.33333333333333331</v>
      </c>
      <c r="AG744" s="5">
        <f>IF(SalesData[[#This Row],[Customers Visited]]=0,0,SalesData[[#This Row],[Test Drives]]/SalesData[[#This Row],[Customers Visited]])</f>
        <v>0.44418604651162791</v>
      </c>
      <c r="AH744" s="5">
        <f>IF(SalesData[[#This Row],[Customers Visited]]=0,0,SalesData[[#This Row],[Contracts Signed]]/SalesData[[#This Row],[Customers Visited]])</f>
        <v>8.8372093023255813E-2</v>
      </c>
      <c r="AI744" s="6">
        <f>IF(SalesData[[#This Row],[Contracts Signed]]=0,0,SalesData[[#This Row],[Profit(€)]]/SalesData[[#This Row],[Contracts Signed]])</f>
        <v>2506</v>
      </c>
      <c r="AJ744" s="5" t="str">
        <f>TRIM(CLEAN(SalesData[[#This Row],[Retailer]]))</f>
        <v>Saxon Wheels</v>
      </c>
    </row>
    <row r="745" spans="1:36" ht="14.25" hidden="1" x14ac:dyDescent="0.2">
      <c r="A745" t="s">
        <v>1365</v>
      </c>
      <c r="B745" s="1">
        <v>46080</v>
      </c>
      <c r="C745" t="s">
        <v>53</v>
      </c>
      <c r="D745" t="s">
        <v>54</v>
      </c>
      <c r="E745" t="s">
        <v>26</v>
      </c>
      <c r="F745" t="s">
        <v>94</v>
      </c>
      <c r="G745" t="s">
        <v>95</v>
      </c>
      <c r="H745" t="s">
        <v>96</v>
      </c>
      <c r="I745" t="s">
        <v>116</v>
      </c>
      <c r="J745" t="s">
        <v>117</v>
      </c>
      <c r="K745" t="s">
        <v>32</v>
      </c>
      <c r="L745" t="s">
        <v>67</v>
      </c>
      <c r="M745" t="s">
        <v>68</v>
      </c>
      <c r="N745" t="s">
        <v>35</v>
      </c>
      <c r="O745" t="s">
        <v>70</v>
      </c>
      <c r="P745" t="s">
        <v>49</v>
      </c>
      <c r="Q745" t="s">
        <v>152</v>
      </c>
      <c r="R745">
        <v>225</v>
      </c>
      <c r="S745">
        <v>99</v>
      </c>
      <c r="T745">
        <v>61</v>
      </c>
      <c r="U745">
        <v>17</v>
      </c>
      <c r="V745" t="s">
        <v>2323</v>
      </c>
      <c r="W745">
        <v>25131</v>
      </c>
      <c r="X745" t="s">
        <v>3906</v>
      </c>
      <c r="Y745">
        <v>22598</v>
      </c>
      <c r="Z745">
        <v>427227</v>
      </c>
      <c r="AA745">
        <v>43061</v>
      </c>
      <c r="AB745" t="str">
        <f>(VLOOKUP(SalesData[[#This Row],[Month Number]],Reference!C$5:E$16,2,FALSE))</f>
        <v>Feb</v>
      </c>
      <c r="AC745">
        <f>MONTH(SalesData[[#This Row],[Date]])</f>
        <v>2</v>
      </c>
      <c r="AD745">
        <f>Reference!F$4</f>
        <v>2026</v>
      </c>
      <c r="AE745" t="str">
        <f>IF(OR(SalesData[[#This Row],[Day]]="Saturday",SalesData[[#This Row],[Day]]="Sunday"),"Weekend","Weekday")</f>
        <v>Weekday</v>
      </c>
      <c r="AF745" s="5">
        <f>IF(SalesData[[#This Row],[Contracts Offered]]=0,0,SalesData[[#This Row],[Contracts Signed]]/SalesData[[#This Row],[Contracts Offered]])</f>
        <v>0.27868852459016391</v>
      </c>
      <c r="AG745" s="5">
        <f>IF(SalesData[[#This Row],[Customers Visited]]=0,0,SalesData[[#This Row],[Test Drives]]/SalesData[[#This Row],[Customers Visited]])</f>
        <v>0.44</v>
      </c>
      <c r="AH745" s="5">
        <f>IF(SalesData[[#This Row],[Customers Visited]]=0,0,SalesData[[#This Row],[Contracts Signed]]/SalesData[[#This Row],[Customers Visited]])</f>
        <v>7.5555555555555556E-2</v>
      </c>
      <c r="AI745" s="6">
        <f>IF(SalesData[[#This Row],[Contracts Signed]]=0,0,SalesData[[#This Row],[Profit(€)]]/SalesData[[#This Row],[Contracts Signed]])</f>
        <v>2533</v>
      </c>
      <c r="AJ745" s="5" t="str">
        <f>TRIM(CLEAN(SalesData[[#This Row],[Retailer]]))</f>
        <v>Bavaria Motors</v>
      </c>
    </row>
    <row r="746" spans="1:36" ht="14.25" hidden="1" x14ac:dyDescent="0.2">
      <c r="A746" t="s">
        <v>1367</v>
      </c>
      <c r="B746" s="1">
        <v>46077</v>
      </c>
      <c r="C746" t="s">
        <v>53</v>
      </c>
      <c r="D746" t="s">
        <v>63</v>
      </c>
      <c r="E746" t="s">
        <v>26</v>
      </c>
      <c r="F746" t="s">
        <v>7649</v>
      </c>
      <c r="G746" t="s">
        <v>55</v>
      </c>
      <c r="H746" t="s">
        <v>55</v>
      </c>
      <c r="I746" t="s">
        <v>56</v>
      </c>
      <c r="J746" t="s">
        <v>179</v>
      </c>
      <c r="K746" t="s">
        <v>91</v>
      </c>
      <c r="L746" t="s">
        <v>67</v>
      </c>
      <c r="M746" t="s">
        <v>87</v>
      </c>
      <c r="N746" t="s">
        <v>35</v>
      </c>
      <c r="O746" t="s">
        <v>70</v>
      </c>
      <c r="P746" t="s">
        <v>58</v>
      </c>
      <c r="Q746" t="s">
        <v>172</v>
      </c>
      <c r="R746">
        <v>209</v>
      </c>
      <c r="S746">
        <v>102</v>
      </c>
      <c r="T746">
        <v>69</v>
      </c>
      <c r="U746">
        <v>29</v>
      </c>
      <c r="V746" t="s">
        <v>6614</v>
      </c>
      <c r="W746">
        <v>40743</v>
      </c>
      <c r="X746" t="s">
        <v>3904</v>
      </c>
      <c r="Y746">
        <v>33317</v>
      </c>
      <c r="Z746">
        <v>1181547</v>
      </c>
      <c r="AA746">
        <v>215354</v>
      </c>
      <c r="AB746" t="str">
        <f>(VLOOKUP(SalesData[[#This Row],[Month Number]],Reference!C$5:E$16,2,FALSE))</f>
        <v>Feb</v>
      </c>
      <c r="AC746">
        <f>MONTH(SalesData[[#This Row],[Date]])</f>
        <v>2</v>
      </c>
      <c r="AD746">
        <f>Reference!F$4</f>
        <v>2026</v>
      </c>
      <c r="AE746" t="str">
        <f>IF(OR(SalesData[[#This Row],[Day]]="Saturday",SalesData[[#This Row],[Day]]="Sunday"),"Weekend","Weekday")</f>
        <v>Weekday</v>
      </c>
      <c r="AF746" s="5">
        <f>IF(SalesData[[#This Row],[Contracts Offered]]=0,0,SalesData[[#This Row],[Contracts Signed]]/SalesData[[#This Row],[Contracts Offered]])</f>
        <v>0.42028985507246375</v>
      </c>
      <c r="AG746" s="5">
        <f>IF(SalesData[[#This Row],[Customers Visited]]=0,0,SalesData[[#This Row],[Test Drives]]/SalesData[[#This Row],[Customers Visited]])</f>
        <v>0.48803827751196172</v>
      </c>
      <c r="AH746" s="5">
        <f>IF(SalesData[[#This Row],[Customers Visited]]=0,0,SalesData[[#This Row],[Contracts Signed]]/SalesData[[#This Row],[Customers Visited]])</f>
        <v>0.13875598086124402</v>
      </c>
      <c r="AI746" s="6">
        <f>IF(SalesData[[#This Row],[Contracts Signed]]=0,0,SalesData[[#This Row],[Profit(€)]]/SalesData[[#This Row],[Contracts Signed]])</f>
        <v>7426</v>
      </c>
      <c r="AJ746" s="5" t="str">
        <f>TRIM(CLEAN(SalesData[[#This Row],[Retailer]]))</f>
        <v>Autohaus Berlin</v>
      </c>
    </row>
    <row r="747" spans="1:36" ht="14.25" hidden="1" x14ac:dyDescent="0.2">
      <c r="A747" t="s">
        <v>1368</v>
      </c>
      <c r="B747" s="1">
        <v>46077</v>
      </c>
      <c r="C747" t="s">
        <v>53</v>
      </c>
      <c r="D747" t="s">
        <v>63</v>
      </c>
      <c r="E747" t="s">
        <v>26</v>
      </c>
      <c r="F747" t="s">
        <v>7649</v>
      </c>
      <c r="G747" t="s">
        <v>55</v>
      </c>
      <c r="H747" t="s">
        <v>55</v>
      </c>
      <c r="I747" t="s">
        <v>104</v>
      </c>
      <c r="J747" t="s">
        <v>140</v>
      </c>
      <c r="K747" t="s">
        <v>66</v>
      </c>
      <c r="L747" t="s">
        <v>46</v>
      </c>
      <c r="M747" t="s">
        <v>87</v>
      </c>
      <c r="N747" t="s">
        <v>69</v>
      </c>
      <c r="O747" t="s">
        <v>36</v>
      </c>
      <c r="P747" t="s">
        <v>49</v>
      </c>
      <c r="Q747" t="s">
        <v>204</v>
      </c>
      <c r="R747">
        <v>464</v>
      </c>
      <c r="S747">
        <v>262</v>
      </c>
      <c r="T747">
        <v>176</v>
      </c>
      <c r="U747">
        <v>45</v>
      </c>
      <c r="V747" t="s">
        <v>271</v>
      </c>
      <c r="W747">
        <v>28190</v>
      </c>
      <c r="X747" t="s">
        <v>2292</v>
      </c>
      <c r="Y747">
        <v>24916</v>
      </c>
      <c r="Z747">
        <v>1268550</v>
      </c>
      <c r="AA747">
        <v>147330</v>
      </c>
      <c r="AB747" t="str">
        <f>(VLOOKUP(SalesData[[#This Row],[Month Number]],Reference!C$5:E$16,2,FALSE))</f>
        <v>Feb</v>
      </c>
      <c r="AC747">
        <f>MONTH(SalesData[[#This Row],[Date]])</f>
        <v>2</v>
      </c>
      <c r="AD747">
        <f>Reference!F$4</f>
        <v>2026</v>
      </c>
      <c r="AE747" t="str">
        <f>IF(OR(SalesData[[#This Row],[Day]]="Saturday",SalesData[[#This Row],[Day]]="Sunday"),"Weekend","Weekday")</f>
        <v>Weekday</v>
      </c>
      <c r="AF747" s="5">
        <f>IF(SalesData[[#This Row],[Contracts Offered]]=0,0,SalesData[[#This Row],[Contracts Signed]]/SalesData[[#This Row],[Contracts Offered]])</f>
        <v>0.25568181818181818</v>
      </c>
      <c r="AG747" s="5">
        <f>IF(SalesData[[#This Row],[Customers Visited]]=0,0,SalesData[[#This Row],[Test Drives]]/SalesData[[#This Row],[Customers Visited]])</f>
        <v>0.56465517241379315</v>
      </c>
      <c r="AH747" s="5">
        <f>IF(SalesData[[#This Row],[Customers Visited]]=0,0,SalesData[[#This Row],[Contracts Signed]]/SalesData[[#This Row],[Customers Visited]])</f>
        <v>9.6982758620689655E-2</v>
      </c>
      <c r="AI747" s="6">
        <f>IF(SalesData[[#This Row],[Contracts Signed]]=0,0,SalesData[[#This Row],[Profit(€)]]/SalesData[[#This Row],[Contracts Signed]])</f>
        <v>3274</v>
      </c>
      <c r="AJ747" s="5" t="str">
        <f>TRIM(CLEAN(SalesData[[#This Row],[Retailer]]))</f>
        <v>Autohaus Berlin</v>
      </c>
    </row>
    <row r="748" spans="1:36" ht="14.25" hidden="1" x14ac:dyDescent="0.2">
      <c r="A748" t="s">
        <v>1370</v>
      </c>
      <c r="B748" s="1">
        <v>46073</v>
      </c>
      <c r="C748" t="s">
        <v>62</v>
      </c>
      <c r="D748" t="s">
        <v>54</v>
      </c>
      <c r="E748" t="s">
        <v>26</v>
      </c>
      <c r="F748" t="s">
        <v>7649</v>
      </c>
      <c r="G748" t="s">
        <v>55</v>
      </c>
      <c r="H748" t="s">
        <v>55</v>
      </c>
      <c r="I748" t="s">
        <v>56</v>
      </c>
      <c r="J748" t="s">
        <v>137</v>
      </c>
      <c r="K748" t="s">
        <v>66</v>
      </c>
      <c r="L748" t="s">
        <v>46</v>
      </c>
      <c r="M748" t="s">
        <v>34</v>
      </c>
      <c r="N748" t="s">
        <v>48</v>
      </c>
      <c r="O748" t="s">
        <v>36</v>
      </c>
      <c r="P748" t="s">
        <v>49</v>
      </c>
      <c r="Q748" t="s">
        <v>204</v>
      </c>
      <c r="R748">
        <v>290</v>
      </c>
      <c r="S748">
        <v>145</v>
      </c>
      <c r="T748">
        <v>102</v>
      </c>
      <c r="U748">
        <v>33</v>
      </c>
      <c r="V748" t="s">
        <v>6521</v>
      </c>
      <c r="W748">
        <v>52854</v>
      </c>
      <c r="X748" t="s">
        <v>7285</v>
      </c>
      <c r="Y748">
        <v>43205</v>
      </c>
      <c r="Z748">
        <v>1744182</v>
      </c>
      <c r="AA748">
        <v>318417</v>
      </c>
      <c r="AB748" t="str">
        <f>(VLOOKUP(SalesData[[#This Row],[Month Number]],Reference!C$5:E$16,2,FALSE))</f>
        <v>Feb</v>
      </c>
      <c r="AC748">
        <f>MONTH(SalesData[[#This Row],[Date]])</f>
        <v>2</v>
      </c>
      <c r="AD748">
        <f>Reference!F$4</f>
        <v>2026</v>
      </c>
      <c r="AE748" t="str">
        <f>IF(OR(SalesData[[#This Row],[Day]]="Saturday",SalesData[[#This Row],[Day]]="Sunday"),"Weekend","Weekday")</f>
        <v>Weekday</v>
      </c>
      <c r="AF748" s="5">
        <f>IF(SalesData[[#This Row],[Contracts Offered]]=0,0,SalesData[[#This Row],[Contracts Signed]]/SalesData[[#This Row],[Contracts Offered]])</f>
        <v>0.3235294117647059</v>
      </c>
      <c r="AG748" s="5">
        <f>IF(SalesData[[#This Row],[Customers Visited]]=0,0,SalesData[[#This Row],[Test Drives]]/SalesData[[#This Row],[Customers Visited]])</f>
        <v>0.5</v>
      </c>
      <c r="AH748" s="5">
        <f>IF(SalesData[[#This Row],[Customers Visited]]=0,0,SalesData[[#This Row],[Contracts Signed]]/SalesData[[#This Row],[Customers Visited]])</f>
        <v>0.11379310344827587</v>
      </c>
      <c r="AI748" s="6">
        <f>IF(SalesData[[#This Row],[Contracts Signed]]=0,0,SalesData[[#This Row],[Profit(€)]]/SalesData[[#This Row],[Contracts Signed]])</f>
        <v>9649</v>
      </c>
      <c r="AJ748" s="5" t="str">
        <f>TRIM(CLEAN(SalesData[[#This Row],[Retailer]]))</f>
        <v>Autohaus Berlin</v>
      </c>
    </row>
    <row r="749" spans="1:36" ht="14.25" hidden="1" x14ac:dyDescent="0.2">
      <c r="A749" t="s">
        <v>1371</v>
      </c>
      <c r="B749" s="1">
        <v>46068</v>
      </c>
      <c r="C749" t="s">
        <v>62</v>
      </c>
      <c r="D749" t="s">
        <v>41</v>
      </c>
      <c r="E749" t="s">
        <v>42</v>
      </c>
      <c r="F749" t="s">
        <v>7649</v>
      </c>
      <c r="G749" t="s">
        <v>55</v>
      </c>
      <c r="H749" t="s">
        <v>55</v>
      </c>
      <c r="I749" t="s">
        <v>116</v>
      </c>
      <c r="J749" t="s">
        <v>203</v>
      </c>
      <c r="K749" t="s">
        <v>91</v>
      </c>
      <c r="L749" t="s">
        <v>67</v>
      </c>
      <c r="M749" t="s">
        <v>87</v>
      </c>
      <c r="N749" t="s">
        <v>69</v>
      </c>
      <c r="O749" t="s">
        <v>70</v>
      </c>
      <c r="P749" t="s">
        <v>37</v>
      </c>
      <c r="Q749" t="s">
        <v>158</v>
      </c>
      <c r="R749">
        <v>226</v>
      </c>
      <c r="S749">
        <v>110</v>
      </c>
      <c r="T749">
        <v>74</v>
      </c>
      <c r="U749">
        <v>14</v>
      </c>
      <c r="V749" t="s">
        <v>1369</v>
      </c>
      <c r="W749">
        <v>27064</v>
      </c>
      <c r="X749" t="s">
        <v>2159</v>
      </c>
      <c r="Y749">
        <v>24234</v>
      </c>
      <c r="Z749">
        <v>378896</v>
      </c>
      <c r="AA749">
        <v>39620</v>
      </c>
      <c r="AB749" t="str">
        <f>(VLOOKUP(SalesData[[#This Row],[Month Number]],Reference!C$5:E$16,2,FALSE))</f>
        <v>Feb</v>
      </c>
      <c r="AC749">
        <f>MONTH(SalesData[[#This Row],[Date]])</f>
        <v>2</v>
      </c>
      <c r="AD749">
        <f>Reference!F$4</f>
        <v>2026</v>
      </c>
      <c r="AE749" t="str">
        <f>IF(OR(SalesData[[#This Row],[Day]]="Saturday",SalesData[[#This Row],[Day]]="Sunday"),"Weekend","Weekday")</f>
        <v>Weekend</v>
      </c>
      <c r="AF749" s="5">
        <f>IF(SalesData[[#This Row],[Contracts Offered]]=0,0,SalesData[[#This Row],[Contracts Signed]]/SalesData[[#This Row],[Contracts Offered]])</f>
        <v>0.1891891891891892</v>
      </c>
      <c r="AG749" s="5">
        <f>IF(SalesData[[#This Row],[Customers Visited]]=0,0,SalesData[[#This Row],[Test Drives]]/SalesData[[#This Row],[Customers Visited]])</f>
        <v>0.48672566371681414</v>
      </c>
      <c r="AH749" s="5">
        <f>IF(SalesData[[#This Row],[Customers Visited]]=0,0,SalesData[[#This Row],[Contracts Signed]]/SalesData[[#This Row],[Customers Visited]])</f>
        <v>6.1946902654867256E-2</v>
      </c>
      <c r="AI749" s="6">
        <f>IF(SalesData[[#This Row],[Contracts Signed]]=0,0,SalesData[[#This Row],[Profit(€)]]/SalesData[[#This Row],[Contracts Signed]])</f>
        <v>2830</v>
      </c>
      <c r="AJ749" s="5" t="str">
        <f>TRIM(CLEAN(SalesData[[#This Row],[Retailer]]))</f>
        <v>Autohaus Berlin</v>
      </c>
    </row>
    <row r="750" spans="1:36" ht="14.25" hidden="1" x14ac:dyDescent="0.2">
      <c r="A750" t="s">
        <v>1372</v>
      </c>
      <c r="B750" s="1">
        <v>46054</v>
      </c>
      <c r="C750" t="s">
        <v>24</v>
      </c>
      <c r="D750" t="s">
        <v>41</v>
      </c>
      <c r="E750" t="s">
        <v>42</v>
      </c>
      <c r="F750" t="s">
        <v>7649</v>
      </c>
      <c r="G750" t="s">
        <v>55</v>
      </c>
      <c r="H750" t="s">
        <v>55</v>
      </c>
      <c r="I750" t="s">
        <v>104</v>
      </c>
      <c r="J750" t="s">
        <v>7031</v>
      </c>
      <c r="K750" t="s">
        <v>78</v>
      </c>
      <c r="L750" t="s">
        <v>46</v>
      </c>
      <c r="M750" t="s">
        <v>34</v>
      </c>
      <c r="N750" t="s">
        <v>48</v>
      </c>
      <c r="O750" t="s">
        <v>36</v>
      </c>
      <c r="P750" t="s">
        <v>71</v>
      </c>
      <c r="Q750" t="s">
        <v>152</v>
      </c>
      <c r="R750">
        <v>311</v>
      </c>
      <c r="S750">
        <v>147</v>
      </c>
      <c r="T750">
        <v>100</v>
      </c>
      <c r="U750">
        <v>24</v>
      </c>
      <c r="V750" t="s">
        <v>2332</v>
      </c>
      <c r="W750">
        <v>31817</v>
      </c>
      <c r="X750" t="s">
        <v>1192</v>
      </c>
      <c r="Y750">
        <v>27744</v>
      </c>
      <c r="Z750">
        <v>763608</v>
      </c>
      <c r="AA750">
        <v>97752</v>
      </c>
      <c r="AB750" t="str">
        <f>(VLOOKUP(SalesData[[#This Row],[Month Number]],Reference!C$5:E$16,2,FALSE))</f>
        <v>Feb</v>
      </c>
      <c r="AC750">
        <f>MONTH(SalesData[[#This Row],[Date]])</f>
        <v>2</v>
      </c>
      <c r="AD750">
        <f>Reference!F$4</f>
        <v>2026</v>
      </c>
      <c r="AE750" t="str">
        <f>IF(OR(SalesData[[#This Row],[Day]]="Saturday",SalesData[[#This Row],[Day]]="Sunday"),"Weekend","Weekday")</f>
        <v>Weekend</v>
      </c>
      <c r="AF750" s="5">
        <f>IF(SalesData[[#This Row],[Contracts Offered]]=0,0,SalesData[[#This Row],[Contracts Signed]]/SalesData[[#This Row],[Contracts Offered]])</f>
        <v>0.24</v>
      </c>
      <c r="AG750" s="5">
        <f>IF(SalesData[[#This Row],[Customers Visited]]=0,0,SalesData[[#This Row],[Test Drives]]/SalesData[[#This Row],[Customers Visited]])</f>
        <v>0.47266881028938906</v>
      </c>
      <c r="AH750" s="5">
        <f>IF(SalesData[[#This Row],[Customers Visited]]=0,0,SalesData[[#This Row],[Contracts Signed]]/SalesData[[#This Row],[Customers Visited]])</f>
        <v>7.7170418006430874E-2</v>
      </c>
      <c r="AI750" s="6">
        <f>IF(SalesData[[#This Row],[Contracts Signed]]=0,0,SalesData[[#This Row],[Profit(€)]]/SalesData[[#This Row],[Contracts Signed]])</f>
        <v>4073</v>
      </c>
      <c r="AJ750" s="5" t="str">
        <f>TRIM(CLEAN(SalesData[[#This Row],[Retailer]]))</f>
        <v>Autohaus Berlin</v>
      </c>
    </row>
    <row r="751" spans="1:36" ht="14.25" hidden="1" x14ac:dyDescent="0.2">
      <c r="A751" t="s">
        <v>1373</v>
      </c>
      <c r="B751" s="1">
        <v>46067</v>
      </c>
      <c r="C751" t="s">
        <v>121</v>
      </c>
      <c r="D751" t="s">
        <v>151</v>
      </c>
      <c r="E751" t="s">
        <v>42</v>
      </c>
      <c r="F751" t="s">
        <v>43</v>
      </c>
      <c r="G751" t="s">
        <v>44</v>
      </c>
      <c r="H751" t="s">
        <v>45</v>
      </c>
      <c r="I751" t="s">
        <v>64</v>
      </c>
      <c r="J751" t="s">
        <v>111</v>
      </c>
      <c r="K751" t="s">
        <v>66</v>
      </c>
      <c r="L751" t="s">
        <v>46</v>
      </c>
      <c r="M751" t="s">
        <v>34</v>
      </c>
      <c r="N751" t="s">
        <v>35</v>
      </c>
      <c r="O751" t="s">
        <v>70</v>
      </c>
      <c r="P751" t="s">
        <v>37</v>
      </c>
      <c r="Q751" t="s">
        <v>106</v>
      </c>
      <c r="R751">
        <v>220</v>
      </c>
      <c r="S751">
        <v>105</v>
      </c>
      <c r="T751">
        <v>77</v>
      </c>
      <c r="U751">
        <v>22</v>
      </c>
      <c r="V751" t="s">
        <v>6846</v>
      </c>
      <c r="W751">
        <v>56533</v>
      </c>
      <c r="X751" t="s">
        <v>7054</v>
      </c>
      <c r="Y751">
        <v>43936</v>
      </c>
      <c r="Z751">
        <v>1243726</v>
      </c>
      <c r="AA751">
        <v>277134</v>
      </c>
      <c r="AB751" t="str">
        <f>(VLOOKUP(SalesData[[#This Row],[Month Number]],Reference!C$5:E$16,2,FALSE))</f>
        <v>Feb</v>
      </c>
      <c r="AC751">
        <f>MONTH(SalesData[[#This Row],[Date]])</f>
        <v>2</v>
      </c>
      <c r="AD751">
        <f>Reference!F$4</f>
        <v>2026</v>
      </c>
      <c r="AE751" t="str">
        <f>IF(OR(SalesData[[#This Row],[Day]]="Saturday",SalesData[[#This Row],[Day]]="Sunday"),"Weekend","Weekday")</f>
        <v>Weekend</v>
      </c>
      <c r="AF751" s="5">
        <f>IF(SalesData[[#This Row],[Contracts Offered]]=0,0,SalesData[[#This Row],[Contracts Signed]]/SalesData[[#This Row],[Contracts Offered]])</f>
        <v>0.2857142857142857</v>
      </c>
      <c r="AG751" s="5">
        <f>IF(SalesData[[#This Row],[Customers Visited]]=0,0,SalesData[[#This Row],[Test Drives]]/SalesData[[#This Row],[Customers Visited]])</f>
        <v>0.47727272727272729</v>
      </c>
      <c r="AH751" s="5">
        <f>IF(SalesData[[#This Row],[Customers Visited]]=0,0,SalesData[[#This Row],[Contracts Signed]]/SalesData[[#This Row],[Customers Visited]])</f>
        <v>0.1</v>
      </c>
      <c r="AI751" s="6">
        <f>IF(SalesData[[#This Row],[Contracts Signed]]=0,0,SalesData[[#This Row],[Profit(€)]]/SalesData[[#This Row],[Contracts Signed]])</f>
        <v>12597</v>
      </c>
      <c r="AJ751" s="5" t="str">
        <f>TRIM(CLEAN(SalesData[[#This Row],[Retailer]]))</f>
        <v>Saxon Wheels</v>
      </c>
    </row>
    <row r="752" spans="1:36" ht="14.25" x14ac:dyDescent="0.2">
      <c r="A752" t="s">
        <v>1374</v>
      </c>
      <c r="B752" s="1">
        <v>46076</v>
      </c>
      <c r="C752" t="s">
        <v>53</v>
      </c>
      <c r="D752" t="s">
        <v>25</v>
      </c>
      <c r="E752" t="s">
        <v>26</v>
      </c>
      <c r="F752" t="s">
        <v>7649</v>
      </c>
      <c r="G752" t="s">
        <v>55</v>
      </c>
      <c r="H752" t="s">
        <v>55</v>
      </c>
      <c r="I752" t="s">
        <v>30</v>
      </c>
      <c r="J752" t="s">
        <v>188</v>
      </c>
      <c r="K752" t="s">
        <v>91</v>
      </c>
      <c r="L752" t="s">
        <v>33</v>
      </c>
      <c r="M752" t="s">
        <v>68</v>
      </c>
      <c r="N752" t="s">
        <v>69</v>
      </c>
      <c r="O752" t="s">
        <v>70</v>
      </c>
      <c r="P752" t="s">
        <v>58</v>
      </c>
      <c r="Q752" t="s">
        <v>189</v>
      </c>
      <c r="R752">
        <v>176</v>
      </c>
      <c r="S752">
        <v>87</v>
      </c>
      <c r="T752">
        <v>62</v>
      </c>
      <c r="U752">
        <v>27</v>
      </c>
      <c r="V752" t="s">
        <v>7304</v>
      </c>
      <c r="W752">
        <v>64409</v>
      </c>
      <c r="X752" t="s">
        <v>7089</v>
      </c>
      <c r="Y752">
        <v>50025</v>
      </c>
      <c r="Z752">
        <v>1739043</v>
      </c>
      <c r="AA752">
        <v>388368</v>
      </c>
      <c r="AB752" t="str">
        <f>(VLOOKUP(SalesData[[#This Row],[Month Number]],Reference!C$5:E$16,2,FALSE))</f>
        <v>Feb</v>
      </c>
      <c r="AC752">
        <f>MONTH(SalesData[[#This Row],[Date]])</f>
        <v>2</v>
      </c>
      <c r="AD752">
        <f>Reference!F$4</f>
        <v>2026</v>
      </c>
      <c r="AE752" t="str">
        <f>IF(OR(SalesData[[#This Row],[Day]]="Saturday",SalesData[[#This Row],[Day]]="Sunday"),"Weekend","Weekday")</f>
        <v>Weekday</v>
      </c>
      <c r="AF752" s="5">
        <f>IF(SalesData[[#This Row],[Contracts Offered]]=0,0,SalesData[[#This Row],[Contracts Signed]]/SalesData[[#This Row],[Contracts Offered]])</f>
        <v>0.43548387096774194</v>
      </c>
      <c r="AG752" s="5">
        <f>IF(SalesData[[#This Row],[Customers Visited]]=0,0,SalesData[[#This Row],[Test Drives]]/SalesData[[#This Row],[Customers Visited]])</f>
        <v>0.49431818181818182</v>
      </c>
      <c r="AH752" s="5">
        <f>IF(SalesData[[#This Row],[Customers Visited]]=0,0,SalesData[[#This Row],[Contracts Signed]]/SalesData[[#This Row],[Customers Visited]])</f>
        <v>0.15340909090909091</v>
      </c>
      <c r="AI752" s="6">
        <f>IF(SalesData[[#This Row],[Contracts Signed]]=0,0,SalesData[[#This Row],[Profit(€)]]/SalesData[[#This Row],[Contracts Signed]])</f>
        <v>14384</v>
      </c>
      <c r="AJ752" s="5" t="str">
        <f>TRIM(CLEAN(SalesData[[#This Row],[Retailer]]))</f>
        <v>Autohaus Berlin</v>
      </c>
    </row>
    <row r="753" spans="1:36" ht="14.25" hidden="1" x14ac:dyDescent="0.2">
      <c r="A753" t="s">
        <v>1375</v>
      </c>
      <c r="B753" s="1">
        <v>46081</v>
      </c>
      <c r="C753" t="s">
        <v>53</v>
      </c>
      <c r="D753" t="s">
        <v>151</v>
      </c>
      <c r="E753" t="s">
        <v>42</v>
      </c>
      <c r="F753" t="s">
        <v>109</v>
      </c>
      <c r="G753" t="s">
        <v>110</v>
      </c>
      <c r="H753" t="s">
        <v>45</v>
      </c>
      <c r="I753" t="s">
        <v>104</v>
      </c>
      <c r="J753" t="s">
        <v>140</v>
      </c>
      <c r="K753" t="s">
        <v>91</v>
      </c>
      <c r="L753" t="s">
        <v>46</v>
      </c>
      <c r="M753" t="s">
        <v>34</v>
      </c>
      <c r="N753" t="s">
        <v>35</v>
      </c>
      <c r="O753" t="s">
        <v>70</v>
      </c>
      <c r="P753" t="s">
        <v>58</v>
      </c>
      <c r="Q753" t="s">
        <v>118</v>
      </c>
      <c r="R753">
        <v>495</v>
      </c>
      <c r="S753">
        <v>286</v>
      </c>
      <c r="T753">
        <v>178</v>
      </c>
      <c r="U753">
        <v>47</v>
      </c>
      <c r="V753" t="s">
        <v>621</v>
      </c>
      <c r="W753">
        <v>26428</v>
      </c>
      <c r="X753" t="s">
        <v>7305</v>
      </c>
      <c r="Y753">
        <v>23546</v>
      </c>
      <c r="Z753">
        <v>1242116</v>
      </c>
      <c r="AA753">
        <v>135454</v>
      </c>
      <c r="AB753" t="str">
        <f>(VLOOKUP(SalesData[[#This Row],[Month Number]],Reference!C$5:E$16,2,FALSE))</f>
        <v>Feb</v>
      </c>
      <c r="AC753">
        <f>MONTH(SalesData[[#This Row],[Date]])</f>
        <v>2</v>
      </c>
      <c r="AD753">
        <f>Reference!F$4</f>
        <v>2026</v>
      </c>
      <c r="AE753" t="str">
        <f>IF(OR(SalesData[[#This Row],[Day]]="Saturday",SalesData[[#This Row],[Day]]="Sunday"),"Weekend","Weekday")</f>
        <v>Weekend</v>
      </c>
      <c r="AF753" s="5">
        <f>IF(SalesData[[#This Row],[Contracts Offered]]=0,0,SalesData[[#This Row],[Contracts Signed]]/SalesData[[#This Row],[Contracts Offered]])</f>
        <v>0.2640449438202247</v>
      </c>
      <c r="AG753" s="5">
        <f>IF(SalesData[[#This Row],[Customers Visited]]=0,0,SalesData[[#This Row],[Test Drives]]/SalesData[[#This Row],[Customers Visited]])</f>
        <v>0.57777777777777772</v>
      </c>
      <c r="AH753" s="5">
        <f>IF(SalesData[[#This Row],[Customers Visited]]=0,0,SalesData[[#This Row],[Contracts Signed]]/SalesData[[#This Row],[Customers Visited]])</f>
        <v>9.494949494949495E-2</v>
      </c>
      <c r="AI753" s="6">
        <f>IF(SalesData[[#This Row],[Contracts Signed]]=0,0,SalesData[[#This Row],[Profit(€)]]/SalesData[[#This Row],[Contracts Signed]])</f>
        <v>2882</v>
      </c>
      <c r="AJ753" s="5" t="str">
        <f>TRIM(CLEAN(SalesData[[#This Row],[Retailer]]))</f>
        <v>Leipzig Mobility</v>
      </c>
    </row>
    <row r="754" spans="1:36" ht="14.25" hidden="1" x14ac:dyDescent="0.2">
      <c r="A754" t="s">
        <v>1376</v>
      </c>
      <c r="B754" s="1">
        <v>46061</v>
      </c>
      <c r="C754" t="s">
        <v>121</v>
      </c>
      <c r="D754" t="s">
        <v>41</v>
      </c>
      <c r="E754" t="s">
        <v>42</v>
      </c>
      <c r="F754" t="s">
        <v>114</v>
      </c>
      <c r="G754" t="s">
        <v>115</v>
      </c>
      <c r="H754" t="s">
        <v>115</v>
      </c>
      <c r="I754" t="s">
        <v>104</v>
      </c>
      <c r="J754" t="s">
        <v>105</v>
      </c>
      <c r="K754" t="s">
        <v>66</v>
      </c>
      <c r="L754" t="s">
        <v>33</v>
      </c>
      <c r="M754" t="s">
        <v>47</v>
      </c>
      <c r="N754" t="s">
        <v>69</v>
      </c>
      <c r="O754" t="s">
        <v>70</v>
      </c>
      <c r="P754" t="s">
        <v>71</v>
      </c>
      <c r="Q754" t="s">
        <v>79</v>
      </c>
      <c r="R754">
        <v>300</v>
      </c>
      <c r="S754">
        <v>122</v>
      </c>
      <c r="T754">
        <v>81</v>
      </c>
      <c r="U754">
        <v>19</v>
      </c>
      <c r="V754" t="s">
        <v>252</v>
      </c>
      <c r="W754">
        <v>31620</v>
      </c>
      <c r="X754" t="s">
        <v>4603</v>
      </c>
      <c r="Y754">
        <v>28522</v>
      </c>
      <c r="Z754">
        <v>600780</v>
      </c>
      <c r="AA754">
        <v>58862</v>
      </c>
      <c r="AB754" t="str">
        <f>(VLOOKUP(SalesData[[#This Row],[Month Number]],Reference!C$5:E$16,2,FALSE))</f>
        <v>Feb</v>
      </c>
      <c r="AC754">
        <f>MONTH(SalesData[[#This Row],[Date]])</f>
        <v>2</v>
      </c>
      <c r="AD754">
        <f>Reference!F$4</f>
        <v>2026</v>
      </c>
      <c r="AE754" t="str">
        <f>IF(OR(SalesData[[#This Row],[Day]]="Saturday",SalesData[[#This Row],[Day]]="Sunday"),"Weekend","Weekday")</f>
        <v>Weekend</v>
      </c>
      <c r="AF754" s="5">
        <f>IF(SalesData[[#This Row],[Contracts Offered]]=0,0,SalesData[[#This Row],[Contracts Signed]]/SalesData[[#This Row],[Contracts Offered]])</f>
        <v>0.23456790123456789</v>
      </c>
      <c r="AG754" s="5">
        <f>IF(SalesData[[#This Row],[Customers Visited]]=0,0,SalesData[[#This Row],[Test Drives]]/SalesData[[#This Row],[Customers Visited]])</f>
        <v>0.40666666666666668</v>
      </c>
      <c r="AH754" s="5">
        <f>IF(SalesData[[#This Row],[Customers Visited]]=0,0,SalesData[[#This Row],[Contracts Signed]]/SalesData[[#This Row],[Customers Visited]])</f>
        <v>6.3333333333333339E-2</v>
      </c>
      <c r="AI754" s="6">
        <f>IF(SalesData[[#This Row],[Contracts Signed]]=0,0,SalesData[[#This Row],[Profit(€)]]/SalesData[[#This Row],[Contracts Signed]])</f>
        <v>3098</v>
      </c>
      <c r="AJ754" s="5" t="str">
        <f>TRIM(CLEAN(SalesData[[#This Row],[Retailer]]))</f>
        <v>Elbe Drive</v>
      </c>
    </row>
    <row r="755" spans="1:36" ht="14.25" hidden="1" x14ac:dyDescent="0.2">
      <c r="A755" t="s">
        <v>1377</v>
      </c>
      <c r="B755" s="1">
        <v>46054</v>
      </c>
      <c r="C755" t="s">
        <v>24</v>
      </c>
      <c r="D755" t="s">
        <v>41</v>
      </c>
      <c r="E755" t="s">
        <v>42</v>
      </c>
      <c r="F755" t="s">
        <v>83</v>
      </c>
      <c r="G755" t="s">
        <v>84</v>
      </c>
      <c r="H755" t="s">
        <v>85</v>
      </c>
      <c r="I755" t="s">
        <v>104</v>
      </c>
      <c r="J755" t="s">
        <v>143</v>
      </c>
      <c r="K755" t="s">
        <v>32</v>
      </c>
      <c r="L755" t="s">
        <v>67</v>
      </c>
      <c r="M755" t="s">
        <v>68</v>
      </c>
      <c r="N755" t="s">
        <v>69</v>
      </c>
      <c r="O755" t="s">
        <v>70</v>
      </c>
      <c r="P755" t="s">
        <v>49</v>
      </c>
      <c r="Q755" t="s">
        <v>172</v>
      </c>
      <c r="R755">
        <v>329</v>
      </c>
      <c r="S755">
        <v>167</v>
      </c>
      <c r="T755">
        <v>97</v>
      </c>
      <c r="U755">
        <v>24</v>
      </c>
      <c r="V755" t="s">
        <v>733</v>
      </c>
      <c r="W755">
        <v>26379</v>
      </c>
      <c r="X755" t="s">
        <v>563</v>
      </c>
      <c r="Y755">
        <v>23477</v>
      </c>
      <c r="Z755">
        <v>633096</v>
      </c>
      <c r="AA755">
        <v>69648</v>
      </c>
      <c r="AB755" t="str">
        <f>(VLOOKUP(SalesData[[#This Row],[Month Number]],Reference!C$5:E$16,2,FALSE))</f>
        <v>Feb</v>
      </c>
      <c r="AC755">
        <f>MONTH(SalesData[[#This Row],[Date]])</f>
        <v>2</v>
      </c>
      <c r="AD755">
        <f>Reference!F$4</f>
        <v>2026</v>
      </c>
      <c r="AE755" t="str">
        <f>IF(OR(SalesData[[#This Row],[Day]]="Saturday",SalesData[[#This Row],[Day]]="Sunday"),"Weekend","Weekday")</f>
        <v>Weekend</v>
      </c>
      <c r="AF755" s="5">
        <f>IF(SalesData[[#This Row],[Contracts Offered]]=0,0,SalesData[[#This Row],[Contracts Signed]]/SalesData[[#This Row],[Contracts Offered]])</f>
        <v>0.24742268041237114</v>
      </c>
      <c r="AG755" s="5">
        <f>IF(SalesData[[#This Row],[Customers Visited]]=0,0,SalesData[[#This Row],[Test Drives]]/SalesData[[#This Row],[Customers Visited]])</f>
        <v>0.50759878419452886</v>
      </c>
      <c r="AH755" s="5">
        <f>IF(SalesData[[#This Row],[Customers Visited]]=0,0,SalesData[[#This Row],[Contracts Signed]]/SalesData[[#This Row],[Customers Visited]])</f>
        <v>7.29483282674772E-2</v>
      </c>
      <c r="AI755" s="6">
        <f>IF(SalesData[[#This Row],[Contracts Signed]]=0,0,SalesData[[#This Row],[Profit(€)]]/SalesData[[#This Row],[Contracts Signed]])</f>
        <v>2902</v>
      </c>
      <c r="AJ755" s="5" t="str">
        <f>TRIM(CLEAN(SalesData[[#This Row],[Retailer]]))</f>
        <v>Hannover Cars</v>
      </c>
    </row>
    <row r="756" spans="1:36" ht="14.25" x14ac:dyDescent="0.2">
      <c r="A756" t="s">
        <v>1379</v>
      </c>
      <c r="B756" s="1">
        <v>46063</v>
      </c>
      <c r="C756" t="s">
        <v>121</v>
      </c>
      <c r="D756" t="s">
        <v>63</v>
      </c>
      <c r="E756" t="s">
        <v>26</v>
      </c>
      <c r="F756" t="s">
        <v>94</v>
      </c>
      <c r="G756" t="s">
        <v>95</v>
      </c>
      <c r="H756" t="s">
        <v>96</v>
      </c>
      <c r="I756" t="s">
        <v>30</v>
      </c>
      <c r="J756" t="s">
        <v>188</v>
      </c>
      <c r="K756" t="s">
        <v>32</v>
      </c>
      <c r="L756" t="s">
        <v>33</v>
      </c>
      <c r="M756" t="s">
        <v>68</v>
      </c>
      <c r="N756" t="s">
        <v>69</v>
      </c>
      <c r="O756" t="s">
        <v>70</v>
      </c>
      <c r="P756" t="s">
        <v>49</v>
      </c>
      <c r="Q756" t="s">
        <v>240</v>
      </c>
      <c r="R756">
        <v>254</v>
      </c>
      <c r="S756">
        <v>116</v>
      </c>
      <c r="T756">
        <v>91</v>
      </c>
      <c r="U756">
        <v>31</v>
      </c>
      <c r="V756" t="s">
        <v>6607</v>
      </c>
      <c r="W756">
        <v>69001</v>
      </c>
      <c r="X756" t="s">
        <v>7223</v>
      </c>
      <c r="Y756">
        <v>49933</v>
      </c>
      <c r="Z756">
        <v>2139031</v>
      </c>
      <c r="AA756">
        <v>591108</v>
      </c>
      <c r="AB756" t="str">
        <f>(VLOOKUP(SalesData[[#This Row],[Month Number]],Reference!C$5:E$16,2,FALSE))</f>
        <v>Feb</v>
      </c>
      <c r="AC756">
        <f>MONTH(SalesData[[#This Row],[Date]])</f>
        <v>2</v>
      </c>
      <c r="AD756">
        <f>Reference!F$4</f>
        <v>2026</v>
      </c>
      <c r="AE756" t="str">
        <f>IF(OR(SalesData[[#This Row],[Day]]="Saturday",SalesData[[#This Row],[Day]]="Sunday"),"Weekend","Weekday")</f>
        <v>Weekday</v>
      </c>
      <c r="AF756" s="5">
        <f>IF(SalesData[[#This Row],[Contracts Offered]]=0,0,SalesData[[#This Row],[Contracts Signed]]/SalesData[[#This Row],[Contracts Offered]])</f>
        <v>0.34065934065934067</v>
      </c>
      <c r="AG756" s="5">
        <f>IF(SalesData[[#This Row],[Customers Visited]]=0,0,SalesData[[#This Row],[Test Drives]]/SalesData[[#This Row],[Customers Visited]])</f>
        <v>0.45669291338582679</v>
      </c>
      <c r="AH756" s="5">
        <f>IF(SalesData[[#This Row],[Customers Visited]]=0,0,SalesData[[#This Row],[Contracts Signed]]/SalesData[[#This Row],[Customers Visited]])</f>
        <v>0.12204724409448819</v>
      </c>
      <c r="AI756" s="6">
        <f>IF(SalesData[[#This Row],[Contracts Signed]]=0,0,SalesData[[#This Row],[Profit(€)]]/SalesData[[#This Row],[Contracts Signed]])</f>
        <v>19068</v>
      </c>
      <c r="AJ756" s="5" t="str">
        <f>TRIM(CLEAN(SalesData[[#This Row],[Retailer]]))</f>
        <v>Bavaria Motors</v>
      </c>
    </row>
    <row r="757" spans="1:36" ht="14.25" hidden="1" x14ac:dyDescent="0.2">
      <c r="A757" t="s">
        <v>1380</v>
      </c>
      <c r="B757" s="1">
        <v>46063</v>
      </c>
      <c r="C757" t="s">
        <v>121</v>
      </c>
      <c r="D757" t="s">
        <v>63</v>
      </c>
      <c r="E757" t="s">
        <v>26</v>
      </c>
      <c r="F757" t="s">
        <v>83</v>
      </c>
      <c r="G757" t="s">
        <v>84</v>
      </c>
      <c r="H757" t="s">
        <v>85</v>
      </c>
      <c r="I757" t="s">
        <v>104</v>
      </c>
      <c r="J757" t="s">
        <v>143</v>
      </c>
      <c r="K757" t="s">
        <v>66</v>
      </c>
      <c r="L757" t="s">
        <v>67</v>
      </c>
      <c r="M757" t="s">
        <v>34</v>
      </c>
      <c r="N757" t="s">
        <v>35</v>
      </c>
      <c r="O757" t="s">
        <v>36</v>
      </c>
      <c r="P757" t="s">
        <v>37</v>
      </c>
      <c r="Q757" t="s">
        <v>118</v>
      </c>
      <c r="R757">
        <v>428</v>
      </c>
      <c r="S757">
        <v>188</v>
      </c>
      <c r="T757">
        <v>130</v>
      </c>
      <c r="U757">
        <v>32</v>
      </c>
      <c r="V757" t="s">
        <v>2328</v>
      </c>
      <c r="W757">
        <v>31184</v>
      </c>
      <c r="X757" t="s">
        <v>5289</v>
      </c>
      <c r="Y757">
        <v>26959</v>
      </c>
      <c r="Z757">
        <v>997888</v>
      </c>
      <c r="AA757">
        <v>135200</v>
      </c>
      <c r="AB757" t="str">
        <f>(VLOOKUP(SalesData[[#This Row],[Month Number]],Reference!C$5:E$16,2,FALSE))</f>
        <v>Feb</v>
      </c>
      <c r="AC757">
        <f>MONTH(SalesData[[#This Row],[Date]])</f>
        <v>2</v>
      </c>
      <c r="AD757">
        <f>Reference!F$4</f>
        <v>2026</v>
      </c>
      <c r="AE757" t="str">
        <f>IF(OR(SalesData[[#This Row],[Day]]="Saturday",SalesData[[#This Row],[Day]]="Sunday"),"Weekend","Weekday")</f>
        <v>Weekday</v>
      </c>
      <c r="AF757" s="5">
        <f>IF(SalesData[[#This Row],[Contracts Offered]]=0,0,SalesData[[#This Row],[Contracts Signed]]/SalesData[[#This Row],[Contracts Offered]])</f>
        <v>0.24615384615384617</v>
      </c>
      <c r="AG757" s="5">
        <f>IF(SalesData[[#This Row],[Customers Visited]]=0,0,SalesData[[#This Row],[Test Drives]]/SalesData[[#This Row],[Customers Visited]])</f>
        <v>0.43925233644859812</v>
      </c>
      <c r="AH757" s="5">
        <f>IF(SalesData[[#This Row],[Customers Visited]]=0,0,SalesData[[#This Row],[Contracts Signed]]/SalesData[[#This Row],[Customers Visited]])</f>
        <v>7.476635514018691E-2</v>
      </c>
      <c r="AI757" s="6">
        <f>IF(SalesData[[#This Row],[Contracts Signed]]=0,0,SalesData[[#This Row],[Profit(€)]]/SalesData[[#This Row],[Contracts Signed]])</f>
        <v>4225</v>
      </c>
      <c r="AJ757" s="5" t="str">
        <f>TRIM(CLEAN(SalesData[[#This Row],[Retailer]]))</f>
        <v>Hannover Cars</v>
      </c>
    </row>
    <row r="758" spans="1:36" ht="14.25" hidden="1" x14ac:dyDescent="0.2">
      <c r="A758" t="s">
        <v>1382</v>
      </c>
      <c r="B758" s="1">
        <v>46061</v>
      </c>
      <c r="C758" t="s">
        <v>121</v>
      </c>
      <c r="D758" t="s">
        <v>41</v>
      </c>
      <c r="E758" t="s">
        <v>42</v>
      </c>
      <c r="F758" t="s">
        <v>101</v>
      </c>
      <c r="G758" t="s">
        <v>102</v>
      </c>
      <c r="H758" t="s">
        <v>103</v>
      </c>
      <c r="I758" t="s">
        <v>104</v>
      </c>
      <c r="J758" t="s">
        <v>7031</v>
      </c>
      <c r="K758" t="s">
        <v>66</v>
      </c>
      <c r="L758" t="s">
        <v>46</v>
      </c>
      <c r="M758" t="s">
        <v>87</v>
      </c>
      <c r="N758" t="s">
        <v>48</v>
      </c>
      <c r="O758" t="s">
        <v>70</v>
      </c>
      <c r="P758" t="s">
        <v>71</v>
      </c>
      <c r="Q758" t="s">
        <v>135</v>
      </c>
      <c r="R758">
        <v>381</v>
      </c>
      <c r="S758">
        <v>178</v>
      </c>
      <c r="T758">
        <v>124</v>
      </c>
      <c r="U758">
        <v>22</v>
      </c>
      <c r="V758" t="s">
        <v>1575</v>
      </c>
      <c r="W758">
        <v>28159</v>
      </c>
      <c r="X758" t="s">
        <v>337</v>
      </c>
      <c r="Y758">
        <v>24735</v>
      </c>
      <c r="Z758">
        <v>619498</v>
      </c>
      <c r="AA758">
        <v>75328</v>
      </c>
      <c r="AB758" t="str">
        <f>(VLOOKUP(SalesData[[#This Row],[Month Number]],Reference!C$5:E$16,2,FALSE))</f>
        <v>Feb</v>
      </c>
      <c r="AC758">
        <f>MONTH(SalesData[[#This Row],[Date]])</f>
        <v>2</v>
      </c>
      <c r="AD758">
        <f>Reference!F$4</f>
        <v>2026</v>
      </c>
      <c r="AE758" t="str">
        <f>IF(OR(SalesData[[#This Row],[Day]]="Saturday",SalesData[[#This Row],[Day]]="Sunday"),"Weekend","Weekday")</f>
        <v>Weekend</v>
      </c>
      <c r="AF758" s="5">
        <f>IF(SalesData[[#This Row],[Contracts Offered]]=0,0,SalesData[[#This Row],[Contracts Signed]]/SalesData[[#This Row],[Contracts Offered]])</f>
        <v>0.17741935483870969</v>
      </c>
      <c r="AG758" s="5">
        <f>IF(SalesData[[#This Row],[Customers Visited]]=0,0,SalesData[[#This Row],[Test Drives]]/SalesData[[#This Row],[Customers Visited]])</f>
        <v>0.46719160104986879</v>
      </c>
      <c r="AH758" s="5">
        <f>IF(SalesData[[#This Row],[Customers Visited]]=0,0,SalesData[[#This Row],[Contracts Signed]]/SalesData[[#This Row],[Customers Visited]])</f>
        <v>5.774278215223097E-2</v>
      </c>
      <c r="AI758" s="6">
        <f>IF(SalesData[[#This Row],[Contracts Signed]]=0,0,SalesData[[#This Row],[Profit(€)]]/SalesData[[#This Row],[Contracts Signed]])</f>
        <v>3424</v>
      </c>
      <c r="AJ758" s="5" t="str">
        <f>TRIM(CLEAN(SalesData[[#This Row],[Retailer]]))</f>
        <v>Ruhr Auto Plaza</v>
      </c>
    </row>
    <row r="759" spans="1:36" ht="14.25" hidden="1" x14ac:dyDescent="0.2">
      <c r="A759" t="s">
        <v>1383</v>
      </c>
      <c r="B759" s="1">
        <v>46078</v>
      </c>
      <c r="C759" t="s">
        <v>53</v>
      </c>
      <c r="D759" t="s">
        <v>82</v>
      </c>
      <c r="E759" t="s">
        <v>26</v>
      </c>
      <c r="F759" t="s">
        <v>127</v>
      </c>
      <c r="G759" t="s">
        <v>128</v>
      </c>
      <c r="H759" t="s">
        <v>103</v>
      </c>
      <c r="I759" t="s">
        <v>64</v>
      </c>
      <c r="J759" t="s">
        <v>7029</v>
      </c>
      <c r="K759" t="s">
        <v>32</v>
      </c>
      <c r="L759" t="s">
        <v>33</v>
      </c>
      <c r="M759" t="s">
        <v>47</v>
      </c>
      <c r="N759" t="s">
        <v>69</v>
      </c>
      <c r="O759" t="s">
        <v>36</v>
      </c>
      <c r="P759" t="s">
        <v>58</v>
      </c>
      <c r="Q759" t="s">
        <v>135</v>
      </c>
      <c r="R759">
        <v>261</v>
      </c>
      <c r="S759">
        <v>133</v>
      </c>
      <c r="T759">
        <v>91</v>
      </c>
      <c r="U759">
        <v>37</v>
      </c>
      <c r="V759" t="s">
        <v>7306</v>
      </c>
      <c r="W759">
        <v>58855</v>
      </c>
      <c r="X759" t="s">
        <v>7176</v>
      </c>
      <c r="Y759">
        <v>46406</v>
      </c>
      <c r="Z759">
        <v>2177635</v>
      </c>
      <c r="AA759">
        <v>460613</v>
      </c>
      <c r="AB759" t="str">
        <f>(VLOOKUP(SalesData[[#This Row],[Month Number]],Reference!C$5:E$16,2,FALSE))</f>
        <v>Feb</v>
      </c>
      <c r="AC759">
        <f>MONTH(SalesData[[#This Row],[Date]])</f>
        <v>2</v>
      </c>
      <c r="AD759">
        <f>Reference!F$4</f>
        <v>2026</v>
      </c>
      <c r="AE759" t="str">
        <f>IF(OR(SalesData[[#This Row],[Day]]="Saturday",SalesData[[#This Row],[Day]]="Sunday"),"Weekend","Weekday")</f>
        <v>Weekday</v>
      </c>
      <c r="AF759" s="5">
        <f>IF(SalesData[[#This Row],[Contracts Offered]]=0,0,SalesData[[#This Row],[Contracts Signed]]/SalesData[[#This Row],[Contracts Offered]])</f>
        <v>0.40659340659340659</v>
      </c>
      <c r="AG759" s="5">
        <f>IF(SalesData[[#This Row],[Customers Visited]]=0,0,SalesData[[#This Row],[Test Drives]]/SalesData[[#This Row],[Customers Visited]])</f>
        <v>0.50957854406130265</v>
      </c>
      <c r="AH759" s="5">
        <f>IF(SalesData[[#This Row],[Customers Visited]]=0,0,SalesData[[#This Row],[Contracts Signed]]/SalesData[[#This Row],[Customers Visited]])</f>
        <v>0.1417624521072797</v>
      </c>
      <c r="AI759" s="6">
        <f>IF(SalesData[[#This Row],[Contracts Signed]]=0,0,SalesData[[#This Row],[Profit(€)]]/SalesData[[#This Row],[Contracts Signed]])</f>
        <v>12449</v>
      </c>
      <c r="AJ759" s="5" t="str">
        <f>TRIM(CLEAN(SalesData[[#This Row],[Retailer]]))</f>
        <v>Rhein Auto Group</v>
      </c>
    </row>
    <row r="760" spans="1:36" ht="14.25" hidden="1" x14ac:dyDescent="0.2">
      <c r="A760" t="s">
        <v>1384</v>
      </c>
      <c r="B760" s="1">
        <v>46059</v>
      </c>
      <c r="C760" t="s">
        <v>24</v>
      </c>
      <c r="D760" t="s">
        <v>54</v>
      </c>
      <c r="E760" t="s">
        <v>26</v>
      </c>
      <c r="F760" t="s">
        <v>74</v>
      </c>
      <c r="G760" t="s">
        <v>75</v>
      </c>
      <c r="H760" t="s">
        <v>76</v>
      </c>
      <c r="I760" t="s">
        <v>104</v>
      </c>
      <c r="J760" t="s">
        <v>105</v>
      </c>
      <c r="K760" t="s">
        <v>32</v>
      </c>
      <c r="L760" t="s">
        <v>33</v>
      </c>
      <c r="M760" t="s">
        <v>47</v>
      </c>
      <c r="N760" t="s">
        <v>69</v>
      </c>
      <c r="O760" t="s">
        <v>70</v>
      </c>
      <c r="P760" t="s">
        <v>71</v>
      </c>
      <c r="Q760" t="s">
        <v>106</v>
      </c>
      <c r="R760">
        <v>283</v>
      </c>
      <c r="S760">
        <v>118</v>
      </c>
      <c r="T760">
        <v>81</v>
      </c>
      <c r="U760">
        <v>21</v>
      </c>
      <c r="V760" t="s">
        <v>1771</v>
      </c>
      <c r="W760">
        <v>33129</v>
      </c>
      <c r="X760" t="s">
        <v>1192</v>
      </c>
      <c r="Y760">
        <v>29958</v>
      </c>
      <c r="Z760">
        <v>695709</v>
      </c>
      <c r="AA760">
        <v>66591</v>
      </c>
      <c r="AB760" t="str">
        <f>(VLOOKUP(SalesData[[#This Row],[Month Number]],Reference!C$5:E$16,2,FALSE))</f>
        <v>Feb</v>
      </c>
      <c r="AC760">
        <f>MONTH(SalesData[[#This Row],[Date]])</f>
        <v>2</v>
      </c>
      <c r="AD760">
        <f>Reference!F$4</f>
        <v>2026</v>
      </c>
      <c r="AE760" t="str">
        <f>IF(OR(SalesData[[#This Row],[Day]]="Saturday",SalesData[[#This Row],[Day]]="Sunday"),"Weekend","Weekday")</f>
        <v>Weekday</v>
      </c>
      <c r="AF760" s="5">
        <f>IF(SalesData[[#This Row],[Contracts Offered]]=0,0,SalesData[[#This Row],[Contracts Signed]]/SalesData[[#This Row],[Contracts Offered]])</f>
        <v>0.25925925925925924</v>
      </c>
      <c r="AG760" s="5">
        <f>IF(SalesData[[#This Row],[Customers Visited]]=0,0,SalesData[[#This Row],[Test Drives]]/SalesData[[#This Row],[Customers Visited]])</f>
        <v>0.41696113074204949</v>
      </c>
      <c r="AH760" s="5">
        <f>IF(SalesData[[#This Row],[Customers Visited]]=0,0,SalesData[[#This Row],[Contracts Signed]]/SalesData[[#This Row],[Customers Visited]])</f>
        <v>7.4204946996466431E-2</v>
      </c>
      <c r="AI760" s="6">
        <f>IF(SalesData[[#This Row],[Contracts Signed]]=0,0,SalesData[[#This Row],[Profit(€)]]/SalesData[[#This Row],[Contracts Signed]])</f>
        <v>3171</v>
      </c>
      <c r="AJ760" s="5" t="str">
        <f>TRIM(CLEAN(SalesData[[#This Row],[Retailer]]))</f>
        <v>Stuttgart Auto Center</v>
      </c>
    </row>
    <row r="761" spans="1:36" ht="14.25" x14ac:dyDescent="0.2">
      <c r="A761" t="s">
        <v>1386</v>
      </c>
      <c r="B761" s="1">
        <v>46063</v>
      </c>
      <c r="C761" t="s">
        <v>121</v>
      </c>
      <c r="D761" t="s">
        <v>63</v>
      </c>
      <c r="E761" t="s">
        <v>26</v>
      </c>
      <c r="F761" t="s">
        <v>101</v>
      </c>
      <c r="G761" t="s">
        <v>102</v>
      </c>
      <c r="H761" t="s">
        <v>103</v>
      </c>
      <c r="I761" t="s">
        <v>30</v>
      </c>
      <c r="J761" t="s">
        <v>7075</v>
      </c>
      <c r="K761" t="s">
        <v>66</v>
      </c>
      <c r="L761" t="s">
        <v>33</v>
      </c>
      <c r="M761" t="s">
        <v>47</v>
      </c>
      <c r="N761" t="s">
        <v>69</v>
      </c>
      <c r="O761" t="s">
        <v>70</v>
      </c>
      <c r="P761" t="s">
        <v>71</v>
      </c>
      <c r="Q761" t="s">
        <v>129</v>
      </c>
      <c r="R761">
        <v>179</v>
      </c>
      <c r="S761">
        <v>81</v>
      </c>
      <c r="T761">
        <v>56</v>
      </c>
      <c r="U761">
        <v>20</v>
      </c>
      <c r="V761" t="s">
        <v>6703</v>
      </c>
      <c r="W761">
        <v>55372</v>
      </c>
      <c r="X761" t="s">
        <v>1215</v>
      </c>
      <c r="Y761">
        <v>42011</v>
      </c>
      <c r="Z761">
        <v>1107440</v>
      </c>
      <c r="AA761">
        <v>267220</v>
      </c>
      <c r="AB761" t="str">
        <f>(VLOOKUP(SalesData[[#This Row],[Month Number]],Reference!C$5:E$16,2,FALSE))</f>
        <v>Feb</v>
      </c>
      <c r="AC761">
        <f>MONTH(SalesData[[#This Row],[Date]])</f>
        <v>2</v>
      </c>
      <c r="AD761">
        <f>Reference!F$4</f>
        <v>2026</v>
      </c>
      <c r="AE761" t="str">
        <f>IF(OR(SalesData[[#This Row],[Day]]="Saturday",SalesData[[#This Row],[Day]]="Sunday"),"Weekend","Weekday")</f>
        <v>Weekday</v>
      </c>
      <c r="AF761" s="5">
        <f>IF(SalesData[[#This Row],[Contracts Offered]]=0,0,SalesData[[#This Row],[Contracts Signed]]/SalesData[[#This Row],[Contracts Offered]])</f>
        <v>0.35714285714285715</v>
      </c>
      <c r="AG761" s="5">
        <f>IF(SalesData[[#This Row],[Customers Visited]]=0,0,SalesData[[#This Row],[Test Drives]]/SalesData[[#This Row],[Customers Visited]])</f>
        <v>0.45251396648044695</v>
      </c>
      <c r="AH761" s="5">
        <f>IF(SalesData[[#This Row],[Customers Visited]]=0,0,SalesData[[#This Row],[Contracts Signed]]/SalesData[[#This Row],[Customers Visited]])</f>
        <v>0.11173184357541899</v>
      </c>
      <c r="AI761" s="6">
        <f>IF(SalesData[[#This Row],[Contracts Signed]]=0,0,SalesData[[#This Row],[Profit(€)]]/SalesData[[#This Row],[Contracts Signed]])</f>
        <v>13361</v>
      </c>
      <c r="AJ761" s="5" t="str">
        <f>TRIM(CLEAN(SalesData[[#This Row],[Retailer]]))</f>
        <v>Ruhr Auto Plaza</v>
      </c>
    </row>
    <row r="762" spans="1:36" ht="14.25" hidden="1" x14ac:dyDescent="0.2">
      <c r="A762" t="s">
        <v>1387</v>
      </c>
      <c r="B762" s="1">
        <v>46075</v>
      </c>
      <c r="C762" t="s">
        <v>53</v>
      </c>
      <c r="D762" t="s">
        <v>41</v>
      </c>
      <c r="E762" t="s">
        <v>42</v>
      </c>
      <c r="F762" t="s">
        <v>101</v>
      </c>
      <c r="G762" t="s">
        <v>102</v>
      </c>
      <c r="H762" t="s">
        <v>103</v>
      </c>
      <c r="I762" t="s">
        <v>56</v>
      </c>
      <c r="J762" t="s">
        <v>7028</v>
      </c>
      <c r="K762" t="s">
        <v>32</v>
      </c>
      <c r="L762" t="s">
        <v>46</v>
      </c>
      <c r="M762" t="s">
        <v>47</v>
      </c>
      <c r="N762" t="s">
        <v>35</v>
      </c>
      <c r="O762" t="s">
        <v>70</v>
      </c>
      <c r="P762" t="s">
        <v>71</v>
      </c>
      <c r="Q762" t="s">
        <v>144</v>
      </c>
      <c r="R762">
        <v>242</v>
      </c>
      <c r="S762">
        <v>151</v>
      </c>
      <c r="T762">
        <v>98</v>
      </c>
      <c r="U762">
        <v>32</v>
      </c>
      <c r="V762" t="s">
        <v>7077</v>
      </c>
      <c r="W762">
        <v>53708</v>
      </c>
      <c r="X762" t="s">
        <v>826</v>
      </c>
      <c r="Y762">
        <v>41279</v>
      </c>
      <c r="Z762">
        <v>1718656</v>
      </c>
      <c r="AA762">
        <v>397728</v>
      </c>
      <c r="AB762" t="str">
        <f>(VLOOKUP(SalesData[[#This Row],[Month Number]],Reference!C$5:E$16,2,FALSE))</f>
        <v>Feb</v>
      </c>
      <c r="AC762">
        <f>MONTH(SalesData[[#This Row],[Date]])</f>
        <v>2</v>
      </c>
      <c r="AD762">
        <f>Reference!F$4</f>
        <v>2026</v>
      </c>
      <c r="AE762" t="str">
        <f>IF(OR(SalesData[[#This Row],[Day]]="Saturday",SalesData[[#This Row],[Day]]="Sunday"),"Weekend","Weekday")</f>
        <v>Weekend</v>
      </c>
      <c r="AF762" s="5">
        <f>IF(SalesData[[#This Row],[Contracts Offered]]=0,0,SalesData[[#This Row],[Contracts Signed]]/SalesData[[#This Row],[Contracts Offered]])</f>
        <v>0.32653061224489793</v>
      </c>
      <c r="AG762" s="5">
        <f>IF(SalesData[[#This Row],[Customers Visited]]=0,0,SalesData[[#This Row],[Test Drives]]/SalesData[[#This Row],[Customers Visited]])</f>
        <v>0.62396694214876036</v>
      </c>
      <c r="AH762" s="5">
        <f>IF(SalesData[[#This Row],[Customers Visited]]=0,0,SalesData[[#This Row],[Contracts Signed]]/SalesData[[#This Row],[Customers Visited]])</f>
        <v>0.13223140495867769</v>
      </c>
      <c r="AI762" s="6">
        <f>IF(SalesData[[#This Row],[Contracts Signed]]=0,0,SalesData[[#This Row],[Profit(€)]]/SalesData[[#This Row],[Contracts Signed]])</f>
        <v>12429</v>
      </c>
      <c r="AJ762" s="5" t="str">
        <f>TRIM(CLEAN(SalesData[[#This Row],[Retailer]]))</f>
        <v>Ruhr Auto Plaza</v>
      </c>
    </row>
    <row r="763" spans="1:36" ht="14.25" x14ac:dyDescent="0.2">
      <c r="A763" t="s">
        <v>1389</v>
      </c>
      <c r="B763" s="1">
        <v>46078</v>
      </c>
      <c r="C763" t="s">
        <v>53</v>
      </c>
      <c r="D763" t="s">
        <v>82</v>
      </c>
      <c r="E763" t="s">
        <v>26</v>
      </c>
      <c r="F763" t="s">
        <v>109</v>
      </c>
      <c r="G763" t="s">
        <v>110</v>
      </c>
      <c r="H763" t="s">
        <v>45</v>
      </c>
      <c r="I763" t="s">
        <v>30</v>
      </c>
      <c r="J763" t="s">
        <v>188</v>
      </c>
      <c r="K763" t="s">
        <v>91</v>
      </c>
      <c r="L763" t="s">
        <v>33</v>
      </c>
      <c r="M763" t="s">
        <v>34</v>
      </c>
      <c r="N763" t="s">
        <v>69</v>
      </c>
      <c r="O763" t="s">
        <v>70</v>
      </c>
      <c r="P763" t="s">
        <v>49</v>
      </c>
      <c r="Q763" t="s">
        <v>240</v>
      </c>
      <c r="R763">
        <v>250</v>
      </c>
      <c r="S763">
        <v>139</v>
      </c>
      <c r="T763">
        <v>99</v>
      </c>
      <c r="U763">
        <v>36</v>
      </c>
      <c r="V763" t="s">
        <v>6627</v>
      </c>
      <c r="W763">
        <v>54822</v>
      </c>
      <c r="X763" t="s">
        <v>3211</v>
      </c>
      <c r="Y763">
        <v>40153</v>
      </c>
      <c r="Z763">
        <v>1973592</v>
      </c>
      <c r="AA763">
        <v>528084</v>
      </c>
      <c r="AB763" t="str">
        <f>(VLOOKUP(SalesData[[#This Row],[Month Number]],Reference!C$5:E$16,2,FALSE))</f>
        <v>Feb</v>
      </c>
      <c r="AC763">
        <f>MONTH(SalesData[[#This Row],[Date]])</f>
        <v>2</v>
      </c>
      <c r="AD763">
        <f>Reference!F$4</f>
        <v>2026</v>
      </c>
      <c r="AE763" t="str">
        <f>IF(OR(SalesData[[#This Row],[Day]]="Saturday",SalesData[[#This Row],[Day]]="Sunday"),"Weekend","Weekday")</f>
        <v>Weekday</v>
      </c>
      <c r="AF763" s="5">
        <f>IF(SalesData[[#This Row],[Contracts Offered]]=0,0,SalesData[[#This Row],[Contracts Signed]]/SalesData[[#This Row],[Contracts Offered]])</f>
        <v>0.36363636363636365</v>
      </c>
      <c r="AG763" s="5">
        <f>IF(SalesData[[#This Row],[Customers Visited]]=0,0,SalesData[[#This Row],[Test Drives]]/SalesData[[#This Row],[Customers Visited]])</f>
        <v>0.55600000000000005</v>
      </c>
      <c r="AH763" s="5">
        <f>IF(SalesData[[#This Row],[Customers Visited]]=0,0,SalesData[[#This Row],[Contracts Signed]]/SalesData[[#This Row],[Customers Visited]])</f>
        <v>0.14399999999999999</v>
      </c>
      <c r="AI763" s="6">
        <f>IF(SalesData[[#This Row],[Contracts Signed]]=0,0,SalesData[[#This Row],[Profit(€)]]/SalesData[[#This Row],[Contracts Signed]])</f>
        <v>14669</v>
      </c>
      <c r="AJ763" s="5" t="str">
        <f>TRIM(CLEAN(SalesData[[#This Row],[Retailer]]))</f>
        <v>Leipzig Mobility</v>
      </c>
    </row>
    <row r="764" spans="1:36" ht="14.25" hidden="1" x14ac:dyDescent="0.2">
      <c r="A764" t="s">
        <v>1391</v>
      </c>
      <c r="B764" s="1">
        <v>46054</v>
      </c>
      <c r="C764" t="s">
        <v>24</v>
      </c>
      <c r="D764" t="s">
        <v>41</v>
      </c>
      <c r="E764" t="s">
        <v>42</v>
      </c>
      <c r="F764" t="s">
        <v>43</v>
      </c>
      <c r="G764" t="s">
        <v>44</v>
      </c>
      <c r="H764" t="s">
        <v>45</v>
      </c>
      <c r="I764" t="s">
        <v>56</v>
      </c>
      <c r="J764" t="s">
        <v>137</v>
      </c>
      <c r="K764" t="s">
        <v>91</v>
      </c>
      <c r="L764" t="s">
        <v>46</v>
      </c>
      <c r="M764" t="s">
        <v>68</v>
      </c>
      <c r="N764" t="s">
        <v>35</v>
      </c>
      <c r="O764" t="s">
        <v>36</v>
      </c>
      <c r="P764" t="s">
        <v>58</v>
      </c>
      <c r="Q764" t="s">
        <v>167</v>
      </c>
      <c r="R764">
        <v>274</v>
      </c>
      <c r="S764">
        <v>150</v>
      </c>
      <c r="T764">
        <v>103</v>
      </c>
      <c r="U764">
        <v>39</v>
      </c>
      <c r="V764" t="s">
        <v>6519</v>
      </c>
      <c r="W764">
        <v>48070</v>
      </c>
      <c r="X764" t="s">
        <v>7146</v>
      </c>
      <c r="Y764">
        <v>38500</v>
      </c>
      <c r="Z764">
        <v>1874730</v>
      </c>
      <c r="AA764">
        <v>373230</v>
      </c>
      <c r="AB764" t="str">
        <f>(VLOOKUP(SalesData[[#This Row],[Month Number]],Reference!C$5:E$16,2,FALSE))</f>
        <v>Feb</v>
      </c>
      <c r="AC764">
        <f>MONTH(SalesData[[#This Row],[Date]])</f>
        <v>2</v>
      </c>
      <c r="AD764">
        <f>Reference!F$4</f>
        <v>2026</v>
      </c>
      <c r="AE764" t="str">
        <f>IF(OR(SalesData[[#This Row],[Day]]="Saturday",SalesData[[#This Row],[Day]]="Sunday"),"Weekend","Weekday")</f>
        <v>Weekend</v>
      </c>
      <c r="AF764" s="5">
        <f>IF(SalesData[[#This Row],[Contracts Offered]]=0,0,SalesData[[#This Row],[Contracts Signed]]/SalesData[[#This Row],[Contracts Offered]])</f>
        <v>0.37864077669902912</v>
      </c>
      <c r="AG764" s="5">
        <f>IF(SalesData[[#This Row],[Customers Visited]]=0,0,SalesData[[#This Row],[Test Drives]]/SalesData[[#This Row],[Customers Visited]])</f>
        <v>0.54744525547445255</v>
      </c>
      <c r="AH764" s="5">
        <f>IF(SalesData[[#This Row],[Customers Visited]]=0,0,SalesData[[#This Row],[Contracts Signed]]/SalesData[[#This Row],[Customers Visited]])</f>
        <v>0.14233576642335766</v>
      </c>
      <c r="AI764" s="6">
        <f>IF(SalesData[[#This Row],[Contracts Signed]]=0,0,SalesData[[#This Row],[Profit(€)]]/SalesData[[#This Row],[Contracts Signed]])</f>
        <v>9570</v>
      </c>
      <c r="AJ764" s="5" t="str">
        <f>TRIM(CLEAN(SalesData[[#This Row],[Retailer]]))</f>
        <v>Saxon Wheels</v>
      </c>
    </row>
    <row r="765" spans="1:36" ht="14.25" hidden="1" x14ac:dyDescent="0.2">
      <c r="A765" t="s">
        <v>1392</v>
      </c>
      <c r="B765" s="1">
        <v>46056</v>
      </c>
      <c r="C765" t="s">
        <v>24</v>
      </c>
      <c r="D765" t="s">
        <v>63</v>
      </c>
      <c r="E765" t="s">
        <v>26</v>
      </c>
      <c r="F765" t="s">
        <v>7649</v>
      </c>
      <c r="G765" t="s">
        <v>55</v>
      </c>
      <c r="H765" t="s">
        <v>55</v>
      </c>
      <c r="I765" t="s">
        <v>104</v>
      </c>
      <c r="J765" t="s">
        <v>7061</v>
      </c>
      <c r="K765" t="s">
        <v>66</v>
      </c>
      <c r="L765" t="s">
        <v>46</v>
      </c>
      <c r="M765" t="s">
        <v>34</v>
      </c>
      <c r="N765" t="s">
        <v>69</v>
      </c>
      <c r="O765" t="s">
        <v>70</v>
      </c>
      <c r="P765" t="s">
        <v>58</v>
      </c>
      <c r="Q765" t="s">
        <v>106</v>
      </c>
      <c r="R765">
        <v>356</v>
      </c>
      <c r="S765">
        <v>150</v>
      </c>
      <c r="T765">
        <v>105</v>
      </c>
      <c r="U765">
        <v>30</v>
      </c>
      <c r="V765" t="s">
        <v>6410</v>
      </c>
      <c r="W765">
        <v>27017</v>
      </c>
      <c r="X765" t="s">
        <v>3756</v>
      </c>
      <c r="Y765">
        <v>23613</v>
      </c>
      <c r="Z765">
        <v>810510</v>
      </c>
      <c r="AA765">
        <v>102120</v>
      </c>
      <c r="AB765" t="str">
        <f>(VLOOKUP(SalesData[[#This Row],[Month Number]],Reference!C$5:E$16,2,FALSE))</f>
        <v>Feb</v>
      </c>
      <c r="AC765">
        <f>MONTH(SalesData[[#This Row],[Date]])</f>
        <v>2</v>
      </c>
      <c r="AD765">
        <f>Reference!F$4</f>
        <v>2026</v>
      </c>
      <c r="AE765" t="str">
        <f>IF(OR(SalesData[[#This Row],[Day]]="Saturday",SalesData[[#This Row],[Day]]="Sunday"),"Weekend","Weekday")</f>
        <v>Weekday</v>
      </c>
      <c r="AF765" s="5">
        <f>IF(SalesData[[#This Row],[Contracts Offered]]=0,0,SalesData[[#This Row],[Contracts Signed]]/SalesData[[#This Row],[Contracts Offered]])</f>
        <v>0.2857142857142857</v>
      </c>
      <c r="AG765" s="5">
        <f>IF(SalesData[[#This Row],[Customers Visited]]=0,0,SalesData[[#This Row],[Test Drives]]/SalesData[[#This Row],[Customers Visited]])</f>
        <v>0.42134831460674155</v>
      </c>
      <c r="AH765" s="5">
        <f>IF(SalesData[[#This Row],[Customers Visited]]=0,0,SalesData[[#This Row],[Contracts Signed]]/SalesData[[#This Row],[Customers Visited]])</f>
        <v>8.4269662921348312E-2</v>
      </c>
      <c r="AI765" s="6">
        <f>IF(SalesData[[#This Row],[Contracts Signed]]=0,0,SalesData[[#This Row],[Profit(€)]]/SalesData[[#This Row],[Contracts Signed]])</f>
        <v>3404</v>
      </c>
      <c r="AJ765" s="5" t="str">
        <f>TRIM(CLEAN(SalesData[[#This Row],[Retailer]]))</f>
        <v>Autohaus Berlin</v>
      </c>
    </row>
    <row r="766" spans="1:36" ht="14.25" hidden="1" x14ac:dyDescent="0.2">
      <c r="A766" t="s">
        <v>1393</v>
      </c>
      <c r="B766" s="1">
        <v>46062</v>
      </c>
      <c r="C766" t="s">
        <v>121</v>
      </c>
      <c r="D766" t="s">
        <v>25</v>
      </c>
      <c r="E766" t="s">
        <v>26</v>
      </c>
      <c r="F766" t="s">
        <v>109</v>
      </c>
      <c r="G766" t="s">
        <v>110</v>
      </c>
      <c r="H766" t="s">
        <v>45</v>
      </c>
      <c r="I766" t="s">
        <v>104</v>
      </c>
      <c r="J766" t="s">
        <v>140</v>
      </c>
      <c r="K766" t="s">
        <v>78</v>
      </c>
      <c r="L766" t="s">
        <v>46</v>
      </c>
      <c r="M766" t="s">
        <v>87</v>
      </c>
      <c r="N766" t="s">
        <v>69</v>
      </c>
      <c r="O766" t="s">
        <v>36</v>
      </c>
      <c r="P766" t="s">
        <v>58</v>
      </c>
      <c r="Q766" t="s">
        <v>169</v>
      </c>
      <c r="R766">
        <v>320</v>
      </c>
      <c r="S766">
        <v>135</v>
      </c>
      <c r="T766">
        <v>90</v>
      </c>
      <c r="U766">
        <v>25</v>
      </c>
      <c r="V766" t="s">
        <v>123</v>
      </c>
      <c r="W766">
        <v>26191</v>
      </c>
      <c r="X766" t="s">
        <v>7142</v>
      </c>
      <c r="Y766">
        <v>22774</v>
      </c>
      <c r="Z766">
        <v>654775</v>
      </c>
      <c r="AA766">
        <v>85425</v>
      </c>
      <c r="AB766" t="str">
        <f>(VLOOKUP(SalesData[[#This Row],[Month Number]],Reference!C$5:E$16,2,FALSE))</f>
        <v>Feb</v>
      </c>
      <c r="AC766">
        <f>MONTH(SalesData[[#This Row],[Date]])</f>
        <v>2</v>
      </c>
      <c r="AD766">
        <f>Reference!F$4</f>
        <v>2026</v>
      </c>
      <c r="AE766" t="str">
        <f>IF(OR(SalesData[[#This Row],[Day]]="Saturday",SalesData[[#This Row],[Day]]="Sunday"),"Weekend","Weekday")</f>
        <v>Weekday</v>
      </c>
      <c r="AF766" s="5">
        <f>IF(SalesData[[#This Row],[Contracts Offered]]=0,0,SalesData[[#This Row],[Contracts Signed]]/SalesData[[#This Row],[Contracts Offered]])</f>
        <v>0.27777777777777779</v>
      </c>
      <c r="AG766" s="5">
        <f>IF(SalesData[[#This Row],[Customers Visited]]=0,0,SalesData[[#This Row],[Test Drives]]/SalesData[[#This Row],[Customers Visited]])</f>
        <v>0.421875</v>
      </c>
      <c r="AH766" s="5">
        <f>IF(SalesData[[#This Row],[Customers Visited]]=0,0,SalesData[[#This Row],[Contracts Signed]]/SalesData[[#This Row],[Customers Visited]])</f>
        <v>7.8125E-2</v>
      </c>
      <c r="AI766" s="6">
        <f>IF(SalesData[[#This Row],[Contracts Signed]]=0,0,SalesData[[#This Row],[Profit(€)]]/SalesData[[#This Row],[Contracts Signed]])</f>
        <v>3417</v>
      </c>
      <c r="AJ766" s="5" t="str">
        <f>TRIM(CLEAN(SalesData[[#This Row],[Retailer]]))</f>
        <v>Leipzig Mobility</v>
      </c>
    </row>
    <row r="767" spans="1:36" ht="14.25" hidden="1" x14ac:dyDescent="0.2">
      <c r="A767" t="s">
        <v>1394</v>
      </c>
      <c r="B767" s="1">
        <v>46061</v>
      </c>
      <c r="C767" t="s">
        <v>121</v>
      </c>
      <c r="D767" t="s">
        <v>41</v>
      </c>
      <c r="E767" t="s">
        <v>42</v>
      </c>
      <c r="F767" t="s">
        <v>109</v>
      </c>
      <c r="G767" t="s">
        <v>110</v>
      </c>
      <c r="H767" t="s">
        <v>45</v>
      </c>
      <c r="I767" t="s">
        <v>116</v>
      </c>
      <c r="J767" t="s">
        <v>132</v>
      </c>
      <c r="K767" t="s">
        <v>32</v>
      </c>
      <c r="L767" t="s">
        <v>46</v>
      </c>
      <c r="M767" t="s">
        <v>87</v>
      </c>
      <c r="N767" t="s">
        <v>35</v>
      </c>
      <c r="O767" t="s">
        <v>70</v>
      </c>
      <c r="P767" t="s">
        <v>71</v>
      </c>
      <c r="Q767" t="s">
        <v>189</v>
      </c>
      <c r="R767">
        <v>381</v>
      </c>
      <c r="S767">
        <v>147</v>
      </c>
      <c r="T767">
        <v>90</v>
      </c>
      <c r="U767">
        <v>18</v>
      </c>
      <c r="V767" t="s">
        <v>1237</v>
      </c>
      <c r="W767">
        <v>25419</v>
      </c>
      <c r="X767" t="s">
        <v>6936</v>
      </c>
      <c r="Y767">
        <v>23106</v>
      </c>
      <c r="Z767">
        <v>457542</v>
      </c>
      <c r="AA767">
        <v>41634</v>
      </c>
      <c r="AB767" t="str">
        <f>(VLOOKUP(SalesData[[#This Row],[Month Number]],Reference!C$5:E$16,2,FALSE))</f>
        <v>Feb</v>
      </c>
      <c r="AC767">
        <f>MONTH(SalesData[[#This Row],[Date]])</f>
        <v>2</v>
      </c>
      <c r="AD767">
        <f>Reference!F$4</f>
        <v>2026</v>
      </c>
      <c r="AE767" t="str">
        <f>IF(OR(SalesData[[#This Row],[Day]]="Saturday",SalesData[[#This Row],[Day]]="Sunday"),"Weekend","Weekday")</f>
        <v>Weekend</v>
      </c>
      <c r="AF767" s="5">
        <f>IF(SalesData[[#This Row],[Contracts Offered]]=0,0,SalesData[[#This Row],[Contracts Signed]]/SalesData[[#This Row],[Contracts Offered]])</f>
        <v>0.2</v>
      </c>
      <c r="AG767" s="5">
        <f>IF(SalesData[[#This Row],[Customers Visited]]=0,0,SalesData[[#This Row],[Test Drives]]/SalesData[[#This Row],[Customers Visited]])</f>
        <v>0.38582677165354329</v>
      </c>
      <c r="AH767" s="5">
        <f>IF(SalesData[[#This Row],[Customers Visited]]=0,0,SalesData[[#This Row],[Contracts Signed]]/SalesData[[#This Row],[Customers Visited]])</f>
        <v>4.7244094488188976E-2</v>
      </c>
      <c r="AI767" s="6">
        <f>IF(SalesData[[#This Row],[Contracts Signed]]=0,0,SalesData[[#This Row],[Profit(€)]]/SalesData[[#This Row],[Contracts Signed]])</f>
        <v>2313</v>
      </c>
      <c r="AJ767" s="5" t="str">
        <f>TRIM(CLEAN(SalesData[[#This Row],[Retailer]]))</f>
        <v>Leipzig Mobility</v>
      </c>
    </row>
    <row r="768" spans="1:36" ht="14.25" hidden="1" x14ac:dyDescent="0.2">
      <c r="A768" t="s">
        <v>1395</v>
      </c>
      <c r="B768" s="1">
        <v>46057</v>
      </c>
      <c r="C768" t="s">
        <v>24</v>
      </c>
      <c r="D768" t="s">
        <v>82</v>
      </c>
      <c r="E768" t="s">
        <v>26</v>
      </c>
      <c r="F768" t="s">
        <v>74</v>
      </c>
      <c r="G768" t="s">
        <v>75</v>
      </c>
      <c r="H768" t="s">
        <v>76</v>
      </c>
      <c r="I768" t="s">
        <v>116</v>
      </c>
      <c r="J768" t="s">
        <v>132</v>
      </c>
      <c r="K768" t="s">
        <v>66</v>
      </c>
      <c r="L768" t="s">
        <v>46</v>
      </c>
      <c r="M768" t="s">
        <v>68</v>
      </c>
      <c r="N768" t="s">
        <v>35</v>
      </c>
      <c r="O768" t="s">
        <v>36</v>
      </c>
      <c r="P768" t="s">
        <v>37</v>
      </c>
      <c r="Q768" t="s">
        <v>152</v>
      </c>
      <c r="R768">
        <v>358</v>
      </c>
      <c r="S768">
        <v>139</v>
      </c>
      <c r="T768">
        <v>87</v>
      </c>
      <c r="U768">
        <v>20</v>
      </c>
      <c r="V768" t="s">
        <v>411</v>
      </c>
      <c r="W768">
        <v>22738</v>
      </c>
      <c r="X768" t="s">
        <v>260</v>
      </c>
      <c r="Y768">
        <v>20970</v>
      </c>
      <c r="Z768">
        <v>454760</v>
      </c>
      <c r="AA768">
        <v>35360</v>
      </c>
      <c r="AB768" t="str">
        <f>(VLOOKUP(SalesData[[#This Row],[Month Number]],Reference!C$5:E$16,2,FALSE))</f>
        <v>Feb</v>
      </c>
      <c r="AC768">
        <f>MONTH(SalesData[[#This Row],[Date]])</f>
        <v>2</v>
      </c>
      <c r="AD768">
        <f>Reference!F$4</f>
        <v>2026</v>
      </c>
      <c r="AE768" t="str">
        <f>IF(OR(SalesData[[#This Row],[Day]]="Saturday",SalesData[[#This Row],[Day]]="Sunday"),"Weekend","Weekday")</f>
        <v>Weekday</v>
      </c>
      <c r="AF768" s="5">
        <f>IF(SalesData[[#This Row],[Contracts Offered]]=0,0,SalesData[[#This Row],[Contracts Signed]]/SalesData[[#This Row],[Contracts Offered]])</f>
        <v>0.22988505747126436</v>
      </c>
      <c r="AG768" s="5">
        <f>IF(SalesData[[#This Row],[Customers Visited]]=0,0,SalesData[[#This Row],[Test Drives]]/SalesData[[#This Row],[Customers Visited]])</f>
        <v>0.38826815642458101</v>
      </c>
      <c r="AH768" s="5">
        <f>IF(SalesData[[#This Row],[Customers Visited]]=0,0,SalesData[[#This Row],[Contracts Signed]]/SalesData[[#This Row],[Customers Visited]])</f>
        <v>5.5865921787709494E-2</v>
      </c>
      <c r="AI768" s="6">
        <f>IF(SalesData[[#This Row],[Contracts Signed]]=0,0,SalesData[[#This Row],[Profit(€)]]/SalesData[[#This Row],[Contracts Signed]])</f>
        <v>1768</v>
      </c>
      <c r="AJ768" s="5" t="str">
        <f>TRIM(CLEAN(SalesData[[#This Row],[Retailer]]))</f>
        <v>Stuttgart Auto Center</v>
      </c>
    </row>
    <row r="769" spans="1:36" ht="14.25" hidden="1" x14ac:dyDescent="0.2">
      <c r="A769" t="s">
        <v>1396</v>
      </c>
      <c r="B769" s="1">
        <v>46077</v>
      </c>
      <c r="C769" t="s">
        <v>53</v>
      </c>
      <c r="D769" t="s">
        <v>63</v>
      </c>
      <c r="E769" t="s">
        <v>26</v>
      </c>
      <c r="F769" t="s">
        <v>83</v>
      </c>
      <c r="G769" t="s">
        <v>84</v>
      </c>
      <c r="H769" t="s">
        <v>85</v>
      </c>
      <c r="I769" t="s">
        <v>64</v>
      </c>
      <c r="J769" t="s">
        <v>77</v>
      </c>
      <c r="K769" t="s">
        <v>32</v>
      </c>
      <c r="L769" t="s">
        <v>46</v>
      </c>
      <c r="M769" t="s">
        <v>68</v>
      </c>
      <c r="N769" t="s">
        <v>48</v>
      </c>
      <c r="O769" t="s">
        <v>36</v>
      </c>
      <c r="P769" t="s">
        <v>49</v>
      </c>
      <c r="Q769" t="s">
        <v>135</v>
      </c>
      <c r="R769">
        <v>146</v>
      </c>
      <c r="S769">
        <v>80</v>
      </c>
      <c r="T769">
        <v>61</v>
      </c>
      <c r="U769">
        <v>18</v>
      </c>
      <c r="V769" t="s">
        <v>6870</v>
      </c>
      <c r="W769">
        <v>66297</v>
      </c>
      <c r="X769" t="s">
        <v>1403</v>
      </c>
      <c r="Y769">
        <v>50221</v>
      </c>
      <c r="Z769">
        <v>1193346</v>
      </c>
      <c r="AA769">
        <v>289368</v>
      </c>
      <c r="AB769" t="str">
        <f>(VLOOKUP(SalesData[[#This Row],[Month Number]],Reference!C$5:E$16,2,FALSE))</f>
        <v>Feb</v>
      </c>
      <c r="AC769">
        <f>MONTH(SalesData[[#This Row],[Date]])</f>
        <v>2</v>
      </c>
      <c r="AD769">
        <f>Reference!F$4</f>
        <v>2026</v>
      </c>
      <c r="AE769" t="str">
        <f>IF(OR(SalesData[[#This Row],[Day]]="Saturday",SalesData[[#This Row],[Day]]="Sunday"),"Weekend","Weekday")</f>
        <v>Weekday</v>
      </c>
      <c r="AF769" s="5">
        <f>IF(SalesData[[#This Row],[Contracts Offered]]=0,0,SalesData[[#This Row],[Contracts Signed]]/SalesData[[#This Row],[Contracts Offered]])</f>
        <v>0.29508196721311475</v>
      </c>
      <c r="AG769" s="5">
        <f>IF(SalesData[[#This Row],[Customers Visited]]=0,0,SalesData[[#This Row],[Test Drives]]/SalesData[[#This Row],[Customers Visited]])</f>
        <v>0.54794520547945202</v>
      </c>
      <c r="AH769" s="5">
        <f>IF(SalesData[[#This Row],[Customers Visited]]=0,0,SalesData[[#This Row],[Contracts Signed]]/SalesData[[#This Row],[Customers Visited]])</f>
        <v>0.12328767123287671</v>
      </c>
      <c r="AI769" s="6">
        <f>IF(SalesData[[#This Row],[Contracts Signed]]=0,0,SalesData[[#This Row],[Profit(€)]]/SalesData[[#This Row],[Contracts Signed]])</f>
        <v>16076</v>
      </c>
      <c r="AJ769" s="5" t="str">
        <f>TRIM(CLEAN(SalesData[[#This Row],[Retailer]]))</f>
        <v>Hannover Cars</v>
      </c>
    </row>
    <row r="770" spans="1:36" ht="14.25" hidden="1" x14ac:dyDescent="0.2">
      <c r="A770" t="s">
        <v>1397</v>
      </c>
      <c r="B770" s="1">
        <v>46054</v>
      </c>
      <c r="C770" t="s">
        <v>24</v>
      </c>
      <c r="D770" t="s">
        <v>41</v>
      </c>
      <c r="E770" t="s">
        <v>42</v>
      </c>
      <c r="F770" t="s">
        <v>43</v>
      </c>
      <c r="G770" t="s">
        <v>44</v>
      </c>
      <c r="H770" t="s">
        <v>45</v>
      </c>
      <c r="I770" t="s">
        <v>64</v>
      </c>
      <c r="J770" t="s">
        <v>7029</v>
      </c>
      <c r="K770" t="s">
        <v>66</v>
      </c>
      <c r="L770" t="s">
        <v>33</v>
      </c>
      <c r="M770" t="s">
        <v>87</v>
      </c>
      <c r="N770" t="s">
        <v>48</v>
      </c>
      <c r="O770" t="s">
        <v>70</v>
      </c>
      <c r="P770" t="s">
        <v>49</v>
      </c>
      <c r="Q770" t="s">
        <v>106</v>
      </c>
      <c r="R770">
        <v>224</v>
      </c>
      <c r="S770">
        <v>100</v>
      </c>
      <c r="T770">
        <v>76</v>
      </c>
      <c r="U770">
        <v>21</v>
      </c>
      <c r="V770" t="s">
        <v>6790</v>
      </c>
      <c r="W770">
        <v>57821</v>
      </c>
      <c r="X770" t="s">
        <v>7054</v>
      </c>
      <c r="Y770">
        <v>44111</v>
      </c>
      <c r="Z770">
        <v>1214241</v>
      </c>
      <c r="AA770">
        <v>287910</v>
      </c>
      <c r="AB770" t="str">
        <f>(VLOOKUP(SalesData[[#This Row],[Month Number]],Reference!C$5:E$16,2,FALSE))</f>
        <v>Feb</v>
      </c>
      <c r="AC770">
        <f>MONTH(SalesData[[#This Row],[Date]])</f>
        <v>2</v>
      </c>
      <c r="AD770">
        <f>Reference!F$4</f>
        <v>2026</v>
      </c>
      <c r="AE770" t="str">
        <f>IF(OR(SalesData[[#This Row],[Day]]="Saturday",SalesData[[#This Row],[Day]]="Sunday"),"Weekend","Weekday")</f>
        <v>Weekend</v>
      </c>
      <c r="AF770" s="5">
        <f>IF(SalesData[[#This Row],[Contracts Offered]]=0,0,SalesData[[#This Row],[Contracts Signed]]/SalesData[[#This Row],[Contracts Offered]])</f>
        <v>0.27631578947368424</v>
      </c>
      <c r="AG770" s="5">
        <f>IF(SalesData[[#This Row],[Customers Visited]]=0,0,SalesData[[#This Row],[Test Drives]]/SalesData[[#This Row],[Customers Visited]])</f>
        <v>0.44642857142857145</v>
      </c>
      <c r="AH770" s="5">
        <f>IF(SalesData[[#This Row],[Customers Visited]]=0,0,SalesData[[#This Row],[Contracts Signed]]/SalesData[[#This Row],[Customers Visited]])</f>
        <v>9.375E-2</v>
      </c>
      <c r="AI770" s="6">
        <f>IF(SalesData[[#This Row],[Contracts Signed]]=0,0,SalesData[[#This Row],[Profit(€)]]/SalesData[[#This Row],[Contracts Signed]])</f>
        <v>13710</v>
      </c>
      <c r="AJ770" s="5" t="str">
        <f>TRIM(CLEAN(SalesData[[#This Row],[Retailer]]))</f>
        <v>Saxon Wheels</v>
      </c>
    </row>
    <row r="771" spans="1:36" ht="14.25" hidden="1" x14ac:dyDescent="0.2">
      <c r="A771" t="s">
        <v>1399</v>
      </c>
      <c r="B771" s="1">
        <v>46056</v>
      </c>
      <c r="C771" t="s">
        <v>24</v>
      </c>
      <c r="D771" t="s">
        <v>63</v>
      </c>
      <c r="E771" t="s">
        <v>26</v>
      </c>
      <c r="F771" t="s">
        <v>74</v>
      </c>
      <c r="G771" t="s">
        <v>75</v>
      </c>
      <c r="H771" t="s">
        <v>76</v>
      </c>
      <c r="I771" t="s">
        <v>104</v>
      </c>
      <c r="J771" t="s">
        <v>105</v>
      </c>
      <c r="K771" t="s">
        <v>78</v>
      </c>
      <c r="L771" t="s">
        <v>33</v>
      </c>
      <c r="M771" t="s">
        <v>68</v>
      </c>
      <c r="N771" t="s">
        <v>35</v>
      </c>
      <c r="O771" t="s">
        <v>70</v>
      </c>
      <c r="P771" t="s">
        <v>37</v>
      </c>
      <c r="Q771" t="s">
        <v>122</v>
      </c>
      <c r="R771">
        <v>304</v>
      </c>
      <c r="S771">
        <v>150</v>
      </c>
      <c r="T771">
        <v>97</v>
      </c>
      <c r="U771">
        <v>20</v>
      </c>
      <c r="V771" t="s">
        <v>1366</v>
      </c>
      <c r="W771">
        <v>33735</v>
      </c>
      <c r="X771" t="s">
        <v>260</v>
      </c>
      <c r="Y771">
        <v>29383</v>
      </c>
      <c r="Z771">
        <v>674700</v>
      </c>
      <c r="AA771">
        <v>87040</v>
      </c>
      <c r="AB771" t="str">
        <f>(VLOOKUP(SalesData[[#This Row],[Month Number]],Reference!C$5:E$16,2,FALSE))</f>
        <v>Feb</v>
      </c>
      <c r="AC771">
        <f>MONTH(SalesData[[#This Row],[Date]])</f>
        <v>2</v>
      </c>
      <c r="AD771">
        <f>Reference!F$4</f>
        <v>2026</v>
      </c>
      <c r="AE771" t="str">
        <f>IF(OR(SalesData[[#This Row],[Day]]="Saturday",SalesData[[#This Row],[Day]]="Sunday"),"Weekend","Weekday")</f>
        <v>Weekday</v>
      </c>
      <c r="AF771" s="5">
        <f>IF(SalesData[[#This Row],[Contracts Offered]]=0,0,SalesData[[#This Row],[Contracts Signed]]/SalesData[[#This Row],[Contracts Offered]])</f>
        <v>0.20618556701030927</v>
      </c>
      <c r="AG771" s="5">
        <f>IF(SalesData[[#This Row],[Customers Visited]]=0,0,SalesData[[#This Row],[Test Drives]]/SalesData[[#This Row],[Customers Visited]])</f>
        <v>0.49342105263157893</v>
      </c>
      <c r="AH771" s="5">
        <f>IF(SalesData[[#This Row],[Customers Visited]]=0,0,SalesData[[#This Row],[Contracts Signed]]/SalesData[[#This Row],[Customers Visited]])</f>
        <v>6.5789473684210523E-2</v>
      </c>
      <c r="AI771" s="6">
        <f>IF(SalesData[[#This Row],[Contracts Signed]]=0,0,SalesData[[#This Row],[Profit(€)]]/SalesData[[#This Row],[Contracts Signed]])</f>
        <v>4352</v>
      </c>
      <c r="AJ771" s="5" t="str">
        <f>TRIM(CLEAN(SalesData[[#This Row],[Retailer]]))</f>
        <v>Stuttgart Auto Center</v>
      </c>
    </row>
    <row r="772" spans="1:36" ht="14.25" hidden="1" x14ac:dyDescent="0.2">
      <c r="A772" t="s">
        <v>1400</v>
      </c>
      <c r="B772" s="1">
        <v>46073</v>
      </c>
      <c r="C772" t="s">
        <v>62</v>
      </c>
      <c r="D772" t="s">
        <v>54</v>
      </c>
      <c r="E772" t="s">
        <v>26</v>
      </c>
      <c r="F772" t="s">
        <v>43</v>
      </c>
      <c r="G772" t="s">
        <v>44</v>
      </c>
      <c r="H772" t="s">
        <v>45</v>
      </c>
      <c r="I772" t="s">
        <v>56</v>
      </c>
      <c r="J772" t="s">
        <v>137</v>
      </c>
      <c r="K772" t="s">
        <v>66</v>
      </c>
      <c r="L772" t="s">
        <v>46</v>
      </c>
      <c r="M772" t="s">
        <v>87</v>
      </c>
      <c r="N772" t="s">
        <v>35</v>
      </c>
      <c r="O772" t="s">
        <v>70</v>
      </c>
      <c r="P772" t="s">
        <v>71</v>
      </c>
      <c r="Q772" t="s">
        <v>172</v>
      </c>
      <c r="R772">
        <v>161</v>
      </c>
      <c r="S772">
        <v>74</v>
      </c>
      <c r="T772">
        <v>55</v>
      </c>
      <c r="U772">
        <v>17</v>
      </c>
      <c r="V772" t="s">
        <v>6650</v>
      </c>
      <c r="W772">
        <v>50434</v>
      </c>
      <c r="X772" t="s">
        <v>7177</v>
      </c>
      <c r="Y772">
        <v>40194</v>
      </c>
      <c r="Z772">
        <v>857378</v>
      </c>
      <c r="AA772">
        <v>174080</v>
      </c>
      <c r="AB772" t="str">
        <f>(VLOOKUP(SalesData[[#This Row],[Month Number]],Reference!C$5:E$16,2,FALSE))</f>
        <v>Feb</v>
      </c>
      <c r="AC772">
        <f>MONTH(SalesData[[#This Row],[Date]])</f>
        <v>2</v>
      </c>
      <c r="AD772">
        <f>Reference!F$4</f>
        <v>2026</v>
      </c>
      <c r="AE772" t="str">
        <f>IF(OR(SalesData[[#This Row],[Day]]="Saturday",SalesData[[#This Row],[Day]]="Sunday"),"Weekend","Weekday")</f>
        <v>Weekday</v>
      </c>
      <c r="AF772" s="5">
        <f>IF(SalesData[[#This Row],[Contracts Offered]]=0,0,SalesData[[#This Row],[Contracts Signed]]/SalesData[[#This Row],[Contracts Offered]])</f>
        <v>0.30909090909090908</v>
      </c>
      <c r="AG772" s="5">
        <f>IF(SalesData[[#This Row],[Customers Visited]]=0,0,SalesData[[#This Row],[Test Drives]]/SalesData[[#This Row],[Customers Visited]])</f>
        <v>0.45962732919254656</v>
      </c>
      <c r="AH772" s="5">
        <f>IF(SalesData[[#This Row],[Customers Visited]]=0,0,SalesData[[#This Row],[Contracts Signed]]/SalesData[[#This Row],[Customers Visited]])</f>
        <v>0.10559006211180125</v>
      </c>
      <c r="AI772" s="6">
        <f>IF(SalesData[[#This Row],[Contracts Signed]]=0,0,SalesData[[#This Row],[Profit(€)]]/SalesData[[#This Row],[Contracts Signed]])</f>
        <v>10240</v>
      </c>
      <c r="AJ772" s="5" t="str">
        <f>TRIM(CLEAN(SalesData[[#This Row],[Retailer]]))</f>
        <v>Saxon Wheels</v>
      </c>
    </row>
    <row r="773" spans="1:36" ht="14.25" hidden="1" x14ac:dyDescent="0.2">
      <c r="A773" t="s">
        <v>1401</v>
      </c>
      <c r="B773" s="1">
        <v>46054</v>
      </c>
      <c r="C773" t="s">
        <v>24</v>
      </c>
      <c r="D773" t="s">
        <v>41</v>
      </c>
      <c r="E773" t="s">
        <v>42</v>
      </c>
      <c r="F773" t="s">
        <v>109</v>
      </c>
      <c r="G773" t="s">
        <v>110</v>
      </c>
      <c r="H773" t="s">
        <v>45</v>
      </c>
      <c r="I773" t="s">
        <v>116</v>
      </c>
      <c r="J773" t="s">
        <v>7090</v>
      </c>
      <c r="K773" t="s">
        <v>66</v>
      </c>
      <c r="L773" t="s">
        <v>46</v>
      </c>
      <c r="M773" t="s">
        <v>68</v>
      </c>
      <c r="N773" t="s">
        <v>48</v>
      </c>
      <c r="O773" t="s">
        <v>36</v>
      </c>
      <c r="P773" t="s">
        <v>49</v>
      </c>
      <c r="Q773" t="s">
        <v>38</v>
      </c>
      <c r="R773">
        <v>424</v>
      </c>
      <c r="S773">
        <v>228</v>
      </c>
      <c r="T773">
        <v>156</v>
      </c>
      <c r="U773">
        <v>31</v>
      </c>
      <c r="V773" t="s">
        <v>1598</v>
      </c>
      <c r="W773">
        <v>23450</v>
      </c>
      <c r="X773" t="s">
        <v>880</v>
      </c>
      <c r="Y773">
        <v>21227</v>
      </c>
      <c r="Z773">
        <v>726950</v>
      </c>
      <c r="AA773">
        <v>68913</v>
      </c>
      <c r="AB773" t="str">
        <f>(VLOOKUP(SalesData[[#This Row],[Month Number]],Reference!C$5:E$16,2,FALSE))</f>
        <v>Feb</v>
      </c>
      <c r="AC773">
        <f>MONTH(SalesData[[#This Row],[Date]])</f>
        <v>2</v>
      </c>
      <c r="AD773">
        <f>Reference!F$4</f>
        <v>2026</v>
      </c>
      <c r="AE773" t="str">
        <f>IF(OR(SalesData[[#This Row],[Day]]="Saturday",SalesData[[#This Row],[Day]]="Sunday"),"Weekend","Weekday")</f>
        <v>Weekend</v>
      </c>
      <c r="AF773" s="5">
        <f>IF(SalesData[[#This Row],[Contracts Offered]]=0,0,SalesData[[#This Row],[Contracts Signed]]/SalesData[[#This Row],[Contracts Offered]])</f>
        <v>0.19871794871794871</v>
      </c>
      <c r="AG773" s="5">
        <f>IF(SalesData[[#This Row],[Customers Visited]]=0,0,SalesData[[#This Row],[Test Drives]]/SalesData[[#This Row],[Customers Visited]])</f>
        <v>0.53773584905660377</v>
      </c>
      <c r="AH773" s="5">
        <f>IF(SalesData[[#This Row],[Customers Visited]]=0,0,SalesData[[#This Row],[Contracts Signed]]/SalesData[[#This Row],[Customers Visited]])</f>
        <v>7.3113207547169809E-2</v>
      </c>
      <c r="AI773" s="6">
        <f>IF(SalesData[[#This Row],[Contracts Signed]]=0,0,SalesData[[#This Row],[Profit(€)]]/SalesData[[#This Row],[Contracts Signed]])</f>
        <v>2223</v>
      </c>
      <c r="AJ773" s="5" t="str">
        <f>TRIM(CLEAN(SalesData[[#This Row],[Retailer]]))</f>
        <v>Leipzig Mobility</v>
      </c>
    </row>
    <row r="774" spans="1:36" ht="14.25" hidden="1" x14ac:dyDescent="0.2">
      <c r="A774" t="s">
        <v>1402</v>
      </c>
      <c r="B774" s="1">
        <v>46073</v>
      </c>
      <c r="C774" t="s">
        <v>62</v>
      </c>
      <c r="D774" t="s">
        <v>54</v>
      </c>
      <c r="E774" t="s">
        <v>26</v>
      </c>
      <c r="F774" t="s">
        <v>109</v>
      </c>
      <c r="G774" t="s">
        <v>110</v>
      </c>
      <c r="H774" t="s">
        <v>45</v>
      </c>
      <c r="I774" t="s">
        <v>104</v>
      </c>
      <c r="J774" t="s">
        <v>7061</v>
      </c>
      <c r="K774" t="s">
        <v>91</v>
      </c>
      <c r="L774" t="s">
        <v>46</v>
      </c>
      <c r="M774" t="s">
        <v>68</v>
      </c>
      <c r="N774" t="s">
        <v>69</v>
      </c>
      <c r="O774" t="s">
        <v>70</v>
      </c>
      <c r="P774" t="s">
        <v>49</v>
      </c>
      <c r="Q774" t="s">
        <v>167</v>
      </c>
      <c r="R774">
        <v>312</v>
      </c>
      <c r="S774">
        <v>143</v>
      </c>
      <c r="T774">
        <v>94</v>
      </c>
      <c r="U774">
        <v>17</v>
      </c>
      <c r="V774" t="s">
        <v>676</v>
      </c>
      <c r="W774">
        <v>27601</v>
      </c>
      <c r="X774" t="s">
        <v>450</v>
      </c>
      <c r="Y774">
        <v>24640</v>
      </c>
      <c r="Z774">
        <v>469217</v>
      </c>
      <c r="AA774">
        <v>50337</v>
      </c>
      <c r="AB774" t="str">
        <f>(VLOOKUP(SalesData[[#This Row],[Month Number]],Reference!C$5:E$16,2,FALSE))</f>
        <v>Feb</v>
      </c>
      <c r="AC774">
        <f>MONTH(SalesData[[#This Row],[Date]])</f>
        <v>2</v>
      </c>
      <c r="AD774">
        <f>Reference!F$4</f>
        <v>2026</v>
      </c>
      <c r="AE774" t="str">
        <f>IF(OR(SalesData[[#This Row],[Day]]="Saturday",SalesData[[#This Row],[Day]]="Sunday"),"Weekend","Weekday")</f>
        <v>Weekday</v>
      </c>
      <c r="AF774" s="5">
        <f>IF(SalesData[[#This Row],[Contracts Offered]]=0,0,SalesData[[#This Row],[Contracts Signed]]/SalesData[[#This Row],[Contracts Offered]])</f>
        <v>0.18085106382978725</v>
      </c>
      <c r="AG774" s="5">
        <f>IF(SalesData[[#This Row],[Customers Visited]]=0,0,SalesData[[#This Row],[Test Drives]]/SalesData[[#This Row],[Customers Visited]])</f>
        <v>0.45833333333333331</v>
      </c>
      <c r="AH774" s="5">
        <f>IF(SalesData[[#This Row],[Customers Visited]]=0,0,SalesData[[#This Row],[Contracts Signed]]/SalesData[[#This Row],[Customers Visited]])</f>
        <v>5.4487179487179488E-2</v>
      </c>
      <c r="AI774" s="6">
        <f>IF(SalesData[[#This Row],[Contracts Signed]]=0,0,SalesData[[#This Row],[Profit(€)]]/SalesData[[#This Row],[Contracts Signed]])</f>
        <v>2961</v>
      </c>
      <c r="AJ774" s="5" t="str">
        <f>TRIM(CLEAN(SalesData[[#This Row],[Retailer]]))</f>
        <v>Leipzig Mobility</v>
      </c>
    </row>
    <row r="775" spans="1:36" ht="14.25" hidden="1" x14ac:dyDescent="0.2">
      <c r="A775" t="s">
        <v>1404</v>
      </c>
      <c r="B775" s="1">
        <v>46077</v>
      </c>
      <c r="C775" t="s">
        <v>53</v>
      </c>
      <c r="D775" t="s">
        <v>63</v>
      </c>
      <c r="E775" t="s">
        <v>26</v>
      </c>
      <c r="F775" t="s">
        <v>27</v>
      </c>
      <c r="G775" t="s">
        <v>28</v>
      </c>
      <c r="H775" t="s">
        <v>29</v>
      </c>
      <c r="I775" t="s">
        <v>56</v>
      </c>
      <c r="J775" t="s">
        <v>97</v>
      </c>
      <c r="K775" t="s">
        <v>66</v>
      </c>
      <c r="L775" t="s">
        <v>33</v>
      </c>
      <c r="M775" t="s">
        <v>68</v>
      </c>
      <c r="N775" t="s">
        <v>48</v>
      </c>
      <c r="O775" t="s">
        <v>70</v>
      </c>
      <c r="P775" t="s">
        <v>58</v>
      </c>
      <c r="Q775" t="s">
        <v>189</v>
      </c>
      <c r="R775">
        <v>211</v>
      </c>
      <c r="S775">
        <v>107</v>
      </c>
      <c r="T775">
        <v>69</v>
      </c>
      <c r="U775">
        <v>27</v>
      </c>
      <c r="V775" t="s">
        <v>6674</v>
      </c>
      <c r="W775">
        <v>44258</v>
      </c>
      <c r="X775" t="s">
        <v>7307</v>
      </c>
      <c r="Y775">
        <v>33621</v>
      </c>
      <c r="Z775">
        <v>1194966</v>
      </c>
      <c r="AA775">
        <v>287199</v>
      </c>
      <c r="AB775" t="str">
        <f>(VLOOKUP(SalesData[[#This Row],[Month Number]],Reference!C$5:E$16,2,FALSE))</f>
        <v>Feb</v>
      </c>
      <c r="AC775">
        <f>MONTH(SalesData[[#This Row],[Date]])</f>
        <v>2</v>
      </c>
      <c r="AD775">
        <f>Reference!F$4</f>
        <v>2026</v>
      </c>
      <c r="AE775" t="str">
        <f>IF(OR(SalesData[[#This Row],[Day]]="Saturday",SalesData[[#This Row],[Day]]="Sunday"),"Weekend","Weekday")</f>
        <v>Weekday</v>
      </c>
      <c r="AF775" s="5">
        <f>IF(SalesData[[#This Row],[Contracts Offered]]=0,0,SalesData[[#This Row],[Contracts Signed]]/SalesData[[#This Row],[Contracts Offered]])</f>
        <v>0.39130434782608697</v>
      </c>
      <c r="AG775" s="5">
        <f>IF(SalesData[[#This Row],[Customers Visited]]=0,0,SalesData[[#This Row],[Test Drives]]/SalesData[[#This Row],[Customers Visited]])</f>
        <v>0.50710900473933651</v>
      </c>
      <c r="AH775" s="5">
        <f>IF(SalesData[[#This Row],[Customers Visited]]=0,0,SalesData[[#This Row],[Contracts Signed]]/SalesData[[#This Row],[Customers Visited]])</f>
        <v>0.12796208530805686</v>
      </c>
      <c r="AI775" s="6">
        <f>IF(SalesData[[#This Row],[Contracts Signed]]=0,0,SalesData[[#This Row],[Profit(€)]]/SalesData[[#This Row],[Contracts Signed]])</f>
        <v>10637</v>
      </c>
      <c r="AJ775" s="5" t="str">
        <f>TRIM(CLEAN(SalesData[[#This Row],[Retailer]]))</f>
        <v>Main Auto Hub</v>
      </c>
    </row>
    <row r="776" spans="1:36" ht="14.25" x14ac:dyDescent="0.2">
      <c r="A776" t="s">
        <v>1406</v>
      </c>
      <c r="B776" s="1">
        <v>46073</v>
      </c>
      <c r="C776" t="s">
        <v>62</v>
      </c>
      <c r="D776" t="s">
        <v>54</v>
      </c>
      <c r="E776" t="s">
        <v>26</v>
      </c>
      <c r="F776" t="s">
        <v>101</v>
      </c>
      <c r="G776" t="s">
        <v>102</v>
      </c>
      <c r="H776" t="s">
        <v>103</v>
      </c>
      <c r="I776" t="s">
        <v>30</v>
      </c>
      <c r="J776" t="s">
        <v>166</v>
      </c>
      <c r="K776" t="s">
        <v>91</v>
      </c>
      <c r="L776" t="s">
        <v>46</v>
      </c>
      <c r="M776" t="s">
        <v>47</v>
      </c>
      <c r="N776" t="s">
        <v>35</v>
      </c>
      <c r="O776" t="s">
        <v>70</v>
      </c>
      <c r="P776" t="s">
        <v>58</v>
      </c>
      <c r="Q776" t="s">
        <v>152</v>
      </c>
      <c r="R776">
        <v>259</v>
      </c>
      <c r="S776">
        <v>128</v>
      </c>
      <c r="T776">
        <v>103</v>
      </c>
      <c r="U776">
        <v>39</v>
      </c>
      <c r="V776" t="s">
        <v>7308</v>
      </c>
      <c r="W776">
        <v>59026</v>
      </c>
      <c r="X776" t="s">
        <v>4917</v>
      </c>
      <c r="Y776">
        <v>45365</v>
      </c>
      <c r="Z776">
        <v>2302014</v>
      </c>
      <c r="AA776">
        <v>532779</v>
      </c>
      <c r="AB776" t="str">
        <f>(VLOOKUP(SalesData[[#This Row],[Month Number]],Reference!C$5:E$16,2,FALSE))</f>
        <v>Feb</v>
      </c>
      <c r="AC776">
        <f>MONTH(SalesData[[#This Row],[Date]])</f>
        <v>2</v>
      </c>
      <c r="AD776">
        <f>Reference!F$4</f>
        <v>2026</v>
      </c>
      <c r="AE776" t="str">
        <f>IF(OR(SalesData[[#This Row],[Day]]="Saturday",SalesData[[#This Row],[Day]]="Sunday"),"Weekend","Weekday")</f>
        <v>Weekday</v>
      </c>
      <c r="AF776" s="5">
        <f>IF(SalesData[[#This Row],[Contracts Offered]]=0,0,SalesData[[#This Row],[Contracts Signed]]/SalesData[[#This Row],[Contracts Offered]])</f>
        <v>0.37864077669902912</v>
      </c>
      <c r="AG776" s="5">
        <f>IF(SalesData[[#This Row],[Customers Visited]]=0,0,SalesData[[#This Row],[Test Drives]]/SalesData[[#This Row],[Customers Visited]])</f>
        <v>0.49420849420849422</v>
      </c>
      <c r="AH776" s="5">
        <f>IF(SalesData[[#This Row],[Customers Visited]]=0,0,SalesData[[#This Row],[Contracts Signed]]/SalesData[[#This Row],[Customers Visited]])</f>
        <v>0.15057915057915058</v>
      </c>
      <c r="AI776" s="6">
        <f>IF(SalesData[[#This Row],[Contracts Signed]]=0,0,SalesData[[#This Row],[Profit(€)]]/SalesData[[#This Row],[Contracts Signed]])</f>
        <v>13661</v>
      </c>
      <c r="AJ776" s="5" t="str">
        <f>TRIM(CLEAN(SalesData[[#This Row],[Retailer]]))</f>
        <v>Ruhr Auto Plaza</v>
      </c>
    </row>
    <row r="777" spans="1:36" ht="14.25" hidden="1" x14ac:dyDescent="0.2">
      <c r="A777" t="s">
        <v>1407</v>
      </c>
      <c r="B777" s="1">
        <v>46060</v>
      </c>
      <c r="C777" t="s">
        <v>24</v>
      </c>
      <c r="D777" t="s">
        <v>151</v>
      </c>
      <c r="E777" t="s">
        <v>42</v>
      </c>
      <c r="F777" t="s">
        <v>114</v>
      </c>
      <c r="G777" t="s">
        <v>115</v>
      </c>
      <c r="H777" t="s">
        <v>115</v>
      </c>
      <c r="I777" t="s">
        <v>116</v>
      </c>
      <c r="J777" t="s">
        <v>7026</v>
      </c>
      <c r="K777" t="s">
        <v>91</v>
      </c>
      <c r="L777" t="s">
        <v>46</v>
      </c>
      <c r="M777" t="s">
        <v>87</v>
      </c>
      <c r="N777" t="s">
        <v>35</v>
      </c>
      <c r="O777" t="s">
        <v>70</v>
      </c>
      <c r="P777" t="s">
        <v>71</v>
      </c>
      <c r="Q777" t="s">
        <v>135</v>
      </c>
      <c r="R777">
        <v>259</v>
      </c>
      <c r="S777">
        <v>126</v>
      </c>
      <c r="T777">
        <v>84</v>
      </c>
      <c r="U777">
        <v>19</v>
      </c>
      <c r="V777" t="s">
        <v>3005</v>
      </c>
      <c r="W777">
        <v>23851</v>
      </c>
      <c r="X777" t="s">
        <v>2587</v>
      </c>
      <c r="Y777">
        <v>21328</v>
      </c>
      <c r="Z777">
        <v>453169</v>
      </c>
      <c r="AA777">
        <v>47937</v>
      </c>
      <c r="AB777" t="str">
        <f>(VLOOKUP(SalesData[[#This Row],[Month Number]],Reference!C$5:E$16,2,FALSE))</f>
        <v>Feb</v>
      </c>
      <c r="AC777">
        <f>MONTH(SalesData[[#This Row],[Date]])</f>
        <v>2</v>
      </c>
      <c r="AD777">
        <f>Reference!F$4</f>
        <v>2026</v>
      </c>
      <c r="AE777" t="str">
        <f>IF(OR(SalesData[[#This Row],[Day]]="Saturday",SalesData[[#This Row],[Day]]="Sunday"),"Weekend","Weekday")</f>
        <v>Weekend</v>
      </c>
      <c r="AF777" s="5">
        <f>IF(SalesData[[#This Row],[Contracts Offered]]=0,0,SalesData[[#This Row],[Contracts Signed]]/SalesData[[#This Row],[Contracts Offered]])</f>
        <v>0.22619047619047619</v>
      </c>
      <c r="AG777" s="5">
        <f>IF(SalesData[[#This Row],[Customers Visited]]=0,0,SalesData[[#This Row],[Test Drives]]/SalesData[[#This Row],[Customers Visited]])</f>
        <v>0.48648648648648651</v>
      </c>
      <c r="AH777" s="5">
        <f>IF(SalesData[[#This Row],[Customers Visited]]=0,0,SalesData[[#This Row],[Contracts Signed]]/SalesData[[#This Row],[Customers Visited]])</f>
        <v>7.3359073359073365E-2</v>
      </c>
      <c r="AI777" s="6">
        <f>IF(SalesData[[#This Row],[Contracts Signed]]=0,0,SalesData[[#This Row],[Profit(€)]]/SalesData[[#This Row],[Contracts Signed]])</f>
        <v>2523</v>
      </c>
      <c r="AJ777" s="5" t="str">
        <f>TRIM(CLEAN(SalesData[[#This Row],[Retailer]]))</f>
        <v>Elbe Drive</v>
      </c>
    </row>
    <row r="778" spans="1:36" ht="14.25" hidden="1" x14ac:dyDescent="0.2">
      <c r="A778" t="s">
        <v>1408</v>
      </c>
      <c r="B778" s="1">
        <v>46055</v>
      </c>
      <c r="C778" t="s">
        <v>24</v>
      </c>
      <c r="D778" t="s">
        <v>25</v>
      </c>
      <c r="E778" t="s">
        <v>26</v>
      </c>
      <c r="F778" t="s">
        <v>74</v>
      </c>
      <c r="G778" t="s">
        <v>75</v>
      </c>
      <c r="H778" t="s">
        <v>76</v>
      </c>
      <c r="I778" t="s">
        <v>64</v>
      </c>
      <c r="J778" t="s">
        <v>65</v>
      </c>
      <c r="K778" t="s">
        <v>32</v>
      </c>
      <c r="L778" t="s">
        <v>33</v>
      </c>
      <c r="M778" t="s">
        <v>34</v>
      </c>
      <c r="N778" t="s">
        <v>69</v>
      </c>
      <c r="O778" t="s">
        <v>36</v>
      </c>
      <c r="P778" t="s">
        <v>37</v>
      </c>
      <c r="Q778" t="s">
        <v>204</v>
      </c>
      <c r="R778">
        <v>148</v>
      </c>
      <c r="S778">
        <v>71</v>
      </c>
      <c r="T778">
        <v>47</v>
      </c>
      <c r="U778">
        <v>18</v>
      </c>
      <c r="V778" t="s">
        <v>6368</v>
      </c>
      <c r="W778">
        <v>56024</v>
      </c>
      <c r="X778" t="s">
        <v>3045</v>
      </c>
      <c r="Y778">
        <v>43799</v>
      </c>
      <c r="Z778">
        <v>1008432</v>
      </c>
      <c r="AA778">
        <v>220050</v>
      </c>
      <c r="AB778" t="str">
        <f>(VLOOKUP(SalesData[[#This Row],[Month Number]],Reference!C$5:E$16,2,FALSE))</f>
        <v>Feb</v>
      </c>
      <c r="AC778">
        <f>MONTH(SalesData[[#This Row],[Date]])</f>
        <v>2</v>
      </c>
      <c r="AD778">
        <f>Reference!F$4</f>
        <v>2026</v>
      </c>
      <c r="AE778" t="str">
        <f>IF(OR(SalesData[[#This Row],[Day]]="Saturday",SalesData[[#This Row],[Day]]="Sunday"),"Weekend","Weekday")</f>
        <v>Weekday</v>
      </c>
      <c r="AF778" s="5">
        <f>IF(SalesData[[#This Row],[Contracts Offered]]=0,0,SalesData[[#This Row],[Contracts Signed]]/SalesData[[#This Row],[Contracts Offered]])</f>
        <v>0.38297872340425532</v>
      </c>
      <c r="AG778" s="5">
        <f>IF(SalesData[[#This Row],[Customers Visited]]=0,0,SalesData[[#This Row],[Test Drives]]/SalesData[[#This Row],[Customers Visited]])</f>
        <v>0.47972972972972971</v>
      </c>
      <c r="AH778" s="5">
        <f>IF(SalesData[[#This Row],[Customers Visited]]=0,0,SalesData[[#This Row],[Contracts Signed]]/SalesData[[#This Row],[Customers Visited]])</f>
        <v>0.12162162162162163</v>
      </c>
      <c r="AI778" s="6">
        <f>IF(SalesData[[#This Row],[Contracts Signed]]=0,0,SalesData[[#This Row],[Profit(€)]]/SalesData[[#This Row],[Contracts Signed]])</f>
        <v>12225</v>
      </c>
      <c r="AJ778" s="5" t="str">
        <f>TRIM(CLEAN(SalesData[[#This Row],[Retailer]]))</f>
        <v>Stuttgart Auto Center</v>
      </c>
    </row>
    <row r="779" spans="1:36" ht="14.25" hidden="1" x14ac:dyDescent="0.2">
      <c r="A779" t="s">
        <v>1410</v>
      </c>
      <c r="B779" s="1">
        <v>46056</v>
      </c>
      <c r="C779" t="s">
        <v>24</v>
      </c>
      <c r="D779" t="s">
        <v>63</v>
      </c>
      <c r="E779" t="s">
        <v>26</v>
      </c>
      <c r="F779" t="s">
        <v>127</v>
      </c>
      <c r="G779" t="s">
        <v>128</v>
      </c>
      <c r="H779" t="s">
        <v>103</v>
      </c>
      <c r="I779" t="s">
        <v>104</v>
      </c>
      <c r="J779" t="s">
        <v>105</v>
      </c>
      <c r="K779" t="s">
        <v>91</v>
      </c>
      <c r="L779" t="s">
        <v>33</v>
      </c>
      <c r="M779" t="s">
        <v>34</v>
      </c>
      <c r="N779" t="s">
        <v>35</v>
      </c>
      <c r="O779" t="s">
        <v>70</v>
      </c>
      <c r="P779" t="s">
        <v>71</v>
      </c>
      <c r="Q779" t="s">
        <v>38</v>
      </c>
      <c r="R779">
        <v>412</v>
      </c>
      <c r="S779">
        <v>214</v>
      </c>
      <c r="T779">
        <v>151</v>
      </c>
      <c r="U779">
        <v>32</v>
      </c>
      <c r="V779" t="s">
        <v>190</v>
      </c>
      <c r="W779">
        <v>31963</v>
      </c>
      <c r="X779" t="s">
        <v>898</v>
      </c>
      <c r="Y779">
        <v>28894</v>
      </c>
      <c r="Z779">
        <v>1022816</v>
      </c>
      <c r="AA779">
        <v>98208</v>
      </c>
      <c r="AB779" t="str">
        <f>(VLOOKUP(SalesData[[#This Row],[Month Number]],Reference!C$5:E$16,2,FALSE))</f>
        <v>Feb</v>
      </c>
      <c r="AC779">
        <f>MONTH(SalesData[[#This Row],[Date]])</f>
        <v>2</v>
      </c>
      <c r="AD779">
        <f>Reference!F$4</f>
        <v>2026</v>
      </c>
      <c r="AE779" t="str">
        <f>IF(OR(SalesData[[#This Row],[Day]]="Saturday",SalesData[[#This Row],[Day]]="Sunday"),"Weekend","Weekday")</f>
        <v>Weekday</v>
      </c>
      <c r="AF779" s="5">
        <f>IF(SalesData[[#This Row],[Contracts Offered]]=0,0,SalesData[[#This Row],[Contracts Signed]]/SalesData[[#This Row],[Contracts Offered]])</f>
        <v>0.2119205298013245</v>
      </c>
      <c r="AG779" s="5">
        <f>IF(SalesData[[#This Row],[Customers Visited]]=0,0,SalesData[[#This Row],[Test Drives]]/SalesData[[#This Row],[Customers Visited]])</f>
        <v>0.51941747572815533</v>
      </c>
      <c r="AH779" s="5">
        <f>IF(SalesData[[#This Row],[Customers Visited]]=0,0,SalesData[[#This Row],[Contracts Signed]]/SalesData[[#This Row],[Customers Visited]])</f>
        <v>7.7669902912621352E-2</v>
      </c>
      <c r="AI779" s="6">
        <f>IF(SalesData[[#This Row],[Contracts Signed]]=0,0,SalesData[[#This Row],[Profit(€)]]/SalesData[[#This Row],[Contracts Signed]])</f>
        <v>3069</v>
      </c>
      <c r="AJ779" s="5" t="str">
        <f>TRIM(CLEAN(SalesData[[#This Row],[Retailer]]))</f>
        <v>Rhein Auto Group</v>
      </c>
    </row>
    <row r="780" spans="1:36" ht="14.25" hidden="1" x14ac:dyDescent="0.2">
      <c r="A780" t="s">
        <v>1412</v>
      </c>
      <c r="B780" s="1">
        <v>46063</v>
      </c>
      <c r="C780" t="s">
        <v>121</v>
      </c>
      <c r="D780" t="s">
        <v>63</v>
      </c>
      <c r="E780" t="s">
        <v>26</v>
      </c>
      <c r="F780" t="s">
        <v>127</v>
      </c>
      <c r="G780" t="s">
        <v>128</v>
      </c>
      <c r="H780" t="s">
        <v>103</v>
      </c>
      <c r="I780" t="s">
        <v>116</v>
      </c>
      <c r="J780" t="s">
        <v>132</v>
      </c>
      <c r="K780" t="s">
        <v>78</v>
      </c>
      <c r="L780" t="s">
        <v>46</v>
      </c>
      <c r="M780" t="s">
        <v>87</v>
      </c>
      <c r="N780" t="s">
        <v>35</v>
      </c>
      <c r="O780" t="s">
        <v>70</v>
      </c>
      <c r="P780" t="s">
        <v>49</v>
      </c>
      <c r="Q780" t="s">
        <v>152</v>
      </c>
      <c r="R780">
        <v>311</v>
      </c>
      <c r="S780">
        <v>128</v>
      </c>
      <c r="T780">
        <v>72</v>
      </c>
      <c r="U780">
        <v>16</v>
      </c>
      <c r="V780" t="s">
        <v>265</v>
      </c>
      <c r="W780">
        <v>22050</v>
      </c>
      <c r="X780" t="s">
        <v>7023</v>
      </c>
      <c r="Y780">
        <v>20095</v>
      </c>
      <c r="Z780">
        <v>352800</v>
      </c>
      <c r="AA780">
        <v>31280</v>
      </c>
      <c r="AB780" t="str">
        <f>(VLOOKUP(SalesData[[#This Row],[Month Number]],Reference!C$5:E$16,2,FALSE))</f>
        <v>Feb</v>
      </c>
      <c r="AC780">
        <f>MONTH(SalesData[[#This Row],[Date]])</f>
        <v>2</v>
      </c>
      <c r="AD780">
        <f>Reference!F$4</f>
        <v>2026</v>
      </c>
      <c r="AE780" t="str">
        <f>IF(OR(SalesData[[#This Row],[Day]]="Saturday",SalesData[[#This Row],[Day]]="Sunday"),"Weekend","Weekday")</f>
        <v>Weekday</v>
      </c>
      <c r="AF780" s="5">
        <f>IF(SalesData[[#This Row],[Contracts Offered]]=0,0,SalesData[[#This Row],[Contracts Signed]]/SalesData[[#This Row],[Contracts Offered]])</f>
        <v>0.22222222222222221</v>
      </c>
      <c r="AG780" s="5">
        <f>IF(SalesData[[#This Row],[Customers Visited]]=0,0,SalesData[[#This Row],[Test Drives]]/SalesData[[#This Row],[Customers Visited]])</f>
        <v>0.41157556270096463</v>
      </c>
      <c r="AH780" s="5">
        <f>IF(SalesData[[#This Row],[Customers Visited]]=0,0,SalesData[[#This Row],[Contracts Signed]]/SalesData[[#This Row],[Customers Visited]])</f>
        <v>5.1446945337620578E-2</v>
      </c>
      <c r="AI780" s="6">
        <f>IF(SalesData[[#This Row],[Contracts Signed]]=0,0,SalesData[[#This Row],[Profit(€)]]/SalesData[[#This Row],[Contracts Signed]])</f>
        <v>1955</v>
      </c>
      <c r="AJ780" s="5" t="str">
        <f>TRIM(CLEAN(SalesData[[#This Row],[Retailer]]))</f>
        <v>Rhein Auto Group</v>
      </c>
    </row>
    <row r="781" spans="1:36" ht="14.25" x14ac:dyDescent="0.2">
      <c r="A781" t="s">
        <v>1413</v>
      </c>
      <c r="B781" s="1">
        <v>46060</v>
      </c>
      <c r="C781" t="s">
        <v>24</v>
      </c>
      <c r="D781" t="s">
        <v>151</v>
      </c>
      <c r="E781" t="s">
        <v>42</v>
      </c>
      <c r="F781" t="s">
        <v>114</v>
      </c>
      <c r="G781" t="s">
        <v>115</v>
      </c>
      <c r="H781" t="s">
        <v>115</v>
      </c>
      <c r="I781" t="s">
        <v>30</v>
      </c>
      <c r="J781" t="s">
        <v>166</v>
      </c>
      <c r="K781" t="s">
        <v>78</v>
      </c>
      <c r="L781" t="s">
        <v>46</v>
      </c>
      <c r="M781" t="s">
        <v>34</v>
      </c>
      <c r="N781" t="s">
        <v>69</v>
      </c>
      <c r="O781" t="s">
        <v>70</v>
      </c>
      <c r="P781" t="s">
        <v>37</v>
      </c>
      <c r="Q781" t="s">
        <v>167</v>
      </c>
      <c r="R781">
        <v>269</v>
      </c>
      <c r="S781">
        <v>129</v>
      </c>
      <c r="T781">
        <v>96</v>
      </c>
      <c r="U781">
        <v>31</v>
      </c>
      <c r="V781" t="s">
        <v>6454</v>
      </c>
      <c r="W781">
        <v>53402</v>
      </c>
      <c r="X781" t="s">
        <v>7309</v>
      </c>
      <c r="Y781">
        <v>39197</v>
      </c>
      <c r="Z781">
        <v>1655462</v>
      </c>
      <c r="AA781">
        <v>440355</v>
      </c>
      <c r="AB781" t="str">
        <f>(VLOOKUP(SalesData[[#This Row],[Month Number]],Reference!C$5:E$16,2,FALSE))</f>
        <v>Feb</v>
      </c>
      <c r="AC781">
        <f>MONTH(SalesData[[#This Row],[Date]])</f>
        <v>2</v>
      </c>
      <c r="AD781">
        <f>Reference!F$4</f>
        <v>2026</v>
      </c>
      <c r="AE781" t="str">
        <f>IF(OR(SalesData[[#This Row],[Day]]="Saturday",SalesData[[#This Row],[Day]]="Sunday"),"Weekend","Weekday")</f>
        <v>Weekend</v>
      </c>
      <c r="AF781" s="5">
        <f>IF(SalesData[[#This Row],[Contracts Offered]]=0,0,SalesData[[#This Row],[Contracts Signed]]/SalesData[[#This Row],[Contracts Offered]])</f>
        <v>0.32291666666666669</v>
      </c>
      <c r="AG781" s="5">
        <f>IF(SalesData[[#This Row],[Customers Visited]]=0,0,SalesData[[#This Row],[Test Drives]]/SalesData[[#This Row],[Customers Visited]])</f>
        <v>0.4795539033457249</v>
      </c>
      <c r="AH781" s="5">
        <f>IF(SalesData[[#This Row],[Customers Visited]]=0,0,SalesData[[#This Row],[Contracts Signed]]/SalesData[[#This Row],[Customers Visited]])</f>
        <v>0.11524163568773234</v>
      </c>
      <c r="AI781" s="6">
        <f>IF(SalesData[[#This Row],[Contracts Signed]]=0,0,SalesData[[#This Row],[Profit(€)]]/SalesData[[#This Row],[Contracts Signed]])</f>
        <v>14205</v>
      </c>
      <c r="AJ781" s="5" t="str">
        <f>TRIM(CLEAN(SalesData[[#This Row],[Retailer]]))</f>
        <v>Elbe Drive</v>
      </c>
    </row>
    <row r="782" spans="1:36" ht="14.25" hidden="1" x14ac:dyDescent="0.2">
      <c r="A782" t="s">
        <v>1415</v>
      </c>
      <c r="B782" s="1">
        <v>46062</v>
      </c>
      <c r="C782" t="s">
        <v>121</v>
      </c>
      <c r="D782" t="s">
        <v>25</v>
      </c>
      <c r="E782" t="s">
        <v>26</v>
      </c>
      <c r="F782" t="s">
        <v>101</v>
      </c>
      <c r="G782" t="s">
        <v>102</v>
      </c>
      <c r="H782" t="s">
        <v>103</v>
      </c>
      <c r="I782" t="s">
        <v>56</v>
      </c>
      <c r="J782" t="s">
        <v>97</v>
      </c>
      <c r="K782" t="s">
        <v>78</v>
      </c>
      <c r="L782" t="s">
        <v>33</v>
      </c>
      <c r="M782" t="s">
        <v>87</v>
      </c>
      <c r="N782" t="s">
        <v>69</v>
      </c>
      <c r="O782" t="s">
        <v>36</v>
      </c>
      <c r="P782" t="s">
        <v>58</v>
      </c>
      <c r="Q782" t="s">
        <v>158</v>
      </c>
      <c r="R782">
        <v>274</v>
      </c>
      <c r="S782">
        <v>145</v>
      </c>
      <c r="T782">
        <v>111</v>
      </c>
      <c r="U782">
        <v>35</v>
      </c>
      <c r="V782" t="s">
        <v>6659</v>
      </c>
      <c r="W782">
        <v>51755</v>
      </c>
      <c r="X782" t="s">
        <v>7248</v>
      </c>
      <c r="Y782">
        <v>39685</v>
      </c>
      <c r="Z782">
        <v>1811425</v>
      </c>
      <c r="AA782">
        <v>422450</v>
      </c>
      <c r="AB782" t="str">
        <f>(VLOOKUP(SalesData[[#This Row],[Month Number]],Reference!C$5:E$16,2,FALSE))</f>
        <v>Feb</v>
      </c>
      <c r="AC782">
        <f>MONTH(SalesData[[#This Row],[Date]])</f>
        <v>2</v>
      </c>
      <c r="AD782">
        <f>Reference!F$4</f>
        <v>2026</v>
      </c>
      <c r="AE782" t="str">
        <f>IF(OR(SalesData[[#This Row],[Day]]="Saturday",SalesData[[#This Row],[Day]]="Sunday"),"Weekend","Weekday")</f>
        <v>Weekday</v>
      </c>
      <c r="AF782" s="5">
        <f>IF(SalesData[[#This Row],[Contracts Offered]]=0,0,SalesData[[#This Row],[Contracts Signed]]/SalesData[[#This Row],[Contracts Offered]])</f>
        <v>0.31531531531531531</v>
      </c>
      <c r="AG782" s="5">
        <f>IF(SalesData[[#This Row],[Customers Visited]]=0,0,SalesData[[#This Row],[Test Drives]]/SalesData[[#This Row],[Customers Visited]])</f>
        <v>0.52919708029197077</v>
      </c>
      <c r="AH782" s="5">
        <f>IF(SalesData[[#This Row],[Customers Visited]]=0,0,SalesData[[#This Row],[Contracts Signed]]/SalesData[[#This Row],[Customers Visited]])</f>
        <v>0.12773722627737227</v>
      </c>
      <c r="AI782" s="6">
        <f>IF(SalesData[[#This Row],[Contracts Signed]]=0,0,SalesData[[#This Row],[Profit(€)]]/SalesData[[#This Row],[Contracts Signed]])</f>
        <v>12070</v>
      </c>
      <c r="AJ782" s="5" t="str">
        <f>TRIM(CLEAN(SalesData[[#This Row],[Retailer]]))</f>
        <v>Ruhr Auto Plaza</v>
      </c>
    </row>
    <row r="783" spans="1:36" ht="14.25" hidden="1" x14ac:dyDescent="0.2">
      <c r="A783" t="s">
        <v>1417</v>
      </c>
      <c r="B783" s="1">
        <v>46057</v>
      </c>
      <c r="C783" t="s">
        <v>24</v>
      </c>
      <c r="D783" t="s">
        <v>82</v>
      </c>
      <c r="E783" t="s">
        <v>26</v>
      </c>
      <c r="F783" t="s">
        <v>101</v>
      </c>
      <c r="G783" t="s">
        <v>102</v>
      </c>
      <c r="H783" t="s">
        <v>103</v>
      </c>
      <c r="I783" t="s">
        <v>104</v>
      </c>
      <c r="J783" t="s">
        <v>7031</v>
      </c>
      <c r="K783" t="s">
        <v>91</v>
      </c>
      <c r="L783" t="s">
        <v>46</v>
      </c>
      <c r="M783" t="s">
        <v>34</v>
      </c>
      <c r="N783" t="s">
        <v>48</v>
      </c>
      <c r="O783" t="s">
        <v>70</v>
      </c>
      <c r="P783" t="s">
        <v>49</v>
      </c>
      <c r="Q783" t="s">
        <v>50</v>
      </c>
      <c r="R783">
        <v>431</v>
      </c>
      <c r="S783">
        <v>224</v>
      </c>
      <c r="T783">
        <v>131</v>
      </c>
      <c r="U783">
        <v>28</v>
      </c>
      <c r="V783" t="s">
        <v>265</v>
      </c>
      <c r="W783">
        <v>32386</v>
      </c>
      <c r="X783" t="s">
        <v>3480</v>
      </c>
      <c r="Y783">
        <v>29054</v>
      </c>
      <c r="Z783">
        <v>906808</v>
      </c>
      <c r="AA783">
        <v>93296</v>
      </c>
      <c r="AB783" t="str">
        <f>(VLOOKUP(SalesData[[#This Row],[Month Number]],Reference!C$5:E$16,2,FALSE))</f>
        <v>Feb</v>
      </c>
      <c r="AC783">
        <f>MONTH(SalesData[[#This Row],[Date]])</f>
        <v>2</v>
      </c>
      <c r="AD783">
        <f>Reference!F$4</f>
        <v>2026</v>
      </c>
      <c r="AE783" t="str">
        <f>IF(OR(SalesData[[#This Row],[Day]]="Saturday",SalesData[[#This Row],[Day]]="Sunday"),"Weekend","Weekday")</f>
        <v>Weekday</v>
      </c>
      <c r="AF783" s="5">
        <f>IF(SalesData[[#This Row],[Contracts Offered]]=0,0,SalesData[[#This Row],[Contracts Signed]]/SalesData[[#This Row],[Contracts Offered]])</f>
        <v>0.21374045801526717</v>
      </c>
      <c r="AG783" s="5">
        <f>IF(SalesData[[#This Row],[Customers Visited]]=0,0,SalesData[[#This Row],[Test Drives]]/SalesData[[#This Row],[Customers Visited]])</f>
        <v>0.51972157772621808</v>
      </c>
      <c r="AH783" s="5">
        <f>IF(SalesData[[#This Row],[Customers Visited]]=0,0,SalesData[[#This Row],[Contracts Signed]]/SalesData[[#This Row],[Customers Visited]])</f>
        <v>6.4965197215777259E-2</v>
      </c>
      <c r="AI783" s="6">
        <f>IF(SalesData[[#This Row],[Contracts Signed]]=0,0,SalesData[[#This Row],[Profit(€)]]/SalesData[[#This Row],[Contracts Signed]])</f>
        <v>3332</v>
      </c>
      <c r="AJ783" s="5" t="str">
        <f>TRIM(CLEAN(SalesData[[#This Row],[Retailer]]))</f>
        <v>Ruhr Auto Plaza</v>
      </c>
    </row>
    <row r="784" spans="1:36" ht="14.25" hidden="1" x14ac:dyDescent="0.2">
      <c r="A784" t="s">
        <v>1419</v>
      </c>
      <c r="B784" s="1">
        <v>46063</v>
      </c>
      <c r="C784" t="s">
        <v>121</v>
      </c>
      <c r="D784" t="s">
        <v>63</v>
      </c>
      <c r="E784" t="s">
        <v>26</v>
      </c>
      <c r="F784" t="s">
        <v>43</v>
      </c>
      <c r="G784" t="s">
        <v>44</v>
      </c>
      <c r="H784" t="s">
        <v>45</v>
      </c>
      <c r="I784" t="s">
        <v>64</v>
      </c>
      <c r="J784" t="s">
        <v>111</v>
      </c>
      <c r="K784" t="s">
        <v>32</v>
      </c>
      <c r="L784" t="s">
        <v>46</v>
      </c>
      <c r="M784" t="s">
        <v>34</v>
      </c>
      <c r="N784" t="s">
        <v>48</v>
      </c>
      <c r="O784" t="s">
        <v>36</v>
      </c>
      <c r="P784" t="s">
        <v>49</v>
      </c>
      <c r="Q784" t="s">
        <v>118</v>
      </c>
      <c r="R784">
        <v>257</v>
      </c>
      <c r="S784">
        <v>147</v>
      </c>
      <c r="T784">
        <v>100</v>
      </c>
      <c r="U784">
        <v>33</v>
      </c>
      <c r="V784" t="s">
        <v>6600</v>
      </c>
      <c r="W784">
        <v>60577</v>
      </c>
      <c r="X784" t="s">
        <v>7276</v>
      </c>
      <c r="Y784">
        <v>43892</v>
      </c>
      <c r="Z784">
        <v>1999041</v>
      </c>
      <c r="AA784">
        <v>550605</v>
      </c>
      <c r="AB784" t="str">
        <f>(VLOOKUP(SalesData[[#This Row],[Month Number]],Reference!C$5:E$16,2,FALSE))</f>
        <v>Feb</v>
      </c>
      <c r="AC784">
        <f>MONTH(SalesData[[#This Row],[Date]])</f>
        <v>2</v>
      </c>
      <c r="AD784">
        <f>Reference!F$4</f>
        <v>2026</v>
      </c>
      <c r="AE784" t="str">
        <f>IF(OR(SalesData[[#This Row],[Day]]="Saturday",SalesData[[#This Row],[Day]]="Sunday"),"Weekend","Weekday")</f>
        <v>Weekday</v>
      </c>
      <c r="AF784" s="5">
        <f>IF(SalesData[[#This Row],[Contracts Offered]]=0,0,SalesData[[#This Row],[Contracts Signed]]/SalesData[[#This Row],[Contracts Offered]])</f>
        <v>0.33</v>
      </c>
      <c r="AG784" s="5">
        <f>IF(SalesData[[#This Row],[Customers Visited]]=0,0,SalesData[[#This Row],[Test Drives]]/SalesData[[#This Row],[Customers Visited]])</f>
        <v>0.57198443579766534</v>
      </c>
      <c r="AH784" s="5">
        <f>IF(SalesData[[#This Row],[Customers Visited]]=0,0,SalesData[[#This Row],[Contracts Signed]]/SalesData[[#This Row],[Customers Visited]])</f>
        <v>0.12840466926070038</v>
      </c>
      <c r="AI784" s="6">
        <f>IF(SalesData[[#This Row],[Contracts Signed]]=0,0,SalesData[[#This Row],[Profit(€)]]/SalesData[[#This Row],[Contracts Signed]])</f>
        <v>16685</v>
      </c>
      <c r="AJ784" s="5" t="str">
        <f>TRIM(CLEAN(SalesData[[#This Row],[Retailer]]))</f>
        <v>Saxon Wheels</v>
      </c>
    </row>
    <row r="785" spans="1:36" ht="14.25" x14ac:dyDescent="0.2">
      <c r="A785" t="s">
        <v>1420</v>
      </c>
      <c r="B785" s="1">
        <v>46076</v>
      </c>
      <c r="C785" t="s">
        <v>53</v>
      </c>
      <c r="D785" t="s">
        <v>25</v>
      </c>
      <c r="E785" t="s">
        <v>26</v>
      </c>
      <c r="F785" t="s">
        <v>74</v>
      </c>
      <c r="G785" t="s">
        <v>75</v>
      </c>
      <c r="H785" t="s">
        <v>76</v>
      </c>
      <c r="I785" t="s">
        <v>30</v>
      </c>
      <c r="J785" t="s">
        <v>86</v>
      </c>
      <c r="K785" t="s">
        <v>66</v>
      </c>
      <c r="L785" t="s">
        <v>33</v>
      </c>
      <c r="M785" t="s">
        <v>87</v>
      </c>
      <c r="N785" t="s">
        <v>35</v>
      </c>
      <c r="O785" t="s">
        <v>70</v>
      </c>
      <c r="P785" t="s">
        <v>37</v>
      </c>
      <c r="Q785" t="s">
        <v>38</v>
      </c>
      <c r="R785">
        <v>160</v>
      </c>
      <c r="S785">
        <v>86</v>
      </c>
      <c r="T785">
        <v>58</v>
      </c>
      <c r="U785">
        <v>25</v>
      </c>
      <c r="V785" t="s">
        <v>6498</v>
      </c>
      <c r="W785">
        <v>60422</v>
      </c>
      <c r="X785" t="s">
        <v>7236</v>
      </c>
      <c r="Y785">
        <v>42756</v>
      </c>
      <c r="Z785">
        <v>1510550</v>
      </c>
      <c r="AA785">
        <v>441650</v>
      </c>
      <c r="AB785" t="str">
        <f>(VLOOKUP(SalesData[[#This Row],[Month Number]],Reference!C$5:E$16,2,FALSE))</f>
        <v>Feb</v>
      </c>
      <c r="AC785">
        <f>MONTH(SalesData[[#This Row],[Date]])</f>
        <v>2</v>
      </c>
      <c r="AD785">
        <f>Reference!F$4</f>
        <v>2026</v>
      </c>
      <c r="AE785" t="str">
        <f>IF(OR(SalesData[[#This Row],[Day]]="Saturday",SalesData[[#This Row],[Day]]="Sunday"),"Weekend","Weekday")</f>
        <v>Weekday</v>
      </c>
      <c r="AF785" s="5">
        <f>IF(SalesData[[#This Row],[Contracts Offered]]=0,0,SalesData[[#This Row],[Contracts Signed]]/SalesData[[#This Row],[Contracts Offered]])</f>
        <v>0.43103448275862066</v>
      </c>
      <c r="AG785" s="5">
        <f>IF(SalesData[[#This Row],[Customers Visited]]=0,0,SalesData[[#This Row],[Test Drives]]/SalesData[[#This Row],[Customers Visited]])</f>
        <v>0.53749999999999998</v>
      </c>
      <c r="AH785" s="5">
        <f>IF(SalesData[[#This Row],[Customers Visited]]=0,0,SalesData[[#This Row],[Contracts Signed]]/SalesData[[#This Row],[Customers Visited]])</f>
        <v>0.15625</v>
      </c>
      <c r="AI785" s="6">
        <f>IF(SalesData[[#This Row],[Contracts Signed]]=0,0,SalesData[[#This Row],[Profit(€)]]/SalesData[[#This Row],[Contracts Signed]])</f>
        <v>17666</v>
      </c>
      <c r="AJ785" s="5" t="str">
        <f>TRIM(CLEAN(SalesData[[#This Row],[Retailer]]))</f>
        <v>Stuttgart Auto Center</v>
      </c>
    </row>
    <row r="786" spans="1:36" ht="14.25" hidden="1" x14ac:dyDescent="0.2">
      <c r="A786" t="s">
        <v>1421</v>
      </c>
      <c r="B786" s="1">
        <v>46068</v>
      </c>
      <c r="C786" t="s">
        <v>62</v>
      </c>
      <c r="D786" t="s">
        <v>41</v>
      </c>
      <c r="E786" t="s">
        <v>42</v>
      </c>
      <c r="F786" t="s">
        <v>83</v>
      </c>
      <c r="G786" t="s">
        <v>84</v>
      </c>
      <c r="H786" t="s">
        <v>85</v>
      </c>
      <c r="I786" t="s">
        <v>56</v>
      </c>
      <c r="J786" t="s">
        <v>97</v>
      </c>
      <c r="K786" t="s">
        <v>32</v>
      </c>
      <c r="L786" t="s">
        <v>33</v>
      </c>
      <c r="M786" t="s">
        <v>68</v>
      </c>
      <c r="N786" t="s">
        <v>48</v>
      </c>
      <c r="O786" t="s">
        <v>70</v>
      </c>
      <c r="P786" t="s">
        <v>58</v>
      </c>
      <c r="Q786" t="s">
        <v>158</v>
      </c>
      <c r="R786">
        <v>306</v>
      </c>
      <c r="S786">
        <v>164</v>
      </c>
      <c r="T786">
        <v>122</v>
      </c>
      <c r="U786">
        <v>42</v>
      </c>
      <c r="V786" t="s">
        <v>6431</v>
      </c>
      <c r="W786">
        <v>45937</v>
      </c>
      <c r="X786" t="s">
        <v>7260</v>
      </c>
      <c r="Y786">
        <v>34903</v>
      </c>
      <c r="Z786">
        <v>1929354</v>
      </c>
      <c r="AA786">
        <v>463428</v>
      </c>
      <c r="AB786" t="str">
        <f>(VLOOKUP(SalesData[[#This Row],[Month Number]],Reference!C$5:E$16,2,FALSE))</f>
        <v>Feb</v>
      </c>
      <c r="AC786">
        <f>MONTH(SalesData[[#This Row],[Date]])</f>
        <v>2</v>
      </c>
      <c r="AD786">
        <f>Reference!F$4</f>
        <v>2026</v>
      </c>
      <c r="AE786" t="str">
        <f>IF(OR(SalesData[[#This Row],[Day]]="Saturday",SalesData[[#This Row],[Day]]="Sunday"),"Weekend","Weekday")</f>
        <v>Weekend</v>
      </c>
      <c r="AF786" s="5">
        <f>IF(SalesData[[#This Row],[Contracts Offered]]=0,0,SalesData[[#This Row],[Contracts Signed]]/SalesData[[#This Row],[Contracts Offered]])</f>
        <v>0.34426229508196721</v>
      </c>
      <c r="AG786" s="5">
        <f>IF(SalesData[[#This Row],[Customers Visited]]=0,0,SalesData[[#This Row],[Test Drives]]/SalesData[[#This Row],[Customers Visited]])</f>
        <v>0.53594771241830064</v>
      </c>
      <c r="AH786" s="5">
        <f>IF(SalesData[[#This Row],[Customers Visited]]=0,0,SalesData[[#This Row],[Contracts Signed]]/SalesData[[#This Row],[Customers Visited]])</f>
        <v>0.13725490196078433</v>
      </c>
      <c r="AI786" s="6">
        <f>IF(SalesData[[#This Row],[Contracts Signed]]=0,0,SalesData[[#This Row],[Profit(€)]]/SalesData[[#This Row],[Contracts Signed]])</f>
        <v>11034</v>
      </c>
      <c r="AJ786" s="5" t="str">
        <f>TRIM(CLEAN(SalesData[[#This Row],[Retailer]]))</f>
        <v>Hannover Cars</v>
      </c>
    </row>
    <row r="787" spans="1:36" ht="14.25" hidden="1" x14ac:dyDescent="0.2">
      <c r="A787" t="s">
        <v>1423</v>
      </c>
      <c r="B787" s="1">
        <v>46080</v>
      </c>
      <c r="C787" t="s">
        <v>53</v>
      </c>
      <c r="D787" t="s">
        <v>54</v>
      </c>
      <c r="E787" t="s">
        <v>26</v>
      </c>
      <c r="F787" t="s">
        <v>74</v>
      </c>
      <c r="G787" t="s">
        <v>75</v>
      </c>
      <c r="H787" t="s">
        <v>76</v>
      </c>
      <c r="I787" t="s">
        <v>56</v>
      </c>
      <c r="J787" t="s">
        <v>97</v>
      </c>
      <c r="K787" t="s">
        <v>66</v>
      </c>
      <c r="L787" t="s">
        <v>33</v>
      </c>
      <c r="M787" t="s">
        <v>68</v>
      </c>
      <c r="N787" t="s">
        <v>35</v>
      </c>
      <c r="O787" t="s">
        <v>70</v>
      </c>
      <c r="P787" t="s">
        <v>58</v>
      </c>
      <c r="Q787" t="s">
        <v>88</v>
      </c>
      <c r="R787">
        <v>198</v>
      </c>
      <c r="S787">
        <v>103</v>
      </c>
      <c r="T787">
        <v>78</v>
      </c>
      <c r="U787">
        <v>27</v>
      </c>
      <c r="V787" t="s">
        <v>6993</v>
      </c>
      <c r="W787">
        <v>47639</v>
      </c>
      <c r="X787" t="s">
        <v>439</v>
      </c>
      <c r="Y787">
        <v>37716</v>
      </c>
      <c r="Z787">
        <v>1286253</v>
      </c>
      <c r="AA787">
        <v>267921</v>
      </c>
      <c r="AB787" t="str">
        <f>(VLOOKUP(SalesData[[#This Row],[Month Number]],Reference!C$5:E$16,2,FALSE))</f>
        <v>Feb</v>
      </c>
      <c r="AC787">
        <f>MONTH(SalesData[[#This Row],[Date]])</f>
        <v>2</v>
      </c>
      <c r="AD787">
        <f>Reference!F$4</f>
        <v>2026</v>
      </c>
      <c r="AE787" t="str">
        <f>IF(OR(SalesData[[#This Row],[Day]]="Saturday",SalesData[[#This Row],[Day]]="Sunday"),"Weekend","Weekday")</f>
        <v>Weekday</v>
      </c>
      <c r="AF787" s="5">
        <f>IF(SalesData[[#This Row],[Contracts Offered]]=0,0,SalesData[[#This Row],[Contracts Signed]]/SalesData[[#This Row],[Contracts Offered]])</f>
        <v>0.34615384615384615</v>
      </c>
      <c r="AG787" s="5">
        <f>IF(SalesData[[#This Row],[Customers Visited]]=0,0,SalesData[[#This Row],[Test Drives]]/SalesData[[#This Row],[Customers Visited]])</f>
        <v>0.52020202020202022</v>
      </c>
      <c r="AH787" s="5">
        <f>IF(SalesData[[#This Row],[Customers Visited]]=0,0,SalesData[[#This Row],[Contracts Signed]]/SalesData[[#This Row],[Customers Visited]])</f>
        <v>0.13636363636363635</v>
      </c>
      <c r="AI787" s="6">
        <f>IF(SalesData[[#This Row],[Contracts Signed]]=0,0,SalesData[[#This Row],[Profit(€)]]/SalesData[[#This Row],[Contracts Signed]])</f>
        <v>9923</v>
      </c>
      <c r="AJ787" s="5" t="str">
        <f>TRIM(CLEAN(SalesData[[#This Row],[Retailer]]))</f>
        <v>Stuttgart Auto Center</v>
      </c>
    </row>
    <row r="788" spans="1:36" ht="14.25" hidden="1" x14ac:dyDescent="0.2">
      <c r="A788" t="s">
        <v>1425</v>
      </c>
      <c r="B788" s="1">
        <v>46075</v>
      </c>
      <c r="C788" t="s">
        <v>53</v>
      </c>
      <c r="D788" t="s">
        <v>41</v>
      </c>
      <c r="E788" t="s">
        <v>42</v>
      </c>
      <c r="F788" t="s">
        <v>43</v>
      </c>
      <c r="G788" t="s">
        <v>44</v>
      </c>
      <c r="H788" t="s">
        <v>45</v>
      </c>
      <c r="I788" t="s">
        <v>56</v>
      </c>
      <c r="J788" t="s">
        <v>137</v>
      </c>
      <c r="K788" t="s">
        <v>78</v>
      </c>
      <c r="L788" t="s">
        <v>46</v>
      </c>
      <c r="M788" t="s">
        <v>87</v>
      </c>
      <c r="N788" t="s">
        <v>69</v>
      </c>
      <c r="O788" t="s">
        <v>36</v>
      </c>
      <c r="P788" t="s">
        <v>71</v>
      </c>
      <c r="Q788" t="s">
        <v>129</v>
      </c>
      <c r="R788">
        <v>198</v>
      </c>
      <c r="S788">
        <v>96</v>
      </c>
      <c r="T788">
        <v>70</v>
      </c>
      <c r="U788">
        <v>24</v>
      </c>
      <c r="V788" t="s">
        <v>6403</v>
      </c>
      <c r="W788">
        <v>44612</v>
      </c>
      <c r="X788" t="s">
        <v>1151</v>
      </c>
      <c r="Y788">
        <v>34668</v>
      </c>
      <c r="Z788">
        <v>1070688</v>
      </c>
      <c r="AA788">
        <v>238656</v>
      </c>
      <c r="AB788" t="str">
        <f>(VLOOKUP(SalesData[[#This Row],[Month Number]],Reference!C$5:E$16,2,FALSE))</f>
        <v>Feb</v>
      </c>
      <c r="AC788">
        <f>MONTH(SalesData[[#This Row],[Date]])</f>
        <v>2</v>
      </c>
      <c r="AD788">
        <f>Reference!F$4</f>
        <v>2026</v>
      </c>
      <c r="AE788" t="str">
        <f>IF(OR(SalesData[[#This Row],[Day]]="Saturday",SalesData[[#This Row],[Day]]="Sunday"),"Weekend","Weekday")</f>
        <v>Weekend</v>
      </c>
      <c r="AF788" s="5">
        <f>IF(SalesData[[#This Row],[Contracts Offered]]=0,0,SalesData[[#This Row],[Contracts Signed]]/SalesData[[#This Row],[Contracts Offered]])</f>
        <v>0.34285714285714286</v>
      </c>
      <c r="AG788" s="5">
        <f>IF(SalesData[[#This Row],[Customers Visited]]=0,0,SalesData[[#This Row],[Test Drives]]/SalesData[[#This Row],[Customers Visited]])</f>
        <v>0.48484848484848486</v>
      </c>
      <c r="AH788" s="5">
        <f>IF(SalesData[[#This Row],[Customers Visited]]=0,0,SalesData[[#This Row],[Contracts Signed]]/SalesData[[#This Row],[Customers Visited]])</f>
        <v>0.12121212121212122</v>
      </c>
      <c r="AI788" s="6">
        <f>IF(SalesData[[#This Row],[Contracts Signed]]=0,0,SalesData[[#This Row],[Profit(€)]]/SalesData[[#This Row],[Contracts Signed]])</f>
        <v>9944</v>
      </c>
      <c r="AJ788" s="5" t="str">
        <f>TRIM(CLEAN(SalesData[[#This Row],[Retailer]]))</f>
        <v>Saxon Wheels</v>
      </c>
    </row>
    <row r="789" spans="1:36" ht="14.25" hidden="1" x14ac:dyDescent="0.2">
      <c r="A789" t="s">
        <v>1426</v>
      </c>
      <c r="B789" s="1">
        <v>46069</v>
      </c>
      <c r="C789" t="s">
        <v>62</v>
      </c>
      <c r="D789" t="s">
        <v>25</v>
      </c>
      <c r="E789" t="s">
        <v>26</v>
      </c>
      <c r="F789" t="s">
        <v>109</v>
      </c>
      <c r="G789" t="s">
        <v>110</v>
      </c>
      <c r="H789" t="s">
        <v>45</v>
      </c>
      <c r="I789" t="s">
        <v>104</v>
      </c>
      <c r="J789" t="s">
        <v>140</v>
      </c>
      <c r="K789" t="s">
        <v>66</v>
      </c>
      <c r="L789" t="s">
        <v>46</v>
      </c>
      <c r="M789" t="s">
        <v>34</v>
      </c>
      <c r="N789" t="s">
        <v>69</v>
      </c>
      <c r="O789" t="s">
        <v>70</v>
      </c>
      <c r="P789" t="s">
        <v>37</v>
      </c>
      <c r="Q789" t="s">
        <v>204</v>
      </c>
      <c r="R789">
        <v>468</v>
      </c>
      <c r="S789">
        <v>189</v>
      </c>
      <c r="T789">
        <v>126</v>
      </c>
      <c r="U789">
        <v>25</v>
      </c>
      <c r="V789" t="s">
        <v>7310</v>
      </c>
      <c r="W789">
        <v>32228</v>
      </c>
      <c r="X789" t="s">
        <v>7203</v>
      </c>
      <c r="Y789">
        <v>28507</v>
      </c>
      <c r="Z789">
        <v>805700</v>
      </c>
      <c r="AA789">
        <v>93025</v>
      </c>
      <c r="AB789" t="str">
        <f>(VLOOKUP(SalesData[[#This Row],[Month Number]],Reference!C$5:E$16,2,FALSE))</f>
        <v>Feb</v>
      </c>
      <c r="AC789">
        <f>MONTH(SalesData[[#This Row],[Date]])</f>
        <v>2</v>
      </c>
      <c r="AD789">
        <f>Reference!F$4</f>
        <v>2026</v>
      </c>
      <c r="AE789" t="str">
        <f>IF(OR(SalesData[[#This Row],[Day]]="Saturday",SalesData[[#This Row],[Day]]="Sunday"),"Weekend","Weekday")</f>
        <v>Weekday</v>
      </c>
      <c r="AF789" s="5">
        <f>IF(SalesData[[#This Row],[Contracts Offered]]=0,0,SalesData[[#This Row],[Contracts Signed]]/SalesData[[#This Row],[Contracts Offered]])</f>
        <v>0.1984126984126984</v>
      </c>
      <c r="AG789" s="5">
        <f>IF(SalesData[[#This Row],[Customers Visited]]=0,0,SalesData[[#This Row],[Test Drives]]/SalesData[[#This Row],[Customers Visited]])</f>
        <v>0.40384615384615385</v>
      </c>
      <c r="AH789" s="5">
        <f>IF(SalesData[[#This Row],[Customers Visited]]=0,0,SalesData[[#This Row],[Contracts Signed]]/SalesData[[#This Row],[Customers Visited]])</f>
        <v>5.3418803418803416E-2</v>
      </c>
      <c r="AI789" s="6">
        <f>IF(SalesData[[#This Row],[Contracts Signed]]=0,0,SalesData[[#This Row],[Profit(€)]]/SalesData[[#This Row],[Contracts Signed]])</f>
        <v>3721</v>
      </c>
      <c r="AJ789" s="5" t="str">
        <f>TRIM(CLEAN(SalesData[[#This Row],[Retailer]]))</f>
        <v>Leipzig Mobility</v>
      </c>
    </row>
    <row r="790" spans="1:36" ht="14.25" hidden="1" x14ac:dyDescent="0.2">
      <c r="A790" t="s">
        <v>1428</v>
      </c>
      <c r="B790" s="1">
        <v>46078</v>
      </c>
      <c r="C790" t="s">
        <v>53</v>
      </c>
      <c r="D790" t="s">
        <v>82</v>
      </c>
      <c r="E790" t="s">
        <v>26</v>
      </c>
      <c r="F790" t="s">
        <v>27</v>
      </c>
      <c r="G790" t="s">
        <v>28</v>
      </c>
      <c r="H790" t="s">
        <v>29</v>
      </c>
      <c r="I790" t="s">
        <v>56</v>
      </c>
      <c r="J790" t="s">
        <v>137</v>
      </c>
      <c r="K790" t="s">
        <v>78</v>
      </c>
      <c r="L790" t="s">
        <v>46</v>
      </c>
      <c r="M790" t="s">
        <v>47</v>
      </c>
      <c r="N790" t="s">
        <v>35</v>
      </c>
      <c r="O790" t="s">
        <v>36</v>
      </c>
      <c r="P790" t="s">
        <v>71</v>
      </c>
      <c r="Q790" t="s">
        <v>204</v>
      </c>
      <c r="R790">
        <v>284</v>
      </c>
      <c r="S790">
        <v>177</v>
      </c>
      <c r="T790">
        <v>131</v>
      </c>
      <c r="U790">
        <v>40</v>
      </c>
      <c r="V790" t="s">
        <v>6750</v>
      </c>
      <c r="W790">
        <v>49502</v>
      </c>
      <c r="X790" t="s">
        <v>977</v>
      </c>
      <c r="Y790">
        <v>38101</v>
      </c>
      <c r="Z790">
        <v>1980080</v>
      </c>
      <c r="AA790">
        <v>456040</v>
      </c>
      <c r="AB790" t="str">
        <f>(VLOOKUP(SalesData[[#This Row],[Month Number]],Reference!C$5:E$16,2,FALSE))</f>
        <v>Feb</v>
      </c>
      <c r="AC790">
        <f>MONTH(SalesData[[#This Row],[Date]])</f>
        <v>2</v>
      </c>
      <c r="AD790">
        <f>Reference!F$4</f>
        <v>2026</v>
      </c>
      <c r="AE790" t="str">
        <f>IF(OR(SalesData[[#This Row],[Day]]="Saturday",SalesData[[#This Row],[Day]]="Sunday"),"Weekend","Weekday")</f>
        <v>Weekday</v>
      </c>
      <c r="AF790" s="5">
        <f>IF(SalesData[[#This Row],[Contracts Offered]]=0,0,SalesData[[#This Row],[Contracts Signed]]/SalesData[[#This Row],[Contracts Offered]])</f>
        <v>0.30534351145038169</v>
      </c>
      <c r="AG790" s="5">
        <f>IF(SalesData[[#This Row],[Customers Visited]]=0,0,SalesData[[#This Row],[Test Drives]]/SalesData[[#This Row],[Customers Visited]])</f>
        <v>0.62323943661971826</v>
      </c>
      <c r="AH790" s="5">
        <f>IF(SalesData[[#This Row],[Customers Visited]]=0,0,SalesData[[#This Row],[Contracts Signed]]/SalesData[[#This Row],[Customers Visited]])</f>
        <v>0.14084507042253522</v>
      </c>
      <c r="AI790" s="6">
        <f>IF(SalesData[[#This Row],[Contracts Signed]]=0,0,SalesData[[#This Row],[Profit(€)]]/SalesData[[#This Row],[Contracts Signed]])</f>
        <v>11401</v>
      </c>
      <c r="AJ790" s="5" t="str">
        <f>TRIM(CLEAN(SalesData[[#This Row],[Retailer]]))</f>
        <v>Main Auto Hub</v>
      </c>
    </row>
    <row r="791" spans="1:36" ht="14.25" x14ac:dyDescent="0.2">
      <c r="A791" t="s">
        <v>1429</v>
      </c>
      <c r="B791" s="1">
        <v>46059</v>
      </c>
      <c r="C791" t="s">
        <v>24</v>
      </c>
      <c r="D791" t="s">
        <v>54</v>
      </c>
      <c r="E791" t="s">
        <v>26</v>
      </c>
      <c r="F791" t="s">
        <v>109</v>
      </c>
      <c r="G791" t="s">
        <v>110</v>
      </c>
      <c r="H791" t="s">
        <v>45</v>
      </c>
      <c r="I791" t="s">
        <v>30</v>
      </c>
      <c r="J791" t="s">
        <v>7075</v>
      </c>
      <c r="K791" t="s">
        <v>91</v>
      </c>
      <c r="L791" t="s">
        <v>33</v>
      </c>
      <c r="M791" t="s">
        <v>68</v>
      </c>
      <c r="N791" t="s">
        <v>69</v>
      </c>
      <c r="O791" t="s">
        <v>70</v>
      </c>
      <c r="P791" t="s">
        <v>37</v>
      </c>
      <c r="Q791" t="s">
        <v>88</v>
      </c>
      <c r="R791">
        <v>171</v>
      </c>
      <c r="S791">
        <v>87</v>
      </c>
      <c r="T791">
        <v>70</v>
      </c>
      <c r="U791">
        <v>23</v>
      </c>
      <c r="V791" t="s">
        <v>6601</v>
      </c>
      <c r="W791">
        <v>63640</v>
      </c>
      <c r="X791" t="s">
        <v>876</v>
      </c>
      <c r="Y791">
        <v>48399</v>
      </c>
      <c r="Z791">
        <v>1463720</v>
      </c>
      <c r="AA791">
        <v>350543</v>
      </c>
      <c r="AB791" t="str">
        <f>(VLOOKUP(SalesData[[#This Row],[Month Number]],Reference!C$5:E$16,2,FALSE))</f>
        <v>Feb</v>
      </c>
      <c r="AC791">
        <f>MONTH(SalesData[[#This Row],[Date]])</f>
        <v>2</v>
      </c>
      <c r="AD791">
        <f>Reference!F$4</f>
        <v>2026</v>
      </c>
      <c r="AE791" t="str">
        <f>IF(OR(SalesData[[#This Row],[Day]]="Saturday",SalesData[[#This Row],[Day]]="Sunday"),"Weekend","Weekday")</f>
        <v>Weekday</v>
      </c>
      <c r="AF791" s="5">
        <f>IF(SalesData[[#This Row],[Contracts Offered]]=0,0,SalesData[[#This Row],[Contracts Signed]]/SalesData[[#This Row],[Contracts Offered]])</f>
        <v>0.32857142857142857</v>
      </c>
      <c r="AG791" s="5">
        <f>IF(SalesData[[#This Row],[Customers Visited]]=0,0,SalesData[[#This Row],[Test Drives]]/SalesData[[#This Row],[Customers Visited]])</f>
        <v>0.50877192982456143</v>
      </c>
      <c r="AH791" s="5">
        <f>IF(SalesData[[#This Row],[Customers Visited]]=0,0,SalesData[[#This Row],[Contracts Signed]]/SalesData[[#This Row],[Customers Visited]])</f>
        <v>0.13450292397660818</v>
      </c>
      <c r="AI791" s="6">
        <f>IF(SalesData[[#This Row],[Contracts Signed]]=0,0,SalesData[[#This Row],[Profit(€)]]/SalesData[[#This Row],[Contracts Signed]])</f>
        <v>15241</v>
      </c>
      <c r="AJ791" s="5" t="str">
        <f>TRIM(CLEAN(SalesData[[#This Row],[Retailer]]))</f>
        <v>Leipzig Mobility</v>
      </c>
    </row>
    <row r="792" spans="1:36" ht="14.25" hidden="1" x14ac:dyDescent="0.2">
      <c r="A792" t="s">
        <v>1430</v>
      </c>
      <c r="B792" s="1">
        <v>46071</v>
      </c>
      <c r="C792" t="s">
        <v>62</v>
      </c>
      <c r="D792" t="s">
        <v>82</v>
      </c>
      <c r="E792" t="s">
        <v>26</v>
      </c>
      <c r="F792" t="s">
        <v>101</v>
      </c>
      <c r="G792" t="s">
        <v>102</v>
      </c>
      <c r="H792" t="s">
        <v>103</v>
      </c>
      <c r="I792" t="s">
        <v>64</v>
      </c>
      <c r="J792" t="s">
        <v>157</v>
      </c>
      <c r="K792" t="s">
        <v>78</v>
      </c>
      <c r="L792" t="s">
        <v>33</v>
      </c>
      <c r="M792" t="s">
        <v>47</v>
      </c>
      <c r="N792" t="s">
        <v>35</v>
      </c>
      <c r="O792" t="s">
        <v>70</v>
      </c>
      <c r="P792" t="s">
        <v>37</v>
      </c>
      <c r="Q792" t="s">
        <v>167</v>
      </c>
      <c r="R792">
        <v>290</v>
      </c>
      <c r="S792">
        <v>162</v>
      </c>
      <c r="T792">
        <v>117</v>
      </c>
      <c r="U792">
        <v>40</v>
      </c>
      <c r="V792" t="s">
        <v>6703</v>
      </c>
      <c r="W792">
        <v>58133</v>
      </c>
      <c r="X792" t="s">
        <v>7149</v>
      </c>
      <c r="Y792">
        <v>45749</v>
      </c>
      <c r="Z792">
        <v>2325320</v>
      </c>
      <c r="AA792">
        <v>495360</v>
      </c>
      <c r="AB792" t="str">
        <f>(VLOOKUP(SalesData[[#This Row],[Month Number]],Reference!C$5:E$16,2,FALSE))</f>
        <v>Feb</v>
      </c>
      <c r="AC792">
        <f>MONTH(SalesData[[#This Row],[Date]])</f>
        <v>2</v>
      </c>
      <c r="AD792">
        <f>Reference!F$4</f>
        <v>2026</v>
      </c>
      <c r="AE792" t="str">
        <f>IF(OR(SalesData[[#This Row],[Day]]="Saturday",SalesData[[#This Row],[Day]]="Sunday"),"Weekend","Weekday")</f>
        <v>Weekday</v>
      </c>
      <c r="AF792" s="5">
        <f>IF(SalesData[[#This Row],[Contracts Offered]]=0,0,SalesData[[#This Row],[Contracts Signed]]/SalesData[[#This Row],[Contracts Offered]])</f>
        <v>0.34188034188034189</v>
      </c>
      <c r="AG792" s="5">
        <f>IF(SalesData[[#This Row],[Customers Visited]]=0,0,SalesData[[#This Row],[Test Drives]]/SalesData[[#This Row],[Customers Visited]])</f>
        <v>0.55862068965517242</v>
      </c>
      <c r="AH792" s="5">
        <f>IF(SalesData[[#This Row],[Customers Visited]]=0,0,SalesData[[#This Row],[Contracts Signed]]/SalesData[[#This Row],[Customers Visited]])</f>
        <v>0.13793103448275862</v>
      </c>
      <c r="AI792" s="6">
        <f>IF(SalesData[[#This Row],[Contracts Signed]]=0,0,SalesData[[#This Row],[Profit(€)]]/SalesData[[#This Row],[Contracts Signed]])</f>
        <v>12384</v>
      </c>
      <c r="AJ792" s="5" t="str">
        <f>TRIM(CLEAN(SalesData[[#This Row],[Retailer]]))</f>
        <v>Ruhr Auto Plaza</v>
      </c>
    </row>
    <row r="793" spans="1:36" ht="14.25" x14ac:dyDescent="0.2">
      <c r="A793" t="s">
        <v>1432</v>
      </c>
      <c r="B793" s="1">
        <v>46070</v>
      </c>
      <c r="C793" t="s">
        <v>62</v>
      </c>
      <c r="D793" t="s">
        <v>63</v>
      </c>
      <c r="E793" t="s">
        <v>26</v>
      </c>
      <c r="F793" t="s">
        <v>7649</v>
      </c>
      <c r="G793" t="s">
        <v>55</v>
      </c>
      <c r="H793" t="s">
        <v>55</v>
      </c>
      <c r="I793" t="s">
        <v>30</v>
      </c>
      <c r="J793" t="s">
        <v>86</v>
      </c>
      <c r="K793" t="s">
        <v>66</v>
      </c>
      <c r="L793" t="s">
        <v>33</v>
      </c>
      <c r="M793" t="s">
        <v>34</v>
      </c>
      <c r="N793" t="s">
        <v>48</v>
      </c>
      <c r="O793" t="s">
        <v>70</v>
      </c>
      <c r="P793" t="s">
        <v>49</v>
      </c>
      <c r="Q793" t="s">
        <v>347</v>
      </c>
      <c r="R793">
        <v>261</v>
      </c>
      <c r="S793">
        <v>133</v>
      </c>
      <c r="T793">
        <v>101</v>
      </c>
      <c r="U793">
        <v>35</v>
      </c>
      <c r="V793" t="s">
        <v>6471</v>
      </c>
      <c r="W793">
        <v>49423</v>
      </c>
      <c r="X793" t="s">
        <v>7185</v>
      </c>
      <c r="Y793">
        <v>36291</v>
      </c>
      <c r="Z793">
        <v>1729805</v>
      </c>
      <c r="AA793">
        <v>459620</v>
      </c>
      <c r="AB793" t="str">
        <f>(VLOOKUP(SalesData[[#This Row],[Month Number]],Reference!C$5:E$16,2,FALSE))</f>
        <v>Feb</v>
      </c>
      <c r="AC793">
        <f>MONTH(SalesData[[#This Row],[Date]])</f>
        <v>2</v>
      </c>
      <c r="AD793">
        <f>Reference!F$4</f>
        <v>2026</v>
      </c>
      <c r="AE793" t="str">
        <f>IF(OR(SalesData[[#This Row],[Day]]="Saturday",SalesData[[#This Row],[Day]]="Sunday"),"Weekend","Weekday")</f>
        <v>Weekday</v>
      </c>
      <c r="AF793" s="5">
        <f>IF(SalesData[[#This Row],[Contracts Offered]]=0,0,SalesData[[#This Row],[Contracts Signed]]/SalesData[[#This Row],[Contracts Offered]])</f>
        <v>0.34653465346534651</v>
      </c>
      <c r="AG793" s="5">
        <f>IF(SalesData[[#This Row],[Customers Visited]]=0,0,SalesData[[#This Row],[Test Drives]]/SalesData[[#This Row],[Customers Visited]])</f>
        <v>0.50957854406130265</v>
      </c>
      <c r="AH793" s="5">
        <f>IF(SalesData[[#This Row],[Customers Visited]]=0,0,SalesData[[#This Row],[Contracts Signed]]/SalesData[[#This Row],[Customers Visited]])</f>
        <v>0.13409961685823754</v>
      </c>
      <c r="AI793" s="6">
        <f>IF(SalesData[[#This Row],[Contracts Signed]]=0,0,SalesData[[#This Row],[Profit(€)]]/SalesData[[#This Row],[Contracts Signed]])</f>
        <v>13132</v>
      </c>
      <c r="AJ793" s="5" t="str">
        <f>TRIM(CLEAN(SalesData[[#This Row],[Retailer]]))</f>
        <v>Autohaus Berlin</v>
      </c>
    </row>
    <row r="794" spans="1:36" ht="14.25" hidden="1" x14ac:dyDescent="0.2">
      <c r="A794" t="s">
        <v>1434</v>
      </c>
      <c r="B794" s="1">
        <v>46064</v>
      </c>
      <c r="C794" t="s">
        <v>121</v>
      </c>
      <c r="D794" t="s">
        <v>82</v>
      </c>
      <c r="E794" t="s">
        <v>26</v>
      </c>
      <c r="F794" t="s">
        <v>114</v>
      </c>
      <c r="G794" t="s">
        <v>115</v>
      </c>
      <c r="H794" t="s">
        <v>115</v>
      </c>
      <c r="I794" t="s">
        <v>116</v>
      </c>
      <c r="J794" t="s">
        <v>132</v>
      </c>
      <c r="K794" t="s">
        <v>66</v>
      </c>
      <c r="L794" t="s">
        <v>46</v>
      </c>
      <c r="M794" t="s">
        <v>34</v>
      </c>
      <c r="N794" t="s">
        <v>48</v>
      </c>
      <c r="O794" t="s">
        <v>70</v>
      </c>
      <c r="P794" t="s">
        <v>37</v>
      </c>
      <c r="Q794" t="s">
        <v>204</v>
      </c>
      <c r="R794">
        <v>333</v>
      </c>
      <c r="S794">
        <v>127</v>
      </c>
      <c r="T794">
        <v>83</v>
      </c>
      <c r="U794">
        <v>16</v>
      </c>
      <c r="V794" t="s">
        <v>7237</v>
      </c>
      <c r="W794">
        <v>21734</v>
      </c>
      <c r="X794" t="s">
        <v>7311</v>
      </c>
      <c r="Y794">
        <v>20032</v>
      </c>
      <c r="Z794">
        <v>347744</v>
      </c>
      <c r="AA794">
        <v>27232</v>
      </c>
      <c r="AB794" t="str">
        <f>(VLOOKUP(SalesData[[#This Row],[Month Number]],Reference!C$5:E$16,2,FALSE))</f>
        <v>Feb</v>
      </c>
      <c r="AC794">
        <f>MONTH(SalesData[[#This Row],[Date]])</f>
        <v>2</v>
      </c>
      <c r="AD794">
        <f>Reference!F$4</f>
        <v>2026</v>
      </c>
      <c r="AE794" t="str">
        <f>IF(OR(SalesData[[#This Row],[Day]]="Saturday",SalesData[[#This Row],[Day]]="Sunday"),"Weekend","Weekday")</f>
        <v>Weekday</v>
      </c>
      <c r="AF794" s="5">
        <f>IF(SalesData[[#This Row],[Contracts Offered]]=0,0,SalesData[[#This Row],[Contracts Signed]]/SalesData[[#This Row],[Contracts Offered]])</f>
        <v>0.19277108433734941</v>
      </c>
      <c r="AG794" s="5">
        <f>IF(SalesData[[#This Row],[Customers Visited]]=0,0,SalesData[[#This Row],[Test Drives]]/SalesData[[#This Row],[Customers Visited]])</f>
        <v>0.38138138138138139</v>
      </c>
      <c r="AH794" s="5">
        <f>IF(SalesData[[#This Row],[Customers Visited]]=0,0,SalesData[[#This Row],[Contracts Signed]]/SalesData[[#This Row],[Customers Visited]])</f>
        <v>4.8048048048048048E-2</v>
      </c>
      <c r="AI794" s="6">
        <f>IF(SalesData[[#This Row],[Contracts Signed]]=0,0,SalesData[[#This Row],[Profit(€)]]/SalesData[[#This Row],[Contracts Signed]])</f>
        <v>1702</v>
      </c>
      <c r="AJ794" s="5" t="str">
        <f>TRIM(CLEAN(SalesData[[#This Row],[Retailer]]))</f>
        <v>Elbe Drive</v>
      </c>
    </row>
    <row r="795" spans="1:36" ht="14.25" hidden="1" x14ac:dyDescent="0.2">
      <c r="A795" t="s">
        <v>1435</v>
      </c>
      <c r="B795" s="1">
        <v>46076</v>
      </c>
      <c r="C795" t="s">
        <v>53</v>
      </c>
      <c r="D795" t="s">
        <v>25</v>
      </c>
      <c r="E795" t="s">
        <v>26</v>
      </c>
      <c r="F795" t="s">
        <v>94</v>
      </c>
      <c r="G795" t="s">
        <v>95</v>
      </c>
      <c r="H795" t="s">
        <v>96</v>
      </c>
      <c r="I795" t="s">
        <v>56</v>
      </c>
      <c r="J795" t="s">
        <v>137</v>
      </c>
      <c r="K795" t="s">
        <v>78</v>
      </c>
      <c r="L795" t="s">
        <v>46</v>
      </c>
      <c r="M795" t="s">
        <v>68</v>
      </c>
      <c r="N795" t="s">
        <v>48</v>
      </c>
      <c r="O795" t="s">
        <v>36</v>
      </c>
      <c r="P795" t="s">
        <v>71</v>
      </c>
      <c r="Q795" t="s">
        <v>144</v>
      </c>
      <c r="R795">
        <v>292</v>
      </c>
      <c r="S795">
        <v>159</v>
      </c>
      <c r="T795">
        <v>121</v>
      </c>
      <c r="U795">
        <v>45</v>
      </c>
      <c r="V795" t="s">
        <v>6760</v>
      </c>
      <c r="W795">
        <v>43978</v>
      </c>
      <c r="X795" t="s">
        <v>1680</v>
      </c>
      <c r="Y795">
        <v>34138</v>
      </c>
      <c r="Z795">
        <v>1979010</v>
      </c>
      <c r="AA795">
        <v>442800</v>
      </c>
      <c r="AB795" t="str">
        <f>(VLOOKUP(SalesData[[#This Row],[Month Number]],Reference!C$5:E$16,2,FALSE))</f>
        <v>Feb</v>
      </c>
      <c r="AC795">
        <f>MONTH(SalesData[[#This Row],[Date]])</f>
        <v>2</v>
      </c>
      <c r="AD795">
        <f>Reference!F$4</f>
        <v>2026</v>
      </c>
      <c r="AE795" t="str">
        <f>IF(OR(SalesData[[#This Row],[Day]]="Saturday",SalesData[[#This Row],[Day]]="Sunday"),"Weekend","Weekday")</f>
        <v>Weekday</v>
      </c>
      <c r="AF795" s="5">
        <f>IF(SalesData[[#This Row],[Contracts Offered]]=0,0,SalesData[[#This Row],[Contracts Signed]]/SalesData[[#This Row],[Contracts Offered]])</f>
        <v>0.37190082644628097</v>
      </c>
      <c r="AG795" s="5">
        <f>IF(SalesData[[#This Row],[Customers Visited]]=0,0,SalesData[[#This Row],[Test Drives]]/SalesData[[#This Row],[Customers Visited]])</f>
        <v>0.54452054794520544</v>
      </c>
      <c r="AH795" s="5">
        <f>IF(SalesData[[#This Row],[Customers Visited]]=0,0,SalesData[[#This Row],[Contracts Signed]]/SalesData[[#This Row],[Customers Visited]])</f>
        <v>0.1541095890410959</v>
      </c>
      <c r="AI795" s="6">
        <f>IF(SalesData[[#This Row],[Contracts Signed]]=0,0,SalesData[[#This Row],[Profit(€)]]/SalesData[[#This Row],[Contracts Signed]])</f>
        <v>9840</v>
      </c>
      <c r="AJ795" s="5" t="str">
        <f>TRIM(CLEAN(SalesData[[#This Row],[Retailer]]))</f>
        <v>Bavaria Motors</v>
      </c>
    </row>
    <row r="796" spans="1:36" ht="14.25" hidden="1" x14ac:dyDescent="0.2">
      <c r="A796" t="s">
        <v>1437</v>
      </c>
      <c r="B796" s="1">
        <v>46064</v>
      </c>
      <c r="C796" t="s">
        <v>121</v>
      </c>
      <c r="D796" t="s">
        <v>82</v>
      </c>
      <c r="E796" t="s">
        <v>26</v>
      </c>
      <c r="F796" t="s">
        <v>94</v>
      </c>
      <c r="G796" t="s">
        <v>95</v>
      </c>
      <c r="H796" t="s">
        <v>96</v>
      </c>
      <c r="I796" t="s">
        <v>56</v>
      </c>
      <c r="J796" t="s">
        <v>179</v>
      </c>
      <c r="K796" t="s">
        <v>32</v>
      </c>
      <c r="L796" t="s">
        <v>67</v>
      </c>
      <c r="M796" t="s">
        <v>68</v>
      </c>
      <c r="N796" t="s">
        <v>35</v>
      </c>
      <c r="O796" t="s">
        <v>70</v>
      </c>
      <c r="P796" t="s">
        <v>58</v>
      </c>
      <c r="Q796" t="s">
        <v>50</v>
      </c>
      <c r="R796">
        <v>189</v>
      </c>
      <c r="S796">
        <v>116</v>
      </c>
      <c r="T796">
        <v>78</v>
      </c>
      <c r="U796">
        <v>29</v>
      </c>
      <c r="V796" t="s">
        <v>6403</v>
      </c>
      <c r="W796">
        <v>49882</v>
      </c>
      <c r="X796" t="s">
        <v>1002</v>
      </c>
      <c r="Y796">
        <v>37576</v>
      </c>
      <c r="Z796">
        <v>1446578</v>
      </c>
      <c r="AA796">
        <v>356874</v>
      </c>
      <c r="AB796" t="str">
        <f>(VLOOKUP(SalesData[[#This Row],[Month Number]],Reference!C$5:E$16,2,FALSE))</f>
        <v>Feb</v>
      </c>
      <c r="AC796">
        <f>MONTH(SalesData[[#This Row],[Date]])</f>
        <v>2</v>
      </c>
      <c r="AD796">
        <f>Reference!F$4</f>
        <v>2026</v>
      </c>
      <c r="AE796" t="str">
        <f>IF(OR(SalesData[[#This Row],[Day]]="Saturday",SalesData[[#This Row],[Day]]="Sunday"),"Weekend","Weekday")</f>
        <v>Weekday</v>
      </c>
      <c r="AF796" s="5">
        <f>IF(SalesData[[#This Row],[Contracts Offered]]=0,0,SalesData[[#This Row],[Contracts Signed]]/SalesData[[#This Row],[Contracts Offered]])</f>
        <v>0.37179487179487181</v>
      </c>
      <c r="AG796" s="5">
        <f>IF(SalesData[[#This Row],[Customers Visited]]=0,0,SalesData[[#This Row],[Test Drives]]/SalesData[[#This Row],[Customers Visited]])</f>
        <v>0.61375661375661372</v>
      </c>
      <c r="AH796" s="5">
        <f>IF(SalesData[[#This Row],[Customers Visited]]=0,0,SalesData[[#This Row],[Contracts Signed]]/SalesData[[#This Row],[Customers Visited]])</f>
        <v>0.15343915343915343</v>
      </c>
      <c r="AI796" s="6">
        <f>IF(SalesData[[#This Row],[Contracts Signed]]=0,0,SalesData[[#This Row],[Profit(€)]]/SalesData[[#This Row],[Contracts Signed]])</f>
        <v>12306</v>
      </c>
      <c r="AJ796" s="5" t="str">
        <f>TRIM(CLEAN(SalesData[[#This Row],[Retailer]]))</f>
        <v>Bavaria Motors</v>
      </c>
    </row>
    <row r="797" spans="1:36" ht="14.25" hidden="1" x14ac:dyDescent="0.2">
      <c r="A797" t="s">
        <v>1439</v>
      </c>
      <c r="B797" s="1">
        <v>46065</v>
      </c>
      <c r="C797" t="s">
        <v>121</v>
      </c>
      <c r="D797" t="s">
        <v>100</v>
      </c>
      <c r="E797" t="s">
        <v>26</v>
      </c>
      <c r="F797" t="s">
        <v>114</v>
      </c>
      <c r="G797" t="s">
        <v>115</v>
      </c>
      <c r="H797" t="s">
        <v>115</v>
      </c>
      <c r="I797" t="s">
        <v>56</v>
      </c>
      <c r="J797" t="s">
        <v>7028</v>
      </c>
      <c r="K797" t="s">
        <v>32</v>
      </c>
      <c r="L797" t="s">
        <v>46</v>
      </c>
      <c r="M797" t="s">
        <v>87</v>
      </c>
      <c r="N797" t="s">
        <v>48</v>
      </c>
      <c r="O797" t="s">
        <v>36</v>
      </c>
      <c r="P797" t="s">
        <v>37</v>
      </c>
      <c r="Q797" t="s">
        <v>79</v>
      </c>
      <c r="R797">
        <v>235</v>
      </c>
      <c r="S797">
        <v>126</v>
      </c>
      <c r="T797">
        <v>82</v>
      </c>
      <c r="U797">
        <v>30</v>
      </c>
      <c r="V797" t="s">
        <v>6383</v>
      </c>
      <c r="W797">
        <v>55480</v>
      </c>
      <c r="X797" t="s">
        <v>7055</v>
      </c>
      <c r="Y797">
        <v>44141</v>
      </c>
      <c r="Z797">
        <v>1664400</v>
      </c>
      <c r="AA797">
        <v>340170</v>
      </c>
      <c r="AB797" t="str">
        <f>(VLOOKUP(SalesData[[#This Row],[Month Number]],Reference!C$5:E$16,2,FALSE))</f>
        <v>Feb</v>
      </c>
      <c r="AC797">
        <f>MONTH(SalesData[[#This Row],[Date]])</f>
        <v>2</v>
      </c>
      <c r="AD797">
        <f>Reference!F$4</f>
        <v>2026</v>
      </c>
      <c r="AE797" t="str">
        <f>IF(OR(SalesData[[#This Row],[Day]]="Saturday",SalesData[[#This Row],[Day]]="Sunday"),"Weekend","Weekday")</f>
        <v>Weekday</v>
      </c>
      <c r="AF797" s="5">
        <f>IF(SalesData[[#This Row],[Contracts Offered]]=0,0,SalesData[[#This Row],[Contracts Signed]]/SalesData[[#This Row],[Contracts Offered]])</f>
        <v>0.36585365853658536</v>
      </c>
      <c r="AG797" s="5">
        <f>IF(SalesData[[#This Row],[Customers Visited]]=0,0,SalesData[[#This Row],[Test Drives]]/SalesData[[#This Row],[Customers Visited]])</f>
        <v>0.53617021276595744</v>
      </c>
      <c r="AH797" s="5">
        <f>IF(SalesData[[#This Row],[Customers Visited]]=0,0,SalesData[[#This Row],[Contracts Signed]]/SalesData[[#This Row],[Customers Visited]])</f>
        <v>0.1276595744680851</v>
      </c>
      <c r="AI797" s="6">
        <f>IF(SalesData[[#This Row],[Contracts Signed]]=0,0,SalesData[[#This Row],[Profit(€)]]/SalesData[[#This Row],[Contracts Signed]])</f>
        <v>11339</v>
      </c>
      <c r="AJ797" s="5" t="str">
        <f>TRIM(CLEAN(SalesData[[#This Row],[Retailer]]))</f>
        <v>Elbe Drive</v>
      </c>
    </row>
    <row r="798" spans="1:36" ht="14.25" hidden="1" x14ac:dyDescent="0.2">
      <c r="A798" t="s">
        <v>1441</v>
      </c>
      <c r="B798" s="1">
        <v>46059</v>
      </c>
      <c r="C798" t="s">
        <v>24</v>
      </c>
      <c r="D798" t="s">
        <v>54</v>
      </c>
      <c r="E798" t="s">
        <v>26</v>
      </c>
      <c r="F798" t="s">
        <v>74</v>
      </c>
      <c r="G798" t="s">
        <v>75</v>
      </c>
      <c r="H798" t="s">
        <v>76</v>
      </c>
      <c r="I798" t="s">
        <v>56</v>
      </c>
      <c r="J798" t="s">
        <v>7028</v>
      </c>
      <c r="K798" t="s">
        <v>91</v>
      </c>
      <c r="L798" t="s">
        <v>46</v>
      </c>
      <c r="M798" t="s">
        <v>87</v>
      </c>
      <c r="N798" t="s">
        <v>48</v>
      </c>
      <c r="O798" t="s">
        <v>70</v>
      </c>
      <c r="P798" t="s">
        <v>58</v>
      </c>
      <c r="Q798" t="s">
        <v>167</v>
      </c>
      <c r="R798">
        <v>305</v>
      </c>
      <c r="S798">
        <v>163</v>
      </c>
      <c r="T798">
        <v>114</v>
      </c>
      <c r="U798">
        <v>40</v>
      </c>
      <c r="V798" t="s">
        <v>6939</v>
      </c>
      <c r="W798">
        <v>40850</v>
      </c>
      <c r="X798" t="s">
        <v>133</v>
      </c>
      <c r="Y798">
        <v>33064</v>
      </c>
      <c r="Z798">
        <v>1634000</v>
      </c>
      <c r="AA798">
        <v>311440</v>
      </c>
      <c r="AB798" t="str">
        <f>(VLOOKUP(SalesData[[#This Row],[Month Number]],Reference!C$5:E$16,2,FALSE))</f>
        <v>Feb</v>
      </c>
      <c r="AC798">
        <f>MONTH(SalesData[[#This Row],[Date]])</f>
        <v>2</v>
      </c>
      <c r="AD798">
        <f>Reference!F$4</f>
        <v>2026</v>
      </c>
      <c r="AE798" t="str">
        <f>IF(OR(SalesData[[#This Row],[Day]]="Saturday",SalesData[[#This Row],[Day]]="Sunday"),"Weekend","Weekday")</f>
        <v>Weekday</v>
      </c>
      <c r="AF798" s="5">
        <f>IF(SalesData[[#This Row],[Contracts Offered]]=0,0,SalesData[[#This Row],[Contracts Signed]]/SalesData[[#This Row],[Contracts Offered]])</f>
        <v>0.35087719298245612</v>
      </c>
      <c r="AG798" s="5">
        <f>IF(SalesData[[#This Row],[Customers Visited]]=0,0,SalesData[[#This Row],[Test Drives]]/SalesData[[#This Row],[Customers Visited]])</f>
        <v>0.53442622950819674</v>
      </c>
      <c r="AH798" s="5">
        <f>IF(SalesData[[#This Row],[Customers Visited]]=0,0,SalesData[[#This Row],[Contracts Signed]]/SalesData[[#This Row],[Customers Visited]])</f>
        <v>0.13114754098360656</v>
      </c>
      <c r="AI798" s="6">
        <f>IF(SalesData[[#This Row],[Contracts Signed]]=0,0,SalesData[[#This Row],[Profit(€)]]/SalesData[[#This Row],[Contracts Signed]])</f>
        <v>7786</v>
      </c>
      <c r="AJ798" s="5" t="str">
        <f>TRIM(CLEAN(SalesData[[#This Row],[Retailer]]))</f>
        <v>Stuttgart Auto Center</v>
      </c>
    </row>
    <row r="799" spans="1:36" ht="14.25" x14ac:dyDescent="0.2">
      <c r="A799" t="s">
        <v>1442</v>
      </c>
      <c r="B799" s="1">
        <v>46071</v>
      </c>
      <c r="C799" t="s">
        <v>62</v>
      </c>
      <c r="D799" t="s">
        <v>82</v>
      </c>
      <c r="E799" t="s">
        <v>26</v>
      </c>
      <c r="F799" t="s">
        <v>114</v>
      </c>
      <c r="G799" t="s">
        <v>115</v>
      </c>
      <c r="H799" t="s">
        <v>115</v>
      </c>
      <c r="I799" t="s">
        <v>30</v>
      </c>
      <c r="J799" t="s">
        <v>166</v>
      </c>
      <c r="K799" t="s">
        <v>78</v>
      </c>
      <c r="L799" t="s">
        <v>46</v>
      </c>
      <c r="M799" t="s">
        <v>68</v>
      </c>
      <c r="N799" t="s">
        <v>48</v>
      </c>
      <c r="O799" t="s">
        <v>36</v>
      </c>
      <c r="P799" t="s">
        <v>49</v>
      </c>
      <c r="Q799" t="s">
        <v>129</v>
      </c>
      <c r="R799">
        <v>164</v>
      </c>
      <c r="S799">
        <v>85</v>
      </c>
      <c r="T799">
        <v>61</v>
      </c>
      <c r="U799">
        <v>22</v>
      </c>
      <c r="V799" t="s">
        <v>6816</v>
      </c>
      <c r="W799">
        <v>53059</v>
      </c>
      <c r="X799" t="s">
        <v>7146</v>
      </c>
      <c r="Y799">
        <v>39699</v>
      </c>
      <c r="Z799">
        <v>1167298</v>
      </c>
      <c r="AA799">
        <v>293920</v>
      </c>
      <c r="AB799" t="str">
        <f>(VLOOKUP(SalesData[[#This Row],[Month Number]],Reference!C$5:E$16,2,FALSE))</f>
        <v>Feb</v>
      </c>
      <c r="AC799">
        <f>MONTH(SalesData[[#This Row],[Date]])</f>
        <v>2</v>
      </c>
      <c r="AD799">
        <f>Reference!F$4</f>
        <v>2026</v>
      </c>
      <c r="AE799" t="str">
        <f>IF(OR(SalesData[[#This Row],[Day]]="Saturday",SalesData[[#This Row],[Day]]="Sunday"),"Weekend","Weekday")</f>
        <v>Weekday</v>
      </c>
      <c r="AF799" s="5">
        <f>IF(SalesData[[#This Row],[Contracts Offered]]=0,0,SalesData[[#This Row],[Contracts Signed]]/SalesData[[#This Row],[Contracts Offered]])</f>
        <v>0.36065573770491804</v>
      </c>
      <c r="AG799" s="5">
        <f>IF(SalesData[[#This Row],[Customers Visited]]=0,0,SalesData[[#This Row],[Test Drives]]/SalesData[[#This Row],[Customers Visited]])</f>
        <v>0.51829268292682928</v>
      </c>
      <c r="AH799" s="5">
        <f>IF(SalesData[[#This Row],[Customers Visited]]=0,0,SalesData[[#This Row],[Contracts Signed]]/SalesData[[#This Row],[Customers Visited]])</f>
        <v>0.13414634146341464</v>
      </c>
      <c r="AI799" s="6">
        <f>IF(SalesData[[#This Row],[Contracts Signed]]=0,0,SalesData[[#This Row],[Profit(€)]]/SalesData[[#This Row],[Contracts Signed]])</f>
        <v>13360</v>
      </c>
      <c r="AJ799" s="5" t="str">
        <f>TRIM(CLEAN(SalesData[[#This Row],[Retailer]]))</f>
        <v>Elbe Drive</v>
      </c>
    </row>
    <row r="800" spans="1:36" ht="14.25" x14ac:dyDescent="0.2">
      <c r="A800" t="s">
        <v>1443</v>
      </c>
      <c r="B800" s="1">
        <v>46060</v>
      </c>
      <c r="C800" t="s">
        <v>24</v>
      </c>
      <c r="D800" t="s">
        <v>151</v>
      </c>
      <c r="E800" t="s">
        <v>42</v>
      </c>
      <c r="F800" t="s">
        <v>101</v>
      </c>
      <c r="G800" t="s">
        <v>102</v>
      </c>
      <c r="H800" t="s">
        <v>103</v>
      </c>
      <c r="I800" t="s">
        <v>30</v>
      </c>
      <c r="J800" t="s">
        <v>166</v>
      </c>
      <c r="K800" t="s">
        <v>32</v>
      </c>
      <c r="L800" t="s">
        <v>46</v>
      </c>
      <c r="M800" t="s">
        <v>47</v>
      </c>
      <c r="N800" t="s">
        <v>48</v>
      </c>
      <c r="O800" t="s">
        <v>36</v>
      </c>
      <c r="P800" t="s">
        <v>37</v>
      </c>
      <c r="Q800" t="s">
        <v>38</v>
      </c>
      <c r="R800">
        <v>254</v>
      </c>
      <c r="S800">
        <v>131</v>
      </c>
      <c r="T800">
        <v>101</v>
      </c>
      <c r="U800">
        <v>36</v>
      </c>
      <c r="V800" t="s">
        <v>6381</v>
      </c>
      <c r="W800">
        <v>59116</v>
      </c>
      <c r="X800" t="s">
        <v>7157</v>
      </c>
      <c r="Y800">
        <v>41493</v>
      </c>
      <c r="Z800">
        <v>2128176</v>
      </c>
      <c r="AA800">
        <v>634428</v>
      </c>
      <c r="AB800" t="str">
        <f>(VLOOKUP(SalesData[[#This Row],[Month Number]],Reference!C$5:E$16,2,FALSE))</f>
        <v>Feb</v>
      </c>
      <c r="AC800">
        <f>MONTH(SalesData[[#This Row],[Date]])</f>
        <v>2</v>
      </c>
      <c r="AD800">
        <f>Reference!F$4</f>
        <v>2026</v>
      </c>
      <c r="AE800" t="str">
        <f>IF(OR(SalesData[[#This Row],[Day]]="Saturday",SalesData[[#This Row],[Day]]="Sunday"),"Weekend","Weekday")</f>
        <v>Weekend</v>
      </c>
      <c r="AF800" s="5">
        <f>IF(SalesData[[#This Row],[Contracts Offered]]=0,0,SalesData[[#This Row],[Contracts Signed]]/SalesData[[#This Row],[Contracts Offered]])</f>
        <v>0.35643564356435642</v>
      </c>
      <c r="AG800" s="5">
        <f>IF(SalesData[[#This Row],[Customers Visited]]=0,0,SalesData[[#This Row],[Test Drives]]/SalesData[[#This Row],[Customers Visited]])</f>
        <v>0.51574803149606296</v>
      </c>
      <c r="AH800" s="5">
        <f>IF(SalesData[[#This Row],[Customers Visited]]=0,0,SalesData[[#This Row],[Contracts Signed]]/SalesData[[#This Row],[Customers Visited]])</f>
        <v>0.14173228346456693</v>
      </c>
      <c r="AI800" s="6">
        <f>IF(SalesData[[#This Row],[Contracts Signed]]=0,0,SalesData[[#This Row],[Profit(€)]]/SalesData[[#This Row],[Contracts Signed]])</f>
        <v>17623</v>
      </c>
      <c r="AJ800" s="5" t="str">
        <f>TRIM(CLEAN(SalesData[[#This Row],[Retailer]]))</f>
        <v>Ruhr Auto Plaza</v>
      </c>
    </row>
    <row r="801" spans="1:36" ht="14.25" hidden="1" x14ac:dyDescent="0.2">
      <c r="A801" t="s">
        <v>1445</v>
      </c>
      <c r="B801" s="1">
        <v>46073</v>
      </c>
      <c r="C801" t="s">
        <v>62</v>
      </c>
      <c r="D801" t="s">
        <v>54</v>
      </c>
      <c r="E801" t="s">
        <v>26</v>
      </c>
      <c r="F801" t="s">
        <v>43</v>
      </c>
      <c r="G801" t="s">
        <v>44</v>
      </c>
      <c r="H801" t="s">
        <v>45</v>
      </c>
      <c r="I801" t="s">
        <v>64</v>
      </c>
      <c r="J801" t="s">
        <v>111</v>
      </c>
      <c r="K801" t="s">
        <v>78</v>
      </c>
      <c r="L801" t="s">
        <v>46</v>
      </c>
      <c r="M801" t="s">
        <v>34</v>
      </c>
      <c r="N801" t="s">
        <v>69</v>
      </c>
      <c r="O801" t="s">
        <v>36</v>
      </c>
      <c r="P801" t="s">
        <v>58</v>
      </c>
      <c r="Q801" t="s">
        <v>88</v>
      </c>
      <c r="R801">
        <v>233</v>
      </c>
      <c r="S801">
        <v>131</v>
      </c>
      <c r="T801">
        <v>94</v>
      </c>
      <c r="U801">
        <v>34</v>
      </c>
      <c r="V801" t="s">
        <v>6725</v>
      </c>
      <c r="W801">
        <v>57144</v>
      </c>
      <c r="X801" t="s">
        <v>7093</v>
      </c>
      <c r="Y801">
        <v>40682</v>
      </c>
      <c r="Z801">
        <v>1942896</v>
      </c>
      <c r="AA801">
        <v>559708</v>
      </c>
      <c r="AB801" t="str">
        <f>(VLOOKUP(SalesData[[#This Row],[Month Number]],Reference!C$5:E$16,2,FALSE))</f>
        <v>Feb</v>
      </c>
      <c r="AC801">
        <f>MONTH(SalesData[[#This Row],[Date]])</f>
        <v>2</v>
      </c>
      <c r="AD801">
        <f>Reference!F$4</f>
        <v>2026</v>
      </c>
      <c r="AE801" t="str">
        <f>IF(OR(SalesData[[#This Row],[Day]]="Saturday",SalesData[[#This Row],[Day]]="Sunday"),"Weekend","Weekday")</f>
        <v>Weekday</v>
      </c>
      <c r="AF801" s="5">
        <f>IF(SalesData[[#This Row],[Contracts Offered]]=0,0,SalesData[[#This Row],[Contracts Signed]]/SalesData[[#This Row],[Contracts Offered]])</f>
        <v>0.36170212765957449</v>
      </c>
      <c r="AG801" s="5">
        <f>IF(SalesData[[#This Row],[Customers Visited]]=0,0,SalesData[[#This Row],[Test Drives]]/SalesData[[#This Row],[Customers Visited]])</f>
        <v>0.5622317596566524</v>
      </c>
      <c r="AH801" s="5">
        <f>IF(SalesData[[#This Row],[Customers Visited]]=0,0,SalesData[[#This Row],[Contracts Signed]]/SalesData[[#This Row],[Customers Visited]])</f>
        <v>0.14592274678111589</v>
      </c>
      <c r="AI801" s="6">
        <f>IF(SalesData[[#This Row],[Contracts Signed]]=0,0,SalesData[[#This Row],[Profit(€)]]/SalesData[[#This Row],[Contracts Signed]])</f>
        <v>16462</v>
      </c>
      <c r="AJ801" s="5" t="str">
        <f>TRIM(CLEAN(SalesData[[#This Row],[Retailer]]))</f>
        <v>Saxon Wheels</v>
      </c>
    </row>
    <row r="802" spans="1:36" ht="14.25" hidden="1" x14ac:dyDescent="0.2">
      <c r="A802" t="s">
        <v>1446</v>
      </c>
      <c r="B802" s="1">
        <v>46062</v>
      </c>
      <c r="C802" t="s">
        <v>121</v>
      </c>
      <c r="D802" t="s">
        <v>25</v>
      </c>
      <c r="E802" t="s">
        <v>26</v>
      </c>
      <c r="F802" t="s">
        <v>83</v>
      </c>
      <c r="G802" t="s">
        <v>84</v>
      </c>
      <c r="H802" t="s">
        <v>85</v>
      </c>
      <c r="I802" t="s">
        <v>64</v>
      </c>
      <c r="J802" t="s">
        <v>157</v>
      </c>
      <c r="K802" t="s">
        <v>78</v>
      </c>
      <c r="L802" t="s">
        <v>33</v>
      </c>
      <c r="M802" t="s">
        <v>34</v>
      </c>
      <c r="N802" t="s">
        <v>48</v>
      </c>
      <c r="O802" t="s">
        <v>70</v>
      </c>
      <c r="P802" t="s">
        <v>49</v>
      </c>
      <c r="Q802" t="s">
        <v>240</v>
      </c>
      <c r="R802">
        <v>203</v>
      </c>
      <c r="S802">
        <v>114</v>
      </c>
      <c r="T802">
        <v>80</v>
      </c>
      <c r="U802">
        <v>25</v>
      </c>
      <c r="V802" t="s">
        <v>6484</v>
      </c>
      <c r="W802">
        <v>68389</v>
      </c>
      <c r="X802" t="s">
        <v>7312</v>
      </c>
      <c r="Y802">
        <v>53474</v>
      </c>
      <c r="Z802">
        <v>1709725</v>
      </c>
      <c r="AA802">
        <v>372875</v>
      </c>
      <c r="AB802" t="str">
        <f>(VLOOKUP(SalesData[[#This Row],[Month Number]],Reference!C$5:E$16,2,FALSE))</f>
        <v>Feb</v>
      </c>
      <c r="AC802">
        <f>MONTH(SalesData[[#This Row],[Date]])</f>
        <v>2</v>
      </c>
      <c r="AD802">
        <f>Reference!F$4</f>
        <v>2026</v>
      </c>
      <c r="AE802" t="str">
        <f>IF(OR(SalesData[[#This Row],[Day]]="Saturday",SalesData[[#This Row],[Day]]="Sunday"),"Weekend","Weekday")</f>
        <v>Weekday</v>
      </c>
      <c r="AF802" s="5">
        <f>IF(SalesData[[#This Row],[Contracts Offered]]=0,0,SalesData[[#This Row],[Contracts Signed]]/SalesData[[#This Row],[Contracts Offered]])</f>
        <v>0.3125</v>
      </c>
      <c r="AG802" s="5">
        <f>IF(SalesData[[#This Row],[Customers Visited]]=0,0,SalesData[[#This Row],[Test Drives]]/SalesData[[#This Row],[Customers Visited]])</f>
        <v>0.56157635467980294</v>
      </c>
      <c r="AH802" s="5">
        <f>IF(SalesData[[#This Row],[Customers Visited]]=0,0,SalesData[[#This Row],[Contracts Signed]]/SalesData[[#This Row],[Customers Visited]])</f>
        <v>0.12315270935960591</v>
      </c>
      <c r="AI802" s="6">
        <f>IF(SalesData[[#This Row],[Contracts Signed]]=0,0,SalesData[[#This Row],[Profit(€)]]/SalesData[[#This Row],[Contracts Signed]])</f>
        <v>14915</v>
      </c>
      <c r="AJ802" s="5" t="str">
        <f>TRIM(CLEAN(SalesData[[#This Row],[Retailer]]))</f>
        <v>Hannover Cars</v>
      </c>
    </row>
    <row r="803" spans="1:36" ht="14.25" hidden="1" x14ac:dyDescent="0.2">
      <c r="A803" t="s">
        <v>1448</v>
      </c>
      <c r="B803" s="1">
        <v>46059</v>
      </c>
      <c r="C803" t="s">
        <v>24</v>
      </c>
      <c r="D803" t="s">
        <v>54</v>
      </c>
      <c r="E803" t="s">
        <v>26</v>
      </c>
      <c r="F803" t="s">
        <v>101</v>
      </c>
      <c r="G803" t="s">
        <v>102</v>
      </c>
      <c r="H803" t="s">
        <v>103</v>
      </c>
      <c r="I803" t="s">
        <v>64</v>
      </c>
      <c r="J803" t="s">
        <v>157</v>
      </c>
      <c r="K803" t="s">
        <v>78</v>
      </c>
      <c r="L803" t="s">
        <v>33</v>
      </c>
      <c r="M803" t="s">
        <v>87</v>
      </c>
      <c r="N803" t="s">
        <v>48</v>
      </c>
      <c r="O803" t="s">
        <v>70</v>
      </c>
      <c r="P803" t="s">
        <v>58</v>
      </c>
      <c r="Q803" t="s">
        <v>59</v>
      </c>
      <c r="R803">
        <v>265</v>
      </c>
      <c r="S803">
        <v>156</v>
      </c>
      <c r="T803">
        <v>114</v>
      </c>
      <c r="U803">
        <v>39</v>
      </c>
      <c r="V803" t="s">
        <v>6403</v>
      </c>
      <c r="W803">
        <v>61744</v>
      </c>
      <c r="X803" t="s">
        <v>7240</v>
      </c>
      <c r="Y803">
        <v>45028</v>
      </c>
      <c r="Z803">
        <v>2408016</v>
      </c>
      <c r="AA803">
        <v>651924</v>
      </c>
      <c r="AB803" t="str">
        <f>(VLOOKUP(SalesData[[#This Row],[Month Number]],Reference!C$5:E$16,2,FALSE))</f>
        <v>Feb</v>
      </c>
      <c r="AC803">
        <f>MONTH(SalesData[[#This Row],[Date]])</f>
        <v>2</v>
      </c>
      <c r="AD803">
        <f>Reference!F$4</f>
        <v>2026</v>
      </c>
      <c r="AE803" t="str">
        <f>IF(OR(SalesData[[#This Row],[Day]]="Saturday",SalesData[[#This Row],[Day]]="Sunday"),"Weekend","Weekday")</f>
        <v>Weekday</v>
      </c>
      <c r="AF803" s="5">
        <f>IF(SalesData[[#This Row],[Contracts Offered]]=0,0,SalesData[[#This Row],[Contracts Signed]]/SalesData[[#This Row],[Contracts Offered]])</f>
        <v>0.34210526315789475</v>
      </c>
      <c r="AG803" s="5">
        <f>IF(SalesData[[#This Row],[Customers Visited]]=0,0,SalesData[[#This Row],[Test Drives]]/SalesData[[#This Row],[Customers Visited]])</f>
        <v>0.58867924528301885</v>
      </c>
      <c r="AH803" s="5">
        <f>IF(SalesData[[#This Row],[Customers Visited]]=0,0,SalesData[[#This Row],[Contracts Signed]]/SalesData[[#This Row],[Customers Visited]])</f>
        <v>0.14716981132075471</v>
      </c>
      <c r="AI803" s="6">
        <f>IF(SalesData[[#This Row],[Contracts Signed]]=0,0,SalesData[[#This Row],[Profit(€)]]/SalesData[[#This Row],[Contracts Signed]])</f>
        <v>16716</v>
      </c>
      <c r="AJ803" s="5" t="str">
        <f>TRIM(CLEAN(SalesData[[#This Row],[Retailer]]))</f>
        <v>Ruhr Auto Plaza</v>
      </c>
    </row>
    <row r="804" spans="1:36" ht="14.25" hidden="1" x14ac:dyDescent="0.2">
      <c r="A804" t="s">
        <v>1449</v>
      </c>
      <c r="B804" s="1">
        <v>46066</v>
      </c>
      <c r="C804" t="s">
        <v>121</v>
      </c>
      <c r="D804" t="s">
        <v>54</v>
      </c>
      <c r="E804" t="s">
        <v>26</v>
      </c>
      <c r="F804" t="s">
        <v>114</v>
      </c>
      <c r="G804" t="s">
        <v>115</v>
      </c>
      <c r="H804" t="s">
        <v>115</v>
      </c>
      <c r="I804" t="s">
        <v>64</v>
      </c>
      <c r="J804" t="s">
        <v>77</v>
      </c>
      <c r="K804" t="s">
        <v>66</v>
      </c>
      <c r="L804" t="s">
        <v>46</v>
      </c>
      <c r="M804" t="s">
        <v>47</v>
      </c>
      <c r="N804" t="s">
        <v>48</v>
      </c>
      <c r="O804" t="s">
        <v>70</v>
      </c>
      <c r="P804" t="s">
        <v>58</v>
      </c>
      <c r="Q804" t="s">
        <v>50</v>
      </c>
      <c r="R804">
        <v>185</v>
      </c>
      <c r="S804">
        <v>94</v>
      </c>
      <c r="T804">
        <v>65</v>
      </c>
      <c r="U804">
        <v>29</v>
      </c>
      <c r="V804" t="s">
        <v>7313</v>
      </c>
      <c r="W804">
        <v>59580</v>
      </c>
      <c r="X804" t="s">
        <v>7107</v>
      </c>
      <c r="Y804">
        <v>44146</v>
      </c>
      <c r="Z804">
        <v>1727820</v>
      </c>
      <c r="AA804">
        <v>447586</v>
      </c>
      <c r="AB804" t="str">
        <f>(VLOOKUP(SalesData[[#This Row],[Month Number]],Reference!C$5:E$16,2,FALSE))</f>
        <v>Feb</v>
      </c>
      <c r="AC804">
        <f>MONTH(SalesData[[#This Row],[Date]])</f>
        <v>2</v>
      </c>
      <c r="AD804">
        <f>Reference!F$4</f>
        <v>2026</v>
      </c>
      <c r="AE804" t="str">
        <f>IF(OR(SalesData[[#This Row],[Day]]="Saturday",SalesData[[#This Row],[Day]]="Sunday"),"Weekend","Weekday")</f>
        <v>Weekday</v>
      </c>
      <c r="AF804" s="5">
        <f>IF(SalesData[[#This Row],[Contracts Offered]]=0,0,SalesData[[#This Row],[Contracts Signed]]/SalesData[[#This Row],[Contracts Offered]])</f>
        <v>0.44615384615384618</v>
      </c>
      <c r="AG804" s="5">
        <f>IF(SalesData[[#This Row],[Customers Visited]]=0,0,SalesData[[#This Row],[Test Drives]]/SalesData[[#This Row],[Customers Visited]])</f>
        <v>0.50810810810810814</v>
      </c>
      <c r="AH804" s="5">
        <f>IF(SalesData[[#This Row],[Customers Visited]]=0,0,SalesData[[#This Row],[Contracts Signed]]/SalesData[[#This Row],[Customers Visited]])</f>
        <v>0.15675675675675677</v>
      </c>
      <c r="AI804" s="6">
        <f>IF(SalesData[[#This Row],[Contracts Signed]]=0,0,SalesData[[#This Row],[Profit(€)]]/SalesData[[#This Row],[Contracts Signed]])</f>
        <v>15434</v>
      </c>
      <c r="AJ804" s="5" t="str">
        <f>TRIM(CLEAN(SalesData[[#This Row],[Retailer]]))</f>
        <v>Elbe Drive</v>
      </c>
    </row>
    <row r="805" spans="1:36" ht="14.25" hidden="1" x14ac:dyDescent="0.2">
      <c r="A805" t="s">
        <v>1450</v>
      </c>
      <c r="B805" s="1">
        <v>46057</v>
      </c>
      <c r="C805" t="s">
        <v>24</v>
      </c>
      <c r="D805" t="s">
        <v>82</v>
      </c>
      <c r="E805" t="s">
        <v>26</v>
      </c>
      <c r="F805" t="s">
        <v>109</v>
      </c>
      <c r="G805" t="s">
        <v>110</v>
      </c>
      <c r="H805" t="s">
        <v>45</v>
      </c>
      <c r="I805" t="s">
        <v>116</v>
      </c>
      <c r="J805" t="s">
        <v>132</v>
      </c>
      <c r="K805" t="s">
        <v>78</v>
      </c>
      <c r="L805" t="s">
        <v>46</v>
      </c>
      <c r="M805" t="s">
        <v>47</v>
      </c>
      <c r="N805" t="s">
        <v>69</v>
      </c>
      <c r="O805" t="s">
        <v>36</v>
      </c>
      <c r="P805" t="s">
        <v>58</v>
      </c>
      <c r="Q805" t="s">
        <v>59</v>
      </c>
      <c r="R805">
        <v>401</v>
      </c>
      <c r="S805">
        <v>163</v>
      </c>
      <c r="T805">
        <v>111</v>
      </c>
      <c r="U805">
        <v>32</v>
      </c>
      <c r="V805" t="s">
        <v>2075</v>
      </c>
      <c r="W805">
        <v>19857</v>
      </c>
      <c r="X805" t="s">
        <v>313</v>
      </c>
      <c r="Y805">
        <v>18005</v>
      </c>
      <c r="Z805">
        <v>635424</v>
      </c>
      <c r="AA805">
        <v>59264</v>
      </c>
      <c r="AB805" t="str">
        <f>(VLOOKUP(SalesData[[#This Row],[Month Number]],Reference!C$5:E$16,2,FALSE))</f>
        <v>Feb</v>
      </c>
      <c r="AC805">
        <f>MONTH(SalesData[[#This Row],[Date]])</f>
        <v>2</v>
      </c>
      <c r="AD805">
        <f>Reference!F$4</f>
        <v>2026</v>
      </c>
      <c r="AE805" t="str">
        <f>IF(OR(SalesData[[#This Row],[Day]]="Saturday",SalesData[[#This Row],[Day]]="Sunday"),"Weekend","Weekday")</f>
        <v>Weekday</v>
      </c>
      <c r="AF805" s="5">
        <f>IF(SalesData[[#This Row],[Contracts Offered]]=0,0,SalesData[[#This Row],[Contracts Signed]]/SalesData[[#This Row],[Contracts Offered]])</f>
        <v>0.28828828828828829</v>
      </c>
      <c r="AG805" s="5">
        <f>IF(SalesData[[#This Row],[Customers Visited]]=0,0,SalesData[[#This Row],[Test Drives]]/SalesData[[#This Row],[Customers Visited]])</f>
        <v>0.40648379052369077</v>
      </c>
      <c r="AH805" s="5">
        <f>IF(SalesData[[#This Row],[Customers Visited]]=0,0,SalesData[[#This Row],[Contracts Signed]]/SalesData[[#This Row],[Customers Visited]])</f>
        <v>7.9800498753117205E-2</v>
      </c>
      <c r="AI805" s="6">
        <f>IF(SalesData[[#This Row],[Contracts Signed]]=0,0,SalesData[[#This Row],[Profit(€)]]/SalesData[[#This Row],[Contracts Signed]])</f>
        <v>1852</v>
      </c>
      <c r="AJ805" s="5" t="str">
        <f>TRIM(CLEAN(SalesData[[#This Row],[Retailer]]))</f>
        <v>Leipzig Mobility</v>
      </c>
    </row>
    <row r="806" spans="1:36" ht="14.25" x14ac:dyDescent="0.2">
      <c r="A806" t="s">
        <v>1451</v>
      </c>
      <c r="B806" s="1">
        <v>46058</v>
      </c>
      <c r="C806" t="s">
        <v>24</v>
      </c>
      <c r="D806" t="s">
        <v>100</v>
      </c>
      <c r="E806" t="s">
        <v>26</v>
      </c>
      <c r="F806" t="s">
        <v>127</v>
      </c>
      <c r="G806" t="s">
        <v>128</v>
      </c>
      <c r="H806" t="s">
        <v>103</v>
      </c>
      <c r="I806" t="s">
        <v>30</v>
      </c>
      <c r="J806" t="s">
        <v>188</v>
      </c>
      <c r="K806" t="s">
        <v>91</v>
      </c>
      <c r="L806" t="s">
        <v>33</v>
      </c>
      <c r="M806" t="s">
        <v>34</v>
      </c>
      <c r="N806" t="s">
        <v>35</v>
      </c>
      <c r="O806" t="s">
        <v>36</v>
      </c>
      <c r="P806" t="s">
        <v>49</v>
      </c>
      <c r="Q806" t="s">
        <v>240</v>
      </c>
      <c r="R806">
        <v>221</v>
      </c>
      <c r="S806">
        <v>111</v>
      </c>
      <c r="T806">
        <v>84</v>
      </c>
      <c r="U806">
        <v>31</v>
      </c>
      <c r="V806" t="s">
        <v>6653</v>
      </c>
      <c r="W806">
        <v>55184</v>
      </c>
      <c r="X806" t="s">
        <v>7314</v>
      </c>
      <c r="Y806">
        <v>42329</v>
      </c>
      <c r="Z806">
        <v>1710704</v>
      </c>
      <c r="AA806">
        <v>398505</v>
      </c>
      <c r="AB806" t="str">
        <f>(VLOOKUP(SalesData[[#This Row],[Month Number]],Reference!C$5:E$16,2,FALSE))</f>
        <v>Feb</v>
      </c>
      <c r="AC806">
        <f>MONTH(SalesData[[#This Row],[Date]])</f>
        <v>2</v>
      </c>
      <c r="AD806">
        <f>Reference!F$4</f>
        <v>2026</v>
      </c>
      <c r="AE806" t="str">
        <f>IF(OR(SalesData[[#This Row],[Day]]="Saturday",SalesData[[#This Row],[Day]]="Sunday"),"Weekend","Weekday")</f>
        <v>Weekday</v>
      </c>
      <c r="AF806" s="5">
        <f>IF(SalesData[[#This Row],[Contracts Offered]]=0,0,SalesData[[#This Row],[Contracts Signed]]/SalesData[[#This Row],[Contracts Offered]])</f>
        <v>0.36904761904761907</v>
      </c>
      <c r="AG806" s="5">
        <f>IF(SalesData[[#This Row],[Customers Visited]]=0,0,SalesData[[#This Row],[Test Drives]]/SalesData[[#This Row],[Customers Visited]])</f>
        <v>0.50226244343891402</v>
      </c>
      <c r="AH806" s="5">
        <f>IF(SalesData[[#This Row],[Customers Visited]]=0,0,SalesData[[#This Row],[Contracts Signed]]/SalesData[[#This Row],[Customers Visited]])</f>
        <v>0.14027149321266968</v>
      </c>
      <c r="AI806" s="6">
        <f>IF(SalesData[[#This Row],[Contracts Signed]]=0,0,SalesData[[#This Row],[Profit(€)]]/SalesData[[#This Row],[Contracts Signed]])</f>
        <v>12855</v>
      </c>
      <c r="AJ806" s="5" t="str">
        <f>TRIM(CLEAN(SalesData[[#This Row],[Retailer]]))</f>
        <v>Rhein Auto Group</v>
      </c>
    </row>
    <row r="807" spans="1:36" ht="14.25" hidden="1" x14ac:dyDescent="0.2">
      <c r="A807" t="s">
        <v>1452</v>
      </c>
      <c r="B807" s="1">
        <v>46066</v>
      </c>
      <c r="C807" t="s">
        <v>121</v>
      </c>
      <c r="D807" t="s">
        <v>54</v>
      </c>
      <c r="E807" t="s">
        <v>26</v>
      </c>
      <c r="F807" t="s">
        <v>7649</v>
      </c>
      <c r="G807" t="s">
        <v>55</v>
      </c>
      <c r="H807" t="s">
        <v>55</v>
      </c>
      <c r="I807" t="s">
        <v>116</v>
      </c>
      <c r="J807" t="s">
        <v>7026</v>
      </c>
      <c r="K807" t="s">
        <v>32</v>
      </c>
      <c r="L807" t="s">
        <v>46</v>
      </c>
      <c r="M807" t="s">
        <v>87</v>
      </c>
      <c r="N807" t="s">
        <v>69</v>
      </c>
      <c r="O807" t="s">
        <v>36</v>
      </c>
      <c r="P807" t="s">
        <v>37</v>
      </c>
      <c r="Q807" t="s">
        <v>122</v>
      </c>
      <c r="R807">
        <v>308</v>
      </c>
      <c r="S807">
        <v>125</v>
      </c>
      <c r="T807">
        <v>86</v>
      </c>
      <c r="U807">
        <v>20</v>
      </c>
      <c r="V807" t="s">
        <v>333</v>
      </c>
      <c r="W807">
        <v>21582</v>
      </c>
      <c r="X807" t="s">
        <v>1239</v>
      </c>
      <c r="Y807">
        <v>19372</v>
      </c>
      <c r="Z807">
        <v>431640</v>
      </c>
      <c r="AA807">
        <v>44200</v>
      </c>
      <c r="AB807" t="str">
        <f>(VLOOKUP(SalesData[[#This Row],[Month Number]],Reference!C$5:E$16,2,FALSE))</f>
        <v>Feb</v>
      </c>
      <c r="AC807">
        <f>MONTH(SalesData[[#This Row],[Date]])</f>
        <v>2</v>
      </c>
      <c r="AD807">
        <f>Reference!F$4</f>
        <v>2026</v>
      </c>
      <c r="AE807" t="str">
        <f>IF(OR(SalesData[[#This Row],[Day]]="Saturday",SalesData[[#This Row],[Day]]="Sunday"),"Weekend","Weekday")</f>
        <v>Weekday</v>
      </c>
      <c r="AF807" s="5">
        <f>IF(SalesData[[#This Row],[Contracts Offered]]=0,0,SalesData[[#This Row],[Contracts Signed]]/SalesData[[#This Row],[Contracts Offered]])</f>
        <v>0.23255813953488372</v>
      </c>
      <c r="AG807" s="5">
        <f>IF(SalesData[[#This Row],[Customers Visited]]=0,0,SalesData[[#This Row],[Test Drives]]/SalesData[[#This Row],[Customers Visited]])</f>
        <v>0.40584415584415584</v>
      </c>
      <c r="AH807" s="5">
        <f>IF(SalesData[[#This Row],[Customers Visited]]=0,0,SalesData[[#This Row],[Contracts Signed]]/SalesData[[#This Row],[Customers Visited]])</f>
        <v>6.4935064935064929E-2</v>
      </c>
      <c r="AI807" s="6">
        <f>IF(SalesData[[#This Row],[Contracts Signed]]=0,0,SalesData[[#This Row],[Profit(€)]]/SalesData[[#This Row],[Contracts Signed]])</f>
        <v>2210</v>
      </c>
      <c r="AJ807" s="5" t="str">
        <f>TRIM(CLEAN(SalesData[[#This Row],[Retailer]]))</f>
        <v>Autohaus Berlin</v>
      </c>
    </row>
    <row r="808" spans="1:36" ht="14.25" hidden="1" x14ac:dyDescent="0.2">
      <c r="A808" t="s">
        <v>1454</v>
      </c>
      <c r="B808" s="1">
        <v>46072</v>
      </c>
      <c r="C808" t="s">
        <v>62</v>
      </c>
      <c r="D808" t="s">
        <v>100</v>
      </c>
      <c r="E808" t="s">
        <v>26</v>
      </c>
      <c r="F808" t="s">
        <v>127</v>
      </c>
      <c r="G808" t="s">
        <v>128</v>
      </c>
      <c r="H808" t="s">
        <v>103</v>
      </c>
      <c r="I808" t="s">
        <v>56</v>
      </c>
      <c r="J808" t="s">
        <v>179</v>
      </c>
      <c r="K808" t="s">
        <v>66</v>
      </c>
      <c r="L808" t="s">
        <v>67</v>
      </c>
      <c r="M808" t="s">
        <v>87</v>
      </c>
      <c r="N808" t="s">
        <v>48</v>
      </c>
      <c r="O808" t="s">
        <v>70</v>
      </c>
      <c r="P808" t="s">
        <v>37</v>
      </c>
      <c r="Q808" t="s">
        <v>158</v>
      </c>
      <c r="R808">
        <v>262</v>
      </c>
      <c r="S808">
        <v>122</v>
      </c>
      <c r="T808">
        <v>93</v>
      </c>
      <c r="U808">
        <v>27</v>
      </c>
      <c r="V808" t="s">
        <v>6631</v>
      </c>
      <c r="W808">
        <v>51063</v>
      </c>
      <c r="X808" t="s">
        <v>678</v>
      </c>
      <c r="Y808">
        <v>40813</v>
      </c>
      <c r="Z808">
        <v>1378701</v>
      </c>
      <c r="AA808">
        <v>276750</v>
      </c>
      <c r="AB808" t="str">
        <f>(VLOOKUP(SalesData[[#This Row],[Month Number]],Reference!C$5:E$16,2,FALSE))</f>
        <v>Feb</v>
      </c>
      <c r="AC808">
        <f>MONTH(SalesData[[#This Row],[Date]])</f>
        <v>2</v>
      </c>
      <c r="AD808">
        <f>Reference!F$4</f>
        <v>2026</v>
      </c>
      <c r="AE808" t="str">
        <f>IF(OR(SalesData[[#This Row],[Day]]="Saturday",SalesData[[#This Row],[Day]]="Sunday"),"Weekend","Weekday")</f>
        <v>Weekday</v>
      </c>
      <c r="AF808" s="5">
        <f>IF(SalesData[[#This Row],[Contracts Offered]]=0,0,SalesData[[#This Row],[Contracts Signed]]/SalesData[[#This Row],[Contracts Offered]])</f>
        <v>0.29032258064516131</v>
      </c>
      <c r="AG808" s="5">
        <f>IF(SalesData[[#This Row],[Customers Visited]]=0,0,SalesData[[#This Row],[Test Drives]]/SalesData[[#This Row],[Customers Visited]])</f>
        <v>0.46564885496183206</v>
      </c>
      <c r="AH808" s="5">
        <f>IF(SalesData[[#This Row],[Customers Visited]]=0,0,SalesData[[#This Row],[Contracts Signed]]/SalesData[[#This Row],[Customers Visited]])</f>
        <v>0.10305343511450382</v>
      </c>
      <c r="AI808" s="6">
        <f>IF(SalesData[[#This Row],[Contracts Signed]]=0,0,SalesData[[#This Row],[Profit(€)]]/SalesData[[#This Row],[Contracts Signed]])</f>
        <v>10250</v>
      </c>
      <c r="AJ808" s="5" t="str">
        <f>TRIM(CLEAN(SalesData[[#This Row],[Retailer]]))</f>
        <v>Rhein Auto Group</v>
      </c>
    </row>
    <row r="809" spans="1:36" ht="14.25" hidden="1" x14ac:dyDescent="0.2">
      <c r="A809" t="s">
        <v>1456</v>
      </c>
      <c r="B809" s="1">
        <v>46061</v>
      </c>
      <c r="C809" t="s">
        <v>121</v>
      </c>
      <c r="D809" t="s">
        <v>41</v>
      </c>
      <c r="E809" t="s">
        <v>42</v>
      </c>
      <c r="F809" t="s">
        <v>114</v>
      </c>
      <c r="G809" t="s">
        <v>115</v>
      </c>
      <c r="H809" t="s">
        <v>115</v>
      </c>
      <c r="I809" t="s">
        <v>104</v>
      </c>
      <c r="J809" t="s">
        <v>7031</v>
      </c>
      <c r="K809" t="s">
        <v>78</v>
      </c>
      <c r="L809" t="s">
        <v>46</v>
      </c>
      <c r="M809" t="s">
        <v>68</v>
      </c>
      <c r="N809" t="s">
        <v>35</v>
      </c>
      <c r="O809" t="s">
        <v>70</v>
      </c>
      <c r="P809" t="s">
        <v>49</v>
      </c>
      <c r="Q809" t="s">
        <v>167</v>
      </c>
      <c r="R809">
        <v>391</v>
      </c>
      <c r="S809">
        <v>159</v>
      </c>
      <c r="T809">
        <v>112</v>
      </c>
      <c r="U809">
        <v>19</v>
      </c>
      <c r="V809" t="s">
        <v>417</v>
      </c>
      <c r="W809">
        <v>30771</v>
      </c>
      <c r="X809" t="s">
        <v>7315</v>
      </c>
      <c r="Y809">
        <v>26558</v>
      </c>
      <c r="Z809">
        <v>584649</v>
      </c>
      <c r="AA809">
        <v>80047</v>
      </c>
      <c r="AB809" t="str">
        <f>(VLOOKUP(SalesData[[#This Row],[Month Number]],Reference!C$5:E$16,2,FALSE))</f>
        <v>Feb</v>
      </c>
      <c r="AC809">
        <f>MONTH(SalesData[[#This Row],[Date]])</f>
        <v>2</v>
      </c>
      <c r="AD809">
        <f>Reference!F$4</f>
        <v>2026</v>
      </c>
      <c r="AE809" t="str">
        <f>IF(OR(SalesData[[#This Row],[Day]]="Saturday",SalesData[[#This Row],[Day]]="Sunday"),"Weekend","Weekday")</f>
        <v>Weekend</v>
      </c>
      <c r="AF809" s="5">
        <f>IF(SalesData[[#This Row],[Contracts Offered]]=0,0,SalesData[[#This Row],[Contracts Signed]]/SalesData[[#This Row],[Contracts Offered]])</f>
        <v>0.16964285714285715</v>
      </c>
      <c r="AG809" s="5">
        <f>IF(SalesData[[#This Row],[Customers Visited]]=0,0,SalesData[[#This Row],[Test Drives]]/SalesData[[#This Row],[Customers Visited]])</f>
        <v>0.40664961636828645</v>
      </c>
      <c r="AH809" s="5">
        <f>IF(SalesData[[#This Row],[Customers Visited]]=0,0,SalesData[[#This Row],[Contracts Signed]]/SalesData[[#This Row],[Customers Visited]])</f>
        <v>4.859335038363171E-2</v>
      </c>
      <c r="AI809" s="6">
        <f>IF(SalesData[[#This Row],[Contracts Signed]]=0,0,SalesData[[#This Row],[Profit(€)]]/SalesData[[#This Row],[Contracts Signed]])</f>
        <v>4213</v>
      </c>
      <c r="AJ809" s="5" t="str">
        <f>TRIM(CLEAN(SalesData[[#This Row],[Retailer]]))</f>
        <v>Elbe Drive</v>
      </c>
    </row>
    <row r="810" spans="1:36" ht="14.25" hidden="1" x14ac:dyDescent="0.2">
      <c r="A810" t="s">
        <v>1458</v>
      </c>
      <c r="B810" s="1">
        <v>46059</v>
      </c>
      <c r="C810" t="s">
        <v>24</v>
      </c>
      <c r="D810" t="s">
        <v>54</v>
      </c>
      <c r="E810" t="s">
        <v>26</v>
      </c>
      <c r="F810" t="s">
        <v>109</v>
      </c>
      <c r="G810" t="s">
        <v>110</v>
      </c>
      <c r="H810" t="s">
        <v>45</v>
      </c>
      <c r="I810" t="s">
        <v>64</v>
      </c>
      <c r="J810" t="s">
        <v>157</v>
      </c>
      <c r="K810" t="s">
        <v>32</v>
      </c>
      <c r="L810" t="s">
        <v>33</v>
      </c>
      <c r="M810" t="s">
        <v>87</v>
      </c>
      <c r="N810" t="s">
        <v>48</v>
      </c>
      <c r="O810" t="s">
        <v>36</v>
      </c>
      <c r="P810" t="s">
        <v>49</v>
      </c>
      <c r="Q810" t="s">
        <v>88</v>
      </c>
      <c r="R810">
        <v>163</v>
      </c>
      <c r="S810">
        <v>90</v>
      </c>
      <c r="T810">
        <v>68</v>
      </c>
      <c r="U810">
        <v>19</v>
      </c>
      <c r="V810" t="s">
        <v>6430</v>
      </c>
      <c r="W810">
        <v>70657</v>
      </c>
      <c r="X810" t="s">
        <v>7063</v>
      </c>
      <c r="Y810">
        <v>50266</v>
      </c>
      <c r="Z810">
        <v>1342483</v>
      </c>
      <c r="AA810">
        <v>387429</v>
      </c>
      <c r="AB810" t="str">
        <f>(VLOOKUP(SalesData[[#This Row],[Month Number]],Reference!C$5:E$16,2,FALSE))</f>
        <v>Feb</v>
      </c>
      <c r="AC810">
        <f>MONTH(SalesData[[#This Row],[Date]])</f>
        <v>2</v>
      </c>
      <c r="AD810">
        <f>Reference!F$4</f>
        <v>2026</v>
      </c>
      <c r="AE810" t="str">
        <f>IF(OR(SalesData[[#This Row],[Day]]="Saturday",SalesData[[#This Row],[Day]]="Sunday"),"Weekend","Weekday")</f>
        <v>Weekday</v>
      </c>
      <c r="AF810" s="5">
        <f>IF(SalesData[[#This Row],[Contracts Offered]]=0,0,SalesData[[#This Row],[Contracts Signed]]/SalesData[[#This Row],[Contracts Offered]])</f>
        <v>0.27941176470588236</v>
      </c>
      <c r="AG810" s="5">
        <f>IF(SalesData[[#This Row],[Customers Visited]]=0,0,SalesData[[#This Row],[Test Drives]]/SalesData[[#This Row],[Customers Visited]])</f>
        <v>0.55214723926380371</v>
      </c>
      <c r="AH810" s="5">
        <f>IF(SalesData[[#This Row],[Customers Visited]]=0,0,SalesData[[#This Row],[Contracts Signed]]/SalesData[[#This Row],[Customers Visited]])</f>
        <v>0.1165644171779141</v>
      </c>
      <c r="AI810" s="6">
        <f>IF(SalesData[[#This Row],[Contracts Signed]]=0,0,SalesData[[#This Row],[Profit(€)]]/SalesData[[#This Row],[Contracts Signed]])</f>
        <v>20391</v>
      </c>
      <c r="AJ810" s="5" t="str">
        <f>TRIM(CLEAN(SalesData[[#This Row],[Retailer]]))</f>
        <v>Leipzig Mobility</v>
      </c>
    </row>
    <row r="811" spans="1:36" ht="14.25" hidden="1" x14ac:dyDescent="0.2">
      <c r="A811" t="s">
        <v>1459</v>
      </c>
      <c r="B811" s="1">
        <v>46058</v>
      </c>
      <c r="C811" t="s">
        <v>24</v>
      </c>
      <c r="D811" t="s">
        <v>100</v>
      </c>
      <c r="E811" t="s">
        <v>26</v>
      </c>
      <c r="F811" t="s">
        <v>83</v>
      </c>
      <c r="G811" t="s">
        <v>84</v>
      </c>
      <c r="H811" t="s">
        <v>85</v>
      </c>
      <c r="I811" t="s">
        <v>56</v>
      </c>
      <c r="J811" t="s">
        <v>7028</v>
      </c>
      <c r="K811" t="s">
        <v>66</v>
      </c>
      <c r="L811" t="s">
        <v>46</v>
      </c>
      <c r="M811" t="s">
        <v>47</v>
      </c>
      <c r="N811" t="s">
        <v>35</v>
      </c>
      <c r="O811" t="s">
        <v>36</v>
      </c>
      <c r="P811" t="s">
        <v>37</v>
      </c>
      <c r="Q811" t="s">
        <v>240</v>
      </c>
      <c r="R811">
        <v>181</v>
      </c>
      <c r="S811">
        <v>86</v>
      </c>
      <c r="T811">
        <v>55</v>
      </c>
      <c r="U811">
        <v>19</v>
      </c>
      <c r="V811" t="s">
        <v>6671</v>
      </c>
      <c r="W811">
        <v>51881</v>
      </c>
      <c r="X811" t="s">
        <v>159</v>
      </c>
      <c r="Y811">
        <v>41342</v>
      </c>
      <c r="Z811">
        <v>985739</v>
      </c>
      <c r="AA811">
        <v>200241</v>
      </c>
      <c r="AB811" t="str">
        <f>(VLOOKUP(SalesData[[#This Row],[Month Number]],Reference!C$5:E$16,2,FALSE))</f>
        <v>Feb</v>
      </c>
      <c r="AC811">
        <f>MONTH(SalesData[[#This Row],[Date]])</f>
        <v>2</v>
      </c>
      <c r="AD811">
        <f>Reference!F$4</f>
        <v>2026</v>
      </c>
      <c r="AE811" t="str">
        <f>IF(OR(SalesData[[#This Row],[Day]]="Saturday",SalesData[[#This Row],[Day]]="Sunday"),"Weekend","Weekday")</f>
        <v>Weekday</v>
      </c>
      <c r="AF811" s="5">
        <f>IF(SalesData[[#This Row],[Contracts Offered]]=0,0,SalesData[[#This Row],[Contracts Signed]]/SalesData[[#This Row],[Contracts Offered]])</f>
        <v>0.34545454545454546</v>
      </c>
      <c r="AG811" s="5">
        <f>IF(SalesData[[#This Row],[Customers Visited]]=0,0,SalesData[[#This Row],[Test Drives]]/SalesData[[#This Row],[Customers Visited]])</f>
        <v>0.47513812154696133</v>
      </c>
      <c r="AH811" s="5">
        <f>IF(SalesData[[#This Row],[Customers Visited]]=0,0,SalesData[[#This Row],[Contracts Signed]]/SalesData[[#This Row],[Customers Visited]])</f>
        <v>0.10497237569060773</v>
      </c>
      <c r="AI811" s="6">
        <f>IF(SalesData[[#This Row],[Contracts Signed]]=0,0,SalesData[[#This Row],[Profit(€)]]/SalesData[[#This Row],[Contracts Signed]])</f>
        <v>10539</v>
      </c>
      <c r="AJ811" s="5" t="str">
        <f>TRIM(CLEAN(SalesData[[#This Row],[Retailer]]))</f>
        <v>Hannover Cars</v>
      </c>
    </row>
    <row r="812" spans="1:36" ht="14.25" hidden="1" x14ac:dyDescent="0.2">
      <c r="A812" t="s">
        <v>1460</v>
      </c>
      <c r="B812" s="1">
        <v>46081</v>
      </c>
      <c r="C812" t="s">
        <v>53</v>
      </c>
      <c r="D812" t="s">
        <v>151</v>
      </c>
      <c r="E812" t="s">
        <v>42</v>
      </c>
      <c r="F812" t="s">
        <v>127</v>
      </c>
      <c r="G812" t="s">
        <v>128</v>
      </c>
      <c r="H812" t="s">
        <v>103</v>
      </c>
      <c r="I812" t="s">
        <v>56</v>
      </c>
      <c r="J812" t="s">
        <v>179</v>
      </c>
      <c r="K812" t="s">
        <v>78</v>
      </c>
      <c r="L812" t="s">
        <v>67</v>
      </c>
      <c r="M812" t="s">
        <v>87</v>
      </c>
      <c r="N812" t="s">
        <v>35</v>
      </c>
      <c r="O812" t="s">
        <v>36</v>
      </c>
      <c r="P812" t="s">
        <v>49</v>
      </c>
      <c r="Q812" t="s">
        <v>38</v>
      </c>
      <c r="R812">
        <v>249</v>
      </c>
      <c r="S812">
        <v>144</v>
      </c>
      <c r="T812">
        <v>103</v>
      </c>
      <c r="U812">
        <v>33</v>
      </c>
      <c r="V812" t="s">
        <v>6437</v>
      </c>
      <c r="W812">
        <v>41609</v>
      </c>
      <c r="X812" t="s">
        <v>2040</v>
      </c>
      <c r="Y812">
        <v>32306</v>
      </c>
      <c r="Z812">
        <v>1373097</v>
      </c>
      <c r="AA812">
        <v>306999</v>
      </c>
      <c r="AB812" t="str">
        <f>(VLOOKUP(SalesData[[#This Row],[Month Number]],Reference!C$5:E$16,2,FALSE))</f>
        <v>Feb</v>
      </c>
      <c r="AC812">
        <f>MONTH(SalesData[[#This Row],[Date]])</f>
        <v>2</v>
      </c>
      <c r="AD812">
        <f>Reference!F$4</f>
        <v>2026</v>
      </c>
      <c r="AE812" t="str">
        <f>IF(OR(SalesData[[#This Row],[Day]]="Saturday",SalesData[[#This Row],[Day]]="Sunday"),"Weekend","Weekday")</f>
        <v>Weekend</v>
      </c>
      <c r="AF812" s="5">
        <f>IF(SalesData[[#This Row],[Contracts Offered]]=0,0,SalesData[[#This Row],[Contracts Signed]]/SalesData[[#This Row],[Contracts Offered]])</f>
        <v>0.32038834951456313</v>
      </c>
      <c r="AG812" s="5">
        <f>IF(SalesData[[#This Row],[Customers Visited]]=0,0,SalesData[[#This Row],[Test Drives]]/SalesData[[#This Row],[Customers Visited]])</f>
        <v>0.57831325301204817</v>
      </c>
      <c r="AH812" s="5">
        <f>IF(SalesData[[#This Row],[Customers Visited]]=0,0,SalesData[[#This Row],[Contracts Signed]]/SalesData[[#This Row],[Customers Visited]])</f>
        <v>0.13253012048192772</v>
      </c>
      <c r="AI812" s="6">
        <f>IF(SalesData[[#This Row],[Contracts Signed]]=0,0,SalesData[[#This Row],[Profit(€)]]/SalesData[[#This Row],[Contracts Signed]])</f>
        <v>9303</v>
      </c>
      <c r="AJ812" s="5" t="str">
        <f>TRIM(CLEAN(SalesData[[#This Row],[Retailer]]))</f>
        <v>Rhein Auto Group</v>
      </c>
    </row>
    <row r="813" spans="1:36" ht="14.25" hidden="1" x14ac:dyDescent="0.2">
      <c r="A813" t="s">
        <v>1461</v>
      </c>
      <c r="B813" s="1">
        <v>46064</v>
      </c>
      <c r="C813" t="s">
        <v>121</v>
      </c>
      <c r="D813" t="s">
        <v>82</v>
      </c>
      <c r="E813" t="s">
        <v>26</v>
      </c>
      <c r="F813" t="s">
        <v>94</v>
      </c>
      <c r="G813" t="s">
        <v>95</v>
      </c>
      <c r="H813" t="s">
        <v>96</v>
      </c>
      <c r="I813" t="s">
        <v>64</v>
      </c>
      <c r="J813" t="s">
        <v>7029</v>
      </c>
      <c r="K813" t="s">
        <v>66</v>
      </c>
      <c r="L813" t="s">
        <v>33</v>
      </c>
      <c r="M813" t="s">
        <v>87</v>
      </c>
      <c r="N813" t="s">
        <v>69</v>
      </c>
      <c r="O813" t="s">
        <v>36</v>
      </c>
      <c r="P813" t="s">
        <v>71</v>
      </c>
      <c r="Q813" t="s">
        <v>152</v>
      </c>
      <c r="R813">
        <v>273</v>
      </c>
      <c r="S813">
        <v>156</v>
      </c>
      <c r="T813">
        <v>109</v>
      </c>
      <c r="U813">
        <v>43</v>
      </c>
      <c r="V813" t="s">
        <v>6385</v>
      </c>
      <c r="W813">
        <v>69202</v>
      </c>
      <c r="X813" t="s">
        <v>2701</v>
      </c>
      <c r="Y813">
        <v>50912</v>
      </c>
      <c r="Z813">
        <v>2975686</v>
      </c>
      <c r="AA813">
        <v>786470</v>
      </c>
      <c r="AB813" t="str">
        <f>(VLOOKUP(SalesData[[#This Row],[Month Number]],Reference!C$5:E$16,2,FALSE))</f>
        <v>Feb</v>
      </c>
      <c r="AC813">
        <f>MONTH(SalesData[[#This Row],[Date]])</f>
        <v>2</v>
      </c>
      <c r="AD813">
        <f>Reference!F$4</f>
        <v>2026</v>
      </c>
      <c r="AE813" t="str">
        <f>IF(OR(SalesData[[#This Row],[Day]]="Saturday",SalesData[[#This Row],[Day]]="Sunday"),"Weekend","Weekday")</f>
        <v>Weekday</v>
      </c>
      <c r="AF813" s="5">
        <f>IF(SalesData[[#This Row],[Contracts Offered]]=0,0,SalesData[[#This Row],[Contracts Signed]]/SalesData[[#This Row],[Contracts Offered]])</f>
        <v>0.39449541284403672</v>
      </c>
      <c r="AG813" s="5">
        <f>IF(SalesData[[#This Row],[Customers Visited]]=0,0,SalesData[[#This Row],[Test Drives]]/SalesData[[#This Row],[Customers Visited]])</f>
        <v>0.5714285714285714</v>
      </c>
      <c r="AH813" s="5">
        <f>IF(SalesData[[#This Row],[Customers Visited]]=0,0,SalesData[[#This Row],[Contracts Signed]]/SalesData[[#This Row],[Customers Visited]])</f>
        <v>0.1575091575091575</v>
      </c>
      <c r="AI813" s="6">
        <f>IF(SalesData[[#This Row],[Contracts Signed]]=0,0,SalesData[[#This Row],[Profit(€)]]/SalesData[[#This Row],[Contracts Signed]])</f>
        <v>18290</v>
      </c>
      <c r="AJ813" s="5" t="str">
        <f>TRIM(CLEAN(SalesData[[#This Row],[Retailer]]))</f>
        <v>Bavaria Motors</v>
      </c>
    </row>
    <row r="814" spans="1:36" ht="14.25" hidden="1" x14ac:dyDescent="0.2">
      <c r="A814" t="s">
        <v>1462</v>
      </c>
      <c r="B814" s="1">
        <v>46078</v>
      </c>
      <c r="C814" t="s">
        <v>53</v>
      </c>
      <c r="D814" t="s">
        <v>82</v>
      </c>
      <c r="E814" t="s">
        <v>26</v>
      </c>
      <c r="F814" t="s">
        <v>114</v>
      </c>
      <c r="G814" t="s">
        <v>115</v>
      </c>
      <c r="H814" t="s">
        <v>115</v>
      </c>
      <c r="I814" t="s">
        <v>64</v>
      </c>
      <c r="J814" t="s">
        <v>111</v>
      </c>
      <c r="K814" t="s">
        <v>32</v>
      </c>
      <c r="L814" t="s">
        <v>46</v>
      </c>
      <c r="M814" t="s">
        <v>34</v>
      </c>
      <c r="N814" t="s">
        <v>69</v>
      </c>
      <c r="O814" t="s">
        <v>70</v>
      </c>
      <c r="P814" t="s">
        <v>58</v>
      </c>
      <c r="Q814" t="s">
        <v>240</v>
      </c>
      <c r="R814">
        <v>183</v>
      </c>
      <c r="S814">
        <v>102</v>
      </c>
      <c r="T814">
        <v>71</v>
      </c>
      <c r="U814">
        <v>27</v>
      </c>
      <c r="V814" t="s">
        <v>6486</v>
      </c>
      <c r="W814">
        <v>49532</v>
      </c>
      <c r="X814" t="s">
        <v>39</v>
      </c>
      <c r="Y814">
        <v>39092</v>
      </c>
      <c r="Z814">
        <v>1337364</v>
      </c>
      <c r="AA814">
        <v>281880</v>
      </c>
      <c r="AB814" t="str">
        <f>(VLOOKUP(SalesData[[#This Row],[Month Number]],Reference!C$5:E$16,2,FALSE))</f>
        <v>Feb</v>
      </c>
      <c r="AC814">
        <f>MONTH(SalesData[[#This Row],[Date]])</f>
        <v>2</v>
      </c>
      <c r="AD814">
        <f>Reference!F$4</f>
        <v>2026</v>
      </c>
      <c r="AE814" t="str">
        <f>IF(OR(SalesData[[#This Row],[Day]]="Saturday",SalesData[[#This Row],[Day]]="Sunday"),"Weekend","Weekday")</f>
        <v>Weekday</v>
      </c>
      <c r="AF814" s="5">
        <f>IF(SalesData[[#This Row],[Contracts Offered]]=0,0,SalesData[[#This Row],[Contracts Signed]]/SalesData[[#This Row],[Contracts Offered]])</f>
        <v>0.38028169014084506</v>
      </c>
      <c r="AG814" s="5">
        <f>IF(SalesData[[#This Row],[Customers Visited]]=0,0,SalesData[[#This Row],[Test Drives]]/SalesData[[#This Row],[Customers Visited]])</f>
        <v>0.55737704918032782</v>
      </c>
      <c r="AH814" s="5">
        <f>IF(SalesData[[#This Row],[Customers Visited]]=0,0,SalesData[[#This Row],[Contracts Signed]]/SalesData[[#This Row],[Customers Visited]])</f>
        <v>0.14754098360655737</v>
      </c>
      <c r="AI814" s="6">
        <f>IF(SalesData[[#This Row],[Contracts Signed]]=0,0,SalesData[[#This Row],[Profit(€)]]/SalesData[[#This Row],[Contracts Signed]])</f>
        <v>10440</v>
      </c>
      <c r="AJ814" s="5" t="str">
        <f>TRIM(CLEAN(SalesData[[#This Row],[Retailer]]))</f>
        <v>Elbe Drive</v>
      </c>
    </row>
    <row r="815" spans="1:36" ht="14.25" hidden="1" x14ac:dyDescent="0.2">
      <c r="A815" t="s">
        <v>1463</v>
      </c>
      <c r="B815" s="1">
        <v>46066</v>
      </c>
      <c r="C815" t="s">
        <v>121</v>
      </c>
      <c r="D815" t="s">
        <v>54</v>
      </c>
      <c r="E815" t="s">
        <v>26</v>
      </c>
      <c r="F815" t="s">
        <v>114</v>
      </c>
      <c r="G815" t="s">
        <v>115</v>
      </c>
      <c r="H815" t="s">
        <v>115</v>
      </c>
      <c r="I815" t="s">
        <v>56</v>
      </c>
      <c r="J815" t="s">
        <v>57</v>
      </c>
      <c r="K815" t="s">
        <v>91</v>
      </c>
      <c r="L815" t="s">
        <v>46</v>
      </c>
      <c r="M815" t="s">
        <v>68</v>
      </c>
      <c r="N815" t="s">
        <v>48</v>
      </c>
      <c r="O815" t="s">
        <v>70</v>
      </c>
      <c r="P815" t="s">
        <v>37</v>
      </c>
      <c r="Q815" t="s">
        <v>59</v>
      </c>
      <c r="R815">
        <v>225</v>
      </c>
      <c r="S815">
        <v>103</v>
      </c>
      <c r="T815">
        <v>69</v>
      </c>
      <c r="U815">
        <v>24</v>
      </c>
      <c r="V815" t="s">
        <v>6562</v>
      </c>
      <c r="W815">
        <v>44349</v>
      </c>
      <c r="X815" t="s">
        <v>196</v>
      </c>
      <c r="Y815">
        <v>33958</v>
      </c>
      <c r="Z815">
        <v>1064376</v>
      </c>
      <c r="AA815">
        <v>249384</v>
      </c>
      <c r="AB815" t="str">
        <f>(VLOOKUP(SalesData[[#This Row],[Month Number]],Reference!C$5:E$16,2,FALSE))</f>
        <v>Feb</v>
      </c>
      <c r="AC815">
        <f>MONTH(SalesData[[#This Row],[Date]])</f>
        <v>2</v>
      </c>
      <c r="AD815">
        <f>Reference!F$4</f>
        <v>2026</v>
      </c>
      <c r="AE815" t="str">
        <f>IF(OR(SalesData[[#This Row],[Day]]="Saturday",SalesData[[#This Row],[Day]]="Sunday"),"Weekend","Weekday")</f>
        <v>Weekday</v>
      </c>
      <c r="AF815" s="5">
        <f>IF(SalesData[[#This Row],[Contracts Offered]]=0,0,SalesData[[#This Row],[Contracts Signed]]/SalesData[[#This Row],[Contracts Offered]])</f>
        <v>0.34782608695652173</v>
      </c>
      <c r="AG815" s="5">
        <f>IF(SalesData[[#This Row],[Customers Visited]]=0,0,SalesData[[#This Row],[Test Drives]]/SalesData[[#This Row],[Customers Visited]])</f>
        <v>0.45777777777777778</v>
      </c>
      <c r="AH815" s="5">
        <f>IF(SalesData[[#This Row],[Customers Visited]]=0,0,SalesData[[#This Row],[Contracts Signed]]/SalesData[[#This Row],[Customers Visited]])</f>
        <v>0.10666666666666667</v>
      </c>
      <c r="AI815" s="6">
        <f>IF(SalesData[[#This Row],[Contracts Signed]]=0,0,SalesData[[#This Row],[Profit(€)]]/SalesData[[#This Row],[Contracts Signed]])</f>
        <v>10391</v>
      </c>
      <c r="AJ815" s="5" t="str">
        <f>TRIM(CLEAN(SalesData[[#This Row],[Retailer]]))</f>
        <v>Elbe Drive</v>
      </c>
    </row>
    <row r="816" spans="1:36" ht="14.25" hidden="1" x14ac:dyDescent="0.2">
      <c r="A816" t="s">
        <v>1464</v>
      </c>
      <c r="B816" s="1">
        <v>46069</v>
      </c>
      <c r="C816" t="s">
        <v>62</v>
      </c>
      <c r="D816" t="s">
        <v>25</v>
      </c>
      <c r="E816" t="s">
        <v>26</v>
      </c>
      <c r="F816" t="s">
        <v>43</v>
      </c>
      <c r="G816" t="s">
        <v>44</v>
      </c>
      <c r="H816" t="s">
        <v>45</v>
      </c>
      <c r="I816" t="s">
        <v>56</v>
      </c>
      <c r="J816" t="s">
        <v>137</v>
      </c>
      <c r="K816" t="s">
        <v>91</v>
      </c>
      <c r="L816" t="s">
        <v>46</v>
      </c>
      <c r="M816" t="s">
        <v>68</v>
      </c>
      <c r="N816" t="s">
        <v>69</v>
      </c>
      <c r="O816" t="s">
        <v>70</v>
      </c>
      <c r="P816" t="s">
        <v>37</v>
      </c>
      <c r="Q816" t="s">
        <v>106</v>
      </c>
      <c r="R816">
        <v>250</v>
      </c>
      <c r="S816">
        <v>142</v>
      </c>
      <c r="T816">
        <v>101</v>
      </c>
      <c r="U816">
        <v>31</v>
      </c>
      <c r="V816" t="s">
        <v>6900</v>
      </c>
      <c r="W816">
        <v>49864</v>
      </c>
      <c r="X816" t="s">
        <v>2693</v>
      </c>
      <c r="Y816">
        <v>40347</v>
      </c>
      <c r="Z816">
        <v>1545784</v>
      </c>
      <c r="AA816">
        <v>295027</v>
      </c>
      <c r="AB816" t="str">
        <f>(VLOOKUP(SalesData[[#This Row],[Month Number]],Reference!C$5:E$16,2,FALSE))</f>
        <v>Feb</v>
      </c>
      <c r="AC816">
        <f>MONTH(SalesData[[#This Row],[Date]])</f>
        <v>2</v>
      </c>
      <c r="AD816">
        <f>Reference!F$4</f>
        <v>2026</v>
      </c>
      <c r="AE816" t="str">
        <f>IF(OR(SalesData[[#This Row],[Day]]="Saturday",SalesData[[#This Row],[Day]]="Sunday"),"Weekend","Weekday")</f>
        <v>Weekday</v>
      </c>
      <c r="AF816" s="5">
        <f>IF(SalesData[[#This Row],[Contracts Offered]]=0,0,SalesData[[#This Row],[Contracts Signed]]/SalesData[[#This Row],[Contracts Offered]])</f>
        <v>0.30693069306930693</v>
      </c>
      <c r="AG816" s="5">
        <f>IF(SalesData[[#This Row],[Customers Visited]]=0,0,SalesData[[#This Row],[Test Drives]]/SalesData[[#This Row],[Customers Visited]])</f>
        <v>0.56799999999999995</v>
      </c>
      <c r="AH816" s="5">
        <f>IF(SalesData[[#This Row],[Customers Visited]]=0,0,SalesData[[#This Row],[Contracts Signed]]/SalesData[[#This Row],[Customers Visited]])</f>
        <v>0.124</v>
      </c>
      <c r="AI816" s="6">
        <f>IF(SalesData[[#This Row],[Contracts Signed]]=0,0,SalesData[[#This Row],[Profit(€)]]/SalesData[[#This Row],[Contracts Signed]])</f>
        <v>9517</v>
      </c>
      <c r="AJ816" s="5" t="str">
        <f>TRIM(CLEAN(SalesData[[#This Row],[Retailer]]))</f>
        <v>Saxon Wheels</v>
      </c>
    </row>
    <row r="817" spans="1:36" ht="14.25" x14ac:dyDescent="0.2">
      <c r="A817" t="s">
        <v>1466</v>
      </c>
      <c r="B817" s="1">
        <v>46064</v>
      </c>
      <c r="C817" t="s">
        <v>121</v>
      </c>
      <c r="D817" t="s">
        <v>82</v>
      </c>
      <c r="E817" t="s">
        <v>26</v>
      </c>
      <c r="F817" t="s">
        <v>94</v>
      </c>
      <c r="G817" t="s">
        <v>95</v>
      </c>
      <c r="H817" t="s">
        <v>96</v>
      </c>
      <c r="I817" t="s">
        <v>30</v>
      </c>
      <c r="J817" t="s">
        <v>31</v>
      </c>
      <c r="K817" t="s">
        <v>32</v>
      </c>
      <c r="L817" t="s">
        <v>46</v>
      </c>
      <c r="M817" t="s">
        <v>87</v>
      </c>
      <c r="N817" t="s">
        <v>35</v>
      </c>
      <c r="O817" t="s">
        <v>70</v>
      </c>
      <c r="P817" t="s">
        <v>58</v>
      </c>
      <c r="Q817" t="s">
        <v>172</v>
      </c>
      <c r="R817">
        <v>156</v>
      </c>
      <c r="S817">
        <v>77</v>
      </c>
      <c r="T817">
        <v>53</v>
      </c>
      <c r="U817">
        <v>24</v>
      </c>
      <c r="V817" t="s">
        <v>7084</v>
      </c>
      <c r="W817">
        <v>60532</v>
      </c>
      <c r="X817" t="s">
        <v>7316</v>
      </c>
      <c r="Y817">
        <v>43494</v>
      </c>
      <c r="Z817">
        <v>1452768</v>
      </c>
      <c r="AA817">
        <v>408912</v>
      </c>
      <c r="AB817" t="str">
        <f>(VLOOKUP(SalesData[[#This Row],[Month Number]],Reference!C$5:E$16,2,FALSE))</f>
        <v>Feb</v>
      </c>
      <c r="AC817">
        <f>MONTH(SalesData[[#This Row],[Date]])</f>
        <v>2</v>
      </c>
      <c r="AD817">
        <f>Reference!F$4</f>
        <v>2026</v>
      </c>
      <c r="AE817" t="str">
        <f>IF(OR(SalesData[[#This Row],[Day]]="Saturday",SalesData[[#This Row],[Day]]="Sunday"),"Weekend","Weekday")</f>
        <v>Weekday</v>
      </c>
      <c r="AF817" s="5">
        <f>IF(SalesData[[#This Row],[Contracts Offered]]=0,0,SalesData[[#This Row],[Contracts Signed]]/SalesData[[#This Row],[Contracts Offered]])</f>
        <v>0.45283018867924529</v>
      </c>
      <c r="AG817" s="5">
        <f>IF(SalesData[[#This Row],[Customers Visited]]=0,0,SalesData[[#This Row],[Test Drives]]/SalesData[[#This Row],[Customers Visited]])</f>
        <v>0.49358974358974361</v>
      </c>
      <c r="AH817" s="5">
        <f>IF(SalesData[[#This Row],[Customers Visited]]=0,0,SalesData[[#This Row],[Contracts Signed]]/SalesData[[#This Row],[Customers Visited]])</f>
        <v>0.15384615384615385</v>
      </c>
      <c r="AI817" s="6">
        <f>IF(SalesData[[#This Row],[Contracts Signed]]=0,0,SalesData[[#This Row],[Profit(€)]]/SalesData[[#This Row],[Contracts Signed]])</f>
        <v>17038</v>
      </c>
      <c r="AJ817" s="5" t="str">
        <f>TRIM(CLEAN(SalesData[[#This Row],[Retailer]]))</f>
        <v>Bavaria Motors</v>
      </c>
    </row>
    <row r="818" spans="1:36" ht="14.25" hidden="1" x14ac:dyDescent="0.2">
      <c r="A818" t="s">
        <v>1467</v>
      </c>
      <c r="B818" s="1">
        <v>46054</v>
      </c>
      <c r="C818" t="s">
        <v>24</v>
      </c>
      <c r="D818" t="s">
        <v>41</v>
      </c>
      <c r="E818" t="s">
        <v>42</v>
      </c>
      <c r="F818" t="s">
        <v>43</v>
      </c>
      <c r="G818" t="s">
        <v>44</v>
      </c>
      <c r="H818" t="s">
        <v>45</v>
      </c>
      <c r="I818" t="s">
        <v>116</v>
      </c>
      <c r="J818" t="s">
        <v>203</v>
      </c>
      <c r="K818" t="s">
        <v>32</v>
      </c>
      <c r="L818" t="s">
        <v>67</v>
      </c>
      <c r="M818" t="s">
        <v>68</v>
      </c>
      <c r="N818" t="s">
        <v>35</v>
      </c>
      <c r="O818" t="s">
        <v>36</v>
      </c>
      <c r="P818" t="s">
        <v>58</v>
      </c>
      <c r="Q818" t="s">
        <v>152</v>
      </c>
      <c r="R818">
        <v>228</v>
      </c>
      <c r="S818">
        <v>93</v>
      </c>
      <c r="T818">
        <v>58</v>
      </c>
      <c r="U818">
        <v>19</v>
      </c>
      <c r="V818" t="s">
        <v>6907</v>
      </c>
      <c r="W818">
        <v>21017</v>
      </c>
      <c r="X818" t="s">
        <v>3304</v>
      </c>
      <c r="Y818">
        <v>18730</v>
      </c>
      <c r="Z818">
        <v>399323</v>
      </c>
      <c r="AA818">
        <v>43453</v>
      </c>
      <c r="AB818" t="str">
        <f>(VLOOKUP(SalesData[[#This Row],[Month Number]],Reference!C$5:E$16,2,FALSE))</f>
        <v>Feb</v>
      </c>
      <c r="AC818">
        <f>MONTH(SalesData[[#This Row],[Date]])</f>
        <v>2</v>
      </c>
      <c r="AD818">
        <f>Reference!F$4</f>
        <v>2026</v>
      </c>
      <c r="AE818" t="str">
        <f>IF(OR(SalesData[[#This Row],[Day]]="Saturday",SalesData[[#This Row],[Day]]="Sunday"),"Weekend","Weekday")</f>
        <v>Weekend</v>
      </c>
      <c r="AF818" s="5">
        <f>IF(SalesData[[#This Row],[Contracts Offered]]=0,0,SalesData[[#This Row],[Contracts Signed]]/SalesData[[#This Row],[Contracts Offered]])</f>
        <v>0.32758620689655171</v>
      </c>
      <c r="AG818" s="5">
        <f>IF(SalesData[[#This Row],[Customers Visited]]=0,0,SalesData[[#This Row],[Test Drives]]/SalesData[[#This Row],[Customers Visited]])</f>
        <v>0.40789473684210525</v>
      </c>
      <c r="AH818" s="5">
        <f>IF(SalesData[[#This Row],[Customers Visited]]=0,0,SalesData[[#This Row],[Contracts Signed]]/SalesData[[#This Row],[Customers Visited]])</f>
        <v>8.3333333333333329E-2</v>
      </c>
      <c r="AI818" s="6">
        <f>IF(SalesData[[#This Row],[Contracts Signed]]=0,0,SalesData[[#This Row],[Profit(€)]]/SalesData[[#This Row],[Contracts Signed]])</f>
        <v>2287</v>
      </c>
      <c r="AJ818" s="5" t="str">
        <f>TRIM(CLEAN(SalesData[[#This Row],[Retailer]]))</f>
        <v>Saxon Wheels</v>
      </c>
    </row>
    <row r="819" spans="1:36" ht="14.25" hidden="1" x14ac:dyDescent="0.2">
      <c r="A819" t="s">
        <v>1469</v>
      </c>
      <c r="B819" s="1">
        <v>46079</v>
      </c>
      <c r="C819" t="s">
        <v>53</v>
      </c>
      <c r="D819" t="s">
        <v>100</v>
      </c>
      <c r="E819" t="s">
        <v>26</v>
      </c>
      <c r="F819" t="s">
        <v>94</v>
      </c>
      <c r="G819" t="s">
        <v>95</v>
      </c>
      <c r="H819" t="s">
        <v>96</v>
      </c>
      <c r="I819" t="s">
        <v>104</v>
      </c>
      <c r="J819" t="s">
        <v>143</v>
      </c>
      <c r="K819" t="s">
        <v>66</v>
      </c>
      <c r="L819" t="s">
        <v>67</v>
      </c>
      <c r="M819" t="s">
        <v>68</v>
      </c>
      <c r="N819" t="s">
        <v>69</v>
      </c>
      <c r="O819" t="s">
        <v>70</v>
      </c>
      <c r="P819" t="s">
        <v>49</v>
      </c>
      <c r="Q819" t="s">
        <v>106</v>
      </c>
      <c r="R819">
        <v>332</v>
      </c>
      <c r="S819">
        <v>182</v>
      </c>
      <c r="T819">
        <v>125</v>
      </c>
      <c r="U819">
        <v>31</v>
      </c>
      <c r="V819" t="s">
        <v>382</v>
      </c>
      <c r="W819">
        <v>33113</v>
      </c>
      <c r="X819" t="s">
        <v>2614</v>
      </c>
      <c r="Y819">
        <v>29948</v>
      </c>
      <c r="Z819">
        <v>1026503</v>
      </c>
      <c r="AA819">
        <v>98115</v>
      </c>
      <c r="AB819" t="str">
        <f>(VLOOKUP(SalesData[[#This Row],[Month Number]],Reference!C$5:E$16,2,FALSE))</f>
        <v>Feb</v>
      </c>
      <c r="AC819">
        <f>MONTH(SalesData[[#This Row],[Date]])</f>
        <v>2</v>
      </c>
      <c r="AD819">
        <f>Reference!F$4</f>
        <v>2026</v>
      </c>
      <c r="AE819" t="str">
        <f>IF(OR(SalesData[[#This Row],[Day]]="Saturday",SalesData[[#This Row],[Day]]="Sunday"),"Weekend","Weekday")</f>
        <v>Weekday</v>
      </c>
      <c r="AF819" s="5">
        <f>IF(SalesData[[#This Row],[Contracts Offered]]=0,0,SalesData[[#This Row],[Contracts Signed]]/SalesData[[#This Row],[Contracts Offered]])</f>
        <v>0.248</v>
      </c>
      <c r="AG819" s="5">
        <f>IF(SalesData[[#This Row],[Customers Visited]]=0,0,SalesData[[#This Row],[Test Drives]]/SalesData[[#This Row],[Customers Visited]])</f>
        <v>0.54819277108433739</v>
      </c>
      <c r="AH819" s="5">
        <f>IF(SalesData[[#This Row],[Customers Visited]]=0,0,SalesData[[#This Row],[Contracts Signed]]/SalesData[[#This Row],[Customers Visited]])</f>
        <v>9.337349397590361E-2</v>
      </c>
      <c r="AI819" s="6">
        <f>IF(SalesData[[#This Row],[Contracts Signed]]=0,0,SalesData[[#This Row],[Profit(€)]]/SalesData[[#This Row],[Contracts Signed]])</f>
        <v>3165</v>
      </c>
      <c r="AJ819" s="5" t="str">
        <f>TRIM(CLEAN(SalesData[[#This Row],[Retailer]]))</f>
        <v>Bavaria Motors</v>
      </c>
    </row>
    <row r="820" spans="1:36" ht="14.25" x14ac:dyDescent="0.2">
      <c r="A820" t="s">
        <v>1471</v>
      </c>
      <c r="B820" s="1">
        <v>46065</v>
      </c>
      <c r="C820" t="s">
        <v>121</v>
      </c>
      <c r="D820" t="s">
        <v>100</v>
      </c>
      <c r="E820" t="s">
        <v>26</v>
      </c>
      <c r="F820" t="s">
        <v>7649</v>
      </c>
      <c r="G820" t="s">
        <v>55</v>
      </c>
      <c r="H820" t="s">
        <v>55</v>
      </c>
      <c r="I820" t="s">
        <v>30</v>
      </c>
      <c r="J820" t="s">
        <v>86</v>
      </c>
      <c r="K820" t="s">
        <v>91</v>
      </c>
      <c r="L820" t="s">
        <v>33</v>
      </c>
      <c r="M820" t="s">
        <v>47</v>
      </c>
      <c r="N820" t="s">
        <v>48</v>
      </c>
      <c r="O820" t="s">
        <v>70</v>
      </c>
      <c r="P820" t="s">
        <v>71</v>
      </c>
      <c r="Q820" t="s">
        <v>59</v>
      </c>
      <c r="R820">
        <v>205</v>
      </c>
      <c r="S820">
        <v>101</v>
      </c>
      <c r="T820">
        <v>70</v>
      </c>
      <c r="U820">
        <v>32</v>
      </c>
      <c r="V820" t="s">
        <v>7317</v>
      </c>
      <c r="W820">
        <v>58191</v>
      </c>
      <c r="X820" t="s">
        <v>2796</v>
      </c>
      <c r="Y820">
        <v>42730</v>
      </c>
      <c r="Z820">
        <v>1862112</v>
      </c>
      <c r="AA820">
        <v>494752</v>
      </c>
      <c r="AB820" t="str">
        <f>(VLOOKUP(SalesData[[#This Row],[Month Number]],Reference!C$5:E$16,2,FALSE))</f>
        <v>Feb</v>
      </c>
      <c r="AC820">
        <f>MONTH(SalesData[[#This Row],[Date]])</f>
        <v>2</v>
      </c>
      <c r="AD820">
        <f>Reference!F$4</f>
        <v>2026</v>
      </c>
      <c r="AE820" t="str">
        <f>IF(OR(SalesData[[#This Row],[Day]]="Saturday",SalesData[[#This Row],[Day]]="Sunday"),"Weekend","Weekday")</f>
        <v>Weekday</v>
      </c>
      <c r="AF820" s="5">
        <f>IF(SalesData[[#This Row],[Contracts Offered]]=0,0,SalesData[[#This Row],[Contracts Signed]]/SalesData[[#This Row],[Contracts Offered]])</f>
        <v>0.45714285714285713</v>
      </c>
      <c r="AG820" s="5">
        <f>IF(SalesData[[#This Row],[Customers Visited]]=0,0,SalesData[[#This Row],[Test Drives]]/SalesData[[#This Row],[Customers Visited]])</f>
        <v>0.49268292682926829</v>
      </c>
      <c r="AH820" s="5">
        <f>IF(SalesData[[#This Row],[Customers Visited]]=0,0,SalesData[[#This Row],[Contracts Signed]]/SalesData[[#This Row],[Customers Visited]])</f>
        <v>0.15609756097560976</v>
      </c>
      <c r="AI820" s="6">
        <f>IF(SalesData[[#This Row],[Contracts Signed]]=0,0,SalesData[[#This Row],[Profit(€)]]/SalesData[[#This Row],[Contracts Signed]])</f>
        <v>15461</v>
      </c>
      <c r="AJ820" s="5" t="str">
        <f>TRIM(CLEAN(SalesData[[#This Row],[Retailer]]))</f>
        <v>Autohaus Berlin</v>
      </c>
    </row>
    <row r="821" spans="1:36" ht="14.25" hidden="1" x14ac:dyDescent="0.2">
      <c r="A821" t="s">
        <v>1472</v>
      </c>
      <c r="B821" s="1">
        <v>46061</v>
      </c>
      <c r="C821" t="s">
        <v>121</v>
      </c>
      <c r="D821" t="s">
        <v>41</v>
      </c>
      <c r="E821" t="s">
        <v>42</v>
      </c>
      <c r="F821" t="s">
        <v>27</v>
      </c>
      <c r="G821" t="s">
        <v>28</v>
      </c>
      <c r="H821" t="s">
        <v>29</v>
      </c>
      <c r="I821" t="s">
        <v>116</v>
      </c>
      <c r="J821" t="s">
        <v>117</v>
      </c>
      <c r="K821" t="s">
        <v>91</v>
      </c>
      <c r="L821" t="s">
        <v>67</v>
      </c>
      <c r="M821" t="s">
        <v>87</v>
      </c>
      <c r="N821" t="s">
        <v>69</v>
      </c>
      <c r="O821" t="s">
        <v>70</v>
      </c>
      <c r="P821" t="s">
        <v>71</v>
      </c>
      <c r="Q821" t="s">
        <v>106</v>
      </c>
      <c r="R821">
        <v>359</v>
      </c>
      <c r="S821">
        <v>166</v>
      </c>
      <c r="T821">
        <v>99</v>
      </c>
      <c r="U821">
        <v>24</v>
      </c>
      <c r="V821" t="s">
        <v>1539</v>
      </c>
      <c r="W821">
        <v>25595</v>
      </c>
      <c r="X821" t="s">
        <v>2203</v>
      </c>
      <c r="Y821">
        <v>22983</v>
      </c>
      <c r="Z821">
        <v>614280</v>
      </c>
      <c r="AA821">
        <v>62688</v>
      </c>
      <c r="AB821" t="str">
        <f>(VLOOKUP(SalesData[[#This Row],[Month Number]],Reference!C$5:E$16,2,FALSE))</f>
        <v>Feb</v>
      </c>
      <c r="AC821">
        <f>MONTH(SalesData[[#This Row],[Date]])</f>
        <v>2</v>
      </c>
      <c r="AD821">
        <f>Reference!F$4</f>
        <v>2026</v>
      </c>
      <c r="AE821" t="str">
        <f>IF(OR(SalesData[[#This Row],[Day]]="Saturday",SalesData[[#This Row],[Day]]="Sunday"),"Weekend","Weekday")</f>
        <v>Weekend</v>
      </c>
      <c r="AF821" s="5">
        <f>IF(SalesData[[#This Row],[Contracts Offered]]=0,0,SalesData[[#This Row],[Contracts Signed]]/SalesData[[#This Row],[Contracts Offered]])</f>
        <v>0.24242424242424243</v>
      </c>
      <c r="AG821" s="5">
        <f>IF(SalesData[[#This Row],[Customers Visited]]=0,0,SalesData[[#This Row],[Test Drives]]/SalesData[[#This Row],[Customers Visited]])</f>
        <v>0.46239554317548748</v>
      </c>
      <c r="AH821" s="5">
        <f>IF(SalesData[[#This Row],[Customers Visited]]=0,0,SalesData[[#This Row],[Contracts Signed]]/SalesData[[#This Row],[Customers Visited]])</f>
        <v>6.6852367688022288E-2</v>
      </c>
      <c r="AI821" s="6">
        <f>IF(SalesData[[#This Row],[Contracts Signed]]=0,0,SalesData[[#This Row],[Profit(€)]]/SalesData[[#This Row],[Contracts Signed]])</f>
        <v>2612</v>
      </c>
      <c r="AJ821" s="5" t="str">
        <f>TRIM(CLEAN(SalesData[[#This Row],[Retailer]]))</f>
        <v>Main Auto Hub</v>
      </c>
    </row>
    <row r="822" spans="1:36" ht="14.25" hidden="1" x14ac:dyDescent="0.2">
      <c r="A822" t="s">
        <v>1474</v>
      </c>
      <c r="B822" s="1">
        <v>46079</v>
      </c>
      <c r="C822" t="s">
        <v>53</v>
      </c>
      <c r="D822" t="s">
        <v>100</v>
      </c>
      <c r="E822" t="s">
        <v>26</v>
      </c>
      <c r="F822" t="s">
        <v>43</v>
      </c>
      <c r="G822" t="s">
        <v>44</v>
      </c>
      <c r="H822" t="s">
        <v>45</v>
      </c>
      <c r="I822" t="s">
        <v>104</v>
      </c>
      <c r="J822" t="s">
        <v>7031</v>
      </c>
      <c r="K822" t="s">
        <v>78</v>
      </c>
      <c r="L822" t="s">
        <v>46</v>
      </c>
      <c r="M822" t="s">
        <v>68</v>
      </c>
      <c r="N822" t="s">
        <v>48</v>
      </c>
      <c r="O822" t="s">
        <v>70</v>
      </c>
      <c r="P822" t="s">
        <v>49</v>
      </c>
      <c r="Q822" t="s">
        <v>152</v>
      </c>
      <c r="R822">
        <v>508</v>
      </c>
      <c r="S822">
        <v>254</v>
      </c>
      <c r="T822">
        <v>172</v>
      </c>
      <c r="U822">
        <v>34</v>
      </c>
      <c r="V822" t="s">
        <v>567</v>
      </c>
      <c r="W822">
        <v>33578</v>
      </c>
      <c r="X822" t="s">
        <v>2427</v>
      </c>
      <c r="Y822">
        <v>29874</v>
      </c>
      <c r="Z822">
        <v>1141652</v>
      </c>
      <c r="AA822">
        <v>125936</v>
      </c>
      <c r="AB822" t="str">
        <f>(VLOOKUP(SalesData[[#This Row],[Month Number]],Reference!C$5:E$16,2,FALSE))</f>
        <v>Feb</v>
      </c>
      <c r="AC822">
        <f>MONTH(SalesData[[#This Row],[Date]])</f>
        <v>2</v>
      </c>
      <c r="AD822">
        <f>Reference!F$4</f>
        <v>2026</v>
      </c>
      <c r="AE822" t="str">
        <f>IF(OR(SalesData[[#This Row],[Day]]="Saturday",SalesData[[#This Row],[Day]]="Sunday"),"Weekend","Weekday")</f>
        <v>Weekday</v>
      </c>
      <c r="AF822" s="5">
        <f>IF(SalesData[[#This Row],[Contracts Offered]]=0,0,SalesData[[#This Row],[Contracts Signed]]/SalesData[[#This Row],[Contracts Offered]])</f>
        <v>0.19767441860465115</v>
      </c>
      <c r="AG822" s="5">
        <f>IF(SalesData[[#This Row],[Customers Visited]]=0,0,SalesData[[#This Row],[Test Drives]]/SalesData[[#This Row],[Customers Visited]])</f>
        <v>0.5</v>
      </c>
      <c r="AH822" s="5">
        <f>IF(SalesData[[#This Row],[Customers Visited]]=0,0,SalesData[[#This Row],[Contracts Signed]]/SalesData[[#This Row],[Customers Visited]])</f>
        <v>6.6929133858267723E-2</v>
      </c>
      <c r="AI822" s="6">
        <f>IF(SalesData[[#This Row],[Contracts Signed]]=0,0,SalesData[[#This Row],[Profit(€)]]/SalesData[[#This Row],[Contracts Signed]])</f>
        <v>3704</v>
      </c>
      <c r="AJ822" s="5" t="str">
        <f>TRIM(CLEAN(SalesData[[#This Row],[Retailer]]))</f>
        <v>Saxon Wheels</v>
      </c>
    </row>
    <row r="823" spans="1:36" ht="14.25" hidden="1" x14ac:dyDescent="0.2">
      <c r="A823" t="s">
        <v>1475</v>
      </c>
      <c r="B823" s="1">
        <v>46065</v>
      </c>
      <c r="C823" t="s">
        <v>121</v>
      </c>
      <c r="D823" t="s">
        <v>100</v>
      </c>
      <c r="E823" t="s">
        <v>26</v>
      </c>
      <c r="F823" t="s">
        <v>27</v>
      </c>
      <c r="G823" t="s">
        <v>28</v>
      </c>
      <c r="H823" t="s">
        <v>29</v>
      </c>
      <c r="I823" t="s">
        <v>64</v>
      </c>
      <c r="J823" t="s">
        <v>65</v>
      </c>
      <c r="K823" t="s">
        <v>78</v>
      </c>
      <c r="L823" t="s">
        <v>33</v>
      </c>
      <c r="M823" t="s">
        <v>34</v>
      </c>
      <c r="N823" t="s">
        <v>48</v>
      </c>
      <c r="O823" t="s">
        <v>70</v>
      </c>
      <c r="P823" t="s">
        <v>58</v>
      </c>
      <c r="Q823" t="s">
        <v>167</v>
      </c>
      <c r="R823">
        <v>234</v>
      </c>
      <c r="S823">
        <v>131</v>
      </c>
      <c r="T823">
        <v>102</v>
      </c>
      <c r="U823">
        <v>36</v>
      </c>
      <c r="V823" t="s">
        <v>6381</v>
      </c>
      <c r="W823">
        <v>63355</v>
      </c>
      <c r="X823" t="s">
        <v>7318</v>
      </c>
      <c r="Y823">
        <v>47298</v>
      </c>
      <c r="Z823">
        <v>2280780</v>
      </c>
      <c r="AA823">
        <v>578052</v>
      </c>
      <c r="AB823" t="str">
        <f>(VLOOKUP(SalesData[[#This Row],[Month Number]],Reference!C$5:E$16,2,FALSE))</f>
        <v>Feb</v>
      </c>
      <c r="AC823">
        <f>MONTH(SalesData[[#This Row],[Date]])</f>
        <v>2</v>
      </c>
      <c r="AD823">
        <f>Reference!F$4</f>
        <v>2026</v>
      </c>
      <c r="AE823" t="str">
        <f>IF(OR(SalesData[[#This Row],[Day]]="Saturday",SalesData[[#This Row],[Day]]="Sunday"),"Weekend","Weekday")</f>
        <v>Weekday</v>
      </c>
      <c r="AF823" s="5">
        <f>IF(SalesData[[#This Row],[Contracts Offered]]=0,0,SalesData[[#This Row],[Contracts Signed]]/SalesData[[#This Row],[Contracts Offered]])</f>
        <v>0.35294117647058826</v>
      </c>
      <c r="AG823" s="5">
        <f>IF(SalesData[[#This Row],[Customers Visited]]=0,0,SalesData[[#This Row],[Test Drives]]/SalesData[[#This Row],[Customers Visited]])</f>
        <v>0.55982905982905984</v>
      </c>
      <c r="AH823" s="5">
        <f>IF(SalesData[[#This Row],[Customers Visited]]=0,0,SalesData[[#This Row],[Contracts Signed]]/SalesData[[#This Row],[Customers Visited]])</f>
        <v>0.15384615384615385</v>
      </c>
      <c r="AI823" s="6">
        <f>IF(SalesData[[#This Row],[Contracts Signed]]=0,0,SalesData[[#This Row],[Profit(€)]]/SalesData[[#This Row],[Contracts Signed]])</f>
        <v>16057</v>
      </c>
      <c r="AJ823" s="5" t="str">
        <f>TRIM(CLEAN(SalesData[[#This Row],[Retailer]]))</f>
        <v>Main Auto Hub</v>
      </c>
    </row>
    <row r="824" spans="1:36" ht="14.25" x14ac:dyDescent="0.2">
      <c r="A824" t="s">
        <v>1476</v>
      </c>
      <c r="B824" s="1">
        <v>46071</v>
      </c>
      <c r="C824" t="s">
        <v>62</v>
      </c>
      <c r="D824" t="s">
        <v>82</v>
      </c>
      <c r="E824" t="s">
        <v>26</v>
      </c>
      <c r="F824" t="s">
        <v>7649</v>
      </c>
      <c r="G824" t="s">
        <v>55</v>
      </c>
      <c r="H824" t="s">
        <v>55</v>
      </c>
      <c r="I824" t="s">
        <v>30</v>
      </c>
      <c r="J824" t="s">
        <v>166</v>
      </c>
      <c r="K824" t="s">
        <v>91</v>
      </c>
      <c r="L824" t="s">
        <v>46</v>
      </c>
      <c r="M824" t="s">
        <v>68</v>
      </c>
      <c r="N824" t="s">
        <v>69</v>
      </c>
      <c r="O824" t="s">
        <v>36</v>
      </c>
      <c r="P824" t="s">
        <v>37</v>
      </c>
      <c r="Q824" t="s">
        <v>106</v>
      </c>
      <c r="R824">
        <v>199</v>
      </c>
      <c r="S824">
        <v>91</v>
      </c>
      <c r="T824">
        <v>70</v>
      </c>
      <c r="U824">
        <v>26</v>
      </c>
      <c r="V824" t="s">
        <v>6357</v>
      </c>
      <c r="W824">
        <v>53149</v>
      </c>
      <c r="X824" t="s">
        <v>7284</v>
      </c>
      <c r="Y824">
        <v>38420</v>
      </c>
      <c r="Z824">
        <v>1381874</v>
      </c>
      <c r="AA824">
        <v>382954</v>
      </c>
      <c r="AB824" t="str">
        <f>(VLOOKUP(SalesData[[#This Row],[Month Number]],Reference!C$5:E$16,2,FALSE))</f>
        <v>Feb</v>
      </c>
      <c r="AC824">
        <f>MONTH(SalesData[[#This Row],[Date]])</f>
        <v>2</v>
      </c>
      <c r="AD824">
        <f>Reference!F$4</f>
        <v>2026</v>
      </c>
      <c r="AE824" t="str">
        <f>IF(OR(SalesData[[#This Row],[Day]]="Saturday",SalesData[[#This Row],[Day]]="Sunday"),"Weekend","Weekday")</f>
        <v>Weekday</v>
      </c>
      <c r="AF824" s="5">
        <f>IF(SalesData[[#This Row],[Contracts Offered]]=0,0,SalesData[[#This Row],[Contracts Signed]]/SalesData[[#This Row],[Contracts Offered]])</f>
        <v>0.37142857142857144</v>
      </c>
      <c r="AG824" s="5">
        <f>IF(SalesData[[#This Row],[Customers Visited]]=0,0,SalesData[[#This Row],[Test Drives]]/SalesData[[#This Row],[Customers Visited]])</f>
        <v>0.457286432160804</v>
      </c>
      <c r="AH824" s="5">
        <f>IF(SalesData[[#This Row],[Customers Visited]]=0,0,SalesData[[#This Row],[Contracts Signed]]/SalesData[[#This Row],[Customers Visited]])</f>
        <v>0.1306532663316583</v>
      </c>
      <c r="AI824" s="6">
        <f>IF(SalesData[[#This Row],[Contracts Signed]]=0,0,SalesData[[#This Row],[Profit(€)]]/SalesData[[#This Row],[Contracts Signed]])</f>
        <v>14729</v>
      </c>
      <c r="AJ824" s="5" t="str">
        <f>TRIM(CLEAN(SalesData[[#This Row],[Retailer]]))</f>
        <v>Autohaus Berlin</v>
      </c>
    </row>
    <row r="825" spans="1:36" ht="14.25" hidden="1" x14ac:dyDescent="0.2">
      <c r="A825" t="s">
        <v>1478</v>
      </c>
      <c r="B825" s="1">
        <v>46072</v>
      </c>
      <c r="C825" t="s">
        <v>62</v>
      </c>
      <c r="D825" t="s">
        <v>100</v>
      </c>
      <c r="E825" t="s">
        <v>26</v>
      </c>
      <c r="F825" t="s">
        <v>27</v>
      </c>
      <c r="G825" t="s">
        <v>28</v>
      </c>
      <c r="H825" t="s">
        <v>29</v>
      </c>
      <c r="I825" t="s">
        <v>116</v>
      </c>
      <c r="J825" t="s">
        <v>132</v>
      </c>
      <c r="K825" t="s">
        <v>91</v>
      </c>
      <c r="L825" t="s">
        <v>46</v>
      </c>
      <c r="M825" t="s">
        <v>68</v>
      </c>
      <c r="N825" t="s">
        <v>35</v>
      </c>
      <c r="O825" t="s">
        <v>36</v>
      </c>
      <c r="P825" t="s">
        <v>49</v>
      </c>
      <c r="Q825" t="s">
        <v>88</v>
      </c>
      <c r="R825">
        <v>326</v>
      </c>
      <c r="S825">
        <v>160</v>
      </c>
      <c r="T825">
        <v>111</v>
      </c>
      <c r="U825">
        <v>20</v>
      </c>
      <c r="V825" t="s">
        <v>265</v>
      </c>
      <c r="W825">
        <v>25348</v>
      </c>
      <c r="X825" t="s">
        <v>2529</v>
      </c>
      <c r="Y825">
        <v>22887</v>
      </c>
      <c r="Z825">
        <v>506960</v>
      </c>
      <c r="AA825">
        <v>49220</v>
      </c>
      <c r="AB825" t="str">
        <f>(VLOOKUP(SalesData[[#This Row],[Month Number]],Reference!C$5:E$16,2,FALSE))</f>
        <v>Feb</v>
      </c>
      <c r="AC825">
        <f>MONTH(SalesData[[#This Row],[Date]])</f>
        <v>2</v>
      </c>
      <c r="AD825">
        <f>Reference!F$4</f>
        <v>2026</v>
      </c>
      <c r="AE825" t="str">
        <f>IF(OR(SalesData[[#This Row],[Day]]="Saturday",SalesData[[#This Row],[Day]]="Sunday"),"Weekend","Weekday")</f>
        <v>Weekday</v>
      </c>
      <c r="AF825" s="5">
        <f>IF(SalesData[[#This Row],[Contracts Offered]]=0,0,SalesData[[#This Row],[Contracts Signed]]/SalesData[[#This Row],[Contracts Offered]])</f>
        <v>0.18018018018018017</v>
      </c>
      <c r="AG825" s="5">
        <f>IF(SalesData[[#This Row],[Customers Visited]]=0,0,SalesData[[#This Row],[Test Drives]]/SalesData[[#This Row],[Customers Visited]])</f>
        <v>0.49079754601226994</v>
      </c>
      <c r="AH825" s="5">
        <f>IF(SalesData[[#This Row],[Customers Visited]]=0,0,SalesData[[#This Row],[Contracts Signed]]/SalesData[[#This Row],[Customers Visited]])</f>
        <v>6.1349693251533742E-2</v>
      </c>
      <c r="AI825" s="6">
        <f>IF(SalesData[[#This Row],[Contracts Signed]]=0,0,SalesData[[#This Row],[Profit(€)]]/SalesData[[#This Row],[Contracts Signed]])</f>
        <v>2461</v>
      </c>
      <c r="AJ825" s="5" t="str">
        <f>TRIM(CLEAN(SalesData[[#This Row],[Retailer]]))</f>
        <v>Main Auto Hub</v>
      </c>
    </row>
    <row r="826" spans="1:36" ht="14.25" hidden="1" x14ac:dyDescent="0.2">
      <c r="A826" t="s">
        <v>1479</v>
      </c>
      <c r="B826" s="1">
        <v>46080</v>
      </c>
      <c r="C826" t="s">
        <v>53</v>
      </c>
      <c r="D826" t="s">
        <v>54</v>
      </c>
      <c r="E826" t="s">
        <v>26</v>
      </c>
      <c r="F826" t="s">
        <v>27</v>
      </c>
      <c r="G826" t="s">
        <v>28</v>
      </c>
      <c r="H826" t="s">
        <v>29</v>
      </c>
      <c r="I826" t="s">
        <v>104</v>
      </c>
      <c r="J826" t="s">
        <v>143</v>
      </c>
      <c r="K826" t="s">
        <v>78</v>
      </c>
      <c r="L826" t="s">
        <v>67</v>
      </c>
      <c r="M826" t="s">
        <v>87</v>
      </c>
      <c r="N826" t="s">
        <v>48</v>
      </c>
      <c r="O826" t="s">
        <v>36</v>
      </c>
      <c r="P826" t="s">
        <v>49</v>
      </c>
      <c r="Q826" t="s">
        <v>144</v>
      </c>
      <c r="R826">
        <v>284</v>
      </c>
      <c r="S826">
        <v>150</v>
      </c>
      <c r="T826">
        <v>97</v>
      </c>
      <c r="U826">
        <v>20</v>
      </c>
      <c r="V826" t="s">
        <v>1366</v>
      </c>
      <c r="W826">
        <v>26716</v>
      </c>
      <c r="X826" t="s">
        <v>3163</v>
      </c>
      <c r="Y826">
        <v>23040</v>
      </c>
      <c r="Z826">
        <v>534320</v>
      </c>
      <c r="AA826">
        <v>73520</v>
      </c>
      <c r="AB826" t="str">
        <f>(VLOOKUP(SalesData[[#This Row],[Month Number]],Reference!C$5:E$16,2,FALSE))</f>
        <v>Feb</v>
      </c>
      <c r="AC826">
        <f>MONTH(SalesData[[#This Row],[Date]])</f>
        <v>2</v>
      </c>
      <c r="AD826">
        <f>Reference!F$4</f>
        <v>2026</v>
      </c>
      <c r="AE826" t="str">
        <f>IF(OR(SalesData[[#This Row],[Day]]="Saturday",SalesData[[#This Row],[Day]]="Sunday"),"Weekend","Weekday")</f>
        <v>Weekday</v>
      </c>
      <c r="AF826" s="5">
        <f>IF(SalesData[[#This Row],[Contracts Offered]]=0,0,SalesData[[#This Row],[Contracts Signed]]/SalesData[[#This Row],[Contracts Offered]])</f>
        <v>0.20618556701030927</v>
      </c>
      <c r="AG826" s="5">
        <f>IF(SalesData[[#This Row],[Customers Visited]]=0,0,SalesData[[#This Row],[Test Drives]]/SalesData[[#This Row],[Customers Visited]])</f>
        <v>0.528169014084507</v>
      </c>
      <c r="AH826" s="5">
        <f>IF(SalesData[[#This Row],[Customers Visited]]=0,0,SalesData[[#This Row],[Contracts Signed]]/SalesData[[#This Row],[Customers Visited]])</f>
        <v>7.0422535211267609E-2</v>
      </c>
      <c r="AI826" s="6">
        <f>IF(SalesData[[#This Row],[Contracts Signed]]=0,0,SalesData[[#This Row],[Profit(€)]]/SalesData[[#This Row],[Contracts Signed]])</f>
        <v>3676</v>
      </c>
      <c r="AJ826" s="5" t="str">
        <f>TRIM(CLEAN(SalesData[[#This Row],[Retailer]]))</f>
        <v>Main Auto Hub</v>
      </c>
    </row>
    <row r="827" spans="1:36" ht="14.25" x14ac:dyDescent="0.2">
      <c r="A827" t="s">
        <v>1481</v>
      </c>
      <c r="B827" s="1">
        <v>46081</v>
      </c>
      <c r="C827" t="s">
        <v>53</v>
      </c>
      <c r="D827" t="s">
        <v>151</v>
      </c>
      <c r="E827" t="s">
        <v>42</v>
      </c>
      <c r="F827" t="s">
        <v>101</v>
      </c>
      <c r="G827" t="s">
        <v>102</v>
      </c>
      <c r="H827" t="s">
        <v>103</v>
      </c>
      <c r="I827" t="s">
        <v>30</v>
      </c>
      <c r="J827" t="s">
        <v>188</v>
      </c>
      <c r="K827" t="s">
        <v>32</v>
      </c>
      <c r="L827" t="s">
        <v>33</v>
      </c>
      <c r="M827" t="s">
        <v>87</v>
      </c>
      <c r="N827" t="s">
        <v>69</v>
      </c>
      <c r="O827" t="s">
        <v>36</v>
      </c>
      <c r="P827" t="s">
        <v>37</v>
      </c>
      <c r="Q827" t="s">
        <v>347</v>
      </c>
      <c r="R827">
        <v>235</v>
      </c>
      <c r="S827">
        <v>116</v>
      </c>
      <c r="T827">
        <v>89</v>
      </c>
      <c r="U827">
        <v>27</v>
      </c>
      <c r="V827" t="s">
        <v>6873</v>
      </c>
      <c r="W827">
        <v>62858</v>
      </c>
      <c r="X827" t="s">
        <v>2541</v>
      </c>
      <c r="Y827">
        <v>45679</v>
      </c>
      <c r="Z827">
        <v>1697166</v>
      </c>
      <c r="AA827">
        <v>463833</v>
      </c>
      <c r="AB827" t="str">
        <f>(VLOOKUP(SalesData[[#This Row],[Month Number]],Reference!C$5:E$16,2,FALSE))</f>
        <v>Feb</v>
      </c>
      <c r="AC827">
        <f>MONTH(SalesData[[#This Row],[Date]])</f>
        <v>2</v>
      </c>
      <c r="AD827">
        <f>Reference!F$4</f>
        <v>2026</v>
      </c>
      <c r="AE827" t="str">
        <f>IF(OR(SalesData[[#This Row],[Day]]="Saturday",SalesData[[#This Row],[Day]]="Sunday"),"Weekend","Weekday")</f>
        <v>Weekend</v>
      </c>
      <c r="AF827" s="5">
        <f>IF(SalesData[[#This Row],[Contracts Offered]]=0,0,SalesData[[#This Row],[Contracts Signed]]/SalesData[[#This Row],[Contracts Offered]])</f>
        <v>0.30337078651685395</v>
      </c>
      <c r="AG827" s="5">
        <f>IF(SalesData[[#This Row],[Customers Visited]]=0,0,SalesData[[#This Row],[Test Drives]]/SalesData[[#This Row],[Customers Visited]])</f>
        <v>0.49361702127659574</v>
      </c>
      <c r="AH827" s="5">
        <f>IF(SalesData[[#This Row],[Customers Visited]]=0,0,SalesData[[#This Row],[Contracts Signed]]/SalesData[[#This Row],[Customers Visited]])</f>
        <v>0.1148936170212766</v>
      </c>
      <c r="AI827" s="6">
        <f>IF(SalesData[[#This Row],[Contracts Signed]]=0,0,SalesData[[#This Row],[Profit(€)]]/SalesData[[#This Row],[Contracts Signed]])</f>
        <v>17179</v>
      </c>
      <c r="AJ827" s="5" t="str">
        <f>TRIM(CLEAN(SalesData[[#This Row],[Retailer]]))</f>
        <v>Ruhr Auto Plaza</v>
      </c>
    </row>
    <row r="828" spans="1:36" ht="14.25" hidden="1" x14ac:dyDescent="0.2">
      <c r="A828" t="s">
        <v>1482</v>
      </c>
      <c r="B828" s="1">
        <v>46074</v>
      </c>
      <c r="C828" t="s">
        <v>62</v>
      </c>
      <c r="D828" t="s">
        <v>151</v>
      </c>
      <c r="E828" t="s">
        <v>42</v>
      </c>
      <c r="F828" t="s">
        <v>127</v>
      </c>
      <c r="G828" t="s">
        <v>128</v>
      </c>
      <c r="H828" t="s">
        <v>103</v>
      </c>
      <c r="I828" t="s">
        <v>116</v>
      </c>
      <c r="J828" t="s">
        <v>7090</v>
      </c>
      <c r="K828" t="s">
        <v>78</v>
      </c>
      <c r="L828" t="s">
        <v>46</v>
      </c>
      <c r="M828" t="s">
        <v>34</v>
      </c>
      <c r="N828" t="s">
        <v>48</v>
      </c>
      <c r="O828" t="s">
        <v>36</v>
      </c>
      <c r="P828" t="s">
        <v>71</v>
      </c>
      <c r="Q828" t="s">
        <v>347</v>
      </c>
      <c r="R828">
        <v>237</v>
      </c>
      <c r="S828">
        <v>112</v>
      </c>
      <c r="T828">
        <v>77</v>
      </c>
      <c r="U828">
        <v>20</v>
      </c>
      <c r="V828" t="s">
        <v>871</v>
      </c>
      <c r="W828">
        <v>22740</v>
      </c>
      <c r="X828" t="s">
        <v>7319</v>
      </c>
      <c r="Y828">
        <v>20845</v>
      </c>
      <c r="Z828">
        <v>454800</v>
      </c>
      <c r="AA828">
        <v>37900</v>
      </c>
      <c r="AB828" t="str">
        <f>(VLOOKUP(SalesData[[#This Row],[Month Number]],Reference!C$5:E$16,2,FALSE))</f>
        <v>Feb</v>
      </c>
      <c r="AC828">
        <f>MONTH(SalesData[[#This Row],[Date]])</f>
        <v>2</v>
      </c>
      <c r="AD828">
        <f>Reference!F$4</f>
        <v>2026</v>
      </c>
      <c r="AE828" t="str">
        <f>IF(OR(SalesData[[#This Row],[Day]]="Saturday",SalesData[[#This Row],[Day]]="Sunday"),"Weekend","Weekday")</f>
        <v>Weekend</v>
      </c>
      <c r="AF828" s="5">
        <f>IF(SalesData[[#This Row],[Contracts Offered]]=0,0,SalesData[[#This Row],[Contracts Signed]]/SalesData[[#This Row],[Contracts Offered]])</f>
        <v>0.25974025974025972</v>
      </c>
      <c r="AG828" s="5">
        <f>IF(SalesData[[#This Row],[Customers Visited]]=0,0,SalesData[[#This Row],[Test Drives]]/SalesData[[#This Row],[Customers Visited]])</f>
        <v>0.47257383966244726</v>
      </c>
      <c r="AH828" s="5">
        <f>IF(SalesData[[#This Row],[Customers Visited]]=0,0,SalesData[[#This Row],[Contracts Signed]]/SalesData[[#This Row],[Customers Visited]])</f>
        <v>8.4388185654008435E-2</v>
      </c>
      <c r="AI828" s="6">
        <f>IF(SalesData[[#This Row],[Contracts Signed]]=0,0,SalesData[[#This Row],[Profit(€)]]/SalesData[[#This Row],[Contracts Signed]])</f>
        <v>1895</v>
      </c>
      <c r="AJ828" s="5" t="str">
        <f>TRIM(CLEAN(SalesData[[#This Row],[Retailer]]))</f>
        <v>Rhein Auto Group</v>
      </c>
    </row>
    <row r="829" spans="1:36" ht="14.25" x14ac:dyDescent="0.2">
      <c r="A829" t="s">
        <v>1484</v>
      </c>
      <c r="B829" s="1">
        <v>46081</v>
      </c>
      <c r="C829" t="s">
        <v>53</v>
      </c>
      <c r="D829" t="s">
        <v>151</v>
      </c>
      <c r="E829" t="s">
        <v>42</v>
      </c>
      <c r="F829" t="s">
        <v>109</v>
      </c>
      <c r="G829" t="s">
        <v>110</v>
      </c>
      <c r="H829" t="s">
        <v>45</v>
      </c>
      <c r="I829" t="s">
        <v>30</v>
      </c>
      <c r="J829" t="s">
        <v>31</v>
      </c>
      <c r="K829" t="s">
        <v>78</v>
      </c>
      <c r="L829" t="s">
        <v>46</v>
      </c>
      <c r="M829" t="s">
        <v>87</v>
      </c>
      <c r="N829" t="s">
        <v>48</v>
      </c>
      <c r="O829" t="s">
        <v>36</v>
      </c>
      <c r="P829" t="s">
        <v>58</v>
      </c>
      <c r="Q829" t="s">
        <v>59</v>
      </c>
      <c r="R829">
        <v>244</v>
      </c>
      <c r="S829">
        <v>110</v>
      </c>
      <c r="T829">
        <v>86</v>
      </c>
      <c r="U829">
        <v>35</v>
      </c>
      <c r="V829" t="s">
        <v>7320</v>
      </c>
      <c r="W829">
        <v>51488</v>
      </c>
      <c r="X829" t="s">
        <v>7093</v>
      </c>
      <c r="Y829">
        <v>39688</v>
      </c>
      <c r="Z829">
        <v>1802080</v>
      </c>
      <c r="AA829">
        <v>413000</v>
      </c>
      <c r="AB829" t="str">
        <f>(VLOOKUP(SalesData[[#This Row],[Month Number]],Reference!C$5:E$16,2,FALSE))</f>
        <v>Feb</v>
      </c>
      <c r="AC829">
        <f>MONTH(SalesData[[#This Row],[Date]])</f>
        <v>2</v>
      </c>
      <c r="AD829">
        <f>Reference!F$4</f>
        <v>2026</v>
      </c>
      <c r="AE829" t="str">
        <f>IF(OR(SalesData[[#This Row],[Day]]="Saturday",SalesData[[#This Row],[Day]]="Sunday"),"Weekend","Weekday")</f>
        <v>Weekend</v>
      </c>
      <c r="AF829" s="5">
        <f>IF(SalesData[[#This Row],[Contracts Offered]]=0,0,SalesData[[#This Row],[Contracts Signed]]/SalesData[[#This Row],[Contracts Offered]])</f>
        <v>0.40697674418604651</v>
      </c>
      <c r="AG829" s="5">
        <f>IF(SalesData[[#This Row],[Customers Visited]]=0,0,SalesData[[#This Row],[Test Drives]]/SalesData[[#This Row],[Customers Visited]])</f>
        <v>0.45081967213114754</v>
      </c>
      <c r="AH829" s="5">
        <f>IF(SalesData[[#This Row],[Customers Visited]]=0,0,SalesData[[#This Row],[Contracts Signed]]/SalesData[[#This Row],[Customers Visited]])</f>
        <v>0.14344262295081966</v>
      </c>
      <c r="AI829" s="6">
        <f>IF(SalesData[[#This Row],[Contracts Signed]]=0,0,SalesData[[#This Row],[Profit(€)]]/SalesData[[#This Row],[Contracts Signed]])</f>
        <v>11800</v>
      </c>
      <c r="AJ829" s="5" t="str">
        <f>TRIM(CLEAN(SalesData[[#This Row],[Retailer]]))</f>
        <v>Leipzig Mobility</v>
      </c>
    </row>
    <row r="830" spans="1:36" ht="14.25" hidden="1" x14ac:dyDescent="0.2">
      <c r="A830" t="s">
        <v>1485</v>
      </c>
      <c r="B830" s="1">
        <v>46068</v>
      </c>
      <c r="C830" t="s">
        <v>62</v>
      </c>
      <c r="D830" t="s">
        <v>41</v>
      </c>
      <c r="E830" t="s">
        <v>42</v>
      </c>
      <c r="F830" t="s">
        <v>27</v>
      </c>
      <c r="G830" t="s">
        <v>28</v>
      </c>
      <c r="H830" t="s">
        <v>29</v>
      </c>
      <c r="I830" t="s">
        <v>116</v>
      </c>
      <c r="J830" t="s">
        <v>117</v>
      </c>
      <c r="K830" t="s">
        <v>78</v>
      </c>
      <c r="L830" t="s">
        <v>67</v>
      </c>
      <c r="M830" t="s">
        <v>87</v>
      </c>
      <c r="N830" t="s">
        <v>35</v>
      </c>
      <c r="O830" t="s">
        <v>36</v>
      </c>
      <c r="P830" t="s">
        <v>71</v>
      </c>
      <c r="Q830" t="s">
        <v>204</v>
      </c>
      <c r="R830">
        <v>231</v>
      </c>
      <c r="S830">
        <v>121</v>
      </c>
      <c r="T830">
        <v>68</v>
      </c>
      <c r="U830">
        <v>21</v>
      </c>
      <c r="V830" t="s">
        <v>2646</v>
      </c>
      <c r="W830">
        <v>19959</v>
      </c>
      <c r="X830" t="s">
        <v>4184</v>
      </c>
      <c r="Y830">
        <v>17846</v>
      </c>
      <c r="Z830">
        <v>419139</v>
      </c>
      <c r="AA830">
        <v>44373</v>
      </c>
      <c r="AB830" t="str">
        <f>(VLOOKUP(SalesData[[#This Row],[Month Number]],Reference!C$5:E$16,2,FALSE))</f>
        <v>Feb</v>
      </c>
      <c r="AC830">
        <f>MONTH(SalesData[[#This Row],[Date]])</f>
        <v>2</v>
      </c>
      <c r="AD830">
        <f>Reference!F$4</f>
        <v>2026</v>
      </c>
      <c r="AE830" t="str">
        <f>IF(OR(SalesData[[#This Row],[Day]]="Saturday",SalesData[[#This Row],[Day]]="Sunday"),"Weekend","Weekday")</f>
        <v>Weekend</v>
      </c>
      <c r="AF830" s="5">
        <f>IF(SalesData[[#This Row],[Contracts Offered]]=0,0,SalesData[[#This Row],[Contracts Signed]]/SalesData[[#This Row],[Contracts Offered]])</f>
        <v>0.30882352941176472</v>
      </c>
      <c r="AG830" s="5">
        <f>IF(SalesData[[#This Row],[Customers Visited]]=0,0,SalesData[[#This Row],[Test Drives]]/SalesData[[#This Row],[Customers Visited]])</f>
        <v>0.52380952380952384</v>
      </c>
      <c r="AH830" s="5">
        <f>IF(SalesData[[#This Row],[Customers Visited]]=0,0,SalesData[[#This Row],[Contracts Signed]]/SalesData[[#This Row],[Customers Visited]])</f>
        <v>9.0909090909090912E-2</v>
      </c>
      <c r="AI830" s="6">
        <f>IF(SalesData[[#This Row],[Contracts Signed]]=0,0,SalesData[[#This Row],[Profit(€)]]/SalesData[[#This Row],[Contracts Signed]])</f>
        <v>2113</v>
      </c>
      <c r="AJ830" s="5" t="str">
        <f>TRIM(CLEAN(SalesData[[#This Row],[Retailer]]))</f>
        <v>Main Auto Hub</v>
      </c>
    </row>
    <row r="831" spans="1:36" ht="14.25" hidden="1" x14ac:dyDescent="0.2">
      <c r="A831" t="s">
        <v>1486</v>
      </c>
      <c r="B831" s="1">
        <v>46076</v>
      </c>
      <c r="C831" t="s">
        <v>53</v>
      </c>
      <c r="D831" t="s">
        <v>25</v>
      </c>
      <c r="E831" t="s">
        <v>26</v>
      </c>
      <c r="F831" t="s">
        <v>101</v>
      </c>
      <c r="G831" t="s">
        <v>102</v>
      </c>
      <c r="H831" t="s">
        <v>103</v>
      </c>
      <c r="I831" t="s">
        <v>64</v>
      </c>
      <c r="J831" t="s">
        <v>111</v>
      </c>
      <c r="K831" t="s">
        <v>78</v>
      </c>
      <c r="L831" t="s">
        <v>46</v>
      </c>
      <c r="M831" t="s">
        <v>68</v>
      </c>
      <c r="N831" t="s">
        <v>35</v>
      </c>
      <c r="O831" t="s">
        <v>70</v>
      </c>
      <c r="P831" t="s">
        <v>49</v>
      </c>
      <c r="Q831" t="s">
        <v>122</v>
      </c>
      <c r="R831">
        <v>213</v>
      </c>
      <c r="S831">
        <v>111</v>
      </c>
      <c r="T831">
        <v>85</v>
      </c>
      <c r="U831">
        <v>22</v>
      </c>
      <c r="V831" t="s">
        <v>6449</v>
      </c>
      <c r="W831">
        <v>61575</v>
      </c>
      <c r="X831" t="s">
        <v>7321</v>
      </c>
      <c r="Y831">
        <v>44880</v>
      </c>
      <c r="Z831">
        <v>1354650</v>
      </c>
      <c r="AA831">
        <v>367290</v>
      </c>
      <c r="AB831" t="str">
        <f>(VLOOKUP(SalesData[[#This Row],[Month Number]],Reference!C$5:E$16,2,FALSE))</f>
        <v>Feb</v>
      </c>
      <c r="AC831">
        <f>MONTH(SalesData[[#This Row],[Date]])</f>
        <v>2</v>
      </c>
      <c r="AD831">
        <f>Reference!F$4</f>
        <v>2026</v>
      </c>
      <c r="AE831" t="str">
        <f>IF(OR(SalesData[[#This Row],[Day]]="Saturday",SalesData[[#This Row],[Day]]="Sunday"),"Weekend","Weekday")</f>
        <v>Weekday</v>
      </c>
      <c r="AF831" s="5">
        <f>IF(SalesData[[#This Row],[Contracts Offered]]=0,0,SalesData[[#This Row],[Contracts Signed]]/SalesData[[#This Row],[Contracts Offered]])</f>
        <v>0.25882352941176473</v>
      </c>
      <c r="AG831" s="5">
        <f>IF(SalesData[[#This Row],[Customers Visited]]=0,0,SalesData[[#This Row],[Test Drives]]/SalesData[[#This Row],[Customers Visited]])</f>
        <v>0.52112676056338025</v>
      </c>
      <c r="AH831" s="5">
        <f>IF(SalesData[[#This Row],[Customers Visited]]=0,0,SalesData[[#This Row],[Contracts Signed]]/SalesData[[#This Row],[Customers Visited]])</f>
        <v>0.10328638497652583</v>
      </c>
      <c r="AI831" s="6">
        <f>IF(SalesData[[#This Row],[Contracts Signed]]=0,0,SalesData[[#This Row],[Profit(€)]]/SalesData[[#This Row],[Contracts Signed]])</f>
        <v>16695</v>
      </c>
      <c r="AJ831" s="5" t="str">
        <f>TRIM(CLEAN(SalesData[[#This Row],[Retailer]]))</f>
        <v>Ruhr Auto Plaza</v>
      </c>
    </row>
    <row r="832" spans="1:36" ht="14.25" hidden="1" x14ac:dyDescent="0.2">
      <c r="A832" t="s">
        <v>1488</v>
      </c>
      <c r="B832" s="1">
        <v>46054</v>
      </c>
      <c r="C832" t="s">
        <v>24</v>
      </c>
      <c r="D832" t="s">
        <v>41</v>
      </c>
      <c r="E832" t="s">
        <v>42</v>
      </c>
      <c r="F832" t="s">
        <v>94</v>
      </c>
      <c r="G832" t="s">
        <v>95</v>
      </c>
      <c r="H832" t="s">
        <v>96</v>
      </c>
      <c r="I832" t="s">
        <v>104</v>
      </c>
      <c r="J832" t="s">
        <v>105</v>
      </c>
      <c r="K832" t="s">
        <v>78</v>
      </c>
      <c r="L832" t="s">
        <v>33</v>
      </c>
      <c r="M832" t="s">
        <v>87</v>
      </c>
      <c r="N832" t="s">
        <v>35</v>
      </c>
      <c r="O832" t="s">
        <v>36</v>
      </c>
      <c r="P832" t="s">
        <v>58</v>
      </c>
      <c r="Q832" t="s">
        <v>106</v>
      </c>
      <c r="R832">
        <v>471</v>
      </c>
      <c r="S832">
        <v>232</v>
      </c>
      <c r="T832">
        <v>150</v>
      </c>
      <c r="U832">
        <v>50</v>
      </c>
      <c r="V832" t="s">
        <v>6992</v>
      </c>
      <c r="W832">
        <v>31259</v>
      </c>
      <c r="X832" t="s">
        <v>277</v>
      </c>
      <c r="Y832">
        <v>26962</v>
      </c>
      <c r="Z832">
        <v>1562950</v>
      </c>
      <c r="AA832">
        <v>214850</v>
      </c>
      <c r="AB832" t="str">
        <f>(VLOOKUP(SalesData[[#This Row],[Month Number]],Reference!C$5:E$16,2,FALSE))</f>
        <v>Feb</v>
      </c>
      <c r="AC832">
        <f>MONTH(SalesData[[#This Row],[Date]])</f>
        <v>2</v>
      </c>
      <c r="AD832">
        <f>Reference!F$4</f>
        <v>2026</v>
      </c>
      <c r="AE832" t="str">
        <f>IF(OR(SalesData[[#This Row],[Day]]="Saturday",SalesData[[#This Row],[Day]]="Sunday"),"Weekend","Weekday")</f>
        <v>Weekend</v>
      </c>
      <c r="AF832" s="5">
        <f>IF(SalesData[[#This Row],[Contracts Offered]]=0,0,SalesData[[#This Row],[Contracts Signed]]/SalesData[[#This Row],[Contracts Offered]])</f>
        <v>0.33333333333333331</v>
      </c>
      <c r="AG832" s="5">
        <f>IF(SalesData[[#This Row],[Customers Visited]]=0,0,SalesData[[#This Row],[Test Drives]]/SalesData[[#This Row],[Customers Visited]])</f>
        <v>0.49256900212314225</v>
      </c>
      <c r="AH832" s="5">
        <f>IF(SalesData[[#This Row],[Customers Visited]]=0,0,SalesData[[#This Row],[Contracts Signed]]/SalesData[[#This Row],[Customers Visited]])</f>
        <v>0.10615711252653928</v>
      </c>
      <c r="AI832" s="6">
        <f>IF(SalesData[[#This Row],[Contracts Signed]]=0,0,SalesData[[#This Row],[Profit(€)]]/SalesData[[#This Row],[Contracts Signed]])</f>
        <v>4297</v>
      </c>
      <c r="AJ832" s="5" t="str">
        <f>TRIM(CLEAN(SalesData[[#This Row],[Retailer]]))</f>
        <v>Bavaria Motors</v>
      </c>
    </row>
    <row r="833" spans="1:36" ht="14.25" hidden="1" x14ac:dyDescent="0.2">
      <c r="A833" t="s">
        <v>1490</v>
      </c>
      <c r="B833" s="1">
        <v>46076</v>
      </c>
      <c r="C833" t="s">
        <v>53</v>
      </c>
      <c r="D833" t="s">
        <v>25</v>
      </c>
      <c r="E833" t="s">
        <v>26</v>
      </c>
      <c r="F833" t="s">
        <v>27</v>
      </c>
      <c r="G833" t="s">
        <v>28</v>
      </c>
      <c r="H833" t="s">
        <v>29</v>
      </c>
      <c r="I833" t="s">
        <v>104</v>
      </c>
      <c r="J833" t="s">
        <v>143</v>
      </c>
      <c r="K833" t="s">
        <v>78</v>
      </c>
      <c r="L833" t="s">
        <v>67</v>
      </c>
      <c r="M833" t="s">
        <v>87</v>
      </c>
      <c r="N833" t="s">
        <v>35</v>
      </c>
      <c r="O833" t="s">
        <v>70</v>
      </c>
      <c r="P833" t="s">
        <v>71</v>
      </c>
      <c r="Q833" t="s">
        <v>167</v>
      </c>
      <c r="R833">
        <v>293</v>
      </c>
      <c r="S833">
        <v>135</v>
      </c>
      <c r="T833">
        <v>90</v>
      </c>
      <c r="U833">
        <v>20</v>
      </c>
      <c r="V833" t="s">
        <v>288</v>
      </c>
      <c r="W833">
        <v>27406</v>
      </c>
      <c r="X833" t="s">
        <v>7322</v>
      </c>
      <c r="Y833">
        <v>24853</v>
      </c>
      <c r="Z833">
        <v>548120</v>
      </c>
      <c r="AA833">
        <v>51060</v>
      </c>
      <c r="AB833" t="str">
        <f>(VLOOKUP(SalesData[[#This Row],[Month Number]],Reference!C$5:E$16,2,FALSE))</f>
        <v>Feb</v>
      </c>
      <c r="AC833">
        <f>MONTH(SalesData[[#This Row],[Date]])</f>
        <v>2</v>
      </c>
      <c r="AD833">
        <f>Reference!F$4</f>
        <v>2026</v>
      </c>
      <c r="AE833" t="str">
        <f>IF(OR(SalesData[[#This Row],[Day]]="Saturday",SalesData[[#This Row],[Day]]="Sunday"),"Weekend","Weekday")</f>
        <v>Weekday</v>
      </c>
      <c r="AF833" s="5">
        <f>IF(SalesData[[#This Row],[Contracts Offered]]=0,0,SalesData[[#This Row],[Contracts Signed]]/SalesData[[#This Row],[Contracts Offered]])</f>
        <v>0.22222222222222221</v>
      </c>
      <c r="AG833" s="5">
        <f>IF(SalesData[[#This Row],[Customers Visited]]=0,0,SalesData[[#This Row],[Test Drives]]/SalesData[[#This Row],[Customers Visited]])</f>
        <v>0.46075085324232085</v>
      </c>
      <c r="AH833" s="5">
        <f>IF(SalesData[[#This Row],[Customers Visited]]=0,0,SalesData[[#This Row],[Contracts Signed]]/SalesData[[#This Row],[Customers Visited]])</f>
        <v>6.8259385665529013E-2</v>
      </c>
      <c r="AI833" s="6">
        <f>IF(SalesData[[#This Row],[Contracts Signed]]=0,0,SalesData[[#This Row],[Profit(€)]]/SalesData[[#This Row],[Contracts Signed]])</f>
        <v>2553</v>
      </c>
      <c r="AJ833" s="5" t="str">
        <f>TRIM(CLEAN(SalesData[[#This Row],[Retailer]]))</f>
        <v>Main Auto Hub</v>
      </c>
    </row>
    <row r="834" spans="1:36" ht="14.25" hidden="1" x14ac:dyDescent="0.2">
      <c r="A834" t="s">
        <v>1491</v>
      </c>
      <c r="B834" s="1">
        <v>46064</v>
      </c>
      <c r="C834" t="s">
        <v>121</v>
      </c>
      <c r="D834" t="s">
        <v>82</v>
      </c>
      <c r="E834" t="s">
        <v>26</v>
      </c>
      <c r="F834" t="s">
        <v>109</v>
      </c>
      <c r="G834" t="s">
        <v>110</v>
      </c>
      <c r="H834" t="s">
        <v>45</v>
      </c>
      <c r="I834" t="s">
        <v>56</v>
      </c>
      <c r="J834" t="s">
        <v>7028</v>
      </c>
      <c r="K834" t="s">
        <v>66</v>
      </c>
      <c r="L834" t="s">
        <v>46</v>
      </c>
      <c r="M834" t="s">
        <v>47</v>
      </c>
      <c r="N834" t="s">
        <v>48</v>
      </c>
      <c r="O834" t="s">
        <v>70</v>
      </c>
      <c r="P834" t="s">
        <v>49</v>
      </c>
      <c r="Q834" t="s">
        <v>88</v>
      </c>
      <c r="R834">
        <v>258</v>
      </c>
      <c r="S834">
        <v>158</v>
      </c>
      <c r="T834">
        <v>109</v>
      </c>
      <c r="U834">
        <v>33</v>
      </c>
      <c r="V834" t="s">
        <v>7268</v>
      </c>
      <c r="W834">
        <v>40947</v>
      </c>
      <c r="X834" t="s">
        <v>1286</v>
      </c>
      <c r="Y834">
        <v>32588</v>
      </c>
      <c r="Z834">
        <v>1351251</v>
      </c>
      <c r="AA834">
        <v>275847</v>
      </c>
      <c r="AB834" t="str">
        <f>(VLOOKUP(SalesData[[#This Row],[Month Number]],Reference!C$5:E$16,2,FALSE))</f>
        <v>Feb</v>
      </c>
      <c r="AC834">
        <f>MONTH(SalesData[[#This Row],[Date]])</f>
        <v>2</v>
      </c>
      <c r="AD834">
        <f>Reference!F$4</f>
        <v>2026</v>
      </c>
      <c r="AE834" t="str">
        <f>IF(OR(SalesData[[#This Row],[Day]]="Saturday",SalesData[[#This Row],[Day]]="Sunday"),"Weekend","Weekday")</f>
        <v>Weekday</v>
      </c>
      <c r="AF834" s="5">
        <f>IF(SalesData[[#This Row],[Contracts Offered]]=0,0,SalesData[[#This Row],[Contracts Signed]]/SalesData[[#This Row],[Contracts Offered]])</f>
        <v>0.30275229357798167</v>
      </c>
      <c r="AG834" s="5">
        <f>IF(SalesData[[#This Row],[Customers Visited]]=0,0,SalesData[[#This Row],[Test Drives]]/SalesData[[#This Row],[Customers Visited]])</f>
        <v>0.61240310077519378</v>
      </c>
      <c r="AH834" s="5">
        <f>IF(SalesData[[#This Row],[Customers Visited]]=0,0,SalesData[[#This Row],[Contracts Signed]]/SalesData[[#This Row],[Customers Visited]])</f>
        <v>0.12790697674418605</v>
      </c>
      <c r="AI834" s="6">
        <f>IF(SalesData[[#This Row],[Contracts Signed]]=0,0,SalesData[[#This Row],[Profit(€)]]/SalesData[[#This Row],[Contracts Signed]])</f>
        <v>8359</v>
      </c>
      <c r="AJ834" s="5" t="str">
        <f>TRIM(CLEAN(SalesData[[#This Row],[Retailer]]))</f>
        <v>Leipzig Mobility</v>
      </c>
    </row>
    <row r="835" spans="1:36" ht="14.25" hidden="1" x14ac:dyDescent="0.2">
      <c r="A835" t="s">
        <v>1492</v>
      </c>
      <c r="B835" s="1">
        <v>46077</v>
      </c>
      <c r="C835" t="s">
        <v>53</v>
      </c>
      <c r="D835" t="s">
        <v>63</v>
      </c>
      <c r="E835" t="s">
        <v>26</v>
      </c>
      <c r="F835" t="s">
        <v>94</v>
      </c>
      <c r="G835" t="s">
        <v>95</v>
      </c>
      <c r="H835" t="s">
        <v>96</v>
      </c>
      <c r="I835" t="s">
        <v>116</v>
      </c>
      <c r="J835" t="s">
        <v>203</v>
      </c>
      <c r="K835" t="s">
        <v>78</v>
      </c>
      <c r="L835" t="s">
        <v>67</v>
      </c>
      <c r="M835" t="s">
        <v>47</v>
      </c>
      <c r="N835" t="s">
        <v>48</v>
      </c>
      <c r="O835" t="s">
        <v>70</v>
      </c>
      <c r="P835" t="s">
        <v>58</v>
      </c>
      <c r="Q835" t="s">
        <v>169</v>
      </c>
      <c r="R835">
        <v>393</v>
      </c>
      <c r="S835">
        <v>169</v>
      </c>
      <c r="T835">
        <v>100</v>
      </c>
      <c r="U835">
        <v>31</v>
      </c>
      <c r="V835" t="s">
        <v>7323</v>
      </c>
      <c r="W835">
        <v>24172</v>
      </c>
      <c r="X835" t="s">
        <v>2172</v>
      </c>
      <c r="Y835">
        <v>22142</v>
      </c>
      <c r="Z835">
        <v>749332</v>
      </c>
      <c r="AA835">
        <v>62930</v>
      </c>
      <c r="AB835" t="str">
        <f>(VLOOKUP(SalesData[[#This Row],[Month Number]],Reference!C$5:E$16,2,FALSE))</f>
        <v>Feb</v>
      </c>
      <c r="AC835">
        <f>MONTH(SalesData[[#This Row],[Date]])</f>
        <v>2</v>
      </c>
      <c r="AD835">
        <f>Reference!F$4</f>
        <v>2026</v>
      </c>
      <c r="AE835" t="str">
        <f>IF(OR(SalesData[[#This Row],[Day]]="Saturday",SalesData[[#This Row],[Day]]="Sunday"),"Weekend","Weekday")</f>
        <v>Weekday</v>
      </c>
      <c r="AF835" s="5">
        <f>IF(SalesData[[#This Row],[Contracts Offered]]=0,0,SalesData[[#This Row],[Contracts Signed]]/SalesData[[#This Row],[Contracts Offered]])</f>
        <v>0.31</v>
      </c>
      <c r="AG835" s="5">
        <f>IF(SalesData[[#This Row],[Customers Visited]]=0,0,SalesData[[#This Row],[Test Drives]]/SalesData[[#This Row],[Customers Visited]])</f>
        <v>0.43002544529262088</v>
      </c>
      <c r="AH835" s="5">
        <f>IF(SalesData[[#This Row],[Customers Visited]]=0,0,SalesData[[#This Row],[Contracts Signed]]/SalesData[[#This Row],[Customers Visited]])</f>
        <v>7.8880407124681931E-2</v>
      </c>
      <c r="AI835" s="6">
        <f>IF(SalesData[[#This Row],[Contracts Signed]]=0,0,SalesData[[#This Row],[Profit(€)]]/SalesData[[#This Row],[Contracts Signed]])</f>
        <v>2030</v>
      </c>
      <c r="AJ835" s="5" t="str">
        <f>TRIM(CLEAN(SalesData[[#This Row],[Retailer]]))</f>
        <v>Bavaria Motors</v>
      </c>
    </row>
    <row r="836" spans="1:36" ht="14.25" hidden="1" x14ac:dyDescent="0.2">
      <c r="A836" t="s">
        <v>1494</v>
      </c>
      <c r="B836" s="1">
        <v>46070</v>
      </c>
      <c r="C836" t="s">
        <v>62</v>
      </c>
      <c r="D836" t="s">
        <v>63</v>
      </c>
      <c r="E836" t="s">
        <v>26</v>
      </c>
      <c r="F836" t="s">
        <v>27</v>
      </c>
      <c r="G836" t="s">
        <v>28</v>
      </c>
      <c r="H836" t="s">
        <v>29</v>
      </c>
      <c r="I836" t="s">
        <v>56</v>
      </c>
      <c r="J836" t="s">
        <v>7028</v>
      </c>
      <c r="K836" t="s">
        <v>78</v>
      </c>
      <c r="L836" t="s">
        <v>46</v>
      </c>
      <c r="M836" t="s">
        <v>87</v>
      </c>
      <c r="N836" t="s">
        <v>69</v>
      </c>
      <c r="O836" t="s">
        <v>70</v>
      </c>
      <c r="P836" t="s">
        <v>37</v>
      </c>
      <c r="Q836" t="s">
        <v>122</v>
      </c>
      <c r="R836">
        <v>229</v>
      </c>
      <c r="S836">
        <v>122</v>
      </c>
      <c r="T836">
        <v>93</v>
      </c>
      <c r="U836">
        <v>27</v>
      </c>
      <c r="V836" t="s">
        <v>6631</v>
      </c>
      <c r="W836">
        <v>51377</v>
      </c>
      <c r="X836" t="s">
        <v>2313</v>
      </c>
      <c r="Y836">
        <v>40251</v>
      </c>
      <c r="Z836">
        <v>1387179</v>
      </c>
      <c r="AA836">
        <v>300402</v>
      </c>
      <c r="AB836" t="str">
        <f>(VLOOKUP(SalesData[[#This Row],[Month Number]],Reference!C$5:E$16,2,FALSE))</f>
        <v>Feb</v>
      </c>
      <c r="AC836">
        <f>MONTH(SalesData[[#This Row],[Date]])</f>
        <v>2</v>
      </c>
      <c r="AD836">
        <f>Reference!F$4</f>
        <v>2026</v>
      </c>
      <c r="AE836" t="str">
        <f>IF(OR(SalesData[[#This Row],[Day]]="Saturday",SalesData[[#This Row],[Day]]="Sunday"),"Weekend","Weekday")</f>
        <v>Weekday</v>
      </c>
      <c r="AF836" s="5">
        <f>IF(SalesData[[#This Row],[Contracts Offered]]=0,0,SalesData[[#This Row],[Contracts Signed]]/SalesData[[#This Row],[Contracts Offered]])</f>
        <v>0.29032258064516131</v>
      </c>
      <c r="AG836" s="5">
        <f>IF(SalesData[[#This Row],[Customers Visited]]=0,0,SalesData[[#This Row],[Test Drives]]/SalesData[[#This Row],[Customers Visited]])</f>
        <v>0.53275109170305679</v>
      </c>
      <c r="AH836" s="5">
        <f>IF(SalesData[[#This Row],[Customers Visited]]=0,0,SalesData[[#This Row],[Contracts Signed]]/SalesData[[#This Row],[Customers Visited]])</f>
        <v>0.11790393013100436</v>
      </c>
      <c r="AI836" s="6">
        <f>IF(SalesData[[#This Row],[Contracts Signed]]=0,0,SalesData[[#This Row],[Profit(€)]]/SalesData[[#This Row],[Contracts Signed]])</f>
        <v>11126</v>
      </c>
      <c r="AJ836" s="5" t="str">
        <f>TRIM(CLEAN(SalesData[[#This Row],[Retailer]]))</f>
        <v>Main Auto Hub</v>
      </c>
    </row>
    <row r="837" spans="1:36" ht="14.25" hidden="1" x14ac:dyDescent="0.2">
      <c r="A837" t="s">
        <v>1496</v>
      </c>
      <c r="B837" s="1">
        <v>46076</v>
      </c>
      <c r="C837" t="s">
        <v>53</v>
      </c>
      <c r="D837" t="s">
        <v>25</v>
      </c>
      <c r="E837" t="s">
        <v>26</v>
      </c>
      <c r="F837" t="s">
        <v>83</v>
      </c>
      <c r="G837" t="s">
        <v>84</v>
      </c>
      <c r="H837" t="s">
        <v>85</v>
      </c>
      <c r="I837" t="s">
        <v>104</v>
      </c>
      <c r="J837" t="s">
        <v>7061</v>
      </c>
      <c r="K837" t="s">
        <v>78</v>
      </c>
      <c r="L837" t="s">
        <v>46</v>
      </c>
      <c r="M837" t="s">
        <v>68</v>
      </c>
      <c r="N837" t="s">
        <v>69</v>
      </c>
      <c r="O837" t="s">
        <v>70</v>
      </c>
      <c r="P837" t="s">
        <v>49</v>
      </c>
      <c r="Q837" t="s">
        <v>152</v>
      </c>
      <c r="R837">
        <v>353</v>
      </c>
      <c r="S837">
        <v>149</v>
      </c>
      <c r="T837">
        <v>95</v>
      </c>
      <c r="U837">
        <v>19</v>
      </c>
      <c r="V837" t="s">
        <v>141</v>
      </c>
      <c r="W837">
        <v>26914</v>
      </c>
      <c r="X837" t="s">
        <v>529</v>
      </c>
      <c r="Y837">
        <v>23729</v>
      </c>
      <c r="Z837">
        <v>511366</v>
      </c>
      <c r="AA837">
        <v>60515</v>
      </c>
      <c r="AB837" t="str">
        <f>(VLOOKUP(SalesData[[#This Row],[Month Number]],Reference!C$5:E$16,2,FALSE))</f>
        <v>Feb</v>
      </c>
      <c r="AC837">
        <f>MONTH(SalesData[[#This Row],[Date]])</f>
        <v>2</v>
      </c>
      <c r="AD837">
        <f>Reference!F$4</f>
        <v>2026</v>
      </c>
      <c r="AE837" t="str">
        <f>IF(OR(SalesData[[#This Row],[Day]]="Saturday",SalesData[[#This Row],[Day]]="Sunday"),"Weekend","Weekday")</f>
        <v>Weekday</v>
      </c>
      <c r="AF837" s="5">
        <f>IF(SalesData[[#This Row],[Contracts Offered]]=0,0,SalesData[[#This Row],[Contracts Signed]]/SalesData[[#This Row],[Contracts Offered]])</f>
        <v>0.2</v>
      </c>
      <c r="AG837" s="5">
        <f>IF(SalesData[[#This Row],[Customers Visited]]=0,0,SalesData[[#This Row],[Test Drives]]/SalesData[[#This Row],[Customers Visited]])</f>
        <v>0.42209631728045327</v>
      </c>
      <c r="AH837" s="5">
        <f>IF(SalesData[[#This Row],[Customers Visited]]=0,0,SalesData[[#This Row],[Contracts Signed]]/SalesData[[#This Row],[Customers Visited]])</f>
        <v>5.3824362606232294E-2</v>
      </c>
      <c r="AI837" s="6">
        <f>IF(SalesData[[#This Row],[Contracts Signed]]=0,0,SalesData[[#This Row],[Profit(€)]]/SalesData[[#This Row],[Contracts Signed]])</f>
        <v>3185</v>
      </c>
      <c r="AJ837" s="5" t="str">
        <f>TRIM(CLEAN(SalesData[[#This Row],[Retailer]]))</f>
        <v>Hannover Cars</v>
      </c>
    </row>
    <row r="838" spans="1:36" ht="14.25" hidden="1" x14ac:dyDescent="0.2">
      <c r="A838" t="s">
        <v>1497</v>
      </c>
      <c r="B838" s="1">
        <v>46054</v>
      </c>
      <c r="C838" t="s">
        <v>24</v>
      </c>
      <c r="D838" t="s">
        <v>41</v>
      </c>
      <c r="E838" t="s">
        <v>42</v>
      </c>
      <c r="F838" t="s">
        <v>109</v>
      </c>
      <c r="G838" t="s">
        <v>110</v>
      </c>
      <c r="H838" t="s">
        <v>45</v>
      </c>
      <c r="I838" t="s">
        <v>64</v>
      </c>
      <c r="J838" t="s">
        <v>65</v>
      </c>
      <c r="K838" t="s">
        <v>32</v>
      </c>
      <c r="L838" t="s">
        <v>33</v>
      </c>
      <c r="M838" t="s">
        <v>87</v>
      </c>
      <c r="N838" t="s">
        <v>35</v>
      </c>
      <c r="O838" t="s">
        <v>36</v>
      </c>
      <c r="P838" t="s">
        <v>71</v>
      </c>
      <c r="Q838" t="s">
        <v>144</v>
      </c>
      <c r="R838">
        <v>154</v>
      </c>
      <c r="S838">
        <v>77</v>
      </c>
      <c r="T838">
        <v>56</v>
      </c>
      <c r="U838">
        <v>18</v>
      </c>
      <c r="V838" t="s">
        <v>6700</v>
      </c>
      <c r="W838">
        <v>51322</v>
      </c>
      <c r="X838" t="s">
        <v>7108</v>
      </c>
      <c r="Y838">
        <v>39162</v>
      </c>
      <c r="Z838">
        <v>923796</v>
      </c>
      <c r="AA838">
        <v>218880</v>
      </c>
      <c r="AB838" t="str">
        <f>(VLOOKUP(SalesData[[#This Row],[Month Number]],Reference!C$5:E$16,2,FALSE))</f>
        <v>Feb</v>
      </c>
      <c r="AC838">
        <f>MONTH(SalesData[[#This Row],[Date]])</f>
        <v>2</v>
      </c>
      <c r="AD838">
        <f>Reference!F$4</f>
        <v>2026</v>
      </c>
      <c r="AE838" t="str">
        <f>IF(OR(SalesData[[#This Row],[Day]]="Saturday",SalesData[[#This Row],[Day]]="Sunday"),"Weekend","Weekday")</f>
        <v>Weekend</v>
      </c>
      <c r="AF838" s="5">
        <f>IF(SalesData[[#This Row],[Contracts Offered]]=0,0,SalesData[[#This Row],[Contracts Signed]]/SalesData[[#This Row],[Contracts Offered]])</f>
        <v>0.32142857142857145</v>
      </c>
      <c r="AG838" s="5">
        <f>IF(SalesData[[#This Row],[Customers Visited]]=0,0,SalesData[[#This Row],[Test Drives]]/SalesData[[#This Row],[Customers Visited]])</f>
        <v>0.5</v>
      </c>
      <c r="AH838" s="5">
        <f>IF(SalesData[[#This Row],[Customers Visited]]=0,0,SalesData[[#This Row],[Contracts Signed]]/SalesData[[#This Row],[Customers Visited]])</f>
        <v>0.11688311688311688</v>
      </c>
      <c r="AI838" s="6">
        <f>IF(SalesData[[#This Row],[Contracts Signed]]=0,0,SalesData[[#This Row],[Profit(€)]]/SalesData[[#This Row],[Contracts Signed]])</f>
        <v>12160</v>
      </c>
      <c r="AJ838" s="5" t="str">
        <f>TRIM(CLEAN(SalesData[[#This Row],[Retailer]]))</f>
        <v>Leipzig Mobility</v>
      </c>
    </row>
    <row r="839" spans="1:36" ht="14.25" x14ac:dyDescent="0.2">
      <c r="A839" t="s">
        <v>1498</v>
      </c>
      <c r="B839" s="1">
        <v>46061</v>
      </c>
      <c r="C839" t="s">
        <v>121</v>
      </c>
      <c r="D839" t="s">
        <v>41</v>
      </c>
      <c r="E839" t="s">
        <v>42</v>
      </c>
      <c r="F839" t="s">
        <v>43</v>
      </c>
      <c r="G839" t="s">
        <v>44</v>
      </c>
      <c r="H839" t="s">
        <v>45</v>
      </c>
      <c r="I839" t="s">
        <v>30</v>
      </c>
      <c r="J839" t="s">
        <v>166</v>
      </c>
      <c r="K839" t="s">
        <v>78</v>
      </c>
      <c r="L839" t="s">
        <v>46</v>
      </c>
      <c r="M839" t="s">
        <v>68</v>
      </c>
      <c r="N839" t="s">
        <v>48</v>
      </c>
      <c r="O839" t="s">
        <v>36</v>
      </c>
      <c r="P839" t="s">
        <v>58</v>
      </c>
      <c r="Q839" t="s">
        <v>152</v>
      </c>
      <c r="R839">
        <v>271</v>
      </c>
      <c r="S839">
        <v>135</v>
      </c>
      <c r="T839">
        <v>93</v>
      </c>
      <c r="U839">
        <v>42</v>
      </c>
      <c r="V839" t="s">
        <v>7105</v>
      </c>
      <c r="W839">
        <v>57106</v>
      </c>
      <c r="X839" t="s">
        <v>7324</v>
      </c>
      <c r="Y839">
        <v>42126</v>
      </c>
      <c r="Z839">
        <v>2398452</v>
      </c>
      <c r="AA839">
        <v>629160</v>
      </c>
      <c r="AB839" t="str">
        <f>(VLOOKUP(SalesData[[#This Row],[Month Number]],Reference!C$5:E$16,2,FALSE))</f>
        <v>Feb</v>
      </c>
      <c r="AC839">
        <f>MONTH(SalesData[[#This Row],[Date]])</f>
        <v>2</v>
      </c>
      <c r="AD839">
        <f>Reference!F$4</f>
        <v>2026</v>
      </c>
      <c r="AE839" t="str">
        <f>IF(OR(SalesData[[#This Row],[Day]]="Saturday",SalesData[[#This Row],[Day]]="Sunday"),"Weekend","Weekday")</f>
        <v>Weekend</v>
      </c>
      <c r="AF839" s="5">
        <f>IF(SalesData[[#This Row],[Contracts Offered]]=0,0,SalesData[[#This Row],[Contracts Signed]]/SalesData[[#This Row],[Contracts Offered]])</f>
        <v>0.45161290322580644</v>
      </c>
      <c r="AG839" s="5">
        <f>IF(SalesData[[#This Row],[Customers Visited]]=0,0,SalesData[[#This Row],[Test Drives]]/SalesData[[#This Row],[Customers Visited]])</f>
        <v>0.49815498154981552</v>
      </c>
      <c r="AH839" s="5">
        <f>IF(SalesData[[#This Row],[Customers Visited]]=0,0,SalesData[[#This Row],[Contracts Signed]]/SalesData[[#This Row],[Customers Visited]])</f>
        <v>0.15498154981549817</v>
      </c>
      <c r="AI839" s="6">
        <f>IF(SalesData[[#This Row],[Contracts Signed]]=0,0,SalesData[[#This Row],[Profit(€)]]/SalesData[[#This Row],[Contracts Signed]])</f>
        <v>14980</v>
      </c>
      <c r="AJ839" s="5" t="str">
        <f>TRIM(CLEAN(SalesData[[#This Row],[Retailer]]))</f>
        <v>Saxon Wheels</v>
      </c>
    </row>
    <row r="840" spans="1:36" ht="14.25" hidden="1" x14ac:dyDescent="0.2">
      <c r="A840" t="s">
        <v>1499</v>
      </c>
      <c r="B840" s="1">
        <v>46071</v>
      </c>
      <c r="C840" t="s">
        <v>62</v>
      </c>
      <c r="D840" t="s">
        <v>82</v>
      </c>
      <c r="E840" t="s">
        <v>26</v>
      </c>
      <c r="F840" t="s">
        <v>127</v>
      </c>
      <c r="G840" t="s">
        <v>128</v>
      </c>
      <c r="H840" t="s">
        <v>103</v>
      </c>
      <c r="I840" t="s">
        <v>56</v>
      </c>
      <c r="J840" t="s">
        <v>97</v>
      </c>
      <c r="K840" t="s">
        <v>91</v>
      </c>
      <c r="L840" t="s">
        <v>33</v>
      </c>
      <c r="M840" t="s">
        <v>68</v>
      </c>
      <c r="N840" t="s">
        <v>48</v>
      </c>
      <c r="O840" t="s">
        <v>36</v>
      </c>
      <c r="P840" t="s">
        <v>37</v>
      </c>
      <c r="Q840" t="s">
        <v>189</v>
      </c>
      <c r="R840">
        <v>218</v>
      </c>
      <c r="S840">
        <v>112</v>
      </c>
      <c r="T840">
        <v>73</v>
      </c>
      <c r="U840">
        <v>24</v>
      </c>
      <c r="V840" t="s">
        <v>6452</v>
      </c>
      <c r="W840">
        <v>46074</v>
      </c>
      <c r="X840" t="s">
        <v>7325</v>
      </c>
      <c r="Y840">
        <v>35948</v>
      </c>
      <c r="Z840">
        <v>1105776</v>
      </c>
      <c r="AA840">
        <v>243024</v>
      </c>
      <c r="AB840" t="str">
        <f>(VLOOKUP(SalesData[[#This Row],[Month Number]],Reference!C$5:E$16,2,FALSE))</f>
        <v>Feb</v>
      </c>
      <c r="AC840">
        <f>MONTH(SalesData[[#This Row],[Date]])</f>
        <v>2</v>
      </c>
      <c r="AD840">
        <f>Reference!F$4</f>
        <v>2026</v>
      </c>
      <c r="AE840" t="str">
        <f>IF(OR(SalesData[[#This Row],[Day]]="Saturday",SalesData[[#This Row],[Day]]="Sunday"),"Weekend","Weekday")</f>
        <v>Weekday</v>
      </c>
      <c r="AF840" s="5">
        <f>IF(SalesData[[#This Row],[Contracts Offered]]=0,0,SalesData[[#This Row],[Contracts Signed]]/SalesData[[#This Row],[Contracts Offered]])</f>
        <v>0.32876712328767121</v>
      </c>
      <c r="AG840" s="5">
        <f>IF(SalesData[[#This Row],[Customers Visited]]=0,0,SalesData[[#This Row],[Test Drives]]/SalesData[[#This Row],[Customers Visited]])</f>
        <v>0.51376146788990829</v>
      </c>
      <c r="AH840" s="5">
        <f>IF(SalesData[[#This Row],[Customers Visited]]=0,0,SalesData[[#This Row],[Contracts Signed]]/SalesData[[#This Row],[Customers Visited]])</f>
        <v>0.11009174311926606</v>
      </c>
      <c r="AI840" s="6">
        <f>IF(SalesData[[#This Row],[Contracts Signed]]=0,0,SalesData[[#This Row],[Profit(€)]]/SalesData[[#This Row],[Contracts Signed]])</f>
        <v>10126</v>
      </c>
      <c r="AJ840" s="5" t="str">
        <f>TRIM(CLEAN(SalesData[[#This Row],[Retailer]]))</f>
        <v>Rhein Auto Group</v>
      </c>
    </row>
    <row r="841" spans="1:36" ht="14.25" hidden="1" x14ac:dyDescent="0.2">
      <c r="A841" t="s">
        <v>1501</v>
      </c>
      <c r="B841" s="1">
        <v>46074</v>
      </c>
      <c r="C841" t="s">
        <v>62</v>
      </c>
      <c r="D841" t="s">
        <v>151</v>
      </c>
      <c r="E841" t="s">
        <v>42</v>
      </c>
      <c r="F841" t="s">
        <v>7649</v>
      </c>
      <c r="G841" t="s">
        <v>55</v>
      </c>
      <c r="H841" t="s">
        <v>55</v>
      </c>
      <c r="I841" t="s">
        <v>104</v>
      </c>
      <c r="J841" t="s">
        <v>105</v>
      </c>
      <c r="K841" t="s">
        <v>78</v>
      </c>
      <c r="L841" t="s">
        <v>33</v>
      </c>
      <c r="M841" t="s">
        <v>87</v>
      </c>
      <c r="N841" t="s">
        <v>48</v>
      </c>
      <c r="O841" t="s">
        <v>36</v>
      </c>
      <c r="P841" t="s">
        <v>49</v>
      </c>
      <c r="Q841" t="s">
        <v>152</v>
      </c>
      <c r="R841">
        <v>461</v>
      </c>
      <c r="S841">
        <v>208</v>
      </c>
      <c r="T841">
        <v>134</v>
      </c>
      <c r="U841">
        <v>36</v>
      </c>
      <c r="V841" t="s">
        <v>430</v>
      </c>
      <c r="W841">
        <v>26084</v>
      </c>
      <c r="X841" t="s">
        <v>7204</v>
      </c>
      <c r="Y841">
        <v>22639</v>
      </c>
      <c r="Z841">
        <v>939024</v>
      </c>
      <c r="AA841">
        <v>124020</v>
      </c>
      <c r="AB841" t="str">
        <f>(VLOOKUP(SalesData[[#This Row],[Month Number]],Reference!C$5:E$16,2,FALSE))</f>
        <v>Feb</v>
      </c>
      <c r="AC841">
        <f>MONTH(SalesData[[#This Row],[Date]])</f>
        <v>2</v>
      </c>
      <c r="AD841">
        <f>Reference!F$4</f>
        <v>2026</v>
      </c>
      <c r="AE841" t="str">
        <f>IF(OR(SalesData[[#This Row],[Day]]="Saturday",SalesData[[#This Row],[Day]]="Sunday"),"Weekend","Weekday")</f>
        <v>Weekend</v>
      </c>
      <c r="AF841" s="5">
        <f>IF(SalesData[[#This Row],[Contracts Offered]]=0,0,SalesData[[#This Row],[Contracts Signed]]/SalesData[[#This Row],[Contracts Offered]])</f>
        <v>0.26865671641791045</v>
      </c>
      <c r="AG841" s="5">
        <f>IF(SalesData[[#This Row],[Customers Visited]]=0,0,SalesData[[#This Row],[Test Drives]]/SalesData[[#This Row],[Customers Visited]])</f>
        <v>0.4511930585683297</v>
      </c>
      <c r="AH841" s="5">
        <f>IF(SalesData[[#This Row],[Customers Visited]]=0,0,SalesData[[#This Row],[Contracts Signed]]/SalesData[[#This Row],[Customers Visited]])</f>
        <v>7.8091106290672452E-2</v>
      </c>
      <c r="AI841" s="6">
        <f>IF(SalesData[[#This Row],[Contracts Signed]]=0,0,SalesData[[#This Row],[Profit(€)]]/SalesData[[#This Row],[Contracts Signed]])</f>
        <v>3445</v>
      </c>
      <c r="AJ841" s="5" t="str">
        <f>TRIM(CLEAN(SalesData[[#This Row],[Retailer]]))</f>
        <v>Autohaus Berlin</v>
      </c>
    </row>
    <row r="842" spans="1:36" ht="14.25" hidden="1" x14ac:dyDescent="0.2">
      <c r="A842" t="s">
        <v>1502</v>
      </c>
      <c r="B842" s="1">
        <v>46077</v>
      </c>
      <c r="C842" t="s">
        <v>53</v>
      </c>
      <c r="D842" t="s">
        <v>63</v>
      </c>
      <c r="E842" t="s">
        <v>26</v>
      </c>
      <c r="F842" t="s">
        <v>127</v>
      </c>
      <c r="G842" t="s">
        <v>128</v>
      </c>
      <c r="H842" t="s">
        <v>103</v>
      </c>
      <c r="I842" t="s">
        <v>56</v>
      </c>
      <c r="J842" t="s">
        <v>57</v>
      </c>
      <c r="K842" t="s">
        <v>66</v>
      </c>
      <c r="L842" t="s">
        <v>46</v>
      </c>
      <c r="M842" t="s">
        <v>34</v>
      </c>
      <c r="N842" t="s">
        <v>69</v>
      </c>
      <c r="O842" t="s">
        <v>36</v>
      </c>
      <c r="P842" t="s">
        <v>37</v>
      </c>
      <c r="Q842" t="s">
        <v>106</v>
      </c>
      <c r="R842">
        <v>246</v>
      </c>
      <c r="S842">
        <v>134</v>
      </c>
      <c r="T842">
        <v>100</v>
      </c>
      <c r="U842">
        <v>30</v>
      </c>
      <c r="V842" t="s">
        <v>6617</v>
      </c>
      <c r="W842">
        <v>44442</v>
      </c>
      <c r="X842" t="s">
        <v>929</v>
      </c>
      <c r="Y842">
        <v>36390</v>
      </c>
      <c r="Z842">
        <v>1333260</v>
      </c>
      <c r="AA842">
        <v>241560</v>
      </c>
      <c r="AB842" t="str">
        <f>(VLOOKUP(SalesData[[#This Row],[Month Number]],Reference!C$5:E$16,2,FALSE))</f>
        <v>Feb</v>
      </c>
      <c r="AC842">
        <f>MONTH(SalesData[[#This Row],[Date]])</f>
        <v>2</v>
      </c>
      <c r="AD842">
        <f>Reference!F$4</f>
        <v>2026</v>
      </c>
      <c r="AE842" t="str">
        <f>IF(OR(SalesData[[#This Row],[Day]]="Saturday",SalesData[[#This Row],[Day]]="Sunday"),"Weekend","Weekday")</f>
        <v>Weekday</v>
      </c>
      <c r="AF842" s="5">
        <f>IF(SalesData[[#This Row],[Contracts Offered]]=0,0,SalesData[[#This Row],[Contracts Signed]]/SalesData[[#This Row],[Contracts Offered]])</f>
        <v>0.3</v>
      </c>
      <c r="AG842" s="5">
        <f>IF(SalesData[[#This Row],[Customers Visited]]=0,0,SalesData[[#This Row],[Test Drives]]/SalesData[[#This Row],[Customers Visited]])</f>
        <v>0.54471544715447151</v>
      </c>
      <c r="AH842" s="5">
        <f>IF(SalesData[[#This Row],[Customers Visited]]=0,0,SalesData[[#This Row],[Contracts Signed]]/SalesData[[#This Row],[Customers Visited]])</f>
        <v>0.12195121951219512</v>
      </c>
      <c r="AI842" s="6">
        <f>IF(SalesData[[#This Row],[Contracts Signed]]=0,0,SalesData[[#This Row],[Profit(€)]]/SalesData[[#This Row],[Contracts Signed]])</f>
        <v>8052</v>
      </c>
      <c r="AJ842" s="5" t="str">
        <f>TRIM(CLEAN(SalesData[[#This Row],[Retailer]]))</f>
        <v>Rhein Auto Group</v>
      </c>
    </row>
    <row r="843" spans="1:36" ht="14.25" x14ac:dyDescent="0.2">
      <c r="A843" t="s">
        <v>1504</v>
      </c>
      <c r="B843" s="1">
        <v>46070</v>
      </c>
      <c r="C843" t="s">
        <v>62</v>
      </c>
      <c r="D843" t="s">
        <v>63</v>
      </c>
      <c r="E843" t="s">
        <v>26</v>
      </c>
      <c r="F843" t="s">
        <v>127</v>
      </c>
      <c r="G843" t="s">
        <v>128</v>
      </c>
      <c r="H843" t="s">
        <v>103</v>
      </c>
      <c r="I843" t="s">
        <v>30</v>
      </c>
      <c r="J843" t="s">
        <v>86</v>
      </c>
      <c r="K843" t="s">
        <v>78</v>
      </c>
      <c r="L843" t="s">
        <v>33</v>
      </c>
      <c r="M843" t="s">
        <v>87</v>
      </c>
      <c r="N843" t="s">
        <v>35</v>
      </c>
      <c r="O843" t="s">
        <v>36</v>
      </c>
      <c r="P843" t="s">
        <v>37</v>
      </c>
      <c r="Q843" t="s">
        <v>158</v>
      </c>
      <c r="R843">
        <v>141</v>
      </c>
      <c r="S843">
        <v>75</v>
      </c>
      <c r="T843">
        <v>54</v>
      </c>
      <c r="U843">
        <v>19</v>
      </c>
      <c r="V843" t="s">
        <v>6392</v>
      </c>
      <c r="W843">
        <v>62791</v>
      </c>
      <c r="X843" t="s">
        <v>7326</v>
      </c>
      <c r="Y843">
        <v>44393</v>
      </c>
      <c r="Z843">
        <v>1193029</v>
      </c>
      <c r="AA843">
        <v>349562</v>
      </c>
      <c r="AB843" t="str">
        <f>(VLOOKUP(SalesData[[#This Row],[Month Number]],Reference!C$5:E$16,2,FALSE))</f>
        <v>Feb</v>
      </c>
      <c r="AC843">
        <f>MONTH(SalesData[[#This Row],[Date]])</f>
        <v>2</v>
      </c>
      <c r="AD843">
        <f>Reference!F$4</f>
        <v>2026</v>
      </c>
      <c r="AE843" t="str">
        <f>IF(OR(SalesData[[#This Row],[Day]]="Saturday",SalesData[[#This Row],[Day]]="Sunday"),"Weekend","Weekday")</f>
        <v>Weekday</v>
      </c>
      <c r="AF843" s="5">
        <f>IF(SalesData[[#This Row],[Contracts Offered]]=0,0,SalesData[[#This Row],[Contracts Signed]]/SalesData[[#This Row],[Contracts Offered]])</f>
        <v>0.35185185185185186</v>
      </c>
      <c r="AG843" s="5">
        <f>IF(SalesData[[#This Row],[Customers Visited]]=0,0,SalesData[[#This Row],[Test Drives]]/SalesData[[#This Row],[Customers Visited]])</f>
        <v>0.53191489361702127</v>
      </c>
      <c r="AH843" s="5">
        <f>IF(SalesData[[#This Row],[Customers Visited]]=0,0,SalesData[[#This Row],[Contracts Signed]]/SalesData[[#This Row],[Customers Visited]])</f>
        <v>0.13475177304964539</v>
      </c>
      <c r="AI843" s="6">
        <f>IF(SalesData[[#This Row],[Contracts Signed]]=0,0,SalesData[[#This Row],[Profit(€)]]/SalesData[[#This Row],[Contracts Signed]])</f>
        <v>18398</v>
      </c>
      <c r="AJ843" s="5" t="str">
        <f>TRIM(CLEAN(SalesData[[#This Row],[Retailer]]))</f>
        <v>Rhein Auto Group</v>
      </c>
    </row>
    <row r="844" spans="1:36" ht="14.25" x14ac:dyDescent="0.2">
      <c r="A844" t="s">
        <v>1506</v>
      </c>
      <c r="B844" s="1">
        <v>46067</v>
      </c>
      <c r="C844" t="s">
        <v>121</v>
      </c>
      <c r="D844" t="s">
        <v>151</v>
      </c>
      <c r="E844" t="s">
        <v>42</v>
      </c>
      <c r="F844" t="s">
        <v>83</v>
      </c>
      <c r="G844" t="s">
        <v>84</v>
      </c>
      <c r="H844" t="s">
        <v>85</v>
      </c>
      <c r="I844" t="s">
        <v>30</v>
      </c>
      <c r="J844" t="s">
        <v>31</v>
      </c>
      <c r="K844" t="s">
        <v>91</v>
      </c>
      <c r="L844" t="s">
        <v>46</v>
      </c>
      <c r="M844" t="s">
        <v>47</v>
      </c>
      <c r="N844" t="s">
        <v>35</v>
      </c>
      <c r="O844" t="s">
        <v>36</v>
      </c>
      <c r="P844" t="s">
        <v>49</v>
      </c>
      <c r="Q844" t="s">
        <v>106</v>
      </c>
      <c r="R844">
        <v>223</v>
      </c>
      <c r="S844">
        <v>124</v>
      </c>
      <c r="T844">
        <v>97</v>
      </c>
      <c r="U844">
        <v>29</v>
      </c>
      <c r="V844" t="s">
        <v>6841</v>
      </c>
      <c r="W844">
        <v>50157</v>
      </c>
      <c r="X844" t="s">
        <v>7232</v>
      </c>
      <c r="Y844">
        <v>38045</v>
      </c>
      <c r="Z844">
        <v>1454553</v>
      </c>
      <c r="AA844">
        <v>351248</v>
      </c>
      <c r="AB844" t="str">
        <f>(VLOOKUP(SalesData[[#This Row],[Month Number]],Reference!C$5:E$16,2,FALSE))</f>
        <v>Feb</v>
      </c>
      <c r="AC844">
        <f>MONTH(SalesData[[#This Row],[Date]])</f>
        <v>2</v>
      </c>
      <c r="AD844">
        <f>Reference!F$4</f>
        <v>2026</v>
      </c>
      <c r="AE844" t="str">
        <f>IF(OR(SalesData[[#This Row],[Day]]="Saturday",SalesData[[#This Row],[Day]]="Sunday"),"Weekend","Weekday")</f>
        <v>Weekend</v>
      </c>
      <c r="AF844" s="5">
        <f>IF(SalesData[[#This Row],[Contracts Offered]]=0,0,SalesData[[#This Row],[Contracts Signed]]/SalesData[[#This Row],[Contracts Offered]])</f>
        <v>0.29896907216494845</v>
      </c>
      <c r="AG844" s="5">
        <f>IF(SalesData[[#This Row],[Customers Visited]]=0,0,SalesData[[#This Row],[Test Drives]]/SalesData[[#This Row],[Customers Visited]])</f>
        <v>0.55605381165919288</v>
      </c>
      <c r="AH844" s="5">
        <f>IF(SalesData[[#This Row],[Customers Visited]]=0,0,SalesData[[#This Row],[Contracts Signed]]/SalesData[[#This Row],[Customers Visited]])</f>
        <v>0.13004484304932734</v>
      </c>
      <c r="AI844" s="6">
        <f>IF(SalesData[[#This Row],[Contracts Signed]]=0,0,SalesData[[#This Row],[Profit(€)]]/SalesData[[#This Row],[Contracts Signed]])</f>
        <v>12112</v>
      </c>
      <c r="AJ844" s="5" t="str">
        <f>TRIM(CLEAN(SalesData[[#This Row],[Retailer]]))</f>
        <v>Hannover Cars</v>
      </c>
    </row>
    <row r="845" spans="1:36" ht="14.25" hidden="1" x14ac:dyDescent="0.2">
      <c r="A845" t="s">
        <v>1508</v>
      </c>
      <c r="B845" s="1">
        <v>46058</v>
      </c>
      <c r="C845" t="s">
        <v>24</v>
      </c>
      <c r="D845" t="s">
        <v>100</v>
      </c>
      <c r="E845" t="s">
        <v>26</v>
      </c>
      <c r="F845" t="s">
        <v>43</v>
      </c>
      <c r="G845" t="s">
        <v>44</v>
      </c>
      <c r="H845" t="s">
        <v>45</v>
      </c>
      <c r="I845" t="s">
        <v>104</v>
      </c>
      <c r="J845" t="s">
        <v>140</v>
      </c>
      <c r="K845" t="s">
        <v>91</v>
      </c>
      <c r="L845" t="s">
        <v>46</v>
      </c>
      <c r="M845" t="s">
        <v>34</v>
      </c>
      <c r="N845" t="s">
        <v>69</v>
      </c>
      <c r="O845" t="s">
        <v>70</v>
      </c>
      <c r="P845" t="s">
        <v>58</v>
      </c>
      <c r="Q845" t="s">
        <v>50</v>
      </c>
      <c r="R845">
        <v>444</v>
      </c>
      <c r="S845">
        <v>234</v>
      </c>
      <c r="T845">
        <v>168</v>
      </c>
      <c r="U845">
        <v>41</v>
      </c>
      <c r="V845" t="s">
        <v>5177</v>
      </c>
      <c r="W845">
        <v>33530</v>
      </c>
      <c r="X845" t="s">
        <v>1114</v>
      </c>
      <c r="Y845">
        <v>30480</v>
      </c>
      <c r="Z845">
        <v>1374730</v>
      </c>
      <c r="AA845">
        <v>125050</v>
      </c>
      <c r="AB845" t="str">
        <f>(VLOOKUP(SalesData[[#This Row],[Month Number]],Reference!C$5:E$16,2,FALSE))</f>
        <v>Feb</v>
      </c>
      <c r="AC845">
        <f>MONTH(SalesData[[#This Row],[Date]])</f>
        <v>2</v>
      </c>
      <c r="AD845">
        <f>Reference!F$4</f>
        <v>2026</v>
      </c>
      <c r="AE845" t="str">
        <f>IF(OR(SalesData[[#This Row],[Day]]="Saturday",SalesData[[#This Row],[Day]]="Sunday"),"Weekend","Weekday")</f>
        <v>Weekday</v>
      </c>
      <c r="AF845" s="5">
        <f>IF(SalesData[[#This Row],[Contracts Offered]]=0,0,SalesData[[#This Row],[Contracts Signed]]/SalesData[[#This Row],[Contracts Offered]])</f>
        <v>0.24404761904761904</v>
      </c>
      <c r="AG845" s="5">
        <f>IF(SalesData[[#This Row],[Customers Visited]]=0,0,SalesData[[#This Row],[Test Drives]]/SalesData[[#This Row],[Customers Visited]])</f>
        <v>0.52702702702702697</v>
      </c>
      <c r="AH845" s="5">
        <f>IF(SalesData[[#This Row],[Customers Visited]]=0,0,SalesData[[#This Row],[Contracts Signed]]/SalesData[[#This Row],[Customers Visited]])</f>
        <v>9.2342342342342343E-2</v>
      </c>
      <c r="AI845" s="6">
        <f>IF(SalesData[[#This Row],[Contracts Signed]]=0,0,SalesData[[#This Row],[Profit(€)]]/SalesData[[#This Row],[Contracts Signed]])</f>
        <v>3050</v>
      </c>
      <c r="AJ845" s="5" t="str">
        <f>TRIM(CLEAN(SalesData[[#This Row],[Retailer]]))</f>
        <v>Saxon Wheels</v>
      </c>
    </row>
    <row r="846" spans="1:36" ht="14.25" hidden="1" x14ac:dyDescent="0.2">
      <c r="A846" t="s">
        <v>1510</v>
      </c>
      <c r="B846" s="1">
        <v>46059</v>
      </c>
      <c r="C846" t="s">
        <v>24</v>
      </c>
      <c r="D846" t="s">
        <v>54</v>
      </c>
      <c r="E846" t="s">
        <v>26</v>
      </c>
      <c r="F846" t="s">
        <v>101</v>
      </c>
      <c r="G846" t="s">
        <v>102</v>
      </c>
      <c r="H846" t="s">
        <v>103</v>
      </c>
      <c r="I846" t="s">
        <v>104</v>
      </c>
      <c r="J846" t="s">
        <v>143</v>
      </c>
      <c r="K846" t="s">
        <v>78</v>
      </c>
      <c r="L846" t="s">
        <v>67</v>
      </c>
      <c r="M846" t="s">
        <v>87</v>
      </c>
      <c r="N846" t="s">
        <v>35</v>
      </c>
      <c r="O846" t="s">
        <v>70</v>
      </c>
      <c r="P846" t="s">
        <v>37</v>
      </c>
      <c r="Q846" t="s">
        <v>50</v>
      </c>
      <c r="R846">
        <v>307</v>
      </c>
      <c r="S846">
        <v>141</v>
      </c>
      <c r="T846">
        <v>90</v>
      </c>
      <c r="U846">
        <v>21</v>
      </c>
      <c r="V846" t="s">
        <v>630</v>
      </c>
      <c r="W846">
        <v>27716</v>
      </c>
      <c r="X846" t="s">
        <v>4616</v>
      </c>
      <c r="Y846">
        <v>24110</v>
      </c>
      <c r="Z846">
        <v>582036</v>
      </c>
      <c r="AA846">
        <v>75726</v>
      </c>
      <c r="AB846" t="str">
        <f>(VLOOKUP(SalesData[[#This Row],[Month Number]],Reference!C$5:E$16,2,FALSE))</f>
        <v>Feb</v>
      </c>
      <c r="AC846">
        <f>MONTH(SalesData[[#This Row],[Date]])</f>
        <v>2</v>
      </c>
      <c r="AD846">
        <f>Reference!F$4</f>
        <v>2026</v>
      </c>
      <c r="AE846" t="str">
        <f>IF(OR(SalesData[[#This Row],[Day]]="Saturday",SalesData[[#This Row],[Day]]="Sunday"),"Weekend","Weekday")</f>
        <v>Weekday</v>
      </c>
      <c r="AF846" s="5">
        <f>IF(SalesData[[#This Row],[Contracts Offered]]=0,0,SalesData[[#This Row],[Contracts Signed]]/SalesData[[#This Row],[Contracts Offered]])</f>
        <v>0.23333333333333334</v>
      </c>
      <c r="AG846" s="5">
        <f>IF(SalesData[[#This Row],[Customers Visited]]=0,0,SalesData[[#This Row],[Test Drives]]/SalesData[[#This Row],[Customers Visited]])</f>
        <v>0.45928338762214982</v>
      </c>
      <c r="AH846" s="5">
        <f>IF(SalesData[[#This Row],[Customers Visited]]=0,0,SalesData[[#This Row],[Contracts Signed]]/SalesData[[#This Row],[Customers Visited]])</f>
        <v>6.8403908794788276E-2</v>
      </c>
      <c r="AI846" s="6">
        <f>IF(SalesData[[#This Row],[Contracts Signed]]=0,0,SalesData[[#This Row],[Profit(€)]]/SalesData[[#This Row],[Contracts Signed]])</f>
        <v>3606</v>
      </c>
      <c r="AJ846" s="5" t="str">
        <f>TRIM(CLEAN(SalesData[[#This Row],[Retailer]]))</f>
        <v>Ruhr Auto Plaza</v>
      </c>
    </row>
    <row r="847" spans="1:36" ht="14.25" hidden="1" x14ac:dyDescent="0.2">
      <c r="A847" t="s">
        <v>1511</v>
      </c>
      <c r="B847" s="1">
        <v>46065</v>
      </c>
      <c r="C847" t="s">
        <v>121</v>
      </c>
      <c r="D847" t="s">
        <v>100</v>
      </c>
      <c r="E847" t="s">
        <v>26</v>
      </c>
      <c r="F847" t="s">
        <v>27</v>
      </c>
      <c r="G847" t="s">
        <v>28</v>
      </c>
      <c r="H847" t="s">
        <v>29</v>
      </c>
      <c r="I847" t="s">
        <v>64</v>
      </c>
      <c r="J847" t="s">
        <v>65</v>
      </c>
      <c r="K847" t="s">
        <v>78</v>
      </c>
      <c r="L847" t="s">
        <v>33</v>
      </c>
      <c r="M847" t="s">
        <v>87</v>
      </c>
      <c r="N847" t="s">
        <v>35</v>
      </c>
      <c r="O847" t="s">
        <v>70</v>
      </c>
      <c r="P847" t="s">
        <v>49</v>
      </c>
      <c r="Q847" t="s">
        <v>88</v>
      </c>
      <c r="R847">
        <v>176</v>
      </c>
      <c r="S847">
        <v>86</v>
      </c>
      <c r="T847">
        <v>68</v>
      </c>
      <c r="U847">
        <v>18</v>
      </c>
      <c r="V847" t="s">
        <v>6420</v>
      </c>
      <c r="W847">
        <v>50421</v>
      </c>
      <c r="X847" t="s">
        <v>7248</v>
      </c>
      <c r="Y847">
        <v>38511</v>
      </c>
      <c r="Z847">
        <v>907578</v>
      </c>
      <c r="AA847">
        <v>214380</v>
      </c>
      <c r="AB847" t="str">
        <f>(VLOOKUP(SalesData[[#This Row],[Month Number]],Reference!C$5:E$16,2,FALSE))</f>
        <v>Feb</v>
      </c>
      <c r="AC847">
        <f>MONTH(SalesData[[#This Row],[Date]])</f>
        <v>2</v>
      </c>
      <c r="AD847">
        <f>Reference!F$4</f>
        <v>2026</v>
      </c>
      <c r="AE847" t="str">
        <f>IF(OR(SalesData[[#This Row],[Day]]="Saturday",SalesData[[#This Row],[Day]]="Sunday"),"Weekend","Weekday")</f>
        <v>Weekday</v>
      </c>
      <c r="AF847" s="5">
        <f>IF(SalesData[[#This Row],[Contracts Offered]]=0,0,SalesData[[#This Row],[Contracts Signed]]/SalesData[[#This Row],[Contracts Offered]])</f>
        <v>0.26470588235294118</v>
      </c>
      <c r="AG847" s="5">
        <f>IF(SalesData[[#This Row],[Customers Visited]]=0,0,SalesData[[#This Row],[Test Drives]]/SalesData[[#This Row],[Customers Visited]])</f>
        <v>0.48863636363636365</v>
      </c>
      <c r="AH847" s="5">
        <f>IF(SalesData[[#This Row],[Customers Visited]]=0,0,SalesData[[#This Row],[Contracts Signed]]/SalesData[[#This Row],[Customers Visited]])</f>
        <v>0.10227272727272728</v>
      </c>
      <c r="AI847" s="6">
        <f>IF(SalesData[[#This Row],[Contracts Signed]]=0,0,SalesData[[#This Row],[Profit(€)]]/SalesData[[#This Row],[Contracts Signed]])</f>
        <v>11910</v>
      </c>
      <c r="AJ847" s="5" t="str">
        <f>TRIM(CLEAN(SalesData[[#This Row],[Retailer]]))</f>
        <v>Main Auto Hub</v>
      </c>
    </row>
    <row r="848" spans="1:36" ht="14.25" hidden="1" x14ac:dyDescent="0.2">
      <c r="A848" t="s">
        <v>1512</v>
      </c>
      <c r="B848" s="1">
        <v>46063</v>
      </c>
      <c r="C848" t="s">
        <v>121</v>
      </c>
      <c r="D848" t="s">
        <v>63</v>
      </c>
      <c r="E848" t="s">
        <v>26</v>
      </c>
      <c r="F848" t="s">
        <v>43</v>
      </c>
      <c r="G848" t="s">
        <v>44</v>
      </c>
      <c r="H848" t="s">
        <v>45</v>
      </c>
      <c r="I848" t="s">
        <v>56</v>
      </c>
      <c r="J848" t="s">
        <v>97</v>
      </c>
      <c r="K848" t="s">
        <v>66</v>
      </c>
      <c r="L848" t="s">
        <v>33</v>
      </c>
      <c r="M848" t="s">
        <v>34</v>
      </c>
      <c r="N848" t="s">
        <v>48</v>
      </c>
      <c r="O848" t="s">
        <v>70</v>
      </c>
      <c r="P848" t="s">
        <v>37</v>
      </c>
      <c r="Q848" t="s">
        <v>240</v>
      </c>
      <c r="R848">
        <v>245</v>
      </c>
      <c r="S848">
        <v>153</v>
      </c>
      <c r="T848">
        <v>103</v>
      </c>
      <c r="U848">
        <v>32</v>
      </c>
      <c r="V848" t="s">
        <v>6952</v>
      </c>
      <c r="W848">
        <v>52521</v>
      </c>
      <c r="X848" t="s">
        <v>7309</v>
      </c>
      <c r="Y848">
        <v>40383</v>
      </c>
      <c r="Z848">
        <v>1680672</v>
      </c>
      <c r="AA848">
        <v>388416</v>
      </c>
      <c r="AB848" t="str">
        <f>(VLOOKUP(SalesData[[#This Row],[Month Number]],Reference!C$5:E$16,2,FALSE))</f>
        <v>Feb</v>
      </c>
      <c r="AC848">
        <f>MONTH(SalesData[[#This Row],[Date]])</f>
        <v>2</v>
      </c>
      <c r="AD848">
        <f>Reference!F$4</f>
        <v>2026</v>
      </c>
      <c r="AE848" t="str">
        <f>IF(OR(SalesData[[#This Row],[Day]]="Saturday",SalesData[[#This Row],[Day]]="Sunday"),"Weekend","Weekday")</f>
        <v>Weekday</v>
      </c>
      <c r="AF848" s="5">
        <f>IF(SalesData[[#This Row],[Contracts Offered]]=0,0,SalesData[[#This Row],[Contracts Signed]]/SalesData[[#This Row],[Contracts Offered]])</f>
        <v>0.31067961165048541</v>
      </c>
      <c r="AG848" s="5">
        <f>IF(SalesData[[#This Row],[Customers Visited]]=0,0,SalesData[[#This Row],[Test Drives]]/SalesData[[#This Row],[Customers Visited]])</f>
        <v>0.6244897959183674</v>
      </c>
      <c r="AH848" s="5">
        <f>IF(SalesData[[#This Row],[Customers Visited]]=0,0,SalesData[[#This Row],[Contracts Signed]]/SalesData[[#This Row],[Customers Visited]])</f>
        <v>0.1306122448979592</v>
      </c>
      <c r="AI848" s="6">
        <f>IF(SalesData[[#This Row],[Contracts Signed]]=0,0,SalesData[[#This Row],[Profit(€)]]/SalesData[[#This Row],[Contracts Signed]])</f>
        <v>12138</v>
      </c>
      <c r="AJ848" s="5" t="str">
        <f>TRIM(CLEAN(SalesData[[#This Row],[Retailer]]))</f>
        <v>Saxon Wheels</v>
      </c>
    </row>
    <row r="849" spans="1:36" ht="14.25" hidden="1" x14ac:dyDescent="0.2">
      <c r="A849" t="s">
        <v>1513</v>
      </c>
      <c r="B849" s="1">
        <v>46064</v>
      </c>
      <c r="C849" t="s">
        <v>121</v>
      </c>
      <c r="D849" t="s">
        <v>82</v>
      </c>
      <c r="E849" t="s">
        <v>26</v>
      </c>
      <c r="F849" t="s">
        <v>83</v>
      </c>
      <c r="G849" t="s">
        <v>84</v>
      </c>
      <c r="H849" t="s">
        <v>85</v>
      </c>
      <c r="I849" t="s">
        <v>104</v>
      </c>
      <c r="J849" t="s">
        <v>7061</v>
      </c>
      <c r="K849" t="s">
        <v>32</v>
      </c>
      <c r="L849" t="s">
        <v>46</v>
      </c>
      <c r="M849" t="s">
        <v>87</v>
      </c>
      <c r="N849" t="s">
        <v>69</v>
      </c>
      <c r="O849" t="s">
        <v>36</v>
      </c>
      <c r="P849" t="s">
        <v>58</v>
      </c>
      <c r="Q849" t="s">
        <v>144</v>
      </c>
      <c r="R849">
        <v>432</v>
      </c>
      <c r="S849">
        <v>210</v>
      </c>
      <c r="T849">
        <v>132</v>
      </c>
      <c r="U849">
        <v>41</v>
      </c>
      <c r="V849" t="s">
        <v>7099</v>
      </c>
      <c r="W849">
        <v>32981</v>
      </c>
      <c r="X849" t="s">
        <v>1248</v>
      </c>
      <c r="Y849">
        <v>29147</v>
      </c>
      <c r="Z849">
        <v>1352221</v>
      </c>
      <c r="AA849">
        <v>157194</v>
      </c>
      <c r="AB849" t="str">
        <f>(VLOOKUP(SalesData[[#This Row],[Month Number]],Reference!C$5:E$16,2,FALSE))</f>
        <v>Feb</v>
      </c>
      <c r="AC849">
        <f>MONTH(SalesData[[#This Row],[Date]])</f>
        <v>2</v>
      </c>
      <c r="AD849">
        <f>Reference!F$4</f>
        <v>2026</v>
      </c>
      <c r="AE849" t="str">
        <f>IF(OR(SalesData[[#This Row],[Day]]="Saturday",SalesData[[#This Row],[Day]]="Sunday"),"Weekend","Weekday")</f>
        <v>Weekday</v>
      </c>
      <c r="AF849" s="5">
        <f>IF(SalesData[[#This Row],[Contracts Offered]]=0,0,SalesData[[#This Row],[Contracts Signed]]/SalesData[[#This Row],[Contracts Offered]])</f>
        <v>0.31060606060606061</v>
      </c>
      <c r="AG849" s="5">
        <f>IF(SalesData[[#This Row],[Customers Visited]]=0,0,SalesData[[#This Row],[Test Drives]]/SalesData[[#This Row],[Customers Visited]])</f>
        <v>0.4861111111111111</v>
      </c>
      <c r="AH849" s="5">
        <f>IF(SalesData[[#This Row],[Customers Visited]]=0,0,SalesData[[#This Row],[Contracts Signed]]/SalesData[[#This Row],[Customers Visited]])</f>
        <v>9.4907407407407413E-2</v>
      </c>
      <c r="AI849" s="6">
        <f>IF(SalesData[[#This Row],[Contracts Signed]]=0,0,SalesData[[#This Row],[Profit(€)]]/SalesData[[#This Row],[Contracts Signed]])</f>
        <v>3834</v>
      </c>
      <c r="AJ849" s="5" t="str">
        <f>TRIM(CLEAN(SalesData[[#This Row],[Retailer]]))</f>
        <v>Hannover Cars</v>
      </c>
    </row>
    <row r="850" spans="1:36" ht="14.25" x14ac:dyDescent="0.2">
      <c r="A850" t="s">
        <v>1514</v>
      </c>
      <c r="B850" s="1">
        <v>46060</v>
      </c>
      <c r="C850" t="s">
        <v>24</v>
      </c>
      <c r="D850" t="s">
        <v>151</v>
      </c>
      <c r="E850" t="s">
        <v>42</v>
      </c>
      <c r="F850" t="s">
        <v>74</v>
      </c>
      <c r="G850" t="s">
        <v>75</v>
      </c>
      <c r="H850" t="s">
        <v>76</v>
      </c>
      <c r="I850" t="s">
        <v>30</v>
      </c>
      <c r="J850" t="s">
        <v>86</v>
      </c>
      <c r="K850" t="s">
        <v>78</v>
      </c>
      <c r="L850" t="s">
        <v>33</v>
      </c>
      <c r="M850" t="s">
        <v>68</v>
      </c>
      <c r="N850" t="s">
        <v>48</v>
      </c>
      <c r="O850" t="s">
        <v>36</v>
      </c>
      <c r="P850" t="s">
        <v>49</v>
      </c>
      <c r="Q850" t="s">
        <v>118</v>
      </c>
      <c r="R850">
        <v>218</v>
      </c>
      <c r="S850">
        <v>121</v>
      </c>
      <c r="T850">
        <v>91</v>
      </c>
      <c r="U850">
        <v>31</v>
      </c>
      <c r="V850" t="s">
        <v>6598</v>
      </c>
      <c r="W850">
        <v>66879</v>
      </c>
      <c r="X850" t="s">
        <v>7327</v>
      </c>
      <c r="Y850">
        <v>47782</v>
      </c>
      <c r="Z850">
        <v>2073249</v>
      </c>
      <c r="AA850">
        <v>592007</v>
      </c>
      <c r="AB850" t="str">
        <f>(VLOOKUP(SalesData[[#This Row],[Month Number]],Reference!C$5:E$16,2,FALSE))</f>
        <v>Feb</v>
      </c>
      <c r="AC850">
        <f>MONTH(SalesData[[#This Row],[Date]])</f>
        <v>2</v>
      </c>
      <c r="AD850">
        <f>Reference!F$4</f>
        <v>2026</v>
      </c>
      <c r="AE850" t="str">
        <f>IF(OR(SalesData[[#This Row],[Day]]="Saturday",SalesData[[#This Row],[Day]]="Sunday"),"Weekend","Weekday")</f>
        <v>Weekend</v>
      </c>
      <c r="AF850" s="5">
        <f>IF(SalesData[[#This Row],[Contracts Offered]]=0,0,SalesData[[#This Row],[Contracts Signed]]/SalesData[[#This Row],[Contracts Offered]])</f>
        <v>0.34065934065934067</v>
      </c>
      <c r="AG850" s="5">
        <f>IF(SalesData[[#This Row],[Customers Visited]]=0,0,SalesData[[#This Row],[Test Drives]]/SalesData[[#This Row],[Customers Visited]])</f>
        <v>0.55504587155963303</v>
      </c>
      <c r="AH850" s="5">
        <f>IF(SalesData[[#This Row],[Customers Visited]]=0,0,SalesData[[#This Row],[Contracts Signed]]/SalesData[[#This Row],[Customers Visited]])</f>
        <v>0.14220183486238533</v>
      </c>
      <c r="AI850" s="6">
        <f>IF(SalesData[[#This Row],[Contracts Signed]]=0,0,SalesData[[#This Row],[Profit(€)]]/SalesData[[#This Row],[Contracts Signed]])</f>
        <v>19097</v>
      </c>
      <c r="AJ850" s="5" t="str">
        <f>TRIM(CLEAN(SalesData[[#This Row],[Retailer]]))</f>
        <v>Stuttgart Auto Center</v>
      </c>
    </row>
    <row r="851" spans="1:36" ht="14.25" hidden="1" x14ac:dyDescent="0.2">
      <c r="A851" t="s">
        <v>1516</v>
      </c>
      <c r="B851" s="1">
        <v>46071</v>
      </c>
      <c r="C851" t="s">
        <v>62</v>
      </c>
      <c r="D851" t="s">
        <v>82</v>
      </c>
      <c r="E851" t="s">
        <v>26</v>
      </c>
      <c r="F851" t="s">
        <v>94</v>
      </c>
      <c r="G851" t="s">
        <v>95</v>
      </c>
      <c r="H851" t="s">
        <v>96</v>
      </c>
      <c r="I851" t="s">
        <v>116</v>
      </c>
      <c r="J851" t="s">
        <v>203</v>
      </c>
      <c r="K851" t="s">
        <v>32</v>
      </c>
      <c r="L851" t="s">
        <v>67</v>
      </c>
      <c r="M851" t="s">
        <v>68</v>
      </c>
      <c r="N851" t="s">
        <v>69</v>
      </c>
      <c r="O851" t="s">
        <v>36</v>
      </c>
      <c r="P851" t="s">
        <v>37</v>
      </c>
      <c r="Q851" t="s">
        <v>50</v>
      </c>
      <c r="R851">
        <v>320</v>
      </c>
      <c r="S851">
        <v>144</v>
      </c>
      <c r="T851">
        <v>98</v>
      </c>
      <c r="U851">
        <v>23</v>
      </c>
      <c r="V851" t="s">
        <v>558</v>
      </c>
      <c r="W851">
        <v>24071</v>
      </c>
      <c r="X851" t="s">
        <v>6112</v>
      </c>
      <c r="Y851">
        <v>21623</v>
      </c>
      <c r="Z851">
        <v>553633</v>
      </c>
      <c r="AA851">
        <v>56304</v>
      </c>
      <c r="AB851" t="str">
        <f>(VLOOKUP(SalesData[[#This Row],[Month Number]],Reference!C$5:E$16,2,FALSE))</f>
        <v>Feb</v>
      </c>
      <c r="AC851">
        <f>MONTH(SalesData[[#This Row],[Date]])</f>
        <v>2</v>
      </c>
      <c r="AD851">
        <f>Reference!F$4</f>
        <v>2026</v>
      </c>
      <c r="AE851" t="str">
        <f>IF(OR(SalesData[[#This Row],[Day]]="Saturday",SalesData[[#This Row],[Day]]="Sunday"),"Weekend","Weekday")</f>
        <v>Weekday</v>
      </c>
      <c r="AF851" s="5">
        <f>IF(SalesData[[#This Row],[Contracts Offered]]=0,0,SalesData[[#This Row],[Contracts Signed]]/SalesData[[#This Row],[Contracts Offered]])</f>
        <v>0.23469387755102042</v>
      </c>
      <c r="AG851" s="5">
        <f>IF(SalesData[[#This Row],[Customers Visited]]=0,0,SalesData[[#This Row],[Test Drives]]/SalesData[[#This Row],[Customers Visited]])</f>
        <v>0.45</v>
      </c>
      <c r="AH851" s="5">
        <f>IF(SalesData[[#This Row],[Customers Visited]]=0,0,SalesData[[#This Row],[Contracts Signed]]/SalesData[[#This Row],[Customers Visited]])</f>
        <v>7.1874999999999994E-2</v>
      </c>
      <c r="AI851" s="6">
        <f>IF(SalesData[[#This Row],[Contracts Signed]]=0,0,SalesData[[#This Row],[Profit(€)]]/SalesData[[#This Row],[Contracts Signed]])</f>
        <v>2448</v>
      </c>
      <c r="AJ851" s="5" t="str">
        <f>TRIM(CLEAN(SalesData[[#This Row],[Retailer]]))</f>
        <v>Bavaria Motors</v>
      </c>
    </row>
    <row r="852" spans="1:36" ht="14.25" hidden="1" x14ac:dyDescent="0.2">
      <c r="A852" t="s">
        <v>1517</v>
      </c>
      <c r="B852" s="1">
        <v>46068</v>
      </c>
      <c r="C852" t="s">
        <v>62</v>
      </c>
      <c r="D852" t="s">
        <v>41</v>
      </c>
      <c r="E852" t="s">
        <v>42</v>
      </c>
      <c r="F852" t="s">
        <v>101</v>
      </c>
      <c r="G852" t="s">
        <v>102</v>
      </c>
      <c r="H852" t="s">
        <v>103</v>
      </c>
      <c r="I852" t="s">
        <v>56</v>
      </c>
      <c r="J852" t="s">
        <v>97</v>
      </c>
      <c r="K852" t="s">
        <v>91</v>
      </c>
      <c r="L852" t="s">
        <v>33</v>
      </c>
      <c r="M852" t="s">
        <v>47</v>
      </c>
      <c r="N852" t="s">
        <v>35</v>
      </c>
      <c r="O852" t="s">
        <v>36</v>
      </c>
      <c r="P852" t="s">
        <v>37</v>
      </c>
      <c r="Q852" t="s">
        <v>347</v>
      </c>
      <c r="R852">
        <v>169</v>
      </c>
      <c r="S852">
        <v>104</v>
      </c>
      <c r="T852">
        <v>75</v>
      </c>
      <c r="U852">
        <v>22</v>
      </c>
      <c r="V852" t="s">
        <v>7020</v>
      </c>
      <c r="W852">
        <v>42831</v>
      </c>
      <c r="X852" t="s">
        <v>710</v>
      </c>
      <c r="Y852">
        <v>33981</v>
      </c>
      <c r="Z852">
        <v>942282</v>
      </c>
      <c r="AA852">
        <v>194700</v>
      </c>
      <c r="AB852" t="str">
        <f>(VLOOKUP(SalesData[[#This Row],[Month Number]],Reference!C$5:E$16,2,FALSE))</f>
        <v>Feb</v>
      </c>
      <c r="AC852">
        <f>MONTH(SalesData[[#This Row],[Date]])</f>
        <v>2</v>
      </c>
      <c r="AD852">
        <f>Reference!F$4</f>
        <v>2026</v>
      </c>
      <c r="AE852" t="str">
        <f>IF(OR(SalesData[[#This Row],[Day]]="Saturday",SalesData[[#This Row],[Day]]="Sunday"),"Weekend","Weekday")</f>
        <v>Weekend</v>
      </c>
      <c r="AF852" s="5">
        <f>IF(SalesData[[#This Row],[Contracts Offered]]=0,0,SalesData[[#This Row],[Contracts Signed]]/SalesData[[#This Row],[Contracts Offered]])</f>
        <v>0.29333333333333333</v>
      </c>
      <c r="AG852" s="5">
        <f>IF(SalesData[[#This Row],[Customers Visited]]=0,0,SalesData[[#This Row],[Test Drives]]/SalesData[[#This Row],[Customers Visited]])</f>
        <v>0.61538461538461542</v>
      </c>
      <c r="AH852" s="5">
        <f>IF(SalesData[[#This Row],[Customers Visited]]=0,0,SalesData[[#This Row],[Contracts Signed]]/SalesData[[#This Row],[Customers Visited]])</f>
        <v>0.13017751479289941</v>
      </c>
      <c r="AI852" s="6">
        <f>IF(SalesData[[#This Row],[Contracts Signed]]=0,0,SalesData[[#This Row],[Profit(€)]]/SalesData[[#This Row],[Contracts Signed]])</f>
        <v>8850</v>
      </c>
      <c r="AJ852" s="5" t="str">
        <f>TRIM(CLEAN(SalesData[[#This Row],[Retailer]]))</f>
        <v>Ruhr Auto Plaza</v>
      </c>
    </row>
    <row r="853" spans="1:36" ht="14.25" hidden="1" x14ac:dyDescent="0.2">
      <c r="A853" t="s">
        <v>1519</v>
      </c>
      <c r="B853" s="1">
        <v>46073</v>
      </c>
      <c r="C853" t="s">
        <v>62</v>
      </c>
      <c r="D853" t="s">
        <v>54</v>
      </c>
      <c r="E853" t="s">
        <v>26</v>
      </c>
      <c r="F853" t="s">
        <v>7649</v>
      </c>
      <c r="G853" t="s">
        <v>55</v>
      </c>
      <c r="H853" t="s">
        <v>55</v>
      </c>
      <c r="I853" t="s">
        <v>104</v>
      </c>
      <c r="J853" t="s">
        <v>143</v>
      </c>
      <c r="K853" t="s">
        <v>78</v>
      </c>
      <c r="L853" t="s">
        <v>67</v>
      </c>
      <c r="M853" t="s">
        <v>34</v>
      </c>
      <c r="N853" t="s">
        <v>48</v>
      </c>
      <c r="O853" t="s">
        <v>36</v>
      </c>
      <c r="P853" t="s">
        <v>71</v>
      </c>
      <c r="Q853" t="s">
        <v>118</v>
      </c>
      <c r="R853">
        <v>456</v>
      </c>
      <c r="S853">
        <v>222</v>
      </c>
      <c r="T853">
        <v>142</v>
      </c>
      <c r="U853">
        <v>41</v>
      </c>
      <c r="V853" t="s">
        <v>2042</v>
      </c>
      <c r="W853">
        <v>32394</v>
      </c>
      <c r="X853" t="s">
        <v>1052</v>
      </c>
      <c r="Y853">
        <v>29368</v>
      </c>
      <c r="Z853">
        <v>1328154</v>
      </c>
      <c r="AA853">
        <v>124066</v>
      </c>
      <c r="AB853" t="str">
        <f>(VLOOKUP(SalesData[[#This Row],[Month Number]],Reference!C$5:E$16,2,FALSE))</f>
        <v>Feb</v>
      </c>
      <c r="AC853">
        <f>MONTH(SalesData[[#This Row],[Date]])</f>
        <v>2</v>
      </c>
      <c r="AD853">
        <f>Reference!F$4</f>
        <v>2026</v>
      </c>
      <c r="AE853" t="str">
        <f>IF(OR(SalesData[[#This Row],[Day]]="Saturday",SalesData[[#This Row],[Day]]="Sunday"),"Weekend","Weekday")</f>
        <v>Weekday</v>
      </c>
      <c r="AF853" s="5">
        <f>IF(SalesData[[#This Row],[Contracts Offered]]=0,0,SalesData[[#This Row],[Contracts Signed]]/SalesData[[#This Row],[Contracts Offered]])</f>
        <v>0.28873239436619719</v>
      </c>
      <c r="AG853" s="5">
        <f>IF(SalesData[[#This Row],[Customers Visited]]=0,0,SalesData[[#This Row],[Test Drives]]/SalesData[[#This Row],[Customers Visited]])</f>
        <v>0.48684210526315791</v>
      </c>
      <c r="AH853" s="5">
        <f>IF(SalesData[[#This Row],[Customers Visited]]=0,0,SalesData[[#This Row],[Contracts Signed]]/SalesData[[#This Row],[Customers Visited]])</f>
        <v>8.9912280701754388E-2</v>
      </c>
      <c r="AI853" s="6">
        <f>IF(SalesData[[#This Row],[Contracts Signed]]=0,0,SalesData[[#This Row],[Profit(€)]]/SalesData[[#This Row],[Contracts Signed]])</f>
        <v>3026</v>
      </c>
      <c r="AJ853" s="5" t="str">
        <f>TRIM(CLEAN(SalesData[[#This Row],[Retailer]]))</f>
        <v>Autohaus Berlin</v>
      </c>
    </row>
    <row r="854" spans="1:36" ht="14.25" hidden="1" x14ac:dyDescent="0.2">
      <c r="A854" t="s">
        <v>1521</v>
      </c>
      <c r="B854" s="1">
        <v>46074</v>
      </c>
      <c r="C854" t="s">
        <v>62</v>
      </c>
      <c r="D854" t="s">
        <v>151</v>
      </c>
      <c r="E854" t="s">
        <v>42</v>
      </c>
      <c r="F854" t="s">
        <v>74</v>
      </c>
      <c r="G854" t="s">
        <v>75</v>
      </c>
      <c r="H854" t="s">
        <v>76</v>
      </c>
      <c r="I854" t="s">
        <v>116</v>
      </c>
      <c r="J854" t="s">
        <v>7026</v>
      </c>
      <c r="K854" t="s">
        <v>78</v>
      </c>
      <c r="L854" t="s">
        <v>46</v>
      </c>
      <c r="M854" t="s">
        <v>34</v>
      </c>
      <c r="N854" t="s">
        <v>48</v>
      </c>
      <c r="O854" t="s">
        <v>36</v>
      </c>
      <c r="P854" t="s">
        <v>37</v>
      </c>
      <c r="Q854" t="s">
        <v>38</v>
      </c>
      <c r="R854">
        <v>376</v>
      </c>
      <c r="S854">
        <v>209</v>
      </c>
      <c r="T854">
        <v>135</v>
      </c>
      <c r="U854">
        <v>35</v>
      </c>
      <c r="V854" t="s">
        <v>595</v>
      </c>
      <c r="W854">
        <v>25231</v>
      </c>
      <c r="X854" t="s">
        <v>1690</v>
      </c>
      <c r="Y854">
        <v>22725</v>
      </c>
      <c r="Z854">
        <v>883085</v>
      </c>
      <c r="AA854">
        <v>87710</v>
      </c>
      <c r="AB854" t="str">
        <f>(VLOOKUP(SalesData[[#This Row],[Month Number]],Reference!C$5:E$16,2,FALSE))</f>
        <v>Feb</v>
      </c>
      <c r="AC854">
        <f>MONTH(SalesData[[#This Row],[Date]])</f>
        <v>2</v>
      </c>
      <c r="AD854">
        <f>Reference!F$4</f>
        <v>2026</v>
      </c>
      <c r="AE854" t="str">
        <f>IF(OR(SalesData[[#This Row],[Day]]="Saturday",SalesData[[#This Row],[Day]]="Sunday"),"Weekend","Weekday")</f>
        <v>Weekend</v>
      </c>
      <c r="AF854" s="5">
        <f>IF(SalesData[[#This Row],[Contracts Offered]]=0,0,SalesData[[#This Row],[Contracts Signed]]/SalesData[[#This Row],[Contracts Offered]])</f>
        <v>0.25925925925925924</v>
      </c>
      <c r="AG854" s="5">
        <f>IF(SalesData[[#This Row],[Customers Visited]]=0,0,SalesData[[#This Row],[Test Drives]]/SalesData[[#This Row],[Customers Visited]])</f>
        <v>0.55585106382978722</v>
      </c>
      <c r="AH854" s="5">
        <f>IF(SalesData[[#This Row],[Customers Visited]]=0,0,SalesData[[#This Row],[Contracts Signed]]/SalesData[[#This Row],[Customers Visited]])</f>
        <v>9.3085106382978719E-2</v>
      </c>
      <c r="AI854" s="6">
        <f>IF(SalesData[[#This Row],[Contracts Signed]]=0,0,SalesData[[#This Row],[Profit(€)]]/SalesData[[#This Row],[Contracts Signed]])</f>
        <v>2506</v>
      </c>
      <c r="AJ854" s="5" t="str">
        <f>TRIM(CLEAN(SalesData[[#This Row],[Retailer]]))</f>
        <v>Stuttgart Auto Center</v>
      </c>
    </row>
    <row r="855" spans="1:36" ht="14.25" hidden="1" x14ac:dyDescent="0.2">
      <c r="A855" t="s">
        <v>1522</v>
      </c>
      <c r="B855" s="1">
        <v>46074</v>
      </c>
      <c r="C855" t="s">
        <v>62</v>
      </c>
      <c r="D855" t="s">
        <v>151</v>
      </c>
      <c r="E855" t="s">
        <v>42</v>
      </c>
      <c r="F855" t="s">
        <v>109</v>
      </c>
      <c r="G855" t="s">
        <v>110</v>
      </c>
      <c r="H855" t="s">
        <v>45</v>
      </c>
      <c r="I855" t="s">
        <v>56</v>
      </c>
      <c r="J855" t="s">
        <v>137</v>
      </c>
      <c r="K855" t="s">
        <v>78</v>
      </c>
      <c r="L855" t="s">
        <v>46</v>
      </c>
      <c r="M855" t="s">
        <v>47</v>
      </c>
      <c r="N855" t="s">
        <v>35</v>
      </c>
      <c r="O855" t="s">
        <v>70</v>
      </c>
      <c r="P855" t="s">
        <v>37</v>
      </c>
      <c r="Q855" t="s">
        <v>158</v>
      </c>
      <c r="R855">
        <v>282</v>
      </c>
      <c r="S855">
        <v>147</v>
      </c>
      <c r="T855">
        <v>105</v>
      </c>
      <c r="U855">
        <v>28</v>
      </c>
      <c r="V855" t="s">
        <v>367</v>
      </c>
      <c r="W855">
        <v>55741</v>
      </c>
      <c r="X855" t="s">
        <v>7115</v>
      </c>
      <c r="Y855">
        <v>42807</v>
      </c>
      <c r="Z855">
        <v>1560748</v>
      </c>
      <c r="AA855">
        <v>362152</v>
      </c>
      <c r="AB855" t="str">
        <f>(VLOOKUP(SalesData[[#This Row],[Month Number]],Reference!C$5:E$16,2,FALSE))</f>
        <v>Feb</v>
      </c>
      <c r="AC855">
        <f>MONTH(SalesData[[#This Row],[Date]])</f>
        <v>2</v>
      </c>
      <c r="AD855">
        <f>Reference!F$4</f>
        <v>2026</v>
      </c>
      <c r="AE855" t="str">
        <f>IF(OR(SalesData[[#This Row],[Day]]="Saturday",SalesData[[#This Row],[Day]]="Sunday"),"Weekend","Weekday")</f>
        <v>Weekend</v>
      </c>
      <c r="AF855" s="5">
        <f>IF(SalesData[[#This Row],[Contracts Offered]]=0,0,SalesData[[#This Row],[Contracts Signed]]/SalesData[[#This Row],[Contracts Offered]])</f>
        <v>0.26666666666666666</v>
      </c>
      <c r="AG855" s="5">
        <f>IF(SalesData[[#This Row],[Customers Visited]]=0,0,SalesData[[#This Row],[Test Drives]]/SalesData[[#This Row],[Customers Visited]])</f>
        <v>0.52127659574468088</v>
      </c>
      <c r="AH855" s="5">
        <f>IF(SalesData[[#This Row],[Customers Visited]]=0,0,SalesData[[#This Row],[Contracts Signed]]/SalesData[[#This Row],[Customers Visited]])</f>
        <v>9.9290780141843976E-2</v>
      </c>
      <c r="AI855" s="6">
        <f>IF(SalesData[[#This Row],[Contracts Signed]]=0,0,SalesData[[#This Row],[Profit(€)]]/SalesData[[#This Row],[Contracts Signed]])</f>
        <v>12934</v>
      </c>
      <c r="AJ855" s="5" t="str">
        <f>TRIM(CLEAN(SalesData[[#This Row],[Retailer]]))</f>
        <v>Leipzig Mobility</v>
      </c>
    </row>
    <row r="856" spans="1:36" ht="14.25" x14ac:dyDescent="0.2">
      <c r="A856" t="s">
        <v>1523</v>
      </c>
      <c r="B856" s="1">
        <v>46080</v>
      </c>
      <c r="C856" t="s">
        <v>53</v>
      </c>
      <c r="D856" t="s">
        <v>54</v>
      </c>
      <c r="E856" t="s">
        <v>26</v>
      </c>
      <c r="F856" t="s">
        <v>94</v>
      </c>
      <c r="G856" t="s">
        <v>95</v>
      </c>
      <c r="H856" t="s">
        <v>96</v>
      </c>
      <c r="I856" t="s">
        <v>30</v>
      </c>
      <c r="J856" t="s">
        <v>86</v>
      </c>
      <c r="K856" t="s">
        <v>78</v>
      </c>
      <c r="L856" t="s">
        <v>33</v>
      </c>
      <c r="M856" t="s">
        <v>68</v>
      </c>
      <c r="N856" t="s">
        <v>35</v>
      </c>
      <c r="O856" t="s">
        <v>36</v>
      </c>
      <c r="P856" t="s">
        <v>37</v>
      </c>
      <c r="Q856" t="s">
        <v>152</v>
      </c>
      <c r="R856">
        <v>212</v>
      </c>
      <c r="S856">
        <v>111</v>
      </c>
      <c r="T856">
        <v>75</v>
      </c>
      <c r="U856">
        <v>33</v>
      </c>
      <c r="V856" t="s">
        <v>7000</v>
      </c>
      <c r="W856">
        <v>62438</v>
      </c>
      <c r="X856" t="s">
        <v>7272</v>
      </c>
      <c r="Y856">
        <v>47729</v>
      </c>
      <c r="Z856">
        <v>2060454</v>
      </c>
      <c r="AA856">
        <v>485397</v>
      </c>
      <c r="AB856" t="str">
        <f>(VLOOKUP(SalesData[[#This Row],[Month Number]],Reference!C$5:E$16,2,FALSE))</f>
        <v>Feb</v>
      </c>
      <c r="AC856">
        <f>MONTH(SalesData[[#This Row],[Date]])</f>
        <v>2</v>
      </c>
      <c r="AD856">
        <f>Reference!F$4</f>
        <v>2026</v>
      </c>
      <c r="AE856" t="str">
        <f>IF(OR(SalesData[[#This Row],[Day]]="Saturday",SalesData[[#This Row],[Day]]="Sunday"),"Weekend","Weekday")</f>
        <v>Weekday</v>
      </c>
      <c r="AF856" s="5">
        <f>IF(SalesData[[#This Row],[Contracts Offered]]=0,0,SalesData[[#This Row],[Contracts Signed]]/SalesData[[#This Row],[Contracts Offered]])</f>
        <v>0.44</v>
      </c>
      <c r="AG856" s="5">
        <f>IF(SalesData[[#This Row],[Customers Visited]]=0,0,SalesData[[#This Row],[Test Drives]]/SalesData[[#This Row],[Customers Visited]])</f>
        <v>0.52358490566037741</v>
      </c>
      <c r="AH856" s="5">
        <f>IF(SalesData[[#This Row],[Customers Visited]]=0,0,SalesData[[#This Row],[Contracts Signed]]/SalesData[[#This Row],[Customers Visited]])</f>
        <v>0.15566037735849056</v>
      </c>
      <c r="AI856" s="6">
        <f>IF(SalesData[[#This Row],[Contracts Signed]]=0,0,SalesData[[#This Row],[Profit(€)]]/SalesData[[#This Row],[Contracts Signed]])</f>
        <v>14709</v>
      </c>
      <c r="AJ856" s="5" t="str">
        <f>TRIM(CLEAN(SalesData[[#This Row],[Retailer]]))</f>
        <v>Bavaria Motors</v>
      </c>
    </row>
    <row r="857" spans="1:36" ht="14.25" hidden="1" x14ac:dyDescent="0.2">
      <c r="A857" t="s">
        <v>1524</v>
      </c>
      <c r="B857" s="1">
        <v>46081</v>
      </c>
      <c r="C857" t="s">
        <v>53</v>
      </c>
      <c r="D857" t="s">
        <v>151</v>
      </c>
      <c r="E857" t="s">
        <v>42</v>
      </c>
      <c r="F857" t="s">
        <v>7649</v>
      </c>
      <c r="G857" t="s">
        <v>55</v>
      </c>
      <c r="H857" t="s">
        <v>55</v>
      </c>
      <c r="I857" t="s">
        <v>116</v>
      </c>
      <c r="J857" t="s">
        <v>132</v>
      </c>
      <c r="K857" t="s">
        <v>78</v>
      </c>
      <c r="L857" t="s">
        <v>46</v>
      </c>
      <c r="M857" t="s">
        <v>87</v>
      </c>
      <c r="N857" t="s">
        <v>35</v>
      </c>
      <c r="O857" t="s">
        <v>70</v>
      </c>
      <c r="P857" t="s">
        <v>37</v>
      </c>
      <c r="Q857" t="s">
        <v>347</v>
      </c>
      <c r="R857">
        <v>307</v>
      </c>
      <c r="S857">
        <v>139</v>
      </c>
      <c r="T857">
        <v>89</v>
      </c>
      <c r="U857">
        <v>20</v>
      </c>
      <c r="V857" t="s">
        <v>411</v>
      </c>
      <c r="W857">
        <v>24189</v>
      </c>
      <c r="X857" t="s">
        <v>694</v>
      </c>
      <c r="Y857">
        <v>21798</v>
      </c>
      <c r="Z857">
        <v>483780</v>
      </c>
      <c r="AA857">
        <v>47820</v>
      </c>
      <c r="AB857" t="str">
        <f>(VLOOKUP(SalesData[[#This Row],[Month Number]],Reference!C$5:E$16,2,FALSE))</f>
        <v>Feb</v>
      </c>
      <c r="AC857">
        <f>MONTH(SalesData[[#This Row],[Date]])</f>
        <v>2</v>
      </c>
      <c r="AD857">
        <f>Reference!F$4</f>
        <v>2026</v>
      </c>
      <c r="AE857" t="str">
        <f>IF(OR(SalesData[[#This Row],[Day]]="Saturday",SalesData[[#This Row],[Day]]="Sunday"),"Weekend","Weekday")</f>
        <v>Weekend</v>
      </c>
      <c r="AF857" s="5">
        <f>IF(SalesData[[#This Row],[Contracts Offered]]=0,0,SalesData[[#This Row],[Contracts Signed]]/SalesData[[#This Row],[Contracts Offered]])</f>
        <v>0.2247191011235955</v>
      </c>
      <c r="AG857" s="5">
        <f>IF(SalesData[[#This Row],[Customers Visited]]=0,0,SalesData[[#This Row],[Test Drives]]/SalesData[[#This Row],[Customers Visited]])</f>
        <v>0.45276872964169379</v>
      </c>
      <c r="AH857" s="5">
        <f>IF(SalesData[[#This Row],[Customers Visited]]=0,0,SalesData[[#This Row],[Contracts Signed]]/SalesData[[#This Row],[Customers Visited]])</f>
        <v>6.5146579804560262E-2</v>
      </c>
      <c r="AI857" s="6">
        <f>IF(SalesData[[#This Row],[Contracts Signed]]=0,0,SalesData[[#This Row],[Profit(€)]]/SalesData[[#This Row],[Contracts Signed]])</f>
        <v>2391</v>
      </c>
      <c r="AJ857" s="5" t="str">
        <f>TRIM(CLEAN(SalesData[[#This Row],[Retailer]]))</f>
        <v>Autohaus Berlin</v>
      </c>
    </row>
    <row r="858" spans="1:36" ht="14.25" x14ac:dyDescent="0.2">
      <c r="A858" t="s">
        <v>1525</v>
      </c>
      <c r="B858" s="1">
        <v>46067</v>
      </c>
      <c r="C858" t="s">
        <v>121</v>
      </c>
      <c r="D858" t="s">
        <v>151</v>
      </c>
      <c r="E858" t="s">
        <v>42</v>
      </c>
      <c r="F858" t="s">
        <v>109</v>
      </c>
      <c r="G858" t="s">
        <v>110</v>
      </c>
      <c r="H858" t="s">
        <v>45</v>
      </c>
      <c r="I858" t="s">
        <v>30</v>
      </c>
      <c r="J858" t="s">
        <v>166</v>
      </c>
      <c r="K858" t="s">
        <v>91</v>
      </c>
      <c r="L858" t="s">
        <v>46</v>
      </c>
      <c r="M858" t="s">
        <v>47</v>
      </c>
      <c r="N858" t="s">
        <v>35</v>
      </c>
      <c r="O858" t="s">
        <v>36</v>
      </c>
      <c r="P858" t="s">
        <v>71</v>
      </c>
      <c r="Q858" t="s">
        <v>79</v>
      </c>
      <c r="R858">
        <v>187</v>
      </c>
      <c r="S858">
        <v>92</v>
      </c>
      <c r="T858">
        <v>69</v>
      </c>
      <c r="U858">
        <v>24</v>
      </c>
      <c r="V858" t="s">
        <v>6360</v>
      </c>
      <c r="W858">
        <v>69040</v>
      </c>
      <c r="X858" t="s">
        <v>7328</v>
      </c>
      <c r="Y858">
        <v>52922</v>
      </c>
      <c r="Z858">
        <v>1656960</v>
      </c>
      <c r="AA858">
        <v>386832</v>
      </c>
      <c r="AB858" t="str">
        <f>(VLOOKUP(SalesData[[#This Row],[Month Number]],Reference!C$5:E$16,2,FALSE))</f>
        <v>Feb</v>
      </c>
      <c r="AC858">
        <f>MONTH(SalesData[[#This Row],[Date]])</f>
        <v>2</v>
      </c>
      <c r="AD858">
        <f>Reference!F$4</f>
        <v>2026</v>
      </c>
      <c r="AE858" t="str">
        <f>IF(OR(SalesData[[#This Row],[Day]]="Saturday",SalesData[[#This Row],[Day]]="Sunday"),"Weekend","Weekday")</f>
        <v>Weekend</v>
      </c>
      <c r="AF858" s="5">
        <f>IF(SalesData[[#This Row],[Contracts Offered]]=0,0,SalesData[[#This Row],[Contracts Signed]]/SalesData[[#This Row],[Contracts Offered]])</f>
        <v>0.34782608695652173</v>
      </c>
      <c r="AG858" s="5">
        <f>IF(SalesData[[#This Row],[Customers Visited]]=0,0,SalesData[[#This Row],[Test Drives]]/SalesData[[#This Row],[Customers Visited]])</f>
        <v>0.49197860962566847</v>
      </c>
      <c r="AH858" s="5">
        <f>IF(SalesData[[#This Row],[Customers Visited]]=0,0,SalesData[[#This Row],[Contracts Signed]]/SalesData[[#This Row],[Customers Visited]])</f>
        <v>0.12834224598930483</v>
      </c>
      <c r="AI858" s="6">
        <f>IF(SalesData[[#This Row],[Contracts Signed]]=0,0,SalesData[[#This Row],[Profit(€)]]/SalesData[[#This Row],[Contracts Signed]])</f>
        <v>16118</v>
      </c>
      <c r="AJ858" s="5" t="str">
        <f>TRIM(CLEAN(SalesData[[#This Row],[Retailer]]))</f>
        <v>Leipzig Mobility</v>
      </c>
    </row>
    <row r="859" spans="1:36" ht="14.25" hidden="1" x14ac:dyDescent="0.2">
      <c r="A859" t="s">
        <v>1526</v>
      </c>
      <c r="B859" s="1">
        <v>46076</v>
      </c>
      <c r="C859" t="s">
        <v>53</v>
      </c>
      <c r="D859" t="s">
        <v>25</v>
      </c>
      <c r="E859" t="s">
        <v>26</v>
      </c>
      <c r="F859" t="s">
        <v>127</v>
      </c>
      <c r="G859" t="s">
        <v>128</v>
      </c>
      <c r="H859" t="s">
        <v>103</v>
      </c>
      <c r="I859" t="s">
        <v>64</v>
      </c>
      <c r="J859" t="s">
        <v>65</v>
      </c>
      <c r="K859" t="s">
        <v>78</v>
      </c>
      <c r="L859" t="s">
        <v>33</v>
      </c>
      <c r="M859" t="s">
        <v>34</v>
      </c>
      <c r="N859" t="s">
        <v>69</v>
      </c>
      <c r="O859" t="s">
        <v>70</v>
      </c>
      <c r="P859" t="s">
        <v>58</v>
      </c>
      <c r="Q859" t="s">
        <v>135</v>
      </c>
      <c r="R859">
        <v>230</v>
      </c>
      <c r="S859">
        <v>128</v>
      </c>
      <c r="T859">
        <v>90</v>
      </c>
      <c r="U859">
        <v>34</v>
      </c>
      <c r="V859" t="s">
        <v>6898</v>
      </c>
      <c r="W859">
        <v>59599</v>
      </c>
      <c r="X859" t="s">
        <v>7287</v>
      </c>
      <c r="Y859">
        <v>46526</v>
      </c>
      <c r="Z859">
        <v>2026366</v>
      </c>
      <c r="AA859">
        <v>444482</v>
      </c>
      <c r="AB859" t="str">
        <f>(VLOOKUP(SalesData[[#This Row],[Month Number]],Reference!C$5:E$16,2,FALSE))</f>
        <v>Feb</v>
      </c>
      <c r="AC859">
        <f>MONTH(SalesData[[#This Row],[Date]])</f>
        <v>2</v>
      </c>
      <c r="AD859">
        <f>Reference!F$4</f>
        <v>2026</v>
      </c>
      <c r="AE859" t="str">
        <f>IF(OR(SalesData[[#This Row],[Day]]="Saturday",SalesData[[#This Row],[Day]]="Sunday"),"Weekend","Weekday")</f>
        <v>Weekday</v>
      </c>
      <c r="AF859" s="5">
        <f>IF(SalesData[[#This Row],[Contracts Offered]]=0,0,SalesData[[#This Row],[Contracts Signed]]/SalesData[[#This Row],[Contracts Offered]])</f>
        <v>0.37777777777777777</v>
      </c>
      <c r="AG859" s="5">
        <f>IF(SalesData[[#This Row],[Customers Visited]]=0,0,SalesData[[#This Row],[Test Drives]]/SalesData[[#This Row],[Customers Visited]])</f>
        <v>0.55652173913043479</v>
      </c>
      <c r="AH859" s="5">
        <f>IF(SalesData[[#This Row],[Customers Visited]]=0,0,SalesData[[#This Row],[Contracts Signed]]/SalesData[[#This Row],[Customers Visited]])</f>
        <v>0.14782608695652175</v>
      </c>
      <c r="AI859" s="6">
        <f>IF(SalesData[[#This Row],[Contracts Signed]]=0,0,SalesData[[#This Row],[Profit(€)]]/SalesData[[#This Row],[Contracts Signed]])</f>
        <v>13073</v>
      </c>
      <c r="AJ859" s="5" t="str">
        <f>TRIM(CLEAN(SalesData[[#This Row],[Retailer]]))</f>
        <v>Rhein Auto Group</v>
      </c>
    </row>
    <row r="860" spans="1:36" ht="14.25" hidden="1" x14ac:dyDescent="0.2">
      <c r="A860" t="s">
        <v>1527</v>
      </c>
      <c r="B860" s="1">
        <v>46072</v>
      </c>
      <c r="C860" t="s">
        <v>62</v>
      </c>
      <c r="D860" t="s">
        <v>100</v>
      </c>
      <c r="E860" t="s">
        <v>26</v>
      </c>
      <c r="F860" t="s">
        <v>109</v>
      </c>
      <c r="G860" t="s">
        <v>110</v>
      </c>
      <c r="H860" t="s">
        <v>45</v>
      </c>
      <c r="I860" t="s">
        <v>104</v>
      </c>
      <c r="J860" t="s">
        <v>143</v>
      </c>
      <c r="K860" t="s">
        <v>66</v>
      </c>
      <c r="L860" t="s">
        <v>67</v>
      </c>
      <c r="M860" t="s">
        <v>34</v>
      </c>
      <c r="N860" t="s">
        <v>69</v>
      </c>
      <c r="O860" t="s">
        <v>36</v>
      </c>
      <c r="P860" t="s">
        <v>71</v>
      </c>
      <c r="Q860" t="s">
        <v>88</v>
      </c>
      <c r="R860">
        <v>304</v>
      </c>
      <c r="S860">
        <v>150</v>
      </c>
      <c r="T860">
        <v>93</v>
      </c>
      <c r="U860">
        <v>21</v>
      </c>
      <c r="V860" t="s">
        <v>1133</v>
      </c>
      <c r="W860">
        <v>26099</v>
      </c>
      <c r="X860" t="s">
        <v>427</v>
      </c>
      <c r="Y860">
        <v>22879</v>
      </c>
      <c r="Z860">
        <v>548079</v>
      </c>
      <c r="AA860">
        <v>67620</v>
      </c>
      <c r="AB860" t="str">
        <f>(VLOOKUP(SalesData[[#This Row],[Month Number]],Reference!C$5:E$16,2,FALSE))</f>
        <v>Feb</v>
      </c>
      <c r="AC860">
        <f>MONTH(SalesData[[#This Row],[Date]])</f>
        <v>2</v>
      </c>
      <c r="AD860">
        <f>Reference!F$4</f>
        <v>2026</v>
      </c>
      <c r="AE860" t="str">
        <f>IF(OR(SalesData[[#This Row],[Day]]="Saturday",SalesData[[#This Row],[Day]]="Sunday"),"Weekend","Weekday")</f>
        <v>Weekday</v>
      </c>
      <c r="AF860" s="5">
        <f>IF(SalesData[[#This Row],[Contracts Offered]]=0,0,SalesData[[#This Row],[Contracts Signed]]/SalesData[[#This Row],[Contracts Offered]])</f>
        <v>0.22580645161290322</v>
      </c>
      <c r="AG860" s="5">
        <f>IF(SalesData[[#This Row],[Customers Visited]]=0,0,SalesData[[#This Row],[Test Drives]]/SalesData[[#This Row],[Customers Visited]])</f>
        <v>0.49342105263157893</v>
      </c>
      <c r="AH860" s="5">
        <f>IF(SalesData[[#This Row],[Customers Visited]]=0,0,SalesData[[#This Row],[Contracts Signed]]/SalesData[[#This Row],[Customers Visited]])</f>
        <v>6.9078947368421059E-2</v>
      </c>
      <c r="AI860" s="6">
        <f>IF(SalesData[[#This Row],[Contracts Signed]]=0,0,SalesData[[#This Row],[Profit(€)]]/SalesData[[#This Row],[Contracts Signed]])</f>
        <v>3220</v>
      </c>
      <c r="AJ860" s="5" t="str">
        <f>TRIM(CLEAN(SalesData[[#This Row],[Retailer]]))</f>
        <v>Leipzig Mobility</v>
      </c>
    </row>
    <row r="861" spans="1:36" ht="14.25" hidden="1" x14ac:dyDescent="0.2">
      <c r="A861" t="s">
        <v>1529</v>
      </c>
      <c r="B861" s="1">
        <v>46073</v>
      </c>
      <c r="C861" t="s">
        <v>62</v>
      </c>
      <c r="D861" t="s">
        <v>54</v>
      </c>
      <c r="E861" t="s">
        <v>26</v>
      </c>
      <c r="F861" t="s">
        <v>43</v>
      </c>
      <c r="G861" t="s">
        <v>44</v>
      </c>
      <c r="H861" t="s">
        <v>45</v>
      </c>
      <c r="I861" t="s">
        <v>56</v>
      </c>
      <c r="J861" t="s">
        <v>179</v>
      </c>
      <c r="K861" t="s">
        <v>91</v>
      </c>
      <c r="L861" t="s">
        <v>67</v>
      </c>
      <c r="M861" t="s">
        <v>68</v>
      </c>
      <c r="N861" t="s">
        <v>48</v>
      </c>
      <c r="O861" t="s">
        <v>36</v>
      </c>
      <c r="P861" t="s">
        <v>58</v>
      </c>
      <c r="Q861" t="s">
        <v>158</v>
      </c>
      <c r="R861">
        <v>248</v>
      </c>
      <c r="S861">
        <v>116</v>
      </c>
      <c r="T861">
        <v>87</v>
      </c>
      <c r="U861">
        <v>26</v>
      </c>
      <c r="V861" t="s">
        <v>6508</v>
      </c>
      <c r="W861">
        <v>45531</v>
      </c>
      <c r="X861" t="s">
        <v>7177</v>
      </c>
      <c r="Y861">
        <v>34585</v>
      </c>
      <c r="Z861">
        <v>1183806</v>
      </c>
      <c r="AA861">
        <v>284596</v>
      </c>
      <c r="AB861" t="str">
        <f>(VLOOKUP(SalesData[[#This Row],[Month Number]],Reference!C$5:E$16,2,FALSE))</f>
        <v>Feb</v>
      </c>
      <c r="AC861">
        <f>MONTH(SalesData[[#This Row],[Date]])</f>
        <v>2</v>
      </c>
      <c r="AD861">
        <f>Reference!F$4</f>
        <v>2026</v>
      </c>
      <c r="AE861" t="str">
        <f>IF(OR(SalesData[[#This Row],[Day]]="Saturday",SalesData[[#This Row],[Day]]="Sunday"),"Weekend","Weekday")</f>
        <v>Weekday</v>
      </c>
      <c r="AF861" s="5">
        <f>IF(SalesData[[#This Row],[Contracts Offered]]=0,0,SalesData[[#This Row],[Contracts Signed]]/SalesData[[#This Row],[Contracts Offered]])</f>
        <v>0.2988505747126437</v>
      </c>
      <c r="AG861" s="5">
        <f>IF(SalesData[[#This Row],[Customers Visited]]=0,0,SalesData[[#This Row],[Test Drives]]/SalesData[[#This Row],[Customers Visited]])</f>
        <v>0.46774193548387094</v>
      </c>
      <c r="AH861" s="5">
        <f>IF(SalesData[[#This Row],[Customers Visited]]=0,0,SalesData[[#This Row],[Contracts Signed]]/SalesData[[#This Row],[Customers Visited]])</f>
        <v>0.10483870967741936</v>
      </c>
      <c r="AI861" s="6">
        <f>IF(SalesData[[#This Row],[Contracts Signed]]=0,0,SalesData[[#This Row],[Profit(€)]]/SalesData[[#This Row],[Contracts Signed]])</f>
        <v>10946</v>
      </c>
      <c r="AJ861" s="5" t="str">
        <f>TRIM(CLEAN(SalesData[[#This Row],[Retailer]]))</f>
        <v>Saxon Wheels</v>
      </c>
    </row>
    <row r="862" spans="1:36" ht="14.25" hidden="1" x14ac:dyDescent="0.2">
      <c r="A862" t="s">
        <v>1530</v>
      </c>
      <c r="B862" s="1">
        <v>46072</v>
      </c>
      <c r="C862" t="s">
        <v>62</v>
      </c>
      <c r="D862" t="s">
        <v>100</v>
      </c>
      <c r="E862" t="s">
        <v>26</v>
      </c>
      <c r="F862" t="s">
        <v>74</v>
      </c>
      <c r="G862" t="s">
        <v>75</v>
      </c>
      <c r="H862" t="s">
        <v>76</v>
      </c>
      <c r="I862" t="s">
        <v>116</v>
      </c>
      <c r="J862" t="s">
        <v>117</v>
      </c>
      <c r="K862" t="s">
        <v>91</v>
      </c>
      <c r="L862" t="s">
        <v>67</v>
      </c>
      <c r="M862" t="s">
        <v>34</v>
      </c>
      <c r="N862" t="s">
        <v>48</v>
      </c>
      <c r="O862" t="s">
        <v>70</v>
      </c>
      <c r="P862" t="s">
        <v>37</v>
      </c>
      <c r="Q862" t="s">
        <v>152</v>
      </c>
      <c r="R862">
        <v>249</v>
      </c>
      <c r="S862">
        <v>113</v>
      </c>
      <c r="T862">
        <v>74</v>
      </c>
      <c r="U862">
        <v>16</v>
      </c>
      <c r="V862" t="s">
        <v>6696</v>
      </c>
      <c r="W862">
        <v>19138</v>
      </c>
      <c r="X862" t="s">
        <v>5738</v>
      </c>
      <c r="Y862">
        <v>17283</v>
      </c>
      <c r="Z862">
        <v>306208</v>
      </c>
      <c r="AA862">
        <v>29680</v>
      </c>
      <c r="AB862" t="str">
        <f>(VLOOKUP(SalesData[[#This Row],[Month Number]],Reference!C$5:E$16,2,FALSE))</f>
        <v>Feb</v>
      </c>
      <c r="AC862">
        <f>MONTH(SalesData[[#This Row],[Date]])</f>
        <v>2</v>
      </c>
      <c r="AD862">
        <f>Reference!F$4</f>
        <v>2026</v>
      </c>
      <c r="AE862" t="str">
        <f>IF(OR(SalesData[[#This Row],[Day]]="Saturday",SalesData[[#This Row],[Day]]="Sunday"),"Weekend","Weekday")</f>
        <v>Weekday</v>
      </c>
      <c r="AF862" s="5">
        <f>IF(SalesData[[#This Row],[Contracts Offered]]=0,0,SalesData[[#This Row],[Contracts Signed]]/SalesData[[#This Row],[Contracts Offered]])</f>
        <v>0.21621621621621623</v>
      </c>
      <c r="AG862" s="5">
        <f>IF(SalesData[[#This Row],[Customers Visited]]=0,0,SalesData[[#This Row],[Test Drives]]/SalesData[[#This Row],[Customers Visited]])</f>
        <v>0.45381526104417669</v>
      </c>
      <c r="AH862" s="5">
        <f>IF(SalesData[[#This Row],[Customers Visited]]=0,0,SalesData[[#This Row],[Contracts Signed]]/SalesData[[#This Row],[Customers Visited]])</f>
        <v>6.4257028112449793E-2</v>
      </c>
      <c r="AI862" s="6">
        <f>IF(SalesData[[#This Row],[Contracts Signed]]=0,0,SalesData[[#This Row],[Profit(€)]]/SalesData[[#This Row],[Contracts Signed]])</f>
        <v>1855</v>
      </c>
      <c r="AJ862" s="5" t="str">
        <f>TRIM(CLEAN(SalesData[[#This Row],[Retailer]]))</f>
        <v>Stuttgart Auto Center</v>
      </c>
    </row>
    <row r="863" spans="1:36" ht="14.25" hidden="1" x14ac:dyDescent="0.2">
      <c r="A863" t="s">
        <v>1531</v>
      </c>
      <c r="B863" s="1">
        <v>46061</v>
      </c>
      <c r="C863" t="s">
        <v>121</v>
      </c>
      <c r="D863" t="s">
        <v>41</v>
      </c>
      <c r="E863" t="s">
        <v>42</v>
      </c>
      <c r="F863" t="s">
        <v>127</v>
      </c>
      <c r="G863" t="s">
        <v>128</v>
      </c>
      <c r="H863" t="s">
        <v>103</v>
      </c>
      <c r="I863" t="s">
        <v>64</v>
      </c>
      <c r="J863" t="s">
        <v>111</v>
      </c>
      <c r="K863" t="s">
        <v>66</v>
      </c>
      <c r="L863" t="s">
        <v>46</v>
      </c>
      <c r="M863" t="s">
        <v>34</v>
      </c>
      <c r="N863" t="s">
        <v>35</v>
      </c>
      <c r="O863" t="s">
        <v>36</v>
      </c>
      <c r="P863" t="s">
        <v>37</v>
      </c>
      <c r="Q863" t="s">
        <v>135</v>
      </c>
      <c r="R863">
        <v>170</v>
      </c>
      <c r="S863">
        <v>90</v>
      </c>
      <c r="T863">
        <v>59</v>
      </c>
      <c r="U863">
        <v>21</v>
      </c>
      <c r="V863" t="s">
        <v>6365</v>
      </c>
      <c r="W863">
        <v>65378</v>
      </c>
      <c r="X863" t="s">
        <v>7329</v>
      </c>
      <c r="Y863">
        <v>46648</v>
      </c>
      <c r="Z863">
        <v>1372938</v>
      </c>
      <c r="AA863">
        <v>393330</v>
      </c>
      <c r="AB863" t="str">
        <f>(VLOOKUP(SalesData[[#This Row],[Month Number]],Reference!C$5:E$16,2,FALSE))</f>
        <v>Feb</v>
      </c>
      <c r="AC863">
        <f>MONTH(SalesData[[#This Row],[Date]])</f>
        <v>2</v>
      </c>
      <c r="AD863">
        <f>Reference!F$4</f>
        <v>2026</v>
      </c>
      <c r="AE863" t="str">
        <f>IF(OR(SalesData[[#This Row],[Day]]="Saturday",SalesData[[#This Row],[Day]]="Sunday"),"Weekend","Weekday")</f>
        <v>Weekend</v>
      </c>
      <c r="AF863" s="5">
        <f>IF(SalesData[[#This Row],[Contracts Offered]]=0,0,SalesData[[#This Row],[Contracts Signed]]/SalesData[[#This Row],[Contracts Offered]])</f>
        <v>0.3559322033898305</v>
      </c>
      <c r="AG863" s="5">
        <f>IF(SalesData[[#This Row],[Customers Visited]]=0,0,SalesData[[#This Row],[Test Drives]]/SalesData[[#This Row],[Customers Visited]])</f>
        <v>0.52941176470588236</v>
      </c>
      <c r="AH863" s="5">
        <f>IF(SalesData[[#This Row],[Customers Visited]]=0,0,SalesData[[#This Row],[Contracts Signed]]/SalesData[[#This Row],[Customers Visited]])</f>
        <v>0.12352941176470589</v>
      </c>
      <c r="AI863" s="6">
        <f>IF(SalesData[[#This Row],[Contracts Signed]]=0,0,SalesData[[#This Row],[Profit(€)]]/SalesData[[#This Row],[Contracts Signed]])</f>
        <v>18730</v>
      </c>
      <c r="AJ863" s="5" t="str">
        <f>TRIM(CLEAN(SalesData[[#This Row],[Retailer]]))</f>
        <v>Rhein Auto Group</v>
      </c>
    </row>
    <row r="864" spans="1:36" ht="14.25" x14ac:dyDescent="0.2">
      <c r="A864" t="s">
        <v>1533</v>
      </c>
      <c r="B864" s="1">
        <v>46063</v>
      </c>
      <c r="C864" t="s">
        <v>121</v>
      </c>
      <c r="D864" t="s">
        <v>63</v>
      </c>
      <c r="E864" t="s">
        <v>26</v>
      </c>
      <c r="F864" t="s">
        <v>83</v>
      </c>
      <c r="G864" t="s">
        <v>84</v>
      </c>
      <c r="H864" t="s">
        <v>85</v>
      </c>
      <c r="I864" t="s">
        <v>30</v>
      </c>
      <c r="J864" t="s">
        <v>86</v>
      </c>
      <c r="K864" t="s">
        <v>78</v>
      </c>
      <c r="L864" t="s">
        <v>33</v>
      </c>
      <c r="M864" t="s">
        <v>68</v>
      </c>
      <c r="N864" t="s">
        <v>69</v>
      </c>
      <c r="O864" t="s">
        <v>70</v>
      </c>
      <c r="P864" t="s">
        <v>58</v>
      </c>
      <c r="Q864" t="s">
        <v>152</v>
      </c>
      <c r="R864">
        <v>218</v>
      </c>
      <c r="S864">
        <v>124</v>
      </c>
      <c r="T864">
        <v>89</v>
      </c>
      <c r="U864">
        <v>34</v>
      </c>
      <c r="V864" t="s">
        <v>6458</v>
      </c>
      <c r="W864">
        <v>67880</v>
      </c>
      <c r="X864" t="s">
        <v>7330</v>
      </c>
      <c r="Y864">
        <v>49964</v>
      </c>
      <c r="Z864">
        <v>2307920</v>
      </c>
      <c r="AA864">
        <v>609144</v>
      </c>
      <c r="AB864" t="str">
        <f>(VLOOKUP(SalesData[[#This Row],[Month Number]],Reference!C$5:E$16,2,FALSE))</f>
        <v>Feb</v>
      </c>
      <c r="AC864">
        <f>MONTH(SalesData[[#This Row],[Date]])</f>
        <v>2</v>
      </c>
      <c r="AD864">
        <f>Reference!F$4</f>
        <v>2026</v>
      </c>
      <c r="AE864" t="str">
        <f>IF(OR(SalesData[[#This Row],[Day]]="Saturday",SalesData[[#This Row],[Day]]="Sunday"),"Weekend","Weekday")</f>
        <v>Weekday</v>
      </c>
      <c r="AF864" s="5">
        <f>IF(SalesData[[#This Row],[Contracts Offered]]=0,0,SalesData[[#This Row],[Contracts Signed]]/SalesData[[#This Row],[Contracts Offered]])</f>
        <v>0.38202247191011235</v>
      </c>
      <c r="AG864" s="5">
        <f>IF(SalesData[[#This Row],[Customers Visited]]=0,0,SalesData[[#This Row],[Test Drives]]/SalesData[[#This Row],[Customers Visited]])</f>
        <v>0.56880733944954132</v>
      </c>
      <c r="AH864" s="5">
        <f>IF(SalesData[[#This Row],[Customers Visited]]=0,0,SalesData[[#This Row],[Contracts Signed]]/SalesData[[#This Row],[Customers Visited]])</f>
        <v>0.15596330275229359</v>
      </c>
      <c r="AI864" s="6">
        <f>IF(SalesData[[#This Row],[Contracts Signed]]=0,0,SalesData[[#This Row],[Profit(€)]]/SalesData[[#This Row],[Contracts Signed]])</f>
        <v>17916</v>
      </c>
      <c r="AJ864" s="5" t="str">
        <f>TRIM(CLEAN(SalesData[[#This Row],[Retailer]]))</f>
        <v>Hannover Cars</v>
      </c>
    </row>
    <row r="865" spans="1:36" ht="14.25" hidden="1" x14ac:dyDescent="0.2">
      <c r="A865" t="s">
        <v>1534</v>
      </c>
      <c r="B865" s="1">
        <v>46081</v>
      </c>
      <c r="C865" t="s">
        <v>53</v>
      </c>
      <c r="D865" t="s">
        <v>151</v>
      </c>
      <c r="E865" t="s">
        <v>42</v>
      </c>
      <c r="F865" t="s">
        <v>114</v>
      </c>
      <c r="G865" t="s">
        <v>115</v>
      </c>
      <c r="H865" t="s">
        <v>115</v>
      </c>
      <c r="I865" t="s">
        <v>116</v>
      </c>
      <c r="J865" t="s">
        <v>7026</v>
      </c>
      <c r="K865" t="s">
        <v>91</v>
      </c>
      <c r="L865" t="s">
        <v>46</v>
      </c>
      <c r="M865" t="s">
        <v>47</v>
      </c>
      <c r="N865" t="s">
        <v>69</v>
      </c>
      <c r="O865" t="s">
        <v>36</v>
      </c>
      <c r="P865" t="s">
        <v>49</v>
      </c>
      <c r="Q865" t="s">
        <v>135</v>
      </c>
      <c r="R865">
        <v>372</v>
      </c>
      <c r="S865">
        <v>143</v>
      </c>
      <c r="T865">
        <v>86</v>
      </c>
      <c r="U865">
        <v>19</v>
      </c>
      <c r="V865" t="s">
        <v>1436</v>
      </c>
      <c r="W865">
        <v>19444</v>
      </c>
      <c r="X865" t="s">
        <v>2121</v>
      </c>
      <c r="Y865">
        <v>18063</v>
      </c>
      <c r="Z865">
        <v>369436</v>
      </c>
      <c r="AA865">
        <v>26239</v>
      </c>
      <c r="AB865" t="str">
        <f>(VLOOKUP(SalesData[[#This Row],[Month Number]],Reference!C$5:E$16,2,FALSE))</f>
        <v>Feb</v>
      </c>
      <c r="AC865">
        <f>MONTH(SalesData[[#This Row],[Date]])</f>
        <v>2</v>
      </c>
      <c r="AD865">
        <f>Reference!F$4</f>
        <v>2026</v>
      </c>
      <c r="AE865" t="str">
        <f>IF(OR(SalesData[[#This Row],[Day]]="Saturday",SalesData[[#This Row],[Day]]="Sunday"),"Weekend","Weekday")</f>
        <v>Weekend</v>
      </c>
      <c r="AF865" s="5">
        <f>IF(SalesData[[#This Row],[Contracts Offered]]=0,0,SalesData[[#This Row],[Contracts Signed]]/SalesData[[#This Row],[Contracts Offered]])</f>
        <v>0.22093023255813954</v>
      </c>
      <c r="AG865" s="5">
        <f>IF(SalesData[[#This Row],[Customers Visited]]=0,0,SalesData[[#This Row],[Test Drives]]/SalesData[[#This Row],[Customers Visited]])</f>
        <v>0.38440860215053763</v>
      </c>
      <c r="AH865" s="5">
        <f>IF(SalesData[[#This Row],[Customers Visited]]=0,0,SalesData[[#This Row],[Contracts Signed]]/SalesData[[#This Row],[Customers Visited]])</f>
        <v>5.1075268817204304E-2</v>
      </c>
      <c r="AI865" s="6">
        <f>IF(SalesData[[#This Row],[Contracts Signed]]=0,0,SalesData[[#This Row],[Profit(€)]]/SalesData[[#This Row],[Contracts Signed]])</f>
        <v>1381</v>
      </c>
      <c r="AJ865" s="5" t="str">
        <f>TRIM(CLEAN(SalesData[[#This Row],[Retailer]]))</f>
        <v>Elbe Drive</v>
      </c>
    </row>
    <row r="866" spans="1:36" ht="14.25" hidden="1" x14ac:dyDescent="0.2">
      <c r="A866" t="s">
        <v>1535</v>
      </c>
      <c r="B866" s="1">
        <v>46065</v>
      </c>
      <c r="C866" t="s">
        <v>121</v>
      </c>
      <c r="D866" t="s">
        <v>100</v>
      </c>
      <c r="E866" t="s">
        <v>26</v>
      </c>
      <c r="F866" t="s">
        <v>109</v>
      </c>
      <c r="G866" t="s">
        <v>110</v>
      </c>
      <c r="H866" t="s">
        <v>45</v>
      </c>
      <c r="I866" t="s">
        <v>104</v>
      </c>
      <c r="J866" t="s">
        <v>143</v>
      </c>
      <c r="K866" t="s">
        <v>66</v>
      </c>
      <c r="L866" t="s">
        <v>67</v>
      </c>
      <c r="M866" t="s">
        <v>87</v>
      </c>
      <c r="N866" t="s">
        <v>48</v>
      </c>
      <c r="O866" t="s">
        <v>36</v>
      </c>
      <c r="P866" t="s">
        <v>37</v>
      </c>
      <c r="Q866" t="s">
        <v>204</v>
      </c>
      <c r="R866">
        <v>339</v>
      </c>
      <c r="S866">
        <v>165</v>
      </c>
      <c r="T866">
        <v>115</v>
      </c>
      <c r="U866">
        <v>26</v>
      </c>
      <c r="V866" t="s">
        <v>1327</v>
      </c>
      <c r="W866">
        <v>29355</v>
      </c>
      <c r="X866" t="s">
        <v>3515</v>
      </c>
      <c r="Y866">
        <v>25669</v>
      </c>
      <c r="Z866">
        <v>763230</v>
      </c>
      <c r="AA866">
        <v>95836</v>
      </c>
      <c r="AB866" t="str">
        <f>(VLOOKUP(SalesData[[#This Row],[Month Number]],Reference!C$5:E$16,2,FALSE))</f>
        <v>Feb</v>
      </c>
      <c r="AC866">
        <f>MONTH(SalesData[[#This Row],[Date]])</f>
        <v>2</v>
      </c>
      <c r="AD866">
        <f>Reference!F$4</f>
        <v>2026</v>
      </c>
      <c r="AE866" t="str">
        <f>IF(OR(SalesData[[#This Row],[Day]]="Saturday",SalesData[[#This Row],[Day]]="Sunday"),"Weekend","Weekday")</f>
        <v>Weekday</v>
      </c>
      <c r="AF866" s="5">
        <f>IF(SalesData[[#This Row],[Contracts Offered]]=0,0,SalesData[[#This Row],[Contracts Signed]]/SalesData[[#This Row],[Contracts Offered]])</f>
        <v>0.22608695652173913</v>
      </c>
      <c r="AG866" s="5">
        <f>IF(SalesData[[#This Row],[Customers Visited]]=0,0,SalesData[[#This Row],[Test Drives]]/SalesData[[#This Row],[Customers Visited]])</f>
        <v>0.48672566371681414</v>
      </c>
      <c r="AH866" s="5">
        <f>IF(SalesData[[#This Row],[Customers Visited]]=0,0,SalesData[[#This Row],[Contracts Signed]]/SalesData[[#This Row],[Customers Visited]])</f>
        <v>7.6696165191740412E-2</v>
      </c>
      <c r="AI866" s="6">
        <f>IF(SalesData[[#This Row],[Contracts Signed]]=0,0,SalesData[[#This Row],[Profit(€)]]/SalesData[[#This Row],[Contracts Signed]])</f>
        <v>3686</v>
      </c>
      <c r="AJ866" s="5" t="str">
        <f>TRIM(CLEAN(SalesData[[#This Row],[Retailer]]))</f>
        <v>Leipzig Mobility</v>
      </c>
    </row>
    <row r="867" spans="1:36" ht="14.25" x14ac:dyDescent="0.2">
      <c r="A867" t="s">
        <v>1536</v>
      </c>
      <c r="B867" s="1">
        <v>46071</v>
      </c>
      <c r="C867" t="s">
        <v>62</v>
      </c>
      <c r="D867" t="s">
        <v>82</v>
      </c>
      <c r="E867" t="s">
        <v>26</v>
      </c>
      <c r="F867" t="s">
        <v>83</v>
      </c>
      <c r="G867" t="s">
        <v>84</v>
      </c>
      <c r="H867" t="s">
        <v>85</v>
      </c>
      <c r="I867" t="s">
        <v>30</v>
      </c>
      <c r="J867" t="s">
        <v>86</v>
      </c>
      <c r="K867" t="s">
        <v>66</v>
      </c>
      <c r="L867" t="s">
        <v>33</v>
      </c>
      <c r="M867" t="s">
        <v>47</v>
      </c>
      <c r="N867" t="s">
        <v>48</v>
      </c>
      <c r="O867" t="s">
        <v>36</v>
      </c>
      <c r="P867" t="s">
        <v>58</v>
      </c>
      <c r="Q867" t="s">
        <v>122</v>
      </c>
      <c r="R867">
        <v>222</v>
      </c>
      <c r="S867">
        <v>112</v>
      </c>
      <c r="T867">
        <v>82</v>
      </c>
      <c r="U867">
        <v>37</v>
      </c>
      <c r="V867" t="s">
        <v>7331</v>
      </c>
      <c r="W867">
        <v>60224</v>
      </c>
      <c r="X867" t="s">
        <v>7232</v>
      </c>
      <c r="Y867">
        <v>42496</v>
      </c>
      <c r="Z867">
        <v>2228288</v>
      </c>
      <c r="AA867">
        <v>655936</v>
      </c>
      <c r="AB867" t="str">
        <f>(VLOOKUP(SalesData[[#This Row],[Month Number]],Reference!C$5:E$16,2,FALSE))</f>
        <v>Feb</v>
      </c>
      <c r="AC867">
        <f>MONTH(SalesData[[#This Row],[Date]])</f>
        <v>2</v>
      </c>
      <c r="AD867">
        <f>Reference!F$4</f>
        <v>2026</v>
      </c>
      <c r="AE867" t="str">
        <f>IF(OR(SalesData[[#This Row],[Day]]="Saturday",SalesData[[#This Row],[Day]]="Sunday"),"Weekend","Weekday")</f>
        <v>Weekday</v>
      </c>
      <c r="AF867" s="5">
        <f>IF(SalesData[[#This Row],[Contracts Offered]]=0,0,SalesData[[#This Row],[Contracts Signed]]/SalesData[[#This Row],[Contracts Offered]])</f>
        <v>0.45121951219512196</v>
      </c>
      <c r="AG867" s="5">
        <f>IF(SalesData[[#This Row],[Customers Visited]]=0,0,SalesData[[#This Row],[Test Drives]]/SalesData[[#This Row],[Customers Visited]])</f>
        <v>0.50450450450450446</v>
      </c>
      <c r="AH867" s="5">
        <f>IF(SalesData[[#This Row],[Customers Visited]]=0,0,SalesData[[#This Row],[Contracts Signed]]/SalesData[[#This Row],[Customers Visited]])</f>
        <v>0.16666666666666666</v>
      </c>
      <c r="AI867" s="6">
        <f>IF(SalesData[[#This Row],[Contracts Signed]]=0,0,SalesData[[#This Row],[Profit(€)]]/SalesData[[#This Row],[Contracts Signed]])</f>
        <v>17728</v>
      </c>
      <c r="AJ867" s="5" t="str">
        <f>TRIM(CLEAN(SalesData[[#This Row],[Retailer]]))</f>
        <v>Hannover Cars</v>
      </c>
    </row>
    <row r="868" spans="1:36" ht="14.25" hidden="1" x14ac:dyDescent="0.2">
      <c r="A868" t="s">
        <v>1538</v>
      </c>
      <c r="B868" s="1">
        <v>46062</v>
      </c>
      <c r="C868" t="s">
        <v>121</v>
      </c>
      <c r="D868" t="s">
        <v>25</v>
      </c>
      <c r="E868" t="s">
        <v>26</v>
      </c>
      <c r="F868" t="s">
        <v>109</v>
      </c>
      <c r="G868" t="s">
        <v>110</v>
      </c>
      <c r="H868" t="s">
        <v>45</v>
      </c>
      <c r="I868" t="s">
        <v>64</v>
      </c>
      <c r="J868" t="s">
        <v>111</v>
      </c>
      <c r="K868" t="s">
        <v>32</v>
      </c>
      <c r="L868" t="s">
        <v>46</v>
      </c>
      <c r="M868" t="s">
        <v>34</v>
      </c>
      <c r="N868" t="s">
        <v>35</v>
      </c>
      <c r="O868" t="s">
        <v>36</v>
      </c>
      <c r="P868" t="s">
        <v>49</v>
      </c>
      <c r="Q868" t="s">
        <v>38</v>
      </c>
      <c r="R868">
        <v>159</v>
      </c>
      <c r="S868">
        <v>83</v>
      </c>
      <c r="T868">
        <v>64</v>
      </c>
      <c r="U868">
        <v>17</v>
      </c>
      <c r="V868" t="s">
        <v>6754</v>
      </c>
      <c r="W868">
        <v>64937</v>
      </c>
      <c r="X868" t="s">
        <v>7332</v>
      </c>
      <c r="Y868">
        <v>48809</v>
      </c>
      <c r="Z868">
        <v>1103929</v>
      </c>
      <c r="AA868">
        <v>274176</v>
      </c>
      <c r="AB868" t="str">
        <f>(VLOOKUP(SalesData[[#This Row],[Month Number]],Reference!C$5:E$16,2,FALSE))</f>
        <v>Feb</v>
      </c>
      <c r="AC868">
        <f>MONTH(SalesData[[#This Row],[Date]])</f>
        <v>2</v>
      </c>
      <c r="AD868">
        <f>Reference!F$4</f>
        <v>2026</v>
      </c>
      <c r="AE868" t="str">
        <f>IF(OR(SalesData[[#This Row],[Day]]="Saturday",SalesData[[#This Row],[Day]]="Sunday"),"Weekend","Weekday")</f>
        <v>Weekday</v>
      </c>
      <c r="AF868" s="5">
        <f>IF(SalesData[[#This Row],[Contracts Offered]]=0,0,SalesData[[#This Row],[Contracts Signed]]/SalesData[[#This Row],[Contracts Offered]])</f>
        <v>0.265625</v>
      </c>
      <c r="AG868" s="5">
        <f>IF(SalesData[[#This Row],[Customers Visited]]=0,0,SalesData[[#This Row],[Test Drives]]/SalesData[[#This Row],[Customers Visited]])</f>
        <v>0.5220125786163522</v>
      </c>
      <c r="AH868" s="5">
        <f>IF(SalesData[[#This Row],[Customers Visited]]=0,0,SalesData[[#This Row],[Contracts Signed]]/SalesData[[#This Row],[Customers Visited]])</f>
        <v>0.1069182389937107</v>
      </c>
      <c r="AI868" s="6">
        <f>IF(SalesData[[#This Row],[Contracts Signed]]=0,0,SalesData[[#This Row],[Profit(€)]]/SalesData[[#This Row],[Contracts Signed]])</f>
        <v>16128</v>
      </c>
      <c r="AJ868" s="5" t="str">
        <f>TRIM(CLEAN(SalesData[[#This Row],[Retailer]]))</f>
        <v>Leipzig Mobility</v>
      </c>
    </row>
    <row r="869" spans="1:36" ht="14.25" x14ac:dyDescent="0.2">
      <c r="A869" t="s">
        <v>1540</v>
      </c>
      <c r="B869" s="1">
        <v>46054</v>
      </c>
      <c r="C869" t="s">
        <v>24</v>
      </c>
      <c r="D869" t="s">
        <v>41</v>
      </c>
      <c r="E869" t="s">
        <v>42</v>
      </c>
      <c r="F869" t="s">
        <v>7649</v>
      </c>
      <c r="G869" t="s">
        <v>55</v>
      </c>
      <c r="H869" t="s">
        <v>55</v>
      </c>
      <c r="I869" t="s">
        <v>30</v>
      </c>
      <c r="J869" t="s">
        <v>166</v>
      </c>
      <c r="K869" t="s">
        <v>32</v>
      </c>
      <c r="L869" t="s">
        <v>46</v>
      </c>
      <c r="M869" t="s">
        <v>47</v>
      </c>
      <c r="N869" t="s">
        <v>48</v>
      </c>
      <c r="O869" t="s">
        <v>36</v>
      </c>
      <c r="P869" t="s">
        <v>58</v>
      </c>
      <c r="Q869" t="s">
        <v>106</v>
      </c>
      <c r="R869">
        <v>232</v>
      </c>
      <c r="S869">
        <v>132</v>
      </c>
      <c r="T869">
        <v>107</v>
      </c>
      <c r="U869">
        <v>39</v>
      </c>
      <c r="V869" t="s">
        <v>6697</v>
      </c>
      <c r="W869">
        <v>61464</v>
      </c>
      <c r="X869" t="s">
        <v>7333</v>
      </c>
      <c r="Y869">
        <v>46395</v>
      </c>
      <c r="Z869">
        <v>2397096</v>
      </c>
      <c r="AA869">
        <v>587691</v>
      </c>
      <c r="AB869" t="str">
        <f>(VLOOKUP(SalesData[[#This Row],[Month Number]],Reference!C$5:E$16,2,FALSE))</f>
        <v>Feb</v>
      </c>
      <c r="AC869">
        <f>MONTH(SalesData[[#This Row],[Date]])</f>
        <v>2</v>
      </c>
      <c r="AD869">
        <f>Reference!F$4</f>
        <v>2026</v>
      </c>
      <c r="AE869" t="str">
        <f>IF(OR(SalesData[[#This Row],[Day]]="Saturday",SalesData[[#This Row],[Day]]="Sunday"),"Weekend","Weekday")</f>
        <v>Weekend</v>
      </c>
      <c r="AF869" s="5">
        <f>IF(SalesData[[#This Row],[Contracts Offered]]=0,0,SalesData[[#This Row],[Contracts Signed]]/SalesData[[#This Row],[Contracts Offered]])</f>
        <v>0.3644859813084112</v>
      </c>
      <c r="AG869" s="5">
        <f>IF(SalesData[[#This Row],[Customers Visited]]=0,0,SalesData[[#This Row],[Test Drives]]/SalesData[[#This Row],[Customers Visited]])</f>
        <v>0.56896551724137934</v>
      </c>
      <c r="AH869" s="5">
        <f>IF(SalesData[[#This Row],[Customers Visited]]=0,0,SalesData[[#This Row],[Contracts Signed]]/SalesData[[#This Row],[Customers Visited]])</f>
        <v>0.16810344827586207</v>
      </c>
      <c r="AI869" s="6">
        <f>IF(SalesData[[#This Row],[Contracts Signed]]=0,0,SalesData[[#This Row],[Profit(€)]]/SalesData[[#This Row],[Contracts Signed]])</f>
        <v>15069</v>
      </c>
      <c r="AJ869" s="5" t="str">
        <f>TRIM(CLEAN(SalesData[[#This Row],[Retailer]]))</f>
        <v>Autohaus Berlin</v>
      </c>
    </row>
    <row r="870" spans="1:36" ht="14.25" x14ac:dyDescent="0.2">
      <c r="A870" t="s">
        <v>1541</v>
      </c>
      <c r="B870" s="1">
        <v>46062</v>
      </c>
      <c r="C870" t="s">
        <v>121</v>
      </c>
      <c r="D870" t="s">
        <v>25</v>
      </c>
      <c r="E870" t="s">
        <v>26</v>
      </c>
      <c r="F870" t="s">
        <v>27</v>
      </c>
      <c r="G870" t="s">
        <v>28</v>
      </c>
      <c r="H870" t="s">
        <v>29</v>
      </c>
      <c r="I870" t="s">
        <v>30</v>
      </c>
      <c r="J870" t="s">
        <v>31</v>
      </c>
      <c r="K870" t="s">
        <v>32</v>
      </c>
      <c r="L870" t="s">
        <v>46</v>
      </c>
      <c r="M870" t="s">
        <v>87</v>
      </c>
      <c r="N870" t="s">
        <v>48</v>
      </c>
      <c r="O870" t="s">
        <v>36</v>
      </c>
      <c r="P870" t="s">
        <v>58</v>
      </c>
      <c r="Q870" t="s">
        <v>50</v>
      </c>
      <c r="R870">
        <v>228</v>
      </c>
      <c r="S870">
        <v>117</v>
      </c>
      <c r="T870">
        <v>89</v>
      </c>
      <c r="U870">
        <v>38</v>
      </c>
      <c r="V870" t="s">
        <v>7334</v>
      </c>
      <c r="W870">
        <v>63488</v>
      </c>
      <c r="X870" t="s">
        <v>2142</v>
      </c>
      <c r="Y870">
        <v>49220</v>
      </c>
      <c r="Z870">
        <v>2412544</v>
      </c>
      <c r="AA870">
        <v>542184</v>
      </c>
      <c r="AB870" t="str">
        <f>(VLOOKUP(SalesData[[#This Row],[Month Number]],Reference!C$5:E$16,2,FALSE))</f>
        <v>Feb</v>
      </c>
      <c r="AC870">
        <f>MONTH(SalesData[[#This Row],[Date]])</f>
        <v>2</v>
      </c>
      <c r="AD870">
        <f>Reference!F$4</f>
        <v>2026</v>
      </c>
      <c r="AE870" t="str">
        <f>IF(OR(SalesData[[#This Row],[Day]]="Saturday",SalesData[[#This Row],[Day]]="Sunday"),"Weekend","Weekday")</f>
        <v>Weekday</v>
      </c>
      <c r="AF870" s="5">
        <f>IF(SalesData[[#This Row],[Contracts Offered]]=0,0,SalesData[[#This Row],[Contracts Signed]]/SalesData[[#This Row],[Contracts Offered]])</f>
        <v>0.42696629213483145</v>
      </c>
      <c r="AG870" s="5">
        <f>IF(SalesData[[#This Row],[Customers Visited]]=0,0,SalesData[[#This Row],[Test Drives]]/SalesData[[#This Row],[Customers Visited]])</f>
        <v>0.51315789473684215</v>
      </c>
      <c r="AH870" s="5">
        <f>IF(SalesData[[#This Row],[Customers Visited]]=0,0,SalesData[[#This Row],[Contracts Signed]]/SalesData[[#This Row],[Customers Visited]])</f>
        <v>0.16666666666666666</v>
      </c>
      <c r="AI870" s="6">
        <f>IF(SalesData[[#This Row],[Contracts Signed]]=0,0,SalesData[[#This Row],[Profit(€)]]/SalesData[[#This Row],[Contracts Signed]])</f>
        <v>14268</v>
      </c>
      <c r="AJ870" s="5" t="str">
        <f>TRIM(CLEAN(SalesData[[#This Row],[Retailer]]))</f>
        <v>Main Auto Hub</v>
      </c>
    </row>
    <row r="871" spans="1:36" ht="14.25" hidden="1" x14ac:dyDescent="0.2">
      <c r="A871" t="s">
        <v>1542</v>
      </c>
      <c r="B871" s="1">
        <v>46063</v>
      </c>
      <c r="C871" t="s">
        <v>121</v>
      </c>
      <c r="D871" t="s">
        <v>63</v>
      </c>
      <c r="E871" t="s">
        <v>26</v>
      </c>
      <c r="F871" t="s">
        <v>74</v>
      </c>
      <c r="G871" t="s">
        <v>75</v>
      </c>
      <c r="H871" t="s">
        <v>76</v>
      </c>
      <c r="I871" t="s">
        <v>56</v>
      </c>
      <c r="J871" t="s">
        <v>7028</v>
      </c>
      <c r="K871" t="s">
        <v>66</v>
      </c>
      <c r="L871" t="s">
        <v>46</v>
      </c>
      <c r="M871" t="s">
        <v>47</v>
      </c>
      <c r="N871" t="s">
        <v>48</v>
      </c>
      <c r="O871" t="s">
        <v>70</v>
      </c>
      <c r="P871" t="s">
        <v>37</v>
      </c>
      <c r="Q871" t="s">
        <v>106</v>
      </c>
      <c r="R871">
        <v>234</v>
      </c>
      <c r="S871">
        <v>123</v>
      </c>
      <c r="T871">
        <v>78</v>
      </c>
      <c r="U871">
        <v>28</v>
      </c>
      <c r="V871" t="s">
        <v>6521</v>
      </c>
      <c r="W871">
        <v>53505</v>
      </c>
      <c r="X871" t="s">
        <v>7112</v>
      </c>
      <c r="Y871">
        <v>40944</v>
      </c>
      <c r="Z871">
        <v>1498140</v>
      </c>
      <c r="AA871">
        <v>351708</v>
      </c>
      <c r="AB871" t="str">
        <f>(VLOOKUP(SalesData[[#This Row],[Month Number]],Reference!C$5:E$16,2,FALSE))</f>
        <v>Feb</v>
      </c>
      <c r="AC871">
        <f>MONTH(SalesData[[#This Row],[Date]])</f>
        <v>2</v>
      </c>
      <c r="AD871">
        <f>Reference!F$4</f>
        <v>2026</v>
      </c>
      <c r="AE871" t="str">
        <f>IF(OR(SalesData[[#This Row],[Day]]="Saturday",SalesData[[#This Row],[Day]]="Sunday"),"Weekend","Weekday")</f>
        <v>Weekday</v>
      </c>
      <c r="AF871" s="5">
        <f>IF(SalesData[[#This Row],[Contracts Offered]]=0,0,SalesData[[#This Row],[Contracts Signed]]/SalesData[[#This Row],[Contracts Offered]])</f>
        <v>0.35897435897435898</v>
      </c>
      <c r="AG871" s="5">
        <f>IF(SalesData[[#This Row],[Customers Visited]]=0,0,SalesData[[#This Row],[Test Drives]]/SalesData[[#This Row],[Customers Visited]])</f>
        <v>0.52564102564102566</v>
      </c>
      <c r="AH871" s="5">
        <f>IF(SalesData[[#This Row],[Customers Visited]]=0,0,SalesData[[#This Row],[Contracts Signed]]/SalesData[[#This Row],[Customers Visited]])</f>
        <v>0.11965811965811966</v>
      </c>
      <c r="AI871" s="6">
        <f>IF(SalesData[[#This Row],[Contracts Signed]]=0,0,SalesData[[#This Row],[Profit(€)]]/SalesData[[#This Row],[Contracts Signed]])</f>
        <v>12561</v>
      </c>
      <c r="AJ871" s="5" t="str">
        <f>TRIM(CLEAN(SalesData[[#This Row],[Retailer]]))</f>
        <v>Stuttgart Auto Center</v>
      </c>
    </row>
    <row r="872" spans="1:36" ht="14.25" hidden="1" x14ac:dyDescent="0.2">
      <c r="A872" t="s">
        <v>1543</v>
      </c>
      <c r="B872" s="1">
        <v>46061</v>
      </c>
      <c r="C872" t="s">
        <v>121</v>
      </c>
      <c r="D872" t="s">
        <v>41</v>
      </c>
      <c r="E872" t="s">
        <v>42</v>
      </c>
      <c r="F872" t="s">
        <v>74</v>
      </c>
      <c r="G872" t="s">
        <v>75</v>
      </c>
      <c r="H872" t="s">
        <v>76</v>
      </c>
      <c r="I872" t="s">
        <v>116</v>
      </c>
      <c r="J872" t="s">
        <v>7090</v>
      </c>
      <c r="K872" t="s">
        <v>66</v>
      </c>
      <c r="L872" t="s">
        <v>46</v>
      </c>
      <c r="M872" t="s">
        <v>68</v>
      </c>
      <c r="N872" t="s">
        <v>69</v>
      </c>
      <c r="O872" t="s">
        <v>36</v>
      </c>
      <c r="P872" t="s">
        <v>37</v>
      </c>
      <c r="Q872" t="s">
        <v>144</v>
      </c>
      <c r="R872">
        <v>355</v>
      </c>
      <c r="S872">
        <v>187</v>
      </c>
      <c r="T872">
        <v>116</v>
      </c>
      <c r="U872">
        <v>25</v>
      </c>
      <c r="V872" t="s">
        <v>4114</v>
      </c>
      <c r="W872">
        <v>24226</v>
      </c>
      <c r="X872" t="s">
        <v>1056</v>
      </c>
      <c r="Y872">
        <v>21630</v>
      </c>
      <c r="Z872">
        <v>605650</v>
      </c>
      <c r="AA872">
        <v>64900</v>
      </c>
      <c r="AB872" t="str">
        <f>(VLOOKUP(SalesData[[#This Row],[Month Number]],Reference!C$5:E$16,2,FALSE))</f>
        <v>Feb</v>
      </c>
      <c r="AC872">
        <f>MONTH(SalesData[[#This Row],[Date]])</f>
        <v>2</v>
      </c>
      <c r="AD872">
        <f>Reference!F$4</f>
        <v>2026</v>
      </c>
      <c r="AE872" t="str">
        <f>IF(OR(SalesData[[#This Row],[Day]]="Saturday",SalesData[[#This Row],[Day]]="Sunday"),"Weekend","Weekday")</f>
        <v>Weekend</v>
      </c>
      <c r="AF872" s="5">
        <f>IF(SalesData[[#This Row],[Contracts Offered]]=0,0,SalesData[[#This Row],[Contracts Signed]]/SalesData[[#This Row],[Contracts Offered]])</f>
        <v>0.21551724137931033</v>
      </c>
      <c r="AG872" s="5">
        <f>IF(SalesData[[#This Row],[Customers Visited]]=0,0,SalesData[[#This Row],[Test Drives]]/SalesData[[#This Row],[Customers Visited]])</f>
        <v>0.52676056338028165</v>
      </c>
      <c r="AH872" s="5">
        <f>IF(SalesData[[#This Row],[Customers Visited]]=0,0,SalesData[[#This Row],[Contracts Signed]]/SalesData[[#This Row],[Customers Visited]])</f>
        <v>7.0422535211267609E-2</v>
      </c>
      <c r="AI872" s="6">
        <f>IF(SalesData[[#This Row],[Contracts Signed]]=0,0,SalesData[[#This Row],[Profit(€)]]/SalesData[[#This Row],[Contracts Signed]])</f>
        <v>2596</v>
      </c>
      <c r="AJ872" s="5" t="str">
        <f>TRIM(CLEAN(SalesData[[#This Row],[Retailer]]))</f>
        <v>Stuttgart Auto Center</v>
      </c>
    </row>
    <row r="873" spans="1:36" ht="14.25" hidden="1" x14ac:dyDescent="0.2">
      <c r="A873" t="s">
        <v>1544</v>
      </c>
      <c r="B873" s="1">
        <v>46081</v>
      </c>
      <c r="C873" t="s">
        <v>53</v>
      </c>
      <c r="D873" t="s">
        <v>151</v>
      </c>
      <c r="E873" t="s">
        <v>42</v>
      </c>
      <c r="F873" t="s">
        <v>114</v>
      </c>
      <c r="G873" t="s">
        <v>115</v>
      </c>
      <c r="H873" t="s">
        <v>115</v>
      </c>
      <c r="I873" t="s">
        <v>64</v>
      </c>
      <c r="J873" t="s">
        <v>7029</v>
      </c>
      <c r="K873" t="s">
        <v>66</v>
      </c>
      <c r="L873" t="s">
        <v>33</v>
      </c>
      <c r="M873" t="s">
        <v>87</v>
      </c>
      <c r="N873" t="s">
        <v>35</v>
      </c>
      <c r="O873" t="s">
        <v>70</v>
      </c>
      <c r="P873" t="s">
        <v>49</v>
      </c>
      <c r="Q873" t="s">
        <v>172</v>
      </c>
      <c r="R873">
        <v>204</v>
      </c>
      <c r="S873">
        <v>112</v>
      </c>
      <c r="T873">
        <v>83</v>
      </c>
      <c r="U873">
        <v>28</v>
      </c>
      <c r="V873" t="s">
        <v>6403</v>
      </c>
      <c r="W873">
        <v>60857</v>
      </c>
      <c r="X873" t="s">
        <v>7085</v>
      </c>
      <c r="Y873">
        <v>43534</v>
      </c>
      <c r="Z873">
        <v>1703996</v>
      </c>
      <c r="AA873">
        <v>485044</v>
      </c>
      <c r="AB873" t="str">
        <f>(VLOOKUP(SalesData[[#This Row],[Month Number]],Reference!C$5:E$16,2,FALSE))</f>
        <v>Feb</v>
      </c>
      <c r="AC873">
        <f>MONTH(SalesData[[#This Row],[Date]])</f>
        <v>2</v>
      </c>
      <c r="AD873">
        <f>Reference!F$4</f>
        <v>2026</v>
      </c>
      <c r="AE873" t="str">
        <f>IF(OR(SalesData[[#This Row],[Day]]="Saturday",SalesData[[#This Row],[Day]]="Sunday"),"Weekend","Weekday")</f>
        <v>Weekend</v>
      </c>
      <c r="AF873" s="5">
        <f>IF(SalesData[[#This Row],[Contracts Offered]]=0,0,SalesData[[#This Row],[Contracts Signed]]/SalesData[[#This Row],[Contracts Offered]])</f>
        <v>0.33734939759036142</v>
      </c>
      <c r="AG873" s="5">
        <f>IF(SalesData[[#This Row],[Customers Visited]]=0,0,SalesData[[#This Row],[Test Drives]]/SalesData[[#This Row],[Customers Visited]])</f>
        <v>0.5490196078431373</v>
      </c>
      <c r="AH873" s="5">
        <f>IF(SalesData[[#This Row],[Customers Visited]]=0,0,SalesData[[#This Row],[Contracts Signed]]/SalesData[[#This Row],[Customers Visited]])</f>
        <v>0.13725490196078433</v>
      </c>
      <c r="AI873" s="6">
        <f>IF(SalesData[[#This Row],[Contracts Signed]]=0,0,SalesData[[#This Row],[Profit(€)]]/SalesData[[#This Row],[Contracts Signed]])</f>
        <v>17323</v>
      </c>
      <c r="AJ873" s="5" t="str">
        <f>TRIM(CLEAN(SalesData[[#This Row],[Retailer]]))</f>
        <v>Elbe Drive</v>
      </c>
    </row>
    <row r="874" spans="1:36" ht="14.25" hidden="1" x14ac:dyDescent="0.2">
      <c r="A874" t="s">
        <v>1545</v>
      </c>
      <c r="B874" s="1">
        <v>46078</v>
      </c>
      <c r="C874" t="s">
        <v>53</v>
      </c>
      <c r="D874" t="s">
        <v>82</v>
      </c>
      <c r="E874" t="s">
        <v>26</v>
      </c>
      <c r="F874" t="s">
        <v>83</v>
      </c>
      <c r="G874" t="s">
        <v>84</v>
      </c>
      <c r="H874" t="s">
        <v>85</v>
      </c>
      <c r="I874" t="s">
        <v>64</v>
      </c>
      <c r="J874" t="s">
        <v>157</v>
      </c>
      <c r="K874" t="s">
        <v>91</v>
      </c>
      <c r="L874" t="s">
        <v>33</v>
      </c>
      <c r="M874" t="s">
        <v>34</v>
      </c>
      <c r="N874" t="s">
        <v>35</v>
      </c>
      <c r="O874" t="s">
        <v>36</v>
      </c>
      <c r="P874" t="s">
        <v>58</v>
      </c>
      <c r="Q874" t="s">
        <v>135</v>
      </c>
      <c r="R874">
        <v>173</v>
      </c>
      <c r="S874">
        <v>98</v>
      </c>
      <c r="T874">
        <v>77</v>
      </c>
      <c r="U874">
        <v>26</v>
      </c>
      <c r="V874" t="s">
        <v>6655</v>
      </c>
      <c r="W874">
        <v>56073</v>
      </c>
      <c r="X874" t="s">
        <v>7335</v>
      </c>
      <c r="Y874">
        <v>41764</v>
      </c>
      <c r="Z874">
        <v>1457898</v>
      </c>
      <c r="AA874">
        <v>372034</v>
      </c>
      <c r="AB874" t="str">
        <f>(VLOOKUP(SalesData[[#This Row],[Month Number]],Reference!C$5:E$16,2,FALSE))</f>
        <v>Feb</v>
      </c>
      <c r="AC874">
        <f>MONTH(SalesData[[#This Row],[Date]])</f>
        <v>2</v>
      </c>
      <c r="AD874">
        <f>Reference!F$4</f>
        <v>2026</v>
      </c>
      <c r="AE874" t="str">
        <f>IF(OR(SalesData[[#This Row],[Day]]="Saturday",SalesData[[#This Row],[Day]]="Sunday"),"Weekend","Weekday")</f>
        <v>Weekday</v>
      </c>
      <c r="AF874" s="5">
        <f>IF(SalesData[[#This Row],[Contracts Offered]]=0,0,SalesData[[#This Row],[Contracts Signed]]/SalesData[[#This Row],[Contracts Offered]])</f>
        <v>0.33766233766233766</v>
      </c>
      <c r="AG874" s="5">
        <f>IF(SalesData[[#This Row],[Customers Visited]]=0,0,SalesData[[#This Row],[Test Drives]]/SalesData[[#This Row],[Customers Visited]])</f>
        <v>0.56647398843930641</v>
      </c>
      <c r="AH874" s="5">
        <f>IF(SalesData[[#This Row],[Customers Visited]]=0,0,SalesData[[#This Row],[Contracts Signed]]/SalesData[[#This Row],[Customers Visited]])</f>
        <v>0.15028901734104047</v>
      </c>
      <c r="AI874" s="6">
        <f>IF(SalesData[[#This Row],[Contracts Signed]]=0,0,SalesData[[#This Row],[Profit(€)]]/SalesData[[#This Row],[Contracts Signed]])</f>
        <v>14309</v>
      </c>
      <c r="AJ874" s="5" t="str">
        <f>TRIM(CLEAN(SalesData[[#This Row],[Retailer]]))</f>
        <v>Hannover Cars</v>
      </c>
    </row>
    <row r="875" spans="1:36" ht="14.25" hidden="1" x14ac:dyDescent="0.2">
      <c r="A875" t="s">
        <v>1546</v>
      </c>
      <c r="B875" s="1">
        <v>46079</v>
      </c>
      <c r="C875" t="s">
        <v>53</v>
      </c>
      <c r="D875" t="s">
        <v>100</v>
      </c>
      <c r="E875" t="s">
        <v>26</v>
      </c>
      <c r="F875" t="s">
        <v>7649</v>
      </c>
      <c r="G875" t="s">
        <v>55</v>
      </c>
      <c r="H875" t="s">
        <v>55</v>
      </c>
      <c r="I875" t="s">
        <v>56</v>
      </c>
      <c r="J875" t="s">
        <v>179</v>
      </c>
      <c r="K875" t="s">
        <v>66</v>
      </c>
      <c r="L875" t="s">
        <v>67</v>
      </c>
      <c r="M875" t="s">
        <v>34</v>
      </c>
      <c r="N875" t="s">
        <v>35</v>
      </c>
      <c r="O875" t="s">
        <v>36</v>
      </c>
      <c r="P875" t="s">
        <v>37</v>
      </c>
      <c r="Q875" t="s">
        <v>135</v>
      </c>
      <c r="R875">
        <v>229</v>
      </c>
      <c r="S875">
        <v>107</v>
      </c>
      <c r="T875">
        <v>79</v>
      </c>
      <c r="U875">
        <v>23</v>
      </c>
      <c r="V875" t="s">
        <v>6435</v>
      </c>
      <c r="W875">
        <v>53998</v>
      </c>
      <c r="X875" t="s">
        <v>7238</v>
      </c>
      <c r="Y875">
        <v>41020</v>
      </c>
      <c r="Z875">
        <v>1241954</v>
      </c>
      <c r="AA875">
        <v>298494</v>
      </c>
      <c r="AB875" t="str">
        <f>(VLOOKUP(SalesData[[#This Row],[Month Number]],Reference!C$5:E$16,2,FALSE))</f>
        <v>Feb</v>
      </c>
      <c r="AC875">
        <f>MONTH(SalesData[[#This Row],[Date]])</f>
        <v>2</v>
      </c>
      <c r="AD875">
        <f>Reference!F$4</f>
        <v>2026</v>
      </c>
      <c r="AE875" t="str">
        <f>IF(OR(SalesData[[#This Row],[Day]]="Saturday",SalesData[[#This Row],[Day]]="Sunday"),"Weekend","Weekday")</f>
        <v>Weekday</v>
      </c>
      <c r="AF875" s="5">
        <f>IF(SalesData[[#This Row],[Contracts Offered]]=0,0,SalesData[[#This Row],[Contracts Signed]]/SalesData[[#This Row],[Contracts Offered]])</f>
        <v>0.29113924050632911</v>
      </c>
      <c r="AG875" s="5">
        <f>IF(SalesData[[#This Row],[Customers Visited]]=0,0,SalesData[[#This Row],[Test Drives]]/SalesData[[#This Row],[Customers Visited]])</f>
        <v>0.46724890829694321</v>
      </c>
      <c r="AH875" s="5">
        <f>IF(SalesData[[#This Row],[Customers Visited]]=0,0,SalesData[[#This Row],[Contracts Signed]]/SalesData[[#This Row],[Customers Visited]])</f>
        <v>0.10043668122270742</v>
      </c>
      <c r="AI875" s="6">
        <f>IF(SalesData[[#This Row],[Contracts Signed]]=0,0,SalesData[[#This Row],[Profit(€)]]/SalesData[[#This Row],[Contracts Signed]])</f>
        <v>12978</v>
      </c>
      <c r="AJ875" s="5" t="str">
        <f>TRIM(CLEAN(SalesData[[#This Row],[Retailer]]))</f>
        <v>Autohaus Berlin</v>
      </c>
    </row>
    <row r="876" spans="1:36" ht="14.25" hidden="1" x14ac:dyDescent="0.2">
      <c r="A876" t="s">
        <v>1547</v>
      </c>
      <c r="B876" s="1">
        <v>46077</v>
      </c>
      <c r="C876" t="s">
        <v>53</v>
      </c>
      <c r="D876" t="s">
        <v>63</v>
      </c>
      <c r="E876" t="s">
        <v>26</v>
      </c>
      <c r="F876" t="s">
        <v>109</v>
      </c>
      <c r="G876" t="s">
        <v>110</v>
      </c>
      <c r="H876" t="s">
        <v>45</v>
      </c>
      <c r="I876" t="s">
        <v>116</v>
      </c>
      <c r="J876" t="s">
        <v>132</v>
      </c>
      <c r="K876" t="s">
        <v>66</v>
      </c>
      <c r="L876" t="s">
        <v>46</v>
      </c>
      <c r="M876" t="s">
        <v>68</v>
      </c>
      <c r="N876" t="s">
        <v>48</v>
      </c>
      <c r="O876" t="s">
        <v>36</v>
      </c>
      <c r="P876" t="s">
        <v>71</v>
      </c>
      <c r="Q876" t="s">
        <v>189</v>
      </c>
      <c r="R876">
        <v>315</v>
      </c>
      <c r="S876">
        <v>163</v>
      </c>
      <c r="T876">
        <v>93</v>
      </c>
      <c r="U876">
        <v>24</v>
      </c>
      <c r="V876" t="s">
        <v>1182</v>
      </c>
      <c r="W876">
        <v>24079</v>
      </c>
      <c r="X876" t="s">
        <v>1670</v>
      </c>
      <c r="Y876">
        <v>22330</v>
      </c>
      <c r="Z876">
        <v>577896</v>
      </c>
      <c r="AA876">
        <v>41976</v>
      </c>
      <c r="AB876" t="str">
        <f>(VLOOKUP(SalesData[[#This Row],[Month Number]],Reference!C$5:E$16,2,FALSE))</f>
        <v>Feb</v>
      </c>
      <c r="AC876">
        <f>MONTH(SalesData[[#This Row],[Date]])</f>
        <v>2</v>
      </c>
      <c r="AD876">
        <f>Reference!F$4</f>
        <v>2026</v>
      </c>
      <c r="AE876" t="str">
        <f>IF(OR(SalesData[[#This Row],[Day]]="Saturday",SalesData[[#This Row],[Day]]="Sunday"),"Weekend","Weekday")</f>
        <v>Weekday</v>
      </c>
      <c r="AF876" s="5">
        <f>IF(SalesData[[#This Row],[Contracts Offered]]=0,0,SalesData[[#This Row],[Contracts Signed]]/SalesData[[#This Row],[Contracts Offered]])</f>
        <v>0.25806451612903225</v>
      </c>
      <c r="AG876" s="5">
        <f>IF(SalesData[[#This Row],[Customers Visited]]=0,0,SalesData[[#This Row],[Test Drives]]/SalesData[[#This Row],[Customers Visited]])</f>
        <v>0.51746031746031751</v>
      </c>
      <c r="AH876" s="5">
        <f>IF(SalesData[[#This Row],[Customers Visited]]=0,0,SalesData[[#This Row],[Contracts Signed]]/SalesData[[#This Row],[Customers Visited]])</f>
        <v>7.6190476190476197E-2</v>
      </c>
      <c r="AI876" s="6">
        <f>IF(SalesData[[#This Row],[Contracts Signed]]=0,0,SalesData[[#This Row],[Profit(€)]]/SalesData[[#This Row],[Contracts Signed]])</f>
        <v>1749</v>
      </c>
      <c r="AJ876" s="5" t="str">
        <f>TRIM(CLEAN(SalesData[[#This Row],[Retailer]]))</f>
        <v>Leipzig Mobility</v>
      </c>
    </row>
    <row r="877" spans="1:36" ht="14.25" hidden="1" x14ac:dyDescent="0.2">
      <c r="A877" t="s">
        <v>1548</v>
      </c>
      <c r="B877" s="1">
        <v>46075</v>
      </c>
      <c r="C877" t="s">
        <v>53</v>
      </c>
      <c r="D877" t="s">
        <v>41</v>
      </c>
      <c r="E877" t="s">
        <v>42</v>
      </c>
      <c r="F877" t="s">
        <v>27</v>
      </c>
      <c r="G877" t="s">
        <v>28</v>
      </c>
      <c r="H877" t="s">
        <v>29</v>
      </c>
      <c r="I877" t="s">
        <v>64</v>
      </c>
      <c r="J877" t="s">
        <v>7029</v>
      </c>
      <c r="K877" t="s">
        <v>66</v>
      </c>
      <c r="L877" t="s">
        <v>33</v>
      </c>
      <c r="M877" t="s">
        <v>68</v>
      </c>
      <c r="N877" t="s">
        <v>69</v>
      </c>
      <c r="O877" t="s">
        <v>36</v>
      </c>
      <c r="P877" t="s">
        <v>58</v>
      </c>
      <c r="Q877" t="s">
        <v>129</v>
      </c>
      <c r="R877">
        <v>237</v>
      </c>
      <c r="S877">
        <v>115</v>
      </c>
      <c r="T877">
        <v>87</v>
      </c>
      <c r="U877">
        <v>31</v>
      </c>
      <c r="V877" t="s">
        <v>6506</v>
      </c>
      <c r="W877">
        <v>63014</v>
      </c>
      <c r="X877" t="s">
        <v>7198</v>
      </c>
      <c r="Y877">
        <v>48353</v>
      </c>
      <c r="Z877">
        <v>1953434</v>
      </c>
      <c r="AA877">
        <v>454491</v>
      </c>
      <c r="AB877" t="str">
        <f>(VLOOKUP(SalesData[[#This Row],[Month Number]],Reference!C$5:E$16,2,FALSE))</f>
        <v>Feb</v>
      </c>
      <c r="AC877">
        <f>MONTH(SalesData[[#This Row],[Date]])</f>
        <v>2</v>
      </c>
      <c r="AD877">
        <f>Reference!F$4</f>
        <v>2026</v>
      </c>
      <c r="AE877" t="str">
        <f>IF(OR(SalesData[[#This Row],[Day]]="Saturday",SalesData[[#This Row],[Day]]="Sunday"),"Weekend","Weekday")</f>
        <v>Weekend</v>
      </c>
      <c r="AF877" s="5">
        <f>IF(SalesData[[#This Row],[Contracts Offered]]=0,0,SalesData[[#This Row],[Contracts Signed]]/SalesData[[#This Row],[Contracts Offered]])</f>
        <v>0.35632183908045978</v>
      </c>
      <c r="AG877" s="5">
        <f>IF(SalesData[[#This Row],[Customers Visited]]=0,0,SalesData[[#This Row],[Test Drives]]/SalesData[[#This Row],[Customers Visited]])</f>
        <v>0.48523206751054854</v>
      </c>
      <c r="AH877" s="5">
        <f>IF(SalesData[[#This Row],[Customers Visited]]=0,0,SalesData[[#This Row],[Contracts Signed]]/SalesData[[#This Row],[Customers Visited]])</f>
        <v>0.13080168776371309</v>
      </c>
      <c r="AI877" s="6">
        <f>IF(SalesData[[#This Row],[Contracts Signed]]=0,0,SalesData[[#This Row],[Profit(€)]]/SalesData[[#This Row],[Contracts Signed]])</f>
        <v>14661</v>
      </c>
      <c r="AJ877" s="5" t="str">
        <f>TRIM(CLEAN(SalesData[[#This Row],[Retailer]]))</f>
        <v>Main Auto Hub</v>
      </c>
    </row>
    <row r="878" spans="1:36" ht="14.25" hidden="1" x14ac:dyDescent="0.2">
      <c r="A878" t="s">
        <v>1549</v>
      </c>
      <c r="B878" s="1">
        <v>46057</v>
      </c>
      <c r="C878" t="s">
        <v>24</v>
      </c>
      <c r="D878" t="s">
        <v>82</v>
      </c>
      <c r="E878" t="s">
        <v>26</v>
      </c>
      <c r="F878" t="s">
        <v>101</v>
      </c>
      <c r="G878" t="s">
        <v>102</v>
      </c>
      <c r="H878" t="s">
        <v>103</v>
      </c>
      <c r="I878" t="s">
        <v>104</v>
      </c>
      <c r="J878" t="s">
        <v>140</v>
      </c>
      <c r="K878" t="s">
        <v>66</v>
      </c>
      <c r="L878" t="s">
        <v>46</v>
      </c>
      <c r="M878" t="s">
        <v>68</v>
      </c>
      <c r="N878" t="s">
        <v>48</v>
      </c>
      <c r="O878" t="s">
        <v>36</v>
      </c>
      <c r="P878" t="s">
        <v>49</v>
      </c>
      <c r="Q878" t="s">
        <v>118</v>
      </c>
      <c r="R878">
        <v>342</v>
      </c>
      <c r="S878">
        <v>163</v>
      </c>
      <c r="T878">
        <v>96</v>
      </c>
      <c r="U878">
        <v>18</v>
      </c>
      <c r="V878" t="s">
        <v>1559</v>
      </c>
      <c r="W878">
        <v>31681</v>
      </c>
      <c r="X878" t="s">
        <v>7211</v>
      </c>
      <c r="Y878">
        <v>27922</v>
      </c>
      <c r="Z878">
        <v>570258</v>
      </c>
      <c r="AA878">
        <v>67662</v>
      </c>
      <c r="AB878" t="str">
        <f>(VLOOKUP(SalesData[[#This Row],[Month Number]],Reference!C$5:E$16,2,FALSE))</f>
        <v>Feb</v>
      </c>
      <c r="AC878">
        <f>MONTH(SalesData[[#This Row],[Date]])</f>
        <v>2</v>
      </c>
      <c r="AD878">
        <f>Reference!F$4</f>
        <v>2026</v>
      </c>
      <c r="AE878" t="str">
        <f>IF(OR(SalesData[[#This Row],[Day]]="Saturday",SalesData[[#This Row],[Day]]="Sunday"),"Weekend","Weekday")</f>
        <v>Weekday</v>
      </c>
      <c r="AF878" s="5">
        <f>IF(SalesData[[#This Row],[Contracts Offered]]=0,0,SalesData[[#This Row],[Contracts Signed]]/SalesData[[#This Row],[Contracts Offered]])</f>
        <v>0.1875</v>
      </c>
      <c r="AG878" s="5">
        <f>IF(SalesData[[#This Row],[Customers Visited]]=0,0,SalesData[[#This Row],[Test Drives]]/SalesData[[#This Row],[Customers Visited]])</f>
        <v>0.47660818713450293</v>
      </c>
      <c r="AH878" s="5">
        <f>IF(SalesData[[#This Row],[Customers Visited]]=0,0,SalesData[[#This Row],[Contracts Signed]]/SalesData[[#This Row],[Customers Visited]])</f>
        <v>5.2631578947368418E-2</v>
      </c>
      <c r="AI878" s="6">
        <f>IF(SalesData[[#This Row],[Contracts Signed]]=0,0,SalesData[[#This Row],[Profit(€)]]/SalesData[[#This Row],[Contracts Signed]])</f>
        <v>3759</v>
      </c>
      <c r="AJ878" s="5" t="str">
        <f>TRIM(CLEAN(SalesData[[#This Row],[Retailer]]))</f>
        <v>Ruhr Auto Plaza</v>
      </c>
    </row>
    <row r="879" spans="1:36" ht="14.25" hidden="1" x14ac:dyDescent="0.2">
      <c r="A879" t="s">
        <v>1550</v>
      </c>
      <c r="B879" s="1">
        <v>46058</v>
      </c>
      <c r="C879" t="s">
        <v>24</v>
      </c>
      <c r="D879" t="s">
        <v>100</v>
      </c>
      <c r="E879" t="s">
        <v>26</v>
      </c>
      <c r="F879" t="s">
        <v>127</v>
      </c>
      <c r="G879" t="s">
        <v>128</v>
      </c>
      <c r="H879" t="s">
        <v>103</v>
      </c>
      <c r="I879" t="s">
        <v>104</v>
      </c>
      <c r="J879" t="s">
        <v>105</v>
      </c>
      <c r="K879" t="s">
        <v>91</v>
      </c>
      <c r="L879" t="s">
        <v>33</v>
      </c>
      <c r="M879" t="s">
        <v>87</v>
      </c>
      <c r="N879" t="s">
        <v>48</v>
      </c>
      <c r="O879" t="s">
        <v>36</v>
      </c>
      <c r="P879" t="s">
        <v>58</v>
      </c>
      <c r="Q879" t="s">
        <v>189</v>
      </c>
      <c r="R879">
        <v>376</v>
      </c>
      <c r="S879">
        <v>210</v>
      </c>
      <c r="T879">
        <v>131</v>
      </c>
      <c r="U879">
        <v>40</v>
      </c>
      <c r="V879" t="s">
        <v>367</v>
      </c>
      <c r="W879">
        <v>28321</v>
      </c>
      <c r="X879" t="s">
        <v>155</v>
      </c>
      <c r="Y879">
        <v>24581</v>
      </c>
      <c r="Z879">
        <v>1132840</v>
      </c>
      <c r="AA879">
        <v>149600</v>
      </c>
      <c r="AB879" t="str">
        <f>(VLOOKUP(SalesData[[#This Row],[Month Number]],Reference!C$5:E$16,2,FALSE))</f>
        <v>Feb</v>
      </c>
      <c r="AC879">
        <f>MONTH(SalesData[[#This Row],[Date]])</f>
        <v>2</v>
      </c>
      <c r="AD879">
        <f>Reference!F$4</f>
        <v>2026</v>
      </c>
      <c r="AE879" t="str">
        <f>IF(OR(SalesData[[#This Row],[Day]]="Saturday",SalesData[[#This Row],[Day]]="Sunday"),"Weekend","Weekday")</f>
        <v>Weekday</v>
      </c>
      <c r="AF879" s="5">
        <f>IF(SalesData[[#This Row],[Contracts Offered]]=0,0,SalesData[[#This Row],[Contracts Signed]]/SalesData[[#This Row],[Contracts Offered]])</f>
        <v>0.30534351145038169</v>
      </c>
      <c r="AG879" s="5">
        <f>IF(SalesData[[#This Row],[Customers Visited]]=0,0,SalesData[[#This Row],[Test Drives]]/SalesData[[#This Row],[Customers Visited]])</f>
        <v>0.55851063829787229</v>
      </c>
      <c r="AH879" s="5">
        <f>IF(SalesData[[#This Row],[Customers Visited]]=0,0,SalesData[[#This Row],[Contracts Signed]]/SalesData[[#This Row],[Customers Visited]])</f>
        <v>0.10638297872340426</v>
      </c>
      <c r="AI879" s="6">
        <f>IF(SalesData[[#This Row],[Contracts Signed]]=0,0,SalesData[[#This Row],[Profit(€)]]/SalesData[[#This Row],[Contracts Signed]])</f>
        <v>3740</v>
      </c>
      <c r="AJ879" s="5" t="str">
        <f>TRIM(CLEAN(SalesData[[#This Row],[Retailer]]))</f>
        <v>Rhein Auto Group</v>
      </c>
    </row>
    <row r="880" spans="1:36" ht="14.25" hidden="1" x14ac:dyDescent="0.2">
      <c r="A880" t="s">
        <v>1552</v>
      </c>
      <c r="B880" s="1">
        <v>46072</v>
      </c>
      <c r="C880" t="s">
        <v>62</v>
      </c>
      <c r="D880" t="s">
        <v>100</v>
      </c>
      <c r="E880" t="s">
        <v>26</v>
      </c>
      <c r="F880" t="s">
        <v>101</v>
      </c>
      <c r="G880" t="s">
        <v>102</v>
      </c>
      <c r="H880" t="s">
        <v>103</v>
      </c>
      <c r="I880" t="s">
        <v>104</v>
      </c>
      <c r="J880" t="s">
        <v>7061</v>
      </c>
      <c r="K880" t="s">
        <v>78</v>
      </c>
      <c r="L880" t="s">
        <v>46</v>
      </c>
      <c r="M880" t="s">
        <v>47</v>
      </c>
      <c r="N880" t="s">
        <v>35</v>
      </c>
      <c r="O880" t="s">
        <v>70</v>
      </c>
      <c r="P880" t="s">
        <v>58</v>
      </c>
      <c r="Q880" t="s">
        <v>204</v>
      </c>
      <c r="R880">
        <v>412</v>
      </c>
      <c r="S880">
        <v>238</v>
      </c>
      <c r="T880">
        <v>171</v>
      </c>
      <c r="U880">
        <v>42</v>
      </c>
      <c r="V880" t="s">
        <v>859</v>
      </c>
      <c r="W880">
        <v>25810</v>
      </c>
      <c r="X880" t="s">
        <v>3891</v>
      </c>
      <c r="Y880">
        <v>23346</v>
      </c>
      <c r="Z880">
        <v>1084020</v>
      </c>
      <c r="AA880">
        <v>103488</v>
      </c>
      <c r="AB880" t="str">
        <f>(VLOOKUP(SalesData[[#This Row],[Month Number]],Reference!C$5:E$16,2,FALSE))</f>
        <v>Feb</v>
      </c>
      <c r="AC880">
        <f>MONTH(SalesData[[#This Row],[Date]])</f>
        <v>2</v>
      </c>
      <c r="AD880">
        <f>Reference!F$4</f>
        <v>2026</v>
      </c>
      <c r="AE880" t="str">
        <f>IF(OR(SalesData[[#This Row],[Day]]="Saturday",SalesData[[#This Row],[Day]]="Sunday"),"Weekend","Weekday")</f>
        <v>Weekday</v>
      </c>
      <c r="AF880" s="5">
        <f>IF(SalesData[[#This Row],[Contracts Offered]]=0,0,SalesData[[#This Row],[Contracts Signed]]/SalesData[[#This Row],[Contracts Offered]])</f>
        <v>0.24561403508771928</v>
      </c>
      <c r="AG880" s="5">
        <f>IF(SalesData[[#This Row],[Customers Visited]]=0,0,SalesData[[#This Row],[Test Drives]]/SalesData[[#This Row],[Customers Visited]])</f>
        <v>0.57766990291262132</v>
      </c>
      <c r="AH880" s="5">
        <f>IF(SalesData[[#This Row],[Customers Visited]]=0,0,SalesData[[#This Row],[Contracts Signed]]/SalesData[[#This Row],[Customers Visited]])</f>
        <v>0.10194174757281553</v>
      </c>
      <c r="AI880" s="6">
        <f>IF(SalesData[[#This Row],[Contracts Signed]]=0,0,SalesData[[#This Row],[Profit(€)]]/SalesData[[#This Row],[Contracts Signed]])</f>
        <v>2464</v>
      </c>
      <c r="AJ880" s="5" t="str">
        <f>TRIM(CLEAN(SalesData[[#This Row],[Retailer]]))</f>
        <v>Ruhr Auto Plaza</v>
      </c>
    </row>
    <row r="881" spans="1:36" ht="14.25" x14ac:dyDescent="0.2">
      <c r="A881" t="s">
        <v>1553</v>
      </c>
      <c r="B881" s="1">
        <v>46072</v>
      </c>
      <c r="C881" t="s">
        <v>62</v>
      </c>
      <c r="D881" t="s">
        <v>100</v>
      </c>
      <c r="E881" t="s">
        <v>26</v>
      </c>
      <c r="F881" t="s">
        <v>109</v>
      </c>
      <c r="G881" t="s">
        <v>110</v>
      </c>
      <c r="H881" t="s">
        <v>45</v>
      </c>
      <c r="I881" t="s">
        <v>30</v>
      </c>
      <c r="J881" t="s">
        <v>31</v>
      </c>
      <c r="K881" t="s">
        <v>66</v>
      </c>
      <c r="L881" t="s">
        <v>46</v>
      </c>
      <c r="M881" t="s">
        <v>68</v>
      </c>
      <c r="N881" t="s">
        <v>35</v>
      </c>
      <c r="O881" t="s">
        <v>70</v>
      </c>
      <c r="P881" t="s">
        <v>58</v>
      </c>
      <c r="Q881" t="s">
        <v>240</v>
      </c>
      <c r="R881">
        <v>174</v>
      </c>
      <c r="S881">
        <v>81</v>
      </c>
      <c r="T881">
        <v>55</v>
      </c>
      <c r="U881">
        <v>22</v>
      </c>
      <c r="V881" t="s">
        <v>6875</v>
      </c>
      <c r="W881">
        <v>67173</v>
      </c>
      <c r="X881" t="s">
        <v>958</v>
      </c>
      <c r="Y881">
        <v>50767</v>
      </c>
      <c r="Z881">
        <v>1477806</v>
      </c>
      <c r="AA881">
        <v>360932</v>
      </c>
      <c r="AB881" t="str">
        <f>(VLOOKUP(SalesData[[#This Row],[Month Number]],Reference!C$5:E$16,2,FALSE))</f>
        <v>Feb</v>
      </c>
      <c r="AC881">
        <f>MONTH(SalesData[[#This Row],[Date]])</f>
        <v>2</v>
      </c>
      <c r="AD881">
        <f>Reference!F$4</f>
        <v>2026</v>
      </c>
      <c r="AE881" t="str">
        <f>IF(OR(SalesData[[#This Row],[Day]]="Saturday",SalesData[[#This Row],[Day]]="Sunday"),"Weekend","Weekday")</f>
        <v>Weekday</v>
      </c>
      <c r="AF881" s="5">
        <f>IF(SalesData[[#This Row],[Contracts Offered]]=0,0,SalesData[[#This Row],[Contracts Signed]]/SalesData[[#This Row],[Contracts Offered]])</f>
        <v>0.4</v>
      </c>
      <c r="AG881" s="5">
        <f>IF(SalesData[[#This Row],[Customers Visited]]=0,0,SalesData[[#This Row],[Test Drives]]/SalesData[[#This Row],[Customers Visited]])</f>
        <v>0.46551724137931033</v>
      </c>
      <c r="AH881" s="5">
        <f>IF(SalesData[[#This Row],[Customers Visited]]=0,0,SalesData[[#This Row],[Contracts Signed]]/SalesData[[#This Row],[Customers Visited]])</f>
        <v>0.12643678160919541</v>
      </c>
      <c r="AI881" s="6">
        <f>IF(SalesData[[#This Row],[Contracts Signed]]=0,0,SalesData[[#This Row],[Profit(€)]]/SalesData[[#This Row],[Contracts Signed]])</f>
        <v>16406</v>
      </c>
      <c r="AJ881" s="5" t="str">
        <f>TRIM(CLEAN(SalesData[[#This Row],[Retailer]]))</f>
        <v>Leipzig Mobility</v>
      </c>
    </row>
    <row r="882" spans="1:36" ht="14.25" hidden="1" x14ac:dyDescent="0.2">
      <c r="A882" t="s">
        <v>1554</v>
      </c>
      <c r="B882" s="1">
        <v>46078</v>
      </c>
      <c r="C882" t="s">
        <v>53</v>
      </c>
      <c r="D882" t="s">
        <v>82</v>
      </c>
      <c r="E882" t="s">
        <v>26</v>
      </c>
      <c r="F882" t="s">
        <v>7649</v>
      </c>
      <c r="G882" t="s">
        <v>55</v>
      </c>
      <c r="H882" t="s">
        <v>55</v>
      </c>
      <c r="I882" t="s">
        <v>116</v>
      </c>
      <c r="J882" t="s">
        <v>117</v>
      </c>
      <c r="K882" t="s">
        <v>32</v>
      </c>
      <c r="L882" t="s">
        <v>67</v>
      </c>
      <c r="M882" t="s">
        <v>47</v>
      </c>
      <c r="N882" t="s">
        <v>48</v>
      </c>
      <c r="O882" t="s">
        <v>70</v>
      </c>
      <c r="P882" t="s">
        <v>71</v>
      </c>
      <c r="Q882" t="s">
        <v>347</v>
      </c>
      <c r="R882">
        <v>307</v>
      </c>
      <c r="S882">
        <v>149</v>
      </c>
      <c r="T882">
        <v>101</v>
      </c>
      <c r="U882">
        <v>27</v>
      </c>
      <c r="V882" t="s">
        <v>785</v>
      </c>
      <c r="W882">
        <v>20699</v>
      </c>
      <c r="X882" t="s">
        <v>2197</v>
      </c>
      <c r="Y882">
        <v>18947</v>
      </c>
      <c r="Z882">
        <v>558873</v>
      </c>
      <c r="AA882">
        <v>47304</v>
      </c>
      <c r="AB882" t="str">
        <f>(VLOOKUP(SalesData[[#This Row],[Month Number]],Reference!C$5:E$16,2,FALSE))</f>
        <v>Feb</v>
      </c>
      <c r="AC882">
        <f>MONTH(SalesData[[#This Row],[Date]])</f>
        <v>2</v>
      </c>
      <c r="AD882">
        <f>Reference!F$4</f>
        <v>2026</v>
      </c>
      <c r="AE882" t="str">
        <f>IF(OR(SalesData[[#This Row],[Day]]="Saturday",SalesData[[#This Row],[Day]]="Sunday"),"Weekend","Weekday")</f>
        <v>Weekday</v>
      </c>
      <c r="AF882" s="5">
        <f>IF(SalesData[[#This Row],[Contracts Offered]]=0,0,SalesData[[#This Row],[Contracts Signed]]/SalesData[[#This Row],[Contracts Offered]])</f>
        <v>0.26732673267326734</v>
      </c>
      <c r="AG882" s="5">
        <f>IF(SalesData[[#This Row],[Customers Visited]]=0,0,SalesData[[#This Row],[Test Drives]]/SalesData[[#This Row],[Customers Visited]])</f>
        <v>0.48534201954397393</v>
      </c>
      <c r="AH882" s="5">
        <f>IF(SalesData[[#This Row],[Customers Visited]]=0,0,SalesData[[#This Row],[Contracts Signed]]/SalesData[[#This Row],[Customers Visited]])</f>
        <v>8.7947882736156349E-2</v>
      </c>
      <c r="AI882" s="6">
        <f>IF(SalesData[[#This Row],[Contracts Signed]]=0,0,SalesData[[#This Row],[Profit(€)]]/SalesData[[#This Row],[Contracts Signed]])</f>
        <v>1752</v>
      </c>
      <c r="AJ882" s="5" t="str">
        <f>TRIM(CLEAN(SalesData[[#This Row],[Retailer]]))</f>
        <v>Autohaus Berlin</v>
      </c>
    </row>
    <row r="883" spans="1:36" ht="14.25" hidden="1" x14ac:dyDescent="0.2">
      <c r="A883" t="s">
        <v>1555</v>
      </c>
      <c r="B883" s="1">
        <v>46069</v>
      </c>
      <c r="C883" t="s">
        <v>62</v>
      </c>
      <c r="D883" t="s">
        <v>25</v>
      </c>
      <c r="E883" t="s">
        <v>26</v>
      </c>
      <c r="F883" t="s">
        <v>101</v>
      </c>
      <c r="G883" t="s">
        <v>102</v>
      </c>
      <c r="H883" t="s">
        <v>103</v>
      </c>
      <c r="I883" t="s">
        <v>64</v>
      </c>
      <c r="J883" t="s">
        <v>7029</v>
      </c>
      <c r="K883" t="s">
        <v>91</v>
      </c>
      <c r="L883" t="s">
        <v>33</v>
      </c>
      <c r="M883" t="s">
        <v>34</v>
      </c>
      <c r="N883" t="s">
        <v>35</v>
      </c>
      <c r="O883" t="s">
        <v>36</v>
      </c>
      <c r="P883" t="s">
        <v>71</v>
      </c>
      <c r="Q883" t="s">
        <v>169</v>
      </c>
      <c r="R883">
        <v>206</v>
      </c>
      <c r="S883">
        <v>123</v>
      </c>
      <c r="T883">
        <v>86</v>
      </c>
      <c r="U883">
        <v>31</v>
      </c>
      <c r="V883" t="s">
        <v>6352</v>
      </c>
      <c r="W883">
        <v>57985</v>
      </c>
      <c r="X883" t="s">
        <v>7136</v>
      </c>
      <c r="Y883">
        <v>42856</v>
      </c>
      <c r="Z883">
        <v>1797535</v>
      </c>
      <c r="AA883">
        <v>468999</v>
      </c>
      <c r="AB883" t="str">
        <f>(VLOOKUP(SalesData[[#This Row],[Month Number]],Reference!C$5:E$16,2,FALSE))</f>
        <v>Feb</v>
      </c>
      <c r="AC883">
        <f>MONTH(SalesData[[#This Row],[Date]])</f>
        <v>2</v>
      </c>
      <c r="AD883">
        <f>Reference!F$4</f>
        <v>2026</v>
      </c>
      <c r="AE883" t="str">
        <f>IF(OR(SalesData[[#This Row],[Day]]="Saturday",SalesData[[#This Row],[Day]]="Sunday"),"Weekend","Weekday")</f>
        <v>Weekday</v>
      </c>
      <c r="AF883" s="5">
        <f>IF(SalesData[[#This Row],[Contracts Offered]]=0,0,SalesData[[#This Row],[Contracts Signed]]/SalesData[[#This Row],[Contracts Offered]])</f>
        <v>0.36046511627906974</v>
      </c>
      <c r="AG883" s="5">
        <f>IF(SalesData[[#This Row],[Customers Visited]]=0,0,SalesData[[#This Row],[Test Drives]]/SalesData[[#This Row],[Customers Visited]])</f>
        <v>0.59708737864077666</v>
      </c>
      <c r="AH883" s="5">
        <f>IF(SalesData[[#This Row],[Customers Visited]]=0,0,SalesData[[#This Row],[Contracts Signed]]/SalesData[[#This Row],[Customers Visited]])</f>
        <v>0.15048543689320387</v>
      </c>
      <c r="AI883" s="6">
        <f>IF(SalesData[[#This Row],[Contracts Signed]]=0,0,SalesData[[#This Row],[Profit(€)]]/SalesData[[#This Row],[Contracts Signed]])</f>
        <v>15129</v>
      </c>
      <c r="AJ883" s="5" t="str">
        <f>TRIM(CLEAN(SalesData[[#This Row],[Retailer]]))</f>
        <v>Ruhr Auto Plaza</v>
      </c>
    </row>
    <row r="884" spans="1:36" ht="14.25" hidden="1" x14ac:dyDescent="0.2">
      <c r="A884" t="s">
        <v>1557</v>
      </c>
      <c r="B884" s="1">
        <v>46069</v>
      </c>
      <c r="C884" t="s">
        <v>62</v>
      </c>
      <c r="D884" t="s">
        <v>25</v>
      </c>
      <c r="E884" t="s">
        <v>26</v>
      </c>
      <c r="F884" t="s">
        <v>101</v>
      </c>
      <c r="G884" t="s">
        <v>102</v>
      </c>
      <c r="H884" t="s">
        <v>103</v>
      </c>
      <c r="I884" t="s">
        <v>56</v>
      </c>
      <c r="J884" t="s">
        <v>97</v>
      </c>
      <c r="K884" t="s">
        <v>78</v>
      </c>
      <c r="L884" t="s">
        <v>33</v>
      </c>
      <c r="M884" t="s">
        <v>68</v>
      </c>
      <c r="N884" t="s">
        <v>35</v>
      </c>
      <c r="O884" t="s">
        <v>70</v>
      </c>
      <c r="P884" t="s">
        <v>37</v>
      </c>
      <c r="Q884" t="s">
        <v>169</v>
      </c>
      <c r="R884">
        <v>318</v>
      </c>
      <c r="S884">
        <v>201</v>
      </c>
      <c r="T884">
        <v>130</v>
      </c>
      <c r="U884">
        <v>40</v>
      </c>
      <c r="V884" t="s">
        <v>6608</v>
      </c>
      <c r="W884">
        <v>52804</v>
      </c>
      <c r="X884" t="s">
        <v>7282</v>
      </c>
      <c r="Y884">
        <v>42227</v>
      </c>
      <c r="Z884">
        <v>2112160</v>
      </c>
      <c r="AA884">
        <v>423080</v>
      </c>
      <c r="AB884" t="str">
        <f>(VLOOKUP(SalesData[[#This Row],[Month Number]],Reference!C$5:E$16,2,FALSE))</f>
        <v>Feb</v>
      </c>
      <c r="AC884">
        <f>MONTH(SalesData[[#This Row],[Date]])</f>
        <v>2</v>
      </c>
      <c r="AD884">
        <f>Reference!F$4</f>
        <v>2026</v>
      </c>
      <c r="AE884" t="str">
        <f>IF(OR(SalesData[[#This Row],[Day]]="Saturday",SalesData[[#This Row],[Day]]="Sunday"),"Weekend","Weekday")</f>
        <v>Weekday</v>
      </c>
      <c r="AF884" s="5">
        <f>IF(SalesData[[#This Row],[Contracts Offered]]=0,0,SalesData[[#This Row],[Contracts Signed]]/SalesData[[#This Row],[Contracts Offered]])</f>
        <v>0.30769230769230771</v>
      </c>
      <c r="AG884" s="5">
        <f>IF(SalesData[[#This Row],[Customers Visited]]=0,0,SalesData[[#This Row],[Test Drives]]/SalesData[[#This Row],[Customers Visited]])</f>
        <v>0.63207547169811318</v>
      </c>
      <c r="AH884" s="5">
        <f>IF(SalesData[[#This Row],[Customers Visited]]=0,0,SalesData[[#This Row],[Contracts Signed]]/SalesData[[#This Row],[Customers Visited]])</f>
        <v>0.12578616352201258</v>
      </c>
      <c r="AI884" s="6">
        <f>IF(SalesData[[#This Row],[Contracts Signed]]=0,0,SalesData[[#This Row],[Profit(€)]]/SalesData[[#This Row],[Contracts Signed]])</f>
        <v>10577</v>
      </c>
      <c r="AJ884" s="5" t="str">
        <f>TRIM(CLEAN(SalesData[[#This Row],[Retailer]]))</f>
        <v>Ruhr Auto Plaza</v>
      </c>
    </row>
    <row r="885" spans="1:36" ht="14.25" hidden="1" x14ac:dyDescent="0.2">
      <c r="A885" t="s">
        <v>1558</v>
      </c>
      <c r="B885" s="1">
        <v>46062</v>
      </c>
      <c r="C885" t="s">
        <v>121</v>
      </c>
      <c r="D885" t="s">
        <v>25</v>
      </c>
      <c r="E885" t="s">
        <v>26</v>
      </c>
      <c r="F885" t="s">
        <v>94</v>
      </c>
      <c r="G885" t="s">
        <v>95</v>
      </c>
      <c r="H885" t="s">
        <v>96</v>
      </c>
      <c r="I885" t="s">
        <v>56</v>
      </c>
      <c r="J885" t="s">
        <v>137</v>
      </c>
      <c r="K885" t="s">
        <v>78</v>
      </c>
      <c r="L885" t="s">
        <v>46</v>
      </c>
      <c r="M885" t="s">
        <v>68</v>
      </c>
      <c r="N885" t="s">
        <v>48</v>
      </c>
      <c r="O885" t="s">
        <v>36</v>
      </c>
      <c r="P885" t="s">
        <v>71</v>
      </c>
      <c r="Q885" t="s">
        <v>240</v>
      </c>
      <c r="R885">
        <v>213</v>
      </c>
      <c r="S885">
        <v>113</v>
      </c>
      <c r="T885">
        <v>83</v>
      </c>
      <c r="U885">
        <v>31</v>
      </c>
      <c r="V885" t="s">
        <v>6665</v>
      </c>
      <c r="W885">
        <v>53691</v>
      </c>
      <c r="X885" t="s">
        <v>7193</v>
      </c>
      <c r="Y885">
        <v>40609</v>
      </c>
      <c r="Z885">
        <v>1664421</v>
      </c>
      <c r="AA885">
        <v>405542</v>
      </c>
      <c r="AB885" t="str">
        <f>(VLOOKUP(SalesData[[#This Row],[Month Number]],Reference!C$5:E$16,2,FALSE))</f>
        <v>Feb</v>
      </c>
      <c r="AC885">
        <f>MONTH(SalesData[[#This Row],[Date]])</f>
        <v>2</v>
      </c>
      <c r="AD885">
        <f>Reference!F$4</f>
        <v>2026</v>
      </c>
      <c r="AE885" t="str">
        <f>IF(OR(SalesData[[#This Row],[Day]]="Saturday",SalesData[[#This Row],[Day]]="Sunday"),"Weekend","Weekday")</f>
        <v>Weekday</v>
      </c>
      <c r="AF885" s="5">
        <f>IF(SalesData[[#This Row],[Contracts Offered]]=0,0,SalesData[[#This Row],[Contracts Signed]]/SalesData[[#This Row],[Contracts Offered]])</f>
        <v>0.37349397590361444</v>
      </c>
      <c r="AG885" s="5">
        <f>IF(SalesData[[#This Row],[Customers Visited]]=0,0,SalesData[[#This Row],[Test Drives]]/SalesData[[#This Row],[Customers Visited]])</f>
        <v>0.53051643192488263</v>
      </c>
      <c r="AH885" s="5">
        <f>IF(SalesData[[#This Row],[Customers Visited]]=0,0,SalesData[[#This Row],[Contracts Signed]]/SalesData[[#This Row],[Customers Visited]])</f>
        <v>0.14553990610328638</v>
      </c>
      <c r="AI885" s="6">
        <f>IF(SalesData[[#This Row],[Contracts Signed]]=0,0,SalesData[[#This Row],[Profit(€)]]/SalesData[[#This Row],[Contracts Signed]])</f>
        <v>13082</v>
      </c>
      <c r="AJ885" s="5" t="str">
        <f>TRIM(CLEAN(SalesData[[#This Row],[Retailer]]))</f>
        <v>Bavaria Motors</v>
      </c>
    </row>
    <row r="886" spans="1:36" ht="14.25" hidden="1" x14ac:dyDescent="0.2">
      <c r="A886" t="s">
        <v>1560</v>
      </c>
      <c r="B886" s="1">
        <v>46072</v>
      </c>
      <c r="C886" t="s">
        <v>62</v>
      </c>
      <c r="D886" t="s">
        <v>100</v>
      </c>
      <c r="E886" t="s">
        <v>26</v>
      </c>
      <c r="F886" t="s">
        <v>74</v>
      </c>
      <c r="G886" t="s">
        <v>75</v>
      </c>
      <c r="H886" t="s">
        <v>76</v>
      </c>
      <c r="I886" t="s">
        <v>104</v>
      </c>
      <c r="J886" t="s">
        <v>7031</v>
      </c>
      <c r="K886" t="s">
        <v>91</v>
      </c>
      <c r="L886" t="s">
        <v>46</v>
      </c>
      <c r="M886" t="s">
        <v>68</v>
      </c>
      <c r="N886" t="s">
        <v>35</v>
      </c>
      <c r="O886" t="s">
        <v>36</v>
      </c>
      <c r="P886" t="s">
        <v>58</v>
      </c>
      <c r="Q886" t="s">
        <v>169</v>
      </c>
      <c r="R886">
        <v>337</v>
      </c>
      <c r="S886">
        <v>158</v>
      </c>
      <c r="T886">
        <v>100</v>
      </c>
      <c r="U886">
        <v>31</v>
      </c>
      <c r="V886" t="s">
        <v>7336</v>
      </c>
      <c r="W886">
        <v>28688</v>
      </c>
      <c r="X886" t="s">
        <v>944</v>
      </c>
      <c r="Y886">
        <v>25050</v>
      </c>
      <c r="Z886">
        <v>889328</v>
      </c>
      <c r="AA886">
        <v>112778</v>
      </c>
      <c r="AB886" t="str">
        <f>(VLOOKUP(SalesData[[#This Row],[Month Number]],Reference!C$5:E$16,2,FALSE))</f>
        <v>Feb</v>
      </c>
      <c r="AC886">
        <f>MONTH(SalesData[[#This Row],[Date]])</f>
        <v>2</v>
      </c>
      <c r="AD886">
        <f>Reference!F$4</f>
        <v>2026</v>
      </c>
      <c r="AE886" t="str">
        <f>IF(OR(SalesData[[#This Row],[Day]]="Saturday",SalesData[[#This Row],[Day]]="Sunday"),"Weekend","Weekday")</f>
        <v>Weekday</v>
      </c>
      <c r="AF886" s="5">
        <f>IF(SalesData[[#This Row],[Contracts Offered]]=0,0,SalesData[[#This Row],[Contracts Signed]]/SalesData[[#This Row],[Contracts Offered]])</f>
        <v>0.31</v>
      </c>
      <c r="AG886" s="5">
        <f>IF(SalesData[[#This Row],[Customers Visited]]=0,0,SalesData[[#This Row],[Test Drives]]/SalesData[[#This Row],[Customers Visited]])</f>
        <v>0.46884272997032639</v>
      </c>
      <c r="AH886" s="5">
        <f>IF(SalesData[[#This Row],[Customers Visited]]=0,0,SalesData[[#This Row],[Contracts Signed]]/SalesData[[#This Row],[Customers Visited]])</f>
        <v>9.1988130563798218E-2</v>
      </c>
      <c r="AI886" s="6">
        <f>IF(SalesData[[#This Row],[Contracts Signed]]=0,0,SalesData[[#This Row],[Profit(€)]]/SalesData[[#This Row],[Contracts Signed]])</f>
        <v>3638</v>
      </c>
      <c r="AJ886" s="5" t="str">
        <f>TRIM(CLEAN(SalesData[[#This Row],[Retailer]]))</f>
        <v>Stuttgart Auto Center</v>
      </c>
    </row>
    <row r="887" spans="1:36" ht="14.25" hidden="1" x14ac:dyDescent="0.2">
      <c r="A887" t="s">
        <v>1561</v>
      </c>
      <c r="B887" s="1">
        <v>46064</v>
      </c>
      <c r="C887" t="s">
        <v>121</v>
      </c>
      <c r="D887" t="s">
        <v>82</v>
      </c>
      <c r="E887" t="s">
        <v>26</v>
      </c>
      <c r="F887" t="s">
        <v>27</v>
      </c>
      <c r="G887" t="s">
        <v>28</v>
      </c>
      <c r="H887" t="s">
        <v>29</v>
      </c>
      <c r="I887" t="s">
        <v>116</v>
      </c>
      <c r="J887" t="s">
        <v>7090</v>
      </c>
      <c r="K887" t="s">
        <v>78</v>
      </c>
      <c r="L887" t="s">
        <v>46</v>
      </c>
      <c r="M887" t="s">
        <v>68</v>
      </c>
      <c r="N887" t="s">
        <v>69</v>
      </c>
      <c r="O887" t="s">
        <v>36</v>
      </c>
      <c r="P887" t="s">
        <v>58</v>
      </c>
      <c r="Q887" t="s">
        <v>122</v>
      </c>
      <c r="R887">
        <v>324</v>
      </c>
      <c r="S887">
        <v>162</v>
      </c>
      <c r="T887">
        <v>94</v>
      </c>
      <c r="U887">
        <v>29</v>
      </c>
      <c r="V887" t="s">
        <v>1274</v>
      </c>
      <c r="W887">
        <v>24409</v>
      </c>
      <c r="X887" t="s">
        <v>3337</v>
      </c>
      <c r="Y887">
        <v>22661</v>
      </c>
      <c r="Z887">
        <v>707861</v>
      </c>
      <c r="AA887">
        <v>50692</v>
      </c>
      <c r="AB887" t="str">
        <f>(VLOOKUP(SalesData[[#This Row],[Month Number]],Reference!C$5:E$16,2,FALSE))</f>
        <v>Feb</v>
      </c>
      <c r="AC887">
        <f>MONTH(SalesData[[#This Row],[Date]])</f>
        <v>2</v>
      </c>
      <c r="AD887">
        <f>Reference!F$4</f>
        <v>2026</v>
      </c>
      <c r="AE887" t="str">
        <f>IF(OR(SalesData[[#This Row],[Day]]="Saturday",SalesData[[#This Row],[Day]]="Sunday"),"Weekend","Weekday")</f>
        <v>Weekday</v>
      </c>
      <c r="AF887" s="5">
        <f>IF(SalesData[[#This Row],[Contracts Offered]]=0,0,SalesData[[#This Row],[Contracts Signed]]/SalesData[[#This Row],[Contracts Offered]])</f>
        <v>0.30851063829787234</v>
      </c>
      <c r="AG887" s="5">
        <f>IF(SalesData[[#This Row],[Customers Visited]]=0,0,SalesData[[#This Row],[Test Drives]]/SalesData[[#This Row],[Customers Visited]])</f>
        <v>0.5</v>
      </c>
      <c r="AH887" s="5">
        <f>IF(SalesData[[#This Row],[Customers Visited]]=0,0,SalesData[[#This Row],[Contracts Signed]]/SalesData[[#This Row],[Customers Visited]])</f>
        <v>8.9506172839506168E-2</v>
      </c>
      <c r="AI887" s="6">
        <f>IF(SalesData[[#This Row],[Contracts Signed]]=0,0,SalesData[[#This Row],[Profit(€)]]/SalesData[[#This Row],[Contracts Signed]])</f>
        <v>1748</v>
      </c>
      <c r="AJ887" s="5" t="str">
        <f>TRIM(CLEAN(SalesData[[#This Row],[Retailer]]))</f>
        <v>Main Auto Hub</v>
      </c>
    </row>
    <row r="888" spans="1:36" ht="14.25" hidden="1" x14ac:dyDescent="0.2">
      <c r="A888" t="s">
        <v>1563</v>
      </c>
      <c r="B888" s="1">
        <v>46054</v>
      </c>
      <c r="C888" t="s">
        <v>24</v>
      </c>
      <c r="D888" t="s">
        <v>41</v>
      </c>
      <c r="E888" t="s">
        <v>42</v>
      </c>
      <c r="F888" t="s">
        <v>127</v>
      </c>
      <c r="G888" t="s">
        <v>128</v>
      </c>
      <c r="H888" t="s">
        <v>103</v>
      </c>
      <c r="I888" t="s">
        <v>116</v>
      </c>
      <c r="J888" t="s">
        <v>7026</v>
      </c>
      <c r="K888" t="s">
        <v>78</v>
      </c>
      <c r="L888" t="s">
        <v>46</v>
      </c>
      <c r="M888" t="s">
        <v>47</v>
      </c>
      <c r="N888" t="s">
        <v>69</v>
      </c>
      <c r="O888" t="s">
        <v>36</v>
      </c>
      <c r="P888" t="s">
        <v>58</v>
      </c>
      <c r="Q888" t="s">
        <v>135</v>
      </c>
      <c r="R888">
        <v>251</v>
      </c>
      <c r="S888">
        <v>126</v>
      </c>
      <c r="T888">
        <v>87</v>
      </c>
      <c r="U888">
        <v>24</v>
      </c>
      <c r="V888" t="s">
        <v>367</v>
      </c>
      <c r="W888">
        <v>19982</v>
      </c>
      <c r="X888" t="s">
        <v>4169</v>
      </c>
      <c r="Y888">
        <v>17960</v>
      </c>
      <c r="Z888">
        <v>479568</v>
      </c>
      <c r="AA888">
        <v>48528</v>
      </c>
      <c r="AB888" t="str">
        <f>(VLOOKUP(SalesData[[#This Row],[Month Number]],Reference!C$5:E$16,2,FALSE))</f>
        <v>Feb</v>
      </c>
      <c r="AC888">
        <f>MONTH(SalesData[[#This Row],[Date]])</f>
        <v>2</v>
      </c>
      <c r="AD888">
        <f>Reference!F$4</f>
        <v>2026</v>
      </c>
      <c r="AE888" t="str">
        <f>IF(OR(SalesData[[#This Row],[Day]]="Saturday",SalesData[[#This Row],[Day]]="Sunday"),"Weekend","Weekday")</f>
        <v>Weekend</v>
      </c>
      <c r="AF888" s="5">
        <f>IF(SalesData[[#This Row],[Contracts Offered]]=0,0,SalesData[[#This Row],[Contracts Signed]]/SalesData[[#This Row],[Contracts Offered]])</f>
        <v>0.27586206896551724</v>
      </c>
      <c r="AG888" s="5">
        <f>IF(SalesData[[#This Row],[Customers Visited]]=0,0,SalesData[[#This Row],[Test Drives]]/SalesData[[#This Row],[Customers Visited]])</f>
        <v>0.50199203187250996</v>
      </c>
      <c r="AH888" s="5">
        <f>IF(SalesData[[#This Row],[Customers Visited]]=0,0,SalesData[[#This Row],[Contracts Signed]]/SalesData[[#This Row],[Customers Visited]])</f>
        <v>9.5617529880478086E-2</v>
      </c>
      <c r="AI888" s="6">
        <f>IF(SalesData[[#This Row],[Contracts Signed]]=0,0,SalesData[[#This Row],[Profit(€)]]/SalesData[[#This Row],[Contracts Signed]])</f>
        <v>2022</v>
      </c>
      <c r="AJ888" s="5" t="str">
        <f>TRIM(CLEAN(SalesData[[#This Row],[Retailer]]))</f>
        <v>Rhein Auto Group</v>
      </c>
    </row>
    <row r="889" spans="1:36" ht="14.25" x14ac:dyDescent="0.2">
      <c r="A889" t="s">
        <v>1564</v>
      </c>
      <c r="B889" s="1">
        <v>46067</v>
      </c>
      <c r="C889" t="s">
        <v>121</v>
      </c>
      <c r="D889" t="s">
        <v>151</v>
      </c>
      <c r="E889" t="s">
        <v>42</v>
      </c>
      <c r="F889" t="s">
        <v>114</v>
      </c>
      <c r="G889" t="s">
        <v>115</v>
      </c>
      <c r="H889" t="s">
        <v>115</v>
      </c>
      <c r="I889" t="s">
        <v>30</v>
      </c>
      <c r="J889" t="s">
        <v>188</v>
      </c>
      <c r="K889" t="s">
        <v>32</v>
      </c>
      <c r="L889" t="s">
        <v>33</v>
      </c>
      <c r="M889" t="s">
        <v>68</v>
      </c>
      <c r="N889" t="s">
        <v>48</v>
      </c>
      <c r="O889" t="s">
        <v>36</v>
      </c>
      <c r="P889" t="s">
        <v>49</v>
      </c>
      <c r="Q889" t="s">
        <v>106</v>
      </c>
      <c r="R889">
        <v>210</v>
      </c>
      <c r="S889">
        <v>124</v>
      </c>
      <c r="T889">
        <v>84</v>
      </c>
      <c r="U889">
        <v>33</v>
      </c>
      <c r="V889" t="s">
        <v>6687</v>
      </c>
      <c r="W889">
        <v>52103</v>
      </c>
      <c r="X889" t="s">
        <v>7303</v>
      </c>
      <c r="Y889">
        <v>39610</v>
      </c>
      <c r="Z889">
        <v>1719399</v>
      </c>
      <c r="AA889">
        <v>412269</v>
      </c>
      <c r="AB889" t="str">
        <f>(VLOOKUP(SalesData[[#This Row],[Month Number]],Reference!C$5:E$16,2,FALSE))</f>
        <v>Feb</v>
      </c>
      <c r="AC889">
        <f>MONTH(SalesData[[#This Row],[Date]])</f>
        <v>2</v>
      </c>
      <c r="AD889">
        <f>Reference!F$4</f>
        <v>2026</v>
      </c>
      <c r="AE889" t="str">
        <f>IF(OR(SalesData[[#This Row],[Day]]="Saturday",SalesData[[#This Row],[Day]]="Sunday"),"Weekend","Weekday")</f>
        <v>Weekend</v>
      </c>
      <c r="AF889" s="5">
        <f>IF(SalesData[[#This Row],[Contracts Offered]]=0,0,SalesData[[#This Row],[Contracts Signed]]/SalesData[[#This Row],[Contracts Offered]])</f>
        <v>0.39285714285714285</v>
      </c>
      <c r="AG889" s="5">
        <f>IF(SalesData[[#This Row],[Customers Visited]]=0,0,SalesData[[#This Row],[Test Drives]]/SalesData[[#This Row],[Customers Visited]])</f>
        <v>0.59047619047619049</v>
      </c>
      <c r="AH889" s="5">
        <f>IF(SalesData[[#This Row],[Customers Visited]]=0,0,SalesData[[#This Row],[Contracts Signed]]/SalesData[[#This Row],[Customers Visited]])</f>
        <v>0.15714285714285714</v>
      </c>
      <c r="AI889" s="6">
        <f>IF(SalesData[[#This Row],[Contracts Signed]]=0,0,SalesData[[#This Row],[Profit(€)]]/SalesData[[#This Row],[Contracts Signed]])</f>
        <v>12493</v>
      </c>
      <c r="AJ889" s="5" t="str">
        <f>TRIM(CLEAN(SalesData[[#This Row],[Retailer]]))</f>
        <v>Elbe Drive</v>
      </c>
    </row>
    <row r="890" spans="1:36" ht="14.25" hidden="1" x14ac:dyDescent="0.2">
      <c r="A890" t="s">
        <v>1565</v>
      </c>
      <c r="B890" s="1">
        <v>46063</v>
      </c>
      <c r="C890" t="s">
        <v>121</v>
      </c>
      <c r="D890" t="s">
        <v>63</v>
      </c>
      <c r="E890" t="s">
        <v>26</v>
      </c>
      <c r="F890" t="s">
        <v>7649</v>
      </c>
      <c r="G890" t="s">
        <v>55</v>
      </c>
      <c r="H890" t="s">
        <v>55</v>
      </c>
      <c r="I890" t="s">
        <v>56</v>
      </c>
      <c r="J890" t="s">
        <v>97</v>
      </c>
      <c r="K890" t="s">
        <v>91</v>
      </c>
      <c r="L890" t="s">
        <v>33</v>
      </c>
      <c r="M890" t="s">
        <v>68</v>
      </c>
      <c r="N890" t="s">
        <v>69</v>
      </c>
      <c r="O890" t="s">
        <v>70</v>
      </c>
      <c r="P890" t="s">
        <v>58</v>
      </c>
      <c r="Q890" t="s">
        <v>204</v>
      </c>
      <c r="R890">
        <v>241</v>
      </c>
      <c r="S890">
        <v>121</v>
      </c>
      <c r="T890">
        <v>77</v>
      </c>
      <c r="U890">
        <v>34</v>
      </c>
      <c r="V890" t="s">
        <v>6414</v>
      </c>
      <c r="W890">
        <v>50224</v>
      </c>
      <c r="X890" t="s">
        <v>7337</v>
      </c>
      <c r="Y890">
        <v>38327</v>
      </c>
      <c r="Z890">
        <v>1707616</v>
      </c>
      <c r="AA890">
        <v>404498</v>
      </c>
      <c r="AB890" t="str">
        <f>(VLOOKUP(SalesData[[#This Row],[Month Number]],Reference!C$5:E$16,2,FALSE))</f>
        <v>Feb</v>
      </c>
      <c r="AC890">
        <f>MONTH(SalesData[[#This Row],[Date]])</f>
        <v>2</v>
      </c>
      <c r="AD890">
        <f>Reference!F$4</f>
        <v>2026</v>
      </c>
      <c r="AE890" t="str">
        <f>IF(OR(SalesData[[#This Row],[Day]]="Saturday",SalesData[[#This Row],[Day]]="Sunday"),"Weekend","Weekday")</f>
        <v>Weekday</v>
      </c>
      <c r="AF890" s="5">
        <f>IF(SalesData[[#This Row],[Contracts Offered]]=0,0,SalesData[[#This Row],[Contracts Signed]]/SalesData[[#This Row],[Contracts Offered]])</f>
        <v>0.44155844155844154</v>
      </c>
      <c r="AG890" s="5">
        <f>IF(SalesData[[#This Row],[Customers Visited]]=0,0,SalesData[[#This Row],[Test Drives]]/SalesData[[#This Row],[Customers Visited]])</f>
        <v>0.50207468879668049</v>
      </c>
      <c r="AH890" s="5">
        <f>IF(SalesData[[#This Row],[Customers Visited]]=0,0,SalesData[[#This Row],[Contracts Signed]]/SalesData[[#This Row],[Customers Visited]])</f>
        <v>0.14107883817427386</v>
      </c>
      <c r="AI890" s="6">
        <f>IF(SalesData[[#This Row],[Contracts Signed]]=0,0,SalesData[[#This Row],[Profit(€)]]/SalesData[[#This Row],[Contracts Signed]])</f>
        <v>11897</v>
      </c>
      <c r="AJ890" s="5" t="str">
        <f>TRIM(CLEAN(SalesData[[#This Row],[Retailer]]))</f>
        <v>Autohaus Berlin</v>
      </c>
    </row>
    <row r="891" spans="1:36" ht="14.25" hidden="1" x14ac:dyDescent="0.2">
      <c r="A891" t="s">
        <v>1567</v>
      </c>
      <c r="B891" s="1">
        <v>46080</v>
      </c>
      <c r="C891" t="s">
        <v>53</v>
      </c>
      <c r="D891" t="s">
        <v>54</v>
      </c>
      <c r="E891" t="s">
        <v>26</v>
      </c>
      <c r="F891" t="s">
        <v>114</v>
      </c>
      <c r="G891" t="s">
        <v>115</v>
      </c>
      <c r="H891" t="s">
        <v>115</v>
      </c>
      <c r="I891" t="s">
        <v>116</v>
      </c>
      <c r="J891" t="s">
        <v>132</v>
      </c>
      <c r="K891" t="s">
        <v>66</v>
      </c>
      <c r="L891" t="s">
        <v>46</v>
      </c>
      <c r="M891" t="s">
        <v>87</v>
      </c>
      <c r="N891" t="s">
        <v>35</v>
      </c>
      <c r="O891" t="s">
        <v>70</v>
      </c>
      <c r="P891" t="s">
        <v>49</v>
      </c>
      <c r="Q891" t="s">
        <v>118</v>
      </c>
      <c r="R891">
        <v>340</v>
      </c>
      <c r="S891">
        <v>152</v>
      </c>
      <c r="T891">
        <v>93</v>
      </c>
      <c r="U891">
        <v>19</v>
      </c>
      <c r="V891" t="s">
        <v>265</v>
      </c>
      <c r="W891">
        <v>21024</v>
      </c>
      <c r="X891" t="s">
        <v>4421</v>
      </c>
      <c r="Y891">
        <v>18940</v>
      </c>
      <c r="Z891">
        <v>399456</v>
      </c>
      <c r="AA891">
        <v>39596</v>
      </c>
      <c r="AB891" t="str">
        <f>(VLOOKUP(SalesData[[#This Row],[Month Number]],Reference!C$5:E$16,2,FALSE))</f>
        <v>Feb</v>
      </c>
      <c r="AC891">
        <f>MONTH(SalesData[[#This Row],[Date]])</f>
        <v>2</v>
      </c>
      <c r="AD891">
        <f>Reference!F$4</f>
        <v>2026</v>
      </c>
      <c r="AE891" t="str">
        <f>IF(OR(SalesData[[#This Row],[Day]]="Saturday",SalesData[[#This Row],[Day]]="Sunday"),"Weekend","Weekday")</f>
        <v>Weekday</v>
      </c>
      <c r="AF891" s="5">
        <f>IF(SalesData[[#This Row],[Contracts Offered]]=0,0,SalesData[[#This Row],[Contracts Signed]]/SalesData[[#This Row],[Contracts Offered]])</f>
        <v>0.20430107526881722</v>
      </c>
      <c r="AG891" s="5">
        <f>IF(SalesData[[#This Row],[Customers Visited]]=0,0,SalesData[[#This Row],[Test Drives]]/SalesData[[#This Row],[Customers Visited]])</f>
        <v>0.44705882352941179</v>
      </c>
      <c r="AH891" s="5">
        <f>IF(SalesData[[#This Row],[Customers Visited]]=0,0,SalesData[[#This Row],[Contracts Signed]]/SalesData[[#This Row],[Customers Visited]])</f>
        <v>5.5882352941176473E-2</v>
      </c>
      <c r="AI891" s="6">
        <f>IF(SalesData[[#This Row],[Contracts Signed]]=0,0,SalesData[[#This Row],[Profit(€)]]/SalesData[[#This Row],[Contracts Signed]])</f>
        <v>2084</v>
      </c>
      <c r="AJ891" s="5" t="str">
        <f>TRIM(CLEAN(SalesData[[#This Row],[Retailer]]))</f>
        <v>Elbe Drive</v>
      </c>
    </row>
    <row r="892" spans="1:36" ht="14.25" hidden="1" x14ac:dyDescent="0.2">
      <c r="A892" t="s">
        <v>1568</v>
      </c>
      <c r="B892" s="1">
        <v>46066</v>
      </c>
      <c r="C892" t="s">
        <v>121</v>
      </c>
      <c r="D892" t="s">
        <v>54</v>
      </c>
      <c r="E892" t="s">
        <v>26</v>
      </c>
      <c r="F892" t="s">
        <v>27</v>
      </c>
      <c r="G892" t="s">
        <v>28</v>
      </c>
      <c r="H892" t="s">
        <v>29</v>
      </c>
      <c r="I892" t="s">
        <v>116</v>
      </c>
      <c r="J892" t="s">
        <v>117</v>
      </c>
      <c r="K892" t="s">
        <v>32</v>
      </c>
      <c r="L892" t="s">
        <v>67</v>
      </c>
      <c r="M892" t="s">
        <v>87</v>
      </c>
      <c r="N892" t="s">
        <v>48</v>
      </c>
      <c r="O892" t="s">
        <v>70</v>
      </c>
      <c r="P892" t="s">
        <v>37</v>
      </c>
      <c r="Q892" t="s">
        <v>347</v>
      </c>
      <c r="R892">
        <v>386</v>
      </c>
      <c r="S892">
        <v>151</v>
      </c>
      <c r="T892">
        <v>102</v>
      </c>
      <c r="U892">
        <v>19</v>
      </c>
      <c r="V892" t="s">
        <v>738</v>
      </c>
      <c r="W892">
        <v>25212</v>
      </c>
      <c r="X892" t="s">
        <v>3120</v>
      </c>
      <c r="Y892">
        <v>22632</v>
      </c>
      <c r="Z892">
        <v>479028</v>
      </c>
      <c r="AA892">
        <v>49020</v>
      </c>
      <c r="AB892" t="str">
        <f>(VLOOKUP(SalesData[[#This Row],[Month Number]],Reference!C$5:E$16,2,FALSE))</f>
        <v>Feb</v>
      </c>
      <c r="AC892">
        <f>MONTH(SalesData[[#This Row],[Date]])</f>
        <v>2</v>
      </c>
      <c r="AD892">
        <f>Reference!F$4</f>
        <v>2026</v>
      </c>
      <c r="AE892" t="str">
        <f>IF(OR(SalesData[[#This Row],[Day]]="Saturday",SalesData[[#This Row],[Day]]="Sunday"),"Weekend","Weekday")</f>
        <v>Weekday</v>
      </c>
      <c r="AF892" s="5">
        <f>IF(SalesData[[#This Row],[Contracts Offered]]=0,0,SalesData[[#This Row],[Contracts Signed]]/SalesData[[#This Row],[Contracts Offered]])</f>
        <v>0.18627450980392157</v>
      </c>
      <c r="AG892" s="5">
        <f>IF(SalesData[[#This Row],[Customers Visited]]=0,0,SalesData[[#This Row],[Test Drives]]/SalesData[[#This Row],[Customers Visited]])</f>
        <v>0.39119170984455959</v>
      </c>
      <c r="AH892" s="5">
        <f>IF(SalesData[[#This Row],[Customers Visited]]=0,0,SalesData[[#This Row],[Contracts Signed]]/SalesData[[#This Row],[Customers Visited]])</f>
        <v>4.9222797927461141E-2</v>
      </c>
      <c r="AI892" s="6">
        <f>IF(SalesData[[#This Row],[Contracts Signed]]=0,0,SalesData[[#This Row],[Profit(€)]]/SalesData[[#This Row],[Contracts Signed]])</f>
        <v>2580</v>
      </c>
      <c r="AJ892" s="5" t="str">
        <f>TRIM(CLEAN(SalesData[[#This Row],[Retailer]]))</f>
        <v>Main Auto Hub</v>
      </c>
    </row>
    <row r="893" spans="1:36" ht="14.25" hidden="1" x14ac:dyDescent="0.2">
      <c r="A893" t="s">
        <v>1569</v>
      </c>
      <c r="B893" s="1">
        <v>46065</v>
      </c>
      <c r="C893" t="s">
        <v>121</v>
      </c>
      <c r="D893" t="s">
        <v>100</v>
      </c>
      <c r="E893" t="s">
        <v>26</v>
      </c>
      <c r="F893" t="s">
        <v>94</v>
      </c>
      <c r="G893" t="s">
        <v>95</v>
      </c>
      <c r="H893" t="s">
        <v>96</v>
      </c>
      <c r="I893" t="s">
        <v>64</v>
      </c>
      <c r="J893" t="s">
        <v>157</v>
      </c>
      <c r="K893" t="s">
        <v>32</v>
      </c>
      <c r="L893" t="s">
        <v>33</v>
      </c>
      <c r="M893" t="s">
        <v>68</v>
      </c>
      <c r="N893" t="s">
        <v>35</v>
      </c>
      <c r="O893" t="s">
        <v>36</v>
      </c>
      <c r="P893" t="s">
        <v>71</v>
      </c>
      <c r="Q893" t="s">
        <v>135</v>
      </c>
      <c r="R893">
        <v>221</v>
      </c>
      <c r="S893">
        <v>122</v>
      </c>
      <c r="T893">
        <v>88</v>
      </c>
      <c r="U893">
        <v>36</v>
      </c>
      <c r="V893" t="s">
        <v>7008</v>
      </c>
      <c r="W893">
        <v>53925</v>
      </c>
      <c r="X893" t="s">
        <v>7207</v>
      </c>
      <c r="Y893">
        <v>38634</v>
      </c>
      <c r="Z893">
        <v>1941300</v>
      </c>
      <c r="AA893">
        <v>550476</v>
      </c>
      <c r="AB893" t="str">
        <f>(VLOOKUP(SalesData[[#This Row],[Month Number]],Reference!C$5:E$16,2,FALSE))</f>
        <v>Feb</v>
      </c>
      <c r="AC893">
        <f>MONTH(SalesData[[#This Row],[Date]])</f>
        <v>2</v>
      </c>
      <c r="AD893">
        <f>Reference!F$4</f>
        <v>2026</v>
      </c>
      <c r="AE893" t="str">
        <f>IF(OR(SalesData[[#This Row],[Day]]="Saturday",SalesData[[#This Row],[Day]]="Sunday"),"Weekend","Weekday")</f>
        <v>Weekday</v>
      </c>
      <c r="AF893" s="5">
        <f>IF(SalesData[[#This Row],[Contracts Offered]]=0,0,SalesData[[#This Row],[Contracts Signed]]/SalesData[[#This Row],[Contracts Offered]])</f>
        <v>0.40909090909090912</v>
      </c>
      <c r="AG893" s="5">
        <f>IF(SalesData[[#This Row],[Customers Visited]]=0,0,SalesData[[#This Row],[Test Drives]]/SalesData[[#This Row],[Customers Visited]])</f>
        <v>0.55203619909502266</v>
      </c>
      <c r="AH893" s="5">
        <f>IF(SalesData[[#This Row],[Customers Visited]]=0,0,SalesData[[#This Row],[Contracts Signed]]/SalesData[[#This Row],[Customers Visited]])</f>
        <v>0.16289592760180996</v>
      </c>
      <c r="AI893" s="6">
        <f>IF(SalesData[[#This Row],[Contracts Signed]]=0,0,SalesData[[#This Row],[Profit(€)]]/SalesData[[#This Row],[Contracts Signed]])</f>
        <v>15291</v>
      </c>
      <c r="AJ893" s="5" t="str">
        <f>TRIM(CLEAN(SalesData[[#This Row],[Retailer]]))</f>
        <v>Bavaria Motors</v>
      </c>
    </row>
    <row r="894" spans="1:36" ht="14.25" hidden="1" x14ac:dyDescent="0.2">
      <c r="A894" t="s">
        <v>1570</v>
      </c>
      <c r="B894" s="1">
        <v>46079</v>
      </c>
      <c r="C894" t="s">
        <v>53</v>
      </c>
      <c r="D894" t="s">
        <v>100</v>
      </c>
      <c r="E894" t="s">
        <v>26</v>
      </c>
      <c r="F894" t="s">
        <v>43</v>
      </c>
      <c r="G894" t="s">
        <v>44</v>
      </c>
      <c r="H894" t="s">
        <v>45</v>
      </c>
      <c r="I894" t="s">
        <v>104</v>
      </c>
      <c r="J894" t="s">
        <v>140</v>
      </c>
      <c r="K894" t="s">
        <v>32</v>
      </c>
      <c r="L894" t="s">
        <v>46</v>
      </c>
      <c r="M894" t="s">
        <v>34</v>
      </c>
      <c r="N894" t="s">
        <v>69</v>
      </c>
      <c r="O894" t="s">
        <v>36</v>
      </c>
      <c r="P894" t="s">
        <v>71</v>
      </c>
      <c r="Q894" t="s">
        <v>38</v>
      </c>
      <c r="R894">
        <v>430</v>
      </c>
      <c r="S894">
        <v>232</v>
      </c>
      <c r="T894">
        <v>161</v>
      </c>
      <c r="U894">
        <v>33</v>
      </c>
      <c r="V894" t="s">
        <v>2875</v>
      </c>
      <c r="W894">
        <v>25764</v>
      </c>
      <c r="X894" t="s">
        <v>7338</v>
      </c>
      <c r="Y894">
        <v>23158</v>
      </c>
      <c r="Z894">
        <v>850212</v>
      </c>
      <c r="AA894">
        <v>85998</v>
      </c>
      <c r="AB894" t="str">
        <f>(VLOOKUP(SalesData[[#This Row],[Month Number]],Reference!C$5:E$16,2,FALSE))</f>
        <v>Feb</v>
      </c>
      <c r="AC894">
        <f>MONTH(SalesData[[#This Row],[Date]])</f>
        <v>2</v>
      </c>
      <c r="AD894">
        <f>Reference!F$4</f>
        <v>2026</v>
      </c>
      <c r="AE894" t="str">
        <f>IF(OR(SalesData[[#This Row],[Day]]="Saturday",SalesData[[#This Row],[Day]]="Sunday"),"Weekend","Weekday")</f>
        <v>Weekday</v>
      </c>
      <c r="AF894" s="5">
        <f>IF(SalesData[[#This Row],[Contracts Offered]]=0,0,SalesData[[#This Row],[Contracts Signed]]/SalesData[[#This Row],[Contracts Offered]])</f>
        <v>0.20496894409937888</v>
      </c>
      <c r="AG894" s="5">
        <f>IF(SalesData[[#This Row],[Customers Visited]]=0,0,SalesData[[#This Row],[Test Drives]]/SalesData[[#This Row],[Customers Visited]])</f>
        <v>0.53953488372093028</v>
      </c>
      <c r="AH894" s="5">
        <f>IF(SalesData[[#This Row],[Customers Visited]]=0,0,SalesData[[#This Row],[Contracts Signed]]/SalesData[[#This Row],[Customers Visited]])</f>
        <v>7.6744186046511634E-2</v>
      </c>
      <c r="AI894" s="6">
        <f>IF(SalesData[[#This Row],[Contracts Signed]]=0,0,SalesData[[#This Row],[Profit(€)]]/SalesData[[#This Row],[Contracts Signed]])</f>
        <v>2606</v>
      </c>
      <c r="AJ894" s="5" t="str">
        <f>TRIM(CLEAN(SalesData[[#This Row],[Retailer]]))</f>
        <v>Saxon Wheels</v>
      </c>
    </row>
    <row r="895" spans="1:36" ht="14.25" hidden="1" x14ac:dyDescent="0.2">
      <c r="A895" t="s">
        <v>1572</v>
      </c>
      <c r="B895" s="1">
        <v>46064</v>
      </c>
      <c r="C895" t="s">
        <v>121</v>
      </c>
      <c r="D895" t="s">
        <v>82</v>
      </c>
      <c r="E895" t="s">
        <v>26</v>
      </c>
      <c r="F895" t="s">
        <v>27</v>
      </c>
      <c r="G895" t="s">
        <v>28</v>
      </c>
      <c r="H895" t="s">
        <v>29</v>
      </c>
      <c r="I895" t="s">
        <v>56</v>
      </c>
      <c r="J895" t="s">
        <v>137</v>
      </c>
      <c r="K895" t="s">
        <v>78</v>
      </c>
      <c r="L895" t="s">
        <v>46</v>
      </c>
      <c r="M895" t="s">
        <v>34</v>
      </c>
      <c r="N895" t="s">
        <v>35</v>
      </c>
      <c r="O895" t="s">
        <v>36</v>
      </c>
      <c r="P895" t="s">
        <v>71</v>
      </c>
      <c r="Q895" t="s">
        <v>169</v>
      </c>
      <c r="R895">
        <v>205</v>
      </c>
      <c r="S895">
        <v>107</v>
      </c>
      <c r="T895">
        <v>72</v>
      </c>
      <c r="U895">
        <v>26</v>
      </c>
      <c r="V895" t="s">
        <v>6932</v>
      </c>
      <c r="W895">
        <v>50975</v>
      </c>
      <c r="X895" t="s">
        <v>476</v>
      </c>
      <c r="Y895">
        <v>39216</v>
      </c>
      <c r="Z895">
        <v>1325350</v>
      </c>
      <c r="AA895">
        <v>305734</v>
      </c>
      <c r="AB895" t="str">
        <f>(VLOOKUP(SalesData[[#This Row],[Month Number]],Reference!C$5:E$16,2,FALSE))</f>
        <v>Feb</v>
      </c>
      <c r="AC895">
        <f>MONTH(SalesData[[#This Row],[Date]])</f>
        <v>2</v>
      </c>
      <c r="AD895">
        <f>Reference!F$4</f>
        <v>2026</v>
      </c>
      <c r="AE895" t="str">
        <f>IF(OR(SalesData[[#This Row],[Day]]="Saturday",SalesData[[#This Row],[Day]]="Sunday"),"Weekend","Weekday")</f>
        <v>Weekday</v>
      </c>
      <c r="AF895" s="5">
        <f>IF(SalesData[[#This Row],[Contracts Offered]]=0,0,SalesData[[#This Row],[Contracts Signed]]/SalesData[[#This Row],[Contracts Offered]])</f>
        <v>0.3611111111111111</v>
      </c>
      <c r="AG895" s="5">
        <f>IF(SalesData[[#This Row],[Customers Visited]]=0,0,SalesData[[#This Row],[Test Drives]]/SalesData[[#This Row],[Customers Visited]])</f>
        <v>0.52195121951219514</v>
      </c>
      <c r="AH895" s="5">
        <f>IF(SalesData[[#This Row],[Customers Visited]]=0,0,SalesData[[#This Row],[Contracts Signed]]/SalesData[[#This Row],[Customers Visited]])</f>
        <v>0.12682926829268293</v>
      </c>
      <c r="AI895" s="6">
        <f>IF(SalesData[[#This Row],[Contracts Signed]]=0,0,SalesData[[#This Row],[Profit(€)]]/SalesData[[#This Row],[Contracts Signed]])</f>
        <v>11759</v>
      </c>
      <c r="AJ895" s="5" t="str">
        <f>TRIM(CLEAN(SalesData[[#This Row],[Retailer]]))</f>
        <v>Main Auto Hub</v>
      </c>
    </row>
    <row r="896" spans="1:36" ht="14.25" hidden="1" x14ac:dyDescent="0.2">
      <c r="A896" t="s">
        <v>1574</v>
      </c>
      <c r="B896" s="1">
        <v>46076</v>
      </c>
      <c r="C896" t="s">
        <v>53</v>
      </c>
      <c r="D896" t="s">
        <v>25</v>
      </c>
      <c r="E896" t="s">
        <v>26</v>
      </c>
      <c r="F896" t="s">
        <v>43</v>
      </c>
      <c r="G896" t="s">
        <v>44</v>
      </c>
      <c r="H896" t="s">
        <v>45</v>
      </c>
      <c r="I896" t="s">
        <v>56</v>
      </c>
      <c r="J896" t="s">
        <v>7028</v>
      </c>
      <c r="K896" t="s">
        <v>66</v>
      </c>
      <c r="L896" t="s">
        <v>46</v>
      </c>
      <c r="M896" t="s">
        <v>34</v>
      </c>
      <c r="N896" t="s">
        <v>69</v>
      </c>
      <c r="O896" t="s">
        <v>36</v>
      </c>
      <c r="P896" t="s">
        <v>71</v>
      </c>
      <c r="Q896" t="s">
        <v>189</v>
      </c>
      <c r="R896">
        <v>309</v>
      </c>
      <c r="S896">
        <v>187</v>
      </c>
      <c r="T896">
        <v>142</v>
      </c>
      <c r="U896">
        <v>43</v>
      </c>
      <c r="V896" t="s">
        <v>6489</v>
      </c>
      <c r="W896">
        <v>50296</v>
      </c>
      <c r="X896" t="s">
        <v>7339</v>
      </c>
      <c r="Y896">
        <v>40243</v>
      </c>
      <c r="Z896">
        <v>2162728</v>
      </c>
      <c r="AA896">
        <v>432279</v>
      </c>
      <c r="AB896" t="str">
        <f>(VLOOKUP(SalesData[[#This Row],[Month Number]],Reference!C$5:E$16,2,FALSE))</f>
        <v>Feb</v>
      </c>
      <c r="AC896">
        <f>MONTH(SalesData[[#This Row],[Date]])</f>
        <v>2</v>
      </c>
      <c r="AD896">
        <f>Reference!F$4</f>
        <v>2026</v>
      </c>
      <c r="AE896" t="str">
        <f>IF(OR(SalesData[[#This Row],[Day]]="Saturday",SalesData[[#This Row],[Day]]="Sunday"),"Weekend","Weekday")</f>
        <v>Weekday</v>
      </c>
      <c r="AF896" s="5">
        <f>IF(SalesData[[#This Row],[Contracts Offered]]=0,0,SalesData[[#This Row],[Contracts Signed]]/SalesData[[#This Row],[Contracts Offered]])</f>
        <v>0.30281690140845069</v>
      </c>
      <c r="AG896" s="5">
        <f>IF(SalesData[[#This Row],[Customers Visited]]=0,0,SalesData[[#This Row],[Test Drives]]/SalesData[[#This Row],[Customers Visited]])</f>
        <v>0.60517799352750812</v>
      </c>
      <c r="AH896" s="5">
        <f>IF(SalesData[[#This Row],[Customers Visited]]=0,0,SalesData[[#This Row],[Contracts Signed]]/SalesData[[#This Row],[Customers Visited]])</f>
        <v>0.13915857605177995</v>
      </c>
      <c r="AI896" s="6">
        <f>IF(SalesData[[#This Row],[Contracts Signed]]=0,0,SalesData[[#This Row],[Profit(€)]]/SalesData[[#This Row],[Contracts Signed]])</f>
        <v>10053</v>
      </c>
      <c r="AJ896" s="5" t="str">
        <f>TRIM(CLEAN(SalesData[[#This Row],[Retailer]]))</f>
        <v>Saxon Wheels</v>
      </c>
    </row>
    <row r="897" spans="1:36" ht="14.25" hidden="1" x14ac:dyDescent="0.2">
      <c r="A897" t="s">
        <v>1576</v>
      </c>
      <c r="B897" s="1">
        <v>46058</v>
      </c>
      <c r="C897" t="s">
        <v>24</v>
      </c>
      <c r="D897" t="s">
        <v>100</v>
      </c>
      <c r="E897" t="s">
        <v>26</v>
      </c>
      <c r="F897" t="s">
        <v>109</v>
      </c>
      <c r="G897" t="s">
        <v>110</v>
      </c>
      <c r="H897" t="s">
        <v>45</v>
      </c>
      <c r="I897" t="s">
        <v>116</v>
      </c>
      <c r="J897" t="s">
        <v>7026</v>
      </c>
      <c r="K897" t="s">
        <v>66</v>
      </c>
      <c r="L897" t="s">
        <v>46</v>
      </c>
      <c r="M897" t="s">
        <v>34</v>
      </c>
      <c r="N897" t="s">
        <v>35</v>
      </c>
      <c r="O897" t="s">
        <v>36</v>
      </c>
      <c r="P897" t="s">
        <v>49</v>
      </c>
      <c r="Q897" t="s">
        <v>50</v>
      </c>
      <c r="R897">
        <v>290</v>
      </c>
      <c r="S897">
        <v>145</v>
      </c>
      <c r="T897">
        <v>83</v>
      </c>
      <c r="U897">
        <v>21</v>
      </c>
      <c r="V897" t="s">
        <v>186</v>
      </c>
      <c r="W897">
        <v>22162</v>
      </c>
      <c r="X897" t="s">
        <v>866</v>
      </c>
      <c r="Y897">
        <v>19829</v>
      </c>
      <c r="Z897">
        <v>465402</v>
      </c>
      <c r="AA897">
        <v>48993</v>
      </c>
      <c r="AB897" t="str">
        <f>(VLOOKUP(SalesData[[#This Row],[Month Number]],Reference!C$5:E$16,2,FALSE))</f>
        <v>Feb</v>
      </c>
      <c r="AC897">
        <f>MONTH(SalesData[[#This Row],[Date]])</f>
        <v>2</v>
      </c>
      <c r="AD897">
        <f>Reference!F$4</f>
        <v>2026</v>
      </c>
      <c r="AE897" t="str">
        <f>IF(OR(SalesData[[#This Row],[Day]]="Saturday",SalesData[[#This Row],[Day]]="Sunday"),"Weekend","Weekday")</f>
        <v>Weekday</v>
      </c>
      <c r="AF897" s="5">
        <f>IF(SalesData[[#This Row],[Contracts Offered]]=0,0,SalesData[[#This Row],[Contracts Signed]]/SalesData[[#This Row],[Contracts Offered]])</f>
        <v>0.25301204819277107</v>
      </c>
      <c r="AG897" s="5">
        <f>IF(SalesData[[#This Row],[Customers Visited]]=0,0,SalesData[[#This Row],[Test Drives]]/SalesData[[#This Row],[Customers Visited]])</f>
        <v>0.5</v>
      </c>
      <c r="AH897" s="5">
        <f>IF(SalesData[[#This Row],[Customers Visited]]=0,0,SalesData[[#This Row],[Contracts Signed]]/SalesData[[#This Row],[Customers Visited]])</f>
        <v>7.2413793103448282E-2</v>
      </c>
      <c r="AI897" s="6">
        <f>IF(SalesData[[#This Row],[Contracts Signed]]=0,0,SalesData[[#This Row],[Profit(€)]]/SalesData[[#This Row],[Contracts Signed]])</f>
        <v>2333</v>
      </c>
      <c r="AJ897" s="5" t="str">
        <f>TRIM(CLEAN(SalesData[[#This Row],[Retailer]]))</f>
        <v>Leipzig Mobility</v>
      </c>
    </row>
    <row r="898" spans="1:36" ht="14.25" x14ac:dyDescent="0.2">
      <c r="A898" t="s">
        <v>1578</v>
      </c>
      <c r="B898" s="1">
        <v>46077</v>
      </c>
      <c r="C898" t="s">
        <v>53</v>
      </c>
      <c r="D898" t="s">
        <v>63</v>
      </c>
      <c r="E898" t="s">
        <v>26</v>
      </c>
      <c r="F898" t="s">
        <v>114</v>
      </c>
      <c r="G898" t="s">
        <v>115</v>
      </c>
      <c r="H898" t="s">
        <v>115</v>
      </c>
      <c r="I898" t="s">
        <v>30</v>
      </c>
      <c r="J898" t="s">
        <v>188</v>
      </c>
      <c r="K898" t="s">
        <v>32</v>
      </c>
      <c r="L898" t="s">
        <v>33</v>
      </c>
      <c r="M898" t="s">
        <v>47</v>
      </c>
      <c r="N898" t="s">
        <v>48</v>
      </c>
      <c r="O898" t="s">
        <v>70</v>
      </c>
      <c r="P898" t="s">
        <v>37</v>
      </c>
      <c r="Q898" t="s">
        <v>79</v>
      </c>
      <c r="R898">
        <v>212</v>
      </c>
      <c r="S898">
        <v>126</v>
      </c>
      <c r="T898">
        <v>89</v>
      </c>
      <c r="U898">
        <v>31</v>
      </c>
      <c r="V898" t="s">
        <v>6897</v>
      </c>
      <c r="W898">
        <v>53329</v>
      </c>
      <c r="X898" t="s">
        <v>7202</v>
      </c>
      <c r="Y898">
        <v>38031</v>
      </c>
      <c r="Z898">
        <v>1653199</v>
      </c>
      <c r="AA898">
        <v>474238</v>
      </c>
      <c r="AB898" t="str">
        <f>(VLOOKUP(SalesData[[#This Row],[Month Number]],Reference!C$5:E$16,2,FALSE))</f>
        <v>Feb</v>
      </c>
      <c r="AC898">
        <f>MONTH(SalesData[[#This Row],[Date]])</f>
        <v>2</v>
      </c>
      <c r="AD898">
        <f>Reference!F$4</f>
        <v>2026</v>
      </c>
      <c r="AE898" t="str">
        <f>IF(OR(SalesData[[#This Row],[Day]]="Saturday",SalesData[[#This Row],[Day]]="Sunday"),"Weekend","Weekday")</f>
        <v>Weekday</v>
      </c>
      <c r="AF898" s="5">
        <f>IF(SalesData[[#This Row],[Contracts Offered]]=0,0,SalesData[[#This Row],[Contracts Signed]]/SalesData[[#This Row],[Contracts Offered]])</f>
        <v>0.34831460674157305</v>
      </c>
      <c r="AG898" s="5">
        <f>IF(SalesData[[#This Row],[Customers Visited]]=0,0,SalesData[[#This Row],[Test Drives]]/SalesData[[#This Row],[Customers Visited]])</f>
        <v>0.59433962264150941</v>
      </c>
      <c r="AH898" s="5">
        <f>IF(SalesData[[#This Row],[Customers Visited]]=0,0,SalesData[[#This Row],[Contracts Signed]]/SalesData[[#This Row],[Customers Visited]])</f>
        <v>0.14622641509433962</v>
      </c>
      <c r="AI898" s="6">
        <f>IF(SalesData[[#This Row],[Contracts Signed]]=0,0,SalesData[[#This Row],[Profit(€)]]/SalesData[[#This Row],[Contracts Signed]])</f>
        <v>15298</v>
      </c>
      <c r="AJ898" s="5" t="str">
        <f>TRIM(CLEAN(SalesData[[#This Row],[Retailer]]))</f>
        <v>Elbe Drive</v>
      </c>
    </row>
    <row r="899" spans="1:36" ht="14.25" hidden="1" x14ac:dyDescent="0.2">
      <c r="A899" t="s">
        <v>1579</v>
      </c>
      <c r="B899" s="1">
        <v>46063</v>
      </c>
      <c r="C899" t="s">
        <v>121</v>
      </c>
      <c r="D899" t="s">
        <v>63</v>
      </c>
      <c r="E899" t="s">
        <v>26</v>
      </c>
      <c r="F899" t="s">
        <v>7649</v>
      </c>
      <c r="G899" t="s">
        <v>55</v>
      </c>
      <c r="H899" t="s">
        <v>55</v>
      </c>
      <c r="I899" t="s">
        <v>116</v>
      </c>
      <c r="J899" t="s">
        <v>7090</v>
      </c>
      <c r="K899" t="s">
        <v>66</v>
      </c>
      <c r="L899" t="s">
        <v>46</v>
      </c>
      <c r="M899" t="s">
        <v>47</v>
      </c>
      <c r="N899" t="s">
        <v>35</v>
      </c>
      <c r="O899" t="s">
        <v>36</v>
      </c>
      <c r="P899" t="s">
        <v>49</v>
      </c>
      <c r="Q899" t="s">
        <v>122</v>
      </c>
      <c r="R899">
        <v>291</v>
      </c>
      <c r="S899">
        <v>146</v>
      </c>
      <c r="T899">
        <v>95</v>
      </c>
      <c r="U899">
        <v>25</v>
      </c>
      <c r="V899" t="s">
        <v>1302</v>
      </c>
      <c r="W899">
        <v>21069</v>
      </c>
      <c r="X899" t="s">
        <v>5601</v>
      </c>
      <c r="Y899">
        <v>19113</v>
      </c>
      <c r="Z899">
        <v>526725</v>
      </c>
      <c r="AA899">
        <v>48900</v>
      </c>
      <c r="AB899" t="str">
        <f>(VLOOKUP(SalesData[[#This Row],[Month Number]],Reference!C$5:E$16,2,FALSE))</f>
        <v>Feb</v>
      </c>
      <c r="AC899">
        <f>MONTH(SalesData[[#This Row],[Date]])</f>
        <v>2</v>
      </c>
      <c r="AD899">
        <f>Reference!F$4</f>
        <v>2026</v>
      </c>
      <c r="AE899" t="str">
        <f>IF(OR(SalesData[[#This Row],[Day]]="Saturday",SalesData[[#This Row],[Day]]="Sunday"),"Weekend","Weekday")</f>
        <v>Weekday</v>
      </c>
      <c r="AF899" s="5">
        <f>IF(SalesData[[#This Row],[Contracts Offered]]=0,0,SalesData[[#This Row],[Contracts Signed]]/SalesData[[#This Row],[Contracts Offered]])</f>
        <v>0.26315789473684209</v>
      </c>
      <c r="AG899" s="5">
        <f>IF(SalesData[[#This Row],[Customers Visited]]=0,0,SalesData[[#This Row],[Test Drives]]/SalesData[[#This Row],[Customers Visited]])</f>
        <v>0.50171821305841924</v>
      </c>
      <c r="AH899" s="5">
        <f>IF(SalesData[[#This Row],[Customers Visited]]=0,0,SalesData[[#This Row],[Contracts Signed]]/SalesData[[#This Row],[Customers Visited]])</f>
        <v>8.5910652920962199E-2</v>
      </c>
      <c r="AI899" s="6">
        <f>IF(SalesData[[#This Row],[Contracts Signed]]=0,0,SalesData[[#This Row],[Profit(€)]]/SalesData[[#This Row],[Contracts Signed]])</f>
        <v>1956</v>
      </c>
      <c r="AJ899" s="5" t="str">
        <f>TRIM(CLEAN(SalesData[[#This Row],[Retailer]]))</f>
        <v>Autohaus Berlin</v>
      </c>
    </row>
    <row r="900" spans="1:36" ht="14.25" hidden="1" x14ac:dyDescent="0.2">
      <c r="A900" t="s">
        <v>1580</v>
      </c>
      <c r="B900" s="1">
        <v>46060</v>
      </c>
      <c r="C900" t="s">
        <v>24</v>
      </c>
      <c r="D900" t="s">
        <v>151</v>
      </c>
      <c r="E900" t="s">
        <v>42</v>
      </c>
      <c r="F900" t="s">
        <v>27</v>
      </c>
      <c r="G900" t="s">
        <v>28</v>
      </c>
      <c r="H900" t="s">
        <v>29</v>
      </c>
      <c r="I900" t="s">
        <v>64</v>
      </c>
      <c r="J900" t="s">
        <v>7029</v>
      </c>
      <c r="K900" t="s">
        <v>32</v>
      </c>
      <c r="L900" t="s">
        <v>33</v>
      </c>
      <c r="M900" t="s">
        <v>34</v>
      </c>
      <c r="N900" t="s">
        <v>48</v>
      </c>
      <c r="O900" t="s">
        <v>70</v>
      </c>
      <c r="P900" t="s">
        <v>37</v>
      </c>
      <c r="Q900" t="s">
        <v>79</v>
      </c>
      <c r="R900">
        <v>166</v>
      </c>
      <c r="S900">
        <v>73</v>
      </c>
      <c r="T900">
        <v>53</v>
      </c>
      <c r="U900">
        <v>16</v>
      </c>
      <c r="V900" t="s">
        <v>6865</v>
      </c>
      <c r="W900">
        <v>51617</v>
      </c>
      <c r="X900" t="s">
        <v>7340</v>
      </c>
      <c r="Y900">
        <v>39492</v>
      </c>
      <c r="Z900">
        <v>825872</v>
      </c>
      <c r="AA900">
        <v>194000</v>
      </c>
      <c r="AB900" t="str">
        <f>(VLOOKUP(SalesData[[#This Row],[Month Number]],Reference!C$5:E$16,2,FALSE))</f>
        <v>Feb</v>
      </c>
      <c r="AC900">
        <f>MONTH(SalesData[[#This Row],[Date]])</f>
        <v>2</v>
      </c>
      <c r="AD900">
        <f>Reference!F$4</f>
        <v>2026</v>
      </c>
      <c r="AE900" t="str">
        <f>IF(OR(SalesData[[#This Row],[Day]]="Saturday",SalesData[[#This Row],[Day]]="Sunday"),"Weekend","Weekday")</f>
        <v>Weekend</v>
      </c>
      <c r="AF900" s="5">
        <f>IF(SalesData[[#This Row],[Contracts Offered]]=0,0,SalesData[[#This Row],[Contracts Signed]]/SalesData[[#This Row],[Contracts Offered]])</f>
        <v>0.30188679245283018</v>
      </c>
      <c r="AG900" s="5">
        <f>IF(SalesData[[#This Row],[Customers Visited]]=0,0,SalesData[[#This Row],[Test Drives]]/SalesData[[#This Row],[Customers Visited]])</f>
        <v>0.43975903614457829</v>
      </c>
      <c r="AH900" s="5">
        <f>IF(SalesData[[#This Row],[Customers Visited]]=0,0,SalesData[[#This Row],[Contracts Signed]]/SalesData[[#This Row],[Customers Visited]])</f>
        <v>9.6385542168674704E-2</v>
      </c>
      <c r="AI900" s="6">
        <f>IF(SalesData[[#This Row],[Contracts Signed]]=0,0,SalesData[[#This Row],[Profit(€)]]/SalesData[[#This Row],[Contracts Signed]])</f>
        <v>12125</v>
      </c>
      <c r="AJ900" s="5" t="str">
        <f>TRIM(CLEAN(SalesData[[#This Row],[Retailer]]))</f>
        <v>Main Auto Hub</v>
      </c>
    </row>
    <row r="901" spans="1:36" ht="14.25" hidden="1" x14ac:dyDescent="0.2">
      <c r="A901" t="s">
        <v>1581</v>
      </c>
      <c r="B901" s="1">
        <v>46069</v>
      </c>
      <c r="C901" t="s">
        <v>62</v>
      </c>
      <c r="D901" t="s">
        <v>25</v>
      </c>
      <c r="E901" t="s">
        <v>26</v>
      </c>
      <c r="F901" t="s">
        <v>109</v>
      </c>
      <c r="G901" t="s">
        <v>110</v>
      </c>
      <c r="H901" t="s">
        <v>45</v>
      </c>
      <c r="I901" t="s">
        <v>104</v>
      </c>
      <c r="J901" t="s">
        <v>7061</v>
      </c>
      <c r="K901" t="s">
        <v>91</v>
      </c>
      <c r="L901" t="s">
        <v>46</v>
      </c>
      <c r="M901" t="s">
        <v>34</v>
      </c>
      <c r="N901" t="s">
        <v>35</v>
      </c>
      <c r="O901" t="s">
        <v>70</v>
      </c>
      <c r="P901" t="s">
        <v>71</v>
      </c>
      <c r="Q901" t="s">
        <v>106</v>
      </c>
      <c r="R901">
        <v>302</v>
      </c>
      <c r="S901">
        <v>121</v>
      </c>
      <c r="T901">
        <v>83</v>
      </c>
      <c r="U901">
        <v>20</v>
      </c>
      <c r="V901" t="s">
        <v>4349</v>
      </c>
      <c r="W901">
        <v>25986</v>
      </c>
      <c r="X901" t="s">
        <v>279</v>
      </c>
      <c r="Y901">
        <v>23412</v>
      </c>
      <c r="Z901">
        <v>519720</v>
      </c>
      <c r="AA901">
        <v>51480</v>
      </c>
      <c r="AB901" t="str">
        <f>(VLOOKUP(SalesData[[#This Row],[Month Number]],Reference!C$5:E$16,2,FALSE))</f>
        <v>Feb</v>
      </c>
      <c r="AC901">
        <f>MONTH(SalesData[[#This Row],[Date]])</f>
        <v>2</v>
      </c>
      <c r="AD901">
        <f>Reference!F$4</f>
        <v>2026</v>
      </c>
      <c r="AE901" t="str">
        <f>IF(OR(SalesData[[#This Row],[Day]]="Saturday",SalesData[[#This Row],[Day]]="Sunday"),"Weekend","Weekday")</f>
        <v>Weekday</v>
      </c>
      <c r="AF901" s="5">
        <f>IF(SalesData[[#This Row],[Contracts Offered]]=0,0,SalesData[[#This Row],[Contracts Signed]]/SalesData[[#This Row],[Contracts Offered]])</f>
        <v>0.24096385542168675</v>
      </c>
      <c r="AG901" s="5">
        <f>IF(SalesData[[#This Row],[Customers Visited]]=0,0,SalesData[[#This Row],[Test Drives]]/SalesData[[#This Row],[Customers Visited]])</f>
        <v>0.40066225165562913</v>
      </c>
      <c r="AH901" s="5">
        <f>IF(SalesData[[#This Row],[Customers Visited]]=0,0,SalesData[[#This Row],[Contracts Signed]]/SalesData[[#This Row],[Customers Visited]])</f>
        <v>6.6225165562913912E-2</v>
      </c>
      <c r="AI901" s="6">
        <f>IF(SalesData[[#This Row],[Contracts Signed]]=0,0,SalesData[[#This Row],[Profit(€)]]/SalesData[[#This Row],[Contracts Signed]])</f>
        <v>2574</v>
      </c>
      <c r="AJ901" s="5" t="str">
        <f>TRIM(CLEAN(SalesData[[#This Row],[Retailer]]))</f>
        <v>Leipzig Mobility</v>
      </c>
    </row>
    <row r="902" spans="1:36" ht="14.25" hidden="1" x14ac:dyDescent="0.2">
      <c r="A902" t="s">
        <v>1582</v>
      </c>
      <c r="B902" s="1">
        <v>46070</v>
      </c>
      <c r="C902" t="s">
        <v>62</v>
      </c>
      <c r="D902" t="s">
        <v>63</v>
      </c>
      <c r="E902" t="s">
        <v>26</v>
      </c>
      <c r="F902" t="s">
        <v>74</v>
      </c>
      <c r="G902" t="s">
        <v>75</v>
      </c>
      <c r="H902" t="s">
        <v>76</v>
      </c>
      <c r="I902" t="s">
        <v>104</v>
      </c>
      <c r="J902" t="s">
        <v>143</v>
      </c>
      <c r="K902" t="s">
        <v>91</v>
      </c>
      <c r="L902" t="s">
        <v>67</v>
      </c>
      <c r="M902" t="s">
        <v>47</v>
      </c>
      <c r="N902" t="s">
        <v>35</v>
      </c>
      <c r="O902" t="s">
        <v>70</v>
      </c>
      <c r="P902" t="s">
        <v>49</v>
      </c>
      <c r="Q902" t="s">
        <v>204</v>
      </c>
      <c r="R902">
        <v>373</v>
      </c>
      <c r="S902">
        <v>182</v>
      </c>
      <c r="T902">
        <v>106</v>
      </c>
      <c r="U902">
        <v>26</v>
      </c>
      <c r="V902" t="s">
        <v>527</v>
      </c>
      <c r="W902">
        <v>34603</v>
      </c>
      <c r="X902" t="s">
        <v>423</v>
      </c>
      <c r="Y902">
        <v>30917</v>
      </c>
      <c r="Z902">
        <v>899678</v>
      </c>
      <c r="AA902">
        <v>95836</v>
      </c>
      <c r="AB902" t="str">
        <f>(VLOOKUP(SalesData[[#This Row],[Month Number]],Reference!C$5:E$16,2,FALSE))</f>
        <v>Feb</v>
      </c>
      <c r="AC902">
        <f>MONTH(SalesData[[#This Row],[Date]])</f>
        <v>2</v>
      </c>
      <c r="AD902">
        <f>Reference!F$4</f>
        <v>2026</v>
      </c>
      <c r="AE902" t="str">
        <f>IF(OR(SalesData[[#This Row],[Day]]="Saturday",SalesData[[#This Row],[Day]]="Sunday"),"Weekend","Weekday")</f>
        <v>Weekday</v>
      </c>
      <c r="AF902" s="5">
        <f>IF(SalesData[[#This Row],[Contracts Offered]]=0,0,SalesData[[#This Row],[Contracts Signed]]/SalesData[[#This Row],[Contracts Offered]])</f>
        <v>0.24528301886792453</v>
      </c>
      <c r="AG902" s="5">
        <f>IF(SalesData[[#This Row],[Customers Visited]]=0,0,SalesData[[#This Row],[Test Drives]]/SalesData[[#This Row],[Customers Visited]])</f>
        <v>0.48793565683646112</v>
      </c>
      <c r="AH902" s="5">
        <f>IF(SalesData[[#This Row],[Customers Visited]]=0,0,SalesData[[#This Row],[Contracts Signed]]/SalesData[[#This Row],[Customers Visited]])</f>
        <v>6.9705093833780166E-2</v>
      </c>
      <c r="AI902" s="6">
        <f>IF(SalesData[[#This Row],[Contracts Signed]]=0,0,SalesData[[#This Row],[Profit(€)]]/SalesData[[#This Row],[Contracts Signed]])</f>
        <v>3686</v>
      </c>
      <c r="AJ902" s="5" t="str">
        <f>TRIM(CLEAN(SalesData[[#This Row],[Retailer]]))</f>
        <v>Stuttgart Auto Center</v>
      </c>
    </row>
    <row r="903" spans="1:36" ht="14.25" hidden="1" x14ac:dyDescent="0.2">
      <c r="A903" t="s">
        <v>1583</v>
      </c>
      <c r="B903" s="1">
        <v>46072</v>
      </c>
      <c r="C903" t="s">
        <v>62</v>
      </c>
      <c r="D903" t="s">
        <v>100</v>
      </c>
      <c r="E903" t="s">
        <v>26</v>
      </c>
      <c r="F903" t="s">
        <v>109</v>
      </c>
      <c r="G903" t="s">
        <v>110</v>
      </c>
      <c r="H903" t="s">
        <v>45</v>
      </c>
      <c r="I903" t="s">
        <v>116</v>
      </c>
      <c r="J903" t="s">
        <v>7090</v>
      </c>
      <c r="K903" t="s">
        <v>66</v>
      </c>
      <c r="L903" t="s">
        <v>46</v>
      </c>
      <c r="M903" t="s">
        <v>47</v>
      </c>
      <c r="N903" t="s">
        <v>48</v>
      </c>
      <c r="O903" t="s">
        <v>36</v>
      </c>
      <c r="P903" t="s">
        <v>37</v>
      </c>
      <c r="Q903" t="s">
        <v>135</v>
      </c>
      <c r="R903">
        <v>304</v>
      </c>
      <c r="S903">
        <v>147</v>
      </c>
      <c r="T903">
        <v>92</v>
      </c>
      <c r="U903">
        <v>17</v>
      </c>
      <c r="V903" t="s">
        <v>177</v>
      </c>
      <c r="W903">
        <v>24723</v>
      </c>
      <c r="X903" t="s">
        <v>5289</v>
      </c>
      <c r="Y903">
        <v>22733</v>
      </c>
      <c r="Z903">
        <v>420291</v>
      </c>
      <c r="AA903">
        <v>33830</v>
      </c>
      <c r="AB903" t="str">
        <f>(VLOOKUP(SalesData[[#This Row],[Month Number]],Reference!C$5:E$16,2,FALSE))</f>
        <v>Feb</v>
      </c>
      <c r="AC903">
        <f>MONTH(SalesData[[#This Row],[Date]])</f>
        <v>2</v>
      </c>
      <c r="AD903">
        <f>Reference!F$4</f>
        <v>2026</v>
      </c>
      <c r="AE903" t="str">
        <f>IF(OR(SalesData[[#This Row],[Day]]="Saturday",SalesData[[#This Row],[Day]]="Sunday"),"Weekend","Weekday")</f>
        <v>Weekday</v>
      </c>
      <c r="AF903" s="5">
        <f>IF(SalesData[[#This Row],[Contracts Offered]]=0,0,SalesData[[#This Row],[Contracts Signed]]/SalesData[[#This Row],[Contracts Offered]])</f>
        <v>0.18478260869565216</v>
      </c>
      <c r="AG903" s="5">
        <f>IF(SalesData[[#This Row],[Customers Visited]]=0,0,SalesData[[#This Row],[Test Drives]]/SalesData[[#This Row],[Customers Visited]])</f>
        <v>0.48355263157894735</v>
      </c>
      <c r="AH903" s="5">
        <f>IF(SalesData[[#This Row],[Customers Visited]]=0,0,SalesData[[#This Row],[Contracts Signed]]/SalesData[[#This Row],[Customers Visited]])</f>
        <v>5.5921052631578948E-2</v>
      </c>
      <c r="AI903" s="6">
        <f>IF(SalesData[[#This Row],[Contracts Signed]]=0,0,SalesData[[#This Row],[Profit(€)]]/SalesData[[#This Row],[Contracts Signed]])</f>
        <v>1990</v>
      </c>
      <c r="AJ903" s="5" t="str">
        <f>TRIM(CLEAN(SalesData[[#This Row],[Retailer]]))</f>
        <v>Leipzig Mobility</v>
      </c>
    </row>
    <row r="904" spans="1:36" ht="14.25" hidden="1" x14ac:dyDescent="0.2">
      <c r="A904" t="s">
        <v>1585</v>
      </c>
      <c r="B904" s="1">
        <v>46072</v>
      </c>
      <c r="C904" t="s">
        <v>62</v>
      </c>
      <c r="D904" t="s">
        <v>100</v>
      </c>
      <c r="E904" t="s">
        <v>26</v>
      </c>
      <c r="F904" t="s">
        <v>43</v>
      </c>
      <c r="G904" t="s">
        <v>44</v>
      </c>
      <c r="H904" t="s">
        <v>45</v>
      </c>
      <c r="I904" t="s">
        <v>116</v>
      </c>
      <c r="J904" t="s">
        <v>203</v>
      </c>
      <c r="K904" t="s">
        <v>66</v>
      </c>
      <c r="L904" t="s">
        <v>67</v>
      </c>
      <c r="M904" t="s">
        <v>34</v>
      </c>
      <c r="N904" t="s">
        <v>48</v>
      </c>
      <c r="O904" t="s">
        <v>70</v>
      </c>
      <c r="P904" t="s">
        <v>58</v>
      </c>
      <c r="Q904" t="s">
        <v>88</v>
      </c>
      <c r="R904">
        <v>332</v>
      </c>
      <c r="S904">
        <v>143</v>
      </c>
      <c r="T904">
        <v>80</v>
      </c>
      <c r="U904">
        <v>26</v>
      </c>
      <c r="V904" t="s">
        <v>752</v>
      </c>
      <c r="W904">
        <v>23834</v>
      </c>
      <c r="X904" t="s">
        <v>7341</v>
      </c>
      <c r="Y904">
        <v>21966</v>
      </c>
      <c r="Z904">
        <v>619684</v>
      </c>
      <c r="AA904">
        <v>48568</v>
      </c>
      <c r="AB904" t="str">
        <f>(VLOOKUP(SalesData[[#This Row],[Month Number]],Reference!C$5:E$16,2,FALSE))</f>
        <v>Feb</v>
      </c>
      <c r="AC904">
        <f>MONTH(SalesData[[#This Row],[Date]])</f>
        <v>2</v>
      </c>
      <c r="AD904">
        <f>Reference!F$4</f>
        <v>2026</v>
      </c>
      <c r="AE904" t="str">
        <f>IF(OR(SalesData[[#This Row],[Day]]="Saturday",SalesData[[#This Row],[Day]]="Sunday"),"Weekend","Weekday")</f>
        <v>Weekday</v>
      </c>
      <c r="AF904" s="5">
        <f>IF(SalesData[[#This Row],[Contracts Offered]]=0,0,SalesData[[#This Row],[Contracts Signed]]/SalesData[[#This Row],[Contracts Offered]])</f>
        <v>0.32500000000000001</v>
      </c>
      <c r="AG904" s="5">
        <f>IF(SalesData[[#This Row],[Customers Visited]]=0,0,SalesData[[#This Row],[Test Drives]]/SalesData[[#This Row],[Customers Visited]])</f>
        <v>0.43072289156626509</v>
      </c>
      <c r="AH904" s="5">
        <f>IF(SalesData[[#This Row],[Customers Visited]]=0,0,SalesData[[#This Row],[Contracts Signed]]/SalesData[[#This Row],[Customers Visited]])</f>
        <v>7.8313253012048195E-2</v>
      </c>
      <c r="AI904" s="6">
        <f>IF(SalesData[[#This Row],[Contracts Signed]]=0,0,SalesData[[#This Row],[Profit(€)]]/SalesData[[#This Row],[Contracts Signed]])</f>
        <v>1868</v>
      </c>
      <c r="AJ904" s="5" t="str">
        <f>TRIM(CLEAN(SalesData[[#This Row],[Retailer]]))</f>
        <v>Saxon Wheels</v>
      </c>
    </row>
    <row r="905" spans="1:36" ht="14.25" hidden="1" x14ac:dyDescent="0.2">
      <c r="A905" t="s">
        <v>1587</v>
      </c>
      <c r="B905" s="1">
        <v>46078</v>
      </c>
      <c r="C905" t="s">
        <v>53</v>
      </c>
      <c r="D905" t="s">
        <v>82</v>
      </c>
      <c r="E905" t="s">
        <v>26</v>
      </c>
      <c r="F905" t="s">
        <v>127</v>
      </c>
      <c r="G905" t="s">
        <v>128</v>
      </c>
      <c r="H905" t="s">
        <v>103</v>
      </c>
      <c r="I905" t="s">
        <v>64</v>
      </c>
      <c r="J905" t="s">
        <v>77</v>
      </c>
      <c r="K905" t="s">
        <v>32</v>
      </c>
      <c r="L905" t="s">
        <v>46</v>
      </c>
      <c r="M905" t="s">
        <v>87</v>
      </c>
      <c r="N905" t="s">
        <v>48</v>
      </c>
      <c r="O905" t="s">
        <v>70</v>
      </c>
      <c r="P905" t="s">
        <v>37</v>
      </c>
      <c r="Q905" t="s">
        <v>189</v>
      </c>
      <c r="R905">
        <v>288</v>
      </c>
      <c r="S905">
        <v>157</v>
      </c>
      <c r="T905">
        <v>116</v>
      </c>
      <c r="U905">
        <v>37</v>
      </c>
      <c r="V905" t="s">
        <v>6782</v>
      </c>
      <c r="W905">
        <v>70854</v>
      </c>
      <c r="X905" t="s">
        <v>7089</v>
      </c>
      <c r="Y905">
        <v>51218</v>
      </c>
      <c r="Z905">
        <v>2621598</v>
      </c>
      <c r="AA905">
        <v>726532</v>
      </c>
      <c r="AB905" t="str">
        <f>(VLOOKUP(SalesData[[#This Row],[Month Number]],Reference!C$5:E$16,2,FALSE))</f>
        <v>Feb</v>
      </c>
      <c r="AC905">
        <f>MONTH(SalesData[[#This Row],[Date]])</f>
        <v>2</v>
      </c>
      <c r="AD905">
        <f>Reference!F$4</f>
        <v>2026</v>
      </c>
      <c r="AE905" t="str">
        <f>IF(OR(SalesData[[#This Row],[Day]]="Saturday",SalesData[[#This Row],[Day]]="Sunday"),"Weekend","Weekday")</f>
        <v>Weekday</v>
      </c>
      <c r="AF905" s="5">
        <f>IF(SalesData[[#This Row],[Contracts Offered]]=0,0,SalesData[[#This Row],[Contracts Signed]]/SalesData[[#This Row],[Contracts Offered]])</f>
        <v>0.31896551724137934</v>
      </c>
      <c r="AG905" s="5">
        <f>IF(SalesData[[#This Row],[Customers Visited]]=0,0,SalesData[[#This Row],[Test Drives]]/SalesData[[#This Row],[Customers Visited]])</f>
        <v>0.54513888888888884</v>
      </c>
      <c r="AH905" s="5">
        <f>IF(SalesData[[#This Row],[Customers Visited]]=0,0,SalesData[[#This Row],[Contracts Signed]]/SalesData[[#This Row],[Customers Visited]])</f>
        <v>0.12847222222222221</v>
      </c>
      <c r="AI905" s="6">
        <f>IF(SalesData[[#This Row],[Contracts Signed]]=0,0,SalesData[[#This Row],[Profit(€)]]/SalesData[[#This Row],[Contracts Signed]])</f>
        <v>19636</v>
      </c>
      <c r="AJ905" s="5" t="str">
        <f>TRIM(CLEAN(SalesData[[#This Row],[Retailer]]))</f>
        <v>Rhein Auto Group</v>
      </c>
    </row>
    <row r="906" spans="1:36" ht="14.25" hidden="1" x14ac:dyDescent="0.2">
      <c r="A906" t="s">
        <v>1588</v>
      </c>
      <c r="B906" s="1">
        <v>46055</v>
      </c>
      <c r="C906" t="s">
        <v>24</v>
      </c>
      <c r="D906" t="s">
        <v>25</v>
      </c>
      <c r="E906" t="s">
        <v>26</v>
      </c>
      <c r="F906" t="s">
        <v>7649</v>
      </c>
      <c r="G906" t="s">
        <v>55</v>
      </c>
      <c r="H906" t="s">
        <v>55</v>
      </c>
      <c r="I906" t="s">
        <v>56</v>
      </c>
      <c r="J906" t="s">
        <v>57</v>
      </c>
      <c r="K906" t="s">
        <v>66</v>
      </c>
      <c r="L906" t="s">
        <v>46</v>
      </c>
      <c r="M906" t="s">
        <v>47</v>
      </c>
      <c r="N906" t="s">
        <v>35</v>
      </c>
      <c r="O906" t="s">
        <v>36</v>
      </c>
      <c r="P906" t="s">
        <v>58</v>
      </c>
      <c r="Q906" t="s">
        <v>152</v>
      </c>
      <c r="R906">
        <v>252</v>
      </c>
      <c r="S906">
        <v>146</v>
      </c>
      <c r="T906">
        <v>96</v>
      </c>
      <c r="U906">
        <v>43</v>
      </c>
      <c r="V906" t="s">
        <v>6988</v>
      </c>
      <c r="W906">
        <v>41020</v>
      </c>
      <c r="X906" t="s">
        <v>7191</v>
      </c>
      <c r="Y906">
        <v>30938</v>
      </c>
      <c r="Z906">
        <v>1763860</v>
      </c>
      <c r="AA906">
        <v>433526</v>
      </c>
      <c r="AB906" t="str">
        <f>(VLOOKUP(SalesData[[#This Row],[Month Number]],Reference!C$5:E$16,2,FALSE))</f>
        <v>Feb</v>
      </c>
      <c r="AC906">
        <f>MONTH(SalesData[[#This Row],[Date]])</f>
        <v>2</v>
      </c>
      <c r="AD906">
        <f>Reference!F$4</f>
        <v>2026</v>
      </c>
      <c r="AE906" t="str">
        <f>IF(OR(SalesData[[#This Row],[Day]]="Saturday",SalesData[[#This Row],[Day]]="Sunday"),"Weekend","Weekday")</f>
        <v>Weekday</v>
      </c>
      <c r="AF906" s="5">
        <f>IF(SalesData[[#This Row],[Contracts Offered]]=0,0,SalesData[[#This Row],[Contracts Signed]]/SalesData[[#This Row],[Contracts Offered]])</f>
        <v>0.44791666666666669</v>
      </c>
      <c r="AG906" s="5">
        <f>IF(SalesData[[#This Row],[Customers Visited]]=0,0,SalesData[[#This Row],[Test Drives]]/SalesData[[#This Row],[Customers Visited]])</f>
        <v>0.57936507936507942</v>
      </c>
      <c r="AH906" s="5">
        <f>IF(SalesData[[#This Row],[Customers Visited]]=0,0,SalesData[[#This Row],[Contracts Signed]]/SalesData[[#This Row],[Customers Visited]])</f>
        <v>0.17063492063492064</v>
      </c>
      <c r="AI906" s="6">
        <f>IF(SalesData[[#This Row],[Contracts Signed]]=0,0,SalesData[[#This Row],[Profit(€)]]/SalesData[[#This Row],[Contracts Signed]])</f>
        <v>10082</v>
      </c>
      <c r="AJ906" s="5" t="str">
        <f>TRIM(CLEAN(SalesData[[#This Row],[Retailer]]))</f>
        <v>Autohaus Berlin</v>
      </c>
    </row>
    <row r="907" spans="1:36" ht="14.25" hidden="1" x14ac:dyDescent="0.2">
      <c r="A907" t="s">
        <v>1589</v>
      </c>
      <c r="B907" s="1">
        <v>46060</v>
      </c>
      <c r="C907" t="s">
        <v>24</v>
      </c>
      <c r="D907" t="s">
        <v>151</v>
      </c>
      <c r="E907" t="s">
        <v>42</v>
      </c>
      <c r="F907" t="s">
        <v>94</v>
      </c>
      <c r="G907" t="s">
        <v>95</v>
      </c>
      <c r="H907" t="s">
        <v>96</v>
      </c>
      <c r="I907" t="s">
        <v>116</v>
      </c>
      <c r="J907" t="s">
        <v>7026</v>
      </c>
      <c r="K907" t="s">
        <v>91</v>
      </c>
      <c r="L907" t="s">
        <v>46</v>
      </c>
      <c r="M907" t="s">
        <v>68</v>
      </c>
      <c r="N907" t="s">
        <v>48</v>
      </c>
      <c r="O907" t="s">
        <v>70</v>
      </c>
      <c r="P907" t="s">
        <v>71</v>
      </c>
      <c r="Q907" t="s">
        <v>169</v>
      </c>
      <c r="R907">
        <v>325</v>
      </c>
      <c r="S907">
        <v>170</v>
      </c>
      <c r="T907">
        <v>112</v>
      </c>
      <c r="U907">
        <v>31</v>
      </c>
      <c r="V907" t="s">
        <v>799</v>
      </c>
      <c r="W907">
        <v>25338</v>
      </c>
      <c r="X907" t="s">
        <v>4421</v>
      </c>
      <c r="Y907">
        <v>22861</v>
      </c>
      <c r="Z907">
        <v>785478</v>
      </c>
      <c r="AA907">
        <v>76787</v>
      </c>
      <c r="AB907" t="str">
        <f>(VLOOKUP(SalesData[[#This Row],[Month Number]],Reference!C$5:E$16,2,FALSE))</f>
        <v>Feb</v>
      </c>
      <c r="AC907">
        <f>MONTH(SalesData[[#This Row],[Date]])</f>
        <v>2</v>
      </c>
      <c r="AD907">
        <f>Reference!F$4</f>
        <v>2026</v>
      </c>
      <c r="AE907" t="str">
        <f>IF(OR(SalesData[[#This Row],[Day]]="Saturday",SalesData[[#This Row],[Day]]="Sunday"),"Weekend","Weekday")</f>
        <v>Weekend</v>
      </c>
      <c r="AF907" s="5">
        <f>IF(SalesData[[#This Row],[Contracts Offered]]=0,0,SalesData[[#This Row],[Contracts Signed]]/SalesData[[#This Row],[Contracts Offered]])</f>
        <v>0.2767857142857143</v>
      </c>
      <c r="AG907" s="5">
        <f>IF(SalesData[[#This Row],[Customers Visited]]=0,0,SalesData[[#This Row],[Test Drives]]/SalesData[[#This Row],[Customers Visited]])</f>
        <v>0.52307692307692311</v>
      </c>
      <c r="AH907" s="5">
        <f>IF(SalesData[[#This Row],[Customers Visited]]=0,0,SalesData[[#This Row],[Contracts Signed]]/SalesData[[#This Row],[Customers Visited]])</f>
        <v>9.5384615384615387E-2</v>
      </c>
      <c r="AI907" s="6">
        <f>IF(SalesData[[#This Row],[Contracts Signed]]=0,0,SalesData[[#This Row],[Profit(€)]]/SalesData[[#This Row],[Contracts Signed]])</f>
        <v>2477</v>
      </c>
      <c r="AJ907" s="5" t="str">
        <f>TRIM(CLEAN(SalesData[[#This Row],[Retailer]]))</f>
        <v>Bavaria Motors</v>
      </c>
    </row>
    <row r="908" spans="1:36" ht="14.25" hidden="1" x14ac:dyDescent="0.2">
      <c r="A908" t="s">
        <v>1591</v>
      </c>
      <c r="B908" s="1">
        <v>46062</v>
      </c>
      <c r="C908" t="s">
        <v>121</v>
      </c>
      <c r="D908" t="s">
        <v>25</v>
      </c>
      <c r="E908" t="s">
        <v>26</v>
      </c>
      <c r="F908" t="s">
        <v>7649</v>
      </c>
      <c r="G908" t="s">
        <v>55</v>
      </c>
      <c r="H908" t="s">
        <v>55</v>
      </c>
      <c r="I908" t="s">
        <v>64</v>
      </c>
      <c r="J908" t="s">
        <v>65</v>
      </c>
      <c r="K908" t="s">
        <v>66</v>
      </c>
      <c r="L908" t="s">
        <v>33</v>
      </c>
      <c r="M908" t="s">
        <v>68</v>
      </c>
      <c r="N908" t="s">
        <v>48</v>
      </c>
      <c r="O908" t="s">
        <v>36</v>
      </c>
      <c r="P908" t="s">
        <v>37</v>
      </c>
      <c r="Q908" t="s">
        <v>189</v>
      </c>
      <c r="R908">
        <v>180</v>
      </c>
      <c r="S908">
        <v>95</v>
      </c>
      <c r="T908">
        <v>74</v>
      </c>
      <c r="U908">
        <v>25</v>
      </c>
      <c r="V908" t="s">
        <v>6471</v>
      </c>
      <c r="W908">
        <v>67381</v>
      </c>
      <c r="X908" t="s">
        <v>698</v>
      </c>
      <c r="Y908">
        <v>52648</v>
      </c>
      <c r="Z908">
        <v>1684525</v>
      </c>
      <c r="AA908">
        <v>368325</v>
      </c>
      <c r="AB908" t="str">
        <f>(VLOOKUP(SalesData[[#This Row],[Month Number]],Reference!C$5:E$16,2,FALSE))</f>
        <v>Feb</v>
      </c>
      <c r="AC908">
        <f>MONTH(SalesData[[#This Row],[Date]])</f>
        <v>2</v>
      </c>
      <c r="AD908">
        <f>Reference!F$4</f>
        <v>2026</v>
      </c>
      <c r="AE908" t="str">
        <f>IF(OR(SalesData[[#This Row],[Day]]="Saturday",SalesData[[#This Row],[Day]]="Sunday"),"Weekend","Weekday")</f>
        <v>Weekday</v>
      </c>
      <c r="AF908" s="5">
        <f>IF(SalesData[[#This Row],[Contracts Offered]]=0,0,SalesData[[#This Row],[Contracts Signed]]/SalesData[[#This Row],[Contracts Offered]])</f>
        <v>0.33783783783783783</v>
      </c>
      <c r="AG908" s="5">
        <f>IF(SalesData[[#This Row],[Customers Visited]]=0,0,SalesData[[#This Row],[Test Drives]]/SalesData[[#This Row],[Customers Visited]])</f>
        <v>0.52777777777777779</v>
      </c>
      <c r="AH908" s="5">
        <f>IF(SalesData[[#This Row],[Customers Visited]]=0,0,SalesData[[#This Row],[Contracts Signed]]/SalesData[[#This Row],[Customers Visited]])</f>
        <v>0.1388888888888889</v>
      </c>
      <c r="AI908" s="6">
        <f>IF(SalesData[[#This Row],[Contracts Signed]]=0,0,SalesData[[#This Row],[Profit(€)]]/SalesData[[#This Row],[Contracts Signed]])</f>
        <v>14733</v>
      </c>
      <c r="AJ908" s="5" t="str">
        <f>TRIM(CLEAN(SalesData[[#This Row],[Retailer]]))</f>
        <v>Autohaus Berlin</v>
      </c>
    </row>
    <row r="909" spans="1:36" ht="14.25" hidden="1" x14ac:dyDescent="0.2">
      <c r="A909" t="s">
        <v>1593</v>
      </c>
      <c r="B909" s="1">
        <v>46062</v>
      </c>
      <c r="C909" t="s">
        <v>121</v>
      </c>
      <c r="D909" t="s">
        <v>25</v>
      </c>
      <c r="E909" t="s">
        <v>26</v>
      </c>
      <c r="F909" t="s">
        <v>74</v>
      </c>
      <c r="G909" t="s">
        <v>75</v>
      </c>
      <c r="H909" t="s">
        <v>76</v>
      </c>
      <c r="I909" t="s">
        <v>104</v>
      </c>
      <c r="J909" t="s">
        <v>140</v>
      </c>
      <c r="K909" t="s">
        <v>66</v>
      </c>
      <c r="L909" t="s">
        <v>46</v>
      </c>
      <c r="M909" t="s">
        <v>87</v>
      </c>
      <c r="N909" t="s">
        <v>69</v>
      </c>
      <c r="O909" t="s">
        <v>70</v>
      </c>
      <c r="P909" t="s">
        <v>37</v>
      </c>
      <c r="Q909" t="s">
        <v>50</v>
      </c>
      <c r="R909">
        <v>398</v>
      </c>
      <c r="S909">
        <v>186</v>
      </c>
      <c r="T909">
        <v>114</v>
      </c>
      <c r="U909">
        <v>31</v>
      </c>
      <c r="V909" t="s">
        <v>508</v>
      </c>
      <c r="W909">
        <v>29743</v>
      </c>
      <c r="X909" t="s">
        <v>5113</v>
      </c>
      <c r="Y909">
        <v>26950</v>
      </c>
      <c r="Z909">
        <v>922033</v>
      </c>
      <c r="AA909">
        <v>86583</v>
      </c>
      <c r="AB909" t="str">
        <f>(VLOOKUP(SalesData[[#This Row],[Month Number]],Reference!C$5:E$16,2,FALSE))</f>
        <v>Feb</v>
      </c>
      <c r="AC909">
        <f>MONTH(SalesData[[#This Row],[Date]])</f>
        <v>2</v>
      </c>
      <c r="AD909">
        <f>Reference!F$4</f>
        <v>2026</v>
      </c>
      <c r="AE909" t="str">
        <f>IF(OR(SalesData[[#This Row],[Day]]="Saturday",SalesData[[#This Row],[Day]]="Sunday"),"Weekend","Weekday")</f>
        <v>Weekday</v>
      </c>
      <c r="AF909" s="5">
        <f>IF(SalesData[[#This Row],[Contracts Offered]]=0,0,SalesData[[#This Row],[Contracts Signed]]/SalesData[[#This Row],[Contracts Offered]])</f>
        <v>0.27192982456140352</v>
      </c>
      <c r="AG909" s="5">
        <f>IF(SalesData[[#This Row],[Customers Visited]]=0,0,SalesData[[#This Row],[Test Drives]]/SalesData[[#This Row],[Customers Visited]])</f>
        <v>0.46733668341708545</v>
      </c>
      <c r="AH909" s="5">
        <f>IF(SalesData[[#This Row],[Customers Visited]]=0,0,SalesData[[#This Row],[Contracts Signed]]/SalesData[[#This Row],[Customers Visited]])</f>
        <v>7.7889447236180909E-2</v>
      </c>
      <c r="AI909" s="6">
        <f>IF(SalesData[[#This Row],[Contracts Signed]]=0,0,SalesData[[#This Row],[Profit(€)]]/SalesData[[#This Row],[Contracts Signed]])</f>
        <v>2793</v>
      </c>
      <c r="AJ909" s="5" t="str">
        <f>TRIM(CLEAN(SalesData[[#This Row],[Retailer]]))</f>
        <v>Stuttgart Auto Center</v>
      </c>
    </row>
    <row r="910" spans="1:36" ht="14.25" hidden="1" x14ac:dyDescent="0.2">
      <c r="A910" t="s">
        <v>1594</v>
      </c>
      <c r="B910" s="1">
        <v>46069</v>
      </c>
      <c r="C910" t="s">
        <v>62</v>
      </c>
      <c r="D910" t="s">
        <v>25</v>
      </c>
      <c r="E910" t="s">
        <v>26</v>
      </c>
      <c r="F910" t="s">
        <v>27</v>
      </c>
      <c r="G910" t="s">
        <v>28</v>
      </c>
      <c r="H910" t="s">
        <v>29</v>
      </c>
      <c r="I910" t="s">
        <v>116</v>
      </c>
      <c r="J910" t="s">
        <v>7090</v>
      </c>
      <c r="K910" t="s">
        <v>32</v>
      </c>
      <c r="L910" t="s">
        <v>46</v>
      </c>
      <c r="M910" t="s">
        <v>68</v>
      </c>
      <c r="N910" t="s">
        <v>35</v>
      </c>
      <c r="O910" t="s">
        <v>36</v>
      </c>
      <c r="P910" t="s">
        <v>71</v>
      </c>
      <c r="Q910" t="s">
        <v>347</v>
      </c>
      <c r="R910">
        <v>350</v>
      </c>
      <c r="S910">
        <v>183</v>
      </c>
      <c r="T910">
        <v>117</v>
      </c>
      <c r="U910">
        <v>31</v>
      </c>
      <c r="V910" t="s">
        <v>413</v>
      </c>
      <c r="W910">
        <v>23885</v>
      </c>
      <c r="X910" t="s">
        <v>4025</v>
      </c>
      <c r="Y910">
        <v>21734</v>
      </c>
      <c r="Z910">
        <v>740435</v>
      </c>
      <c r="AA910">
        <v>66681</v>
      </c>
      <c r="AB910" t="str">
        <f>(VLOOKUP(SalesData[[#This Row],[Month Number]],Reference!C$5:E$16,2,FALSE))</f>
        <v>Feb</v>
      </c>
      <c r="AC910">
        <f>MONTH(SalesData[[#This Row],[Date]])</f>
        <v>2</v>
      </c>
      <c r="AD910">
        <f>Reference!F$4</f>
        <v>2026</v>
      </c>
      <c r="AE910" t="str">
        <f>IF(OR(SalesData[[#This Row],[Day]]="Saturday",SalesData[[#This Row],[Day]]="Sunday"),"Weekend","Weekday")</f>
        <v>Weekday</v>
      </c>
      <c r="AF910" s="5">
        <f>IF(SalesData[[#This Row],[Contracts Offered]]=0,0,SalesData[[#This Row],[Contracts Signed]]/SalesData[[#This Row],[Contracts Offered]])</f>
        <v>0.26495726495726496</v>
      </c>
      <c r="AG910" s="5">
        <f>IF(SalesData[[#This Row],[Customers Visited]]=0,0,SalesData[[#This Row],[Test Drives]]/SalesData[[#This Row],[Customers Visited]])</f>
        <v>0.52285714285714291</v>
      </c>
      <c r="AH910" s="5">
        <f>IF(SalesData[[#This Row],[Customers Visited]]=0,0,SalesData[[#This Row],[Contracts Signed]]/SalesData[[#This Row],[Customers Visited]])</f>
        <v>8.8571428571428565E-2</v>
      </c>
      <c r="AI910" s="6">
        <f>IF(SalesData[[#This Row],[Contracts Signed]]=0,0,SalesData[[#This Row],[Profit(€)]]/SalesData[[#This Row],[Contracts Signed]])</f>
        <v>2151</v>
      </c>
      <c r="AJ910" s="5" t="str">
        <f>TRIM(CLEAN(SalesData[[#This Row],[Retailer]]))</f>
        <v>Main Auto Hub</v>
      </c>
    </row>
    <row r="911" spans="1:36" ht="14.25" hidden="1" x14ac:dyDescent="0.2">
      <c r="A911" t="s">
        <v>1595</v>
      </c>
      <c r="B911" s="1">
        <v>46063</v>
      </c>
      <c r="C911" t="s">
        <v>121</v>
      </c>
      <c r="D911" t="s">
        <v>63</v>
      </c>
      <c r="E911" t="s">
        <v>26</v>
      </c>
      <c r="F911" t="s">
        <v>83</v>
      </c>
      <c r="G911" t="s">
        <v>84</v>
      </c>
      <c r="H911" t="s">
        <v>85</v>
      </c>
      <c r="I911" t="s">
        <v>116</v>
      </c>
      <c r="J911" t="s">
        <v>7090</v>
      </c>
      <c r="K911" t="s">
        <v>91</v>
      </c>
      <c r="L911" t="s">
        <v>46</v>
      </c>
      <c r="M911" t="s">
        <v>34</v>
      </c>
      <c r="N911" t="s">
        <v>35</v>
      </c>
      <c r="O911" t="s">
        <v>36</v>
      </c>
      <c r="P911" t="s">
        <v>37</v>
      </c>
      <c r="Q911" t="s">
        <v>152</v>
      </c>
      <c r="R911">
        <v>334</v>
      </c>
      <c r="S911">
        <v>157</v>
      </c>
      <c r="T911">
        <v>100</v>
      </c>
      <c r="U911">
        <v>21</v>
      </c>
      <c r="V911" t="s">
        <v>1776</v>
      </c>
      <c r="W911">
        <v>26560</v>
      </c>
      <c r="X911" t="s">
        <v>1957</v>
      </c>
      <c r="Y911">
        <v>24044</v>
      </c>
      <c r="Z911">
        <v>557760</v>
      </c>
      <c r="AA911">
        <v>52836</v>
      </c>
      <c r="AB911" t="str">
        <f>(VLOOKUP(SalesData[[#This Row],[Month Number]],Reference!C$5:E$16,2,FALSE))</f>
        <v>Feb</v>
      </c>
      <c r="AC911">
        <f>MONTH(SalesData[[#This Row],[Date]])</f>
        <v>2</v>
      </c>
      <c r="AD911">
        <f>Reference!F$4</f>
        <v>2026</v>
      </c>
      <c r="AE911" t="str">
        <f>IF(OR(SalesData[[#This Row],[Day]]="Saturday",SalesData[[#This Row],[Day]]="Sunday"),"Weekend","Weekday")</f>
        <v>Weekday</v>
      </c>
      <c r="AF911" s="5">
        <f>IF(SalesData[[#This Row],[Contracts Offered]]=0,0,SalesData[[#This Row],[Contracts Signed]]/SalesData[[#This Row],[Contracts Offered]])</f>
        <v>0.21</v>
      </c>
      <c r="AG911" s="5">
        <f>IF(SalesData[[#This Row],[Customers Visited]]=0,0,SalesData[[#This Row],[Test Drives]]/SalesData[[#This Row],[Customers Visited]])</f>
        <v>0.47005988023952094</v>
      </c>
      <c r="AH911" s="5">
        <f>IF(SalesData[[#This Row],[Customers Visited]]=0,0,SalesData[[#This Row],[Contracts Signed]]/SalesData[[#This Row],[Customers Visited]])</f>
        <v>6.2874251497005984E-2</v>
      </c>
      <c r="AI911" s="6">
        <f>IF(SalesData[[#This Row],[Contracts Signed]]=0,0,SalesData[[#This Row],[Profit(€)]]/SalesData[[#This Row],[Contracts Signed]])</f>
        <v>2516</v>
      </c>
      <c r="AJ911" s="5" t="str">
        <f>TRIM(CLEAN(SalesData[[#This Row],[Retailer]]))</f>
        <v>Hannover Cars</v>
      </c>
    </row>
    <row r="912" spans="1:36" ht="14.25" hidden="1" x14ac:dyDescent="0.2">
      <c r="A912" t="s">
        <v>1596</v>
      </c>
      <c r="B912" s="1">
        <v>46076</v>
      </c>
      <c r="C912" t="s">
        <v>53</v>
      </c>
      <c r="D912" t="s">
        <v>25</v>
      </c>
      <c r="E912" t="s">
        <v>26</v>
      </c>
      <c r="F912" t="s">
        <v>7649</v>
      </c>
      <c r="G912" t="s">
        <v>55</v>
      </c>
      <c r="H912" t="s">
        <v>55</v>
      </c>
      <c r="I912" t="s">
        <v>104</v>
      </c>
      <c r="J912" t="s">
        <v>105</v>
      </c>
      <c r="K912" t="s">
        <v>78</v>
      </c>
      <c r="L912" t="s">
        <v>33</v>
      </c>
      <c r="M912" t="s">
        <v>87</v>
      </c>
      <c r="N912" t="s">
        <v>48</v>
      </c>
      <c r="O912" t="s">
        <v>70</v>
      </c>
      <c r="P912" t="s">
        <v>37</v>
      </c>
      <c r="Q912" t="s">
        <v>167</v>
      </c>
      <c r="R912">
        <v>344</v>
      </c>
      <c r="S912">
        <v>147</v>
      </c>
      <c r="T912">
        <v>95</v>
      </c>
      <c r="U912">
        <v>19</v>
      </c>
      <c r="V912" t="s">
        <v>921</v>
      </c>
      <c r="W912">
        <v>27980</v>
      </c>
      <c r="X912" t="s">
        <v>361</v>
      </c>
      <c r="Y912">
        <v>25222</v>
      </c>
      <c r="Z912">
        <v>531620</v>
      </c>
      <c r="AA912">
        <v>52402</v>
      </c>
      <c r="AB912" t="str">
        <f>(VLOOKUP(SalesData[[#This Row],[Month Number]],Reference!C$5:E$16,2,FALSE))</f>
        <v>Feb</v>
      </c>
      <c r="AC912">
        <f>MONTH(SalesData[[#This Row],[Date]])</f>
        <v>2</v>
      </c>
      <c r="AD912">
        <f>Reference!F$4</f>
        <v>2026</v>
      </c>
      <c r="AE912" t="str">
        <f>IF(OR(SalesData[[#This Row],[Day]]="Saturday",SalesData[[#This Row],[Day]]="Sunday"),"Weekend","Weekday")</f>
        <v>Weekday</v>
      </c>
      <c r="AF912" s="5">
        <f>IF(SalesData[[#This Row],[Contracts Offered]]=0,0,SalesData[[#This Row],[Contracts Signed]]/SalesData[[#This Row],[Contracts Offered]])</f>
        <v>0.2</v>
      </c>
      <c r="AG912" s="5">
        <f>IF(SalesData[[#This Row],[Customers Visited]]=0,0,SalesData[[#This Row],[Test Drives]]/SalesData[[#This Row],[Customers Visited]])</f>
        <v>0.42732558139534882</v>
      </c>
      <c r="AH912" s="5">
        <f>IF(SalesData[[#This Row],[Customers Visited]]=0,0,SalesData[[#This Row],[Contracts Signed]]/SalesData[[#This Row],[Customers Visited]])</f>
        <v>5.5232558139534885E-2</v>
      </c>
      <c r="AI912" s="6">
        <f>IF(SalesData[[#This Row],[Contracts Signed]]=0,0,SalesData[[#This Row],[Profit(€)]]/SalesData[[#This Row],[Contracts Signed]])</f>
        <v>2758</v>
      </c>
      <c r="AJ912" s="5" t="str">
        <f>TRIM(CLEAN(SalesData[[#This Row],[Retailer]]))</f>
        <v>Autohaus Berlin</v>
      </c>
    </row>
    <row r="913" spans="1:36" ht="14.25" hidden="1" x14ac:dyDescent="0.2">
      <c r="A913" t="s">
        <v>1597</v>
      </c>
      <c r="B913" s="1">
        <v>46059</v>
      </c>
      <c r="C913" t="s">
        <v>24</v>
      </c>
      <c r="D913" t="s">
        <v>54</v>
      </c>
      <c r="E913" t="s">
        <v>26</v>
      </c>
      <c r="F913" t="s">
        <v>101</v>
      </c>
      <c r="G913" t="s">
        <v>102</v>
      </c>
      <c r="H913" t="s">
        <v>103</v>
      </c>
      <c r="I913" t="s">
        <v>56</v>
      </c>
      <c r="J913" t="s">
        <v>179</v>
      </c>
      <c r="K913" t="s">
        <v>32</v>
      </c>
      <c r="L913" t="s">
        <v>67</v>
      </c>
      <c r="M913" t="s">
        <v>87</v>
      </c>
      <c r="N913" t="s">
        <v>35</v>
      </c>
      <c r="O913" t="s">
        <v>70</v>
      </c>
      <c r="P913" t="s">
        <v>71</v>
      </c>
      <c r="Q913" t="s">
        <v>88</v>
      </c>
      <c r="R913">
        <v>195</v>
      </c>
      <c r="S913">
        <v>121</v>
      </c>
      <c r="T913">
        <v>92</v>
      </c>
      <c r="U913">
        <v>29</v>
      </c>
      <c r="V913" t="s">
        <v>6682</v>
      </c>
      <c r="W913">
        <v>40960</v>
      </c>
      <c r="X913" t="s">
        <v>7154</v>
      </c>
      <c r="Y913">
        <v>32115</v>
      </c>
      <c r="Z913">
        <v>1187840</v>
      </c>
      <c r="AA913">
        <v>256505</v>
      </c>
      <c r="AB913" t="str">
        <f>(VLOOKUP(SalesData[[#This Row],[Month Number]],Reference!C$5:E$16,2,FALSE))</f>
        <v>Feb</v>
      </c>
      <c r="AC913">
        <f>MONTH(SalesData[[#This Row],[Date]])</f>
        <v>2</v>
      </c>
      <c r="AD913">
        <f>Reference!F$4</f>
        <v>2026</v>
      </c>
      <c r="AE913" t="str">
        <f>IF(OR(SalesData[[#This Row],[Day]]="Saturday",SalesData[[#This Row],[Day]]="Sunday"),"Weekend","Weekday")</f>
        <v>Weekday</v>
      </c>
      <c r="AF913" s="5">
        <f>IF(SalesData[[#This Row],[Contracts Offered]]=0,0,SalesData[[#This Row],[Contracts Signed]]/SalesData[[#This Row],[Contracts Offered]])</f>
        <v>0.31521739130434784</v>
      </c>
      <c r="AG913" s="5">
        <f>IF(SalesData[[#This Row],[Customers Visited]]=0,0,SalesData[[#This Row],[Test Drives]]/SalesData[[#This Row],[Customers Visited]])</f>
        <v>0.62051282051282053</v>
      </c>
      <c r="AH913" s="5">
        <f>IF(SalesData[[#This Row],[Customers Visited]]=0,0,SalesData[[#This Row],[Contracts Signed]]/SalesData[[#This Row],[Customers Visited]])</f>
        <v>0.14871794871794872</v>
      </c>
      <c r="AI913" s="6">
        <f>IF(SalesData[[#This Row],[Contracts Signed]]=0,0,SalesData[[#This Row],[Profit(€)]]/SalesData[[#This Row],[Contracts Signed]])</f>
        <v>8845</v>
      </c>
      <c r="AJ913" s="5" t="str">
        <f>TRIM(CLEAN(SalesData[[#This Row],[Retailer]]))</f>
        <v>Ruhr Auto Plaza</v>
      </c>
    </row>
    <row r="914" spans="1:36" ht="14.25" hidden="1" x14ac:dyDescent="0.2">
      <c r="A914" t="s">
        <v>1599</v>
      </c>
      <c r="B914" s="1">
        <v>46065</v>
      </c>
      <c r="C914" t="s">
        <v>121</v>
      </c>
      <c r="D914" t="s">
        <v>100</v>
      </c>
      <c r="E914" t="s">
        <v>26</v>
      </c>
      <c r="F914" t="s">
        <v>43</v>
      </c>
      <c r="G914" t="s">
        <v>44</v>
      </c>
      <c r="H914" t="s">
        <v>45</v>
      </c>
      <c r="I914" t="s">
        <v>56</v>
      </c>
      <c r="J914" t="s">
        <v>97</v>
      </c>
      <c r="K914" t="s">
        <v>91</v>
      </c>
      <c r="L914" t="s">
        <v>33</v>
      </c>
      <c r="M914" t="s">
        <v>34</v>
      </c>
      <c r="N914" t="s">
        <v>35</v>
      </c>
      <c r="O914" t="s">
        <v>70</v>
      </c>
      <c r="P914" t="s">
        <v>58</v>
      </c>
      <c r="Q914" t="s">
        <v>88</v>
      </c>
      <c r="R914">
        <v>254</v>
      </c>
      <c r="S914">
        <v>160</v>
      </c>
      <c r="T914">
        <v>110</v>
      </c>
      <c r="U914">
        <v>40</v>
      </c>
      <c r="V914" t="s">
        <v>6403</v>
      </c>
      <c r="W914">
        <v>45940</v>
      </c>
      <c r="X914" t="s">
        <v>7041</v>
      </c>
      <c r="Y914">
        <v>34657</v>
      </c>
      <c r="Z914">
        <v>1837600</v>
      </c>
      <c r="AA914">
        <v>451320</v>
      </c>
      <c r="AB914" t="str">
        <f>(VLOOKUP(SalesData[[#This Row],[Month Number]],Reference!C$5:E$16,2,FALSE))</f>
        <v>Feb</v>
      </c>
      <c r="AC914">
        <f>MONTH(SalesData[[#This Row],[Date]])</f>
        <v>2</v>
      </c>
      <c r="AD914">
        <f>Reference!F$4</f>
        <v>2026</v>
      </c>
      <c r="AE914" t="str">
        <f>IF(OR(SalesData[[#This Row],[Day]]="Saturday",SalesData[[#This Row],[Day]]="Sunday"),"Weekend","Weekday")</f>
        <v>Weekday</v>
      </c>
      <c r="AF914" s="5">
        <f>IF(SalesData[[#This Row],[Contracts Offered]]=0,0,SalesData[[#This Row],[Contracts Signed]]/SalesData[[#This Row],[Contracts Offered]])</f>
        <v>0.36363636363636365</v>
      </c>
      <c r="AG914" s="5">
        <f>IF(SalesData[[#This Row],[Customers Visited]]=0,0,SalesData[[#This Row],[Test Drives]]/SalesData[[#This Row],[Customers Visited]])</f>
        <v>0.62992125984251968</v>
      </c>
      <c r="AH914" s="5">
        <f>IF(SalesData[[#This Row],[Customers Visited]]=0,0,SalesData[[#This Row],[Contracts Signed]]/SalesData[[#This Row],[Customers Visited]])</f>
        <v>0.15748031496062992</v>
      </c>
      <c r="AI914" s="6">
        <f>IF(SalesData[[#This Row],[Contracts Signed]]=0,0,SalesData[[#This Row],[Profit(€)]]/SalesData[[#This Row],[Contracts Signed]])</f>
        <v>11283</v>
      </c>
      <c r="AJ914" s="5" t="str">
        <f>TRIM(CLEAN(SalesData[[#This Row],[Retailer]]))</f>
        <v>Saxon Wheels</v>
      </c>
    </row>
    <row r="915" spans="1:36" ht="14.25" hidden="1" x14ac:dyDescent="0.2">
      <c r="A915" t="s">
        <v>1600</v>
      </c>
      <c r="B915" s="1">
        <v>46074</v>
      </c>
      <c r="C915" t="s">
        <v>62</v>
      </c>
      <c r="D915" t="s">
        <v>151</v>
      </c>
      <c r="E915" t="s">
        <v>42</v>
      </c>
      <c r="F915" t="s">
        <v>83</v>
      </c>
      <c r="G915" t="s">
        <v>84</v>
      </c>
      <c r="H915" t="s">
        <v>85</v>
      </c>
      <c r="I915" t="s">
        <v>104</v>
      </c>
      <c r="J915" t="s">
        <v>143</v>
      </c>
      <c r="K915" t="s">
        <v>66</v>
      </c>
      <c r="L915" t="s">
        <v>67</v>
      </c>
      <c r="M915" t="s">
        <v>34</v>
      </c>
      <c r="N915" t="s">
        <v>69</v>
      </c>
      <c r="O915" t="s">
        <v>36</v>
      </c>
      <c r="P915" t="s">
        <v>58</v>
      </c>
      <c r="Q915" t="s">
        <v>204</v>
      </c>
      <c r="R915">
        <v>446</v>
      </c>
      <c r="S915">
        <v>253</v>
      </c>
      <c r="T915">
        <v>149</v>
      </c>
      <c r="U915">
        <v>45</v>
      </c>
      <c r="V915" t="s">
        <v>6482</v>
      </c>
      <c r="W915">
        <v>31345</v>
      </c>
      <c r="X915" t="s">
        <v>258</v>
      </c>
      <c r="Y915">
        <v>27864</v>
      </c>
      <c r="Z915">
        <v>1410525</v>
      </c>
      <c r="AA915">
        <v>156645</v>
      </c>
      <c r="AB915" t="str">
        <f>(VLOOKUP(SalesData[[#This Row],[Month Number]],Reference!C$5:E$16,2,FALSE))</f>
        <v>Feb</v>
      </c>
      <c r="AC915">
        <f>MONTH(SalesData[[#This Row],[Date]])</f>
        <v>2</v>
      </c>
      <c r="AD915">
        <f>Reference!F$4</f>
        <v>2026</v>
      </c>
      <c r="AE915" t="str">
        <f>IF(OR(SalesData[[#This Row],[Day]]="Saturday",SalesData[[#This Row],[Day]]="Sunday"),"Weekend","Weekday")</f>
        <v>Weekend</v>
      </c>
      <c r="AF915" s="5">
        <f>IF(SalesData[[#This Row],[Contracts Offered]]=0,0,SalesData[[#This Row],[Contracts Signed]]/SalesData[[#This Row],[Contracts Offered]])</f>
        <v>0.30201342281879195</v>
      </c>
      <c r="AG915" s="5">
        <f>IF(SalesData[[#This Row],[Customers Visited]]=0,0,SalesData[[#This Row],[Test Drives]]/SalesData[[#This Row],[Customers Visited]])</f>
        <v>0.56726457399103136</v>
      </c>
      <c r="AH915" s="5">
        <f>IF(SalesData[[#This Row],[Customers Visited]]=0,0,SalesData[[#This Row],[Contracts Signed]]/SalesData[[#This Row],[Customers Visited]])</f>
        <v>0.10089686098654709</v>
      </c>
      <c r="AI915" s="6">
        <f>IF(SalesData[[#This Row],[Contracts Signed]]=0,0,SalesData[[#This Row],[Profit(€)]]/SalesData[[#This Row],[Contracts Signed]])</f>
        <v>3481</v>
      </c>
      <c r="AJ915" s="5" t="str">
        <f>TRIM(CLEAN(SalesData[[#This Row],[Retailer]]))</f>
        <v>Hannover Cars</v>
      </c>
    </row>
    <row r="916" spans="1:36" ht="14.25" hidden="1" x14ac:dyDescent="0.2">
      <c r="A916" t="s">
        <v>1601</v>
      </c>
      <c r="B916" s="1">
        <v>46078</v>
      </c>
      <c r="C916" t="s">
        <v>53</v>
      </c>
      <c r="D916" t="s">
        <v>82</v>
      </c>
      <c r="E916" t="s">
        <v>26</v>
      </c>
      <c r="F916" t="s">
        <v>43</v>
      </c>
      <c r="G916" t="s">
        <v>44</v>
      </c>
      <c r="H916" t="s">
        <v>45</v>
      </c>
      <c r="I916" t="s">
        <v>64</v>
      </c>
      <c r="J916" t="s">
        <v>7029</v>
      </c>
      <c r="K916" t="s">
        <v>91</v>
      </c>
      <c r="L916" t="s">
        <v>33</v>
      </c>
      <c r="M916" t="s">
        <v>34</v>
      </c>
      <c r="N916" t="s">
        <v>69</v>
      </c>
      <c r="O916" t="s">
        <v>36</v>
      </c>
      <c r="P916" t="s">
        <v>37</v>
      </c>
      <c r="Q916" t="s">
        <v>50</v>
      </c>
      <c r="R916">
        <v>281</v>
      </c>
      <c r="S916">
        <v>127</v>
      </c>
      <c r="T916">
        <v>99</v>
      </c>
      <c r="U916">
        <v>30</v>
      </c>
      <c r="V916" t="s">
        <v>6466</v>
      </c>
      <c r="W916">
        <v>66821</v>
      </c>
      <c r="X916" t="s">
        <v>7185</v>
      </c>
      <c r="Y916">
        <v>51217</v>
      </c>
      <c r="Z916">
        <v>2004630</v>
      </c>
      <c r="AA916">
        <v>468120</v>
      </c>
      <c r="AB916" t="str">
        <f>(VLOOKUP(SalesData[[#This Row],[Month Number]],Reference!C$5:E$16,2,FALSE))</f>
        <v>Feb</v>
      </c>
      <c r="AC916">
        <f>MONTH(SalesData[[#This Row],[Date]])</f>
        <v>2</v>
      </c>
      <c r="AD916">
        <f>Reference!F$4</f>
        <v>2026</v>
      </c>
      <c r="AE916" t="str">
        <f>IF(OR(SalesData[[#This Row],[Day]]="Saturday",SalesData[[#This Row],[Day]]="Sunday"),"Weekend","Weekday")</f>
        <v>Weekday</v>
      </c>
      <c r="AF916" s="5">
        <f>IF(SalesData[[#This Row],[Contracts Offered]]=0,0,SalesData[[#This Row],[Contracts Signed]]/SalesData[[#This Row],[Contracts Offered]])</f>
        <v>0.30303030303030304</v>
      </c>
      <c r="AG916" s="5">
        <f>IF(SalesData[[#This Row],[Customers Visited]]=0,0,SalesData[[#This Row],[Test Drives]]/SalesData[[#This Row],[Customers Visited]])</f>
        <v>0.45195729537366547</v>
      </c>
      <c r="AH916" s="5">
        <f>IF(SalesData[[#This Row],[Customers Visited]]=0,0,SalesData[[#This Row],[Contracts Signed]]/SalesData[[#This Row],[Customers Visited]])</f>
        <v>0.10676156583629894</v>
      </c>
      <c r="AI916" s="6">
        <f>IF(SalesData[[#This Row],[Contracts Signed]]=0,0,SalesData[[#This Row],[Profit(€)]]/SalesData[[#This Row],[Contracts Signed]])</f>
        <v>15604</v>
      </c>
      <c r="AJ916" s="5" t="str">
        <f>TRIM(CLEAN(SalesData[[#This Row],[Retailer]]))</f>
        <v>Saxon Wheels</v>
      </c>
    </row>
    <row r="917" spans="1:36" ht="14.25" hidden="1" x14ac:dyDescent="0.2">
      <c r="A917" t="s">
        <v>1602</v>
      </c>
      <c r="B917" s="1">
        <v>46057</v>
      </c>
      <c r="C917" t="s">
        <v>24</v>
      </c>
      <c r="D917" t="s">
        <v>82</v>
      </c>
      <c r="E917" t="s">
        <v>26</v>
      </c>
      <c r="F917" t="s">
        <v>114</v>
      </c>
      <c r="G917" t="s">
        <v>115</v>
      </c>
      <c r="H917" t="s">
        <v>115</v>
      </c>
      <c r="I917" t="s">
        <v>104</v>
      </c>
      <c r="J917" t="s">
        <v>140</v>
      </c>
      <c r="K917" t="s">
        <v>91</v>
      </c>
      <c r="L917" t="s">
        <v>46</v>
      </c>
      <c r="M917" t="s">
        <v>87</v>
      </c>
      <c r="N917" t="s">
        <v>35</v>
      </c>
      <c r="O917" t="s">
        <v>36</v>
      </c>
      <c r="P917" t="s">
        <v>37</v>
      </c>
      <c r="Q917" t="s">
        <v>172</v>
      </c>
      <c r="R917">
        <v>407</v>
      </c>
      <c r="S917">
        <v>204</v>
      </c>
      <c r="T917">
        <v>146</v>
      </c>
      <c r="U917">
        <v>34</v>
      </c>
      <c r="V917" t="s">
        <v>508</v>
      </c>
      <c r="W917">
        <v>26534</v>
      </c>
      <c r="X917" t="s">
        <v>7342</v>
      </c>
      <c r="Y917">
        <v>22854</v>
      </c>
      <c r="Z917">
        <v>902156</v>
      </c>
      <c r="AA917">
        <v>125120</v>
      </c>
      <c r="AB917" t="str">
        <f>(VLOOKUP(SalesData[[#This Row],[Month Number]],Reference!C$5:E$16,2,FALSE))</f>
        <v>Feb</v>
      </c>
      <c r="AC917">
        <f>MONTH(SalesData[[#This Row],[Date]])</f>
        <v>2</v>
      </c>
      <c r="AD917">
        <f>Reference!F$4</f>
        <v>2026</v>
      </c>
      <c r="AE917" t="str">
        <f>IF(OR(SalesData[[#This Row],[Day]]="Saturday",SalesData[[#This Row],[Day]]="Sunday"),"Weekend","Weekday")</f>
        <v>Weekday</v>
      </c>
      <c r="AF917" s="5">
        <f>IF(SalesData[[#This Row],[Contracts Offered]]=0,0,SalesData[[#This Row],[Contracts Signed]]/SalesData[[#This Row],[Contracts Offered]])</f>
        <v>0.23287671232876711</v>
      </c>
      <c r="AG917" s="5">
        <f>IF(SalesData[[#This Row],[Customers Visited]]=0,0,SalesData[[#This Row],[Test Drives]]/SalesData[[#This Row],[Customers Visited]])</f>
        <v>0.50122850122850127</v>
      </c>
      <c r="AH917" s="5">
        <f>IF(SalesData[[#This Row],[Customers Visited]]=0,0,SalesData[[#This Row],[Contracts Signed]]/SalesData[[#This Row],[Customers Visited]])</f>
        <v>8.3538083538083535E-2</v>
      </c>
      <c r="AI917" s="6">
        <f>IF(SalesData[[#This Row],[Contracts Signed]]=0,0,SalesData[[#This Row],[Profit(€)]]/SalesData[[#This Row],[Contracts Signed]])</f>
        <v>3680</v>
      </c>
      <c r="AJ917" s="5" t="str">
        <f>TRIM(CLEAN(SalesData[[#This Row],[Retailer]]))</f>
        <v>Elbe Drive</v>
      </c>
    </row>
    <row r="918" spans="1:36" ht="14.25" hidden="1" x14ac:dyDescent="0.2">
      <c r="A918" t="s">
        <v>1603</v>
      </c>
      <c r="B918" s="1">
        <v>46081</v>
      </c>
      <c r="C918" t="s">
        <v>53</v>
      </c>
      <c r="D918" t="s">
        <v>151</v>
      </c>
      <c r="E918" t="s">
        <v>42</v>
      </c>
      <c r="F918" t="s">
        <v>109</v>
      </c>
      <c r="G918" t="s">
        <v>110</v>
      </c>
      <c r="H918" t="s">
        <v>45</v>
      </c>
      <c r="I918" t="s">
        <v>56</v>
      </c>
      <c r="J918" t="s">
        <v>137</v>
      </c>
      <c r="K918" t="s">
        <v>91</v>
      </c>
      <c r="L918" t="s">
        <v>46</v>
      </c>
      <c r="M918" t="s">
        <v>47</v>
      </c>
      <c r="N918" t="s">
        <v>48</v>
      </c>
      <c r="O918" t="s">
        <v>70</v>
      </c>
      <c r="P918" t="s">
        <v>37</v>
      </c>
      <c r="Q918" t="s">
        <v>144</v>
      </c>
      <c r="R918">
        <v>259</v>
      </c>
      <c r="S918">
        <v>127</v>
      </c>
      <c r="T918">
        <v>91</v>
      </c>
      <c r="U918">
        <v>24</v>
      </c>
      <c r="V918" t="s">
        <v>3816</v>
      </c>
      <c r="W918">
        <v>45768</v>
      </c>
      <c r="X918" t="s">
        <v>2556</v>
      </c>
      <c r="Y918">
        <v>36495</v>
      </c>
      <c r="Z918">
        <v>1098432</v>
      </c>
      <c r="AA918">
        <v>222552</v>
      </c>
      <c r="AB918" t="str">
        <f>(VLOOKUP(SalesData[[#This Row],[Month Number]],Reference!C$5:E$16,2,FALSE))</f>
        <v>Feb</v>
      </c>
      <c r="AC918">
        <f>MONTH(SalesData[[#This Row],[Date]])</f>
        <v>2</v>
      </c>
      <c r="AD918">
        <f>Reference!F$4</f>
        <v>2026</v>
      </c>
      <c r="AE918" t="str">
        <f>IF(OR(SalesData[[#This Row],[Day]]="Saturday",SalesData[[#This Row],[Day]]="Sunday"),"Weekend","Weekday")</f>
        <v>Weekend</v>
      </c>
      <c r="AF918" s="5">
        <f>IF(SalesData[[#This Row],[Contracts Offered]]=0,0,SalesData[[#This Row],[Contracts Signed]]/SalesData[[#This Row],[Contracts Offered]])</f>
        <v>0.26373626373626374</v>
      </c>
      <c r="AG918" s="5">
        <f>IF(SalesData[[#This Row],[Customers Visited]]=0,0,SalesData[[#This Row],[Test Drives]]/SalesData[[#This Row],[Customers Visited]])</f>
        <v>0.49034749034749037</v>
      </c>
      <c r="AH918" s="5">
        <f>IF(SalesData[[#This Row],[Customers Visited]]=0,0,SalesData[[#This Row],[Contracts Signed]]/SalesData[[#This Row],[Customers Visited]])</f>
        <v>9.2664092664092659E-2</v>
      </c>
      <c r="AI918" s="6">
        <f>IF(SalesData[[#This Row],[Contracts Signed]]=0,0,SalesData[[#This Row],[Profit(€)]]/SalesData[[#This Row],[Contracts Signed]])</f>
        <v>9273</v>
      </c>
      <c r="AJ918" s="5" t="str">
        <f>TRIM(CLEAN(SalesData[[#This Row],[Retailer]]))</f>
        <v>Leipzig Mobility</v>
      </c>
    </row>
    <row r="919" spans="1:36" ht="14.25" x14ac:dyDescent="0.2">
      <c r="A919" t="s">
        <v>1604</v>
      </c>
      <c r="B919" s="1">
        <v>46054</v>
      </c>
      <c r="C919" t="s">
        <v>24</v>
      </c>
      <c r="D919" t="s">
        <v>41</v>
      </c>
      <c r="E919" t="s">
        <v>42</v>
      </c>
      <c r="F919" t="s">
        <v>74</v>
      </c>
      <c r="G919" t="s">
        <v>75</v>
      </c>
      <c r="H919" t="s">
        <v>76</v>
      </c>
      <c r="I919" t="s">
        <v>30</v>
      </c>
      <c r="J919" t="s">
        <v>166</v>
      </c>
      <c r="K919" t="s">
        <v>32</v>
      </c>
      <c r="L919" t="s">
        <v>46</v>
      </c>
      <c r="M919" t="s">
        <v>68</v>
      </c>
      <c r="N919" t="s">
        <v>69</v>
      </c>
      <c r="O919" t="s">
        <v>70</v>
      </c>
      <c r="P919" t="s">
        <v>71</v>
      </c>
      <c r="Q919" t="s">
        <v>50</v>
      </c>
      <c r="R919">
        <v>153</v>
      </c>
      <c r="S919">
        <v>72</v>
      </c>
      <c r="T919">
        <v>54</v>
      </c>
      <c r="U919">
        <v>20</v>
      </c>
      <c r="V919" t="s">
        <v>6351</v>
      </c>
      <c r="W919">
        <v>56220</v>
      </c>
      <c r="X919" t="s">
        <v>7240</v>
      </c>
      <c r="Y919">
        <v>40916</v>
      </c>
      <c r="Z919">
        <v>1124400</v>
      </c>
      <c r="AA919">
        <v>306080</v>
      </c>
      <c r="AB919" t="str">
        <f>(VLOOKUP(SalesData[[#This Row],[Month Number]],Reference!C$5:E$16,2,FALSE))</f>
        <v>Feb</v>
      </c>
      <c r="AC919">
        <f>MONTH(SalesData[[#This Row],[Date]])</f>
        <v>2</v>
      </c>
      <c r="AD919">
        <f>Reference!F$4</f>
        <v>2026</v>
      </c>
      <c r="AE919" t="str">
        <f>IF(OR(SalesData[[#This Row],[Day]]="Saturday",SalesData[[#This Row],[Day]]="Sunday"),"Weekend","Weekday")</f>
        <v>Weekend</v>
      </c>
      <c r="AF919" s="5">
        <f>IF(SalesData[[#This Row],[Contracts Offered]]=0,0,SalesData[[#This Row],[Contracts Signed]]/SalesData[[#This Row],[Contracts Offered]])</f>
        <v>0.37037037037037035</v>
      </c>
      <c r="AG919" s="5">
        <f>IF(SalesData[[#This Row],[Customers Visited]]=0,0,SalesData[[#This Row],[Test Drives]]/SalesData[[#This Row],[Customers Visited]])</f>
        <v>0.47058823529411764</v>
      </c>
      <c r="AH919" s="5">
        <f>IF(SalesData[[#This Row],[Customers Visited]]=0,0,SalesData[[#This Row],[Contracts Signed]]/SalesData[[#This Row],[Customers Visited]])</f>
        <v>0.13071895424836602</v>
      </c>
      <c r="AI919" s="6">
        <f>IF(SalesData[[#This Row],[Contracts Signed]]=0,0,SalesData[[#This Row],[Profit(€)]]/SalesData[[#This Row],[Contracts Signed]])</f>
        <v>15304</v>
      </c>
      <c r="AJ919" s="5" t="str">
        <f>TRIM(CLEAN(SalesData[[#This Row],[Retailer]]))</f>
        <v>Stuttgart Auto Center</v>
      </c>
    </row>
    <row r="920" spans="1:36" ht="14.25" x14ac:dyDescent="0.2">
      <c r="A920" t="s">
        <v>1606</v>
      </c>
      <c r="B920" s="1">
        <v>46073</v>
      </c>
      <c r="C920" t="s">
        <v>62</v>
      </c>
      <c r="D920" t="s">
        <v>54</v>
      </c>
      <c r="E920" t="s">
        <v>26</v>
      </c>
      <c r="F920" t="s">
        <v>101</v>
      </c>
      <c r="G920" t="s">
        <v>102</v>
      </c>
      <c r="H920" t="s">
        <v>103</v>
      </c>
      <c r="I920" t="s">
        <v>30</v>
      </c>
      <c r="J920" t="s">
        <v>7075</v>
      </c>
      <c r="K920" t="s">
        <v>91</v>
      </c>
      <c r="L920" t="s">
        <v>33</v>
      </c>
      <c r="M920" t="s">
        <v>34</v>
      </c>
      <c r="N920" t="s">
        <v>69</v>
      </c>
      <c r="O920" t="s">
        <v>70</v>
      </c>
      <c r="P920" t="s">
        <v>71</v>
      </c>
      <c r="Q920" t="s">
        <v>167</v>
      </c>
      <c r="R920">
        <v>190</v>
      </c>
      <c r="S920">
        <v>116</v>
      </c>
      <c r="T920">
        <v>85</v>
      </c>
      <c r="U920">
        <v>33</v>
      </c>
      <c r="V920" t="s">
        <v>6969</v>
      </c>
      <c r="W920">
        <v>58408</v>
      </c>
      <c r="X920" t="s">
        <v>3288</v>
      </c>
      <c r="Y920">
        <v>42155</v>
      </c>
      <c r="Z920">
        <v>1927464</v>
      </c>
      <c r="AA920">
        <v>536349</v>
      </c>
      <c r="AB920" t="str">
        <f>(VLOOKUP(SalesData[[#This Row],[Month Number]],Reference!C$5:E$16,2,FALSE))</f>
        <v>Feb</v>
      </c>
      <c r="AC920">
        <f>MONTH(SalesData[[#This Row],[Date]])</f>
        <v>2</v>
      </c>
      <c r="AD920">
        <f>Reference!F$4</f>
        <v>2026</v>
      </c>
      <c r="AE920" t="str">
        <f>IF(OR(SalesData[[#This Row],[Day]]="Saturday",SalesData[[#This Row],[Day]]="Sunday"),"Weekend","Weekday")</f>
        <v>Weekday</v>
      </c>
      <c r="AF920" s="5">
        <f>IF(SalesData[[#This Row],[Contracts Offered]]=0,0,SalesData[[#This Row],[Contracts Signed]]/SalesData[[#This Row],[Contracts Offered]])</f>
        <v>0.38823529411764707</v>
      </c>
      <c r="AG920" s="5">
        <f>IF(SalesData[[#This Row],[Customers Visited]]=0,0,SalesData[[#This Row],[Test Drives]]/SalesData[[#This Row],[Customers Visited]])</f>
        <v>0.61052631578947369</v>
      </c>
      <c r="AH920" s="5">
        <f>IF(SalesData[[#This Row],[Customers Visited]]=0,0,SalesData[[#This Row],[Contracts Signed]]/SalesData[[#This Row],[Customers Visited]])</f>
        <v>0.1736842105263158</v>
      </c>
      <c r="AI920" s="6">
        <f>IF(SalesData[[#This Row],[Contracts Signed]]=0,0,SalesData[[#This Row],[Profit(€)]]/SalesData[[#This Row],[Contracts Signed]])</f>
        <v>16253</v>
      </c>
      <c r="AJ920" s="5" t="str">
        <f>TRIM(CLEAN(SalesData[[#This Row],[Retailer]]))</f>
        <v>Ruhr Auto Plaza</v>
      </c>
    </row>
    <row r="921" spans="1:36" ht="14.25" hidden="1" x14ac:dyDescent="0.2">
      <c r="A921" t="s">
        <v>1607</v>
      </c>
      <c r="B921" s="1">
        <v>46062</v>
      </c>
      <c r="C921" t="s">
        <v>121</v>
      </c>
      <c r="D921" t="s">
        <v>25</v>
      </c>
      <c r="E921" t="s">
        <v>26</v>
      </c>
      <c r="F921" t="s">
        <v>27</v>
      </c>
      <c r="G921" t="s">
        <v>28</v>
      </c>
      <c r="H921" t="s">
        <v>29</v>
      </c>
      <c r="I921" t="s">
        <v>64</v>
      </c>
      <c r="J921" t="s">
        <v>77</v>
      </c>
      <c r="K921" t="s">
        <v>78</v>
      </c>
      <c r="L921" t="s">
        <v>46</v>
      </c>
      <c r="M921" t="s">
        <v>68</v>
      </c>
      <c r="N921" t="s">
        <v>48</v>
      </c>
      <c r="O921" t="s">
        <v>70</v>
      </c>
      <c r="P921" t="s">
        <v>58</v>
      </c>
      <c r="Q921" t="s">
        <v>152</v>
      </c>
      <c r="R921">
        <v>279</v>
      </c>
      <c r="S921">
        <v>160</v>
      </c>
      <c r="T921">
        <v>122</v>
      </c>
      <c r="U921">
        <v>46</v>
      </c>
      <c r="V921" t="s">
        <v>6669</v>
      </c>
      <c r="W921">
        <v>72673</v>
      </c>
      <c r="X921" t="s">
        <v>7130</v>
      </c>
      <c r="Y921">
        <v>55888</v>
      </c>
      <c r="Z921">
        <v>3342958</v>
      </c>
      <c r="AA921">
        <v>772110</v>
      </c>
      <c r="AB921" t="str">
        <f>(VLOOKUP(SalesData[[#This Row],[Month Number]],Reference!C$5:E$16,2,FALSE))</f>
        <v>Feb</v>
      </c>
      <c r="AC921">
        <f>MONTH(SalesData[[#This Row],[Date]])</f>
        <v>2</v>
      </c>
      <c r="AD921">
        <f>Reference!F$4</f>
        <v>2026</v>
      </c>
      <c r="AE921" t="str">
        <f>IF(OR(SalesData[[#This Row],[Day]]="Saturday",SalesData[[#This Row],[Day]]="Sunday"),"Weekend","Weekday")</f>
        <v>Weekday</v>
      </c>
      <c r="AF921" s="5">
        <f>IF(SalesData[[#This Row],[Contracts Offered]]=0,0,SalesData[[#This Row],[Contracts Signed]]/SalesData[[#This Row],[Contracts Offered]])</f>
        <v>0.37704918032786883</v>
      </c>
      <c r="AG921" s="5">
        <f>IF(SalesData[[#This Row],[Customers Visited]]=0,0,SalesData[[#This Row],[Test Drives]]/SalesData[[#This Row],[Customers Visited]])</f>
        <v>0.57347670250896055</v>
      </c>
      <c r="AH921" s="5">
        <f>IF(SalesData[[#This Row],[Customers Visited]]=0,0,SalesData[[#This Row],[Contracts Signed]]/SalesData[[#This Row],[Customers Visited]])</f>
        <v>0.16487455197132617</v>
      </c>
      <c r="AI921" s="6">
        <f>IF(SalesData[[#This Row],[Contracts Signed]]=0,0,SalesData[[#This Row],[Profit(€)]]/SalesData[[#This Row],[Contracts Signed]])</f>
        <v>16785</v>
      </c>
      <c r="AJ921" s="5" t="str">
        <f>TRIM(CLEAN(SalesData[[#This Row],[Retailer]]))</f>
        <v>Main Auto Hub</v>
      </c>
    </row>
    <row r="922" spans="1:36" ht="14.25" hidden="1" x14ac:dyDescent="0.2">
      <c r="A922" t="s">
        <v>1609</v>
      </c>
      <c r="B922" s="1">
        <v>46078</v>
      </c>
      <c r="C922" t="s">
        <v>53</v>
      </c>
      <c r="D922" t="s">
        <v>82</v>
      </c>
      <c r="E922" t="s">
        <v>26</v>
      </c>
      <c r="F922" t="s">
        <v>127</v>
      </c>
      <c r="G922" t="s">
        <v>128</v>
      </c>
      <c r="H922" t="s">
        <v>103</v>
      </c>
      <c r="I922" t="s">
        <v>116</v>
      </c>
      <c r="J922" t="s">
        <v>7026</v>
      </c>
      <c r="K922" t="s">
        <v>91</v>
      </c>
      <c r="L922" t="s">
        <v>46</v>
      </c>
      <c r="M922" t="s">
        <v>34</v>
      </c>
      <c r="N922" t="s">
        <v>48</v>
      </c>
      <c r="O922" t="s">
        <v>70</v>
      </c>
      <c r="P922" t="s">
        <v>71</v>
      </c>
      <c r="Q922" t="s">
        <v>88</v>
      </c>
      <c r="R922">
        <v>320</v>
      </c>
      <c r="S922">
        <v>135</v>
      </c>
      <c r="T922">
        <v>86</v>
      </c>
      <c r="U922">
        <v>21</v>
      </c>
      <c r="V922" t="s">
        <v>925</v>
      </c>
      <c r="W922">
        <v>23155</v>
      </c>
      <c r="X922" t="s">
        <v>1433</v>
      </c>
      <c r="Y922">
        <v>21244</v>
      </c>
      <c r="Z922">
        <v>486255</v>
      </c>
      <c r="AA922">
        <v>40131</v>
      </c>
      <c r="AB922" t="str">
        <f>(VLOOKUP(SalesData[[#This Row],[Month Number]],Reference!C$5:E$16,2,FALSE))</f>
        <v>Feb</v>
      </c>
      <c r="AC922">
        <f>MONTH(SalesData[[#This Row],[Date]])</f>
        <v>2</v>
      </c>
      <c r="AD922">
        <f>Reference!F$4</f>
        <v>2026</v>
      </c>
      <c r="AE922" t="str">
        <f>IF(OR(SalesData[[#This Row],[Day]]="Saturday",SalesData[[#This Row],[Day]]="Sunday"),"Weekend","Weekday")</f>
        <v>Weekday</v>
      </c>
      <c r="AF922" s="5">
        <f>IF(SalesData[[#This Row],[Contracts Offered]]=0,0,SalesData[[#This Row],[Contracts Signed]]/SalesData[[#This Row],[Contracts Offered]])</f>
        <v>0.2441860465116279</v>
      </c>
      <c r="AG922" s="5">
        <f>IF(SalesData[[#This Row],[Customers Visited]]=0,0,SalesData[[#This Row],[Test Drives]]/SalesData[[#This Row],[Customers Visited]])</f>
        <v>0.421875</v>
      </c>
      <c r="AH922" s="5">
        <f>IF(SalesData[[#This Row],[Customers Visited]]=0,0,SalesData[[#This Row],[Contracts Signed]]/SalesData[[#This Row],[Customers Visited]])</f>
        <v>6.5625000000000003E-2</v>
      </c>
      <c r="AI922" s="6">
        <f>IF(SalesData[[#This Row],[Contracts Signed]]=0,0,SalesData[[#This Row],[Profit(€)]]/SalesData[[#This Row],[Contracts Signed]])</f>
        <v>1911</v>
      </c>
      <c r="AJ922" s="5" t="str">
        <f>TRIM(CLEAN(SalesData[[#This Row],[Retailer]]))</f>
        <v>Rhein Auto Group</v>
      </c>
    </row>
    <row r="923" spans="1:36" ht="14.25" hidden="1" x14ac:dyDescent="0.2">
      <c r="A923" t="s">
        <v>1610</v>
      </c>
      <c r="B923" s="1">
        <v>46055</v>
      </c>
      <c r="C923" t="s">
        <v>24</v>
      </c>
      <c r="D923" t="s">
        <v>25</v>
      </c>
      <c r="E923" t="s">
        <v>26</v>
      </c>
      <c r="F923" t="s">
        <v>94</v>
      </c>
      <c r="G923" t="s">
        <v>95</v>
      </c>
      <c r="H923" t="s">
        <v>96</v>
      </c>
      <c r="I923" t="s">
        <v>104</v>
      </c>
      <c r="J923" t="s">
        <v>143</v>
      </c>
      <c r="K923" t="s">
        <v>66</v>
      </c>
      <c r="L923" t="s">
        <v>67</v>
      </c>
      <c r="M923" t="s">
        <v>34</v>
      </c>
      <c r="N923" t="s">
        <v>35</v>
      </c>
      <c r="O923" t="s">
        <v>70</v>
      </c>
      <c r="P923" t="s">
        <v>37</v>
      </c>
      <c r="Q923" t="s">
        <v>167</v>
      </c>
      <c r="R923">
        <v>465</v>
      </c>
      <c r="S923">
        <v>252</v>
      </c>
      <c r="T923">
        <v>155</v>
      </c>
      <c r="U923">
        <v>37</v>
      </c>
      <c r="V923" t="s">
        <v>3513</v>
      </c>
      <c r="W923">
        <v>28827</v>
      </c>
      <c r="X923" t="s">
        <v>2159</v>
      </c>
      <c r="Y923">
        <v>25168</v>
      </c>
      <c r="Z923">
        <v>1066599</v>
      </c>
      <c r="AA923">
        <v>135383</v>
      </c>
      <c r="AB923" t="str">
        <f>(VLOOKUP(SalesData[[#This Row],[Month Number]],Reference!C$5:E$16,2,FALSE))</f>
        <v>Feb</v>
      </c>
      <c r="AC923">
        <f>MONTH(SalesData[[#This Row],[Date]])</f>
        <v>2</v>
      </c>
      <c r="AD923">
        <f>Reference!F$4</f>
        <v>2026</v>
      </c>
      <c r="AE923" t="str">
        <f>IF(OR(SalesData[[#This Row],[Day]]="Saturday",SalesData[[#This Row],[Day]]="Sunday"),"Weekend","Weekday")</f>
        <v>Weekday</v>
      </c>
      <c r="AF923" s="5">
        <f>IF(SalesData[[#This Row],[Contracts Offered]]=0,0,SalesData[[#This Row],[Contracts Signed]]/SalesData[[#This Row],[Contracts Offered]])</f>
        <v>0.23870967741935484</v>
      </c>
      <c r="AG923" s="5">
        <f>IF(SalesData[[#This Row],[Customers Visited]]=0,0,SalesData[[#This Row],[Test Drives]]/SalesData[[#This Row],[Customers Visited]])</f>
        <v>0.54193548387096779</v>
      </c>
      <c r="AH923" s="5">
        <f>IF(SalesData[[#This Row],[Customers Visited]]=0,0,SalesData[[#This Row],[Contracts Signed]]/SalesData[[#This Row],[Customers Visited]])</f>
        <v>7.9569892473118284E-2</v>
      </c>
      <c r="AI923" s="6">
        <f>IF(SalesData[[#This Row],[Contracts Signed]]=0,0,SalesData[[#This Row],[Profit(€)]]/SalesData[[#This Row],[Contracts Signed]])</f>
        <v>3659</v>
      </c>
      <c r="AJ923" s="5" t="str">
        <f>TRIM(CLEAN(SalesData[[#This Row],[Retailer]]))</f>
        <v>Bavaria Motors</v>
      </c>
    </row>
    <row r="924" spans="1:36" ht="14.25" hidden="1" x14ac:dyDescent="0.2">
      <c r="A924" t="s">
        <v>1611</v>
      </c>
      <c r="B924" s="1">
        <v>46062</v>
      </c>
      <c r="C924" t="s">
        <v>121</v>
      </c>
      <c r="D924" t="s">
        <v>25</v>
      </c>
      <c r="E924" t="s">
        <v>26</v>
      </c>
      <c r="F924" t="s">
        <v>114</v>
      </c>
      <c r="G924" t="s">
        <v>115</v>
      </c>
      <c r="H924" t="s">
        <v>115</v>
      </c>
      <c r="I924" t="s">
        <v>64</v>
      </c>
      <c r="J924" t="s">
        <v>111</v>
      </c>
      <c r="K924" t="s">
        <v>32</v>
      </c>
      <c r="L924" t="s">
        <v>46</v>
      </c>
      <c r="M924" t="s">
        <v>34</v>
      </c>
      <c r="N924" t="s">
        <v>48</v>
      </c>
      <c r="O924" t="s">
        <v>36</v>
      </c>
      <c r="P924" t="s">
        <v>49</v>
      </c>
      <c r="Q924" t="s">
        <v>122</v>
      </c>
      <c r="R924">
        <v>225</v>
      </c>
      <c r="S924">
        <v>131</v>
      </c>
      <c r="T924">
        <v>101</v>
      </c>
      <c r="U924">
        <v>29</v>
      </c>
      <c r="V924" t="s">
        <v>6962</v>
      </c>
      <c r="W924">
        <v>64768</v>
      </c>
      <c r="X924" t="s">
        <v>7343</v>
      </c>
      <c r="Y924">
        <v>46503</v>
      </c>
      <c r="Z924">
        <v>1878272</v>
      </c>
      <c r="AA924">
        <v>529685</v>
      </c>
      <c r="AB924" t="str">
        <f>(VLOOKUP(SalesData[[#This Row],[Month Number]],Reference!C$5:E$16,2,FALSE))</f>
        <v>Feb</v>
      </c>
      <c r="AC924">
        <f>MONTH(SalesData[[#This Row],[Date]])</f>
        <v>2</v>
      </c>
      <c r="AD924">
        <f>Reference!F$4</f>
        <v>2026</v>
      </c>
      <c r="AE924" t="str">
        <f>IF(OR(SalesData[[#This Row],[Day]]="Saturday",SalesData[[#This Row],[Day]]="Sunday"),"Weekend","Weekday")</f>
        <v>Weekday</v>
      </c>
      <c r="AF924" s="5">
        <f>IF(SalesData[[#This Row],[Contracts Offered]]=0,0,SalesData[[#This Row],[Contracts Signed]]/SalesData[[#This Row],[Contracts Offered]])</f>
        <v>0.28712871287128711</v>
      </c>
      <c r="AG924" s="5">
        <f>IF(SalesData[[#This Row],[Customers Visited]]=0,0,SalesData[[#This Row],[Test Drives]]/SalesData[[#This Row],[Customers Visited]])</f>
        <v>0.5822222222222222</v>
      </c>
      <c r="AH924" s="5">
        <f>IF(SalesData[[#This Row],[Customers Visited]]=0,0,SalesData[[#This Row],[Contracts Signed]]/SalesData[[#This Row],[Customers Visited]])</f>
        <v>0.12888888888888889</v>
      </c>
      <c r="AI924" s="6">
        <f>IF(SalesData[[#This Row],[Contracts Signed]]=0,0,SalesData[[#This Row],[Profit(€)]]/SalesData[[#This Row],[Contracts Signed]])</f>
        <v>18265</v>
      </c>
      <c r="AJ924" s="5" t="str">
        <f>TRIM(CLEAN(SalesData[[#This Row],[Retailer]]))</f>
        <v>Elbe Drive</v>
      </c>
    </row>
    <row r="925" spans="1:36" ht="14.25" hidden="1" x14ac:dyDescent="0.2">
      <c r="A925" t="s">
        <v>1613</v>
      </c>
      <c r="B925" s="1">
        <v>46074</v>
      </c>
      <c r="C925" t="s">
        <v>62</v>
      </c>
      <c r="D925" t="s">
        <v>151</v>
      </c>
      <c r="E925" t="s">
        <v>42</v>
      </c>
      <c r="F925" t="s">
        <v>101</v>
      </c>
      <c r="G925" t="s">
        <v>102</v>
      </c>
      <c r="H925" t="s">
        <v>103</v>
      </c>
      <c r="I925" t="s">
        <v>64</v>
      </c>
      <c r="J925" t="s">
        <v>111</v>
      </c>
      <c r="K925" t="s">
        <v>32</v>
      </c>
      <c r="L925" t="s">
        <v>46</v>
      </c>
      <c r="M925" t="s">
        <v>34</v>
      </c>
      <c r="N925" t="s">
        <v>35</v>
      </c>
      <c r="O925" t="s">
        <v>36</v>
      </c>
      <c r="P925" t="s">
        <v>49</v>
      </c>
      <c r="Q925" t="s">
        <v>158</v>
      </c>
      <c r="R925">
        <v>183</v>
      </c>
      <c r="S925">
        <v>90</v>
      </c>
      <c r="T925">
        <v>68</v>
      </c>
      <c r="U925">
        <v>20</v>
      </c>
      <c r="V925" t="s">
        <v>6433</v>
      </c>
      <c r="W925">
        <v>58644</v>
      </c>
      <c r="X925" t="s">
        <v>170</v>
      </c>
      <c r="Y925">
        <v>41925</v>
      </c>
      <c r="Z925">
        <v>1172880</v>
      </c>
      <c r="AA925">
        <v>334380</v>
      </c>
      <c r="AB925" t="str">
        <f>(VLOOKUP(SalesData[[#This Row],[Month Number]],Reference!C$5:E$16,2,FALSE))</f>
        <v>Feb</v>
      </c>
      <c r="AC925">
        <f>MONTH(SalesData[[#This Row],[Date]])</f>
        <v>2</v>
      </c>
      <c r="AD925">
        <f>Reference!F$4</f>
        <v>2026</v>
      </c>
      <c r="AE925" t="str">
        <f>IF(OR(SalesData[[#This Row],[Day]]="Saturday",SalesData[[#This Row],[Day]]="Sunday"),"Weekend","Weekday")</f>
        <v>Weekend</v>
      </c>
      <c r="AF925" s="5">
        <f>IF(SalesData[[#This Row],[Contracts Offered]]=0,0,SalesData[[#This Row],[Contracts Signed]]/SalesData[[#This Row],[Contracts Offered]])</f>
        <v>0.29411764705882354</v>
      </c>
      <c r="AG925" s="5">
        <f>IF(SalesData[[#This Row],[Customers Visited]]=0,0,SalesData[[#This Row],[Test Drives]]/SalesData[[#This Row],[Customers Visited]])</f>
        <v>0.49180327868852458</v>
      </c>
      <c r="AH925" s="5">
        <f>IF(SalesData[[#This Row],[Customers Visited]]=0,0,SalesData[[#This Row],[Contracts Signed]]/SalesData[[#This Row],[Customers Visited]])</f>
        <v>0.10928961748633879</v>
      </c>
      <c r="AI925" s="6">
        <f>IF(SalesData[[#This Row],[Contracts Signed]]=0,0,SalesData[[#This Row],[Profit(€)]]/SalesData[[#This Row],[Contracts Signed]])</f>
        <v>16719</v>
      </c>
      <c r="AJ925" s="5" t="str">
        <f>TRIM(CLEAN(SalesData[[#This Row],[Retailer]]))</f>
        <v>Ruhr Auto Plaza</v>
      </c>
    </row>
    <row r="926" spans="1:36" ht="14.25" hidden="1" x14ac:dyDescent="0.2">
      <c r="A926" t="s">
        <v>1615</v>
      </c>
      <c r="B926" s="1">
        <v>46069</v>
      </c>
      <c r="C926" t="s">
        <v>62</v>
      </c>
      <c r="D926" t="s">
        <v>25</v>
      </c>
      <c r="E926" t="s">
        <v>26</v>
      </c>
      <c r="F926" t="s">
        <v>74</v>
      </c>
      <c r="G926" t="s">
        <v>75</v>
      </c>
      <c r="H926" t="s">
        <v>76</v>
      </c>
      <c r="I926" t="s">
        <v>104</v>
      </c>
      <c r="J926" t="s">
        <v>105</v>
      </c>
      <c r="K926" t="s">
        <v>91</v>
      </c>
      <c r="L926" t="s">
        <v>33</v>
      </c>
      <c r="M926" t="s">
        <v>47</v>
      </c>
      <c r="N926" t="s">
        <v>35</v>
      </c>
      <c r="O926" t="s">
        <v>70</v>
      </c>
      <c r="P926" t="s">
        <v>58</v>
      </c>
      <c r="Q926" t="s">
        <v>144</v>
      </c>
      <c r="R926">
        <v>396</v>
      </c>
      <c r="S926">
        <v>199</v>
      </c>
      <c r="T926">
        <v>125</v>
      </c>
      <c r="U926">
        <v>40</v>
      </c>
      <c r="V926" t="s">
        <v>6347</v>
      </c>
      <c r="W926">
        <v>32214</v>
      </c>
      <c r="X926" t="s">
        <v>319</v>
      </c>
      <c r="Y926">
        <v>28917</v>
      </c>
      <c r="Z926">
        <v>1288560</v>
      </c>
      <c r="AA926">
        <v>131880</v>
      </c>
      <c r="AB926" t="str">
        <f>(VLOOKUP(SalesData[[#This Row],[Month Number]],Reference!C$5:E$16,2,FALSE))</f>
        <v>Feb</v>
      </c>
      <c r="AC926">
        <f>MONTH(SalesData[[#This Row],[Date]])</f>
        <v>2</v>
      </c>
      <c r="AD926">
        <f>Reference!F$4</f>
        <v>2026</v>
      </c>
      <c r="AE926" t="str">
        <f>IF(OR(SalesData[[#This Row],[Day]]="Saturday",SalesData[[#This Row],[Day]]="Sunday"),"Weekend","Weekday")</f>
        <v>Weekday</v>
      </c>
      <c r="AF926" s="5">
        <f>IF(SalesData[[#This Row],[Contracts Offered]]=0,0,SalesData[[#This Row],[Contracts Signed]]/SalesData[[#This Row],[Contracts Offered]])</f>
        <v>0.32</v>
      </c>
      <c r="AG926" s="5">
        <f>IF(SalesData[[#This Row],[Customers Visited]]=0,0,SalesData[[#This Row],[Test Drives]]/SalesData[[#This Row],[Customers Visited]])</f>
        <v>0.50252525252525249</v>
      </c>
      <c r="AH926" s="5">
        <f>IF(SalesData[[#This Row],[Customers Visited]]=0,0,SalesData[[#This Row],[Contracts Signed]]/SalesData[[#This Row],[Customers Visited]])</f>
        <v>0.10101010101010101</v>
      </c>
      <c r="AI926" s="6">
        <f>IF(SalesData[[#This Row],[Contracts Signed]]=0,0,SalesData[[#This Row],[Profit(€)]]/SalesData[[#This Row],[Contracts Signed]])</f>
        <v>3297</v>
      </c>
      <c r="AJ926" s="5" t="str">
        <f>TRIM(CLEAN(SalesData[[#This Row],[Retailer]]))</f>
        <v>Stuttgart Auto Center</v>
      </c>
    </row>
    <row r="927" spans="1:36" ht="14.25" hidden="1" x14ac:dyDescent="0.2">
      <c r="A927" t="s">
        <v>1616</v>
      </c>
      <c r="B927" s="1">
        <v>46060</v>
      </c>
      <c r="C927" t="s">
        <v>24</v>
      </c>
      <c r="D927" t="s">
        <v>151</v>
      </c>
      <c r="E927" t="s">
        <v>42</v>
      </c>
      <c r="F927" t="s">
        <v>7649</v>
      </c>
      <c r="G927" t="s">
        <v>55</v>
      </c>
      <c r="H927" t="s">
        <v>55</v>
      </c>
      <c r="I927" t="s">
        <v>104</v>
      </c>
      <c r="J927" t="s">
        <v>7031</v>
      </c>
      <c r="K927" t="s">
        <v>66</v>
      </c>
      <c r="L927" t="s">
        <v>46</v>
      </c>
      <c r="M927" t="s">
        <v>47</v>
      </c>
      <c r="N927" t="s">
        <v>48</v>
      </c>
      <c r="O927" t="s">
        <v>70</v>
      </c>
      <c r="P927" t="s">
        <v>58</v>
      </c>
      <c r="Q927" t="s">
        <v>79</v>
      </c>
      <c r="R927">
        <v>474</v>
      </c>
      <c r="S927">
        <v>260</v>
      </c>
      <c r="T927">
        <v>153</v>
      </c>
      <c r="U927">
        <v>46</v>
      </c>
      <c r="V927" t="s">
        <v>3264</v>
      </c>
      <c r="W927">
        <v>28346</v>
      </c>
      <c r="X927" t="s">
        <v>5862</v>
      </c>
      <c r="Y927">
        <v>24781</v>
      </c>
      <c r="Z927">
        <v>1303916</v>
      </c>
      <c r="AA927">
        <v>163990</v>
      </c>
      <c r="AB927" t="str">
        <f>(VLOOKUP(SalesData[[#This Row],[Month Number]],Reference!C$5:E$16,2,FALSE))</f>
        <v>Feb</v>
      </c>
      <c r="AC927">
        <f>MONTH(SalesData[[#This Row],[Date]])</f>
        <v>2</v>
      </c>
      <c r="AD927">
        <f>Reference!F$4</f>
        <v>2026</v>
      </c>
      <c r="AE927" t="str">
        <f>IF(OR(SalesData[[#This Row],[Day]]="Saturday",SalesData[[#This Row],[Day]]="Sunday"),"Weekend","Weekday")</f>
        <v>Weekend</v>
      </c>
      <c r="AF927" s="5">
        <f>IF(SalesData[[#This Row],[Contracts Offered]]=0,0,SalesData[[#This Row],[Contracts Signed]]/SalesData[[#This Row],[Contracts Offered]])</f>
        <v>0.30065359477124182</v>
      </c>
      <c r="AG927" s="5">
        <f>IF(SalesData[[#This Row],[Customers Visited]]=0,0,SalesData[[#This Row],[Test Drives]]/SalesData[[#This Row],[Customers Visited]])</f>
        <v>0.54852320675105481</v>
      </c>
      <c r="AH927" s="5">
        <f>IF(SalesData[[#This Row],[Customers Visited]]=0,0,SalesData[[#This Row],[Contracts Signed]]/SalesData[[#This Row],[Customers Visited]])</f>
        <v>9.7046413502109699E-2</v>
      </c>
      <c r="AI927" s="6">
        <f>IF(SalesData[[#This Row],[Contracts Signed]]=0,0,SalesData[[#This Row],[Profit(€)]]/SalesData[[#This Row],[Contracts Signed]])</f>
        <v>3565</v>
      </c>
      <c r="AJ927" s="5" t="str">
        <f>TRIM(CLEAN(SalesData[[#This Row],[Retailer]]))</f>
        <v>Autohaus Berlin</v>
      </c>
    </row>
    <row r="928" spans="1:36" ht="14.25" hidden="1" x14ac:dyDescent="0.2">
      <c r="A928" t="s">
        <v>1617</v>
      </c>
      <c r="B928" s="1">
        <v>46064</v>
      </c>
      <c r="C928" t="s">
        <v>121</v>
      </c>
      <c r="D928" t="s">
        <v>82</v>
      </c>
      <c r="E928" t="s">
        <v>26</v>
      </c>
      <c r="F928" t="s">
        <v>7649</v>
      </c>
      <c r="G928" t="s">
        <v>55</v>
      </c>
      <c r="H928" t="s">
        <v>55</v>
      </c>
      <c r="I928" t="s">
        <v>116</v>
      </c>
      <c r="J928" t="s">
        <v>7026</v>
      </c>
      <c r="K928" t="s">
        <v>32</v>
      </c>
      <c r="L928" t="s">
        <v>46</v>
      </c>
      <c r="M928" t="s">
        <v>47</v>
      </c>
      <c r="N928" t="s">
        <v>35</v>
      </c>
      <c r="O928" t="s">
        <v>70</v>
      </c>
      <c r="P928" t="s">
        <v>71</v>
      </c>
      <c r="Q928" t="s">
        <v>118</v>
      </c>
      <c r="R928">
        <v>356</v>
      </c>
      <c r="S928">
        <v>181</v>
      </c>
      <c r="T928">
        <v>108</v>
      </c>
      <c r="U928">
        <v>29</v>
      </c>
      <c r="V928" t="s">
        <v>801</v>
      </c>
      <c r="W928">
        <v>20068</v>
      </c>
      <c r="X928" t="s">
        <v>1668</v>
      </c>
      <c r="Y928">
        <v>18400</v>
      </c>
      <c r="Z928">
        <v>581972</v>
      </c>
      <c r="AA928">
        <v>48372</v>
      </c>
      <c r="AB928" t="str">
        <f>(VLOOKUP(SalesData[[#This Row],[Month Number]],Reference!C$5:E$16,2,FALSE))</f>
        <v>Feb</v>
      </c>
      <c r="AC928">
        <f>MONTH(SalesData[[#This Row],[Date]])</f>
        <v>2</v>
      </c>
      <c r="AD928">
        <f>Reference!F$4</f>
        <v>2026</v>
      </c>
      <c r="AE928" t="str">
        <f>IF(OR(SalesData[[#This Row],[Day]]="Saturday",SalesData[[#This Row],[Day]]="Sunday"),"Weekend","Weekday")</f>
        <v>Weekday</v>
      </c>
      <c r="AF928" s="5">
        <f>IF(SalesData[[#This Row],[Contracts Offered]]=0,0,SalesData[[#This Row],[Contracts Signed]]/SalesData[[#This Row],[Contracts Offered]])</f>
        <v>0.26851851851851855</v>
      </c>
      <c r="AG928" s="5">
        <f>IF(SalesData[[#This Row],[Customers Visited]]=0,0,SalesData[[#This Row],[Test Drives]]/SalesData[[#This Row],[Customers Visited]])</f>
        <v>0.5084269662921348</v>
      </c>
      <c r="AH928" s="5">
        <f>IF(SalesData[[#This Row],[Customers Visited]]=0,0,SalesData[[#This Row],[Contracts Signed]]/SalesData[[#This Row],[Customers Visited]])</f>
        <v>8.1460674157303375E-2</v>
      </c>
      <c r="AI928" s="6">
        <f>IF(SalesData[[#This Row],[Contracts Signed]]=0,0,SalesData[[#This Row],[Profit(€)]]/SalesData[[#This Row],[Contracts Signed]])</f>
        <v>1668</v>
      </c>
      <c r="AJ928" s="5" t="str">
        <f>TRIM(CLEAN(SalesData[[#This Row],[Retailer]]))</f>
        <v>Autohaus Berlin</v>
      </c>
    </row>
    <row r="929" spans="1:36" ht="14.25" hidden="1" x14ac:dyDescent="0.2">
      <c r="A929" t="s">
        <v>1618</v>
      </c>
      <c r="B929" s="1">
        <v>46066</v>
      </c>
      <c r="C929" t="s">
        <v>121</v>
      </c>
      <c r="D929" t="s">
        <v>54</v>
      </c>
      <c r="E929" t="s">
        <v>26</v>
      </c>
      <c r="F929" t="s">
        <v>114</v>
      </c>
      <c r="G929" t="s">
        <v>115</v>
      </c>
      <c r="H929" t="s">
        <v>115</v>
      </c>
      <c r="I929" t="s">
        <v>64</v>
      </c>
      <c r="J929" t="s">
        <v>157</v>
      </c>
      <c r="K929" t="s">
        <v>91</v>
      </c>
      <c r="L929" t="s">
        <v>33</v>
      </c>
      <c r="M929" t="s">
        <v>87</v>
      </c>
      <c r="N929" t="s">
        <v>48</v>
      </c>
      <c r="O929" t="s">
        <v>70</v>
      </c>
      <c r="P929" t="s">
        <v>37</v>
      </c>
      <c r="Q929" t="s">
        <v>135</v>
      </c>
      <c r="R929">
        <v>176</v>
      </c>
      <c r="S929">
        <v>81</v>
      </c>
      <c r="T929">
        <v>63</v>
      </c>
      <c r="U929">
        <v>20</v>
      </c>
      <c r="V929" t="s">
        <v>6703</v>
      </c>
      <c r="W929">
        <v>69492</v>
      </c>
      <c r="X929" t="s">
        <v>7344</v>
      </c>
      <c r="Y929">
        <v>50130</v>
      </c>
      <c r="Z929">
        <v>1389840</v>
      </c>
      <c r="AA929">
        <v>387240</v>
      </c>
      <c r="AB929" t="str">
        <f>(VLOOKUP(SalesData[[#This Row],[Month Number]],Reference!C$5:E$16,2,FALSE))</f>
        <v>Feb</v>
      </c>
      <c r="AC929">
        <f>MONTH(SalesData[[#This Row],[Date]])</f>
        <v>2</v>
      </c>
      <c r="AD929">
        <f>Reference!F$4</f>
        <v>2026</v>
      </c>
      <c r="AE929" t="str">
        <f>IF(OR(SalesData[[#This Row],[Day]]="Saturday",SalesData[[#This Row],[Day]]="Sunday"),"Weekend","Weekday")</f>
        <v>Weekday</v>
      </c>
      <c r="AF929" s="5">
        <f>IF(SalesData[[#This Row],[Contracts Offered]]=0,0,SalesData[[#This Row],[Contracts Signed]]/SalesData[[#This Row],[Contracts Offered]])</f>
        <v>0.31746031746031744</v>
      </c>
      <c r="AG929" s="5">
        <f>IF(SalesData[[#This Row],[Customers Visited]]=0,0,SalesData[[#This Row],[Test Drives]]/SalesData[[#This Row],[Customers Visited]])</f>
        <v>0.46022727272727271</v>
      </c>
      <c r="AH929" s="5">
        <f>IF(SalesData[[#This Row],[Customers Visited]]=0,0,SalesData[[#This Row],[Contracts Signed]]/SalesData[[#This Row],[Customers Visited]])</f>
        <v>0.11363636363636363</v>
      </c>
      <c r="AI929" s="6">
        <f>IF(SalesData[[#This Row],[Contracts Signed]]=0,0,SalesData[[#This Row],[Profit(€)]]/SalesData[[#This Row],[Contracts Signed]])</f>
        <v>19362</v>
      </c>
      <c r="AJ929" s="5" t="str">
        <f>TRIM(CLEAN(SalesData[[#This Row],[Retailer]]))</f>
        <v>Elbe Drive</v>
      </c>
    </row>
    <row r="930" spans="1:36" ht="14.25" hidden="1" x14ac:dyDescent="0.2">
      <c r="A930" t="s">
        <v>1620</v>
      </c>
      <c r="B930" s="1">
        <v>46075</v>
      </c>
      <c r="C930" t="s">
        <v>53</v>
      </c>
      <c r="D930" t="s">
        <v>41</v>
      </c>
      <c r="E930" t="s">
        <v>42</v>
      </c>
      <c r="F930" t="s">
        <v>127</v>
      </c>
      <c r="G930" t="s">
        <v>128</v>
      </c>
      <c r="H930" t="s">
        <v>103</v>
      </c>
      <c r="I930" t="s">
        <v>116</v>
      </c>
      <c r="J930" t="s">
        <v>132</v>
      </c>
      <c r="K930" t="s">
        <v>91</v>
      </c>
      <c r="L930" t="s">
        <v>46</v>
      </c>
      <c r="M930" t="s">
        <v>34</v>
      </c>
      <c r="N930" t="s">
        <v>48</v>
      </c>
      <c r="O930" t="s">
        <v>36</v>
      </c>
      <c r="P930" t="s">
        <v>37</v>
      </c>
      <c r="Q930" t="s">
        <v>158</v>
      </c>
      <c r="R930">
        <v>370</v>
      </c>
      <c r="S930">
        <v>175</v>
      </c>
      <c r="T930">
        <v>108</v>
      </c>
      <c r="U930">
        <v>31</v>
      </c>
      <c r="V930" t="s">
        <v>4445</v>
      </c>
      <c r="W930">
        <v>23647</v>
      </c>
      <c r="X930" t="s">
        <v>1026</v>
      </c>
      <c r="Y930">
        <v>21472</v>
      </c>
      <c r="Z930">
        <v>733057</v>
      </c>
      <c r="AA930">
        <v>67425</v>
      </c>
      <c r="AB930" t="str">
        <f>(VLOOKUP(SalesData[[#This Row],[Month Number]],Reference!C$5:E$16,2,FALSE))</f>
        <v>Feb</v>
      </c>
      <c r="AC930">
        <f>MONTH(SalesData[[#This Row],[Date]])</f>
        <v>2</v>
      </c>
      <c r="AD930">
        <f>Reference!F$4</f>
        <v>2026</v>
      </c>
      <c r="AE930" t="str">
        <f>IF(OR(SalesData[[#This Row],[Day]]="Saturday",SalesData[[#This Row],[Day]]="Sunday"),"Weekend","Weekday")</f>
        <v>Weekend</v>
      </c>
      <c r="AF930" s="5">
        <f>IF(SalesData[[#This Row],[Contracts Offered]]=0,0,SalesData[[#This Row],[Contracts Signed]]/SalesData[[#This Row],[Contracts Offered]])</f>
        <v>0.28703703703703703</v>
      </c>
      <c r="AG930" s="5">
        <f>IF(SalesData[[#This Row],[Customers Visited]]=0,0,SalesData[[#This Row],[Test Drives]]/SalesData[[#This Row],[Customers Visited]])</f>
        <v>0.47297297297297297</v>
      </c>
      <c r="AH930" s="5">
        <f>IF(SalesData[[#This Row],[Customers Visited]]=0,0,SalesData[[#This Row],[Contracts Signed]]/SalesData[[#This Row],[Customers Visited]])</f>
        <v>8.3783783783783788E-2</v>
      </c>
      <c r="AI930" s="6">
        <f>IF(SalesData[[#This Row],[Contracts Signed]]=0,0,SalesData[[#This Row],[Profit(€)]]/SalesData[[#This Row],[Contracts Signed]])</f>
        <v>2175</v>
      </c>
      <c r="AJ930" s="5" t="str">
        <f>TRIM(CLEAN(SalesData[[#This Row],[Retailer]]))</f>
        <v>Rhein Auto Group</v>
      </c>
    </row>
    <row r="931" spans="1:36" ht="14.25" hidden="1" x14ac:dyDescent="0.2">
      <c r="A931" t="s">
        <v>1621</v>
      </c>
      <c r="B931" s="1">
        <v>46059</v>
      </c>
      <c r="C931" t="s">
        <v>24</v>
      </c>
      <c r="D931" t="s">
        <v>54</v>
      </c>
      <c r="E931" t="s">
        <v>26</v>
      </c>
      <c r="F931" t="s">
        <v>43</v>
      </c>
      <c r="G931" t="s">
        <v>44</v>
      </c>
      <c r="H931" t="s">
        <v>45</v>
      </c>
      <c r="I931" t="s">
        <v>104</v>
      </c>
      <c r="J931" t="s">
        <v>105</v>
      </c>
      <c r="K931" t="s">
        <v>91</v>
      </c>
      <c r="L931" t="s">
        <v>33</v>
      </c>
      <c r="M931" t="s">
        <v>47</v>
      </c>
      <c r="N931" t="s">
        <v>35</v>
      </c>
      <c r="O931" t="s">
        <v>70</v>
      </c>
      <c r="P931" t="s">
        <v>37</v>
      </c>
      <c r="Q931" t="s">
        <v>88</v>
      </c>
      <c r="R931">
        <v>311</v>
      </c>
      <c r="S931">
        <v>154</v>
      </c>
      <c r="T931">
        <v>107</v>
      </c>
      <c r="U931">
        <v>17</v>
      </c>
      <c r="V931" t="s">
        <v>1559</v>
      </c>
      <c r="W931">
        <v>25800</v>
      </c>
      <c r="X931" t="s">
        <v>498</v>
      </c>
      <c r="Y931">
        <v>22980</v>
      </c>
      <c r="Z931">
        <v>438600</v>
      </c>
      <c r="AA931">
        <v>47940</v>
      </c>
      <c r="AB931" t="str">
        <f>(VLOOKUP(SalesData[[#This Row],[Month Number]],Reference!C$5:E$16,2,FALSE))</f>
        <v>Feb</v>
      </c>
      <c r="AC931">
        <f>MONTH(SalesData[[#This Row],[Date]])</f>
        <v>2</v>
      </c>
      <c r="AD931">
        <f>Reference!F$4</f>
        <v>2026</v>
      </c>
      <c r="AE931" t="str">
        <f>IF(OR(SalesData[[#This Row],[Day]]="Saturday",SalesData[[#This Row],[Day]]="Sunday"),"Weekend","Weekday")</f>
        <v>Weekday</v>
      </c>
      <c r="AF931" s="5">
        <f>IF(SalesData[[#This Row],[Contracts Offered]]=0,0,SalesData[[#This Row],[Contracts Signed]]/SalesData[[#This Row],[Contracts Offered]])</f>
        <v>0.15887850467289719</v>
      </c>
      <c r="AG931" s="5">
        <f>IF(SalesData[[#This Row],[Customers Visited]]=0,0,SalesData[[#This Row],[Test Drives]]/SalesData[[#This Row],[Customers Visited]])</f>
        <v>0.49517684887459806</v>
      </c>
      <c r="AH931" s="5">
        <f>IF(SalesData[[#This Row],[Customers Visited]]=0,0,SalesData[[#This Row],[Contracts Signed]]/SalesData[[#This Row],[Customers Visited]])</f>
        <v>5.4662379421221867E-2</v>
      </c>
      <c r="AI931" s="6">
        <f>IF(SalesData[[#This Row],[Contracts Signed]]=0,0,SalesData[[#This Row],[Profit(€)]]/SalesData[[#This Row],[Contracts Signed]])</f>
        <v>2820</v>
      </c>
      <c r="AJ931" s="5" t="str">
        <f>TRIM(CLEAN(SalesData[[#This Row],[Retailer]]))</f>
        <v>Saxon Wheels</v>
      </c>
    </row>
    <row r="932" spans="1:36" ht="14.25" hidden="1" x14ac:dyDescent="0.2">
      <c r="A932" t="s">
        <v>1622</v>
      </c>
      <c r="B932" s="1">
        <v>46076</v>
      </c>
      <c r="C932" t="s">
        <v>53</v>
      </c>
      <c r="D932" t="s">
        <v>25</v>
      </c>
      <c r="E932" t="s">
        <v>26</v>
      </c>
      <c r="F932" t="s">
        <v>127</v>
      </c>
      <c r="G932" t="s">
        <v>128</v>
      </c>
      <c r="H932" t="s">
        <v>103</v>
      </c>
      <c r="I932" t="s">
        <v>64</v>
      </c>
      <c r="J932" t="s">
        <v>77</v>
      </c>
      <c r="K932" t="s">
        <v>91</v>
      </c>
      <c r="L932" t="s">
        <v>46</v>
      </c>
      <c r="M932" t="s">
        <v>87</v>
      </c>
      <c r="N932" t="s">
        <v>35</v>
      </c>
      <c r="O932" t="s">
        <v>70</v>
      </c>
      <c r="P932" t="s">
        <v>49</v>
      </c>
      <c r="Q932" t="s">
        <v>144</v>
      </c>
      <c r="R932">
        <v>262</v>
      </c>
      <c r="S932">
        <v>152</v>
      </c>
      <c r="T932">
        <v>102</v>
      </c>
      <c r="U932">
        <v>37</v>
      </c>
      <c r="V932" t="s">
        <v>6548</v>
      </c>
      <c r="W932">
        <v>71133</v>
      </c>
      <c r="X932" t="s">
        <v>7150</v>
      </c>
      <c r="Y932">
        <v>51814</v>
      </c>
      <c r="Z932">
        <v>2631921</v>
      </c>
      <c r="AA932">
        <v>714803</v>
      </c>
      <c r="AB932" t="str">
        <f>(VLOOKUP(SalesData[[#This Row],[Month Number]],Reference!C$5:E$16,2,FALSE))</f>
        <v>Feb</v>
      </c>
      <c r="AC932">
        <f>MONTH(SalesData[[#This Row],[Date]])</f>
        <v>2</v>
      </c>
      <c r="AD932">
        <f>Reference!F$4</f>
        <v>2026</v>
      </c>
      <c r="AE932" t="str">
        <f>IF(OR(SalesData[[#This Row],[Day]]="Saturday",SalesData[[#This Row],[Day]]="Sunday"),"Weekend","Weekday")</f>
        <v>Weekday</v>
      </c>
      <c r="AF932" s="5">
        <f>IF(SalesData[[#This Row],[Contracts Offered]]=0,0,SalesData[[#This Row],[Contracts Signed]]/SalesData[[#This Row],[Contracts Offered]])</f>
        <v>0.36274509803921567</v>
      </c>
      <c r="AG932" s="5">
        <f>IF(SalesData[[#This Row],[Customers Visited]]=0,0,SalesData[[#This Row],[Test Drives]]/SalesData[[#This Row],[Customers Visited]])</f>
        <v>0.58015267175572516</v>
      </c>
      <c r="AH932" s="5">
        <f>IF(SalesData[[#This Row],[Customers Visited]]=0,0,SalesData[[#This Row],[Contracts Signed]]/SalesData[[#This Row],[Customers Visited]])</f>
        <v>0.14122137404580154</v>
      </c>
      <c r="AI932" s="6">
        <f>IF(SalesData[[#This Row],[Contracts Signed]]=0,0,SalesData[[#This Row],[Profit(€)]]/SalesData[[#This Row],[Contracts Signed]])</f>
        <v>19319</v>
      </c>
      <c r="AJ932" s="5" t="str">
        <f>TRIM(CLEAN(SalesData[[#This Row],[Retailer]]))</f>
        <v>Rhein Auto Group</v>
      </c>
    </row>
    <row r="933" spans="1:36" ht="14.25" hidden="1" x14ac:dyDescent="0.2">
      <c r="A933" t="s">
        <v>1623</v>
      </c>
      <c r="B933" s="1">
        <v>46071</v>
      </c>
      <c r="C933" t="s">
        <v>62</v>
      </c>
      <c r="D933" t="s">
        <v>82</v>
      </c>
      <c r="E933" t="s">
        <v>26</v>
      </c>
      <c r="F933" t="s">
        <v>7649</v>
      </c>
      <c r="G933" t="s">
        <v>55</v>
      </c>
      <c r="H933" t="s">
        <v>55</v>
      </c>
      <c r="I933" t="s">
        <v>56</v>
      </c>
      <c r="J933" t="s">
        <v>57</v>
      </c>
      <c r="K933" t="s">
        <v>32</v>
      </c>
      <c r="L933" t="s">
        <v>46</v>
      </c>
      <c r="M933" t="s">
        <v>68</v>
      </c>
      <c r="N933" t="s">
        <v>69</v>
      </c>
      <c r="O933" t="s">
        <v>70</v>
      </c>
      <c r="P933" t="s">
        <v>71</v>
      </c>
      <c r="Q933" t="s">
        <v>88</v>
      </c>
      <c r="R933">
        <v>194</v>
      </c>
      <c r="S933">
        <v>101</v>
      </c>
      <c r="T933">
        <v>77</v>
      </c>
      <c r="U933">
        <v>23</v>
      </c>
      <c r="V933" t="s">
        <v>6942</v>
      </c>
      <c r="W933">
        <v>43958</v>
      </c>
      <c r="X933" t="s">
        <v>1101</v>
      </c>
      <c r="Y933">
        <v>33063</v>
      </c>
      <c r="Z933">
        <v>1011034</v>
      </c>
      <c r="AA933">
        <v>250585</v>
      </c>
      <c r="AB933" t="str">
        <f>(VLOOKUP(SalesData[[#This Row],[Month Number]],Reference!C$5:E$16,2,FALSE))</f>
        <v>Feb</v>
      </c>
      <c r="AC933">
        <f>MONTH(SalesData[[#This Row],[Date]])</f>
        <v>2</v>
      </c>
      <c r="AD933">
        <f>Reference!F$4</f>
        <v>2026</v>
      </c>
      <c r="AE933" t="str">
        <f>IF(OR(SalesData[[#This Row],[Day]]="Saturday",SalesData[[#This Row],[Day]]="Sunday"),"Weekend","Weekday")</f>
        <v>Weekday</v>
      </c>
      <c r="AF933" s="5">
        <f>IF(SalesData[[#This Row],[Contracts Offered]]=0,0,SalesData[[#This Row],[Contracts Signed]]/SalesData[[#This Row],[Contracts Offered]])</f>
        <v>0.29870129870129869</v>
      </c>
      <c r="AG933" s="5">
        <f>IF(SalesData[[#This Row],[Customers Visited]]=0,0,SalesData[[#This Row],[Test Drives]]/SalesData[[#This Row],[Customers Visited]])</f>
        <v>0.52061855670103097</v>
      </c>
      <c r="AH933" s="5">
        <f>IF(SalesData[[#This Row],[Customers Visited]]=0,0,SalesData[[#This Row],[Contracts Signed]]/SalesData[[#This Row],[Customers Visited]])</f>
        <v>0.11855670103092783</v>
      </c>
      <c r="AI933" s="6">
        <f>IF(SalesData[[#This Row],[Contracts Signed]]=0,0,SalesData[[#This Row],[Profit(€)]]/SalesData[[#This Row],[Contracts Signed]])</f>
        <v>10895</v>
      </c>
      <c r="AJ933" s="5" t="str">
        <f>TRIM(CLEAN(SalesData[[#This Row],[Retailer]]))</f>
        <v>Autohaus Berlin</v>
      </c>
    </row>
    <row r="934" spans="1:36" ht="14.25" hidden="1" x14ac:dyDescent="0.2">
      <c r="A934" t="s">
        <v>1625</v>
      </c>
      <c r="B934" s="1">
        <v>46059</v>
      </c>
      <c r="C934" t="s">
        <v>24</v>
      </c>
      <c r="D934" t="s">
        <v>54</v>
      </c>
      <c r="E934" t="s">
        <v>26</v>
      </c>
      <c r="F934" t="s">
        <v>114</v>
      </c>
      <c r="G934" t="s">
        <v>115</v>
      </c>
      <c r="H934" t="s">
        <v>115</v>
      </c>
      <c r="I934" t="s">
        <v>104</v>
      </c>
      <c r="J934" t="s">
        <v>143</v>
      </c>
      <c r="K934" t="s">
        <v>32</v>
      </c>
      <c r="L934" t="s">
        <v>67</v>
      </c>
      <c r="M934" t="s">
        <v>87</v>
      </c>
      <c r="N934" t="s">
        <v>48</v>
      </c>
      <c r="O934" t="s">
        <v>70</v>
      </c>
      <c r="P934" t="s">
        <v>37</v>
      </c>
      <c r="Q934" t="s">
        <v>172</v>
      </c>
      <c r="R934">
        <v>312</v>
      </c>
      <c r="S934">
        <v>145</v>
      </c>
      <c r="T934">
        <v>93</v>
      </c>
      <c r="U934">
        <v>22</v>
      </c>
      <c r="V934" t="s">
        <v>1235</v>
      </c>
      <c r="W934">
        <v>32632</v>
      </c>
      <c r="X934" t="s">
        <v>770</v>
      </c>
      <c r="Y934">
        <v>28313</v>
      </c>
      <c r="Z934">
        <v>717904</v>
      </c>
      <c r="AA934">
        <v>95018</v>
      </c>
      <c r="AB934" t="str">
        <f>(VLOOKUP(SalesData[[#This Row],[Month Number]],Reference!C$5:E$16,2,FALSE))</f>
        <v>Feb</v>
      </c>
      <c r="AC934">
        <f>MONTH(SalesData[[#This Row],[Date]])</f>
        <v>2</v>
      </c>
      <c r="AD934">
        <f>Reference!F$4</f>
        <v>2026</v>
      </c>
      <c r="AE934" t="str">
        <f>IF(OR(SalesData[[#This Row],[Day]]="Saturday",SalesData[[#This Row],[Day]]="Sunday"),"Weekend","Weekday")</f>
        <v>Weekday</v>
      </c>
      <c r="AF934" s="5">
        <f>IF(SalesData[[#This Row],[Contracts Offered]]=0,0,SalesData[[#This Row],[Contracts Signed]]/SalesData[[#This Row],[Contracts Offered]])</f>
        <v>0.23655913978494625</v>
      </c>
      <c r="AG934" s="5">
        <f>IF(SalesData[[#This Row],[Customers Visited]]=0,0,SalesData[[#This Row],[Test Drives]]/SalesData[[#This Row],[Customers Visited]])</f>
        <v>0.46474358974358976</v>
      </c>
      <c r="AH934" s="5">
        <f>IF(SalesData[[#This Row],[Customers Visited]]=0,0,SalesData[[#This Row],[Contracts Signed]]/SalesData[[#This Row],[Customers Visited]])</f>
        <v>7.0512820512820512E-2</v>
      </c>
      <c r="AI934" s="6">
        <f>IF(SalesData[[#This Row],[Contracts Signed]]=0,0,SalesData[[#This Row],[Profit(€)]]/SalesData[[#This Row],[Contracts Signed]])</f>
        <v>4319</v>
      </c>
      <c r="AJ934" s="5" t="str">
        <f>TRIM(CLEAN(SalesData[[#This Row],[Retailer]]))</f>
        <v>Elbe Drive</v>
      </c>
    </row>
    <row r="935" spans="1:36" ht="14.25" hidden="1" x14ac:dyDescent="0.2">
      <c r="A935" t="s">
        <v>1626</v>
      </c>
      <c r="B935" s="1">
        <v>46066</v>
      </c>
      <c r="C935" t="s">
        <v>121</v>
      </c>
      <c r="D935" t="s">
        <v>54</v>
      </c>
      <c r="E935" t="s">
        <v>26</v>
      </c>
      <c r="F935" t="s">
        <v>43</v>
      </c>
      <c r="G935" t="s">
        <v>44</v>
      </c>
      <c r="H935" t="s">
        <v>45</v>
      </c>
      <c r="I935" t="s">
        <v>104</v>
      </c>
      <c r="J935" t="s">
        <v>140</v>
      </c>
      <c r="K935" t="s">
        <v>78</v>
      </c>
      <c r="L935" t="s">
        <v>46</v>
      </c>
      <c r="M935" t="s">
        <v>68</v>
      </c>
      <c r="N935" t="s">
        <v>69</v>
      </c>
      <c r="O935" t="s">
        <v>70</v>
      </c>
      <c r="P935" t="s">
        <v>49</v>
      </c>
      <c r="Q935" t="s">
        <v>152</v>
      </c>
      <c r="R935">
        <v>467</v>
      </c>
      <c r="S935">
        <v>251</v>
      </c>
      <c r="T935">
        <v>180</v>
      </c>
      <c r="U935">
        <v>27</v>
      </c>
      <c r="V935" t="s">
        <v>7345</v>
      </c>
      <c r="W935">
        <v>27578</v>
      </c>
      <c r="X935" t="s">
        <v>521</v>
      </c>
      <c r="Y935">
        <v>24723</v>
      </c>
      <c r="Z935">
        <v>744606</v>
      </c>
      <c r="AA935">
        <v>77085</v>
      </c>
      <c r="AB935" t="str">
        <f>(VLOOKUP(SalesData[[#This Row],[Month Number]],Reference!C$5:E$16,2,FALSE))</f>
        <v>Feb</v>
      </c>
      <c r="AC935">
        <f>MONTH(SalesData[[#This Row],[Date]])</f>
        <v>2</v>
      </c>
      <c r="AD935">
        <f>Reference!F$4</f>
        <v>2026</v>
      </c>
      <c r="AE935" t="str">
        <f>IF(OR(SalesData[[#This Row],[Day]]="Saturday",SalesData[[#This Row],[Day]]="Sunday"),"Weekend","Weekday")</f>
        <v>Weekday</v>
      </c>
      <c r="AF935" s="5">
        <f>IF(SalesData[[#This Row],[Contracts Offered]]=0,0,SalesData[[#This Row],[Contracts Signed]]/SalesData[[#This Row],[Contracts Offered]])</f>
        <v>0.15</v>
      </c>
      <c r="AG935" s="5">
        <f>IF(SalesData[[#This Row],[Customers Visited]]=0,0,SalesData[[#This Row],[Test Drives]]/SalesData[[#This Row],[Customers Visited]])</f>
        <v>0.53747323340471087</v>
      </c>
      <c r="AH935" s="5">
        <f>IF(SalesData[[#This Row],[Customers Visited]]=0,0,SalesData[[#This Row],[Contracts Signed]]/SalesData[[#This Row],[Customers Visited]])</f>
        <v>5.7815845824411134E-2</v>
      </c>
      <c r="AI935" s="6">
        <f>IF(SalesData[[#This Row],[Contracts Signed]]=0,0,SalesData[[#This Row],[Profit(€)]]/SalesData[[#This Row],[Contracts Signed]])</f>
        <v>2855</v>
      </c>
      <c r="AJ935" s="5" t="str">
        <f>TRIM(CLEAN(SalesData[[#This Row],[Retailer]]))</f>
        <v>Saxon Wheels</v>
      </c>
    </row>
    <row r="936" spans="1:36" ht="14.25" hidden="1" x14ac:dyDescent="0.2">
      <c r="A936" t="s">
        <v>1627</v>
      </c>
      <c r="B936" s="1">
        <v>46055</v>
      </c>
      <c r="C936" t="s">
        <v>24</v>
      </c>
      <c r="D936" t="s">
        <v>25</v>
      </c>
      <c r="E936" t="s">
        <v>26</v>
      </c>
      <c r="F936" t="s">
        <v>101</v>
      </c>
      <c r="G936" t="s">
        <v>102</v>
      </c>
      <c r="H936" t="s">
        <v>103</v>
      </c>
      <c r="I936" t="s">
        <v>56</v>
      </c>
      <c r="J936" t="s">
        <v>97</v>
      </c>
      <c r="K936" t="s">
        <v>78</v>
      </c>
      <c r="L936" t="s">
        <v>33</v>
      </c>
      <c r="M936" t="s">
        <v>47</v>
      </c>
      <c r="N936" t="s">
        <v>35</v>
      </c>
      <c r="O936" t="s">
        <v>70</v>
      </c>
      <c r="P936" t="s">
        <v>49</v>
      </c>
      <c r="Q936" t="s">
        <v>152</v>
      </c>
      <c r="R936">
        <v>212</v>
      </c>
      <c r="S936">
        <v>106</v>
      </c>
      <c r="T936">
        <v>72</v>
      </c>
      <c r="U936">
        <v>22</v>
      </c>
      <c r="V936" t="s">
        <v>6555</v>
      </c>
      <c r="W936">
        <v>52638</v>
      </c>
      <c r="X936" t="s">
        <v>7171</v>
      </c>
      <c r="Y936">
        <v>41199</v>
      </c>
      <c r="Z936">
        <v>1158036</v>
      </c>
      <c r="AA936">
        <v>251658</v>
      </c>
      <c r="AB936" t="str">
        <f>(VLOOKUP(SalesData[[#This Row],[Month Number]],Reference!C$5:E$16,2,FALSE))</f>
        <v>Feb</v>
      </c>
      <c r="AC936">
        <f>MONTH(SalesData[[#This Row],[Date]])</f>
        <v>2</v>
      </c>
      <c r="AD936">
        <f>Reference!F$4</f>
        <v>2026</v>
      </c>
      <c r="AE936" t="str">
        <f>IF(OR(SalesData[[#This Row],[Day]]="Saturday",SalesData[[#This Row],[Day]]="Sunday"),"Weekend","Weekday")</f>
        <v>Weekday</v>
      </c>
      <c r="AF936" s="5">
        <f>IF(SalesData[[#This Row],[Contracts Offered]]=0,0,SalesData[[#This Row],[Contracts Signed]]/SalesData[[#This Row],[Contracts Offered]])</f>
        <v>0.30555555555555558</v>
      </c>
      <c r="AG936" s="5">
        <f>IF(SalesData[[#This Row],[Customers Visited]]=0,0,SalesData[[#This Row],[Test Drives]]/SalesData[[#This Row],[Customers Visited]])</f>
        <v>0.5</v>
      </c>
      <c r="AH936" s="5">
        <f>IF(SalesData[[#This Row],[Customers Visited]]=0,0,SalesData[[#This Row],[Contracts Signed]]/SalesData[[#This Row],[Customers Visited]])</f>
        <v>0.10377358490566038</v>
      </c>
      <c r="AI936" s="6">
        <f>IF(SalesData[[#This Row],[Contracts Signed]]=0,0,SalesData[[#This Row],[Profit(€)]]/SalesData[[#This Row],[Contracts Signed]])</f>
        <v>11439</v>
      </c>
      <c r="AJ936" s="5" t="str">
        <f>TRIM(CLEAN(SalesData[[#This Row],[Retailer]]))</f>
        <v>Ruhr Auto Plaza</v>
      </c>
    </row>
    <row r="937" spans="1:36" ht="14.25" hidden="1" x14ac:dyDescent="0.2">
      <c r="A937" t="s">
        <v>1629</v>
      </c>
      <c r="B937" s="1">
        <v>46072</v>
      </c>
      <c r="C937" t="s">
        <v>62</v>
      </c>
      <c r="D937" t="s">
        <v>100</v>
      </c>
      <c r="E937" t="s">
        <v>26</v>
      </c>
      <c r="F937" t="s">
        <v>7649</v>
      </c>
      <c r="G937" t="s">
        <v>55</v>
      </c>
      <c r="H937" t="s">
        <v>55</v>
      </c>
      <c r="I937" t="s">
        <v>64</v>
      </c>
      <c r="J937" t="s">
        <v>65</v>
      </c>
      <c r="K937" t="s">
        <v>78</v>
      </c>
      <c r="L937" t="s">
        <v>33</v>
      </c>
      <c r="M937" t="s">
        <v>68</v>
      </c>
      <c r="N937" t="s">
        <v>69</v>
      </c>
      <c r="O937" t="s">
        <v>70</v>
      </c>
      <c r="P937" t="s">
        <v>71</v>
      </c>
      <c r="Q937" t="s">
        <v>50</v>
      </c>
      <c r="R937">
        <v>213</v>
      </c>
      <c r="S937">
        <v>119</v>
      </c>
      <c r="T937">
        <v>89</v>
      </c>
      <c r="U937">
        <v>31</v>
      </c>
      <c r="V937" t="s">
        <v>6499</v>
      </c>
      <c r="W937">
        <v>62639</v>
      </c>
      <c r="X937" t="s">
        <v>7135</v>
      </c>
      <c r="Y937">
        <v>48947</v>
      </c>
      <c r="Z937">
        <v>1941809</v>
      </c>
      <c r="AA937">
        <v>424452</v>
      </c>
      <c r="AB937" t="str">
        <f>(VLOOKUP(SalesData[[#This Row],[Month Number]],Reference!C$5:E$16,2,FALSE))</f>
        <v>Feb</v>
      </c>
      <c r="AC937">
        <f>MONTH(SalesData[[#This Row],[Date]])</f>
        <v>2</v>
      </c>
      <c r="AD937">
        <f>Reference!F$4</f>
        <v>2026</v>
      </c>
      <c r="AE937" t="str">
        <f>IF(OR(SalesData[[#This Row],[Day]]="Saturday",SalesData[[#This Row],[Day]]="Sunday"),"Weekend","Weekday")</f>
        <v>Weekday</v>
      </c>
      <c r="AF937" s="5">
        <f>IF(SalesData[[#This Row],[Contracts Offered]]=0,0,SalesData[[#This Row],[Contracts Signed]]/SalesData[[#This Row],[Contracts Offered]])</f>
        <v>0.34831460674157305</v>
      </c>
      <c r="AG937" s="5">
        <f>IF(SalesData[[#This Row],[Customers Visited]]=0,0,SalesData[[#This Row],[Test Drives]]/SalesData[[#This Row],[Customers Visited]])</f>
        <v>0.55868544600938963</v>
      </c>
      <c r="AH937" s="5">
        <f>IF(SalesData[[#This Row],[Customers Visited]]=0,0,SalesData[[#This Row],[Contracts Signed]]/SalesData[[#This Row],[Customers Visited]])</f>
        <v>0.14553990610328638</v>
      </c>
      <c r="AI937" s="6">
        <f>IF(SalesData[[#This Row],[Contracts Signed]]=0,0,SalesData[[#This Row],[Profit(€)]]/SalesData[[#This Row],[Contracts Signed]])</f>
        <v>13692</v>
      </c>
      <c r="AJ937" s="5" t="str">
        <f>TRIM(CLEAN(SalesData[[#This Row],[Retailer]]))</f>
        <v>Autohaus Berlin</v>
      </c>
    </row>
    <row r="938" spans="1:36" ht="14.25" x14ac:dyDescent="0.2">
      <c r="A938" t="s">
        <v>1630</v>
      </c>
      <c r="B938" s="1">
        <v>46076</v>
      </c>
      <c r="C938" t="s">
        <v>53</v>
      </c>
      <c r="D938" t="s">
        <v>25</v>
      </c>
      <c r="E938" t="s">
        <v>26</v>
      </c>
      <c r="F938" t="s">
        <v>127</v>
      </c>
      <c r="G938" t="s">
        <v>128</v>
      </c>
      <c r="H938" t="s">
        <v>103</v>
      </c>
      <c r="I938" t="s">
        <v>30</v>
      </c>
      <c r="J938" t="s">
        <v>86</v>
      </c>
      <c r="K938" t="s">
        <v>91</v>
      </c>
      <c r="L938" t="s">
        <v>33</v>
      </c>
      <c r="M938" t="s">
        <v>47</v>
      </c>
      <c r="N938" t="s">
        <v>35</v>
      </c>
      <c r="O938" t="s">
        <v>70</v>
      </c>
      <c r="P938" t="s">
        <v>58</v>
      </c>
      <c r="Q938" t="s">
        <v>79</v>
      </c>
      <c r="R938">
        <v>152</v>
      </c>
      <c r="S938">
        <v>86</v>
      </c>
      <c r="T938">
        <v>62</v>
      </c>
      <c r="U938">
        <v>25</v>
      </c>
      <c r="V938" t="s">
        <v>6498</v>
      </c>
      <c r="W938">
        <v>57458</v>
      </c>
      <c r="X938" t="s">
        <v>7343</v>
      </c>
      <c r="Y938">
        <v>44303</v>
      </c>
      <c r="Z938">
        <v>1436450</v>
      </c>
      <c r="AA938">
        <v>328875</v>
      </c>
      <c r="AB938" t="str">
        <f>(VLOOKUP(SalesData[[#This Row],[Month Number]],Reference!C$5:E$16,2,FALSE))</f>
        <v>Feb</v>
      </c>
      <c r="AC938">
        <f>MONTH(SalesData[[#This Row],[Date]])</f>
        <v>2</v>
      </c>
      <c r="AD938">
        <f>Reference!F$4</f>
        <v>2026</v>
      </c>
      <c r="AE938" t="str">
        <f>IF(OR(SalesData[[#This Row],[Day]]="Saturday",SalesData[[#This Row],[Day]]="Sunday"),"Weekend","Weekday")</f>
        <v>Weekday</v>
      </c>
      <c r="AF938" s="5">
        <f>IF(SalesData[[#This Row],[Contracts Offered]]=0,0,SalesData[[#This Row],[Contracts Signed]]/SalesData[[#This Row],[Contracts Offered]])</f>
        <v>0.40322580645161288</v>
      </c>
      <c r="AG938" s="5">
        <f>IF(SalesData[[#This Row],[Customers Visited]]=0,0,SalesData[[#This Row],[Test Drives]]/SalesData[[#This Row],[Customers Visited]])</f>
        <v>0.56578947368421051</v>
      </c>
      <c r="AH938" s="5">
        <f>IF(SalesData[[#This Row],[Customers Visited]]=0,0,SalesData[[#This Row],[Contracts Signed]]/SalesData[[#This Row],[Customers Visited]])</f>
        <v>0.16447368421052633</v>
      </c>
      <c r="AI938" s="6">
        <f>IF(SalesData[[#This Row],[Contracts Signed]]=0,0,SalesData[[#This Row],[Profit(€)]]/SalesData[[#This Row],[Contracts Signed]])</f>
        <v>13155</v>
      </c>
      <c r="AJ938" s="5" t="str">
        <f>TRIM(CLEAN(SalesData[[#This Row],[Retailer]]))</f>
        <v>Rhein Auto Group</v>
      </c>
    </row>
    <row r="939" spans="1:36" ht="14.25" x14ac:dyDescent="0.2">
      <c r="A939" t="s">
        <v>1631</v>
      </c>
      <c r="B939" s="1">
        <v>46081</v>
      </c>
      <c r="C939" t="s">
        <v>53</v>
      </c>
      <c r="D939" t="s">
        <v>151</v>
      </c>
      <c r="E939" t="s">
        <v>42</v>
      </c>
      <c r="F939" t="s">
        <v>43</v>
      </c>
      <c r="G939" t="s">
        <v>44</v>
      </c>
      <c r="H939" t="s">
        <v>45</v>
      </c>
      <c r="I939" t="s">
        <v>30</v>
      </c>
      <c r="J939" t="s">
        <v>7075</v>
      </c>
      <c r="K939" t="s">
        <v>66</v>
      </c>
      <c r="L939" t="s">
        <v>33</v>
      </c>
      <c r="M939" t="s">
        <v>68</v>
      </c>
      <c r="N939" t="s">
        <v>35</v>
      </c>
      <c r="O939" t="s">
        <v>36</v>
      </c>
      <c r="P939" t="s">
        <v>37</v>
      </c>
      <c r="Q939" t="s">
        <v>169</v>
      </c>
      <c r="R939">
        <v>148</v>
      </c>
      <c r="S939">
        <v>87</v>
      </c>
      <c r="T939">
        <v>65</v>
      </c>
      <c r="U939">
        <v>21</v>
      </c>
      <c r="V939" t="s">
        <v>6659</v>
      </c>
      <c r="W939">
        <v>54525</v>
      </c>
      <c r="X939" t="s">
        <v>7346</v>
      </c>
      <c r="Y939">
        <v>40138</v>
      </c>
      <c r="Z939">
        <v>1145025</v>
      </c>
      <c r="AA939">
        <v>302127</v>
      </c>
      <c r="AB939" t="str">
        <f>(VLOOKUP(SalesData[[#This Row],[Month Number]],Reference!C$5:E$16,2,FALSE))</f>
        <v>Feb</v>
      </c>
      <c r="AC939">
        <f>MONTH(SalesData[[#This Row],[Date]])</f>
        <v>2</v>
      </c>
      <c r="AD939">
        <f>Reference!F$4</f>
        <v>2026</v>
      </c>
      <c r="AE939" t="str">
        <f>IF(OR(SalesData[[#This Row],[Day]]="Saturday",SalesData[[#This Row],[Day]]="Sunday"),"Weekend","Weekday")</f>
        <v>Weekend</v>
      </c>
      <c r="AF939" s="5">
        <f>IF(SalesData[[#This Row],[Contracts Offered]]=0,0,SalesData[[#This Row],[Contracts Signed]]/SalesData[[#This Row],[Contracts Offered]])</f>
        <v>0.32307692307692309</v>
      </c>
      <c r="AG939" s="5">
        <f>IF(SalesData[[#This Row],[Customers Visited]]=0,0,SalesData[[#This Row],[Test Drives]]/SalesData[[#This Row],[Customers Visited]])</f>
        <v>0.58783783783783783</v>
      </c>
      <c r="AH939" s="5">
        <f>IF(SalesData[[#This Row],[Customers Visited]]=0,0,SalesData[[#This Row],[Contracts Signed]]/SalesData[[#This Row],[Customers Visited]])</f>
        <v>0.14189189189189189</v>
      </c>
      <c r="AI939" s="6">
        <f>IF(SalesData[[#This Row],[Contracts Signed]]=0,0,SalesData[[#This Row],[Profit(€)]]/SalesData[[#This Row],[Contracts Signed]])</f>
        <v>14387</v>
      </c>
      <c r="AJ939" s="5" t="str">
        <f>TRIM(CLEAN(SalesData[[#This Row],[Retailer]]))</f>
        <v>Saxon Wheels</v>
      </c>
    </row>
    <row r="940" spans="1:36" ht="14.25" x14ac:dyDescent="0.2">
      <c r="A940" t="s">
        <v>1633</v>
      </c>
      <c r="B940" s="1">
        <v>46055</v>
      </c>
      <c r="C940" t="s">
        <v>24</v>
      </c>
      <c r="D940" t="s">
        <v>25</v>
      </c>
      <c r="E940" t="s">
        <v>26</v>
      </c>
      <c r="F940" t="s">
        <v>127</v>
      </c>
      <c r="G940" t="s">
        <v>128</v>
      </c>
      <c r="H940" t="s">
        <v>103</v>
      </c>
      <c r="I940" t="s">
        <v>30</v>
      </c>
      <c r="J940" t="s">
        <v>166</v>
      </c>
      <c r="K940" t="s">
        <v>78</v>
      </c>
      <c r="L940" t="s">
        <v>46</v>
      </c>
      <c r="M940" t="s">
        <v>68</v>
      </c>
      <c r="N940" t="s">
        <v>69</v>
      </c>
      <c r="O940" t="s">
        <v>36</v>
      </c>
      <c r="P940" t="s">
        <v>37</v>
      </c>
      <c r="Q940" t="s">
        <v>240</v>
      </c>
      <c r="R940">
        <v>155</v>
      </c>
      <c r="S940">
        <v>91</v>
      </c>
      <c r="T940">
        <v>64</v>
      </c>
      <c r="U940">
        <v>25</v>
      </c>
      <c r="V940" t="s">
        <v>7162</v>
      </c>
      <c r="W940">
        <v>59077</v>
      </c>
      <c r="X940" t="s">
        <v>7347</v>
      </c>
      <c r="Y940">
        <v>43790</v>
      </c>
      <c r="Z940">
        <v>1476925</v>
      </c>
      <c r="AA940">
        <v>382175</v>
      </c>
      <c r="AB940" t="str">
        <f>(VLOOKUP(SalesData[[#This Row],[Month Number]],Reference!C$5:E$16,2,FALSE))</f>
        <v>Feb</v>
      </c>
      <c r="AC940">
        <f>MONTH(SalesData[[#This Row],[Date]])</f>
        <v>2</v>
      </c>
      <c r="AD940">
        <f>Reference!F$4</f>
        <v>2026</v>
      </c>
      <c r="AE940" t="str">
        <f>IF(OR(SalesData[[#This Row],[Day]]="Saturday",SalesData[[#This Row],[Day]]="Sunday"),"Weekend","Weekday")</f>
        <v>Weekday</v>
      </c>
      <c r="AF940" s="5">
        <f>IF(SalesData[[#This Row],[Contracts Offered]]=0,0,SalesData[[#This Row],[Contracts Signed]]/SalesData[[#This Row],[Contracts Offered]])</f>
        <v>0.390625</v>
      </c>
      <c r="AG940" s="5">
        <f>IF(SalesData[[#This Row],[Customers Visited]]=0,0,SalesData[[#This Row],[Test Drives]]/SalesData[[#This Row],[Customers Visited]])</f>
        <v>0.58709677419354833</v>
      </c>
      <c r="AH940" s="5">
        <f>IF(SalesData[[#This Row],[Customers Visited]]=0,0,SalesData[[#This Row],[Contracts Signed]]/SalesData[[#This Row],[Customers Visited]])</f>
        <v>0.16129032258064516</v>
      </c>
      <c r="AI940" s="6">
        <f>IF(SalesData[[#This Row],[Contracts Signed]]=0,0,SalesData[[#This Row],[Profit(€)]]/SalesData[[#This Row],[Contracts Signed]])</f>
        <v>15287</v>
      </c>
      <c r="AJ940" s="5" t="str">
        <f>TRIM(CLEAN(SalesData[[#This Row],[Retailer]]))</f>
        <v>Rhein Auto Group</v>
      </c>
    </row>
    <row r="941" spans="1:36" ht="14.25" hidden="1" x14ac:dyDescent="0.2">
      <c r="A941" t="s">
        <v>1634</v>
      </c>
      <c r="B941" s="1">
        <v>46055</v>
      </c>
      <c r="C941" t="s">
        <v>24</v>
      </c>
      <c r="D941" t="s">
        <v>25</v>
      </c>
      <c r="E941" t="s">
        <v>26</v>
      </c>
      <c r="F941" t="s">
        <v>94</v>
      </c>
      <c r="G941" t="s">
        <v>95</v>
      </c>
      <c r="H941" t="s">
        <v>96</v>
      </c>
      <c r="I941" t="s">
        <v>104</v>
      </c>
      <c r="J941" t="s">
        <v>7031</v>
      </c>
      <c r="K941" t="s">
        <v>32</v>
      </c>
      <c r="L941" t="s">
        <v>46</v>
      </c>
      <c r="M941" t="s">
        <v>47</v>
      </c>
      <c r="N941" t="s">
        <v>69</v>
      </c>
      <c r="O941" t="s">
        <v>70</v>
      </c>
      <c r="P941" t="s">
        <v>49</v>
      </c>
      <c r="Q941" t="s">
        <v>172</v>
      </c>
      <c r="R941">
        <v>338</v>
      </c>
      <c r="S941">
        <v>173</v>
      </c>
      <c r="T941">
        <v>107</v>
      </c>
      <c r="U941">
        <v>26</v>
      </c>
      <c r="V941" t="s">
        <v>960</v>
      </c>
      <c r="W941">
        <v>30265</v>
      </c>
      <c r="X941" t="s">
        <v>3082</v>
      </c>
      <c r="Y941">
        <v>27260</v>
      </c>
      <c r="Z941">
        <v>786890</v>
      </c>
      <c r="AA941">
        <v>78130</v>
      </c>
      <c r="AB941" t="str">
        <f>(VLOOKUP(SalesData[[#This Row],[Month Number]],Reference!C$5:E$16,2,FALSE))</f>
        <v>Feb</v>
      </c>
      <c r="AC941">
        <f>MONTH(SalesData[[#This Row],[Date]])</f>
        <v>2</v>
      </c>
      <c r="AD941">
        <f>Reference!F$4</f>
        <v>2026</v>
      </c>
      <c r="AE941" t="str">
        <f>IF(OR(SalesData[[#This Row],[Day]]="Saturday",SalesData[[#This Row],[Day]]="Sunday"),"Weekend","Weekday")</f>
        <v>Weekday</v>
      </c>
      <c r="AF941" s="5">
        <f>IF(SalesData[[#This Row],[Contracts Offered]]=0,0,SalesData[[#This Row],[Contracts Signed]]/SalesData[[#This Row],[Contracts Offered]])</f>
        <v>0.24299065420560748</v>
      </c>
      <c r="AG941" s="5">
        <f>IF(SalesData[[#This Row],[Customers Visited]]=0,0,SalesData[[#This Row],[Test Drives]]/SalesData[[#This Row],[Customers Visited]])</f>
        <v>0.51183431952662717</v>
      </c>
      <c r="AH941" s="5">
        <f>IF(SalesData[[#This Row],[Customers Visited]]=0,0,SalesData[[#This Row],[Contracts Signed]]/SalesData[[#This Row],[Customers Visited]])</f>
        <v>7.6923076923076927E-2</v>
      </c>
      <c r="AI941" s="6">
        <f>IF(SalesData[[#This Row],[Contracts Signed]]=0,0,SalesData[[#This Row],[Profit(€)]]/SalesData[[#This Row],[Contracts Signed]])</f>
        <v>3005</v>
      </c>
      <c r="AJ941" s="5" t="str">
        <f>TRIM(CLEAN(SalesData[[#This Row],[Retailer]]))</f>
        <v>Bavaria Motors</v>
      </c>
    </row>
    <row r="942" spans="1:36" ht="14.25" hidden="1" x14ac:dyDescent="0.2">
      <c r="A942" t="s">
        <v>1635</v>
      </c>
      <c r="B942" s="1">
        <v>46069</v>
      </c>
      <c r="C942" t="s">
        <v>62</v>
      </c>
      <c r="D942" t="s">
        <v>25</v>
      </c>
      <c r="E942" t="s">
        <v>26</v>
      </c>
      <c r="F942" t="s">
        <v>101</v>
      </c>
      <c r="G942" t="s">
        <v>102</v>
      </c>
      <c r="H942" t="s">
        <v>103</v>
      </c>
      <c r="I942" t="s">
        <v>116</v>
      </c>
      <c r="J942" t="s">
        <v>132</v>
      </c>
      <c r="K942" t="s">
        <v>32</v>
      </c>
      <c r="L942" t="s">
        <v>46</v>
      </c>
      <c r="M942" t="s">
        <v>47</v>
      </c>
      <c r="N942" t="s">
        <v>35</v>
      </c>
      <c r="O942" t="s">
        <v>70</v>
      </c>
      <c r="P942" t="s">
        <v>58</v>
      </c>
      <c r="Q942" t="s">
        <v>347</v>
      </c>
      <c r="R942">
        <v>401</v>
      </c>
      <c r="S942">
        <v>186</v>
      </c>
      <c r="T942">
        <v>124</v>
      </c>
      <c r="U942">
        <v>33</v>
      </c>
      <c r="V942" t="s">
        <v>1221</v>
      </c>
      <c r="W942">
        <v>20720</v>
      </c>
      <c r="X942" t="s">
        <v>519</v>
      </c>
      <c r="Y942">
        <v>18491</v>
      </c>
      <c r="Z942">
        <v>683760</v>
      </c>
      <c r="AA942">
        <v>73557</v>
      </c>
      <c r="AB942" t="str">
        <f>(VLOOKUP(SalesData[[#This Row],[Month Number]],Reference!C$5:E$16,2,FALSE))</f>
        <v>Feb</v>
      </c>
      <c r="AC942">
        <f>MONTH(SalesData[[#This Row],[Date]])</f>
        <v>2</v>
      </c>
      <c r="AD942">
        <f>Reference!F$4</f>
        <v>2026</v>
      </c>
      <c r="AE942" t="str">
        <f>IF(OR(SalesData[[#This Row],[Day]]="Saturday",SalesData[[#This Row],[Day]]="Sunday"),"Weekend","Weekday")</f>
        <v>Weekday</v>
      </c>
      <c r="AF942" s="5">
        <f>IF(SalesData[[#This Row],[Contracts Offered]]=0,0,SalesData[[#This Row],[Contracts Signed]]/SalesData[[#This Row],[Contracts Offered]])</f>
        <v>0.2661290322580645</v>
      </c>
      <c r="AG942" s="5">
        <f>IF(SalesData[[#This Row],[Customers Visited]]=0,0,SalesData[[#This Row],[Test Drives]]/SalesData[[#This Row],[Customers Visited]])</f>
        <v>0.46384039900249374</v>
      </c>
      <c r="AH942" s="5">
        <f>IF(SalesData[[#This Row],[Customers Visited]]=0,0,SalesData[[#This Row],[Contracts Signed]]/SalesData[[#This Row],[Customers Visited]])</f>
        <v>8.2294264339152115E-2</v>
      </c>
      <c r="AI942" s="6">
        <f>IF(SalesData[[#This Row],[Contracts Signed]]=0,0,SalesData[[#This Row],[Profit(€)]]/SalesData[[#This Row],[Contracts Signed]])</f>
        <v>2229</v>
      </c>
      <c r="AJ942" s="5" t="str">
        <f>TRIM(CLEAN(SalesData[[#This Row],[Retailer]]))</f>
        <v>Ruhr Auto Plaza</v>
      </c>
    </row>
    <row r="943" spans="1:36" ht="14.25" hidden="1" x14ac:dyDescent="0.2">
      <c r="A943" t="s">
        <v>1637</v>
      </c>
      <c r="B943" s="1">
        <v>46078</v>
      </c>
      <c r="C943" t="s">
        <v>53</v>
      </c>
      <c r="D943" t="s">
        <v>82</v>
      </c>
      <c r="E943" t="s">
        <v>26</v>
      </c>
      <c r="F943" t="s">
        <v>7649</v>
      </c>
      <c r="G943" t="s">
        <v>55</v>
      </c>
      <c r="H943" t="s">
        <v>55</v>
      </c>
      <c r="I943" t="s">
        <v>56</v>
      </c>
      <c r="J943" t="s">
        <v>57</v>
      </c>
      <c r="K943" t="s">
        <v>66</v>
      </c>
      <c r="L943" t="s">
        <v>46</v>
      </c>
      <c r="M943" t="s">
        <v>87</v>
      </c>
      <c r="N943" t="s">
        <v>48</v>
      </c>
      <c r="O943" t="s">
        <v>70</v>
      </c>
      <c r="P943" t="s">
        <v>37</v>
      </c>
      <c r="Q943" t="s">
        <v>106</v>
      </c>
      <c r="R943">
        <v>313</v>
      </c>
      <c r="S943">
        <v>158</v>
      </c>
      <c r="T943">
        <v>102</v>
      </c>
      <c r="U943">
        <v>33</v>
      </c>
      <c r="V943" t="s">
        <v>7268</v>
      </c>
      <c r="W943">
        <v>46089</v>
      </c>
      <c r="X943" t="s">
        <v>2107</v>
      </c>
      <c r="Y943">
        <v>37056</v>
      </c>
      <c r="Z943">
        <v>1520937</v>
      </c>
      <c r="AA943">
        <v>298089</v>
      </c>
      <c r="AB943" t="str">
        <f>(VLOOKUP(SalesData[[#This Row],[Month Number]],Reference!C$5:E$16,2,FALSE))</f>
        <v>Feb</v>
      </c>
      <c r="AC943">
        <f>MONTH(SalesData[[#This Row],[Date]])</f>
        <v>2</v>
      </c>
      <c r="AD943">
        <f>Reference!F$4</f>
        <v>2026</v>
      </c>
      <c r="AE943" t="str">
        <f>IF(OR(SalesData[[#This Row],[Day]]="Saturday",SalesData[[#This Row],[Day]]="Sunday"),"Weekend","Weekday")</f>
        <v>Weekday</v>
      </c>
      <c r="AF943" s="5">
        <f>IF(SalesData[[#This Row],[Contracts Offered]]=0,0,SalesData[[#This Row],[Contracts Signed]]/SalesData[[#This Row],[Contracts Offered]])</f>
        <v>0.3235294117647059</v>
      </c>
      <c r="AG943" s="5">
        <f>IF(SalesData[[#This Row],[Customers Visited]]=0,0,SalesData[[#This Row],[Test Drives]]/SalesData[[#This Row],[Customers Visited]])</f>
        <v>0.50479233226837061</v>
      </c>
      <c r="AH943" s="5">
        <f>IF(SalesData[[#This Row],[Customers Visited]]=0,0,SalesData[[#This Row],[Contracts Signed]]/SalesData[[#This Row],[Customers Visited]])</f>
        <v>0.10543130990415335</v>
      </c>
      <c r="AI943" s="6">
        <f>IF(SalesData[[#This Row],[Contracts Signed]]=0,0,SalesData[[#This Row],[Profit(€)]]/SalesData[[#This Row],[Contracts Signed]])</f>
        <v>9033</v>
      </c>
      <c r="AJ943" s="5" t="str">
        <f>TRIM(CLEAN(SalesData[[#This Row],[Retailer]]))</f>
        <v>Autohaus Berlin</v>
      </c>
    </row>
    <row r="944" spans="1:36" ht="14.25" hidden="1" x14ac:dyDescent="0.2">
      <c r="A944" t="s">
        <v>1638</v>
      </c>
      <c r="B944" s="1">
        <v>46056</v>
      </c>
      <c r="C944" t="s">
        <v>24</v>
      </c>
      <c r="D944" t="s">
        <v>63</v>
      </c>
      <c r="E944" t="s">
        <v>26</v>
      </c>
      <c r="F944" t="s">
        <v>114</v>
      </c>
      <c r="G944" t="s">
        <v>115</v>
      </c>
      <c r="H944" t="s">
        <v>115</v>
      </c>
      <c r="I944" t="s">
        <v>56</v>
      </c>
      <c r="J944" t="s">
        <v>7028</v>
      </c>
      <c r="K944" t="s">
        <v>78</v>
      </c>
      <c r="L944" t="s">
        <v>46</v>
      </c>
      <c r="M944" t="s">
        <v>68</v>
      </c>
      <c r="N944" t="s">
        <v>35</v>
      </c>
      <c r="O944" t="s">
        <v>70</v>
      </c>
      <c r="P944" t="s">
        <v>58</v>
      </c>
      <c r="Q944" t="s">
        <v>172</v>
      </c>
      <c r="R944">
        <v>224</v>
      </c>
      <c r="S944">
        <v>120</v>
      </c>
      <c r="T944">
        <v>93</v>
      </c>
      <c r="U944">
        <v>31</v>
      </c>
      <c r="V944" t="s">
        <v>6350</v>
      </c>
      <c r="W944">
        <v>47723</v>
      </c>
      <c r="X944" t="s">
        <v>3065</v>
      </c>
      <c r="Y944">
        <v>37331</v>
      </c>
      <c r="Z944">
        <v>1479413</v>
      </c>
      <c r="AA944">
        <v>322152</v>
      </c>
      <c r="AB944" t="str">
        <f>(VLOOKUP(SalesData[[#This Row],[Month Number]],Reference!C$5:E$16,2,FALSE))</f>
        <v>Feb</v>
      </c>
      <c r="AC944">
        <f>MONTH(SalesData[[#This Row],[Date]])</f>
        <v>2</v>
      </c>
      <c r="AD944">
        <f>Reference!F$4</f>
        <v>2026</v>
      </c>
      <c r="AE944" t="str">
        <f>IF(OR(SalesData[[#This Row],[Day]]="Saturday",SalesData[[#This Row],[Day]]="Sunday"),"Weekend","Weekday")</f>
        <v>Weekday</v>
      </c>
      <c r="AF944" s="5">
        <f>IF(SalesData[[#This Row],[Contracts Offered]]=0,0,SalesData[[#This Row],[Contracts Signed]]/SalesData[[#This Row],[Contracts Offered]])</f>
        <v>0.33333333333333331</v>
      </c>
      <c r="AG944" s="5">
        <f>IF(SalesData[[#This Row],[Customers Visited]]=0,0,SalesData[[#This Row],[Test Drives]]/SalesData[[#This Row],[Customers Visited]])</f>
        <v>0.5357142857142857</v>
      </c>
      <c r="AH944" s="5">
        <f>IF(SalesData[[#This Row],[Customers Visited]]=0,0,SalesData[[#This Row],[Contracts Signed]]/SalesData[[#This Row],[Customers Visited]])</f>
        <v>0.13839285714285715</v>
      </c>
      <c r="AI944" s="6">
        <f>IF(SalesData[[#This Row],[Contracts Signed]]=0,0,SalesData[[#This Row],[Profit(€)]]/SalesData[[#This Row],[Contracts Signed]])</f>
        <v>10392</v>
      </c>
      <c r="AJ944" s="5" t="str">
        <f>TRIM(CLEAN(SalesData[[#This Row],[Retailer]]))</f>
        <v>Elbe Drive</v>
      </c>
    </row>
    <row r="945" spans="1:36" ht="14.25" hidden="1" x14ac:dyDescent="0.2">
      <c r="A945" t="s">
        <v>1639</v>
      </c>
      <c r="B945" s="1">
        <v>46080</v>
      </c>
      <c r="C945" t="s">
        <v>53</v>
      </c>
      <c r="D945" t="s">
        <v>54</v>
      </c>
      <c r="E945" t="s">
        <v>26</v>
      </c>
      <c r="F945" t="s">
        <v>101</v>
      </c>
      <c r="G945" t="s">
        <v>102</v>
      </c>
      <c r="H945" t="s">
        <v>103</v>
      </c>
      <c r="I945" t="s">
        <v>104</v>
      </c>
      <c r="J945" t="s">
        <v>7061</v>
      </c>
      <c r="K945" t="s">
        <v>32</v>
      </c>
      <c r="L945" t="s">
        <v>46</v>
      </c>
      <c r="M945" t="s">
        <v>47</v>
      </c>
      <c r="N945" t="s">
        <v>48</v>
      </c>
      <c r="O945" t="s">
        <v>36</v>
      </c>
      <c r="P945" t="s">
        <v>58</v>
      </c>
      <c r="Q945" t="s">
        <v>144</v>
      </c>
      <c r="R945">
        <v>339</v>
      </c>
      <c r="S945">
        <v>166</v>
      </c>
      <c r="T945">
        <v>111</v>
      </c>
      <c r="U945">
        <v>32</v>
      </c>
      <c r="V945" t="s">
        <v>886</v>
      </c>
      <c r="W945">
        <v>31153</v>
      </c>
      <c r="X945" t="s">
        <v>2203</v>
      </c>
      <c r="Y945">
        <v>26987</v>
      </c>
      <c r="Z945">
        <v>996896</v>
      </c>
      <c r="AA945">
        <v>133312</v>
      </c>
      <c r="AB945" t="str">
        <f>(VLOOKUP(SalesData[[#This Row],[Month Number]],Reference!C$5:E$16,2,FALSE))</f>
        <v>Feb</v>
      </c>
      <c r="AC945">
        <f>MONTH(SalesData[[#This Row],[Date]])</f>
        <v>2</v>
      </c>
      <c r="AD945">
        <f>Reference!F$4</f>
        <v>2026</v>
      </c>
      <c r="AE945" t="str">
        <f>IF(OR(SalesData[[#This Row],[Day]]="Saturday",SalesData[[#This Row],[Day]]="Sunday"),"Weekend","Weekday")</f>
        <v>Weekday</v>
      </c>
      <c r="AF945" s="5">
        <f>IF(SalesData[[#This Row],[Contracts Offered]]=0,0,SalesData[[#This Row],[Contracts Signed]]/SalesData[[#This Row],[Contracts Offered]])</f>
        <v>0.28828828828828829</v>
      </c>
      <c r="AG945" s="5">
        <f>IF(SalesData[[#This Row],[Customers Visited]]=0,0,SalesData[[#This Row],[Test Drives]]/SalesData[[#This Row],[Customers Visited]])</f>
        <v>0.48967551622418881</v>
      </c>
      <c r="AH945" s="5">
        <f>IF(SalesData[[#This Row],[Customers Visited]]=0,0,SalesData[[#This Row],[Contracts Signed]]/SalesData[[#This Row],[Customers Visited]])</f>
        <v>9.4395280235988199E-2</v>
      </c>
      <c r="AI945" s="6">
        <f>IF(SalesData[[#This Row],[Contracts Signed]]=0,0,SalesData[[#This Row],[Profit(€)]]/SalesData[[#This Row],[Contracts Signed]])</f>
        <v>4166</v>
      </c>
      <c r="AJ945" s="5" t="str">
        <f>TRIM(CLEAN(SalesData[[#This Row],[Retailer]]))</f>
        <v>Ruhr Auto Plaza</v>
      </c>
    </row>
    <row r="946" spans="1:36" ht="14.25" hidden="1" x14ac:dyDescent="0.2">
      <c r="A946" t="s">
        <v>1640</v>
      </c>
      <c r="B946" s="1">
        <v>46065</v>
      </c>
      <c r="C946" t="s">
        <v>121</v>
      </c>
      <c r="D946" t="s">
        <v>100</v>
      </c>
      <c r="E946" t="s">
        <v>26</v>
      </c>
      <c r="F946" t="s">
        <v>83</v>
      </c>
      <c r="G946" t="s">
        <v>84</v>
      </c>
      <c r="H946" t="s">
        <v>85</v>
      </c>
      <c r="I946" t="s">
        <v>64</v>
      </c>
      <c r="J946" t="s">
        <v>157</v>
      </c>
      <c r="K946" t="s">
        <v>78</v>
      </c>
      <c r="L946" t="s">
        <v>33</v>
      </c>
      <c r="M946" t="s">
        <v>34</v>
      </c>
      <c r="N946" t="s">
        <v>48</v>
      </c>
      <c r="O946" t="s">
        <v>36</v>
      </c>
      <c r="P946" t="s">
        <v>71</v>
      </c>
      <c r="Q946" t="s">
        <v>158</v>
      </c>
      <c r="R946">
        <v>277</v>
      </c>
      <c r="S946">
        <v>128</v>
      </c>
      <c r="T946">
        <v>101</v>
      </c>
      <c r="U946">
        <v>34</v>
      </c>
      <c r="V946" t="s">
        <v>6898</v>
      </c>
      <c r="W946">
        <v>69026</v>
      </c>
      <c r="X946" t="s">
        <v>396</v>
      </c>
      <c r="Y946">
        <v>50137</v>
      </c>
      <c r="Z946">
        <v>2346884</v>
      </c>
      <c r="AA946">
        <v>642226</v>
      </c>
      <c r="AB946" t="str">
        <f>(VLOOKUP(SalesData[[#This Row],[Month Number]],Reference!C$5:E$16,2,FALSE))</f>
        <v>Feb</v>
      </c>
      <c r="AC946">
        <f>MONTH(SalesData[[#This Row],[Date]])</f>
        <v>2</v>
      </c>
      <c r="AD946">
        <f>Reference!F$4</f>
        <v>2026</v>
      </c>
      <c r="AE946" t="str">
        <f>IF(OR(SalesData[[#This Row],[Day]]="Saturday",SalesData[[#This Row],[Day]]="Sunday"),"Weekend","Weekday")</f>
        <v>Weekday</v>
      </c>
      <c r="AF946" s="5">
        <f>IF(SalesData[[#This Row],[Contracts Offered]]=0,0,SalesData[[#This Row],[Contracts Signed]]/SalesData[[#This Row],[Contracts Offered]])</f>
        <v>0.33663366336633666</v>
      </c>
      <c r="AG946" s="5">
        <f>IF(SalesData[[#This Row],[Customers Visited]]=0,0,SalesData[[#This Row],[Test Drives]]/SalesData[[#This Row],[Customers Visited]])</f>
        <v>0.46209386281588449</v>
      </c>
      <c r="AH946" s="5">
        <f>IF(SalesData[[#This Row],[Customers Visited]]=0,0,SalesData[[#This Row],[Contracts Signed]]/SalesData[[#This Row],[Customers Visited]])</f>
        <v>0.12274368231046931</v>
      </c>
      <c r="AI946" s="6">
        <f>IF(SalesData[[#This Row],[Contracts Signed]]=0,0,SalesData[[#This Row],[Profit(€)]]/SalesData[[#This Row],[Contracts Signed]])</f>
        <v>18889</v>
      </c>
      <c r="AJ946" s="5" t="str">
        <f>TRIM(CLEAN(SalesData[[#This Row],[Retailer]]))</f>
        <v>Hannover Cars</v>
      </c>
    </row>
    <row r="947" spans="1:36" ht="14.25" x14ac:dyDescent="0.2">
      <c r="A947" t="s">
        <v>1641</v>
      </c>
      <c r="B947" s="1">
        <v>46060</v>
      </c>
      <c r="C947" t="s">
        <v>24</v>
      </c>
      <c r="D947" t="s">
        <v>151</v>
      </c>
      <c r="E947" t="s">
        <v>42</v>
      </c>
      <c r="F947" t="s">
        <v>109</v>
      </c>
      <c r="G947" t="s">
        <v>110</v>
      </c>
      <c r="H947" t="s">
        <v>45</v>
      </c>
      <c r="I947" t="s">
        <v>30</v>
      </c>
      <c r="J947" t="s">
        <v>31</v>
      </c>
      <c r="K947" t="s">
        <v>32</v>
      </c>
      <c r="L947" t="s">
        <v>46</v>
      </c>
      <c r="M947" t="s">
        <v>68</v>
      </c>
      <c r="N947" t="s">
        <v>35</v>
      </c>
      <c r="O947" t="s">
        <v>36</v>
      </c>
      <c r="P947" t="s">
        <v>49</v>
      </c>
      <c r="Q947" t="s">
        <v>79</v>
      </c>
      <c r="R947">
        <v>167</v>
      </c>
      <c r="S947">
        <v>95</v>
      </c>
      <c r="T947">
        <v>70</v>
      </c>
      <c r="U947">
        <v>22</v>
      </c>
      <c r="V947" t="s">
        <v>6658</v>
      </c>
      <c r="W947">
        <v>54450</v>
      </c>
      <c r="X947" t="s">
        <v>2693</v>
      </c>
      <c r="Y947">
        <v>38462</v>
      </c>
      <c r="Z947">
        <v>1197900</v>
      </c>
      <c r="AA947">
        <v>351736</v>
      </c>
      <c r="AB947" t="str">
        <f>(VLOOKUP(SalesData[[#This Row],[Month Number]],Reference!C$5:E$16,2,FALSE))</f>
        <v>Feb</v>
      </c>
      <c r="AC947">
        <f>MONTH(SalesData[[#This Row],[Date]])</f>
        <v>2</v>
      </c>
      <c r="AD947">
        <f>Reference!F$4</f>
        <v>2026</v>
      </c>
      <c r="AE947" t="str">
        <f>IF(OR(SalesData[[#This Row],[Day]]="Saturday",SalesData[[#This Row],[Day]]="Sunday"),"Weekend","Weekday")</f>
        <v>Weekend</v>
      </c>
      <c r="AF947" s="5">
        <f>IF(SalesData[[#This Row],[Contracts Offered]]=0,0,SalesData[[#This Row],[Contracts Signed]]/SalesData[[#This Row],[Contracts Offered]])</f>
        <v>0.31428571428571428</v>
      </c>
      <c r="AG947" s="5">
        <f>IF(SalesData[[#This Row],[Customers Visited]]=0,0,SalesData[[#This Row],[Test Drives]]/SalesData[[#This Row],[Customers Visited]])</f>
        <v>0.56886227544910184</v>
      </c>
      <c r="AH947" s="5">
        <f>IF(SalesData[[#This Row],[Customers Visited]]=0,0,SalesData[[#This Row],[Contracts Signed]]/SalesData[[#This Row],[Customers Visited]])</f>
        <v>0.1317365269461078</v>
      </c>
      <c r="AI947" s="6">
        <f>IF(SalesData[[#This Row],[Contracts Signed]]=0,0,SalesData[[#This Row],[Profit(€)]]/SalesData[[#This Row],[Contracts Signed]])</f>
        <v>15988</v>
      </c>
      <c r="AJ947" s="5" t="str">
        <f>TRIM(CLEAN(SalesData[[#This Row],[Retailer]]))</f>
        <v>Leipzig Mobility</v>
      </c>
    </row>
    <row r="948" spans="1:36" ht="14.25" hidden="1" x14ac:dyDescent="0.2">
      <c r="A948" t="s">
        <v>1643</v>
      </c>
      <c r="B948" s="1">
        <v>46080</v>
      </c>
      <c r="C948" t="s">
        <v>53</v>
      </c>
      <c r="D948" t="s">
        <v>54</v>
      </c>
      <c r="E948" t="s">
        <v>26</v>
      </c>
      <c r="F948" t="s">
        <v>43</v>
      </c>
      <c r="G948" t="s">
        <v>44</v>
      </c>
      <c r="H948" t="s">
        <v>45</v>
      </c>
      <c r="I948" t="s">
        <v>56</v>
      </c>
      <c r="J948" t="s">
        <v>7028</v>
      </c>
      <c r="K948" t="s">
        <v>66</v>
      </c>
      <c r="L948" t="s">
        <v>46</v>
      </c>
      <c r="M948" t="s">
        <v>68</v>
      </c>
      <c r="N948" t="s">
        <v>35</v>
      </c>
      <c r="O948" t="s">
        <v>70</v>
      </c>
      <c r="P948" t="s">
        <v>71</v>
      </c>
      <c r="Q948" t="s">
        <v>167</v>
      </c>
      <c r="R948">
        <v>271</v>
      </c>
      <c r="S948">
        <v>133</v>
      </c>
      <c r="T948">
        <v>86</v>
      </c>
      <c r="U948">
        <v>32</v>
      </c>
      <c r="V948" t="s">
        <v>6594</v>
      </c>
      <c r="W948">
        <v>46305</v>
      </c>
      <c r="X948" t="s">
        <v>4006</v>
      </c>
      <c r="Y948">
        <v>37107</v>
      </c>
      <c r="Z948">
        <v>1481760</v>
      </c>
      <c r="AA948">
        <v>294336</v>
      </c>
      <c r="AB948" t="str">
        <f>(VLOOKUP(SalesData[[#This Row],[Month Number]],Reference!C$5:E$16,2,FALSE))</f>
        <v>Feb</v>
      </c>
      <c r="AC948">
        <f>MONTH(SalesData[[#This Row],[Date]])</f>
        <v>2</v>
      </c>
      <c r="AD948">
        <f>Reference!F$4</f>
        <v>2026</v>
      </c>
      <c r="AE948" t="str">
        <f>IF(OR(SalesData[[#This Row],[Day]]="Saturday",SalesData[[#This Row],[Day]]="Sunday"),"Weekend","Weekday")</f>
        <v>Weekday</v>
      </c>
      <c r="AF948" s="5">
        <f>IF(SalesData[[#This Row],[Contracts Offered]]=0,0,SalesData[[#This Row],[Contracts Signed]]/SalesData[[#This Row],[Contracts Offered]])</f>
        <v>0.37209302325581395</v>
      </c>
      <c r="AG948" s="5">
        <f>IF(SalesData[[#This Row],[Customers Visited]]=0,0,SalesData[[#This Row],[Test Drives]]/SalesData[[#This Row],[Customers Visited]])</f>
        <v>0.4907749077490775</v>
      </c>
      <c r="AH948" s="5">
        <f>IF(SalesData[[#This Row],[Customers Visited]]=0,0,SalesData[[#This Row],[Contracts Signed]]/SalesData[[#This Row],[Customers Visited]])</f>
        <v>0.11808118081180811</v>
      </c>
      <c r="AI948" s="6">
        <f>IF(SalesData[[#This Row],[Contracts Signed]]=0,0,SalesData[[#This Row],[Profit(€)]]/SalesData[[#This Row],[Contracts Signed]])</f>
        <v>9198</v>
      </c>
      <c r="AJ948" s="5" t="str">
        <f>TRIM(CLEAN(SalesData[[#This Row],[Retailer]]))</f>
        <v>Saxon Wheels</v>
      </c>
    </row>
    <row r="949" spans="1:36" ht="14.25" hidden="1" x14ac:dyDescent="0.2">
      <c r="A949" t="s">
        <v>1645</v>
      </c>
      <c r="B949" s="1">
        <v>46074</v>
      </c>
      <c r="C949" t="s">
        <v>62</v>
      </c>
      <c r="D949" t="s">
        <v>151</v>
      </c>
      <c r="E949" t="s">
        <v>42</v>
      </c>
      <c r="F949" t="s">
        <v>127</v>
      </c>
      <c r="G949" t="s">
        <v>128</v>
      </c>
      <c r="H949" t="s">
        <v>103</v>
      </c>
      <c r="I949" t="s">
        <v>116</v>
      </c>
      <c r="J949" t="s">
        <v>7026</v>
      </c>
      <c r="K949" t="s">
        <v>66</v>
      </c>
      <c r="L949" t="s">
        <v>46</v>
      </c>
      <c r="M949" t="s">
        <v>87</v>
      </c>
      <c r="N949" t="s">
        <v>35</v>
      </c>
      <c r="O949" t="s">
        <v>36</v>
      </c>
      <c r="P949" t="s">
        <v>49</v>
      </c>
      <c r="Q949" t="s">
        <v>38</v>
      </c>
      <c r="R949">
        <v>426</v>
      </c>
      <c r="S949">
        <v>176</v>
      </c>
      <c r="T949">
        <v>111</v>
      </c>
      <c r="U949">
        <v>24</v>
      </c>
      <c r="V949" t="s">
        <v>1011</v>
      </c>
      <c r="W949">
        <v>24054</v>
      </c>
      <c r="X949" t="s">
        <v>650</v>
      </c>
      <c r="Y949">
        <v>21501</v>
      </c>
      <c r="Z949">
        <v>577296</v>
      </c>
      <c r="AA949">
        <v>61272</v>
      </c>
      <c r="AB949" t="str">
        <f>(VLOOKUP(SalesData[[#This Row],[Month Number]],Reference!C$5:E$16,2,FALSE))</f>
        <v>Feb</v>
      </c>
      <c r="AC949">
        <f>MONTH(SalesData[[#This Row],[Date]])</f>
        <v>2</v>
      </c>
      <c r="AD949">
        <f>Reference!F$4</f>
        <v>2026</v>
      </c>
      <c r="AE949" t="str">
        <f>IF(OR(SalesData[[#This Row],[Day]]="Saturday",SalesData[[#This Row],[Day]]="Sunday"),"Weekend","Weekday")</f>
        <v>Weekend</v>
      </c>
      <c r="AF949" s="5">
        <f>IF(SalesData[[#This Row],[Contracts Offered]]=0,0,SalesData[[#This Row],[Contracts Signed]]/SalesData[[#This Row],[Contracts Offered]])</f>
        <v>0.21621621621621623</v>
      </c>
      <c r="AG949" s="5">
        <f>IF(SalesData[[#This Row],[Customers Visited]]=0,0,SalesData[[#This Row],[Test Drives]]/SalesData[[#This Row],[Customers Visited]])</f>
        <v>0.41314553990610331</v>
      </c>
      <c r="AH949" s="5">
        <f>IF(SalesData[[#This Row],[Customers Visited]]=0,0,SalesData[[#This Row],[Contracts Signed]]/SalesData[[#This Row],[Customers Visited]])</f>
        <v>5.6338028169014086E-2</v>
      </c>
      <c r="AI949" s="6">
        <f>IF(SalesData[[#This Row],[Contracts Signed]]=0,0,SalesData[[#This Row],[Profit(€)]]/SalesData[[#This Row],[Contracts Signed]])</f>
        <v>2553</v>
      </c>
      <c r="AJ949" s="5" t="str">
        <f>TRIM(CLEAN(SalesData[[#This Row],[Retailer]]))</f>
        <v>Rhein Auto Group</v>
      </c>
    </row>
    <row r="950" spans="1:36" ht="14.25" hidden="1" x14ac:dyDescent="0.2">
      <c r="A950" t="s">
        <v>1647</v>
      </c>
      <c r="B950" s="1">
        <v>46062</v>
      </c>
      <c r="C950" t="s">
        <v>121</v>
      </c>
      <c r="D950" t="s">
        <v>25</v>
      </c>
      <c r="E950" t="s">
        <v>26</v>
      </c>
      <c r="F950" t="s">
        <v>83</v>
      </c>
      <c r="G950" t="s">
        <v>84</v>
      </c>
      <c r="H950" t="s">
        <v>85</v>
      </c>
      <c r="I950" t="s">
        <v>56</v>
      </c>
      <c r="J950" t="s">
        <v>7028</v>
      </c>
      <c r="K950" t="s">
        <v>91</v>
      </c>
      <c r="L950" t="s">
        <v>46</v>
      </c>
      <c r="M950" t="s">
        <v>87</v>
      </c>
      <c r="N950" t="s">
        <v>69</v>
      </c>
      <c r="O950" t="s">
        <v>70</v>
      </c>
      <c r="P950" t="s">
        <v>49</v>
      </c>
      <c r="Q950" t="s">
        <v>167</v>
      </c>
      <c r="R950">
        <v>302</v>
      </c>
      <c r="S950">
        <v>153</v>
      </c>
      <c r="T950">
        <v>102</v>
      </c>
      <c r="U950">
        <v>33</v>
      </c>
      <c r="V950" t="s">
        <v>6457</v>
      </c>
      <c r="W950">
        <v>43154</v>
      </c>
      <c r="X950" t="s">
        <v>7112</v>
      </c>
      <c r="Y950">
        <v>32893</v>
      </c>
      <c r="Z950">
        <v>1424082</v>
      </c>
      <c r="AA950">
        <v>338613</v>
      </c>
      <c r="AB950" t="str">
        <f>(VLOOKUP(SalesData[[#This Row],[Month Number]],Reference!C$5:E$16,2,FALSE))</f>
        <v>Feb</v>
      </c>
      <c r="AC950">
        <f>MONTH(SalesData[[#This Row],[Date]])</f>
        <v>2</v>
      </c>
      <c r="AD950">
        <f>Reference!F$4</f>
        <v>2026</v>
      </c>
      <c r="AE950" t="str">
        <f>IF(OR(SalesData[[#This Row],[Day]]="Saturday",SalesData[[#This Row],[Day]]="Sunday"),"Weekend","Weekday")</f>
        <v>Weekday</v>
      </c>
      <c r="AF950" s="5">
        <f>IF(SalesData[[#This Row],[Contracts Offered]]=0,0,SalesData[[#This Row],[Contracts Signed]]/SalesData[[#This Row],[Contracts Offered]])</f>
        <v>0.3235294117647059</v>
      </c>
      <c r="AG950" s="5">
        <f>IF(SalesData[[#This Row],[Customers Visited]]=0,0,SalesData[[#This Row],[Test Drives]]/SalesData[[#This Row],[Customers Visited]])</f>
        <v>0.50662251655629142</v>
      </c>
      <c r="AH950" s="5">
        <f>IF(SalesData[[#This Row],[Customers Visited]]=0,0,SalesData[[#This Row],[Contracts Signed]]/SalesData[[#This Row],[Customers Visited]])</f>
        <v>0.10927152317880795</v>
      </c>
      <c r="AI950" s="6">
        <f>IF(SalesData[[#This Row],[Contracts Signed]]=0,0,SalesData[[#This Row],[Profit(€)]]/SalesData[[#This Row],[Contracts Signed]])</f>
        <v>10261</v>
      </c>
      <c r="AJ950" s="5" t="str">
        <f>TRIM(CLEAN(SalesData[[#This Row],[Retailer]]))</f>
        <v>Hannover Cars</v>
      </c>
    </row>
    <row r="951" spans="1:36" ht="14.25" hidden="1" x14ac:dyDescent="0.2">
      <c r="A951" t="s">
        <v>1648</v>
      </c>
      <c r="B951" s="1">
        <v>46061</v>
      </c>
      <c r="C951" t="s">
        <v>121</v>
      </c>
      <c r="D951" t="s">
        <v>41</v>
      </c>
      <c r="E951" t="s">
        <v>42</v>
      </c>
      <c r="F951" t="s">
        <v>94</v>
      </c>
      <c r="G951" t="s">
        <v>95</v>
      </c>
      <c r="H951" t="s">
        <v>96</v>
      </c>
      <c r="I951" t="s">
        <v>116</v>
      </c>
      <c r="J951" t="s">
        <v>7026</v>
      </c>
      <c r="K951" t="s">
        <v>66</v>
      </c>
      <c r="L951" t="s">
        <v>46</v>
      </c>
      <c r="M951" t="s">
        <v>68</v>
      </c>
      <c r="N951" t="s">
        <v>35</v>
      </c>
      <c r="O951" t="s">
        <v>36</v>
      </c>
      <c r="P951" t="s">
        <v>37</v>
      </c>
      <c r="Q951" t="s">
        <v>106</v>
      </c>
      <c r="R951">
        <v>382</v>
      </c>
      <c r="S951">
        <v>169</v>
      </c>
      <c r="T951">
        <v>103</v>
      </c>
      <c r="U951">
        <v>24</v>
      </c>
      <c r="V951" t="s">
        <v>2532</v>
      </c>
      <c r="W951">
        <v>25613</v>
      </c>
      <c r="X951" t="s">
        <v>1244</v>
      </c>
      <c r="Y951">
        <v>23450</v>
      </c>
      <c r="Z951">
        <v>614712</v>
      </c>
      <c r="AA951">
        <v>51912</v>
      </c>
      <c r="AB951" t="str">
        <f>(VLOOKUP(SalesData[[#This Row],[Month Number]],Reference!C$5:E$16,2,FALSE))</f>
        <v>Feb</v>
      </c>
      <c r="AC951">
        <f>MONTH(SalesData[[#This Row],[Date]])</f>
        <v>2</v>
      </c>
      <c r="AD951">
        <f>Reference!F$4</f>
        <v>2026</v>
      </c>
      <c r="AE951" t="str">
        <f>IF(OR(SalesData[[#This Row],[Day]]="Saturday",SalesData[[#This Row],[Day]]="Sunday"),"Weekend","Weekday")</f>
        <v>Weekend</v>
      </c>
      <c r="AF951" s="5">
        <f>IF(SalesData[[#This Row],[Contracts Offered]]=0,0,SalesData[[#This Row],[Contracts Signed]]/SalesData[[#This Row],[Contracts Offered]])</f>
        <v>0.23300970873786409</v>
      </c>
      <c r="AG951" s="5">
        <f>IF(SalesData[[#This Row],[Customers Visited]]=0,0,SalesData[[#This Row],[Test Drives]]/SalesData[[#This Row],[Customers Visited]])</f>
        <v>0.44240837696335078</v>
      </c>
      <c r="AH951" s="5">
        <f>IF(SalesData[[#This Row],[Customers Visited]]=0,0,SalesData[[#This Row],[Contracts Signed]]/SalesData[[#This Row],[Customers Visited]])</f>
        <v>6.2827225130890049E-2</v>
      </c>
      <c r="AI951" s="6">
        <f>IF(SalesData[[#This Row],[Contracts Signed]]=0,0,SalesData[[#This Row],[Profit(€)]]/SalesData[[#This Row],[Contracts Signed]])</f>
        <v>2163</v>
      </c>
      <c r="AJ951" s="5" t="str">
        <f>TRIM(CLEAN(SalesData[[#This Row],[Retailer]]))</f>
        <v>Bavaria Motors</v>
      </c>
    </row>
    <row r="952" spans="1:36" ht="14.25" hidden="1" x14ac:dyDescent="0.2">
      <c r="A952" t="s">
        <v>1649</v>
      </c>
      <c r="B952" s="1">
        <v>46062</v>
      </c>
      <c r="C952" t="s">
        <v>121</v>
      </c>
      <c r="D952" t="s">
        <v>25</v>
      </c>
      <c r="E952" t="s">
        <v>26</v>
      </c>
      <c r="F952" t="s">
        <v>7649</v>
      </c>
      <c r="G952" t="s">
        <v>55</v>
      </c>
      <c r="H952" t="s">
        <v>55</v>
      </c>
      <c r="I952" t="s">
        <v>104</v>
      </c>
      <c r="J952" t="s">
        <v>105</v>
      </c>
      <c r="K952" t="s">
        <v>66</v>
      </c>
      <c r="L952" t="s">
        <v>33</v>
      </c>
      <c r="M952" t="s">
        <v>87</v>
      </c>
      <c r="N952" t="s">
        <v>48</v>
      </c>
      <c r="O952" t="s">
        <v>70</v>
      </c>
      <c r="P952" t="s">
        <v>37</v>
      </c>
      <c r="Q952" t="s">
        <v>38</v>
      </c>
      <c r="R952">
        <v>293</v>
      </c>
      <c r="S952">
        <v>166</v>
      </c>
      <c r="T952">
        <v>102</v>
      </c>
      <c r="U952">
        <v>27</v>
      </c>
      <c r="V952" t="s">
        <v>6845</v>
      </c>
      <c r="W952">
        <v>27489</v>
      </c>
      <c r="X952" t="s">
        <v>3038</v>
      </c>
      <c r="Y952">
        <v>24745</v>
      </c>
      <c r="Z952">
        <v>742203</v>
      </c>
      <c r="AA952">
        <v>74088</v>
      </c>
      <c r="AB952" t="str">
        <f>(VLOOKUP(SalesData[[#This Row],[Month Number]],Reference!C$5:E$16,2,FALSE))</f>
        <v>Feb</v>
      </c>
      <c r="AC952">
        <f>MONTH(SalesData[[#This Row],[Date]])</f>
        <v>2</v>
      </c>
      <c r="AD952">
        <f>Reference!F$4</f>
        <v>2026</v>
      </c>
      <c r="AE952" t="str">
        <f>IF(OR(SalesData[[#This Row],[Day]]="Saturday",SalesData[[#This Row],[Day]]="Sunday"),"Weekend","Weekday")</f>
        <v>Weekday</v>
      </c>
      <c r="AF952" s="5">
        <f>IF(SalesData[[#This Row],[Contracts Offered]]=0,0,SalesData[[#This Row],[Contracts Signed]]/SalesData[[#This Row],[Contracts Offered]])</f>
        <v>0.26470588235294118</v>
      </c>
      <c r="AG952" s="5">
        <f>IF(SalesData[[#This Row],[Customers Visited]]=0,0,SalesData[[#This Row],[Test Drives]]/SalesData[[#This Row],[Customers Visited]])</f>
        <v>0.56655290102389078</v>
      </c>
      <c r="AH952" s="5">
        <f>IF(SalesData[[#This Row],[Customers Visited]]=0,0,SalesData[[#This Row],[Contracts Signed]]/SalesData[[#This Row],[Customers Visited]])</f>
        <v>9.2150170648464161E-2</v>
      </c>
      <c r="AI952" s="6">
        <f>IF(SalesData[[#This Row],[Contracts Signed]]=0,0,SalesData[[#This Row],[Profit(€)]]/SalesData[[#This Row],[Contracts Signed]])</f>
        <v>2744</v>
      </c>
      <c r="AJ952" s="5" t="str">
        <f>TRIM(CLEAN(SalesData[[#This Row],[Retailer]]))</f>
        <v>Autohaus Berlin</v>
      </c>
    </row>
    <row r="953" spans="1:36" ht="14.25" x14ac:dyDescent="0.2">
      <c r="A953" t="s">
        <v>1650</v>
      </c>
      <c r="B953" s="1">
        <v>46066</v>
      </c>
      <c r="C953" t="s">
        <v>121</v>
      </c>
      <c r="D953" t="s">
        <v>54</v>
      </c>
      <c r="E953" t="s">
        <v>26</v>
      </c>
      <c r="F953" t="s">
        <v>83</v>
      </c>
      <c r="G953" t="s">
        <v>84</v>
      </c>
      <c r="H953" t="s">
        <v>85</v>
      </c>
      <c r="I953" t="s">
        <v>30</v>
      </c>
      <c r="J953" t="s">
        <v>166</v>
      </c>
      <c r="K953" t="s">
        <v>91</v>
      </c>
      <c r="L953" t="s">
        <v>46</v>
      </c>
      <c r="M953" t="s">
        <v>47</v>
      </c>
      <c r="N953" t="s">
        <v>48</v>
      </c>
      <c r="O953" t="s">
        <v>70</v>
      </c>
      <c r="P953" t="s">
        <v>37</v>
      </c>
      <c r="Q953" t="s">
        <v>240</v>
      </c>
      <c r="R953">
        <v>188</v>
      </c>
      <c r="S953">
        <v>89</v>
      </c>
      <c r="T953">
        <v>68</v>
      </c>
      <c r="U953">
        <v>25</v>
      </c>
      <c r="V953" t="s">
        <v>6830</v>
      </c>
      <c r="W953">
        <v>69436</v>
      </c>
      <c r="X953" t="s">
        <v>7348</v>
      </c>
      <c r="Y953">
        <v>49019</v>
      </c>
      <c r="Z953">
        <v>1735900</v>
      </c>
      <c r="AA953">
        <v>510425</v>
      </c>
      <c r="AB953" t="str">
        <f>(VLOOKUP(SalesData[[#This Row],[Month Number]],Reference!C$5:E$16,2,FALSE))</f>
        <v>Feb</v>
      </c>
      <c r="AC953">
        <f>MONTH(SalesData[[#This Row],[Date]])</f>
        <v>2</v>
      </c>
      <c r="AD953">
        <f>Reference!F$4</f>
        <v>2026</v>
      </c>
      <c r="AE953" t="str">
        <f>IF(OR(SalesData[[#This Row],[Day]]="Saturday",SalesData[[#This Row],[Day]]="Sunday"),"Weekend","Weekday")</f>
        <v>Weekday</v>
      </c>
      <c r="AF953" s="5">
        <f>IF(SalesData[[#This Row],[Contracts Offered]]=0,0,SalesData[[#This Row],[Contracts Signed]]/SalesData[[#This Row],[Contracts Offered]])</f>
        <v>0.36764705882352944</v>
      </c>
      <c r="AG953" s="5">
        <f>IF(SalesData[[#This Row],[Customers Visited]]=0,0,SalesData[[#This Row],[Test Drives]]/SalesData[[#This Row],[Customers Visited]])</f>
        <v>0.47340425531914893</v>
      </c>
      <c r="AH953" s="5">
        <f>IF(SalesData[[#This Row],[Customers Visited]]=0,0,SalesData[[#This Row],[Contracts Signed]]/SalesData[[#This Row],[Customers Visited]])</f>
        <v>0.13297872340425532</v>
      </c>
      <c r="AI953" s="6">
        <f>IF(SalesData[[#This Row],[Contracts Signed]]=0,0,SalesData[[#This Row],[Profit(€)]]/SalesData[[#This Row],[Contracts Signed]])</f>
        <v>20417</v>
      </c>
      <c r="AJ953" s="5" t="str">
        <f>TRIM(CLEAN(SalesData[[#This Row],[Retailer]]))</f>
        <v>Hannover Cars</v>
      </c>
    </row>
    <row r="954" spans="1:36" ht="14.25" hidden="1" x14ac:dyDescent="0.2">
      <c r="A954" t="s">
        <v>1652</v>
      </c>
      <c r="B954" s="1">
        <v>46069</v>
      </c>
      <c r="C954" t="s">
        <v>62</v>
      </c>
      <c r="D954" t="s">
        <v>25</v>
      </c>
      <c r="E954" t="s">
        <v>26</v>
      </c>
      <c r="F954" t="s">
        <v>74</v>
      </c>
      <c r="G954" t="s">
        <v>75</v>
      </c>
      <c r="H954" t="s">
        <v>76</v>
      </c>
      <c r="I954" t="s">
        <v>116</v>
      </c>
      <c r="J954" t="s">
        <v>7026</v>
      </c>
      <c r="K954" t="s">
        <v>32</v>
      </c>
      <c r="L954" t="s">
        <v>46</v>
      </c>
      <c r="M954" t="s">
        <v>68</v>
      </c>
      <c r="N954" t="s">
        <v>48</v>
      </c>
      <c r="O954" t="s">
        <v>70</v>
      </c>
      <c r="P954" t="s">
        <v>49</v>
      </c>
      <c r="Q954" t="s">
        <v>167</v>
      </c>
      <c r="R954">
        <v>335</v>
      </c>
      <c r="S954">
        <v>146</v>
      </c>
      <c r="T954">
        <v>93</v>
      </c>
      <c r="U954">
        <v>19</v>
      </c>
      <c r="V954" t="s">
        <v>1255</v>
      </c>
      <c r="W954">
        <v>27255</v>
      </c>
      <c r="X954" t="s">
        <v>1537</v>
      </c>
      <c r="Y954">
        <v>24963</v>
      </c>
      <c r="Z954">
        <v>517845</v>
      </c>
      <c r="AA954">
        <v>43548</v>
      </c>
      <c r="AB954" t="str">
        <f>(VLOOKUP(SalesData[[#This Row],[Month Number]],Reference!C$5:E$16,2,FALSE))</f>
        <v>Feb</v>
      </c>
      <c r="AC954">
        <f>MONTH(SalesData[[#This Row],[Date]])</f>
        <v>2</v>
      </c>
      <c r="AD954">
        <f>Reference!F$4</f>
        <v>2026</v>
      </c>
      <c r="AE954" t="str">
        <f>IF(OR(SalesData[[#This Row],[Day]]="Saturday",SalesData[[#This Row],[Day]]="Sunday"),"Weekend","Weekday")</f>
        <v>Weekday</v>
      </c>
      <c r="AF954" s="5">
        <f>IF(SalesData[[#This Row],[Contracts Offered]]=0,0,SalesData[[#This Row],[Contracts Signed]]/SalesData[[#This Row],[Contracts Offered]])</f>
        <v>0.20430107526881722</v>
      </c>
      <c r="AG954" s="5">
        <f>IF(SalesData[[#This Row],[Customers Visited]]=0,0,SalesData[[#This Row],[Test Drives]]/SalesData[[#This Row],[Customers Visited]])</f>
        <v>0.43582089552238806</v>
      </c>
      <c r="AH954" s="5">
        <f>IF(SalesData[[#This Row],[Customers Visited]]=0,0,SalesData[[#This Row],[Contracts Signed]]/SalesData[[#This Row],[Customers Visited]])</f>
        <v>5.6716417910447764E-2</v>
      </c>
      <c r="AI954" s="6">
        <f>IF(SalesData[[#This Row],[Contracts Signed]]=0,0,SalesData[[#This Row],[Profit(€)]]/SalesData[[#This Row],[Contracts Signed]])</f>
        <v>2292</v>
      </c>
      <c r="AJ954" s="5" t="str">
        <f>TRIM(CLEAN(SalesData[[#This Row],[Retailer]]))</f>
        <v>Stuttgart Auto Center</v>
      </c>
    </row>
    <row r="955" spans="1:36" ht="14.25" x14ac:dyDescent="0.2">
      <c r="A955" t="s">
        <v>1654</v>
      </c>
      <c r="B955" s="1">
        <v>46078</v>
      </c>
      <c r="C955" t="s">
        <v>53</v>
      </c>
      <c r="D955" t="s">
        <v>82</v>
      </c>
      <c r="E955" t="s">
        <v>26</v>
      </c>
      <c r="F955" t="s">
        <v>83</v>
      </c>
      <c r="G955" t="s">
        <v>84</v>
      </c>
      <c r="H955" t="s">
        <v>85</v>
      </c>
      <c r="I955" t="s">
        <v>30</v>
      </c>
      <c r="J955" t="s">
        <v>7075</v>
      </c>
      <c r="K955" t="s">
        <v>32</v>
      </c>
      <c r="L955" t="s">
        <v>33</v>
      </c>
      <c r="M955" t="s">
        <v>68</v>
      </c>
      <c r="N955" t="s">
        <v>69</v>
      </c>
      <c r="O955" t="s">
        <v>70</v>
      </c>
      <c r="P955" t="s">
        <v>58</v>
      </c>
      <c r="Q955" t="s">
        <v>144</v>
      </c>
      <c r="R955">
        <v>210</v>
      </c>
      <c r="S955">
        <v>122</v>
      </c>
      <c r="T955">
        <v>86</v>
      </c>
      <c r="U955">
        <v>38</v>
      </c>
      <c r="V955" t="s">
        <v>7349</v>
      </c>
      <c r="W955">
        <v>68701</v>
      </c>
      <c r="X955" t="s">
        <v>2524</v>
      </c>
      <c r="Y955">
        <v>48987</v>
      </c>
      <c r="Z955">
        <v>2610638</v>
      </c>
      <c r="AA955">
        <v>749132</v>
      </c>
      <c r="AB955" t="str">
        <f>(VLOOKUP(SalesData[[#This Row],[Month Number]],Reference!C$5:E$16,2,FALSE))</f>
        <v>Feb</v>
      </c>
      <c r="AC955">
        <f>MONTH(SalesData[[#This Row],[Date]])</f>
        <v>2</v>
      </c>
      <c r="AD955">
        <f>Reference!F$4</f>
        <v>2026</v>
      </c>
      <c r="AE955" t="str">
        <f>IF(OR(SalesData[[#This Row],[Day]]="Saturday",SalesData[[#This Row],[Day]]="Sunday"),"Weekend","Weekday")</f>
        <v>Weekday</v>
      </c>
      <c r="AF955" s="5">
        <f>IF(SalesData[[#This Row],[Contracts Offered]]=0,0,SalesData[[#This Row],[Contracts Signed]]/SalesData[[#This Row],[Contracts Offered]])</f>
        <v>0.44186046511627908</v>
      </c>
      <c r="AG955" s="5">
        <f>IF(SalesData[[#This Row],[Customers Visited]]=0,0,SalesData[[#This Row],[Test Drives]]/SalesData[[#This Row],[Customers Visited]])</f>
        <v>0.580952380952381</v>
      </c>
      <c r="AH955" s="5">
        <f>IF(SalesData[[#This Row],[Customers Visited]]=0,0,SalesData[[#This Row],[Contracts Signed]]/SalesData[[#This Row],[Customers Visited]])</f>
        <v>0.18095238095238095</v>
      </c>
      <c r="AI955" s="6">
        <f>IF(SalesData[[#This Row],[Contracts Signed]]=0,0,SalesData[[#This Row],[Profit(€)]]/SalesData[[#This Row],[Contracts Signed]])</f>
        <v>19714</v>
      </c>
      <c r="AJ955" s="5" t="str">
        <f>TRIM(CLEAN(SalesData[[#This Row],[Retailer]]))</f>
        <v>Hannover Cars</v>
      </c>
    </row>
    <row r="956" spans="1:36" ht="14.25" hidden="1" x14ac:dyDescent="0.2">
      <c r="A956" t="s">
        <v>1655</v>
      </c>
      <c r="B956" s="1">
        <v>46063</v>
      </c>
      <c r="C956" t="s">
        <v>121</v>
      </c>
      <c r="D956" t="s">
        <v>63</v>
      </c>
      <c r="E956" t="s">
        <v>26</v>
      </c>
      <c r="F956" t="s">
        <v>101</v>
      </c>
      <c r="G956" t="s">
        <v>102</v>
      </c>
      <c r="H956" t="s">
        <v>103</v>
      </c>
      <c r="I956" t="s">
        <v>104</v>
      </c>
      <c r="J956" t="s">
        <v>143</v>
      </c>
      <c r="K956" t="s">
        <v>91</v>
      </c>
      <c r="L956" t="s">
        <v>67</v>
      </c>
      <c r="M956" t="s">
        <v>68</v>
      </c>
      <c r="N956" t="s">
        <v>48</v>
      </c>
      <c r="O956" t="s">
        <v>70</v>
      </c>
      <c r="P956" t="s">
        <v>58</v>
      </c>
      <c r="Q956" t="s">
        <v>144</v>
      </c>
      <c r="R956">
        <v>308</v>
      </c>
      <c r="S956">
        <v>147</v>
      </c>
      <c r="T956">
        <v>85</v>
      </c>
      <c r="U956">
        <v>24</v>
      </c>
      <c r="V956" t="s">
        <v>2332</v>
      </c>
      <c r="W956">
        <v>27921</v>
      </c>
      <c r="X956" t="s">
        <v>981</v>
      </c>
      <c r="Y956">
        <v>24679</v>
      </c>
      <c r="Z956">
        <v>670104</v>
      </c>
      <c r="AA956">
        <v>77808</v>
      </c>
      <c r="AB956" t="str">
        <f>(VLOOKUP(SalesData[[#This Row],[Month Number]],Reference!C$5:E$16,2,FALSE))</f>
        <v>Feb</v>
      </c>
      <c r="AC956">
        <f>MONTH(SalesData[[#This Row],[Date]])</f>
        <v>2</v>
      </c>
      <c r="AD956">
        <f>Reference!F$4</f>
        <v>2026</v>
      </c>
      <c r="AE956" t="str">
        <f>IF(OR(SalesData[[#This Row],[Day]]="Saturday",SalesData[[#This Row],[Day]]="Sunday"),"Weekend","Weekday")</f>
        <v>Weekday</v>
      </c>
      <c r="AF956" s="5">
        <f>IF(SalesData[[#This Row],[Contracts Offered]]=0,0,SalesData[[#This Row],[Contracts Signed]]/SalesData[[#This Row],[Contracts Offered]])</f>
        <v>0.28235294117647058</v>
      </c>
      <c r="AG956" s="5">
        <f>IF(SalesData[[#This Row],[Customers Visited]]=0,0,SalesData[[#This Row],[Test Drives]]/SalesData[[#This Row],[Customers Visited]])</f>
        <v>0.47727272727272729</v>
      </c>
      <c r="AH956" s="5">
        <f>IF(SalesData[[#This Row],[Customers Visited]]=0,0,SalesData[[#This Row],[Contracts Signed]]/SalesData[[#This Row],[Customers Visited]])</f>
        <v>7.792207792207792E-2</v>
      </c>
      <c r="AI956" s="6">
        <f>IF(SalesData[[#This Row],[Contracts Signed]]=0,0,SalesData[[#This Row],[Profit(€)]]/SalesData[[#This Row],[Contracts Signed]])</f>
        <v>3242</v>
      </c>
      <c r="AJ956" s="5" t="str">
        <f>TRIM(CLEAN(SalesData[[#This Row],[Retailer]]))</f>
        <v>Ruhr Auto Plaza</v>
      </c>
    </row>
    <row r="957" spans="1:36" ht="14.25" hidden="1" x14ac:dyDescent="0.2">
      <c r="A957" t="s">
        <v>1656</v>
      </c>
      <c r="B957" s="1">
        <v>46059</v>
      </c>
      <c r="C957" t="s">
        <v>24</v>
      </c>
      <c r="D957" t="s">
        <v>54</v>
      </c>
      <c r="E957" t="s">
        <v>26</v>
      </c>
      <c r="F957" t="s">
        <v>43</v>
      </c>
      <c r="G957" t="s">
        <v>44</v>
      </c>
      <c r="H957" t="s">
        <v>45</v>
      </c>
      <c r="I957" t="s">
        <v>64</v>
      </c>
      <c r="J957" t="s">
        <v>65</v>
      </c>
      <c r="K957" t="s">
        <v>66</v>
      </c>
      <c r="L957" t="s">
        <v>33</v>
      </c>
      <c r="M957" t="s">
        <v>87</v>
      </c>
      <c r="N957" t="s">
        <v>35</v>
      </c>
      <c r="O957" t="s">
        <v>70</v>
      </c>
      <c r="P957" t="s">
        <v>58</v>
      </c>
      <c r="Q957" t="s">
        <v>167</v>
      </c>
      <c r="R957">
        <v>285</v>
      </c>
      <c r="S957">
        <v>135</v>
      </c>
      <c r="T957">
        <v>102</v>
      </c>
      <c r="U957">
        <v>37</v>
      </c>
      <c r="V957" t="s">
        <v>7350</v>
      </c>
      <c r="W957">
        <v>55745</v>
      </c>
      <c r="X957" t="s">
        <v>1632</v>
      </c>
      <c r="Y957">
        <v>42826</v>
      </c>
      <c r="Z957">
        <v>2062565</v>
      </c>
      <c r="AA957">
        <v>478003</v>
      </c>
      <c r="AB957" t="str">
        <f>(VLOOKUP(SalesData[[#This Row],[Month Number]],Reference!C$5:E$16,2,FALSE))</f>
        <v>Feb</v>
      </c>
      <c r="AC957">
        <f>MONTH(SalesData[[#This Row],[Date]])</f>
        <v>2</v>
      </c>
      <c r="AD957">
        <f>Reference!F$4</f>
        <v>2026</v>
      </c>
      <c r="AE957" t="str">
        <f>IF(OR(SalesData[[#This Row],[Day]]="Saturday",SalesData[[#This Row],[Day]]="Sunday"),"Weekend","Weekday")</f>
        <v>Weekday</v>
      </c>
      <c r="AF957" s="5">
        <f>IF(SalesData[[#This Row],[Contracts Offered]]=0,0,SalesData[[#This Row],[Contracts Signed]]/SalesData[[#This Row],[Contracts Offered]])</f>
        <v>0.36274509803921567</v>
      </c>
      <c r="AG957" s="5">
        <f>IF(SalesData[[#This Row],[Customers Visited]]=0,0,SalesData[[#This Row],[Test Drives]]/SalesData[[#This Row],[Customers Visited]])</f>
        <v>0.47368421052631576</v>
      </c>
      <c r="AH957" s="5">
        <f>IF(SalesData[[#This Row],[Customers Visited]]=0,0,SalesData[[#This Row],[Contracts Signed]]/SalesData[[#This Row],[Customers Visited]])</f>
        <v>0.12982456140350876</v>
      </c>
      <c r="AI957" s="6">
        <f>IF(SalesData[[#This Row],[Contracts Signed]]=0,0,SalesData[[#This Row],[Profit(€)]]/SalesData[[#This Row],[Contracts Signed]])</f>
        <v>12919</v>
      </c>
      <c r="AJ957" s="5" t="str">
        <f>TRIM(CLEAN(SalesData[[#This Row],[Retailer]]))</f>
        <v>Saxon Wheels</v>
      </c>
    </row>
    <row r="958" spans="1:36" ht="14.25" hidden="1" x14ac:dyDescent="0.2">
      <c r="A958" t="s">
        <v>1658</v>
      </c>
      <c r="B958" s="1">
        <v>46076</v>
      </c>
      <c r="C958" t="s">
        <v>53</v>
      </c>
      <c r="D958" t="s">
        <v>25</v>
      </c>
      <c r="E958" t="s">
        <v>26</v>
      </c>
      <c r="F958" t="s">
        <v>83</v>
      </c>
      <c r="G958" t="s">
        <v>84</v>
      </c>
      <c r="H958" t="s">
        <v>85</v>
      </c>
      <c r="I958" t="s">
        <v>56</v>
      </c>
      <c r="J958" t="s">
        <v>137</v>
      </c>
      <c r="K958" t="s">
        <v>32</v>
      </c>
      <c r="L958" t="s">
        <v>46</v>
      </c>
      <c r="M958" t="s">
        <v>87</v>
      </c>
      <c r="N958" t="s">
        <v>48</v>
      </c>
      <c r="O958" t="s">
        <v>70</v>
      </c>
      <c r="P958" t="s">
        <v>58</v>
      </c>
      <c r="Q958" t="s">
        <v>144</v>
      </c>
      <c r="R958">
        <v>314</v>
      </c>
      <c r="S958">
        <v>193</v>
      </c>
      <c r="T958">
        <v>138</v>
      </c>
      <c r="U958">
        <v>50</v>
      </c>
      <c r="V958" t="s">
        <v>6886</v>
      </c>
      <c r="W958">
        <v>53206</v>
      </c>
      <c r="X958" t="s">
        <v>7054</v>
      </c>
      <c r="Y958">
        <v>40394</v>
      </c>
      <c r="Z958">
        <v>2660300</v>
      </c>
      <c r="AA958">
        <v>640600</v>
      </c>
      <c r="AB958" t="str">
        <f>(VLOOKUP(SalesData[[#This Row],[Month Number]],Reference!C$5:E$16,2,FALSE))</f>
        <v>Feb</v>
      </c>
      <c r="AC958">
        <f>MONTH(SalesData[[#This Row],[Date]])</f>
        <v>2</v>
      </c>
      <c r="AD958">
        <f>Reference!F$4</f>
        <v>2026</v>
      </c>
      <c r="AE958" t="str">
        <f>IF(OR(SalesData[[#This Row],[Day]]="Saturday",SalesData[[#This Row],[Day]]="Sunday"),"Weekend","Weekday")</f>
        <v>Weekday</v>
      </c>
      <c r="AF958" s="5">
        <f>IF(SalesData[[#This Row],[Contracts Offered]]=0,0,SalesData[[#This Row],[Contracts Signed]]/SalesData[[#This Row],[Contracts Offered]])</f>
        <v>0.36231884057971014</v>
      </c>
      <c r="AG958" s="5">
        <f>IF(SalesData[[#This Row],[Customers Visited]]=0,0,SalesData[[#This Row],[Test Drives]]/SalesData[[#This Row],[Customers Visited]])</f>
        <v>0.61464968152866239</v>
      </c>
      <c r="AH958" s="5">
        <f>IF(SalesData[[#This Row],[Customers Visited]]=0,0,SalesData[[#This Row],[Contracts Signed]]/SalesData[[#This Row],[Customers Visited]])</f>
        <v>0.15923566878980891</v>
      </c>
      <c r="AI958" s="6">
        <f>IF(SalesData[[#This Row],[Contracts Signed]]=0,0,SalesData[[#This Row],[Profit(€)]]/SalesData[[#This Row],[Contracts Signed]])</f>
        <v>12812</v>
      </c>
      <c r="AJ958" s="5" t="str">
        <f>TRIM(CLEAN(SalesData[[#This Row],[Retailer]]))</f>
        <v>Hannover Cars</v>
      </c>
    </row>
    <row r="959" spans="1:36" ht="14.25" x14ac:dyDescent="0.2">
      <c r="A959" t="s">
        <v>1660</v>
      </c>
      <c r="B959" s="1">
        <v>46077</v>
      </c>
      <c r="C959" t="s">
        <v>53</v>
      </c>
      <c r="D959" t="s">
        <v>63</v>
      </c>
      <c r="E959" t="s">
        <v>26</v>
      </c>
      <c r="F959" t="s">
        <v>94</v>
      </c>
      <c r="G959" t="s">
        <v>95</v>
      </c>
      <c r="H959" t="s">
        <v>96</v>
      </c>
      <c r="I959" t="s">
        <v>30</v>
      </c>
      <c r="J959" t="s">
        <v>7075</v>
      </c>
      <c r="K959" t="s">
        <v>91</v>
      </c>
      <c r="L959" t="s">
        <v>33</v>
      </c>
      <c r="M959" t="s">
        <v>34</v>
      </c>
      <c r="N959" t="s">
        <v>48</v>
      </c>
      <c r="O959" t="s">
        <v>36</v>
      </c>
      <c r="P959" t="s">
        <v>37</v>
      </c>
      <c r="Q959" t="s">
        <v>189</v>
      </c>
      <c r="R959">
        <v>230</v>
      </c>
      <c r="S959">
        <v>112</v>
      </c>
      <c r="T959">
        <v>80</v>
      </c>
      <c r="U959">
        <v>32</v>
      </c>
      <c r="V959" t="s">
        <v>6357</v>
      </c>
      <c r="W959">
        <v>55515</v>
      </c>
      <c r="X959" t="s">
        <v>7219</v>
      </c>
      <c r="Y959">
        <v>41796</v>
      </c>
      <c r="Z959">
        <v>1776480</v>
      </c>
      <c r="AA959">
        <v>439008</v>
      </c>
      <c r="AB959" t="str">
        <f>(VLOOKUP(SalesData[[#This Row],[Month Number]],Reference!C$5:E$16,2,FALSE))</f>
        <v>Feb</v>
      </c>
      <c r="AC959">
        <f>MONTH(SalesData[[#This Row],[Date]])</f>
        <v>2</v>
      </c>
      <c r="AD959">
        <f>Reference!F$4</f>
        <v>2026</v>
      </c>
      <c r="AE959" t="str">
        <f>IF(OR(SalesData[[#This Row],[Day]]="Saturday",SalesData[[#This Row],[Day]]="Sunday"),"Weekend","Weekday")</f>
        <v>Weekday</v>
      </c>
      <c r="AF959" s="5">
        <f>IF(SalesData[[#This Row],[Contracts Offered]]=0,0,SalesData[[#This Row],[Contracts Signed]]/SalesData[[#This Row],[Contracts Offered]])</f>
        <v>0.4</v>
      </c>
      <c r="AG959" s="5">
        <f>IF(SalesData[[#This Row],[Customers Visited]]=0,0,SalesData[[#This Row],[Test Drives]]/SalesData[[#This Row],[Customers Visited]])</f>
        <v>0.48695652173913045</v>
      </c>
      <c r="AH959" s="5">
        <f>IF(SalesData[[#This Row],[Customers Visited]]=0,0,SalesData[[#This Row],[Contracts Signed]]/SalesData[[#This Row],[Customers Visited]])</f>
        <v>0.1391304347826087</v>
      </c>
      <c r="AI959" s="6">
        <f>IF(SalesData[[#This Row],[Contracts Signed]]=0,0,SalesData[[#This Row],[Profit(€)]]/SalesData[[#This Row],[Contracts Signed]])</f>
        <v>13719</v>
      </c>
      <c r="AJ959" s="5" t="str">
        <f>TRIM(CLEAN(SalesData[[#This Row],[Retailer]]))</f>
        <v>Bavaria Motors</v>
      </c>
    </row>
    <row r="960" spans="1:36" ht="14.25" hidden="1" x14ac:dyDescent="0.2">
      <c r="A960" t="s">
        <v>1661</v>
      </c>
      <c r="B960" s="1">
        <v>46078</v>
      </c>
      <c r="C960" t="s">
        <v>53</v>
      </c>
      <c r="D960" t="s">
        <v>82</v>
      </c>
      <c r="E960" t="s">
        <v>26</v>
      </c>
      <c r="F960" t="s">
        <v>7649</v>
      </c>
      <c r="G960" t="s">
        <v>55</v>
      </c>
      <c r="H960" t="s">
        <v>55</v>
      </c>
      <c r="I960" t="s">
        <v>64</v>
      </c>
      <c r="J960" t="s">
        <v>65</v>
      </c>
      <c r="K960" t="s">
        <v>32</v>
      </c>
      <c r="L960" t="s">
        <v>33</v>
      </c>
      <c r="M960" t="s">
        <v>68</v>
      </c>
      <c r="N960" t="s">
        <v>35</v>
      </c>
      <c r="O960" t="s">
        <v>70</v>
      </c>
      <c r="P960" t="s">
        <v>37</v>
      </c>
      <c r="Q960" t="s">
        <v>50</v>
      </c>
      <c r="R960">
        <v>172</v>
      </c>
      <c r="S960">
        <v>94</v>
      </c>
      <c r="T960">
        <v>72</v>
      </c>
      <c r="U960">
        <v>21</v>
      </c>
      <c r="V960" t="s">
        <v>6826</v>
      </c>
      <c r="W960">
        <v>54842</v>
      </c>
      <c r="X960" t="s">
        <v>4550</v>
      </c>
      <c r="Y960">
        <v>39846</v>
      </c>
      <c r="Z960">
        <v>1151682</v>
      </c>
      <c r="AA960">
        <v>314916</v>
      </c>
      <c r="AB960" t="str">
        <f>(VLOOKUP(SalesData[[#This Row],[Month Number]],Reference!C$5:E$16,2,FALSE))</f>
        <v>Feb</v>
      </c>
      <c r="AC960">
        <f>MONTH(SalesData[[#This Row],[Date]])</f>
        <v>2</v>
      </c>
      <c r="AD960">
        <f>Reference!F$4</f>
        <v>2026</v>
      </c>
      <c r="AE960" t="str">
        <f>IF(OR(SalesData[[#This Row],[Day]]="Saturday",SalesData[[#This Row],[Day]]="Sunday"),"Weekend","Weekday")</f>
        <v>Weekday</v>
      </c>
      <c r="AF960" s="5">
        <f>IF(SalesData[[#This Row],[Contracts Offered]]=0,0,SalesData[[#This Row],[Contracts Signed]]/SalesData[[#This Row],[Contracts Offered]])</f>
        <v>0.29166666666666669</v>
      </c>
      <c r="AG960" s="5">
        <f>IF(SalesData[[#This Row],[Customers Visited]]=0,0,SalesData[[#This Row],[Test Drives]]/SalesData[[#This Row],[Customers Visited]])</f>
        <v>0.54651162790697672</v>
      </c>
      <c r="AH960" s="5">
        <f>IF(SalesData[[#This Row],[Customers Visited]]=0,0,SalesData[[#This Row],[Contracts Signed]]/SalesData[[#This Row],[Customers Visited]])</f>
        <v>0.12209302325581395</v>
      </c>
      <c r="AI960" s="6">
        <f>IF(SalesData[[#This Row],[Contracts Signed]]=0,0,SalesData[[#This Row],[Profit(€)]]/SalesData[[#This Row],[Contracts Signed]])</f>
        <v>14996</v>
      </c>
      <c r="AJ960" s="5" t="str">
        <f>TRIM(CLEAN(SalesData[[#This Row],[Retailer]]))</f>
        <v>Autohaus Berlin</v>
      </c>
    </row>
    <row r="961" spans="1:36" ht="14.25" hidden="1" x14ac:dyDescent="0.2">
      <c r="A961" t="s">
        <v>1662</v>
      </c>
      <c r="B961" s="1">
        <v>46080</v>
      </c>
      <c r="C961" t="s">
        <v>53</v>
      </c>
      <c r="D961" t="s">
        <v>54</v>
      </c>
      <c r="E961" t="s">
        <v>26</v>
      </c>
      <c r="F961" t="s">
        <v>114</v>
      </c>
      <c r="G961" t="s">
        <v>115</v>
      </c>
      <c r="H961" t="s">
        <v>115</v>
      </c>
      <c r="I961" t="s">
        <v>104</v>
      </c>
      <c r="J961" t="s">
        <v>7031</v>
      </c>
      <c r="K961" t="s">
        <v>32</v>
      </c>
      <c r="L961" t="s">
        <v>46</v>
      </c>
      <c r="M961" t="s">
        <v>47</v>
      </c>
      <c r="N961" t="s">
        <v>35</v>
      </c>
      <c r="O961" t="s">
        <v>70</v>
      </c>
      <c r="P961" t="s">
        <v>37</v>
      </c>
      <c r="Q961" t="s">
        <v>144</v>
      </c>
      <c r="R961">
        <v>382</v>
      </c>
      <c r="S961">
        <v>156</v>
      </c>
      <c r="T961">
        <v>92</v>
      </c>
      <c r="U961">
        <v>27</v>
      </c>
      <c r="V961" t="s">
        <v>430</v>
      </c>
      <c r="W961">
        <v>26809</v>
      </c>
      <c r="X961" t="s">
        <v>2044</v>
      </c>
      <c r="Y961">
        <v>24324</v>
      </c>
      <c r="Z961">
        <v>723843</v>
      </c>
      <c r="AA961">
        <v>67095</v>
      </c>
      <c r="AB961" t="str">
        <f>(VLOOKUP(SalesData[[#This Row],[Month Number]],Reference!C$5:E$16,2,FALSE))</f>
        <v>Feb</v>
      </c>
      <c r="AC961">
        <f>MONTH(SalesData[[#This Row],[Date]])</f>
        <v>2</v>
      </c>
      <c r="AD961">
        <f>Reference!F$4</f>
        <v>2026</v>
      </c>
      <c r="AE961" t="str">
        <f>IF(OR(SalesData[[#This Row],[Day]]="Saturday",SalesData[[#This Row],[Day]]="Sunday"),"Weekend","Weekday")</f>
        <v>Weekday</v>
      </c>
      <c r="AF961" s="5">
        <f>IF(SalesData[[#This Row],[Contracts Offered]]=0,0,SalesData[[#This Row],[Contracts Signed]]/SalesData[[#This Row],[Contracts Offered]])</f>
        <v>0.29347826086956524</v>
      </c>
      <c r="AG961" s="5">
        <f>IF(SalesData[[#This Row],[Customers Visited]]=0,0,SalesData[[#This Row],[Test Drives]]/SalesData[[#This Row],[Customers Visited]])</f>
        <v>0.40837696335078533</v>
      </c>
      <c r="AH961" s="5">
        <f>IF(SalesData[[#This Row],[Customers Visited]]=0,0,SalesData[[#This Row],[Contracts Signed]]/SalesData[[#This Row],[Customers Visited]])</f>
        <v>7.0680628272251314E-2</v>
      </c>
      <c r="AI961" s="6">
        <f>IF(SalesData[[#This Row],[Contracts Signed]]=0,0,SalesData[[#This Row],[Profit(€)]]/SalesData[[#This Row],[Contracts Signed]])</f>
        <v>2485</v>
      </c>
      <c r="AJ961" s="5" t="str">
        <f>TRIM(CLEAN(SalesData[[#This Row],[Retailer]]))</f>
        <v>Elbe Drive</v>
      </c>
    </row>
    <row r="962" spans="1:36" ht="14.25" hidden="1" x14ac:dyDescent="0.2">
      <c r="A962" t="s">
        <v>1664</v>
      </c>
      <c r="B962" s="1">
        <v>46061</v>
      </c>
      <c r="C962" t="s">
        <v>121</v>
      </c>
      <c r="D962" t="s">
        <v>41</v>
      </c>
      <c r="E962" t="s">
        <v>42</v>
      </c>
      <c r="F962" t="s">
        <v>127</v>
      </c>
      <c r="G962" t="s">
        <v>128</v>
      </c>
      <c r="H962" t="s">
        <v>103</v>
      </c>
      <c r="I962" t="s">
        <v>116</v>
      </c>
      <c r="J962" t="s">
        <v>203</v>
      </c>
      <c r="K962" t="s">
        <v>32</v>
      </c>
      <c r="L962" t="s">
        <v>67</v>
      </c>
      <c r="M962" t="s">
        <v>87</v>
      </c>
      <c r="N962" t="s">
        <v>69</v>
      </c>
      <c r="O962" t="s">
        <v>36</v>
      </c>
      <c r="P962" t="s">
        <v>37</v>
      </c>
      <c r="Q962" t="s">
        <v>169</v>
      </c>
      <c r="R962">
        <v>267</v>
      </c>
      <c r="S962">
        <v>116</v>
      </c>
      <c r="T962">
        <v>72</v>
      </c>
      <c r="U962">
        <v>15</v>
      </c>
      <c r="V962" t="s">
        <v>921</v>
      </c>
      <c r="W962">
        <v>24758</v>
      </c>
      <c r="X962" t="s">
        <v>2090</v>
      </c>
      <c r="Y962">
        <v>22958</v>
      </c>
      <c r="Z962">
        <v>371370</v>
      </c>
      <c r="AA962">
        <v>27000</v>
      </c>
      <c r="AB962" t="str">
        <f>(VLOOKUP(SalesData[[#This Row],[Month Number]],Reference!C$5:E$16,2,FALSE))</f>
        <v>Feb</v>
      </c>
      <c r="AC962">
        <f>MONTH(SalesData[[#This Row],[Date]])</f>
        <v>2</v>
      </c>
      <c r="AD962">
        <f>Reference!F$4</f>
        <v>2026</v>
      </c>
      <c r="AE962" t="str">
        <f>IF(OR(SalesData[[#This Row],[Day]]="Saturday",SalesData[[#This Row],[Day]]="Sunday"),"Weekend","Weekday")</f>
        <v>Weekend</v>
      </c>
      <c r="AF962" s="5">
        <f>IF(SalesData[[#This Row],[Contracts Offered]]=0,0,SalesData[[#This Row],[Contracts Signed]]/SalesData[[#This Row],[Contracts Offered]])</f>
        <v>0.20833333333333334</v>
      </c>
      <c r="AG962" s="5">
        <f>IF(SalesData[[#This Row],[Customers Visited]]=0,0,SalesData[[#This Row],[Test Drives]]/SalesData[[#This Row],[Customers Visited]])</f>
        <v>0.43445692883895132</v>
      </c>
      <c r="AH962" s="5">
        <f>IF(SalesData[[#This Row],[Customers Visited]]=0,0,SalesData[[#This Row],[Contracts Signed]]/SalesData[[#This Row],[Customers Visited]])</f>
        <v>5.6179775280898875E-2</v>
      </c>
      <c r="AI962" s="6">
        <f>IF(SalesData[[#This Row],[Contracts Signed]]=0,0,SalesData[[#This Row],[Profit(€)]]/SalesData[[#This Row],[Contracts Signed]])</f>
        <v>1800</v>
      </c>
      <c r="AJ962" s="5" t="str">
        <f>TRIM(CLEAN(SalesData[[#This Row],[Retailer]]))</f>
        <v>Rhein Auto Group</v>
      </c>
    </row>
    <row r="963" spans="1:36" ht="14.25" hidden="1" x14ac:dyDescent="0.2">
      <c r="A963" t="s">
        <v>1665</v>
      </c>
      <c r="B963" s="1">
        <v>46054</v>
      </c>
      <c r="C963" t="s">
        <v>24</v>
      </c>
      <c r="D963" t="s">
        <v>41</v>
      </c>
      <c r="E963" t="s">
        <v>42</v>
      </c>
      <c r="F963" t="s">
        <v>7649</v>
      </c>
      <c r="G963" t="s">
        <v>55</v>
      </c>
      <c r="H963" t="s">
        <v>55</v>
      </c>
      <c r="I963" t="s">
        <v>116</v>
      </c>
      <c r="J963" t="s">
        <v>7090</v>
      </c>
      <c r="K963" t="s">
        <v>66</v>
      </c>
      <c r="L963" t="s">
        <v>46</v>
      </c>
      <c r="M963" t="s">
        <v>34</v>
      </c>
      <c r="N963" t="s">
        <v>48</v>
      </c>
      <c r="O963" t="s">
        <v>70</v>
      </c>
      <c r="P963" t="s">
        <v>37</v>
      </c>
      <c r="Q963" t="s">
        <v>106</v>
      </c>
      <c r="R963">
        <v>428</v>
      </c>
      <c r="S963">
        <v>169</v>
      </c>
      <c r="T963">
        <v>97</v>
      </c>
      <c r="U963">
        <v>22</v>
      </c>
      <c r="V963" t="s">
        <v>3733</v>
      </c>
      <c r="W963">
        <v>24818</v>
      </c>
      <c r="X963" t="s">
        <v>2604</v>
      </c>
      <c r="Y963">
        <v>22124</v>
      </c>
      <c r="Z963">
        <v>545996</v>
      </c>
      <c r="AA963">
        <v>59268</v>
      </c>
      <c r="AB963" t="str">
        <f>(VLOOKUP(SalesData[[#This Row],[Month Number]],Reference!C$5:E$16,2,FALSE))</f>
        <v>Feb</v>
      </c>
      <c r="AC963">
        <f>MONTH(SalesData[[#This Row],[Date]])</f>
        <v>2</v>
      </c>
      <c r="AD963">
        <f>Reference!F$4</f>
        <v>2026</v>
      </c>
      <c r="AE963" t="str">
        <f>IF(OR(SalesData[[#This Row],[Day]]="Saturday",SalesData[[#This Row],[Day]]="Sunday"),"Weekend","Weekday")</f>
        <v>Weekend</v>
      </c>
      <c r="AF963" s="5">
        <f>IF(SalesData[[#This Row],[Contracts Offered]]=0,0,SalesData[[#This Row],[Contracts Signed]]/SalesData[[#This Row],[Contracts Offered]])</f>
        <v>0.22680412371134021</v>
      </c>
      <c r="AG963" s="5">
        <f>IF(SalesData[[#This Row],[Customers Visited]]=0,0,SalesData[[#This Row],[Test Drives]]/SalesData[[#This Row],[Customers Visited]])</f>
        <v>0.39485981308411217</v>
      </c>
      <c r="AH963" s="5">
        <f>IF(SalesData[[#This Row],[Customers Visited]]=0,0,SalesData[[#This Row],[Contracts Signed]]/SalesData[[#This Row],[Customers Visited]])</f>
        <v>5.1401869158878503E-2</v>
      </c>
      <c r="AI963" s="6">
        <f>IF(SalesData[[#This Row],[Contracts Signed]]=0,0,SalesData[[#This Row],[Profit(€)]]/SalesData[[#This Row],[Contracts Signed]])</f>
        <v>2694</v>
      </c>
      <c r="AJ963" s="5" t="str">
        <f>TRIM(CLEAN(SalesData[[#This Row],[Retailer]]))</f>
        <v>Autohaus Berlin</v>
      </c>
    </row>
    <row r="964" spans="1:36" ht="14.25" x14ac:dyDescent="0.2">
      <c r="A964" t="s">
        <v>1666</v>
      </c>
      <c r="B964" s="1">
        <v>46080</v>
      </c>
      <c r="C964" t="s">
        <v>53</v>
      </c>
      <c r="D964" t="s">
        <v>54</v>
      </c>
      <c r="E964" t="s">
        <v>26</v>
      </c>
      <c r="F964" t="s">
        <v>101</v>
      </c>
      <c r="G964" t="s">
        <v>102</v>
      </c>
      <c r="H964" t="s">
        <v>103</v>
      </c>
      <c r="I964" t="s">
        <v>30</v>
      </c>
      <c r="J964" t="s">
        <v>31</v>
      </c>
      <c r="K964" t="s">
        <v>66</v>
      </c>
      <c r="L964" t="s">
        <v>46</v>
      </c>
      <c r="M964" t="s">
        <v>68</v>
      </c>
      <c r="N964" t="s">
        <v>35</v>
      </c>
      <c r="O964" t="s">
        <v>36</v>
      </c>
      <c r="P964" t="s">
        <v>71</v>
      </c>
      <c r="Q964" t="s">
        <v>144</v>
      </c>
      <c r="R964">
        <v>214</v>
      </c>
      <c r="S964">
        <v>104</v>
      </c>
      <c r="T964">
        <v>84</v>
      </c>
      <c r="U964">
        <v>29</v>
      </c>
      <c r="V964" t="s">
        <v>6832</v>
      </c>
      <c r="W964">
        <v>61382</v>
      </c>
      <c r="X964" t="s">
        <v>5094</v>
      </c>
      <c r="Y964">
        <v>44394</v>
      </c>
      <c r="Z964">
        <v>1780078</v>
      </c>
      <c r="AA964">
        <v>492652</v>
      </c>
      <c r="AB964" t="str">
        <f>(VLOOKUP(SalesData[[#This Row],[Month Number]],Reference!C$5:E$16,2,FALSE))</f>
        <v>Feb</v>
      </c>
      <c r="AC964">
        <f>MONTH(SalesData[[#This Row],[Date]])</f>
        <v>2</v>
      </c>
      <c r="AD964">
        <f>Reference!F$4</f>
        <v>2026</v>
      </c>
      <c r="AE964" t="str">
        <f>IF(OR(SalesData[[#This Row],[Day]]="Saturday",SalesData[[#This Row],[Day]]="Sunday"),"Weekend","Weekday")</f>
        <v>Weekday</v>
      </c>
      <c r="AF964" s="5">
        <f>IF(SalesData[[#This Row],[Contracts Offered]]=0,0,SalesData[[#This Row],[Contracts Signed]]/SalesData[[#This Row],[Contracts Offered]])</f>
        <v>0.34523809523809523</v>
      </c>
      <c r="AG964" s="5">
        <f>IF(SalesData[[#This Row],[Customers Visited]]=0,0,SalesData[[#This Row],[Test Drives]]/SalesData[[#This Row],[Customers Visited]])</f>
        <v>0.48598130841121495</v>
      </c>
      <c r="AH964" s="5">
        <f>IF(SalesData[[#This Row],[Customers Visited]]=0,0,SalesData[[#This Row],[Contracts Signed]]/SalesData[[#This Row],[Customers Visited]])</f>
        <v>0.13551401869158877</v>
      </c>
      <c r="AI964" s="6">
        <f>IF(SalesData[[#This Row],[Contracts Signed]]=0,0,SalesData[[#This Row],[Profit(€)]]/SalesData[[#This Row],[Contracts Signed]])</f>
        <v>16988</v>
      </c>
      <c r="AJ964" s="5" t="str">
        <f>TRIM(CLEAN(SalesData[[#This Row],[Retailer]]))</f>
        <v>Ruhr Auto Plaza</v>
      </c>
    </row>
    <row r="965" spans="1:36" ht="14.25" hidden="1" x14ac:dyDescent="0.2">
      <c r="A965" t="s">
        <v>1667</v>
      </c>
      <c r="B965" s="1">
        <v>46067</v>
      </c>
      <c r="C965" t="s">
        <v>121</v>
      </c>
      <c r="D965" t="s">
        <v>151</v>
      </c>
      <c r="E965" t="s">
        <v>42</v>
      </c>
      <c r="F965" t="s">
        <v>74</v>
      </c>
      <c r="G965" t="s">
        <v>75</v>
      </c>
      <c r="H965" t="s">
        <v>76</v>
      </c>
      <c r="I965" t="s">
        <v>64</v>
      </c>
      <c r="J965" t="s">
        <v>7029</v>
      </c>
      <c r="K965" t="s">
        <v>32</v>
      </c>
      <c r="L965" t="s">
        <v>33</v>
      </c>
      <c r="M965" t="s">
        <v>68</v>
      </c>
      <c r="N965" t="s">
        <v>35</v>
      </c>
      <c r="O965" t="s">
        <v>70</v>
      </c>
      <c r="P965" t="s">
        <v>37</v>
      </c>
      <c r="Q965" t="s">
        <v>129</v>
      </c>
      <c r="R965">
        <v>167</v>
      </c>
      <c r="S965">
        <v>74</v>
      </c>
      <c r="T965">
        <v>49</v>
      </c>
      <c r="U965">
        <v>16</v>
      </c>
      <c r="V965" t="s">
        <v>6633</v>
      </c>
      <c r="W965">
        <v>52416</v>
      </c>
      <c r="X965" t="s">
        <v>7202</v>
      </c>
      <c r="Y965">
        <v>37363</v>
      </c>
      <c r="Z965">
        <v>838656</v>
      </c>
      <c r="AA965">
        <v>240848</v>
      </c>
      <c r="AB965" t="str">
        <f>(VLOOKUP(SalesData[[#This Row],[Month Number]],Reference!C$5:E$16,2,FALSE))</f>
        <v>Feb</v>
      </c>
      <c r="AC965">
        <f>MONTH(SalesData[[#This Row],[Date]])</f>
        <v>2</v>
      </c>
      <c r="AD965">
        <f>Reference!F$4</f>
        <v>2026</v>
      </c>
      <c r="AE965" t="str">
        <f>IF(OR(SalesData[[#This Row],[Day]]="Saturday",SalesData[[#This Row],[Day]]="Sunday"),"Weekend","Weekday")</f>
        <v>Weekend</v>
      </c>
      <c r="AF965" s="5">
        <f>IF(SalesData[[#This Row],[Contracts Offered]]=0,0,SalesData[[#This Row],[Contracts Signed]]/SalesData[[#This Row],[Contracts Offered]])</f>
        <v>0.32653061224489793</v>
      </c>
      <c r="AG965" s="5">
        <f>IF(SalesData[[#This Row],[Customers Visited]]=0,0,SalesData[[#This Row],[Test Drives]]/SalesData[[#This Row],[Customers Visited]])</f>
        <v>0.44311377245508982</v>
      </c>
      <c r="AH965" s="5">
        <f>IF(SalesData[[#This Row],[Customers Visited]]=0,0,SalesData[[#This Row],[Contracts Signed]]/SalesData[[#This Row],[Customers Visited]])</f>
        <v>9.580838323353294E-2</v>
      </c>
      <c r="AI965" s="6">
        <f>IF(SalesData[[#This Row],[Contracts Signed]]=0,0,SalesData[[#This Row],[Profit(€)]]/SalesData[[#This Row],[Contracts Signed]])</f>
        <v>15053</v>
      </c>
      <c r="AJ965" s="5" t="str">
        <f>TRIM(CLEAN(SalesData[[#This Row],[Retailer]]))</f>
        <v>Stuttgart Auto Center</v>
      </c>
    </row>
    <row r="966" spans="1:36" ht="14.25" x14ac:dyDescent="0.2">
      <c r="A966" t="s">
        <v>1669</v>
      </c>
      <c r="B966" s="1">
        <v>46076</v>
      </c>
      <c r="C966" t="s">
        <v>53</v>
      </c>
      <c r="D966" t="s">
        <v>25</v>
      </c>
      <c r="E966" t="s">
        <v>26</v>
      </c>
      <c r="F966" t="s">
        <v>83</v>
      </c>
      <c r="G966" t="s">
        <v>84</v>
      </c>
      <c r="H966" t="s">
        <v>85</v>
      </c>
      <c r="I966" t="s">
        <v>30</v>
      </c>
      <c r="J966" t="s">
        <v>7075</v>
      </c>
      <c r="K966" t="s">
        <v>91</v>
      </c>
      <c r="L966" t="s">
        <v>33</v>
      </c>
      <c r="M966" t="s">
        <v>87</v>
      </c>
      <c r="N966" t="s">
        <v>35</v>
      </c>
      <c r="O966" t="s">
        <v>36</v>
      </c>
      <c r="P966" t="s">
        <v>37</v>
      </c>
      <c r="Q966" t="s">
        <v>129</v>
      </c>
      <c r="R966">
        <v>162</v>
      </c>
      <c r="S966">
        <v>92</v>
      </c>
      <c r="T966">
        <v>63</v>
      </c>
      <c r="U966">
        <v>26</v>
      </c>
      <c r="V966" t="s">
        <v>6896</v>
      </c>
      <c r="W966">
        <v>51857</v>
      </c>
      <c r="X966" t="s">
        <v>7272</v>
      </c>
      <c r="Y966">
        <v>37930</v>
      </c>
      <c r="Z966">
        <v>1348282</v>
      </c>
      <c r="AA966">
        <v>362102</v>
      </c>
      <c r="AB966" t="str">
        <f>(VLOOKUP(SalesData[[#This Row],[Month Number]],Reference!C$5:E$16,2,FALSE))</f>
        <v>Feb</v>
      </c>
      <c r="AC966">
        <f>MONTH(SalesData[[#This Row],[Date]])</f>
        <v>2</v>
      </c>
      <c r="AD966">
        <f>Reference!F$4</f>
        <v>2026</v>
      </c>
      <c r="AE966" t="str">
        <f>IF(OR(SalesData[[#This Row],[Day]]="Saturday",SalesData[[#This Row],[Day]]="Sunday"),"Weekend","Weekday")</f>
        <v>Weekday</v>
      </c>
      <c r="AF966" s="5">
        <f>IF(SalesData[[#This Row],[Contracts Offered]]=0,0,SalesData[[#This Row],[Contracts Signed]]/SalesData[[#This Row],[Contracts Offered]])</f>
        <v>0.41269841269841268</v>
      </c>
      <c r="AG966" s="5">
        <f>IF(SalesData[[#This Row],[Customers Visited]]=0,0,SalesData[[#This Row],[Test Drives]]/SalesData[[#This Row],[Customers Visited]])</f>
        <v>0.5679012345679012</v>
      </c>
      <c r="AH966" s="5">
        <f>IF(SalesData[[#This Row],[Customers Visited]]=0,0,SalesData[[#This Row],[Contracts Signed]]/SalesData[[#This Row],[Customers Visited]])</f>
        <v>0.16049382716049382</v>
      </c>
      <c r="AI966" s="6">
        <f>IF(SalesData[[#This Row],[Contracts Signed]]=0,0,SalesData[[#This Row],[Profit(€)]]/SalesData[[#This Row],[Contracts Signed]])</f>
        <v>13927</v>
      </c>
      <c r="AJ966" s="5" t="str">
        <f>TRIM(CLEAN(SalesData[[#This Row],[Retailer]]))</f>
        <v>Hannover Cars</v>
      </c>
    </row>
    <row r="967" spans="1:36" ht="14.25" hidden="1" x14ac:dyDescent="0.2">
      <c r="A967" t="s">
        <v>1671</v>
      </c>
      <c r="B967" s="1">
        <v>46071</v>
      </c>
      <c r="C967" t="s">
        <v>62</v>
      </c>
      <c r="D967" t="s">
        <v>82</v>
      </c>
      <c r="E967" t="s">
        <v>26</v>
      </c>
      <c r="F967" t="s">
        <v>109</v>
      </c>
      <c r="G967" t="s">
        <v>110</v>
      </c>
      <c r="H967" t="s">
        <v>45</v>
      </c>
      <c r="I967" t="s">
        <v>116</v>
      </c>
      <c r="J967" t="s">
        <v>7090</v>
      </c>
      <c r="K967" t="s">
        <v>32</v>
      </c>
      <c r="L967" t="s">
        <v>46</v>
      </c>
      <c r="M967" t="s">
        <v>34</v>
      </c>
      <c r="N967" t="s">
        <v>69</v>
      </c>
      <c r="O967" t="s">
        <v>36</v>
      </c>
      <c r="P967" t="s">
        <v>37</v>
      </c>
      <c r="Q967" t="s">
        <v>172</v>
      </c>
      <c r="R967">
        <v>236</v>
      </c>
      <c r="S967">
        <v>107</v>
      </c>
      <c r="T967">
        <v>65</v>
      </c>
      <c r="U967">
        <v>15</v>
      </c>
      <c r="V967" t="s">
        <v>5107</v>
      </c>
      <c r="W967">
        <v>23524</v>
      </c>
      <c r="X967" t="s">
        <v>738</v>
      </c>
      <c r="Y967">
        <v>21658</v>
      </c>
      <c r="Z967">
        <v>352860</v>
      </c>
      <c r="AA967">
        <v>27990</v>
      </c>
      <c r="AB967" t="str">
        <f>(VLOOKUP(SalesData[[#This Row],[Month Number]],Reference!C$5:E$16,2,FALSE))</f>
        <v>Feb</v>
      </c>
      <c r="AC967">
        <f>MONTH(SalesData[[#This Row],[Date]])</f>
        <v>2</v>
      </c>
      <c r="AD967">
        <f>Reference!F$4</f>
        <v>2026</v>
      </c>
      <c r="AE967" t="str">
        <f>IF(OR(SalesData[[#This Row],[Day]]="Saturday",SalesData[[#This Row],[Day]]="Sunday"),"Weekend","Weekday")</f>
        <v>Weekday</v>
      </c>
      <c r="AF967" s="5">
        <f>IF(SalesData[[#This Row],[Contracts Offered]]=0,0,SalesData[[#This Row],[Contracts Signed]]/SalesData[[#This Row],[Contracts Offered]])</f>
        <v>0.23076923076923078</v>
      </c>
      <c r="AG967" s="5">
        <f>IF(SalesData[[#This Row],[Customers Visited]]=0,0,SalesData[[#This Row],[Test Drives]]/SalesData[[#This Row],[Customers Visited]])</f>
        <v>0.45338983050847459</v>
      </c>
      <c r="AH967" s="5">
        <f>IF(SalesData[[#This Row],[Customers Visited]]=0,0,SalesData[[#This Row],[Contracts Signed]]/SalesData[[#This Row],[Customers Visited]])</f>
        <v>6.3559322033898302E-2</v>
      </c>
      <c r="AI967" s="6">
        <f>IF(SalesData[[#This Row],[Contracts Signed]]=0,0,SalesData[[#This Row],[Profit(€)]]/SalesData[[#This Row],[Contracts Signed]])</f>
        <v>1866</v>
      </c>
      <c r="AJ967" s="5" t="str">
        <f>TRIM(CLEAN(SalesData[[#This Row],[Retailer]]))</f>
        <v>Leipzig Mobility</v>
      </c>
    </row>
    <row r="968" spans="1:36" ht="14.25" x14ac:dyDescent="0.2">
      <c r="A968" t="s">
        <v>1673</v>
      </c>
      <c r="B968" s="1">
        <v>46063</v>
      </c>
      <c r="C968" t="s">
        <v>121</v>
      </c>
      <c r="D968" t="s">
        <v>63</v>
      </c>
      <c r="E968" t="s">
        <v>26</v>
      </c>
      <c r="F968" t="s">
        <v>74</v>
      </c>
      <c r="G968" t="s">
        <v>75</v>
      </c>
      <c r="H968" t="s">
        <v>76</v>
      </c>
      <c r="I968" t="s">
        <v>30</v>
      </c>
      <c r="J968" t="s">
        <v>188</v>
      </c>
      <c r="K968" t="s">
        <v>32</v>
      </c>
      <c r="L968" t="s">
        <v>33</v>
      </c>
      <c r="M968" t="s">
        <v>47</v>
      </c>
      <c r="N968" t="s">
        <v>69</v>
      </c>
      <c r="O968" t="s">
        <v>36</v>
      </c>
      <c r="P968" t="s">
        <v>49</v>
      </c>
      <c r="Q968" t="s">
        <v>152</v>
      </c>
      <c r="R968">
        <v>262</v>
      </c>
      <c r="S968">
        <v>157</v>
      </c>
      <c r="T968">
        <v>109</v>
      </c>
      <c r="U968">
        <v>46</v>
      </c>
      <c r="V968" t="s">
        <v>6857</v>
      </c>
      <c r="W968">
        <v>60546</v>
      </c>
      <c r="X968" t="s">
        <v>7190</v>
      </c>
      <c r="Y968">
        <v>46965</v>
      </c>
      <c r="Z968">
        <v>2785116</v>
      </c>
      <c r="AA968">
        <v>624726</v>
      </c>
      <c r="AB968" t="str">
        <f>(VLOOKUP(SalesData[[#This Row],[Month Number]],Reference!C$5:E$16,2,FALSE))</f>
        <v>Feb</v>
      </c>
      <c r="AC968">
        <f>MONTH(SalesData[[#This Row],[Date]])</f>
        <v>2</v>
      </c>
      <c r="AD968">
        <f>Reference!F$4</f>
        <v>2026</v>
      </c>
      <c r="AE968" t="str">
        <f>IF(OR(SalesData[[#This Row],[Day]]="Saturday",SalesData[[#This Row],[Day]]="Sunday"),"Weekend","Weekday")</f>
        <v>Weekday</v>
      </c>
      <c r="AF968" s="5">
        <f>IF(SalesData[[#This Row],[Contracts Offered]]=0,0,SalesData[[#This Row],[Contracts Signed]]/SalesData[[#This Row],[Contracts Offered]])</f>
        <v>0.42201834862385323</v>
      </c>
      <c r="AG968" s="5">
        <f>IF(SalesData[[#This Row],[Customers Visited]]=0,0,SalesData[[#This Row],[Test Drives]]/SalesData[[#This Row],[Customers Visited]])</f>
        <v>0.5992366412213741</v>
      </c>
      <c r="AH968" s="5">
        <f>IF(SalesData[[#This Row],[Customers Visited]]=0,0,SalesData[[#This Row],[Contracts Signed]]/SalesData[[#This Row],[Customers Visited]])</f>
        <v>0.17557251908396945</v>
      </c>
      <c r="AI968" s="6">
        <f>IF(SalesData[[#This Row],[Contracts Signed]]=0,0,SalesData[[#This Row],[Profit(€)]]/SalesData[[#This Row],[Contracts Signed]])</f>
        <v>13581</v>
      </c>
      <c r="AJ968" s="5" t="str">
        <f>TRIM(CLEAN(SalesData[[#This Row],[Retailer]]))</f>
        <v>Stuttgart Auto Center</v>
      </c>
    </row>
    <row r="969" spans="1:36" ht="14.25" hidden="1" x14ac:dyDescent="0.2">
      <c r="A969" t="s">
        <v>1674</v>
      </c>
      <c r="B969" s="1">
        <v>46073</v>
      </c>
      <c r="C969" t="s">
        <v>62</v>
      </c>
      <c r="D969" t="s">
        <v>54</v>
      </c>
      <c r="E969" t="s">
        <v>26</v>
      </c>
      <c r="F969" t="s">
        <v>114</v>
      </c>
      <c r="G969" t="s">
        <v>115</v>
      </c>
      <c r="H969" t="s">
        <v>115</v>
      </c>
      <c r="I969" t="s">
        <v>116</v>
      </c>
      <c r="J969" t="s">
        <v>7026</v>
      </c>
      <c r="K969" t="s">
        <v>91</v>
      </c>
      <c r="L969" t="s">
        <v>46</v>
      </c>
      <c r="M969" t="s">
        <v>34</v>
      </c>
      <c r="N969" t="s">
        <v>35</v>
      </c>
      <c r="O969" t="s">
        <v>36</v>
      </c>
      <c r="P969" t="s">
        <v>71</v>
      </c>
      <c r="Q969" t="s">
        <v>50</v>
      </c>
      <c r="R969">
        <v>366</v>
      </c>
      <c r="S969">
        <v>202</v>
      </c>
      <c r="T969">
        <v>126</v>
      </c>
      <c r="U969">
        <v>38</v>
      </c>
      <c r="V969" t="s">
        <v>3135</v>
      </c>
      <c r="W969">
        <v>20261</v>
      </c>
      <c r="X969" t="s">
        <v>3101</v>
      </c>
      <c r="Y969">
        <v>18748</v>
      </c>
      <c r="Z969">
        <v>769918</v>
      </c>
      <c r="AA969">
        <v>57494</v>
      </c>
      <c r="AB969" t="str">
        <f>(VLOOKUP(SalesData[[#This Row],[Month Number]],Reference!C$5:E$16,2,FALSE))</f>
        <v>Feb</v>
      </c>
      <c r="AC969">
        <f>MONTH(SalesData[[#This Row],[Date]])</f>
        <v>2</v>
      </c>
      <c r="AD969">
        <f>Reference!F$4</f>
        <v>2026</v>
      </c>
      <c r="AE969" t="str">
        <f>IF(OR(SalesData[[#This Row],[Day]]="Saturday",SalesData[[#This Row],[Day]]="Sunday"),"Weekend","Weekday")</f>
        <v>Weekday</v>
      </c>
      <c r="AF969" s="5">
        <f>IF(SalesData[[#This Row],[Contracts Offered]]=0,0,SalesData[[#This Row],[Contracts Signed]]/SalesData[[#This Row],[Contracts Offered]])</f>
        <v>0.30158730158730157</v>
      </c>
      <c r="AG969" s="5">
        <f>IF(SalesData[[#This Row],[Customers Visited]]=0,0,SalesData[[#This Row],[Test Drives]]/SalesData[[#This Row],[Customers Visited]])</f>
        <v>0.55191256830601088</v>
      </c>
      <c r="AH969" s="5">
        <f>IF(SalesData[[#This Row],[Customers Visited]]=0,0,SalesData[[#This Row],[Contracts Signed]]/SalesData[[#This Row],[Customers Visited]])</f>
        <v>0.10382513661202186</v>
      </c>
      <c r="AI969" s="6">
        <f>IF(SalesData[[#This Row],[Contracts Signed]]=0,0,SalesData[[#This Row],[Profit(€)]]/SalesData[[#This Row],[Contracts Signed]])</f>
        <v>1513</v>
      </c>
      <c r="AJ969" s="5" t="str">
        <f>TRIM(CLEAN(SalesData[[#This Row],[Retailer]]))</f>
        <v>Elbe Drive</v>
      </c>
    </row>
    <row r="970" spans="1:36" ht="14.25" x14ac:dyDescent="0.2">
      <c r="A970" t="s">
        <v>1675</v>
      </c>
      <c r="B970" s="1">
        <v>46074</v>
      </c>
      <c r="C970" t="s">
        <v>62</v>
      </c>
      <c r="D970" t="s">
        <v>151</v>
      </c>
      <c r="E970" t="s">
        <v>42</v>
      </c>
      <c r="F970" t="s">
        <v>94</v>
      </c>
      <c r="G970" t="s">
        <v>95</v>
      </c>
      <c r="H970" t="s">
        <v>96</v>
      </c>
      <c r="I970" t="s">
        <v>30</v>
      </c>
      <c r="J970" t="s">
        <v>31</v>
      </c>
      <c r="K970" t="s">
        <v>78</v>
      </c>
      <c r="L970" t="s">
        <v>46</v>
      </c>
      <c r="M970" t="s">
        <v>68</v>
      </c>
      <c r="N970" t="s">
        <v>69</v>
      </c>
      <c r="O970" t="s">
        <v>36</v>
      </c>
      <c r="P970" t="s">
        <v>71</v>
      </c>
      <c r="Q970" t="s">
        <v>79</v>
      </c>
      <c r="R970">
        <v>208</v>
      </c>
      <c r="S970">
        <v>111</v>
      </c>
      <c r="T970">
        <v>81</v>
      </c>
      <c r="U970">
        <v>36</v>
      </c>
      <c r="V970" t="s">
        <v>7351</v>
      </c>
      <c r="W970">
        <v>68793</v>
      </c>
      <c r="X970" t="s">
        <v>7335</v>
      </c>
      <c r="Y970">
        <v>49242</v>
      </c>
      <c r="Z970">
        <v>2476548</v>
      </c>
      <c r="AA970">
        <v>703836</v>
      </c>
      <c r="AB970" t="str">
        <f>(VLOOKUP(SalesData[[#This Row],[Month Number]],Reference!C$5:E$16,2,FALSE))</f>
        <v>Feb</v>
      </c>
      <c r="AC970">
        <f>MONTH(SalesData[[#This Row],[Date]])</f>
        <v>2</v>
      </c>
      <c r="AD970">
        <f>Reference!F$4</f>
        <v>2026</v>
      </c>
      <c r="AE970" t="str">
        <f>IF(OR(SalesData[[#This Row],[Day]]="Saturday",SalesData[[#This Row],[Day]]="Sunday"),"Weekend","Weekday")</f>
        <v>Weekend</v>
      </c>
      <c r="AF970" s="5">
        <f>IF(SalesData[[#This Row],[Contracts Offered]]=0,0,SalesData[[#This Row],[Contracts Signed]]/SalesData[[#This Row],[Contracts Offered]])</f>
        <v>0.44444444444444442</v>
      </c>
      <c r="AG970" s="5">
        <f>IF(SalesData[[#This Row],[Customers Visited]]=0,0,SalesData[[#This Row],[Test Drives]]/SalesData[[#This Row],[Customers Visited]])</f>
        <v>0.53365384615384615</v>
      </c>
      <c r="AH970" s="5">
        <f>IF(SalesData[[#This Row],[Customers Visited]]=0,0,SalesData[[#This Row],[Contracts Signed]]/SalesData[[#This Row],[Customers Visited]])</f>
        <v>0.17307692307692307</v>
      </c>
      <c r="AI970" s="6">
        <f>IF(SalesData[[#This Row],[Contracts Signed]]=0,0,SalesData[[#This Row],[Profit(€)]]/SalesData[[#This Row],[Contracts Signed]])</f>
        <v>19551</v>
      </c>
      <c r="AJ970" s="5" t="str">
        <f>TRIM(CLEAN(SalesData[[#This Row],[Retailer]]))</f>
        <v>Bavaria Motors</v>
      </c>
    </row>
    <row r="971" spans="1:36" ht="14.25" hidden="1" x14ac:dyDescent="0.2">
      <c r="A971" t="s">
        <v>1676</v>
      </c>
      <c r="B971" s="1">
        <v>46073</v>
      </c>
      <c r="C971" t="s">
        <v>62</v>
      </c>
      <c r="D971" t="s">
        <v>54</v>
      </c>
      <c r="E971" t="s">
        <v>26</v>
      </c>
      <c r="F971" t="s">
        <v>127</v>
      </c>
      <c r="G971" t="s">
        <v>128</v>
      </c>
      <c r="H971" t="s">
        <v>103</v>
      </c>
      <c r="I971" t="s">
        <v>56</v>
      </c>
      <c r="J971" t="s">
        <v>57</v>
      </c>
      <c r="K971" t="s">
        <v>91</v>
      </c>
      <c r="L971" t="s">
        <v>46</v>
      </c>
      <c r="M971" t="s">
        <v>68</v>
      </c>
      <c r="N971" t="s">
        <v>69</v>
      </c>
      <c r="O971" t="s">
        <v>70</v>
      </c>
      <c r="P971" t="s">
        <v>58</v>
      </c>
      <c r="Q971" t="s">
        <v>144</v>
      </c>
      <c r="R971">
        <v>311</v>
      </c>
      <c r="S971">
        <v>145</v>
      </c>
      <c r="T971">
        <v>100</v>
      </c>
      <c r="U971">
        <v>40</v>
      </c>
      <c r="V971" t="s">
        <v>6612</v>
      </c>
      <c r="W971">
        <v>41493</v>
      </c>
      <c r="X971" t="s">
        <v>6136</v>
      </c>
      <c r="Y971">
        <v>33238</v>
      </c>
      <c r="Z971">
        <v>1659720</v>
      </c>
      <c r="AA971">
        <v>330200</v>
      </c>
      <c r="AB971" t="str">
        <f>(VLOOKUP(SalesData[[#This Row],[Month Number]],Reference!C$5:E$16,2,FALSE))</f>
        <v>Feb</v>
      </c>
      <c r="AC971">
        <f>MONTH(SalesData[[#This Row],[Date]])</f>
        <v>2</v>
      </c>
      <c r="AD971">
        <f>Reference!F$4</f>
        <v>2026</v>
      </c>
      <c r="AE971" t="str">
        <f>IF(OR(SalesData[[#This Row],[Day]]="Saturday",SalesData[[#This Row],[Day]]="Sunday"),"Weekend","Weekday")</f>
        <v>Weekday</v>
      </c>
      <c r="AF971" s="5">
        <f>IF(SalesData[[#This Row],[Contracts Offered]]=0,0,SalesData[[#This Row],[Contracts Signed]]/SalesData[[#This Row],[Contracts Offered]])</f>
        <v>0.4</v>
      </c>
      <c r="AG971" s="5">
        <f>IF(SalesData[[#This Row],[Customers Visited]]=0,0,SalesData[[#This Row],[Test Drives]]/SalesData[[#This Row],[Customers Visited]])</f>
        <v>0.4662379421221865</v>
      </c>
      <c r="AH971" s="5">
        <f>IF(SalesData[[#This Row],[Customers Visited]]=0,0,SalesData[[#This Row],[Contracts Signed]]/SalesData[[#This Row],[Customers Visited]])</f>
        <v>0.12861736334405144</v>
      </c>
      <c r="AI971" s="6">
        <f>IF(SalesData[[#This Row],[Contracts Signed]]=0,0,SalesData[[#This Row],[Profit(€)]]/SalesData[[#This Row],[Contracts Signed]])</f>
        <v>8255</v>
      </c>
      <c r="AJ971" s="5" t="str">
        <f>TRIM(CLEAN(SalesData[[#This Row],[Retailer]]))</f>
        <v>Rhein Auto Group</v>
      </c>
    </row>
    <row r="972" spans="1:36" ht="14.25" hidden="1" x14ac:dyDescent="0.2">
      <c r="A972" t="s">
        <v>1678</v>
      </c>
      <c r="B972" s="1">
        <v>46075</v>
      </c>
      <c r="C972" t="s">
        <v>53</v>
      </c>
      <c r="D972" t="s">
        <v>41</v>
      </c>
      <c r="E972" t="s">
        <v>42</v>
      </c>
      <c r="F972" t="s">
        <v>74</v>
      </c>
      <c r="G972" t="s">
        <v>75</v>
      </c>
      <c r="H972" t="s">
        <v>76</v>
      </c>
      <c r="I972" t="s">
        <v>64</v>
      </c>
      <c r="J972" t="s">
        <v>77</v>
      </c>
      <c r="K972" t="s">
        <v>78</v>
      </c>
      <c r="L972" t="s">
        <v>46</v>
      </c>
      <c r="M972" t="s">
        <v>87</v>
      </c>
      <c r="N972" t="s">
        <v>48</v>
      </c>
      <c r="O972" t="s">
        <v>36</v>
      </c>
      <c r="P972" t="s">
        <v>49</v>
      </c>
      <c r="Q972" t="s">
        <v>106</v>
      </c>
      <c r="R972">
        <v>193</v>
      </c>
      <c r="S972">
        <v>91</v>
      </c>
      <c r="T972">
        <v>60</v>
      </c>
      <c r="U972">
        <v>21</v>
      </c>
      <c r="V972" t="s">
        <v>6386</v>
      </c>
      <c r="W972">
        <v>62088</v>
      </c>
      <c r="X972" t="s">
        <v>7352</v>
      </c>
      <c r="Y972">
        <v>44542</v>
      </c>
      <c r="Z972">
        <v>1303848</v>
      </c>
      <c r="AA972">
        <v>368466</v>
      </c>
      <c r="AB972" t="str">
        <f>(VLOOKUP(SalesData[[#This Row],[Month Number]],Reference!C$5:E$16,2,FALSE))</f>
        <v>Feb</v>
      </c>
      <c r="AC972">
        <f>MONTH(SalesData[[#This Row],[Date]])</f>
        <v>2</v>
      </c>
      <c r="AD972">
        <f>Reference!F$4</f>
        <v>2026</v>
      </c>
      <c r="AE972" t="str">
        <f>IF(OR(SalesData[[#This Row],[Day]]="Saturday",SalesData[[#This Row],[Day]]="Sunday"),"Weekend","Weekday")</f>
        <v>Weekend</v>
      </c>
      <c r="AF972" s="5">
        <f>IF(SalesData[[#This Row],[Contracts Offered]]=0,0,SalesData[[#This Row],[Contracts Signed]]/SalesData[[#This Row],[Contracts Offered]])</f>
        <v>0.35</v>
      </c>
      <c r="AG972" s="5">
        <f>IF(SalesData[[#This Row],[Customers Visited]]=0,0,SalesData[[#This Row],[Test Drives]]/SalesData[[#This Row],[Customers Visited]])</f>
        <v>0.47150259067357514</v>
      </c>
      <c r="AH972" s="5">
        <f>IF(SalesData[[#This Row],[Customers Visited]]=0,0,SalesData[[#This Row],[Contracts Signed]]/SalesData[[#This Row],[Customers Visited]])</f>
        <v>0.10880829015544041</v>
      </c>
      <c r="AI972" s="6">
        <f>IF(SalesData[[#This Row],[Contracts Signed]]=0,0,SalesData[[#This Row],[Profit(€)]]/SalesData[[#This Row],[Contracts Signed]])</f>
        <v>17546</v>
      </c>
      <c r="AJ972" s="5" t="str">
        <f>TRIM(CLEAN(SalesData[[#This Row],[Retailer]]))</f>
        <v>Stuttgart Auto Center</v>
      </c>
    </row>
    <row r="973" spans="1:36" ht="14.25" hidden="1" x14ac:dyDescent="0.2">
      <c r="A973" t="s">
        <v>1679</v>
      </c>
      <c r="B973" s="1">
        <v>46062</v>
      </c>
      <c r="C973" t="s">
        <v>121</v>
      </c>
      <c r="D973" t="s">
        <v>25</v>
      </c>
      <c r="E973" t="s">
        <v>26</v>
      </c>
      <c r="F973" t="s">
        <v>94</v>
      </c>
      <c r="G973" t="s">
        <v>95</v>
      </c>
      <c r="H973" t="s">
        <v>96</v>
      </c>
      <c r="I973" t="s">
        <v>56</v>
      </c>
      <c r="J973" t="s">
        <v>137</v>
      </c>
      <c r="K973" t="s">
        <v>78</v>
      </c>
      <c r="L973" t="s">
        <v>46</v>
      </c>
      <c r="M973" t="s">
        <v>68</v>
      </c>
      <c r="N973" t="s">
        <v>48</v>
      </c>
      <c r="O973" t="s">
        <v>70</v>
      </c>
      <c r="P973" t="s">
        <v>37</v>
      </c>
      <c r="Q973" t="s">
        <v>172</v>
      </c>
      <c r="R973">
        <v>301</v>
      </c>
      <c r="S973">
        <v>152</v>
      </c>
      <c r="T973">
        <v>98</v>
      </c>
      <c r="U973">
        <v>36</v>
      </c>
      <c r="V973" t="s">
        <v>6441</v>
      </c>
      <c r="W973">
        <v>42004</v>
      </c>
      <c r="X973" t="s">
        <v>7196</v>
      </c>
      <c r="Y973">
        <v>31852</v>
      </c>
      <c r="Z973">
        <v>1512144</v>
      </c>
      <c r="AA973">
        <v>365472</v>
      </c>
      <c r="AB973" t="str">
        <f>(VLOOKUP(SalesData[[#This Row],[Month Number]],Reference!C$5:E$16,2,FALSE))</f>
        <v>Feb</v>
      </c>
      <c r="AC973">
        <f>MONTH(SalesData[[#This Row],[Date]])</f>
        <v>2</v>
      </c>
      <c r="AD973">
        <f>Reference!F$4</f>
        <v>2026</v>
      </c>
      <c r="AE973" t="str">
        <f>IF(OR(SalesData[[#This Row],[Day]]="Saturday",SalesData[[#This Row],[Day]]="Sunday"),"Weekend","Weekday")</f>
        <v>Weekday</v>
      </c>
      <c r="AF973" s="5">
        <f>IF(SalesData[[#This Row],[Contracts Offered]]=0,0,SalesData[[#This Row],[Contracts Signed]]/SalesData[[#This Row],[Contracts Offered]])</f>
        <v>0.36734693877551022</v>
      </c>
      <c r="AG973" s="5">
        <f>IF(SalesData[[#This Row],[Customers Visited]]=0,0,SalesData[[#This Row],[Test Drives]]/SalesData[[#This Row],[Customers Visited]])</f>
        <v>0.50498338870431891</v>
      </c>
      <c r="AH973" s="5">
        <f>IF(SalesData[[#This Row],[Customers Visited]]=0,0,SalesData[[#This Row],[Contracts Signed]]/SalesData[[#This Row],[Customers Visited]])</f>
        <v>0.11960132890365449</v>
      </c>
      <c r="AI973" s="6">
        <f>IF(SalesData[[#This Row],[Contracts Signed]]=0,0,SalesData[[#This Row],[Profit(€)]]/SalesData[[#This Row],[Contracts Signed]])</f>
        <v>10152</v>
      </c>
      <c r="AJ973" s="5" t="str">
        <f>TRIM(CLEAN(SalesData[[#This Row],[Retailer]]))</f>
        <v>Bavaria Motors</v>
      </c>
    </row>
    <row r="974" spans="1:36" ht="14.25" hidden="1" x14ac:dyDescent="0.2">
      <c r="A974" t="s">
        <v>1681</v>
      </c>
      <c r="B974" s="1">
        <v>46074</v>
      </c>
      <c r="C974" t="s">
        <v>62</v>
      </c>
      <c r="D974" t="s">
        <v>151</v>
      </c>
      <c r="E974" t="s">
        <v>42</v>
      </c>
      <c r="F974" t="s">
        <v>43</v>
      </c>
      <c r="G974" t="s">
        <v>44</v>
      </c>
      <c r="H974" t="s">
        <v>45</v>
      </c>
      <c r="I974" t="s">
        <v>116</v>
      </c>
      <c r="J974" t="s">
        <v>203</v>
      </c>
      <c r="K974" t="s">
        <v>78</v>
      </c>
      <c r="L974" t="s">
        <v>67</v>
      </c>
      <c r="M974" t="s">
        <v>47</v>
      </c>
      <c r="N974" t="s">
        <v>69</v>
      </c>
      <c r="O974" t="s">
        <v>70</v>
      </c>
      <c r="P974" t="s">
        <v>58</v>
      </c>
      <c r="Q974" t="s">
        <v>172</v>
      </c>
      <c r="R974">
        <v>278</v>
      </c>
      <c r="S974">
        <v>154</v>
      </c>
      <c r="T974">
        <v>92</v>
      </c>
      <c r="U974">
        <v>25</v>
      </c>
      <c r="V974" t="s">
        <v>1079</v>
      </c>
      <c r="W974">
        <v>20236</v>
      </c>
      <c r="X974" t="s">
        <v>458</v>
      </c>
      <c r="Y974">
        <v>18815</v>
      </c>
      <c r="Z974">
        <v>505900</v>
      </c>
      <c r="AA974">
        <v>35525</v>
      </c>
      <c r="AB974" t="str">
        <f>(VLOOKUP(SalesData[[#This Row],[Month Number]],Reference!C$5:E$16,2,FALSE))</f>
        <v>Feb</v>
      </c>
      <c r="AC974">
        <f>MONTH(SalesData[[#This Row],[Date]])</f>
        <v>2</v>
      </c>
      <c r="AD974">
        <f>Reference!F$4</f>
        <v>2026</v>
      </c>
      <c r="AE974" t="str">
        <f>IF(OR(SalesData[[#This Row],[Day]]="Saturday",SalesData[[#This Row],[Day]]="Sunday"),"Weekend","Weekday")</f>
        <v>Weekend</v>
      </c>
      <c r="AF974" s="5">
        <f>IF(SalesData[[#This Row],[Contracts Offered]]=0,0,SalesData[[#This Row],[Contracts Signed]]/SalesData[[#This Row],[Contracts Offered]])</f>
        <v>0.27173913043478259</v>
      </c>
      <c r="AG974" s="5">
        <f>IF(SalesData[[#This Row],[Customers Visited]]=0,0,SalesData[[#This Row],[Test Drives]]/SalesData[[#This Row],[Customers Visited]])</f>
        <v>0.5539568345323741</v>
      </c>
      <c r="AH974" s="5">
        <f>IF(SalesData[[#This Row],[Customers Visited]]=0,0,SalesData[[#This Row],[Contracts Signed]]/SalesData[[#This Row],[Customers Visited]])</f>
        <v>8.9928057553956831E-2</v>
      </c>
      <c r="AI974" s="6">
        <f>IF(SalesData[[#This Row],[Contracts Signed]]=0,0,SalesData[[#This Row],[Profit(€)]]/SalesData[[#This Row],[Contracts Signed]])</f>
        <v>1421</v>
      </c>
      <c r="AJ974" s="5" t="str">
        <f>TRIM(CLEAN(SalesData[[#This Row],[Retailer]]))</f>
        <v>Saxon Wheels</v>
      </c>
    </row>
    <row r="975" spans="1:36" ht="14.25" hidden="1" x14ac:dyDescent="0.2">
      <c r="A975" t="s">
        <v>1682</v>
      </c>
      <c r="B975" s="1">
        <v>46075</v>
      </c>
      <c r="C975" t="s">
        <v>53</v>
      </c>
      <c r="D975" t="s">
        <v>41</v>
      </c>
      <c r="E975" t="s">
        <v>42</v>
      </c>
      <c r="F975" t="s">
        <v>101</v>
      </c>
      <c r="G975" t="s">
        <v>102</v>
      </c>
      <c r="H975" t="s">
        <v>103</v>
      </c>
      <c r="I975" t="s">
        <v>104</v>
      </c>
      <c r="J975" t="s">
        <v>140</v>
      </c>
      <c r="K975" t="s">
        <v>78</v>
      </c>
      <c r="L975" t="s">
        <v>46</v>
      </c>
      <c r="M975" t="s">
        <v>68</v>
      </c>
      <c r="N975" t="s">
        <v>35</v>
      </c>
      <c r="O975" t="s">
        <v>70</v>
      </c>
      <c r="P975" t="s">
        <v>37</v>
      </c>
      <c r="Q975" t="s">
        <v>158</v>
      </c>
      <c r="R975">
        <v>285</v>
      </c>
      <c r="S975">
        <v>153</v>
      </c>
      <c r="T975">
        <v>104</v>
      </c>
      <c r="U975">
        <v>18</v>
      </c>
      <c r="V975" t="s">
        <v>313</v>
      </c>
      <c r="W975">
        <v>28832</v>
      </c>
      <c r="X975" t="s">
        <v>819</v>
      </c>
      <c r="Y975">
        <v>26166</v>
      </c>
      <c r="Z975">
        <v>518976</v>
      </c>
      <c r="AA975">
        <v>47988</v>
      </c>
      <c r="AB975" t="str">
        <f>(VLOOKUP(SalesData[[#This Row],[Month Number]],Reference!C$5:E$16,2,FALSE))</f>
        <v>Feb</v>
      </c>
      <c r="AC975">
        <f>MONTH(SalesData[[#This Row],[Date]])</f>
        <v>2</v>
      </c>
      <c r="AD975">
        <f>Reference!F$4</f>
        <v>2026</v>
      </c>
      <c r="AE975" t="str">
        <f>IF(OR(SalesData[[#This Row],[Day]]="Saturday",SalesData[[#This Row],[Day]]="Sunday"),"Weekend","Weekday")</f>
        <v>Weekend</v>
      </c>
      <c r="AF975" s="5">
        <f>IF(SalesData[[#This Row],[Contracts Offered]]=0,0,SalesData[[#This Row],[Contracts Signed]]/SalesData[[#This Row],[Contracts Offered]])</f>
        <v>0.17307692307692307</v>
      </c>
      <c r="AG975" s="5">
        <f>IF(SalesData[[#This Row],[Customers Visited]]=0,0,SalesData[[#This Row],[Test Drives]]/SalesData[[#This Row],[Customers Visited]])</f>
        <v>0.5368421052631579</v>
      </c>
      <c r="AH975" s="5">
        <f>IF(SalesData[[#This Row],[Customers Visited]]=0,0,SalesData[[#This Row],[Contracts Signed]]/SalesData[[#This Row],[Customers Visited]])</f>
        <v>6.3157894736842107E-2</v>
      </c>
      <c r="AI975" s="6">
        <f>IF(SalesData[[#This Row],[Contracts Signed]]=0,0,SalesData[[#This Row],[Profit(€)]]/SalesData[[#This Row],[Contracts Signed]])</f>
        <v>2666</v>
      </c>
      <c r="AJ975" s="5" t="str">
        <f>TRIM(CLEAN(SalesData[[#This Row],[Retailer]]))</f>
        <v>Ruhr Auto Plaza</v>
      </c>
    </row>
    <row r="976" spans="1:36" ht="14.25" hidden="1" x14ac:dyDescent="0.2">
      <c r="A976" t="s">
        <v>1684</v>
      </c>
      <c r="B976" s="1">
        <v>46081</v>
      </c>
      <c r="C976" t="s">
        <v>53</v>
      </c>
      <c r="D976" t="s">
        <v>151</v>
      </c>
      <c r="E976" t="s">
        <v>42</v>
      </c>
      <c r="F976" t="s">
        <v>94</v>
      </c>
      <c r="G976" t="s">
        <v>95</v>
      </c>
      <c r="H976" t="s">
        <v>96</v>
      </c>
      <c r="I976" t="s">
        <v>64</v>
      </c>
      <c r="J976" t="s">
        <v>77</v>
      </c>
      <c r="K976" t="s">
        <v>32</v>
      </c>
      <c r="L976" t="s">
        <v>46</v>
      </c>
      <c r="M976" t="s">
        <v>47</v>
      </c>
      <c r="N976" t="s">
        <v>35</v>
      </c>
      <c r="O976" t="s">
        <v>70</v>
      </c>
      <c r="P976" t="s">
        <v>49</v>
      </c>
      <c r="Q976" t="s">
        <v>88</v>
      </c>
      <c r="R976">
        <v>146</v>
      </c>
      <c r="S976">
        <v>80</v>
      </c>
      <c r="T976">
        <v>54</v>
      </c>
      <c r="U976">
        <v>18</v>
      </c>
      <c r="V976" t="s">
        <v>6870</v>
      </c>
      <c r="W976">
        <v>51085</v>
      </c>
      <c r="X976" t="s">
        <v>7280</v>
      </c>
      <c r="Y976">
        <v>38008</v>
      </c>
      <c r="Z976">
        <v>919530</v>
      </c>
      <c r="AA976">
        <v>235386</v>
      </c>
      <c r="AB976" t="str">
        <f>(VLOOKUP(SalesData[[#This Row],[Month Number]],Reference!C$5:E$16,2,FALSE))</f>
        <v>Feb</v>
      </c>
      <c r="AC976">
        <f>MONTH(SalesData[[#This Row],[Date]])</f>
        <v>2</v>
      </c>
      <c r="AD976">
        <f>Reference!F$4</f>
        <v>2026</v>
      </c>
      <c r="AE976" t="str">
        <f>IF(OR(SalesData[[#This Row],[Day]]="Saturday",SalesData[[#This Row],[Day]]="Sunday"),"Weekend","Weekday")</f>
        <v>Weekend</v>
      </c>
      <c r="AF976" s="5">
        <f>IF(SalesData[[#This Row],[Contracts Offered]]=0,0,SalesData[[#This Row],[Contracts Signed]]/SalesData[[#This Row],[Contracts Offered]])</f>
        <v>0.33333333333333331</v>
      </c>
      <c r="AG976" s="5">
        <f>IF(SalesData[[#This Row],[Customers Visited]]=0,0,SalesData[[#This Row],[Test Drives]]/SalesData[[#This Row],[Customers Visited]])</f>
        <v>0.54794520547945202</v>
      </c>
      <c r="AH976" s="5">
        <f>IF(SalesData[[#This Row],[Customers Visited]]=0,0,SalesData[[#This Row],[Contracts Signed]]/SalesData[[#This Row],[Customers Visited]])</f>
        <v>0.12328767123287671</v>
      </c>
      <c r="AI976" s="6">
        <f>IF(SalesData[[#This Row],[Contracts Signed]]=0,0,SalesData[[#This Row],[Profit(€)]]/SalesData[[#This Row],[Contracts Signed]])</f>
        <v>13077</v>
      </c>
      <c r="AJ976" s="5" t="str">
        <f>TRIM(CLEAN(SalesData[[#This Row],[Retailer]]))</f>
        <v>Bavaria Motors</v>
      </c>
    </row>
    <row r="977" spans="1:36" ht="14.25" hidden="1" x14ac:dyDescent="0.2">
      <c r="A977" t="s">
        <v>1686</v>
      </c>
      <c r="B977" s="1">
        <v>46066</v>
      </c>
      <c r="C977" t="s">
        <v>121</v>
      </c>
      <c r="D977" t="s">
        <v>54</v>
      </c>
      <c r="E977" t="s">
        <v>26</v>
      </c>
      <c r="F977" t="s">
        <v>27</v>
      </c>
      <c r="G977" t="s">
        <v>28</v>
      </c>
      <c r="H977" t="s">
        <v>29</v>
      </c>
      <c r="I977" t="s">
        <v>56</v>
      </c>
      <c r="J977" t="s">
        <v>97</v>
      </c>
      <c r="K977" t="s">
        <v>66</v>
      </c>
      <c r="L977" t="s">
        <v>33</v>
      </c>
      <c r="M977" t="s">
        <v>47</v>
      </c>
      <c r="N977" t="s">
        <v>69</v>
      </c>
      <c r="O977" t="s">
        <v>70</v>
      </c>
      <c r="P977" t="s">
        <v>49</v>
      </c>
      <c r="Q977" t="s">
        <v>347</v>
      </c>
      <c r="R977">
        <v>180</v>
      </c>
      <c r="S977">
        <v>82</v>
      </c>
      <c r="T977">
        <v>52</v>
      </c>
      <c r="U977">
        <v>15</v>
      </c>
      <c r="V977" t="s">
        <v>2473</v>
      </c>
      <c r="W977">
        <v>54750</v>
      </c>
      <c r="X977" t="s">
        <v>7033</v>
      </c>
      <c r="Y977">
        <v>42489</v>
      </c>
      <c r="Z977">
        <v>821250</v>
      </c>
      <c r="AA977">
        <v>183915</v>
      </c>
      <c r="AB977" t="str">
        <f>(VLOOKUP(SalesData[[#This Row],[Month Number]],Reference!C$5:E$16,2,FALSE))</f>
        <v>Feb</v>
      </c>
      <c r="AC977">
        <f>MONTH(SalesData[[#This Row],[Date]])</f>
        <v>2</v>
      </c>
      <c r="AD977">
        <f>Reference!F$4</f>
        <v>2026</v>
      </c>
      <c r="AE977" t="str">
        <f>IF(OR(SalesData[[#This Row],[Day]]="Saturday",SalesData[[#This Row],[Day]]="Sunday"),"Weekend","Weekday")</f>
        <v>Weekday</v>
      </c>
      <c r="AF977" s="5">
        <f>IF(SalesData[[#This Row],[Contracts Offered]]=0,0,SalesData[[#This Row],[Contracts Signed]]/SalesData[[#This Row],[Contracts Offered]])</f>
        <v>0.28846153846153844</v>
      </c>
      <c r="AG977" s="5">
        <f>IF(SalesData[[#This Row],[Customers Visited]]=0,0,SalesData[[#This Row],[Test Drives]]/SalesData[[#This Row],[Customers Visited]])</f>
        <v>0.45555555555555555</v>
      </c>
      <c r="AH977" s="5">
        <f>IF(SalesData[[#This Row],[Customers Visited]]=0,0,SalesData[[#This Row],[Contracts Signed]]/SalesData[[#This Row],[Customers Visited]])</f>
        <v>8.3333333333333329E-2</v>
      </c>
      <c r="AI977" s="6">
        <f>IF(SalesData[[#This Row],[Contracts Signed]]=0,0,SalesData[[#This Row],[Profit(€)]]/SalesData[[#This Row],[Contracts Signed]])</f>
        <v>12261</v>
      </c>
      <c r="AJ977" s="5" t="str">
        <f>TRIM(CLEAN(SalesData[[#This Row],[Retailer]]))</f>
        <v>Main Auto Hub</v>
      </c>
    </row>
    <row r="978" spans="1:36" ht="14.25" hidden="1" x14ac:dyDescent="0.2">
      <c r="A978" t="s">
        <v>1687</v>
      </c>
      <c r="B978" s="1">
        <v>46077</v>
      </c>
      <c r="C978" t="s">
        <v>53</v>
      </c>
      <c r="D978" t="s">
        <v>63</v>
      </c>
      <c r="E978" t="s">
        <v>26</v>
      </c>
      <c r="F978" t="s">
        <v>74</v>
      </c>
      <c r="G978" t="s">
        <v>75</v>
      </c>
      <c r="H978" t="s">
        <v>76</v>
      </c>
      <c r="I978" t="s">
        <v>56</v>
      </c>
      <c r="J978" t="s">
        <v>137</v>
      </c>
      <c r="K978" t="s">
        <v>66</v>
      </c>
      <c r="L978" t="s">
        <v>46</v>
      </c>
      <c r="M978" t="s">
        <v>47</v>
      </c>
      <c r="N978" t="s">
        <v>48</v>
      </c>
      <c r="O978" t="s">
        <v>70</v>
      </c>
      <c r="P978" t="s">
        <v>58</v>
      </c>
      <c r="Q978" t="s">
        <v>167</v>
      </c>
      <c r="R978">
        <v>188</v>
      </c>
      <c r="S978">
        <v>104</v>
      </c>
      <c r="T978">
        <v>69</v>
      </c>
      <c r="U978">
        <v>26</v>
      </c>
      <c r="V978" t="s">
        <v>6403</v>
      </c>
      <c r="W978">
        <v>53786</v>
      </c>
      <c r="X978" t="s">
        <v>7353</v>
      </c>
      <c r="Y978">
        <v>42880</v>
      </c>
      <c r="Z978">
        <v>1398436</v>
      </c>
      <c r="AA978">
        <v>283556</v>
      </c>
      <c r="AB978" t="str">
        <f>(VLOOKUP(SalesData[[#This Row],[Month Number]],Reference!C$5:E$16,2,FALSE))</f>
        <v>Feb</v>
      </c>
      <c r="AC978">
        <f>MONTH(SalesData[[#This Row],[Date]])</f>
        <v>2</v>
      </c>
      <c r="AD978">
        <f>Reference!F$4</f>
        <v>2026</v>
      </c>
      <c r="AE978" t="str">
        <f>IF(OR(SalesData[[#This Row],[Day]]="Saturday",SalesData[[#This Row],[Day]]="Sunday"),"Weekend","Weekday")</f>
        <v>Weekday</v>
      </c>
      <c r="AF978" s="5">
        <f>IF(SalesData[[#This Row],[Contracts Offered]]=0,0,SalesData[[#This Row],[Contracts Signed]]/SalesData[[#This Row],[Contracts Offered]])</f>
        <v>0.37681159420289856</v>
      </c>
      <c r="AG978" s="5">
        <f>IF(SalesData[[#This Row],[Customers Visited]]=0,0,SalesData[[#This Row],[Test Drives]]/SalesData[[#This Row],[Customers Visited]])</f>
        <v>0.55319148936170215</v>
      </c>
      <c r="AH978" s="5">
        <f>IF(SalesData[[#This Row],[Customers Visited]]=0,0,SalesData[[#This Row],[Contracts Signed]]/SalesData[[#This Row],[Customers Visited]])</f>
        <v>0.13829787234042554</v>
      </c>
      <c r="AI978" s="6">
        <f>IF(SalesData[[#This Row],[Contracts Signed]]=0,0,SalesData[[#This Row],[Profit(€)]]/SalesData[[#This Row],[Contracts Signed]])</f>
        <v>10906</v>
      </c>
      <c r="AJ978" s="5" t="str">
        <f>TRIM(CLEAN(SalesData[[#This Row],[Retailer]]))</f>
        <v>Stuttgart Auto Center</v>
      </c>
    </row>
    <row r="979" spans="1:36" ht="14.25" hidden="1" x14ac:dyDescent="0.2">
      <c r="A979" t="s">
        <v>1689</v>
      </c>
      <c r="B979" s="1">
        <v>46060</v>
      </c>
      <c r="C979" t="s">
        <v>24</v>
      </c>
      <c r="D979" t="s">
        <v>151</v>
      </c>
      <c r="E979" t="s">
        <v>42</v>
      </c>
      <c r="F979" t="s">
        <v>109</v>
      </c>
      <c r="G979" t="s">
        <v>110</v>
      </c>
      <c r="H979" t="s">
        <v>45</v>
      </c>
      <c r="I979" t="s">
        <v>104</v>
      </c>
      <c r="J979" t="s">
        <v>143</v>
      </c>
      <c r="K979" t="s">
        <v>32</v>
      </c>
      <c r="L979" t="s">
        <v>67</v>
      </c>
      <c r="M979" t="s">
        <v>68</v>
      </c>
      <c r="N979" t="s">
        <v>69</v>
      </c>
      <c r="O979" t="s">
        <v>70</v>
      </c>
      <c r="P979" t="s">
        <v>49</v>
      </c>
      <c r="Q979" t="s">
        <v>106</v>
      </c>
      <c r="R979">
        <v>462</v>
      </c>
      <c r="S979">
        <v>238</v>
      </c>
      <c r="T979">
        <v>147</v>
      </c>
      <c r="U979">
        <v>33</v>
      </c>
      <c r="V979" t="s">
        <v>779</v>
      </c>
      <c r="W979">
        <v>28127</v>
      </c>
      <c r="X979" t="s">
        <v>3629</v>
      </c>
      <c r="Y979">
        <v>24288</v>
      </c>
      <c r="Z979">
        <v>928191</v>
      </c>
      <c r="AA979">
        <v>126687</v>
      </c>
      <c r="AB979" t="str">
        <f>(VLOOKUP(SalesData[[#This Row],[Month Number]],Reference!C$5:E$16,2,FALSE))</f>
        <v>Feb</v>
      </c>
      <c r="AC979">
        <f>MONTH(SalesData[[#This Row],[Date]])</f>
        <v>2</v>
      </c>
      <c r="AD979">
        <f>Reference!F$4</f>
        <v>2026</v>
      </c>
      <c r="AE979" t="str">
        <f>IF(OR(SalesData[[#This Row],[Day]]="Saturday",SalesData[[#This Row],[Day]]="Sunday"),"Weekend","Weekday")</f>
        <v>Weekend</v>
      </c>
      <c r="AF979" s="5">
        <f>IF(SalesData[[#This Row],[Contracts Offered]]=0,0,SalesData[[#This Row],[Contracts Signed]]/SalesData[[#This Row],[Contracts Offered]])</f>
        <v>0.22448979591836735</v>
      </c>
      <c r="AG979" s="5">
        <f>IF(SalesData[[#This Row],[Customers Visited]]=0,0,SalesData[[#This Row],[Test Drives]]/SalesData[[#This Row],[Customers Visited]])</f>
        <v>0.51515151515151514</v>
      </c>
      <c r="AH979" s="5">
        <f>IF(SalesData[[#This Row],[Customers Visited]]=0,0,SalesData[[#This Row],[Contracts Signed]]/SalesData[[#This Row],[Customers Visited]])</f>
        <v>7.1428571428571425E-2</v>
      </c>
      <c r="AI979" s="6">
        <f>IF(SalesData[[#This Row],[Contracts Signed]]=0,0,SalesData[[#This Row],[Profit(€)]]/SalesData[[#This Row],[Contracts Signed]])</f>
        <v>3839</v>
      </c>
      <c r="AJ979" s="5" t="str">
        <f>TRIM(CLEAN(SalesData[[#This Row],[Retailer]]))</f>
        <v>Leipzig Mobility</v>
      </c>
    </row>
    <row r="980" spans="1:36" ht="14.25" x14ac:dyDescent="0.2">
      <c r="A980" t="s">
        <v>1691</v>
      </c>
      <c r="B980" s="1">
        <v>46070</v>
      </c>
      <c r="C980" t="s">
        <v>62</v>
      </c>
      <c r="D980" t="s">
        <v>63</v>
      </c>
      <c r="E980" t="s">
        <v>26</v>
      </c>
      <c r="F980" t="s">
        <v>114</v>
      </c>
      <c r="G980" t="s">
        <v>115</v>
      </c>
      <c r="H980" t="s">
        <v>115</v>
      </c>
      <c r="I980" t="s">
        <v>30</v>
      </c>
      <c r="J980" t="s">
        <v>188</v>
      </c>
      <c r="K980" t="s">
        <v>91</v>
      </c>
      <c r="L980" t="s">
        <v>33</v>
      </c>
      <c r="M980" t="s">
        <v>47</v>
      </c>
      <c r="N980" t="s">
        <v>48</v>
      </c>
      <c r="O980" t="s">
        <v>36</v>
      </c>
      <c r="P980" t="s">
        <v>49</v>
      </c>
      <c r="Q980" t="s">
        <v>129</v>
      </c>
      <c r="R980">
        <v>199</v>
      </c>
      <c r="S980">
        <v>112</v>
      </c>
      <c r="T980">
        <v>86</v>
      </c>
      <c r="U980">
        <v>29</v>
      </c>
      <c r="V980" t="s">
        <v>6527</v>
      </c>
      <c r="W980">
        <v>60227</v>
      </c>
      <c r="X980" t="s">
        <v>7287</v>
      </c>
      <c r="Y980">
        <v>44056</v>
      </c>
      <c r="Z980">
        <v>1746583</v>
      </c>
      <c r="AA980">
        <v>468959</v>
      </c>
      <c r="AB980" t="str">
        <f>(VLOOKUP(SalesData[[#This Row],[Month Number]],Reference!C$5:E$16,2,FALSE))</f>
        <v>Feb</v>
      </c>
      <c r="AC980">
        <f>MONTH(SalesData[[#This Row],[Date]])</f>
        <v>2</v>
      </c>
      <c r="AD980">
        <f>Reference!F$4</f>
        <v>2026</v>
      </c>
      <c r="AE980" t="str">
        <f>IF(OR(SalesData[[#This Row],[Day]]="Saturday",SalesData[[#This Row],[Day]]="Sunday"),"Weekend","Weekday")</f>
        <v>Weekday</v>
      </c>
      <c r="AF980" s="5">
        <f>IF(SalesData[[#This Row],[Contracts Offered]]=0,0,SalesData[[#This Row],[Contracts Signed]]/SalesData[[#This Row],[Contracts Offered]])</f>
        <v>0.33720930232558138</v>
      </c>
      <c r="AG980" s="5">
        <f>IF(SalesData[[#This Row],[Customers Visited]]=0,0,SalesData[[#This Row],[Test Drives]]/SalesData[[#This Row],[Customers Visited]])</f>
        <v>0.56281407035175879</v>
      </c>
      <c r="AH980" s="5">
        <f>IF(SalesData[[#This Row],[Customers Visited]]=0,0,SalesData[[#This Row],[Contracts Signed]]/SalesData[[#This Row],[Customers Visited]])</f>
        <v>0.14572864321608039</v>
      </c>
      <c r="AI980" s="6">
        <f>IF(SalesData[[#This Row],[Contracts Signed]]=0,0,SalesData[[#This Row],[Profit(€)]]/SalesData[[#This Row],[Contracts Signed]])</f>
        <v>16171</v>
      </c>
      <c r="AJ980" s="5" t="str">
        <f>TRIM(CLEAN(SalesData[[#This Row],[Retailer]]))</f>
        <v>Elbe Drive</v>
      </c>
    </row>
    <row r="981" spans="1:36" ht="14.25" x14ac:dyDescent="0.2">
      <c r="A981" t="s">
        <v>1693</v>
      </c>
      <c r="B981" s="1">
        <v>46071</v>
      </c>
      <c r="C981" t="s">
        <v>62</v>
      </c>
      <c r="D981" t="s">
        <v>82</v>
      </c>
      <c r="E981" t="s">
        <v>26</v>
      </c>
      <c r="F981" t="s">
        <v>101</v>
      </c>
      <c r="G981" t="s">
        <v>102</v>
      </c>
      <c r="H981" t="s">
        <v>103</v>
      </c>
      <c r="I981" t="s">
        <v>30</v>
      </c>
      <c r="J981" t="s">
        <v>31</v>
      </c>
      <c r="K981" t="s">
        <v>78</v>
      </c>
      <c r="L981" t="s">
        <v>46</v>
      </c>
      <c r="M981" t="s">
        <v>68</v>
      </c>
      <c r="N981" t="s">
        <v>48</v>
      </c>
      <c r="O981" t="s">
        <v>36</v>
      </c>
      <c r="P981" t="s">
        <v>49</v>
      </c>
      <c r="Q981" t="s">
        <v>106</v>
      </c>
      <c r="R981">
        <v>238</v>
      </c>
      <c r="S981">
        <v>123</v>
      </c>
      <c r="T981">
        <v>91</v>
      </c>
      <c r="U981">
        <v>34</v>
      </c>
      <c r="V981" t="s">
        <v>6678</v>
      </c>
      <c r="W981">
        <v>60020</v>
      </c>
      <c r="X981" t="s">
        <v>1764</v>
      </c>
      <c r="Y981">
        <v>44978</v>
      </c>
      <c r="Z981">
        <v>2040680</v>
      </c>
      <c r="AA981">
        <v>511428</v>
      </c>
      <c r="AB981" t="str">
        <f>(VLOOKUP(SalesData[[#This Row],[Month Number]],Reference!C$5:E$16,2,FALSE))</f>
        <v>Feb</v>
      </c>
      <c r="AC981">
        <f>MONTH(SalesData[[#This Row],[Date]])</f>
        <v>2</v>
      </c>
      <c r="AD981">
        <f>Reference!F$4</f>
        <v>2026</v>
      </c>
      <c r="AE981" t="str">
        <f>IF(OR(SalesData[[#This Row],[Day]]="Saturday",SalesData[[#This Row],[Day]]="Sunday"),"Weekend","Weekday")</f>
        <v>Weekday</v>
      </c>
      <c r="AF981" s="5">
        <f>IF(SalesData[[#This Row],[Contracts Offered]]=0,0,SalesData[[#This Row],[Contracts Signed]]/SalesData[[#This Row],[Contracts Offered]])</f>
        <v>0.37362637362637363</v>
      </c>
      <c r="AG981" s="5">
        <f>IF(SalesData[[#This Row],[Customers Visited]]=0,0,SalesData[[#This Row],[Test Drives]]/SalesData[[#This Row],[Customers Visited]])</f>
        <v>0.51680672268907568</v>
      </c>
      <c r="AH981" s="5">
        <f>IF(SalesData[[#This Row],[Customers Visited]]=0,0,SalesData[[#This Row],[Contracts Signed]]/SalesData[[#This Row],[Customers Visited]])</f>
        <v>0.14285714285714285</v>
      </c>
      <c r="AI981" s="6">
        <f>IF(SalesData[[#This Row],[Contracts Signed]]=0,0,SalesData[[#This Row],[Profit(€)]]/SalesData[[#This Row],[Contracts Signed]])</f>
        <v>15042</v>
      </c>
      <c r="AJ981" s="5" t="str">
        <f>TRIM(CLEAN(SalesData[[#This Row],[Retailer]]))</f>
        <v>Ruhr Auto Plaza</v>
      </c>
    </row>
    <row r="982" spans="1:36" ht="14.25" hidden="1" x14ac:dyDescent="0.2">
      <c r="A982" t="s">
        <v>1694</v>
      </c>
      <c r="B982" s="1">
        <v>46071</v>
      </c>
      <c r="C982" t="s">
        <v>62</v>
      </c>
      <c r="D982" t="s">
        <v>82</v>
      </c>
      <c r="E982" t="s">
        <v>26</v>
      </c>
      <c r="F982" t="s">
        <v>127</v>
      </c>
      <c r="G982" t="s">
        <v>128</v>
      </c>
      <c r="H982" t="s">
        <v>103</v>
      </c>
      <c r="I982" t="s">
        <v>64</v>
      </c>
      <c r="J982" t="s">
        <v>77</v>
      </c>
      <c r="K982" t="s">
        <v>66</v>
      </c>
      <c r="L982" t="s">
        <v>46</v>
      </c>
      <c r="M982" t="s">
        <v>47</v>
      </c>
      <c r="N982" t="s">
        <v>35</v>
      </c>
      <c r="O982" t="s">
        <v>70</v>
      </c>
      <c r="P982" t="s">
        <v>37</v>
      </c>
      <c r="Q982" t="s">
        <v>204</v>
      </c>
      <c r="R982">
        <v>254</v>
      </c>
      <c r="S982">
        <v>146</v>
      </c>
      <c r="T982">
        <v>98</v>
      </c>
      <c r="U982">
        <v>34</v>
      </c>
      <c r="V982" t="s">
        <v>6675</v>
      </c>
      <c r="W982">
        <v>70059</v>
      </c>
      <c r="X982" t="s">
        <v>7299</v>
      </c>
      <c r="Y982">
        <v>50114</v>
      </c>
      <c r="Z982">
        <v>2382006</v>
      </c>
      <c r="AA982">
        <v>678130</v>
      </c>
      <c r="AB982" t="str">
        <f>(VLOOKUP(SalesData[[#This Row],[Month Number]],Reference!C$5:E$16,2,FALSE))</f>
        <v>Feb</v>
      </c>
      <c r="AC982">
        <f>MONTH(SalesData[[#This Row],[Date]])</f>
        <v>2</v>
      </c>
      <c r="AD982">
        <f>Reference!F$4</f>
        <v>2026</v>
      </c>
      <c r="AE982" t="str">
        <f>IF(OR(SalesData[[#This Row],[Day]]="Saturday",SalesData[[#This Row],[Day]]="Sunday"),"Weekend","Weekday")</f>
        <v>Weekday</v>
      </c>
      <c r="AF982" s="5">
        <f>IF(SalesData[[#This Row],[Contracts Offered]]=0,0,SalesData[[#This Row],[Contracts Signed]]/SalesData[[#This Row],[Contracts Offered]])</f>
        <v>0.34693877551020408</v>
      </c>
      <c r="AG982" s="5">
        <f>IF(SalesData[[#This Row],[Customers Visited]]=0,0,SalesData[[#This Row],[Test Drives]]/SalesData[[#This Row],[Customers Visited]])</f>
        <v>0.57480314960629919</v>
      </c>
      <c r="AH982" s="5">
        <f>IF(SalesData[[#This Row],[Customers Visited]]=0,0,SalesData[[#This Row],[Contracts Signed]]/SalesData[[#This Row],[Customers Visited]])</f>
        <v>0.13385826771653545</v>
      </c>
      <c r="AI982" s="6">
        <f>IF(SalesData[[#This Row],[Contracts Signed]]=0,0,SalesData[[#This Row],[Profit(€)]]/SalesData[[#This Row],[Contracts Signed]])</f>
        <v>19945</v>
      </c>
      <c r="AJ982" s="5" t="str">
        <f>TRIM(CLEAN(SalesData[[#This Row],[Retailer]]))</f>
        <v>Rhein Auto Group</v>
      </c>
    </row>
    <row r="983" spans="1:36" ht="14.25" hidden="1" x14ac:dyDescent="0.2">
      <c r="A983" t="s">
        <v>1695</v>
      </c>
      <c r="B983" s="1">
        <v>46078</v>
      </c>
      <c r="C983" t="s">
        <v>53</v>
      </c>
      <c r="D983" t="s">
        <v>82</v>
      </c>
      <c r="E983" t="s">
        <v>26</v>
      </c>
      <c r="F983" t="s">
        <v>109</v>
      </c>
      <c r="G983" t="s">
        <v>110</v>
      </c>
      <c r="H983" t="s">
        <v>45</v>
      </c>
      <c r="I983" t="s">
        <v>64</v>
      </c>
      <c r="J983" t="s">
        <v>7029</v>
      </c>
      <c r="K983" t="s">
        <v>78</v>
      </c>
      <c r="L983" t="s">
        <v>33</v>
      </c>
      <c r="M983" t="s">
        <v>34</v>
      </c>
      <c r="N983" t="s">
        <v>35</v>
      </c>
      <c r="O983" t="s">
        <v>36</v>
      </c>
      <c r="P983" t="s">
        <v>49</v>
      </c>
      <c r="Q983" t="s">
        <v>59</v>
      </c>
      <c r="R983">
        <v>199</v>
      </c>
      <c r="S983">
        <v>102</v>
      </c>
      <c r="T983">
        <v>71</v>
      </c>
      <c r="U983">
        <v>23</v>
      </c>
      <c r="V983" t="s">
        <v>6817</v>
      </c>
      <c r="W983">
        <v>65628</v>
      </c>
      <c r="X983" t="s">
        <v>7354</v>
      </c>
      <c r="Y983">
        <v>50934</v>
      </c>
      <c r="Z983">
        <v>1509444</v>
      </c>
      <c r="AA983">
        <v>337962</v>
      </c>
      <c r="AB983" t="str">
        <f>(VLOOKUP(SalesData[[#This Row],[Month Number]],Reference!C$5:E$16,2,FALSE))</f>
        <v>Feb</v>
      </c>
      <c r="AC983">
        <f>MONTH(SalesData[[#This Row],[Date]])</f>
        <v>2</v>
      </c>
      <c r="AD983">
        <f>Reference!F$4</f>
        <v>2026</v>
      </c>
      <c r="AE983" t="str">
        <f>IF(OR(SalesData[[#This Row],[Day]]="Saturday",SalesData[[#This Row],[Day]]="Sunday"),"Weekend","Weekday")</f>
        <v>Weekday</v>
      </c>
      <c r="AF983" s="5">
        <f>IF(SalesData[[#This Row],[Contracts Offered]]=0,0,SalesData[[#This Row],[Contracts Signed]]/SalesData[[#This Row],[Contracts Offered]])</f>
        <v>0.323943661971831</v>
      </c>
      <c r="AG983" s="5">
        <f>IF(SalesData[[#This Row],[Customers Visited]]=0,0,SalesData[[#This Row],[Test Drives]]/SalesData[[#This Row],[Customers Visited]])</f>
        <v>0.51256281407035176</v>
      </c>
      <c r="AH983" s="5">
        <f>IF(SalesData[[#This Row],[Customers Visited]]=0,0,SalesData[[#This Row],[Contracts Signed]]/SalesData[[#This Row],[Customers Visited]])</f>
        <v>0.11557788944723618</v>
      </c>
      <c r="AI983" s="6">
        <f>IF(SalesData[[#This Row],[Contracts Signed]]=0,0,SalesData[[#This Row],[Profit(€)]]/SalesData[[#This Row],[Contracts Signed]])</f>
        <v>14694</v>
      </c>
      <c r="AJ983" s="5" t="str">
        <f>TRIM(CLEAN(SalesData[[#This Row],[Retailer]]))</f>
        <v>Leipzig Mobility</v>
      </c>
    </row>
    <row r="984" spans="1:36" ht="14.25" hidden="1" x14ac:dyDescent="0.2">
      <c r="A984" t="s">
        <v>1696</v>
      </c>
      <c r="B984" s="1">
        <v>46060</v>
      </c>
      <c r="C984" t="s">
        <v>24</v>
      </c>
      <c r="D984" t="s">
        <v>151</v>
      </c>
      <c r="E984" t="s">
        <v>42</v>
      </c>
      <c r="F984" t="s">
        <v>94</v>
      </c>
      <c r="G984" t="s">
        <v>95</v>
      </c>
      <c r="H984" t="s">
        <v>96</v>
      </c>
      <c r="I984" t="s">
        <v>104</v>
      </c>
      <c r="J984" t="s">
        <v>140</v>
      </c>
      <c r="K984" t="s">
        <v>32</v>
      </c>
      <c r="L984" t="s">
        <v>46</v>
      </c>
      <c r="M984" t="s">
        <v>68</v>
      </c>
      <c r="N984" t="s">
        <v>69</v>
      </c>
      <c r="O984" t="s">
        <v>36</v>
      </c>
      <c r="P984" t="s">
        <v>71</v>
      </c>
      <c r="Q984" t="s">
        <v>144</v>
      </c>
      <c r="R984">
        <v>499</v>
      </c>
      <c r="S984">
        <v>268</v>
      </c>
      <c r="T984">
        <v>163</v>
      </c>
      <c r="U984">
        <v>54</v>
      </c>
      <c r="V984" t="s">
        <v>6786</v>
      </c>
      <c r="W984">
        <v>27341</v>
      </c>
      <c r="X984" t="s">
        <v>341</v>
      </c>
      <c r="Y984">
        <v>24608</v>
      </c>
      <c r="Z984">
        <v>1476414</v>
      </c>
      <c r="AA984">
        <v>147582</v>
      </c>
      <c r="AB984" t="str">
        <f>(VLOOKUP(SalesData[[#This Row],[Month Number]],Reference!C$5:E$16,2,FALSE))</f>
        <v>Feb</v>
      </c>
      <c r="AC984">
        <f>MONTH(SalesData[[#This Row],[Date]])</f>
        <v>2</v>
      </c>
      <c r="AD984">
        <f>Reference!F$4</f>
        <v>2026</v>
      </c>
      <c r="AE984" t="str">
        <f>IF(OR(SalesData[[#This Row],[Day]]="Saturday",SalesData[[#This Row],[Day]]="Sunday"),"Weekend","Weekday")</f>
        <v>Weekend</v>
      </c>
      <c r="AF984" s="5">
        <f>IF(SalesData[[#This Row],[Contracts Offered]]=0,0,SalesData[[#This Row],[Contracts Signed]]/SalesData[[#This Row],[Contracts Offered]])</f>
        <v>0.33128834355828218</v>
      </c>
      <c r="AG984" s="5">
        <f>IF(SalesData[[#This Row],[Customers Visited]]=0,0,SalesData[[#This Row],[Test Drives]]/SalesData[[#This Row],[Customers Visited]])</f>
        <v>0.53707414829659317</v>
      </c>
      <c r="AH984" s="5">
        <f>IF(SalesData[[#This Row],[Customers Visited]]=0,0,SalesData[[#This Row],[Contracts Signed]]/SalesData[[#This Row],[Customers Visited]])</f>
        <v>0.10821643286573146</v>
      </c>
      <c r="AI984" s="6">
        <f>IF(SalesData[[#This Row],[Contracts Signed]]=0,0,SalesData[[#This Row],[Profit(€)]]/SalesData[[#This Row],[Contracts Signed]])</f>
        <v>2733</v>
      </c>
      <c r="AJ984" s="5" t="str">
        <f>TRIM(CLEAN(SalesData[[#This Row],[Retailer]]))</f>
        <v>Bavaria Motors</v>
      </c>
    </row>
    <row r="985" spans="1:36" ht="14.25" hidden="1" x14ac:dyDescent="0.2">
      <c r="A985" t="s">
        <v>1697</v>
      </c>
      <c r="B985" s="1">
        <v>46057</v>
      </c>
      <c r="C985" t="s">
        <v>24</v>
      </c>
      <c r="D985" t="s">
        <v>82</v>
      </c>
      <c r="E985" t="s">
        <v>26</v>
      </c>
      <c r="F985" t="s">
        <v>43</v>
      </c>
      <c r="G985" t="s">
        <v>44</v>
      </c>
      <c r="H985" t="s">
        <v>45</v>
      </c>
      <c r="I985" t="s">
        <v>56</v>
      </c>
      <c r="J985" t="s">
        <v>7028</v>
      </c>
      <c r="K985" t="s">
        <v>32</v>
      </c>
      <c r="L985" t="s">
        <v>46</v>
      </c>
      <c r="M985" t="s">
        <v>87</v>
      </c>
      <c r="N985" t="s">
        <v>69</v>
      </c>
      <c r="O985" t="s">
        <v>70</v>
      </c>
      <c r="P985" t="s">
        <v>58</v>
      </c>
      <c r="Q985" t="s">
        <v>135</v>
      </c>
      <c r="R985">
        <v>183</v>
      </c>
      <c r="S985">
        <v>108</v>
      </c>
      <c r="T985">
        <v>83</v>
      </c>
      <c r="U985">
        <v>25</v>
      </c>
      <c r="V985" t="s">
        <v>6773</v>
      </c>
      <c r="W985">
        <v>43422</v>
      </c>
      <c r="X985" t="s">
        <v>4550</v>
      </c>
      <c r="Y985">
        <v>33980</v>
      </c>
      <c r="Z985">
        <v>1085550</v>
      </c>
      <c r="AA985">
        <v>236050</v>
      </c>
      <c r="AB985" t="str">
        <f>(VLOOKUP(SalesData[[#This Row],[Month Number]],Reference!C$5:E$16,2,FALSE))</f>
        <v>Feb</v>
      </c>
      <c r="AC985">
        <f>MONTH(SalesData[[#This Row],[Date]])</f>
        <v>2</v>
      </c>
      <c r="AD985">
        <f>Reference!F$4</f>
        <v>2026</v>
      </c>
      <c r="AE985" t="str">
        <f>IF(OR(SalesData[[#This Row],[Day]]="Saturday",SalesData[[#This Row],[Day]]="Sunday"),"Weekend","Weekday")</f>
        <v>Weekday</v>
      </c>
      <c r="AF985" s="5">
        <f>IF(SalesData[[#This Row],[Contracts Offered]]=0,0,SalesData[[#This Row],[Contracts Signed]]/SalesData[[#This Row],[Contracts Offered]])</f>
        <v>0.30120481927710846</v>
      </c>
      <c r="AG985" s="5">
        <f>IF(SalesData[[#This Row],[Customers Visited]]=0,0,SalesData[[#This Row],[Test Drives]]/SalesData[[#This Row],[Customers Visited]])</f>
        <v>0.5901639344262295</v>
      </c>
      <c r="AH985" s="5">
        <f>IF(SalesData[[#This Row],[Customers Visited]]=0,0,SalesData[[#This Row],[Contracts Signed]]/SalesData[[#This Row],[Customers Visited]])</f>
        <v>0.13661202185792351</v>
      </c>
      <c r="AI985" s="6">
        <f>IF(SalesData[[#This Row],[Contracts Signed]]=0,0,SalesData[[#This Row],[Profit(€)]]/SalesData[[#This Row],[Contracts Signed]])</f>
        <v>9442</v>
      </c>
      <c r="AJ985" s="5" t="str">
        <f>TRIM(CLEAN(SalesData[[#This Row],[Retailer]]))</f>
        <v>Saxon Wheels</v>
      </c>
    </row>
    <row r="986" spans="1:36" ht="14.25" hidden="1" x14ac:dyDescent="0.2">
      <c r="A986" t="s">
        <v>1699</v>
      </c>
      <c r="B986" s="1">
        <v>46056</v>
      </c>
      <c r="C986" t="s">
        <v>24</v>
      </c>
      <c r="D986" t="s">
        <v>63</v>
      </c>
      <c r="E986" t="s">
        <v>26</v>
      </c>
      <c r="F986" t="s">
        <v>83</v>
      </c>
      <c r="G986" t="s">
        <v>84</v>
      </c>
      <c r="H986" t="s">
        <v>85</v>
      </c>
      <c r="I986" t="s">
        <v>56</v>
      </c>
      <c r="J986" t="s">
        <v>179</v>
      </c>
      <c r="K986" t="s">
        <v>78</v>
      </c>
      <c r="L986" t="s">
        <v>67</v>
      </c>
      <c r="M986" t="s">
        <v>34</v>
      </c>
      <c r="N986" t="s">
        <v>35</v>
      </c>
      <c r="O986" t="s">
        <v>36</v>
      </c>
      <c r="P986" t="s">
        <v>49</v>
      </c>
      <c r="Q986" t="s">
        <v>129</v>
      </c>
      <c r="R986">
        <v>207</v>
      </c>
      <c r="S986">
        <v>112</v>
      </c>
      <c r="T986">
        <v>74</v>
      </c>
      <c r="U986">
        <v>22</v>
      </c>
      <c r="V986" t="s">
        <v>2931</v>
      </c>
      <c r="W986">
        <v>45470</v>
      </c>
      <c r="X986" t="s">
        <v>7170</v>
      </c>
      <c r="Y986">
        <v>35780</v>
      </c>
      <c r="Z986">
        <v>1000340</v>
      </c>
      <c r="AA986">
        <v>213180</v>
      </c>
      <c r="AB986" t="str">
        <f>(VLOOKUP(SalesData[[#This Row],[Month Number]],Reference!C$5:E$16,2,FALSE))</f>
        <v>Feb</v>
      </c>
      <c r="AC986">
        <f>MONTH(SalesData[[#This Row],[Date]])</f>
        <v>2</v>
      </c>
      <c r="AD986">
        <f>Reference!F$4</f>
        <v>2026</v>
      </c>
      <c r="AE986" t="str">
        <f>IF(OR(SalesData[[#This Row],[Day]]="Saturday",SalesData[[#This Row],[Day]]="Sunday"),"Weekend","Weekday")</f>
        <v>Weekday</v>
      </c>
      <c r="AF986" s="5">
        <f>IF(SalesData[[#This Row],[Contracts Offered]]=0,0,SalesData[[#This Row],[Contracts Signed]]/SalesData[[#This Row],[Contracts Offered]])</f>
        <v>0.29729729729729731</v>
      </c>
      <c r="AG986" s="5">
        <f>IF(SalesData[[#This Row],[Customers Visited]]=0,0,SalesData[[#This Row],[Test Drives]]/SalesData[[#This Row],[Customers Visited]])</f>
        <v>0.54106280193236711</v>
      </c>
      <c r="AH986" s="5">
        <f>IF(SalesData[[#This Row],[Customers Visited]]=0,0,SalesData[[#This Row],[Contracts Signed]]/SalesData[[#This Row],[Customers Visited]])</f>
        <v>0.10628019323671498</v>
      </c>
      <c r="AI986" s="6">
        <f>IF(SalesData[[#This Row],[Contracts Signed]]=0,0,SalesData[[#This Row],[Profit(€)]]/SalesData[[#This Row],[Contracts Signed]])</f>
        <v>9690</v>
      </c>
      <c r="AJ986" s="5" t="str">
        <f>TRIM(CLEAN(SalesData[[#This Row],[Retailer]]))</f>
        <v>Hannover Cars</v>
      </c>
    </row>
    <row r="987" spans="1:36" ht="14.25" hidden="1" x14ac:dyDescent="0.2">
      <c r="A987" t="s">
        <v>1700</v>
      </c>
      <c r="B987" s="1">
        <v>46062</v>
      </c>
      <c r="C987" t="s">
        <v>121</v>
      </c>
      <c r="D987" t="s">
        <v>25</v>
      </c>
      <c r="E987" t="s">
        <v>26</v>
      </c>
      <c r="F987" t="s">
        <v>109</v>
      </c>
      <c r="G987" t="s">
        <v>110</v>
      </c>
      <c r="H987" t="s">
        <v>45</v>
      </c>
      <c r="I987" t="s">
        <v>64</v>
      </c>
      <c r="J987" t="s">
        <v>7029</v>
      </c>
      <c r="K987" t="s">
        <v>32</v>
      </c>
      <c r="L987" t="s">
        <v>33</v>
      </c>
      <c r="M987" t="s">
        <v>87</v>
      </c>
      <c r="N987" t="s">
        <v>69</v>
      </c>
      <c r="O987" t="s">
        <v>36</v>
      </c>
      <c r="P987" t="s">
        <v>49</v>
      </c>
      <c r="Q987" t="s">
        <v>88</v>
      </c>
      <c r="R987">
        <v>249</v>
      </c>
      <c r="S987">
        <v>139</v>
      </c>
      <c r="T987">
        <v>109</v>
      </c>
      <c r="U987">
        <v>32</v>
      </c>
      <c r="V987" t="s">
        <v>6512</v>
      </c>
      <c r="W987">
        <v>66481</v>
      </c>
      <c r="X987" t="s">
        <v>2142</v>
      </c>
      <c r="Y987">
        <v>47975</v>
      </c>
      <c r="Z987">
        <v>2127392</v>
      </c>
      <c r="AA987">
        <v>592192</v>
      </c>
      <c r="AB987" t="str">
        <f>(VLOOKUP(SalesData[[#This Row],[Month Number]],Reference!C$5:E$16,2,FALSE))</f>
        <v>Feb</v>
      </c>
      <c r="AC987">
        <f>MONTH(SalesData[[#This Row],[Date]])</f>
        <v>2</v>
      </c>
      <c r="AD987">
        <f>Reference!F$4</f>
        <v>2026</v>
      </c>
      <c r="AE987" t="str">
        <f>IF(OR(SalesData[[#This Row],[Day]]="Saturday",SalesData[[#This Row],[Day]]="Sunday"),"Weekend","Weekday")</f>
        <v>Weekday</v>
      </c>
      <c r="AF987" s="5">
        <f>IF(SalesData[[#This Row],[Contracts Offered]]=0,0,SalesData[[#This Row],[Contracts Signed]]/SalesData[[#This Row],[Contracts Offered]])</f>
        <v>0.29357798165137616</v>
      </c>
      <c r="AG987" s="5">
        <f>IF(SalesData[[#This Row],[Customers Visited]]=0,0,SalesData[[#This Row],[Test Drives]]/SalesData[[#This Row],[Customers Visited]])</f>
        <v>0.55823293172690758</v>
      </c>
      <c r="AH987" s="5">
        <f>IF(SalesData[[#This Row],[Customers Visited]]=0,0,SalesData[[#This Row],[Contracts Signed]]/SalesData[[#This Row],[Customers Visited]])</f>
        <v>0.12851405622489959</v>
      </c>
      <c r="AI987" s="6">
        <f>IF(SalesData[[#This Row],[Contracts Signed]]=0,0,SalesData[[#This Row],[Profit(€)]]/SalesData[[#This Row],[Contracts Signed]])</f>
        <v>18506</v>
      </c>
      <c r="AJ987" s="5" t="str">
        <f>TRIM(CLEAN(SalesData[[#This Row],[Retailer]]))</f>
        <v>Leipzig Mobility</v>
      </c>
    </row>
    <row r="988" spans="1:36" ht="14.25" x14ac:dyDescent="0.2">
      <c r="A988" t="s">
        <v>1702</v>
      </c>
      <c r="B988" s="1">
        <v>46077</v>
      </c>
      <c r="C988" t="s">
        <v>53</v>
      </c>
      <c r="D988" t="s">
        <v>63</v>
      </c>
      <c r="E988" t="s">
        <v>26</v>
      </c>
      <c r="F988" t="s">
        <v>94</v>
      </c>
      <c r="G988" t="s">
        <v>95</v>
      </c>
      <c r="H988" t="s">
        <v>96</v>
      </c>
      <c r="I988" t="s">
        <v>30</v>
      </c>
      <c r="J988" t="s">
        <v>7075</v>
      </c>
      <c r="K988" t="s">
        <v>78</v>
      </c>
      <c r="L988" t="s">
        <v>33</v>
      </c>
      <c r="M988" t="s">
        <v>34</v>
      </c>
      <c r="N988" t="s">
        <v>48</v>
      </c>
      <c r="O988" t="s">
        <v>70</v>
      </c>
      <c r="P988" t="s">
        <v>71</v>
      </c>
      <c r="Q988" t="s">
        <v>135</v>
      </c>
      <c r="R988">
        <v>178</v>
      </c>
      <c r="S988">
        <v>88</v>
      </c>
      <c r="T988">
        <v>64</v>
      </c>
      <c r="U988">
        <v>25</v>
      </c>
      <c r="V988" t="s">
        <v>7088</v>
      </c>
      <c r="W988">
        <v>58245</v>
      </c>
      <c r="X988" t="s">
        <v>7068</v>
      </c>
      <c r="Y988">
        <v>44487</v>
      </c>
      <c r="Z988">
        <v>1456125</v>
      </c>
      <c r="AA988">
        <v>343950</v>
      </c>
      <c r="AB988" t="str">
        <f>(VLOOKUP(SalesData[[#This Row],[Month Number]],Reference!C$5:E$16,2,FALSE))</f>
        <v>Feb</v>
      </c>
      <c r="AC988">
        <f>MONTH(SalesData[[#This Row],[Date]])</f>
        <v>2</v>
      </c>
      <c r="AD988">
        <f>Reference!F$4</f>
        <v>2026</v>
      </c>
      <c r="AE988" t="str">
        <f>IF(OR(SalesData[[#This Row],[Day]]="Saturday",SalesData[[#This Row],[Day]]="Sunday"),"Weekend","Weekday")</f>
        <v>Weekday</v>
      </c>
      <c r="AF988" s="5">
        <f>IF(SalesData[[#This Row],[Contracts Offered]]=0,0,SalesData[[#This Row],[Contracts Signed]]/SalesData[[#This Row],[Contracts Offered]])</f>
        <v>0.390625</v>
      </c>
      <c r="AG988" s="5">
        <f>IF(SalesData[[#This Row],[Customers Visited]]=0,0,SalesData[[#This Row],[Test Drives]]/SalesData[[#This Row],[Customers Visited]])</f>
        <v>0.4943820224719101</v>
      </c>
      <c r="AH988" s="5">
        <f>IF(SalesData[[#This Row],[Customers Visited]]=0,0,SalesData[[#This Row],[Contracts Signed]]/SalesData[[#This Row],[Customers Visited]])</f>
        <v>0.1404494382022472</v>
      </c>
      <c r="AI988" s="6">
        <f>IF(SalesData[[#This Row],[Contracts Signed]]=0,0,SalesData[[#This Row],[Profit(€)]]/SalesData[[#This Row],[Contracts Signed]])</f>
        <v>13758</v>
      </c>
      <c r="AJ988" s="5" t="str">
        <f>TRIM(CLEAN(SalesData[[#This Row],[Retailer]]))</f>
        <v>Bavaria Motors</v>
      </c>
    </row>
    <row r="989" spans="1:36" ht="14.25" hidden="1" x14ac:dyDescent="0.2">
      <c r="A989" t="s">
        <v>1703</v>
      </c>
      <c r="B989" s="1">
        <v>46077</v>
      </c>
      <c r="C989" t="s">
        <v>53</v>
      </c>
      <c r="D989" t="s">
        <v>63</v>
      </c>
      <c r="E989" t="s">
        <v>26</v>
      </c>
      <c r="F989" t="s">
        <v>27</v>
      </c>
      <c r="G989" t="s">
        <v>28</v>
      </c>
      <c r="H989" t="s">
        <v>29</v>
      </c>
      <c r="I989" t="s">
        <v>104</v>
      </c>
      <c r="J989" t="s">
        <v>105</v>
      </c>
      <c r="K989" t="s">
        <v>32</v>
      </c>
      <c r="L989" t="s">
        <v>33</v>
      </c>
      <c r="M989" t="s">
        <v>47</v>
      </c>
      <c r="N989" t="s">
        <v>48</v>
      </c>
      <c r="O989" t="s">
        <v>70</v>
      </c>
      <c r="P989" t="s">
        <v>49</v>
      </c>
      <c r="Q989" t="s">
        <v>122</v>
      </c>
      <c r="R989">
        <v>291</v>
      </c>
      <c r="S989">
        <v>146</v>
      </c>
      <c r="T989">
        <v>104</v>
      </c>
      <c r="U989">
        <v>16</v>
      </c>
      <c r="V989" t="s">
        <v>917</v>
      </c>
      <c r="W989">
        <v>29184</v>
      </c>
      <c r="X989" t="s">
        <v>216</v>
      </c>
      <c r="Y989">
        <v>26512</v>
      </c>
      <c r="Z989">
        <v>466944</v>
      </c>
      <c r="AA989">
        <v>42752</v>
      </c>
      <c r="AB989" t="str">
        <f>(VLOOKUP(SalesData[[#This Row],[Month Number]],Reference!C$5:E$16,2,FALSE))</f>
        <v>Feb</v>
      </c>
      <c r="AC989">
        <f>MONTH(SalesData[[#This Row],[Date]])</f>
        <v>2</v>
      </c>
      <c r="AD989">
        <f>Reference!F$4</f>
        <v>2026</v>
      </c>
      <c r="AE989" t="str">
        <f>IF(OR(SalesData[[#This Row],[Day]]="Saturday",SalesData[[#This Row],[Day]]="Sunday"),"Weekend","Weekday")</f>
        <v>Weekday</v>
      </c>
      <c r="AF989" s="5">
        <f>IF(SalesData[[#This Row],[Contracts Offered]]=0,0,SalesData[[#This Row],[Contracts Signed]]/SalesData[[#This Row],[Contracts Offered]])</f>
        <v>0.15384615384615385</v>
      </c>
      <c r="AG989" s="5">
        <f>IF(SalesData[[#This Row],[Customers Visited]]=0,0,SalesData[[#This Row],[Test Drives]]/SalesData[[#This Row],[Customers Visited]])</f>
        <v>0.50171821305841924</v>
      </c>
      <c r="AH989" s="5">
        <f>IF(SalesData[[#This Row],[Customers Visited]]=0,0,SalesData[[#This Row],[Contracts Signed]]/SalesData[[#This Row],[Customers Visited]])</f>
        <v>5.4982817869415807E-2</v>
      </c>
      <c r="AI989" s="6">
        <f>IF(SalesData[[#This Row],[Contracts Signed]]=0,0,SalesData[[#This Row],[Profit(€)]]/SalesData[[#This Row],[Contracts Signed]])</f>
        <v>2672</v>
      </c>
      <c r="AJ989" s="5" t="str">
        <f>TRIM(CLEAN(SalesData[[#This Row],[Retailer]]))</f>
        <v>Main Auto Hub</v>
      </c>
    </row>
    <row r="990" spans="1:36" ht="14.25" hidden="1" x14ac:dyDescent="0.2">
      <c r="A990" t="s">
        <v>1704</v>
      </c>
      <c r="B990" s="1">
        <v>46069</v>
      </c>
      <c r="C990" t="s">
        <v>62</v>
      </c>
      <c r="D990" t="s">
        <v>25</v>
      </c>
      <c r="E990" t="s">
        <v>26</v>
      </c>
      <c r="F990" t="s">
        <v>43</v>
      </c>
      <c r="G990" t="s">
        <v>44</v>
      </c>
      <c r="H990" t="s">
        <v>45</v>
      </c>
      <c r="I990" t="s">
        <v>56</v>
      </c>
      <c r="J990" t="s">
        <v>179</v>
      </c>
      <c r="K990" t="s">
        <v>66</v>
      </c>
      <c r="L990" t="s">
        <v>67</v>
      </c>
      <c r="M990" t="s">
        <v>87</v>
      </c>
      <c r="N990" t="s">
        <v>69</v>
      </c>
      <c r="O990" t="s">
        <v>70</v>
      </c>
      <c r="P990" t="s">
        <v>71</v>
      </c>
      <c r="Q990" t="s">
        <v>38</v>
      </c>
      <c r="R990">
        <v>265</v>
      </c>
      <c r="S990">
        <v>157</v>
      </c>
      <c r="T990">
        <v>104</v>
      </c>
      <c r="U990">
        <v>38</v>
      </c>
      <c r="V990" t="s">
        <v>6867</v>
      </c>
      <c r="W990">
        <v>43039</v>
      </c>
      <c r="X990" t="s">
        <v>7179</v>
      </c>
      <c r="Y990">
        <v>35157</v>
      </c>
      <c r="Z990">
        <v>1635482</v>
      </c>
      <c r="AA990">
        <v>299516</v>
      </c>
      <c r="AB990" t="str">
        <f>(VLOOKUP(SalesData[[#This Row],[Month Number]],Reference!C$5:E$16,2,FALSE))</f>
        <v>Feb</v>
      </c>
      <c r="AC990">
        <f>MONTH(SalesData[[#This Row],[Date]])</f>
        <v>2</v>
      </c>
      <c r="AD990">
        <f>Reference!F$4</f>
        <v>2026</v>
      </c>
      <c r="AE990" t="str">
        <f>IF(OR(SalesData[[#This Row],[Day]]="Saturday",SalesData[[#This Row],[Day]]="Sunday"),"Weekend","Weekday")</f>
        <v>Weekday</v>
      </c>
      <c r="AF990" s="5">
        <f>IF(SalesData[[#This Row],[Contracts Offered]]=0,0,SalesData[[#This Row],[Contracts Signed]]/SalesData[[#This Row],[Contracts Offered]])</f>
        <v>0.36538461538461536</v>
      </c>
      <c r="AG990" s="5">
        <f>IF(SalesData[[#This Row],[Customers Visited]]=0,0,SalesData[[#This Row],[Test Drives]]/SalesData[[#This Row],[Customers Visited]])</f>
        <v>0.59245283018867922</v>
      </c>
      <c r="AH990" s="5">
        <f>IF(SalesData[[#This Row],[Customers Visited]]=0,0,SalesData[[#This Row],[Contracts Signed]]/SalesData[[#This Row],[Customers Visited]])</f>
        <v>0.14339622641509434</v>
      </c>
      <c r="AI990" s="6">
        <f>IF(SalesData[[#This Row],[Contracts Signed]]=0,0,SalesData[[#This Row],[Profit(€)]]/SalesData[[#This Row],[Contracts Signed]])</f>
        <v>7882</v>
      </c>
      <c r="AJ990" s="5" t="str">
        <f>TRIM(CLEAN(SalesData[[#This Row],[Retailer]]))</f>
        <v>Saxon Wheels</v>
      </c>
    </row>
    <row r="991" spans="1:36" ht="14.25" x14ac:dyDescent="0.2">
      <c r="A991" t="s">
        <v>1705</v>
      </c>
      <c r="B991" s="1">
        <v>46057</v>
      </c>
      <c r="C991" t="s">
        <v>24</v>
      </c>
      <c r="D991" t="s">
        <v>82</v>
      </c>
      <c r="E991" t="s">
        <v>26</v>
      </c>
      <c r="F991" t="s">
        <v>27</v>
      </c>
      <c r="G991" t="s">
        <v>28</v>
      </c>
      <c r="H991" t="s">
        <v>29</v>
      </c>
      <c r="I991" t="s">
        <v>30</v>
      </c>
      <c r="J991" t="s">
        <v>7075</v>
      </c>
      <c r="K991" t="s">
        <v>91</v>
      </c>
      <c r="L991" t="s">
        <v>33</v>
      </c>
      <c r="M991" t="s">
        <v>34</v>
      </c>
      <c r="N991" t="s">
        <v>35</v>
      </c>
      <c r="O991" t="s">
        <v>70</v>
      </c>
      <c r="P991" t="s">
        <v>71</v>
      </c>
      <c r="Q991" t="s">
        <v>144</v>
      </c>
      <c r="R991">
        <v>182</v>
      </c>
      <c r="S991">
        <v>89</v>
      </c>
      <c r="T991">
        <v>63</v>
      </c>
      <c r="U991">
        <v>27</v>
      </c>
      <c r="V991" t="s">
        <v>7245</v>
      </c>
      <c r="W991">
        <v>55307</v>
      </c>
      <c r="X991" t="s">
        <v>7106</v>
      </c>
      <c r="Y991">
        <v>42958</v>
      </c>
      <c r="Z991">
        <v>1493289</v>
      </c>
      <c r="AA991">
        <v>333423</v>
      </c>
      <c r="AB991" t="str">
        <f>(VLOOKUP(SalesData[[#This Row],[Month Number]],Reference!C$5:E$16,2,FALSE))</f>
        <v>Feb</v>
      </c>
      <c r="AC991">
        <f>MONTH(SalesData[[#This Row],[Date]])</f>
        <v>2</v>
      </c>
      <c r="AD991">
        <f>Reference!F$4</f>
        <v>2026</v>
      </c>
      <c r="AE991" t="str">
        <f>IF(OR(SalesData[[#This Row],[Day]]="Saturday",SalesData[[#This Row],[Day]]="Sunday"),"Weekend","Weekday")</f>
        <v>Weekday</v>
      </c>
      <c r="AF991" s="5">
        <f>IF(SalesData[[#This Row],[Contracts Offered]]=0,0,SalesData[[#This Row],[Contracts Signed]]/SalesData[[#This Row],[Contracts Offered]])</f>
        <v>0.42857142857142855</v>
      </c>
      <c r="AG991" s="5">
        <f>IF(SalesData[[#This Row],[Customers Visited]]=0,0,SalesData[[#This Row],[Test Drives]]/SalesData[[#This Row],[Customers Visited]])</f>
        <v>0.48901098901098899</v>
      </c>
      <c r="AH991" s="5">
        <f>IF(SalesData[[#This Row],[Customers Visited]]=0,0,SalesData[[#This Row],[Contracts Signed]]/SalesData[[#This Row],[Customers Visited]])</f>
        <v>0.14835164835164835</v>
      </c>
      <c r="AI991" s="6">
        <f>IF(SalesData[[#This Row],[Contracts Signed]]=0,0,SalesData[[#This Row],[Profit(€)]]/SalesData[[#This Row],[Contracts Signed]])</f>
        <v>12349</v>
      </c>
      <c r="AJ991" s="5" t="str">
        <f>TRIM(CLEAN(SalesData[[#This Row],[Retailer]]))</f>
        <v>Main Auto Hub</v>
      </c>
    </row>
    <row r="992" spans="1:36" ht="14.25" hidden="1" x14ac:dyDescent="0.2">
      <c r="A992" t="s">
        <v>1707</v>
      </c>
      <c r="B992" s="1">
        <v>46081</v>
      </c>
      <c r="C992" t="s">
        <v>53</v>
      </c>
      <c r="D992" t="s">
        <v>151</v>
      </c>
      <c r="E992" t="s">
        <v>42</v>
      </c>
      <c r="F992" t="s">
        <v>74</v>
      </c>
      <c r="G992" t="s">
        <v>75</v>
      </c>
      <c r="H992" t="s">
        <v>76</v>
      </c>
      <c r="I992" t="s">
        <v>104</v>
      </c>
      <c r="J992" t="s">
        <v>7061</v>
      </c>
      <c r="K992" t="s">
        <v>66</v>
      </c>
      <c r="L992" t="s">
        <v>46</v>
      </c>
      <c r="M992" t="s">
        <v>34</v>
      </c>
      <c r="N992" t="s">
        <v>35</v>
      </c>
      <c r="O992" t="s">
        <v>36</v>
      </c>
      <c r="P992" t="s">
        <v>71</v>
      </c>
      <c r="Q992" t="s">
        <v>167</v>
      </c>
      <c r="R992">
        <v>430</v>
      </c>
      <c r="S992">
        <v>236</v>
      </c>
      <c r="T992">
        <v>148</v>
      </c>
      <c r="U992">
        <v>45</v>
      </c>
      <c r="V992" t="s">
        <v>4589</v>
      </c>
      <c r="W992">
        <v>33511</v>
      </c>
      <c r="X992" t="s">
        <v>7355</v>
      </c>
      <c r="Y992">
        <v>29528</v>
      </c>
      <c r="Z992">
        <v>1507995</v>
      </c>
      <c r="AA992">
        <v>179235</v>
      </c>
      <c r="AB992" t="str">
        <f>(VLOOKUP(SalesData[[#This Row],[Month Number]],Reference!C$5:E$16,2,FALSE))</f>
        <v>Feb</v>
      </c>
      <c r="AC992">
        <f>MONTH(SalesData[[#This Row],[Date]])</f>
        <v>2</v>
      </c>
      <c r="AD992">
        <f>Reference!F$4</f>
        <v>2026</v>
      </c>
      <c r="AE992" t="str">
        <f>IF(OR(SalesData[[#This Row],[Day]]="Saturday",SalesData[[#This Row],[Day]]="Sunday"),"Weekend","Weekday")</f>
        <v>Weekend</v>
      </c>
      <c r="AF992" s="5">
        <f>IF(SalesData[[#This Row],[Contracts Offered]]=0,0,SalesData[[#This Row],[Contracts Signed]]/SalesData[[#This Row],[Contracts Offered]])</f>
        <v>0.30405405405405406</v>
      </c>
      <c r="AG992" s="5">
        <f>IF(SalesData[[#This Row],[Customers Visited]]=0,0,SalesData[[#This Row],[Test Drives]]/SalesData[[#This Row],[Customers Visited]])</f>
        <v>0.5488372093023256</v>
      </c>
      <c r="AH992" s="5">
        <f>IF(SalesData[[#This Row],[Customers Visited]]=0,0,SalesData[[#This Row],[Contracts Signed]]/SalesData[[#This Row],[Customers Visited]])</f>
        <v>0.10465116279069768</v>
      </c>
      <c r="AI992" s="6">
        <f>IF(SalesData[[#This Row],[Contracts Signed]]=0,0,SalesData[[#This Row],[Profit(€)]]/SalesData[[#This Row],[Contracts Signed]])</f>
        <v>3983</v>
      </c>
      <c r="AJ992" s="5" t="str">
        <f>TRIM(CLEAN(SalesData[[#This Row],[Retailer]]))</f>
        <v>Stuttgart Auto Center</v>
      </c>
    </row>
    <row r="993" spans="1:36" ht="14.25" hidden="1" x14ac:dyDescent="0.2">
      <c r="A993" t="s">
        <v>1708</v>
      </c>
      <c r="B993" s="1">
        <v>46056</v>
      </c>
      <c r="C993" t="s">
        <v>24</v>
      </c>
      <c r="D993" t="s">
        <v>63</v>
      </c>
      <c r="E993" t="s">
        <v>26</v>
      </c>
      <c r="F993" t="s">
        <v>109</v>
      </c>
      <c r="G993" t="s">
        <v>110</v>
      </c>
      <c r="H993" t="s">
        <v>45</v>
      </c>
      <c r="I993" t="s">
        <v>56</v>
      </c>
      <c r="J993" t="s">
        <v>7028</v>
      </c>
      <c r="K993" t="s">
        <v>32</v>
      </c>
      <c r="L993" t="s">
        <v>46</v>
      </c>
      <c r="M993" t="s">
        <v>68</v>
      </c>
      <c r="N993" t="s">
        <v>35</v>
      </c>
      <c r="O993" t="s">
        <v>70</v>
      </c>
      <c r="P993" t="s">
        <v>37</v>
      </c>
      <c r="Q993" t="s">
        <v>347</v>
      </c>
      <c r="R993">
        <v>289</v>
      </c>
      <c r="S993">
        <v>137</v>
      </c>
      <c r="T993">
        <v>96</v>
      </c>
      <c r="U993">
        <v>28</v>
      </c>
      <c r="V993" t="s">
        <v>6377</v>
      </c>
      <c r="W993">
        <v>45912</v>
      </c>
      <c r="X993" t="s">
        <v>7144</v>
      </c>
      <c r="Y993">
        <v>35309</v>
      </c>
      <c r="Z993">
        <v>1285536</v>
      </c>
      <c r="AA993">
        <v>296884</v>
      </c>
      <c r="AB993" t="str">
        <f>(VLOOKUP(SalesData[[#This Row],[Month Number]],Reference!C$5:E$16,2,FALSE))</f>
        <v>Feb</v>
      </c>
      <c r="AC993">
        <f>MONTH(SalesData[[#This Row],[Date]])</f>
        <v>2</v>
      </c>
      <c r="AD993">
        <f>Reference!F$4</f>
        <v>2026</v>
      </c>
      <c r="AE993" t="str">
        <f>IF(OR(SalesData[[#This Row],[Day]]="Saturday",SalesData[[#This Row],[Day]]="Sunday"),"Weekend","Weekday")</f>
        <v>Weekday</v>
      </c>
      <c r="AF993" s="5">
        <f>IF(SalesData[[#This Row],[Contracts Offered]]=0,0,SalesData[[#This Row],[Contracts Signed]]/SalesData[[#This Row],[Contracts Offered]])</f>
        <v>0.29166666666666669</v>
      </c>
      <c r="AG993" s="5">
        <f>IF(SalesData[[#This Row],[Customers Visited]]=0,0,SalesData[[#This Row],[Test Drives]]/SalesData[[#This Row],[Customers Visited]])</f>
        <v>0.47404844290657439</v>
      </c>
      <c r="AH993" s="5">
        <f>IF(SalesData[[#This Row],[Customers Visited]]=0,0,SalesData[[#This Row],[Contracts Signed]]/SalesData[[#This Row],[Customers Visited]])</f>
        <v>9.6885813148788927E-2</v>
      </c>
      <c r="AI993" s="6">
        <f>IF(SalesData[[#This Row],[Contracts Signed]]=0,0,SalesData[[#This Row],[Profit(€)]]/SalesData[[#This Row],[Contracts Signed]])</f>
        <v>10603</v>
      </c>
      <c r="AJ993" s="5" t="str">
        <f>TRIM(CLEAN(SalesData[[#This Row],[Retailer]]))</f>
        <v>Leipzig Mobility</v>
      </c>
    </row>
    <row r="994" spans="1:36" ht="14.25" hidden="1" x14ac:dyDescent="0.2">
      <c r="A994" t="s">
        <v>1710</v>
      </c>
      <c r="B994" s="1">
        <v>46080</v>
      </c>
      <c r="C994" t="s">
        <v>53</v>
      </c>
      <c r="D994" t="s">
        <v>54</v>
      </c>
      <c r="E994" t="s">
        <v>26</v>
      </c>
      <c r="F994" t="s">
        <v>27</v>
      </c>
      <c r="G994" t="s">
        <v>28</v>
      </c>
      <c r="H994" t="s">
        <v>29</v>
      </c>
      <c r="I994" t="s">
        <v>56</v>
      </c>
      <c r="J994" t="s">
        <v>57</v>
      </c>
      <c r="K994" t="s">
        <v>66</v>
      </c>
      <c r="L994" t="s">
        <v>46</v>
      </c>
      <c r="M994" t="s">
        <v>87</v>
      </c>
      <c r="N994" t="s">
        <v>35</v>
      </c>
      <c r="O994" t="s">
        <v>36</v>
      </c>
      <c r="P994" t="s">
        <v>71</v>
      </c>
      <c r="Q994" t="s">
        <v>79</v>
      </c>
      <c r="R994">
        <v>160</v>
      </c>
      <c r="S994">
        <v>98</v>
      </c>
      <c r="T994">
        <v>75</v>
      </c>
      <c r="U994">
        <v>22</v>
      </c>
      <c r="V994" t="s">
        <v>6600</v>
      </c>
      <c r="W994">
        <v>41634</v>
      </c>
      <c r="X994" t="s">
        <v>7302</v>
      </c>
      <c r="Y994">
        <v>32454</v>
      </c>
      <c r="Z994">
        <v>915948</v>
      </c>
      <c r="AA994">
        <v>201960</v>
      </c>
      <c r="AB994" t="str">
        <f>(VLOOKUP(SalesData[[#This Row],[Month Number]],Reference!C$5:E$16,2,FALSE))</f>
        <v>Feb</v>
      </c>
      <c r="AC994">
        <f>MONTH(SalesData[[#This Row],[Date]])</f>
        <v>2</v>
      </c>
      <c r="AD994">
        <f>Reference!F$4</f>
        <v>2026</v>
      </c>
      <c r="AE994" t="str">
        <f>IF(OR(SalesData[[#This Row],[Day]]="Saturday",SalesData[[#This Row],[Day]]="Sunday"),"Weekend","Weekday")</f>
        <v>Weekday</v>
      </c>
      <c r="AF994" s="5">
        <f>IF(SalesData[[#This Row],[Contracts Offered]]=0,0,SalesData[[#This Row],[Contracts Signed]]/SalesData[[#This Row],[Contracts Offered]])</f>
        <v>0.29333333333333333</v>
      </c>
      <c r="AG994" s="5">
        <f>IF(SalesData[[#This Row],[Customers Visited]]=0,0,SalesData[[#This Row],[Test Drives]]/SalesData[[#This Row],[Customers Visited]])</f>
        <v>0.61250000000000004</v>
      </c>
      <c r="AH994" s="5">
        <f>IF(SalesData[[#This Row],[Customers Visited]]=0,0,SalesData[[#This Row],[Contracts Signed]]/SalesData[[#This Row],[Customers Visited]])</f>
        <v>0.13750000000000001</v>
      </c>
      <c r="AI994" s="6">
        <f>IF(SalesData[[#This Row],[Contracts Signed]]=0,0,SalesData[[#This Row],[Profit(€)]]/SalesData[[#This Row],[Contracts Signed]])</f>
        <v>9180</v>
      </c>
      <c r="AJ994" s="5" t="str">
        <f>TRIM(CLEAN(SalesData[[#This Row],[Retailer]]))</f>
        <v>Main Auto Hub</v>
      </c>
    </row>
    <row r="995" spans="1:36" ht="14.25" x14ac:dyDescent="0.2">
      <c r="A995" t="s">
        <v>1712</v>
      </c>
      <c r="B995" s="1">
        <v>46073</v>
      </c>
      <c r="C995" t="s">
        <v>62</v>
      </c>
      <c r="D995" t="s">
        <v>54</v>
      </c>
      <c r="E995" t="s">
        <v>26</v>
      </c>
      <c r="F995" t="s">
        <v>101</v>
      </c>
      <c r="G995" t="s">
        <v>102</v>
      </c>
      <c r="H995" t="s">
        <v>103</v>
      </c>
      <c r="I995" t="s">
        <v>30</v>
      </c>
      <c r="J995" t="s">
        <v>166</v>
      </c>
      <c r="K995" t="s">
        <v>66</v>
      </c>
      <c r="L995" t="s">
        <v>46</v>
      </c>
      <c r="M995" t="s">
        <v>87</v>
      </c>
      <c r="N995" t="s">
        <v>48</v>
      </c>
      <c r="O995" t="s">
        <v>70</v>
      </c>
      <c r="P995" t="s">
        <v>71</v>
      </c>
      <c r="Q995" t="s">
        <v>152</v>
      </c>
      <c r="R995">
        <v>149</v>
      </c>
      <c r="S995">
        <v>77</v>
      </c>
      <c r="T995">
        <v>58</v>
      </c>
      <c r="U995">
        <v>22</v>
      </c>
      <c r="V995" t="s">
        <v>6357</v>
      </c>
      <c r="W995">
        <v>53915</v>
      </c>
      <c r="X995" t="s">
        <v>2061</v>
      </c>
      <c r="Y995">
        <v>38855</v>
      </c>
      <c r="Z995">
        <v>1186130</v>
      </c>
      <c r="AA995">
        <v>331320</v>
      </c>
      <c r="AB995" t="str">
        <f>(VLOOKUP(SalesData[[#This Row],[Month Number]],Reference!C$5:E$16,2,FALSE))</f>
        <v>Feb</v>
      </c>
      <c r="AC995">
        <f>MONTH(SalesData[[#This Row],[Date]])</f>
        <v>2</v>
      </c>
      <c r="AD995">
        <f>Reference!F$4</f>
        <v>2026</v>
      </c>
      <c r="AE995" t="str">
        <f>IF(OR(SalesData[[#This Row],[Day]]="Saturday",SalesData[[#This Row],[Day]]="Sunday"),"Weekend","Weekday")</f>
        <v>Weekday</v>
      </c>
      <c r="AF995" s="5">
        <f>IF(SalesData[[#This Row],[Contracts Offered]]=0,0,SalesData[[#This Row],[Contracts Signed]]/SalesData[[#This Row],[Contracts Offered]])</f>
        <v>0.37931034482758619</v>
      </c>
      <c r="AG995" s="5">
        <f>IF(SalesData[[#This Row],[Customers Visited]]=0,0,SalesData[[#This Row],[Test Drives]]/SalesData[[#This Row],[Customers Visited]])</f>
        <v>0.51677852348993292</v>
      </c>
      <c r="AH995" s="5">
        <f>IF(SalesData[[#This Row],[Customers Visited]]=0,0,SalesData[[#This Row],[Contracts Signed]]/SalesData[[#This Row],[Customers Visited]])</f>
        <v>0.1476510067114094</v>
      </c>
      <c r="AI995" s="6">
        <f>IF(SalesData[[#This Row],[Contracts Signed]]=0,0,SalesData[[#This Row],[Profit(€)]]/SalesData[[#This Row],[Contracts Signed]])</f>
        <v>15060</v>
      </c>
      <c r="AJ995" s="5" t="str">
        <f>TRIM(CLEAN(SalesData[[#This Row],[Retailer]]))</f>
        <v>Ruhr Auto Plaza</v>
      </c>
    </row>
    <row r="996" spans="1:36" ht="14.25" hidden="1" x14ac:dyDescent="0.2">
      <c r="A996" t="s">
        <v>1713</v>
      </c>
      <c r="B996" s="1">
        <v>46068</v>
      </c>
      <c r="C996" t="s">
        <v>62</v>
      </c>
      <c r="D996" t="s">
        <v>41</v>
      </c>
      <c r="E996" t="s">
        <v>42</v>
      </c>
      <c r="F996" t="s">
        <v>83</v>
      </c>
      <c r="G996" t="s">
        <v>84</v>
      </c>
      <c r="H996" t="s">
        <v>85</v>
      </c>
      <c r="I996" t="s">
        <v>116</v>
      </c>
      <c r="J996" t="s">
        <v>117</v>
      </c>
      <c r="K996" t="s">
        <v>91</v>
      </c>
      <c r="L996" t="s">
        <v>67</v>
      </c>
      <c r="M996" t="s">
        <v>34</v>
      </c>
      <c r="N996" t="s">
        <v>35</v>
      </c>
      <c r="O996" t="s">
        <v>70</v>
      </c>
      <c r="P996" t="s">
        <v>49</v>
      </c>
      <c r="Q996" t="s">
        <v>169</v>
      </c>
      <c r="R996">
        <v>261</v>
      </c>
      <c r="S996">
        <v>137</v>
      </c>
      <c r="T996">
        <v>89</v>
      </c>
      <c r="U996">
        <v>20</v>
      </c>
      <c r="V996" t="s">
        <v>6673</v>
      </c>
      <c r="W996">
        <v>24048</v>
      </c>
      <c r="X996" t="s">
        <v>7356</v>
      </c>
      <c r="Y996">
        <v>21867</v>
      </c>
      <c r="Z996">
        <v>480960</v>
      </c>
      <c r="AA996">
        <v>43620</v>
      </c>
      <c r="AB996" t="str">
        <f>(VLOOKUP(SalesData[[#This Row],[Month Number]],Reference!C$5:E$16,2,FALSE))</f>
        <v>Feb</v>
      </c>
      <c r="AC996">
        <f>MONTH(SalesData[[#This Row],[Date]])</f>
        <v>2</v>
      </c>
      <c r="AD996">
        <f>Reference!F$4</f>
        <v>2026</v>
      </c>
      <c r="AE996" t="str">
        <f>IF(OR(SalesData[[#This Row],[Day]]="Saturday",SalesData[[#This Row],[Day]]="Sunday"),"Weekend","Weekday")</f>
        <v>Weekend</v>
      </c>
      <c r="AF996" s="5">
        <f>IF(SalesData[[#This Row],[Contracts Offered]]=0,0,SalesData[[#This Row],[Contracts Signed]]/SalesData[[#This Row],[Contracts Offered]])</f>
        <v>0.2247191011235955</v>
      </c>
      <c r="AG996" s="5">
        <f>IF(SalesData[[#This Row],[Customers Visited]]=0,0,SalesData[[#This Row],[Test Drives]]/SalesData[[#This Row],[Customers Visited]])</f>
        <v>0.52490421455938696</v>
      </c>
      <c r="AH996" s="5">
        <f>IF(SalesData[[#This Row],[Customers Visited]]=0,0,SalesData[[#This Row],[Contracts Signed]]/SalesData[[#This Row],[Customers Visited]])</f>
        <v>7.662835249042145E-2</v>
      </c>
      <c r="AI996" s="6">
        <f>IF(SalesData[[#This Row],[Contracts Signed]]=0,0,SalesData[[#This Row],[Profit(€)]]/SalesData[[#This Row],[Contracts Signed]])</f>
        <v>2181</v>
      </c>
      <c r="AJ996" s="5" t="str">
        <f>TRIM(CLEAN(SalesData[[#This Row],[Retailer]]))</f>
        <v>Hannover Cars</v>
      </c>
    </row>
    <row r="997" spans="1:36" ht="14.25" hidden="1" x14ac:dyDescent="0.2">
      <c r="A997" t="s">
        <v>1715</v>
      </c>
      <c r="B997" s="1">
        <v>46066</v>
      </c>
      <c r="C997" t="s">
        <v>121</v>
      </c>
      <c r="D997" t="s">
        <v>54</v>
      </c>
      <c r="E997" t="s">
        <v>26</v>
      </c>
      <c r="F997" t="s">
        <v>27</v>
      </c>
      <c r="G997" t="s">
        <v>28</v>
      </c>
      <c r="H997" t="s">
        <v>29</v>
      </c>
      <c r="I997" t="s">
        <v>64</v>
      </c>
      <c r="J997" t="s">
        <v>65</v>
      </c>
      <c r="K997" t="s">
        <v>91</v>
      </c>
      <c r="L997" t="s">
        <v>33</v>
      </c>
      <c r="M997" t="s">
        <v>87</v>
      </c>
      <c r="N997" t="s">
        <v>48</v>
      </c>
      <c r="O997" t="s">
        <v>36</v>
      </c>
      <c r="P997" t="s">
        <v>58</v>
      </c>
      <c r="Q997" t="s">
        <v>172</v>
      </c>
      <c r="R997">
        <v>195</v>
      </c>
      <c r="S997">
        <v>90</v>
      </c>
      <c r="T997">
        <v>63</v>
      </c>
      <c r="U997">
        <v>24</v>
      </c>
      <c r="V997" t="s">
        <v>6388</v>
      </c>
      <c r="W997">
        <v>68289</v>
      </c>
      <c r="X997" t="s">
        <v>7229</v>
      </c>
      <c r="Y997">
        <v>49053</v>
      </c>
      <c r="Z997">
        <v>1638936</v>
      </c>
      <c r="AA997">
        <v>461664</v>
      </c>
      <c r="AB997" t="str">
        <f>(VLOOKUP(SalesData[[#This Row],[Month Number]],Reference!C$5:E$16,2,FALSE))</f>
        <v>Feb</v>
      </c>
      <c r="AC997">
        <f>MONTH(SalesData[[#This Row],[Date]])</f>
        <v>2</v>
      </c>
      <c r="AD997">
        <f>Reference!F$4</f>
        <v>2026</v>
      </c>
      <c r="AE997" t="str">
        <f>IF(OR(SalesData[[#This Row],[Day]]="Saturday",SalesData[[#This Row],[Day]]="Sunday"),"Weekend","Weekday")</f>
        <v>Weekday</v>
      </c>
      <c r="AF997" s="5">
        <f>IF(SalesData[[#This Row],[Contracts Offered]]=0,0,SalesData[[#This Row],[Contracts Signed]]/SalesData[[#This Row],[Contracts Offered]])</f>
        <v>0.38095238095238093</v>
      </c>
      <c r="AG997" s="5">
        <f>IF(SalesData[[#This Row],[Customers Visited]]=0,0,SalesData[[#This Row],[Test Drives]]/SalesData[[#This Row],[Customers Visited]])</f>
        <v>0.46153846153846156</v>
      </c>
      <c r="AH997" s="5">
        <f>IF(SalesData[[#This Row],[Customers Visited]]=0,0,SalesData[[#This Row],[Contracts Signed]]/SalesData[[#This Row],[Customers Visited]])</f>
        <v>0.12307692307692308</v>
      </c>
      <c r="AI997" s="6">
        <f>IF(SalesData[[#This Row],[Contracts Signed]]=0,0,SalesData[[#This Row],[Profit(€)]]/SalesData[[#This Row],[Contracts Signed]])</f>
        <v>19236</v>
      </c>
      <c r="AJ997" s="5" t="str">
        <f>TRIM(CLEAN(SalesData[[#This Row],[Retailer]]))</f>
        <v>Main Auto Hub</v>
      </c>
    </row>
    <row r="998" spans="1:36" ht="14.25" hidden="1" x14ac:dyDescent="0.2">
      <c r="A998" t="s">
        <v>1716</v>
      </c>
      <c r="B998" s="1">
        <v>46061</v>
      </c>
      <c r="C998" t="s">
        <v>121</v>
      </c>
      <c r="D998" t="s">
        <v>41</v>
      </c>
      <c r="E998" t="s">
        <v>42</v>
      </c>
      <c r="F998" t="s">
        <v>83</v>
      </c>
      <c r="G998" t="s">
        <v>84</v>
      </c>
      <c r="H998" t="s">
        <v>85</v>
      </c>
      <c r="I998" t="s">
        <v>116</v>
      </c>
      <c r="J998" t="s">
        <v>7090</v>
      </c>
      <c r="K998" t="s">
        <v>66</v>
      </c>
      <c r="L998" t="s">
        <v>46</v>
      </c>
      <c r="M998" t="s">
        <v>47</v>
      </c>
      <c r="N998" t="s">
        <v>48</v>
      </c>
      <c r="O998" t="s">
        <v>70</v>
      </c>
      <c r="P998" t="s">
        <v>71</v>
      </c>
      <c r="Q998" t="s">
        <v>38</v>
      </c>
      <c r="R998">
        <v>223</v>
      </c>
      <c r="S998">
        <v>89</v>
      </c>
      <c r="T998">
        <v>54</v>
      </c>
      <c r="U998">
        <v>15</v>
      </c>
      <c r="V998" t="s">
        <v>299</v>
      </c>
      <c r="W998">
        <v>25083</v>
      </c>
      <c r="X998" t="s">
        <v>7357</v>
      </c>
      <c r="Y998">
        <v>22732</v>
      </c>
      <c r="Z998">
        <v>376245</v>
      </c>
      <c r="AA998">
        <v>35265</v>
      </c>
      <c r="AB998" t="str">
        <f>(VLOOKUP(SalesData[[#This Row],[Month Number]],Reference!C$5:E$16,2,FALSE))</f>
        <v>Feb</v>
      </c>
      <c r="AC998">
        <f>MONTH(SalesData[[#This Row],[Date]])</f>
        <v>2</v>
      </c>
      <c r="AD998">
        <f>Reference!F$4</f>
        <v>2026</v>
      </c>
      <c r="AE998" t="str">
        <f>IF(OR(SalesData[[#This Row],[Day]]="Saturday",SalesData[[#This Row],[Day]]="Sunday"),"Weekend","Weekday")</f>
        <v>Weekend</v>
      </c>
      <c r="AF998" s="5">
        <f>IF(SalesData[[#This Row],[Contracts Offered]]=0,0,SalesData[[#This Row],[Contracts Signed]]/SalesData[[#This Row],[Contracts Offered]])</f>
        <v>0.27777777777777779</v>
      </c>
      <c r="AG998" s="5">
        <f>IF(SalesData[[#This Row],[Customers Visited]]=0,0,SalesData[[#This Row],[Test Drives]]/SalesData[[#This Row],[Customers Visited]])</f>
        <v>0.3991031390134529</v>
      </c>
      <c r="AH998" s="5">
        <f>IF(SalesData[[#This Row],[Customers Visited]]=0,0,SalesData[[#This Row],[Contracts Signed]]/SalesData[[#This Row],[Customers Visited]])</f>
        <v>6.726457399103139E-2</v>
      </c>
      <c r="AI998" s="6">
        <f>IF(SalesData[[#This Row],[Contracts Signed]]=0,0,SalesData[[#This Row],[Profit(€)]]/SalesData[[#This Row],[Contracts Signed]])</f>
        <v>2351</v>
      </c>
      <c r="AJ998" s="5" t="str">
        <f>TRIM(CLEAN(SalesData[[#This Row],[Retailer]]))</f>
        <v>Hannover Cars</v>
      </c>
    </row>
    <row r="999" spans="1:36" ht="14.25" hidden="1" x14ac:dyDescent="0.2">
      <c r="A999" t="s">
        <v>1718</v>
      </c>
      <c r="B999" s="1">
        <v>46063</v>
      </c>
      <c r="C999" t="s">
        <v>121</v>
      </c>
      <c r="D999" t="s">
        <v>63</v>
      </c>
      <c r="E999" t="s">
        <v>26</v>
      </c>
      <c r="F999" t="s">
        <v>109</v>
      </c>
      <c r="G999" t="s">
        <v>110</v>
      </c>
      <c r="H999" t="s">
        <v>45</v>
      </c>
      <c r="I999" t="s">
        <v>104</v>
      </c>
      <c r="J999" t="s">
        <v>105</v>
      </c>
      <c r="K999" t="s">
        <v>32</v>
      </c>
      <c r="L999" t="s">
        <v>33</v>
      </c>
      <c r="M999" t="s">
        <v>87</v>
      </c>
      <c r="N999" t="s">
        <v>48</v>
      </c>
      <c r="O999" t="s">
        <v>36</v>
      </c>
      <c r="P999" t="s">
        <v>58</v>
      </c>
      <c r="Q999" t="s">
        <v>204</v>
      </c>
      <c r="R999">
        <v>374</v>
      </c>
      <c r="S999">
        <v>177</v>
      </c>
      <c r="T999">
        <v>108</v>
      </c>
      <c r="U999">
        <v>29</v>
      </c>
      <c r="V999" t="s">
        <v>1307</v>
      </c>
      <c r="W999">
        <v>31022</v>
      </c>
      <c r="X999" t="s">
        <v>1483</v>
      </c>
      <c r="Y999">
        <v>27620</v>
      </c>
      <c r="Z999">
        <v>899638</v>
      </c>
      <c r="AA999">
        <v>98658</v>
      </c>
      <c r="AB999" t="str">
        <f>(VLOOKUP(SalesData[[#This Row],[Month Number]],Reference!C$5:E$16,2,FALSE))</f>
        <v>Feb</v>
      </c>
      <c r="AC999">
        <f>MONTH(SalesData[[#This Row],[Date]])</f>
        <v>2</v>
      </c>
      <c r="AD999">
        <f>Reference!F$4</f>
        <v>2026</v>
      </c>
      <c r="AE999" t="str">
        <f>IF(OR(SalesData[[#This Row],[Day]]="Saturday",SalesData[[#This Row],[Day]]="Sunday"),"Weekend","Weekday")</f>
        <v>Weekday</v>
      </c>
      <c r="AF999" s="5">
        <f>IF(SalesData[[#This Row],[Contracts Offered]]=0,0,SalesData[[#This Row],[Contracts Signed]]/SalesData[[#This Row],[Contracts Offered]])</f>
        <v>0.26851851851851855</v>
      </c>
      <c r="AG999" s="5">
        <f>IF(SalesData[[#This Row],[Customers Visited]]=0,0,SalesData[[#This Row],[Test Drives]]/SalesData[[#This Row],[Customers Visited]])</f>
        <v>0.4732620320855615</v>
      </c>
      <c r="AH999" s="5">
        <f>IF(SalesData[[#This Row],[Customers Visited]]=0,0,SalesData[[#This Row],[Contracts Signed]]/SalesData[[#This Row],[Customers Visited]])</f>
        <v>7.7540106951871662E-2</v>
      </c>
      <c r="AI999" s="6">
        <f>IF(SalesData[[#This Row],[Contracts Signed]]=0,0,SalesData[[#This Row],[Profit(€)]]/SalesData[[#This Row],[Contracts Signed]])</f>
        <v>3402</v>
      </c>
      <c r="AJ999" s="5" t="str">
        <f>TRIM(CLEAN(SalesData[[#This Row],[Retailer]]))</f>
        <v>Leipzig Mobility</v>
      </c>
    </row>
    <row r="1000" spans="1:36" ht="14.25" hidden="1" x14ac:dyDescent="0.2">
      <c r="A1000" t="s">
        <v>1719</v>
      </c>
      <c r="B1000" s="1">
        <v>46065</v>
      </c>
      <c r="C1000" t="s">
        <v>121</v>
      </c>
      <c r="D1000" t="s">
        <v>100</v>
      </c>
      <c r="E1000" t="s">
        <v>26</v>
      </c>
      <c r="F1000" t="s">
        <v>83</v>
      </c>
      <c r="G1000" t="s">
        <v>84</v>
      </c>
      <c r="H1000" t="s">
        <v>85</v>
      </c>
      <c r="I1000" t="s">
        <v>56</v>
      </c>
      <c r="J1000" t="s">
        <v>179</v>
      </c>
      <c r="K1000" t="s">
        <v>32</v>
      </c>
      <c r="L1000" t="s">
        <v>67</v>
      </c>
      <c r="M1000" t="s">
        <v>34</v>
      </c>
      <c r="N1000" t="s">
        <v>35</v>
      </c>
      <c r="O1000" t="s">
        <v>36</v>
      </c>
      <c r="P1000" t="s">
        <v>37</v>
      </c>
      <c r="Q1000" t="s">
        <v>135</v>
      </c>
      <c r="R1000">
        <v>228</v>
      </c>
      <c r="S1000">
        <v>131</v>
      </c>
      <c r="T1000">
        <v>94</v>
      </c>
      <c r="U1000">
        <v>31</v>
      </c>
      <c r="V1000" t="s">
        <v>6474</v>
      </c>
      <c r="W1000">
        <v>47066</v>
      </c>
      <c r="X1000" t="s">
        <v>1892</v>
      </c>
      <c r="Y1000">
        <v>36788</v>
      </c>
      <c r="Z1000">
        <v>1459046</v>
      </c>
      <c r="AA1000">
        <v>318618</v>
      </c>
      <c r="AB1000" t="str">
        <f>(VLOOKUP(SalesData[[#This Row],[Month Number]],Reference!C$5:E$16,2,FALSE))</f>
        <v>Feb</v>
      </c>
      <c r="AC1000">
        <f>MONTH(SalesData[[#This Row],[Date]])</f>
        <v>2</v>
      </c>
      <c r="AD1000">
        <f>Reference!F$4</f>
        <v>2026</v>
      </c>
      <c r="AE1000" t="str">
        <f>IF(OR(SalesData[[#This Row],[Day]]="Saturday",SalesData[[#This Row],[Day]]="Sunday"),"Weekend","Weekday")</f>
        <v>Weekday</v>
      </c>
      <c r="AF1000" s="5">
        <f>IF(SalesData[[#This Row],[Contracts Offered]]=0,0,SalesData[[#This Row],[Contracts Signed]]/SalesData[[#This Row],[Contracts Offered]])</f>
        <v>0.32978723404255317</v>
      </c>
      <c r="AG1000" s="5">
        <f>IF(SalesData[[#This Row],[Customers Visited]]=0,0,SalesData[[#This Row],[Test Drives]]/SalesData[[#This Row],[Customers Visited]])</f>
        <v>0.57456140350877194</v>
      </c>
      <c r="AH1000" s="5">
        <f>IF(SalesData[[#This Row],[Customers Visited]]=0,0,SalesData[[#This Row],[Contracts Signed]]/SalesData[[#This Row],[Customers Visited]])</f>
        <v>0.13596491228070176</v>
      </c>
      <c r="AI1000" s="6">
        <f>IF(SalesData[[#This Row],[Contracts Signed]]=0,0,SalesData[[#This Row],[Profit(€)]]/SalesData[[#This Row],[Contracts Signed]])</f>
        <v>10278</v>
      </c>
      <c r="AJ1000" s="5" t="str">
        <f>TRIM(CLEAN(SalesData[[#This Row],[Retailer]]))</f>
        <v>Hannover Cars</v>
      </c>
    </row>
    <row r="1001" spans="1:36" ht="14.25" hidden="1" x14ac:dyDescent="0.2">
      <c r="A1001" t="s">
        <v>1720</v>
      </c>
      <c r="B1001" s="1">
        <v>46076</v>
      </c>
      <c r="C1001" t="s">
        <v>53</v>
      </c>
      <c r="D1001" t="s">
        <v>25</v>
      </c>
      <c r="E1001" t="s">
        <v>26</v>
      </c>
      <c r="F1001" t="s">
        <v>109</v>
      </c>
      <c r="G1001" t="s">
        <v>110</v>
      </c>
      <c r="H1001" t="s">
        <v>45</v>
      </c>
      <c r="I1001" t="s">
        <v>64</v>
      </c>
      <c r="J1001" t="s">
        <v>157</v>
      </c>
      <c r="K1001" t="s">
        <v>32</v>
      </c>
      <c r="L1001" t="s">
        <v>33</v>
      </c>
      <c r="M1001" t="s">
        <v>87</v>
      </c>
      <c r="N1001" t="s">
        <v>35</v>
      </c>
      <c r="O1001" t="s">
        <v>36</v>
      </c>
      <c r="P1001" t="s">
        <v>49</v>
      </c>
      <c r="Q1001" t="s">
        <v>240</v>
      </c>
      <c r="R1001">
        <v>230</v>
      </c>
      <c r="S1001">
        <v>108</v>
      </c>
      <c r="T1001">
        <v>78</v>
      </c>
      <c r="U1001">
        <v>26</v>
      </c>
      <c r="V1001" t="s">
        <v>6497</v>
      </c>
      <c r="W1001">
        <v>56740</v>
      </c>
      <c r="X1001" t="s">
        <v>7078</v>
      </c>
      <c r="Y1001">
        <v>41642</v>
      </c>
      <c r="Z1001">
        <v>1475240</v>
      </c>
      <c r="AA1001">
        <v>392548</v>
      </c>
      <c r="AB1001" t="str">
        <f>(VLOOKUP(SalesData[[#This Row],[Month Number]],Reference!C$5:E$16,2,FALSE))</f>
        <v>Feb</v>
      </c>
      <c r="AC1001">
        <f>MONTH(SalesData[[#This Row],[Date]])</f>
        <v>2</v>
      </c>
      <c r="AD1001">
        <f>Reference!F$4</f>
        <v>2026</v>
      </c>
      <c r="AE1001" t="str">
        <f>IF(OR(SalesData[[#This Row],[Day]]="Saturday",SalesData[[#This Row],[Day]]="Sunday"),"Weekend","Weekday")</f>
        <v>Weekday</v>
      </c>
      <c r="AF1001" s="5">
        <f>IF(SalesData[[#This Row],[Contracts Offered]]=0,0,SalesData[[#This Row],[Contracts Signed]]/SalesData[[#This Row],[Contracts Offered]])</f>
        <v>0.33333333333333331</v>
      </c>
      <c r="AG1001" s="5">
        <f>IF(SalesData[[#This Row],[Customers Visited]]=0,0,SalesData[[#This Row],[Test Drives]]/SalesData[[#This Row],[Customers Visited]])</f>
        <v>0.46956521739130436</v>
      </c>
      <c r="AH1001" s="5">
        <f>IF(SalesData[[#This Row],[Customers Visited]]=0,0,SalesData[[#This Row],[Contracts Signed]]/SalesData[[#This Row],[Customers Visited]])</f>
        <v>0.11304347826086956</v>
      </c>
      <c r="AI1001" s="6">
        <f>IF(SalesData[[#This Row],[Contracts Signed]]=0,0,SalesData[[#This Row],[Profit(€)]]/SalesData[[#This Row],[Contracts Signed]])</f>
        <v>15098</v>
      </c>
      <c r="AJ1001" s="5" t="str">
        <f>TRIM(CLEAN(SalesData[[#This Row],[Retailer]]))</f>
        <v>Leipzig Mobility</v>
      </c>
    </row>
    <row r="1002" spans="1:36" ht="14.25" x14ac:dyDescent="0.2">
      <c r="A1002" t="s">
        <v>1722</v>
      </c>
      <c r="B1002" s="1">
        <v>46074</v>
      </c>
      <c r="C1002" t="s">
        <v>62</v>
      </c>
      <c r="D1002" t="s">
        <v>151</v>
      </c>
      <c r="E1002" t="s">
        <v>42</v>
      </c>
      <c r="F1002" t="s">
        <v>74</v>
      </c>
      <c r="G1002" t="s">
        <v>75</v>
      </c>
      <c r="H1002" t="s">
        <v>76</v>
      </c>
      <c r="I1002" t="s">
        <v>30</v>
      </c>
      <c r="J1002" t="s">
        <v>188</v>
      </c>
      <c r="K1002" t="s">
        <v>66</v>
      </c>
      <c r="L1002" t="s">
        <v>33</v>
      </c>
      <c r="M1002" t="s">
        <v>87</v>
      </c>
      <c r="N1002" t="s">
        <v>48</v>
      </c>
      <c r="O1002" t="s">
        <v>70</v>
      </c>
      <c r="P1002" t="s">
        <v>71</v>
      </c>
      <c r="Q1002" t="s">
        <v>106</v>
      </c>
      <c r="R1002">
        <v>220</v>
      </c>
      <c r="S1002">
        <v>104</v>
      </c>
      <c r="T1002">
        <v>83</v>
      </c>
      <c r="U1002">
        <v>28</v>
      </c>
      <c r="V1002" t="s">
        <v>6476</v>
      </c>
      <c r="W1002">
        <v>66097</v>
      </c>
      <c r="X1002" t="s">
        <v>7279</v>
      </c>
      <c r="Y1002">
        <v>50216</v>
      </c>
      <c r="Z1002">
        <v>1850716</v>
      </c>
      <c r="AA1002">
        <v>444668</v>
      </c>
      <c r="AB1002" t="str">
        <f>(VLOOKUP(SalesData[[#This Row],[Month Number]],Reference!C$5:E$16,2,FALSE))</f>
        <v>Feb</v>
      </c>
      <c r="AC1002">
        <f>MONTH(SalesData[[#This Row],[Date]])</f>
        <v>2</v>
      </c>
      <c r="AD1002">
        <f>Reference!F$4</f>
        <v>2026</v>
      </c>
      <c r="AE1002" t="str">
        <f>IF(OR(SalesData[[#This Row],[Day]]="Saturday",SalesData[[#This Row],[Day]]="Sunday"),"Weekend","Weekday")</f>
        <v>Weekend</v>
      </c>
      <c r="AF1002" s="5">
        <f>IF(SalesData[[#This Row],[Contracts Offered]]=0,0,SalesData[[#This Row],[Contracts Signed]]/SalesData[[#This Row],[Contracts Offered]])</f>
        <v>0.33734939759036142</v>
      </c>
      <c r="AG1002" s="5">
        <f>IF(SalesData[[#This Row],[Customers Visited]]=0,0,SalesData[[#This Row],[Test Drives]]/SalesData[[#This Row],[Customers Visited]])</f>
        <v>0.47272727272727272</v>
      </c>
      <c r="AH1002" s="5">
        <f>IF(SalesData[[#This Row],[Customers Visited]]=0,0,SalesData[[#This Row],[Contracts Signed]]/SalesData[[#This Row],[Customers Visited]])</f>
        <v>0.12727272727272726</v>
      </c>
      <c r="AI1002" s="6">
        <f>IF(SalesData[[#This Row],[Contracts Signed]]=0,0,SalesData[[#This Row],[Profit(€)]]/SalesData[[#This Row],[Contracts Signed]])</f>
        <v>15881</v>
      </c>
      <c r="AJ1002" s="5" t="str">
        <f>TRIM(CLEAN(SalesData[[#This Row],[Retailer]]))</f>
        <v>Stuttgart Auto Center</v>
      </c>
    </row>
    <row r="1003" spans="1:36" ht="14.25" hidden="1" x14ac:dyDescent="0.2">
      <c r="A1003" t="s">
        <v>1724</v>
      </c>
      <c r="B1003" s="1">
        <v>46060</v>
      </c>
      <c r="C1003" t="s">
        <v>24</v>
      </c>
      <c r="D1003" t="s">
        <v>151</v>
      </c>
      <c r="E1003" t="s">
        <v>42</v>
      </c>
      <c r="F1003" t="s">
        <v>94</v>
      </c>
      <c r="G1003" t="s">
        <v>95</v>
      </c>
      <c r="H1003" t="s">
        <v>96</v>
      </c>
      <c r="I1003" t="s">
        <v>116</v>
      </c>
      <c r="J1003" t="s">
        <v>203</v>
      </c>
      <c r="K1003" t="s">
        <v>78</v>
      </c>
      <c r="L1003" t="s">
        <v>67</v>
      </c>
      <c r="M1003" t="s">
        <v>34</v>
      </c>
      <c r="N1003" t="s">
        <v>35</v>
      </c>
      <c r="O1003" t="s">
        <v>36</v>
      </c>
      <c r="P1003" t="s">
        <v>58</v>
      </c>
      <c r="Q1003" t="s">
        <v>59</v>
      </c>
      <c r="R1003">
        <v>321</v>
      </c>
      <c r="S1003">
        <v>146</v>
      </c>
      <c r="T1003">
        <v>99</v>
      </c>
      <c r="U1003">
        <v>32</v>
      </c>
      <c r="V1003" t="s">
        <v>6865</v>
      </c>
      <c r="W1003">
        <v>23900</v>
      </c>
      <c r="X1003" t="s">
        <v>6983</v>
      </c>
      <c r="Y1003">
        <v>22045</v>
      </c>
      <c r="Z1003">
        <v>764800</v>
      </c>
      <c r="AA1003">
        <v>59360</v>
      </c>
      <c r="AB1003" t="str">
        <f>(VLOOKUP(SalesData[[#This Row],[Month Number]],Reference!C$5:E$16,2,FALSE))</f>
        <v>Feb</v>
      </c>
      <c r="AC1003">
        <f>MONTH(SalesData[[#This Row],[Date]])</f>
        <v>2</v>
      </c>
      <c r="AD1003">
        <f>Reference!F$4</f>
        <v>2026</v>
      </c>
      <c r="AE1003" t="str">
        <f>IF(OR(SalesData[[#This Row],[Day]]="Saturday",SalesData[[#This Row],[Day]]="Sunday"),"Weekend","Weekday")</f>
        <v>Weekend</v>
      </c>
      <c r="AF1003" s="5">
        <f>IF(SalesData[[#This Row],[Contracts Offered]]=0,0,SalesData[[#This Row],[Contracts Signed]]/SalesData[[#This Row],[Contracts Offered]])</f>
        <v>0.32323232323232326</v>
      </c>
      <c r="AG1003" s="5">
        <f>IF(SalesData[[#This Row],[Customers Visited]]=0,0,SalesData[[#This Row],[Test Drives]]/SalesData[[#This Row],[Customers Visited]])</f>
        <v>0.45482866043613707</v>
      </c>
      <c r="AH1003" s="5">
        <f>IF(SalesData[[#This Row],[Customers Visited]]=0,0,SalesData[[#This Row],[Contracts Signed]]/SalesData[[#This Row],[Customers Visited]])</f>
        <v>9.9688473520249218E-2</v>
      </c>
      <c r="AI1003" s="6">
        <f>IF(SalesData[[#This Row],[Contracts Signed]]=0,0,SalesData[[#This Row],[Profit(€)]]/SalesData[[#This Row],[Contracts Signed]])</f>
        <v>1855</v>
      </c>
      <c r="AJ1003" s="5" t="str">
        <f>TRIM(CLEAN(SalesData[[#This Row],[Retailer]]))</f>
        <v>Bavaria Motors</v>
      </c>
    </row>
    <row r="1004" spans="1:36" ht="14.25" hidden="1" x14ac:dyDescent="0.2">
      <c r="A1004" t="s">
        <v>1725</v>
      </c>
      <c r="B1004" s="1">
        <v>46073</v>
      </c>
      <c r="C1004" t="s">
        <v>62</v>
      </c>
      <c r="D1004" t="s">
        <v>54</v>
      </c>
      <c r="E1004" t="s">
        <v>26</v>
      </c>
      <c r="F1004" t="s">
        <v>109</v>
      </c>
      <c r="G1004" t="s">
        <v>110</v>
      </c>
      <c r="H1004" t="s">
        <v>45</v>
      </c>
      <c r="I1004" t="s">
        <v>56</v>
      </c>
      <c r="J1004" t="s">
        <v>137</v>
      </c>
      <c r="K1004" t="s">
        <v>66</v>
      </c>
      <c r="L1004" t="s">
        <v>46</v>
      </c>
      <c r="M1004" t="s">
        <v>34</v>
      </c>
      <c r="N1004" t="s">
        <v>69</v>
      </c>
      <c r="O1004" t="s">
        <v>36</v>
      </c>
      <c r="P1004" t="s">
        <v>58</v>
      </c>
      <c r="Q1004" t="s">
        <v>189</v>
      </c>
      <c r="R1004">
        <v>171</v>
      </c>
      <c r="S1004">
        <v>108</v>
      </c>
      <c r="T1004">
        <v>71</v>
      </c>
      <c r="U1004">
        <v>27</v>
      </c>
      <c r="V1004" t="s">
        <v>6403</v>
      </c>
      <c r="W1004">
        <v>53405</v>
      </c>
      <c r="X1004" t="s">
        <v>3526</v>
      </c>
      <c r="Y1004">
        <v>43367</v>
      </c>
      <c r="Z1004">
        <v>1441935</v>
      </c>
      <c r="AA1004">
        <v>271026</v>
      </c>
      <c r="AB1004" t="str">
        <f>(VLOOKUP(SalesData[[#This Row],[Month Number]],Reference!C$5:E$16,2,FALSE))</f>
        <v>Feb</v>
      </c>
      <c r="AC1004">
        <f>MONTH(SalesData[[#This Row],[Date]])</f>
        <v>2</v>
      </c>
      <c r="AD1004">
        <f>Reference!F$4</f>
        <v>2026</v>
      </c>
      <c r="AE1004" t="str">
        <f>IF(OR(SalesData[[#This Row],[Day]]="Saturday",SalesData[[#This Row],[Day]]="Sunday"),"Weekend","Weekday")</f>
        <v>Weekday</v>
      </c>
      <c r="AF1004" s="5">
        <f>IF(SalesData[[#This Row],[Contracts Offered]]=0,0,SalesData[[#This Row],[Contracts Signed]]/SalesData[[#This Row],[Contracts Offered]])</f>
        <v>0.38028169014084506</v>
      </c>
      <c r="AG1004" s="5">
        <f>IF(SalesData[[#This Row],[Customers Visited]]=0,0,SalesData[[#This Row],[Test Drives]]/SalesData[[#This Row],[Customers Visited]])</f>
        <v>0.63157894736842102</v>
      </c>
      <c r="AH1004" s="5">
        <f>IF(SalesData[[#This Row],[Customers Visited]]=0,0,SalesData[[#This Row],[Contracts Signed]]/SalesData[[#This Row],[Customers Visited]])</f>
        <v>0.15789473684210525</v>
      </c>
      <c r="AI1004" s="6">
        <f>IF(SalesData[[#This Row],[Contracts Signed]]=0,0,SalesData[[#This Row],[Profit(€)]]/SalesData[[#This Row],[Contracts Signed]])</f>
        <v>10038</v>
      </c>
      <c r="AJ1004" s="5" t="str">
        <f>TRIM(CLEAN(SalesData[[#This Row],[Retailer]]))</f>
        <v>Leipzig Mobility</v>
      </c>
    </row>
    <row r="1005" spans="1:36" ht="14.25" hidden="1" x14ac:dyDescent="0.2">
      <c r="A1005" t="s">
        <v>1727</v>
      </c>
      <c r="B1005" s="1">
        <v>46075</v>
      </c>
      <c r="C1005" t="s">
        <v>53</v>
      </c>
      <c r="D1005" t="s">
        <v>41</v>
      </c>
      <c r="E1005" t="s">
        <v>42</v>
      </c>
      <c r="F1005" t="s">
        <v>109</v>
      </c>
      <c r="G1005" t="s">
        <v>110</v>
      </c>
      <c r="H1005" t="s">
        <v>45</v>
      </c>
      <c r="I1005" t="s">
        <v>116</v>
      </c>
      <c r="J1005" t="s">
        <v>203</v>
      </c>
      <c r="K1005" t="s">
        <v>78</v>
      </c>
      <c r="L1005" t="s">
        <v>67</v>
      </c>
      <c r="M1005" t="s">
        <v>34</v>
      </c>
      <c r="N1005" t="s">
        <v>69</v>
      </c>
      <c r="O1005" t="s">
        <v>70</v>
      </c>
      <c r="P1005" t="s">
        <v>49</v>
      </c>
      <c r="Q1005" t="s">
        <v>135</v>
      </c>
      <c r="R1005">
        <v>252</v>
      </c>
      <c r="S1005">
        <v>118</v>
      </c>
      <c r="T1005">
        <v>69</v>
      </c>
      <c r="U1005">
        <v>13</v>
      </c>
      <c r="V1005" t="s">
        <v>1670</v>
      </c>
      <c r="W1005">
        <v>26835</v>
      </c>
      <c r="X1005" t="s">
        <v>228</v>
      </c>
      <c r="Y1005">
        <v>24912</v>
      </c>
      <c r="Z1005">
        <v>348855</v>
      </c>
      <c r="AA1005">
        <v>24999</v>
      </c>
      <c r="AB1005" t="str">
        <f>(VLOOKUP(SalesData[[#This Row],[Month Number]],Reference!C$5:E$16,2,FALSE))</f>
        <v>Feb</v>
      </c>
      <c r="AC1005">
        <f>MONTH(SalesData[[#This Row],[Date]])</f>
        <v>2</v>
      </c>
      <c r="AD1005">
        <f>Reference!F$4</f>
        <v>2026</v>
      </c>
      <c r="AE1005" t="str">
        <f>IF(OR(SalesData[[#This Row],[Day]]="Saturday",SalesData[[#This Row],[Day]]="Sunday"),"Weekend","Weekday")</f>
        <v>Weekend</v>
      </c>
      <c r="AF1005" s="5">
        <f>IF(SalesData[[#This Row],[Contracts Offered]]=0,0,SalesData[[#This Row],[Contracts Signed]]/SalesData[[#This Row],[Contracts Offered]])</f>
        <v>0.18840579710144928</v>
      </c>
      <c r="AG1005" s="5">
        <f>IF(SalesData[[#This Row],[Customers Visited]]=0,0,SalesData[[#This Row],[Test Drives]]/SalesData[[#This Row],[Customers Visited]])</f>
        <v>0.46825396825396826</v>
      </c>
      <c r="AH1005" s="5">
        <f>IF(SalesData[[#This Row],[Customers Visited]]=0,0,SalesData[[#This Row],[Contracts Signed]]/SalesData[[#This Row],[Customers Visited]])</f>
        <v>5.1587301587301584E-2</v>
      </c>
      <c r="AI1005" s="6">
        <f>IF(SalesData[[#This Row],[Contracts Signed]]=0,0,SalesData[[#This Row],[Profit(€)]]/SalesData[[#This Row],[Contracts Signed]])</f>
        <v>1923</v>
      </c>
      <c r="AJ1005" s="5" t="str">
        <f>TRIM(CLEAN(SalesData[[#This Row],[Retailer]]))</f>
        <v>Leipzig Mobility</v>
      </c>
    </row>
    <row r="1006" spans="1:36" ht="14.25" hidden="1" x14ac:dyDescent="0.2">
      <c r="A1006" t="s">
        <v>1728</v>
      </c>
      <c r="B1006" s="1">
        <v>46054</v>
      </c>
      <c r="C1006" t="s">
        <v>24</v>
      </c>
      <c r="D1006" t="s">
        <v>41</v>
      </c>
      <c r="E1006" t="s">
        <v>42</v>
      </c>
      <c r="F1006" t="s">
        <v>109</v>
      </c>
      <c r="G1006" t="s">
        <v>110</v>
      </c>
      <c r="H1006" t="s">
        <v>45</v>
      </c>
      <c r="I1006" t="s">
        <v>64</v>
      </c>
      <c r="J1006" t="s">
        <v>7029</v>
      </c>
      <c r="K1006" t="s">
        <v>78</v>
      </c>
      <c r="L1006" t="s">
        <v>33</v>
      </c>
      <c r="M1006" t="s">
        <v>87</v>
      </c>
      <c r="N1006" t="s">
        <v>69</v>
      </c>
      <c r="O1006" t="s">
        <v>36</v>
      </c>
      <c r="P1006" t="s">
        <v>58</v>
      </c>
      <c r="Q1006" t="s">
        <v>38</v>
      </c>
      <c r="R1006">
        <v>203</v>
      </c>
      <c r="S1006">
        <v>100</v>
      </c>
      <c r="T1006">
        <v>77</v>
      </c>
      <c r="U1006">
        <v>24</v>
      </c>
      <c r="V1006" t="s">
        <v>6629</v>
      </c>
      <c r="W1006">
        <v>61157</v>
      </c>
      <c r="X1006" t="s">
        <v>2997</v>
      </c>
      <c r="Y1006">
        <v>45581</v>
      </c>
      <c r="Z1006">
        <v>1467768</v>
      </c>
      <c r="AA1006">
        <v>373824</v>
      </c>
      <c r="AB1006" t="str">
        <f>(VLOOKUP(SalesData[[#This Row],[Month Number]],Reference!C$5:E$16,2,FALSE))</f>
        <v>Feb</v>
      </c>
      <c r="AC1006">
        <f>MONTH(SalesData[[#This Row],[Date]])</f>
        <v>2</v>
      </c>
      <c r="AD1006">
        <f>Reference!F$4</f>
        <v>2026</v>
      </c>
      <c r="AE1006" t="str">
        <f>IF(OR(SalesData[[#This Row],[Day]]="Saturday",SalesData[[#This Row],[Day]]="Sunday"),"Weekend","Weekday")</f>
        <v>Weekend</v>
      </c>
      <c r="AF1006" s="5">
        <f>IF(SalesData[[#This Row],[Contracts Offered]]=0,0,SalesData[[#This Row],[Contracts Signed]]/SalesData[[#This Row],[Contracts Offered]])</f>
        <v>0.31168831168831168</v>
      </c>
      <c r="AG1006" s="5">
        <f>IF(SalesData[[#This Row],[Customers Visited]]=0,0,SalesData[[#This Row],[Test Drives]]/SalesData[[#This Row],[Customers Visited]])</f>
        <v>0.49261083743842365</v>
      </c>
      <c r="AH1006" s="5">
        <f>IF(SalesData[[#This Row],[Customers Visited]]=0,0,SalesData[[#This Row],[Contracts Signed]]/SalesData[[#This Row],[Customers Visited]])</f>
        <v>0.11822660098522167</v>
      </c>
      <c r="AI1006" s="6">
        <f>IF(SalesData[[#This Row],[Contracts Signed]]=0,0,SalesData[[#This Row],[Profit(€)]]/SalesData[[#This Row],[Contracts Signed]])</f>
        <v>15576</v>
      </c>
      <c r="AJ1006" s="5" t="str">
        <f>TRIM(CLEAN(SalesData[[#This Row],[Retailer]]))</f>
        <v>Leipzig Mobility</v>
      </c>
    </row>
    <row r="1007" spans="1:36" ht="14.25" hidden="1" x14ac:dyDescent="0.2">
      <c r="A1007" t="s">
        <v>1729</v>
      </c>
      <c r="B1007" s="1">
        <v>46064</v>
      </c>
      <c r="C1007" t="s">
        <v>121</v>
      </c>
      <c r="D1007" t="s">
        <v>82</v>
      </c>
      <c r="E1007" t="s">
        <v>26</v>
      </c>
      <c r="F1007" t="s">
        <v>83</v>
      </c>
      <c r="G1007" t="s">
        <v>84</v>
      </c>
      <c r="H1007" t="s">
        <v>85</v>
      </c>
      <c r="I1007" t="s">
        <v>116</v>
      </c>
      <c r="J1007" t="s">
        <v>132</v>
      </c>
      <c r="K1007" t="s">
        <v>91</v>
      </c>
      <c r="L1007" t="s">
        <v>46</v>
      </c>
      <c r="M1007" t="s">
        <v>68</v>
      </c>
      <c r="N1007" t="s">
        <v>48</v>
      </c>
      <c r="O1007" t="s">
        <v>36</v>
      </c>
      <c r="P1007" t="s">
        <v>71</v>
      </c>
      <c r="Q1007" t="s">
        <v>122</v>
      </c>
      <c r="R1007">
        <v>360</v>
      </c>
      <c r="S1007">
        <v>171</v>
      </c>
      <c r="T1007">
        <v>119</v>
      </c>
      <c r="U1007">
        <v>30</v>
      </c>
      <c r="V1007" t="s">
        <v>356</v>
      </c>
      <c r="W1007">
        <v>22297</v>
      </c>
      <c r="X1007" t="s">
        <v>2203</v>
      </c>
      <c r="Y1007">
        <v>20577</v>
      </c>
      <c r="Z1007">
        <v>668910</v>
      </c>
      <c r="AA1007">
        <v>51600</v>
      </c>
      <c r="AB1007" t="str">
        <f>(VLOOKUP(SalesData[[#This Row],[Month Number]],Reference!C$5:E$16,2,FALSE))</f>
        <v>Feb</v>
      </c>
      <c r="AC1007">
        <f>MONTH(SalesData[[#This Row],[Date]])</f>
        <v>2</v>
      </c>
      <c r="AD1007">
        <f>Reference!F$4</f>
        <v>2026</v>
      </c>
      <c r="AE1007" t="str">
        <f>IF(OR(SalesData[[#This Row],[Day]]="Saturday",SalesData[[#This Row],[Day]]="Sunday"),"Weekend","Weekday")</f>
        <v>Weekday</v>
      </c>
      <c r="AF1007" s="5">
        <f>IF(SalesData[[#This Row],[Contracts Offered]]=0,0,SalesData[[#This Row],[Contracts Signed]]/SalesData[[#This Row],[Contracts Offered]])</f>
        <v>0.25210084033613445</v>
      </c>
      <c r="AG1007" s="5">
        <f>IF(SalesData[[#This Row],[Customers Visited]]=0,0,SalesData[[#This Row],[Test Drives]]/SalesData[[#This Row],[Customers Visited]])</f>
        <v>0.47499999999999998</v>
      </c>
      <c r="AH1007" s="5">
        <f>IF(SalesData[[#This Row],[Customers Visited]]=0,0,SalesData[[#This Row],[Contracts Signed]]/SalesData[[#This Row],[Customers Visited]])</f>
        <v>8.3333333333333329E-2</v>
      </c>
      <c r="AI1007" s="6">
        <f>IF(SalesData[[#This Row],[Contracts Signed]]=0,0,SalesData[[#This Row],[Profit(€)]]/SalesData[[#This Row],[Contracts Signed]])</f>
        <v>1720</v>
      </c>
      <c r="AJ1007" s="5" t="str">
        <f>TRIM(CLEAN(SalesData[[#This Row],[Retailer]]))</f>
        <v>Hannover Cars</v>
      </c>
    </row>
    <row r="1008" spans="1:36" ht="14.25" hidden="1" x14ac:dyDescent="0.2">
      <c r="A1008" t="s">
        <v>1730</v>
      </c>
      <c r="B1008" s="1">
        <v>46058</v>
      </c>
      <c r="C1008" t="s">
        <v>24</v>
      </c>
      <c r="D1008" t="s">
        <v>100</v>
      </c>
      <c r="E1008" t="s">
        <v>26</v>
      </c>
      <c r="F1008" t="s">
        <v>7649</v>
      </c>
      <c r="G1008" t="s">
        <v>55</v>
      </c>
      <c r="H1008" t="s">
        <v>55</v>
      </c>
      <c r="I1008" t="s">
        <v>104</v>
      </c>
      <c r="J1008" t="s">
        <v>105</v>
      </c>
      <c r="K1008" t="s">
        <v>91</v>
      </c>
      <c r="L1008" t="s">
        <v>33</v>
      </c>
      <c r="M1008" t="s">
        <v>68</v>
      </c>
      <c r="N1008" t="s">
        <v>69</v>
      </c>
      <c r="O1008" t="s">
        <v>36</v>
      </c>
      <c r="P1008" t="s">
        <v>58</v>
      </c>
      <c r="Q1008" t="s">
        <v>38</v>
      </c>
      <c r="R1008">
        <v>354</v>
      </c>
      <c r="S1008">
        <v>164</v>
      </c>
      <c r="T1008">
        <v>100</v>
      </c>
      <c r="U1008">
        <v>35</v>
      </c>
      <c r="V1008" t="s">
        <v>7242</v>
      </c>
      <c r="W1008">
        <v>28014</v>
      </c>
      <c r="X1008" t="s">
        <v>4008</v>
      </c>
      <c r="Y1008">
        <v>24800</v>
      </c>
      <c r="Z1008">
        <v>980490</v>
      </c>
      <c r="AA1008">
        <v>112490</v>
      </c>
      <c r="AB1008" t="str">
        <f>(VLOOKUP(SalesData[[#This Row],[Month Number]],Reference!C$5:E$16,2,FALSE))</f>
        <v>Feb</v>
      </c>
      <c r="AC1008">
        <f>MONTH(SalesData[[#This Row],[Date]])</f>
        <v>2</v>
      </c>
      <c r="AD1008">
        <f>Reference!F$4</f>
        <v>2026</v>
      </c>
      <c r="AE1008" t="str">
        <f>IF(OR(SalesData[[#This Row],[Day]]="Saturday",SalesData[[#This Row],[Day]]="Sunday"),"Weekend","Weekday")</f>
        <v>Weekday</v>
      </c>
      <c r="AF1008" s="5">
        <f>IF(SalesData[[#This Row],[Contracts Offered]]=0,0,SalesData[[#This Row],[Contracts Signed]]/SalesData[[#This Row],[Contracts Offered]])</f>
        <v>0.35</v>
      </c>
      <c r="AG1008" s="5">
        <f>IF(SalesData[[#This Row],[Customers Visited]]=0,0,SalesData[[#This Row],[Test Drives]]/SalesData[[#This Row],[Customers Visited]])</f>
        <v>0.4632768361581921</v>
      </c>
      <c r="AH1008" s="5">
        <f>IF(SalesData[[#This Row],[Customers Visited]]=0,0,SalesData[[#This Row],[Contracts Signed]]/SalesData[[#This Row],[Customers Visited]])</f>
        <v>9.8870056497175146E-2</v>
      </c>
      <c r="AI1008" s="6">
        <f>IF(SalesData[[#This Row],[Contracts Signed]]=0,0,SalesData[[#This Row],[Profit(€)]]/SalesData[[#This Row],[Contracts Signed]])</f>
        <v>3214</v>
      </c>
      <c r="AJ1008" s="5" t="str">
        <f>TRIM(CLEAN(SalesData[[#This Row],[Retailer]]))</f>
        <v>Autohaus Berlin</v>
      </c>
    </row>
    <row r="1009" spans="1:36" ht="14.25" hidden="1" x14ac:dyDescent="0.2">
      <c r="A1009" t="s">
        <v>1731</v>
      </c>
      <c r="B1009" s="1">
        <v>46080</v>
      </c>
      <c r="C1009" t="s">
        <v>53</v>
      </c>
      <c r="D1009" t="s">
        <v>54</v>
      </c>
      <c r="E1009" t="s">
        <v>26</v>
      </c>
      <c r="F1009" t="s">
        <v>127</v>
      </c>
      <c r="G1009" t="s">
        <v>128</v>
      </c>
      <c r="H1009" t="s">
        <v>103</v>
      </c>
      <c r="I1009" t="s">
        <v>116</v>
      </c>
      <c r="J1009" t="s">
        <v>132</v>
      </c>
      <c r="K1009" t="s">
        <v>32</v>
      </c>
      <c r="L1009" t="s">
        <v>46</v>
      </c>
      <c r="M1009" t="s">
        <v>47</v>
      </c>
      <c r="N1009" t="s">
        <v>69</v>
      </c>
      <c r="O1009" t="s">
        <v>36</v>
      </c>
      <c r="P1009" t="s">
        <v>37</v>
      </c>
      <c r="Q1009" t="s">
        <v>129</v>
      </c>
      <c r="R1009">
        <v>384</v>
      </c>
      <c r="S1009">
        <v>181</v>
      </c>
      <c r="T1009">
        <v>117</v>
      </c>
      <c r="U1009">
        <v>33</v>
      </c>
      <c r="V1009" t="s">
        <v>1158</v>
      </c>
      <c r="W1009">
        <v>25191</v>
      </c>
      <c r="X1009" t="s">
        <v>985</v>
      </c>
      <c r="Y1009">
        <v>23369</v>
      </c>
      <c r="Z1009">
        <v>831303</v>
      </c>
      <c r="AA1009">
        <v>60126</v>
      </c>
      <c r="AB1009" t="str">
        <f>(VLOOKUP(SalesData[[#This Row],[Month Number]],Reference!C$5:E$16,2,FALSE))</f>
        <v>Feb</v>
      </c>
      <c r="AC1009">
        <f>MONTH(SalesData[[#This Row],[Date]])</f>
        <v>2</v>
      </c>
      <c r="AD1009">
        <f>Reference!F$4</f>
        <v>2026</v>
      </c>
      <c r="AE1009" t="str">
        <f>IF(OR(SalesData[[#This Row],[Day]]="Saturday",SalesData[[#This Row],[Day]]="Sunday"),"Weekend","Weekday")</f>
        <v>Weekday</v>
      </c>
      <c r="AF1009" s="5">
        <f>IF(SalesData[[#This Row],[Contracts Offered]]=0,0,SalesData[[#This Row],[Contracts Signed]]/SalesData[[#This Row],[Contracts Offered]])</f>
        <v>0.28205128205128205</v>
      </c>
      <c r="AG1009" s="5">
        <f>IF(SalesData[[#This Row],[Customers Visited]]=0,0,SalesData[[#This Row],[Test Drives]]/SalesData[[#This Row],[Customers Visited]])</f>
        <v>0.47135416666666669</v>
      </c>
      <c r="AH1009" s="5">
        <f>IF(SalesData[[#This Row],[Customers Visited]]=0,0,SalesData[[#This Row],[Contracts Signed]]/SalesData[[#This Row],[Customers Visited]])</f>
        <v>8.59375E-2</v>
      </c>
      <c r="AI1009" s="6">
        <f>IF(SalesData[[#This Row],[Contracts Signed]]=0,0,SalesData[[#This Row],[Profit(€)]]/SalesData[[#This Row],[Contracts Signed]])</f>
        <v>1822</v>
      </c>
      <c r="AJ1009" s="5" t="str">
        <f>TRIM(CLEAN(SalesData[[#This Row],[Retailer]]))</f>
        <v>Rhein Auto Group</v>
      </c>
    </row>
    <row r="1010" spans="1:36" ht="14.25" x14ac:dyDescent="0.2">
      <c r="A1010" t="s">
        <v>1733</v>
      </c>
      <c r="B1010" s="1">
        <v>46059</v>
      </c>
      <c r="C1010" t="s">
        <v>24</v>
      </c>
      <c r="D1010" t="s">
        <v>54</v>
      </c>
      <c r="E1010" t="s">
        <v>26</v>
      </c>
      <c r="F1010" t="s">
        <v>27</v>
      </c>
      <c r="G1010" t="s">
        <v>28</v>
      </c>
      <c r="H1010" t="s">
        <v>29</v>
      </c>
      <c r="I1010" t="s">
        <v>30</v>
      </c>
      <c r="J1010" t="s">
        <v>188</v>
      </c>
      <c r="K1010" t="s">
        <v>78</v>
      </c>
      <c r="L1010" t="s">
        <v>33</v>
      </c>
      <c r="M1010" t="s">
        <v>34</v>
      </c>
      <c r="N1010" t="s">
        <v>69</v>
      </c>
      <c r="O1010" t="s">
        <v>36</v>
      </c>
      <c r="P1010" t="s">
        <v>58</v>
      </c>
      <c r="Q1010" t="s">
        <v>172</v>
      </c>
      <c r="R1010">
        <v>158</v>
      </c>
      <c r="S1010">
        <v>80</v>
      </c>
      <c r="T1010">
        <v>59</v>
      </c>
      <c r="U1010">
        <v>22</v>
      </c>
      <c r="V1010" t="s">
        <v>6767</v>
      </c>
      <c r="W1010">
        <v>51633</v>
      </c>
      <c r="X1010" t="s">
        <v>5727</v>
      </c>
      <c r="Y1010">
        <v>39365</v>
      </c>
      <c r="Z1010">
        <v>1135926</v>
      </c>
      <c r="AA1010">
        <v>269896</v>
      </c>
      <c r="AB1010" t="str">
        <f>(VLOOKUP(SalesData[[#This Row],[Month Number]],Reference!C$5:E$16,2,FALSE))</f>
        <v>Feb</v>
      </c>
      <c r="AC1010">
        <f>MONTH(SalesData[[#This Row],[Date]])</f>
        <v>2</v>
      </c>
      <c r="AD1010">
        <f>Reference!F$4</f>
        <v>2026</v>
      </c>
      <c r="AE1010" t="str">
        <f>IF(OR(SalesData[[#This Row],[Day]]="Saturday",SalesData[[#This Row],[Day]]="Sunday"),"Weekend","Weekday")</f>
        <v>Weekday</v>
      </c>
      <c r="AF1010" s="5">
        <f>IF(SalesData[[#This Row],[Contracts Offered]]=0,0,SalesData[[#This Row],[Contracts Signed]]/SalesData[[#This Row],[Contracts Offered]])</f>
        <v>0.3728813559322034</v>
      </c>
      <c r="AG1010" s="5">
        <f>IF(SalesData[[#This Row],[Customers Visited]]=0,0,SalesData[[#This Row],[Test Drives]]/SalesData[[#This Row],[Customers Visited]])</f>
        <v>0.50632911392405067</v>
      </c>
      <c r="AH1010" s="5">
        <f>IF(SalesData[[#This Row],[Customers Visited]]=0,0,SalesData[[#This Row],[Contracts Signed]]/SalesData[[#This Row],[Customers Visited]])</f>
        <v>0.13924050632911392</v>
      </c>
      <c r="AI1010" s="6">
        <f>IF(SalesData[[#This Row],[Contracts Signed]]=0,0,SalesData[[#This Row],[Profit(€)]]/SalesData[[#This Row],[Contracts Signed]])</f>
        <v>12268</v>
      </c>
      <c r="AJ1010" s="5" t="str">
        <f>TRIM(CLEAN(SalesData[[#This Row],[Retailer]]))</f>
        <v>Main Auto Hub</v>
      </c>
    </row>
    <row r="1011" spans="1:36" ht="14.25" hidden="1" x14ac:dyDescent="0.2">
      <c r="A1011" t="s">
        <v>1735</v>
      </c>
      <c r="B1011" s="1">
        <v>46061</v>
      </c>
      <c r="C1011" t="s">
        <v>121</v>
      </c>
      <c r="D1011" t="s">
        <v>41</v>
      </c>
      <c r="E1011" t="s">
        <v>42</v>
      </c>
      <c r="F1011" t="s">
        <v>27</v>
      </c>
      <c r="G1011" t="s">
        <v>28</v>
      </c>
      <c r="H1011" t="s">
        <v>29</v>
      </c>
      <c r="I1011" t="s">
        <v>116</v>
      </c>
      <c r="J1011" t="s">
        <v>7090</v>
      </c>
      <c r="K1011" t="s">
        <v>66</v>
      </c>
      <c r="L1011" t="s">
        <v>46</v>
      </c>
      <c r="M1011" t="s">
        <v>34</v>
      </c>
      <c r="N1011" t="s">
        <v>69</v>
      </c>
      <c r="O1011" t="s">
        <v>70</v>
      </c>
      <c r="P1011" t="s">
        <v>37</v>
      </c>
      <c r="Q1011" t="s">
        <v>204</v>
      </c>
      <c r="R1011">
        <v>390</v>
      </c>
      <c r="S1011">
        <v>201</v>
      </c>
      <c r="T1011">
        <v>127</v>
      </c>
      <c r="U1011">
        <v>30</v>
      </c>
      <c r="V1011" t="s">
        <v>327</v>
      </c>
      <c r="W1011">
        <v>25287</v>
      </c>
      <c r="X1011" t="s">
        <v>7358</v>
      </c>
      <c r="Y1011">
        <v>22554</v>
      </c>
      <c r="Z1011">
        <v>758610</v>
      </c>
      <c r="AA1011">
        <v>81990</v>
      </c>
      <c r="AB1011" t="str">
        <f>(VLOOKUP(SalesData[[#This Row],[Month Number]],Reference!C$5:E$16,2,FALSE))</f>
        <v>Feb</v>
      </c>
      <c r="AC1011">
        <f>MONTH(SalesData[[#This Row],[Date]])</f>
        <v>2</v>
      </c>
      <c r="AD1011">
        <f>Reference!F$4</f>
        <v>2026</v>
      </c>
      <c r="AE1011" t="str">
        <f>IF(OR(SalesData[[#This Row],[Day]]="Saturday",SalesData[[#This Row],[Day]]="Sunday"),"Weekend","Weekday")</f>
        <v>Weekend</v>
      </c>
      <c r="AF1011" s="5">
        <f>IF(SalesData[[#This Row],[Contracts Offered]]=0,0,SalesData[[#This Row],[Contracts Signed]]/SalesData[[#This Row],[Contracts Offered]])</f>
        <v>0.23622047244094488</v>
      </c>
      <c r="AG1011" s="5">
        <f>IF(SalesData[[#This Row],[Customers Visited]]=0,0,SalesData[[#This Row],[Test Drives]]/SalesData[[#This Row],[Customers Visited]])</f>
        <v>0.51538461538461533</v>
      </c>
      <c r="AH1011" s="5">
        <f>IF(SalesData[[#This Row],[Customers Visited]]=0,0,SalesData[[#This Row],[Contracts Signed]]/SalesData[[#This Row],[Customers Visited]])</f>
        <v>7.6923076923076927E-2</v>
      </c>
      <c r="AI1011" s="6">
        <f>IF(SalesData[[#This Row],[Contracts Signed]]=0,0,SalesData[[#This Row],[Profit(€)]]/SalesData[[#This Row],[Contracts Signed]])</f>
        <v>2733</v>
      </c>
      <c r="AJ1011" s="5" t="str">
        <f>TRIM(CLEAN(SalesData[[#This Row],[Retailer]]))</f>
        <v>Main Auto Hub</v>
      </c>
    </row>
    <row r="1012" spans="1:36" ht="14.25" hidden="1" x14ac:dyDescent="0.2">
      <c r="A1012" t="s">
        <v>1737</v>
      </c>
      <c r="B1012" s="1">
        <v>46080</v>
      </c>
      <c r="C1012" t="s">
        <v>53</v>
      </c>
      <c r="D1012" t="s">
        <v>54</v>
      </c>
      <c r="E1012" t="s">
        <v>26</v>
      </c>
      <c r="F1012" t="s">
        <v>43</v>
      </c>
      <c r="G1012" t="s">
        <v>44</v>
      </c>
      <c r="H1012" t="s">
        <v>45</v>
      </c>
      <c r="I1012" t="s">
        <v>64</v>
      </c>
      <c r="J1012" t="s">
        <v>7029</v>
      </c>
      <c r="K1012" t="s">
        <v>66</v>
      </c>
      <c r="L1012" t="s">
        <v>33</v>
      </c>
      <c r="M1012" t="s">
        <v>34</v>
      </c>
      <c r="N1012" t="s">
        <v>35</v>
      </c>
      <c r="O1012" t="s">
        <v>70</v>
      </c>
      <c r="P1012" t="s">
        <v>71</v>
      </c>
      <c r="Q1012" t="s">
        <v>167</v>
      </c>
      <c r="R1012">
        <v>275</v>
      </c>
      <c r="S1012">
        <v>154</v>
      </c>
      <c r="T1012">
        <v>106</v>
      </c>
      <c r="U1012">
        <v>35</v>
      </c>
      <c r="V1012" t="s">
        <v>6591</v>
      </c>
      <c r="W1012">
        <v>61214</v>
      </c>
      <c r="X1012" t="s">
        <v>7085</v>
      </c>
      <c r="Y1012">
        <v>46331</v>
      </c>
      <c r="Z1012">
        <v>2142490</v>
      </c>
      <c r="AA1012">
        <v>520905</v>
      </c>
      <c r="AB1012" t="str">
        <f>(VLOOKUP(SalesData[[#This Row],[Month Number]],Reference!C$5:E$16,2,FALSE))</f>
        <v>Feb</v>
      </c>
      <c r="AC1012">
        <f>MONTH(SalesData[[#This Row],[Date]])</f>
        <v>2</v>
      </c>
      <c r="AD1012">
        <f>Reference!F$4</f>
        <v>2026</v>
      </c>
      <c r="AE1012" t="str">
        <f>IF(OR(SalesData[[#This Row],[Day]]="Saturday",SalesData[[#This Row],[Day]]="Sunday"),"Weekend","Weekday")</f>
        <v>Weekday</v>
      </c>
      <c r="AF1012" s="5">
        <f>IF(SalesData[[#This Row],[Contracts Offered]]=0,0,SalesData[[#This Row],[Contracts Signed]]/SalesData[[#This Row],[Contracts Offered]])</f>
        <v>0.330188679245283</v>
      </c>
      <c r="AG1012" s="5">
        <f>IF(SalesData[[#This Row],[Customers Visited]]=0,0,SalesData[[#This Row],[Test Drives]]/SalesData[[#This Row],[Customers Visited]])</f>
        <v>0.56000000000000005</v>
      </c>
      <c r="AH1012" s="5">
        <f>IF(SalesData[[#This Row],[Customers Visited]]=0,0,SalesData[[#This Row],[Contracts Signed]]/SalesData[[#This Row],[Customers Visited]])</f>
        <v>0.12727272727272726</v>
      </c>
      <c r="AI1012" s="6">
        <f>IF(SalesData[[#This Row],[Contracts Signed]]=0,0,SalesData[[#This Row],[Profit(€)]]/SalesData[[#This Row],[Contracts Signed]])</f>
        <v>14883</v>
      </c>
      <c r="AJ1012" s="5" t="str">
        <f>TRIM(CLEAN(SalesData[[#This Row],[Retailer]]))</f>
        <v>Saxon Wheels</v>
      </c>
    </row>
    <row r="1013" spans="1:36" ht="14.25" hidden="1" x14ac:dyDescent="0.2">
      <c r="A1013" t="s">
        <v>1738</v>
      </c>
      <c r="B1013" s="1">
        <v>46068</v>
      </c>
      <c r="C1013" t="s">
        <v>62</v>
      </c>
      <c r="D1013" t="s">
        <v>41</v>
      </c>
      <c r="E1013" t="s">
        <v>42</v>
      </c>
      <c r="F1013" t="s">
        <v>114</v>
      </c>
      <c r="G1013" t="s">
        <v>115</v>
      </c>
      <c r="H1013" t="s">
        <v>115</v>
      </c>
      <c r="I1013" t="s">
        <v>56</v>
      </c>
      <c r="J1013" t="s">
        <v>97</v>
      </c>
      <c r="K1013" t="s">
        <v>78</v>
      </c>
      <c r="L1013" t="s">
        <v>33</v>
      </c>
      <c r="M1013" t="s">
        <v>47</v>
      </c>
      <c r="N1013" t="s">
        <v>48</v>
      </c>
      <c r="O1013" t="s">
        <v>36</v>
      </c>
      <c r="P1013" t="s">
        <v>58</v>
      </c>
      <c r="Q1013" t="s">
        <v>88</v>
      </c>
      <c r="R1013">
        <v>233</v>
      </c>
      <c r="S1013">
        <v>125</v>
      </c>
      <c r="T1013">
        <v>90</v>
      </c>
      <c r="U1013">
        <v>31</v>
      </c>
      <c r="V1013" t="s">
        <v>6910</v>
      </c>
      <c r="W1013">
        <v>53831</v>
      </c>
      <c r="X1013" t="s">
        <v>735</v>
      </c>
      <c r="Y1013">
        <v>40655</v>
      </c>
      <c r="Z1013">
        <v>1668761</v>
      </c>
      <c r="AA1013">
        <v>408456</v>
      </c>
      <c r="AB1013" t="str">
        <f>(VLOOKUP(SalesData[[#This Row],[Month Number]],Reference!C$5:E$16,2,FALSE))</f>
        <v>Feb</v>
      </c>
      <c r="AC1013">
        <f>MONTH(SalesData[[#This Row],[Date]])</f>
        <v>2</v>
      </c>
      <c r="AD1013">
        <f>Reference!F$4</f>
        <v>2026</v>
      </c>
      <c r="AE1013" t="str">
        <f>IF(OR(SalesData[[#This Row],[Day]]="Saturday",SalesData[[#This Row],[Day]]="Sunday"),"Weekend","Weekday")</f>
        <v>Weekend</v>
      </c>
      <c r="AF1013" s="5">
        <f>IF(SalesData[[#This Row],[Contracts Offered]]=0,0,SalesData[[#This Row],[Contracts Signed]]/SalesData[[#This Row],[Contracts Offered]])</f>
        <v>0.34444444444444444</v>
      </c>
      <c r="AG1013" s="5">
        <f>IF(SalesData[[#This Row],[Customers Visited]]=0,0,SalesData[[#This Row],[Test Drives]]/SalesData[[#This Row],[Customers Visited]])</f>
        <v>0.53648068669527893</v>
      </c>
      <c r="AH1013" s="5">
        <f>IF(SalesData[[#This Row],[Customers Visited]]=0,0,SalesData[[#This Row],[Contracts Signed]]/SalesData[[#This Row],[Customers Visited]])</f>
        <v>0.13304721030042918</v>
      </c>
      <c r="AI1013" s="6">
        <f>IF(SalesData[[#This Row],[Contracts Signed]]=0,0,SalesData[[#This Row],[Profit(€)]]/SalesData[[#This Row],[Contracts Signed]])</f>
        <v>13176</v>
      </c>
      <c r="AJ1013" s="5" t="str">
        <f>TRIM(CLEAN(SalesData[[#This Row],[Retailer]]))</f>
        <v>Elbe Drive</v>
      </c>
    </row>
    <row r="1014" spans="1:36" ht="14.25" hidden="1" x14ac:dyDescent="0.2">
      <c r="A1014" t="s">
        <v>1740</v>
      </c>
      <c r="B1014" s="1">
        <v>46075</v>
      </c>
      <c r="C1014" t="s">
        <v>53</v>
      </c>
      <c r="D1014" t="s">
        <v>41</v>
      </c>
      <c r="E1014" t="s">
        <v>42</v>
      </c>
      <c r="F1014" t="s">
        <v>7649</v>
      </c>
      <c r="G1014" t="s">
        <v>55</v>
      </c>
      <c r="H1014" t="s">
        <v>55</v>
      </c>
      <c r="I1014" t="s">
        <v>56</v>
      </c>
      <c r="J1014" t="s">
        <v>57</v>
      </c>
      <c r="K1014" t="s">
        <v>66</v>
      </c>
      <c r="L1014" t="s">
        <v>46</v>
      </c>
      <c r="M1014" t="s">
        <v>87</v>
      </c>
      <c r="N1014" t="s">
        <v>48</v>
      </c>
      <c r="O1014" t="s">
        <v>70</v>
      </c>
      <c r="P1014" t="s">
        <v>49</v>
      </c>
      <c r="Q1014" t="s">
        <v>167</v>
      </c>
      <c r="R1014">
        <v>316</v>
      </c>
      <c r="S1014">
        <v>170</v>
      </c>
      <c r="T1014">
        <v>111</v>
      </c>
      <c r="U1014">
        <v>39</v>
      </c>
      <c r="V1014" t="s">
        <v>6664</v>
      </c>
      <c r="W1014">
        <v>51350</v>
      </c>
      <c r="X1014" t="s">
        <v>7183</v>
      </c>
      <c r="Y1014">
        <v>39194</v>
      </c>
      <c r="Z1014">
        <v>2002650</v>
      </c>
      <c r="AA1014">
        <v>474084</v>
      </c>
      <c r="AB1014" t="str">
        <f>(VLOOKUP(SalesData[[#This Row],[Month Number]],Reference!C$5:E$16,2,FALSE))</f>
        <v>Feb</v>
      </c>
      <c r="AC1014">
        <f>MONTH(SalesData[[#This Row],[Date]])</f>
        <v>2</v>
      </c>
      <c r="AD1014">
        <f>Reference!F$4</f>
        <v>2026</v>
      </c>
      <c r="AE1014" t="str">
        <f>IF(OR(SalesData[[#This Row],[Day]]="Saturday",SalesData[[#This Row],[Day]]="Sunday"),"Weekend","Weekday")</f>
        <v>Weekend</v>
      </c>
      <c r="AF1014" s="5">
        <f>IF(SalesData[[#This Row],[Contracts Offered]]=0,0,SalesData[[#This Row],[Contracts Signed]]/SalesData[[#This Row],[Contracts Offered]])</f>
        <v>0.35135135135135137</v>
      </c>
      <c r="AG1014" s="5">
        <f>IF(SalesData[[#This Row],[Customers Visited]]=0,0,SalesData[[#This Row],[Test Drives]]/SalesData[[#This Row],[Customers Visited]])</f>
        <v>0.53797468354430378</v>
      </c>
      <c r="AH1014" s="5">
        <f>IF(SalesData[[#This Row],[Customers Visited]]=0,0,SalesData[[#This Row],[Contracts Signed]]/SalesData[[#This Row],[Customers Visited]])</f>
        <v>0.12341772151898735</v>
      </c>
      <c r="AI1014" s="6">
        <f>IF(SalesData[[#This Row],[Contracts Signed]]=0,0,SalesData[[#This Row],[Profit(€)]]/SalesData[[#This Row],[Contracts Signed]])</f>
        <v>12156</v>
      </c>
      <c r="AJ1014" s="5" t="str">
        <f>TRIM(CLEAN(SalesData[[#This Row],[Retailer]]))</f>
        <v>Autohaus Berlin</v>
      </c>
    </row>
    <row r="1015" spans="1:36" ht="14.25" x14ac:dyDescent="0.2">
      <c r="A1015" t="s">
        <v>1742</v>
      </c>
      <c r="B1015" s="1">
        <v>46078</v>
      </c>
      <c r="C1015" t="s">
        <v>53</v>
      </c>
      <c r="D1015" t="s">
        <v>82</v>
      </c>
      <c r="E1015" t="s">
        <v>26</v>
      </c>
      <c r="F1015" t="s">
        <v>27</v>
      </c>
      <c r="G1015" t="s">
        <v>28</v>
      </c>
      <c r="H1015" t="s">
        <v>29</v>
      </c>
      <c r="I1015" t="s">
        <v>30</v>
      </c>
      <c r="J1015" t="s">
        <v>188</v>
      </c>
      <c r="K1015" t="s">
        <v>91</v>
      </c>
      <c r="L1015" t="s">
        <v>33</v>
      </c>
      <c r="M1015" t="s">
        <v>68</v>
      </c>
      <c r="N1015" t="s">
        <v>48</v>
      </c>
      <c r="O1015" t="s">
        <v>70</v>
      </c>
      <c r="P1015" t="s">
        <v>71</v>
      </c>
      <c r="Q1015" t="s">
        <v>172</v>
      </c>
      <c r="R1015">
        <v>243</v>
      </c>
      <c r="S1015">
        <v>148</v>
      </c>
      <c r="T1015">
        <v>108</v>
      </c>
      <c r="U1015">
        <v>42</v>
      </c>
      <c r="V1015" t="s">
        <v>6475</v>
      </c>
      <c r="W1015">
        <v>60222</v>
      </c>
      <c r="X1015" t="s">
        <v>7302</v>
      </c>
      <c r="Y1015">
        <v>44445</v>
      </c>
      <c r="Z1015">
        <v>2529324</v>
      </c>
      <c r="AA1015">
        <v>662634</v>
      </c>
      <c r="AB1015" t="str">
        <f>(VLOOKUP(SalesData[[#This Row],[Month Number]],Reference!C$5:E$16,2,FALSE))</f>
        <v>Feb</v>
      </c>
      <c r="AC1015">
        <f>MONTH(SalesData[[#This Row],[Date]])</f>
        <v>2</v>
      </c>
      <c r="AD1015">
        <f>Reference!F$4</f>
        <v>2026</v>
      </c>
      <c r="AE1015" t="str">
        <f>IF(OR(SalesData[[#This Row],[Day]]="Saturday",SalesData[[#This Row],[Day]]="Sunday"),"Weekend","Weekday")</f>
        <v>Weekday</v>
      </c>
      <c r="AF1015" s="5">
        <f>IF(SalesData[[#This Row],[Contracts Offered]]=0,0,SalesData[[#This Row],[Contracts Signed]]/SalesData[[#This Row],[Contracts Offered]])</f>
        <v>0.3888888888888889</v>
      </c>
      <c r="AG1015" s="5">
        <f>IF(SalesData[[#This Row],[Customers Visited]]=0,0,SalesData[[#This Row],[Test Drives]]/SalesData[[#This Row],[Customers Visited]])</f>
        <v>0.60905349794238683</v>
      </c>
      <c r="AH1015" s="5">
        <f>IF(SalesData[[#This Row],[Customers Visited]]=0,0,SalesData[[#This Row],[Contracts Signed]]/SalesData[[#This Row],[Customers Visited]])</f>
        <v>0.1728395061728395</v>
      </c>
      <c r="AI1015" s="6">
        <f>IF(SalesData[[#This Row],[Contracts Signed]]=0,0,SalesData[[#This Row],[Profit(€)]]/SalesData[[#This Row],[Contracts Signed]])</f>
        <v>15777</v>
      </c>
      <c r="AJ1015" s="5" t="str">
        <f>TRIM(CLEAN(SalesData[[#This Row],[Retailer]]))</f>
        <v>Main Auto Hub</v>
      </c>
    </row>
    <row r="1016" spans="1:36" ht="14.25" hidden="1" x14ac:dyDescent="0.2">
      <c r="A1016" t="s">
        <v>1744</v>
      </c>
      <c r="B1016" s="1">
        <v>46066</v>
      </c>
      <c r="C1016" t="s">
        <v>121</v>
      </c>
      <c r="D1016" t="s">
        <v>54</v>
      </c>
      <c r="E1016" t="s">
        <v>26</v>
      </c>
      <c r="F1016" t="s">
        <v>101</v>
      </c>
      <c r="G1016" t="s">
        <v>102</v>
      </c>
      <c r="H1016" t="s">
        <v>103</v>
      </c>
      <c r="I1016" t="s">
        <v>116</v>
      </c>
      <c r="J1016" t="s">
        <v>132</v>
      </c>
      <c r="K1016" t="s">
        <v>78</v>
      </c>
      <c r="L1016" t="s">
        <v>46</v>
      </c>
      <c r="M1016" t="s">
        <v>87</v>
      </c>
      <c r="N1016" t="s">
        <v>69</v>
      </c>
      <c r="O1016" t="s">
        <v>36</v>
      </c>
      <c r="P1016" t="s">
        <v>37</v>
      </c>
      <c r="Q1016" t="s">
        <v>88</v>
      </c>
      <c r="R1016">
        <v>403</v>
      </c>
      <c r="S1016">
        <v>175</v>
      </c>
      <c r="T1016">
        <v>112</v>
      </c>
      <c r="U1016">
        <v>24</v>
      </c>
      <c r="V1016" t="s">
        <v>636</v>
      </c>
      <c r="W1016">
        <v>26487</v>
      </c>
      <c r="X1016" t="s">
        <v>842</v>
      </c>
      <c r="Y1016">
        <v>23798</v>
      </c>
      <c r="Z1016">
        <v>635688</v>
      </c>
      <c r="AA1016">
        <v>64536</v>
      </c>
      <c r="AB1016" t="str">
        <f>(VLOOKUP(SalesData[[#This Row],[Month Number]],Reference!C$5:E$16,2,FALSE))</f>
        <v>Feb</v>
      </c>
      <c r="AC1016">
        <f>MONTH(SalesData[[#This Row],[Date]])</f>
        <v>2</v>
      </c>
      <c r="AD1016">
        <f>Reference!F$4</f>
        <v>2026</v>
      </c>
      <c r="AE1016" t="str">
        <f>IF(OR(SalesData[[#This Row],[Day]]="Saturday",SalesData[[#This Row],[Day]]="Sunday"),"Weekend","Weekday")</f>
        <v>Weekday</v>
      </c>
      <c r="AF1016" s="5">
        <f>IF(SalesData[[#This Row],[Contracts Offered]]=0,0,SalesData[[#This Row],[Contracts Signed]]/SalesData[[#This Row],[Contracts Offered]])</f>
        <v>0.21428571428571427</v>
      </c>
      <c r="AG1016" s="5">
        <f>IF(SalesData[[#This Row],[Customers Visited]]=0,0,SalesData[[#This Row],[Test Drives]]/SalesData[[#This Row],[Customers Visited]])</f>
        <v>0.43424317617866004</v>
      </c>
      <c r="AH1016" s="5">
        <f>IF(SalesData[[#This Row],[Customers Visited]]=0,0,SalesData[[#This Row],[Contracts Signed]]/SalesData[[#This Row],[Customers Visited]])</f>
        <v>5.9553349875930521E-2</v>
      </c>
      <c r="AI1016" s="6">
        <f>IF(SalesData[[#This Row],[Contracts Signed]]=0,0,SalesData[[#This Row],[Profit(€)]]/SalesData[[#This Row],[Contracts Signed]])</f>
        <v>2689</v>
      </c>
      <c r="AJ1016" s="5" t="str">
        <f>TRIM(CLEAN(SalesData[[#This Row],[Retailer]]))</f>
        <v>Ruhr Auto Plaza</v>
      </c>
    </row>
    <row r="1017" spans="1:36" ht="14.25" x14ac:dyDescent="0.2">
      <c r="A1017" t="s">
        <v>1745</v>
      </c>
      <c r="B1017" s="1">
        <v>46072</v>
      </c>
      <c r="C1017" t="s">
        <v>62</v>
      </c>
      <c r="D1017" t="s">
        <v>100</v>
      </c>
      <c r="E1017" t="s">
        <v>26</v>
      </c>
      <c r="F1017" t="s">
        <v>94</v>
      </c>
      <c r="G1017" t="s">
        <v>95</v>
      </c>
      <c r="H1017" t="s">
        <v>96</v>
      </c>
      <c r="I1017" t="s">
        <v>30</v>
      </c>
      <c r="J1017" t="s">
        <v>166</v>
      </c>
      <c r="K1017" t="s">
        <v>66</v>
      </c>
      <c r="L1017" t="s">
        <v>46</v>
      </c>
      <c r="M1017" t="s">
        <v>87</v>
      </c>
      <c r="N1017" t="s">
        <v>48</v>
      </c>
      <c r="O1017" t="s">
        <v>70</v>
      </c>
      <c r="P1017" t="s">
        <v>58</v>
      </c>
      <c r="Q1017" t="s">
        <v>129</v>
      </c>
      <c r="R1017">
        <v>262</v>
      </c>
      <c r="S1017">
        <v>128</v>
      </c>
      <c r="T1017">
        <v>104</v>
      </c>
      <c r="U1017">
        <v>42</v>
      </c>
      <c r="V1017" t="s">
        <v>7359</v>
      </c>
      <c r="W1017">
        <v>57197</v>
      </c>
      <c r="X1017" t="s">
        <v>958</v>
      </c>
      <c r="Y1017">
        <v>41384</v>
      </c>
      <c r="Z1017">
        <v>2402274</v>
      </c>
      <c r="AA1017">
        <v>664146</v>
      </c>
      <c r="AB1017" t="str">
        <f>(VLOOKUP(SalesData[[#This Row],[Month Number]],Reference!C$5:E$16,2,FALSE))</f>
        <v>Feb</v>
      </c>
      <c r="AC1017">
        <f>MONTH(SalesData[[#This Row],[Date]])</f>
        <v>2</v>
      </c>
      <c r="AD1017">
        <f>Reference!F$4</f>
        <v>2026</v>
      </c>
      <c r="AE1017" t="str">
        <f>IF(OR(SalesData[[#This Row],[Day]]="Saturday",SalesData[[#This Row],[Day]]="Sunday"),"Weekend","Weekday")</f>
        <v>Weekday</v>
      </c>
      <c r="AF1017" s="5">
        <f>IF(SalesData[[#This Row],[Contracts Offered]]=0,0,SalesData[[#This Row],[Contracts Signed]]/SalesData[[#This Row],[Contracts Offered]])</f>
        <v>0.40384615384615385</v>
      </c>
      <c r="AG1017" s="5">
        <f>IF(SalesData[[#This Row],[Customers Visited]]=0,0,SalesData[[#This Row],[Test Drives]]/SalesData[[#This Row],[Customers Visited]])</f>
        <v>0.48854961832061067</v>
      </c>
      <c r="AH1017" s="5">
        <f>IF(SalesData[[#This Row],[Customers Visited]]=0,0,SalesData[[#This Row],[Contracts Signed]]/SalesData[[#This Row],[Customers Visited]])</f>
        <v>0.16030534351145037</v>
      </c>
      <c r="AI1017" s="6">
        <f>IF(SalesData[[#This Row],[Contracts Signed]]=0,0,SalesData[[#This Row],[Profit(€)]]/SalesData[[#This Row],[Contracts Signed]])</f>
        <v>15813</v>
      </c>
      <c r="AJ1017" s="5" t="str">
        <f>TRIM(CLEAN(SalesData[[#This Row],[Retailer]]))</f>
        <v>Bavaria Motors</v>
      </c>
    </row>
    <row r="1018" spans="1:36" ht="14.25" hidden="1" x14ac:dyDescent="0.2">
      <c r="A1018" t="s">
        <v>1747</v>
      </c>
      <c r="B1018" s="1">
        <v>46065</v>
      </c>
      <c r="C1018" t="s">
        <v>121</v>
      </c>
      <c r="D1018" t="s">
        <v>100</v>
      </c>
      <c r="E1018" t="s">
        <v>26</v>
      </c>
      <c r="F1018" t="s">
        <v>109</v>
      </c>
      <c r="G1018" t="s">
        <v>110</v>
      </c>
      <c r="H1018" t="s">
        <v>45</v>
      </c>
      <c r="I1018" t="s">
        <v>104</v>
      </c>
      <c r="J1018" t="s">
        <v>143</v>
      </c>
      <c r="K1018" t="s">
        <v>78</v>
      </c>
      <c r="L1018" t="s">
        <v>67</v>
      </c>
      <c r="M1018" t="s">
        <v>87</v>
      </c>
      <c r="N1018" t="s">
        <v>35</v>
      </c>
      <c r="O1018" t="s">
        <v>70</v>
      </c>
      <c r="P1018" t="s">
        <v>71</v>
      </c>
      <c r="Q1018" t="s">
        <v>59</v>
      </c>
      <c r="R1018">
        <v>343</v>
      </c>
      <c r="S1018">
        <v>157</v>
      </c>
      <c r="T1018">
        <v>94</v>
      </c>
      <c r="U1018">
        <v>22</v>
      </c>
      <c r="V1018" t="s">
        <v>3790</v>
      </c>
      <c r="W1018">
        <v>34541</v>
      </c>
      <c r="X1018" t="s">
        <v>2103</v>
      </c>
      <c r="Y1018">
        <v>29778</v>
      </c>
      <c r="Z1018">
        <v>759902</v>
      </c>
      <c r="AA1018">
        <v>104786</v>
      </c>
      <c r="AB1018" t="str">
        <f>(VLOOKUP(SalesData[[#This Row],[Month Number]],Reference!C$5:E$16,2,FALSE))</f>
        <v>Feb</v>
      </c>
      <c r="AC1018">
        <f>MONTH(SalesData[[#This Row],[Date]])</f>
        <v>2</v>
      </c>
      <c r="AD1018">
        <f>Reference!F$4</f>
        <v>2026</v>
      </c>
      <c r="AE1018" t="str">
        <f>IF(OR(SalesData[[#This Row],[Day]]="Saturday",SalesData[[#This Row],[Day]]="Sunday"),"Weekend","Weekday")</f>
        <v>Weekday</v>
      </c>
      <c r="AF1018" s="5">
        <f>IF(SalesData[[#This Row],[Contracts Offered]]=0,0,SalesData[[#This Row],[Contracts Signed]]/SalesData[[#This Row],[Contracts Offered]])</f>
        <v>0.23404255319148937</v>
      </c>
      <c r="AG1018" s="5">
        <f>IF(SalesData[[#This Row],[Customers Visited]]=0,0,SalesData[[#This Row],[Test Drives]]/SalesData[[#This Row],[Customers Visited]])</f>
        <v>0.45772594752186591</v>
      </c>
      <c r="AH1018" s="5">
        <f>IF(SalesData[[#This Row],[Customers Visited]]=0,0,SalesData[[#This Row],[Contracts Signed]]/SalesData[[#This Row],[Customers Visited]])</f>
        <v>6.4139941690962099E-2</v>
      </c>
      <c r="AI1018" s="6">
        <f>IF(SalesData[[#This Row],[Contracts Signed]]=0,0,SalesData[[#This Row],[Profit(€)]]/SalesData[[#This Row],[Contracts Signed]])</f>
        <v>4763</v>
      </c>
      <c r="AJ1018" s="5" t="str">
        <f>TRIM(CLEAN(SalesData[[#This Row],[Retailer]]))</f>
        <v>Leipzig Mobility</v>
      </c>
    </row>
    <row r="1019" spans="1:36" ht="14.25" hidden="1" x14ac:dyDescent="0.2">
      <c r="A1019" t="s">
        <v>1748</v>
      </c>
      <c r="B1019" s="1">
        <v>46067</v>
      </c>
      <c r="C1019" t="s">
        <v>121</v>
      </c>
      <c r="D1019" t="s">
        <v>151</v>
      </c>
      <c r="E1019" t="s">
        <v>42</v>
      </c>
      <c r="F1019" t="s">
        <v>7649</v>
      </c>
      <c r="G1019" t="s">
        <v>55</v>
      </c>
      <c r="H1019" t="s">
        <v>55</v>
      </c>
      <c r="I1019" t="s">
        <v>64</v>
      </c>
      <c r="J1019" t="s">
        <v>7029</v>
      </c>
      <c r="K1019" t="s">
        <v>91</v>
      </c>
      <c r="L1019" t="s">
        <v>33</v>
      </c>
      <c r="M1019" t="s">
        <v>87</v>
      </c>
      <c r="N1019" t="s">
        <v>35</v>
      </c>
      <c r="O1019" t="s">
        <v>70</v>
      </c>
      <c r="P1019" t="s">
        <v>49</v>
      </c>
      <c r="Q1019" t="s">
        <v>129</v>
      </c>
      <c r="R1019">
        <v>240</v>
      </c>
      <c r="S1019">
        <v>107</v>
      </c>
      <c r="T1019">
        <v>81</v>
      </c>
      <c r="U1019">
        <v>27</v>
      </c>
      <c r="V1019" t="s">
        <v>6674</v>
      </c>
      <c r="W1019">
        <v>69761</v>
      </c>
      <c r="X1019" t="s">
        <v>7193</v>
      </c>
      <c r="Y1019">
        <v>52282</v>
      </c>
      <c r="Z1019">
        <v>1883547</v>
      </c>
      <c r="AA1019">
        <v>471933</v>
      </c>
      <c r="AB1019" t="str">
        <f>(VLOOKUP(SalesData[[#This Row],[Month Number]],Reference!C$5:E$16,2,FALSE))</f>
        <v>Feb</v>
      </c>
      <c r="AC1019">
        <f>MONTH(SalesData[[#This Row],[Date]])</f>
        <v>2</v>
      </c>
      <c r="AD1019">
        <f>Reference!F$4</f>
        <v>2026</v>
      </c>
      <c r="AE1019" t="str">
        <f>IF(OR(SalesData[[#This Row],[Day]]="Saturday",SalesData[[#This Row],[Day]]="Sunday"),"Weekend","Weekday")</f>
        <v>Weekend</v>
      </c>
      <c r="AF1019" s="5">
        <f>IF(SalesData[[#This Row],[Contracts Offered]]=0,0,SalesData[[#This Row],[Contracts Signed]]/SalesData[[#This Row],[Contracts Offered]])</f>
        <v>0.33333333333333331</v>
      </c>
      <c r="AG1019" s="5">
        <f>IF(SalesData[[#This Row],[Customers Visited]]=0,0,SalesData[[#This Row],[Test Drives]]/SalesData[[#This Row],[Customers Visited]])</f>
        <v>0.44583333333333336</v>
      </c>
      <c r="AH1019" s="5">
        <f>IF(SalesData[[#This Row],[Customers Visited]]=0,0,SalesData[[#This Row],[Contracts Signed]]/SalesData[[#This Row],[Customers Visited]])</f>
        <v>0.1125</v>
      </c>
      <c r="AI1019" s="6">
        <f>IF(SalesData[[#This Row],[Contracts Signed]]=0,0,SalesData[[#This Row],[Profit(€)]]/SalesData[[#This Row],[Contracts Signed]])</f>
        <v>17479</v>
      </c>
      <c r="AJ1019" s="5" t="str">
        <f>TRIM(CLEAN(SalesData[[#This Row],[Retailer]]))</f>
        <v>Autohaus Berlin</v>
      </c>
    </row>
    <row r="1020" spans="1:36" ht="14.25" hidden="1" x14ac:dyDescent="0.2">
      <c r="A1020" t="s">
        <v>1749</v>
      </c>
      <c r="B1020" s="1">
        <v>46076</v>
      </c>
      <c r="C1020" t="s">
        <v>53</v>
      </c>
      <c r="D1020" t="s">
        <v>25</v>
      </c>
      <c r="E1020" t="s">
        <v>26</v>
      </c>
      <c r="F1020" t="s">
        <v>27</v>
      </c>
      <c r="G1020" t="s">
        <v>28</v>
      </c>
      <c r="H1020" t="s">
        <v>29</v>
      </c>
      <c r="I1020" t="s">
        <v>104</v>
      </c>
      <c r="J1020" t="s">
        <v>7031</v>
      </c>
      <c r="K1020" t="s">
        <v>32</v>
      </c>
      <c r="L1020" t="s">
        <v>46</v>
      </c>
      <c r="M1020" t="s">
        <v>68</v>
      </c>
      <c r="N1020" t="s">
        <v>69</v>
      </c>
      <c r="O1020" t="s">
        <v>70</v>
      </c>
      <c r="P1020" t="s">
        <v>37</v>
      </c>
      <c r="Q1020" t="s">
        <v>169</v>
      </c>
      <c r="R1020">
        <v>429</v>
      </c>
      <c r="S1020">
        <v>184</v>
      </c>
      <c r="T1020">
        <v>118</v>
      </c>
      <c r="U1020">
        <v>25</v>
      </c>
      <c r="V1020" t="s">
        <v>348</v>
      </c>
      <c r="W1020">
        <v>26941</v>
      </c>
      <c r="X1020" t="s">
        <v>1948</v>
      </c>
      <c r="Y1020">
        <v>23627</v>
      </c>
      <c r="Z1020">
        <v>673525</v>
      </c>
      <c r="AA1020">
        <v>82850</v>
      </c>
      <c r="AB1020" t="str">
        <f>(VLOOKUP(SalesData[[#This Row],[Month Number]],Reference!C$5:E$16,2,FALSE))</f>
        <v>Feb</v>
      </c>
      <c r="AC1020">
        <f>MONTH(SalesData[[#This Row],[Date]])</f>
        <v>2</v>
      </c>
      <c r="AD1020">
        <f>Reference!F$4</f>
        <v>2026</v>
      </c>
      <c r="AE1020" t="str">
        <f>IF(OR(SalesData[[#This Row],[Day]]="Saturday",SalesData[[#This Row],[Day]]="Sunday"),"Weekend","Weekday")</f>
        <v>Weekday</v>
      </c>
      <c r="AF1020" s="5">
        <f>IF(SalesData[[#This Row],[Contracts Offered]]=0,0,SalesData[[#This Row],[Contracts Signed]]/SalesData[[#This Row],[Contracts Offered]])</f>
        <v>0.21186440677966101</v>
      </c>
      <c r="AG1020" s="5">
        <f>IF(SalesData[[#This Row],[Customers Visited]]=0,0,SalesData[[#This Row],[Test Drives]]/SalesData[[#This Row],[Customers Visited]])</f>
        <v>0.42890442890442892</v>
      </c>
      <c r="AH1020" s="5">
        <f>IF(SalesData[[#This Row],[Customers Visited]]=0,0,SalesData[[#This Row],[Contracts Signed]]/SalesData[[#This Row],[Customers Visited]])</f>
        <v>5.8275058275058272E-2</v>
      </c>
      <c r="AI1020" s="6">
        <f>IF(SalesData[[#This Row],[Contracts Signed]]=0,0,SalesData[[#This Row],[Profit(€)]]/SalesData[[#This Row],[Contracts Signed]])</f>
        <v>3314</v>
      </c>
      <c r="AJ1020" s="5" t="str">
        <f>TRIM(CLEAN(SalesData[[#This Row],[Retailer]]))</f>
        <v>Main Auto Hub</v>
      </c>
    </row>
    <row r="1021" spans="1:36" ht="14.25" hidden="1" x14ac:dyDescent="0.2">
      <c r="A1021" t="s">
        <v>1750</v>
      </c>
      <c r="B1021" s="1">
        <v>46059</v>
      </c>
      <c r="C1021" t="s">
        <v>24</v>
      </c>
      <c r="D1021" t="s">
        <v>54</v>
      </c>
      <c r="E1021" t="s">
        <v>26</v>
      </c>
      <c r="F1021" t="s">
        <v>7649</v>
      </c>
      <c r="G1021" t="s">
        <v>55</v>
      </c>
      <c r="H1021" t="s">
        <v>55</v>
      </c>
      <c r="I1021" t="s">
        <v>56</v>
      </c>
      <c r="J1021" t="s">
        <v>137</v>
      </c>
      <c r="K1021" t="s">
        <v>66</v>
      </c>
      <c r="L1021" t="s">
        <v>46</v>
      </c>
      <c r="M1021" t="s">
        <v>87</v>
      </c>
      <c r="N1021" t="s">
        <v>69</v>
      </c>
      <c r="O1021" t="s">
        <v>70</v>
      </c>
      <c r="P1021" t="s">
        <v>49</v>
      </c>
      <c r="Q1021" t="s">
        <v>240</v>
      </c>
      <c r="R1021">
        <v>233</v>
      </c>
      <c r="S1021">
        <v>138</v>
      </c>
      <c r="T1021">
        <v>106</v>
      </c>
      <c r="U1021">
        <v>33</v>
      </c>
      <c r="V1021" t="s">
        <v>6556</v>
      </c>
      <c r="W1021">
        <v>44194</v>
      </c>
      <c r="X1021" t="s">
        <v>133</v>
      </c>
      <c r="Y1021">
        <v>35171</v>
      </c>
      <c r="Z1021">
        <v>1458402</v>
      </c>
      <c r="AA1021">
        <v>297759</v>
      </c>
      <c r="AB1021" t="str">
        <f>(VLOOKUP(SalesData[[#This Row],[Month Number]],Reference!C$5:E$16,2,FALSE))</f>
        <v>Feb</v>
      </c>
      <c r="AC1021">
        <f>MONTH(SalesData[[#This Row],[Date]])</f>
        <v>2</v>
      </c>
      <c r="AD1021">
        <f>Reference!F$4</f>
        <v>2026</v>
      </c>
      <c r="AE1021" t="str">
        <f>IF(OR(SalesData[[#This Row],[Day]]="Saturday",SalesData[[#This Row],[Day]]="Sunday"),"Weekend","Weekday")</f>
        <v>Weekday</v>
      </c>
      <c r="AF1021" s="5">
        <f>IF(SalesData[[#This Row],[Contracts Offered]]=0,0,SalesData[[#This Row],[Contracts Signed]]/SalesData[[#This Row],[Contracts Offered]])</f>
        <v>0.31132075471698112</v>
      </c>
      <c r="AG1021" s="5">
        <f>IF(SalesData[[#This Row],[Customers Visited]]=0,0,SalesData[[#This Row],[Test Drives]]/SalesData[[#This Row],[Customers Visited]])</f>
        <v>0.59227467811158796</v>
      </c>
      <c r="AH1021" s="5">
        <f>IF(SalesData[[#This Row],[Customers Visited]]=0,0,SalesData[[#This Row],[Contracts Signed]]/SalesData[[#This Row],[Customers Visited]])</f>
        <v>0.14163090128755365</v>
      </c>
      <c r="AI1021" s="6">
        <f>IF(SalesData[[#This Row],[Contracts Signed]]=0,0,SalesData[[#This Row],[Profit(€)]]/SalesData[[#This Row],[Contracts Signed]])</f>
        <v>9023</v>
      </c>
      <c r="AJ1021" s="5" t="str">
        <f>TRIM(CLEAN(SalesData[[#This Row],[Retailer]]))</f>
        <v>Autohaus Berlin</v>
      </c>
    </row>
    <row r="1022" spans="1:36" ht="14.25" x14ac:dyDescent="0.2">
      <c r="A1022" t="s">
        <v>1751</v>
      </c>
      <c r="B1022" s="1">
        <v>46060</v>
      </c>
      <c r="C1022" t="s">
        <v>24</v>
      </c>
      <c r="D1022" t="s">
        <v>151</v>
      </c>
      <c r="E1022" t="s">
        <v>42</v>
      </c>
      <c r="F1022" t="s">
        <v>94</v>
      </c>
      <c r="G1022" t="s">
        <v>95</v>
      </c>
      <c r="H1022" t="s">
        <v>96</v>
      </c>
      <c r="I1022" t="s">
        <v>30</v>
      </c>
      <c r="J1022" t="s">
        <v>188</v>
      </c>
      <c r="K1022" t="s">
        <v>78</v>
      </c>
      <c r="L1022" t="s">
        <v>33</v>
      </c>
      <c r="M1022" t="s">
        <v>68</v>
      </c>
      <c r="N1022" t="s">
        <v>35</v>
      </c>
      <c r="O1022" t="s">
        <v>70</v>
      </c>
      <c r="P1022" t="s">
        <v>37</v>
      </c>
      <c r="Q1022" t="s">
        <v>135</v>
      </c>
      <c r="R1022">
        <v>161</v>
      </c>
      <c r="S1022">
        <v>95</v>
      </c>
      <c r="T1022">
        <v>65</v>
      </c>
      <c r="U1022">
        <v>26</v>
      </c>
      <c r="V1022" t="s">
        <v>6559</v>
      </c>
      <c r="W1022">
        <v>55435</v>
      </c>
      <c r="X1022" t="s">
        <v>7346</v>
      </c>
      <c r="Y1022">
        <v>42504</v>
      </c>
      <c r="Z1022">
        <v>1441310</v>
      </c>
      <c r="AA1022">
        <v>336206</v>
      </c>
      <c r="AB1022" t="str">
        <f>(VLOOKUP(SalesData[[#This Row],[Month Number]],Reference!C$5:E$16,2,FALSE))</f>
        <v>Feb</v>
      </c>
      <c r="AC1022">
        <f>MONTH(SalesData[[#This Row],[Date]])</f>
        <v>2</v>
      </c>
      <c r="AD1022">
        <f>Reference!F$4</f>
        <v>2026</v>
      </c>
      <c r="AE1022" t="str">
        <f>IF(OR(SalesData[[#This Row],[Day]]="Saturday",SalesData[[#This Row],[Day]]="Sunday"),"Weekend","Weekday")</f>
        <v>Weekend</v>
      </c>
      <c r="AF1022" s="5">
        <f>IF(SalesData[[#This Row],[Contracts Offered]]=0,0,SalesData[[#This Row],[Contracts Signed]]/SalesData[[#This Row],[Contracts Offered]])</f>
        <v>0.4</v>
      </c>
      <c r="AG1022" s="5">
        <f>IF(SalesData[[#This Row],[Customers Visited]]=0,0,SalesData[[#This Row],[Test Drives]]/SalesData[[#This Row],[Customers Visited]])</f>
        <v>0.59006211180124224</v>
      </c>
      <c r="AH1022" s="5">
        <f>IF(SalesData[[#This Row],[Customers Visited]]=0,0,SalesData[[#This Row],[Contracts Signed]]/SalesData[[#This Row],[Customers Visited]])</f>
        <v>0.16149068322981366</v>
      </c>
      <c r="AI1022" s="6">
        <f>IF(SalesData[[#This Row],[Contracts Signed]]=0,0,SalesData[[#This Row],[Profit(€)]]/SalesData[[#This Row],[Contracts Signed]])</f>
        <v>12931</v>
      </c>
      <c r="AJ1022" s="5" t="str">
        <f>TRIM(CLEAN(SalesData[[#This Row],[Retailer]]))</f>
        <v>Bavaria Motors</v>
      </c>
    </row>
    <row r="1023" spans="1:36" ht="14.25" hidden="1" x14ac:dyDescent="0.2">
      <c r="A1023" t="s">
        <v>1753</v>
      </c>
      <c r="B1023" s="1">
        <v>46075</v>
      </c>
      <c r="C1023" t="s">
        <v>53</v>
      </c>
      <c r="D1023" t="s">
        <v>41</v>
      </c>
      <c r="E1023" t="s">
        <v>42</v>
      </c>
      <c r="F1023" t="s">
        <v>83</v>
      </c>
      <c r="G1023" t="s">
        <v>84</v>
      </c>
      <c r="H1023" t="s">
        <v>85</v>
      </c>
      <c r="I1023" t="s">
        <v>116</v>
      </c>
      <c r="J1023" t="s">
        <v>7026</v>
      </c>
      <c r="K1023" t="s">
        <v>32</v>
      </c>
      <c r="L1023" t="s">
        <v>46</v>
      </c>
      <c r="M1023" t="s">
        <v>47</v>
      </c>
      <c r="N1023" t="s">
        <v>48</v>
      </c>
      <c r="O1023" t="s">
        <v>70</v>
      </c>
      <c r="P1023" t="s">
        <v>58</v>
      </c>
      <c r="Q1023" t="s">
        <v>152</v>
      </c>
      <c r="R1023">
        <v>410</v>
      </c>
      <c r="S1023">
        <v>171</v>
      </c>
      <c r="T1023">
        <v>101</v>
      </c>
      <c r="U1023">
        <v>32</v>
      </c>
      <c r="V1023" t="s">
        <v>1361</v>
      </c>
      <c r="W1023">
        <v>22008</v>
      </c>
      <c r="X1023" t="s">
        <v>216</v>
      </c>
      <c r="Y1023">
        <v>19670</v>
      </c>
      <c r="Z1023">
        <v>704256</v>
      </c>
      <c r="AA1023">
        <v>74816</v>
      </c>
      <c r="AB1023" t="str">
        <f>(VLOOKUP(SalesData[[#This Row],[Month Number]],Reference!C$5:E$16,2,FALSE))</f>
        <v>Feb</v>
      </c>
      <c r="AC1023">
        <f>MONTH(SalesData[[#This Row],[Date]])</f>
        <v>2</v>
      </c>
      <c r="AD1023">
        <f>Reference!F$4</f>
        <v>2026</v>
      </c>
      <c r="AE1023" t="str">
        <f>IF(OR(SalesData[[#This Row],[Day]]="Saturday",SalesData[[#This Row],[Day]]="Sunday"),"Weekend","Weekday")</f>
        <v>Weekend</v>
      </c>
      <c r="AF1023" s="5">
        <f>IF(SalesData[[#This Row],[Contracts Offered]]=0,0,SalesData[[#This Row],[Contracts Signed]]/SalesData[[#This Row],[Contracts Offered]])</f>
        <v>0.31683168316831684</v>
      </c>
      <c r="AG1023" s="5">
        <f>IF(SalesData[[#This Row],[Customers Visited]]=0,0,SalesData[[#This Row],[Test Drives]]/SalesData[[#This Row],[Customers Visited]])</f>
        <v>0.4170731707317073</v>
      </c>
      <c r="AH1023" s="5">
        <f>IF(SalesData[[#This Row],[Customers Visited]]=0,0,SalesData[[#This Row],[Contracts Signed]]/SalesData[[#This Row],[Customers Visited]])</f>
        <v>7.8048780487804878E-2</v>
      </c>
      <c r="AI1023" s="6">
        <f>IF(SalesData[[#This Row],[Contracts Signed]]=0,0,SalesData[[#This Row],[Profit(€)]]/SalesData[[#This Row],[Contracts Signed]])</f>
        <v>2338</v>
      </c>
      <c r="AJ1023" s="5" t="str">
        <f>TRIM(CLEAN(SalesData[[#This Row],[Retailer]]))</f>
        <v>Hannover Cars</v>
      </c>
    </row>
    <row r="1024" spans="1:36" ht="14.25" x14ac:dyDescent="0.2">
      <c r="A1024" t="s">
        <v>1755</v>
      </c>
      <c r="B1024" s="1">
        <v>46057</v>
      </c>
      <c r="C1024" t="s">
        <v>24</v>
      </c>
      <c r="D1024" t="s">
        <v>82</v>
      </c>
      <c r="E1024" t="s">
        <v>26</v>
      </c>
      <c r="F1024" t="s">
        <v>114</v>
      </c>
      <c r="G1024" t="s">
        <v>115</v>
      </c>
      <c r="H1024" t="s">
        <v>115</v>
      </c>
      <c r="I1024" t="s">
        <v>30</v>
      </c>
      <c r="J1024" t="s">
        <v>7075</v>
      </c>
      <c r="K1024" t="s">
        <v>78</v>
      </c>
      <c r="L1024" t="s">
        <v>33</v>
      </c>
      <c r="M1024" t="s">
        <v>68</v>
      </c>
      <c r="N1024" t="s">
        <v>48</v>
      </c>
      <c r="O1024" t="s">
        <v>36</v>
      </c>
      <c r="P1024" t="s">
        <v>37</v>
      </c>
      <c r="Q1024" t="s">
        <v>240</v>
      </c>
      <c r="R1024">
        <v>143</v>
      </c>
      <c r="S1024">
        <v>87</v>
      </c>
      <c r="T1024">
        <v>65</v>
      </c>
      <c r="U1024">
        <v>25</v>
      </c>
      <c r="V1024" t="s">
        <v>7360</v>
      </c>
      <c r="W1024">
        <v>61868</v>
      </c>
      <c r="X1024" t="s">
        <v>7106</v>
      </c>
      <c r="Y1024">
        <v>46186</v>
      </c>
      <c r="Z1024">
        <v>1546700</v>
      </c>
      <c r="AA1024">
        <v>392050</v>
      </c>
      <c r="AB1024" t="str">
        <f>(VLOOKUP(SalesData[[#This Row],[Month Number]],Reference!C$5:E$16,2,FALSE))</f>
        <v>Feb</v>
      </c>
      <c r="AC1024">
        <f>MONTH(SalesData[[#This Row],[Date]])</f>
        <v>2</v>
      </c>
      <c r="AD1024">
        <f>Reference!F$4</f>
        <v>2026</v>
      </c>
      <c r="AE1024" t="str">
        <f>IF(OR(SalesData[[#This Row],[Day]]="Saturday",SalesData[[#This Row],[Day]]="Sunday"),"Weekend","Weekday")</f>
        <v>Weekday</v>
      </c>
      <c r="AF1024" s="5">
        <f>IF(SalesData[[#This Row],[Contracts Offered]]=0,0,SalesData[[#This Row],[Contracts Signed]]/SalesData[[#This Row],[Contracts Offered]])</f>
        <v>0.38461538461538464</v>
      </c>
      <c r="AG1024" s="5">
        <f>IF(SalesData[[#This Row],[Customers Visited]]=0,0,SalesData[[#This Row],[Test Drives]]/SalesData[[#This Row],[Customers Visited]])</f>
        <v>0.60839160839160844</v>
      </c>
      <c r="AH1024" s="5">
        <f>IF(SalesData[[#This Row],[Customers Visited]]=0,0,SalesData[[#This Row],[Contracts Signed]]/SalesData[[#This Row],[Customers Visited]])</f>
        <v>0.17482517482517482</v>
      </c>
      <c r="AI1024" s="6">
        <f>IF(SalesData[[#This Row],[Contracts Signed]]=0,0,SalesData[[#This Row],[Profit(€)]]/SalesData[[#This Row],[Contracts Signed]])</f>
        <v>15682</v>
      </c>
      <c r="AJ1024" s="5" t="str">
        <f>TRIM(CLEAN(SalesData[[#This Row],[Retailer]]))</f>
        <v>Elbe Drive</v>
      </c>
    </row>
    <row r="1025" spans="1:36" ht="14.25" hidden="1" x14ac:dyDescent="0.2">
      <c r="A1025" t="s">
        <v>1756</v>
      </c>
      <c r="B1025" s="1">
        <v>46080</v>
      </c>
      <c r="C1025" t="s">
        <v>53</v>
      </c>
      <c r="D1025" t="s">
        <v>54</v>
      </c>
      <c r="E1025" t="s">
        <v>26</v>
      </c>
      <c r="F1025" t="s">
        <v>74</v>
      </c>
      <c r="G1025" t="s">
        <v>75</v>
      </c>
      <c r="H1025" t="s">
        <v>76</v>
      </c>
      <c r="I1025" t="s">
        <v>64</v>
      </c>
      <c r="J1025" t="s">
        <v>7029</v>
      </c>
      <c r="K1025" t="s">
        <v>78</v>
      </c>
      <c r="L1025" t="s">
        <v>33</v>
      </c>
      <c r="M1025" t="s">
        <v>68</v>
      </c>
      <c r="N1025" t="s">
        <v>69</v>
      </c>
      <c r="O1025" t="s">
        <v>70</v>
      </c>
      <c r="P1025" t="s">
        <v>58</v>
      </c>
      <c r="Q1025" t="s">
        <v>129</v>
      </c>
      <c r="R1025">
        <v>151</v>
      </c>
      <c r="S1025">
        <v>66</v>
      </c>
      <c r="T1025">
        <v>45</v>
      </c>
      <c r="U1025">
        <v>17</v>
      </c>
      <c r="V1025" t="s">
        <v>7361</v>
      </c>
      <c r="W1025">
        <v>55390</v>
      </c>
      <c r="X1025" t="s">
        <v>1937</v>
      </c>
      <c r="Y1025">
        <v>40842</v>
      </c>
      <c r="Z1025">
        <v>941630</v>
      </c>
      <c r="AA1025">
        <v>247316</v>
      </c>
      <c r="AB1025" t="str">
        <f>(VLOOKUP(SalesData[[#This Row],[Month Number]],Reference!C$5:E$16,2,FALSE))</f>
        <v>Feb</v>
      </c>
      <c r="AC1025">
        <f>MONTH(SalesData[[#This Row],[Date]])</f>
        <v>2</v>
      </c>
      <c r="AD1025">
        <f>Reference!F$4</f>
        <v>2026</v>
      </c>
      <c r="AE1025" t="str">
        <f>IF(OR(SalesData[[#This Row],[Day]]="Saturday",SalesData[[#This Row],[Day]]="Sunday"),"Weekend","Weekday")</f>
        <v>Weekday</v>
      </c>
      <c r="AF1025" s="5">
        <f>IF(SalesData[[#This Row],[Contracts Offered]]=0,0,SalesData[[#This Row],[Contracts Signed]]/SalesData[[#This Row],[Contracts Offered]])</f>
        <v>0.37777777777777777</v>
      </c>
      <c r="AG1025" s="5">
        <f>IF(SalesData[[#This Row],[Customers Visited]]=0,0,SalesData[[#This Row],[Test Drives]]/SalesData[[#This Row],[Customers Visited]])</f>
        <v>0.4370860927152318</v>
      </c>
      <c r="AH1025" s="5">
        <f>IF(SalesData[[#This Row],[Customers Visited]]=0,0,SalesData[[#This Row],[Contracts Signed]]/SalesData[[#This Row],[Customers Visited]])</f>
        <v>0.11258278145695365</v>
      </c>
      <c r="AI1025" s="6">
        <f>IF(SalesData[[#This Row],[Contracts Signed]]=0,0,SalesData[[#This Row],[Profit(€)]]/SalesData[[#This Row],[Contracts Signed]])</f>
        <v>14548</v>
      </c>
      <c r="AJ1025" s="5" t="str">
        <f>TRIM(CLEAN(SalesData[[#This Row],[Retailer]]))</f>
        <v>Stuttgart Auto Center</v>
      </c>
    </row>
    <row r="1026" spans="1:36" ht="14.25" hidden="1" x14ac:dyDescent="0.2">
      <c r="A1026" t="s">
        <v>1757</v>
      </c>
      <c r="B1026" s="1">
        <v>46067</v>
      </c>
      <c r="C1026" t="s">
        <v>121</v>
      </c>
      <c r="D1026" t="s">
        <v>151</v>
      </c>
      <c r="E1026" t="s">
        <v>42</v>
      </c>
      <c r="F1026" t="s">
        <v>127</v>
      </c>
      <c r="G1026" t="s">
        <v>128</v>
      </c>
      <c r="H1026" t="s">
        <v>103</v>
      </c>
      <c r="I1026" t="s">
        <v>104</v>
      </c>
      <c r="J1026" t="s">
        <v>7031</v>
      </c>
      <c r="K1026" t="s">
        <v>91</v>
      </c>
      <c r="L1026" t="s">
        <v>46</v>
      </c>
      <c r="M1026" t="s">
        <v>87</v>
      </c>
      <c r="N1026" t="s">
        <v>69</v>
      </c>
      <c r="O1026" t="s">
        <v>70</v>
      </c>
      <c r="P1026" t="s">
        <v>37</v>
      </c>
      <c r="Q1026" t="s">
        <v>204</v>
      </c>
      <c r="R1026">
        <v>318</v>
      </c>
      <c r="S1026">
        <v>153</v>
      </c>
      <c r="T1026">
        <v>105</v>
      </c>
      <c r="U1026">
        <v>24</v>
      </c>
      <c r="V1026" t="s">
        <v>1342</v>
      </c>
      <c r="W1026">
        <v>27753</v>
      </c>
      <c r="X1026" t="s">
        <v>7172</v>
      </c>
      <c r="Y1026">
        <v>24180</v>
      </c>
      <c r="Z1026">
        <v>666072</v>
      </c>
      <c r="AA1026">
        <v>85752</v>
      </c>
      <c r="AB1026" t="str">
        <f>(VLOOKUP(SalesData[[#This Row],[Month Number]],Reference!C$5:E$16,2,FALSE))</f>
        <v>Feb</v>
      </c>
      <c r="AC1026">
        <f>MONTH(SalesData[[#This Row],[Date]])</f>
        <v>2</v>
      </c>
      <c r="AD1026">
        <f>Reference!F$4</f>
        <v>2026</v>
      </c>
      <c r="AE1026" t="str">
        <f>IF(OR(SalesData[[#This Row],[Day]]="Saturday",SalesData[[#This Row],[Day]]="Sunday"),"Weekend","Weekday")</f>
        <v>Weekend</v>
      </c>
      <c r="AF1026" s="5">
        <f>IF(SalesData[[#This Row],[Contracts Offered]]=0,0,SalesData[[#This Row],[Contracts Signed]]/SalesData[[#This Row],[Contracts Offered]])</f>
        <v>0.22857142857142856</v>
      </c>
      <c r="AG1026" s="5">
        <f>IF(SalesData[[#This Row],[Customers Visited]]=0,0,SalesData[[#This Row],[Test Drives]]/SalesData[[#This Row],[Customers Visited]])</f>
        <v>0.48113207547169812</v>
      </c>
      <c r="AH1026" s="5">
        <f>IF(SalesData[[#This Row],[Customers Visited]]=0,0,SalesData[[#This Row],[Contracts Signed]]/SalesData[[#This Row],[Customers Visited]])</f>
        <v>7.5471698113207544E-2</v>
      </c>
      <c r="AI1026" s="6">
        <f>IF(SalesData[[#This Row],[Contracts Signed]]=0,0,SalesData[[#This Row],[Profit(€)]]/SalesData[[#This Row],[Contracts Signed]])</f>
        <v>3573</v>
      </c>
      <c r="AJ1026" s="5" t="str">
        <f>TRIM(CLEAN(SalesData[[#This Row],[Retailer]]))</f>
        <v>Rhein Auto Group</v>
      </c>
    </row>
    <row r="1027" spans="1:36" ht="14.25" hidden="1" x14ac:dyDescent="0.2">
      <c r="A1027" t="s">
        <v>1758</v>
      </c>
      <c r="B1027" s="1">
        <v>46068</v>
      </c>
      <c r="C1027" t="s">
        <v>62</v>
      </c>
      <c r="D1027" t="s">
        <v>41</v>
      </c>
      <c r="E1027" t="s">
        <v>42</v>
      </c>
      <c r="F1027" t="s">
        <v>127</v>
      </c>
      <c r="G1027" t="s">
        <v>128</v>
      </c>
      <c r="H1027" t="s">
        <v>103</v>
      </c>
      <c r="I1027" t="s">
        <v>104</v>
      </c>
      <c r="J1027" t="s">
        <v>143</v>
      </c>
      <c r="K1027" t="s">
        <v>66</v>
      </c>
      <c r="L1027" t="s">
        <v>67</v>
      </c>
      <c r="M1027" t="s">
        <v>34</v>
      </c>
      <c r="N1027" t="s">
        <v>48</v>
      </c>
      <c r="O1027" t="s">
        <v>70</v>
      </c>
      <c r="P1027" t="s">
        <v>49</v>
      </c>
      <c r="Q1027" t="s">
        <v>204</v>
      </c>
      <c r="R1027">
        <v>504</v>
      </c>
      <c r="S1027">
        <v>239</v>
      </c>
      <c r="T1027">
        <v>166</v>
      </c>
      <c r="U1027">
        <v>28</v>
      </c>
      <c r="V1027" t="s">
        <v>354</v>
      </c>
      <c r="W1027">
        <v>29228</v>
      </c>
      <c r="X1027" t="s">
        <v>361</v>
      </c>
      <c r="Y1027">
        <v>26431</v>
      </c>
      <c r="Z1027">
        <v>818384</v>
      </c>
      <c r="AA1027">
        <v>78316</v>
      </c>
      <c r="AB1027" t="str">
        <f>(VLOOKUP(SalesData[[#This Row],[Month Number]],Reference!C$5:E$16,2,FALSE))</f>
        <v>Feb</v>
      </c>
      <c r="AC1027">
        <f>MONTH(SalesData[[#This Row],[Date]])</f>
        <v>2</v>
      </c>
      <c r="AD1027">
        <f>Reference!F$4</f>
        <v>2026</v>
      </c>
      <c r="AE1027" t="str">
        <f>IF(OR(SalesData[[#This Row],[Day]]="Saturday",SalesData[[#This Row],[Day]]="Sunday"),"Weekend","Weekday")</f>
        <v>Weekend</v>
      </c>
      <c r="AF1027" s="5">
        <f>IF(SalesData[[#This Row],[Contracts Offered]]=0,0,SalesData[[#This Row],[Contracts Signed]]/SalesData[[#This Row],[Contracts Offered]])</f>
        <v>0.16867469879518071</v>
      </c>
      <c r="AG1027" s="5">
        <f>IF(SalesData[[#This Row],[Customers Visited]]=0,0,SalesData[[#This Row],[Test Drives]]/SalesData[[#This Row],[Customers Visited]])</f>
        <v>0.47420634920634919</v>
      </c>
      <c r="AH1027" s="5">
        <f>IF(SalesData[[#This Row],[Customers Visited]]=0,0,SalesData[[#This Row],[Contracts Signed]]/SalesData[[#This Row],[Customers Visited]])</f>
        <v>5.5555555555555552E-2</v>
      </c>
      <c r="AI1027" s="6">
        <f>IF(SalesData[[#This Row],[Contracts Signed]]=0,0,SalesData[[#This Row],[Profit(€)]]/SalesData[[#This Row],[Contracts Signed]])</f>
        <v>2797</v>
      </c>
      <c r="AJ1027" s="5" t="str">
        <f>TRIM(CLEAN(SalesData[[#This Row],[Retailer]]))</f>
        <v>Rhein Auto Group</v>
      </c>
    </row>
    <row r="1028" spans="1:36" ht="14.25" hidden="1" x14ac:dyDescent="0.2">
      <c r="A1028" t="s">
        <v>1760</v>
      </c>
      <c r="B1028" s="1">
        <v>46055</v>
      </c>
      <c r="C1028" t="s">
        <v>24</v>
      </c>
      <c r="D1028" t="s">
        <v>25</v>
      </c>
      <c r="E1028" t="s">
        <v>26</v>
      </c>
      <c r="F1028" t="s">
        <v>74</v>
      </c>
      <c r="G1028" t="s">
        <v>75</v>
      </c>
      <c r="H1028" t="s">
        <v>76</v>
      </c>
      <c r="I1028" t="s">
        <v>104</v>
      </c>
      <c r="J1028" t="s">
        <v>140</v>
      </c>
      <c r="K1028" t="s">
        <v>66</v>
      </c>
      <c r="L1028" t="s">
        <v>46</v>
      </c>
      <c r="M1028" t="s">
        <v>87</v>
      </c>
      <c r="N1028" t="s">
        <v>35</v>
      </c>
      <c r="O1028" t="s">
        <v>36</v>
      </c>
      <c r="P1028" t="s">
        <v>58</v>
      </c>
      <c r="Q1028" t="s">
        <v>189</v>
      </c>
      <c r="R1028">
        <v>452</v>
      </c>
      <c r="S1028">
        <v>232</v>
      </c>
      <c r="T1028">
        <v>165</v>
      </c>
      <c r="U1028">
        <v>49</v>
      </c>
      <c r="V1028" t="s">
        <v>7007</v>
      </c>
      <c r="W1028">
        <v>33594</v>
      </c>
      <c r="X1028" t="s">
        <v>7362</v>
      </c>
      <c r="Y1028">
        <v>29048</v>
      </c>
      <c r="Z1028">
        <v>1646106</v>
      </c>
      <c r="AA1028">
        <v>222754</v>
      </c>
      <c r="AB1028" t="str">
        <f>(VLOOKUP(SalesData[[#This Row],[Month Number]],Reference!C$5:E$16,2,FALSE))</f>
        <v>Feb</v>
      </c>
      <c r="AC1028">
        <f>MONTH(SalesData[[#This Row],[Date]])</f>
        <v>2</v>
      </c>
      <c r="AD1028">
        <f>Reference!F$4</f>
        <v>2026</v>
      </c>
      <c r="AE1028" t="str">
        <f>IF(OR(SalesData[[#This Row],[Day]]="Saturday",SalesData[[#This Row],[Day]]="Sunday"),"Weekend","Weekday")</f>
        <v>Weekday</v>
      </c>
      <c r="AF1028" s="5">
        <f>IF(SalesData[[#This Row],[Contracts Offered]]=0,0,SalesData[[#This Row],[Contracts Signed]]/SalesData[[#This Row],[Contracts Offered]])</f>
        <v>0.29696969696969699</v>
      </c>
      <c r="AG1028" s="5">
        <f>IF(SalesData[[#This Row],[Customers Visited]]=0,0,SalesData[[#This Row],[Test Drives]]/SalesData[[#This Row],[Customers Visited]])</f>
        <v>0.51327433628318586</v>
      </c>
      <c r="AH1028" s="5">
        <f>IF(SalesData[[#This Row],[Customers Visited]]=0,0,SalesData[[#This Row],[Contracts Signed]]/SalesData[[#This Row],[Customers Visited]])</f>
        <v>0.1084070796460177</v>
      </c>
      <c r="AI1028" s="6">
        <f>IF(SalesData[[#This Row],[Contracts Signed]]=0,0,SalesData[[#This Row],[Profit(€)]]/SalesData[[#This Row],[Contracts Signed]])</f>
        <v>4546</v>
      </c>
      <c r="AJ1028" s="5" t="str">
        <f>TRIM(CLEAN(SalesData[[#This Row],[Retailer]]))</f>
        <v>Stuttgart Auto Center</v>
      </c>
    </row>
    <row r="1029" spans="1:36" ht="14.25" hidden="1" x14ac:dyDescent="0.2">
      <c r="A1029" t="s">
        <v>1761</v>
      </c>
      <c r="B1029" s="1">
        <v>46075</v>
      </c>
      <c r="C1029" t="s">
        <v>53</v>
      </c>
      <c r="D1029" t="s">
        <v>41</v>
      </c>
      <c r="E1029" t="s">
        <v>42</v>
      </c>
      <c r="F1029" t="s">
        <v>94</v>
      </c>
      <c r="G1029" t="s">
        <v>95</v>
      </c>
      <c r="H1029" t="s">
        <v>96</v>
      </c>
      <c r="I1029" t="s">
        <v>104</v>
      </c>
      <c r="J1029" t="s">
        <v>7031</v>
      </c>
      <c r="K1029" t="s">
        <v>78</v>
      </c>
      <c r="L1029" t="s">
        <v>46</v>
      </c>
      <c r="M1029" t="s">
        <v>47</v>
      </c>
      <c r="N1029" t="s">
        <v>48</v>
      </c>
      <c r="O1029" t="s">
        <v>36</v>
      </c>
      <c r="P1029" t="s">
        <v>71</v>
      </c>
      <c r="Q1029" t="s">
        <v>158</v>
      </c>
      <c r="R1029">
        <v>495</v>
      </c>
      <c r="S1029">
        <v>283</v>
      </c>
      <c r="T1029">
        <v>188</v>
      </c>
      <c r="U1029">
        <v>52</v>
      </c>
      <c r="V1029" t="s">
        <v>1075</v>
      </c>
      <c r="W1029">
        <v>31404</v>
      </c>
      <c r="X1029" t="s">
        <v>919</v>
      </c>
      <c r="Y1029">
        <v>28342</v>
      </c>
      <c r="Z1029">
        <v>1633008</v>
      </c>
      <c r="AA1029">
        <v>159224</v>
      </c>
      <c r="AB1029" t="str">
        <f>(VLOOKUP(SalesData[[#This Row],[Month Number]],Reference!C$5:E$16,2,FALSE))</f>
        <v>Feb</v>
      </c>
      <c r="AC1029">
        <f>MONTH(SalesData[[#This Row],[Date]])</f>
        <v>2</v>
      </c>
      <c r="AD1029">
        <f>Reference!F$4</f>
        <v>2026</v>
      </c>
      <c r="AE1029" t="str">
        <f>IF(OR(SalesData[[#This Row],[Day]]="Saturday",SalesData[[#This Row],[Day]]="Sunday"),"Weekend","Weekday")</f>
        <v>Weekend</v>
      </c>
      <c r="AF1029" s="5">
        <f>IF(SalesData[[#This Row],[Contracts Offered]]=0,0,SalesData[[#This Row],[Contracts Signed]]/SalesData[[#This Row],[Contracts Offered]])</f>
        <v>0.27659574468085107</v>
      </c>
      <c r="AG1029" s="5">
        <f>IF(SalesData[[#This Row],[Customers Visited]]=0,0,SalesData[[#This Row],[Test Drives]]/SalesData[[#This Row],[Customers Visited]])</f>
        <v>0.57171717171717173</v>
      </c>
      <c r="AH1029" s="5">
        <f>IF(SalesData[[#This Row],[Customers Visited]]=0,0,SalesData[[#This Row],[Contracts Signed]]/SalesData[[#This Row],[Customers Visited]])</f>
        <v>0.10505050505050505</v>
      </c>
      <c r="AI1029" s="6">
        <f>IF(SalesData[[#This Row],[Contracts Signed]]=0,0,SalesData[[#This Row],[Profit(€)]]/SalesData[[#This Row],[Contracts Signed]])</f>
        <v>3062</v>
      </c>
      <c r="AJ1029" s="5" t="str">
        <f>TRIM(CLEAN(SalesData[[#This Row],[Retailer]]))</f>
        <v>Bavaria Motors</v>
      </c>
    </row>
    <row r="1030" spans="1:36" ht="14.25" hidden="1" x14ac:dyDescent="0.2">
      <c r="A1030" t="s">
        <v>1763</v>
      </c>
      <c r="B1030" s="1">
        <v>46054</v>
      </c>
      <c r="C1030" t="s">
        <v>24</v>
      </c>
      <c r="D1030" t="s">
        <v>41</v>
      </c>
      <c r="E1030" t="s">
        <v>42</v>
      </c>
      <c r="F1030" t="s">
        <v>101</v>
      </c>
      <c r="G1030" t="s">
        <v>102</v>
      </c>
      <c r="H1030" t="s">
        <v>103</v>
      </c>
      <c r="I1030" t="s">
        <v>104</v>
      </c>
      <c r="J1030" t="s">
        <v>7061</v>
      </c>
      <c r="K1030" t="s">
        <v>91</v>
      </c>
      <c r="L1030" t="s">
        <v>46</v>
      </c>
      <c r="M1030" t="s">
        <v>87</v>
      </c>
      <c r="N1030" t="s">
        <v>69</v>
      </c>
      <c r="O1030" t="s">
        <v>70</v>
      </c>
      <c r="P1030" t="s">
        <v>58</v>
      </c>
      <c r="Q1030" t="s">
        <v>158</v>
      </c>
      <c r="R1030">
        <v>396</v>
      </c>
      <c r="S1030">
        <v>213</v>
      </c>
      <c r="T1030">
        <v>127</v>
      </c>
      <c r="U1030">
        <v>31</v>
      </c>
      <c r="V1030" t="s">
        <v>4341</v>
      </c>
      <c r="W1030">
        <v>31971</v>
      </c>
      <c r="X1030" t="s">
        <v>138</v>
      </c>
      <c r="Y1030">
        <v>28243</v>
      </c>
      <c r="Z1030">
        <v>991101</v>
      </c>
      <c r="AA1030">
        <v>115568</v>
      </c>
      <c r="AB1030" t="str">
        <f>(VLOOKUP(SalesData[[#This Row],[Month Number]],Reference!C$5:E$16,2,FALSE))</f>
        <v>Feb</v>
      </c>
      <c r="AC1030">
        <f>MONTH(SalesData[[#This Row],[Date]])</f>
        <v>2</v>
      </c>
      <c r="AD1030">
        <f>Reference!F$4</f>
        <v>2026</v>
      </c>
      <c r="AE1030" t="str">
        <f>IF(OR(SalesData[[#This Row],[Day]]="Saturday",SalesData[[#This Row],[Day]]="Sunday"),"Weekend","Weekday")</f>
        <v>Weekend</v>
      </c>
      <c r="AF1030" s="5">
        <f>IF(SalesData[[#This Row],[Contracts Offered]]=0,0,SalesData[[#This Row],[Contracts Signed]]/SalesData[[#This Row],[Contracts Offered]])</f>
        <v>0.24409448818897639</v>
      </c>
      <c r="AG1030" s="5">
        <f>IF(SalesData[[#This Row],[Customers Visited]]=0,0,SalesData[[#This Row],[Test Drives]]/SalesData[[#This Row],[Customers Visited]])</f>
        <v>0.53787878787878785</v>
      </c>
      <c r="AH1030" s="5">
        <f>IF(SalesData[[#This Row],[Customers Visited]]=0,0,SalesData[[#This Row],[Contracts Signed]]/SalesData[[#This Row],[Customers Visited]])</f>
        <v>7.8282828282828287E-2</v>
      </c>
      <c r="AI1030" s="6">
        <f>IF(SalesData[[#This Row],[Contracts Signed]]=0,0,SalesData[[#This Row],[Profit(€)]]/SalesData[[#This Row],[Contracts Signed]])</f>
        <v>3728</v>
      </c>
      <c r="AJ1030" s="5" t="str">
        <f>TRIM(CLEAN(SalesData[[#This Row],[Retailer]]))</f>
        <v>Ruhr Auto Plaza</v>
      </c>
    </row>
    <row r="1031" spans="1:36" ht="14.25" hidden="1" x14ac:dyDescent="0.2">
      <c r="A1031" t="s">
        <v>1765</v>
      </c>
      <c r="B1031" s="1">
        <v>46078</v>
      </c>
      <c r="C1031" t="s">
        <v>53</v>
      </c>
      <c r="D1031" t="s">
        <v>82</v>
      </c>
      <c r="E1031" t="s">
        <v>26</v>
      </c>
      <c r="F1031" t="s">
        <v>7649</v>
      </c>
      <c r="G1031" t="s">
        <v>55</v>
      </c>
      <c r="H1031" t="s">
        <v>55</v>
      </c>
      <c r="I1031" t="s">
        <v>104</v>
      </c>
      <c r="J1031" t="s">
        <v>143</v>
      </c>
      <c r="K1031" t="s">
        <v>91</v>
      </c>
      <c r="L1031" t="s">
        <v>67</v>
      </c>
      <c r="M1031" t="s">
        <v>68</v>
      </c>
      <c r="N1031" t="s">
        <v>35</v>
      </c>
      <c r="O1031" t="s">
        <v>70</v>
      </c>
      <c r="P1031" t="s">
        <v>58</v>
      </c>
      <c r="Q1031" t="s">
        <v>167</v>
      </c>
      <c r="R1031">
        <v>435</v>
      </c>
      <c r="S1031">
        <v>177</v>
      </c>
      <c r="T1031">
        <v>108</v>
      </c>
      <c r="U1031">
        <v>31</v>
      </c>
      <c r="V1031" t="s">
        <v>6494</v>
      </c>
      <c r="W1031">
        <v>34645</v>
      </c>
      <c r="X1031" t="s">
        <v>5854</v>
      </c>
      <c r="Y1031">
        <v>30788</v>
      </c>
      <c r="Z1031">
        <v>1073995</v>
      </c>
      <c r="AA1031">
        <v>119567</v>
      </c>
      <c r="AB1031" t="str">
        <f>(VLOOKUP(SalesData[[#This Row],[Month Number]],Reference!C$5:E$16,2,FALSE))</f>
        <v>Feb</v>
      </c>
      <c r="AC1031">
        <f>MONTH(SalesData[[#This Row],[Date]])</f>
        <v>2</v>
      </c>
      <c r="AD1031">
        <f>Reference!F$4</f>
        <v>2026</v>
      </c>
      <c r="AE1031" t="str">
        <f>IF(OR(SalesData[[#This Row],[Day]]="Saturday",SalesData[[#This Row],[Day]]="Sunday"),"Weekend","Weekday")</f>
        <v>Weekday</v>
      </c>
      <c r="AF1031" s="5">
        <f>IF(SalesData[[#This Row],[Contracts Offered]]=0,0,SalesData[[#This Row],[Contracts Signed]]/SalesData[[#This Row],[Contracts Offered]])</f>
        <v>0.28703703703703703</v>
      </c>
      <c r="AG1031" s="5">
        <f>IF(SalesData[[#This Row],[Customers Visited]]=0,0,SalesData[[#This Row],[Test Drives]]/SalesData[[#This Row],[Customers Visited]])</f>
        <v>0.40689655172413791</v>
      </c>
      <c r="AH1031" s="5">
        <f>IF(SalesData[[#This Row],[Customers Visited]]=0,0,SalesData[[#This Row],[Contracts Signed]]/SalesData[[#This Row],[Customers Visited]])</f>
        <v>7.1264367816091953E-2</v>
      </c>
      <c r="AI1031" s="6">
        <f>IF(SalesData[[#This Row],[Contracts Signed]]=0,0,SalesData[[#This Row],[Profit(€)]]/SalesData[[#This Row],[Contracts Signed]])</f>
        <v>3857</v>
      </c>
      <c r="AJ1031" s="5" t="str">
        <f>TRIM(CLEAN(SalesData[[#This Row],[Retailer]]))</f>
        <v>Autohaus Berlin</v>
      </c>
    </row>
    <row r="1032" spans="1:36" ht="14.25" x14ac:dyDescent="0.2">
      <c r="A1032" t="s">
        <v>1766</v>
      </c>
      <c r="B1032" s="1">
        <v>46061</v>
      </c>
      <c r="C1032" t="s">
        <v>121</v>
      </c>
      <c r="D1032" t="s">
        <v>41</v>
      </c>
      <c r="E1032" t="s">
        <v>42</v>
      </c>
      <c r="F1032" t="s">
        <v>94</v>
      </c>
      <c r="G1032" t="s">
        <v>95</v>
      </c>
      <c r="H1032" t="s">
        <v>96</v>
      </c>
      <c r="I1032" t="s">
        <v>30</v>
      </c>
      <c r="J1032" t="s">
        <v>166</v>
      </c>
      <c r="K1032" t="s">
        <v>91</v>
      </c>
      <c r="L1032" t="s">
        <v>46</v>
      </c>
      <c r="M1032" t="s">
        <v>34</v>
      </c>
      <c r="N1032" t="s">
        <v>69</v>
      </c>
      <c r="O1032" t="s">
        <v>36</v>
      </c>
      <c r="P1032" t="s">
        <v>37</v>
      </c>
      <c r="Q1032" t="s">
        <v>158</v>
      </c>
      <c r="R1032">
        <v>202</v>
      </c>
      <c r="S1032">
        <v>116</v>
      </c>
      <c r="T1032">
        <v>83</v>
      </c>
      <c r="U1032">
        <v>35</v>
      </c>
      <c r="V1032" t="s">
        <v>7363</v>
      </c>
      <c r="W1032">
        <v>58412</v>
      </c>
      <c r="X1032" t="s">
        <v>504</v>
      </c>
      <c r="Y1032">
        <v>41112</v>
      </c>
      <c r="Z1032">
        <v>2044420</v>
      </c>
      <c r="AA1032">
        <v>605500</v>
      </c>
      <c r="AB1032" t="str">
        <f>(VLOOKUP(SalesData[[#This Row],[Month Number]],Reference!C$5:E$16,2,FALSE))</f>
        <v>Feb</v>
      </c>
      <c r="AC1032">
        <f>MONTH(SalesData[[#This Row],[Date]])</f>
        <v>2</v>
      </c>
      <c r="AD1032">
        <f>Reference!F$4</f>
        <v>2026</v>
      </c>
      <c r="AE1032" t="str">
        <f>IF(OR(SalesData[[#This Row],[Day]]="Saturday",SalesData[[#This Row],[Day]]="Sunday"),"Weekend","Weekday")</f>
        <v>Weekend</v>
      </c>
      <c r="AF1032" s="5">
        <f>IF(SalesData[[#This Row],[Contracts Offered]]=0,0,SalesData[[#This Row],[Contracts Signed]]/SalesData[[#This Row],[Contracts Offered]])</f>
        <v>0.42168674698795183</v>
      </c>
      <c r="AG1032" s="5">
        <f>IF(SalesData[[#This Row],[Customers Visited]]=0,0,SalesData[[#This Row],[Test Drives]]/SalesData[[#This Row],[Customers Visited]])</f>
        <v>0.57425742574257421</v>
      </c>
      <c r="AH1032" s="5">
        <f>IF(SalesData[[#This Row],[Customers Visited]]=0,0,SalesData[[#This Row],[Contracts Signed]]/SalesData[[#This Row],[Customers Visited]])</f>
        <v>0.17326732673267325</v>
      </c>
      <c r="AI1032" s="6">
        <f>IF(SalesData[[#This Row],[Contracts Signed]]=0,0,SalesData[[#This Row],[Profit(€)]]/SalesData[[#This Row],[Contracts Signed]])</f>
        <v>17300</v>
      </c>
      <c r="AJ1032" s="5" t="str">
        <f>TRIM(CLEAN(SalesData[[#This Row],[Retailer]]))</f>
        <v>Bavaria Motors</v>
      </c>
    </row>
    <row r="1033" spans="1:36" ht="14.25" hidden="1" x14ac:dyDescent="0.2">
      <c r="A1033" t="s">
        <v>1768</v>
      </c>
      <c r="B1033" s="1">
        <v>46078</v>
      </c>
      <c r="C1033" t="s">
        <v>53</v>
      </c>
      <c r="D1033" t="s">
        <v>82</v>
      </c>
      <c r="E1033" t="s">
        <v>26</v>
      </c>
      <c r="F1033" t="s">
        <v>101</v>
      </c>
      <c r="G1033" t="s">
        <v>102</v>
      </c>
      <c r="H1033" t="s">
        <v>103</v>
      </c>
      <c r="I1033" t="s">
        <v>64</v>
      </c>
      <c r="J1033" t="s">
        <v>7029</v>
      </c>
      <c r="K1033" t="s">
        <v>32</v>
      </c>
      <c r="L1033" t="s">
        <v>33</v>
      </c>
      <c r="M1033" t="s">
        <v>47</v>
      </c>
      <c r="N1033" t="s">
        <v>35</v>
      </c>
      <c r="O1033" t="s">
        <v>36</v>
      </c>
      <c r="P1033" t="s">
        <v>71</v>
      </c>
      <c r="Q1033" t="s">
        <v>106</v>
      </c>
      <c r="R1033">
        <v>233</v>
      </c>
      <c r="S1033">
        <v>122</v>
      </c>
      <c r="T1033">
        <v>89</v>
      </c>
      <c r="U1033">
        <v>29</v>
      </c>
      <c r="V1033" t="s">
        <v>7016</v>
      </c>
      <c r="W1033">
        <v>53700</v>
      </c>
      <c r="X1033" t="s">
        <v>7032</v>
      </c>
      <c r="Y1033">
        <v>41984</v>
      </c>
      <c r="Z1033">
        <v>1557300</v>
      </c>
      <c r="AA1033">
        <v>339764</v>
      </c>
      <c r="AB1033" t="str">
        <f>(VLOOKUP(SalesData[[#This Row],[Month Number]],Reference!C$5:E$16,2,FALSE))</f>
        <v>Feb</v>
      </c>
      <c r="AC1033">
        <f>MONTH(SalesData[[#This Row],[Date]])</f>
        <v>2</v>
      </c>
      <c r="AD1033">
        <f>Reference!F$4</f>
        <v>2026</v>
      </c>
      <c r="AE1033" t="str">
        <f>IF(OR(SalesData[[#This Row],[Day]]="Saturday",SalesData[[#This Row],[Day]]="Sunday"),"Weekend","Weekday")</f>
        <v>Weekday</v>
      </c>
      <c r="AF1033" s="5">
        <f>IF(SalesData[[#This Row],[Contracts Offered]]=0,0,SalesData[[#This Row],[Contracts Signed]]/SalesData[[#This Row],[Contracts Offered]])</f>
        <v>0.3258426966292135</v>
      </c>
      <c r="AG1033" s="5">
        <f>IF(SalesData[[#This Row],[Customers Visited]]=0,0,SalesData[[#This Row],[Test Drives]]/SalesData[[#This Row],[Customers Visited]])</f>
        <v>0.52360515021459231</v>
      </c>
      <c r="AH1033" s="5">
        <f>IF(SalesData[[#This Row],[Customers Visited]]=0,0,SalesData[[#This Row],[Contracts Signed]]/SalesData[[#This Row],[Customers Visited]])</f>
        <v>0.12446351931330472</v>
      </c>
      <c r="AI1033" s="6">
        <f>IF(SalesData[[#This Row],[Contracts Signed]]=0,0,SalesData[[#This Row],[Profit(€)]]/SalesData[[#This Row],[Contracts Signed]])</f>
        <v>11716</v>
      </c>
      <c r="AJ1033" s="5" t="str">
        <f>TRIM(CLEAN(SalesData[[#This Row],[Retailer]]))</f>
        <v>Ruhr Auto Plaza</v>
      </c>
    </row>
    <row r="1034" spans="1:36" ht="14.25" hidden="1" x14ac:dyDescent="0.2">
      <c r="A1034" t="s">
        <v>1769</v>
      </c>
      <c r="B1034" s="1">
        <v>46063</v>
      </c>
      <c r="C1034" t="s">
        <v>121</v>
      </c>
      <c r="D1034" t="s">
        <v>63</v>
      </c>
      <c r="E1034" t="s">
        <v>26</v>
      </c>
      <c r="F1034" t="s">
        <v>7649</v>
      </c>
      <c r="G1034" t="s">
        <v>55</v>
      </c>
      <c r="H1034" t="s">
        <v>55</v>
      </c>
      <c r="I1034" t="s">
        <v>116</v>
      </c>
      <c r="J1034" t="s">
        <v>132</v>
      </c>
      <c r="K1034" t="s">
        <v>91</v>
      </c>
      <c r="L1034" t="s">
        <v>46</v>
      </c>
      <c r="M1034" t="s">
        <v>34</v>
      </c>
      <c r="N1034" t="s">
        <v>69</v>
      </c>
      <c r="O1034" t="s">
        <v>36</v>
      </c>
      <c r="P1034" t="s">
        <v>49</v>
      </c>
      <c r="Q1034" t="s">
        <v>172</v>
      </c>
      <c r="R1034">
        <v>357</v>
      </c>
      <c r="S1034">
        <v>179</v>
      </c>
      <c r="T1034">
        <v>119</v>
      </c>
      <c r="U1034">
        <v>32</v>
      </c>
      <c r="V1034" t="s">
        <v>2232</v>
      </c>
      <c r="W1034">
        <v>22402</v>
      </c>
      <c r="X1034" t="s">
        <v>1276</v>
      </c>
      <c r="Y1034">
        <v>20371</v>
      </c>
      <c r="Z1034">
        <v>716864</v>
      </c>
      <c r="AA1034">
        <v>64992</v>
      </c>
      <c r="AB1034" t="str">
        <f>(VLOOKUP(SalesData[[#This Row],[Month Number]],Reference!C$5:E$16,2,FALSE))</f>
        <v>Feb</v>
      </c>
      <c r="AC1034">
        <f>MONTH(SalesData[[#This Row],[Date]])</f>
        <v>2</v>
      </c>
      <c r="AD1034">
        <f>Reference!F$4</f>
        <v>2026</v>
      </c>
      <c r="AE1034" t="str">
        <f>IF(OR(SalesData[[#This Row],[Day]]="Saturday",SalesData[[#This Row],[Day]]="Sunday"),"Weekend","Weekday")</f>
        <v>Weekday</v>
      </c>
      <c r="AF1034" s="5">
        <f>IF(SalesData[[#This Row],[Contracts Offered]]=0,0,SalesData[[#This Row],[Contracts Signed]]/SalesData[[#This Row],[Contracts Offered]])</f>
        <v>0.26890756302521007</v>
      </c>
      <c r="AG1034" s="5">
        <f>IF(SalesData[[#This Row],[Customers Visited]]=0,0,SalesData[[#This Row],[Test Drives]]/SalesData[[#This Row],[Customers Visited]])</f>
        <v>0.50140056022408963</v>
      </c>
      <c r="AH1034" s="5">
        <f>IF(SalesData[[#This Row],[Customers Visited]]=0,0,SalesData[[#This Row],[Contracts Signed]]/SalesData[[#This Row],[Customers Visited]])</f>
        <v>8.9635854341736695E-2</v>
      </c>
      <c r="AI1034" s="6">
        <f>IF(SalesData[[#This Row],[Contracts Signed]]=0,0,SalesData[[#This Row],[Profit(€)]]/SalesData[[#This Row],[Contracts Signed]])</f>
        <v>2031</v>
      </c>
      <c r="AJ1034" s="5" t="str">
        <f>TRIM(CLEAN(SalesData[[#This Row],[Retailer]]))</f>
        <v>Autohaus Berlin</v>
      </c>
    </row>
    <row r="1035" spans="1:36" ht="14.25" hidden="1" x14ac:dyDescent="0.2">
      <c r="A1035" t="s">
        <v>1770</v>
      </c>
      <c r="B1035" s="1">
        <v>46059</v>
      </c>
      <c r="C1035" t="s">
        <v>24</v>
      </c>
      <c r="D1035" t="s">
        <v>54</v>
      </c>
      <c r="E1035" t="s">
        <v>26</v>
      </c>
      <c r="F1035" t="s">
        <v>27</v>
      </c>
      <c r="G1035" t="s">
        <v>28</v>
      </c>
      <c r="H1035" t="s">
        <v>29</v>
      </c>
      <c r="I1035" t="s">
        <v>56</v>
      </c>
      <c r="J1035" t="s">
        <v>179</v>
      </c>
      <c r="K1035" t="s">
        <v>66</v>
      </c>
      <c r="L1035" t="s">
        <v>67</v>
      </c>
      <c r="M1035" t="s">
        <v>34</v>
      </c>
      <c r="N1035" t="s">
        <v>69</v>
      </c>
      <c r="O1035" t="s">
        <v>36</v>
      </c>
      <c r="P1035" t="s">
        <v>49</v>
      </c>
      <c r="Q1035" t="s">
        <v>158</v>
      </c>
      <c r="R1035">
        <v>242</v>
      </c>
      <c r="S1035">
        <v>136</v>
      </c>
      <c r="T1035">
        <v>99</v>
      </c>
      <c r="U1035">
        <v>30</v>
      </c>
      <c r="V1035" t="s">
        <v>6366</v>
      </c>
      <c r="W1035">
        <v>53259</v>
      </c>
      <c r="X1035" t="s">
        <v>994</v>
      </c>
      <c r="Y1035">
        <v>41925</v>
      </c>
      <c r="Z1035">
        <v>1597770</v>
      </c>
      <c r="AA1035">
        <v>340020</v>
      </c>
      <c r="AB1035" t="str">
        <f>(VLOOKUP(SalesData[[#This Row],[Month Number]],Reference!C$5:E$16,2,FALSE))</f>
        <v>Feb</v>
      </c>
      <c r="AC1035">
        <f>MONTH(SalesData[[#This Row],[Date]])</f>
        <v>2</v>
      </c>
      <c r="AD1035">
        <f>Reference!F$4</f>
        <v>2026</v>
      </c>
      <c r="AE1035" t="str">
        <f>IF(OR(SalesData[[#This Row],[Day]]="Saturday",SalesData[[#This Row],[Day]]="Sunday"),"Weekend","Weekday")</f>
        <v>Weekday</v>
      </c>
      <c r="AF1035" s="5">
        <f>IF(SalesData[[#This Row],[Contracts Offered]]=0,0,SalesData[[#This Row],[Contracts Signed]]/SalesData[[#This Row],[Contracts Offered]])</f>
        <v>0.30303030303030304</v>
      </c>
      <c r="AG1035" s="5">
        <f>IF(SalesData[[#This Row],[Customers Visited]]=0,0,SalesData[[#This Row],[Test Drives]]/SalesData[[#This Row],[Customers Visited]])</f>
        <v>0.56198347107438018</v>
      </c>
      <c r="AH1035" s="5">
        <f>IF(SalesData[[#This Row],[Customers Visited]]=0,0,SalesData[[#This Row],[Contracts Signed]]/SalesData[[#This Row],[Customers Visited]])</f>
        <v>0.12396694214876033</v>
      </c>
      <c r="AI1035" s="6">
        <f>IF(SalesData[[#This Row],[Contracts Signed]]=0,0,SalesData[[#This Row],[Profit(€)]]/SalesData[[#This Row],[Contracts Signed]])</f>
        <v>11334</v>
      </c>
      <c r="AJ1035" s="5" t="str">
        <f>TRIM(CLEAN(SalesData[[#This Row],[Retailer]]))</f>
        <v>Main Auto Hub</v>
      </c>
    </row>
    <row r="1036" spans="1:36" ht="14.25" x14ac:dyDescent="0.2">
      <c r="A1036" t="s">
        <v>1772</v>
      </c>
      <c r="B1036" s="1">
        <v>46071</v>
      </c>
      <c r="C1036" t="s">
        <v>62</v>
      </c>
      <c r="D1036" t="s">
        <v>82</v>
      </c>
      <c r="E1036" t="s">
        <v>26</v>
      </c>
      <c r="F1036" t="s">
        <v>127</v>
      </c>
      <c r="G1036" t="s">
        <v>128</v>
      </c>
      <c r="H1036" t="s">
        <v>103</v>
      </c>
      <c r="I1036" t="s">
        <v>30</v>
      </c>
      <c r="J1036" t="s">
        <v>166</v>
      </c>
      <c r="K1036" t="s">
        <v>78</v>
      </c>
      <c r="L1036" t="s">
        <v>46</v>
      </c>
      <c r="M1036" t="s">
        <v>68</v>
      </c>
      <c r="N1036" t="s">
        <v>35</v>
      </c>
      <c r="O1036" t="s">
        <v>36</v>
      </c>
      <c r="P1036" t="s">
        <v>37</v>
      </c>
      <c r="Q1036" t="s">
        <v>88</v>
      </c>
      <c r="R1036">
        <v>183</v>
      </c>
      <c r="S1036">
        <v>90</v>
      </c>
      <c r="T1036">
        <v>73</v>
      </c>
      <c r="U1036">
        <v>24</v>
      </c>
      <c r="V1036" t="s">
        <v>6388</v>
      </c>
      <c r="W1036">
        <v>63145</v>
      </c>
      <c r="X1036" t="s">
        <v>2701</v>
      </c>
      <c r="Y1036">
        <v>47352</v>
      </c>
      <c r="Z1036">
        <v>1515480</v>
      </c>
      <c r="AA1036">
        <v>379032</v>
      </c>
      <c r="AB1036" t="str">
        <f>(VLOOKUP(SalesData[[#This Row],[Month Number]],Reference!C$5:E$16,2,FALSE))</f>
        <v>Feb</v>
      </c>
      <c r="AC1036">
        <f>MONTH(SalesData[[#This Row],[Date]])</f>
        <v>2</v>
      </c>
      <c r="AD1036">
        <f>Reference!F$4</f>
        <v>2026</v>
      </c>
      <c r="AE1036" t="str">
        <f>IF(OR(SalesData[[#This Row],[Day]]="Saturday",SalesData[[#This Row],[Day]]="Sunday"),"Weekend","Weekday")</f>
        <v>Weekday</v>
      </c>
      <c r="AF1036" s="5">
        <f>IF(SalesData[[#This Row],[Contracts Offered]]=0,0,SalesData[[#This Row],[Contracts Signed]]/SalesData[[#This Row],[Contracts Offered]])</f>
        <v>0.32876712328767121</v>
      </c>
      <c r="AG1036" s="5">
        <f>IF(SalesData[[#This Row],[Customers Visited]]=0,0,SalesData[[#This Row],[Test Drives]]/SalesData[[#This Row],[Customers Visited]])</f>
        <v>0.49180327868852458</v>
      </c>
      <c r="AH1036" s="5">
        <f>IF(SalesData[[#This Row],[Customers Visited]]=0,0,SalesData[[#This Row],[Contracts Signed]]/SalesData[[#This Row],[Customers Visited]])</f>
        <v>0.13114754098360656</v>
      </c>
      <c r="AI1036" s="6">
        <f>IF(SalesData[[#This Row],[Contracts Signed]]=0,0,SalesData[[#This Row],[Profit(€)]]/SalesData[[#This Row],[Contracts Signed]])</f>
        <v>15793</v>
      </c>
      <c r="AJ1036" s="5" t="str">
        <f>TRIM(CLEAN(SalesData[[#This Row],[Retailer]]))</f>
        <v>Rhein Auto Group</v>
      </c>
    </row>
    <row r="1037" spans="1:36" ht="14.25" hidden="1" x14ac:dyDescent="0.2">
      <c r="A1037" t="s">
        <v>1774</v>
      </c>
      <c r="B1037" s="1">
        <v>46055</v>
      </c>
      <c r="C1037" t="s">
        <v>24</v>
      </c>
      <c r="D1037" t="s">
        <v>25</v>
      </c>
      <c r="E1037" t="s">
        <v>26</v>
      </c>
      <c r="F1037" t="s">
        <v>7649</v>
      </c>
      <c r="G1037" t="s">
        <v>55</v>
      </c>
      <c r="H1037" t="s">
        <v>55</v>
      </c>
      <c r="I1037" t="s">
        <v>64</v>
      </c>
      <c r="J1037" t="s">
        <v>157</v>
      </c>
      <c r="K1037" t="s">
        <v>32</v>
      </c>
      <c r="L1037" t="s">
        <v>33</v>
      </c>
      <c r="M1037" t="s">
        <v>68</v>
      </c>
      <c r="N1037" t="s">
        <v>35</v>
      </c>
      <c r="O1037" t="s">
        <v>70</v>
      </c>
      <c r="P1037" t="s">
        <v>71</v>
      </c>
      <c r="Q1037" t="s">
        <v>38</v>
      </c>
      <c r="R1037">
        <v>270</v>
      </c>
      <c r="S1037">
        <v>145</v>
      </c>
      <c r="T1037">
        <v>96</v>
      </c>
      <c r="U1037">
        <v>37</v>
      </c>
      <c r="V1037" t="s">
        <v>6524</v>
      </c>
      <c r="W1037">
        <v>65883</v>
      </c>
      <c r="X1037" t="s">
        <v>7239</v>
      </c>
      <c r="Y1037">
        <v>47030</v>
      </c>
      <c r="Z1037">
        <v>2437671</v>
      </c>
      <c r="AA1037">
        <v>697561</v>
      </c>
      <c r="AB1037" t="str">
        <f>(VLOOKUP(SalesData[[#This Row],[Month Number]],Reference!C$5:E$16,2,FALSE))</f>
        <v>Feb</v>
      </c>
      <c r="AC1037">
        <f>MONTH(SalesData[[#This Row],[Date]])</f>
        <v>2</v>
      </c>
      <c r="AD1037">
        <f>Reference!F$4</f>
        <v>2026</v>
      </c>
      <c r="AE1037" t="str">
        <f>IF(OR(SalesData[[#This Row],[Day]]="Saturday",SalesData[[#This Row],[Day]]="Sunday"),"Weekend","Weekday")</f>
        <v>Weekday</v>
      </c>
      <c r="AF1037" s="5">
        <f>IF(SalesData[[#This Row],[Contracts Offered]]=0,0,SalesData[[#This Row],[Contracts Signed]]/SalesData[[#This Row],[Contracts Offered]])</f>
        <v>0.38541666666666669</v>
      </c>
      <c r="AG1037" s="5">
        <f>IF(SalesData[[#This Row],[Customers Visited]]=0,0,SalesData[[#This Row],[Test Drives]]/SalesData[[#This Row],[Customers Visited]])</f>
        <v>0.53703703703703709</v>
      </c>
      <c r="AH1037" s="5">
        <f>IF(SalesData[[#This Row],[Customers Visited]]=0,0,SalesData[[#This Row],[Contracts Signed]]/SalesData[[#This Row],[Customers Visited]])</f>
        <v>0.13703703703703704</v>
      </c>
      <c r="AI1037" s="6">
        <f>IF(SalesData[[#This Row],[Contracts Signed]]=0,0,SalesData[[#This Row],[Profit(€)]]/SalesData[[#This Row],[Contracts Signed]])</f>
        <v>18853</v>
      </c>
      <c r="AJ1037" s="5" t="str">
        <f>TRIM(CLEAN(SalesData[[#This Row],[Retailer]]))</f>
        <v>Autohaus Berlin</v>
      </c>
    </row>
    <row r="1038" spans="1:36" ht="14.25" x14ac:dyDescent="0.2">
      <c r="A1038" t="s">
        <v>1775</v>
      </c>
      <c r="B1038" s="1">
        <v>46055</v>
      </c>
      <c r="C1038" t="s">
        <v>24</v>
      </c>
      <c r="D1038" t="s">
        <v>25</v>
      </c>
      <c r="E1038" t="s">
        <v>26</v>
      </c>
      <c r="F1038" t="s">
        <v>7649</v>
      </c>
      <c r="G1038" t="s">
        <v>55</v>
      </c>
      <c r="H1038" t="s">
        <v>55</v>
      </c>
      <c r="I1038" t="s">
        <v>30</v>
      </c>
      <c r="J1038" t="s">
        <v>166</v>
      </c>
      <c r="K1038" t="s">
        <v>66</v>
      </c>
      <c r="L1038" t="s">
        <v>46</v>
      </c>
      <c r="M1038" t="s">
        <v>87</v>
      </c>
      <c r="N1038" t="s">
        <v>69</v>
      </c>
      <c r="O1038" t="s">
        <v>36</v>
      </c>
      <c r="P1038" t="s">
        <v>37</v>
      </c>
      <c r="Q1038" t="s">
        <v>172</v>
      </c>
      <c r="R1038">
        <v>222</v>
      </c>
      <c r="S1038">
        <v>131</v>
      </c>
      <c r="T1038">
        <v>91</v>
      </c>
      <c r="U1038">
        <v>35</v>
      </c>
      <c r="V1038" t="s">
        <v>6607</v>
      </c>
      <c r="W1038">
        <v>61928</v>
      </c>
      <c r="X1038" t="s">
        <v>1551</v>
      </c>
      <c r="Y1038">
        <v>44194</v>
      </c>
      <c r="Z1038">
        <v>2167480</v>
      </c>
      <c r="AA1038">
        <v>620690</v>
      </c>
      <c r="AB1038" t="str">
        <f>(VLOOKUP(SalesData[[#This Row],[Month Number]],Reference!C$5:E$16,2,FALSE))</f>
        <v>Feb</v>
      </c>
      <c r="AC1038">
        <f>MONTH(SalesData[[#This Row],[Date]])</f>
        <v>2</v>
      </c>
      <c r="AD1038">
        <f>Reference!F$4</f>
        <v>2026</v>
      </c>
      <c r="AE1038" t="str">
        <f>IF(OR(SalesData[[#This Row],[Day]]="Saturday",SalesData[[#This Row],[Day]]="Sunday"),"Weekend","Weekday")</f>
        <v>Weekday</v>
      </c>
      <c r="AF1038" s="5">
        <f>IF(SalesData[[#This Row],[Contracts Offered]]=0,0,SalesData[[#This Row],[Contracts Signed]]/SalesData[[#This Row],[Contracts Offered]])</f>
        <v>0.38461538461538464</v>
      </c>
      <c r="AG1038" s="5">
        <f>IF(SalesData[[#This Row],[Customers Visited]]=0,0,SalesData[[#This Row],[Test Drives]]/SalesData[[#This Row],[Customers Visited]])</f>
        <v>0.59009009009009006</v>
      </c>
      <c r="AH1038" s="5">
        <f>IF(SalesData[[#This Row],[Customers Visited]]=0,0,SalesData[[#This Row],[Contracts Signed]]/SalesData[[#This Row],[Customers Visited]])</f>
        <v>0.15765765765765766</v>
      </c>
      <c r="AI1038" s="6">
        <f>IF(SalesData[[#This Row],[Contracts Signed]]=0,0,SalesData[[#This Row],[Profit(€)]]/SalesData[[#This Row],[Contracts Signed]])</f>
        <v>17734</v>
      </c>
      <c r="AJ1038" s="5" t="str">
        <f>TRIM(CLEAN(SalesData[[#This Row],[Retailer]]))</f>
        <v>Autohaus Berlin</v>
      </c>
    </row>
    <row r="1039" spans="1:36" ht="14.25" hidden="1" x14ac:dyDescent="0.2">
      <c r="A1039" t="s">
        <v>1777</v>
      </c>
      <c r="B1039" s="1">
        <v>46059</v>
      </c>
      <c r="C1039" t="s">
        <v>24</v>
      </c>
      <c r="D1039" t="s">
        <v>54</v>
      </c>
      <c r="E1039" t="s">
        <v>26</v>
      </c>
      <c r="F1039" t="s">
        <v>127</v>
      </c>
      <c r="G1039" t="s">
        <v>128</v>
      </c>
      <c r="H1039" t="s">
        <v>103</v>
      </c>
      <c r="I1039" t="s">
        <v>56</v>
      </c>
      <c r="J1039" t="s">
        <v>7028</v>
      </c>
      <c r="K1039" t="s">
        <v>66</v>
      </c>
      <c r="L1039" t="s">
        <v>46</v>
      </c>
      <c r="M1039" t="s">
        <v>87</v>
      </c>
      <c r="N1039" t="s">
        <v>48</v>
      </c>
      <c r="O1039" t="s">
        <v>36</v>
      </c>
      <c r="P1039" t="s">
        <v>58</v>
      </c>
      <c r="Q1039" t="s">
        <v>59</v>
      </c>
      <c r="R1039">
        <v>206</v>
      </c>
      <c r="S1039">
        <v>97</v>
      </c>
      <c r="T1039">
        <v>68</v>
      </c>
      <c r="U1039">
        <v>28</v>
      </c>
      <c r="V1039" t="s">
        <v>6693</v>
      </c>
      <c r="W1039">
        <v>42126</v>
      </c>
      <c r="X1039" t="s">
        <v>2299</v>
      </c>
      <c r="Y1039">
        <v>32237</v>
      </c>
      <c r="Z1039">
        <v>1179528</v>
      </c>
      <c r="AA1039">
        <v>276892</v>
      </c>
      <c r="AB1039" t="str">
        <f>(VLOOKUP(SalesData[[#This Row],[Month Number]],Reference!C$5:E$16,2,FALSE))</f>
        <v>Feb</v>
      </c>
      <c r="AC1039">
        <f>MONTH(SalesData[[#This Row],[Date]])</f>
        <v>2</v>
      </c>
      <c r="AD1039">
        <f>Reference!F$4</f>
        <v>2026</v>
      </c>
      <c r="AE1039" t="str">
        <f>IF(OR(SalesData[[#This Row],[Day]]="Saturday",SalesData[[#This Row],[Day]]="Sunday"),"Weekend","Weekday")</f>
        <v>Weekday</v>
      </c>
      <c r="AF1039" s="5">
        <f>IF(SalesData[[#This Row],[Contracts Offered]]=0,0,SalesData[[#This Row],[Contracts Signed]]/SalesData[[#This Row],[Contracts Offered]])</f>
        <v>0.41176470588235292</v>
      </c>
      <c r="AG1039" s="5">
        <f>IF(SalesData[[#This Row],[Customers Visited]]=0,0,SalesData[[#This Row],[Test Drives]]/SalesData[[#This Row],[Customers Visited]])</f>
        <v>0.470873786407767</v>
      </c>
      <c r="AH1039" s="5">
        <f>IF(SalesData[[#This Row],[Customers Visited]]=0,0,SalesData[[#This Row],[Contracts Signed]]/SalesData[[#This Row],[Customers Visited]])</f>
        <v>0.13592233009708737</v>
      </c>
      <c r="AI1039" s="6">
        <f>IF(SalesData[[#This Row],[Contracts Signed]]=0,0,SalesData[[#This Row],[Profit(€)]]/SalesData[[#This Row],[Contracts Signed]])</f>
        <v>9889</v>
      </c>
      <c r="AJ1039" s="5" t="str">
        <f>TRIM(CLEAN(SalesData[[#This Row],[Retailer]]))</f>
        <v>Rhein Auto Group</v>
      </c>
    </row>
    <row r="1040" spans="1:36" ht="14.25" hidden="1" x14ac:dyDescent="0.2">
      <c r="A1040" t="s">
        <v>1778</v>
      </c>
      <c r="B1040" s="1">
        <v>46079</v>
      </c>
      <c r="C1040" t="s">
        <v>53</v>
      </c>
      <c r="D1040" t="s">
        <v>100</v>
      </c>
      <c r="E1040" t="s">
        <v>26</v>
      </c>
      <c r="F1040" t="s">
        <v>7649</v>
      </c>
      <c r="G1040" t="s">
        <v>55</v>
      </c>
      <c r="H1040" t="s">
        <v>55</v>
      </c>
      <c r="I1040" t="s">
        <v>64</v>
      </c>
      <c r="J1040" t="s">
        <v>77</v>
      </c>
      <c r="K1040" t="s">
        <v>66</v>
      </c>
      <c r="L1040" t="s">
        <v>46</v>
      </c>
      <c r="M1040" t="s">
        <v>47</v>
      </c>
      <c r="N1040" t="s">
        <v>48</v>
      </c>
      <c r="O1040" t="s">
        <v>36</v>
      </c>
      <c r="P1040" t="s">
        <v>37</v>
      </c>
      <c r="Q1040" t="s">
        <v>152</v>
      </c>
      <c r="R1040">
        <v>247</v>
      </c>
      <c r="S1040">
        <v>112</v>
      </c>
      <c r="T1040">
        <v>85</v>
      </c>
      <c r="U1040">
        <v>27</v>
      </c>
      <c r="V1040" t="s">
        <v>6400</v>
      </c>
      <c r="W1040">
        <v>56169</v>
      </c>
      <c r="X1040" t="s">
        <v>7112</v>
      </c>
      <c r="Y1040">
        <v>39920</v>
      </c>
      <c r="Z1040">
        <v>1516563</v>
      </c>
      <c r="AA1040">
        <v>438723</v>
      </c>
      <c r="AB1040" t="str">
        <f>(VLOOKUP(SalesData[[#This Row],[Month Number]],Reference!C$5:E$16,2,FALSE))</f>
        <v>Feb</v>
      </c>
      <c r="AC1040">
        <f>MONTH(SalesData[[#This Row],[Date]])</f>
        <v>2</v>
      </c>
      <c r="AD1040">
        <f>Reference!F$4</f>
        <v>2026</v>
      </c>
      <c r="AE1040" t="str">
        <f>IF(OR(SalesData[[#This Row],[Day]]="Saturday",SalesData[[#This Row],[Day]]="Sunday"),"Weekend","Weekday")</f>
        <v>Weekday</v>
      </c>
      <c r="AF1040" s="5">
        <f>IF(SalesData[[#This Row],[Contracts Offered]]=0,0,SalesData[[#This Row],[Contracts Signed]]/SalesData[[#This Row],[Contracts Offered]])</f>
        <v>0.31764705882352939</v>
      </c>
      <c r="AG1040" s="5">
        <f>IF(SalesData[[#This Row],[Customers Visited]]=0,0,SalesData[[#This Row],[Test Drives]]/SalesData[[#This Row],[Customers Visited]])</f>
        <v>0.45344129554655871</v>
      </c>
      <c r="AH1040" s="5">
        <f>IF(SalesData[[#This Row],[Customers Visited]]=0,0,SalesData[[#This Row],[Contracts Signed]]/SalesData[[#This Row],[Customers Visited]])</f>
        <v>0.10931174089068826</v>
      </c>
      <c r="AI1040" s="6">
        <f>IF(SalesData[[#This Row],[Contracts Signed]]=0,0,SalesData[[#This Row],[Profit(€)]]/SalesData[[#This Row],[Contracts Signed]])</f>
        <v>16249</v>
      </c>
      <c r="AJ1040" s="5" t="str">
        <f>TRIM(CLEAN(SalesData[[#This Row],[Retailer]]))</f>
        <v>Autohaus Berlin</v>
      </c>
    </row>
    <row r="1041" spans="1:36" ht="14.25" x14ac:dyDescent="0.2">
      <c r="A1041" t="s">
        <v>1779</v>
      </c>
      <c r="B1041" s="1">
        <v>46064</v>
      </c>
      <c r="C1041" t="s">
        <v>121</v>
      </c>
      <c r="D1041" t="s">
        <v>82</v>
      </c>
      <c r="E1041" t="s">
        <v>26</v>
      </c>
      <c r="F1041" t="s">
        <v>27</v>
      </c>
      <c r="G1041" t="s">
        <v>28</v>
      </c>
      <c r="H1041" t="s">
        <v>29</v>
      </c>
      <c r="I1041" t="s">
        <v>30</v>
      </c>
      <c r="J1041" t="s">
        <v>86</v>
      </c>
      <c r="K1041" t="s">
        <v>32</v>
      </c>
      <c r="L1041" t="s">
        <v>33</v>
      </c>
      <c r="M1041" t="s">
        <v>34</v>
      </c>
      <c r="N1041" t="s">
        <v>35</v>
      </c>
      <c r="O1041" t="s">
        <v>70</v>
      </c>
      <c r="P1041" t="s">
        <v>58</v>
      </c>
      <c r="Q1041" t="s">
        <v>240</v>
      </c>
      <c r="R1041">
        <v>245</v>
      </c>
      <c r="S1041">
        <v>140</v>
      </c>
      <c r="T1041">
        <v>98</v>
      </c>
      <c r="U1041">
        <v>43</v>
      </c>
      <c r="V1041" t="s">
        <v>7364</v>
      </c>
      <c r="W1041">
        <v>62923</v>
      </c>
      <c r="X1041" t="s">
        <v>92</v>
      </c>
      <c r="Y1041">
        <v>46339</v>
      </c>
      <c r="Z1041">
        <v>2705689</v>
      </c>
      <c r="AA1041">
        <v>713112</v>
      </c>
      <c r="AB1041" t="str">
        <f>(VLOOKUP(SalesData[[#This Row],[Month Number]],Reference!C$5:E$16,2,FALSE))</f>
        <v>Feb</v>
      </c>
      <c r="AC1041">
        <f>MONTH(SalesData[[#This Row],[Date]])</f>
        <v>2</v>
      </c>
      <c r="AD1041">
        <f>Reference!F$4</f>
        <v>2026</v>
      </c>
      <c r="AE1041" t="str">
        <f>IF(OR(SalesData[[#This Row],[Day]]="Saturday",SalesData[[#This Row],[Day]]="Sunday"),"Weekend","Weekday")</f>
        <v>Weekday</v>
      </c>
      <c r="AF1041" s="5">
        <f>IF(SalesData[[#This Row],[Contracts Offered]]=0,0,SalesData[[#This Row],[Contracts Signed]]/SalesData[[#This Row],[Contracts Offered]])</f>
        <v>0.43877551020408162</v>
      </c>
      <c r="AG1041" s="5">
        <f>IF(SalesData[[#This Row],[Customers Visited]]=0,0,SalesData[[#This Row],[Test Drives]]/SalesData[[#This Row],[Customers Visited]])</f>
        <v>0.5714285714285714</v>
      </c>
      <c r="AH1041" s="5">
        <f>IF(SalesData[[#This Row],[Customers Visited]]=0,0,SalesData[[#This Row],[Contracts Signed]]/SalesData[[#This Row],[Customers Visited]])</f>
        <v>0.17551020408163265</v>
      </c>
      <c r="AI1041" s="6">
        <f>IF(SalesData[[#This Row],[Contracts Signed]]=0,0,SalesData[[#This Row],[Profit(€)]]/SalesData[[#This Row],[Contracts Signed]])</f>
        <v>16584</v>
      </c>
      <c r="AJ1041" s="5" t="str">
        <f>TRIM(CLEAN(SalesData[[#This Row],[Retailer]]))</f>
        <v>Main Auto Hub</v>
      </c>
    </row>
    <row r="1042" spans="1:36" ht="14.25" hidden="1" x14ac:dyDescent="0.2">
      <c r="A1042" t="s">
        <v>1781</v>
      </c>
      <c r="B1042" s="1">
        <v>46076</v>
      </c>
      <c r="C1042" t="s">
        <v>53</v>
      </c>
      <c r="D1042" t="s">
        <v>25</v>
      </c>
      <c r="E1042" t="s">
        <v>26</v>
      </c>
      <c r="F1042" t="s">
        <v>83</v>
      </c>
      <c r="G1042" t="s">
        <v>84</v>
      </c>
      <c r="H1042" t="s">
        <v>85</v>
      </c>
      <c r="I1042" t="s">
        <v>56</v>
      </c>
      <c r="J1042" t="s">
        <v>97</v>
      </c>
      <c r="K1042" t="s">
        <v>78</v>
      </c>
      <c r="L1042" t="s">
        <v>33</v>
      </c>
      <c r="M1042" t="s">
        <v>47</v>
      </c>
      <c r="N1042" t="s">
        <v>69</v>
      </c>
      <c r="O1042" t="s">
        <v>70</v>
      </c>
      <c r="P1042" t="s">
        <v>71</v>
      </c>
      <c r="Q1042" t="s">
        <v>169</v>
      </c>
      <c r="R1042">
        <v>160</v>
      </c>
      <c r="S1042">
        <v>99</v>
      </c>
      <c r="T1042">
        <v>69</v>
      </c>
      <c r="U1042">
        <v>24</v>
      </c>
      <c r="V1042" t="s">
        <v>6429</v>
      </c>
      <c r="W1042">
        <v>42610</v>
      </c>
      <c r="X1042" t="s">
        <v>7053</v>
      </c>
      <c r="Y1042">
        <v>34831</v>
      </c>
      <c r="Z1042">
        <v>1022640</v>
      </c>
      <c r="AA1042">
        <v>186696</v>
      </c>
      <c r="AB1042" t="str">
        <f>(VLOOKUP(SalesData[[#This Row],[Month Number]],Reference!C$5:E$16,2,FALSE))</f>
        <v>Feb</v>
      </c>
      <c r="AC1042">
        <f>MONTH(SalesData[[#This Row],[Date]])</f>
        <v>2</v>
      </c>
      <c r="AD1042">
        <f>Reference!F$4</f>
        <v>2026</v>
      </c>
      <c r="AE1042" t="str">
        <f>IF(OR(SalesData[[#This Row],[Day]]="Saturday",SalesData[[#This Row],[Day]]="Sunday"),"Weekend","Weekday")</f>
        <v>Weekday</v>
      </c>
      <c r="AF1042" s="5">
        <f>IF(SalesData[[#This Row],[Contracts Offered]]=0,0,SalesData[[#This Row],[Contracts Signed]]/SalesData[[#This Row],[Contracts Offered]])</f>
        <v>0.34782608695652173</v>
      </c>
      <c r="AG1042" s="5">
        <f>IF(SalesData[[#This Row],[Customers Visited]]=0,0,SalesData[[#This Row],[Test Drives]]/SalesData[[#This Row],[Customers Visited]])</f>
        <v>0.61875000000000002</v>
      </c>
      <c r="AH1042" s="5">
        <f>IF(SalesData[[#This Row],[Customers Visited]]=0,0,SalesData[[#This Row],[Contracts Signed]]/SalesData[[#This Row],[Customers Visited]])</f>
        <v>0.15</v>
      </c>
      <c r="AI1042" s="6">
        <f>IF(SalesData[[#This Row],[Contracts Signed]]=0,0,SalesData[[#This Row],[Profit(€)]]/SalesData[[#This Row],[Contracts Signed]])</f>
        <v>7779</v>
      </c>
      <c r="AJ1042" s="5" t="str">
        <f>TRIM(CLEAN(SalesData[[#This Row],[Retailer]]))</f>
        <v>Hannover Cars</v>
      </c>
    </row>
    <row r="1043" spans="1:36" ht="14.25" hidden="1" x14ac:dyDescent="0.2">
      <c r="A1043" t="s">
        <v>1782</v>
      </c>
      <c r="B1043" s="1">
        <v>46068</v>
      </c>
      <c r="C1043" t="s">
        <v>62</v>
      </c>
      <c r="D1043" t="s">
        <v>41</v>
      </c>
      <c r="E1043" t="s">
        <v>42</v>
      </c>
      <c r="F1043" t="s">
        <v>43</v>
      </c>
      <c r="G1043" t="s">
        <v>44</v>
      </c>
      <c r="H1043" t="s">
        <v>45</v>
      </c>
      <c r="I1043" t="s">
        <v>56</v>
      </c>
      <c r="J1043" t="s">
        <v>57</v>
      </c>
      <c r="K1043" t="s">
        <v>32</v>
      </c>
      <c r="L1043" t="s">
        <v>46</v>
      </c>
      <c r="M1043" t="s">
        <v>87</v>
      </c>
      <c r="N1043" t="s">
        <v>69</v>
      </c>
      <c r="O1043" t="s">
        <v>36</v>
      </c>
      <c r="P1043" t="s">
        <v>37</v>
      </c>
      <c r="Q1043" t="s">
        <v>122</v>
      </c>
      <c r="R1043">
        <v>270</v>
      </c>
      <c r="S1043">
        <v>146</v>
      </c>
      <c r="T1043">
        <v>100</v>
      </c>
      <c r="U1043">
        <v>32</v>
      </c>
      <c r="V1043" t="s">
        <v>6865</v>
      </c>
      <c r="W1043">
        <v>50930</v>
      </c>
      <c r="X1043" t="s">
        <v>7282</v>
      </c>
      <c r="Y1043">
        <v>39005</v>
      </c>
      <c r="Z1043">
        <v>1629760</v>
      </c>
      <c r="AA1043">
        <v>381600</v>
      </c>
      <c r="AB1043" t="str">
        <f>(VLOOKUP(SalesData[[#This Row],[Month Number]],Reference!C$5:E$16,2,FALSE))</f>
        <v>Feb</v>
      </c>
      <c r="AC1043">
        <f>MONTH(SalesData[[#This Row],[Date]])</f>
        <v>2</v>
      </c>
      <c r="AD1043">
        <f>Reference!F$4</f>
        <v>2026</v>
      </c>
      <c r="AE1043" t="str">
        <f>IF(OR(SalesData[[#This Row],[Day]]="Saturday",SalesData[[#This Row],[Day]]="Sunday"),"Weekend","Weekday")</f>
        <v>Weekend</v>
      </c>
      <c r="AF1043" s="5">
        <f>IF(SalesData[[#This Row],[Contracts Offered]]=0,0,SalesData[[#This Row],[Contracts Signed]]/SalesData[[#This Row],[Contracts Offered]])</f>
        <v>0.32</v>
      </c>
      <c r="AG1043" s="5">
        <f>IF(SalesData[[#This Row],[Customers Visited]]=0,0,SalesData[[#This Row],[Test Drives]]/SalesData[[#This Row],[Customers Visited]])</f>
        <v>0.54074074074074074</v>
      </c>
      <c r="AH1043" s="5">
        <f>IF(SalesData[[#This Row],[Customers Visited]]=0,0,SalesData[[#This Row],[Contracts Signed]]/SalesData[[#This Row],[Customers Visited]])</f>
        <v>0.11851851851851852</v>
      </c>
      <c r="AI1043" s="6">
        <f>IF(SalesData[[#This Row],[Contracts Signed]]=0,0,SalesData[[#This Row],[Profit(€)]]/SalesData[[#This Row],[Contracts Signed]])</f>
        <v>11925</v>
      </c>
      <c r="AJ1043" s="5" t="str">
        <f>TRIM(CLEAN(SalesData[[#This Row],[Retailer]]))</f>
        <v>Saxon Wheels</v>
      </c>
    </row>
    <row r="1044" spans="1:36" ht="14.25" hidden="1" x14ac:dyDescent="0.2">
      <c r="A1044" t="s">
        <v>1784</v>
      </c>
      <c r="B1044" s="1">
        <v>46054</v>
      </c>
      <c r="C1044" t="s">
        <v>24</v>
      </c>
      <c r="D1044" t="s">
        <v>41</v>
      </c>
      <c r="E1044" t="s">
        <v>42</v>
      </c>
      <c r="F1044" t="s">
        <v>74</v>
      </c>
      <c r="G1044" t="s">
        <v>75</v>
      </c>
      <c r="H1044" t="s">
        <v>76</v>
      </c>
      <c r="I1044" t="s">
        <v>116</v>
      </c>
      <c r="J1044" t="s">
        <v>7026</v>
      </c>
      <c r="K1044" t="s">
        <v>32</v>
      </c>
      <c r="L1044" t="s">
        <v>46</v>
      </c>
      <c r="M1044" t="s">
        <v>47</v>
      </c>
      <c r="N1044" t="s">
        <v>69</v>
      </c>
      <c r="O1044" t="s">
        <v>70</v>
      </c>
      <c r="P1044" t="s">
        <v>37</v>
      </c>
      <c r="Q1044" t="s">
        <v>204</v>
      </c>
      <c r="R1044">
        <v>247</v>
      </c>
      <c r="S1044">
        <v>106</v>
      </c>
      <c r="T1044">
        <v>71</v>
      </c>
      <c r="U1044">
        <v>13</v>
      </c>
      <c r="V1044" t="s">
        <v>2121</v>
      </c>
      <c r="W1044">
        <v>20275</v>
      </c>
      <c r="X1044" t="s">
        <v>7365</v>
      </c>
      <c r="Y1044">
        <v>18526</v>
      </c>
      <c r="Z1044">
        <v>263575</v>
      </c>
      <c r="AA1044">
        <v>22737</v>
      </c>
      <c r="AB1044" t="str">
        <f>(VLOOKUP(SalesData[[#This Row],[Month Number]],Reference!C$5:E$16,2,FALSE))</f>
        <v>Feb</v>
      </c>
      <c r="AC1044">
        <f>MONTH(SalesData[[#This Row],[Date]])</f>
        <v>2</v>
      </c>
      <c r="AD1044">
        <f>Reference!F$4</f>
        <v>2026</v>
      </c>
      <c r="AE1044" t="str">
        <f>IF(OR(SalesData[[#This Row],[Day]]="Saturday",SalesData[[#This Row],[Day]]="Sunday"),"Weekend","Weekday")</f>
        <v>Weekend</v>
      </c>
      <c r="AF1044" s="5">
        <f>IF(SalesData[[#This Row],[Contracts Offered]]=0,0,SalesData[[#This Row],[Contracts Signed]]/SalesData[[#This Row],[Contracts Offered]])</f>
        <v>0.18309859154929578</v>
      </c>
      <c r="AG1044" s="5">
        <f>IF(SalesData[[#This Row],[Customers Visited]]=0,0,SalesData[[#This Row],[Test Drives]]/SalesData[[#This Row],[Customers Visited]])</f>
        <v>0.4291497975708502</v>
      </c>
      <c r="AH1044" s="5">
        <f>IF(SalesData[[#This Row],[Customers Visited]]=0,0,SalesData[[#This Row],[Contracts Signed]]/SalesData[[#This Row],[Customers Visited]])</f>
        <v>5.2631578947368418E-2</v>
      </c>
      <c r="AI1044" s="6">
        <f>IF(SalesData[[#This Row],[Contracts Signed]]=0,0,SalesData[[#This Row],[Profit(€)]]/SalesData[[#This Row],[Contracts Signed]])</f>
        <v>1749</v>
      </c>
      <c r="AJ1044" s="5" t="str">
        <f>TRIM(CLEAN(SalesData[[#This Row],[Retailer]]))</f>
        <v>Stuttgart Auto Center</v>
      </c>
    </row>
    <row r="1045" spans="1:36" ht="14.25" x14ac:dyDescent="0.2">
      <c r="A1045" t="s">
        <v>1785</v>
      </c>
      <c r="B1045" s="1">
        <v>46054</v>
      </c>
      <c r="C1045" t="s">
        <v>24</v>
      </c>
      <c r="D1045" t="s">
        <v>41</v>
      </c>
      <c r="E1045" t="s">
        <v>42</v>
      </c>
      <c r="F1045" t="s">
        <v>27</v>
      </c>
      <c r="G1045" t="s">
        <v>28</v>
      </c>
      <c r="H1045" t="s">
        <v>29</v>
      </c>
      <c r="I1045" t="s">
        <v>30</v>
      </c>
      <c r="J1045" t="s">
        <v>188</v>
      </c>
      <c r="K1045" t="s">
        <v>91</v>
      </c>
      <c r="L1045" t="s">
        <v>33</v>
      </c>
      <c r="M1045" t="s">
        <v>87</v>
      </c>
      <c r="N1045" t="s">
        <v>69</v>
      </c>
      <c r="O1045" t="s">
        <v>70</v>
      </c>
      <c r="P1045" t="s">
        <v>58</v>
      </c>
      <c r="Q1045" t="s">
        <v>167</v>
      </c>
      <c r="R1045">
        <v>271</v>
      </c>
      <c r="S1045">
        <v>144</v>
      </c>
      <c r="T1045">
        <v>111</v>
      </c>
      <c r="U1045">
        <v>42</v>
      </c>
      <c r="V1045" t="s">
        <v>6395</v>
      </c>
      <c r="W1045">
        <v>51305</v>
      </c>
      <c r="X1045" t="s">
        <v>7272</v>
      </c>
      <c r="Y1045">
        <v>36995</v>
      </c>
      <c r="Z1045">
        <v>2154810</v>
      </c>
      <c r="AA1045">
        <v>601020</v>
      </c>
      <c r="AB1045" t="str">
        <f>(VLOOKUP(SalesData[[#This Row],[Month Number]],Reference!C$5:E$16,2,FALSE))</f>
        <v>Feb</v>
      </c>
      <c r="AC1045">
        <f>MONTH(SalesData[[#This Row],[Date]])</f>
        <v>2</v>
      </c>
      <c r="AD1045">
        <f>Reference!F$4</f>
        <v>2026</v>
      </c>
      <c r="AE1045" t="str">
        <f>IF(OR(SalesData[[#This Row],[Day]]="Saturday",SalesData[[#This Row],[Day]]="Sunday"),"Weekend","Weekday")</f>
        <v>Weekend</v>
      </c>
      <c r="AF1045" s="5">
        <f>IF(SalesData[[#This Row],[Contracts Offered]]=0,0,SalesData[[#This Row],[Contracts Signed]]/SalesData[[#This Row],[Contracts Offered]])</f>
        <v>0.3783783783783784</v>
      </c>
      <c r="AG1045" s="5">
        <f>IF(SalesData[[#This Row],[Customers Visited]]=0,0,SalesData[[#This Row],[Test Drives]]/SalesData[[#This Row],[Customers Visited]])</f>
        <v>0.53136531365313655</v>
      </c>
      <c r="AH1045" s="5">
        <f>IF(SalesData[[#This Row],[Customers Visited]]=0,0,SalesData[[#This Row],[Contracts Signed]]/SalesData[[#This Row],[Customers Visited]])</f>
        <v>0.15498154981549817</v>
      </c>
      <c r="AI1045" s="6">
        <f>IF(SalesData[[#This Row],[Contracts Signed]]=0,0,SalesData[[#This Row],[Profit(€)]]/SalesData[[#This Row],[Contracts Signed]])</f>
        <v>14310</v>
      </c>
      <c r="AJ1045" s="5" t="str">
        <f>TRIM(CLEAN(SalesData[[#This Row],[Retailer]]))</f>
        <v>Main Auto Hub</v>
      </c>
    </row>
    <row r="1046" spans="1:36" ht="14.25" hidden="1" x14ac:dyDescent="0.2">
      <c r="A1046" t="s">
        <v>1786</v>
      </c>
      <c r="B1046" s="1">
        <v>46061</v>
      </c>
      <c r="C1046" t="s">
        <v>121</v>
      </c>
      <c r="D1046" t="s">
        <v>41</v>
      </c>
      <c r="E1046" t="s">
        <v>42</v>
      </c>
      <c r="F1046" t="s">
        <v>74</v>
      </c>
      <c r="G1046" t="s">
        <v>75</v>
      </c>
      <c r="H1046" t="s">
        <v>76</v>
      </c>
      <c r="I1046" t="s">
        <v>56</v>
      </c>
      <c r="J1046" t="s">
        <v>97</v>
      </c>
      <c r="K1046" t="s">
        <v>32</v>
      </c>
      <c r="L1046" t="s">
        <v>33</v>
      </c>
      <c r="M1046" t="s">
        <v>68</v>
      </c>
      <c r="N1046" t="s">
        <v>69</v>
      </c>
      <c r="O1046" t="s">
        <v>36</v>
      </c>
      <c r="P1046" t="s">
        <v>58</v>
      </c>
      <c r="Q1046" t="s">
        <v>59</v>
      </c>
      <c r="R1046">
        <v>255</v>
      </c>
      <c r="S1046">
        <v>137</v>
      </c>
      <c r="T1046">
        <v>94</v>
      </c>
      <c r="U1046">
        <v>39</v>
      </c>
      <c r="V1046" t="s">
        <v>6970</v>
      </c>
      <c r="W1046">
        <v>45072</v>
      </c>
      <c r="X1046" t="s">
        <v>2023</v>
      </c>
      <c r="Y1046">
        <v>36438</v>
      </c>
      <c r="Z1046">
        <v>1757808</v>
      </c>
      <c r="AA1046">
        <v>336726</v>
      </c>
      <c r="AB1046" t="str">
        <f>(VLOOKUP(SalesData[[#This Row],[Month Number]],Reference!C$5:E$16,2,FALSE))</f>
        <v>Feb</v>
      </c>
      <c r="AC1046">
        <f>MONTH(SalesData[[#This Row],[Date]])</f>
        <v>2</v>
      </c>
      <c r="AD1046">
        <f>Reference!F$4</f>
        <v>2026</v>
      </c>
      <c r="AE1046" t="str">
        <f>IF(OR(SalesData[[#This Row],[Day]]="Saturday",SalesData[[#This Row],[Day]]="Sunday"),"Weekend","Weekday")</f>
        <v>Weekend</v>
      </c>
      <c r="AF1046" s="5">
        <f>IF(SalesData[[#This Row],[Contracts Offered]]=0,0,SalesData[[#This Row],[Contracts Signed]]/SalesData[[#This Row],[Contracts Offered]])</f>
        <v>0.41489361702127658</v>
      </c>
      <c r="AG1046" s="5">
        <f>IF(SalesData[[#This Row],[Customers Visited]]=0,0,SalesData[[#This Row],[Test Drives]]/SalesData[[#This Row],[Customers Visited]])</f>
        <v>0.53725490196078429</v>
      </c>
      <c r="AH1046" s="5">
        <f>IF(SalesData[[#This Row],[Customers Visited]]=0,0,SalesData[[#This Row],[Contracts Signed]]/SalesData[[#This Row],[Customers Visited]])</f>
        <v>0.15294117647058825</v>
      </c>
      <c r="AI1046" s="6">
        <f>IF(SalesData[[#This Row],[Contracts Signed]]=0,0,SalesData[[#This Row],[Profit(€)]]/SalesData[[#This Row],[Contracts Signed]])</f>
        <v>8634</v>
      </c>
      <c r="AJ1046" s="5" t="str">
        <f>TRIM(CLEAN(SalesData[[#This Row],[Retailer]]))</f>
        <v>Stuttgart Auto Center</v>
      </c>
    </row>
    <row r="1047" spans="1:36" ht="14.25" hidden="1" x14ac:dyDescent="0.2">
      <c r="A1047" t="s">
        <v>1788</v>
      </c>
      <c r="B1047" s="1">
        <v>46074</v>
      </c>
      <c r="C1047" t="s">
        <v>62</v>
      </c>
      <c r="D1047" t="s">
        <v>151</v>
      </c>
      <c r="E1047" t="s">
        <v>42</v>
      </c>
      <c r="F1047" t="s">
        <v>101</v>
      </c>
      <c r="G1047" t="s">
        <v>102</v>
      </c>
      <c r="H1047" t="s">
        <v>103</v>
      </c>
      <c r="I1047" t="s">
        <v>64</v>
      </c>
      <c r="J1047" t="s">
        <v>65</v>
      </c>
      <c r="K1047" t="s">
        <v>66</v>
      </c>
      <c r="L1047" t="s">
        <v>33</v>
      </c>
      <c r="M1047" t="s">
        <v>87</v>
      </c>
      <c r="N1047" t="s">
        <v>35</v>
      </c>
      <c r="O1047" t="s">
        <v>36</v>
      </c>
      <c r="P1047" t="s">
        <v>37</v>
      </c>
      <c r="Q1047" t="s">
        <v>167</v>
      </c>
      <c r="R1047">
        <v>203</v>
      </c>
      <c r="S1047">
        <v>99</v>
      </c>
      <c r="T1047">
        <v>75</v>
      </c>
      <c r="U1047">
        <v>24</v>
      </c>
      <c r="V1047" t="s">
        <v>6429</v>
      </c>
      <c r="W1047">
        <v>56352</v>
      </c>
      <c r="X1047" t="s">
        <v>7366</v>
      </c>
      <c r="Y1047">
        <v>41341</v>
      </c>
      <c r="Z1047">
        <v>1352448</v>
      </c>
      <c r="AA1047">
        <v>360264</v>
      </c>
      <c r="AB1047" t="str">
        <f>(VLOOKUP(SalesData[[#This Row],[Month Number]],Reference!C$5:E$16,2,FALSE))</f>
        <v>Feb</v>
      </c>
      <c r="AC1047">
        <f>MONTH(SalesData[[#This Row],[Date]])</f>
        <v>2</v>
      </c>
      <c r="AD1047">
        <f>Reference!F$4</f>
        <v>2026</v>
      </c>
      <c r="AE1047" t="str">
        <f>IF(OR(SalesData[[#This Row],[Day]]="Saturday",SalesData[[#This Row],[Day]]="Sunday"),"Weekend","Weekday")</f>
        <v>Weekend</v>
      </c>
      <c r="AF1047" s="5">
        <f>IF(SalesData[[#This Row],[Contracts Offered]]=0,0,SalesData[[#This Row],[Contracts Signed]]/SalesData[[#This Row],[Contracts Offered]])</f>
        <v>0.32</v>
      </c>
      <c r="AG1047" s="5">
        <f>IF(SalesData[[#This Row],[Customers Visited]]=0,0,SalesData[[#This Row],[Test Drives]]/SalesData[[#This Row],[Customers Visited]])</f>
        <v>0.48768472906403942</v>
      </c>
      <c r="AH1047" s="5">
        <f>IF(SalesData[[#This Row],[Customers Visited]]=0,0,SalesData[[#This Row],[Contracts Signed]]/SalesData[[#This Row],[Customers Visited]])</f>
        <v>0.11822660098522167</v>
      </c>
      <c r="AI1047" s="6">
        <f>IF(SalesData[[#This Row],[Contracts Signed]]=0,0,SalesData[[#This Row],[Profit(€)]]/SalesData[[#This Row],[Contracts Signed]])</f>
        <v>15011</v>
      </c>
      <c r="AJ1047" s="5" t="str">
        <f>TRIM(CLEAN(SalesData[[#This Row],[Retailer]]))</f>
        <v>Ruhr Auto Plaza</v>
      </c>
    </row>
    <row r="1048" spans="1:36" ht="14.25" hidden="1" x14ac:dyDescent="0.2">
      <c r="A1048" t="s">
        <v>1790</v>
      </c>
      <c r="B1048" s="1">
        <v>46059</v>
      </c>
      <c r="C1048" t="s">
        <v>24</v>
      </c>
      <c r="D1048" t="s">
        <v>54</v>
      </c>
      <c r="E1048" t="s">
        <v>26</v>
      </c>
      <c r="F1048" t="s">
        <v>83</v>
      </c>
      <c r="G1048" t="s">
        <v>84</v>
      </c>
      <c r="H1048" t="s">
        <v>85</v>
      </c>
      <c r="I1048" t="s">
        <v>116</v>
      </c>
      <c r="J1048" t="s">
        <v>7026</v>
      </c>
      <c r="K1048" t="s">
        <v>66</v>
      </c>
      <c r="L1048" t="s">
        <v>46</v>
      </c>
      <c r="M1048" t="s">
        <v>68</v>
      </c>
      <c r="N1048" t="s">
        <v>69</v>
      </c>
      <c r="O1048" t="s">
        <v>36</v>
      </c>
      <c r="P1048" t="s">
        <v>37</v>
      </c>
      <c r="Q1048" t="s">
        <v>152</v>
      </c>
      <c r="R1048">
        <v>398</v>
      </c>
      <c r="S1048">
        <v>181</v>
      </c>
      <c r="T1048">
        <v>103</v>
      </c>
      <c r="U1048">
        <v>23</v>
      </c>
      <c r="V1048" t="s">
        <v>1663</v>
      </c>
      <c r="W1048">
        <v>26234</v>
      </c>
      <c r="X1048" t="s">
        <v>1276</v>
      </c>
      <c r="Y1048">
        <v>24343</v>
      </c>
      <c r="Z1048">
        <v>603382</v>
      </c>
      <c r="AA1048">
        <v>43493</v>
      </c>
      <c r="AB1048" t="str">
        <f>(VLOOKUP(SalesData[[#This Row],[Month Number]],Reference!C$5:E$16,2,FALSE))</f>
        <v>Feb</v>
      </c>
      <c r="AC1048">
        <f>MONTH(SalesData[[#This Row],[Date]])</f>
        <v>2</v>
      </c>
      <c r="AD1048">
        <f>Reference!F$4</f>
        <v>2026</v>
      </c>
      <c r="AE1048" t="str">
        <f>IF(OR(SalesData[[#This Row],[Day]]="Saturday",SalesData[[#This Row],[Day]]="Sunday"),"Weekend","Weekday")</f>
        <v>Weekday</v>
      </c>
      <c r="AF1048" s="5">
        <f>IF(SalesData[[#This Row],[Contracts Offered]]=0,0,SalesData[[#This Row],[Contracts Signed]]/SalesData[[#This Row],[Contracts Offered]])</f>
        <v>0.22330097087378642</v>
      </c>
      <c r="AG1048" s="5">
        <f>IF(SalesData[[#This Row],[Customers Visited]]=0,0,SalesData[[#This Row],[Test Drives]]/SalesData[[#This Row],[Customers Visited]])</f>
        <v>0.45477386934673369</v>
      </c>
      <c r="AH1048" s="5">
        <f>IF(SalesData[[#This Row],[Customers Visited]]=0,0,SalesData[[#This Row],[Contracts Signed]]/SalesData[[#This Row],[Customers Visited]])</f>
        <v>5.7788944723618091E-2</v>
      </c>
      <c r="AI1048" s="6">
        <f>IF(SalesData[[#This Row],[Contracts Signed]]=0,0,SalesData[[#This Row],[Profit(€)]]/SalesData[[#This Row],[Contracts Signed]])</f>
        <v>1891</v>
      </c>
      <c r="AJ1048" s="5" t="str">
        <f>TRIM(CLEAN(SalesData[[#This Row],[Retailer]]))</f>
        <v>Hannover Cars</v>
      </c>
    </row>
    <row r="1049" spans="1:36" ht="14.25" hidden="1" x14ac:dyDescent="0.2">
      <c r="A1049" t="s">
        <v>1791</v>
      </c>
      <c r="B1049" s="1">
        <v>46080</v>
      </c>
      <c r="C1049" t="s">
        <v>53</v>
      </c>
      <c r="D1049" t="s">
        <v>54</v>
      </c>
      <c r="E1049" t="s">
        <v>26</v>
      </c>
      <c r="F1049" t="s">
        <v>43</v>
      </c>
      <c r="G1049" t="s">
        <v>44</v>
      </c>
      <c r="H1049" t="s">
        <v>45</v>
      </c>
      <c r="I1049" t="s">
        <v>64</v>
      </c>
      <c r="J1049" t="s">
        <v>77</v>
      </c>
      <c r="K1049" t="s">
        <v>91</v>
      </c>
      <c r="L1049" t="s">
        <v>46</v>
      </c>
      <c r="M1049" t="s">
        <v>87</v>
      </c>
      <c r="N1049" t="s">
        <v>35</v>
      </c>
      <c r="O1049" t="s">
        <v>36</v>
      </c>
      <c r="P1049" t="s">
        <v>49</v>
      </c>
      <c r="Q1049" t="s">
        <v>135</v>
      </c>
      <c r="R1049">
        <v>181</v>
      </c>
      <c r="S1049">
        <v>97</v>
      </c>
      <c r="T1049">
        <v>65</v>
      </c>
      <c r="U1049">
        <v>23</v>
      </c>
      <c r="V1049" t="s">
        <v>6863</v>
      </c>
      <c r="W1049">
        <v>51720</v>
      </c>
      <c r="X1049" t="s">
        <v>702</v>
      </c>
      <c r="Y1049">
        <v>39323</v>
      </c>
      <c r="Z1049">
        <v>1189560</v>
      </c>
      <c r="AA1049">
        <v>285131</v>
      </c>
      <c r="AB1049" t="str">
        <f>(VLOOKUP(SalesData[[#This Row],[Month Number]],Reference!C$5:E$16,2,FALSE))</f>
        <v>Feb</v>
      </c>
      <c r="AC1049">
        <f>MONTH(SalesData[[#This Row],[Date]])</f>
        <v>2</v>
      </c>
      <c r="AD1049">
        <f>Reference!F$4</f>
        <v>2026</v>
      </c>
      <c r="AE1049" t="str">
        <f>IF(OR(SalesData[[#This Row],[Day]]="Saturday",SalesData[[#This Row],[Day]]="Sunday"),"Weekend","Weekday")</f>
        <v>Weekday</v>
      </c>
      <c r="AF1049" s="5">
        <f>IF(SalesData[[#This Row],[Contracts Offered]]=0,0,SalesData[[#This Row],[Contracts Signed]]/SalesData[[#This Row],[Contracts Offered]])</f>
        <v>0.35384615384615387</v>
      </c>
      <c r="AG1049" s="5">
        <f>IF(SalesData[[#This Row],[Customers Visited]]=0,0,SalesData[[#This Row],[Test Drives]]/SalesData[[#This Row],[Customers Visited]])</f>
        <v>0.53591160220994472</v>
      </c>
      <c r="AH1049" s="5">
        <f>IF(SalesData[[#This Row],[Customers Visited]]=0,0,SalesData[[#This Row],[Contracts Signed]]/SalesData[[#This Row],[Customers Visited]])</f>
        <v>0.1270718232044199</v>
      </c>
      <c r="AI1049" s="6">
        <f>IF(SalesData[[#This Row],[Contracts Signed]]=0,0,SalesData[[#This Row],[Profit(€)]]/SalesData[[#This Row],[Contracts Signed]])</f>
        <v>12397</v>
      </c>
      <c r="AJ1049" s="5" t="str">
        <f>TRIM(CLEAN(SalesData[[#This Row],[Retailer]]))</f>
        <v>Saxon Wheels</v>
      </c>
    </row>
    <row r="1050" spans="1:36" ht="14.25" hidden="1" x14ac:dyDescent="0.2">
      <c r="A1050" t="s">
        <v>1792</v>
      </c>
      <c r="B1050" s="1">
        <v>46062</v>
      </c>
      <c r="C1050" t="s">
        <v>121</v>
      </c>
      <c r="D1050" t="s">
        <v>25</v>
      </c>
      <c r="E1050" t="s">
        <v>26</v>
      </c>
      <c r="F1050" t="s">
        <v>114</v>
      </c>
      <c r="G1050" t="s">
        <v>115</v>
      </c>
      <c r="H1050" t="s">
        <v>115</v>
      </c>
      <c r="I1050" t="s">
        <v>64</v>
      </c>
      <c r="J1050" t="s">
        <v>65</v>
      </c>
      <c r="K1050" t="s">
        <v>78</v>
      </c>
      <c r="L1050" t="s">
        <v>33</v>
      </c>
      <c r="M1050" t="s">
        <v>47</v>
      </c>
      <c r="N1050" t="s">
        <v>48</v>
      </c>
      <c r="O1050" t="s">
        <v>36</v>
      </c>
      <c r="P1050" t="s">
        <v>49</v>
      </c>
      <c r="Q1050" t="s">
        <v>152</v>
      </c>
      <c r="R1050">
        <v>186</v>
      </c>
      <c r="S1050">
        <v>95</v>
      </c>
      <c r="T1050">
        <v>67</v>
      </c>
      <c r="U1050">
        <v>22</v>
      </c>
      <c r="V1050" t="s">
        <v>6658</v>
      </c>
      <c r="W1050">
        <v>67174</v>
      </c>
      <c r="X1050" t="s">
        <v>7207</v>
      </c>
      <c r="Y1050">
        <v>51223</v>
      </c>
      <c r="Z1050">
        <v>1477828</v>
      </c>
      <c r="AA1050">
        <v>350922</v>
      </c>
      <c r="AB1050" t="str">
        <f>(VLOOKUP(SalesData[[#This Row],[Month Number]],Reference!C$5:E$16,2,FALSE))</f>
        <v>Feb</v>
      </c>
      <c r="AC1050">
        <f>MONTH(SalesData[[#This Row],[Date]])</f>
        <v>2</v>
      </c>
      <c r="AD1050">
        <f>Reference!F$4</f>
        <v>2026</v>
      </c>
      <c r="AE1050" t="str">
        <f>IF(OR(SalesData[[#This Row],[Day]]="Saturday",SalesData[[#This Row],[Day]]="Sunday"),"Weekend","Weekday")</f>
        <v>Weekday</v>
      </c>
      <c r="AF1050" s="5">
        <f>IF(SalesData[[#This Row],[Contracts Offered]]=0,0,SalesData[[#This Row],[Contracts Signed]]/SalesData[[#This Row],[Contracts Offered]])</f>
        <v>0.32835820895522388</v>
      </c>
      <c r="AG1050" s="5">
        <f>IF(SalesData[[#This Row],[Customers Visited]]=0,0,SalesData[[#This Row],[Test Drives]]/SalesData[[#This Row],[Customers Visited]])</f>
        <v>0.510752688172043</v>
      </c>
      <c r="AH1050" s="5">
        <f>IF(SalesData[[#This Row],[Customers Visited]]=0,0,SalesData[[#This Row],[Contracts Signed]]/SalesData[[#This Row],[Customers Visited]])</f>
        <v>0.11827956989247312</v>
      </c>
      <c r="AI1050" s="6">
        <f>IF(SalesData[[#This Row],[Contracts Signed]]=0,0,SalesData[[#This Row],[Profit(€)]]/SalesData[[#This Row],[Contracts Signed]])</f>
        <v>15951</v>
      </c>
      <c r="AJ1050" s="5" t="str">
        <f>TRIM(CLEAN(SalesData[[#This Row],[Retailer]]))</f>
        <v>Elbe Drive</v>
      </c>
    </row>
    <row r="1051" spans="1:36" ht="14.25" x14ac:dyDescent="0.2">
      <c r="A1051" t="s">
        <v>1793</v>
      </c>
      <c r="B1051" s="1">
        <v>46075</v>
      </c>
      <c r="C1051" t="s">
        <v>53</v>
      </c>
      <c r="D1051" t="s">
        <v>41</v>
      </c>
      <c r="E1051" t="s">
        <v>42</v>
      </c>
      <c r="F1051" t="s">
        <v>114</v>
      </c>
      <c r="G1051" t="s">
        <v>115</v>
      </c>
      <c r="H1051" t="s">
        <v>115</v>
      </c>
      <c r="I1051" t="s">
        <v>30</v>
      </c>
      <c r="J1051" t="s">
        <v>7075</v>
      </c>
      <c r="K1051" t="s">
        <v>66</v>
      </c>
      <c r="L1051" t="s">
        <v>33</v>
      </c>
      <c r="M1051" t="s">
        <v>68</v>
      </c>
      <c r="N1051" t="s">
        <v>69</v>
      </c>
      <c r="O1051" t="s">
        <v>70</v>
      </c>
      <c r="P1051" t="s">
        <v>58</v>
      </c>
      <c r="Q1051" t="s">
        <v>240</v>
      </c>
      <c r="R1051">
        <v>186</v>
      </c>
      <c r="S1051">
        <v>110</v>
      </c>
      <c r="T1051">
        <v>89</v>
      </c>
      <c r="U1051">
        <v>35</v>
      </c>
      <c r="V1051" t="s">
        <v>7320</v>
      </c>
      <c r="W1051">
        <v>66451</v>
      </c>
      <c r="X1051" t="s">
        <v>7178</v>
      </c>
      <c r="Y1051">
        <v>49057</v>
      </c>
      <c r="Z1051">
        <v>2325785</v>
      </c>
      <c r="AA1051">
        <v>608790</v>
      </c>
      <c r="AB1051" t="str">
        <f>(VLOOKUP(SalesData[[#This Row],[Month Number]],Reference!C$5:E$16,2,FALSE))</f>
        <v>Feb</v>
      </c>
      <c r="AC1051">
        <f>MONTH(SalesData[[#This Row],[Date]])</f>
        <v>2</v>
      </c>
      <c r="AD1051">
        <f>Reference!F$4</f>
        <v>2026</v>
      </c>
      <c r="AE1051" t="str">
        <f>IF(OR(SalesData[[#This Row],[Day]]="Saturday",SalesData[[#This Row],[Day]]="Sunday"),"Weekend","Weekday")</f>
        <v>Weekend</v>
      </c>
      <c r="AF1051" s="5">
        <f>IF(SalesData[[#This Row],[Contracts Offered]]=0,0,SalesData[[#This Row],[Contracts Signed]]/SalesData[[#This Row],[Contracts Offered]])</f>
        <v>0.39325842696629215</v>
      </c>
      <c r="AG1051" s="5">
        <f>IF(SalesData[[#This Row],[Customers Visited]]=0,0,SalesData[[#This Row],[Test Drives]]/SalesData[[#This Row],[Customers Visited]])</f>
        <v>0.59139784946236562</v>
      </c>
      <c r="AH1051" s="5">
        <f>IF(SalesData[[#This Row],[Customers Visited]]=0,0,SalesData[[#This Row],[Contracts Signed]]/SalesData[[#This Row],[Customers Visited]])</f>
        <v>0.18817204301075269</v>
      </c>
      <c r="AI1051" s="6">
        <f>IF(SalesData[[#This Row],[Contracts Signed]]=0,0,SalesData[[#This Row],[Profit(€)]]/SalesData[[#This Row],[Contracts Signed]])</f>
        <v>17394</v>
      </c>
      <c r="AJ1051" s="5" t="str">
        <f>TRIM(CLEAN(SalesData[[#This Row],[Retailer]]))</f>
        <v>Elbe Drive</v>
      </c>
    </row>
    <row r="1052" spans="1:36" ht="14.25" x14ac:dyDescent="0.2">
      <c r="A1052" t="s">
        <v>1795</v>
      </c>
      <c r="B1052" s="1">
        <v>46074</v>
      </c>
      <c r="C1052" t="s">
        <v>62</v>
      </c>
      <c r="D1052" t="s">
        <v>151</v>
      </c>
      <c r="E1052" t="s">
        <v>42</v>
      </c>
      <c r="F1052" t="s">
        <v>83</v>
      </c>
      <c r="G1052" t="s">
        <v>84</v>
      </c>
      <c r="H1052" t="s">
        <v>85</v>
      </c>
      <c r="I1052" t="s">
        <v>30</v>
      </c>
      <c r="J1052" t="s">
        <v>188</v>
      </c>
      <c r="K1052" t="s">
        <v>91</v>
      </c>
      <c r="L1052" t="s">
        <v>33</v>
      </c>
      <c r="M1052" t="s">
        <v>47</v>
      </c>
      <c r="N1052" t="s">
        <v>35</v>
      </c>
      <c r="O1052" t="s">
        <v>70</v>
      </c>
      <c r="P1052" t="s">
        <v>71</v>
      </c>
      <c r="Q1052" t="s">
        <v>347</v>
      </c>
      <c r="R1052">
        <v>221</v>
      </c>
      <c r="S1052">
        <v>121</v>
      </c>
      <c r="T1052">
        <v>94</v>
      </c>
      <c r="U1052">
        <v>34</v>
      </c>
      <c r="V1052" t="s">
        <v>6414</v>
      </c>
      <c r="W1052">
        <v>60904</v>
      </c>
      <c r="X1052" t="s">
        <v>7276</v>
      </c>
      <c r="Y1052">
        <v>44843</v>
      </c>
      <c r="Z1052">
        <v>2070736</v>
      </c>
      <c r="AA1052">
        <v>546074</v>
      </c>
      <c r="AB1052" t="str">
        <f>(VLOOKUP(SalesData[[#This Row],[Month Number]],Reference!C$5:E$16,2,FALSE))</f>
        <v>Feb</v>
      </c>
      <c r="AC1052">
        <f>MONTH(SalesData[[#This Row],[Date]])</f>
        <v>2</v>
      </c>
      <c r="AD1052">
        <f>Reference!F$4</f>
        <v>2026</v>
      </c>
      <c r="AE1052" t="str">
        <f>IF(OR(SalesData[[#This Row],[Day]]="Saturday",SalesData[[#This Row],[Day]]="Sunday"),"Weekend","Weekday")</f>
        <v>Weekend</v>
      </c>
      <c r="AF1052" s="5">
        <f>IF(SalesData[[#This Row],[Contracts Offered]]=0,0,SalesData[[#This Row],[Contracts Signed]]/SalesData[[#This Row],[Contracts Offered]])</f>
        <v>0.36170212765957449</v>
      </c>
      <c r="AG1052" s="5">
        <f>IF(SalesData[[#This Row],[Customers Visited]]=0,0,SalesData[[#This Row],[Test Drives]]/SalesData[[#This Row],[Customers Visited]])</f>
        <v>0.54751131221719462</v>
      </c>
      <c r="AH1052" s="5">
        <f>IF(SalesData[[#This Row],[Customers Visited]]=0,0,SalesData[[#This Row],[Contracts Signed]]/SalesData[[#This Row],[Customers Visited]])</f>
        <v>0.15384615384615385</v>
      </c>
      <c r="AI1052" s="6">
        <f>IF(SalesData[[#This Row],[Contracts Signed]]=0,0,SalesData[[#This Row],[Profit(€)]]/SalesData[[#This Row],[Contracts Signed]])</f>
        <v>16061</v>
      </c>
      <c r="AJ1052" s="5" t="str">
        <f>TRIM(CLEAN(SalesData[[#This Row],[Retailer]]))</f>
        <v>Hannover Cars</v>
      </c>
    </row>
    <row r="1053" spans="1:36" ht="14.25" x14ac:dyDescent="0.2">
      <c r="A1053" t="s">
        <v>1796</v>
      </c>
      <c r="B1053" s="1">
        <v>46058</v>
      </c>
      <c r="C1053" t="s">
        <v>24</v>
      </c>
      <c r="D1053" t="s">
        <v>100</v>
      </c>
      <c r="E1053" t="s">
        <v>26</v>
      </c>
      <c r="F1053" t="s">
        <v>109</v>
      </c>
      <c r="G1053" t="s">
        <v>110</v>
      </c>
      <c r="H1053" t="s">
        <v>45</v>
      </c>
      <c r="I1053" t="s">
        <v>30</v>
      </c>
      <c r="J1053" t="s">
        <v>7075</v>
      </c>
      <c r="K1053" t="s">
        <v>66</v>
      </c>
      <c r="L1053" t="s">
        <v>33</v>
      </c>
      <c r="M1053" t="s">
        <v>47</v>
      </c>
      <c r="N1053" t="s">
        <v>35</v>
      </c>
      <c r="O1053" t="s">
        <v>36</v>
      </c>
      <c r="P1053" t="s">
        <v>58</v>
      </c>
      <c r="Q1053" t="s">
        <v>88</v>
      </c>
      <c r="R1053">
        <v>277</v>
      </c>
      <c r="S1053">
        <v>127</v>
      </c>
      <c r="T1053">
        <v>90</v>
      </c>
      <c r="U1053">
        <v>40</v>
      </c>
      <c r="V1053" t="s">
        <v>7367</v>
      </c>
      <c r="W1053">
        <v>58555</v>
      </c>
      <c r="X1053" t="s">
        <v>407</v>
      </c>
      <c r="Y1053">
        <v>41675</v>
      </c>
      <c r="Z1053">
        <v>2342200</v>
      </c>
      <c r="AA1053">
        <v>675200</v>
      </c>
      <c r="AB1053" t="str">
        <f>(VLOOKUP(SalesData[[#This Row],[Month Number]],Reference!C$5:E$16,2,FALSE))</f>
        <v>Feb</v>
      </c>
      <c r="AC1053">
        <f>MONTH(SalesData[[#This Row],[Date]])</f>
        <v>2</v>
      </c>
      <c r="AD1053">
        <f>Reference!F$4</f>
        <v>2026</v>
      </c>
      <c r="AE1053" t="str">
        <f>IF(OR(SalesData[[#This Row],[Day]]="Saturday",SalesData[[#This Row],[Day]]="Sunday"),"Weekend","Weekday")</f>
        <v>Weekday</v>
      </c>
      <c r="AF1053" s="5">
        <f>IF(SalesData[[#This Row],[Contracts Offered]]=0,0,SalesData[[#This Row],[Contracts Signed]]/SalesData[[#This Row],[Contracts Offered]])</f>
        <v>0.44444444444444442</v>
      </c>
      <c r="AG1053" s="5">
        <f>IF(SalesData[[#This Row],[Customers Visited]]=0,0,SalesData[[#This Row],[Test Drives]]/SalesData[[#This Row],[Customers Visited]])</f>
        <v>0.4584837545126354</v>
      </c>
      <c r="AH1053" s="5">
        <f>IF(SalesData[[#This Row],[Customers Visited]]=0,0,SalesData[[#This Row],[Contracts Signed]]/SalesData[[#This Row],[Customers Visited]])</f>
        <v>0.1444043321299639</v>
      </c>
      <c r="AI1053" s="6">
        <f>IF(SalesData[[#This Row],[Contracts Signed]]=0,0,SalesData[[#This Row],[Profit(€)]]/SalesData[[#This Row],[Contracts Signed]])</f>
        <v>16880</v>
      </c>
      <c r="AJ1053" s="5" t="str">
        <f>TRIM(CLEAN(SalesData[[#This Row],[Retailer]]))</f>
        <v>Leipzig Mobility</v>
      </c>
    </row>
    <row r="1054" spans="1:36" ht="14.25" hidden="1" x14ac:dyDescent="0.2">
      <c r="A1054" t="s">
        <v>1797</v>
      </c>
      <c r="B1054" s="1">
        <v>46060</v>
      </c>
      <c r="C1054" t="s">
        <v>24</v>
      </c>
      <c r="D1054" t="s">
        <v>151</v>
      </c>
      <c r="E1054" t="s">
        <v>42</v>
      </c>
      <c r="F1054" t="s">
        <v>101</v>
      </c>
      <c r="G1054" t="s">
        <v>102</v>
      </c>
      <c r="H1054" t="s">
        <v>103</v>
      </c>
      <c r="I1054" t="s">
        <v>104</v>
      </c>
      <c r="J1054" t="s">
        <v>7061</v>
      </c>
      <c r="K1054" t="s">
        <v>32</v>
      </c>
      <c r="L1054" t="s">
        <v>46</v>
      </c>
      <c r="M1054" t="s">
        <v>34</v>
      </c>
      <c r="N1054" t="s">
        <v>35</v>
      </c>
      <c r="O1054" t="s">
        <v>70</v>
      </c>
      <c r="P1054" t="s">
        <v>71</v>
      </c>
      <c r="Q1054" t="s">
        <v>347</v>
      </c>
      <c r="R1054">
        <v>505</v>
      </c>
      <c r="S1054">
        <v>206</v>
      </c>
      <c r="T1054">
        <v>143</v>
      </c>
      <c r="U1054">
        <v>31</v>
      </c>
      <c r="V1054" t="s">
        <v>1268</v>
      </c>
      <c r="W1054">
        <v>33008</v>
      </c>
      <c r="X1054" t="s">
        <v>847</v>
      </c>
      <c r="Y1054">
        <v>29193</v>
      </c>
      <c r="Z1054">
        <v>1023248</v>
      </c>
      <c r="AA1054">
        <v>118265</v>
      </c>
      <c r="AB1054" t="str">
        <f>(VLOOKUP(SalesData[[#This Row],[Month Number]],Reference!C$5:E$16,2,FALSE))</f>
        <v>Feb</v>
      </c>
      <c r="AC1054">
        <f>MONTH(SalesData[[#This Row],[Date]])</f>
        <v>2</v>
      </c>
      <c r="AD1054">
        <f>Reference!F$4</f>
        <v>2026</v>
      </c>
      <c r="AE1054" t="str">
        <f>IF(OR(SalesData[[#This Row],[Day]]="Saturday",SalesData[[#This Row],[Day]]="Sunday"),"Weekend","Weekday")</f>
        <v>Weekend</v>
      </c>
      <c r="AF1054" s="5">
        <f>IF(SalesData[[#This Row],[Contracts Offered]]=0,0,SalesData[[#This Row],[Contracts Signed]]/SalesData[[#This Row],[Contracts Offered]])</f>
        <v>0.21678321678321677</v>
      </c>
      <c r="AG1054" s="5">
        <f>IF(SalesData[[#This Row],[Customers Visited]]=0,0,SalesData[[#This Row],[Test Drives]]/SalesData[[#This Row],[Customers Visited]])</f>
        <v>0.40792079207920789</v>
      </c>
      <c r="AH1054" s="5">
        <f>IF(SalesData[[#This Row],[Customers Visited]]=0,0,SalesData[[#This Row],[Contracts Signed]]/SalesData[[#This Row],[Customers Visited]])</f>
        <v>6.1386138613861385E-2</v>
      </c>
      <c r="AI1054" s="6">
        <f>IF(SalesData[[#This Row],[Contracts Signed]]=0,0,SalesData[[#This Row],[Profit(€)]]/SalesData[[#This Row],[Contracts Signed]])</f>
        <v>3815</v>
      </c>
      <c r="AJ1054" s="5" t="str">
        <f>TRIM(CLEAN(SalesData[[#This Row],[Retailer]]))</f>
        <v>Ruhr Auto Plaza</v>
      </c>
    </row>
    <row r="1055" spans="1:36" ht="14.25" hidden="1" x14ac:dyDescent="0.2">
      <c r="A1055" t="s">
        <v>1798</v>
      </c>
      <c r="B1055" s="1">
        <v>46059</v>
      </c>
      <c r="C1055" t="s">
        <v>24</v>
      </c>
      <c r="D1055" t="s">
        <v>54</v>
      </c>
      <c r="E1055" t="s">
        <v>26</v>
      </c>
      <c r="F1055" t="s">
        <v>27</v>
      </c>
      <c r="G1055" t="s">
        <v>28</v>
      </c>
      <c r="H1055" t="s">
        <v>29</v>
      </c>
      <c r="I1055" t="s">
        <v>116</v>
      </c>
      <c r="J1055" t="s">
        <v>203</v>
      </c>
      <c r="K1055" t="s">
        <v>78</v>
      </c>
      <c r="L1055" t="s">
        <v>67</v>
      </c>
      <c r="M1055" t="s">
        <v>34</v>
      </c>
      <c r="N1055" t="s">
        <v>35</v>
      </c>
      <c r="O1055" t="s">
        <v>36</v>
      </c>
      <c r="P1055" t="s">
        <v>49</v>
      </c>
      <c r="Q1055" t="s">
        <v>135</v>
      </c>
      <c r="R1055">
        <v>404</v>
      </c>
      <c r="S1055">
        <v>167</v>
      </c>
      <c r="T1055">
        <v>104</v>
      </c>
      <c r="U1055">
        <v>24</v>
      </c>
      <c r="V1055" t="s">
        <v>733</v>
      </c>
      <c r="W1055">
        <v>20420</v>
      </c>
      <c r="X1055" t="s">
        <v>824</v>
      </c>
      <c r="Y1055">
        <v>18637</v>
      </c>
      <c r="Z1055">
        <v>490080</v>
      </c>
      <c r="AA1055">
        <v>42792</v>
      </c>
      <c r="AB1055" t="str">
        <f>(VLOOKUP(SalesData[[#This Row],[Month Number]],Reference!C$5:E$16,2,FALSE))</f>
        <v>Feb</v>
      </c>
      <c r="AC1055">
        <f>MONTH(SalesData[[#This Row],[Date]])</f>
        <v>2</v>
      </c>
      <c r="AD1055">
        <f>Reference!F$4</f>
        <v>2026</v>
      </c>
      <c r="AE1055" t="str">
        <f>IF(OR(SalesData[[#This Row],[Day]]="Saturday",SalesData[[#This Row],[Day]]="Sunday"),"Weekend","Weekday")</f>
        <v>Weekday</v>
      </c>
      <c r="AF1055" s="5">
        <f>IF(SalesData[[#This Row],[Contracts Offered]]=0,0,SalesData[[#This Row],[Contracts Signed]]/SalesData[[#This Row],[Contracts Offered]])</f>
        <v>0.23076923076923078</v>
      </c>
      <c r="AG1055" s="5">
        <f>IF(SalesData[[#This Row],[Customers Visited]]=0,0,SalesData[[#This Row],[Test Drives]]/SalesData[[#This Row],[Customers Visited]])</f>
        <v>0.41336633663366334</v>
      </c>
      <c r="AH1055" s="5">
        <f>IF(SalesData[[#This Row],[Customers Visited]]=0,0,SalesData[[#This Row],[Contracts Signed]]/SalesData[[#This Row],[Customers Visited]])</f>
        <v>5.9405940594059403E-2</v>
      </c>
      <c r="AI1055" s="6">
        <f>IF(SalesData[[#This Row],[Contracts Signed]]=0,0,SalesData[[#This Row],[Profit(€)]]/SalesData[[#This Row],[Contracts Signed]])</f>
        <v>1783</v>
      </c>
      <c r="AJ1055" s="5" t="str">
        <f>TRIM(CLEAN(SalesData[[#This Row],[Retailer]]))</f>
        <v>Main Auto Hub</v>
      </c>
    </row>
    <row r="1056" spans="1:36" ht="14.25" x14ac:dyDescent="0.2">
      <c r="A1056" t="s">
        <v>1799</v>
      </c>
      <c r="B1056" s="1">
        <v>46075</v>
      </c>
      <c r="C1056" t="s">
        <v>53</v>
      </c>
      <c r="D1056" t="s">
        <v>41</v>
      </c>
      <c r="E1056" t="s">
        <v>42</v>
      </c>
      <c r="F1056" t="s">
        <v>127</v>
      </c>
      <c r="G1056" t="s">
        <v>128</v>
      </c>
      <c r="H1056" t="s">
        <v>103</v>
      </c>
      <c r="I1056" t="s">
        <v>30</v>
      </c>
      <c r="J1056" t="s">
        <v>31</v>
      </c>
      <c r="K1056" t="s">
        <v>91</v>
      </c>
      <c r="L1056" t="s">
        <v>46</v>
      </c>
      <c r="M1056" t="s">
        <v>34</v>
      </c>
      <c r="N1056" t="s">
        <v>48</v>
      </c>
      <c r="O1056" t="s">
        <v>70</v>
      </c>
      <c r="P1056" t="s">
        <v>49</v>
      </c>
      <c r="Q1056" t="s">
        <v>347</v>
      </c>
      <c r="R1056">
        <v>179</v>
      </c>
      <c r="S1056">
        <v>97</v>
      </c>
      <c r="T1056">
        <v>66</v>
      </c>
      <c r="U1056">
        <v>26</v>
      </c>
      <c r="V1056" t="s">
        <v>6440</v>
      </c>
      <c r="W1056">
        <v>66350</v>
      </c>
      <c r="X1056" t="s">
        <v>7074</v>
      </c>
      <c r="Y1056">
        <v>48668</v>
      </c>
      <c r="Z1056">
        <v>1725100</v>
      </c>
      <c r="AA1056">
        <v>459732</v>
      </c>
      <c r="AB1056" t="str">
        <f>(VLOOKUP(SalesData[[#This Row],[Month Number]],Reference!C$5:E$16,2,FALSE))</f>
        <v>Feb</v>
      </c>
      <c r="AC1056">
        <f>MONTH(SalesData[[#This Row],[Date]])</f>
        <v>2</v>
      </c>
      <c r="AD1056">
        <f>Reference!F$4</f>
        <v>2026</v>
      </c>
      <c r="AE1056" t="str">
        <f>IF(OR(SalesData[[#This Row],[Day]]="Saturday",SalesData[[#This Row],[Day]]="Sunday"),"Weekend","Weekday")</f>
        <v>Weekend</v>
      </c>
      <c r="AF1056" s="5">
        <f>IF(SalesData[[#This Row],[Contracts Offered]]=0,0,SalesData[[#This Row],[Contracts Signed]]/SalesData[[#This Row],[Contracts Offered]])</f>
        <v>0.39393939393939392</v>
      </c>
      <c r="AG1056" s="5">
        <f>IF(SalesData[[#This Row],[Customers Visited]]=0,0,SalesData[[#This Row],[Test Drives]]/SalesData[[#This Row],[Customers Visited]])</f>
        <v>0.54189944134078216</v>
      </c>
      <c r="AH1056" s="5">
        <f>IF(SalesData[[#This Row],[Customers Visited]]=0,0,SalesData[[#This Row],[Contracts Signed]]/SalesData[[#This Row],[Customers Visited]])</f>
        <v>0.14525139664804471</v>
      </c>
      <c r="AI1056" s="6">
        <f>IF(SalesData[[#This Row],[Contracts Signed]]=0,0,SalesData[[#This Row],[Profit(€)]]/SalesData[[#This Row],[Contracts Signed]])</f>
        <v>17682</v>
      </c>
      <c r="AJ1056" s="5" t="str">
        <f>TRIM(CLEAN(SalesData[[#This Row],[Retailer]]))</f>
        <v>Rhein Auto Group</v>
      </c>
    </row>
    <row r="1057" spans="1:36" ht="14.25" hidden="1" x14ac:dyDescent="0.2">
      <c r="A1057" t="s">
        <v>1801</v>
      </c>
      <c r="B1057" s="1">
        <v>46063</v>
      </c>
      <c r="C1057" t="s">
        <v>121</v>
      </c>
      <c r="D1057" t="s">
        <v>63</v>
      </c>
      <c r="E1057" t="s">
        <v>26</v>
      </c>
      <c r="F1057" t="s">
        <v>127</v>
      </c>
      <c r="G1057" t="s">
        <v>128</v>
      </c>
      <c r="H1057" t="s">
        <v>103</v>
      </c>
      <c r="I1057" t="s">
        <v>116</v>
      </c>
      <c r="J1057" t="s">
        <v>7026</v>
      </c>
      <c r="K1057" t="s">
        <v>66</v>
      </c>
      <c r="L1057" t="s">
        <v>46</v>
      </c>
      <c r="M1057" t="s">
        <v>47</v>
      </c>
      <c r="N1057" t="s">
        <v>69</v>
      </c>
      <c r="O1057" t="s">
        <v>36</v>
      </c>
      <c r="P1057" t="s">
        <v>71</v>
      </c>
      <c r="Q1057" t="s">
        <v>38</v>
      </c>
      <c r="R1057">
        <v>305</v>
      </c>
      <c r="S1057">
        <v>132</v>
      </c>
      <c r="T1057">
        <v>83</v>
      </c>
      <c r="U1057">
        <v>25</v>
      </c>
      <c r="V1057" t="s">
        <v>3387</v>
      </c>
      <c r="W1057">
        <v>24941</v>
      </c>
      <c r="X1057" t="s">
        <v>401</v>
      </c>
      <c r="Y1057">
        <v>23084</v>
      </c>
      <c r="Z1057">
        <v>623525</v>
      </c>
      <c r="AA1057">
        <v>46425</v>
      </c>
      <c r="AB1057" t="str">
        <f>(VLOOKUP(SalesData[[#This Row],[Month Number]],Reference!C$5:E$16,2,FALSE))</f>
        <v>Feb</v>
      </c>
      <c r="AC1057">
        <f>MONTH(SalesData[[#This Row],[Date]])</f>
        <v>2</v>
      </c>
      <c r="AD1057">
        <f>Reference!F$4</f>
        <v>2026</v>
      </c>
      <c r="AE1057" t="str">
        <f>IF(OR(SalesData[[#This Row],[Day]]="Saturday",SalesData[[#This Row],[Day]]="Sunday"),"Weekend","Weekday")</f>
        <v>Weekday</v>
      </c>
      <c r="AF1057" s="5">
        <f>IF(SalesData[[#This Row],[Contracts Offered]]=0,0,SalesData[[#This Row],[Contracts Signed]]/SalesData[[#This Row],[Contracts Offered]])</f>
        <v>0.30120481927710846</v>
      </c>
      <c r="AG1057" s="5">
        <f>IF(SalesData[[#This Row],[Customers Visited]]=0,0,SalesData[[#This Row],[Test Drives]]/SalesData[[#This Row],[Customers Visited]])</f>
        <v>0.43278688524590164</v>
      </c>
      <c r="AH1057" s="5">
        <f>IF(SalesData[[#This Row],[Customers Visited]]=0,0,SalesData[[#This Row],[Contracts Signed]]/SalesData[[#This Row],[Customers Visited]])</f>
        <v>8.1967213114754092E-2</v>
      </c>
      <c r="AI1057" s="6">
        <f>IF(SalesData[[#This Row],[Contracts Signed]]=0,0,SalesData[[#This Row],[Profit(€)]]/SalesData[[#This Row],[Contracts Signed]])</f>
        <v>1857</v>
      </c>
      <c r="AJ1057" s="5" t="str">
        <f>TRIM(CLEAN(SalesData[[#This Row],[Retailer]]))</f>
        <v>Rhein Auto Group</v>
      </c>
    </row>
    <row r="1058" spans="1:36" ht="14.25" hidden="1" x14ac:dyDescent="0.2">
      <c r="A1058" t="s">
        <v>1803</v>
      </c>
      <c r="B1058" s="1">
        <v>46077</v>
      </c>
      <c r="C1058" t="s">
        <v>53</v>
      </c>
      <c r="D1058" t="s">
        <v>63</v>
      </c>
      <c r="E1058" t="s">
        <v>26</v>
      </c>
      <c r="F1058" t="s">
        <v>127</v>
      </c>
      <c r="G1058" t="s">
        <v>128</v>
      </c>
      <c r="H1058" t="s">
        <v>103</v>
      </c>
      <c r="I1058" t="s">
        <v>104</v>
      </c>
      <c r="J1058" t="s">
        <v>140</v>
      </c>
      <c r="K1058" t="s">
        <v>66</v>
      </c>
      <c r="L1058" t="s">
        <v>46</v>
      </c>
      <c r="M1058" t="s">
        <v>47</v>
      </c>
      <c r="N1058" t="s">
        <v>69</v>
      </c>
      <c r="O1058" t="s">
        <v>36</v>
      </c>
      <c r="P1058" t="s">
        <v>58</v>
      </c>
      <c r="Q1058" t="s">
        <v>50</v>
      </c>
      <c r="R1058">
        <v>312</v>
      </c>
      <c r="S1058">
        <v>145</v>
      </c>
      <c r="T1058">
        <v>103</v>
      </c>
      <c r="U1058">
        <v>32</v>
      </c>
      <c r="V1058" t="s">
        <v>6493</v>
      </c>
      <c r="W1058">
        <v>26583</v>
      </c>
      <c r="X1058" t="s">
        <v>4447</v>
      </c>
      <c r="Y1058">
        <v>22900</v>
      </c>
      <c r="Z1058">
        <v>850656</v>
      </c>
      <c r="AA1058">
        <v>117856</v>
      </c>
      <c r="AB1058" t="str">
        <f>(VLOOKUP(SalesData[[#This Row],[Month Number]],Reference!C$5:E$16,2,FALSE))</f>
        <v>Feb</v>
      </c>
      <c r="AC1058">
        <f>MONTH(SalesData[[#This Row],[Date]])</f>
        <v>2</v>
      </c>
      <c r="AD1058">
        <f>Reference!F$4</f>
        <v>2026</v>
      </c>
      <c r="AE1058" t="str">
        <f>IF(OR(SalesData[[#This Row],[Day]]="Saturday",SalesData[[#This Row],[Day]]="Sunday"),"Weekend","Weekday")</f>
        <v>Weekday</v>
      </c>
      <c r="AF1058" s="5">
        <f>IF(SalesData[[#This Row],[Contracts Offered]]=0,0,SalesData[[#This Row],[Contracts Signed]]/SalesData[[#This Row],[Contracts Offered]])</f>
        <v>0.31067961165048541</v>
      </c>
      <c r="AG1058" s="5">
        <f>IF(SalesData[[#This Row],[Customers Visited]]=0,0,SalesData[[#This Row],[Test Drives]]/SalesData[[#This Row],[Customers Visited]])</f>
        <v>0.46474358974358976</v>
      </c>
      <c r="AH1058" s="5">
        <f>IF(SalesData[[#This Row],[Customers Visited]]=0,0,SalesData[[#This Row],[Contracts Signed]]/SalesData[[#This Row],[Customers Visited]])</f>
        <v>0.10256410256410256</v>
      </c>
      <c r="AI1058" s="6">
        <f>IF(SalesData[[#This Row],[Contracts Signed]]=0,0,SalesData[[#This Row],[Profit(€)]]/SalesData[[#This Row],[Contracts Signed]])</f>
        <v>3683</v>
      </c>
      <c r="AJ1058" s="5" t="str">
        <f>TRIM(CLEAN(SalesData[[#This Row],[Retailer]]))</f>
        <v>Rhein Auto Group</v>
      </c>
    </row>
    <row r="1059" spans="1:36" ht="14.25" hidden="1" x14ac:dyDescent="0.2">
      <c r="A1059" t="s">
        <v>1805</v>
      </c>
      <c r="B1059" s="1">
        <v>46079</v>
      </c>
      <c r="C1059" t="s">
        <v>53</v>
      </c>
      <c r="D1059" t="s">
        <v>100</v>
      </c>
      <c r="E1059" t="s">
        <v>26</v>
      </c>
      <c r="F1059" t="s">
        <v>101</v>
      </c>
      <c r="G1059" t="s">
        <v>102</v>
      </c>
      <c r="H1059" t="s">
        <v>103</v>
      </c>
      <c r="I1059" t="s">
        <v>56</v>
      </c>
      <c r="J1059" t="s">
        <v>7028</v>
      </c>
      <c r="K1059" t="s">
        <v>91</v>
      </c>
      <c r="L1059" t="s">
        <v>46</v>
      </c>
      <c r="M1059" t="s">
        <v>68</v>
      </c>
      <c r="N1059" t="s">
        <v>48</v>
      </c>
      <c r="O1059" t="s">
        <v>36</v>
      </c>
      <c r="P1059" t="s">
        <v>71</v>
      </c>
      <c r="Q1059" t="s">
        <v>106</v>
      </c>
      <c r="R1059">
        <v>306</v>
      </c>
      <c r="S1059">
        <v>183</v>
      </c>
      <c r="T1059">
        <v>129</v>
      </c>
      <c r="U1059">
        <v>39</v>
      </c>
      <c r="V1059" t="s">
        <v>6587</v>
      </c>
      <c r="W1059">
        <v>42248</v>
      </c>
      <c r="X1059" t="s">
        <v>7265</v>
      </c>
      <c r="Y1059">
        <v>33140</v>
      </c>
      <c r="Z1059">
        <v>1647672</v>
      </c>
      <c r="AA1059">
        <v>355212</v>
      </c>
      <c r="AB1059" t="str">
        <f>(VLOOKUP(SalesData[[#This Row],[Month Number]],Reference!C$5:E$16,2,FALSE))</f>
        <v>Feb</v>
      </c>
      <c r="AC1059">
        <f>MONTH(SalesData[[#This Row],[Date]])</f>
        <v>2</v>
      </c>
      <c r="AD1059">
        <f>Reference!F$4</f>
        <v>2026</v>
      </c>
      <c r="AE1059" t="str">
        <f>IF(OR(SalesData[[#This Row],[Day]]="Saturday",SalesData[[#This Row],[Day]]="Sunday"),"Weekend","Weekday")</f>
        <v>Weekday</v>
      </c>
      <c r="AF1059" s="5">
        <f>IF(SalesData[[#This Row],[Contracts Offered]]=0,0,SalesData[[#This Row],[Contracts Signed]]/SalesData[[#This Row],[Contracts Offered]])</f>
        <v>0.30232558139534882</v>
      </c>
      <c r="AG1059" s="5">
        <f>IF(SalesData[[#This Row],[Customers Visited]]=0,0,SalesData[[#This Row],[Test Drives]]/SalesData[[#This Row],[Customers Visited]])</f>
        <v>0.59803921568627449</v>
      </c>
      <c r="AH1059" s="5">
        <f>IF(SalesData[[#This Row],[Customers Visited]]=0,0,SalesData[[#This Row],[Contracts Signed]]/SalesData[[#This Row],[Customers Visited]])</f>
        <v>0.12745098039215685</v>
      </c>
      <c r="AI1059" s="6">
        <f>IF(SalesData[[#This Row],[Contracts Signed]]=0,0,SalesData[[#This Row],[Profit(€)]]/SalesData[[#This Row],[Contracts Signed]])</f>
        <v>9108</v>
      </c>
      <c r="AJ1059" s="5" t="str">
        <f>TRIM(CLEAN(SalesData[[#This Row],[Retailer]]))</f>
        <v>Ruhr Auto Plaza</v>
      </c>
    </row>
    <row r="1060" spans="1:36" ht="14.25" hidden="1" x14ac:dyDescent="0.2">
      <c r="A1060" t="s">
        <v>1807</v>
      </c>
      <c r="B1060" s="1">
        <v>46071</v>
      </c>
      <c r="C1060" t="s">
        <v>62</v>
      </c>
      <c r="D1060" t="s">
        <v>82</v>
      </c>
      <c r="E1060" t="s">
        <v>26</v>
      </c>
      <c r="F1060" t="s">
        <v>27</v>
      </c>
      <c r="G1060" t="s">
        <v>28</v>
      </c>
      <c r="H1060" t="s">
        <v>29</v>
      </c>
      <c r="I1060" t="s">
        <v>56</v>
      </c>
      <c r="J1060" t="s">
        <v>57</v>
      </c>
      <c r="K1060" t="s">
        <v>91</v>
      </c>
      <c r="L1060" t="s">
        <v>46</v>
      </c>
      <c r="M1060" t="s">
        <v>34</v>
      </c>
      <c r="N1060" t="s">
        <v>69</v>
      </c>
      <c r="O1060" t="s">
        <v>70</v>
      </c>
      <c r="P1060" t="s">
        <v>58</v>
      </c>
      <c r="Q1060" t="s">
        <v>50</v>
      </c>
      <c r="R1060">
        <v>236</v>
      </c>
      <c r="S1060">
        <v>131</v>
      </c>
      <c r="T1060">
        <v>94</v>
      </c>
      <c r="U1060">
        <v>30</v>
      </c>
      <c r="V1060" t="s">
        <v>6796</v>
      </c>
      <c r="W1060">
        <v>52558</v>
      </c>
      <c r="X1060" t="s">
        <v>7262</v>
      </c>
      <c r="Y1060">
        <v>39748</v>
      </c>
      <c r="Z1060">
        <v>1576740</v>
      </c>
      <c r="AA1060">
        <v>384300</v>
      </c>
      <c r="AB1060" t="str">
        <f>(VLOOKUP(SalesData[[#This Row],[Month Number]],Reference!C$5:E$16,2,FALSE))</f>
        <v>Feb</v>
      </c>
      <c r="AC1060">
        <f>MONTH(SalesData[[#This Row],[Date]])</f>
        <v>2</v>
      </c>
      <c r="AD1060">
        <f>Reference!F$4</f>
        <v>2026</v>
      </c>
      <c r="AE1060" t="str">
        <f>IF(OR(SalesData[[#This Row],[Day]]="Saturday",SalesData[[#This Row],[Day]]="Sunday"),"Weekend","Weekday")</f>
        <v>Weekday</v>
      </c>
      <c r="AF1060" s="5">
        <f>IF(SalesData[[#This Row],[Contracts Offered]]=0,0,SalesData[[#This Row],[Contracts Signed]]/SalesData[[#This Row],[Contracts Offered]])</f>
        <v>0.31914893617021278</v>
      </c>
      <c r="AG1060" s="5">
        <f>IF(SalesData[[#This Row],[Customers Visited]]=0,0,SalesData[[#This Row],[Test Drives]]/SalesData[[#This Row],[Customers Visited]])</f>
        <v>0.55508474576271183</v>
      </c>
      <c r="AH1060" s="5">
        <f>IF(SalesData[[#This Row],[Customers Visited]]=0,0,SalesData[[#This Row],[Contracts Signed]]/SalesData[[#This Row],[Customers Visited]])</f>
        <v>0.1271186440677966</v>
      </c>
      <c r="AI1060" s="6">
        <f>IF(SalesData[[#This Row],[Contracts Signed]]=0,0,SalesData[[#This Row],[Profit(€)]]/SalesData[[#This Row],[Contracts Signed]])</f>
        <v>12810</v>
      </c>
      <c r="AJ1060" s="5" t="str">
        <f>TRIM(CLEAN(SalesData[[#This Row],[Retailer]]))</f>
        <v>Main Auto Hub</v>
      </c>
    </row>
    <row r="1061" spans="1:36" ht="14.25" hidden="1" x14ac:dyDescent="0.2">
      <c r="A1061" t="s">
        <v>1809</v>
      </c>
      <c r="B1061" s="1">
        <v>46064</v>
      </c>
      <c r="C1061" t="s">
        <v>121</v>
      </c>
      <c r="D1061" t="s">
        <v>82</v>
      </c>
      <c r="E1061" t="s">
        <v>26</v>
      </c>
      <c r="F1061" t="s">
        <v>114</v>
      </c>
      <c r="G1061" t="s">
        <v>115</v>
      </c>
      <c r="H1061" t="s">
        <v>115</v>
      </c>
      <c r="I1061" t="s">
        <v>104</v>
      </c>
      <c r="J1061" t="s">
        <v>7031</v>
      </c>
      <c r="K1061" t="s">
        <v>66</v>
      </c>
      <c r="L1061" t="s">
        <v>46</v>
      </c>
      <c r="M1061" t="s">
        <v>34</v>
      </c>
      <c r="N1061" t="s">
        <v>48</v>
      </c>
      <c r="O1061" t="s">
        <v>36</v>
      </c>
      <c r="P1061" t="s">
        <v>49</v>
      </c>
      <c r="Q1061" t="s">
        <v>88</v>
      </c>
      <c r="R1061">
        <v>403</v>
      </c>
      <c r="S1061">
        <v>219</v>
      </c>
      <c r="T1061">
        <v>155</v>
      </c>
      <c r="U1061">
        <v>34</v>
      </c>
      <c r="V1061" t="s">
        <v>2464</v>
      </c>
      <c r="W1061">
        <v>29513</v>
      </c>
      <c r="X1061" t="s">
        <v>7079</v>
      </c>
      <c r="Y1061">
        <v>26246</v>
      </c>
      <c r="Z1061">
        <v>1003442</v>
      </c>
      <c r="AA1061">
        <v>111078</v>
      </c>
      <c r="AB1061" t="str">
        <f>(VLOOKUP(SalesData[[#This Row],[Month Number]],Reference!C$5:E$16,2,FALSE))</f>
        <v>Feb</v>
      </c>
      <c r="AC1061">
        <f>MONTH(SalesData[[#This Row],[Date]])</f>
        <v>2</v>
      </c>
      <c r="AD1061">
        <f>Reference!F$4</f>
        <v>2026</v>
      </c>
      <c r="AE1061" t="str">
        <f>IF(OR(SalesData[[#This Row],[Day]]="Saturday",SalesData[[#This Row],[Day]]="Sunday"),"Weekend","Weekday")</f>
        <v>Weekday</v>
      </c>
      <c r="AF1061" s="5">
        <f>IF(SalesData[[#This Row],[Contracts Offered]]=0,0,SalesData[[#This Row],[Contracts Signed]]/SalesData[[#This Row],[Contracts Offered]])</f>
        <v>0.21935483870967742</v>
      </c>
      <c r="AG1061" s="5">
        <f>IF(SalesData[[#This Row],[Customers Visited]]=0,0,SalesData[[#This Row],[Test Drives]]/SalesData[[#This Row],[Customers Visited]])</f>
        <v>0.54342431761786603</v>
      </c>
      <c r="AH1061" s="5">
        <f>IF(SalesData[[#This Row],[Customers Visited]]=0,0,SalesData[[#This Row],[Contracts Signed]]/SalesData[[#This Row],[Customers Visited]])</f>
        <v>8.4367245657568243E-2</v>
      </c>
      <c r="AI1061" s="6">
        <f>IF(SalesData[[#This Row],[Contracts Signed]]=0,0,SalesData[[#This Row],[Profit(€)]]/SalesData[[#This Row],[Contracts Signed]])</f>
        <v>3267</v>
      </c>
      <c r="AJ1061" s="5" t="str">
        <f>TRIM(CLEAN(SalesData[[#This Row],[Retailer]]))</f>
        <v>Elbe Drive</v>
      </c>
    </row>
    <row r="1062" spans="1:36" ht="14.25" hidden="1" x14ac:dyDescent="0.2">
      <c r="A1062" t="s">
        <v>1810</v>
      </c>
      <c r="B1062" s="1">
        <v>46071</v>
      </c>
      <c r="C1062" t="s">
        <v>62</v>
      </c>
      <c r="D1062" t="s">
        <v>82</v>
      </c>
      <c r="E1062" t="s">
        <v>26</v>
      </c>
      <c r="F1062" t="s">
        <v>43</v>
      </c>
      <c r="G1062" t="s">
        <v>44</v>
      </c>
      <c r="H1062" t="s">
        <v>45</v>
      </c>
      <c r="I1062" t="s">
        <v>104</v>
      </c>
      <c r="J1062" t="s">
        <v>7061</v>
      </c>
      <c r="K1062" t="s">
        <v>78</v>
      </c>
      <c r="L1062" t="s">
        <v>46</v>
      </c>
      <c r="M1062" t="s">
        <v>87</v>
      </c>
      <c r="N1062" t="s">
        <v>48</v>
      </c>
      <c r="O1062" t="s">
        <v>36</v>
      </c>
      <c r="P1062" t="s">
        <v>58</v>
      </c>
      <c r="Q1062" t="s">
        <v>59</v>
      </c>
      <c r="R1062">
        <v>517</v>
      </c>
      <c r="S1062">
        <v>298</v>
      </c>
      <c r="T1062">
        <v>212</v>
      </c>
      <c r="U1062">
        <v>62</v>
      </c>
      <c r="V1062" t="s">
        <v>6661</v>
      </c>
      <c r="W1062">
        <v>32943</v>
      </c>
      <c r="X1062" t="s">
        <v>269</v>
      </c>
      <c r="Y1062">
        <v>29892</v>
      </c>
      <c r="Z1062">
        <v>2042466</v>
      </c>
      <c r="AA1062">
        <v>189162</v>
      </c>
      <c r="AB1062" t="str">
        <f>(VLOOKUP(SalesData[[#This Row],[Month Number]],Reference!C$5:E$16,2,FALSE))</f>
        <v>Feb</v>
      </c>
      <c r="AC1062">
        <f>MONTH(SalesData[[#This Row],[Date]])</f>
        <v>2</v>
      </c>
      <c r="AD1062">
        <f>Reference!F$4</f>
        <v>2026</v>
      </c>
      <c r="AE1062" t="str">
        <f>IF(OR(SalesData[[#This Row],[Day]]="Saturday",SalesData[[#This Row],[Day]]="Sunday"),"Weekend","Weekday")</f>
        <v>Weekday</v>
      </c>
      <c r="AF1062" s="5">
        <f>IF(SalesData[[#This Row],[Contracts Offered]]=0,0,SalesData[[#This Row],[Contracts Signed]]/SalesData[[#This Row],[Contracts Offered]])</f>
        <v>0.29245283018867924</v>
      </c>
      <c r="AG1062" s="5">
        <f>IF(SalesData[[#This Row],[Customers Visited]]=0,0,SalesData[[#This Row],[Test Drives]]/SalesData[[#This Row],[Customers Visited]])</f>
        <v>0.57640232108317213</v>
      </c>
      <c r="AH1062" s="5">
        <f>IF(SalesData[[#This Row],[Customers Visited]]=0,0,SalesData[[#This Row],[Contracts Signed]]/SalesData[[#This Row],[Customers Visited]])</f>
        <v>0.11992263056092843</v>
      </c>
      <c r="AI1062" s="6">
        <f>IF(SalesData[[#This Row],[Contracts Signed]]=0,0,SalesData[[#This Row],[Profit(€)]]/SalesData[[#This Row],[Contracts Signed]])</f>
        <v>3051</v>
      </c>
      <c r="AJ1062" s="5" t="str">
        <f>TRIM(CLEAN(SalesData[[#This Row],[Retailer]]))</f>
        <v>Saxon Wheels</v>
      </c>
    </row>
    <row r="1063" spans="1:36" ht="14.25" hidden="1" x14ac:dyDescent="0.2">
      <c r="A1063" t="s">
        <v>1811</v>
      </c>
      <c r="B1063" s="1">
        <v>46059</v>
      </c>
      <c r="C1063" t="s">
        <v>24</v>
      </c>
      <c r="D1063" t="s">
        <v>54</v>
      </c>
      <c r="E1063" t="s">
        <v>26</v>
      </c>
      <c r="F1063" t="s">
        <v>127</v>
      </c>
      <c r="G1063" t="s">
        <v>128</v>
      </c>
      <c r="H1063" t="s">
        <v>103</v>
      </c>
      <c r="I1063" t="s">
        <v>104</v>
      </c>
      <c r="J1063" t="s">
        <v>105</v>
      </c>
      <c r="K1063" t="s">
        <v>32</v>
      </c>
      <c r="L1063" t="s">
        <v>33</v>
      </c>
      <c r="M1063" t="s">
        <v>34</v>
      </c>
      <c r="N1063" t="s">
        <v>48</v>
      </c>
      <c r="O1063" t="s">
        <v>36</v>
      </c>
      <c r="P1063" t="s">
        <v>37</v>
      </c>
      <c r="Q1063" t="s">
        <v>106</v>
      </c>
      <c r="R1063">
        <v>350</v>
      </c>
      <c r="S1063">
        <v>182</v>
      </c>
      <c r="T1063">
        <v>124</v>
      </c>
      <c r="U1063">
        <v>32</v>
      </c>
      <c r="V1063" t="s">
        <v>654</v>
      </c>
      <c r="W1063">
        <v>30216</v>
      </c>
      <c r="X1063" t="s">
        <v>3234</v>
      </c>
      <c r="Y1063">
        <v>26855</v>
      </c>
      <c r="Z1063">
        <v>966912</v>
      </c>
      <c r="AA1063">
        <v>107552</v>
      </c>
      <c r="AB1063" t="str">
        <f>(VLOOKUP(SalesData[[#This Row],[Month Number]],Reference!C$5:E$16,2,FALSE))</f>
        <v>Feb</v>
      </c>
      <c r="AC1063">
        <f>MONTH(SalesData[[#This Row],[Date]])</f>
        <v>2</v>
      </c>
      <c r="AD1063">
        <f>Reference!F$4</f>
        <v>2026</v>
      </c>
      <c r="AE1063" t="str">
        <f>IF(OR(SalesData[[#This Row],[Day]]="Saturday",SalesData[[#This Row],[Day]]="Sunday"),"Weekend","Weekday")</f>
        <v>Weekday</v>
      </c>
      <c r="AF1063" s="5">
        <f>IF(SalesData[[#This Row],[Contracts Offered]]=0,0,SalesData[[#This Row],[Contracts Signed]]/SalesData[[#This Row],[Contracts Offered]])</f>
        <v>0.25806451612903225</v>
      </c>
      <c r="AG1063" s="5">
        <f>IF(SalesData[[#This Row],[Customers Visited]]=0,0,SalesData[[#This Row],[Test Drives]]/SalesData[[#This Row],[Customers Visited]])</f>
        <v>0.52</v>
      </c>
      <c r="AH1063" s="5">
        <f>IF(SalesData[[#This Row],[Customers Visited]]=0,0,SalesData[[#This Row],[Contracts Signed]]/SalesData[[#This Row],[Customers Visited]])</f>
        <v>9.1428571428571428E-2</v>
      </c>
      <c r="AI1063" s="6">
        <f>IF(SalesData[[#This Row],[Contracts Signed]]=0,0,SalesData[[#This Row],[Profit(€)]]/SalesData[[#This Row],[Contracts Signed]])</f>
        <v>3361</v>
      </c>
      <c r="AJ1063" s="5" t="str">
        <f>TRIM(CLEAN(SalesData[[#This Row],[Retailer]]))</f>
        <v>Rhein Auto Group</v>
      </c>
    </row>
    <row r="1064" spans="1:36" ht="14.25" hidden="1" x14ac:dyDescent="0.2">
      <c r="A1064" t="s">
        <v>1812</v>
      </c>
      <c r="B1064" s="1">
        <v>46054</v>
      </c>
      <c r="C1064" t="s">
        <v>24</v>
      </c>
      <c r="D1064" t="s">
        <v>41</v>
      </c>
      <c r="E1064" t="s">
        <v>42</v>
      </c>
      <c r="F1064" t="s">
        <v>7649</v>
      </c>
      <c r="G1064" t="s">
        <v>55</v>
      </c>
      <c r="H1064" t="s">
        <v>55</v>
      </c>
      <c r="I1064" t="s">
        <v>104</v>
      </c>
      <c r="J1064" t="s">
        <v>7061</v>
      </c>
      <c r="K1064" t="s">
        <v>78</v>
      </c>
      <c r="L1064" t="s">
        <v>46</v>
      </c>
      <c r="M1064" t="s">
        <v>47</v>
      </c>
      <c r="N1064" t="s">
        <v>69</v>
      </c>
      <c r="O1064" t="s">
        <v>70</v>
      </c>
      <c r="P1064" t="s">
        <v>49</v>
      </c>
      <c r="Q1064" t="s">
        <v>167</v>
      </c>
      <c r="R1064">
        <v>424</v>
      </c>
      <c r="S1064">
        <v>222</v>
      </c>
      <c r="T1064">
        <v>145</v>
      </c>
      <c r="U1064">
        <v>28</v>
      </c>
      <c r="V1064" t="s">
        <v>5056</v>
      </c>
      <c r="W1064">
        <v>28133</v>
      </c>
      <c r="X1064" t="s">
        <v>7325</v>
      </c>
      <c r="Y1064">
        <v>24971</v>
      </c>
      <c r="Z1064">
        <v>787724</v>
      </c>
      <c r="AA1064">
        <v>88536</v>
      </c>
      <c r="AB1064" t="str">
        <f>(VLOOKUP(SalesData[[#This Row],[Month Number]],Reference!C$5:E$16,2,FALSE))</f>
        <v>Feb</v>
      </c>
      <c r="AC1064">
        <f>MONTH(SalesData[[#This Row],[Date]])</f>
        <v>2</v>
      </c>
      <c r="AD1064">
        <f>Reference!F$4</f>
        <v>2026</v>
      </c>
      <c r="AE1064" t="str">
        <f>IF(OR(SalesData[[#This Row],[Day]]="Saturday",SalesData[[#This Row],[Day]]="Sunday"),"Weekend","Weekday")</f>
        <v>Weekend</v>
      </c>
      <c r="AF1064" s="5">
        <f>IF(SalesData[[#This Row],[Contracts Offered]]=0,0,SalesData[[#This Row],[Contracts Signed]]/SalesData[[#This Row],[Contracts Offered]])</f>
        <v>0.19310344827586207</v>
      </c>
      <c r="AG1064" s="5">
        <f>IF(SalesData[[#This Row],[Customers Visited]]=0,0,SalesData[[#This Row],[Test Drives]]/SalesData[[#This Row],[Customers Visited]])</f>
        <v>0.52358490566037741</v>
      </c>
      <c r="AH1064" s="5">
        <f>IF(SalesData[[#This Row],[Customers Visited]]=0,0,SalesData[[#This Row],[Contracts Signed]]/SalesData[[#This Row],[Customers Visited]])</f>
        <v>6.6037735849056603E-2</v>
      </c>
      <c r="AI1064" s="6">
        <f>IF(SalesData[[#This Row],[Contracts Signed]]=0,0,SalesData[[#This Row],[Profit(€)]]/SalesData[[#This Row],[Contracts Signed]])</f>
        <v>3162</v>
      </c>
      <c r="AJ1064" s="5" t="str">
        <f>TRIM(CLEAN(SalesData[[#This Row],[Retailer]]))</f>
        <v>Autohaus Berlin</v>
      </c>
    </row>
    <row r="1065" spans="1:36" ht="14.25" hidden="1" x14ac:dyDescent="0.2">
      <c r="A1065" t="s">
        <v>1814</v>
      </c>
      <c r="B1065" s="1">
        <v>46059</v>
      </c>
      <c r="C1065" t="s">
        <v>24</v>
      </c>
      <c r="D1065" t="s">
        <v>54</v>
      </c>
      <c r="E1065" t="s">
        <v>26</v>
      </c>
      <c r="F1065" t="s">
        <v>94</v>
      </c>
      <c r="G1065" t="s">
        <v>95</v>
      </c>
      <c r="H1065" t="s">
        <v>96</v>
      </c>
      <c r="I1065" t="s">
        <v>64</v>
      </c>
      <c r="J1065" t="s">
        <v>111</v>
      </c>
      <c r="K1065" t="s">
        <v>32</v>
      </c>
      <c r="L1065" t="s">
        <v>46</v>
      </c>
      <c r="M1065" t="s">
        <v>47</v>
      </c>
      <c r="N1065" t="s">
        <v>35</v>
      </c>
      <c r="O1065" t="s">
        <v>36</v>
      </c>
      <c r="P1065" t="s">
        <v>49</v>
      </c>
      <c r="Q1065" t="s">
        <v>204</v>
      </c>
      <c r="R1065">
        <v>194</v>
      </c>
      <c r="S1065">
        <v>85</v>
      </c>
      <c r="T1065">
        <v>57</v>
      </c>
      <c r="U1065">
        <v>21</v>
      </c>
      <c r="V1065" t="s">
        <v>6827</v>
      </c>
      <c r="W1065">
        <v>66417</v>
      </c>
      <c r="X1065" t="s">
        <v>3045</v>
      </c>
      <c r="Y1065">
        <v>50502</v>
      </c>
      <c r="Z1065">
        <v>1394757</v>
      </c>
      <c r="AA1065">
        <v>334215</v>
      </c>
      <c r="AB1065" t="str">
        <f>(VLOOKUP(SalesData[[#This Row],[Month Number]],Reference!C$5:E$16,2,FALSE))</f>
        <v>Feb</v>
      </c>
      <c r="AC1065">
        <f>MONTH(SalesData[[#This Row],[Date]])</f>
        <v>2</v>
      </c>
      <c r="AD1065">
        <f>Reference!F$4</f>
        <v>2026</v>
      </c>
      <c r="AE1065" t="str">
        <f>IF(OR(SalesData[[#This Row],[Day]]="Saturday",SalesData[[#This Row],[Day]]="Sunday"),"Weekend","Weekday")</f>
        <v>Weekday</v>
      </c>
      <c r="AF1065" s="5">
        <f>IF(SalesData[[#This Row],[Contracts Offered]]=0,0,SalesData[[#This Row],[Contracts Signed]]/SalesData[[#This Row],[Contracts Offered]])</f>
        <v>0.36842105263157893</v>
      </c>
      <c r="AG1065" s="5">
        <f>IF(SalesData[[#This Row],[Customers Visited]]=0,0,SalesData[[#This Row],[Test Drives]]/SalesData[[#This Row],[Customers Visited]])</f>
        <v>0.43814432989690721</v>
      </c>
      <c r="AH1065" s="5">
        <f>IF(SalesData[[#This Row],[Customers Visited]]=0,0,SalesData[[#This Row],[Contracts Signed]]/SalesData[[#This Row],[Customers Visited]])</f>
        <v>0.10824742268041238</v>
      </c>
      <c r="AI1065" s="6">
        <f>IF(SalesData[[#This Row],[Contracts Signed]]=0,0,SalesData[[#This Row],[Profit(€)]]/SalesData[[#This Row],[Contracts Signed]])</f>
        <v>15915</v>
      </c>
      <c r="AJ1065" s="5" t="str">
        <f>TRIM(CLEAN(SalesData[[#This Row],[Retailer]]))</f>
        <v>Bavaria Motors</v>
      </c>
    </row>
    <row r="1066" spans="1:36" ht="14.25" x14ac:dyDescent="0.2">
      <c r="A1066" t="s">
        <v>1815</v>
      </c>
      <c r="B1066" s="1">
        <v>46057</v>
      </c>
      <c r="C1066" t="s">
        <v>24</v>
      </c>
      <c r="D1066" t="s">
        <v>82</v>
      </c>
      <c r="E1066" t="s">
        <v>26</v>
      </c>
      <c r="F1066" t="s">
        <v>83</v>
      </c>
      <c r="G1066" t="s">
        <v>84</v>
      </c>
      <c r="H1066" t="s">
        <v>85</v>
      </c>
      <c r="I1066" t="s">
        <v>30</v>
      </c>
      <c r="J1066" t="s">
        <v>188</v>
      </c>
      <c r="K1066" t="s">
        <v>78</v>
      </c>
      <c r="L1066" t="s">
        <v>33</v>
      </c>
      <c r="M1066" t="s">
        <v>68</v>
      </c>
      <c r="N1066" t="s">
        <v>35</v>
      </c>
      <c r="O1066" t="s">
        <v>70</v>
      </c>
      <c r="P1066" t="s">
        <v>58</v>
      </c>
      <c r="Q1066" t="s">
        <v>38</v>
      </c>
      <c r="R1066">
        <v>215</v>
      </c>
      <c r="S1066">
        <v>105</v>
      </c>
      <c r="T1066">
        <v>85</v>
      </c>
      <c r="U1066">
        <v>29</v>
      </c>
      <c r="V1066" t="s">
        <v>6528</v>
      </c>
      <c r="W1066">
        <v>57941</v>
      </c>
      <c r="X1066" t="s">
        <v>7309</v>
      </c>
      <c r="Y1066">
        <v>41670</v>
      </c>
      <c r="Z1066">
        <v>1680289</v>
      </c>
      <c r="AA1066">
        <v>471859</v>
      </c>
      <c r="AB1066" t="str">
        <f>(VLOOKUP(SalesData[[#This Row],[Month Number]],Reference!C$5:E$16,2,FALSE))</f>
        <v>Feb</v>
      </c>
      <c r="AC1066">
        <f>MONTH(SalesData[[#This Row],[Date]])</f>
        <v>2</v>
      </c>
      <c r="AD1066">
        <f>Reference!F$4</f>
        <v>2026</v>
      </c>
      <c r="AE1066" t="str">
        <f>IF(OR(SalesData[[#This Row],[Day]]="Saturday",SalesData[[#This Row],[Day]]="Sunday"),"Weekend","Weekday")</f>
        <v>Weekday</v>
      </c>
      <c r="AF1066" s="5">
        <f>IF(SalesData[[#This Row],[Contracts Offered]]=0,0,SalesData[[#This Row],[Contracts Signed]]/SalesData[[#This Row],[Contracts Offered]])</f>
        <v>0.3411764705882353</v>
      </c>
      <c r="AG1066" s="5">
        <f>IF(SalesData[[#This Row],[Customers Visited]]=0,0,SalesData[[#This Row],[Test Drives]]/SalesData[[#This Row],[Customers Visited]])</f>
        <v>0.48837209302325579</v>
      </c>
      <c r="AH1066" s="5">
        <f>IF(SalesData[[#This Row],[Customers Visited]]=0,0,SalesData[[#This Row],[Contracts Signed]]/SalesData[[#This Row],[Customers Visited]])</f>
        <v>0.13488372093023257</v>
      </c>
      <c r="AI1066" s="6">
        <f>IF(SalesData[[#This Row],[Contracts Signed]]=0,0,SalesData[[#This Row],[Profit(€)]]/SalesData[[#This Row],[Contracts Signed]])</f>
        <v>16271</v>
      </c>
      <c r="AJ1066" s="5" t="str">
        <f>TRIM(CLEAN(SalesData[[#This Row],[Retailer]]))</f>
        <v>Hannover Cars</v>
      </c>
    </row>
    <row r="1067" spans="1:36" ht="14.25" hidden="1" x14ac:dyDescent="0.2">
      <c r="A1067" t="s">
        <v>1817</v>
      </c>
      <c r="B1067" s="1">
        <v>46060</v>
      </c>
      <c r="C1067" t="s">
        <v>24</v>
      </c>
      <c r="D1067" t="s">
        <v>151</v>
      </c>
      <c r="E1067" t="s">
        <v>42</v>
      </c>
      <c r="F1067" t="s">
        <v>127</v>
      </c>
      <c r="G1067" t="s">
        <v>128</v>
      </c>
      <c r="H1067" t="s">
        <v>103</v>
      </c>
      <c r="I1067" t="s">
        <v>56</v>
      </c>
      <c r="J1067" t="s">
        <v>179</v>
      </c>
      <c r="K1067" t="s">
        <v>91</v>
      </c>
      <c r="L1067" t="s">
        <v>67</v>
      </c>
      <c r="M1067" t="s">
        <v>87</v>
      </c>
      <c r="N1067" t="s">
        <v>48</v>
      </c>
      <c r="O1067" t="s">
        <v>36</v>
      </c>
      <c r="P1067" t="s">
        <v>58</v>
      </c>
      <c r="Q1067" t="s">
        <v>204</v>
      </c>
      <c r="R1067">
        <v>289</v>
      </c>
      <c r="S1067">
        <v>150</v>
      </c>
      <c r="T1067">
        <v>102</v>
      </c>
      <c r="U1067">
        <v>40</v>
      </c>
      <c r="V1067" t="s">
        <v>6388</v>
      </c>
      <c r="W1067">
        <v>53086</v>
      </c>
      <c r="X1067" t="s">
        <v>1937</v>
      </c>
      <c r="Y1067">
        <v>40219</v>
      </c>
      <c r="Z1067">
        <v>2123440</v>
      </c>
      <c r="AA1067">
        <v>514680</v>
      </c>
      <c r="AB1067" t="str">
        <f>(VLOOKUP(SalesData[[#This Row],[Month Number]],Reference!C$5:E$16,2,FALSE))</f>
        <v>Feb</v>
      </c>
      <c r="AC1067">
        <f>MONTH(SalesData[[#This Row],[Date]])</f>
        <v>2</v>
      </c>
      <c r="AD1067">
        <f>Reference!F$4</f>
        <v>2026</v>
      </c>
      <c r="AE1067" t="str">
        <f>IF(OR(SalesData[[#This Row],[Day]]="Saturday",SalesData[[#This Row],[Day]]="Sunday"),"Weekend","Weekday")</f>
        <v>Weekend</v>
      </c>
      <c r="AF1067" s="5">
        <f>IF(SalesData[[#This Row],[Contracts Offered]]=0,0,SalesData[[#This Row],[Contracts Signed]]/SalesData[[#This Row],[Contracts Offered]])</f>
        <v>0.39215686274509803</v>
      </c>
      <c r="AG1067" s="5">
        <f>IF(SalesData[[#This Row],[Customers Visited]]=0,0,SalesData[[#This Row],[Test Drives]]/SalesData[[#This Row],[Customers Visited]])</f>
        <v>0.51903114186851207</v>
      </c>
      <c r="AH1067" s="5">
        <f>IF(SalesData[[#This Row],[Customers Visited]]=0,0,SalesData[[#This Row],[Contracts Signed]]/SalesData[[#This Row],[Customers Visited]])</f>
        <v>0.13840830449826991</v>
      </c>
      <c r="AI1067" s="6">
        <f>IF(SalesData[[#This Row],[Contracts Signed]]=0,0,SalesData[[#This Row],[Profit(€)]]/SalesData[[#This Row],[Contracts Signed]])</f>
        <v>12867</v>
      </c>
      <c r="AJ1067" s="5" t="str">
        <f>TRIM(CLEAN(SalesData[[#This Row],[Retailer]]))</f>
        <v>Rhein Auto Group</v>
      </c>
    </row>
    <row r="1068" spans="1:36" ht="14.25" hidden="1" x14ac:dyDescent="0.2">
      <c r="A1068" t="s">
        <v>1818</v>
      </c>
      <c r="B1068" s="1">
        <v>46074</v>
      </c>
      <c r="C1068" t="s">
        <v>62</v>
      </c>
      <c r="D1068" t="s">
        <v>151</v>
      </c>
      <c r="E1068" t="s">
        <v>42</v>
      </c>
      <c r="F1068" t="s">
        <v>43</v>
      </c>
      <c r="G1068" t="s">
        <v>44</v>
      </c>
      <c r="H1068" t="s">
        <v>45</v>
      </c>
      <c r="I1068" t="s">
        <v>104</v>
      </c>
      <c r="J1068" t="s">
        <v>143</v>
      </c>
      <c r="K1068" t="s">
        <v>78</v>
      </c>
      <c r="L1068" t="s">
        <v>67</v>
      </c>
      <c r="M1068" t="s">
        <v>87</v>
      </c>
      <c r="N1068" t="s">
        <v>48</v>
      </c>
      <c r="O1068" t="s">
        <v>36</v>
      </c>
      <c r="P1068" t="s">
        <v>58</v>
      </c>
      <c r="Q1068" t="s">
        <v>50</v>
      </c>
      <c r="R1068">
        <v>434</v>
      </c>
      <c r="S1068">
        <v>188</v>
      </c>
      <c r="T1068">
        <v>114</v>
      </c>
      <c r="U1068">
        <v>34</v>
      </c>
      <c r="V1068" t="s">
        <v>3779</v>
      </c>
      <c r="W1068">
        <v>28704</v>
      </c>
      <c r="X1068" t="s">
        <v>1903</v>
      </c>
      <c r="Y1068">
        <v>25237</v>
      </c>
      <c r="Z1068">
        <v>975936</v>
      </c>
      <c r="AA1068">
        <v>117878</v>
      </c>
      <c r="AB1068" t="str">
        <f>(VLOOKUP(SalesData[[#This Row],[Month Number]],Reference!C$5:E$16,2,FALSE))</f>
        <v>Feb</v>
      </c>
      <c r="AC1068">
        <f>MONTH(SalesData[[#This Row],[Date]])</f>
        <v>2</v>
      </c>
      <c r="AD1068">
        <f>Reference!F$4</f>
        <v>2026</v>
      </c>
      <c r="AE1068" t="str">
        <f>IF(OR(SalesData[[#This Row],[Day]]="Saturday",SalesData[[#This Row],[Day]]="Sunday"),"Weekend","Weekday")</f>
        <v>Weekend</v>
      </c>
      <c r="AF1068" s="5">
        <f>IF(SalesData[[#This Row],[Contracts Offered]]=0,0,SalesData[[#This Row],[Contracts Signed]]/SalesData[[#This Row],[Contracts Offered]])</f>
        <v>0.2982456140350877</v>
      </c>
      <c r="AG1068" s="5">
        <f>IF(SalesData[[#This Row],[Customers Visited]]=0,0,SalesData[[#This Row],[Test Drives]]/SalesData[[#This Row],[Customers Visited]])</f>
        <v>0.43317972350230416</v>
      </c>
      <c r="AH1068" s="5">
        <f>IF(SalesData[[#This Row],[Customers Visited]]=0,0,SalesData[[#This Row],[Contracts Signed]]/SalesData[[#This Row],[Customers Visited]])</f>
        <v>7.8341013824884786E-2</v>
      </c>
      <c r="AI1068" s="6">
        <f>IF(SalesData[[#This Row],[Contracts Signed]]=0,0,SalesData[[#This Row],[Profit(€)]]/SalesData[[#This Row],[Contracts Signed]])</f>
        <v>3467</v>
      </c>
      <c r="AJ1068" s="5" t="str">
        <f>TRIM(CLEAN(SalesData[[#This Row],[Retailer]]))</f>
        <v>Saxon Wheels</v>
      </c>
    </row>
    <row r="1069" spans="1:36" ht="14.25" hidden="1" x14ac:dyDescent="0.2">
      <c r="A1069" t="s">
        <v>1819</v>
      </c>
      <c r="B1069" s="1">
        <v>46059</v>
      </c>
      <c r="C1069" t="s">
        <v>24</v>
      </c>
      <c r="D1069" t="s">
        <v>54</v>
      </c>
      <c r="E1069" t="s">
        <v>26</v>
      </c>
      <c r="F1069" t="s">
        <v>74</v>
      </c>
      <c r="G1069" t="s">
        <v>75</v>
      </c>
      <c r="H1069" t="s">
        <v>76</v>
      </c>
      <c r="I1069" t="s">
        <v>56</v>
      </c>
      <c r="J1069" t="s">
        <v>57</v>
      </c>
      <c r="K1069" t="s">
        <v>66</v>
      </c>
      <c r="L1069" t="s">
        <v>46</v>
      </c>
      <c r="M1069" t="s">
        <v>47</v>
      </c>
      <c r="N1069" t="s">
        <v>35</v>
      </c>
      <c r="O1069" t="s">
        <v>70</v>
      </c>
      <c r="P1069" t="s">
        <v>49</v>
      </c>
      <c r="Q1069" t="s">
        <v>158</v>
      </c>
      <c r="R1069">
        <v>240</v>
      </c>
      <c r="S1069">
        <v>126</v>
      </c>
      <c r="T1069">
        <v>82</v>
      </c>
      <c r="U1069">
        <v>25</v>
      </c>
      <c r="V1069" t="s">
        <v>6752</v>
      </c>
      <c r="W1069">
        <v>45470</v>
      </c>
      <c r="X1069" t="s">
        <v>2023</v>
      </c>
      <c r="Y1069">
        <v>37038</v>
      </c>
      <c r="Z1069">
        <v>1136750</v>
      </c>
      <c r="AA1069">
        <v>210800</v>
      </c>
      <c r="AB1069" t="str">
        <f>(VLOOKUP(SalesData[[#This Row],[Month Number]],Reference!C$5:E$16,2,FALSE))</f>
        <v>Feb</v>
      </c>
      <c r="AC1069">
        <f>MONTH(SalesData[[#This Row],[Date]])</f>
        <v>2</v>
      </c>
      <c r="AD1069">
        <f>Reference!F$4</f>
        <v>2026</v>
      </c>
      <c r="AE1069" t="str">
        <f>IF(OR(SalesData[[#This Row],[Day]]="Saturday",SalesData[[#This Row],[Day]]="Sunday"),"Weekend","Weekday")</f>
        <v>Weekday</v>
      </c>
      <c r="AF1069" s="5">
        <f>IF(SalesData[[#This Row],[Contracts Offered]]=0,0,SalesData[[#This Row],[Contracts Signed]]/SalesData[[#This Row],[Contracts Offered]])</f>
        <v>0.3048780487804878</v>
      </c>
      <c r="AG1069" s="5">
        <f>IF(SalesData[[#This Row],[Customers Visited]]=0,0,SalesData[[#This Row],[Test Drives]]/SalesData[[#This Row],[Customers Visited]])</f>
        <v>0.52500000000000002</v>
      </c>
      <c r="AH1069" s="5">
        <f>IF(SalesData[[#This Row],[Customers Visited]]=0,0,SalesData[[#This Row],[Contracts Signed]]/SalesData[[#This Row],[Customers Visited]])</f>
        <v>0.10416666666666667</v>
      </c>
      <c r="AI1069" s="6">
        <f>IF(SalesData[[#This Row],[Contracts Signed]]=0,0,SalesData[[#This Row],[Profit(€)]]/SalesData[[#This Row],[Contracts Signed]])</f>
        <v>8432</v>
      </c>
      <c r="AJ1069" s="5" t="str">
        <f>TRIM(CLEAN(SalesData[[#This Row],[Retailer]]))</f>
        <v>Stuttgart Auto Center</v>
      </c>
    </row>
    <row r="1070" spans="1:36" ht="14.25" hidden="1" x14ac:dyDescent="0.2">
      <c r="A1070" t="s">
        <v>1820</v>
      </c>
      <c r="B1070" s="1">
        <v>46077</v>
      </c>
      <c r="C1070" t="s">
        <v>53</v>
      </c>
      <c r="D1070" t="s">
        <v>63</v>
      </c>
      <c r="E1070" t="s">
        <v>26</v>
      </c>
      <c r="F1070" t="s">
        <v>94</v>
      </c>
      <c r="G1070" t="s">
        <v>95</v>
      </c>
      <c r="H1070" t="s">
        <v>96</v>
      </c>
      <c r="I1070" t="s">
        <v>64</v>
      </c>
      <c r="J1070" t="s">
        <v>157</v>
      </c>
      <c r="K1070" t="s">
        <v>66</v>
      </c>
      <c r="L1070" t="s">
        <v>33</v>
      </c>
      <c r="M1070" t="s">
        <v>34</v>
      </c>
      <c r="N1070" t="s">
        <v>69</v>
      </c>
      <c r="O1070" t="s">
        <v>36</v>
      </c>
      <c r="P1070" t="s">
        <v>58</v>
      </c>
      <c r="Q1070" t="s">
        <v>59</v>
      </c>
      <c r="R1070">
        <v>214</v>
      </c>
      <c r="S1070">
        <v>119</v>
      </c>
      <c r="T1070">
        <v>78</v>
      </c>
      <c r="U1070">
        <v>34</v>
      </c>
      <c r="V1070" t="s">
        <v>6357</v>
      </c>
      <c r="W1070">
        <v>56970</v>
      </c>
      <c r="X1070" t="s">
        <v>7263</v>
      </c>
      <c r="Y1070">
        <v>44639</v>
      </c>
      <c r="Z1070">
        <v>1936980</v>
      </c>
      <c r="AA1070">
        <v>419254</v>
      </c>
      <c r="AB1070" t="str">
        <f>(VLOOKUP(SalesData[[#This Row],[Month Number]],Reference!C$5:E$16,2,FALSE))</f>
        <v>Feb</v>
      </c>
      <c r="AC1070">
        <f>MONTH(SalesData[[#This Row],[Date]])</f>
        <v>2</v>
      </c>
      <c r="AD1070">
        <f>Reference!F$4</f>
        <v>2026</v>
      </c>
      <c r="AE1070" t="str">
        <f>IF(OR(SalesData[[#This Row],[Day]]="Saturday",SalesData[[#This Row],[Day]]="Sunday"),"Weekend","Weekday")</f>
        <v>Weekday</v>
      </c>
      <c r="AF1070" s="5">
        <f>IF(SalesData[[#This Row],[Contracts Offered]]=0,0,SalesData[[#This Row],[Contracts Signed]]/SalesData[[#This Row],[Contracts Offered]])</f>
        <v>0.4358974358974359</v>
      </c>
      <c r="AG1070" s="5">
        <f>IF(SalesData[[#This Row],[Customers Visited]]=0,0,SalesData[[#This Row],[Test Drives]]/SalesData[[#This Row],[Customers Visited]])</f>
        <v>0.55607476635514019</v>
      </c>
      <c r="AH1070" s="5">
        <f>IF(SalesData[[#This Row],[Customers Visited]]=0,0,SalesData[[#This Row],[Contracts Signed]]/SalesData[[#This Row],[Customers Visited]])</f>
        <v>0.15887850467289719</v>
      </c>
      <c r="AI1070" s="6">
        <f>IF(SalesData[[#This Row],[Contracts Signed]]=0,0,SalesData[[#This Row],[Profit(€)]]/SalesData[[#This Row],[Contracts Signed]])</f>
        <v>12331</v>
      </c>
      <c r="AJ1070" s="5" t="str">
        <f>TRIM(CLEAN(SalesData[[#This Row],[Retailer]]))</f>
        <v>Bavaria Motors</v>
      </c>
    </row>
    <row r="1071" spans="1:36" ht="14.25" hidden="1" x14ac:dyDescent="0.2">
      <c r="A1071" t="s">
        <v>1821</v>
      </c>
      <c r="B1071" s="1">
        <v>46059</v>
      </c>
      <c r="C1071" t="s">
        <v>24</v>
      </c>
      <c r="D1071" t="s">
        <v>54</v>
      </c>
      <c r="E1071" t="s">
        <v>26</v>
      </c>
      <c r="F1071" t="s">
        <v>101</v>
      </c>
      <c r="G1071" t="s">
        <v>102</v>
      </c>
      <c r="H1071" t="s">
        <v>103</v>
      </c>
      <c r="I1071" t="s">
        <v>64</v>
      </c>
      <c r="J1071" t="s">
        <v>111</v>
      </c>
      <c r="K1071" t="s">
        <v>78</v>
      </c>
      <c r="L1071" t="s">
        <v>46</v>
      </c>
      <c r="M1071" t="s">
        <v>47</v>
      </c>
      <c r="N1071" t="s">
        <v>69</v>
      </c>
      <c r="O1071" t="s">
        <v>36</v>
      </c>
      <c r="P1071" t="s">
        <v>71</v>
      </c>
      <c r="Q1071" t="s">
        <v>152</v>
      </c>
      <c r="R1071">
        <v>253</v>
      </c>
      <c r="S1071">
        <v>121</v>
      </c>
      <c r="T1071">
        <v>92</v>
      </c>
      <c r="U1071">
        <v>31</v>
      </c>
      <c r="V1071" t="s">
        <v>6598</v>
      </c>
      <c r="W1071">
        <v>71843</v>
      </c>
      <c r="X1071" t="s">
        <v>7294</v>
      </c>
      <c r="Y1071">
        <v>56151</v>
      </c>
      <c r="Z1071">
        <v>2227133</v>
      </c>
      <c r="AA1071">
        <v>486452</v>
      </c>
      <c r="AB1071" t="str">
        <f>(VLOOKUP(SalesData[[#This Row],[Month Number]],Reference!C$5:E$16,2,FALSE))</f>
        <v>Feb</v>
      </c>
      <c r="AC1071">
        <f>MONTH(SalesData[[#This Row],[Date]])</f>
        <v>2</v>
      </c>
      <c r="AD1071">
        <f>Reference!F$4</f>
        <v>2026</v>
      </c>
      <c r="AE1071" t="str">
        <f>IF(OR(SalesData[[#This Row],[Day]]="Saturday",SalesData[[#This Row],[Day]]="Sunday"),"Weekend","Weekday")</f>
        <v>Weekday</v>
      </c>
      <c r="AF1071" s="5">
        <f>IF(SalesData[[#This Row],[Contracts Offered]]=0,0,SalesData[[#This Row],[Contracts Signed]]/SalesData[[#This Row],[Contracts Offered]])</f>
        <v>0.33695652173913043</v>
      </c>
      <c r="AG1071" s="5">
        <f>IF(SalesData[[#This Row],[Customers Visited]]=0,0,SalesData[[#This Row],[Test Drives]]/SalesData[[#This Row],[Customers Visited]])</f>
        <v>0.47826086956521741</v>
      </c>
      <c r="AH1071" s="5">
        <f>IF(SalesData[[#This Row],[Customers Visited]]=0,0,SalesData[[#This Row],[Contracts Signed]]/SalesData[[#This Row],[Customers Visited]])</f>
        <v>0.1225296442687747</v>
      </c>
      <c r="AI1071" s="6">
        <f>IF(SalesData[[#This Row],[Contracts Signed]]=0,0,SalesData[[#This Row],[Profit(€)]]/SalesData[[#This Row],[Contracts Signed]])</f>
        <v>15692</v>
      </c>
      <c r="AJ1071" s="5" t="str">
        <f>TRIM(CLEAN(SalesData[[#This Row],[Retailer]]))</f>
        <v>Ruhr Auto Plaza</v>
      </c>
    </row>
    <row r="1072" spans="1:36" ht="14.25" hidden="1" x14ac:dyDescent="0.2">
      <c r="A1072" t="s">
        <v>1822</v>
      </c>
      <c r="B1072" s="1">
        <v>46071</v>
      </c>
      <c r="C1072" t="s">
        <v>62</v>
      </c>
      <c r="D1072" t="s">
        <v>82</v>
      </c>
      <c r="E1072" t="s">
        <v>26</v>
      </c>
      <c r="F1072" t="s">
        <v>74</v>
      </c>
      <c r="G1072" t="s">
        <v>75</v>
      </c>
      <c r="H1072" t="s">
        <v>76</v>
      </c>
      <c r="I1072" t="s">
        <v>116</v>
      </c>
      <c r="J1072" t="s">
        <v>203</v>
      </c>
      <c r="K1072" t="s">
        <v>32</v>
      </c>
      <c r="L1072" t="s">
        <v>67</v>
      </c>
      <c r="M1072" t="s">
        <v>34</v>
      </c>
      <c r="N1072" t="s">
        <v>69</v>
      </c>
      <c r="O1072" t="s">
        <v>36</v>
      </c>
      <c r="P1072" t="s">
        <v>58</v>
      </c>
      <c r="Q1072" t="s">
        <v>152</v>
      </c>
      <c r="R1072">
        <v>318</v>
      </c>
      <c r="S1072">
        <v>133</v>
      </c>
      <c r="T1072">
        <v>84</v>
      </c>
      <c r="U1072">
        <v>29</v>
      </c>
      <c r="V1072" t="s">
        <v>6646</v>
      </c>
      <c r="W1072">
        <v>26283</v>
      </c>
      <c r="X1072" t="s">
        <v>256</v>
      </c>
      <c r="Y1072">
        <v>23570</v>
      </c>
      <c r="Z1072">
        <v>762207</v>
      </c>
      <c r="AA1072">
        <v>78677</v>
      </c>
      <c r="AB1072" t="str">
        <f>(VLOOKUP(SalesData[[#This Row],[Month Number]],Reference!C$5:E$16,2,FALSE))</f>
        <v>Feb</v>
      </c>
      <c r="AC1072">
        <f>MONTH(SalesData[[#This Row],[Date]])</f>
        <v>2</v>
      </c>
      <c r="AD1072">
        <f>Reference!F$4</f>
        <v>2026</v>
      </c>
      <c r="AE1072" t="str">
        <f>IF(OR(SalesData[[#This Row],[Day]]="Saturday",SalesData[[#This Row],[Day]]="Sunday"),"Weekend","Weekday")</f>
        <v>Weekday</v>
      </c>
      <c r="AF1072" s="5">
        <f>IF(SalesData[[#This Row],[Contracts Offered]]=0,0,SalesData[[#This Row],[Contracts Signed]]/SalesData[[#This Row],[Contracts Offered]])</f>
        <v>0.34523809523809523</v>
      </c>
      <c r="AG1072" s="5">
        <f>IF(SalesData[[#This Row],[Customers Visited]]=0,0,SalesData[[#This Row],[Test Drives]]/SalesData[[#This Row],[Customers Visited]])</f>
        <v>0.41823899371069184</v>
      </c>
      <c r="AH1072" s="5">
        <f>IF(SalesData[[#This Row],[Customers Visited]]=0,0,SalesData[[#This Row],[Contracts Signed]]/SalesData[[#This Row],[Customers Visited]])</f>
        <v>9.1194968553459113E-2</v>
      </c>
      <c r="AI1072" s="6">
        <f>IF(SalesData[[#This Row],[Contracts Signed]]=0,0,SalesData[[#This Row],[Profit(€)]]/SalesData[[#This Row],[Contracts Signed]])</f>
        <v>2713</v>
      </c>
      <c r="AJ1072" s="5" t="str">
        <f>TRIM(CLEAN(SalesData[[#This Row],[Retailer]]))</f>
        <v>Stuttgart Auto Center</v>
      </c>
    </row>
    <row r="1073" spans="1:36" ht="14.25" hidden="1" x14ac:dyDescent="0.2">
      <c r="A1073" t="s">
        <v>1824</v>
      </c>
      <c r="B1073" s="1">
        <v>46076</v>
      </c>
      <c r="C1073" t="s">
        <v>53</v>
      </c>
      <c r="D1073" t="s">
        <v>25</v>
      </c>
      <c r="E1073" t="s">
        <v>26</v>
      </c>
      <c r="F1073" t="s">
        <v>83</v>
      </c>
      <c r="G1073" t="s">
        <v>84</v>
      </c>
      <c r="H1073" t="s">
        <v>85</v>
      </c>
      <c r="I1073" t="s">
        <v>116</v>
      </c>
      <c r="J1073" t="s">
        <v>132</v>
      </c>
      <c r="K1073" t="s">
        <v>78</v>
      </c>
      <c r="L1073" t="s">
        <v>46</v>
      </c>
      <c r="M1073" t="s">
        <v>47</v>
      </c>
      <c r="N1073" t="s">
        <v>69</v>
      </c>
      <c r="O1073" t="s">
        <v>36</v>
      </c>
      <c r="P1073" t="s">
        <v>49</v>
      </c>
      <c r="Q1073" t="s">
        <v>50</v>
      </c>
      <c r="R1073">
        <v>271</v>
      </c>
      <c r="S1073">
        <v>104</v>
      </c>
      <c r="T1073">
        <v>62</v>
      </c>
      <c r="U1073">
        <v>14</v>
      </c>
      <c r="V1073" t="s">
        <v>1828</v>
      </c>
      <c r="W1073">
        <v>26200</v>
      </c>
      <c r="X1073" t="s">
        <v>1690</v>
      </c>
      <c r="Y1073">
        <v>23441</v>
      </c>
      <c r="Z1073">
        <v>366800</v>
      </c>
      <c r="AA1073">
        <v>38626</v>
      </c>
      <c r="AB1073" t="str">
        <f>(VLOOKUP(SalesData[[#This Row],[Month Number]],Reference!C$5:E$16,2,FALSE))</f>
        <v>Feb</v>
      </c>
      <c r="AC1073">
        <f>MONTH(SalesData[[#This Row],[Date]])</f>
        <v>2</v>
      </c>
      <c r="AD1073">
        <f>Reference!F$4</f>
        <v>2026</v>
      </c>
      <c r="AE1073" t="str">
        <f>IF(OR(SalesData[[#This Row],[Day]]="Saturday",SalesData[[#This Row],[Day]]="Sunday"),"Weekend","Weekday")</f>
        <v>Weekday</v>
      </c>
      <c r="AF1073" s="5">
        <f>IF(SalesData[[#This Row],[Contracts Offered]]=0,0,SalesData[[#This Row],[Contracts Signed]]/SalesData[[#This Row],[Contracts Offered]])</f>
        <v>0.22580645161290322</v>
      </c>
      <c r="AG1073" s="5">
        <f>IF(SalesData[[#This Row],[Customers Visited]]=0,0,SalesData[[#This Row],[Test Drives]]/SalesData[[#This Row],[Customers Visited]])</f>
        <v>0.3837638376383764</v>
      </c>
      <c r="AH1073" s="5">
        <f>IF(SalesData[[#This Row],[Customers Visited]]=0,0,SalesData[[#This Row],[Contracts Signed]]/SalesData[[#This Row],[Customers Visited]])</f>
        <v>5.1660516605166053E-2</v>
      </c>
      <c r="AI1073" s="6">
        <f>IF(SalesData[[#This Row],[Contracts Signed]]=0,0,SalesData[[#This Row],[Profit(€)]]/SalesData[[#This Row],[Contracts Signed]])</f>
        <v>2759</v>
      </c>
      <c r="AJ1073" s="5" t="str">
        <f>TRIM(CLEAN(SalesData[[#This Row],[Retailer]]))</f>
        <v>Hannover Cars</v>
      </c>
    </row>
    <row r="1074" spans="1:36" ht="14.25" hidden="1" x14ac:dyDescent="0.2">
      <c r="A1074" t="s">
        <v>1826</v>
      </c>
      <c r="B1074" s="1">
        <v>46062</v>
      </c>
      <c r="C1074" t="s">
        <v>121</v>
      </c>
      <c r="D1074" t="s">
        <v>25</v>
      </c>
      <c r="E1074" t="s">
        <v>26</v>
      </c>
      <c r="F1074" t="s">
        <v>109</v>
      </c>
      <c r="G1074" t="s">
        <v>110</v>
      </c>
      <c r="H1074" t="s">
        <v>45</v>
      </c>
      <c r="I1074" t="s">
        <v>56</v>
      </c>
      <c r="J1074" t="s">
        <v>57</v>
      </c>
      <c r="K1074" t="s">
        <v>32</v>
      </c>
      <c r="L1074" t="s">
        <v>46</v>
      </c>
      <c r="M1074" t="s">
        <v>34</v>
      </c>
      <c r="N1074" t="s">
        <v>35</v>
      </c>
      <c r="O1074" t="s">
        <v>36</v>
      </c>
      <c r="P1074" t="s">
        <v>58</v>
      </c>
      <c r="Q1074" t="s">
        <v>59</v>
      </c>
      <c r="R1074">
        <v>190</v>
      </c>
      <c r="S1074">
        <v>99</v>
      </c>
      <c r="T1074">
        <v>66</v>
      </c>
      <c r="U1074">
        <v>24</v>
      </c>
      <c r="V1074" t="s">
        <v>6429</v>
      </c>
      <c r="W1074">
        <v>49280</v>
      </c>
      <c r="X1074" t="s">
        <v>4556</v>
      </c>
      <c r="Y1074">
        <v>38148</v>
      </c>
      <c r="Z1074">
        <v>1182720</v>
      </c>
      <c r="AA1074">
        <v>267168</v>
      </c>
      <c r="AB1074" t="str">
        <f>(VLOOKUP(SalesData[[#This Row],[Month Number]],Reference!C$5:E$16,2,FALSE))</f>
        <v>Feb</v>
      </c>
      <c r="AC1074">
        <f>MONTH(SalesData[[#This Row],[Date]])</f>
        <v>2</v>
      </c>
      <c r="AD1074">
        <f>Reference!F$4</f>
        <v>2026</v>
      </c>
      <c r="AE1074" t="str">
        <f>IF(OR(SalesData[[#This Row],[Day]]="Saturday",SalesData[[#This Row],[Day]]="Sunday"),"Weekend","Weekday")</f>
        <v>Weekday</v>
      </c>
      <c r="AF1074" s="5">
        <f>IF(SalesData[[#This Row],[Contracts Offered]]=0,0,SalesData[[#This Row],[Contracts Signed]]/SalesData[[#This Row],[Contracts Offered]])</f>
        <v>0.36363636363636365</v>
      </c>
      <c r="AG1074" s="5">
        <f>IF(SalesData[[#This Row],[Customers Visited]]=0,0,SalesData[[#This Row],[Test Drives]]/SalesData[[#This Row],[Customers Visited]])</f>
        <v>0.52105263157894732</v>
      </c>
      <c r="AH1074" s="5">
        <f>IF(SalesData[[#This Row],[Customers Visited]]=0,0,SalesData[[#This Row],[Contracts Signed]]/SalesData[[#This Row],[Customers Visited]])</f>
        <v>0.12631578947368421</v>
      </c>
      <c r="AI1074" s="6">
        <f>IF(SalesData[[#This Row],[Contracts Signed]]=0,0,SalesData[[#This Row],[Profit(€)]]/SalesData[[#This Row],[Contracts Signed]])</f>
        <v>11132</v>
      </c>
      <c r="AJ1074" s="5" t="str">
        <f>TRIM(CLEAN(SalesData[[#This Row],[Retailer]]))</f>
        <v>Leipzig Mobility</v>
      </c>
    </row>
    <row r="1075" spans="1:36" ht="14.25" hidden="1" x14ac:dyDescent="0.2">
      <c r="A1075" t="s">
        <v>1827</v>
      </c>
      <c r="B1075" s="1">
        <v>46055</v>
      </c>
      <c r="C1075" t="s">
        <v>24</v>
      </c>
      <c r="D1075" t="s">
        <v>25</v>
      </c>
      <c r="E1075" t="s">
        <v>26</v>
      </c>
      <c r="F1075" t="s">
        <v>83</v>
      </c>
      <c r="G1075" t="s">
        <v>84</v>
      </c>
      <c r="H1075" t="s">
        <v>85</v>
      </c>
      <c r="I1075" t="s">
        <v>64</v>
      </c>
      <c r="J1075" t="s">
        <v>157</v>
      </c>
      <c r="K1075" t="s">
        <v>78</v>
      </c>
      <c r="L1075" t="s">
        <v>33</v>
      </c>
      <c r="M1075" t="s">
        <v>87</v>
      </c>
      <c r="N1075" t="s">
        <v>69</v>
      </c>
      <c r="O1075" t="s">
        <v>70</v>
      </c>
      <c r="P1075" t="s">
        <v>49</v>
      </c>
      <c r="Q1075" t="s">
        <v>50</v>
      </c>
      <c r="R1075">
        <v>283</v>
      </c>
      <c r="S1075">
        <v>149</v>
      </c>
      <c r="T1075">
        <v>115</v>
      </c>
      <c r="U1075">
        <v>34</v>
      </c>
      <c r="V1075" t="s">
        <v>6746</v>
      </c>
      <c r="W1075">
        <v>53184</v>
      </c>
      <c r="X1075" t="s">
        <v>3642</v>
      </c>
      <c r="Y1075">
        <v>41901</v>
      </c>
      <c r="Z1075">
        <v>1808256</v>
      </c>
      <c r="AA1075">
        <v>383622</v>
      </c>
      <c r="AB1075" t="str">
        <f>(VLOOKUP(SalesData[[#This Row],[Month Number]],Reference!C$5:E$16,2,FALSE))</f>
        <v>Feb</v>
      </c>
      <c r="AC1075">
        <f>MONTH(SalesData[[#This Row],[Date]])</f>
        <v>2</v>
      </c>
      <c r="AD1075">
        <f>Reference!F$4</f>
        <v>2026</v>
      </c>
      <c r="AE1075" t="str">
        <f>IF(OR(SalesData[[#This Row],[Day]]="Saturday",SalesData[[#This Row],[Day]]="Sunday"),"Weekend","Weekday")</f>
        <v>Weekday</v>
      </c>
      <c r="AF1075" s="5">
        <f>IF(SalesData[[#This Row],[Contracts Offered]]=0,0,SalesData[[#This Row],[Contracts Signed]]/SalesData[[#This Row],[Contracts Offered]])</f>
        <v>0.29565217391304349</v>
      </c>
      <c r="AG1075" s="5">
        <f>IF(SalesData[[#This Row],[Customers Visited]]=0,0,SalesData[[#This Row],[Test Drives]]/SalesData[[#This Row],[Customers Visited]])</f>
        <v>0.52650176678445226</v>
      </c>
      <c r="AH1075" s="5">
        <f>IF(SalesData[[#This Row],[Customers Visited]]=0,0,SalesData[[#This Row],[Contracts Signed]]/SalesData[[#This Row],[Customers Visited]])</f>
        <v>0.12014134275618374</v>
      </c>
      <c r="AI1075" s="6">
        <f>IF(SalesData[[#This Row],[Contracts Signed]]=0,0,SalesData[[#This Row],[Profit(€)]]/SalesData[[#This Row],[Contracts Signed]])</f>
        <v>11283</v>
      </c>
      <c r="AJ1075" s="5" t="str">
        <f>TRIM(CLEAN(SalesData[[#This Row],[Retailer]]))</f>
        <v>Hannover Cars</v>
      </c>
    </row>
    <row r="1076" spans="1:36" ht="14.25" hidden="1" x14ac:dyDescent="0.2">
      <c r="A1076" t="s">
        <v>1829</v>
      </c>
      <c r="B1076" s="1">
        <v>46078</v>
      </c>
      <c r="C1076" t="s">
        <v>53</v>
      </c>
      <c r="D1076" t="s">
        <v>82</v>
      </c>
      <c r="E1076" t="s">
        <v>26</v>
      </c>
      <c r="F1076" t="s">
        <v>7649</v>
      </c>
      <c r="G1076" t="s">
        <v>55</v>
      </c>
      <c r="H1076" t="s">
        <v>55</v>
      </c>
      <c r="I1076" t="s">
        <v>56</v>
      </c>
      <c r="J1076" t="s">
        <v>57</v>
      </c>
      <c r="K1076" t="s">
        <v>32</v>
      </c>
      <c r="L1076" t="s">
        <v>46</v>
      </c>
      <c r="M1076" t="s">
        <v>87</v>
      </c>
      <c r="N1076" t="s">
        <v>35</v>
      </c>
      <c r="O1076" t="s">
        <v>36</v>
      </c>
      <c r="P1076" t="s">
        <v>71</v>
      </c>
      <c r="Q1076" t="s">
        <v>169</v>
      </c>
      <c r="R1076">
        <v>291</v>
      </c>
      <c r="S1076">
        <v>139</v>
      </c>
      <c r="T1076">
        <v>105</v>
      </c>
      <c r="U1076">
        <v>35</v>
      </c>
      <c r="V1076" t="s">
        <v>6722</v>
      </c>
      <c r="W1076">
        <v>51736</v>
      </c>
      <c r="X1076" t="s">
        <v>7214</v>
      </c>
      <c r="Y1076">
        <v>41809</v>
      </c>
      <c r="Z1076">
        <v>1810760</v>
      </c>
      <c r="AA1076">
        <v>347445</v>
      </c>
      <c r="AB1076" t="str">
        <f>(VLOOKUP(SalesData[[#This Row],[Month Number]],Reference!C$5:E$16,2,FALSE))</f>
        <v>Feb</v>
      </c>
      <c r="AC1076">
        <f>MONTH(SalesData[[#This Row],[Date]])</f>
        <v>2</v>
      </c>
      <c r="AD1076">
        <f>Reference!F$4</f>
        <v>2026</v>
      </c>
      <c r="AE1076" t="str">
        <f>IF(OR(SalesData[[#This Row],[Day]]="Saturday",SalesData[[#This Row],[Day]]="Sunday"),"Weekend","Weekday")</f>
        <v>Weekday</v>
      </c>
      <c r="AF1076" s="5">
        <f>IF(SalesData[[#This Row],[Contracts Offered]]=0,0,SalesData[[#This Row],[Contracts Signed]]/SalesData[[#This Row],[Contracts Offered]])</f>
        <v>0.33333333333333331</v>
      </c>
      <c r="AG1076" s="5">
        <f>IF(SalesData[[#This Row],[Customers Visited]]=0,0,SalesData[[#This Row],[Test Drives]]/SalesData[[#This Row],[Customers Visited]])</f>
        <v>0.47766323024054985</v>
      </c>
      <c r="AH1076" s="5">
        <f>IF(SalesData[[#This Row],[Customers Visited]]=0,0,SalesData[[#This Row],[Contracts Signed]]/SalesData[[#This Row],[Customers Visited]])</f>
        <v>0.12027491408934708</v>
      </c>
      <c r="AI1076" s="6">
        <f>IF(SalesData[[#This Row],[Contracts Signed]]=0,0,SalesData[[#This Row],[Profit(€)]]/SalesData[[#This Row],[Contracts Signed]])</f>
        <v>9927</v>
      </c>
      <c r="AJ1076" s="5" t="str">
        <f>TRIM(CLEAN(SalesData[[#This Row],[Retailer]]))</f>
        <v>Autohaus Berlin</v>
      </c>
    </row>
    <row r="1077" spans="1:36" ht="14.25" hidden="1" x14ac:dyDescent="0.2">
      <c r="A1077" t="s">
        <v>1831</v>
      </c>
      <c r="B1077" s="1">
        <v>46064</v>
      </c>
      <c r="C1077" t="s">
        <v>121</v>
      </c>
      <c r="D1077" t="s">
        <v>82</v>
      </c>
      <c r="E1077" t="s">
        <v>26</v>
      </c>
      <c r="F1077" t="s">
        <v>83</v>
      </c>
      <c r="G1077" t="s">
        <v>84</v>
      </c>
      <c r="H1077" t="s">
        <v>85</v>
      </c>
      <c r="I1077" t="s">
        <v>104</v>
      </c>
      <c r="J1077" t="s">
        <v>105</v>
      </c>
      <c r="K1077" t="s">
        <v>78</v>
      </c>
      <c r="L1077" t="s">
        <v>33</v>
      </c>
      <c r="M1077" t="s">
        <v>87</v>
      </c>
      <c r="N1077" t="s">
        <v>69</v>
      </c>
      <c r="O1077" t="s">
        <v>36</v>
      </c>
      <c r="P1077" t="s">
        <v>37</v>
      </c>
      <c r="Q1077" t="s">
        <v>38</v>
      </c>
      <c r="R1077">
        <v>326</v>
      </c>
      <c r="S1077">
        <v>182</v>
      </c>
      <c r="T1077">
        <v>112</v>
      </c>
      <c r="U1077">
        <v>26</v>
      </c>
      <c r="V1077" t="s">
        <v>527</v>
      </c>
      <c r="W1077">
        <v>34020</v>
      </c>
      <c r="X1077" t="s">
        <v>1943</v>
      </c>
      <c r="Y1077">
        <v>29897</v>
      </c>
      <c r="Z1077">
        <v>884520</v>
      </c>
      <c r="AA1077">
        <v>107198</v>
      </c>
      <c r="AB1077" t="str">
        <f>(VLOOKUP(SalesData[[#This Row],[Month Number]],Reference!C$5:E$16,2,FALSE))</f>
        <v>Feb</v>
      </c>
      <c r="AC1077">
        <f>MONTH(SalesData[[#This Row],[Date]])</f>
        <v>2</v>
      </c>
      <c r="AD1077">
        <f>Reference!F$4</f>
        <v>2026</v>
      </c>
      <c r="AE1077" t="str">
        <f>IF(OR(SalesData[[#This Row],[Day]]="Saturday",SalesData[[#This Row],[Day]]="Sunday"),"Weekend","Weekday")</f>
        <v>Weekday</v>
      </c>
      <c r="AF1077" s="5">
        <f>IF(SalesData[[#This Row],[Contracts Offered]]=0,0,SalesData[[#This Row],[Contracts Signed]]/SalesData[[#This Row],[Contracts Offered]])</f>
        <v>0.23214285714285715</v>
      </c>
      <c r="AG1077" s="5">
        <f>IF(SalesData[[#This Row],[Customers Visited]]=0,0,SalesData[[#This Row],[Test Drives]]/SalesData[[#This Row],[Customers Visited]])</f>
        <v>0.55828220858895705</v>
      </c>
      <c r="AH1077" s="5">
        <f>IF(SalesData[[#This Row],[Customers Visited]]=0,0,SalesData[[#This Row],[Contracts Signed]]/SalesData[[#This Row],[Customers Visited]])</f>
        <v>7.9754601226993863E-2</v>
      </c>
      <c r="AI1077" s="6">
        <f>IF(SalesData[[#This Row],[Contracts Signed]]=0,0,SalesData[[#This Row],[Profit(€)]]/SalesData[[#This Row],[Contracts Signed]])</f>
        <v>4123</v>
      </c>
      <c r="AJ1077" s="5" t="str">
        <f>TRIM(CLEAN(SalesData[[#This Row],[Retailer]]))</f>
        <v>Hannover Cars</v>
      </c>
    </row>
    <row r="1078" spans="1:36" ht="14.25" hidden="1" x14ac:dyDescent="0.2">
      <c r="A1078" t="s">
        <v>1832</v>
      </c>
      <c r="B1078" s="1">
        <v>46080</v>
      </c>
      <c r="C1078" t="s">
        <v>53</v>
      </c>
      <c r="D1078" t="s">
        <v>54</v>
      </c>
      <c r="E1078" t="s">
        <v>26</v>
      </c>
      <c r="F1078" t="s">
        <v>101</v>
      </c>
      <c r="G1078" t="s">
        <v>102</v>
      </c>
      <c r="H1078" t="s">
        <v>103</v>
      </c>
      <c r="I1078" t="s">
        <v>116</v>
      </c>
      <c r="J1078" t="s">
        <v>7090</v>
      </c>
      <c r="K1078" t="s">
        <v>78</v>
      </c>
      <c r="L1078" t="s">
        <v>46</v>
      </c>
      <c r="M1078" t="s">
        <v>34</v>
      </c>
      <c r="N1078" t="s">
        <v>35</v>
      </c>
      <c r="O1078" t="s">
        <v>70</v>
      </c>
      <c r="P1078" t="s">
        <v>71</v>
      </c>
      <c r="Q1078" t="s">
        <v>59</v>
      </c>
      <c r="R1078">
        <v>397</v>
      </c>
      <c r="S1078">
        <v>190</v>
      </c>
      <c r="T1078">
        <v>107</v>
      </c>
      <c r="U1078">
        <v>28</v>
      </c>
      <c r="V1078" t="s">
        <v>1363</v>
      </c>
      <c r="W1078">
        <v>21139</v>
      </c>
      <c r="X1078" t="s">
        <v>7267</v>
      </c>
      <c r="Y1078">
        <v>19119</v>
      </c>
      <c r="Z1078">
        <v>591892</v>
      </c>
      <c r="AA1078">
        <v>56560</v>
      </c>
      <c r="AB1078" t="str">
        <f>(VLOOKUP(SalesData[[#This Row],[Month Number]],Reference!C$5:E$16,2,FALSE))</f>
        <v>Feb</v>
      </c>
      <c r="AC1078">
        <f>MONTH(SalesData[[#This Row],[Date]])</f>
        <v>2</v>
      </c>
      <c r="AD1078">
        <f>Reference!F$4</f>
        <v>2026</v>
      </c>
      <c r="AE1078" t="str">
        <f>IF(OR(SalesData[[#This Row],[Day]]="Saturday",SalesData[[#This Row],[Day]]="Sunday"),"Weekend","Weekday")</f>
        <v>Weekday</v>
      </c>
      <c r="AF1078" s="5">
        <f>IF(SalesData[[#This Row],[Contracts Offered]]=0,0,SalesData[[#This Row],[Contracts Signed]]/SalesData[[#This Row],[Contracts Offered]])</f>
        <v>0.26168224299065418</v>
      </c>
      <c r="AG1078" s="5">
        <f>IF(SalesData[[#This Row],[Customers Visited]]=0,0,SalesData[[#This Row],[Test Drives]]/SalesData[[#This Row],[Customers Visited]])</f>
        <v>0.47858942065491183</v>
      </c>
      <c r="AH1078" s="5">
        <f>IF(SalesData[[#This Row],[Customers Visited]]=0,0,SalesData[[#This Row],[Contracts Signed]]/SalesData[[#This Row],[Customers Visited]])</f>
        <v>7.0528967254408062E-2</v>
      </c>
      <c r="AI1078" s="6">
        <f>IF(SalesData[[#This Row],[Contracts Signed]]=0,0,SalesData[[#This Row],[Profit(€)]]/SalesData[[#This Row],[Contracts Signed]])</f>
        <v>2020</v>
      </c>
      <c r="AJ1078" s="5" t="str">
        <f>TRIM(CLEAN(SalesData[[#This Row],[Retailer]]))</f>
        <v>Ruhr Auto Plaza</v>
      </c>
    </row>
    <row r="1079" spans="1:36" ht="14.25" hidden="1" x14ac:dyDescent="0.2">
      <c r="A1079" t="s">
        <v>1833</v>
      </c>
      <c r="B1079" s="1">
        <v>46055</v>
      </c>
      <c r="C1079" t="s">
        <v>24</v>
      </c>
      <c r="D1079" t="s">
        <v>25</v>
      </c>
      <c r="E1079" t="s">
        <v>26</v>
      </c>
      <c r="F1079" t="s">
        <v>127</v>
      </c>
      <c r="G1079" t="s">
        <v>128</v>
      </c>
      <c r="H1079" t="s">
        <v>103</v>
      </c>
      <c r="I1079" t="s">
        <v>56</v>
      </c>
      <c r="J1079" t="s">
        <v>137</v>
      </c>
      <c r="K1079" t="s">
        <v>32</v>
      </c>
      <c r="L1079" t="s">
        <v>46</v>
      </c>
      <c r="M1079" t="s">
        <v>34</v>
      </c>
      <c r="N1079" t="s">
        <v>69</v>
      </c>
      <c r="O1079" t="s">
        <v>36</v>
      </c>
      <c r="P1079" t="s">
        <v>37</v>
      </c>
      <c r="Q1079" t="s">
        <v>129</v>
      </c>
      <c r="R1079">
        <v>229</v>
      </c>
      <c r="S1079">
        <v>120</v>
      </c>
      <c r="T1079">
        <v>77</v>
      </c>
      <c r="U1079">
        <v>29</v>
      </c>
      <c r="V1079" t="s">
        <v>6732</v>
      </c>
      <c r="W1079">
        <v>54554</v>
      </c>
      <c r="X1079" t="s">
        <v>2110</v>
      </c>
      <c r="Y1079">
        <v>43923</v>
      </c>
      <c r="Z1079">
        <v>1582066</v>
      </c>
      <c r="AA1079">
        <v>308299</v>
      </c>
      <c r="AB1079" t="str">
        <f>(VLOOKUP(SalesData[[#This Row],[Month Number]],Reference!C$5:E$16,2,FALSE))</f>
        <v>Feb</v>
      </c>
      <c r="AC1079">
        <f>MONTH(SalesData[[#This Row],[Date]])</f>
        <v>2</v>
      </c>
      <c r="AD1079">
        <f>Reference!F$4</f>
        <v>2026</v>
      </c>
      <c r="AE1079" t="str">
        <f>IF(OR(SalesData[[#This Row],[Day]]="Saturday",SalesData[[#This Row],[Day]]="Sunday"),"Weekend","Weekday")</f>
        <v>Weekday</v>
      </c>
      <c r="AF1079" s="5">
        <f>IF(SalesData[[#This Row],[Contracts Offered]]=0,0,SalesData[[#This Row],[Contracts Signed]]/SalesData[[#This Row],[Contracts Offered]])</f>
        <v>0.37662337662337664</v>
      </c>
      <c r="AG1079" s="5">
        <f>IF(SalesData[[#This Row],[Customers Visited]]=0,0,SalesData[[#This Row],[Test Drives]]/SalesData[[#This Row],[Customers Visited]])</f>
        <v>0.5240174672489083</v>
      </c>
      <c r="AH1079" s="5">
        <f>IF(SalesData[[#This Row],[Customers Visited]]=0,0,SalesData[[#This Row],[Contracts Signed]]/SalesData[[#This Row],[Customers Visited]])</f>
        <v>0.12663755458515283</v>
      </c>
      <c r="AI1079" s="6">
        <f>IF(SalesData[[#This Row],[Contracts Signed]]=0,0,SalesData[[#This Row],[Profit(€)]]/SalesData[[#This Row],[Contracts Signed]])</f>
        <v>10631</v>
      </c>
      <c r="AJ1079" s="5" t="str">
        <f>TRIM(CLEAN(SalesData[[#This Row],[Retailer]]))</f>
        <v>Rhein Auto Group</v>
      </c>
    </row>
    <row r="1080" spans="1:36" ht="14.25" hidden="1" x14ac:dyDescent="0.2">
      <c r="A1080" t="s">
        <v>1834</v>
      </c>
      <c r="B1080" s="1">
        <v>46060</v>
      </c>
      <c r="C1080" t="s">
        <v>24</v>
      </c>
      <c r="D1080" t="s">
        <v>151</v>
      </c>
      <c r="E1080" t="s">
        <v>42</v>
      </c>
      <c r="F1080" t="s">
        <v>114</v>
      </c>
      <c r="G1080" t="s">
        <v>115</v>
      </c>
      <c r="H1080" t="s">
        <v>115</v>
      </c>
      <c r="I1080" t="s">
        <v>104</v>
      </c>
      <c r="J1080" t="s">
        <v>7061</v>
      </c>
      <c r="K1080" t="s">
        <v>66</v>
      </c>
      <c r="L1080" t="s">
        <v>46</v>
      </c>
      <c r="M1080" t="s">
        <v>68</v>
      </c>
      <c r="N1080" t="s">
        <v>48</v>
      </c>
      <c r="O1080" t="s">
        <v>36</v>
      </c>
      <c r="P1080" t="s">
        <v>71</v>
      </c>
      <c r="Q1080" t="s">
        <v>169</v>
      </c>
      <c r="R1080">
        <v>492</v>
      </c>
      <c r="S1080">
        <v>271</v>
      </c>
      <c r="T1080">
        <v>192</v>
      </c>
      <c r="U1080">
        <v>55</v>
      </c>
      <c r="V1080" t="s">
        <v>6720</v>
      </c>
      <c r="W1080">
        <v>26843</v>
      </c>
      <c r="X1080" t="s">
        <v>7298</v>
      </c>
      <c r="Y1080">
        <v>23193</v>
      </c>
      <c r="Z1080">
        <v>1476365</v>
      </c>
      <c r="AA1080">
        <v>200750</v>
      </c>
      <c r="AB1080" t="str">
        <f>(VLOOKUP(SalesData[[#This Row],[Month Number]],Reference!C$5:E$16,2,FALSE))</f>
        <v>Feb</v>
      </c>
      <c r="AC1080">
        <f>MONTH(SalesData[[#This Row],[Date]])</f>
        <v>2</v>
      </c>
      <c r="AD1080">
        <f>Reference!F$4</f>
        <v>2026</v>
      </c>
      <c r="AE1080" t="str">
        <f>IF(OR(SalesData[[#This Row],[Day]]="Saturday",SalesData[[#This Row],[Day]]="Sunday"),"Weekend","Weekday")</f>
        <v>Weekend</v>
      </c>
      <c r="AF1080" s="5">
        <f>IF(SalesData[[#This Row],[Contracts Offered]]=0,0,SalesData[[#This Row],[Contracts Signed]]/SalesData[[#This Row],[Contracts Offered]])</f>
        <v>0.28645833333333331</v>
      </c>
      <c r="AG1080" s="5">
        <f>IF(SalesData[[#This Row],[Customers Visited]]=0,0,SalesData[[#This Row],[Test Drives]]/SalesData[[#This Row],[Customers Visited]])</f>
        <v>0.55081300813008127</v>
      </c>
      <c r="AH1080" s="5">
        <f>IF(SalesData[[#This Row],[Customers Visited]]=0,0,SalesData[[#This Row],[Contracts Signed]]/SalesData[[#This Row],[Customers Visited]])</f>
        <v>0.11178861788617886</v>
      </c>
      <c r="AI1080" s="6">
        <f>IF(SalesData[[#This Row],[Contracts Signed]]=0,0,SalesData[[#This Row],[Profit(€)]]/SalesData[[#This Row],[Contracts Signed]])</f>
        <v>3650</v>
      </c>
      <c r="AJ1080" s="5" t="str">
        <f>TRIM(CLEAN(SalesData[[#This Row],[Retailer]]))</f>
        <v>Elbe Drive</v>
      </c>
    </row>
    <row r="1081" spans="1:36" ht="14.25" x14ac:dyDescent="0.2">
      <c r="A1081" t="s">
        <v>1835</v>
      </c>
      <c r="B1081" s="1">
        <v>46078</v>
      </c>
      <c r="C1081" t="s">
        <v>53</v>
      </c>
      <c r="D1081" t="s">
        <v>82</v>
      </c>
      <c r="E1081" t="s">
        <v>26</v>
      </c>
      <c r="F1081" t="s">
        <v>7649</v>
      </c>
      <c r="G1081" t="s">
        <v>55</v>
      </c>
      <c r="H1081" t="s">
        <v>55</v>
      </c>
      <c r="I1081" t="s">
        <v>30</v>
      </c>
      <c r="J1081" t="s">
        <v>188</v>
      </c>
      <c r="K1081" t="s">
        <v>78</v>
      </c>
      <c r="L1081" t="s">
        <v>33</v>
      </c>
      <c r="M1081" t="s">
        <v>34</v>
      </c>
      <c r="N1081" t="s">
        <v>35</v>
      </c>
      <c r="O1081" t="s">
        <v>70</v>
      </c>
      <c r="P1081" t="s">
        <v>71</v>
      </c>
      <c r="Q1081" t="s">
        <v>79</v>
      </c>
      <c r="R1081">
        <v>192</v>
      </c>
      <c r="S1081">
        <v>92</v>
      </c>
      <c r="T1081">
        <v>63</v>
      </c>
      <c r="U1081">
        <v>29</v>
      </c>
      <c r="V1081" t="s">
        <v>7368</v>
      </c>
      <c r="W1081">
        <v>56836</v>
      </c>
      <c r="X1081" t="s">
        <v>7295</v>
      </c>
      <c r="Y1081">
        <v>42081</v>
      </c>
      <c r="Z1081">
        <v>1648244</v>
      </c>
      <c r="AA1081">
        <v>427895</v>
      </c>
      <c r="AB1081" t="str">
        <f>(VLOOKUP(SalesData[[#This Row],[Month Number]],Reference!C$5:E$16,2,FALSE))</f>
        <v>Feb</v>
      </c>
      <c r="AC1081">
        <f>MONTH(SalesData[[#This Row],[Date]])</f>
        <v>2</v>
      </c>
      <c r="AD1081">
        <f>Reference!F$4</f>
        <v>2026</v>
      </c>
      <c r="AE1081" t="str">
        <f>IF(OR(SalesData[[#This Row],[Day]]="Saturday",SalesData[[#This Row],[Day]]="Sunday"),"Weekend","Weekday")</f>
        <v>Weekday</v>
      </c>
      <c r="AF1081" s="5">
        <f>IF(SalesData[[#This Row],[Contracts Offered]]=0,0,SalesData[[#This Row],[Contracts Signed]]/SalesData[[#This Row],[Contracts Offered]])</f>
        <v>0.46031746031746029</v>
      </c>
      <c r="AG1081" s="5">
        <f>IF(SalesData[[#This Row],[Customers Visited]]=0,0,SalesData[[#This Row],[Test Drives]]/SalesData[[#This Row],[Customers Visited]])</f>
        <v>0.47916666666666669</v>
      </c>
      <c r="AH1081" s="5">
        <f>IF(SalesData[[#This Row],[Customers Visited]]=0,0,SalesData[[#This Row],[Contracts Signed]]/SalesData[[#This Row],[Customers Visited]])</f>
        <v>0.15104166666666666</v>
      </c>
      <c r="AI1081" s="6">
        <f>IF(SalesData[[#This Row],[Contracts Signed]]=0,0,SalesData[[#This Row],[Profit(€)]]/SalesData[[#This Row],[Contracts Signed]])</f>
        <v>14755</v>
      </c>
      <c r="AJ1081" s="5" t="str">
        <f>TRIM(CLEAN(SalesData[[#This Row],[Retailer]]))</f>
        <v>Autohaus Berlin</v>
      </c>
    </row>
    <row r="1082" spans="1:36" ht="14.25" hidden="1" x14ac:dyDescent="0.2">
      <c r="A1082" t="s">
        <v>1836</v>
      </c>
      <c r="B1082" s="1">
        <v>46054</v>
      </c>
      <c r="C1082" t="s">
        <v>24</v>
      </c>
      <c r="D1082" t="s">
        <v>41</v>
      </c>
      <c r="E1082" t="s">
        <v>42</v>
      </c>
      <c r="F1082" t="s">
        <v>74</v>
      </c>
      <c r="G1082" t="s">
        <v>75</v>
      </c>
      <c r="H1082" t="s">
        <v>76</v>
      </c>
      <c r="I1082" t="s">
        <v>104</v>
      </c>
      <c r="J1082" t="s">
        <v>105</v>
      </c>
      <c r="K1082" t="s">
        <v>32</v>
      </c>
      <c r="L1082" t="s">
        <v>33</v>
      </c>
      <c r="M1082" t="s">
        <v>47</v>
      </c>
      <c r="N1082" t="s">
        <v>69</v>
      </c>
      <c r="O1082" t="s">
        <v>36</v>
      </c>
      <c r="P1082" t="s">
        <v>58</v>
      </c>
      <c r="Q1082" t="s">
        <v>122</v>
      </c>
      <c r="R1082">
        <v>491</v>
      </c>
      <c r="S1082">
        <v>281</v>
      </c>
      <c r="T1082">
        <v>182</v>
      </c>
      <c r="U1082">
        <v>52</v>
      </c>
      <c r="V1082" t="s">
        <v>7369</v>
      </c>
      <c r="W1082">
        <v>29014</v>
      </c>
      <c r="X1082" t="s">
        <v>3351</v>
      </c>
      <c r="Y1082">
        <v>25757</v>
      </c>
      <c r="Z1082">
        <v>1508728</v>
      </c>
      <c r="AA1082">
        <v>169364</v>
      </c>
      <c r="AB1082" t="str">
        <f>(VLOOKUP(SalesData[[#This Row],[Month Number]],Reference!C$5:E$16,2,FALSE))</f>
        <v>Feb</v>
      </c>
      <c r="AC1082">
        <f>MONTH(SalesData[[#This Row],[Date]])</f>
        <v>2</v>
      </c>
      <c r="AD1082">
        <f>Reference!F$4</f>
        <v>2026</v>
      </c>
      <c r="AE1082" t="str">
        <f>IF(OR(SalesData[[#This Row],[Day]]="Saturday",SalesData[[#This Row],[Day]]="Sunday"),"Weekend","Weekday")</f>
        <v>Weekend</v>
      </c>
      <c r="AF1082" s="5">
        <f>IF(SalesData[[#This Row],[Contracts Offered]]=0,0,SalesData[[#This Row],[Contracts Signed]]/SalesData[[#This Row],[Contracts Offered]])</f>
        <v>0.2857142857142857</v>
      </c>
      <c r="AG1082" s="5">
        <f>IF(SalesData[[#This Row],[Customers Visited]]=0,0,SalesData[[#This Row],[Test Drives]]/SalesData[[#This Row],[Customers Visited]])</f>
        <v>0.57230142566191444</v>
      </c>
      <c r="AH1082" s="5">
        <f>IF(SalesData[[#This Row],[Customers Visited]]=0,0,SalesData[[#This Row],[Contracts Signed]]/SalesData[[#This Row],[Customers Visited]])</f>
        <v>0.10590631364562118</v>
      </c>
      <c r="AI1082" s="6">
        <f>IF(SalesData[[#This Row],[Contracts Signed]]=0,0,SalesData[[#This Row],[Profit(€)]]/SalesData[[#This Row],[Contracts Signed]])</f>
        <v>3257</v>
      </c>
      <c r="AJ1082" s="5" t="str">
        <f>TRIM(CLEAN(SalesData[[#This Row],[Retailer]]))</f>
        <v>Stuttgart Auto Center</v>
      </c>
    </row>
    <row r="1083" spans="1:36" ht="14.25" hidden="1" x14ac:dyDescent="0.2">
      <c r="A1083" t="s">
        <v>1837</v>
      </c>
      <c r="B1083" s="1">
        <v>46060</v>
      </c>
      <c r="C1083" t="s">
        <v>24</v>
      </c>
      <c r="D1083" t="s">
        <v>151</v>
      </c>
      <c r="E1083" t="s">
        <v>42</v>
      </c>
      <c r="F1083" t="s">
        <v>7649</v>
      </c>
      <c r="G1083" t="s">
        <v>55</v>
      </c>
      <c r="H1083" t="s">
        <v>55</v>
      </c>
      <c r="I1083" t="s">
        <v>64</v>
      </c>
      <c r="J1083" t="s">
        <v>157</v>
      </c>
      <c r="K1083" t="s">
        <v>32</v>
      </c>
      <c r="L1083" t="s">
        <v>33</v>
      </c>
      <c r="M1083" t="s">
        <v>87</v>
      </c>
      <c r="N1083" t="s">
        <v>35</v>
      </c>
      <c r="O1083" t="s">
        <v>70</v>
      </c>
      <c r="P1083" t="s">
        <v>71</v>
      </c>
      <c r="Q1083" t="s">
        <v>172</v>
      </c>
      <c r="R1083">
        <v>252</v>
      </c>
      <c r="S1083">
        <v>127</v>
      </c>
      <c r="T1083">
        <v>86</v>
      </c>
      <c r="U1083">
        <v>30</v>
      </c>
      <c r="V1083" t="s">
        <v>6466</v>
      </c>
      <c r="W1083">
        <v>51079</v>
      </c>
      <c r="X1083" t="s">
        <v>7132</v>
      </c>
      <c r="Y1083">
        <v>39613</v>
      </c>
      <c r="Z1083">
        <v>1532370</v>
      </c>
      <c r="AA1083">
        <v>343980</v>
      </c>
      <c r="AB1083" t="str">
        <f>(VLOOKUP(SalesData[[#This Row],[Month Number]],Reference!C$5:E$16,2,FALSE))</f>
        <v>Feb</v>
      </c>
      <c r="AC1083">
        <f>MONTH(SalesData[[#This Row],[Date]])</f>
        <v>2</v>
      </c>
      <c r="AD1083">
        <f>Reference!F$4</f>
        <v>2026</v>
      </c>
      <c r="AE1083" t="str">
        <f>IF(OR(SalesData[[#This Row],[Day]]="Saturday",SalesData[[#This Row],[Day]]="Sunday"),"Weekend","Weekday")</f>
        <v>Weekend</v>
      </c>
      <c r="AF1083" s="5">
        <f>IF(SalesData[[#This Row],[Contracts Offered]]=0,0,SalesData[[#This Row],[Contracts Signed]]/SalesData[[#This Row],[Contracts Offered]])</f>
        <v>0.34883720930232559</v>
      </c>
      <c r="AG1083" s="5">
        <f>IF(SalesData[[#This Row],[Customers Visited]]=0,0,SalesData[[#This Row],[Test Drives]]/SalesData[[#This Row],[Customers Visited]])</f>
        <v>0.50396825396825395</v>
      </c>
      <c r="AH1083" s="5">
        <f>IF(SalesData[[#This Row],[Customers Visited]]=0,0,SalesData[[#This Row],[Contracts Signed]]/SalesData[[#This Row],[Customers Visited]])</f>
        <v>0.11904761904761904</v>
      </c>
      <c r="AI1083" s="6">
        <f>IF(SalesData[[#This Row],[Contracts Signed]]=0,0,SalesData[[#This Row],[Profit(€)]]/SalesData[[#This Row],[Contracts Signed]])</f>
        <v>11466</v>
      </c>
      <c r="AJ1083" s="5" t="str">
        <f>TRIM(CLEAN(SalesData[[#This Row],[Retailer]]))</f>
        <v>Autohaus Berlin</v>
      </c>
    </row>
    <row r="1084" spans="1:36" ht="14.25" hidden="1" x14ac:dyDescent="0.2">
      <c r="A1084" t="s">
        <v>1839</v>
      </c>
      <c r="B1084" s="1">
        <v>46060</v>
      </c>
      <c r="C1084" t="s">
        <v>24</v>
      </c>
      <c r="D1084" t="s">
        <v>151</v>
      </c>
      <c r="E1084" t="s">
        <v>42</v>
      </c>
      <c r="F1084" t="s">
        <v>83</v>
      </c>
      <c r="G1084" t="s">
        <v>84</v>
      </c>
      <c r="H1084" t="s">
        <v>85</v>
      </c>
      <c r="I1084" t="s">
        <v>104</v>
      </c>
      <c r="J1084" t="s">
        <v>140</v>
      </c>
      <c r="K1084" t="s">
        <v>78</v>
      </c>
      <c r="L1084" t="s">
        <v>46</v>
      </c>
      <c r="M1084" t="s">
        <v>68</v>
      </c>
      <c r="N1084" t="s">
        <v>69</v>
      </c>
      <c r="O1084" t="s">
        <v>70</v>
      </c>
      <c r="P1084" t="s">
        <v>71</v>
      </c>
      <c r="Q1084" t="s">
        <v>172</v>
      </c>
      <c r="R1084">
        <v>478</v>
      </c>
      <c r="S1084">
        <v>235</v>
      </c>
      <c r="T1084">
        <v>138</v>
      </c>
      <c r="U1084">
        <v>33</v>
      </c>
      <c r="V1084" t="s">
        <v>687</v>
      </c>
      <c r="W1084">
        <v>30513</v>
      </c>
      <c r="X1084" t="s">
        <v>1199</v>
      </c>
      <c r="Y1084">
        <v>26738</v>
      </c>
      <c r="Z1084">
        <v>1006929</v>
      </c>
      <c r="AA1084">
        <v>124575</v>
      </c>
      <c r="AB1084" t="str">
        <f>(VLOOKUP(SalesData[[#This Row],[Month Number]],Reference!C$5:E$16,2,FALSE))</f>
        <v>Feb</v>
      </c>
      <c r="AC1084">
        <f>MONTH(SalesData[[#This Row],[Date]])</f>
        <v>2</v>
      </c>
      <c r="AD1084">
        <f>Reference!F$4</f>
        <v>2026</v>
      </c>
      <c r="AE1084" t="str">
        <f>IF(OR(SalesData[[#This Row],[Day]]="Saturday",SalesData[[#This Row],[Day]]="Sunday"),"Weekend","Weekday")</f>
        <v>Weekend</v>
      </c>
      <c r="AF1084" s="5">
        <f>IF(SalesData[[#This Row],[Contracts Offered]]=0,0,SalesData[[#This Row],[Contracts Signed]]/SalesData[[#This Row],[Contracts Offered]])</f>
        <v>0.2391304347826087</v>
      </c>
      <c r="AG1084" s="5">
        <f>IF(SalesData[[#This Row],[Customers Visited]]=0,0,SalesData[[#This Row],[Test Drives]]/SalesData[[#This Row],[Customers Visited]])</f>
        <v>0.49163179916317989</v>
      </c>
      <c r="AH1084" s="5">
        <f>IF(SalesData[[#This Row],[Customers Visited]]=0,0,SalesData[[#This Row],[Contracts Signed]]/SalesData[[#This Row],[Customers Visited]])</f>
        <v>6.903765690376569E-2</v>
      </c>
      <c r="AI1084" s="6">
        <f>IF(SalesData[[#This Row],[Contracts Signed]]=0,0,SalesData[[#This Row],[Profit(€)]]/SalesData[[#This Row],[Contracts Signed]])</f>
        <v>3775</v>
      </c>
      <c r="AJ1084" s="5" t="str">
        <f>TRIM(CLEAN(SalesData[[#This Row],[Retailer]]))</f>
        <v>Hannover Cars</v>
      </c>
    </row>
    <row r="1085" spans="1:36" ht="14.25" hidden="1" x14ac:dyDescent="0.2">
      <c r="A1085" t="s">
        <v>1840</v>
      </c>
      <c r="B1085" s="1">
        <v>46054</v>
      </c>
      <c r="C1085" t="s">
        <v>24</v>
      </c>
      <c r="D1085" t="s">
        <v>41</v>
      </c>
      <c r="E1085" t="s">
        <v>42</v>
      </c>
      <c r="F1085" t="s">
        <v>114</v>
      </c>
      <c r="G1085" t="s">
        <v>115</v>
      </c>
      <c r="H1085" t="s">
        <v>115</v>
      </c>
      <c r="I1085" t="s">
        <v>56</v>
      </c>
      <c r="J1085" t="s">
        <v>179</v>
      </c>
      <c r="K1085" t="s">
        <v>32</v>
      </c>
      <c r="L1085" t="s">
        <v>67</v>
      </c>
      <c r="M1085" t="s">
        <v>47</v>
      </c>
      <c r="N1085" t="s">
        <v>69</v>
      </c>
      <c r="O1085" t="s">
        <v>70</v>
      </c>
      <c r="P1085" t="s">
        <v>58</v>
      </c>
      <c r="Q1085" t="s">
        <v>135</v>
      </c>
      <c r="R1085">
        <v>206</v>
      </c>
      <c r="S1085">
        <v>106</v>
      </c>
      <c r="T1085">
        <v>69</v>
      </c>
      <c r="U1085">
        <v>27</v>
      </c>
      <c r="V1085" t="s">
        <v>6799</v>
      </c>
      <c r="W1085">
        <v>40805</v>
      </c>
      <c r="X1085" t="s">
        <v>7216</v>
      </c>
      <c r="Y1085">
        <v>33373</v>
      </c>
      <c r="Z1085">
        <v>1101735</v>
      </c>
      <c r="AA1085">
        <v>200664</v>
      </c>
      <c r="AB1085" t="str">
        <f>(VLOOKUP(SalesData[[#This Row],[Month Number]],Reference!C$5:E$16,2,FALSE))</f>
        <v>Feb</v>
      </c>
      <c r="AC1085">
        <f>MONTH(SalesData[[#This Row],[Date]])</f>
        <v>2</v>
      </c>
      <c r="AD1085">
        <f>Reference!F$4</f>
        <v>2026</v>
      </c>
      <c r="AE1085" t="str">
        <f>IF(OR(SalesData[[#This Row],[Day]]="Saturday",SalesData[[#This Row],[Day]]="Sunday"),"Weekend","Weekday")</f>
        <v>Weekend</v>
      </c>
      <c r="AF1085" s="5">
        <f>IF(SalesData[[#This Row],[Contracts Offered]]=0,0,SalesData[[#This Row],[Contracts Signed]]/SalesData[[#This Row],[Contracts Offered]])</f>
        <v>0.39130434782608697</v>
      </c>
      <c r="AG1085" s="5">
        <f>IF(SalesData[[#This Row],[Customers Visited]]=0,0,SalesData[[#This Row],[Test Drives]]/SalesData[[#This Row],[Customers Visited]])</f>
        <v>0.5145631067961165</v>
      </c>
      <c r="AH1085" s="5">
        <f>IF(SalesData[[#This Row],[Customers Visited]]=0,0,SalesData[[#This Row],[Contracts Signed]]/SalesData[[#This Row],[Customers Visited]])</f>
        <v>0.13106796116504854</v>
      </c>
      <c r="AI1085" s="6">
        <f>IF(SalesData[[#This Row],[Contracts Signed]]=0,0,SalesData[[#This Row],[Profit(€)]]/SalesData[[#This Row],[Contracts Signed]])</f>
        <v>7432</v>
      </c>
      <c r="AJ1085" s="5" t="str">
        <f>TRIM(CLEAN(SalesData[[#This Row],[Retailer]]))</f>
        <v>Elbe Drive</v>
      </c>
    </row>
    <row r="1086" spans="1:36" ht="14.25" hidden="1" x14ac:dyDescent="0.2">
      <c r="A1086" t="s">
        <v>1841</v>
      </c>
      <c r="B1086" s="1">
        <v>46078</v>
      </c>
      <c r="C1086" t="s">
        <v>53</v>
      </c>
      <c r="D1086" t="s">
        <v>82</v>
      </c>
      <c r="E1086" t="s">
        <v>26</v>
      </c>
      <c r="F1086" t="s">
        <v>114</v>
      </c>
      <c r="G1086" t="s">
        <v>115</v>
      </c>
      <c r="H1086" t="s">
        <v>115</v>
      </c>
      <c r="I1086" t="s">
        <v>104</v>
      </c>
      <c r="J1086" t="s">
        <v>7061</v>
      </c>
      <c r="K1086" t="s">
        <v>91</v>
      </c>
      <c r="L1086" t="s">
        <v>46</v>
      </c>
      <c r="M1086" t="s">
        <v>68</v>
      </c>
      <c r="N1086" t="s">
        <v>35</v>
      </c>
      <c r="O1086" t="s">
        <v>70</v>
      </c>
      <c r="P1086" t="s">
        <v>71</v>
      </c>
      <c r="Q1086" t="s">
        <v>172</v>
      </c>
      <c r="R1086">
        <v>312</v>
      </c>
      <c r="S1086">
        <v>125</v>
      </c>
      <c r="T1086">
        <v>81</v>
      </c>
      <c r="U1086">
        <v>20</v>
      </c>
      <c r="V1086" t="s">
        <v>333</v>
      </c>
      <c r="W1086">
        <v>26608</v>
      </c>
      <c r="X1086" t="s">
        <v>1073</v>
      </c>
      <c r="Y1086">
        <v>24108</v>
      </c>
      <c r="Z1086">
        <v>532160</v>
      </c>
      <c r="AA1086">
        <v>50000</v>
      </c>
      <c r="AB1086" t="str">
        <f>(VLOOKUP(SalesData[[#This Row],[Month Number]],Reference!C$5:E$16,2,FALSE))</f>
        <v>Feb</v>
      </c>
      <c r="AC1086">
        <f>MONTH(SalesData[[#This Row],[Date]])</f>
        <v>2</v>
      </c>
      <c r="AD1086">
        <f>Reference!F$4</f>
        <v>2026</v>
      </c>
      <c r="AE1086" t="str">
        <f>IF(OR(SalesData[[#This Row],[Day]]="Saturday",SalesData[[#This Row],[Day]]="Sunday"),"Weekend","Weekday")</f>
        <v>Weekday</v>
      </c>
      <c r="AF1086" s="5">
        <f>IF(SalesData[[#This Row],[Contracts Offered]]=0,0,SalesData[[#This Row],[Contracts Signed]]/SalesData[[#This Row],[Contracts Offered]])</f>
        <v>0.24691358024691357</v>
      </c>
      <c r="AG1086" s="5">
        <f>IF(SalesData[[#This Row],[Customers Visited]]=0,0,SalesData[[#This Row],[Test Drives]]/SalesData[[#This Row],[Customers Visited]])</f>
        <v>0.40064102564102566</v>
      </c>
      <c r="AH1086" s="5">
        <f>IF(SalesData[[#This Row],[Customers Visited]]=0,0,SalesData[[#This Row],[Contracts Signed]]/SalesData[[#This Row],[Customers Visited]])</f>
        <v>6.4102564102564097E-2</v>
      </c>
      <c r="AI1086" s="6">
        <f>IF(SalesData[[#This Row],[Contracts Signed]]=0,0,SalesData[[#This Row],[Profit(€)]]/SalesData[[#This Row],[Contracts Signed]])</f>
        <v>2500</v>
      </c>
      <c r="AJ1086" s="5" t="str">
        <f>TRIM(CLEAN(SalesData[[#This Row],[Retailer]]))</f>
        <v>Elbe Drive</v>
      </c>
    </row>
    <row r="1087" spans="1:36" ht="14.25" hidden="1" x14ac:dyDescent="0.2">
      <c r="A1087" t="s">
        <v>1843</v>
      </c>
      <c r="B1087" s="1">
        <v>46055</v>
      </c>
      <c r="C1087" t="s">
        <v>24</v>
      </c>
      <c r="D1087" t="s">
        <v>25</v>
      </c>
      <c r="E1087" t="s">
        <v>26</v>
      </c>
      <c r="F1087" t="s">
        <v>74</v>
      </c>
      <c r="G1087" t="s">
        <v>75</v>
      </c>
      <c r="H1087" t="s">
        <v>76</v>
      </c>
      <c r="I1087" t="s">
        <v>56</v>
      </c>
      <c r="J1087" t="s">
        <v>179</v>
      </c>
      <c r="K1087" t="s">
        <v>78</v>
      </c>
      <c r="L1087" t="s">
        <v>67</v>
      </c>
      <c r="M1087" t="s">
        <v>87</v>
      </c>
      <c r="N1087" t="s">
        <v>69</v>
      </c>
      <c r="O1087" t="s">
        <v>36</v>
      </c>
      <c r="P1087" t="s">
        <v>49</v>
      </c>
      <c r="Q1087" t="s">
        <v>204</v>
      </c>
      <c r="R1087">
        <v>284</v>
      </c>
      <c r="S1087">
        <v>139</v>
      </c>
      <c r="T1087">
        <v>100</v>
      </c>
      <c r="U1087">
        <v>34</v>
      </c>
      <c r="V1087" t="s">
        <v>6765</v>
      </c>
      <c r="W1087">
        <v>46382</v>
      </c>
      <c r="X1087" t="s">
        <v>4573</v>
      </c>
      <c r="Y1087">
        <v>35229</v>
      </c>
      <c r="Z1087">
        <v>1576988</v>
      </c>
      <c r="AA1087">
        <v>379202</v>
      </c>
      <c r="AB1087" t="str">
        <f>(VLOOKUP(SalesData[[#This Row],[Month Number]],Reference!C$5:E$16,2,FALSE))</f>
        <v>Feb</v>
      </c>
      <c r="AC1087">
        <f>MONTH(SalesData[[#This Row],[Date]])</f>
        <v>2</v>
      </c>
      <c r="AD1087">
        <f>Reference!F$4</f>
        <v>2026</v>
      </c>
      <c r="AE1087" t="str">
        <f>IF(OR(SalesData[[#This Row],[Day]]="Saturday",SalesData[[#This Row],[Day]]="Sunday"),"Weekend","Weekday")</f>
        <v>Weekday</v>
      </c>
      <c r="AF1087" s="5">
        <f>IF(SalesData[[#This Row],[Contracts Offered]]=0,0,SalesData[[#This Row],[Contracts Signed]]/SalesData[[#This Row],[Contracts Offered]])</f>
        <v>0.34</v>
      </c>
      <c r="AG1087" s="5">
        <f>IF(SalesData[[#This Row],[Customers Visited]]=0,0,SalesData[[#This Row],[Test Drives]]/SalesData[[#This Row],[Customers Visited]])</f>
        <v>0.48943661971830987</v>
      </c>
      <c r="AH1087" s="5">
        <f>IF(SalesData[[#This Row],[Customers Visited]]=0,0,SalesData[[#This Row],[Contracts Signed]]/SalesData[[#This Row],[Customers Visited]])</f>
        <v>0.11971830985915492</v>
      </c>
      <c r="AI1087" s="6">
        <f>IF(SalesData[[#This Row],[Contracts Signed]]=0,0,SalesData[[#This Row],[Profit(€)]]/SalesData[[#This Row],[Contracts Signed]])</f>
        <v>11153</v>
      </c>
      <c r="AJ1087" s="5" t="str">
        <f>TRIM(CLEAN(SalesData[[#This Row],[Retailer]]))</f>
        <v>Stuttgart Auto Center</v>
      </c>
    </row>
    <row r="1088" spans="1:36" ht="14.25" hidden="1" x14ac:dyDescent="0.2">
      <c r="A1088" t="s">
        <v>1844</v>
      </c>
      <c r="B1088" s="1">
        <v>46068</v>
      </c>
      <c r="C1088" t="s">
        <v>62</v>
      </c>
      <c r="D1088" t="s">
        <v>41</v>
      </c>
      <c r="E1088" t="s">
        <v>42</v>
      </c>
      <c r="F1088" t="s">
        <v>94</v>
      </c>
      <c r="G1088" t="s">
        <v>95</v>
      </c>
      <c r="H1088" t="s">
        <v>96</v>
      </c>
      <c r="I1088" t="s">
        <v>64</v>
      </c>
      <c r="J1088" t="s">
        <v>111</v>
      </c>
      <c r="K1088" t="s">
        <v>91</v>
      </c>
      <c r="L1088" t="s">
        <v>46</v>
      </c>
      <c r="M1088" t="s">
        <v>47</v>
      </c>
      <c r="N1088" t="s">
        <v>35</v>
      </c>
      <c r="O1088" t="s">
        <v>70</v>
      </c>
      <c r="P1088" t="s">
        <v>37</v>
      </c>
      <c r="Q1088" t="s">
        <v>88</v>
      </c>
      <c r="R1088">
        <v>201</v>
      </c>
      <c r="S1088">
        <v>113</v>
      </c>
      <c r="T1088">
        <v>86</v>
      </c>
      <c r="U1088">
        <v>29</v>
      </c>
      <c r="V1088" t="s">
        <v>6668</v>
      </c>
      <c r="W1088">
        <v>52677</v>
      </c>
      <c r="X1088" t="s">
        <v>7078</v>
      </c>
      <c r="Y1088">
        <v>38126</v>
      </c>
      <c r="Z1088">
        <v>1527633</v>
      </c>
      <c r="AA1088">
        <v>421979</v>
      </c>
      <c r="AB1088" t="str">
        <f>(VLOOKUP(SalesData[[#This Row],[Month Number]],Reference!C$5:E$16,2,FALSE))</f>
        <v>Feb</v>
      </c>
      <c r="AC1088">
        <f>MONTH(SalesData[[#This Row],[Date]])</f>
        <v>2</v>
      </c>
      <c r="AD1088">
        <f>Reference!F$4</f>
        <v>2026</v>
      </c>
      <c r="AE1088" t="str">
        <f>IF(OR(SalesData[[#This Row],[Day]]="Saturday",SalesData[[#This Row],[Day]]="Sunday"),"Weekend","Weekday")</f>
        <v>Weekend</v>
      </c>
      <c r="AF1088" s="5">
        <f>IF(SalesData[[#This Row],[Contracts Offered]]=0,0,SalesData[[#This Row],[Contracts Signed]]/SalesData[[#This Row],[Contracts Offered]])</f>
        <v>0.33720930232558138</v>
      </c>
      <c r="AG1088" s="5">
        <f>IF(SalesData[[#This Row],[Customers Visited]]=0,0,SalesData[[#This Row],[Test Drives]]/SalesData[[#This Row],[Customers Visited]])</f>
        <v>0.56218905472636815</v>
      </c>
      <c r="AH1088" s="5">
        <f>IF(SalesData[[#This Row],[Customers Visited]]=0,0,SalesData[[#This Row],[Contracts Signed]]/SalesData[[#This Row],[Customers Visited]])</f>
        <v>0.14427860696517414</v>
      </c>
      <c r="AI1088" s="6">
        <f>IF(SalesData[[#This Row],[Contracts Signed]]=0,0,SalesData[[#This Row],[Profit(€)]]/SalesData[[#This Row],[Contracts Signed]])</f>
        <v>14551</v>
      </c>
      <c r="AJ1088" s="5" t="str">
        <f>TRIM(CLEAN(SalesData[[#This Row],[Retailer]]))</f>
        <v>Bavaria Motors</v>
      </c>
    </row>
    <row r="1089" spans="1:36" ht="14.25" hidden="1" x14ac:dyDescent="0.2">
      <c r="A1089" t="s">
        <v>1845</v>
      </c>
      <c r="B1089" s="1">
        <v>46063</v>
      </c>
      <c r="C1089" t="s">
        <v>121</v>
      </c>
      <c r="D1089" t="s">
        <v>63</v>
      </c>
      <c r="E1089" t="s">
        <v>26</v>
      </c>
      <c r="F1089" t="s">
        <v>101</v>
      </c>
      <c r="G1089" t="s">
        <v>102</v>
      </c>
      <c r="H1089" t="s">
        <v>103</v>
      </c>
      <c r="I1089" t="s">
        <v>56</v>
      </c>
      <c r="J1089" t="s">
        <v>137</v>
      </c>
      <c r="K1089" t="s">
        <v>91</v>
      </c>
      <c r="L1089" t="s">
        <v>46</v>
      </c>
      <c r="M1089" t="s">
        <v>34</v>
      </c>
      <c r="N1089" t="s">
        <v>69</v>
      </c>
      <c r="O1089" t="s">
        <v>36</v>
      </c>
      <c r="P1089" t="s">
        <v>37</v>
      </c>
      <c r="Q1089" t="s">
        <v>240</v>
      </c>
      <c r="R1089">
        <v>318</v>
      </c>
      <c r="S1089">
        <v>180</v>
      </c>
      <c r="T1089">
        <v>130</v>
      </c>
      <c r="U1089">
        <v>35</v>
      </c>
      <c r="V1089" t="s">
        <v>1767</v>
      </c>
      <c r="W1089">
        <v>46314</v>
      </c>
      <c r="X1089" t="s">
        <v>3793</v>
      </c>
      <c r="Y1089">
        <v>37556</v>
      </c>
      <c r="Z1089">
        <v>1620990</v>
      </c>
      <c r="AA1089">
        <v>306530</v>
      </c>
      <c r="AB1089" t="str">
        <f>(VLOOKUP(SalesData[[#This Row],[Month Number]],Reference!C$5:E$16,2,FALSE))</f>
        <v>Feb</v>
      </c>
      <c r="AC1089">
        <f>MONTH(SalesData[[#This Row],[Date]])</f>
        <v>2</v>
      </c>
      <c r="AD1089">
        <f>Reference!F$4</f>
        <v>2026</v>
      </c>
      <c r="AE1089" t="str">
        <f>IF(OR(SalesData[[#This Row],[Day]]="Saturday",SalesData[[#This Row],[Day]]="Sunday"),"Weekend","Weekday")</f>
        <v>Weekday</v>
      </c>
      <c r="AF1089" s="5">
        <f>IF(SalesData[[#This Row],[Contracts Offered]]=0,0,SalesData[[#This Row],[Contracts Signed]]/SalesData[[#This Row],[Contracts Offered]])</f>
        <v>0.26923076923076922</v>
      </c>
      <c r="AG1089" s="5">
        <f>IF(SalesData[[#This Row],[Customers Visited]]=0,0,SalesData[[#This Row],[Test Drives]]/SalesData[[#This Row],[Customers Visited]])</f>
        <v>0.56603773584905659</v>
      </c>
      <c r="AH1089" s="5">
        <f>IF(SalesData[[#This Row],[Customers Visited]]=0,0,SalesData[[#This Row],[Contracts Signed]]/SalesData[[#This Row],[Customers Visited]])</f>
        <v>0.11006289308176101</v>
      </c>
      <c r="AI1089" s="6">
        <f>IF(SalesData[[#This Row],[Contracts Signed]]=0,0,SalesData[[#This Row],[Profit(€)]]/SalesData[[#This Row],[Contracts Signed]])</f>
        <v>8758</v>
      </c>
      <c r="AJ1089" s="5" t="str">
        <f>TRIM(CLEAN(SalesData[[#This Row],[Retailer]]))</f>
        <v>Ruhr Auto Plaza</v>
      </c>
    </row>
    <row r="1090" spans="1:36" ht="14.25" x14ac:dyDescent="0.2">
      <c r="A1090" t="s">
        <v>1846</v>
      </c>
      <c r="B1090" s="1">
        <v>46060</v>
      </c>
      <c r="C1090" t="s">
        <v>24</v>
      </c>
      <c r="D1090" t="s">
        <v>151</v>
      </c>
      <c r="E1090" t="s">
        <v>42</v>
      </c>
      <c r="F1090" t="s">
        <v>27</v>
      </c>
      <c r="G1090" t="s">
        <v>28</v>
      </c>
      <c r="H1090" t="s">
        <v>29</v>
      </c>
      <c r="I1090" t="s">
        <v>30</v>
      </c>
      <c r="J1090" t="s">
        <v>166</v>
      </c>
      <c r="K1090" t="s">
        <v>32</v>
      </c>
      <c r="L1090" t="s">
        <v>46</v>
      </c>
      <c r="M1090" t="s">
        <v>34</v>
      </c>
      <c r="N1090" t="s">
        <v>69</v>
      </c>
      <c r="O1090" t="s">
        <v>70</v>
      </c>
      <c r="P1090" t="s">
        <v>71</v>
      </c>
      <c r="Q1090" t="s">
        <v>59</v>
      </c>
      <c r="R1090">
        <v>201</v>
      </c>
      <c r="S1090">
        <v>119</v>
      </c>
      <c r="T1090">
        <v>95</v>
      </c>
      <c r="U1090">
        <v>35</v>
      </c>
      <c r="V1090" t="s">
        <v>6966</v>
      </c>
      <c r="W1090">
        <v>59666</v>
      </c>
      <c r="X1090" t="s">
        <v>552</v>
      </c>
      <c r="Y1090">
        <v>45648</v>
      </c>
      <c r="Z1090">
        <v>2088310</v>
      </c>
      <c r="AA1090">
        <v>490630</v>
      </c>
      <c r="AB1090" t="str">
        <f>(VLOOKUP(SalesData[[#This Row],[Month Number]],Reference!C$5:E$16,2,FALSE))</f>
        <v>Feb</v>
      </c>
      <c r="AC1090">
        <f>MONTH(SalesData[[#This Row],[Date]])</f>
        <v>2</v>
      </c>
      <c r="AD1090">
        <f>Reference!F$4</f>
        <v>2026</v>
      </c>
      <c r="AE1090" t="str">
        <f>IF(OR(SalesData[[#This Row],[Day]]="Saturday",SalesData[[#This Row],[Day]]="Sunday"),"Weekend","Weekday")</f>
        <v>Weekend</v>
      </c>
      <c r="AF1090" s="5">
        <f>IF(SalesData[[#This Row],[Contracts Offered]]=0,0,SalesData[[#This Row],[Contracts Signed]]/SalesData[[#This Row],[Contracts Offered]])</f>
        <v>0.36842105263157893</v>
      </c>
      <c r="AG1090" s="5">
        <f>IF(SalesData[[#This Row],[Customers Visited]]=0,0,SalesData[[#This Row],[Test Drives]]/SalesData[[#This Row],[Customers Visited]])</f>
        <v>0.59203980099502485</v>
      </c>
      <c r="AH1090" s="5">
        <f>IF(SalesData[[#This Row],[Customers Visited]]=0,0,SalesData[[#This Row],[Contracts Signed]]/SalesData[[#This Row],[Customers Visited]])</f>
        <v>0.17412935323383086</v>
      </c>
      <c r="AI1090" s="6">
        <f>IF(SalesData[[#This Row],[Contracts Signed]]=0,0,SalesData[[#This Row],[Profit(€)]]/SalesData[[#This Row],[Contracts Signed]])</f>
        <v>14018</v>
      </c>
      <c r="AJ1090" s="5" t="str">
        <f>TRIM(CLEAN(SalesData[[#This Row],[Retailer]]))</f>
        <v>Main Auto Hub</v>
      </c>
    </row>
    <row r="1091" spans="1:36" ht="14.25" hidden="1" x14ac:dyDescent="0.2">
      <c r="A1091" t="s">
        <v>1847</v>
      </c>
      <c r="B1091" s="1">
        <v>46056</v>
      </c>
      <c r="C1091" t="s">
        <v>24</v>
      </c>
      <c r="D1091" t="s">
        <v>63</v>
      </c>
      <c r="E1091" t="s">
        <v>26</v>
      </c>
      <c r="F1091" t="s">
        <v>83</v>
      </c>
      <c r="G1091" t="s">
        <v>84</v>
      </c>
      <c r="H1091" t="s">
        <v>85</v>
      </c>
      <c r="I1091" t="s">
        <v>64</v>
      </c>
      <c r="J1091" t="s">
        <v>65</v>
      </c>
      <c r="K1091" t="s">
        <v>78</v>
      </c>
      <c r="L1091" t="s">
        <v>33</v>
      </c>
      <c r="M1091" t="s">
        <v>87</v>
      </c>
      <c r="N1091" t="s">
        <v>48</v>
      </c>
      <c r="O1091" t="s">
        <v>36</v>
      </c>
      <c r="P1091" t="s">
        <v>37</v>
      </c>
      <c r="Q1091" t="s">
        <v>38</v>
      </c>
      <c r="R1091">
        <v>259</v>
      </c>
      <c r="S1091">
        <v>146</v>
      </c>
      <c r="T1091">
        <v>101</v>
      </c>
      <c r="U1091">
        <v>34</v>
      </c>
      <c r="V1091" t="s">
        <v>6675</v>
      </c>
      <c r="W1091">
        <v>65242</v>
      </c>
      <c r="X1091" t="s">
        <v>569</v>
      </c>
      <c r="Y1091">
        <v>47492</v>
      </c>
      <c r="Z1091">
        <v>2218228</v>
      </c>
      <c r="AA1091">
        <v>603500</v>
      </c>
      <c r="AB1091" t="str">
        <f>(VLOOKUP(SalesData[[#This Row],[Month Number]],Reference!C$5:E$16,2,FALSE))</f>
        <v>Feb</v>
      </c>
      <c r="AC1091">
        <f>MONTH(SalesData[[#This Row],[Date]])</f>
        <v>2</v>
      </c>
      <c r="AD1091">
        <f>Reference!F$4</f>
        <v>2026</v>
      </c>
      <c r="AE1091" t="str">
        <f>IF(OR(SalesData[[#This Row],[Day]]="Saturday",SalesData[[#This Row],[Day]]="Sunday"),"Weekend","Weekday")</f>
        <v>Weekday</v>
      </c>
      <c r="AF1091" s="5">
        <f>IF(SalesData[[#This Row],[Contracts Offered]]=0,0,SalesData[[#This Row],[Contracts Signed]]/SalesData[[#This Row],[Contracts Offered]])</f>
        <v>0.33663366336633666</v>
      </c>
      <c r="AG1091" s="5">
        <f>IF(SalesData[[#This Row],[Customers Visited]]=0,0,SalesData[[#This Row],[Test Drives]]/SalesData[[#This Row],[Customers Visited]])</f>
        <v>0.56370656370656369</v>
      </c>
      <c r="AH1091" s="5">
        <f>IF(SalesData[[#This Row],[Customers Visited]]=0,0,SalesData[[#This Row],[Contracts Signed]]/SalesData[[#This Row],[Customers Visited]])</f>
        <v>0.13127413127413126</v>
      </c>
      <c r="AI1091" s="6">
        <f>IF(SalesData[[#This Row],[Contracts Signed]]=0,0,SalesData[[#This Row],[Profit(€)]]/SalesData[[#This Row],[Contracts Signed]])</f>
        <v>17750</v>
      </c>
      <c r="AJ1091" s="5" t="str">
        <f>TRIM(CLEAN(SalesData[[#This Row],[Retailer]]))</f>
        <v>Hannover Cars</v>
      </c>
    </row>
    <row r="1092" spans="1:36" ht="14.25" hidden="1" x14ac:dyDescent="0.2">
      <c r="A1092" t="s">
        <v>1848</v>
      </c>
      <c r="B1092" s="1">
        <v>46054</v>
      </c>
      <c r="C1092" t="s">
        <v>24</v>
      </c>
      <c r="D1092" t="s">
        <v>41</v>
      </c>
      <c r="E1092" t="s">
        <v>42</v>
      </c>
      <c r="F1092" t="s">
        <v>27</v>
      </c>
      <c r="G1092" t="s">
        <v>28</v>
      </c>
      <c r="H1092" t="s">
        <v>29</v>
      </c>
      <c r="I1092" t="s">
        <v>56</v>
      </c>
      <c r="J1092" t="s">
        <v>179</v>
      </c>
      <c r="K1092" t="s">
        <v>78</v>
      </c>
      <c r="L1092" t="s">
        <v>67</v>
      </c>
      <c r="M1092" t="s">
        <v>34</v>
      </c>
      <c r="N1092" t="s">
        <v>69</v>
      </c>
      <c r="O1092" t="s">
        <v>70</v>
      </c>
      <c r="P1092" t="s">
        <v>71</v>
      </c>
      <c r="Q1092" t="s">
        <v>172</v>
      </c>
      <c r="R1092">
        <v>191</v>
      </c>
      <c r="S1092">
        <v>101</v>
      </c>
      <c r="T1092">
        <v>65</v>
      </c>
      <c r="U1092">
        <v>24</v>
      </c>
      <c r="V1092" t="s">
        <v>6490</v>
      </c>
      <c r="W1092">
        <v>45303</v>
      </c>
      <c r="X1092" t="s">
        <v>7330</v>
      </c>
      <c r="Y1092">
        <v>34763</v>
      </c>
      <c r="Z1092">
        <v>1087272</v>
      </c>
      <c r="AA1092">
        <v>252960</v>
      </c>
      <c r="AB1092" t="str">
        <f>(VLOOKUP(SalesData[[#This Row],[Month Number]],Reference!C$5:E$16,2,FALSE))</f>
        <v>Feb</v>
      </c>
      <c r="AC1092">
        <f>MONTH(SalesData[[#This Row],[Date]])</f>
        <v>2</v>
      </c>
      <c r="AD1092">
        <f>Reference!F$4</f>
        <v>2026</v>
      </c>
      <c r="AE1092" t="str">
        <f>IF(OR(SalesData[[#This Row],[Day]]="Saturday",SalesData[[#This Row],[Day]]="Sunday"),"Weekend","Weekday")</f>
        <v>Weekend</v>
      </c>
      <c r="AF1092" s="5">
        <f>IF(SalesData[[#This Row],[Contracts Offered]]=0,0,SalesData[[#This Row],[Contracts Signed]]/SalesData[[#This Row],[Contracts Offered]])</f>
        <v>0.36923076923076925</v>
      </c>
      <c r="AG1092" s="5">
        <f>IF(SalesData[[#This Row],[Customers Visited]]=0,0,SalesData[[#This Row],[Test Drives]]/SalesData[[#This Row],[Customers Visited]])</f>
        <v>0.52879581151832455</v>
      </c>
      <c r="AH1092" s="5">
        <f>IF(SalesData[[#This Row],[Customers Visited]]=0,0,SalesData[[#This Row],[Contracts Signed]]/SalesData[[#This Row],[Customers Visited]])</f>
        <v>0.1256544502617801</v>
      </c>
      <c r="AI1092" s="6">
        <f>IF(SalesData[[#This Row],[Contracts Signed]]=0,0,SalesData[[#This Row],[Profit(€)]]/SalesData[[#This Row],[Contracts Signed]])</f>
        <v>10540</v>
      </c>
      <c r="AJ1092" s="5" t="str">
        <f>TRIM(CLEAN(SalesData[[#This Row],[Retailer]]))</f>
        <v>Main Auto Hub</v>
      </c>
    </row>
    <row r="1093" spans="1:36" ht="14.25" x14ac:dyDescent="0.2">
      <c r="A1093" t="s">
        <v>1849</v>
      </c>
      <c r="B1093" s="1">
        <v>46074</v>
      </c>
      <c r="C1093" t="s">
        <v>62</v>
      </c>
      <c r="D1093" t="s">
        <v>151</v>
      </c>
      <c r="E1093" t="s">
        <v>42</v>
      </c>
      <c r="F1093" t="s">
        <v>27</v>
      </c>
      <c r="G1093" t="s">
        <v>28</v>
      </c>
      <c r="H1093" t="s">
        <v>29</v>
      </c>
      <c r="I1093" t="s">
        <v>30</v>
      </c>
      <c r="J1093" t="s">
        <v>86</v>
      </c>
      <c r="K1093" t="s">
        <v>66</v>
      </c>
      <c r="L1093" t="s">
        <v>33</v>
      </c>
      <c r="M1093" t="s">
        <v>68</v>
      </c>
      <c r="N1093" t="s">
        <v>69</v>
      </c>
      <c r="O1093" t="s">
        <v>36</v>
      </c>
      <c r="P1093" t="s">
        <v>37</v>
      </c>
      <c r="Q1093" t="s">
        <v>38</v>
      </c>
      <c r="R1093">
        <v>173</v>
      </c>
      <c r="S1093">
        <v>102</v>
      </c>
      <c r="T1093">
        <v>73</v>
      </c>
      <c r="U1093">
        <v>27</v>
      </c>
      <c r="V1093" t="s">
        <v>6486</v>
      </c>
      <c r="W1093">
        <v>66583</v>
      </c>
      <c r="X1093" t="s">
        <v>7337</v>
      </c>
      <c r="Y1093">
        <v>48163</v>
      </c>
      <c r="Z1093">
        <v>1797741</v>
      </c>
      <c r="AA1093">
        <v>497340</v>
      </c>
      <c r="AB1093" t="str">
        <f>(VLOOKUP(SalesData[[#This Row],[Month Number]],Reference!C$5:E$16,2,FALSE))</f>
        <v>Feb</v>
      </c>
      <c r="AC1093">
        <f>MONTH(SalesData[[#This Row],[Date]])</f>
        <v>2</v>
      </c>
      <c r="AD1093">
        <f>Reference!F$4</f>
        <v>2026</v>
      </c>
      <c r="AE1093" t="str">
        <f>IF(OR(SalesData[[#This Row],[Day]]="Saturday",SalesData[[#This Row],[Day]]="Sunday"),"Weekend","Weekday")</f>
        <v>Weekend</v>
      </c>
      <c r="AF1093" s="5">
        <f>IF(SalesData[[#This Row],[Contracts Offered]]=0,0,SalesData[[#This Row],[Contracts Signed]]/SalesData[[#This Row],[Contracts Offered]])</f>
        <v>0.36986301369863012</v>
      </c>
      <c r="AG1093" s="5">
        <f>IF(SalesData[[#This Row],[Customers Visited]]=0,0,SalesData[[#This Row],[Test Drives]]/SalesData[[#This Row],[Customers Visited]])</f>
        <v>0.58959537572254339</v>
      </c>
      <c r="AH1093" s="5">
        <f>IF(SalesData[[#This Row],[Customers Visited]]=0,0,SalesData[[#This Row],[Contracts Signed]]/SalesData[[#This Row],[Customers Visited]])</f>
        <v>0.15606936416184972</v>
      </c>
      <c r="AI1093" s="6">
        <f>IF(SalesData[[#This Row],[Contracts Signed]]=0,0,SalesData[[#This Row],[Profit(€)]]/SalesData[[#This Row],[Contracts Signed]])</f>
        <v>18420</v>
      </c>
      <c r="AJ1093" s="5" t="str">
        <f>TRIM(CLEAN(SalesData[[#This Row],[Retailer]]))</f>
        <v>Main Auto Hub</v>
      </c>
    </row>
    <row r="1094" spans="1:36" ht="14.25" hidden="1" x14ac:dyDescent="0.2">
      <c r="A1094" t="s">
        <v>1851</v>
      </c>
      <c r="B1094" s="1">
        <v>46069</v>
      </c>
      <c r="C1094" t="s">
        <v>62</v>
      </c>
      <c r="D1094" t="s">
        <v>25</v>
      </c>
      <c r="E1094" t="s">
        <v>26</v>
      </c>
      <c r="F1094" t="s">
        <v>7649</v>
      </c>
      <c r="G1094" t="s">
        <v>55</v>
      </c>
      <c r="H1094" t="s">
        <v>55</v>
      </c>
      <c r="I1094" t="s">
        <v>56</v>
      </c>
      <c r="J1094" t="s">
        <v>7028</v>
      </c>
      <c r="K1094" t="s">
        <v>91</v>
      </c>
      <c r="L1094" t="s">
        <v>46</v>
      </c>
      <c r="M1094" t="s">
        <v>87</v>
      </c>
      <c r="N1094" t="s">
        <v>48</v>
      </c>
      <c r="O1094" t="s">
        <v>36</v>
      </c>
      <c r="P1094" t="s">
        <v>71</v>
      </c>
      <c r="Q1094" t="s">
        <v>347</v>
      </c>
      <c r="R1094">
        <v>279</v>
      </c>
      <c r="S1094">
        <v>129</v>
      </c>
      <c r="T1094">
        <v>83</v>
      </c>
      <c r="U1094">
        <v>33</v>
      </c>
      <c r="V1094" t="s">
        <v>6469</v>
      </c>
      <c r="W1094">
        <v>51049</v>
      </c>
      <c r="X1094" t="s">
        <v>4917</v>
      </c>
      <c r="Y1094">
        <v>39263</v>
      </c>
      <c r="Z1094">
        <v>1684617</v>
      </c>
      <c r="AA1094">
        <v>388938</v>
      </c>
      <c r="AB1094" t="str">
        <f>(VLOOKUP(SalesData[[#This Row],[Month Number]],Reference!C$5:E$16,2,FALSE))</f>
        <v>Feb</v>
      </c>
      <c r="AC1094">
        <f>MONTH(SalesData[[#This Row],[Date]])</f>
        <v>2</v>
      </c>
      <c r="AD1094">
        <f>Reference!F$4</f>
        <v>2026</v>
      </c>
      <c r="AE1094" t="str">
        <f>IF(OR(SalesData[[#This Row],[Day]]="Saturday",SalesData[[#This Row],[Day]]="Sunday"),"Weekend","Weekday")</f>
        <v>Weekday</v>
      </c>
      <c r="AF1094" s="5">
        <f>IF(SalesData[[#This Row],[Contracts Offered]]=0,0,SalesData[[#This Row],[Contracts Signed]]/SalesData[[#This Row],[Contracts Offered]])</f>
        <v>0.39759036144578314</v>
      </c>
      <c r="AG1094" s="5">
        <f>IF(SalesData[[#This Row],[Customers Visited]]=0,0,SalesData[[#This Row],[Test Drives]]/SalesData[[#This Row],[Customers Visited]])</f>
        <v>0.46236559139784944</v>
      </c>
      <c r="AH1094" s="5">
        <f>IF(SalesData[[#This Row],[Customers Visited]]=0,0,SalesData[[#This Row],[Contracts Signed]]/SalesData[[#This Row],[Customers Visited]])</f>
        <v>0.11827956989247312</v>
      </c>
      <c r="AI1094" s="6">
        <f>IF(SalesData[[#This Row],[Contracts Signed]]=0,0,SalesData[[#This Row],[Profit(€)]]/SalesData[[#This Row],[Contracts Signed]])</f>
        <v>11786</v>
      </c>
      <c r="AJ1094" s="5" t="str">
        <f>TRIM(CLEAN(SalesData[[#This Row],[Retailer]]))</f>
        <v>Autohaus Berlin</v>
      </c>
    </row>
    <row r="1095" spans="1:36" ht="14.25" hidden="1" x14ac:dyDescent="0.2">
      <c r="A1095" t="s">
        <v>1852</v>
      </c>
      <c r="B1095" s="1">
        <v>46060</v>
      </c>
      <c r="C1095" t="s">
        <v>24</v>
      </c>
      <c r="D1095" t="s">
        <v>151</v>
      </c>
      <c r="E1095" t="s">
        <v>42</v>
      </c>
      <c r="F1095" t="s">
        <v>83</v>
      </c>
      <c r="G1095" t="s">
        <v>84</v>
      </c>
      <c r="H1095" t="s">
        <v>85</v>
      </c>
      <c r="I1095" t="s">
        <v>104</v>
      </c>
      <c r="J1095" t="s">
        <v>140</v>
      </c>
      <c r="K1095" t="s">
        <v>78</v>
      </c>
      <c r="L1095" t="s">
        <v>46</v>
      </c>
      <c r="M1095" t="s">
        <v>47</v>
      </c>
      <c r="N1095" t="s">
        <v>35</v>
      </c>
      <c r="O1095" t="s">
        <v>36</v>
      </c>
      <c r="P1095" t="s">
        <v>58</v>
      </c>
      <c r="Q1095" t="s">
        <v>129</v>
      </c>
      <c r="R1095">
        <v>320</v>
      </c>
      <c r="S1095">
        <v>149</v>
      </c>
      <c r="T1095">
        <v>100</v>
      </c>
      <c r="U1095">
        <v>25</v>
      </c>
      <c r="V1095" t="s">
        <v>5143</v>
      </c>
      <c r="W1095">
        <v>30402</v>
      </c>
      <c r="X1095" t="s">
        <v>1992</v>
      </c>
      <c r="Y1095">
        <v>27653</v>
      </c>
      <c r="Z1095">
        <v>760050</v>
      </c>
      <c r="AA1095">
        <v>68725</v>
      </c>
      <c r="AB1095" t="str">
        <f>(VLOOKUP(SalesData[[#This Row],[Month Number]],Reference!C$5:E$16,2,FALSE))</f>
        <v>Feb</v>
      </c>
      <c r="AC1095">
        <f>MONTH(SalesData[[#This Row],[Date]])</f>
        <v>2</v>
      </c>
      <c r="AD1095">
        <f>Reference!F$4</f>
        <v>2026</v>
      </c>
      <c r="AE1095" t="str">
        <f>IF(OR(SalesData[[#This Row],[Day]]="Saturday",SalesData[[#This Row],[Day]]="Sunday"),"Weekend","Weekday")</f>
        <v>Weekend</v>
      </c>
      <c r="AF1095" s="5">
        <f>IF(SalesData[[#This Row],[Contracts Offered]]=0,0,SalesData[[#This Row],[Contracts Signed]]/SalesData[[#This Row],[Contracts Offered]])</f>
        <v>0.25</v>
      </c>
      <c r="AG1095" s="5">
        <f>IF(SalesData[[#This Row],[Customers Visited]]=0,0,SalesData[[#This Row],[Test Drives]]/SalesData[[#This Row],[Customers Visited]])</f>
        <v>0.46562500000000001</v>
      </c>
      <c r="AH1095" s="5">
        <f>IF(SalesData[[#This Row],[Customers Visited]]=0,0,SalesData[[#This Row],[Contracts Signed]]/SalesData[[#This Row],[Customers Visited]])</f>
        <v>7.8125E-2</v>
      </c>
      <c r="AI1095" s="6">
        <f>IF(SalesData[[#This Row],[Contracts Signed]]=0,0,SalesData[[#This Row],[Profit(€)]]/SalesData[[#This Row],[Contracts Signed]])</f>
        <v>2749</v>
      </c>
      <c r="AJ1095" s="5" t="str">
        <f>TRIM(CLEAN(SalesData[[#This Row],[Retailer]]))</f>
        <v>Hannover Cars</v>
      </c>
    </row>
    <row r="1096" spans="1:36" ht="14.25" hidden="1" x14ac:dyDescent="0.2">
      <c r="A1096" t="s">
        <v>1853</v>
      </c>
      <c r="B1096" s="1">
        <v>46059</v>
      </c>
      <c r="C1096" t="s">
        <v>24</v>
      </c>
      <c r="D1096" t="s">
        <v>54</v>
      </c>
      <c r="E1096" t="s">
        <v>26</v>
      </c>
      <c r="F1096" t="s">
        <v>43</v>
      </c>
      <c r="G1096" t="s">
        <v>44</v>
      </c>
      <c r="H1096" t="s">
        <v>45</v>
      </c>
      <c r="I1096" t="s">
        <v>116</v>
      </c>
      <c r="J1096" t="s">
        <v>7026</v>
      </c>
      <c r="K1096" t="s">
        <v>66</v>
      </c>
      <c r="L1096" t="s">
        <v>46</v>
      </c>
      <c r="M1096" t="s">
        <v>87</v>
      </c>
      <c r="N1096" t="s">
        <v>48</v>
      </c>
      <c r="O1096" t="s">
        <v>70</v>
      </c>
      <c r="P1096" t="s">
        <v>71</v>
      </c>
      <c r="Q1096" t="s">
        <v>158</v>
      </c>
      <c r="R1096">
        <v>319</v>
      </c>
      <c r="S1096">
        <v>162</v>
      </c>
      <c r="T1096">
        <v>108</v>
      </c>
      <c r="U1096">
        <v>27</v>
      </c>
      <c r="V1096" t="s">
        <v>508</v>
      </c>
      <c r="W1096">
        <v>21347</v>
      </c>
      <c r="X1096" t="s">
        <v>6983</v>
      </c>
      <c r="Y1096">
        <v>19489</v>
      </c>
      <c r="Z1096">
        <v>576369</v>
      </c>
      <c r="AA1096">
        <v>50166</v>
      </c>
      <c r="AB1096" t="str">
        <f>(VLOOKUP(SalesData[[#This Row],[Month Number]],Reference!C$5:E$16,2,FALSE))</f>
        <v>Feb</v>
      </c>
      <c r="AC1096">
        <f>MONTH(SalesData[[#This Row],[Date]])</f>
        <v>2</v>
      </c>
      <c r="AD1096">
        <f>Reference!F$4</f>
        <v>2026</v>
      </c>
      <c r="AE1096" t="str">
        <f>IF(OR(SalesData[[#This Row],[Day]]="Saturday",SalesData[[#This Row],[Day]]="Sunday"),"Weekend","Weekday")</f>
        <v>Weekday</v>
      </c>
      <c r="AF1096" s="5">
        <f>IF(SalesData[[#This Row],[Contracts Offered]]=0,0,SalesData[[#This Row],[Contracts Signed]]/SalesData[[#This Row],[Contracts Offered]])</f>
        <v>0.25</v>
      </c>
      <c r="AG1096" s="5">
        <f>IF(SalesData[[#This Row],[Customers Visited]]=0,0,SalesData[[#This Row],[Test Drives]]/SalesData[[#This Row],[Customers Visited]])</f>
        <v>0.50783699059561127</v>
      </c>
      <c r="AH1096" s="5">
        <f>IF(SalesData[[#This Row],[Customers Visited]]=0,0,SalesData[[#This Row],[Contracts Signed]]/SalesData[[#This Row],[Customers Visited]])</f>
        <v>8.4639498432601878E-2</v>
      </c>
      <c r="AI1096" s="6">
        <f>IF(SalesData[[#This Row],[Contracts Signed]]=0,0,SalesData[[#This Row],[Profit(€)]]/SalesData[[#This Row],[Contracts Signed]])</f>
        <v>1858</v>
      </c>
      <c r="AJ1096" s="5" t="str">
        <f>TRIM(CLEAN(SalesData[[#This Row],[Retailer]]))</f>
        <v>Saxon Wheels</v>
      </c>
    </row>
    <row r="1097" spans="1:36" ht="14.25" x14ac:dyDescent="0.2">
      <c r="A1097" t="s">
        <v>1854</v>
      </c>
      <c r="B1097" s="1">
        <v>46075</v>
      </c>
      <c r="C1097" t="s">
        <v>53</v>
      </c>
      <c r="D1097" t="s">
        <v>41</v>
      </c>
      <c r="E1097" t="s">
        <v>42</v>
      </c>
      <c r="F1097" t="s">
        <v>109</v>
      </c>
      <c r="G1097" t="s">
        <v>110</v>
      </c>
      <c r="H1097" t="s">
        <v>45</v>
      </c>
      <c r="I1097" t="s">
        <v>30</v>
      </c>
      <c r="J1097" t="s">
        <v>31</v>
      </c>
      <c r="K1097" t="s">
        <v>78</v>
      </c>
      <c r="L1097" t="s">
        <v>46</v>
      </c>
      <c r="M1097" t="s">
        <v>47</v>
      </c>
      <c r="N1097" t="s">
        <v>35</v>
      </c>
      <c r="O1097" t="s">
        <v>70</v>
      </c>
      <c r="P1097" t="s">
        <v>71</v>
      </c>
      <c r="Q1097" t="s">
        <v>106</v>
      </c>
      <c r="R1097">
        <v>167</v>
      </c>
      <c r="S1097">
        <v>83</v>
      </c>
      <c r="T1097">
        <v>66</v>
      </c>
      <c r="U1097">
        <v>22</v>
      </c>
      <c r="V1097" t="s">
        <v>6606</v>
      </c>
      <c r="W1097">
        <v>66567</v>
      </c>
      <c r="X1097" t="s">
        <v>7348</v>
      </c>
      <c r="Y1097">
        <v>50672</v>
      </c>
      <c r="Z1097">
        <v>1464474</v>
      </c>
      <c r="AA1097">
        <v>349690</v>
      </c>
      <c r="AB1097" t="str">
        <f>(VLOOKUP(SalesData[[#This Row],[Month Number]],Reference!C$5:E$16,2,FALSE))</f>
        <v>Feb</v>
      </c>
      <c r="AC1097">
        <f>MONTH(SalesData[[#This Row],[Date]])</f>
        <v>2</v>
      </c>
      <c r="AD1097">
        <f>Reference!F$4</f>
        <v>2026</v>
      </c>
      <c r="AE1097" t="str">
        <f>IF(OR(SalesData[[#This Row],[Day]]="Saturday",SalesData[[#This Row],[Day]]="Sunday"),"Weekend","Weekday")</f>
        <v>Weekend</v>
      </c>
      <c r="AF1097" s="5">
        <f>IF(SalesData[[#This Row],[Contracts Offered]]=0,0,SalesData[[#This Row],[Contracts Signed]]/SalesData[[#This Row],[Contracts Offered]])</f>
        <v>0.33333333333333331</v>
      </c>
      <c r="AG1097" s="5">
        <f>IF(SalesData[[#This Row],[Customers Visited]]=0,0,SalesData[[#This Row],[Test Drives]]/SalesData[[#This Row],[Customers Visited]])</f>
        <v>0.49700598802395207</v>
      </c>
      <c r="AH1097" s="5">
        <f>IF(SalesData[[#This Row],[Customers Visited]]=0,0,SalesData[[#This Row],[Contracts Signed]]/SalesData[[#This Row],[Customers Visited]])</f>
        <v>0.1317365269461078</v>
      </c>
      <c r="AI1097" s="6">
        <f>IF(SalesData[[#This Row],[Contracts Signed]]=0,0,SalesData[[#This Row],[Profit(€)]]/SalesData[[#This Row],[Contracts Signed]])</f>
        <v>15895</v>
      </c>
      <c r="AJ1097" s="5" t="str">
        <f>TRIM(CLEAN(SalesData[[#This Row],[Retailer]]))</f>
        <v>Leipzig Mobility</v>
      </c>
    </row>
    <row r="1098" spans="1:36" ht="14.25" hidden="1" x14ac:dyDescent="0.2">
      <c r="A1098" t="s">
        <v>1855</v>
      </c>
      <c r="B1098" s="1">
        <v>46072</v>
      </c>
      <c r="C1098" t="s">
        <v>62</v>
      </c>
      <c r="D1098" t="s">
        <v>100</v>
      </c>
      <c r="E1098" t="s">
        <v>26</v>
      </c>
      <c r="F1098" t="s">
        <v>114</v>
      </c>
      <c r="G1098" t="s">
        <v>115</v>
      </c>
      <c r="H1098" t="s">
        <v>115</v>
      </c>
      <c r="I1098" t="s">
        <v>56</v>
      </c>
      <c r="J1098" t="s">
        <v>179</v>
      </c>
      <c r="K1098" t="s">
        <v>78</v>
      </c>
      <c r="L1098" t="s">
        <v>67</v>
      </c>
      <c r="M1098" t="s">
        <v>68</v>
      </c>
      <c r="N1098" t="s">
        <v>69</v>
      </c>
      <c r="O1098" t="s">
        <v>36</v>
      </c>
      <c r="P1098" t="s">
        <v>58</v>
      </c>
      <c r="Q1098" t="s">
        <v>38</v>
      </c>
      <c r="R1098">
        <v>286</v>
      </c>
      <c r="S1098">
        <v>171</v>
      </c>
      <c r="T1098">
        <v>119</v>
      </c>
      <c r="U1098">
        <v>50</v>
      </c>
      <c r="V1098" t="s">
        <v>6840</v>
      </c>
      <c r="W1098">
        <v>40971</v>
      </c>
      <c r="X1098" t="s">
        <v>7036</v>
      </c>
      <c r="Y1098">
        <v>33413</v>
      </c>
      <c r="Z1098">
        <v>2048550</v>
      </c>
      <c r="AA1098">
        <v>377900</v>
      </c>
      <c r="AB1098" t="str">
        <f>(VLOOKUP(SalesData[[#This Row],[Month Number]],Reference!C$5:E$16,2,FALSE))</f>
        <v>Feb</v>
      </c>
      <c r="AC1098">
        <f>MONTH(SalesData[[#This Row],[Date]])</f>
        <v>2</v>
      </c>
      <c r="AD1098">
        <f>Reference!F$4</f>
        <v>2026</v>
      </c>
      <c r="AE1098" t="str">
        <f>IF(OR(SalesData[[#This Row],[Day]]="Saturday",SalesData[[#This Row],[Day]]="Sunday"),"Weekend","Weekday")</f>
        <v>Weekday</v>
      </c>
      <c r="AF1098" s="5">
        <f>IF(SalesData[[#This Row],[Contracts Offered]]=0,0,SalesData[[#This Row],[Contracts Signed]]/SalesData[[#This Row],[Contracts Offered]])</f>
        <v>0.42016806722689076</v>
      </c>
      <c r="AG1098" s="5">
        <f>IF(SalesData[[#This Row],[Customers Visited]]=0,0,SalesData[[#This Row],[Test Drives]]/SalesData[[#This Row],[Customers Visited]])</f>
        <v>0.59790209790209792</v>
      </c>
      <c r="AH1098" s="5">
        <f>IF(SalesData[[#This Row],[Customers Visited]]=0,0,SalesData[[#This Row],[Contracts Signed]]/SalesData[[#This Row],[Customers Visited]])</f>
        <v>0.17482517482517482</v>
      </c>
      <c r="AI1098" s="6">
        <f>IF(SalesData[[#This Row],[Contracts Signed]]=0,0,SalesData[[#This Row],[Profit(€)]]/SalesData[[#This Row],[Contracts Signed]])</f>
        <v>7558</v>
      </c>
      <c r="AJ1098" s="5" t="str">
        <f>TRIM(CLEAN(SalesData[[#This Row],[Retailer]]))</f>
        <v>Elbe Drive</v>
      </c>
    </row>
    <row r="1099" spans="1:36" ht="14.25" hidden="1" x14ac:dyDescent="0.2">
      <c r="A1099" t="s">
        <v>1856</v>
      </c>
      <c r="B1099" s="1">
        <v>46074</v>
      </c>
      <c r="C1099" t="s">
        <v>62</v>
      </c>
      <c r="D1099" t="s">
        <v>151</v>
      </c>
      <c r="E1099" t="s">
        <v>42</v>
      </c>
      <c r="F1099" t="s">
        <v>74</v>
      </c>
      <c r="G1099" t="s">
        <v>75</v>
      </c>
      <c r="H1099" t="s">
        <v>76</v>
      </c>
      <c r="I1099" t="s">
        <v>116</v>
      </c>
      <c r="J1099" t="s">
        <v>132</v>
      </c>
      <c r="K1099" t="s">
        <v>66</v>
      </c>
      <c r="L1099" t="s">
        <v>46</v>
      </c>
      <c r="M1099" t="s">
        <v>47</v>
      </c>
      <c r="N1099" t="s">
        <v>69</v>
      </c>
      <c r="O1099" t="s">
        <v>36</v>
      </c>
      <c r="P1099" t="s">
        <v>37</v>
      </c>
      <c r="Q1099" t="s">
        <v>59</v>
      </c>
      <c r="R1099">
        <v>417</v>
      </c>
      <c r="S1099">
        <v>217</v>
      </c>
      <c r="T1099">
        <v>142</v>
      </c>
      <c r="U1099">
        <v>39</v>
      </c>
      <c r="V1099" t="s">
        <v>4451</v>
      </c>
      <c r="W1099">
        <v>23685</v>
      </c>
      <c r="X1099" t="s">
        <v>7370</v>
      </c>
      <c r="Y1099">
        <v>21931</v>
      </c>
      <c r="Z1099">
        <v>923715</v>
      </c>
      <c r="AA1099">
        <v>68406</v>
      </c>
      <c r="AB1099" t="str">
        <f>(VLOOKUP(SalesData[[#This Row],[Month Number]],Reference!C$5:E$16,2,FALSE))</f>
        <v>Feb</v>
      </c>
      <c r="AC1099">
        <f>MONTH(SalesData[[#This Row],[Date]])</f>
        <v>2</v>
      </c>
      <c r="AD1099">
        <f>Reference!F$4</f>
        <v>2026</v>
      </c>
      <c r="AE1099" t="str">
        <f>IF(OR(SalesData[[#This Row],[Day]]="Saturday",SalesData[[#This Row],[Day]]="Sunday"),"Weekend","Weekday")</f>
        <v>Weekend</v>
      </c>
      <c r="AF1099" s="5">
        <f>IF(SalesData[[#This Row],[Contracts Offered]]=0,0,SalesData[[#This Row],[Contracts Signed]]/SalesData[[#This Row],[Contracts Offered]])</f>
        <v>0.27464788732394368</v>
      </c>
      <c r="AG1099" s="5">
        <f>IF(SalesData[[#This Row],[Customers Visited]]=0,0,SalesData[[#This Row],[Test Drives]]/SalesData[[#This Row],[Customers Visited]])</f>
        <v>0.52038369304556353</v>
      </c>
      <c r="AH1099" s="5">
        <f>IF(SalesData[[#This Row],[Customers Visited]]=0,0,SalesData[[#This Row],[Contracts Signed]]/SalesData[[#This Row],[Customers Visited]])</f>
        <v>9.3525179856115109E-2</v>
      </c>
      <c r="AI1099" s="6">
        <f>IF(SalesData[[#This Row],[Contracts Signed]]=0,0,SalesData[[#This Row],[Profit(€)]]/SalesData[[#This Row],[Contracts Signed]])</f>
        <v>1754</v>
      </c>
      <c r="AJ1099" s="5" t="str">
        <f>TRIM(CLEAN(SalesData[[#This Row],[Retailer]]))</f>
        <v>Stuttgart Auto Center</v>
      </c>
    </row>
    <row r="1100" spans="1:36" ht="14.25" hidden="1" x14ac:dyDescent="0.2">
      <c r="A1100" t="s">
        <v>1857</v>
      </c>
      <c r="B1100" s="1">
        <v>46067</v>
      </c>
      <c r="C1100" t="s">
        <v>121</v>
      </c>
      <c r="D1100" t="s">
        <v>151</v>
      </c>
      <c r="E1100" t="s">
        <v>42</v>
      </c>
      <c r="F1100" t="s">
        <v>94</v>
      </c>
      <c r="G1100" t="s">
        <v>95</v>
      </c>
      <c r="H1100" t="s">
        <v>96</v>
      </c>
      <c r="I1100" t="s">
        <v>56</v>
      </c>
      <c r="J1100" t="s">
        <v>137</v>
      </c>
      <c r="K1100" t="s">
        <v>32</v>
      </c>
      <c r="L1100" t="s">
        <v>46</v>
      </c>
      <c r="M1100" t="s">
        <v>68</v>
      </c>
      <c r="N1100" t="s">
        <v>69</v>
      </c>
      <c r="O1100" t="s">
        <v>36</v>
      </c>
      <c r="P1100" t="s">
        <v>49</v>
      </c>
      <c r="Q1100" t="s">
        <v>347</v>
      </c>
      <c r="R1100">
        <v>272</v>
      </c>
      <c r="S1100">
        <v>125</v>
      </c>
      <c r="T1100">
        <v>82</v>
      </c>
      <c r="U1100">
        <v>30</v>
      </c>
      <c r="V1100" t="s">
        <v>6629</v>
      </c>
      <c r="W1100">
        <v>43458</v>
      </c>
      <c r="X1100" t="s">
        <v>7371</v>
      </c>
      <c r="Y1100">
        <v>34918</v>
      </c>
      <c r="Z1100">
        <v>1303740</v>
      </c>
      <c r="AA1100">
        <v>256200</v>
      </c>
      <c r="AB1100" t="str">
        <f>(VLOOKUP(SalesData[[#This Row],[Month Number]],Reference!C$5:E$16,2,FALSE))</f>
        <v>Feb</v>
      </c>
      <c r="AC1100">
        <f>MONTH(SalesData[[#This Row],[Date]])</f>
        <v>2</v>
      </c>
      <c r="AD1100">
        <f>Reference!F$4</f>
        <v>2026</v>
      </c>
      <c r="AE1100" t="str">
        <f>IF(OR(SalesData[[#This Row],[Day]]="Saturday",SalesData[[#This Row],[Day]]="Sunday"),"Weekend","Weekday")</f>
        <v>Weekend</v>
      </c>
      <c r="AF1100" s="5">
        <f>IF(SalesData[[#This Row],[Contracts Offered]]=0,0,SalesData[[#This Row],[Contracts Signed]]/SalesData[[#This Row],[Contracts Offered]])</f>
        <v>0.36585365853658536</v>
      </c>
      <c r="AG1100" s="5">
        <f>IF(SalesData[[#This Row],[Customers Visited]]=0,0,SalesData[[#This Row],[Test Drives]]/SalesData[[#This Row],[Customers Visited]])</f>
        <v>0.45955882352941174</v>
      </c>
      <c r="AH1100" s="5">
        <f>IF(SalesData[[#This Row],[Customers Visited]]=0,0,SalesData[[#This Row],[Contracts Signed]]/SalesData[[#This Row],[Customers Visited]])</f>
        <v>0.11029411764705882</v>
      </c>
      <c r="AI1100" s="6">
        <f>IF(SalesData[[#This Row],[Contracts Signed]]=0,0,SalesData[[#This Row],[Profit(€)]]/SalesData[[#This Row],[Contracts Signed]])</f>
        <v>8540</v>
      </c>
      <c r="AJ1100" s="5" t="str">
        <f>TRIM(CLEAN(SalesData[[#This Row],[Retailer]]))</f>
        <v>Bavaria Motors</v>
      </c>
    </row>
    <row r="1101" spans="1:36" ht="14.25" hidden="1" x14ac:dyDescent="0.2">
      <c r="A1101" t="s">
        <v>1858</v>
      </c>
      <c r="B1101" s="1">
        <v>46056</v>
      </c>
      <c r="C1101" t="s">
        <v>24</v>
      </c>
      <c r="D1101" t="s">
        <v>63</v>
      </c>
      <c r="E1101" t="s">
        <v>26</v>
      </c>
      <c r="F1101" t="s">
        <v>114</v>
      </c>
      <c r="G1101" t="s">
        <v>115</v>
      </c>
      <c r="H1101" t="s">
        <v>115</v>
      </c>
      <c r="I1101" t="s">
        <v>64</v>
      </c>
      <c r="J1101" t="s">
        <v>7029</v>
      </c>
      <c r="K1101" t="s">
        <v>32</v>
      </c>
      <c r="L1101" t="s">
        <v>33</v>
      </c>
      <c r="M1101" t="s">
        <v>34</v>
      </c>
      <c r="N1101" t="s">
        <v>48</v>
      </c>
      <c r="O1101" t="s">
        <v>70</v>
      </c>
      <c r="P1101" t="s">
        <v>49</v>
      </c>
      <c r="Q1101" t="s">
        <v>240</v>
      </c>
      <c r="R1101">
        <v>226</v>
      </c>
      <c r="S1101">
        <v>126</v>
      </c>
      <c r="T1101">
        <v>85</v>
      </c>
      <c r="U1101">
        <v>28</v>
      </c>
      <c r="V1101" t="s">
        <v>6433</v>
      </c>
      <c r="W1101">
        <v>63600</v>
      </c>
      <c r="X1101" t="s">
        <v>92</v>
      </c>
      <c r="Y1101">
        <v>47498</v>
      </c>
      <c r="Z1101">
        <v>1780800</v>
      </c>
      <c r="AA1101">
        <v>450856</v>
      </c>
      <c r="AB1101" t="str">
        <f>(VLOOKUP(SalesData[[#This Row],[Month Number]],Reference!C$5:E$16,2,FALSE))</f>
        <v>Feb</v>
      </c>
      <c r="AC1101">
        <f>MONTH(SalesData[[#This Row],[Date]])</f>
        <v>2</v>
      </c>
      <c r="AD1101">
        <f>Reference!F$4</f>
        <v>2026</v>
      </c>
      <c r="AE1101" t="str">
        <f>IF(OR(SalesData[[#This Row],[Day]]="Saturday",SalesData[[#This Row],[Day]]="Sunday"),"Weekend","Weekday")</f>
        <v>Weekday</v>
      </c>
      <c r="AF1101" s="5">
        <f>IF(SalesData[[#This Row],[Contracts Offered]]=0,0,SalesData[[#This Row],[Contracts Signed]]/SalesData[[#This Row],[Contracts Offered]])</f>
        <v>0.32941176470588235</v>
      </c>
      <c r="AG1101" s="5">
        <f>IF(SalesData[[#This Row],[Customers Visited]]=0,0,SalesData[[#This Row],[Test Drives]]/SalesData[[#This Row],[Customers Visited]])</f>
        <v>0.55752212389380529</v>
      </c>
      <c r="AH1101" s="5">
        <f>IF(SalesData[[#This Row],[Customers Visited]]=0,0,SalesData[[#This Row],[Contracts Signed]]/SalesData[[#This Row],[Customers Visited]])</f>
        <v>0.12389380530973451</v>
      </c>
      <c r="AI1101" s="6">
        <f>IF(SalesData[[#This Row],[Contracts Signed]]=0,0,SalesData[[#This Row],[Profit(€)]]/SalesData[[#This Row],[Contracts Signed]])</f>
        <v>16102</v>
      </c>
      <c r="AJ1101" s="5" t="str">
        <f>TRIM(CLEAN(SalesData[[#This Row],[Retailer]]))</f>
        <v>Elbe Drive</v>
      </c>
    </row>
    <row r="1102" spans="1:36" ht="14.25" hidden="1" x14ac:dyDescent="0.2">
      <c r="A1102" t="s">
        <v>1859</v>
      </c>
      <c r="B1102" s="1">
        <v>46081</v>
      </c>
      <c r="C1102" t="s">
        <v>53</v>
      </c>
      <c r="D1102" t="s">
        <v>151</v>
      </c>
      <c r="E1102" t="s">
        <v>42</v>
      </c>
      <c r="F1102" t="s">
        <v>101</v>
      </c>
      <c r="G1102" t="s">
        <v>102</v>
      </c>
      <c r="H1102" t="s">
        <v>103</v>
      </c>
      <c r="I1102" t="s">
        <v>64</v>
      </c>
      <c r="J1102" t="s">
        <v>111</v>
      </c>
      <c r="K1102" t="s">
        <v>91</v>
      </c>
      <c r="L1102" t="s">
        <v>46</v>
      </c>
      <c r="M1102" t="s">
        <v>68</v>
      </c>
      <c r="N1102" t="s">
        <v>69</v>
      </c>
      <c r="O1102" t="s">
        <v>36</v>
      </c>
      <c r="P1102" t="s">
        <v>49</v>
      </c>
      <c r="Q1102" t="s">
        <v>204</v>
      </c>
      <c r="R1102">
        <v>263</v>
      </c>
      <c r="S1102">
        <v>125</v>
      </c>
      <c r="T1102">
        <v>99</v>
      </c>
      <c r="U1102">
        <v>29</v>
      </c>
      <c r="V1102" t="s">
        <v>6387</v>
      </c>
      <c r="W1102">
        <v>71564</v>
      </c>
      <c r="X1102" t="s">
        <v>554</v>
      </c>
      <c r="Y1102">
        <v>51667</v>
      </c>
      <c r="Z1102">
        <v>2075356</v>
      </c>
      <c r="AA1102">
        <v>577013</v>
      </c>
      <c r="AB1102" t="str">
        <f>(VLOOKUP(SalesData[[#This Row],[Month Number]],Reference!C$5:E$16,2,FALSE))</f>
        <v>Feb</v>
      </c>
      <c r="AC1102">
        <f>MONTH(SalesData[[#This Row],[Date]])</f>
        <v>2</v>
      </c>
      <c r="AD1102">
        <f>Reference!F$4</f>
        <v>2026</v>
      </c>
      <c r="AE1102" t="str">
        <f>IF(OR(SalesData[[#This Row],[Day]]="Saturday",SalesData[[#This Row],[Day]]="Sunday"),"Weekend","Weekday")</f>
        <v>Weekend</v>
      </c>
      <c r="AF1102" s="5">
        <f>IF(SalesData[[#This Row],[Contracts Offered]]=0,0,SalesData[[#This Row],[Contracts Signed]]/SalesData[[#This Row],[Contracts Offered]])</f>
        <v>0.29292929292929293</v>
      </c>
      <c r="AG1102" s="5">
        <f>IF(SalesData[[#This Row],[Customers Visited]]=0,0,SalesData[[#This Row],[Test Drives]]/SalesData[[#This Row],[Customers Visited]])</f>
        <v>0.47528517110266161</v>
      </c>
      <c r="AH1102" s="5">
        <f>IF(SalesData[[#This Row],[Customers Visited]]=0,0,SalesData[[#This Row],[Contracts Signed]]/SalesData[[#This Row],[Customers Visited]])</f>
        <v>0.11026615969581749</v>
      </c>
      <c r="AI1102" s="6">
        <f>IF(SalesData[[#This Row],[Contracts Signed]]=0,0,SalesData[[#This Row],[Profit(€)]]/SalesData[[#This Row],[Contracts Signed]])</f>
        <v>19897</v>
      </c>
      <c r="AJ1102" s="5" t="str">
        <f>TRIM(CLEAN(SalesData[[#This Row],[Retailer]]))</f>
        <v>Ruhr Auto Plaza</v>
      </c>
    </row>
    <row r="1103" spans="1:36" ht="14.25" hidden="1" x14ac:dyDescent="0.2">
      <c r="A1103" t="s">
        <v>1860</v>
      </c>
      <c r="B1103" s="1">
        <v>46057</v>
      </c>
      <c r="C1103" t="s">
        <v>24</v>
      </c>
      <c r="D1103" t="s">
        <v>82</v>
      </c>
      <c r="E1103" t="s">
        <v>26</v>
      </c>
      <c r="F1103" t="s">
        <v>127</v>
      </c>
      <c r="G1103" t="s">
        <v>128</v>
      </c>
      <c r="H1103" t="s">
        <v>103</v>
      </c>
      <c r="I1103" t="s">
        <v>56</v>
      </c>
      <c r="J1103" t="s">
        <v>57</v>
      </c>
      <c r="K1103" t="s">
        <v>66</v>
      </c>
      <c r="L1103" t="s">
        <v>46</v>
      </c>
      <c r="M1103" t="s">
        <v>47</v>
      </c>
      <c r="N1103" t="s">
        <v>35</v>
      </c>
      <c r="O1103" t="s">
        <v>36</v>
      </c>
      <c r="P1103" t="s">
        <v>37</v>
      </c>
      <c r="Q1103" t="s">
        <v>169</v>
      </c>
      <c r="R1103">
        <v>317</v>
      </c>
      <c r="S1103">
        <v>193</v>
      </c>
      <c r="T1103">
        <v>123</v>
      </c>
      <c r="U1103">
        <v>45</v>
      </c>
      <c r="V1103" t="s">
        <v>6628</v>
      </c>
      <c r="W1103">
        <v>45511</v>
      </c>
      <c r="X1103" t="s">
        <v>7036</v>
      </c>
      <c r="Y1103">
        <v>37287</v>
      </c>
      <c r="Z1103">
        <v>2047995</v>
      </c>
      <c r="AA1103">
        <v>370080</v>
      </c>
      <c r="AB1103" t="str">
        <f>(VLOOKUP(SalesData[[#This Row],[Month Number]],Reference!C$5:E$16,2,FALSE))</f>
        <v>Feb</v>
      </c>
      <c r="AC1103">
        <f>MONTH(SalesData[[#This Row],[Date]])</f>
        <v>2</v>
      </c>
      <c r="AD1103">
        <f>Reference!F$4</f>
        <v>2026</v>
      </c>
      <c r="AE1103" t="str">
        <f>IF(OR(SalesData[[#This Row],[Day]]="Saturday",SalesData[[#This Row],[Day]]="Sunday"),"Weekend","Weekday")</f>
        <v>Weekday</v>
      </c>
      <c r="AF1103" s="5">
        <f>IF(SalesData[[#This Row],[Contracts Offered]]=0,0,SalesData[[#This Row],[Contracts Signed]]/SalesData[[#This Row],[Contracts Offered]])</f>
        <v>0.36585365853658536</v>
      </c>
      <c r="AG1103" s="5">
        <f>IF(SalesData[[#This Row],[Customers Visited]]=0,0,SalesData[[#This Row],[Test Drives]]/SalesData[[#This Row],[Customers Visited]])</f>
        <v>0.60883280757097791</v>
      </c>
      <c r="AH1103" s="5">
        <f>IF(SalesData[[#This Row],[Customers Visited]]=0,0,SalesData[[#This Row],[Contracts Signed]]/SalesData[[#This Row],[Customers Visited]])</f>
        <v>0.14195583596214512</v>
      </c>
      <c r="AI1103" s="6">
        <f>IF(SalesData[[#This Row],[Contracts Signed]]=0,0,SalesData[[#This Row],[Profit(€)]]/SalesData[[#This Row],[Contracts Signed]])</f>
        <v>8224</v>
      </c>
      <c r="AJ1103" s="5" t="str">
        <f>TRIM(CLEAN(SalesData[[#This Row],[Retailer]]))</f>
        <v>Rhein Auto Group</v>
      </c>
    </row>
    <row r="1104" spans="1:36" ht="14.25" hidden="1" x14ac:dyDescent="0.2">
      <c r="A1104" t="s">
        <v>1861</v>
      </c>
      <c r="B1104" s="1">
        <v>46075</v>
      </c>
      <c r="C1104" t="s">
        <v>53</v>
      </c>
      <c r="D1104" t="s">
        <v>41</v>
      </c>
      <c r="E1104" t="s">
        <v>42</v>
      </c>
      <c r="F1104" t="s">
        <v>83</v>
      </c>
      <c r="G1104" t="s">
        <v>84</v>
      </c>
      <c r="H1104" t="s">
        <v>85</v>
      </c>
      <c r="I1104" t="s">
        <v>104</v>
      </c>
      <c r="J1104" t="s">
        <v>105</v>
      </c>
      <c r="K1104" t="s">
        <v>78</v>
      </c>
      <c r="L1104" t="s">
        <v>33</v>
      </c>
      <c r="M1104" t="s">
        <v>68</v>
      </c>
      <c r="N1104" t="s">
        <v>69</v>
      </c>
      <c r="O1104" t="s">
        <v>36</v>
      </c>
      <c r="P1104" t="s">
        <v>37</v>
      </c>
      <c r="Q1104" t="s">
        <v>204</v>
      </c>
      <c r="R1104">
        <v>262</v>
      </c>
      <c r="S1104">
        <v>147</v>
      </c>
      <c r="T1104">
        <v>102</v>
      </c>
      <c r="U1104">
        <v>24</v>
      </c>
      <c r="V1104" t="s">
        <v>2332</v>
      </c>
      <c r="W1104">
        <v>26269</v>
      </c>
      <c r="X1104" t="s">
        <v>341</v>
      </c>
      <c r="Y1104">
        <v>23690</v>
      </c>
      <c r="Z1104">
        <v>630456</v>
      </c>
      <c r="AA1104">
        <v>61896</v>
      </c>
      <c r="AB1104" t="str">
        <f>(VLOOKUP(SalesData[[#This Row],[Month Number]],Reference!C$5:E$16,2,FALSE))</f>
        <v>Feb</v>
      </c>
      <c r="AC1104">
        <f>MONTH(SalesData[[#This Row],[Date]])</f>
        <v>2</v>
      </c>
      <c r="AD1104">
        <f>Reference!F$4</f>
        <v>2026</v>
      </c>
      <c r="AE1104" t="str">
        <f>IF(OR(SalesData[[#This Row],[Day]]="Saturday",SalesData[[#This Row],[Day]]="Sunday"),"Weekend","Weekday")</f>
        <v>Weekend</v>
      </c>
      <c r="AF1104" s="5">
        <f>IF(SalesData[[#This Row],[Contracts Offered]]=0,0,SalesData[[#This Row],[Contracts Signed]]/SalesData[[#This Row],[Contracts Offered]])</f>
        <v>0.23529411764705882</v>
      </c>
      <c r="AG1104" s="5">
        <f>IF(SalesData[[#This Row],[Customers Visited]]=0,0,SalesData[[#This Row],[Test Drives]]/SalesData[[#This Row],[Customers Visited]])</f>
        <v>0.56106870229007633</v>
      </c>
      <c r="AH1104" s="5">
        <f>IF(SalesData[[#This Row],[Customers Visited]]=0,0,SalesData[[#This Row],[Contracts Signed]]/SalesData[[#This Row],[Customers Visited]])</f>
        <v>9.1603053435114504E-2</v>
      </c>
      <c r="AI1104" s="6">
        <f>IF(SalesData[[#This Row],[Contracts Signed]]=0,0,SalesData[[#This Row],[Profit(€)]]/SalesData[[#This Row],[Contracts Signed]])</f>
        <v>2579</v>
      </c>
      <c r="AJ1104" s="5" t="str">
        <f>TRIM(CLEAN(SalesData[[#This Row],[Retailer]]))</f>
        <v>Hannover Cars</v>
      </c>
    </row>
    <row r="1105" spans="1:36" ht="14.25" hidden="1" x14ac:dyDescent="0.2">
      <c r="A1105" t="s">
        <v>1862</v>
      </c>
      <c r="B1105" s="1">
        <v>46080</v>
      </c>
      <c r="C1105" t="s">
        <v>53</v>
      </c>
      <c r="D1105" t="s">
        <v>54</v>
      </c>
      <c r="E1105" t="s">
        <v>26</v>
      </c>
      <c r="F1105" t="s">
        <v>109</v>
      </c>
      <c r="G1105" t="s">
        <v>110</v>
      </c>
      <c r="H1105" t="s">
        <v>45</v>
      </c>
      <c r="I1105" t="s">
        <v>104</v>
      </c>
      <c r="J1105" t="s">
        <v>105</v>
      </c>
      <c r="K1105" t="s">
        <v>91</v>
      </c>
      <c r="L1105" t="s">
        <v>33</v>
      </c>
      <c r="M1105" t="s">
        <v>47</v>
      </c>
      <c r="N1105" t="s">
        <v>48</v>
      </c>
      <c r="O1105" t="s">
        <v>70</v>
      </c>
      <c r="P1105" t="s">
        <v>71</v>
      </c>
      <c r="Q1105" t="s">
        <v>129</v>
      </c>
      <c r="R1105">
        <v>492</v>
      </c>
      <c r="S1105">
        <v>218</v>
      </c>
      <c r="T1105">
        <v>126</v>
      </c>
      <c r="U1105">
        <v>28</v>
      </c>
      <c r="V1105" t="s">
        <v>1644</v>
      </c>
      <c r="W1105">
        <v>30632</v>
      </c>
      <c r="X1105" t="s">
        <v>5113</v>
      </c>
      <c r="Y1105">
        <v>26980</v>
      </c>
      <c r="Z1105">
        <v>857696</v>
      </c>
      <c r="AA1105">
        <v>102256</v>
      </c>
      <c r="AB1105" t="str">
        <f>(VLOOKUP(SalesData[[#This Row],[Month Number]],Reference!C$5:E$16,2,FALSE))</f>
        <v>Feb</v>
      </c>
      <c r="AC1105">
        <f>MONTH(SalesData[[#This Row],[Date]])</f>
        <v>2</v>
      </c>
      <c r="AD1105">
        <f>Reference!F$4</f>
        <v>2026</v>
      </c>
      <c r="AE1105" t="str">
        <f>IF(OR(SalesData[[#This Row],[Day]]="Saturday",SalesData[[#This Row],[Day]]="Sunday"),"Weekend","Weekday")</f>
        <v>Weekday</v>
      </c>
      <c r="AF1105" s="5">
        <f>IF(SalesData[[#This Row],[Contracts Offered]]=0,0,SalesData[[#This Row],[Contracts Signed]]/SalesData[[#This Row],[Contracts Offered]])</f>
        <v>0.22222222222222221</v>
      </c>
      <c r="AG1105" s="5">
        <f>IF(SalesData[[#This Row],[Customers Visited]]=0,0,SalesData[[#This Row],[Test Drives]]/SalesData[[#This Row],[Customers Visited]])</f>
        <v>0.44308943089430897</v>
      </c>
      <c r="AH1105" s="5">
        <f>IF(SalesData[[#This Row],[Customers Visited]]=0,0,SalesData[[#This Row],[Contracts Signed]]/SalesData[[#This Row],[Customers Visited]])</f>
        <v>5.6910569105691054E-2</v>
      </c>
      <c r="AI1105" s="6">
        <f>IF(SalesData[[#This Row],[Contracts Signed]]=0,0,SalesData[[#This Row],[Profit(€)]]/SalesData[[#This Row],[Contracts Signed]])</f>
        <v>3652</v>
      </c>
      <c r="AJ1105" s="5" t="str">
        <f>TRIM(CLEAN(SalesData[[#This Row],[Retailer]]))</f>
        <v>Leipzig Mobility</v>
      </c>
    </row>
    <row r="1106" spans="1:36" ht="14.25" hidden="1" x14ac:dyDescent="0.2">
      <c r="A1106" t="s">
        <v>1864</v>
      </c>
      <c r="B1106" s="1">
        <v>46067</v>
      </c>
      <c r="C1106" t="s">
        <v>121</v>
      </c>
      <c r="D1106" t="s">
        <v>151</v>
      </c>
      <c r="E1106" t="s">
        <v>42</v>
      </c>
      <c r="F1106" t="s">
        <v>127</v>
      </c>
      <c r="G1106" t="s">
        <v>128</v>
      </c>
      <c r="H1106" t="s">
        <v>103</v>
      </c>
      <c r="I1106" t="s">
        <v>104</v>
      </c>
      <c r="J1106" t="s">
        <v>105</v>
      </c>
      <c r="K1106" t="s">
        <v>66</v>
      </c>
      <c r="L1106" t="s">
        <v>33</v>
      </c>
      <c r="M1106" t="s">
        <v>68</v>
      </c>
      <c r="N1106" t="s">
        <v>69</v>
      </c>
      <c r="O1106" t="s">
        <v>70</v>
      </c>
      <c r="P1106" t="s">
        <v>37</v>
      </c>
      <c r="Q1106" t="s">
        <v>240</v>
      </c>
      <c r="R1106">
        <v>385</v>
      </c>
      <c r="S1106">
        <v>175</v>
      </c>
      <c r="T1106">
        <v>118</v>
      </c>
      <c r="U1106">
        <v>22</v>
      </c>
      <c r="V1106" t="s">
        <v>3217</v>
      </c>
      <c r="W1106">
        <v>30678</v>
      </c>
      <c r="X1106" t="s">
        <v>341</v>
      </c>
      <c r="Y1106">
        <v>26542</v>
      </c>
      <c r="Z1106">
        <v>674916</v>
      </c>
      <c r="AA1106">
        <v>90992</v>
      </c>
      <c r="AB1106" t="str">
        <f>(VLOOKUP(SalesData[[#This Row],[Month Number]],Reference!C$5:E$16,2,FALSE))</f>
        <v>Feb</v>
      </c>
      <c r="AC1106">
        <f>MONTH(SalesData[[#This Row],[Date]])</f>
        <v>2</v>
      </c>
      <c r="AD1106">
        <f>Reference!F$4</f>
        <v>2026</v>
      </c>
      <c r="AE1106" t="str">
        <f>IF(OR(SalesData[[#This Row],[Day]]="Saturday",SalesData[[#This Row],[Day]]="Sunday"),"Weekend","Weekday")</f>
        <v>Weekend</v>
      </c>
      <c r="AF1106" s="5">
        <f>IF(SalesData[[#This Row],[Contracts Offered]]=0,0,SalesData[[#This Row],[Contracts Signed]]/SalesData[[#This Row],[Contracts Offered]])</f>
        <v>0.1864406779661017</v>
      </c>
      <c r="AG1106" s="5">
        <f>IF(SalesData[[#This Row],[Customers Visited]]=0,0,SalesData[[#This Row],[Test Drives]]/SalesData[[#This Row],[Customers Visited]])</f>
        <v>0.45454545454545453</v>
      </c>
      <c r="AH1106" s="5">
        <f>IF(SalesData[[#This Row],[Customers Visited]]=0,0,SalesData[[#This Row],[Contracts Signed]]/SalesData[[#This Row],[Customers Visited]])</f>
        <v>5.7142857142857141E-2</v>
      </c>
      <c r="AI1106" s="6">
        <f>IF(SalesData[[#This Row],[Contracts Signed]]=0,0,SalesData[[#This Row],[Profit(€)]]/SalesData[[#This Row],[Contracts Signed]])</f>
        <v>4136</v>
      </c>
      <c r="AJ1106" s="5" t="str">
        <f>TRIM(CLEAN(SalesData[[#This Row],[Retailer]]))</f>
        <v>Rhein Auto Group</v>
      </c>
    </row>
    <row r="1107" spans="1:36" ht="14.25" hidden="1" x14ac:dyDescent="0.2">
      <c r="A1107" t="s">
        <v>1866</v>
      </c>
      <c r="B1107" s="1">
        <v>46057</v>
      </c>
      <c r="C1107" t="s">
        <v>24</v>
      </c>
      <c r="D1107" t="s">
        <v>82</v>
      </c>
      <c r="E1107" t="s">
        <v>26</v>
      </c>
      <c r="F1107" t="s">
        <v>114</v>
      </c>
      <c r="G1107" t="s">
        <v>115</v>
      </c>
      <c r="H1107" t="s">
        <v>115</v>
      </c>
      <c r="I1107" t="s">
        <v>56</v>
      </c>
      <c r="J1107" t="s">
        <v>7028</v>
      </c>
      <c r="K1107" t="s">
        <v>66</v>
      </c>
      <c r="L1107" t="s">
        <v>46</v>
      </c>
      <c r="M1107" t="s">
        <v>68</v>
      </c>
      <c r="N1107" t="s">
        <v>48</v>
      </c>
      <c r="O1107" t="s">
        <v>36</v>
      </c>
      <c r="P1107" t="s">
        <v>71</v>
      </c>
      <c r="Q1107" t="s">
        <v>88</v>
      </c>
      <c r="R1107">
        <v>225</v>
      </c>
      <c r="S1107">
        <v>116</v>
      </c>
      <c r="T1107">
        <v>88</v>
      </c>
      <c r="U1107">
        <v>31</v>
      </c>
      <c r="V1107" t="s">
        <v>6607</v>
      </c>
      <c r="W1107">
        <v>39756</v>
      </c>
      <c r="X1107" t="s">
        <v>7372</v>
      </c>
      <c r="Y1107">
        <v>31175</v>
      </c>
      <c r="Z1107">
        <v>1232436</v>
      </c>
      <c r="AA1107">
        <v>266011</v>
      </c>
      <c r="AB1107" t="str">
        <f>(VLOOKUP(SalesData[[#This Row],[Month Number]],Reference!C$5:E$16,2,FALSE))</f>
        <v>Feb</v>
      </c>
      <c r="AC1107">
        <f>MONTH(SalesData[[#This Row],[Date]])</f>
        <v>2</v>
      </c>
      <c r="AD1107">
        <f>Reference!F$4</f>
        <v>2026</v>
      </c>
      <c r="AE1107" t="str">
        <f>IF(OR(SalesData[[#This Row],[Day]]="Saturday",SalesData[[#This Row],[Day]]="Sunday"),"Weekend","Weekday")</f>
        <v>Weekday</v>
      </c>
      <c r="AF1107" s="5">
        <f>IF(SalesData[[#This Row],[Contracts Offered]]=0,0,SalesData[[#This Row],[Contracts Signed]]/SalesData[[#This Row],[Contracts Offered]])</f>
        <v>0.35227272727272729</v>
      </c>
      <c r="AG1107" s="5">
        <f>IF(SalesData[[#This Row],[Customers Visited]]=0,0,SalesData[[#This Row],[Test Drives]]/SalesData[[#This Row],[Customers Visited]])</f>
        <v>0.51555555555555554</v>
      </c>
      <c r="AH1107" s="5">
        <f>IF(SalesData[[#This Row],[Customers Visited]]=0,0,SalesData[[#This Row],[Contracts Signed]]/SalesData[[#This Row],[Customers Visited]])</f>
        <v>0.13777777777777778</v>
      </c>
      <c r="AI1107" s="6">
        <f>IF(SalesData[[#This Row],[Contracts Signed]]=0,0,SalesData[[#This Row],[Profit(€)]]/SalesData[[#This Row],[Contracts Signed]])</f>
        <v>8581</v>
      </c>
      <c r="AJ1107" s="5" t="str">
        <f>TRIM(CLEAN(SalesData[[#This Row],[Retailer]]))</f>
        <v>Elbe Drive</v>
      </c>
    </row>
    <row r="1108" spans="1:36" ht="14.25" hidden="1" x14ac:dyDescent="0.2">
      <c r="A1108" t="s">
        <v>1868</v>
      </c>
      <c r="B1108" s="1">
        <v>46073</v>
      </c>
      <c r="C1108" t="s">
        <v>62</v>
      </c>
      <c r="D1108" t="s">
        <v>54</v>
      </c>
      <c r="E1108" t="s">
        <v>26</v>
      </c>
      <c r="F1108" t="s">
        <v>27</v>
      </c>
      <c r="G1108" t="s">
        <v>28</v>
      </c>
      <c r="H1108" t="s">
        <v>29</v>
      </c>
      <c r="I1108" t="s">
        <v>104</v>
      </c>
      <c r="J1108" t="s">
        <v>140</v>
      </c>
      <c r="K1108" t="s">
        <v>91</v>
      </c>
      <c r="L1108" t="s">
        <v>46</v>
      </c>
      <c r="M1108" t="s">
        <v>87</v>
      </c>
      <c r="N1108" t="s">
        <v>35</v>
      </c>
      <c r="O1108" t="s">
        <v>70</v>
      </c>
      <c r="P1108" t="s">
        <v>37</v>
      </c>
      <c r="Q1108" t="s">
        <v>204</v>
      </c>
      <c r="R1108">
        <v>338</v>
      </c>
      <c r="S1108">
        <v>192</v>
      </c>
      <c r="T1108">
        <v>130</v>
      </c>
      <c r="U1108">
        <v>26</v>
      </c>
      <c r="V1108" t="s">
        <v>581</v>
      </c>
      <c r="W1108">
        <v>31914</v>
      </c>
      <c r="X1108" t="s">
        <v>1060</v>
      </c>
      <c r="Y1108">
        <v>27573</v>
      </c>
      <c r="Z1108">
        <v>829764</v>
      </c>
      <c r="AA1108">
        <v>112866</v>
      </c>
      <c r="AB1108" t="str">
        <f>(VLOOKUP(SalesData[[#This Row],[Month Number]],Reference!C$5:E$16,2,FALSE))</f>
        <v>Feb</v>
      </c>
      <c r="AC1108">
        <f>MONTH(SalesData[[#This Row],[Date]])</f>
        <v>2</v>
      </c>
      <c r="AD1108">
        <f>Reference!F$4</f>
        <v>2026</v>
      </c>
      <c r="AE1108" t="str">
        <f>IF(OR(SalesData[[#This Row],[Day]]="Saturday",SalesData[[#This Row],[Day]]="Sunday"),"Weekend","Weekday")</f>
        <v>Weekday</v>
      </c>
      <c r="AF1108" s="5">
        <f>IF(SalesData[[#This Row],[Contracts Offered]]=0,0,SalesData[[#This Row],[Contracts Signed]]/SalesData[[#This Row],[Contracts Offered]])</f>
        <v>0.2</v>
      </c>
      <c r="AG1108" s="5">
        <f>IF(SalesData[[#This Row],[Customers Visited]]=0,0,SalesData[[#This Row],[Test Drives]]/SalesData[[#This Row],[Customers Visited]])</f>
        <v>0.56804733727810652</v>
      </c>
      <c r="AH1108" s="5">
        <f>IF(SalesData[[#This Row],[Customers Visited]]=0,0,SalesData[[#This Row],[Contracts Signed]]/SalesData[[#This Row],[Customers Visited]])</f>
        <v>7.6923076923076927E-2</v>
      </c>
      <c r="AI1108" s="6">
        <f>IF(SalesData[[#This Row],[Contracts Signed]]=0,0,SalesData[[#This Row],[Profit(€)]]/SalesData[[#This Row],[Contracts Signed]])</f>
        <v>4341</v>
      </c>
      <c r="AJ1108" s="5" t="str">
        <f>TRIM(CLEAN(SalesData[[#This Row],[Retailer]]))</f>
        <v>Main Auto Hub</v>
      </c>
    </row>
    <row r="1109" spans="1:36" ht="14.25" hidden="1" x14ac:dyDescent="0.2">
      <c r="A1109" t="s">
        <v>1869</v>
      </c>
      <c r="B1109" s="1">
        <v>46072</v>
      </c>
      <c r="C1109" t="s">
        <v>62</v>
      </c>
      <c r="D1109" t="s">
        <v>100</v>
      </c>
      <c r="E1109" t="s">
        <v>26</v>
      </c>
      <c r="F1109" t="s">
        <v>109</v>
      </c>
      <c r="G1109" t="s">
        <v>110</v>
      </c>
      <c r="H1109" t="s">
        <v>45</v>
      </c>
      <c r="I1109" t="s">
        <v>64</v>
      </c>
      <c r="J1109" t="s">
        <v>77</v>
      </c>
      <c r="K1109" t="s">
        <v>32</v>
      </c>
      <c r="L1109" t="s">
        <v>46</v>
      </c>
      <c r="M1109" t="s">
        <v>87</v>
      </c>
      <c r="N1109" t="s">
        <v>69</v>
      </c>
      <c r="O1109" t="s">
        <v>36</v>
      </c>
      <c r="P1109" t="s">
        <v>49</v>
      </c>
      <c r="Q1109" t="s">
        <v>144</v>
      </c>
      <c r="R1109">
        <v>184</v>
      </c>
      <c r="S1109">
        <v>110</v>
      </c>
      <c r="T1109">
        <v>84</v>
      </c>
      <c r="U1109">
        <v>26</v>
      </c>
      <c r="V1109" t="s">
        <v>6902</v>
      </c>
      <c r="W1109">
        <v>57397</v>
      </c>
      <c r="X1109" t="s">
        <v>7258</v>
      </c>
      <c r="Y1109">
        <v>41402</v>
      </c>
      <c r="Z1109">
        <v>1492322</v>
      </c>
      <c r="AA1109">
        <v>415870</v>
      </c>
      <c r="AB1109" t="str">
        <f>(VLOOKUP(SalesData[[#This Row],[Month Number]],Reference!C$5:E$16,2,FALSE))</f>
        <v>Feb</v>
      </c>
      <c r="AC1109">
        <f>MONTH(SalesData[[#This Row],[Date]])</f>
        <v>2</v>
      </c>
      <c r="AD1109">
        <f>Reference!F$4</f>
        <v>2026</v>
      </c>
      <c r="AE1109" t="str">
        <f>IF(OR(SalesData[[#This Row],[Day]]="Saturday",SalesData[[#This Row],[Day]]="Sunday"),"Weekend","Weekday")</f>
        <v>Weekday</v>
      </c>
      <c r="AF1109" s="5">
        <f>IF(SalesData[[#This Row],[Contracts Offered]]=0,0,SalesData[[#This Row],[Contracts Signed]]/SalesData[[#This Row],[Contracts Offered]])</f>
        <v>0.30952380952380953</v>
      </c>
      <c r="AG1109" s="5">
        <f>IF(SalesData[[#This Row],[Customers Visited]]=0,0,SalesData[[#This Row],[Test Drives]]/SalesData[[#This Row],[Customers Visited]])</f>
        <v>0.59782608695652173</v>
      </c>
      <c r="AH1109" s="5">
        <f>IF(SalesData[[#This Row],[Customers Visited]]=0,0,SalesData[[#This Row],[Contracts Signed]]/SalesData[[#This Row],[Customers Visited]])</f>
        <v>0.14130434782608695</v>
      </c>
      <c r="AI1109" s="6">
        <f>IF(SalesData[[#This Row],[Contracts Signed]]=0,0,SalesData[[#This Row],[Profit(€)]]/SalesData[[#This Row],[Contracts Signed]])</f>
        <v>15995</v>
      </c>
      <c r="AJ1109" s="5" t="str">
        <f>TRIM(CLEAN(SalesData[[#This Row],[Retailer]]))</f>
        <v>Leipzig Mobility</v>
      </c>
    </row>
    <row r="1110" spans="1:36" ht="14.25" hidden="1" x14ac:dyDescent="0.2">
      <c r="A1110" t="s">
        <v>1870</v>
      </c>
      <c r="B1110" s="1">
        <v>46066</v>
      </c>
      <c r="C1110" t="s">
        <v>121</v>
      </c>
      <c r="D1110" t="s">
        <v>54</v>
      </c>
      <c r="E1110" t="s">
        <v>26</v>
      </c>
      <c r="F1110" t="s">
        <v>74</v>
      </c>
      <c r="G1110" t="s">
        <v>75</v>
      </c>
      <c r="H1110" t="s">
        <v>76</v>
      </c>
      <c r="I1110" t="s">
        <v>104</v>
      </c>
      <c r="J1110" t="s">
        <v>105</v>
      </c>
      <c r="K1110" t="s">
        <v>78</v>
      </c>
      <c r="L1110" t="s">
        <v>33</v>
      </c>
      <c r="M1110" t="s">
        <v>68</v>
      </c>
      <c r="N1110" t="s">
        <v>35</v>
      </c>
      <c r="O1110" t="s">
        <v>36</v>
      </c>
      <c r="P1110" t="s">
        <v>58</v>
      </c>
      <c r="Q1110" t="s">
        <v>158</v>
      </c>
      <c r="R1110">
        <v>267</v>
      </c>
      <c r="S1110">
        <v>127</v>
      </c>
      <c r="T1110">
        <v>78</v>
      </c>
      <c r="U1110">
        <v>24</v>
      </c>
      <c r="V1110" t="s">
        <v>3816</v>
      </c>
      <c r="W1110">
        <v>25679</v>
      </c>
      <c r="X1110" t="s">
        <v>205</v>
      </c>
      <c r="Y1110">
        <v>22092</v>
      </c>
      <c r="Z1110">
        <v>616296</v>
      </c>
      <c r="AA1110">
        <v>86088</v>
      </c>
      <c r="AB1110" t="str">
        <f>(VLOOKUP(SalesData[[#This Row],[Month Number]],Reference!C$5:E$16,2,FALSE))</f>
        <v>Feb</v>
      </c>
      <c r="AC1110">
        <f>MONTH(SalesData[[#This Row],[Date]])</f>
        <v>2</v>
      </c>
      <c r="AD1110">
        <f>Reference!F$4</f>
        <v>2026</v>
      </c>
      <c r="AE1110" t="str">
        <f>IF(OR(SalesData[[#This Row],[Day]]="Saturday",SalesData[[#This Row],[Day]]="Sunday"),"Weekend","Weekday")</f>
        <v>Weekday</v>
      </c>
      <c r="AF1110" s="5">
        <f>IF(SalesData[[#This Row],[Contracts Offered]]=0,0,SalesData[[#This Row],[Contracts Signed]]/SalesData[[#This Row],[Contracts Offered]])</f>
        <v>0.30769230769230771</v>
      </c>
      <c r="AG1110" s="5">
        <f>IF(SalesData[[#This Row],[Customers Visited]]=0,0,SalesData[[#This Row],[Test Drives]]/SalesData[[#This Row],[Customers Visited]])</f>
        <v>0.47565543071161048</v>
      </c>
      <c r="AH1110" s="5">
        <f>IF(SalesData[[#This Row],[Customers Visited]]=0,0,SalesData[[#This Row],[Contracts Signed]]/SalesData[[#This Row],[Customers Visited]])</f>
        <v>8.98876404494382E-2</v>
      </c>
      <c r="AI1110" s="6">
        <f>IF(SalesData[[#This Row],[Contracts Signed]]=0,0,SalesData[[#This Row],[Profit(€)]]/SalesData[[#This Row],[Contracts Signed]])</f>
        <v>3587</v>
      </c>
      <c r="AJ1110" s="5" t="str">
        <f>TRIM(CLEAN(SalesData[[#This Row],[Retailer]]))</f>
        <v>Stuttgart Auto Center</v>
      </c>
    </row>
    <row r="1111" spans="1:36" ht="14.25" hidden="1" x14ac:dyDescent="0.2">
      <c r="A1111" t="s">
        <v>1871</v>
      </c>
      <c r="B1111" s="1">
        <v>46072</v>
      </c>
      <c r="C1111" t="s">
        <v>62</v>
      </c>
      <c r="D1111" t="s">
        <v>100</v>
      </c>
      <c r="E1111" t="s">
        <v>26</v>
      </c>
      <c r="F1111" t="s">
        <v>83</v>
      </c>
      <c r="G1111" t="s">
        <v>84</v>
      </c>
      <c r="H1111" t="s">
        <v>85</v>
      </c>
      <c r="I1111" t="s">
        <v>116</v>
      </c>
      <c r="J1111" t="s">
        <v>132</v>
      </c>
      <c r="K1111" t="s">
        <v>78</v>
      </c>
      <c r="L1111" t="s">
        <v>46</v>
      </c>
      <c r="M1111" t="s">
        <v>34</v>
      </c>
      <c r="N1111" t="s">
        <v>35</v>
      </c>
      <c r="O1111" t="s">
        <v>70</v>
      </c>
      <c r="P1111" t="s">
        <v>49</v>
      </c>
      <c r="Q1111" t="s">
        <v>240</v>
      </c>
      <c r="R1111">
        <v>250</v>
      </c>
      <c r="S1111">
        <v>97</v>
      </c>
      <c r="T1111">
        <v>54</v>
      </c>
      <c r="U1111">
        <v>13</v>
      </c>
      <c r="V1111" t="s">
        <v>3347</v>
      </c>
      <c r="W1111">
        <v>19545</v>
      </c>
      <c r="X1111" t="s">
        <v>727</v>
      </c>
      <c r="Y1111">
        <v>17583</v>
      </c>
      <c r="Z1111">
        <v>254085</v>
      </c>
      <c r="AA1111">
        <v>25506</v>
      </c>
      <c r="AB1111" t="str">
        <f>(VLOOKUP(SalesData[[#This Row],[Month Number]],Reference!C$5:E$16,2,FALSE))</f>
        <v>Feb</v>
      </c>
      <c r="AC1111">
        <f>MONTH(SalesData[[#This Row],[Date]])</f>
        <v>2</v>
      </c>
      <c r="AD1111">
        <f>Reference!F$4</f>
        <v>2026</v>
      </c>
      <c r="AE1111" t="str">
        <f>IF(OR(SalesData[[#This Row],[Day]]="Saturday",SalesData[[#This Row],[Day]]="Sunday"),"Weekend","Weekday")</f>
        <v>Weekday</v>
      </c>
      <c r="AF1111" s="5">
        <f>IF(SalesData[[#This Row],[Contracts Offered]]=0,0,SalesData[[#This Row],[Contracts Signed]]/SalesData[[#This Row],[Contracts Offered]])</f>
        <v>0.24074074074074073</v>
      </c>
      <c r="AG1111" s="5">
        <f>IF(SalesData[[#This Row],[Customers Visited]]=0,0,SalesData[[#This Row],[Test Drives]]/SalesData[[#This Row],[Customers Visited]])</f>
        <v>0.38800000000000001</v>
      </c>
      <c r="AH1111" s="5">
        <f>IF(SalesData[[#This Row],[Customers Visited]]=0,0,SalesData[[#This Row],[Contracts Signed]]/SalesData[[#This Row],[Customers Visited]])</f>
        <v>5.1999999999999998E-2</v>
      </c>
      <c r="AI1111" s="6">
        <f>IF(SalesData[[#This Row],[Contracts Signed]]=0,0,SalesData[[#This Row],[Profit(€)]]/SalesData[[#This Row],[Contracts Signed]])</f>
        <v>1962</v>
      </c>
      <c r="AJ1111" s="5" t="str">
        <f>TRIM(CLEAN(SalesData[[#This Row],[Retailer]]))</f>
        <v>Hannover Cars</v>
      </c>
    </row>
    <row r="1112" spans="1:36" ht="14.25" hidden="1" x14ac:dyDescent="0.2">
      <c r="A1112" t="s">
        <v>1873</v>
      </c>
      <c r="B1112" s="1">
        <v>46080</v>
      </c>
      <c r="C1112" t="s">
        <v>53</v>
      </c>
      <c r="D1112" t="s">
        <v>54</v>
      </c>
      <c r="E1112" t="s">
        <v>26</v>
      </c>
      <c r="F1112" t="s">
        <v>101</v>
      </c>
      <c r="G1112" t="s">
        <v>102</v>
      </c>
      <c r="H1112" t="s">
        <v>103</v>
      </c>
      <c r="I1112" t="s">
        <v>104</v>
      </c>
      <c r="J1112" t="s">
        <v>143</v>
      </c>
      <c r="K1112" t="s">
        <v>66</v>
      </c>
      <c r="L1112" t="s">
        <v>67</v>
      </c>
      <c r="M1112" t="s">
        <v>87</v>
      </c>
      <c r="N1112" t="s">
        <v>69</v>
      </c>
      <c r="O1112" t="s">
        <v>36</v>
      </c>
      <c r="P1112" t="s">
        <v>71</v>
      </c>
      <c r="Q1112" t="s">
        <v>38</v>
      </c>
      <c r="R1112">
        <v>367</v>
      </c>
      <c r="S1112">
        <v>195</v>
      </c>
      <c r="T1112">
        <v>123</v>
      </c>
      <c r="U1112">
        <v>33</v>
      </c>
      <c r="V1112" t="s">
        <v>656</v>
      </c>
      <c r="W1112">
        <v>34624</v>
      </c>
      <c r="X1112" t="s">
        <v>2782</v>
      </c>
      <c r="Y1112">
        <v>30755</v>
      </c>
      <c r="Z1112">
        <v>1142592</v>
      </c>
      <c r="AA1112">
        <v>127677</v>
      </c>
      <c r="AB1112" t="str">
        <f>(VLOOKUP(SalesData[[#This Row],[Month Number]],Reference!C$5:E$16,2,FALSE))</f>
        <v>Feb</v>
      </c>
      <c r="AC1112">
        <f>MONTH(SalesData[[#This Row],[Date]])</f>
        <v>2</v>
      </c>
      <c r="AD1112">
        <f>Reference!F$4</f>
        <v>2026</v>
      </c>
      <c r="AE1112" t="str">
        <f>IF(OR(SalesData[[#This Row],[Day]]="Saturday",SalesData[[#This Row],[Day]]="Sunday"),"Weekend","Weekday")</f>
        <v>Weekday</v>
      </c>
      <c r="AF1112" s="5">
        <f>IF(SalesData[[#This Row],[Contracts Offered]]=0,0,SalesData[[#This Row],[Contracts Signed]]/SalesData[[#This Row],[Contracts Offered]])</f>
        <v>0.26829268292682928</v>
      </c>
      <c r="AG1112" s="5">
        <f>IF(SalesData[[#This Row],[Customers Visited]]=0,0,SalesData[[#This Row],[Test Drives]]/SalesData[[#This Row],[Customers Visited]])</f>
        <v>0.53133514986376018</v>
      </c>
      <c r="AH1112" s="5">
        <f>IF(SalesData[[#This Row],[Customers Visited]]=0,0,SalesData[[#This Row],[Contracts Signed]]/SalesData[[#This Row],[Customers Visited]])</f>
        <v>8.9918256130790186E-2</v>
      </c>
      <c r="AI1112" s="6">
        <f>IF(SalesData[[#This Row],[Contracts Signed]]=0,0,SalesData[[#This Row],[Profit(€)]]/SalesData[[#This Row],[Contracts Signed]])</f>
        <v>3869</v>
      </c>
      <c r="AJ1112" s="5" t="str">
        <f>TRIM(CLEAN(SalesData[[#This Row],[Retailer]]))</f>
        <v>Ruhr Auto Plaza</v>
      </c>
    </row>
    <row r="1113" spans="1:36" ht="14.25" x14ac:dyDescent="0.2">
      <c r="A1113" t="s">
        <v>1875</v>
      </c>
      <c r="B1113" s="1">
        <v>46068</v>
      </c>
      <c r="C1113" t="s">
        <v>62</v>
      </c>
      <c r="D1113" t="s">
        <v>41</v>
      </c>
      <c r="E1113" t="s">
        <v>42</v>
      </c>
      <c r="F1113" t="s">
        <v>94</v>
      </c>
      <c r="G1113" t="s">
        <v>95</v>
      </c>
      <c r="H1113" t="s">
        <v>96</v>
      </c>
      <c r="I1113" t="s">
        <v>30</v>
      </c>
      <c r="J1113" t="s">
        <v>166</v>
      </c>
      <c r="K1113" t="s">
        <v>78</v>
      </c>
      <c r="L1113" t="s">
        <v>46</v>
      </c>
      <c r="M1113" t="s">
        <v>87</v>
      </c>
      <c r="N1113" t="s">
        <v>48</v>
      </c>
      <c r="O1113" t="s">
        <v>36</v>
      </c>
      <c r="P1113" t="s">
        <v>49</v>
      </c>
      <c r="Q1113" t="s">
        <v>79</v>
      </c>
      <c r="R1113">
        <v>185</v>
      </c>
      <c r="S1113">
        <v>105</v>
      </c>
      <c r="T1113">
        <v>71</v>
      </c>
      <c r="U1113">
        <v>31</v>
      </c>
      <c r="V1113" t="s">
        <v>6730</v>
      </c>
      <c r="W1113">
        <v>54730</v>
      </c>
      <c r="X1113" t="s">
        <v>7373</v>
      </c>
      <c r="Y1113">
        <v>41099</v>
      </c>
      <c r="Z1113">
        <v>1696630</v>
      </c>
      <c r="AA1113">
        <v>422561</v>
      </c>
      <c r="AB1113" t="str">
        <f>(VLOOKUP(SalesData[[#This Row],[Month Number]],Reference!C$5:E$16,2,FALSE))</f>
        <v>Feb</v>
      </c>
      <c r="AC1113">
        <f>MONTH(SalesData[[#This Row],[Date]])</f>
        <v>2</v>
      </c>
      <c r="AD1113">
        <f>Reference!F$4</f>
        <v>2026</v>
      </c>
      <c r="AE1113" t="str">
        <f>IF(OR(SalesData[[#This Row],[Day]]="Saturday",SalesData[[#This Row],[Day]]="Sunday"),"Weekend","Weekday")</f>
        <v>Weekend</v>
      </c>
      <c r="AF1113" s="5">
        <f>IF(SalesData[[#This Row],[Contracts Offered]]=0,0,SalesData[[#This Row],[Contracts Signed]]/SalesData[[#This Row],[Contracts Offered]])</f>
        <v>0.43661971830985913</v>
      </c>
      <c r="AG1113" s="5">
        <f>IF(SalesData[[#This Row],[Customers Visited]]=0,0,SalesData[[#This Row],[Test Drives]]/SalesData[[#This Row],[Customers Visited]])</f>
        <v>0.56756756756756754</v>
      </c>
      <c r="AH1113" s="5">
        <f>IF(SalesData[[#This Row],[Customers Visited]]=0,0,SalesData[[#This Row],[Contracts Signed]]/SalesData[[#This Row],[Customers Visited]])</f>
        <v>0.16756756756756758</v>
      </c>
      <c r="AI1113" s="6">
        <f>IF(SalesData[[#This Row],[Contracts Signed]]=0,0,SalesData[[#This Row],[Profit(€)]]/SalesData[[#This Row],[Contracts Signed]])</f>
        <v>13631</v>
      </c>
      <c r="AJ1113" s="5" t="str">
        <f>TRIM(CLEAN(SalesData[[#This Row],[Retailer]]))</f>
        <v>Bavaria Motors</v>
      </c>
    </row>
    <row r="1114" spans="1:36" ht="14.25" hidden="1" x14ac:dyDescent="0.2">
      <c r="A1114" t="s">
        <v>1876</v>
      </c>
      <c r="B1114" s="1">
        <v>46074</v>
      </c>
      <c r="C1114" t="s">
        <v>62</v>
      </c>
      <c r="D1114" t="s">
        <v>151</v>
      </c>
      <c r="E1114" t="s">
        <v>42</v>
      </c>
      <c r="F1114" t="s">
        <v>127</v>
      </c>
      <c r="G1114" t="s">
        <v>128</v>
      </c>
      <c r="H1114" t="s">
        <v>103</v>
      </c>
      <c r="I1114" t="s">
        <v>116</v>
      </c>
      <c r="J1114" t="s">
        <v>7090</v>
      </c>
      <c r="K1114" t="s">
        <v>66</v>
      </c>
      <c r="L1114" t="s">
        <v>46</v>
      </c>
      <c r="M1114" t="s">
        <v>87</v>
      </c>
      <c r="N1114" t="s">
        <v>48</v>
      </c>
      <c r="O1114" t="s">
        <v>70</v>
      </c>
      <c r="P1114" t="s">
        <v>37</v>
      </c>
      <c r="Q1114" t="s">
        <v>50</v>
      </c>
      <c r="R1114">
        <v>420</v>
      </c>
      <c r="S1114">
        <v>202</v>
      </c>
      <c r="T1114">
        <v>125</v>
      </c>
      <c r="U1114">
        <v>32</v>
      </c>
      <c r="V1114" t="s">
        <v>1746</v>
      </c>
      <c r="W1114">
        <v>26562</v>
      </c>
      <c r="X1114" t="s">
        <v>498</v>
      </c>
      <c r="Y1114">
        <v>24675</v>
      </c>
      <c r="Z1114">
        <v>849984</v>
      </c>
      <c r="AA1114">
        <v>60384</v>
      </c>
      <c r="AB1114" t="str">
        <f>(VLOOKUP(SalesData[[#This Row],[Month Number]],Reference!C$5:E$16,2,FALSE))</f>
        <v>Feb</v>
      </c>
      <c r="AC1114">
        <f>MONTH(SalesData[[#This Row],[Date]])</f>
        <v>2</v>
      </c>
      <c r="AD1114">
        <f>Reference!F$4</f>
        <v>2026</v>
      </c>
      <c r="AE1114" t="str">
        <f>IF(OR(SalesData[[#This Row],[Day]]="Saturday",SalesData[[#This Row],[Day]]="Sunday"),"Weekend","Weekday")</f>
        <v>Weekend</v>
      </c>
      <c r="AF1114" s="5">
        <f>IF(SalesData[[#This Row],[Contracts Offered]]=0,0,SalesData[[#This Row],[Contracts Signed]]/SalesData[[#This Row],[Contracts Offered]])</f>
        <v>0.25600000000000001</v>
      </c>
      <c r="AG1114" s="5">
        <f>IF(SalesData[[#This Row],[Customers Visited]]=0,0,SalesData[[#This Row],[Test Drives]]/SalesData[[#This Row],[Customers Visited]])</f>
        <v>0.48095238095238096</v>
      </c>
      <c r="AH1114" s="5">
        <f>IF(SalesData[[#This Row],[Customers Visited]]=0,0,SalesData[[#This Row],[Contracts Signed]]/SalesData[[#This Row],[Customers Visited]])</f>
        <v>7.6190476190476197E-2</v>
      </c>
      <c r="AI1114" s="6">
        <f>IF(SalesData[[#This Row],[Contracts Signed]]=0,0,SalesData[[#This Row],[Profit(€)]]/SalesData[[#This Row],[Contracts Signed]])</f>
        <v>1887</v>
      </c>
      <c r="AJ1114" s="5" t="str">
        <f>TRIM(CLEAN(SalesData[[#This Row],[Retailer]]))</f>
        <v>Rhein Auto Group</v>
      </c>
    </row>
    <row r="1115" spans="1:36" ht="14.25" x14ac:dyDescent="0.2">
      <c r="A1115" t="s">
        <v>1877</v>
      </c>
      <c r="B1115" s="1">
        <v>46059</v>
      </c>
      <c r="C1115" t="s">
        <v>24</v>
      </c>
      <c r="D1115" t="s">
        <v>54</v>
      </c>
      <c r="E1115" t="s">
        <v>26</v>
      </c>
      <c r="F1115" t="s">
        <v>114</v>
      </c>
      <c r="G1115" t="s">
        <v>115</v>
      </c>
      <c r="H1115" t="s">
        <v>115</v>
      </c>
      <c r="I1115" t="s">
        <v>30</v>
      </c>
      <c r="J1115" t="s">
        <v>86</v>
      </c>
      <c r="K1115" t="s">
        <v>66</v>
      </c>
      <c r="L1115" t="s">
        <v>33</v>
      </c>
      <c r="M1115" t="s">
        <v>34</v>
      </c>
      <c r="N1115" t="s">
        <v>35</v>
      </c>
      <c r="O1115" t="s">
        <v>70</v>
      </c>
      <c r="P1115" t="s">
        <v>71</v>
      </c>
      <c r="Q1115" t="s">
        <v>144</v>
      </c>
      <c r="R1115">
        <v>207</v>
      </c>
      <c r="S1115">
        <v>109</v>
      </c>
      <c r="T1115">
        <v>83</v>
      </c>
      <c r="U1115">
        <v>32</v>
      </c>
      <c r="V1115" t="s">
        <v>7001</v>
      </c>
      <c r="W1115">
        <v>61835</v>
      </c>
      <c r="X1115" t="s">
        <v>7121</v>
      </c>
      <c r="Y1115">
        <v>44659</v>
      </c>
      <c r="Z1115">
        <v>1978720</v>
      </c>
      <c r="AA1115">
        <v>549632</v>
      </c>
      <c r="AB1115" t="str">
        <f>(VLOOKUP(SalesData[[#This Row],[Month Number]],Reference!C$5:E$16,2,FALSE))</f>
        <v>Feb</v>
      </c>
      <c r="AC1115">
        <f>MONTH(SalesData[[#This Row],[Date]])</f>
        <v>2</v>
      </c>
      <c r="AD1115">
        <f>Reference!F$4</f>
        <v>2026</v>
      </c>
      <c r="AE1115" t="str">
        <f>IF(OR(SalesData[[#This Row],[Day]]="Saturday",SalesData[[#This Row],[Day]]="Sunday"),"Weekend","Weekday")</f>
        <v>Weekday</v>
      </c>
      <c r="AF1115" s="5">
        <f>IF(SalesData[[#This Row],[Contracts Offered]]=0,0,SalesData[[#This Row],[Contracts Signed]]/SalesData[[#This Row],[Contracts Offered]])</f>
        <v>0.38554216867469882</v>
      </c>
      <c r="AG1115" s="5">
        <f>IF(SalesData[[#This Row],[Customers Visited]]=0,0,SalesData[[#This Row],[Test Drives]]/SalesData[[#This Row],[Customers Visited]])</f>
        <v>0.52657004830917875</v>
      </c>
      <c r="AH1115" s="5">
        <f>IF(SalesData[[#This Row],[Customers Visited]]=0,0,SalesData[[#This Row],[Contracts Signed]]/SalesData[[#This Row],[Customers Visited]])</f>
        <v>0.15458937198067632</v>
      </c>
      <c r="AI1115" s="6">
        <f>IF(SalesData[[#This Row],[Contracts Signed]]=0,0,SalesData[[#This Row],[Profit(€)]]/SalesData[[#This Row],[Contracts Signed]])</f>
        <v>17176</v>
      </c>
      <c r="AJ1115" s="5" t="str">
        <f>TRIM(CLEAN(SalesData[[#This Row],[Retailer]]))</f>
        <v>Elbe Drive</v>
      </c>
    </row>
    <row r="1116" spans="1:36" ht="14.25" hidden="1" x14ac:dyDescent="0.2">
      <c r="A1116" t="s">
        <v>1878</v>
      </c>
      <c r="B1116" s="1">
        <v>46054</v>
      </c>
      <c r="C1116" t="s">
        <v>24</v>
      </c>
      <c r="D1116" t="s">
        <v>41</v>
      </c>
      <c r="E1116" t="s">
        <v>42</v>
      </c>
      <c r="F1116" t="s">
        <v>109</v>
      </c>
      <c r="G1116" t="s">
        <v>110</v>
      </c>
      <c r="H1116" t="s">
        <v>45</v>
      </c>
      <c r="I1116" t="s">
        <v>56</v>
      </c>
      <c r="J1116" t="s">
        <v>179</v>
      </c>
      <c r="K1116" t="s">
        <v>66</v>
      </c>
      <c r="L1116" t="s">
        <v>67</v>
      </c>
      <c r="M1116" t="s">
        <v>47</v>
      </c>
      <c r="N1116" t="s">
        <v>69</v>
      </c>
      <c r="O1116" t="s">
        <v>70</v>
      </c>
      <c r="P1116" t="s">
        <v>71</v>
      </c>
      <c r="Q1116" t="s">
        <v>135</v>
      </c>
      <c r="R1116">
        <v>218</v>
      </c>
      <c r="S1116">
        <v>135</v>
      </c>
      <c r="T1116">
        <v>91</v>
      </c>
      <c r="U1116">
        <v>31</v>
      </c>
      <c r="V1116" t="s">
        <v>6371</v>
      </c>
      <c r="W1116">
        <v>48622</v>
      </c>
      <c r="X1116" t="s">
        <v>7169</v>
      </c>
      <c r="Y1116">
        <v>37790</v>
      </c>
      <c r="Z1116">
        <v>1507282</v>
      </c>
      <c r="AA1116">
        <v>335792</v>
      </c>
      <c r="AB1116" t="str">
        <f>(VLOOKUP(SalesData[[#This Row],[Month Number]],Reference!C$5:E$16,2,FALSE))</f>
        <v>Feb</v>
      </c>
      <c r="AC1116">
        <f>MONTH(SalesData[[#This Row],[Date]])</f>
        <v>2</v>
      </c>
      <c r="AD1116">
        <f>Reference!F$4</f>
        <v>2026</v>
      </c>
      <c r="AE1116" t="str">
        <f>IF(OR(SalesData[[#This Row],[Day]]="Saturday",SalesData[[#This Row],[Day]]="Sunday"),"Weekend","Weekday")</f>
        <v>Weekend</v>
      </c>
      <c r="AF1116" s="5">
        <f>IF(SalesData[[#This Row],[Contracts Offered]]=0,0,SalesData[[#This Row],[Contracts Signed]]/SalesData[[#This Row],[Contracts Offered]])</f>
        <v>0.34065934065934067</v>
      </c>
      <c r="AG1116" s="5">
        <f>IF(SalesData[[#This Row],[Customers Visited]]=0,0,SalesData[[#This Row],[Test Drives]]/SalesData[[#This Row],[Customers Visited]])</f>
        <v>0.61926605504587151</v>
      </c>
      <c r="AH1116" s="5">
        <f>IF(SalesData[[#This Row],[Customers Visited]]=0,0,SalesData[[#This Row],[Contracts Signed]]/SalesData[[#This Row],[Customers Visited]])</f>
        <v>0.14220183486238533</v>
      </c>
      <c r="AI1116" s="6">
        <f>IF(SalesData[[#This Row],[Contracts Signed]]=0,0,SalesData[[#This Row],[Profit(€)]]/SalesData[[#This Row],[Contracts Signed]])</f>
        <v>10832</v>
      </c>
      <c r="AJ1116" s="5" t="str">
        <f>TRIM(CLEAN(SalesData[[#This Row],[Retailer]]))</f>
        <v>Leipzig Mobility</v>
      </c>
    </row>
    <row r="1117" spans="1:36" ht="14.25" x14ac:dyDescent="0.2">
      <c r="A1117" t="s">
        <v>1880</v>
      </c>
      <c r="B1117" s="1">
        <v>46056</v>
      </c>
      <c r="C1117" t="s">
        <v>24</v>
      </c>
      <c r="D1117" t="s">
        <v>63</v>
      </c>
      <c r="E1117" t="s">
        <v>26</v>
      </c>
      <c r="F1117" t="s">
        <v>101</v>
      </c>
      <c r="G1117" t="s">
        <v>102</v>
      </c>
      <c r="H1117" t="s">
        <v>103</v>
      </c>
      <c r="I1117" t="s">
        <v>30</v>
      </c>
      <c r="J1117" t="s">
        <v>31</v>
      </c>
      <c r="K1117" t="s">
        <v>32</v>
      </c>
      <c r="L1117" t="s">
        <v>46</v>
      </c>
      <c r="M1117" t="s">
        <v>34</v>
      </c>
      <c r="N1117" t="s">
        <v>48</v>
      </c>
      <c r="O1117" t="s">
        <v>36</v>
      </c>
      <c r="P1117" t="s">
        <v>58</v>
      </c>
      <c r="Q1117" t="s">
        <v>50</v>
      </c>
      <c r="R1117">
        <v>252</v>
      </c>
      <c r="S1117">
        <v>128</v>
      </c>
      <c r="T1117">
        <v>97</v>
      </c>
      <c r="U1117">
        <v>38</v>
      </c>
      <c r="V1117" t="s">
        <v>7374</v>
      </c>
      <c r="W1117">
        <v>64741</v>
      </c>
      <c r="X1117" t="s">
        <v>909</v>
      </c>
      <c r="Y1117">
        <v>49778</v>
      </c>
      <c r="Z1117">
        <v>2460158</v>
      </c>
      <c r="AA1117">
        <v>568594</v>
      </c>
      <c r="AB1117" t="str">
        <f>(VLOOKUP(SalesData[[#This Row],[Month Number]],Reference!C$5:E$16,2,FALSE))</f>
        <v>Feb</v>
      </c>
      <c r="AC1117">
        <f>MONTH(SalesData[[#This Row],[Date]])</f>
        <v>2</v>
      </c>
      <c r="AD1117">
        <f>Reference!F$4</f>
        <v>2026</v>
      </c>
      <c r="AE1117" t="str">
        <f>IF(OR(SalesData[[#This Row],[Day]]="Saturday",SalesData[[#This Row],[Day]]="Sunday"),"Weekend","Weekday")</f>
        <v>Weekday</v>
      </c>
      <c r="AF1117" s="5">
        <f>IF(SalesData[[#This Row],[Contracts Offered]]=0,0,SalesData[[#This Row],[Contracts Signed]]/SalesData[[#This Row],[Contracts Offered]])</f>
        <v>0.39175257731958762</v>
      </c>
      <c r="AG1117" s="5">
        <f>IF(SalesData[[#This Row],[Customers Visited]]=0,0,SalesData[[#This Row],[Test Drives]]/SalesData[[#This Row],[Customers Visited]])</f>
        <v>0.50793650793650791</v>
      </c>
      <c r="AH1117" s="5">
        <f>IF(SalesData[[#This Row],[Customers Visited]]=0,0,SalesData[[#This Row],[Contracts Signed]]/SalesData[[#This Row],[Customers Visited]])</f>
        <v>0.15079365079365079</v>
      </c>
      <c r="AI1117" s="6">
        <f>IF(SalesData[[#This Row],[Contracts Signed]]=0,0,SalesData[[#This Row],[Profit(€)]]/SalesData[[#This Row],[Contracts Signed]])</f>
        <v>14963</v>
      </c>
      <c r="AJ1117" s="5" t="str">
        <f>TRIM(CLEAN(SalesData[[#This Row],[Retailer]]))</f>
        <v>Ruhr Auto Plaza</v>
      </c>
    </row>
    <row r="1118" spans="1:36" ht="14.25" hidden="1" x14ac:dyDescent="0.2">
      <c r="A1118" t="s">
        <v>1881</v>
      </c>
      <c r="B1118" s="1">
        <v>46081</v>
      </c>
      <c r="C1118" t="s">
        <v>53</v>
      </c>
      <c r="D1118" t="s">
        <v>151</v>
      </c>
      <c r="E1118" t="s">
        <v>42</v>
      </c>
      <c r="F1118" t="s">
        <v>43</v>
      </c>
      <c r="G1118" t="s">
        <v>44</v>
      </c>
      <c r="H1118" t="s">
        <v>45</v>
      </c>
      <c r="I1118" t="s">
        <v>116</v>
      </c>
      <c r="J1118" t="s">
        <v>132</v>
      </c>
      <c r="K1118" t="s">
        <v>66</v>
      </c>
      <c r="L1118" t="s">
        <v>46</v>
      </c>
      <c r="M1118" t="s">
        <v>34</v>
      </c>
      <c r="N1118" t="s">
        <v>48</v>
      </c>
      <c r="O1118" t="s">
        <v>70</v>
      </c>
      <c r="P1118" t="s">
        <v>49</v>
      </c>
      <c r="Q1118" t="s">
        <v>88</v>
      </c>
      <c r="R1118">
        <v>324</v>
      </c>
      <c r="S1118">
        <v>131</v>
      </c>
      <c r="T1118">
        <v>90</v>
      </c>
      <c r="U1118">
        <v>13</v>
      </c>
      <c r="V1118" t="s">
        <v>919</v>
      </c>
      <c r="W1118">
        <v>24642</v>
      </c>
      <c r="X1118" t="s">
        <v>7375</v>
      </c>
      <c r="Y1118">
        <v>21980</v>
      </c>
      <c r="Z1118">
        <v>320346</v>
      </c>
      <c r="AA1118">
        <v>34606</v>
      </c>
      <c r="AB1118" t="str">
        <f>(VLOOKUP(SalesData[[#This Row],[Month Number]],Reference!C$5:E$16,2,FALSE))</f>
        <v>Feb</v>
      </c>
      <c r="AC1118">
        <f>MONTH(SalesData[[#This Row],[Date]])</f>
        <v>2</v>
      </c>
      <c r="AD1118">
        <f>Reference!F$4</f>
        <v>2026</v>
      </c>
      <c r="AE1118" t="str">
        <f>IF(OR(SalesData[[#This Row],[Day]]="Saturday",SalesData[[#This Row],[Day]]="Sunday"),"Weekend","Weekday")</f>
        <v>Weekend</v>
      </c>
      <c r="AF1118" s="5">
        <f>IF(SalesData[[#This Row],[Contracts Offered]]=0,0,SalesData[[#This Row],[Contracts Signed]]/SalesData[[#This Row],[Contracts Offered]])</f>
        <v>0.14444444444444443</v>
      </c>
      <c r="AG1118" s="5">
        <f>IF(SalesData[[#This Row],[Customers Visited]]=0,0,SalesData[[#This Row],[Test Drives]]/SalesData[[#This Row],[Customers Visited]])</f>
        <v>0.40432098765432101</v>
      </c>
      <c r="AH1118" s="5">
        <f>IF(SalesData[[#This Row],[Customers Visited]]=0,0,SalesData[[#This Row],[Contracts Signed]]/SalesData[[#This Row],[Customers Visited]])</f>
        <v>4.0123456790123455E-2</v>
      </c>
      <c r="AI1118" s="6">
        <f>IF(SalesData[[#This Row],[Contracts Signed]]=0,0,SalesData[[#This Row],[Profit(€)]]/SalesData[[#This Row],[Contracts Signed]])</f>
        <v>2662</v>
      </c>
      <c r="AJ1118" s="5" t="str">
        <f>TRIM(CLEAN(SalesData[[#This Row],[Retailer]]))</f>
        <v>Saxon Wheels</v>
      </c>
    </row>
    <row r="1119" spans="1:36" ht="14.25" hidden="1" x14ac:dyDescent="0.2">
      <c r="A1119" t="s">
        <v>1882</v>
      </c>
      <c r="B1119" s="1">
        <v>46072</v>
      </c>
      <c r="C1119" t="s">
        <v>62</v>
      </c>
      <c r="D1119" t="s">
        <v>100</v>
      </c>
      <c r="E1119" t="s">
        <v>26</v>
      </c>
      <c r="F1119" t="s">
        <v>109</v>
      </c>
      <c r="G1119" t="s">
        <v>110</v>
      </c>
      <c r="H1119" t="s">
        <v>45</v>
      </c>
      <c r="I1119" t="s">
        <v>116</v>
      </c>
      <c r="J1119" t="s">
        <v>7026</v>
      </c>
      <c r="K1119" t="s">
        <v>32</v>
      </c>
      <c r="L1119" t="s">
        <v>46</v>
      </c>
      <c r="M1119" t="s">
        <v>34</v>
      </c>
      <c r="N1119" t="s">
        <v>69</v>
      </c>
      <c r="O1119" t="s">
        <v>70</v>
      </c>
      <c r="P1119" t="s">
        <v>37</v>
      </c>
      <c r="Q1119" t="s">
        <v>79</v>
      </c>
      <c r="R1119">
        <v>398</v>
      </c>
      <c r="S1119">
        <v>193</v>
      </c>
      <c r="T1119">
        <v>134</v>
      </c>
      <c r="U1119">
        <v>25</v>
      </c>
      <c r="V1119" t="s">
        <v>4532</v>
      </c>
      <c r="W1119">
        <v>24264</v>
      </c>
      <c r="X1119" t="s">
        <v>7271</v>
      </c>
      <c r="Y1119">
        <v>22137</v>
      </c>
      <c r="Z1119">
        <v>606600</v>
      </c>
      <c r="AA1119">
        <v>53175</v>
      </c>
      <c r="AB1119" t="str">
        <f>(VLOOKUP(SalesData[[#This Row],[Month Number]],Reference!C$5:E$16,2,FALSE))</f>
        <v>Feb</v>
      </c>
      <c r="AC1119">
        <f>MONTH(SalesData[[#This Row],[Date]])</f>
        <v>2</v>
      </c>
      <c r="AD1119">
        <f>Reference!F$4</f>
        <v>2026</v>
      </c>
      <c r="AE1119" t="str">
        <f>IF(OR(SalesData[[#This Row],[Day]]="Saturday",SalesData[[#This Row],[Day]]="Sunday"),"Weekend","Weekday")</f>
        <v>Weekday</v>
      </c>
      <c r="AF1119" s="5">
        <f>IF(SalesData[[#This Row],[Contracts Offered]]=0,0,SalesData[[#This Row],[Contracts Signed]]/SalesData[[#This Row],[Contracts Offered]])</f>
        <v>0.18656716417910449</v>
      </c>
      <c r="AG1119" s="5">
        <f>IF(SalesData[[#This Row],[Customers Visited]]=0,0,SalesData[[#This Row],[Test Drives]]/SalesData[[#This Row],[Customers Visited]])</f>
        <v>0.48492462311557788</v>
      </c>
      <c r="AH1119" s="5">
        <f>IF(SalesData[[#This Row],[Customers Visited]]=0,0,SalesData[[#This Row],[Contracts Signed]]/SalesData[[#This Row],[Customers Visited]])</f>
        <v>6.2814070351758788E-2</v>
      </c>
      <c r="AI1119" s="6">
        <f>IF(SalesData[[#This Row],[Contracts Signed]]=0,0,SalesData[[#This Row],[Profit(€)]]/SalesData[[#This Row],[Contracts Signed]])</f>
        <v>2127</v>
      </c>
      <c r="AJ1119" s="5" t="str">
        <f>TRIM(CLEAN(SalesData[[#This Row],[Retailer]]))</f>
        <v>Leipzig Mobility</v>
      </c>
    </row>
    <row r="1120" spans="1:36" ht="14.25" hidden="1" x14ac:dyDescent="0.2">
      <c r="A1120" t="s">
        <v>1884</v>
      </c>
      <c r="B1120" s="1">
        <v>46070</v>
      </c>
      <c r="C1120" t="s">
        <v>62</v>
      </c>
      <c r="D1120" t="s">
        <v>63</v>
      </c>
      <c r="E1120" t="s">
        <v>26</v>
      </c>
      <c r="F1120" t="s">
        <v>83</v>
      </c>
      <c r="G1120" t="s">
        <v>84</v>
      </c>
      <c r="H1120" t="s">
        <v>85</v>
      </c>
      <c r="I1120" t="s">
        <v>64</v>
      </c>
      <c r="J1120" t="s">
        <v>111</v>
      </c>
      <c r="K1120" t="s">
        <v>91</v>
      </c>
      <c r="L1120" t="s">
        <v>46</v>
      </c>
      <c r="M1120" t="s">
        <v>87</v>
      </c>
      <c r="N1120" t="s">
        <v>69</v>
      </c>
      <c r="O1120" t="s">
        <v>36</v>
      </c>
      <c r="P1120" t="s">
        <v>37</v>
      </c>
      <c r="Q1120" t="s">
        <v>240</v>
      </c>
      <c r="R1120">
        <v>288</v>
      </c>
      <c r="S1120">
        <v>138</v>
      </c>
      <c r="T1120">
        <v>107</v>
      </c>
      <c r="U1120">
        <v>32</v>
      </c>
      <c r="V1120" t="s">
        <v>6568</v>
      </c>
      <c r="W1120">
        <v>64503</v>
      </c>
      <c r="X1120" t="s">
        <v>7210</v>
      </c>
      <c r="Y1120">
        <v>46687</v>
      </c>
      <c r="Z1120">
        <v>2064096</v>
      </c>
      <c r="AA1120">
        <v>570112</v>
      </c>
      <c r="AB1120" t="str">
        <f>(VLOOKUP(SalesData[[#This Row],[Month Number]],Reference!C$5:E$16,2,FALSE))</f>
        <v>Feb</v>
      </c>
      <c r="AC1120">
        <f>MONTH(SalesData[[#This Row],[Date]])</f>
        <v>2</v>
      </c>
      <c r="AD1120">
        <f>Reference!F$4</f>
        <v>2026</v>
      </c>
      <c r="AE1120" t="str">
        <f>IF(OR(SalesData[[#This Row],[Day]]="Saturday",SalesData[[#This Row],[Day]]="Sunday"),"Weekend","Weekday")</f>
        <v>Weekday</v>
      </c>
      <c r="AF1120" s="5">
        <f>IF(SalesData[[#This Row],[Contracts Offered]]=0,0,SalesData[[#This Row],[Contracts Signed]]/SalesData[[#This Row],[Contracts Offered]])</f>
        <v>0.29906542056074764</v>
      </c>
      <c r="AG1120" s="5">
        <f>IF(SalesData[[#This Row],[Customers Visited]]=0,0,SalesData[[#This Row],[Test Drives]]/SalesData[[#This Row],[Customers Visited]])</f>
        <v>0.47916666666666669</v>
      </c>
      <c r="AH1120" s="5">
        <f>IF(SalesData[[#This Row],[Customers Visited]]=0,0,SalesData[[#This Row],[Contracts Signed]]/SalesData[[#This Row],[Customers Visited]])</f>
        <v>0.1111111111111111</v>
      </c>
      <c r="AI1120" s="6">
        <f>IF(SalesData[[#This Row],[Contracts Signed]]=0,0,SalesData[[#This Row],[Profit(€)]]/SalesData[[#This Row],[Contracts Signed]])</f>
        <v>17816</v>
      </c>
      <c r="AJ1120" s="5" t="str">
        <f>TRIM(CLEAN(SalesData[[#This Row],[Retailer]]))</f>
        <v>Hannover Cars</v>
      </c>
    </row>
    <row r="1121" spans="1:36" ht="14.25" hidden="1" x14ac:dyDescent="0.2">
      <c r="A1121" t="s">
        <v>1886</v>
      </c>
      <c r="B1121" s="1">
        <v>46068</v>
      </c>
      <c r="C1121" t="s">
        <v>62</v>
      </c>
      <c r="D1121" t="s">
        <v>41</v>
      </c>
      <c r="E1121" t="s">
        <v>42</v>
      </c>
      <c r="F1121" t="s">
        <v>43</v>
      </c>
      <c r="G1121" t="s">
        <v>44</v>
      </c>
      <c r="H1121" t="s">
        <v>45</v>
      </c>
      <c r="I1121" t="s">
        <v>104</v>
      </c>
      <c r="J1121" t="s">
        <v>7061</v>
      </c>
      <c r="K1121" t="s">
        <v>78</v>
      </c>
      <c r="L1121" t="s">
        <v>46</v>
      </c>
      <c r="M1121" t="s">
        <v>47</v>
      </c>
      <c r="N1121" t="s">
        <v>35</v>
      </c>
      <c r="O1121" t="s">
        <v>36</v>
      </c>
      <c r="P1121" t="s">
        <v>37</v>
      </c>
      <c r="Q1121" t="s">
        <v>135</v>
      </c>
      <c r="R1121">
        <v>439</v>
      </c>
      <c r="S1121">
        <v>225</v>
      </c>
      <c r="T1121">
        <v>140</v>
      </c>
      <c r="U1121">
        <v>29</v>
      </c>
      <c r="V1121" t="s">
        <v>3505</v>
      </c>
      <c r="W1121">
        <v>30999</v>
      </c>
      <c r="X1121" t="s">
        <v>7376</v>
      </c>
      <c r="Y1121">
        <v>26696</v>
      </c>
      <c r="Z1121">
        <v>898971</v>
      </c>
      <c r="AA1121">
        <v>124787</v>
      </c>
      <c r="AB1121" t="str">
        <f>(VLOOKUP(SalesData[[#This Row],[Month Number]],Reference!C$5:E$16,2,FALSE))</f>
        <v>Feb</v>
      </c>
      <c r="AC1121">
        <f>MONTH(SalesData[[#This Row],[Date]])</f>
        <v>2</v>
      </c>
      <c r="AD1121">
        <f>Reference!F$4</f>
        <v>2026</v>
      </c>
      <c r="AE1121" t="str">
        <f>IF(OR(SalesData[[#This Row],[Day]]="Saturday",SalesData[[#This Row],[Day]]="Sunday"),"Weekend","Weekday")</f>
        <v>Weekend</v>
      </c>
      <c r="AF1121" s="5">
        <f>IF(SalesData[[#This Row],[Contracts Offered]]=0,0,SalesData[[#This Row],[Contracts Signed]]/SalesData[[#This Row],[Contracts Offered]])</f>
        <v>0.20714285714285716</v>
      </c>
      <c r="AG1121" s="5">
        <f>IF(SalesData[[#This Row],[Customers Visited]]=0,0,SalesData[[#This Row],[Test Drives]]/SalesData[[#This Row],[Customers Visited]])</f>
        <v>0.51252847380410027</v>
      </c>
      <c r="AH1121" s="5">
        <f>IF(SalesData[[#This Row],[Customers Visited]]=0,0,SalesData[[#This Row],[Contracts Signed]]/SalesData[[#This Row],[Customers Visited]])</f>
        <v>6.6059225512528477E-2</v>
      </c>
      <c r="AI1121" s="6">
        <f>IF(SalesData[[#This Row],[Contracts Signed]]=0,0,SalesData[[#This Row],[Profit(€)]]/SalesData[[#This Row],[Contracts Signed]])</f>
        <v>4303</v>
      </c>
      <c r="AJ1121" s="5" t="str">
        <f>TRIM(CLEAN(SalesData[[#This Row],[Retailer]]))</f>
        <v>Saxon Wheels</v>
      </c>
    </row>
    <row r="1122" spans="1:36" ht="14.25" hidden="1" x14ac:dyDescent="0.2">
      <c r="A1122" t="s">
        <v>1887</v>
      </c>
      <c r="B1122" s="1">
        <v>46054</v>
      </c>
      <c r="C1122" t="s">
        <v>24</v>
      </c>
      <c r="D1122" t="s">
        <v>41</v>
      </c>
      <c r="E1122" t="s">
        <v>42</v>
      </c>
      <c r="F1122" t="s">
        <v>127</v>
      </c>
      <c r="G1122" t="s">
        <v>128</v>
      </c>
      <c r="H1122" t="s">
        <v>103</v>
      </c>
      <c r="I1122" t="s">
        <v>116</v>
      </c>
      <c r="J1122" t="s">
        <v>117</v>
      </c>
      <c r="K1122" t="s">
        <v>78</v>
      </c>
      <c r="L1122" t="s">
        <v>67</v>
      </c>
      <c r="M1122" t="s">
        <v>34</v>
      </c>
      <c r="N1122" t="s">
        <v>48</v>
      </c>
      <c r="O1122" t="s">
        <v>70</v>
      </c>
      <c r="P1122" t="s">
        <v>37</v>
      </c>
      <c r="Q1122" t="s">
        <v>106</v>
      </c>
      <c r="R1122">
        <v>422</v>
      </c>
      <c r="S1122">
        <v>198</v>
      </c>
      <c r="T1122">
        <v>132</v>
      </c>
      <c r="U1122">
        <v>29</v>
      </c>
      <c r="V1122" t="s">
        <v>1207</v>
      </c>
      <c r="W1122">
        <v>24468</v>
      </c>
      <c r="X1122" t="s">
        <v>7377</v>
      </c>
      <c r="Y1122">
        <v>22383</v>
      </c>
      <c r="Z1122">
        <v>709572</v>
      </c>
      <c r="AA1122">
        <v>60465</v>
      </c>
      <c r="AB1122" t="str">
        <f>(VLOOKUP(SalesData[[#This Row],[Month Number]],Reference!C$5:E$16,2,FALSE))</f>
        <v>Feb</v>
      </c>
      <c r="AC1122">
        <f>MONTH(SalesData[[#This Row],[Date]])</f>
        <v>2</v>
      </c>
      <c r="AD1122">
        <f>Reference!F$4</f>
        <v>2026</v>
      </c>
      <c r="AE1122" t="str">
        <f>IF(OR(SalesData[[#This Row],[Day]]="Saturday",SalesData[[#This Row],[Day]]="Sunday"),"Weekend","Weekday")</f>
        <v>Weekend</v>
      </c>
      <c r="AF1122" s="5">
        <f>IF(SalesData[[#This Row],[Contracts Offered]]=0,0,SalesData[[#This Row],[Contracts Signed]]/SalesData[[#This Row],[Contracts Offered]])</f>
        <v>0.2196969696969697</v>
      </c>
      <c r="AG1122" s="5">
        <f>IF(SalesData[[#This Row],[Customers Visited]]=0,0,SalesData[[#This Row],[Test Drives]]/SalesData[[#This Row],[Customers Visited]])</f>
        <v>0.46919431279620855</v>
      </c>
      <c r="AH1122" s="5">
        <f>IF(SalesData[[#This Row],[Customers Visited]]=0,0,SalesData[[#This Row],[Contracts Signed]]/SalesData[[#This Row],[Customers Visited]])</f>
        <v>6.8720379146919433E-2</v>
      </c>
      <c r="AI1122" s="6">
        <f>IF(SalesData[[#This Row],[Contracts Signed]]=0,0,SalesData[[#This Row],[Profit(€)]]/SalesData[[#This Row],[Contracts Signed]])</f>
        <v>2085</v>
      </c>
      <c r="AJ1122" s="5" t="str">
        <f>TRIM(CLEAN(SalesData[[#This Row],[Retailer]]))</f>
        <v>Rhein Auto Group</v>
      </c>
    </row>
    <row r="1123" spans="1:36" ht="14.25" hidden="1" x14ac:dyDescent="0.2">
      <c r="A1123" t="s">
        <v>1888</v>
      </c>
      <c r="B1123" s="1">
        <v>46055</v>
      </c>
      <c r="C1123" t="s">
        <v>24</v>
      </c>
      <c r="D1123" t="s">
        <v>25</v>
      </c>
      <c r="E1123" t="s">
        <v>26</v>
      </c>
      <c r="F1123" t="s">
        <v>74</v>
      </c>
      <c r="G1123" t="s">
        <v>75</v>
      </c>
      <c r="H1123" t="s">
        <v>76</v>
      </c>
      <c r="I1123" t="s">
        <v>116</v>
      </c>
      <c r="J1123" t="s">
        <v>117</v>
      </c>
      <c r="K1123" t="s">
        <v>66</v>
      </c>
      <c r="L1123" t="s">
        <v>67</v>
      </c>
      <c r="M1123" t="s">
        <v>68</v>
      </c>
      <c r="N1123" t="s">
        <v>69</v>
      </c>
      <c r="O1123" t="s">
        <v>70</v>
      </c>
      <c r="P1123" t="s">
        <v>58</v>
      </c>
      <c r="Q1123" t="s">
        <v>129</v>
      </c>
      <c r="R1123">
        <v>230</v>
      </c>
      <c r="S1123">
        <v>112</v>
      </c>
      <c r="T1123">
        <v>77</v>
      </c>
      <c r="U1123">
        <v>21</v>
      </c>
      <c r="V1123" t="s">
        <v>729</v>
      </c>
      <c r="W1123">
        <v>19962</v>
      </c>
      <c r="X1123" t="s">
        <v>4616</v>
      </c>
      <c r="Y1123">
        <v>17893</v>
      </c>
      <c r="Z1123">
        <v>419202</v>
      </c>
      <c r="AA1123">
        <v>43449</v>
      </c>
      <c r="AB1123" t="str">
        <f>(VLOOKUP(SalesData[[#This Row],[Month Number]],Reference!C$5:E$16,2,FALSE))</f>
        <v>Feb</v>
      </c>
      <c r="AC1123">
        <f>MONTH(SalesData[[#This Row],[Date]])</f>
        <v>2</v>
      </c>
      <c r="AD1123">
        <f>Reference!F$4</f>
        <v>2026</v>
      </c>
      <c r="AE1123" t="str">
        <f>IF(OR(SalesData[[#This Row],[Day]]="Saturday",SalesData[[#This Row],[Day]]="Sunday"),"Weekend","Weekday")</f>
        <v>Weekday</v>
      </c>
      <c r="AF1123" s="5">
        <f>IF(SalesData[[#This Row],[Contracts Offered]]=0,0,SalesData[[#This Row],[Contracts Signed]]/SalesData[[#This Row],[Contracts Offered]])</f>
        <v>0.27272727272727271</v>
      </c>
      <c r="AG1123" s="5">
        <f>IF(SalesData[[#This Row],[Customers Visited]]=0,0,SalesData[[#This Row],[Test Drives]]/SalesData[[#This Row],[Customers Visited]])</f>
        <v>0.48695652173913045</v>
      </c>
      <c r="AH1123" s="5">
        <f>IF(SalesData[[#This Row],[Customers Visited]]=0,0,SalesData[[#This Row],[Contracts Signed]]/SalesData[[#This Row],[Customers Visited]])</f>
        <v>9.1304347826086957E-2</v>
      </c>
      <c r="AI1123" s="6">
        <f>IF(SalesData[[#This Row],[Contracts Signed]]=0,0,SalesData[[#This Row],[Profit(€)]]/SalesData[[#This Row],[Contracts Signed]])</f>
        <v>2069</v>
      </c>
      <c r="AJ1123" s="5" t="str">
        <f>TRIM(CLEAN(SalesData[[#This Row],[Retailer]]))</f>
        <v>Stuttgart Auto Center</v>
      </c>
    </row>
    <row r="1124" spans="1:36" ht="14.25" x14ac:dyDescent="0.2">
      <c r="A1124" t="s">
        <v>1889</v>
      </c>
      <c r="B1124" s="1">
        <v>46063</v>
      </c>
      <c r="C1124" t="s">
        <v>121</v>
      </c>
      <c r="D1124" t="s">
        <v>63</v>
      </c>
      <c r="E1124" t="s">
        <v>26</v>
      </c>
      <c r="F1124" t="s">
        <v>43</v>
      </c>
      <c r="G1124" t="s">
        <v>44</v>
      </c>
      <c r="H1124" t="s">
        <v>45</v>
      </c>
      <c r="I1124" t="s">
        <v>30</v>
      </c>
      <c r="J1124" t="s">
        <v>86</v>
      </c>
      <c r="K1124" t="s">
        <v>66</v>
      </c>
      <c r="L1124" t="s">
        <v>33</v>
      </c>
      <c r="M1124" t="s">
        <v>87</v>
      </c>
      <c r="N1124" t="s">
        <v>35</v>
      </c>
      <c r="O1124" t="s">
        <v>36</v>
      </c>
      <c r="P1124" t="s">
        <v>37</v>
      </c>
      <c r="Q1124" t="s">
        <v>135</v>
      </c>
      <c r="R1124">
        <v>261</v>
      </c>
      <c r="S1124">
        <v>141</v>
      </c>
      <c r="T1124">
        <v>104</v>
      </c>
      <c r="U1124">
        <v>37</v>
      </c>
      <c r="V1124" t="s">
        <v>6901</v>
      </c>
      <c r="W1124">
        <v>60955</v>
      </c>
      <c r="X1124" t="s">
        <v>7378</v>
      </c>
      <c r="Y1124">
        <v>45091</v>
      </c>
      <c r="Z1124">
        <v>2255335</v>
      </c>
      <c r="AA1124">
        <v>586968</v>
      </c>
      <c r="AB1124" t="str">
        <f>(VLOOKUP(SalesData[[#This Row],[Month Number]],Reference!C$5:E$16,2,FALSE))</f>
        <v>Feb</v>
      </c>
      <c r="AC1124">
        <f>MONTH(SalesData[[#This Row],[Date]])</f>
        <v>2</v>
      </c>
      <c r="AD1124">
        <f>Reference!F$4</f>
        <v>2026</v>
      </c>
      <c r="AE1124" t="str">
        <f>IF(OR(SalesData[[#This Row],[Day]]="Saturday",SalesData[[#This Row],[Day]]="Sunday"),"Weekend","Weekday")</f>
        <v>Weekday</v>
      </c>
      <c r="AF1124" s="5">
        <f>IF(SalesData[[#This Row],[Contracts Offered]]=0,0,SalesData[[#This Row],[Contracts Signed]]/SalesData[[#This Row],[Contracts Offered]])</f>
        <v>0.35576923076923078</v>
      </c>
      <c r="AG1124" s="5">
        <f>IF(SalesData[[#This Row],[Customers Visited]]=0,0,SalesData[[#This Row],[Test Drives]]/SalesData[[#This Row],[Customers Visited]])</f>
        <v>0.54022988505747127</v>
      </c>
      <c r="AH1124" s="5">
        <f>IF(SalesData[[#This Row],[Customers Visited]]=0,0,SalesData[[#This Row],[Contracts Signed]]/SalesData[[#This Row],[Customers Visited]])</f>
        <v>0.1417624521072797</v>
      </c>
      <c r="AI1124" s="6">
        <f>IF(SalesData[[#This Row],[Contracts Signed]]=0,0,SalesData[[#This Row],[Profit(€)]]/SalesData[[#This Row],[Contracts Signed]])</f>
        <v>15864</v>
      </c>
      <c r="AJ1124" s="5" t="str">
        <f>TRIM(CLEAN(SalesData[[#This Row],[Retailer]]))</f>
        <v>Saxon Wheels</v>
      </c>
    </row>
    <row r="1125" spans="1:36" ht="14.25" hidden="1" x14ac:dyDescent="0.2">
      <c r="A1125" t="s">
        <v>1890</v>
      </c>
      <c r="B1125" s="1">
        <v>46080</v>
      </c>
      <c r="C1125" t="s">
        <v>53</v>
      </c>
      <c r="D1125" t="s">
        <v>54</v>
      </c>
      <c r="E1125" t="s">
        <v>26</v>
      </c>
      <c r="F1125" t="s">
        <v>83</v>
      </c>
      <c r="G1125" t="s">
        <v>84</v>
      </c>
      <c r="H1125" t="s">
        <v>85</v>
      </c>
      <c r="I1125" t="s">
        <v>64</v>
      </c>
      <c r="J1125" t="s">
        <v>77</v>
      </c>
      <c r="K1125" t="s">
        <v>78</v>
      </c>
      <c r="L1125" t="s">
        <v>46</v>
      </c>
      <c r="M1125" t="s">
        <v>68</v>
      </c>
      <c r="N1125" t="s">
        <v>69</v>
      </c>
      <c r="O1125" t="s">
        <v>36</v>
      </c>
      <c r="P1125" t="s">
        <v>58</v>
      </c>
      <c r="Q1125" t="s">
        <v>158</v>
      </c>
      <c r="R1125">
        <v>210</v>
      </c>
      <c r="S1125">
        <v>118</v>
      </c>
      <c r="T1125">
        <v>85</v>
      </c>
      <c r="U1125">
        <v>34</v>
      </c>
      <c r="V1125" t="s">
        <v>6438</v>
      </c>
      <c r="W1125">
        <v>69375</v>
      </c>
      <c r="X1125" t="s">
        <v>1167</v>
      </c>
      <c r="Y1125">
        <v>50770</v>
      </c>
      <c r="Z1125">
        <v>2358750</v>
      </c>
      <c r="AA1125">
        <v>632570</v>
      </c>
      <c r="AB1125" t="str">
        <f>(VLOOKUP(SalesData[[#This Row],[Month Number]],Reference!C$5:E$16,2,FALSE))</f>
        <v>Feb</v>
      </c>
      <c r="AC1125">
        <f>MONTH(SalesData[[#This Row],[Date]])</f>
        <v>2</v>
      </c>
      <c r="AD1125">
        <f>Reference!F$4</f>
        <v>2026</v>
      </c>
      <c r="AE1125" t="str">
        <f>IF(OR(SalesData[[#This Row],[Day]]="Saturday",SalesData[[#This Row],[Day]]="Sunday"),"Weekend","Weekday")</f>
        <v>Weekday</v>
      </c>
      <c r="AF1125" s="5">
        <f>IF(SalesData[[#This Row],[Contracts Offered]]=0,0,SalesData[[#This Row],[Contracts Signed]]/SalesData[[#This Row],[Contracts Offered]])</f>
        <v>0.4</v>
      </c>
      <c r="AG1125" s="5">
        <f>IF(SalesData[[#This Row],[Customers Visited]]=0,0,SalesData[[#This Row],[Test Drives]]/SalesData[[#This Row],[Customers Visited]])</f>
        <v>0.56190476190476191</v>
      </c>
      <c r="AH1125" s="5">
        <f>IF(SalesData[[#This Row],[Customers Visited]]=0,0,SalesData[[#This Row],[Contracts Signed]]/SalesData[[#This Row],[Customers Visited]])</f>
        <v>0.16190476190476191</v>
      </c>
      <c r="AI1125" s="6">
        <f>IF(SalesData[[#This Row],[Contracts Signed]]=0,0,SalesData[[#This Row],[Profit(€)]]/SalesData[[#This Row],[Contracts Signed]])</f>
        <v>18605</v>
      </c>
      <c r="AJ1125" s="5" t="str">
        <f>TRIM(CLEAN(SalesData[[#This Row],[Retailer]]))</f>
        <v>Hannover Cars</v>
      </c>
    </row>
    <row r="1126" spans="1:36" ht="14.25" hidden="1" x14ac:dyDescent="0.2">
      <c r="A1126" t="s">
        <v>1891</v>
      </c>
      <c r="B1126" s="1">
        <v>46078</v>
      </c>
      <c r="C1126" t="s">
        <v>53</v>
      </c>
      <c r="D1126" t="s">
        <v>82</v>
      </c>
      <c r="E1126" t="s">
        <v>26</v>
      </c>
      <c r="F1126" t="s">
        <v>74</v>
      </c>
      <c r="G1126" t="s">
        <v>75</v>
      </c>
      <c r="H1126" t="s">
        <v>76</v>
      </c>
      <c r="I1126" t="s">
        <v>104</v>
      </c>
      <c r="J1126" t="s">
        <v>7061</v>
      </c>
      <c r="K1126" t="s">
        <v>66</v>
      </c>
      <c r="L1126" t="s">
        <v>46</v>
      </c>
      <c r="M1126" t="s">
        <v>87</v>
      </c>
      <c r="N1126" t="s">
        <v>35</v>
      </c>
      <c r="O1126" t="s">
        <v>70</v>
      </c>
      <c r="P1126" t="s">
        <v>37</v>
      </c>
      <c r="Q1126" t="s">
        <v>88</v>
      </c>
      <c r="R1126">
        <v>505</v>
      </c>
      <c r="S1126">
        <v>290</v>
      </c>
      <c r="T1126">
        <v>187</v>
      </c>
      <c r="U1126">
        <v>37</v>
      </c>
      <c r="V1126" t="s">
        <v>7379</v>
      </c>
      <c r="W1126">
        <v>31160</v>
      </c>
      <c r="X1126" t="s">
        <v>948</v>
      </c>
      <c r="Y1126">
        <v>28049</v>
      </c>
      <c r="Z1126">
        <v>1152920</v>
      </c>
      <c r="AA1126">
        <v>115107</v>
      </c>
      <c r="AB1126" t="str">
        <f>(VLOOKUP(SalesData[[#This Row],[Month Number]],Reference!C$5:E$16,2,FALSE))</f>
        <v>Feb</v>
      </c>
      <c r="AC1126">
        <f>MONTH(SalesData[[#This Row],[Date]])</f>
        <v>2</v>
      </c>
      <c r="AD1126">
        <f>Reference!F$4</f>
        <v>2026</v>
      </c>
      <c r="AE1126" t="str">
        <f>IF(OR(SalesData[[#This Row],[Day]]="Saturday",SalesData[[#This Row],[Day]]="Sunday"),"Weekend","Weekday")</f>
        <v>Weekday</v>
      </c>
      <c r="AF1126" s="5">
        <f>IF(SalesData[[#This Row],[Contracts Offered]]=0,0,SalesData[[#This Row],[Contracts Signed]]/SalesData[[#This Row],[Contracts Offered]])</f>
        <v>0.19786096256684493</v>
      </c>
      <c r="AG1126" s="5">
        <f>IF(SalesData[[#This Row],[Customers Visited]]=0,0,SalesData[[#This Row],[Test Drives]]/SalesData[[#This Row],[Customers Visited]])</f>
        <v>0.57425742574257421</v>
      </c>
      <c r="AH1126" s="5">
        <f>IF(SalesData[[#This Row],[Customers Visited]]=0,0,SalesData[[#This Row],[Contracts Signed]]/SalesData[[#This Row],[Customers Visited]])</f>
        <v>7.3267326732673263E-2</v>
      </c>
      <c r="AI1126" s="6">
        <f>IF(SalesData[[#This Row],[Contracts Signed]]=0,0,SalesData[[#This Row],[Profit(€)]]/SalesData[[#This Row],[Contracts Signed]])</f>
        <v>3111</v>
      </c>
      <c r="AJ1126" s="5" t="str">
        <f>TRIM(CLEAN(SalesData[[#This Row],[Retailer]]))</f>
        <v>Stuttgart Auto Center</v>
      </c>
    </row>
    <row r="1127" spans="1:36" ht="14.25" hidden="1" x14ac:dyDescent="0.2">
      <c r="A1127" t="s">
        <v>1893</v>
      </c>
      <c r="B1127" s="1">
        <v>46054</v>
      </c>
      <c r="C1127" t="s">
        <v>24</v>
      </c>
      <c r="D1127" t="s">
        <v>41</v>
      </c>
      <c r="E1127" t="s">
        <v>42</v>
      </c>
      <c r="F1127" t="s">
        <v>114</v>
      </c>
      <c r="G1127" t="s">
        <v>115</v>
      </c>
      <c r="H1127" t="s">
        <v>115</v>
      </c>
      <c r="I1127" t="s">
        <v>116</v>
      </c>
      <c r="J1127" t="s">
        <v>117</v>
      </c>
      <c r="K1127" t="s">
        <v>78</v>
      </c>
      <c r="L1127" t="s">
        <v>67</v>
      </c>
      <c r="M1127" t="s">
        <v>68</v>
      </c>
      <c r="N1127" t="s">
        <v>48</v>
      </c>
      <c r="O1127" t="s">
        <v>36</v>
      </c>
      <c r="P1127" t="s">
        <v>37</v>
      </c>
      <c r="Q1127" t="s">
        <v>144</v>
      </c>
      <c r="R1127">
        <v>304</v>
      </c>
      <c r="S1127">
        <v>161</v>
      </c>
      <c r="T1127">
        <v>90</v>
      </c>
      <c r="U1127">
        <v>27</v>
      </c>
      <c r="V1127" t="s">
        <v>3685</v>
      </c>
      <c r="W1127">
        <v>22969</v>
      </c>
      <c r="X1127" t="s">
        <v>6198</v>
      </c>
      <c r="Y1127">
        <v>20921</v>
      </c>
      <c r="Z1127">
        <v>620163</v>
      </c>
      <c r="AA1127">
        <v>55296</v>
      </c>
      <c r="AB1127" t="str">
        <f>(VLOOKUP(SalesData[[#This Row],[Month Number]],Reference!C$5:E$16,2,FALSE))</f>
        <v>Feb</v>
      </c>
      <c r="AC1127">
        <f>MONTH(SalesData[[#This Row],[Date]])</f>
        <v>2</v>
      </c>
      <c r="AD1127">
        <f>Reference!F$4</f>
        <v>2026</v>
      </c>
      <c r="AE1127" t="str">
        <f>IF(OR(SalesData[[#This Row],[Day]]="Saturday",SalesData[[#This Row],[Day]]="Sunday"),"Weekend","Weekday")</f>
        <v>Weekend</v>
      </c>
      <c r="AF1127" s="5">
        <f>IF(SalesData[[#This Row],[Contracts Offered]]=0,0,SalesData[[#This Row],[Contracts Signed]]/SalesData[[#This Row],[Contracts Offered]])</f>
        <v>0.3</v>
      </c>
      <c r="AG1127" s="5">
        <f>IF(SalesData[[#This Row],[Customers Visited]]=0,0,SalesData[[#This Row],[Test Drives]]/SalesData[[#This Row],[Customers Visited]])</f>
        <v>0.52960526315789469</v>
      </c>
      <c r="AH1127" s="5">
        <f>IF(SalesData[[#This Row],[Customers Visited]]=0,0,SalesData[[#This Row],[Contracts Signed]]/SalesData[[#This Row],[Customers Visited]])</f>
        <v>8.8815789473684209E-2</v>
      </c>
      <c r="AI1127" s="6">
        <f>IF(SalesData[[#This Row],[Contracts Signed]]=0,0,SalesData[[#This Row],[Profit(€)]]/SalesData[[#This Row],[Contracts Signed]])</f>
        <v>2048</v>
      </c>
      <c r="AJ1127" s="5" t="str">
        <f>TRIM(CLEAN(SalesData[[#This Row],[Retailer]]))</f>
        <v>Elbe Drive</v>
      </c>
    </row>
    <row r="1128" spans="1:36" ht="14.25" hidden="1" x14ac:dyDescent="0.2">
      <c r="A1128" t="s">
        <v>1894</v>
      </c>
      <c r="B1128" s="1">
        <v>46067</v>
      </c>
      <c r="C1128" t="s">
        <v>121</v>
      </c>
      <c r="D1128" t="s">
        <v>151</v>
      </c>
      <c r="E1128" t="s">
        <v>42</v>
      </c>
      <c r="F1128" t="s">
        <v>83</v>
      </c>
      <c r="G1128" t="s">
        <v>84</v>
      </c>
      <c r="H1128" t="s">
        <v>85</v>
      </c>
      <c r="I1128" t="s">
        <v>104</v>
      </c>
      <c r="J1128" t="s">
        <v>143</v>
      </c>
      <c r="K1128" t="s">
        <v>78</v>
      </c>
      <c r="L1128" t="s">
        <v>67</v>
      </c>
      <c r="M1128" t="s">
        <v>87</v>
      </c>
      <c r="N1128" t="s">
        <v>69</v>
      </c>
      <c r="O1128" t="s">
        <v>70</v>
      </c>
      <c r="P1128" t="s">
        <v>71</v>
      </c>
      <c r="Q1128" t="s">
        <v>189</v>
      </c>
      <c r="R1128">
        <v>279</v>
      </c>
      <c r="S1128">
        <v>147</v>
      </c>
      <c r="T1128">
        <v>99</v>
      </c>
      <c r="U1128">
        <v>21</v>
      </c>
      <c r="V1128" t="s">
        <v>527</v>
      </c>
      <c r="W1128">
        <v>27387</v>
      </c>
      <c r="X1128" t="s">
        <v>2713</v>
      </c>
      <c r="Y1128">
        <v>24838</v>
      </c>
      <c r="Z1128">
        <v>575127</v>
      </c>
      <c r="AA1128">
        <v>53529</v>
      </c>
      <c r="AB1128" t="str">
        <f>(VLOOKUP(SalesData[[#This Row],[Month Number]],Reference!C$5:E$16,2,FALSE))</f>
        <v>Feb</v>
      </c>
      <c r="AC1128">
        <f>MONTH(SalesData[[#This Row],[Date]])</f>
        <v>2</v>
      </c>
      <c r="AD1128">
        <f>Reference!F$4</f>
        <v>2026</v>
      </c>
      <c r="AE1128" t="str">
        <f>IF(OR(SalesData[[#This Row],[Day]]="Saturday",SalesData[[#This Row],[Day]]="Sunday"),"Weekend","Weekday")</f>
        <v>Weekend</v>
      </c>
      <c r="AF1128" s="5">
        <f>IF(SalesData[[#This Row],[Contracts Offered]]=0,0,SalesData[[#This Row],[Contracts Signed]]/SalesData[[#This Row],[Contracts Offered]])</f>
        <v>0.21212121212121213</v>
      </c>
      <c r="AG1128" s="5">
        <f>IF(SalesData[[#This Row],[Customers Visited]]=0,0,SalesData[[#This Row],[Test Drives]]/SalesData[[#This Row],[Customers Visited]])</f>
        <v>0.5268817204301075</v>
      </c>
      <c r="AH1128" s="5">
        <f>IF(SalesData[[#This Row],[Customers Visited]]=0,0,SalesData[[#This Row],[Contracts Signed]]/SalesData[[#This Row],[Customers Visited]])</f>
        <v>7.5268817204301078E-2</v>
      </c>
      <c r="AI1128" s="6">
        <f>IF(SalesData[[#This Row],[Contracts Signed]]=0,0,SalesData[[#This Row],[Profit(€)]]/SalesData[[#This Row],[Contracts Signed]])</f>
        <v>2549</v>
      </c>
      <c r="AJ1128" s="5" t="str">
        <f>TRIM(CLEAN(SalesData[[#This Row],[Retailer]]))</f>
        <v>Hannover Cars</v>
      </c>
    </row>
    <row r="1129" spans="1:36" ht="14.25" x14ac:dyDescent="0.2">
      <c r="A1129" t="s">
        <v>1896</v>
      </c>
      <c r="B1129" s="1">
        <v>46072</v>
      </c>
      <c r="C1129" t="s">
        <v>62</v>
      </c>
      <c r="D1129" t="s">
        <v>100</v>
      </c>
      <c r="E1129" t="s">
        <v>26</v>
      </c>
      <c r="F1129" t="s">
        <v>83</v>
      </c>
      <c r="G1129" t="s">
        <v>84</v>
      </c>
      <c r="H1129" t="s">
        <v>85</v>
      </c>
      <c r="I1129" t="s">
        <v>30</v>
      </c>
      <c r="J1129" t="s">
        <v>31</v>
      </c>
      <c r="K1129" t="s">
        <v>66</v>
      </c>
      <c r="L1129" t="s">
        <v>46</v>
      </c>
      <c r="M1129" t="s">
        <v>47</v>
      </c>
      <c r="N1129" t="s">
        <v>48</v>
      </c>
      <c r="O1129" t="s">
        <v>70</v>
      </c>
      <c r="P1129" t="s">
        <v>49</v>
      </c>
      <c r="Q1129" t="s">
        <v>50</v>
      </c>
      <c r="R1129">
        <v>188</v>
      </c>
      <c r="S1129">
        <v>93</v>
      </c>
      <c r="T1129">
        <v>74</v>
      </c>
      <c r="U1129">
        <v>25</v>
      </c>
      <c r="V1129" t="s">
        <v>6980</v>
      </c>
      <c r="W1129">
        <v>61017</v>
      </c>
      <c r="X1129" t="s">
        <v>7148</v>
      </c>
      <c r="Y1129">
        <v>47110</v>
      </c>
      <c r="Z1129">
        <v>1525425</v>
      </c>
      <c r="AA1129">
        <v>347675</v>
      </c>
      <c r="AB1129" t="str">
        <f>(VLOOKUP(SalesData[[#This Row],[Month Number]],Reference!C$5:E$16,2,FALSE))</f>
        <v>Feb</v>
      </c>
      <c r="AC1129">
        <f>MONTH(SalesData[[#This Row],[Date]])</f>
        <v>2</v>
      </c>
      <c r="AD1129">
        <f>Reference!F$4</f>
        <v>2026</v>
      </c>
      <c r="AE1129" t="str">
        <f>IF(OR(SalesData[[#This Row],[Day]]="Saturday",SalesData[[#This Row],[Day]]="Sunday"),"Weekend","Weekday")</f>
        <v>Weekday</v>
      </c>
      <c r="AF1129" s="5">
        <f>IF(SalesData[[#This Row],[Contracts Offered]]=0,0,SalesData[[#This Row],[Contracts Signed]]/SalesData[[#This Row],[Contracts Offered]])</f>
        <v>0.33783783783783783</v>
      </c>
      <c r="AG1129" s="5">
        <f>IF(SalesData[[#This Row],[Customers Visited]]=0,0,SalesData[[#This Row],[Test Drives]]/SalesData[[#This Row],[Customers Visited]])</f>
        <v>0.49468085106382981</v>
      </c>
      <c r="AH1129" s="5">
        <f>IF(SalesData[[#This Row],[Customers Visited]]=0,0,SalesData[[#This Row],[Contracts Signed]]/SalesData[[#This Row],[Customers Visited]])</f>
        <v>0.13297872340425532</v>
      </c>
      <c r="AI1129" s="6">
        <f>IF(SalesData[[#This Row],[Contracts Signed]]=0,0,SalesData[[#This Row],[Profit(€)]]/SalesData[[#This Row],[Contracts Signed]])</f>
        <v>13907</v>
      </c>
      <c r="AJ1129" s="5" t="str">
        <f>TRIM(CLEAN(SalesData[[#This Row],[Retailer]]))</f>
        <v>Hannover Cars</v>
      </c>
    </row>
    <row r="1130" spans="1:36" ht="14.25" hidden="1" x14ac:dyDescent="0.2">
      <c r="A1130" t="s">
        <v>1898</v>
      </c>
      <c r="B1130" s="1">
        <v>46079</v>
      </c>
      <c r="C1130" t="s">
        <v>53</v>
      </c>
      <c r="D1130" t="s">
        <v>100</v>
      </c>
      <c r="E1130" t="s">
        <v>26</v>
      </c>
      <c r="F1130" t="s">
        <v>83</v>
      </c>
      <c r="G1130" t="s">
        <v>84</v>
      </c>
      <c r="H1130" t="s">
        <v>85</v>
      </c>
      <c r="I1130" t="s">
        <v>56</v>
      </c>
      <c r="J1130" t="s">
        <v>137</v>
      </c>
      <c r="K1130" t="s">
        <v>91</v>
      </c>
      <c r="L1130" t="s">
        <v>46</v>
      </c>
      <c r="M1130" t="s">
        <v>87</v>
      </c>
      <c r="N1130" t="s">
        <v>48</v>
      </c>
      <c r="O1130" t="s">
        <v>70</v>
      </c>
      <c r="P1130" t="s">
        <v>58</v>
      </c>
      <c r="Q1130" t="s">
        <v>50</v>
      </c>
      <c r="R1130">
        <v>187</v>
      </c>
      <c r="S1130">
        <v>116</v>
      </c>
      <c r="T1130">
        <v>88</v>
      </c>
      <c r="U1130">
        <v>31</v>
      </c>
      <c r="V1130" t="s">
        <v>6607</v>
      </c>
      <c r="W1130">
        <v>43018</v>
      </c>
      <c r="X1130" t="s">
        <v>1590</v>
      </c>
      <c r="Y1130">
        <v>33363</v>
      </c>
      <c r="Z1130">
        <v>1333558</v>
      </c>
      <c r="AA1130">
        <v>299305</v>
      </c>
      <c r="AB1130" t="str">
        <f>(VLOOKUP(SalesData[[#This Row],[Month Number]],Reference!C$5:E$16,2,FALSE))</f>
        <v>Feb</v>
      </c>
      <c r="AC1130">
        <f>MONTH(SalesData[[#This Row],[Date]])</f>
        <v>2</v>
      </c>
      <c r="AD1130">
        <f>Reference!F$4</f>
        <v>2026</v>
      </c>
      <c r="AE1130" t="str">
        <f>IF(OR(SalesData[[#This Row],[Day]]="Saturday",SalesData[[#This Row],[Day]]="Sunday"),"Weekend","Weekday")</f>
        <v>Weekday</v>
      </c>
      <c r="AF1130" s="5">
        <f>IF(SalesData[[#This Row],[Contracts Offered]]=0,0,SalesData[[#This Row],[Contracts Signed]]/SalesData[[#This Row],[Contracts Offered]])</f>
        <v>0.35227272727272729</v>
      </c>
      <c r="AG1130" s="5">
        <f>IF(SalesData[[#This Row],[Customers Visited]]=0,0,SalesData[[#This Row],[Test Drives]]/SalesData[[#This Row],[Customers Visited]])</f>
        <v>0.6203208556149733</v>
      </c>
      <c r="AH1130" s="5">
        <f>IF(SalesData[[#This Row],[Customers Visited]]=0,0,SalesData[[#This Row],[Contracts Signed]]/SalesData[[#This Row],[Customers Visited]])</f>
        <v>0.16577540106951871</v>
      </c>
      <c r="AI1130" s="6">
        <f>IF(SalesData[[#This Row],[Contracts Signed]]=0,0,SalesData[[#This Row],[Profit(€)]]/SalesData[[#This Row],[Contracts Signed]])</f>
        <v>9655</v>
      </c>
      <c r="AJ1130" s="5" t="str">
        <f>TRIM(CLEAN(SalesData[[#This Row],[Retailer]]))</f>
        <v>Hannover Cars</v>
      </c>
    </row>
    <row r="1131" spans="1:36" ht="14.25" hidden="1" x14ac:dyDescent="0.2">
      <c r="A1131" t="s">
        <v>1899</v>
      </c>
      <c r="B1131" s="1">
        <v>46058</v>
      </c>
      <c r="C1131" t="s">
        <v>24</v>
      </c>
      <c r="D1131" t="s">
        <v>100</v>
      </c>
      <c r="E1131" t="s">
        <v>26</v>
      </c>
      <c r="F1131" t="s">
        <v>43</v>
      </c>
      <c r="G1131" t="s">
        <v>44</v>
      </c>
      <c r="H1131" t="s">
        <v>45</v>
      </c>
      <c r="I1131" t="s">
        <v>104</v>
      </c>
      <c r="J1131" t="s">
        <v>140</v>
      </c>
      <c r="K1131" t="s">
        <v>66</v>
      </c>
      <c r="L1131" t="s">
        <v>46</v>
      </c>
      <c r="M1131" t="s">
        <v>34</v>
      </c>
      <c r="N1131" t="s">
        <v>35</v>
      </c>
      <c r="O1131" t="s">
        <v>36</v>
      </c>
      <c r="P1131" t="s">
        <v>58</v>
      </c>
      <c r="Q1131" t="s">
        <v>204</v>
      </c>
      <c r="R1131">
        <v>515</v>
      </c>
      <c r="S1131">
        <v>234</v>
      </c>
      <c r="T1131">
        <v>142</v>
      </c>
      <c r="U1131">
        <v>42</v>
      </c>
      <c r="V1131" t="s">
        <v>2538</v>
      </c>
      <c r="W1131">
        <v>25607</v>
      </c>
      <c r="X1131" t="s">
        <v>519</v>
      </c>
      <c r="Y1131">
        <v>22853</v>
      </c>
      <c r="Z1131">
        <v>1075494</v>
      </c>
      <c r="AA1131">
        <v>115668</v>
      </c>
      <c r="AB1131" t="str">
        <f>(VLOOKUP(SalesData[[#This Row],[Month Number]],Reference!C$5:E$16,2,FALSE))</f>
        <v>Feb</v>
      </c>
      <c r="AC1131">
        <f>MONTH(SalesData[[#This Row],[Date]])</f>
        <v>2</v>
      </c>
      <c r="AD1131">
        <f>Reference!F$4</f>
        <v>2026</v>
      </c>
      <c r="AE1131" t="str">
        <f>IF(OR(SalesData[[#This Row],[Day]]="Saturday",SalesData[[#This Row],[Day]]="Sunday"),"Weekend","Weekday")</f>
        <v>Weekday</v>
      </c>
      <c r="AF1131" s="5">
        <f>IF(SalesData[[#This Row],[Contracts Offered]]=0,0,SalesData[[#This Row],[Contracts Signed]]/SalesData[[#This Row],[Contracts Offered]])</f>
        <v>0.29577464788732394</v>
      </c>
      <c r="AG1131" s="5">
        <f>IF(SalesData[[#This Row],[Customers Visited]]=0,0,SalesData[[#This Row],[Test Drives]]/SalesData[[#This Row],[Customers Visited]])</f>
        <v>0.45436893203883494</v>
      </c>
      <c r="AH1131" s="5">
        <f>IF(SalesData[[#This Row],[Customers Visited]]=0,0,SalesData[[#This Row],[Contracts Signed]]/SalesData[[#This Row],[Customers Visited]])</f>
        <v>8.155339805825243E-2</v>
      </c>
      <c r="AI1131" s="6">
        <f>IF(SalesData[[#This Row],[Contracts Signed]]=0,0,SalesData[[#This Row],[Profit(€)]]/SalesData[[#This Row],[Contracts Signed]])</f>
        <v>2754</v>
      </c>
      <c r="AJ1131" s="5" t="str">
        <f>TRIM(CLEAN(SalesData[[#This Row],[Retailer]]))</f>
        <v>Saxon Wheels</v>
      </c>
    </row>
    <row r="1132" spans="1:36" ht="14.25" hidden="1" x14ac:dyDescent="0.2">
      <c r="A1132" t="s">
        <v>1900</v>
      </c>
      <c r="B1132" s="1">
        <v>46069</v>
      </c>
      <c r="C1132" t="s">
        <v>62</v>
      </c>
      <c r="D1132" t="s">
        <v>25</v>
      </c>
      <c r="E1132" t="s">
        <v>26</v>
      </c>
      <c r="F1132" t="s">
        <v>7649</v>
      </c>
      <c r="G1132" t="s">
        <v>55</v>
      </c>
      <c r="H1132" t="s">
        <v>55</v>
      </c>
      <c r="I1132" t="s">
        <v>64</v>
      </c>
      <c r="J1132" t="s">
        <v>65</v>
      </c>
      <c r="K1132" t="s">
        <v>32</v>
      </c>
      <c r="L1132" t="s">
        <v>33</v>
      </c>
      <c r="M1132" t="s">
        <v>87</v>
      </c>
      <c r="N1132" t="s">
        <v>69</v>
      </c>
      <c r="O1132" t="s">
        <v>36</v>
      </c>
      <c r="P1132" t="s">
        <v>37</v>
      </c>
      <c r="Q1132" t="s">
        <v>158</v>
      </c>
      <c r="R1132">
        <v>223</v>
      </c>
      <c r="S1132">
        <v>110</v>
      </c>
      <c r="T1132">
        <v>82</v>
      </c>
      <c r="U1132">
        <v>26</v>
      </c>
      <c r="V1132" t="s">
        <v>6902</v>
      </c>
      <c r="W1132">
        <v>61884</v>
      </c>
      <c r="X1132" t="s">
        <v>7196</v>
      </c>
      <c r="Y1132">
        <v>46748</v>
      </c>
      <c r="Z1132">
        <v>1608984</v>
      </c>
      <c r="AA1132">
        <v>393536</v>
      </c>
      <c r="AB1132" t="str">
        <f>(VLOOKUP(SalesData[[#This Row],[Month Number]],Reference!C$5:E$16,2,FALSE))</f>
        <v>Feb</v>
      </c>
      <c r="AC1132">
        <f>MONTH(SalesData[[#This Row],[Date]])</f>
        <v>2</v>
      </c>
      <c r="AD1132">
        <f>Reference!F$4</f>
        <v>2026</v>
      </c>
      <c r="AE1132" t="str">
        <f>IF(OR(SalesData[[#This Row],[Day]]="Saturday",SalesData[[#This Row],[Day]]="Sunday"),"Weekend","Weekday")</f>
        <v>Weekday</v>
      </c>
      <c r="AF1132" s="5">
        <f>IF(SalesData[[#This Row],[Contracts Offered]]=0,0,SalesData[[#This Row],[Contracts Signed]]/SalesData[[#This Row],[Contracts Offered]])</f>
        <v>0.31707317073170732</v>
      </c>
      <c r="AG1132" s="5">
        <f>IF(SalesData[[#This Row],[Customers Visited]]=0,0,SalesData[[#This Row],[Test Drives]]/SalesData[[#This Row],[Customers Visited]])</f>
        <v>0.49327354260089684</v>
      </c>
      <c r="AH1132" s="5">
        <f>IF(SalesData[[#This Row],[Customers Visited]]=0,0,SalesData[[#This Row],[Contracts Signed]]/SalesData[[#This Row],[Customers Visited]])</f>
        <v>0.11659192825112108</v>
      </c>
      <c r="AI1132" s="6">
        <f>IF(SalesData[[#This Row],[Contracts Signed]]=0,0,SalesData[[#This Row],[Profit(€)]]/SalesData[[#This Row],[Contracts Signed]])</f>
        <v>15136</v>
      </c>
      <c r="AJ1132" s="5" t="str">
        <f>TRIM(CLEAN(SalesData[[#This Row],[Retailer]]))</f>
        <v>Autohaus Berlin</v>
      </c>
    </row>
    <row r="1133" spans="1:36" ht="14.25" x14ac:dyDescent="0.2">
      <c r="A1133" t="s">
        <v>1901</v>
      </c>
      <c r="B1133" s="1">
        <v>46065</v>
      </c>
      <c r="C1133" t="s">
        <v>121</v>
      </c>
      <c r="D1133" t="s">
        <v>100</v>
      </c>
      <c r="E1133" t="s">
        <v>26</v>
      </c>
      <c r="F1133" t="s">
        <v>109</v>
      </c>
      <c r="G1133" t="s">
        <v>110</v>
      </c>
      <c r="H1133" t="s">
        <v>45</v>
      </c>
      <c r="I1133" t="s">
        <v>30</v>
      </c>
      <c r="J1133" t="s">
        <v>86</v>
      </c>
      <c r="K1133" t="s">
        <v>78</v>
      </c>
      <c r="L1133" t="s">
        <v>33</v>
      </c>
      <c r="M1133" t="s">
        <v>87</v>
      </c>
      <c r="N1133" t="s">
        <v>69</v>
      </c>
      <c r="O1133" t="s">
        <v>36</v>
      </c>
      <c r="P1133" t="s">
        <v>37</v>
      </c>
      <c r="Q1133" t="s">
        <v>38</v>
      </c>
      <c r="R1133">
        <v>279</v>
      </c>
      <c r="S1133">
        <v>163</v>
      </c>
      <c r="T1133">
        <v>111</v>
      </c>
      <c r="U1133">
        <v>45</v>
      </c>
      <c r="V1133" t="s">
        <v>6800</v>
      </c>
      <c r="W1133">
        <v>68359</v>
      </c>
      <c r="X1133" t="s">
        <v>7380</v>
      </c>
      <c r="Y1133">
        <v>52711</v>
      </c>
      <c r="Z1133">
        <v>3076155</v>
      </c>
      <c r="AA1133">
        <v>704160</v>
      </c>
      <c r="AB1133" t="str">
        <f>(VLOOKUP(SalesData[[#This Row],[Month Number]],Reference!C$5:E$16,2,FALSE))</f>
        <v>Feb</v>
      </c>
      <c r="AC1133">
        <f>MONTH(SalesData[[#This Row],[Date]])</f>
        <v>2</v>
      </c>
      <c r="AD1133">
        <f>Reference!F$4</f>
        <v>2026</v>
      </c>
      <c r="AE1133" t="str">
        <f>IF(OR(SalesData[[#This Row],[Day]]="Saturday",SalesData[[#This Row],[Day]]="Sunday"),"Weekend","Weekday")</f>
        <v>Weekday</v>
      </c>
      <c r="AF1133" s="5">
        <f>IF(SalesData[[#This Row],[Contracts Offered]]=0,0,SalesData[[#This Row],[Contracts Signed]]/SalesData[[#This Row],[Contracts Offered]])</f>
        <v>0.40540540540540543</v>
      </c>
      <c r="AG1133" s="5">
        <f>IF(SalesData[[#This Row],[Customers Visited]]=0,0,SalesData[[#This Row],[Test Drives]]/SalesData[[#This Row],[Customers Visited]])</f>
        <v>0.58422939068100355</v>
      </c>
      <c r="AH1133" s="5">
        <f>IF(SalesData[[#This Row],[Customers Visited]]=0,0,SalesData[[#This Row],[Contracts Signed]]/SalesData[[#This Row],[Customers Visited]])</f>
        <v>0.16129032258064516</v>
      </c>
      <c r="AI1133" s="6">
        <f>IF(SalesData[[#This Row],[Contracts Signed]]=0,0,SalesData[[#This Row],[Profit(€)]]/SalesData[[#This Row],[Contracts Signed]])</f>
        <v>15648</v>
      </c>
      <c r="AJ1133" s="5" t="str">
        <f>TRIM(CLEAN(SalesData[[#This Row],[Retailer]]))</f>
        <v>Leipzig Mobility</v>
      </c>
    </row>
    <row r="1134" spans="1:36" ht="14.25" hidden="1" x14ac:dyDescent="0.2">
      <c r="A1134" t="s">
        <v>1902</v>
      </c>
      <c r="B1134" s="1">
        <v>46075</v>
      </c>
      <c r="C1134" t="s">
        <v>53</v>
      </c>
      <c r="D1134" t="s">
        <v>41</v>
      </c>
      <c r="E1134" t="s">
        <v>42</v>
      </c>
      <c r="F1134" t="s">
        <v>101</v>
      </c>
      <c r="G1134" t="s">
        <v>102</v>
      </c>
      <c r="H1134" t="s">
        <v>103</v>
      </c>
      <c r="I1134" t="s">
        <v>56</v>
      </c>
      <c r="J1134" t="s">
        <v>7028</v>
      </c>
      <c r="K1134" t="s">
        <v>78</v>
      </c>
      <c r="L1134" t="s">
        <v>46</v>
      </c>
      <c r="M1134" t="s">
        <v>68</v>
      </c>
      <c r="N1134" t="s">
        <v>69</v>
      </c>
      <c r="O1134" t="s">
        <v>70</v>
      </c>
      <c r="P1134" t="s">
        <v>71</v>
      </c>
      <c r="Q1134" t="s">
        <v>167</v>
      </c>
      <c r="R1134">
        <v>199</v>
      </c>
      <c r="S1134">
        <v>123</v>
      </c>
      <c r="T1134">
        <v>81</v>
      </c>
      <c r="U1134">
        <v>24</v>
      </c>
      <c r="V1134" t="s">
        <v>1624</v>
      </c>
      <c r="W1134">
        <v>44084</v>
      </c>
      <c r="X1134" t="s">
        <v>7279</v>
      </c>
      <c r="Y1134">
        <v>34207</v>
      </c>
      <c r="Z1134">
        <v>1058016</v>
      </c>
      <c r="AA1134">
        <v>237048</v>
      </c>
      <c r="AB1134" t="str">
        <f>(VLOOKUP(SalesData[[#This Row],[Month Number]],Reference!C$5:E$16,2,FALSE))</f>
        <v>Feb</v>
      </c>
      <c r="AC1134">
        <f>MONTH(SalesData[[#This Row],[Date]])</f>
        <v>2</v>
      </c>
      <c r="AD1134">
        <f>Reference!F$4</f>
        <v>2026</v>
      </c>
      <c r="AE1134" t="str">
        <f>IF(OR(SalesData[[#This Row],[Day]]="Saturday",SalesData[[#This Row],[Day]]="Sunday"),"Weekend","Weekday")</f>
        <v>Weekend</v>
      </c>
      <c r="AF1134" s="5">
        <f>IF(SalesData[[#This Row],[Contracts Offered]]=0,0,SalesData[[#This Row],[Contracts Signed]]/SalesData[[#This Row],[Contracts Offered]])</f>
        <v>0.29629629629629628</v>
      </c>
      <c r="AG1134" s="5">
        <f>IF(SalesData[[#This Row],[Customers Visited]]=0,0,SalesData[[#This Row],[Test Drives]]/SalesData[[#This Row],[Customers Visited]])</f>
        <v>0.61809045226130654</v>
      </c>
      <c r="AH1134" s="5">
        <f>IF(SalesData[[#This Row],[Customers Visited]]=0,0,SalesData[[#This Row],[Contracts Signed]]/SalesData[[#This Row],[Customers Visited]])</f>
        <v>0.12060301507537688</v>
      </c>
      <c r="AI1134" s="6">
        <f>IF(SalesData[[#This Row],[Contracts Signed]]=0,0,SalesData[[#This Row],[Profit(€)]]/SalesData[[#This Row],[Contracts Signed]])</f>
        <v>9877</v>
      </c>
      <c r="AJ1134" s="5" t="str">
        <f>TRIM(CLEAN(SalesData[[#This Row],[Retailer]]))</f>
        <v>Ruhr Auto Plaza</v>
      </c>
    </row>
    <row r="1135" spans="1:36" ht="14.25" hidden="1" x14ac:dyDescent="0.2">
      <c r="A1135" t="s">
        <v>1904</v>
      </c>
      <c r="B1135" s="1">
        <v>46058</v>
      </c>
      <c r="C1135" t="s">
        <v>24</v>
      </c>
      <c r="D1135" t="s">
        <v>100</v>
      </c>
      <c r="E1135" t="s">
        <v>26</v>
      </c>
      <c r="F1135" t="s">
        <v>27</v>
      </c>
      <c r="G1135" t="s">
        <v>28</v>
      </c>
      <c r="H1135" t="s">
        <v>29</v>
      </c>
      <c r="I1135" t="s">
        <v>116</v>
      </c>
      <c r="J1135" t="s">
        <v>7090</v>
      </c>
      <c r="K1135" t="s">
        <v>91</v>
      </c>
      <c r="L1135" t="s">
        <v>46</v>
      </c>
      <c r="M1135" t="s">
        <v>87</v>
      </c>
      <c r="N1135" t="s">
        <v>69</v>
      </c>
      <c r="O1135" t="s">
        <v>36</v>
      </c>
      <c r="P1135" t="s">
        <v>71</v>
      </c>
      <c r="Q1135" t="s">
        <v>189</v>
      </c>
      <c r="R1135">
        <v>427</v>
      </c>
      <c r="S1135">
        <v>179</v>
      </c>
      <c r="T1135">
        <v>120</v>
      </c>
      <c r="U1135">
        <v>31</v>
      </c>
      <c r="V1135" t="s">
        <v>6465</v>
      </c>
      <c r="W1135">
        <v>22982</v>
      </c>
      <c r="X1135" t="s">
        <v>1310</v>
      </c>
      <c r="Y1135">
        <v>20714</v>
      </c>
      <c r="Z1135">
        <v>712442</v>
      </c>
      <c r="AA1135">
        <v>70308</v>
      </c>
      <c r="AB1135" t="str">
        <f>(VLOOKUP(SalesData[[#This Row],[Month Number]],Reference!C$5:E$16,2,FALSE))</f>
        <v>Feb</v>
      </c>
      <c r="AC1135">
        <f>MONTH(SalesData[[#This Row],[Date]])</f>
        <v>2</v>
      </c>
      <c r="AD1135">
        <f>Reference!F$4</f>
        <v>2026</v>
      </c>
      <c r="AE1135" t="str">
        <f>IF(OR(SalesData[[#This Row],[Day]]="Saturday",SalesData[[#This Row],[Day]]="Sunday"),"Weekend","Weekday")</f>
        <v>Weekday</v>
      </c>
      <c r="AF1135" s="5">
        <f>IF(SalesData[[#This Row],[Contracts Offered]]=0,0,SalesData[[#This Row],[Contracts Signed]]/SalesData[[#This Row],[Contracts Offered]])</f>
        <v>0.25833333333333336</v>
      </c>
      <c r="AG1135" s="5">
        <f>IF(SalesData[[#This Row],[Customers Visited]]=0,0,SalesData[[#This Row],[Test Drives]]/SalesData[[#This Row],[Customers Visited]])</f>
        <v>0.41920374707259955</v>
      </c>
      <c r="AH1135" s="5">
        <f>IF(SalesData[[#This Row],[Customers Visited]]=0,0,SalesData[[#This Row],[Contracts Signed]]/SalesData[[#This Row],[Customers Visited]])</f>
        <v>7.2599531615925056E-2</v>
      </c>
      <c r="AI1135" s="6">
        <f>IF(SalesData[[#This Row],[Contracts Signed]]=0,0,SalesData[[#This Row],[Profit(€)]]/SalesData[[#This Row],[Contracts Signed]])</f>
        <v>2268</v>
      </c>
      <c r="AJ1135" s="5" t="str">
        <f>TRIM(CLEAN(SalesData[[#This Row],[Retailer]]))</f>
        <v>Main Auto Hub</v>
      </c>
    </row>
    <row r="1136" spans="1:36" ht="14.25" hidden="1" x14ac:dyDescent="0.2">
      <c r="A1136" t="s">
        <v>1905</v>
      </c>
      <c r="B1136" s="1">
        <v>46069</v>
      </c>
      <c r="C1136" t="s">
        <v>62</v>
      </c>
      <c r="D1136" t="s">
        <v>25</v>
      </c>
      <c r="E1136" t="s">
        <v>26</v>
      </c>
      <c r="F1136" t="s">
        <v>43</v>
      </c>
      <c r="G1136" t="s">
        <v>44</v>
      </c>
      <c r="H1136" t="s">
        <v>45</v>
      </c>
      <c r="I1136" t="s">
        <v>64</v>
      </c>
      <c r="J1136" t="s">
        <v>7029</v>
      </c>
      <c r="K1136" t="s">
        <v>78</v>
      </c>
      <c r="L1136" t="s">
        <v>33</v>
      </c>
      <c r="M1136" t="s">
        <v>87</v>
      </c>
      <c r="N1136" t="s">
        <v>69</v>
      </c>
      <c r="O1136" t="s">
        <v>70</v>
      </c>
      <c r="P1136" t="s">
        <v>49</v>
      </c>
      <c r="Q1136" t="s">
        <v>152</v>
      </c>
      <c r="R1136">
        <v>225</v>
      </c>
      <c r="S1136">
        <v>112</v>
      </c>
      <c r="T1136">
        <v>77</v>
      </c>
      <c r="U1136">
        <v>24</v>
      </c>
      <c r="V1136" t="s">
        <v>6452</v>
      </c>
      <c r="W1136">
        <v>63055</v>
      </c>
      <c r="X1136" t="s">
        <v>7381</v>
      </c>
      <c r="Y1136">
        <v>47972</v>
      </c>
      <c r="Z1136">
        <v>1513320</v>
      </c>
      <c r="AA1136">
        <v>361992</v>
      </c>
      <c r="AB1136" t="str">
        <f>(VLOOKUP(SalesData[[#This Row],[Month Number]],Reference!C$5:E$16,2,FALSE))</f>
        <v>Feb</v>
      </c>
      <c r="AC1136">
        <f>MONTH(SalesData[[#This Row],[Date]])</f>
        <v>2</v>
      </c>
      <c r="AD1136">
        <f>Reference!F$4</f>
        <v>2026</v>
      </c>
      <c r="AE1136" t="str">
        <f>IF(OR(SalesData[[#This Row],[Day]]="Saturday",SalesData[[#This Row],[Day]]="Sunday"),"Weekend","Weekday")</f>
        <v>Weekday</v>
      </c>
      <c r="AF1136" s="5">
        <f>IF(SalesData[[#This Row],[Contracts Offered]]=0,0,SalesData[[#This Row],[Contracts Signed]]/SalesData[[#This Row],[Contracts Offered]])</f>
        <v>0.31168831168831168</v>
      </c>
      <c r="AG1136" s="5">
        <f>IF(SalesData[[#This Row],[Customers Visited]]=0,0,SalesData[[#This Row],[Test Drives]]/SalesData[[#This Row],[Customers Visited]])</f>
        <v>0.49777777777777776</v>
      </c>
      <c r="AH1136" s="5">
        <f>IF(SalesData[[#This Row],[Customers Visited]]=0,0,SalesData[[#This Row],[Contracts Signed]]/SalesData[[#This Row],[Customers Visited]])</f>
        <v>0.10666666666666667</v>
      </c>
      <c r="AI1136" s="6">
        <f>IF(SalesData[[#This Row],[Contracts Signed]]=0,0,SalesData[[#This Row],[Profit(€)]]/SalesData[[#This Row],[Contracts Signed]])</f>
        <v>15083</v>
      </c>
      <c r="AJ1136" s="5" t="str">
        <f>TRIM(CLEAN(SalesData[[#This Row],[Retailer]]))</f>
        <v>Saxon Wheels</v>
      </c>
    </row>
    <row r="1137" spans="1:36" ht="14.25" hidden="1" x14ac:dyDescent="0.2">
      <c r="A1137" t="s">
        <v>1907</v>
      </c>
      <c r="B1137" s="1">
        <v>46066</v>
      </c>
      <c r="C1137" t="s">
        <v>121</v>
      </c>
      <c r="D1137" t="s">
        <v>54</v>
      </c>
      <c r="E1137" t="s">
        <v>26</v>
      </c>
      <c r="F1137" t="s">
        <v>43</v>
      </c>
      <c r="G1137" t="s">
        <v>44</v>
      </c>
      <c r="H1137" t="s">
        <v>45</v>
      </c>
      <c r="I1137" t="s">
        <v>64</v>
      </c>
      <c r="J1137" t="s">
        <v>111</v>
      </c>
      <c r="K1137" t="s">
        <v>91</v>
      </c>
      <c r="L1137" t="s">
        <v>46</v>
      </c>
      <c r="M1137" t="s">
        <v>34</v>
      </c>
      <c r="N1137" t="s">
        <v>35</v>
      </c>
      <c r="O1137" t="s">
        <v>36</v>
      </c>
      <c r="P1137" t="s">
        <v>71</v>
      </c>
      <c r="Q1137" t="s">
        <v>189</v>
      </c>
      <c r="R1137">
        <v>228</v>
      </c>
      <c r="S1137">
        <v>119</v>
      </c>
      <c r="T1137">
        <v>90</v>
      </c>
      <c r="U1137">
        <v>32</v>
      </c>
      <c r="V1137" t="s">
        <v>6632</v>
      </c>
      <c r="W1137">
        <v>59992</v>
      </c>
      <c r="X1137" t="s">
        <v>1077</v>
      </c>
      <c r="Y1137">
        <v>45382</v>
      </c>
      <c r="Z1137">
        <v>1919744</v>
      </c>
      <c r="AA1137">
        <v>467520</v>
      </c>
      <c r="AB1137" t="str">
        <f>(VLOOKUP(SalesData[[#This Row],[Month Number]],Reference!C$5:E$16,2,FALSE))</f>
        <v>Feb</v>
      </c>
      <c r="AC1137">
        <f>MONTH(SalesData[[#This Row],[Date]])</f>
        <v>2</v>
      </c>
      <c r="AD1137">
        <f>Reference!F$4</f>
        <v>2026</v>
      </c>
      <c r="AE1137" t="str">
        <f>IF(OR(SalesData[[#This Row],[Day]]="Saturday",SalesData[[#This Row],[Day]]="Sunday"),"Weekend","Weekday")</f>
        <v>Weekday</v>
      </c>
      <c r="AF1137" s="5">
        <f>IF(SalesData[[#This Row],[Contracts Offered]]=0,0,SalesData[[#This Row],[Contracts Signed]]/SalesData[[#This Row],[Contracts Offered]])</f>
        <v>0.35555555555555557</v>
      </c>
      <c r="AG1137" s="5">
        <f>IF(SalesData[[#This Row],[Customers Visited]]=0,0,SalesData[[#This Row],[Test Drives]]/SalesData[[#This Row],[Customers Visited]])</f>
        <v>0.52192982456140347</v>
      </c>
      <c r="AH1137" s="5">
        <f>IF(SalesData[[#This Row],[Customers Visited]]=0,0,SalesData[[#This Row],[Contracts Signed]]/SalesData[[#This Row],[Customers Visited]])</f>
        <v>0.14035087719298245</v>
      </c>
      <c r="AI1137" s="6">
        <f>IF(SalesData[[#This Row],[Contracts Signed]]=0,0,SalesData[[#This Row],[Profit(€)]]/SalesData[[#This Row],[Contracts Signed]])</f>
        <v>14610</v>
      </c>
      <c r="AJ1137" s="5" t="str">
        <f>TRIM(CLEAN(SalesData[[#This Row],[Retailer]]))</f>
        <v>Saxon Wheels</v>
      </c>
    </row>
    <row r="1138" spans="1:36" ht="14.25" hidden="1" x14ac:dyDescent="0.2">
      <c r="A1138" t="s">
        <v>1908</v>
      </c>
      <c r="B1138" s="1">
        <v>46068</v>
      </c>
      <c r="C1138" t="s">
        <v>62</v>
      </c>
      <c r="D1138" t="s">
        <v>41</v>
      </c>
      <c r="E1138" t="s">
        <v>42</v>
      </c>
      <c r="F1138" t="s">
        <v>94</v>
      </c>
      <c r="G1138" t="s">
        <v>95</v>
      </c>
      <c r="H1138" t="s">
        <v>96</v>
      </c>
      <c r="I1138" t="s">
        <v>64</v>
      </c>
      <c r="J1138" t="s">
        <v>157</v>
      </c>
      <c r="K1138" t="s">
        <v>91</v>
      </c>
      <c r="L1138" t="s">
        <v>33</v>
      </c>
      <c r="M1138" t="s">
        <v>68</v>
      </c>
      <c r="N1138" t="s">
        <v>48</v>
      </c>
      <c r="O1138" t="s">
        <v>36</v>
      </c>
      <c r="P1138" t="s">
        <v>71</v>
      </c>
      <c r="Q1138" t="s">
        <v>59</v>
      </c>
      <c r="R1138">
        <v>194</v>
      </c>
      <c r="S1138">
        <v>100</v>
      </c>
      <c r="T1138">
        <v>79</v>
      </c>
      <c r="U1138">
        <v>28</v>
      </c>
      <c r="V1138" t="s">
        <v>6544</v>
      </c>
      <c r="W1138">
        <v>51812</v>
      </c>
      <c r="X1138" t="s">
        <v>923</v>
      </c>
      <c r="Y1138">
        <v>37022</v>
      </c>
      <c r="Z1138">
        <v>1450736</v>
      </c>
      <c r="AA1138">
        <v>414120</v>
      </c>
      <c r="AB1138" t="str">
        <f>(VLOOKUP(SalesData[[#This Row],[Month Number]],Reference!C$5:E$16,2,FALSE))</f>
        <v>Feb</v>
      </c>
      <c r="AC1138">
        <f>MONTH(SalesData[[#This Row],[Date]])</f>
        <v>2</v>
      </c>
      <c r="AD1138">
        <f>Reference!F$4</f>
        <v>2026</v>
      </c>
      <c r="AE1138" t="str">
        <f>IF(OR(SalesData[[#This Row],[Day]]="Saturday",SalesData[[#This Row],[Day]]="Sunday"),"Weekend","Weekday")</f>
        <v>Weekend</v>
      </c>
      <c r="AF1138" s="5">
        <f>IF(SalesData[[#This Row],[Contracts Offered]]=0,0,SalesData[[#This Row],[Contracts Signed]]/SalesData[[#This Row],[Contracts Offered]])</f>
        <v>0.35443037974683544</v>
      </c>
      <c r="AG1138" s="5">
        <f>IF(SalesData[[#This Row],[Customers Visited]]=0,0,SalesData[[#This Row],[Test Drives]]/SalesData[[#This Row],[Customers Visited]])</f>
        <v>0.51546391752577314</v>
      </c>
      <c r="AH1138" s="5">
        <f>IF(SalesData[[#This Row],[Customers Visited]]=0,0,SalesData[[#This Row],[Contracts Signed]]/SalesData[[#This Row],[Customers Visited]])</f>
        <v>0.14432989690721648</v>
      </c>
      <c r="AI1138" s="6">
        <f>IF(SalesData[[#This Row],[Contracts Signed]]=0,0,SalesData[[#This Row],[Profit(€)]]/SalesData[[#This Row],[Contracts Signed]])</f>
        <v>14790</v>
      </c>
      <c r="AJ1138" s="5" t="str">
        <f>TRIM(CLEAN(SalesData[[#This Row],[Retailer]]))</f>
        <v>Bavaria Motors</v>
      </c>
    </row>
    <row r="1139" spans="1:36" ht="14.25" x14ac:dyDescent="0.2">
      <c r="A1139" t="s">
        <v>1909</v>
      </c>
      <c r="B1139" s="1">
        <v>46076</v>
      </c>
      <c r="C1139" t="s">
        <v>53</v>
      </c>
      <c r="D1139" t="s">
        <v>25</v>
      </c>
      <c r="E1139" t="s">
        <v>26</v>
      </c>
      <c r="F1139" t="s">
        <v>74</v>
      </c>
      <c r="G1139" t="s">
        <v>75</v>
      </c>
      <c r="H1139" t="s">
        <v>76</v>
      </c>
      <c r="I1139" t="s">
        <v>30</v>
      </c>
      <c r="J1139" t="s">
        <v>86</v>
      </c>
      <c r="K1139" t="s">
        <v>32</v>
      </c>
      <c r="L1139" t="s">
        <v>33</v>
      </c>
      <c r="M1139" t="s">
        <v>68</v>
      </c>
      <c r="N1139" t="s">
        <v>48</v>
      </c>
      <c r="O1139" t="s">
        <v>36</v>
      </c>
      <c r="P1139" t="s">
        <v>49</v>
      </c>
      <c r="Q1139" t="s">
        <v>50</v>
      </c>
      <c r="R1139">
        <v>276</v>
      </c>
      <c r="S1139">
        <v>145</v>
      </c>
      <c r="T1139">
        <v>112</v>
      </c>
      <c r="U1139">
        <v>37</v>
      </c>
      <c r="V1139" t="s">
        <v>6524</v>
      </c>
      <c r="W1139">
        <v>55999</v>
      </c>
      <c r="X1139" t="s">
        <v>7224</v>
      </c>
      <c r="Y1139">
        <v>41644</v>
      </c>
      <c r="Z1139">
        <v>2071963</v>
      </c>
      <c r="AA1139">
        <v>531135</v>
      </c>
      <c r="AB1139" t="str">
        <f>(VLOOKUP(SalesData[[#This Row],[Month Number]],Reference!C$5:E$16,2,FALSE))</f>
        <v>Feb</v>
      </c>
      <c r="AC1139">
        <f>MONTH(SalesData[[#This Row],[Date]])</f>
        <v>2</v>
      </c>
      <c r="AD1139">
        <f>Reference!F$4</f>
        <v>2026</v>
      </c>
      <c r="AE1139" t="str">
        <f>IF(OR(SalesData[[#This Row],[Day]]="Saturday",SalesData[[#This Row],[Day]]="Sunday"),"Weekend","Weekday")</f>
        <v>Weekday</v>
      </c>
      <c r="AF1139" s="5">
        <f>IF(SalesData[[#This Row],[Contracts Offered]]=0,0,SalesData[[#This Row],[Contracts Signed]]/SalesData[[#This Row],[Contracts Offered]])</f>
        <v>0.33035714285714285</v>
      </c>
      <c r="AG1139" s="5">
        <f>IF(SalesData[[#This Row],[Customers Visited]]=0,0,SalesData[[#This Row],[Test Drives]]/SalesData[[#This Row],[Customers Visited]])</f>
        <v>0.52536231884057971</v>
      </c>
      <c r="AH1139" s="5">
        <f>IF(SalesData[[#This Row],[Customers Visited]]=0,0,SalesData[[#This Row],[Contracts Signed]]/SalesData[[#This Row],[Customers Visited]])</f>
        <v>0.13405797101449277</v>
      </c>
      <c r="AI1139" s="6">
        <f>IF(SalesData[[#This Row],[Contracts Signed]]=0,0,SalesData[[#This Row],[Profit(€)]]/SalesData[[#This Row],[Contracts Signed]])</f>
        <v>14355</v>
      </c>
      <c r="AJ1139" s="5" t="str">
        <f>TRIM(CLEAN(SalesData[[#This Row],[Retailer]]))</f>
        <v>Stuttgart Auto Center</v>
      </c>
    </row>
    <row r="1140" spans="1:36" ht="14.25" hidden="1" x14ac:dyDescent="0.2">
      <c r="A1140" t="s">
        <v>1910</v>
      </c>
      <c r="B1140" s="1">
        <v>46070</v>
      </c>
      <c r="C1140" t="s">
        <v>62</v>
      </c>
      <c r="D1140" t="s">
        <v>63</v>
      </c>
      <c r="E1140" t="s">
        <v>26</v>
      </c>
      <c r="F1140" t="s">
        <v>74</v>
      </c>
      <c r="G1140" t="s">
        <v>75</v>
      </c>
      <c r="H1140" t="s">
        <v>76</v>
      </c>
      <c r="I1140" t="s">
        <v>104</v>
      </c>
      <c r="J1140" t="s">
        <v>7031</v>
      </c>
      <c r="K1140" t="s">
        <v>78</v>
      </c>
      <c r="L1140" t="s">
        <v>46</v>
      </c>
      <c r="M1140" t="s">
        <v>68</v>
      </c>
      <c r="N1140" t="s">
        <v>48</v>
      </c>
      <c r="O1140" t="s">
        <v>70</v>
      </c>
      <c r="P1140" t="s">
        <v>37</v>
      </c>
      <c r="Q1140" t="s">
        <v>106</v>
      </c>
      <c r="R1140">
        <v>326</v>
      </c>
      <c r="S1140">
        <v>168</v>
      </c>
      <c r="T1140">
        <v>103</v>
      </c>
      <c r="U1140">
        <v>29</v>
      </c>
      <c r="V1140" t="s">
        <v>1806</v>
      </c>
      <c r="W1140">
        <v>34792</v>
      </c>
      <c r="X1140" t="s">
        <v>5994</v>
      </c>
      <c r="Y1140">
        <v>31595</v>
      </c>
      <c r="Z1140">
        <v>1008968</v>
      </c>
      <c r="AA1140">
        <v>92713</v>
      </c>
      <c r="AB1140" t="str">
        <f>(VLOOKUP(SalesData[[#This Row],[Month Number]],Reference!C$5:E$16,2,FALSE))</f>
        <v>Feb</v>
      </c>
      <c r="AC1140">
        <f>MONTH(SalesData[[#This Row],[Date]])</f>
        <v>2</v>
      </c>
      <c r="AD1140">
        <f>Reference!F$4</f>
        <v>2026</v>
      </c>
      <c r="AE1140" t="str">
        <f>IF(OR(SalesData[[#This Row],[Day]]="Saturday",SalesData[[#This Row],[Day]]="Sunday"),"Weekend","Weekday")</f>
        <v>Weekday</v>
      </c>
      <c r="AF1140" s="5">
        <f>IF(SalesData[[#This Row],[Contracts Offered]]=0,0,SalesData[[#This Row],[Contracts Signed]]/SalesData[[#This Row],[Contracts Offered]])</f>
        <v>0.28155339805825241</v>
      </c>
      <c r="AG1140" s="5">
        <f>IF(SalesData[[#This Row],[Customers Visited]]=0,0,SalesData[[#This Row],[Test Drives]]/SalesData[[#This Row],[Customers Visited]])</f>
        <v>0.51533742331288346</v>
      </c>
      <c r="AH1140" s="5">
        <f>IF(SalesData[[#This Row],[Customers Visited]]=0,0,SalesData[[#This Row],[Contracts Signed]]/SalesData[[#This Row],[Customers Visited]])</f>
        <v>8.8957055214723926E-2</v>
      </c>
      <c r="AI1140" s="6">
        <f>IF(SalesData[[#This Row],[Contracts Signed]]=0,0,SalesData[[#This Row],[Profit(€)]]/SalesData[[#This Row],[Contracts Signed]])</f>
        <v>3197</v>
      </c>
      <c r="AJ1140" s="5" t="str">
        <f>TRIM(CLEAN(SalesData[[#This Row],[Retailer]]))</f>
        <v>Stuttgart Auto Center</v>
      </c>
    </row>
    <row r="1141" spans="1:36" ht="14.25" hidden="1" x14ac:dyDescent="0.2">
      <c r="A1141" t="s">
        <v>1912</v>
      </c>
      <c r="B1141" s="1">
        <v>46072</v>
      </c>
      <c r="C1141" t="s">
        <v>62</v>
      </c>
      <c r="D1141" t="s">
        <v>100</v>
      </c>
      <c r="E1141" t="s">
        <v>26</v>
      </c>
      <c r="F1141" t="s">
        <v>101</v>
      </c>
      <c r="G1141" t="s">
        <v>102</v>
      </c>
      <c r="H1141" t="s">
        <v>103</v>
      </c>
      <c r="I1141" t="s">
        <v>104</v>
      </c>
      <c r="J1141" t="s">
        <v>105</v>
      </c>
      <c r="K1141" t="s">
        <v>66</v>
      </c>
      <c r="L1141" t="s">
        <v>33</v>
      </c>
      <c r="M1141" t="s">
        <v>34</v>
      </c>
      <c r="N1141" t="s">
        <v>35</v>
      </c>
      <c r="O1141" t="s">
        <v>36</v>
      </c>
      <c r="P1141" t="s">
        <v>37</v>
      </c>
      <c r="Q1141" t="s">
        <v>118</v>
      </c>
      <c r="R1141">
        <v>406</v>
      </c>
      <c r="S1141">
        <v>181</v>
      </c>
      <c r="T1141">
        <v>120</v>
      </c>
      <c r="U1141">
        <v>27</v>
      </c>
      <c r="V1141" t="s">
        <v>6639</v>
      </c>
      <c r="W1141">
        <v>26487</v>
      </c>
      <c r="X1141" t="s">
        <v>561</v>
      </c>
      <c r="Y1141">
        <v>23941</v>
      </c>
      <c r="Z1141">
        <v>715149</v>
      </c>
      <c r="AA1141">
        <v>68742</v>
      </c>
      <c r="AB1141" t="str">
        <f>(VLOOKUP(SalesData[[#This Row],[Month Number]],Reference!C$5:E$16,2,FALSE))</f>
        <v>Feb</v>
      </c>
      <c r="AC1141">
        <f>MONTH(SalesData[[#This Row],[Date]])</f>
        <v>2</v>
      </c>
      <c r="AD1141">
        <f>Reference!F$4</f>
        <v>2026</v>
      </c>
      <c r="AE1141" t="str">
        <f>IF(OR(SalesData[[#This Row],[Day]]="Saturday",SalesData[[#This Row],[Day]]="Sunday"),"Weekend","Weekday")</f>
        <v>Weekday</v>
      </c>
      <c r="AF1141" s="5">
        <f>IF(SalesData[[#This Row],[Contracts Offered]]=0,0,SalesData[[#This Row],[Contracts Signed]]/SalesData[[#This Row],[Contracts Offered]])</f>
        <v>0.22500000000000001</v>
      </c>
      <c r="AG1141" s="5">
        <f>IF(SalesData[[#This Row],[Customers Visited]]=0,0,SalesData[[#This Row],[Test Drives]]/SalesData[[#This Row],[Customers Visited]])</f>
        <v>0.44581280788177341</v>
      </c>
      <c r="AH1141" s="5">
        <f>IF(SalesData[[#This Row],[Customers Visited]]=0,0,SalesData[[#This Row],[Contracts Signed]]/SalesData[[#This Row],[Customers Visited]])</f>
        <v>6.6502463054187194E-2</v>
      </c>
      <c r="AI1141" s="6">
        <f>IF(SalesData[[#This Row],[Contracts Signed]]=0,0,SalesData[[#This Row],[Profit(€)]]/SalesData[[#This Row],[Contracts Signed]])</f>
        <v>2546</v>
      </c>
      <c r="AJ1141" s="5" t="str">
        <f>TRIM(CLEAN(SalesData[[#This Row],[Retailer]]))</f>
        <v>Ruhr Auto Plaza</v>
      </c>
    </row>
    <row r="1142" spans="1:36" ht="14.25" hidden="1" x14ac:dyDescent="0.2">
      <c r="A1142" t="s">
        <v>1914</v>
      </c>
      <c r="B1142" s="1">
        <v>46062</v>
      </c>
      <c r="C1142" t="s">
        <v>121</v>
      </c>
      <c r="D1142" t="s">
        <v>25</v>
      </c>
      <c r="E1142" t="s">
        <v>26</v>
      </c>
      <c r="F1142" t="s">
        <v>94</v>
      </c>
      <c r="G1142" t="s">
        <v>95</v>
      </c>
      <c r="H1142" t="s">
        <v>96</v>
      </c>
      <c r="I1142" t="s">
        <v>56</v>
      </c>
      <c r="J1142" t="s">
        <v>179</v>
      </c>
      <c r="K1142" t="s">
        <v>78</v>
      </c>
      <c r="L1142" t="s">
        <v>67</v>
      </c>
      <c r="M1142" t="s">
        <v>87</v>
      </c>
      <c r="N1142" t="s">
        <v>48</v>
      </c>
      <c r="O1142" t="s">
        <v>36</v>
      </c>
      <c r="P1142" t="s">
        <v>49</v>
      </c>
      <c r="Q1142" t="s">
        <v>122</v>
      </c>
      <c r="R1142">
        <v>181</v>
      </c>
      <c r="S1142">
        <v>110</v>
      </c>
      <c r="T1142">
        <v>72</v>
      </c>
      <c r="U1142">
        <v>26</v>
      </c>
      <c r="V1142" t="s">
        <v>6902</v>
      </c>
      <c r="W1142">
        <v>50205</v>
      </c>
      <c r="X1142" t="s">
        <v>2278</v>
      </c>
      <c r="Y1142">
        <v>40069</v>
      </c>
      <c r="Z1142">
        <v>1305330</v>
      </c>
      <c r="AA1142">
        <v>263536</v>
      </c>
      <c r="AB1142" t="str">
        <f>(VLOOKUP(SalesData[[#This Row],[Month Number]],Reference!C$5:E$16,2,FALSE))</f>
        <v>Feb</v>
      </c>
      <c r="AC1142">
        <f>MONTH(SalesData[[#This Row],[Date]])</f>
        <v>2</v>
      </c>
      <c r="AD1142">
        <f>Reference!F$4</f>
        <v>2026</v>
      </c>
      <c r="AE1142" t="str">
        <f>IF(OR(SalesData[[#This Row],[Day]]="Saturday",SalesData[[#This Row],[Day]]="Sunday"),"Weekend","Weekday")</f>
        <v>Weekday</v>
      </c>
      <c r="AF1142" s="5">
        <f>IF(SalesData[[#This Row],[Contracts Offered]]=0,0,SalesData[[#This Row],[Contracts Signed]]/SalesData[[#This Row],[Contracts Offered]])</f>
        <v>0.3611111111111111</v>
      </c>
      <c r="AG1142" s="5">
        <f>IF(SalesData[[#This Row],[Customers Visited]]=0,0,SalesData[[#This Row],[Test Drives]]/SalesData[[#This Row],[Customers Visited]])</f>
        <v>0.60773480662983426</v>
      </c>
      <c r="AH1142" s="5">
        <f>IF(SalesData[[#This Row],[Customers Visited]]=0,0,SalesData[[#This Row],[Contracts Signed]]/SalesData[[#This Row],[Customers Visited]])</f>
        <v>0.143646408839779</v>
      </c>
      <c r="AI1142" s="6">
        <f>IF(SalesData[[#This Row],[Contracts Signed]]=0,0,SalesData[[#This Row],[Profit(€)]]/SalesData[[#This Row],[Contracts Signed]])</f>
        <v>10136</v>
      </c>
      <c r="AJ1142" s="5" t="str">
        <f>TRIM(CLEAN(SalesData[[#This Row],[Retailer]]))</f>
        <v>Bavaria Motors</v>
      </c>
    </row>
    <row r="1143" spans="1:36" ht="14.25" hidden="1" x14ac:dyDescent="0.2">
      <c r="A1143" t="s">
        <v>1915</v>
      </c>
      <c r="B1143" s="1">
        <v>46056</v>
      </c>
      <c r="C1143" t="s">
        <v>24</v>
      </c>
      <c r="D1143" t="s">
        <v>63</v>
      </c>
      <c r="E1143" t="s">
        <v>26</v>
      </c>
      <c r="F1143" t="s">
        <v>94</v>
      </c>
      <c r="G1143" t="s">
        <v>95</v>
      </c>
      <c r="H1143" t="s">
        <v>96</v>
      </c>
      <c r="I1143" t="s">
        <v>104</v>
      </c>
      <c r="J1143" t="s">
        <v>143</v>
      </c>
      <c r="K1143" t="s">
        <v>91</v>
      </c>
      <c r="L1143" t="s">
        <v>67</v>
      </c>
      <c r="M1143" t="s">
        <v>34</v>
      </c>
      <c r="N1143" t="s">
        <v>48</v>
      </c>
      <c r="O1143" t="s">
        <v>70</v>
      </c>
      <c r="P1143" t="s">
        <v>49</v>
      </c>
      <c r="Q1143" t="s">
        <v>144</v>
      </c>
      <c r="R1143">
        <v>325</v>
      </c>
      <c r="S1143">
        <v>166</v>
      </c>
      <c r="T1143">
        <v>114</v>
      </c>
      <c r="U1143">
        <v>25</v>
      </c>
      <c r="V1143" t="s">
        <v>6434</v>
      </c>
      <c r="W1143">
        <v>32066</v>
      </c>
      <c r="X1143" t="s">
        <v>1073</v>
      </c>
      <c r="Y1143">
        <v>28924</v>
      </c>
      <c r="Z1143">
        <v>801650</v>
      </c>
      <c r="AA1143">
        <v>78550</v>
      </c>
      <c r="AB1143" t="str">
        <f>(VLOOKUP(SalesData[[#This Row],[Month Number]],Reference!C$5:E$16,2,FALSE))</f>
        <v>Feb</v>
      </c>
      <c r="AC1143">
        <f>MONTH(SalesData[[#This Row],[Date]])</f>
        <v>2</v>
      </c>
      <c r="AD1143">
        <f>Reference!F$4</f>
        <v>2026</v>
      </c>
      <c r="AE1143" t="str">
        <f>IF(OR(SalesData[[#This Row],[Day]]="Saturday",SalesData[[#This Row],[Day]]="Sunday"),"Weekend","Weekday")</f>
        <v>Weekday</v>
      </c>
      <c r="AF1143" s="5">
        <f>IF(SalesData[[#This Row],[Contracts Offered]]=0,0,SalesData[[#This Row],[Contracts Signed]]/SalesData[[#This Row],[Contracts Offered]])</f>
        <v>0.21929824561403508</v>
      </c>
      <c r="AG1143" s="5">
        <f>IF(SalesData[[#This Row],[Customers Visited]]=0,0,SalesData[[#This Row],[Test Drives]]/SalesData[[#This Row],[Customers Visited]])</f>
        <v>0.51076923076923075</v>
      </c>
      <c r="AH1143" s="5">
        <f>IF(SalesData[[#This Row],[Customers Visited]]=0,0,SalesData[[#This Row],[Contracts Signed]]/SalesData[[#This Row],[Customers Visited]])</f>
        <v>7.6923076923076927E-2</v>
      </c>
      <c r="AI1143" s="6">
        <f>IF(SalesData[[#This Row],[Contracts Signed]]=0,0,SalesData[[#This Row],[Profit(€)]]/SalesData[[#This Row],[Contracts Signed]])</f>
        <v>3142</v>
      </c>
      <c r="AJ1143" s="5" t="str">
        <f>TRIM(CLEAN(SalesData[[#This Row],[Retailer]]))</f>
        <v>Bavaria Motors</v>
      </c>
    </row>
    <row r="1144" spans="1:36" ht="14.25" hidden="1" x14ac:dyDescent="0.2">
      <c r="A1144" t="s">
        <v>1916</v>
      </c>
      <c r="B1144" s="1">
        <v>46063</v>
      </c>
      <c r="C1144" t="s">
        <v>121</v>
      </c>
      <c r="D1144" t="s">
        <v>63</v>
      </c>
      <c r="E1144" t="s">
        <v>26</v>
      </c>
      <c r="F1144" t="s">
        <v>7649</v>
      </c>
      <c r="G1144" t="s">
        <v>55</v>
      </c>
      <c r="H1144" t="s">
        <v>55</v>
      </c>
      <c r="I1144" t="s">
        <v>64</v>
      </c>
      <c r="J1144" t="s">
        <v>111</v>
      </c>
      <c r="K1144" t="s">
        <v>91</v>
      </c>
      <c r="L1144" t="s">
        <v>46</v>
      </c>
      <c r="M1144" t="s">
        <v>68</v>
      </c>
      <c r="N1144" t="s">
        <v>48</v>
      </c>
      <c r="O1144" t="s">
        <v>70</v>
      </c>
      <c r="P1144" t="s">
        <v>71</v>
      </c>
      <c r="Q1144" t="s">
        <v>106</v>
      </c>
      <c r="R1144">
        <v>229</v>
      </c>
      <c r="S1144">
        <v>102</v>
      </c>
      <c r="T1144">
        <v>77</v>
      </c>
      <c r="U1144">
        <v>29</v>
      </c>
      <c r="V1144" t="s">
        <v>6614</v>
      </c>
      <c r="W1144">
        <v>68849</v>
      </c>
      <c r="X1144" t="s">
        <v>7069</v>
      </c>
      <c r="Y1144">
        <v>53415</v>
      </c>
      <c r="Z1144">
        <v>1996621</v>
      </c>
      <c r="AA1144">
        <v>447586</v>
      </c>
      <c r="AB1144" t="str">
        <f>(VLOOKUP(SalesData[[#This Row],[Month Number]],Reference!C$5:E$16,2,FALSE))</f>
        <v>Feb</v>
      </c>
      <c r="AC1144">
        <f>MONTH(SalesData[[#This Row],[Date]])</f>
        <v>2</v>
      </c>
      <c r="AD1144">
        <f>Reference!F$4</f>
        <v>2026</v>
      </c>
      <c r="AE1144" t="str">
        <f>IF(OR(SalesData[[#This Row],[Day]]="Saturday",SalesData[[#This Row],[Day]]="Sunday"),"Weekend","Weekday")</f>
        <v>Weekday</v>
      </c>
      <c r="AF1144" s="5">
        <f>IF(SalesData[[#This Row],[Contracts Offered]]=0,0,SalesData[[#This Row],[Contracts Signed]]/SalesData[[#This Row],[Contracts Offered]])</f>
        <v>0.37662337662337664</v>
      </c>
      <c r="AG1144" s="5">
        <f>IF(SalesData[[#This Row],[Customers Visited]]=0,0,SalesData[[#This Row],[Test Drives]]/SalesData[[#This Row],[Customers Visited]])</f>
        <v>0.44541484716157204</v>
      </c>
      <c r="AH1144" s="5">
        <f>IF(SalesData[[#This Row],[Customers Visited]]=0,0,SalesData[[#This Row],[Contracts Signed]]/SalesData[[#This Row],[Customers Visited]])</f>
        <v>0.12663755458515283</v>
      </c>
      <c r="AI1144" s="6">
        <f>IF(SalesData[[#This Row],[Contracts Signed]]=0,0,SalesData[[#This Row],[Profit(€)]]/SalesData[[#This Row],[Contracts Signed]])</f>
        <v>15434</v>
      </c>
      <c r="AJ1144" s="5" t="str">
        <f>TRIM(CLEAN(SalesData[[#This Row],[Retailer]]))</f>
        <v>Autohaus Berlin</v>
      </c>
    </row>
    <row r="1145" spans="1:36" ht="14.25" hidden="1" x14ac:dyDescent="0.2">
      <c r="A1145" t="s">
        <v>1918</v>
      </c>
      <c r="B1145" s="1">
        <v>46065</v>
      </c>
      <c r="C1145" t="s">
        <v>121</v>
      </c>
      <c r="D1145" t="s">
        <v>100</v>
      </c>
      <c r="E1145" t="s">
        <v>26</v>
      </c>
      <c r="F1145" t="s">
        <v>83</v>
      </c>
      <c r="G1145" t="s">
        <v>84</v>
      </c>
      <c r="H1145" t="s">
        <v>85</v>
      </c>
      <c r="I1145" t="s">
        <v>116</v>
      </c>
      <c r="J1145" t="s">
        <v>132</v>
      </c>
      <c r="K1145" t="s">
        <v>66</v>
      </c>
      <c r="L1145" t="s">
        <v>46</v>
      </c>
      <c r="M1145" t="s">
        <v>87</v>
      </c>
      <c r="N1145" t="s">
        <v>69</v>
      </c>
      <c r="O1145" t="s">
        <v>36</v>
      </c>
      <c r="P1145" t="s">
        <v>58</v>
      </c>
      <c r="Q1145" t="s">
        <v>118</v>
      </c>
      <c r="R1145">
        <v>229</v>
      </c>
      <c r="S1145">
        <v>96</v>
      </c>
      <c r="T1145">
        <v>55</v>
      </c>
      <c r="U1145">
        <v>18</v>
      </c>
      <c r="V1145" t="s">
        <v>729</v>
      </c>
      <c r="W1145">
        <v>25389</v>
      </c>
      <c r="X1145" t="s">
        <v>175</v>
      </c>
      <c r="Y1145">
        <v>22957</v>
      </c>
      <c r="Z1145">
        <v>457002</v>
      </c>
      <c r="AA1145">
        <v>43776</v>
      </c>
      <c r="AB1145" t="str">
        <f>(VLOOKUP(SalesData[[#This Row],[Month Number]],Reference!C$5:E$16,2,FALSE))</f>
        <v>Feb</v>
      </c>
      <c r="AC1145">
        <f>MONTH(SalesData[[#This Row],[Date]])</f>
        <v>2</v>
      </c>
      <c r="AD1145">
        <f>Reference!F$4</f>
        <v>2026</v>
      </c>
      <c r="AE1145" t="str">
        <f>IF(OR(SalesData[[#This Row],[Day]]="Saturday",SalesData[[#This Row],[Day]]="Sunday"),"Weekend","Weekday")</f>
        <v>Weekday</v>
      </c>
      <c r="AF1145" s="5">
        <f>IF(SalesData[[#This Row],[Contracts Offered]]=0,0,SalesData[[#This Row],[Contracts Signed]]/SalesData[[#This Row],[Contracts Offered]])</f>
        <v>0.32727272727272727</v>
      </c>
      <c r="AG1145" s="5">
        <f>IF(SalesData[[#This Row],[Customers Visited]]=0,0,SalesData[[#This Row],[Test Drives]]/SalesData[[#This Row],[Customers Visited]])</f>
        <v>0.41921397379912662</v>
      </c>
      <c r="AH1145" s="5">
        <f>IF(SalesData[[#This Row],[Customers Visited]]=0,0,SalesData[[#This Row],[Contracts Signed]]/SalesData[[#This Row],[Customers Visited]])</f>
        <v>7.8602620087336247E-2</v>
      </c>
      <c r="AI1145" s="6">
        <f>IF(SalesData[[#This Row],[Contracts Signed]]=0,0,SalesData[[#This Row],[Profit(€)]]/SalesData[[#This Row],[Contracts Signed]])</f>
        <v>2432</v>
      </c>
      <c r="AJ1145" s="5" t="str">
        <f>TRIM(CLEAN(SalesData[[#This Row],[Retailer]]))</f>
        <v>Hannover Cars</v>
      </c>
    </row>
    <row r="1146" spans="1:36" ht="14.25" x14ac:dyDescent="0.2">
      <c r="A1146" t="s">
        <v>1920</v>
      </c>
      <c r="B1146" s="1">
        <v>46062</v>
      </c>
      <c r="C1146" t="s">
        <v>121</v>
      </c>
      <c r="D1146" t="s">
        <v>25</v>
      </c>
      <c r="E1146" t="s">
        <v>26</v>
      </c>
      <c r="F1146" t="s">
        <v>114</v>
      </c>
      <c r="G1146" t="s">
        <v>115</v>
      </c>
      <c r="H1146" t="s">
        <v>115</v>
      </c>
      <c r="I1146" t="s">
        <v>30</v>
      </c>
      <c r="J1146" t="s">
        <v>166</v>
      </c>
      <c r="K1146" t="s">
        <v>32</v>
      </c>
      <c r="L1146" t="s">
        <v>46</v>
      </c>
      <c r="M1146" t="s">
        <v>68</v>
      </c>
      <c r="N1146" t="s">
        <v>48</v>
      </c>
      <c r="O1146" t="s">
        <v>36</v>
      </c>
      <c r="P1146" t="s">
        <v>71</v>
      </c>
      <c r="Q1146" t="s">
        <v>204</v>
      </c>
      <c r="R1146">
        <v>222</v>
      </c>
      <c r="S1146">
        <v>125</v>
      </c>
      <c r="T1146">
        <v>86</v>
      </c>
      <c r="U1146">
        <v>40</v>
      </c>
      <c r="V1146" t="s">
        <v>7382</v>
      </c>
      <c r="W1146">
        <v>59539</v>
      </c>
      <c r="X1146" t="s">
        <v>184</v>
      </c>
      <c r="Y1146">
        <v>41840</v>
      </c>
      <c r="Z1146">
        <v>2381560</v>
      </c>
      <c r="AA1146">
        <v>707960</v>
      </c>
      <c r="AB1146" t="str">
        <f>(VLOOKUP(SalesData[[#This Row],[Month Number]],Reference!C$5:E$16,2,FALSE))</f>
        <v>Feb</v>
      </c>
      <c r="AC1146">
        <f>MONTH(SalesData[[#This Row],[Date]])</f>
        <v>2</v>
      </c>
      <c r="AD1146">
        <f>Reference!F$4</f>
        <v>2026</v>
      </c>
      <c r="AE1146" t="str">
        <f>IF(OR(SalesData[[#This Row],[Day]]="Saturday",SalesData[[#This Row],[Day]]="Sunday"),"Weekend","Weekday")</f>
        <v>Weekday</v>
      </c>
      <c r="AF1146" s="5">
        <f>IF(SalesData[[#This Row],[Contracts Offered]]=0,0,SalesData[[#This Row],[Contracts Signed]]/SalesData[[#This Row],[Contracts Offered]])</f>
        <v>0.46511627906976744</v>
      </c>
      <c r="AG1146" s="5">
        <f>IF(SalesData[[#This Row],[Customers Visited]]=0,0,SalesData[[#This Row],[Test Drives]]/SalesData[[#This Row],[Customers Visited]])</f>
        <v>0.56306306306306309</v>
      </c>
      <c r="AH1146" s="5">
        <f>IF(SalesData[[#This Row],[Customers Visited]]=0,0,SalesData[[#This Row],[Contracts Signed]]/SalesData[[#This Row],[Customers Visited]])</f>
        <v>0.18018018018018017</v>
      </c>
      <c r="AI1146" s="6">
        <f>IF(SalesData[[#This Row],[Contracts Signed]]=0,0,SalesData[[#This Row],[Profit(€)]]/SalesData[[#This Row],[Contracts Signed]])</f>
        <v>17699</v>
      </c>
      <c r="AJ1146" s="5" t="str">
        <f>TRIM(CLEAN(SalesData[[#This Row],[Retailer]]))</f>
        <v>Elbe Drive</v>
      </c>
    </row>
    <row r="1147" spans="1:36" ht="14.25" hidden="1" x14ac:dyDescent="0.2">
      <c r="A1147" t="s">
        <v>1922</v>
      </c>
      <c r="B1147" s="1">
        <v>46058</v>
      </c>
      <c r="C1147" t="s">
        <v>24</v>
      </c>
      <c r="D1147" t="s">
        <v>100</v>
      </c>
      <c r="E1147" t="s">
        <v>26</v>
      </c>
      <c r="F1147" t="s">
        <v>7649</v>
      </c>
      <c r="G1147" t="s">
        <v>55</v>
      </c>
      <c r="H1147" t="s">
        <v>55</v>
      </c>
      <c r="I1147" t="s">
        <v>104</v>
      </c>
      <c r="J1147" t="s">
        <v>140</v>
      </c>
      <c r="K1147" t="s">
        <v>66</v>
      </c>
      <c r="L1147" t="s">
        <v>46</v>
      </c>
      <c r="M1147" t="s">
        <v>47</v>
      </c>
      <c r="N1147" t="s">
        <v>48</v>
      </c>
      <c r="O1147" t="s">
        <v>70</v>
      </c>
      <c r="P1147" t="s">
        <v>37</v>
      </c>
      <c r="Q1147" t="s">
        <v>106</v>
      </c>
      <c r="R1147">
        <v>369</v>
      </c>
      <c r="S1147">
        <v>176</v>
      </c>
      <c r="T1147">
        <v>109</v>
      </c>
      <c r="U1147">
        <v>27</v>
      </c>
      <c r="V1147" t="s">
        <v>3824</v>
      </c>
      <c r="W1147">
        <v>31066</v>
      </c>
      <c r="X1147" t="s">
        <v>7383</v>
      </c>
      <c r="Y1147">
        <v>26800</v>
      </c>
      <c r="Z1147">
        <v>838782</v>
      </c>
      <c r="AA1147">
        <v>115182</v>
      </c>
      <c r="AB1147" t="str">
        <f>(VLOOKUP(SalesData[[#This Row],[Month Number]],Reference!C$5:E$16,2,FALSE))</f>
        <v>Feb</v>
      </c>
      <c r="AC1147">
        <f>MONTH(SalesData[[#This Row],[Date]])</f>
        <v>2</v>
      </c>
      <c r="AD1147">
        <f>Reference!F$4</f>
        <v>2026</v>
      </c>
      <c r="AE1147" t="str">
        <f>IF(OR(SalesData[[#This Row],[Day]]="Saturday",SalesData[[#This Row],[Day]]="Sunday"),"Weekend","Weekday")</f>
        <v>Weekday</v>
      </c>
      <c r="AF1147" s="5">
        <f>IF(SalesData[[#This Row],[Contracts Offered]]=0,0,SalesData[[#This Row],[Contracts Signed]]/SalesData[[#This Row],[Contracts Offered]])</f>
        <v>0.24770642201834864</v>
      </c>
      <c r="AG1147" s="5">
        <f>IF(SalesData[[#This Row],[Customers Visited]]=0,0,SalesData[[#This Row],[Test Drives]]/SalesData[[#This Row],[Customers Visited]])</f>
        <v>0.47696476964769646</v>
      </c>
      <c r="AH1147" s="5">
        <f>IF(SalesData[[#This Row],[Customers Visited]]=0,0,SalesData[[#This Row],[Contracts Signed]]/SalesData[[#This Row],[Customers Visited]])</f>
        <v>7.3170731707317069E-2</v>
      </c>
      <c r="AI1147" s="6">
        <f>IF(SalesData[[#This Row],[Contracts Signed]]=0,0,SalesData[[#This Row],[Profit(€)]]/SalesData[[#This Row],[Contracts Signed]])</f>
        <v>4266</v>
      </c>
      <c r="AJ1147" s="5" t="str">
        <f>TRIM(CLEAN(SalesData[[#This Row],[Retailer]]))</f>
        <v>Autohaus Berlin</v>
      </c>
    </row>
    <row r="1148" spans="1:36" ht="14.25" hidden="1" x14ac:dyDescent="0.2">
      <c r="A1148" t="s">
        <v>1923</v>
      </c>
      <c r="B1148" s="1">
        <v>46058</v>
      </c>
      <c r="C1148" t="s">
        <v>24</v>
      </c>
      <c r="D1148" t="s">
        <v>100</v>
      </c>
      <c r="E1148" t="s">
        <v>26</v>
      </c>
      <c r="F1148" t="s">
        <v>127</v>
      </c>
      <c r="G1148" t="s">
        <v>128</v>
      </c>
      <c r="H1148" t="s">
        <v>103</v>
      </c>
      <c r="I1148" t="s">
        <v>116</v>
      </c>
      <c r="J1148" t="s">
        <v>7090</v>
      </c>
      <c r="K1148" t="s">
        <v>32</v>
      </c>
      <c r="L1148" t="s">
        <v>46</v>
      </c>
      <c r="M1148" t="s">
        <v>47</v>
      </c>
      <c r="N1148" t="s">
        <v>48</v>
      </c>
      <c r="O1148" t="s">
        <v>70</v>
      </c>
      <c r="P1148" t="s">
        <v>49</v>
      </c>
      <c r="Q1148" t="s">
        <v>169</v>
      </c>
      <c r="R1148">
        <v>316</v>
      </c>
      <c r="S1148">
        <v>164</v>
      </c>
      <c r="T1148">
        <v>100</v>
      </c>
      <c r="U1148">
        <v>19</v>
      </c>
      <c r="V1148" t="s">
        <v>2925</v>
      </c>
      <c r="W1148">
        <v>21951</v>
      </c>
      <c r="X1148" t="s">
        <v>199</v>
      </c>
      <c r="Y1148">
        <v>19973</v>
      </c>
      <c r="Z1148">
        <v>417069</v>
      </c>
      <c r="AA1148">
        <v>37582</v>
      </c>
      <c r="AB1148" t="str">
        <f>(VLOOKUP(SalesData[[#This Row],[Month Number]],Reference!C$5:E$16,2,FALSE))</f>
        <v>Feb</v>
      </c>
      <c r="AC1148">
        <f>MONTH(SalesData[[#This Row],[Date]])</f>
        <v>2</v>
      </c>
      <c r="AD1148">
        <f>Reference!F$4</f>
        <v>2026</v>
      </c>
      <c r="AE1148" t="str">
        <f>IF(OR(SalesData[[#This Row],[Day]]="Saturday",SalesData[[#This Row],[Day]]="Sunday"),"Weekend","Weekday")</f>
        <v>Weekday</v>
      </c>
      <c r="AF1148" s="5">
        <f>IF(SalesData[[#This Row],[Contracts Offered]]=0,0,SalesData[[#This Row],[Contracts Signed]]/SalesData[[#This Row],[Contracts Offered]])</f>
        <v>0.19</v>
      </c>
      <c r="AG1148" s="5">
        <f>IF(SalesData[[#This Row],[Customers Visited]]=0,0,SalesData[[#This Row],[Test Drives]]/SalesData[[#This Row],[Customers Visited]])</f>
        <v>0.51898734177215189</v>
      </c>
      <c r="AH1148" s="5">
        <f>IF(SalesData[[#This Row],[Customers Visited]]=0,0,SalesData[[#This Row],[Contracts Signed]]/SalesData[[#This Row],[Customers Visited]])</f>
        <v>6.0126582278481014E-2</v>
      </c>
      <c r="AI1148" s="6">
        <f>IF(SalesData[[#This Row],[Contracts Signed]]=0,0,SalesData[[#This Row],[Profit(€)]]/SalesData[[#This Row],[Contracts Signed]])</f>
        <v>1978</v>
      </c>
      <c r="AJ1148" s="5" t="str">
        <f>TRIM(CLEAN(SalesData[[#This Row],[Retailer]]))</f>
        <v>Rhein Auto Group</v>
      </c>
    </row>
    <row r="1149" spans="1:36" ht="14.25" x14ac:dyDescent="0.2">
      <c r="A1149" t="s">
        <v>1925</v>
      </c>
      <c r="B1149" s="1">
        <v>46060</v>
      </c>
      <c r="C1149" t="s">
        <v>24</v>
      </c>
      <c r="D1149" t="s">
        <v>151</v>
      </c>
      <c r="E1149" t="s">
        <v>42</v>
      </c>
      <c r="F1149" t="s">
        <v>127</v>
      </c>
      <c r="G1149" t="s">
        <v>128</v>
      </c>
      <c r="H1149" t="s">
        <v>103</v>
      </c>
      <c r="I1149" t="s">
        <v>30</v>
      </c>
      <c r="J1149" t="s">
        <v>166</v>
      </c>
      <c r="K1149" t="s">
        <v>66</v>
      </c>
      <c r="L1149" t="s">
        <v>46</v>
      </c>
      <c r="M1149" t="s">
        <v>47</v>
      </c>
      <c r="N1149" t="s">
        <v>35</v>
      </c>
      <c r="O1149" t="s">
        <v>36</v>
      </c>
      <c r="P1149" t="s">
        <v>49</v>
      </c>
      <c r="Q1149" t="s">
        <v>59</v>
      </c>
      <c r="R1149">
        <v>151</v>
      </c>
      <c r="S1149">
        <v>71</v>
      </c>
      <c r="T1149">
        <v>55</v>
      </c>
      <c r="U1149">
        <v>18</v>
      </c>
      <c r="V1149" t="s">
        <v>6368</v>
      </c>
      <c r="W1149">
        <v>54443</v>
      </c>
      <c r="X1149" t="s">
        <v>7384</v>
      </c>
      <c r="Y1149">
        <v>39818</v>
      </c>
      <c r="Z1149">
        <v>979974</v>
      </c>
      <c r="AA1149">
        <v>263250</v>
      </c>
      <c r="AB1149" t="str">
        <f>(VLOOKUP(SalesData[[#This Row],[Month Number]],Reference!C$5:E$16,2,FALSE))</f>
        <v>Feb</v>
      </c>
      <c r="AC1149">
        <f>MONTH(SalesData[[#This Row],[Date]])</f>
        <v>2</v>
      </c>
      <c r="AD1149">
        <f>Reference!F$4</f>
        <v>2026</v>
      </c>
      <c r="AE1149" t="str">
        <f>IF(OR(SalesData[[#This Row],[Day]]="Saturday",SalesData[[#This Row],[Day]]="Sunday"),"Weekend","Weekday")</f>
        <v>Weekend</v>
      </c>
      <c r="AF1149" s="5">
        <f>IF(SalesData[[#This Row],[Contracts Offered]]=0,0,SalesData[[#This Row],[Contracts Signed]]/SalesData[[#This Row],[Contracts Offered]])</f>
        <v>0.32727272727272727</v>
      </c>
      <c r="AG1149" s="5">
        <f>IF(SalesData[[#This Row],[Customers Visited]]=0,0,SalesData[[#This Row],[Test Drives]]/SalesData[[#This Row],[Customers Visited]])</f>
        <v>0.47019867549668876</v>
      </c>
      <c r="AH1149" s="5">
        <f>IF(SalesData[[#This Row],[Customers Visited]]=0,0,SalesData[[#This Row],[Contracts Signed]]/SalesData[[#This Row],[Customers Visited]])</f>
        <v>0.11920529801324503</v>
      </c>
      <c r="AI1149" s="6">
        <f>IF(SalesData[[#This Row],[Contracts Signed]]=0,0,SalesData[[#This Row],[Profit(€)]]/SalesData[[#This Row],[Contracts Signed]])</f>
        <v>14625</v>
      </c>
      <c r="AJ1149" s="5" t="str">
        <f>TRIM(CLEAN(SalesData[[#This Row],[Retailer]]))</f>
        <v>Rhein Auto Group</v>
      </c>
    </row>
    <row r="1150" spans="1:36" ht="14.25" x14ac:dyDescent="0.2">
      <c r="A1150" t="s">
        <v>1926</v>
      </c>
      <c r="B1150" s="1">
        <v>46064</v>
      </c>
      <c r="C1150" t="s">
        <v>121</v>
      </c>
      <c r="D1150" t="s">
        <v>82</v>
      </c>
      <c r="E1150" t="s">
        <v>26</v>
      </c>
      <c r="F1150" t="s">
        <v>109</v>
      </c>
      <c r="G1150" t="s">
        <v>110</v>
      </c>
      <c r="H1150" t="s">
        <v>45</v>
      </c>
      <c r="I1150" t="s">
        <v>30</v>
      </c>
      <c r="J1150" t="s">
        <v>188</v>
      </c>
      <c r="K1150" t="s">
        <v>66</v>
      </c>
      <c r="L1150" t="s">
        <v>33</v>
      </c>
      <c r="M1150" t="s">
        <v>34</v>
      </c>
      <c r="N1150" t="s">
        <v>35</v>
      </c>
      <c r="O1150" t="s">
        <v>36</v>
      </c>
      <c r="P1150" t="s">
        <v>58</v>
      </c>
      <c r="Q1150" t="s">
        <v>38</v>
      </c>
      <c r="R1150">
        <v>266</v>
      </c>
      <c r="S1150">
        <v>162</v>
      </c>
      <c r="T1150">
        <v>111</v>
      </c>
      <c r="U1150">
        <v>46</v>
      </c>
      <c r="V1150" t="s">
        <v>6404</v>
      </c>
      <c r="W1150">
        <v>52279</v>
      </c>
      <c r="X1150" t="s">
        <v>7385</v>
      </c>
      <c r="Y1150">
        <v>36756</v>
      </c>
      <c r="Z1150">
        <v>2404834</v>
      </c>
      <c r="AA1150">
        <v>714058</v>
      </c>
      <c r="AB1150" t="str">
        <f>(VLOOKUP(SalesData[[#This Row],[Month Number]],Reference!C$5:E$16,2,FALSE))</f>
        <v>Feb</v>
      </c>
      <c r="AC1150">
        <f>MONTH(SalesData[[#This Row],[Date]])</f>
        <v>2</v>
      </c>
      <c r="AD1150">
        <f>Reference!F$4</f>
        <v>2026</v>
      </c>
      <c r="AE1150" t="str">
        <f>IF(OR(SalesData[[#This Row],[Day]]="Saturday",SalesData[[#This Row],[Day]]="Sunday"),"Weekend","Weekday")</f>
        <v>Weekday</v>
      </c>
      <c r="AF1150" s="5">
        <f>IF(SalesData[[#This Row],[Contracts Offered]]=0,0,SalesData[[#This Row],[Contracts Signed]]/SalesData[[#This Row],[Contracts Offered]])</f>
        <v>0.4144144144144144</v>
      </c>
      <c r="AG1150" s="5">
        <f>IF(SalesData[[#This Row],[Customers Visited]]=0,0,SalesData[[#This Row],[Test Drives]]/SalesData[[#This Row],[Customers Visited]])</f>
        <v>0.60902255639097747</v>
      </c>
      <c r="AH1150" s="5">
        <f>IF(SalesData[[#This Row],[Customers Visited]]=0,0,SalesData[[#This Row],[Contracts Signed]]/SalesData[[#This Row],[Customers Visited]])</f>
        <v>0.17293233082706766</v>
      </c>
      <c r="AI1150" s="6">
        <f>IF(SalesData[[#This Row],[Contracts Signed]]=0,0,SalesData[[#This Row],[Profit(€)]]/SalesData[[#This Row],[Contracts Signed]])</f>
        <v>15523</v>
      </c>
      <c r="AJ1150" s="5" t="str">
        <f>TRIM(CLEAN(SalesData[[#This Row],[Retailer]]))</f>
        <v>Leipzig Mobility</v>
      </c>
    </row>
    <row r="1151" spans="1:36" ht="14.25" hidden="1" x14ac:dyDescent="0.2">
      <c r="A1151" t="s">
        <v>1927</v>
      </c>
      <c r="B1151" s="1">
        <v>46078</v>
      </c>
      <c r="C1151" t="s">
        <v>53</v>
      </c>
      <c r="D1151" t="s">
        <v>82</v>
      </c>
      <c r="E1151" t="s">
        <v>26</v>
      </c>
      <c r="F1151" t="s">
        <v>101</v>
      </c>
      <c r="G1151" t="s">
        <v>102</v>
      </c>
      <c r="H1151" t="s">
        <v>103</v>
      </c>
      <c r="I1151" t="s">
        <v>56</v>
      </c>
      <c r="J1151" t="s">
        <v>137</v>
      </c>
      <c r="K1151" t="s">
        <v>66</v>
      </c>
      <c r="L1151" t="s">
        <v>46</v>
      </c>
      <c r="M1151" t="s">
        <v>87</v>
      </c>
      <c r="N1151" t="s">
        <v>69</v>
      </c>
      <c r="O1151" t="s">
        <v>36</v>
      </c>
      <c r="P1151" t="s">
        <v>71</v>
      </c>
      <c r="Q1151" t="s">
        <v>59</v>
      </c>
      <c r="R1151">
        <v>233</v>
      </c>
      <c r="S1151">
        <v>120</v>
      </c>
      <c r="T1151">
        <v>91</v>
      </c>
      <c r="U1151">
        <v>27</v>
      </c>
      <c r="V1151" t="s">
        <v>6870</v>
      </c>
      <c r="W1151">
        <v>43998</v>
      </c>
      <c r="X1151" t="s">
        <v>828</v>
      </c>
      <c r="Y1151">
        <v>33512</v>
      </c>
      <c r="Z1151">
        <v>1187946</v>
      </c>
      <c r="AA1151">
        <v>283122</v>
      </c>
      <c r="AB1151" t="str">
        <f>(VLOOKUP(SalesData[[#This Row],[Month Number]],Reference!C$5:E$16,2,FALSE))</f>
        <v>Feb</v>
      </c>
      <c r="AC1151">
        <f>MONTH(SalesData[[#This Row],[Date]])</f>
        <v>2</v>
      </c>
      <c r="AD1151">
        <f>Reference!F$4</f>
        <v>2026</v>
      </c>
      <c r="AE1151" t="str">
        <f>IF(OR(SalesData[[#This Row],[Day]]="Saturday",SalesData[[#This Row],[Day]]="Sunday"),"Weekend","Weekday")</f>
        <v>Weekday</v>
      </c>
      <c r="AF1151" s="5">
        <f>IF(SalesData[[#This Row],[Contracts Offered]]=0,0,SalesData[[#This Row],[Contracts Signed]]/SalesData[[#This Row],[Contracts Offered]])</f>
        <v>0.2967032967032967</v>
      </c>
      <c r="AG1151" s="5">
        <f>IF(SalesData[[#This Row],[Customers Visited]]=0,0,SalesData[[#This Row],[Test Drives]]/SalesData[[#This Row],[Customers Visited]])</f>
        <v>0.51502145922746778</v>
      </c>
      <c r="AH1151" s="5">
        <f>IF(SalesData[[#This Row],[Customers Visited]]=0,0,SalesData[[#This Row],[Contracts Signed]]/SalesData[[#This Row],[Customers Visited]])</f>
        <v>0.11587982832618025</v>
      </c>
      <c r="AI1151" s="6">
        <f>IF(SalesData[[#This Row],[Contracts Signed]]=0,0,SalesData[[#This Row],[Profit(€)]]/SalesData[[#This Row],[Contracts Signed]])</f>
        <v>10486</v>
      </c>
      <c r="AJ1151" s="5" t="str">
        <f>TRIM(CLEAN(SalesData[[#This Row],[Retailer]]))</f>
        <v>Ruhr Auto Plaza</v>
      </c>
    </row>
    <row r="1152" spans="1:36" ht="14.25" hidden="1" x14ac:dyDescent="0.2">
      <c r="A1152" t="s">
        <v>1928</v>
      </c>
      <c r="B1152" s="1">
        <v>46061</v>
      </c>
      <c r="C1152" t="s">
        <v>121</v>
      </c>
      <c r="D1152" t="s">
        <v>41</v>
      </c>
      <c r="E1152" t="s">
        <v>42</v>
      </c>
      <c r="F1152" t="s">
        <v>114</v>
      </c>
      <c r="G1152" t="s">
        <v>115</v>
      </c>
      <c r="H1152" t="s">
        <v>115</v>
      </c>
      <c r="I1152" t="s">
        <v>56</v>
      </c>
      <c r="J1152" t="s">
        <v>7028</v>
      </c>
      <c r="K1152" t="s">
        <v>78</v>
      </c>
      <c r="L1152" t="s">
        <v>46</v>
      </c>
      <c r="M1152" t="s">
        <v>68</v>
      </c>
      <c r="N1152" t="s">
        <v>69</v>
      </c>
      <c r="O1152" t="s">
        <v>36</v>
      </c>
      <c r="P1152" t="s">
        <v>58</v>
      </c>
      <c r="Q1152" t="s">
        <v>50</v>
      </c>
      <c r="R1152">
        <v>224</v>
      </c>
      <c r="S1152">
        <v>113</v>
      </c>
      <c r="T1152">
        <v>76</v>
      </c>
      <c r="U1152">
        <v>31</v>
      </c>
      <c r="V1152" t="s">
        <v>6665</v>
      </c>
      <c r="W1152">
        <v>40372</v>
      </c>
      <c r="X1152" t="s">
        <v>4322</v>
      </c>
      <c r="Y1152">
        <v>31920</v>
      </c>
      <c r="Z1152">
        <v>1251532</v>
      </c>
      <c r="AA1152">
        <v>262012</v>
      </c>
      <c r="AB1152" t="str">
        <f>(VLOOKUP(SalesData[[#This Row],[Month Number]],Reference!C$5:E$16,2,FALSE))</f>
        <v>Feb</v>
      </c>
      <c r="AC1152">
        <f>MONTH(SalesData[[#This Row],[Date]])</f>
        <v>2</v>
      </c>
      <c r="AD1152">
        <f>Reference!F$4</f>
        <v>2026</v>
      </c>
      <c r="AE1152" t="str">
        <f>IF(OR(SalesData[[#This Row],[Day]]="Saturday",SalesData[[#This Row],[Day]]="Sunday"),"Weekend","Weekday")</f>
        <v>Weekend</v>
      </c>
      <c r="AF1152" s="5">
        <f>IF(SalesData[[#This Row],[Contracts Offered]]=0,0,SalesData[[#This Row],[Contracts Signed]]/SalesData[[#This Row],[Contracts Offered]])</f>
        <v>0.40789473684210525</v>
      </c>
      <c r="AG1152" s="5">
        <f>IF(SalesData[[#This Row],[Customers Visited]]=0,0,SalesData[[#This Row],[Test Drives]]/SalesData[[#This Row],[Customers Visited]])</f>
        <v>0.5044642857142857</v>
      </c>
      <c r="AH1152" s="5">
        <f>IF(SalesData[[#This Row],[Customers Visited]]=0,0,SalesData[[#This Row],[Contracts Signed]]/SalesData[[#This Row],[Customers Visited]])</f>
        <v>0.13839285714285715</v>
      </c>
      <c r="AI1152" s="6">
        <f>IF(SalesData[[#This Row],[Contracts Signed]]=0,0,SalesData[[#This Row],[Profit(€)]]/SalesData[[#This Row],[Contracts Signed]])</f>
        <v>8452</v>
      </c>
      <c r="AJ1152" s="5" t="str">
        <f>TRIM(CLEAN(SalesData[[#This Row],[Retailer]]))</f>
        <v>Elbe Drive</v>
      </c>
    </row>
    <row r="1153" spans="1:36" ht="14.25" hidden="1" x14ac:dyDescent="0.2">
      <c r="A1153" t="s">
        <v>1929</v>
      </c>
      <c r="B1153" s="1">
        <v>46059</v>
      </c>
      <c r="C1153" t="s">
        <v>24</v>
      </c>
      <c r="D1153" t="s">
        <v>54</v>
      </c>
      <c r="E1153" t="s">
        <v>26</v>
      </c>
      <c r="F1153" t="s">
        <v>109</v>
      </c>
      <c r="G1153" t="s">
        <v>110</v>
      </c>
      <c r="H1153" t="s">
        <v>45</v>
      </c>
      <c r="I1153" t="s">
        <v>56</v>
      </c>
      <c r="J1153" t="s">
        <v>57</v>
      </c>
      <c r="K1153" t="s">
        <v>66</v>
      </c>
      <c r="L1153" t="s">
        <v>46</v>
      </c>
      <c r="M1153" t="s">
        <v>47</v>
      </c>
      <c r="N1153" t="s">
        <v>35</v>
      </c>
      <c r="O1153" t="s">
        <v>36</v>
      </c>
      <c r="P1153" t="s">
        <v>49</v>
      </c>
      <c r="Q1153" t="s">
        <v>118</v>
      </c>
      <c r="R1153">
        <v>306</v>
      </c>
      <c r="S1153">
        <v>194</v>
      </c>
      <c r="T1153">
        <v>141</v>
      </c>
      <c r="U1153">
        <v>36</v>
      </c>
      <c r="V1153" t="s">
        <v>345</v>
      </c>
      <c r="W1153">
        <v>40905</v>
      </c>
      <c r="X1153" t="s">
        <v>7185</v>
      </c>
      <c r="Y1153">
        <v>31315</v>
      </c>
      <c r="Z1153">
        <v>1472580</v>
      </c>
      <c r="AA1153">
        <v>345240</v>
      </c>
      <c r="AB1153" t="str">
        <f>(VLOOKUP(SalesData[[#This Row],[Month Number]],Reference!C$5:E$16,2,FALSE))</f>
        <v>Feb</v>
      </c>
      <c r="AC1153">
        <f>MONTH(SalesData[[#This Row],[Date]])</f>
        <v>2</v>
      </c>
      <c r="AD1153">
        <f>Reference!F$4</f>
        <v>2026</v>
      </c>
      <c r="AE1153" t="str">
        <f>IF(OR(SalesData[[#This Row],[Day]]="Saturday",SalesData[[#This Row],[Day]]="Sunday"),"Weekend","Weekday")</f>
        <v>Weekday</v>
      </c>
      <c r="AF1153" s="5">
        <f>IF(SalesData[[#This Row],[Contracts Offered]]=0,0,SalesData[[#This Row],[Contracts Signed]]/SalesData[[#This Row],[Contracts Offered]])</f>
        <v>0.25531914893617019</v>
      </c>
      <c r="AG1153" s="5">
        <f>IF(SalesData[[#This Row],[Customers Visited]]=0,0,SalesData[[#This Row],[Test Drives]]/SalesData[[#This Row],[Customers Visited]])</f>
        <v>0.63398692810457513</v>
      </c>
      <c r="AH1153" s="5">
        <f>IF(SalesData[[#This Row],[Customers Visited]]=0,0,SalesData[[#This Row],[Contracts Signed]]/SalesData[[#This Row],[Customers Visited]])</f>
        <v>0.11764705882352941</v>
      </c>
      <c r="AI1153" s="6">
        <f>IF(SalesData[[#This Row],[Contracts Signed]]=0,0,SalesData[[#This Row],[Profit(€)]]/SalesData[[#This Row],[Contracts Signed]])</f>
        <v>9590</v>
      </c>
      <c r="AJ1153" s="5" t="str">
        <f>TRIM(CLEAN(SalesData[[#This Row],[Retailer]]))</f>
        <v>Leipzig Mobility</v>
      </c>
    </row>
    <row r="1154" spans="1:36" ht="14.25" hidden="1" x14ac:dyDescent="0.2">
      <c r="A1154" t="s">
        <v>1930</v>
      </c>
      <c r="B1154" s="1">
        <v>46070</v>
      </c>
      <c r="C1154" t="s">
        <v>62</v>
      </c>
      <c r="D1154" t="s">
        <v>63</v>
      </c>
      <c r="E1154" t="s">
        <v>26</v>
      </c>
      <c r="F1154" t="s">
        <v>127</v>
      </c>
      <c r="G1154" t="s">
        <v>128</v>
      </c>
      <c r="H1154" t="s">
        <v>103</v>
      </c>
      <c r="I1154" t="s">
        <v>64</v>
      </c>
      <c r="J1154" t="s">
        <v>77</v>
      </c>
      <c r="K1154" t="s">
        <v>91</v>
      </c>
      <c r="L1154" t="s">
        <v>46</v>
      </c>
      <c r="M1154" t="s">
        <v>34</v>
      </c>
      <c r="N1154" t="s">
        <v>48</v>
      </c>
      <c r="O1154" t="s">
        <v>36</v>
      </c>
      <c r="P1154" t="s">
        <v>71</v>
      </c>
      <c r="Q1154" t="s">
        <v>38</v>
      </c>
      <c r="R1154">
        <v>168</v>
      </c>
      <c r="S1154">
        <v>83</v>
      </c>
      <c r="T1154">
        <v>64</v>
      </c>
      <c r="U1154">
        <v>20</v>
      </c>
      <c r="V1154" t="s">
        <v>6361</v>
      </c>
      <c r="W1154">
        <v>51596</v>
      </c>
      <c r="X1154" t="s">
        <v>7295</v>
      </c>
      <c r="Y1154">
        <v>39946</v>
      </c>
      <c r="Z1154">
        <v>1031920</v>
      </c>
      <c r="AA1154">
        <v>233000</v>
      </c>
      <c r="AB1154" t="str">
        <f>(VLOOKUP(SalesData[[#This Row],[Month Number]],Reference!C$5:E$16,2,FALSE))</f>
        <v>Feb</v>
      </c>
      <c r="AC1154">
        <f>MONTH(SalesData[[#This Row],[Date]])</f>
        <v>2</v>
      </c>
      <c r="AD1154">
        <f>Reference!F$4</f>
        <v>2026</v>
      </c>
      <c r="AE1154" t="str">
        <f>IF(OR(SalesData[[#This Row],[Day]]="Saturday",SalesData[[#This Row],[Day]]="Sunday"),"Weekend","Weekday")</f>
        <v>Weekday</v>
      </c>
      <c r="AF1154" s="5">
        <f>IF(SalesData[[#This Row],[Contracts Offered]]=0,0,SalesData[[#This Row],[Contracts Signed]]/SalesData[[#This Row],[Contracts Offered]])</f>
        <v>0.3125</v>
      </c>
      <c r="AG1154" s="5">
        <f>IF(SalesData[[#This Row],[Customers Visited]]=0,0,SalesData[[#This Row],[Test Drives]]/SalesData[[#This Row],[Customers Visited]])</f>
        <v>0.49404761904761907</v>
      </c>
      <c r="AH1154" s="5">
        <f>IF(SalesData[[#This Row],[Customers Visited]]=0,0,SalesData[[#This Row],[Contracts Signed]]/SalesData[[#This Row],[Customers Visited]])</f>
        <v>0.11904761904761904</v>
      </c>
      <c r="AI1154" s="6">
        <f>IF(SalesData[[#This Row],[Contracts Signed]]=0,0,SalesData[[#This Row],[Profit(€)]]/SalesData[[#This Row],[Contracts Signed]])</f>
        <v>11650</v>
      </c>
      <c r="AJ1154" s="5" t="str">
        <f>TRIM(CLEAN(SalesData[[#This Row],[Retailer]]))</f>
        <v>Rhein Auto Group</v>
      </c>
    </row>
    <row r="1155" spans="1:36" ht="14.25" hidden="1" x14ac:dyDescent="0.2">
      <c r="A1155" t="s">
        <v>1931</v>
      </c>
      <c r="B1155" s="1">
        <v>46073</v>
      </c>
      <c r="C1155" t="s">
        <v>62</v>
      </c>
      <c r="D1155" t="s">
        <v>54</v>
      </c>
      <c r="E1155" t="s">
        <v>26</v>
      </c>
      <c r="F1155" t="s">
        <v>109</v>
      </c>
      <c r="G1155" t="s">
        <v>110</v>
      </c>
      <c r="H1155" t="s">
        <v>45</v>
      </c>
      <c r="I1155" t="s">
        <v>64</v>
      </c>
      <c r="J1155" t="s">
        <v>111</v>
      </c>
      <c r="K1155" t="s">
        <v>66</v>
      </c>
      <c r="L1155" t="s">
        <v>46</v>
      </c>
      <c r="M1155" t="s">
        <v>34</v>
      </c>
      <c r="N1155" t="s">
        <v>35</v>
      </c>
      <c r="O1155" t="s">
        <v>70</v>
      </c>
      <c r="P1155" t="s">
        <v>49</v>
      </c>
      <c r="Q1155" t="s">
        <v>122</v>
      </c>
      <c r="R1155">
        <v>233</v>
      </c>
      <c r="S1155">
        <v>117</v>
      </c>
      <c r="T1155">
        <v>88</v>
      </c>
      <c r="U1155">
        <v>27</v>
      </c>
      <c r="V1155" t="s">
        <v>6386</v>
      </c>
      <c r="W1155">
        <v>60325</v>
      </c>
      <c r="X1155" t="s">
        <v>7122</v>
      </c>
      <c r="Y1155">
        <v>46153</v>
      </c>
      <c r="Z1155">
        <v>1628775</v>
      </c>
      <c r="AA1155">
        <v>382644</v>
      </c>
      <c r="AB1155" t="str">
        <f>(VLOOKUP(SalesData[[#This Row],[Month Number]],Reference!C$5:E$16,2,FALSE))</f>
        <v>Feb</v>
      </c>
      <c r="AC1155">
        <f>MONTH(SalesData[[#This Row],[Date]])</f>
        <v>2</v>
      </c>
      <c r="AD1155">
        <f>Reference!F$4</f>
        <v>2026</v>
      </c>
      <c r="AE1155" t="str">
        <f>IF(OR(SalesData[[#This Row],[Day]]="Saturday",SalesData[[#This Row],[Day]]="Sunday"),"Weekend","Weekday")</f>
        <v>Weekday</v>
      </c>
      <c r="AF1155" s="5">
        <f>IF(SalesData[[#This Row],[Contracts Offered]]=0,0,SalesData[[#This Row],[Contracts Signed]]/SalesData[[#This Row],[Contracts Offered]])</f>
        <v>0.30681818181818182</v>
      </c>
      <c r="AG1155" s="5">
        <f>IF(SalesData[[#This Row],[Customers Visited]]=0,0,SalesData[[#This Row],[Test Drives]]/SalesData[[#This Row],[Customers Visited]])</f>
        <v>0.50214592274678116</v>
      </c>
      <c r="AH1155" s="5">
        <f>IF(SalesData[[#This Row],[Customers Visited]]=0,0,SalesData[[#This Row],[Contracts Signed]]/SalesData[[#This Row],[Customers Visited]])</f>
        <v>0.11587982832618025</v>
      </c>
      <c r="AI1155" s="6">
        <f>IF(SalesData[[#This Row],[Contracts Signed]]=0,0,SalesData[[#This Row],[Profit(€)]]/SalesData[[#This Row],[Contracts Signed]])</f>
        <v>14172</v>
      </c>
      <c r="AJ1155" s="5" t="str">
        <f>TRIM(CLEAN(SalesData[[#This Row],[Retailer]]))</f>
        <v>Leipzig Mobility</v>
      </c>
    </row>
    <row r="1156" spans="1:36" ht="14.25" x14ac:dyDescent="0.2">
      <c r="A1156" t="s">
        <v>1932</v>
      </c>
      <c r="B1156" s="1">
        <v>46081</v>
      </c>
      <c r="C1156" t="s">
        <v>53</v>
      </c>
      <c r="D1156" t="s">
        <v>151</v>
      </c>
      <c r="E1156" t="s">
        <v>42</v>
      </c>
      <c r="F1156" t="s">
        <v>114</v>
      </c>
      <c r="G1156" t="s">
        <v>115</v>
      </c>
      <c r="H1156" t="s">
        <v>115</v>
      </c>
      <c r="I1156" t="s">
        <v>30</v>
      </c>
      <c r="J1156" t="s">
        <v>31</v>
      </c>
      <c r="K1156" t="s">
        <v>32</v>
      </c>
      <c r="L1156" t="s">
        <v>46</v>
      </c>
      <c r="M1156" t="s">
        <v>87</v>
      </c>
      <c r="N1156" t="s">
        <v>48</v>
      </c>
      <c r="O1156" t="s">
        <v>70</v>
      </c>
      <c r="P1156" t="s">
        <v>37</v>
      </c>
      <c r="Q1156" t="s">
        <v>347</v>
      </c>
      <c r="R1156">
        <v>212</v>
      </c>
      <c r="S1156">
        <v>95</v>
      </c>
      <c r="T1156">
        <v>68</v>
      </c>
      <c r="U1156">
        <v>24</v>
      </c>
      <c r="V1156" t="s">
        <v>6868</v>
      </c>
      <c r="W1156">
        <v>52992</v>
      </c>
      <c r="X1156" t="s">
        <v>678</v>
      </c>
      <c r="Y1156">
        <v>40594</v>
      </c>
      <c r="Z1156">
        <v>1271808</v>
      </c>
      <c r="AA1156">
        <v>297552</v>
      </c>
      <c r="AB1156" t="str">
        <f>(VLOOKUP(SalesData[[#This Row],[Month Number]],Reference!C$5:E$16,2,FALSE))</f>
        <v>Feb</v>
      </c>
      <c r="AC1156">
        <f>MONTH(SalesData[[#This Row],[Date]])</f>
        <v>2</v>
      </c>
      <c r="AD1156">
        <f>Reference!F$4</f>
        <v>2026</v>
      </c>
      <c r="AE1156" t="str">
        <f>IF(OR(SalesData[[#This Row],[Day]]="Saturday",SalesData[[#This Row],[Day]]="Sunday"),"Weekend","Weekday")</f>
        <v>Weekend</v>
      </c>
      <c r="AF1156" s="5">
        <f>IF(SalesData[[#This Row],[Contracts Offered]]=0,0,SalesData[[#This Row],[Contracts Signed]]/SalesData[[#This Row],[Contracts Offered]])</f>
        <v>0.35294117647058826</v>
      </c>
      <c r="AG1156" s="5">
        <f>IF(SalesData[[#This Row],[Customers Visited]]=0,0,SalesData[[#This Row],[Test Drives]]/SalesData[[#This Row],[Customers Visited]])</f>
        <v>0.44811320754716982</v>
      </c>
      <c r="AH1156" s="5">
        <f>IF(SalesData[[#This Row],[Customers Visited]]=0,0,SalesData[[#This Row],[Contracts Signed]]/SalesData[[#This Row],[Customers Visited]])</f>
        <v>0.11320754716981132</v>
      </c>
      <c r="AI1156" s="6">
        <f>IF(SalesData[[#This Row],[Contracts Signed]]=0,0,SalesData[[#This Row],[Profit(€)]]/SalesData[[#This Row],[Contracts Signed]])</f>
        <v>12398</v>
      </c>
      <c r="AJ1156" s="5" t="str">
        <f>TRIM(CLEAN(SalesData[[#This Row],[Retailer]]))</f>
        <v>Elbe Drive</v>
      </c>
    </row>
    <row r="1157" spans="1:36" ht="14.25" hidden="1" x14ac:dyDescent="0.2">
      <c r="A1157" t="s">
        <v>1933</v>
      </c>
      <c r="B1157" s="1">
        <v>46074</v>
      </c>
      <c r="C1157" t="s">
        <v>62</v>
      </c>
      <c r="D1157" t="s">
        <v>151</v>
      </c>
      <c r="E1157" t="s">
        <v>42</v>
      </c>
      <c r="F1157" t="s">
        <v>114</v>
      </c>
      <c r="G1157" t="s">
        <v>115</v>
      </c>
      <c r="H1157" t="s">
        <v>115</v>
      </c>
      <c r="I1157" t="s">
        <v>64</v>
      </c>
      <c r="J1157" t="s">
        <v>65</v>
      </c>
      <c r="K1157" t="s">
        <v>32</v>
      </c>
      <c r="L1157" t="s">
        <v>33</v>
      </c>
      <c r="M1157" t="s">
        <v>47</v>
      </c>
      <c r="N1157" t="s">
        <v>35</v>
      </c>
      <c r="O1157" t="s">
        <v>36</v>
      </c>
      <c r="P1157" t="s">
        <v>49</v>
      </c>
      <c r="Q1157" t="s">
        <v>135</v>
      </c>
      <c r="R1157">
        <v>243</v>
      </c>
      <c r="S1157">
        <v>117</v>
      </c>
      <c r="T1157">
        <v>92</v>
      </c>
      <c r="U1157">
        <v>29</v>
      </c>
      <c r="V1157" t="s">
        <v>6927</v>
      </c>
      <c r="W1157">
        <v>49173</v>
      </c>
      <c r="X1157" t="s">
        <v>2728</v>
      </c>
      <c r="Y1157">
        <v>36514</v>
      </c>
      <c r="Z1157">
        <v>1426017</v>
      </c>
      <c r="AA1157">
        <v>367111</v>
      </c>
      <c r="AB1157" t="str">
        <f>(VLOOKUP(SalesData[[#This Row],[Month Number]],Reference!C$5:E$16,2,FALSE))</f>
        <v>Feb</v>
      </c>
      <c r="AC1157">
        <f>MONTH(SalesData[[#This Row],[Date]])</f>
        <v>2</v>
      </c>
      <c r="AD1157">
        <f>Reference!F$4</f>
        <v>2026</v>
      </c>
      <c r="AE1157" t="str">
        <f>IF(OR(SalesData[[#This Row],[Day]]="Saturday",SalesData[[#This Row],[Day]]="Sunday"),"Weekend","Weekday")</f>
        <v>Weekend</v>
      </c>
      <c r="AF1157" s="5">
        <f>IF(SalesData[[#This Row],[Contracts Offered]]=0,0,SalesData[[#This Row],[Contracts Signed]]/SalesData[[#This Row],[Contracts Offered]])</f>
        <v>0.31521739130434784</v>
      </c>
      <c r="AG1157" s="5">
        <f>IF(SalesData[[#This Row],[Customers Visited]]=0,0,SalesData[[#This Row],[Test Drives]]/SalesData[[#This Row],[Customers Visited]])</f>
        <v>0.48148148148148145</v>
      </c>
      <c r="AH1157" s="5">
        <f>IF(SalesData[[#This Row],[Customers Visited]]=0,0,SalesData[[#This Row],[Contracts Signed]]/SalesData[[#This Row],[Customers Visited]])</f>
        <v>0.11934156378600823</v>
      </c>
      <c r="AI1157" s="6">
        <f>IF(SalesData[[#This Row],[Contracts Signed]]=0,0,SalesData[[#This Row],[Profit(€)]]/SalesData[[#This Row],[Contracts Signed]])</f>
        <v>12659</v>
      </c>
      <c r="AJ1157" s="5" t="str">
        <f>TRIM(CLEAN(SalesData[[#This Row],[Retailer]]))</f>
        <v>Elbe Drive</v>
      </c>
    </row>
    <row r="1158" spans="1:36" ht="14.25" hidden="1" x14ac:dyDescent="0.2">
      <c r="A1158" t="s">
        <v>1934</v>
      </c>
      <c r="B1158" s="1">
        <v>46068</v>
      </c>
      <c r="C1158" t="s">
        <v>62</v>
      </c>
      <c r="D1158" t="s">
        <v>41</v>
      </c>
      <c r="E1158" t="s">
        <v>42</v>
      </c>
      <c r="F1158" t="s">
        <v>114</v>
      </c>
      <c r="G1158" t="s">
        <v>115</v>
      </c>
      <c r="H1158" t="s">
        <v>115</v>
      </c>
      <c r="I1158" t="s">
        <v>116</v>
      </c>
      <c r="J1158" t="s">
        <v>7090</v>
      </c>
      <c r="K1158" t="s">
        <v>91</v>
      </c>
      <c r="L1158" t="s">
        <v>46</v>
      </c>
      <c r="M1158" t="s">
        <v>87</v>
      </c>
      <c r="N1158" t="s">
        <v>69</v>
      </c>
      <c r="O1158" t="s">
        <v>70</v>
      </c>
      <c r="P1158" t="s">
        <v>58</v>
      </c>
      <c r="Q1158" t="s">
        <v>152</v>
      </c>
      <c r="R1158">
        <v>414</v>
      </c>
      <c r="S1158">
        <v>178</v>
      </c>
      <c r="T1158">
        <v>115</v>
      </c>
      <c r="U1158">
        <v>31</v>
      </c>
      <c r="V1158" t="s">
        <v>1139</v>
      </c>
      <c r="W1158">
        <v>24490</v>
      </c>
      <c r="X1158" t="s">
        <v>3099</v>
      </c>
      <c r="Y1158">
        <v>22567</v>
      </c>
      <c r="Z1158">
        <v>759190</v>
      </c>
      <c r="AA1158">
        <v>59613</v>
      </c>
      <c r="AB1158" t="str">
        <f>(VLOOKUP(SalesData[[#This Row],[Month Number]],Reference!C$5:E$16,2,FALSE))</f>
        <v>Feb</v>
      </c>
      <c r="AC1158">
        <f>MONTH(SalesData[[#This Row],[Date]])</f>
        <v>2</v>
      </c>
      <c r="AD1158">
        <f>Reference!F$4</f>
        <v>2026</v>
      </c>
      <c r="AE1158" t="str">
        <f>IF(OR(SalesData[[#This Row],[Day]]="Saturday",SalesData[[#This Row],[Day]]="Sunday"),"Weekend","Weekday")</f>
        <v>Weekend</v>
      </c>
      <c r="AF1158" s="5">
        <f>IF(SalesData[[#This Row],[Contracts Offered]]=0,0,SalesData[[#This Row],[Contracts Signed]]/SalesData[[#This Row],[Contracts Offered]])</f>
        <v>0.26956521739130435</v>
      </c>
      <c r="AG1158" s="5">
        <f>IF(SalesData[[#This Row],[Customers Visited]]=0,0,SalesData[[#This Row],[Test Drives]]/SalesData[[#This Row],[Customers Visited]])</f>
        <v>0.42995169082125606</v>
      </c>
      <c r="AH1158" s="5">
        <f>IF(SalesData[[#This Row],[Customers Visited]]=0,0,SalesData[[#This Row],[Contracts Signed]]/SalesData[[#This Row],[Customers Visited]])</f>
        <v>7.4879227053140096E-2</v>
      </c>
      <c r="AI1158" s="6">
        <f>IF(SalesData[[#This Row],[Contracts Signed]]=0,0,SalesData[[#This Row],[Profit(€)]]/SalesData[[#This Row],[Contracts Signed]])</f>
        <v>1923</v>
      </c>
      <c r="AJ1158" s="5" t="str">
        <f>TRIM(CLEAN(SalesData[[#This Row],[Retailer]]))</f>
        <v>Elbe Drive</v>
      </c>
    </row>
    <row r="1159" spans="1:36" ht="14.25" hidden="1" x14ac:dyDescent="0.2">
      <c r="A1159" t="s">
        <v>1935</v>
      </c>
      <c r="B1159" s="1">
        <v>46066</v>
      </c>
      <c r="C1159" t="s">
        <v>121</v>
      </c>
      <c r="D1159" t="s">
        <v>54</v>
      </c>
      <c r="E1159" t="s">
        <v>26</v>
      </c>
      <c r="F1159" t="s">
        <v>7649</v>
      </c>
      <c r="G1159" t="s">
        <v>55</v>
      </c>
      <c r="H1159" t="s">
        <v>55</v>
      </c>
      <c r="I1159" t="s">
        <v>104</v>
      </c>
      <c r="J1159" t="s">
        <v>105</v>
      </c>
      <c r="K1159" t="s">
        <v>66</v>
      </c>
      <c r="L1159" t="s">
        <v>33</v>
      </c>
      <c r="M1159" t="s">
        <v>34</v>
      </c>
      <c r="N1159" t="s">
        <v>35</v>
      </c>
      <c r="O1159" t="s">
        <v>70</v>
      </c>
      <c r="P1159" t="s">
        <v>49</v>
      </c>
      <c r="Q1159" t="s">
        <v>118</v>
      </c>
      <c r="R1159">
        <v>330</v>
      </c>
      <c r="S1159">
        <v>169</v>
      </c>
      <c r="T1159">
        <v>120</v>
      </c>
      <c r="U1159">
        <v>22</v>
      </c>
      <c r="V1159" t="s">
        <v>3733</v>
      </c>
      <c r="W1159">
        <v>30231</v>
      </c>
      <c r="X1159" t="s">
        <v>4169</v>
      </c>
      <c r="Y1159">
        <v>26814</v>
      </c>
      <c r="Z1159">
        <v>665082</v>
      </c>
      <c r="AA1159">
        <v>75174</v>
      </c>
      <c r="AB1159" t="str">
        <f>(VLOOKUP(SalesData[[#This Row],[Month Number]],Reference!C$5:E$16,2,FALSE))</f>
        <v>Feb</v>
      </c>
      <c r="AC1159">
        <f>MONTH(SalesData[[#This Row],[Date]])</f>
        <v>2</v>
      </c>
      <c r="AD1159">
        <f>Reference!F$4</f>
        <v>2026</v>
      </c>
      <c r="AE1159" t="str">
        <f>IF(OR(SalesData[[#This Row],[Day]]="Saturday",SalesData[[#This Row],[Day]]="Sunday"),"Weekend","Weekday")</f>
        <v>Weekday</v>
      </c>
      <c r="AF1159" s="5">
        <f>IF(SalesData[[#This Row],[Contracts Offered]]=0,0,SalesData[[#This Row],[Contracts Signed]]/SalesData[[#This Row],[Contracts Offered]])</f>
        <v>0.18333333333333332</v>
      </c>
      <c r="AG1159" s="5">
        <f>IF(SalesData[[#This Row],[Customers Visited]]=0,0,SalesData[[#This Row],[Test Drives]]/SalesData[[#This Row],[Customers Visited]])</f>
        <v>0.51212121212121209</v>
      </c>
      <c r="AH1159" s="5">
        <f>IF(SalesData[[#This Row],[Customers Visited]]=0,0,SalesData[[#This Row],[Contracts Signed]]/SalesData[[#This Row],[Customers Visited]])</f>
        <v>6.6666666666666666E-2</v>
      </c>
      <c r="AI1159" s="6">
        <f>IF(SalesData[[#This Row],[Contracts Signed]]=0,0,SalesData[[#This Row],[Profit(€)]]/SalesData[[#This Row],[Contracts Signed]])</f>
        <v>3417</v>
      </c>
      <c r="AJ1159" s="5" t="str">
        <f>TRIM(CLEAN(SalesData[[#This Row],[Retailer]]))</f>
        <v>Autohaus Berlin</v>
      </c>
    </row>
    <row r="1160" spans="1:36" ht="14.25" x14ac:dyDescent="0.2">
      <c r="A1160" t="s">
        <v>1936</v>
      </c>
      <c r="B1160" s="1">
        <v>46059</v>
      </c>
      <c r="C1160" t="s">
        <v>24</v>
      </c>
      <c r="D1160" t="s">
        <v>54</v>
      </c>
      <c r="E1160" t="s">
        <v>26</v>
      </c>
      <c r="F1160" t="s">
        <v>83</v>
      </c>
      <c r="G1160" t="s">
        <v>84</v>
      </c>
      <c r="H1160" t="s">
        <v>85</v>
      </c>
      <c r="I1160" t="s">
        <v>30</v>
      </c>
      <c r="J1160" t="s">
        <v>86</v>
      </c>
      <c r="K1160" t="s">
        <v>91</v>
      </c>
      <c r="L1160" t="s">
        <v>33</v>
      </c>
      <c r="M1160" t="s">
        <v>68</v>
      </c>
      <c r="N1160" t="s">
        <v>48</v>
      </c>
      <c r="O1160" t="s">
        <v>70</v>
      </c>
      <c r="P1160" t="s">
        <v>58</v>
      </c>
      <c r="Q1160" t="s">
        <v>240</v>
      </c>
      <c r="R1160">
        <v>220</v>
      </c>
      <c r="S1160">
        <v>100</v>
      </c>
      <c r="T1160">
        <v>76</v>
      </c>
      <c r="U1160">
        <v>32</v>
      </c>
      <c r="V1160" t="s">
        <v>7382</v>
      </c>
      <c r="W1160">
        <v>61673</v>
      </c>
      <c r="X1160" t="s">
        <v>7386</v>
      </c>
      <c r="Y1160">
        <v>43277</v>
      </c>
      <c r="Z1160">
        <v>1973536</v>
      </c>
      <c r="AA1160">
        <v>588672</v>
      </c>
      <c r="AB1160" t="str">
        <f>(VLOOKUP(SalesData[[#This Row],[Month Number]],Reference!C$5:E$16,2,FALSE))</f>
        <v>Feb</v>
      </c>
      <c r="AC1160">
        <f>MONTH(SalesData[[#This Row],[Date]])</f>
        <v>2</v>
      </c>
      <c r="AD1160">
        <f>Reference!F$4</f>
        <v>2026</v>
      </c>
      <c r="AE1160" t="str">
        <f>IF(OR(SalesData[[#This Row],[Day]]="Saturday",SalesData[[#This Row],[Day]]="Sunday"),"Weekend","Weekday")</f>
        <v>Weekday</v>
      </c>
      <c r="AF1160" s="5">
        <f>IF(SalesData[[#This Row],[Contracts Offered]]=0,0,SalesData[[#This Row],[Contracts Signed]]/SalesData[[#This Row],[Contracts Offered]])</f>
        <v>0.42105263157894735</v>
      </c>
      <c r="AG1160" s="5">
        <f>IF(SalesData[[#This Row],[Customers Visited]]=0,0,SalesData[[#This Row],[Test Drives]]/SalesData[[#This Row],[Customers Visited]])</f>
        <v>0.45454545454545453</v>
      </c>
      <c r="AH1160" s="5">
        <f>IF(SalesData[[#This Row],[Customers Visited]]=0,0,SalesData[[#This Row],[Contracts Signed]]/SalesData[[#This Row],[Customers Visited]])</f>
        <v>0.14545454545454545</v>
      </c>
      <c r="AI1160" s="6">
        <f>IF(SalesData[[#This Row],[Contracts Signed]]=0,0,SalesData[[#This Row],[Profit(€)]]/SalesData[[#This Row],[Contracts Signed]])</f>
        <v>18396</v>
      </c>
      <c r="AJ1160" s="5" t="str">
        <f>TRIM(CLEAN(SalesData[[#This Row],[Retailer]]))</f>
        <v>Hannover Cars</v>
      </c>
    </row>
    <row r="1161" spans="1:36" ht="14.25" hidden="1" x14ac:dyDescent="0.2">
      <c r="A1161" t="s">
        <v>1938</v>
      </c>
      <c r="B1161" s="1">
        <v>46054</v>
      </c>
      <c r="C1161" t="s">
        <v>24</v>
      </c>
      <c r="D1161" t="s">
        <v>41</v>
      </c>
      <c r="E1161" t="s">
        <v>42</v>
      </c>
      <c r="F1161" t="s">
        <v>74</v>
      </c>
      <c r="G1161" t="s">
        <v>75</v>
      </c>
      <c r="H1161" t="s">
        <v>76</v>
      </c>
      <c r="I1161" t="s">
        <v>56</v>
      </c>
      <c r="J1161" t="s">
        <v>57</v>
      </c>
      <c r="K1161" t="s">
        <v>66</v>
      </c>
      <c r="L1161" t="s">
        <v>46</v>
      </c>
      <c r="M1161" t="s">
        <v>34</v>
      </c>
      <c r="N1161" t="s">
        <v>48</v>
      </c>
      <c r="O1161" t="s">
        <v>36</v>
      </c>
      <c r="P1161" t="s">
        <v>37</v>
      </c>
      <c r="Q1161" t="s">
        <v>50</v>
      </c>
      <c r="R1161">
        <v>160</v>
      </c>
      <c r="S1161">
        <v>79</v>
      </c>
      <c r="T1161">
        <v>58</v>
      </c>
      <c r="U1161">
        <v>19</v>
      </c>
      <c r="V1161" t="s">
        <v>6748</v>
      </c>
      <c r="W1161">
        <v>43676</v>
      </c>
      <c r="X1161" t="s">
        <v>5854</v>
      </c>
      <c r="Y1161">
        <v>33747</v>
      </c>
      <c r="Z1161">
        <v>829844</v>
      </c>
      <c r="AA1161">
        <v>188651</v>
      </c>
      <c r="AB1161" t="str">
        <f>(VLOOKUP(SalesData[[#This Row],[Month Number]],Reference!C$5:E$16,2,FALSE))</f>
        <v>Feb</v>
      </c>
      <c r="AC1161">
        <f>MONTH(SalesData[[#This Row],[Date]])</f>
        <v>2</v>
      </c>
      <c r="AD1161">
        <f>Reference!F$4</f>
        <v>2026</v>
      </c>
      <c r="AE1161" t="str">
        <f>IF(OR(SalesData[[#This Row],[Day]]="Saturday",SalesData[[#This Row],[Day]]="Sunday"),"Weekend","Weekday")</f>
        <v>Weekend</v>
      </c>
      <c r="AF1161" s="5">
        <f>IF(SalesData[[#This Row],[Contracts Offered]]=0,0,SalesData[[#This Row],[Contracts Signed]]/SalesData[[#This Row],[Contracts Offered]])</f>
        <v>0.32758620689655171</v>
      </c>
      <c r="AG1161" s="5">
        <f>IF(SalesData[[#This Row],[Customers Visited]]=0,0,SalesData[[#This Row],[Test Drives]]/SalesData[[#This Row],[Customers Visited]])</f>
        <v>0.49375000000000002</v>
      </c>
      <c r="AH1161" s="5">
        <f>IF(SalesData[[#This Row],[Customers Visited]]=0,0,SalesData[[#This Row],[Contracts Signed]]/SalesData[[#This Row],[Customers Visited]])</f>
        <v>0.11874999999999999</v>
      </c>
      <c r="AI1161" s="6">
        <f>IF(SalesData[[#This Row],[Contracts Signed]]=0,0,SalesData[[#This Row],[Profit(€)]]/SalesData[[#This Row],[Contracts Signed]])</f>
        <v>9929</v>
      </c>
      <c r="AJ1161" s="5" t="str">
        <f>TRIM(CLEAN(SalesData[[#This Row],[Retailer]]))</f>
        <v>Stuttgart Auto Center</v>
      </c>
    </row>
    <row r="1162" spans="1:36" ht="14.25" hidden="1" x14ac:dyDescent="0.2">
      <c r="A1162" t="s">
        <v>1939</v>
      </c>
      <c r="B1162" s="1">
        <v>46066</v>
      </c>
      <c r="C1162" t="s">
        <v>121</v>
      </c>
      <c r="D1162" t="s">
        <v>54</v>
      </c>
      <c r="E1162" t="s">
        <v>26</v>
      </c>
      <c r="F1162" t="s">
        <v>7649</v>
      </c>
      <c r="G1162" t="s">
        <v>55</v>
      </c>
      <c r="H1162" t="s">
        <v>55</v>
      </c>
      <c r="I1162" t="s">
        <v>116</v>
      </c>
      <c r="J1162" t="s">
        <v>132</v>
      </c>
      <c r="K1162" t="s">
        <v>32</v>
      </c>
      <c r="L1162" t="s">
        <v>46</v>
      </c>
      <c r="M1162" t="s">
        <v>34</v>
      </c>
      <c r="N1162" t="s">
        <v>35</v>
      </c>
      <c r="O1162" t="s">
        <v>36</v>
      </c>
      <c r="P1162" t="s">
        <v>37</v>
      </c>
      <c r="Q1162" t="s">
        <v>172</v>
      </c>
      <c r="R1162">
        <v>335</v>
      </c>
      <c r="S1162">
        <v>173</v>
      </c>
      <c r="T1162">
        <v>101</v>
      </c>
      <c r="U1162">
        <v>27</v>
      </c>
      <c r="V1162" t="s">
        <v>6861</v>
      </c>
      <c r="W1162">
        <v>21416</v>
      </c>
      <c r="X1162" t="s">
        <v>421</v>
      </c>
      <c r="Y1162">
        <v>19803</v>
      </c>
      <c r="Z1162">
        <v>578232</v>
      </c>
      <c r="AA1162">
        <v>43551</v>
      </c>
      <c r="AB1162" t="str">
        <f>(VLOOKUP(SalesData[[#This Row],[Month Number]],Reference!C$5:E$16,2,FALSE))</f>
        <v>Feb</v>
      </c>
      <c r="AC1162">
        <f>MONTH(SalesData[[#This Row],[Date]])</f>
        <v>2</v>
      </c>
      <c r="AD1162">
        <f>Reference!F$4</f>
        <v>2026</v>
      </c>
      <c r="AE1162" t="str">
        <f>IF(OR(SalesData[[#This Row],[Day]]="Saturday",SalesData[[#This Row],[Day]]="Sunday"),"Weekend","Weekday")</f>
        <v>Weekday</v>
      </c>
      <c r="AF1162" s="5">
        <f>IF(SalesData[[#This Row],[Contracts Offered]]=0,0,SalesData[[#This Row],[Contracts Signed]]/SalesData[[#This Row],[Contracts Offered]])</f>
        <v>0.26732673267326734</v>
      </c>
      <c r="AG1162" s="5">
        <f>IF(SalesData[[#This Row],[Customers Visited]]=0,0,SalesData[[#This Row],[Test Drives]]/SalesData[[#This Row],[Customers Visited]])</f>
        <v>0.5164179104477612</v>
      </c>
      <c r="AH1162" s="5">
        <f>IF(SalesData[[#This Row],[Customers Visited]]=0,0,SalesData[[#This Row],[Contracts Signed]]/SalesData[[#This Row],[Customers Visited]])</f>
        <v>8.0597014925373134E-2</v>
      </c>
      <c r="AI1162" s="6">
        <f>IF(SalesData[[#This Row],[Contracts Signed]]=0,0,SalesData[[#This Row],[Profit(€)]]/SalesData[[#This Row],[Contracts Signed]])</f>
        <v>1613</v>
      </c>
      <c r="AJ1162" s="5" t="str">
        <f>TRIM(CLEAN(SalesData[[#This Row],[Retailer]]))</f>
        <v>Autohaus Berlin</v>
      </c>
    </row>
    <row r="1163" spans="1:36" ht="14.25" hidden="1" x14ac:dyDescent="0.2">
      <c r="A1163" t="s">
        <v>1941</v>
      </c>
      <c r="B1163" s="1">
        <v>46056</v>
      </c>
      <c r="C1163" t="s">
        <v>24</v>
      </c>
      <c r="D1163" t="s">
        <v>63</v>
      </c>
      <c r="E1163" t="s">
        <v>26</v>
      </c>
      <c r="F1163" t="s">
        <v>43</v>
      </c>
      <c r="G1163" t="s">
        <v>44</v>
      </c>
      <c r="H1163" t="s">
        <v>45</v>
      </c>
      <c r="I1163" t="s">
        <v>116</v>
      </c>
      <c r="J1163" t="s">
        <v>7026</v>
      </c>
      <c r="K1163" t="s">
        <v>91</v>
      </c>
      <c r="L1163" t="s">
        <v>46</v>
      </c>
      <c r="M1163" t="s">
        <v>34</v>
      </c>
      <c r="N1163" t="s">
        <v>35</v>
      </c>
      <c r="O1163" t="s">
        <v>70</v>
      </c>
      <c r="P1163" t="s">
        <v>37</v>
      </c>
      <c r="Q1163" t="s">
        <v>189</v>
      </c>
      <c r="R1163">
        <v>235</v>
      </c>
      <c r="S1163">
        <v>89</v>
      </c>
      <c r="T1163">
        <v>56</v>
      </c>
      <c r="U1163">
        <v>10</v>
      </c>
      <c r="V1163" t="s">
        <v>964</v>
      </c>
      <c r="W1163">
        <v>19851</v>
      </c>
      <c r="X1163" t="s">
        <v>149</v>
      </c>
      <c r="Y1163">
        <v>18076</v>
      </c>
      <c r="Z1163">
        <v>198510</v>
      </c>
      <c r="AA1163">
        <v>17750</v>
      </c>
      <c r="AB1163" t="str">
        <f>(VLOOKUP(SalesData[[#This Row],[Month Number]],Reference!C$5:E$16,2,FALSE))</f>
        <v>Feb</v>
      </c>
      <c r="AC1163">
        <f>MONTH(SalesData[[#This Row],[Date]])</f>
        <v>2</v>
      </c>
      <c r="AD1163">
        <f>Reference!F$4</f>
        <v>2026</v>
      </c>
      <c r="AE1163" t="str">
        <f>IF(OR(SalesData[[#This Row],[Day]]="Saturday",SalesData[[#This Row],[Day]]="Sunday"),"Weekend","Weekday")</f>
        <v>Weekday</v>
      </c>
      <c r="AF1163" s="5">
        <f>IF(SalesData[[#This Row],[Contracts Offered]]=0,0,SalesData[[#This Row],[Contracts Signed]]/SalesData[[#This Row],[Contracts Offered]])</f>
        <v>0.17857142857142858</v>
      </c>
      <c r="AG1163" s="5">
        <f>IF(SalesData[[#This Row],[Customers Visited]]=0,0,SalesData[[#This Row],[Test Drives]]/SalesData[[#This Row],[Customers Visited]])</f>
        <v>0.37872340425531914</v>
      </c>
      <c r="AH1163" s="5">
        <f>IF(SalesData[[#This Row],[Customers Visited]]=0,0,SalesData[[#This Row],[Contracts Signed]]/SalesData[[#This Row],[Customers Visited]])</f>
        <v>4.2553191489361701E-2</v>
      </c>
      <c r="AI1163" s="6">
        <f>IF(SalesData[[#This Row],[Contracts Signed]]=0,0,SalesData[[#This Row],[Profit(€)]]/SalesData[[#This Row],[Contracts Signed]])</f>
        <v>1775</v>
      </c>
      <c r="AJ1163" s="5" t="str">
        <f>TRIM(CLEAN(SalesData[[#This Row],[Retailer]]))</f>
        <v>Saxon Wheels</v>
      </c>
    </row>
    <row r="1164" spans="1:36" ht="14.25" hidden="1" x14ac:dyDescent="0.2">
      <c r="A1164" t="s">
        <v>1942</v>
      </c>
      <c r="B1164" s="1">
        <v>46055</v>
      </c>
      <c r="C1164" t="s">
        <v>24</v>
      </c>
      <c r="D1164" t="s">
        <v>25</v>
      </c>
      <c r="E1164" t="s">
        <v>26</v>
      </c>
      <c r="F1164" t="s">
        <v>109</v>
      </c>
      <c r="G1164" t="s">
        <v>110</v>
      </c>
      <c r="H1164" t="s">
        <v>45</v>
      </c>
      <c r="I1164" t="s">
        <v>116</v>
      </c>
      <c r="J1164" t="s">
        <v>117</v>
      </c>
      <c r="K1164" t="s">
        <v>78</v>
      </c>
      <c r="L1164" t="s">
        <v>67</v>
      </c>
      <c r="M1164" t="s">
        <v>34</v>
      </c>
      <c r="N1164" t="s">
        <v>35</v>
      </c>
      <c r="O1164" t="s">
        <v>36</v>
      </c>
      <c r="P1164" t="s">
        <v>71</v>
      </c>
      <c r="Q1164" t="s">
        <v>118</v>
      </c>
      <c r="R1164">
        <v>256</v>
      </c>
      <c r="S1164">
        <v>107</v>
      </c>
      <c r="T1164">
        <v>60</v>
      </c>
      <c r="U1164">
        <v>18</v>
      </c>
      <c r="V1164" t="s">
        <v>3416</v>
      </c>
      <c r="W1164">
        <v>24813</v>
      </c>
      <c r="X1164" t="s">
        <v>1118</v>
      </c>
      <c r="Y1164">
        <v>22670</v>
      </c>
      <c r="Z1164">
        <v>446634</v>
      </c>
      <c r="AA1164">
        <v>38574</v>
      </c>
      <c r="AB1164" t="str">
        <f>(VLOOKUP(SalesData[[#This Row],[Month Number]],Reference!C$5:E$16,2,FALSE))</f>
        <v>Feb</v>
      </c>
      <c r="AC1164">
        <f>MONTH(SalesData[[#This Row],[Date]])</f>
        <v>2</v>
      </c>
      <c r="AD1164">
        <f>Reference!F$4</f>
        <v>2026</v>
      </c>
      <c r="AE1164" t="str">
        <f>IF(OR(SalesData[[#This Row],[Day]]="Saturday",SalesData[[#This Row],[Day]]="Sunday"),"Weekend","Weekday")</f>
        <v>Weekday</v>
      </c>
      <c r="AF1164" s="5">
        <f>IF(SalesData[[#This Row],[Contracts Offered]]=0,0,SalesData[[#This Row],[Contracts Signed]]/SalesData[[#This Row],[Contracts Offered]])</f>
        <v>0.3</v>
      </c>
      <c r="AG1164" s="5">
        <f>IF(SalesData[[#This Row],[Customers Visited]]=0,0,SalesData[[#This Row],[Test Drives]]/SalesData[[#This Row],[Customers Visited]])</f>
        <v>0.41796875</v>
      </c>
      <c r="AH1164" s="5">
        <f>IF(SalesData[[#This Row],[Customers Visited]]=0,0,SalesData[[#This Row],[Contracts Signed]]/SalesData[[#This Row],[Customers Visited]])</f>
        <v>7.03125E-2</v>
      </c>
      <c r="AI1164" s="6">
        <f>IF(SalesData[[#This Row],[Contracts Signed]]=0,0,SalesData[[#This Row],[Profit(€)]]/SalesData[[#This Row],[Contracts Signed]])</f>
        <v>2143</v>
      </c>
      <c r="AJ1164" s="5" t="str">
        <f>TRIM(CLEAN(SalesData[[#This Row],[Retailer]]))</f>
        <v>Leipzig Mobility</v>
      </c>
    </row>
    <row r="1165" spans="1:36" ht="14.25" x14ac:dyDescent="0.2">
      <c r="A1165" t="s">
        <v>1944</v>
      </c>
      <c r="B1165" s="1">
        <v>46077</v>
      </c>
      <c r="C1165" t="s">
        <v>53</v>
      </c>
      <c r="D1165" t="s">
        <v>63</v>
      </c>
      <c r="E1165" t="s">
        <v>26</v>
      </c>
      <c r="F1165" t="s">
        <v>109</v>
      </c>
      <c r="G1165" t="s">
        <v>110</v>
      </c>
      <c r="H1165" t="s">
        <v>45</v>
      </c>
      <c r="I1165" t="s">
        <v>30</v>
      </c>
      <c r="J1165" t="s">
        <v>188</v>
      </c>
      <c r="K1165" t="s">
        <v>66</v>
      </c>
      <c r="L1165" t="s">
        <v>33</v>
      </c>
      <c r="M1165" t="s">
        <v>68</v>
      </c>
      <c r="N1165" t="s">
        <v>69</v>
      </c>
      <c r="O1165" t="s">
        <v>70</v>
      </c>
      <c r="P1165" t="s">
        <v>58</v>
      </c>
      <c r="Q1165" t="s">
        <v>122</v>
      </c>
      <c r="R1165">
        <v>239</v>
      </c>
      <c r="S1165">
        <v>108</v>
      </c>
      <c r="T1165">
        <v>80</v>
      </c>
      <c r="U1165">
        <v>32</v>
      </c>
      <c r="V1165" t="s">
        <v>7052</v>
      </c>
      <c r="W1165">
        <v>65570</v>
      </c>
      <c r="X1165" t="s">
        <v>7387</v>
      </c>
      <c r="Y1165">
        <v>51094</v>
      </c>
      <c r="Z1165">
        <v>2098240</v>
      </c>
      <c r="AA1165">
        <v>463232</v>
      </c>
      <c r="AB1165" t="str">
        <f>(VLOOKUP(SalesData[[#This Row],[Month Number]],Reference!C$5:E$16,2,FALSE))</f>
        <v>Feb</v>
      </c>
      <c r="AC1165">
        <f>MONTH(SalesData[[#This Row],[Date]])</f>
        <v>2</v>
      </c>
      <c r="AD1165">
        <f>Reference!F$4</f>
        <v>2026</v>
      </c>
      <c r="AE1165" t="str">
        <f>IF(OR(SalesData[[#This Row],[Day]]="Saturday",SalesData[[#This Row],[Day]]="Sunday"),"Weekend","Weekday")</f>
        <v>Weekday</v>
      </c>
      <c r="AF1165" s="5">
        <f>IF(SalesData[[#This Row],[Contracts Offered]]=0,0,SalesData[[#This Row],[Contracts Signed]]/SalesData[[#This Row],[Contracts Offered]])</f>
        <v>0.4</v>
      </c>
      <c r="AG1165" s="5">
        <f>IF(SalesData[[#This Row],[Customers Visited]]=0,0,SalesData[[#This Row],[Test Drives]]/SalesData[[#This Row],[Customers Visited]])</f>
        <v>0.45188284518828453</v>
      </c>
      <c r="AH1165" s="5">
        <f>IF(SalesData[[#This Row],[Customers Visited]]=0,0,SalesData[[#This Row],[Contracts Signed]]/SalesData[[#This Row],[Customers Visited]])</f>
        <v>0.13389121338912133</v>
      </c>
      <c r="AI1165" s="6">
        <f>IF(SalesData[[#This Row],[Contracts Signed]]=0,0,SalesData[[#This Row],[Profit(€)]]/SalesData[[#This Row],[Contracts Signed]])</f>
        <v>14476</v>
      </c>
      <c r="AJ1165" s="5" t="str">
        <f>TRIM(CLEAN(SalesData[[#This Row],[Retailer]]))</f>
        <v>Leipzig Mobility</v>
      </c>
    </row>
    <row r="1166" spans="1:36" ht="14.25" x14ac:dyDescent="0.2">
      <c r="A1166" t="s">
        <v>1946</v>
      </c>
      <c r="B1166" s="1">
        <v>46079</v>
      </c>
      <c r="C1166" t="s">
        <v>53</v>
      </c>
      <c r="D1166" t="s">
        <v>100</v>
      </c>
      <c r="E1166" t="s">
        <v>26</v>
      </c>
      <c r="F1166" t="s">
        <v>109</v>
      </c>
      <c r="G1166" t="s">
        <v>110</v>
      </c>
      <c r="H1166" t="s">
        <v>45</v>
      </c>
      <c r="I1166" t="s">
        <v>30</v>
      </c>
      <c r="J1166" t="s">
        <v>86</v>
      </c>
      <c r="K1166" t="s">
        <v>78</v>
      </c>
      <c r="L1166" t="s">
        <v>33</v>
      </c>
      <c r="M1166" t="s">
        <v>47</v>
      </c>
      <c r="N1166" t="s">
        <v>48</v>
      </c>
      <c r="O1166" t="s">
        <v>70</v>
      </c>
      <c r="P1166" t="s">
        <v>58</v>
      </c>
      <c r="Q1166" t="s">
        <v>189</v>
      </c>
      <c r="R1166">
        <v>160</v>
      </c>
      <c r="S1166">
        <v>93</v>
      </c>
      <c r="T1166">
        <v>75</v>
      </c>
      <c r="U1166">
        <v>28</v>
      </c>
      <c r="V1166" t="s">
        <v>7388</v>
      </c>
      <c r="W1166">
        <v>51321</v>
      </c>
      <c r="X1166" t="s">
        <v>5630</v>
      </c>
      <c r="Y1166">
        <v>36419</v>
      </c>
      <c r="Z1166">
        <v>1436988</v>
      </c>
      <c r="AA1166">
        <v>417256</v>
      </c>
      <c r="AB1166" t="str">
        <f>(VLOOKUP(SalesData[[#This Row],[Month Number]],Reference!C$5:E$16,2,FALSE))</f>
        <v>Feb</v>
      </c>
      <c r="AC1166">
        <f>MONTH(SalesData[[#This Row],[Date]])</f>
        <v>2</v>
      </c>
      <c r="AD1166">
        <f>Reference!F$4</f>
        <v>2026</v>
      </c>
      <c r="AE1166" t="str">
        <f>IF(OR(SalesData[[#This Row],[Day]]="Saturday",SalesData[[#This Row],[Day]]="Sunday"),"Weekend","Weekday")</f>
        <v>Weekday</v>
      </c>
      <c r="AF1166" s="5">
        <f>IF(SalesData[[#This Row],[Contracts Offered]]=0,0,SalesData[[#This Row],[Contracts Signed]]/SalesData[[#This Row],[Contracts Offered]])</f>
        <v>0.37333333333333335</v>
      </c>
      <c r="AG1166" s="5">
        <f>IF(SalesData[[#This Row],[Customers Visited]]=0,0,SalesData[[#This Row],[Test Drives]]/SalesData[[#This Row],[Customers Visited]])</f>
        <v>0.58125000000000004</v>
      </c>
      <c r="AH1166" s="5">
        <f>IF(SalesData[[#This Row],[Customers Visited]]=0,0,SalesData[[#This Row],[Contracts Signed]]/SalesData[[#This Row],[Customers Visited]])</f>
        <v>0.17499999999999999</v>
      </c>
      <c r="AI1166" s="6">
        <f>IF(SalesData[[#This Row],[Contracts Signed]]=0,0,SalesData[[#This Row],[Profit(€)]]/SalesData[[#This Row],[Contracts Signed]])</f>
        <v>14902</v>
      </c>
      <c r="AJ1166" s="5" t="str">
        <f>TRIM(CLEAN(SalesData[[#This Row],[Retailer]]))</f>
        <v>Leipzig Mobility</v>
      </c>
    </row>
    <row r="1167" spans="1:36" ht="14.25" hidden="1" x14ac:dyDescent="0.2">
      <c r="A1167" t="s">
        <v>1947</v>
      </c>
      <c r="B1167" s="1">
        <v>46067</v>
      </c>
      <c r="C1167" t="s">
        <v>121</v>
      </c>
      <c r="D1167" t="s">
        <v>151</v>
      </c>
      <c r="E1167" t="s">
        <v>42</v>
      </c>
      <c r="F1167" t="s">
        <v>83</v>
      </c>
      <c r="G1167" t="s">
        <v>84</v>
      </c>
      <c r="H1167" t="s">
        <v>85</v>
      </c>
      <c r="I1167" t="s">
        <v>56</v>
      </c>
      <c r="J1167" t="s">
        <v>137</v>
      </c>
      <c r="K1167" t="s">
        <v>32</v>
      </c>
      <c r="L1167" t="s">
        <v>46</v>
      </c>
      <c r="M1167" t="s">
        <v>87</v>
      </c>
      <c r="N1167" t="s">
        <v>69</v>
      </c>
      <c r="O1167" t="s">
        <v>70</v>
      </c>
      <c r="P1167" t="s">
        <v>49</v>
      </c>
      <c r="Q1167" t="s">
        <v>129</v>
      </c>
      <c r="R1167">
        <v>174</v>
      </c>
      <c r="S1167">
        <v>109</v>
      </c>
      <c r="T1167">
        <v>80</v>
      </c>
      <c r="U1167">
        <v>23</v>
      </c>
      <c r="V1167" t="s">
        <v>7389</v>
      </c>
      <c r="W1167">
        <v>51088</v>
      </c>
      <c r="X1167" t="s">
        <v>7324</v>
      </c>
      <c r="Y1167">
        <v>41878</v>
      </c>
      <c r="Z1167">
        <v>1175024</v>
      </c>
      <c r="AA1167">
        <v>211830</v>
      </c>
      <c r="AB1167" t="str">
        <f>(VLOOKUP(SalesData[[#This Row],[Month Number]],Reference!C$5:E$16,2,FALSE))</f>
        <v>Feb</v>
      </c>
      <c r="AC1167">
        <f>MONTH(SalesData[[#This Row],[Date]])</f>
        <v>2</v>
      </c>
      <c r="AD1167">
        <f>Reference!F$4</f>
        <v>2026</v>
      </c>
      <c r="AE1167" t="str">
        <f>IF(OR(SalesData[[#This Row],[Day]]="Saturday",SalesData[[#This Row],[Day]]="Sunday"),"Weekend","Weekday")</f>
        <v>Weekend</v>
      </c>
      <c r="AF1167" s="5">
        <f>IF(SalesData[[#This Row],[Contracts Offered]]=0,0,SalesData[[#This Row],[Contracts Signed]]/SalesData[[#This Row],[Contracts Offered]])</f>
        <v>0.28749999999999998</v>
      </c>
      <c r="AG1167" s="5">
        <f>IF(SalesData[[#This Row],[Customers Visited]]=0,0,SalesData[[#This Row],[Test Drives]]/SalesData[[#This Row],[Customers Visited]])</f>
        <v>0.62643678160919536</v>
      </c>
      <c r="AH1167" s="5">
        <f>IF(SalesData[[#This Row],[Customers Visited]]=0,0,SalesData[[#This Row],[Contracts Signed]]/SalesData[[#This Row],[Customers Visited]])</f>
        <v>0.13218390804597702</v>
      </c>
      <c r="AI1167" s="6">
        <f>IF(SalesData[[#This Row],[Contracts Signed]]=0,0,SalesData[[#This Row],[Profit(€)]]/SalesData[[#This Row],[Contracts Signed]])</f>
        <v>9210</v>
      </c>
      <c r="AJ1167" s="5" t="str">
        <f>TRIM(CLEAN(SalesData[[#This Row],[Retailer]]))</f>
        <v>Hannover Cars</v>
      </c>
    </row>
    <row r="1168" spans="1:36" ht="14.25" hidden="1" x14ac:dyDescent="0.2">
      <c r="A1168" t="s">
        <v>1949</v>
      </c>
      <c r="B1168" s="1">
        <v>46057</v>
      </c>
      <c r="C1168" t="s">
        <v>24</v>
      </c>
      <c r="D1168" t="s">
        <v>82</v>
      </c>
      <c r="E1168" t="s">
        <v>26</v>
      </c>
      <c r="F1168" t="s">
        <v>109</v>
      </c>
      <c r="G1168" t="s">
        <v>110</v>
      </c>
      <c r="H1168" t="s">
        <v>45</v>
      </c>
      <c r="I1168" t="s">
        <v>104</v>
      </c>
      <c r="J1168" t="s">
        <v>105</v>
      </c>
      <c r="K1168" t="s">
        <v>32</v>
      </c>
      <c r="L1168" t="s">
        <v>33</v>
      </c>
      <c r="M1168" t="s">
        <v>87</v>
      </c>
      <c r="N1168" t="s">
        <v>69</v>
      </c>
      <c r="O1168" t="s">
        <v>36</v>
      </c>
      <c r="P1168" t="s">
        <v>37</v>
      </c>
      <c r="Q1168" t="s">
        <v>118</v>
      </c>
      <c r="R1168">
        <v>464</v>
      </c>
      <c r="S1168">
        <v>222</v>
      </c>
      <c r="T1168">
        <v>152</v>
      </c>
      <c r="U1168">
        <v>34</v>
      </c>
      <c r="V1168" t="s">
        <v>2114</v>
      </c>
      <c r="W1168">
        <v>29415</v>
      </c>
      <c r="X1168" t="s">
        <v>1174</v>
      </c>
      <c r="Y1168">
        <v>25712</v>
      </c>
      <c r="Z1168">
        <v>1000110</v>
      </c>
      <c r="AA1168">
        <v>125902</v>
      </c>
      <c r="AB1168" t="str">
        <f>(VLOOKUP(SalesData[[#This Row],[Month Number]],Reference!C$5:E$16,2,FALSE))</f>
        <v>Feb</v>
      </c>
      <c r="AC1168">
        <f>MONTH(SalesData[[#This Row],[Date]])</f>
        <v>2</v>
      </c>
      <c r="AD1168">
        <f>Reference!F$4</f>
        <v>2026</v>
      </c>
      <c r="AE1168" t="str">
        <f>IF(OR(SalesData[[#This Row],[Day]]="Saturday",SalesData[[#This Row],[Day]]="Sunday"),"Weekend","Weekday")</f>
        <v>Weekday</v>
      </c>
      <c r="AF1168" s="5">
        <f>IF(SalesData[[#This Row],[Contracts Offered]]=0,0,SalesData[[#This Row],[Contracts Signed]]/SalesData[[#This Row],[Contracts Offered]])</f>
        <v>0.22368421052631579</v>
      </c>
      <c r="AG1168" s="5">
        <f>IF(SalesData[[#This Row],[Customers Visited]]=0,0,SalesData[[#This Row],[Test Drives]]/SalesData[[#This Row],[Customers Visited]])</f>
        <v>0.47844827586206895</v>
      </c>
      <c r="AH1168" s="5">
        <f>IF(SalesData[[#This Row],[Customers Visited]]=0,0,SalesData[[#This Row],[Contracts Signed]]/SalesData[[#This Row],[Customers Visited]])</f>
        <v>7.3275862068965511E-2</v>
      </c>
      <c r="AI1168" s="6">
        <f>IF(SalesData[[#This Row],[Contracts Signed]]=0,0,SalesData[[#This Row],[Profit(€)]]/SalesData[[#This Row],[Contracts Signed]])</f>
        <v>3703</v>
      </c>
      <c r="AJ1168" s="5" t="str">
        <f>TRIM(CLEAN(SalesData[[#This Row],[Retailer]]))</f>
        <v>Leipzig Mobility</v>
      </c>
    </row>
    <row r="1169" spans="1:36" ht="14.25" hidden="1" x14ac:dyDescent="0.2">
      <c r="A1169" t="s">
        <v>1950</v>
      </c>
      <c r="B1169" s="1">
        <v>46061</v>
      </c>
      <c r="C1169" t="s">
        <v>121</v>
      </c>
      <c r="D1169" t="s">
        <v>41</v>
      </c>
      <c r="E1169" t="s">
        <v>42</v>
      </c>
      <c r="F1169" t="s">
        <v>43</v>
      </c>
      <c r="G1169" t="s">
        <v>44</v>
      </c>
      <c r="H1169" t="s">
        <v>45</v>
      </c>
      <c r="I1169" t="s">
        <v>64</v>
      </c>
      <c r="J1169" t="s">
        <v>77</v>
      </c>
      <c r="K1169" t="s">
        <v>91</v>
      </c>
      <c r="L1169" t="s">
        <v>46</v>
      </c>
      <c r="M1169" t="s">
        <v>68</v>
      </c>
      <c r="N1169" t="s">
        <v>69</v>
      </c>
      <c r="O1169" t="s">
        <v>70</v>
      </c>
      <c r="P1169" t="s">
        <v>71</v>
      </c>
      <c r="Q1169" t="s">
        <v>118</v>
      </c>
      <c r="R1169">
        <v>279</v>
      </c>
      <c r="S1169">
        <v>127</v>
      </c>
      <c r="T1169">
        <v>83</v>
      </c>
      <c r="U1169">
        <v>30</v>
      </c>
      <c r="V1169" t="s">
        <v>6466</v>
      </c>
      <c r="W1169">
        <v>65319</v>
      </c>
      <c r="X1169" t="s">
        <v>7266</v>
      </c>
      <c r="Y1169">
        <v>50558</v>
      </c>
      <c r="Z1169">
        <v>1959570</v>
      </c>
      <c r="AA1169">
        <v>442830</v>
      </c>
      <c r="AB1169" t="str">
        <f>(VLOOKUP(SalesData[[#This Row],[Month Number]],Reference!C$5:E$16,2,FALSE))</f>
        <v>Feb</v>
      </c>
      <c r="AC1169">
        <f>MONTH(SalesData[[#This Row],[Date]])</f>
        <v>2</v>
      </c>
      <c r="AD1169">
        <f>Reference!F$4</f>
        <v>2026</v>
      </c>
      <c r="AE1169" t="str">
        <f>IF(OR(SalesData[[#This Row],[Day]]="Saturday",SalesData[[#This Row],[Day]]="Sunday"),"Weekend","Weekday")</f>
        <v>Weekend</v>
      </c>
      <c r="AF1169" s="5">
        <f>IF(SalesData[[#This Row],[Contracts Offered]]=0,0,SalesData[[#This Row],[Contracts Signed]]/SalesData[[#This Row],[Contracts Offered]])</f>
        <v>0.36144578313253012</v>
      </c>
      <c r="AG1169" s="5">
        <f>IF(SalesData[[#This Row],[Customers Visited]]=0,0,SalesData[[#This Row],[Test Drives]]/SalesData[[#This Row],[Customers Visited]])</f>
        <v>0.45519713261648748</v>
      </c>
      <c r="AH1169" s="5">
        <f>IF(SalesData[[#This Row],[Customers Visited]]=0,0,SalesData[[#This Row],[Contracts Signed]]/SalesData[[#This Row],[Customers Visited]])</f>
        <v>0.10752688172043011</v>
      </c>
      <c r="AI1169" s="6">
        <f>IF(SalesData[[#This Row],[Contracts Signed]]=0,0,SalesData[[#This Row],[Profit(€)]]/SalesData[[#This Row],[Contracts Signed]])</f>
        <v>14761</v>
      </c>
      <c r="AJ1169" s="5" t="str">
        <f>TRIM(CLEAN(SalesData[[#This Row],[Retailer]]))</f>
        <v>Saxon Wheels</v>
      </c>
    </row>
    <row r="1170" spans="1:36" ht="14.25" hidden="1" x14ac:dyDescent="0.2">
      <c r="A1170" t="s">
        <v>1952</v>
      </c>
      <c r="B1170" s="1">
        <v>46077</v>
      </c>
      <c r="C1170" t="s">
        <v>53</v>
      </c>
      <c r="D1170" t="s">
        <v>63</v>
      </c>
      <c r="E1170" t="s">
        <v>26</v>
      </c>
      <c r="F1170" t="s">
        <v>83</v>
      </c>
      <c r="G1170" t="s">
        <v>84</v>
      </c>
      <c r="H1170" t="s">
        <v>85</v>
      </c>
      <c r="I1170" t="s">
        <v>116</v>
      </c>
      <c r="J1170" t="s">
        <v>203</v>
      </c>
      <c r="K1170" t="s">
        <v>91</v>
      </c>
      <c r="L1170" t="s">
        <v>67</v>
      </c>
      <c r="M1170" t="s">
        <v>68</v>
      </c>
      <c r="N1170" t="s">
        <v>48</v>
      </c>
      <c r="O1170" t="s">
        <v>36</v>
      </c>
      <c r="P1170" t="s">
        <v>71</v>
      </c>
      <c r="Q1170" t="s">
        <v>189</v>
      </c>
      <c r="R1170">
        <v>233</v>
      </c>
      <c r="S1170">
        <v>115</v>
      </c>
      <c r="T1170">
        <v>71</v>
      </c>
      <c r="U1170">
        <v>18</v>
      </c>
      <c r="V1170" t="s">
        <v>1225</v>
      </c>
      <c r="W1170">
        <v>23948</v>
      </c>
      <c r="X1170" t="s">
        <v>294</v>
      </c>
      <c r="Y1170">
        <v>22113</v>
      </c>
      <c r="Z1170">
        <v>431064</v>
      </c>
      <c r="AA1170">
        <v>33030</v>
      </c>
      <c r="AB1170" t="str">
        <f>(VLOOKUP(SalesData[[#This Row],[Month Number]],Reference!C$5:E$16,2,FALSE))</f>
        <v>Feb</v>
      </c>
      <c r="AC1170">
        <f>MONTH(SalesData[[#This Row],[Date]])</f>
        <v>2</v>
      </c>
      <c r="AD1170">
        <f>Reference!F$4</f>
        <v>2026</v>
      </c>
      <c r="AE1170" t="str">
        <f>IF(OR(SalesData[[#This Row],[Day]]="Saturday",SalesData[[#This Row],[Day]]="Sunday"),"Weekend","Weekday")</f>
        <v>Weekday</v>
      </c>
      <c r="AF1170" s="5">
        <f>IF(SalesData[[#This Row],[Contracts Offered]]=0,0,SalesData[[#This Row],[Contracts Signed]]/SalesData[[#This Row],[Contracts Offered]])</f>
        <v>0.25352112676056338</v>
      </c>
      <c r="AG1170" s="5">
        <f>IF(SalesData[[#This Row],[Customers Visited]]=0,0,SalesData[[#This Row],[Test Drives]]/SalesData[[#This Row],[Customers Visited]])</f>
        <v>0.49356223175965663</v>
      </c>
      <c r="AH1170" s="5">
        <f>IF(SalesData[[#This Row],[Customers Visited]]=0,0,SalesData[[#This Row],[Contracts Signed]]/SalesData[[#This Row],[Customers Visited]])</f>
        <v>7.7253218884120178E-2</v>
      </c>
      <c r="AI1170" s="6">
        <f>IF(SalesData[[#This Row],[Contracts Signed]]=0,0,SalesData[[#This Row],[Profit(€)]]/SalesData[[#This Row],[Contracts Signed]])</f>
        <v>1835</v>
      </c>
      <c r="AJ1170" s="5" t="str">
        <f>TRIM(CLEAN(SalesData[[#This Row],[Retailer]]))</f>
        <v>Hannover Cars</v>
      </c>
    </row>
    <row r="1171" spans="1:36" ht="14.25" hidden="1" x14ac:dyDescent="0.2">
      <c r="A1171" t="s">
        <v>1954</v>
      </c>
      <c r="B1171" s="1">
        <v>46054</v>
      </c>
      <c r="C1171" t="s">
        <v>24</v>
      </c>
      <c r="D1171" t="s">
        <v>41</v>
      </c>
      <c r="E1171" t="s">
        <v>42</v>
      </c>
      <c r="F1171" t="s">
        <v>74</v>
      </c>
      <c r="G1171" t="s">
        <v>75</v>
      </c>
      <c r="H1171" t="s">
        <v>76</v>
      </c>
      <c r="I1171" t="s">
        <v>104</v>
      </c>
      <c r="J1171" t="s">
        <v>105</v>
      </c>
      <c r="K1171" t="s">
        <v>78</v>
      </c>
      <c r="L1171" t="s">
        <v>33</v>
      </c>
      <c r="M1171" t="s">
        <v>68</v>
      </c>
      <c r="N1171" t="s">
        <v>48</v>
      </c>
      <c r="O1171" t="s">
        <v>36</v>
      </c>
      <c r="P1171" t="s">
        <v>58</v>
      </c>
      <c r="Q1171" t="s">
        <v>122</v>
      </c>
      <c r="R1171">
        <v>439</v>
      </c>
      <c r="S1171">
        <v>244</v>
      </c>
      <c r="T1171">
        <v>168</v>
      </c>
      <c r="U1171">
        <v>48</v>
      </c>
      <c r="V1171" t="s">
        <v>849</v>
      </c>
      <c r="W1171">
        <v>29180</v>
      </c>
      <c r="X1171" t="s">
        <v>441</v>
      </c>
      <c r="Y1171">
        <v>25175</v>
      </c>
      <c r="Z1171">
        <v>1400640</v>
      </c>
      <c r="AA1171">
        <v>192240</v>
      </c>
      <c r="AB1171" t="str">
        <f>(VLOOKUP(SalesData[[#This Row],[Month Number]],Reference!C$5:E$16,2,FALSE))</f>
        <v>Feb</v>
      </c>
      <c r="AC1171">
        <f>MONTH(SalesData[[#This Row],[Date]])</f>
        <v>2</v>
      </c>
      <c r="AD1171">
        <f>Reference!F$4</f>
        <v>2026</v>
      </c>
      <c r="AE1171" t="str">
        <f>IF(OR(SalesData[[#This Row],[Day]]="Saturday",SalesData[[#This Row],[Day]]="Sunday"),"Weekend","Weekday")</f>
        <v>Weekend</v>
      </c>
      <c r="AF1171" s="5">
        <f>IF(SalesData[[#This Row],[Contracts Offered]]=0,0,SalesData[[#This Row],[Contracts Signed]]/SalesData[[#This Row],[Contracts Offered]])</f>
        <v>0.2857142857142857</v>
      </c>
      <c r="AG1171" s="5">
        <f>IF(SalesData[[#This Row],[Customers Visited]]=0,0,SalesData[[#This Row],[Test Drives]]/SalesData[[#This Row],[Customers Visited]])</f>
        <v>0.55580865603644647</v>
      </c>
      <c r="AH1171" s="5">
        <f>IF(SalesData[[#This Row],[Customers Visited]]=0,0,SalesData[[#This Row],[Contracts Signed]]/SalesData[[#This Row],[Customers Visited]])</f>
        <v>0.10933940774487472</v>
      </c>
      <c r="AI1171" s="6">
        <f>IF(SalesData[[#This Row],[Contracts Signed]]=0,0,SalesData[[#This Row],[Profit(€)]]/SalesData[[#This Row],[Contracts Signed]])</f>
        <v>4005</v>
      </c>
      <c r="AJ1171" s="5" t="str">
        <f>TRIM(CLEAN(SalesData[[#This Row],[Retailer]]))</f>
        <v>Stuttgart Auto Center</v>
      </c>
    </row>
    <row r="1172" spans="1:36" ht="14.25" hidden="1" x14ac:dyDescent="0.2">
      <c r="A1172" t="s">
        <v>1955</v>
      </c>
      <c r="B1172" s="1">
        <v>46061</v>
      </c>
      <c r="C1172" t="s">
        <v>121</v>
      </c>
      <c r="D1172" t="s">
        <v>41</v>
      </c>
      <c r="E1172" t="s">
        <v>42</v>
      </c>
      <c r="F1172" t="s">
        <v>94</v>
      </c>
      <c r="G1172" t="s">
        <v>95</v>
      </c>
      <c r="H1172" t="s">
        <v>96</v>
      </c>
      <c r="I1172" t="s">
        <v>64</v>
      </c>
      <c r="J1172" t="s">
        <v>111</v>
      </c>
      <c r="K1172" t="s">
        <v>91</v>
      </c>
      <c r="L1172" t="s">
        <v>46</v>
      </c>
      <c r="M1172" t="s">
        <v>68</v>
      </c>
      <c r="N1172" t="s">
        <v>48</v>
      </c>
      <c r="O1172" t="s">
        <v>70</v>
      </c>
      <c r="P1172" t="s">
        <v>49</v>
      </c>
      <c r="Q1172" t="s">
        <v>88</v>
      </c>
      <c r="R1172">
        <v>162</v>
      </c>
      <c r="S1172">
        <v>88</v>
      </c>
      <c r="T1172">
        <v>61</v>
      </c>
      <c r="U1172">
        <v>20</v>
      </c>
      <c r="V1172" t="s">
        <v>6591</v>
      </c>
      <c r="W1172">
        <v>54560</v>
      </c>
      <c r="X1172" t="s">
        <v>7318</v>
      </c>
      <c r="Y1172">
        <v>41645</v>
      </c>
      <c r="Z1172">
        <v>1091200</v>
      </c>
      <c r="AA1172">
        <v>258300</v>
      </c>
      <c r="AB1172" t="str">
        <f>(VLOOKUP(SalesData[[#This Row],[Month Number]],Reference!C$5:E$16,2,FALSE))</f>
        <v>Feb</v>
      </c>
      <c r="AC1172">
        <f>MONTH(SalesData[[#This Row],[Date]])</f>
        <v>2</v>
      </c>
      <c r="AD1172">
        <f>Reference!F$4</f>
        <v>2026</v>
      </c>
      <c r="AE1172" t="str">
        <f>IF(OR(SalesData[[#This Row],[Day]]="Saturday",SalesData[[#This Row],[Day]]="Sunday"),"Weekend","Weekday")</f>
        <v>Weekend</v>
      </c>
      <c r="AF1172" s="5">
        <f>IF(SalesData[[#This Row],[Contracts Offered]]=0,0,SalesData[[#This Row],[Contracts Signed]]/SalesData[[#This Row],[Contracts Offered]])</f>
        <v>0.32786885245901637</v>
      </c>
      <c r="AG1172" s="5">
        <f>IF(SalesData[[#This Row],[Customers Visited]]=0,0,SalesData[[#This Row],[Test Drives]]/SalesData[[#This Row],[Customers Visited]])</f>
        <v>0.54320987654320985</v>
      </c>
      <c r="AH1172" s="5">
        <f>IF(SalesData[[#This Row],[Customers Visited]]=0,0,SalesData[[#This Row],[Contracts Signed]]/SalesData[[#This Row],[Customers Visited]])</f>
        <v>0.12345679012345678</v>
      </c>
      <c r="AI1172" s="6">
        <f>IF(SalesData[[#This Row],[Contracts Signed]]=0,0,SalesData[[#This Row],[Profit(€)]]/SalesData[[#This Row],[Contracts Signed]])</f>
        <v>12915</v>
      </c>
      <c r="AJ1172" s="5" t="str">
        <f>TRIM(CLEAN(SalesData[[#This Row],[Retailer]]))</f>
        <v>Bavaria Motors</v>
      </c>
    </row>
    <row r="1173" spans="1:36" ht="14.25" hidden="1" x14ac:dyDescent="0.2">
      <c r="A1173" t="s">
        <v>1956</v>
      </c>
      <c r="B1173" s="1">
        <v>46058</v>
      </c>
      <c r="C1173" t="s">
        <v>24</v>
      </c>
      <c r="D1173" t="s">
        <v>100</v>
      </c>
      <c r="E1173" t="s">
        <v>26</v>
      </c>
      <c r="F1173" t="s">
        <v>27</v>
      </c>
      <c r="G1173" t="s">
        <v>28</v>
      </c>
      <c r="H1173" t="s">
        <v>29</v>
      </c>
      <c r="I1173" t="s">
        <v>64</v>
      </c>
      <c r="J1173" t="s">
        <v>111</v>
      </c>
      <c r="K1173" t="s">
        <v>66</v>
      </c>
      <c r="L1173" t="s">
        <v>46</v>
      </c>
      <c r="M1173" t="s">
        <v>87</v>
      </c>
      <c r="N1173" t="s">
        <v>48</v>
      </c>
      <c r="O1173" t="s">
        <v>36</v>
      </c>
      <c r="P1173" t="s">
        <v>37</v>
      </c>
      <c r="Q1173" t="s">
        <v>158</v>
      </c>
      <c r="R1173">
        <v>218</v>
      </c>
      <c r="S1173">
        <v>99</v>
      </c>
      <c r="T1173">
        <v>76</v>
      </c>
      <c r="U1173">
        <v>22</v>
      </c>
      <c r="V1173" t="s">
        <v>6433</v>
      </c>
      <c r="W1173">
        <v>51428</v>
      </c>
      <c r="X1173" t="s">
        <v>7390</v>
      </c>
      <c r="Y1173">
        <v>37414</v>
      </c>
      <c r="Z1173">
        <v>1131416</v>
      </c>
      <c r="AA1173">
        <v>308308</v>
      </c>
      <c r="AB1173" t="str">
        <f>(VLOOKUP(SalesData[[#This Row],[Month Number]],Reference!C$5:E$16,2,FALSE))</f>
        <v>Feb</v>
      </c>
      <c r="AC1173">
        <f>MONTH(SalesData[[#This Row],[Date]])</f>
        <v>2</v>
      </c>
      <c r="AD1173">
        <f>Reference!F$4</f>
        <v>2026</v>
      </c>
      <c r="AE1173" t="str">
        <f>IF(OR(SalesData[[#This Row],[Day]]="Saturday",SalesData[[#This Row],[Day]]="Sunday"),"Weekend","Weekday")</f>
        <v>Weekday</v>
      </c>
      <c r="AF1173" s="5">
        <f>IF(SalesData[[#This Row],[Contracts Offered]]=0,0,SalesData[[#This Row],[Contracts Signed]]/SalesData[[#This Row],[Contracts Offered]])</f>
        <v>0.28947368421052633</v>
      </c>
      <c r="AG1173" s="5">
        <f>IF(SalesData[[#This Row],[Customers Visited]]=0,0,SalesData[[#This Row],[Test Drives]]/SalesData[[#This Row],[Customers Visited]])</f>
        <v>0.45412844036697247</v>
      </c>
      <c r="AH1173" s="5">
        <f>IF(SalesData[[#This Row],[Customers Visited]]=0,0,SalesData[[#This Row],[Contracts Signed]]/SalesData[[#This Row],[Customers Visited]])</f>
        <v>0.10091743119266056</v>
      </c>
      <c r="AI1173" s="6">
        <f>IF(SalesData[[#This Row],[Contracts Signed]]=0,0,SalesData[[#This Row],[Profit(€)]]/SalesData[[#This Row],[Contracts Signed]])</f>
        <v>14014</v>
      </c>
      <c r="AJ1173" s="5" t="str">
        <f>TRIM(CLEAN(SalesData[[#This Row],[Retailer]]))</f>
        <v>Main Auto Hub</v>
      </c>
    </row>
    <row r="1174" spans="1:36" ht="14.25" hidden="1" x14ac:dyDescent="0.2">
      <c r="A1174" t="s">
        <v>1958</v>
      </c>
      <c r="B1174" s="1">
        <v>46080</v>
      </c>
      <c r="C1174" t="s">
        <v>53</v>
      </c>
      <c r="D1174" t="s">
        <v>54</v>
      </c>
      <c r="E1174" t="s">
        <v>26</v>
      </c>
      <c r="F1174" t="s">
        <v>74</v>
      </c>
      <c r="G1174" t="s">
        <v>75</v>
      </c>
      <c r="H1174" t="s">
        <v>76</v>
      </c>
      <c r="I1174" t="s">
        <v>56</v>
      </c>
      <c r="J1174" t="s">
        <v>179</v>
      </c>
      <c r="K1174" t="s">
        <v>32</v>
      </c>
      <c r="L1174" t="s">
        <v>67</v>
      </c>
      <c r="M1174" t="s">
        <v>47</v>
      </c>
      <c r="N1174" t="s">
        <v>35</v>
      </c>
      <c r="O1174" t="s">
        <v>70</v>
      </c>
      <c r="P1174" t="s">
        <v>71</v>
      </c>
      <c r="Q1174" t="s">
        <v>118</v>
      </c>
      <c r="R1174">
        <v>223</v>
      </c>
      <c r="S1174">
        <v>120</v>
      </c>
      <c r="T1174">
        <v>85</v>
      </c>
      <c r="U1174">
        <v>27</v>
      </c>
      <c r="V1174" t="s">
        <v>6870</v>
      </c>
      <c r="W1174">
        <v>47756</v>
      </c>
      <c r="X1174" t="s">
        <v>7391</v>
      </c>
      <c r="Y1174">
        <v>38862</v>
      </c>
      <c r="Z1174">
        <v>1289412</v>
      </c>
      <c r="AA1174">
        <v>240138</v>
      </c>
      <c r="AB1174" t="str">
        <f>(VLOOKUP(SalesData[[#This Row],[Month Number]],Reference!C$5:E$16,2,FALSE))</f>
        <v>Feb</v>
      </c>
      <c r="AC1174">
        <f>MONTH(SalesData[[#This Row],[Date]])</f>
        <v>2</v>
      </c>
      <c r="AD1174">
        <f>Reference!F$4</f>
        <v>2026</v>
      </c>
      <c r="AE1174" t="str">
        <f>IF(OR(SalesData[[#This Row],[Day]]="Saturday",SalesData[[#This Row],[Day]]="Sunday"),"Weekend","Weekday")</f>
        <v>Weekday</v>
      </c>
      <c r="AF1174" s="5">
        <f>IF(SalesData[[#This Row],[Contracts Offered]]=0,0,SalesData[[#This Row],[Contracts Signed]]/SalesData[[#This Row],[Contracts Offered]])</f>
        <v>0.31764705882352939</v>
      </c>
      <c r="AG1174" s="5">
        <f>IF(SalesData[[#This Row],[Customers Visited]]=0,0,SalesData[[#This Row],[Test Drives]]/SalesData[[#This Row],[Customers Visited]])</f>
        <v>0.53811659192825112</v>
      </c>
      <c r="AH1174" s="5">
        <f>IF(SalesData[[#This Row],[Customers Visited]]=0,0,SalesData[[#This Row],[Contracts Signed]]/SalesData[[#This Row],[Customers Visited]])</f>
        <v>0.1210762331838565</v>
      </c>
      <c r="AI1174" s="6">
        <f>IF(SalesData[[#This Row],[Contracts Signed]]=0,0,SalesData[[#This Row],[Profit(€)]]/SalesData[[#This Row],[Contracts Signed]])</f>
        <v>8894</v>
      </c>
      <c r="AJ1174" s="5" t="str">
        <f>TRIM(CLEAN(SalesData[[#This Row],[Retailer]]))</f>
        <v>Stuttgart Auto Center</v>
      </c>
    </row>
    <row r="1175" spans="1:36" ht="14.25" hidden="1" x14ac:dyDescent="0.2">
      <c r="A1175" t="s">
        <v>1960</v>
      </c>
      <c r="B1175" s="1">
        <v>46081</v>
      </c>
      <c r="C1175" t="s">
        <v>53</v>
      </c>
      <c r="D1175" t="s">
        <v>151</v>
      </c>
      <c r="E1175" t="s">
        <v>42</v>
      </c>
      <c r="F1175" t="s">
        <v>7649</v>
      </c>
      <c r="G1175" t="s">
        <v>55</v>
      </c>
      <c r="H1175" t="s">
        <v>55</v>
      </c>
      <c r="I1175" t="s">
        <v>56</v>
      </c>
      <c r="J1175" t="s">
        <v>137</v>
      </c>
      <c r="K1175" t="s">
        <v>91</v>
      </c>
      <c r="L1175" t="s">
        <v>46</v>
      </c>
      <c r="M1175" t="s">
        <v>47</v>
      </c>
      <c r="N1175" t="s">
        <v>69</v>
      </c>
      <c r="O1175" t="s">
        <v>70</v>
      </c>
      <c r="P1175" t="s">
        <v>71</v>
      </c>
      <c r="Q1175" t="s">
        <v>240</v>
      </c>
      <c r="R1175">
        <v>254</v>
      </c>
      <c r="S1175">
        <v>127</v>
      </c>
      <c r="T1175">
        <v>97</v>
      </c>
      <c r="U1175">
        <v>33</v>
      </c>
      <c r="V1175" t="s">
        <v>6792</v>
      </c>
      <c r="W1175">
        <v>51934</v>
      </c>
      <c r="X1175" t="s">
        <v>746</v>
      </c>
      <c r="Y1175">
        <v>39808</v>
      </c>
      <c r="Z1175">
        <v>1713822</v>
      </c>
      <c r="AA1175">
        <v>400158</v>
      </c>
      <c r="AB1175" t="str">
        <f>(VLOOKUP(SalesData[[#This Row],[Month Number]],Reference!C$5:E$16,2,FALSE))</f>
        <v>Feb</v>
      </c>
      <c r="AC1175">
        <f>MONTH(SalesData[[#This Row],[Date]])</f>
        <v>2</v>
      </c>
      <c r="AD1175">
        <f>Reference!F$4</f>
        <v>2026</v>
      </c>
      <c r="AE1175" t="str">
        <f>IF(OR(SalesData[[#This Row],[Day]]="Saturday",SalesData[[#This Row],[Day]]="Sunday"),"Weekend","Weekday")</f>
        <v>Weekend</v>
      </c>
      <c r="AF1175" s="5">
        <f>IF(SalesData[[#This Row],[Contracts Offered]]=0,0,SalesData[[#This Row],[Contracts Signed]]/SalesData[[#This Row],[Contracts Offered]])</f>
        <v>0.34020618556701032</v>
      </c>
      <c r="AG1175" s="5">
        <f>IF(SalesData[[#This Row],[Customers Visited]]=0,0,SalesData[[#This Row],[Test Drives]]/SalesData[[#This Row],[Customers Visited]])</f>
        <v>0.5</v>
      </c>
      <c r="AH1175" s="5">
        <f>IF(SalesData[[#This Row],[Customers Visited]]=0,0,SalesData[[#This Row],[Contracts Signed]]/SalesData[[#This Row],[Customers Visited]])</f>
        <v>0.12992125984251968</v>
      </c>
      <c r="AI1175" s="6">
        <f>IF(SalesData[[#This Row],[Contracts Signed]]=0,0,SalesData[[#This Row],[Profit(€)]]/SalesData[[#This Row],[Contracts Signed]])</f>
        <v>12126</v>
      </c>
      <c r="AJ1175" s="5" t="str">
        <f>TRIM(CLEAN(SalesData[[#This Row],[Retailer]]))</f>
        <v>Autohaus Berlin</v>
      </c>
    </row>
    <row r="1176" spans="1:36" ht="14.25" hidden="1" x14ac:dyDescent="0.2">
      <c r="A1176" t="s">
        <v>1961</v>
      </c>
      <c r="B1176" s="1">
        <v>46080</v>
      </c>
      <c r="C1176" t="s">
        <v>53</v>
      </c>
      <c r="D1176" t="s">
        <v>54</v>
      </c>
      <c r="E1176" t="s">
        <v>26</v>
      </c>
      <c r="F1176" t="s">
        <v>74</v>
      </c>
      <c r="G1176" t="s">
        <v>75</v>
      </c>
      <c r="H1176" t="s">
        <v>76</v>
      </c>
      <c r="I1176" t="s">
        <v>64</v>
      </c>
      <c r="J1176" t="s">
        <v>157</v>
      </c>
      <c r="K1176" t="s">
        <v>32</v>
      </c>
      <c r="L1176" t="s">
        <v>33</v>
      </c>
      <c r="M1176" t="s">
        <v>34</v>
      </c>
      <c r="N1176" t="s">
        <v>48</v>
      </c>
      <c r="O1176" t="s">
        <v>36</v>
      </c>
      <c r="P1176" t="s">
        <v>58</v>
      </c>
      <c r="Q1176" t="s">
        <v>38</v>
      </c>
      <c r="R1176">
        <v>192</v>
      </c>
      <c r="S1176">
        <v>97</v>
      </c>
      <c r="T1176">
        <v>66</v>
      </c>
      <c r="U1176">
        <v>26</v>
      </c>
      <c r="V1176" t="s">
        <v>6440</v>
      </c>
      <c r="W1176">
        <v>63188</v>
      </c>
      <c r="X1176" t="s">
        <v>7122</v>
      </c>
      <c r="Y1176">
        <v>49309</v>
      </c>
      <c r="Z1176">
        <v>1642888</v>
      </c>
      <c r="AA1176">
        <v>360854</v>
      </c>
      <c r="AB1176" t="str">
        <f>(VLOOKUP(SalesData[[#This Row],[Month Number]],Reference!C$5:E$16,2,FALSE))</f>
        <v>Feb</v>
      </c>
      <c r="AC1176">
        <f>MONTH(SalesData[[#This Row],[Date]])</f>
        <v>2</v>
      </c>
      <c r="AD1176">
        <f>Reference!F$4</f>
        <v>2026</v>
      </c>
      <c r="AE1176" t="str">
        <f>IF(OR(SalesData[[#This Row],[Day]]="Saturday",SalesData[[#This Row],[Day]]="Sunday"),"Weekend","Weekday")</f>
        <v>Weekday</v>
      </c>
      <c r="AF1176" s="5">
        <f>IF(SalesData[[#This Row],[Contracts Offered]]=0,0,SalesData[[#This Row],[Contracts Signed]]/SalesData[[#This Row],[Contracts Offered]])</f>
        <v>0.39393939393939392</v>
      </c>
      <c r="AG1176" s="5">
        <f>IF(SalesData[[#This Row],[Customers Visited]]=0,0,SalesData[[#This Row],[Test Drives]]/SalesData[[#This Row],[Customers Visited]])</f>
        <v>0.50520833333333337</v>
      </c>
      <c r="AH1176" s="5">
        <f>IF(SalesData[[#This Row],[Customers Visited]]=0,0,SalesData[[#This Row],[Contracts Signed]]/SalesData[[#This Row],[Customers Visited]])</f>
        <v>0.13541666666666666</v>
      </c>
      <c r="AI1176" s="6">
        <f>IF(SalesData[[#This Row],[Contracts Signed]]=0,0,SalesData[[#This Row],[Profit(€)]]/SalesData[[#This Row],[Contracts Signed]])</f>
        <v>13879</v>
      </c>
      <c r="AJ1176" s="5" t="str">
        <f>TRIM(CLEAN(SalesData[[#This Row],[Retailer]]))</f>
        <v>Stuttgart Auto Center</v>
      </c>
    </row>
    <row r="1177" spans="1:36" ht="14.25" hidden="1" x14ac:dyDescent="0.2">
      <c r="A1177" t="s">
        <v>1962</v>
      </c>
      <c r="B1177" s="1">
        <v>46059</v>
      </c>
      <c r="C1177" t="s">
        <v>24</v>
      </c>
      <c r="D1177" t="s">
        <v>54</v>
      </c>
      <c r="E1177" t="s">
        <v>26</v>
      </c>
      <c r="F1177" t="s">
        <v>114</v>
      </c>
      <c r="G1177" t="s">
        <v>115</v>
      </c>
      <c r="H1177" t="s">
        <v>115</v>
      </c>
      <c r="I1177" t="s">
        <v>116</v>
      </c>
      <c r="J1177" t="s">
        <v>7090</v>
      </c>
      <c r="K1177" t="s">
        <v>91</v>
      </c>
      <c r="L1177" t="s">
        <v>46</v>
      </c>
      <c r="M1177" t="s">
        <v>34</v>
      </c>
      <c r="N1177" t="s">
        <v>48</v>
      </c>
      <c r="O1177" t="s">
        <v>36</v>
      </c>
      <c r="P1177" t="s">
        <v>58</v>
      </c>
      <c r="Q1177" t="s">
        <v>347</v>
      </c>
      <c r="R1177">
        <v>359</v>
      </c>
      <c r="S1177">
        <v>163</v>
      </c>
      <c r="T1177">
        <v>110</v>
      </c>
      <c r="U1177">
        <v>33</v>
      </c>
      <c r="V1177" t="s">
        <v>6911</v>
      </c>
      <c r="W1177">
        <v>20600</v>
      </c>
      <c r="X1177" t="s">
        <v>919</v>
      </c>
      <c r="Y1177">
        <v>18368</v>
      </c>
      <c r="Z1177">
        <v>679800</v>
      </c>
      <c r="AA1177">
        <v>73656</v>
      </c>
      <c r="AB1177" t="str">
        <f>(VLOOKUP(SalesData[[#This Row],[Month Number]],Reference!C$5:E$16,2,FALSE))</f>
        <v>Feb</v>
      </c>
      <c r="AC1177">
        <f>MONTH(SalesData[[#This Row],[Date]])</f>
        <v>2</v>
      </c>
      <c r="AD1177">
        <f>Reference!F$4</f>
        <v>2026</v>
      </c>
      <c r="AE1177" t="str">
        <f>IF(OR(SalesData[[#This Row],[Day]]="Saturday",SalesData[[#This Row],[Day]]="Sunday"),"Weekend","Weekday")</f>
        <v>Weekday</v>
      </c>
      <c r="AF1177" s="5">
        <f>IF(SalesData[[#This Row],[Contracts Offered]]=0,0,SalesData[[#This Row],[Contracts Signed]]/SalesData[[#This Row],[Contracts Offered]])</f>
        <v>0.3</v>
      </c>
      <c r="AG1177" s="5">
        <f>IF(SalesData[[#This Row],[Customers Visited]]=0,0,SalesData[[#This Row],[Test Drives]]/SalesData[[#This Row],[Customers Visited]])</f>
        <v>0.45403899721448465</v>
      </c>
      <c r="AH1177" s="5">
        <f>IF(SalesData[[#This Row],[Customers Visited]]=0,0,SalesData[[#This Row],[Contracts Signed]]/SalesData[[#This Row],[Customers Visited]])</f>
        <v>9.1922005571030641E-2</v>
      </c>
      <c r="AI1177" s="6">
        <f>IF(SalesData[[#This Row],[Contracts Signed]]=0,0,SalesData[[#This Row],[Profit(€)]]/SalesData[[#This Row],[Contracts Signed]])</f>
        <v>2232</v>
      </c>
      <c r="AJ1177" s="5" t="str">
        <f>TRIM(CLEAN(SalesData[[#This Row],[Retailer]]))</f>
        <v>Elbe Drive</v>
      </c>
    </row>
    <row r="1178" spans="1:36" ht="14.25" hidden="1" x14ac:dyDescent="0.2">
      <c r="A1178" t="s">
        <v>1964</v>
      </c>
      <c r="B1178" s="1">
        <v>46080</v>
      </c>
      <c r="C1178" t="s">
        <v>53</v>
      </c>
      <c r="D1178" t="s">
        <v>54</v>
      </c>
      <c r="E1178" t="s">
        <v>26</v>
      </c>
      <c r="F1178" t="s">
        <v>109</v>
      </c>
      <c r="G1178" t="s">
        <v>110</v>
      </c>
      <c r="H1178" t="s">
        <v>45</v>
      </c>
      <c r="I1178" t="s">
        <v>104</v>
      </c>
      <c r="J1178" t="s">
        <v>7031</v>
      </c>
      <c r="K1178" t="s">
        <v>32</v>
      </c>
      <c r="L1178" t="s">
        <v>46</v>
      </c>
      <c r="M1178" t="s">
        <v>47</v>
      </c>
      <c r="N1178" t="s">
        <v>69</v>
      </c>
      <c r="O1178" t="s">
        <v>36</v>
      </c>
      <c r="P1178" t="s">
        <v>37</v>
      </c>
      <c r="Q1178" t="s">
        <v>59</v>
      </c>
      <c r="R1178">
        <v>413</v>
      </c>
      <c r="S1178">
        <v>173</v>
      </c>
      <c r="T1178">
        <v>122</v>
      </c>
      <c r="U1178">
        <v>24</v>
      </c>
      <c r="V1178" t="s">
        <v>779</v>
      </c>
      <c r="W1178">
        <v>28470</v>
      </c>
      <c r="X1178" t="s">
        <v>7338</v>
      </c>
      <c r="Y1178">
        <v>25536</v>
      </c>
      <c r="Z1178">
        <v>683280</v>
      </c>
      <c r="AA1178">
        <v>70416</v>
      </c>
      <c r="AB1178" t="str">
        <f>(VLOOKUP(SalesData[[#This Row],[Month Number]],Reference!C$5:E$16,2,FALSE))</f>
        <v>Feb</v>
      </c>
      <c r="AC1178">
        <f>MONTH(SalesData[[#This Row],[Date]])</f>
        <v>2</v>
      </c>
      <c r="AD1178">
        <f>Reference!F$4</f>
        <v>2026</v>
      </c>
      <c r="AE1178" t="str">
        <f>IF(OR(SalesData[[#This Row],[Day]]="Saturday",SalesData[[#This Row],[Day]]="Sunday"),"Weekend","Weekday")</f>
        <v>Weekday</v>
      </c>
      <c r="AF1178" s="5">
        <f>IF(SalesData[[#This Row],[Contracts Offered]]=0,0,SalesData[[#This Row],[Contracts Signed]]/SalesData[[#This Row],[Contracts Offered]])</f>
        <v>0.19672131147540983</v>
      </c>
      <c r="AG1178" s="5">
        <f>IF(SalesData[[#This Row],[Customers Visited]]=0,0,SalesData[[#This Row],[Test Drives]]/SalesData[[#This Row],[Customers Visited]])</f>
        <v>0.41888619854721548</v>
      </c>
      <c r="AH1178" s="5">
        <f>IF(SalesData[[#This Row],[Customers Visited]]=0,0,SalesData[[#This Row],[Contracts Signed]]/SalesData[[#This Row],[Customers Visited]])</f>
        <v>5.8111380145278453E-2</v>
      </c>
      <c r="AI1178" s="6">
        <f>IF(SalesData[[#This Row],[Contracts Signed]]=0,0,SalesData[[#This Row],[Profit(€)]]/SalesData[[#This Row],[Contracts Signed]])</f>
        <v>2934</v>
      </c>
      <c r="AJ1178" s="5" t="str">
        <f>TRIM(CLEAN(SalesData[[#This Row],[Retailer]]))</f>
        <v>Leipzig Mobility</v>
      </c>
    </row>
    <row r="1179" spans="1:36" ht="14.25" hidden="1" x14ac:dyDescent="0.2">
      <c r="A1179" t="s">
        <v>1965</v>
      </c>
      <c r="B1179" s="1">
        <v>46076</v>
      </c>
      <c r="C1179" t="s">
        <v>53</v>
      </c>
      <c r="D1179" t="s">
        <v>25</v>
      </c>
      <c r="E1179" t="s">
        <v>26</v>
      </c>
      <c r="F1179" t="s">
        <v>101</v>
      </c>
      <c r="G1179" t="s">
        <v>102</v>
      </c>
      <c r="H1179" t="s">
        <v>103</v>
      </c>
      <c r="I1179" t="s">
        <v>104</v>
      </c>
      <c r="J1179" t="s">
        <v>7061</v>
      </c>
      <c r="K1179" t="s">
        <v>32</v>
      </c>
      <c r="L1179" t="s">
        <v>46</v>
      </c>
      <c r="M1179" t="s">
        <v>68</v>
      </c>
      <c r="N1179" t="s">
        <v>35</v>
      </c>
      <c r="O1179" t="s">
        <v>70</v>
      </c>
      <c r="P1179" t="s">
        <v>58</v>
      </c>
      <c r="Q1179" t="s">
        <v>240</v>
      </c>
      <c r="R1179">
        <v>305</v>
      </c>
      <c r="S1179">
        <v>134</v>
      </c>
      <c r="T1179">
        <v>79</v>
      </c>
      <c r="U1179">
        <v>20</v>
      </c>
      <c r="V1179" t="s">
        <v>327</v>
      </c>
      <c r="W1179">
        <v>34151</v>
      </c>
      <c r="X1179" t="s">
        <v>232</v>
      </c>
      <c r="Y1179">
        <v>30281</v>
      </c>
      <c r="Z1179">
        <v>683020</v>
      </c>
      <c r="AA1179">
        <v>77400</v>
      </c>
      <c r="AB1179" t="str">
        <f>(VLOOKUP(SalesData[[#This Row],[Month Number]],Reference!C$5:E$16,2,FALSE))</f>
        <v>Feb</v>
      </c>
      <c r="AC1179">
        <f>MONTH(SalesData[[#This Row],[Date]])</f>
        <v>2</v>
      </c>
      <c r="AD1179">
        <f>Reference!F$4</f>
        <v>2026</v>
      </c>
      <c r="AE1179" t="str">
        <f>IF(OR(SalesData[[#This Row],[Day]]="Saturday",SalesData[[#This Row],[Day]]="Sunday"),"Weekend","Weekday")</f>
        <v>Weekday</v>
      </c>
      <c r="AF1179" s="5">
        <f>IF(SalesData[[#This Row],[Contracts Offered]]=0,0,SalesData[[#This Row],[Contracts Signed]]/SalesData[[#This Row],[Contracts Offered]])</f>
        <v>0.25316455696202533</v>
      </c>
      <c r="AG1179" s="5">
        <f>IF(SalesData[[#This Row],[Customers Visited]]=0,0,SalesData[[#This Row],[Test Drives]]/SalesData[[#This Row],[Customers Visited]])</f>
        <v>0.43934426229508194</v>
      </c>
      <c r="AH1179" s="5">
        <f>IF(SalesData[[#This Row],[Customers Visited]]=0,0,SalesData[[#This Row],[Contracts Signed]]/SalesData[[#This Row],[Customers Visited]])</f>
        <v>6.5573770491803282E-2</v>
      </c>
      <c r="AI1179" s="6">
        <f>IF(SalesData[[#This Row],[Contracts Signed]]=0,0,SalesData[[#This Row],[Profit(€)]]/SalesData[[#This Row],[Contracts Signed]])</f>
        <v>3870</v>
      </c>
      <c r="AJ1179" s="5" t="str">
        <f>TRIM(CLEAN(SalesData[[#This Row],[Retailer]]))</f>
        <v>Ruhr Auto Plaza</v>
      </c>
    </row>
    <row r="1180" spans="1:36" ht="14.25" hidden="1" x14ac:dyDescent="0.2">
      <c r="A1180" t="s">
        <v>1966</v>
      </c>
      <c r="B1180" s="1">
        <v>46056</v>
      </c>
      <c r="C1180" t="s">
        <v>24</v>
      </c>
      <c r="D1180" t="s">
        <v>63</v>
      </c>
      <c r="E1180" t="s">
        <v>26</v>
      </c>
      <c r="F1180" t="s">
        <v>27</v>
      </c>
      <c r="G1180" t="s">
        <v>28</v>
      </c>
      <c r="H1180" t="s">
        <v>29</v>
      </c>
      <c r="I1180" t="s">
        <v>56</v>
      </c>
      <c r="J1180" t="s">
        <v>57</v>
      </c>
      <c r="K1180" t="s">
        <v>91</v>
      </c>
      <c r="L1180" t="s">
        <v>46</v>
      </c>
      <c r="M1180" t="s">
        <v>87</v>
      </c>
      <c r="N1180" t="s">
        <v>69</v>
      </c>
      <c r="O1180" t="s">
        <v>36</v>
      </c>
      <c r="P1180" t="s">
        <v>71</v>
      </c>
      <c r="Q1180" t="s">
        <v>152</v>
      </c>
      <c r="R1180">
        <v>254</v>
      </c>
      <c r="S1180">
        <v>139</v>
      </c>
      <c r="T1180">
        <v>101</v>
      </c>
      <c r="U1180">
        <v>30</v>
      </c>
      <c r="V1180" t="s">
        <v>6740</v>
      </c>
      <c r="W1180">
        <v>48416</v>
      </c>
      <c r="X1180" t="s">
        <v>476</v>
      </c>
      <c r="Y1180">
        <v>37829</v>
      </c>
      <c r="Z1180">
        <v>1452480</v>
      </c>
      <c r="AA1180">
        <v>317610</v>
      </c>
      <c r="AB1180" t="str">
        <f>(VLOOKUP(SalesData[[#This Row],[Month Number]],Reference!C$5:E$16,2,FALSE))</f>
        <v>Feb</v>
      </c>
      <c r="AC1180">
        <f>MONTH(SalesData[[#This Row],[Date]])</f>
        <v>2</v>
      </c>
      <c r="AD1180">
        <f>Reference!F$4</f>
        <v>2026</v>
      </c>
      <c r="AE1180" t="str">
        <f>IF(OR(SalesData[[#This Row],[Day]]="Saturday",SalesData[[#This Row],[Day]]="Sunday"),"Weekend","Weekday")</f>
        <v>Weekday</v>
      </c>
      <c r="AF1180" s="5">
        <f>IF(SalesData[[#This Row],[Contracts Offered]]=0,0,SalesData[[#This Row],[Contracts Signed]]/SalesData[[#This Row],[Contracts Offered]])</f>
        <v>0.29702970297029702</v>
      </c>
      <c r="AG1180" s="5">
        <f>IF(SalesData[[#This Row],[Customers Visited]]=0,0,SalesData[[#This Row],[Test Drives]]/SalesData[[#This Row],[Customers Visited]])</f>
        <v>0.547244094488189</v>
      </c>
      <c r="AH1180" s="5">
        <f>IF(SalesData[[#This Row],[Customers Visited]]=0,0,SalesData[[#This Row],[Contracts Signed]]/SalesData[[#This Row],[Customers Visited]])</f>
        <v>0.11811023622047244</v>
      </c>
      <c r="AI1180" s="6">
        <f>IF(SalesData[[#This Row],[Contracts Signed]]=0,0,SalesData[[#This Row],[Profit(€)]]/SalesData[[#This Row],[Contracts Signed]])</f>
        <v>10587</v>
      </c>
      <c r="AJ1180" s="5" t="str">
        <f>TRIM(CLEAN(SalesData[[#This Row],[Retailer]]))</f>
        <v>Main Auto Hub</v>
      </c>
    </row>
    <row r="1181" spans="1:36" ht="14.25" hidden="1" x14ac:dyDescent="0.2">
      <c r="A1181" t="s">
        <v>1968</v>
      </c>
      <c r="B1181" s="1">
        <v>46056</v>
      </c>
      <c r="C1181" t="s">
        <v>24</v>
      </c>
      <c r="D1181" t="s">
        <v>63</v>
      </c>
      <c r="E1181" t="s">
        <v>26</v>
      </c>
      <c r="F1181" t="s">
        <v>127</v>
      </c>
      <c r="G1181" t="s">
        <v>128</v>
      </c>
      <c r="H1181" t="s">
        <v>103</v>
      </c>
      <c r="I1181" t="s">
        <v>56</v>
      </c>
      <c r="J1181" t="s">
        <v>97</v>
      </c>
      <c r="K1181" t="s">
        <v>66</v>
      </c>
      <c r="L1181" t="s">
        <v>33</v>
      </c>
      <c r="M1181" t="s">
        <v>47</v>
      </c>
      <c r="N1181" t="s">
        <v>35</v>
      </c>
      <c r="O1181" t="s">
        <v>70</v>
      </c>
      <c r="P1181" t="s">
        <v>58</v>
      </c>
      <c r="Q1181" t="s">
        <v>204</v>
      </c>
      <c r="R1181">
        <v>231</v>
      </c>
      <c r="S1181">
        <v>114</v>
      </c>
      <c r="T1181">
        <v>88</v>
      </c>
      <c r="U1181">
        <v>27</v>
      </c>
      <c r="V1181" t="s">
        <v>6441</v>
      </c>
      <c r="W1181">
        <v>52875</v>
      </c>
      <c r="X1181" t="s">
        <v>7186</v>
      </c>
      <c r="Y1181">
        <v>40637</v>
      </c>
      <c r="Z1181">
        <v>1427625</v>
      </c>
      <c r="AA1181">
        <v>330426</v>
      </c>
      <c r="AB1181" t="str">
        <f>(VLOOKUP(SalesData[[#This Row],[Month Number]],Reference!C$5:E$16,2,FALSE))</f>
        <v>Feb</v>
      </c>
      <c r="AC1181">
        <f>MONTH(SalesData[[#This Row],[Date]])</f>
        <v>2</v>
      </c>
      <c r="AD1181">
        <f>Reference!F$4</f>
        <v>2026</v>
      </c>
      <c r="AE1181" t="str">
        <f>IF(OR(SalesData[[#This Row],[Day]]="Saturday",SalesData[[#This Row],[Day]]="Sunday"),"Weekend","Weekday")</f>
        <v>Weekday</v>
      </c>
      <c r="AF1181" s="5">
        <f>IF(SalesData[[#This Row],[Contracts Offered]]=0,0,SalesData[[#This Row],[Contracts Signed]]/SalesData[[#This Row],[Contracts Offered]])</f>
        <v>0.30681818181818182</v>
      </c>
      <c r="AG1181" s="5">
        <f>IF(SalesData[[#This Row],[Customers Visited]]=0,0,SalesData[[#This Row],[Test Drives]]/SalesData[[#This Row],[Customers Visited]])</f>
        <v>0.4935064935064935</v>
      </c>
      <c r="AH1181" s="5">
        <f>IF(SalesData[[#This Row],[Customers Visited]]=0,0,SalesData[[#This Row],[Contracts Signed]]/SalesData[[#This Row],[Customers Visited]])</f>
        <v>0.11688311688311688</v>
      </c>
      <c r="AI1181" s="6">
        <f>IF(SalesData[[#This Row],[Contracts Signed]]=0,0,SalesData[[#This Row],[Profit(€)]]/SalesData[[#This Row],[Contracts Signed]])</f>
        <v>12238</v>
      </c>
      <c r="AJ1181" s="5" t="str">
        <f>TRIM(CLEAN(SalesData[[#This Row],[Retailer]]))</f>
        <v>Rhein Auto Group</v>
      </c>
    </row>
    <row r="1182" spans="1:36" ht="14.25" x14ac:dyDescent="0.2">
      <c r="A1182" t="s">
        <v>1970</v>
      </c>
      <c r="B1182" s="1">
        <v>46061</v>
      </c>
      <c r="C1182" t="s">
        <v>121</v>
      </c>
      <c r="D1182" t="s">
        <v>41</v>
      </c>
      <c r="E1182" t="s">
        <v>42</v>
      </c>
      <c r="F1182" t="s">
        <v>101</v>
      </c>
      <c r="G1182" t="s">
        <v>102</v>
      </c>
      <c r="H1182" t="s">
        <v>103</v>
      </c>
      <c r="I1182" t="s">
        <v>30</v>
      </c>
      <c r="J1182" t="s">
        <v>7075</v>
      </c>
      <c r="K1182" t="s">
        <v>32</v>
      </c>
      <c r="L1182" t="s">
        <v>33</v>
      </c>
      <c r="M1182" t="s">
        <v>34</v>
      </c>
      <c r="N1182" t="s">
        <v>48</v>
      </c>
      <c r="O1182" t="s">
        <v>70</v>
      </c>
      <c r="P1182" t="s">
        <v>37</v>
      </c>
      <c r="Q1182" t="s">
        <v>240</v>
      </c>
      <c r="R1182">
        <v>142</v>
      </c>
      <c r="S1182">
        <v>66</v>
      </c>
      <c r="T1182">
        <v>49</v>
      </c>
      <c r="U1182">
        <v>15</v>
      </c>
      <c r="V1182" t="s">
        <v>6591</v>
      </c>
      <c r="W1182">
        <v>62965</v>
      </c>
      <c r="X1182" t="s">
        <v>7387</v>
      </c>
      <c r="Y1182">
        <v>47274</v>
      </c>
      <c r="Z1182">
        <v>944475</v>
      </c>
      <c r="AA1182">
        <v>235365</v>
      </c>
      <c r="AB1182" t="str">
        <f>(VLOOKUP(SalesData[[#This Row],[Month Number]],Reference!C$5:E$16,2,FALSE))</f>
        <v>Feb</v>
      </c>
      <c r="AC1182">
        <f>MONTH(SalesData[[#This Row],[Date]])</f>
        <v>2</v>
      </c>
      <c r="AD1182">
        <f>Reference!F$4</f>
        <v>2026</v>
      </c>
      <c r="AE1182" t="str">
        <f>IF(OR(SalesData[[#This Row],[Day]]="Saturday",SalesData[[#This Row],[Day]]="Sunday"),"Weekend","Weekday")</f>
        <v>Weekend</v>
      </c>
      <c r="AF1182" s="5">
        <f>IF(SalesData[[#This Row],[Contracts Offered]]=0,0,SalesData[[#This Row],[Contracts Signed]]/SalesData[[#This Row],[Contracts Offered]])</f>
        <v>0.30612244897959184</v>
      </c>
      <c r="AG1182" s="5">
        <f>IF(SalesData[[#This Row],[Customers Visited]]=0,0,SalesData[[#This Row],[Test Drives]]/SalesData[[#This Row],[Customers Visited]])</f>
        <v>0.46478873239436619</v>
      </c>
      <c r="AH1182" s="5">
        <f>IF(SalesData[[#This Row],[Customers Visited]]=0,0,SalesData[[#This Row],[Contracts Signed]]/SalesData[[#This Row],[Customers Visited]])</f>
        <v>0.10563380281690141</v>
      </c>
      <c r="AI1182" s="6">
        <f>IF(SalesData[[#This Row],[Contracts Signed]]=0,0,SalesData[[#This Row],[Profit(€)]]/SalesData[[#This Row],[Contracts Signed]])</f>
        <v>15691</v>
      </c>
      <c r="AJ1182" s="5" t="str">
        <f>TRIM(CLEAN(SalesData[[#This Row],[Retailer]]))</f>
        <v>Ruhr Auto Plaza</v>
      </c>
    </row>
    <row r="1183" spans="1:36" ht="14.25" hidden="1" x14ac:dyDescent="0.2">
      <c r="A1183" t="s">
        <v>1971</v>
      </c>
      <c r="B1183" s="1">
        <v>46069</v>
      </c>
      <c r="C1183" t="s">
        <v>62</v>
      </c>
      <c r="D1183" t="s">
        <v>25</v>
      </c>
      <c r="E1183" t="s">
        <v>26</v>
      </c>
      <c r="F1183" t="s">
        <v>127</v>
      </c>
      <c r="G1183" t="s">
        <v>128</v>
      </c>
      <c r="H1183" t="s">
        <v>103</v>
      </c>
      <c r="I1183" t="s">
        <v>64</v>
      </c>
      <c r="J1183" t="s">
        <v>77</v>
      </c>
      <c r="K1183" t="s">
        <v>91</v>
      </c>
      <c r="L1183" t="s">
        <v>46</v>
      </c>
      <c r="M1183" t="s">
        <v>68</v>
      </c>
      <c r="N1183" t="s">
        <v>69</v>
      </c>
      <c r="O1183" t="s">
        <v>36</v>
      </c>
      <c r="P1183" t="s">
        <v>37</v>
      </c>
      <c r="Q1183" t="s">
        <v>38</v>
      </c>
      <c r="R1183">
        <v>225</v>
      </c>
      <c r="S1183">
        <v>114</v>
      </c>
      <c r="T1183">
        <v>88</v>
      </c>
      <c r="U1183">
        <v>28</v>
      </c>
      <c r="V1183" t="s">
        <v>6590</v>
      </c>
      <c r="W1183">
        <v>52084</v>
      </c>
      <c r="X1183" t="s">
        <v>3593</v>
      </c>
      <c r="Y1183">
        <v>37298</v>
      </c>
      <c r="Z1183">
        <v>1458352</v>
      </c>
      <c r="AA1183">
        <v>414008</v>
      </c>
      <c r="AB1183" t="str">
        <f>(VLOOKUP(SalesData[[#This Row],[Month Number]],Reference!C$5:E$16,2,FALSE))</f>
        <v>Feb</v>
      </c>
      <c r="AC1183">
        <f>MONTH(SalesData[[#This Row],[Date]])</f>
        <v>2</v>
      </c>
      <c r="AD1183">
        <f>Reference!F$4</f>
        <v>2026</v>
      </c>
      <c r="AE1183" t="str">
        <f>IF(OR(SalesData[[#This Row],[Day]]="Saturday",SalesData[[#This Row],[Day]]="Sunday"),"Weekend","Weekday")</f>
        <v>Weekday</v>
      </c>
      <c r="AF1183" s="5">
        <f>IF(SalesData[[#This Row],[Contracts Offered]]=0,0,SalesData[[#This Row],[Contracts Signed]]/SalesData[[#This Row],[Contracts Offered]])</f>
        <v>0.31818181818181818</v>
      </c>
      <c r="AG1183" s="5">
        <f>IF(SalesData[[#This Row],[Customers Visited]]=0,0,SalesData[[#This Row],[Test Drives]]/SalesData[[#This Row],[Customers Visited]])</f>
        <v>0.50666666666666671</v>
      </c>
      <c r="AH1183" s="5">
        <f>IF(SalesData[[#This Row],[Customers Visited]]=0,0,SalesData[[#This Row],[Contracts Signed]]/SalesData[[#This Row],[Customers Visited]])</f>
        <v>0.12444444444444444</v>
      </c>
      <c r="AI1183" s="6">
        <f>IF(SalesData[[#This Row],[Contracts Signed]]=0,0,SalesData[[#This Row],[Profit(€)]]/SalesData[[#This Row],[Contracts Signed]])</f>
        <v>14786</v>
      </c>
      <c r="AJ1183" s="5" t="str">
        <f>TRIM(CLEAN(SalesData[[#This Row],[Retailer]]))</f>
        <v>Rhein Auto Group</v>
      </c>
    </row>
    <row r="1184" spans="1:36" ht="14.25" hidden="1" x14ac:dyDescent="0.2">
      <c r="A1184" t="s">
        <v>1972</v>
      </c>
      <c r="B1184" s="1">
        <v>46075</v>
      </c>
      <c r="C1184" t="s">
        <v>53</v>
      </c>
      <c r="D1184" t="s">
        <v>41</v>
      </c>
      <c r="E1184" t="s">
        <v>42</v>
      </c>
      <c r="F1184" t="s">
        <v>101</v>
      </c>
      <c r="G1184" t="s">
        <v>102</v>
      </c>
      <c r="H1184" t="s">
        <v>103</v>
      </c>
      <c r="I1184" t="s">
        <v>116</v>
      </c>
      <c r="J1184" t="s">
        <v>7026</v>
      </c>
      <c r="K1184" t="s">
        <v>78</v>
      </c>
      <c r="L1184" t="s">
        <v>46</v>
      </c>
      <c r="M1184" t="s">
        <v>47</v>
      </c>
      <c r="N1184" t="s">
        <v>48</v>
      </c>
      <c r="O1184" t="s">
        <v>36</v>
      </c>
      <c r="P1184" t="s">
        <v>49</v>
      </c>
      <c r="Q1184" t="s">
        <v>144</v>
      </c>
      <c r="R1184">
        <v>369</v>
      </c>
      <c r="S1184">
        <v>178</v>
      </c>
      <c r="T1184">
        <v>113</v>
      </c>
      <c r="U1184">
        <v>26</v>
      </c>
      <c r="V1184" t="s">
        <v>2208</v>
      </c>
      <c r="W1184">
        <v>21114</v>
      </c>
      <c r="X1184" t="s">
        <v>437</v>
      </c>
      <c r="Y1184">
        <v>19206</v>
      </c>
      <c r="Z1184">
        <v>548964</v>
      </c>
      <c r="AA1184">
        <v>49608</v>
      </c>
      <c r="AB1184" t="str">
        <f>(VLOOKUP(SalesData[[#This Row],[Month Number]],Reference!C$5:E$16,2,FALSE))</f>
        <v>Feb</v>
      </c>
      <c r="AC1184">
        <f>MONTH(SalesData[[#This Row],[Date]])</f>
        <v>2</v>
      </c>
      <c r="AD1184">
        <f>Reference!F$4</f>
        <v>2026</v>
      </c>
      <c r="AE1184" t="str">
        <f>IF(OR(SalesData[[#This Row],[Day]]="Saturday",SalesData[[#This Row],[Day]]="Sunday"),"Weekend","Weekday")</f>
        <v>Weekend</v>
      </c>
      <c r="AF1184" s="5">
        <f>IF(SalesData[[#This Row],[Contracts Offered]]=0,0,SalesData[[#This Row],[Contracts Signed]]/SalesData[[#This Row],[Contracts Offered]])</f>
        <v>0.23008849557522124</v>
      </c>
      <c r="AG1184" s="5">
        <f>IF(SalesData[[#This Row],[Customers Visited]]=0,0,SalesData[[#This Row],[Test Drives]]/SalesData[[#This Row],[Customers Visited]])</f>
        <v>0.4823848238482385</v>
      </c>
      <c r="AH1184" s="5">
        <f>IF(SalesData[[#This Row],[Customers Visited]]=0,0,SalesData[[#This Row],[Contracts Signed]]/SalesData[[#This Row],[Customers Visited]])</f>
        <v>7.0460704607046065E-2</v>
      </c>
      <c r="AI1184" s="6">
        <f>IF(SalesData[[#This Row],[Contracts Signed]]=0,0,SalesData[[#This Row],[Profit(€)]]/SalesData[[#This Row],[Contracts Signed]])</f>
        <v>1908</v>
      </c>
      <c r="AJ1184" s="5" t="str">
        <f>TRIM(CLEAN(SalesData[[#This Row],[Retailer]]))</f>
        <v>Ruhr Auto Plaza</v>
      </c>
    </row>
    <row r="1185" spans="1:36" ht="14.25" x14ac:dyDescent="0.2">
      <c r="A1185" t="s">
        <v>1973</v>
      </c>
      <c r="B1185" s="1">
        <v>46055</v>
      </c>
      <c r="C1185" t="s">
        <v>24</v>
      </c>
      <c r="D1185" t="s">
        <v>25</v>
      </c>
      <c r="E1185" t="s">
        <v>26</v>
      </c>
      <c r="F1185" t="s">
        <v>114</v>
      </c>
      <c r="G1185" t="s">
        <v>115</v>
      </c>
      <c r="H1185" t="s">
        <v>115</v>
      </c>
      <c r="I1185" t="s">
        <v>30</v>
      </c>
      <c r="J1185" t="s">
        <v>7075</v>
      </c>
      <c r="K1185" t="s">
        <v>66</v>
      </c>
      <c r="L1185" t="s">
        <v>33</v>
      </c>
      <c r="M1185" t="s">
        <v>34</v>
      </c>
      <c r="N1185" t="s">
        <v>35</v>
      </c>
      <c r="O1185" t="s">
        <v>36</v>
      </c>
      <c r="P1185" t="s">
        <v>71</v>
      </c>
      <c r="Q1185" t="s">
        <v>347</v>
      </c>
      <c r="R1185">
        <v>141</v>
      </c>
      <c r="S1185">
        <v>64</v>
      </c>
      <c r="T1185">
        <v>48</v>
      </c>
      <c r="U1185">
        <v>18</v>
      </c>
      <c r="V1185" t="s">
        <v>6514</v>
      </c>
      <c r="W1185">
        <v>58279</v>
      </c>
      <c r="X1185" t="s">
        <v>2887</v>
      </c>
      <c r="Y1185">
        <v>41189</v>
      </c>
      <c r="Z1185">
        <v>1049022</v>
      </c>
      <c r="AA1185">
        <v>307620</v>
      </c>
      <c r="AB1185" t="str">
        <f>(VLOOKUP(SalesData[[#This Row],[Month Number]],Reference!C$5:E$16,2,FALSE))</f>
        <v>Feb</v>
      </c>
      <c r="AC1185">
        <f>MONTH(SalesData[[#This Row],[Date]])</f>
        <v>2</v>
      </c>
      <c r="AD1185">
        <f>Reference!F$4</f>
        <v>2026</v>
      </c>
      <c r="AE1185" t="str">
        <f>IF(OR(SalesData[[#This Row],[Day]]="Saturday",SalesData[[#This Row],[Day]]="Sunday"),"Weekend","Weekday")</f>
        <v>Weekday</v>
      </c>
      <c r="AF1185" s="5">
        <f>IF(SalesData[[#This Row],[Contracts Offered]]=0,0,SalesData[[#This Row],[Contracts Signed]]/SalesData[[#This Row],[Contracts Offered]])</f>
        <v>0.375</v>
      </c>
      <c r="AG1185" s="5">
        <f>IF(SalesData[[#This Row],[Customers Visited]]=0,0,SalesData[[#This Row],[Test Drives]]/SalesData[[#This Row],[Customers Visited]])</f>
        <v>0.45390070921985815</v>
      </c>
      <c r="AH1185" s="5">
        <f>IF(SalesData[[#This Row],[Customers Visited]]=0,0,SalesData[[#This Row],[Contracts Signed]]/SalesData[[#This Row],[Customers Visited]])</f>
        <v>0.1276595744680851</v>
      </c>
      <c r="AI1185" s="6">
        <f>IF(SalesData[[#This Row],[Contracts Signed]]=0,0,SalesData[[#This Row],[Profit(€)]]/SalesData[[#This Row],[Contracts Signed]])</f>
        <v>17090</v>
      </c>
      <c r="AJ1185" s="5" t="str">
        <f>TRIM(CLEAN(SalesData[[#This Row],[Retailer]]))</f>
        <v>Elbe Drive</v>
      </c>
    </row>
    <row r="1186" spans="1:36" ht="14.25" hidden="1" x14ac:dyDescent="0.2">
      <c r="A1186" t="s">
        <v>1974</v>
      </c>
      <c r="B1186" s="1">
        <v>46055</v>
      </c>
      <c r="C1186" t="s">
        <v>24</v>
      </c>
      <c r="D1186" t="s">
        <v>25</v>
      </c>
      <c r="E1186" t="s">
        <v>26</v>
      </c>
      <c r="F1186" t="s">
        <v>43</v>
      </c>
      <c r="G1186" t="s">
        <v>44</v>
      </c>
      <c r="H1186" t="s">
        <v>45</v>
      </c>
      <c r="I1186" t="s">
        <v>104</v>
      </c>
      <c r="J1186" t="s">
        <v>140</v>
      </c>
      <c r="K1186" t="s">
        <v>78</v>
      </c>
      <c r="L1186" t="s">
        <v>46</v>
      </c>
      <c r="M1186" t="s">
        <v>87</v>
      </c>
      <c r="N1186" t="s">
        <v>48</v>
      </c>
      <c r="O1186" t="s">
        <v>36</v>
      </c>
      <c r="P1186" t="s">
        <v>71</v>
      </c>
      <c r="Q1186" t="s">
        <v>50</v>
      </c>
      <c r="R1186">
        <v>458</v>
      </c>
      <c r="S1186">
        <v>203</v>
      </c>
      <c r="T1186">
        <v>126</v>
      </c>
      <c r="U1186">
        <v>30</v>
      </c>
      <c r="V1186" t="s">
        <v>3153</v>
      </c>
      <c r="W1186">
        <v>31251</v>
      </c>
      <c r="X1186" t="s">
        <v>3480</v>
      </c>
      <c r="Y1186">
        <v>28029</v>
      </c>
      <c r="Z1186">
        <v>937530</v>
      </c>
      <c r="AA1186">
        <v>96660</v>
      </c>
      <c r="AB1186" t="str">
        <f>(VLOOKUP(SalesData[[#This Row],[Month Number]],Reference!C$5:E$16,2,FALSE))</f>
        <v>Feb</v>
      </c>
      <c r="AC1186">
        <f>MONTH(SalesData[[#This Row],[Date]])</f>
        <v>2</v>
      </c>
      <c r="AD1186">
        <f>Reference!F$4</f>
        <v>2026</v>
      </c>
      <c r="AE1186" t="str">
        <f>IF(OR(SalesData[[#This Row],[Day]]="Saturday",SalesData[[#This Row],[Day]]="Sunday"),"Weekend","Weekday")</f>
        <v>Weekday</v>
      </c>
      <c r="AF1186" s="5">
        <f>IF(SalesData[[#This Row],[Contracts Offered]]=0,0,SalesData[[#This Row],[Contracts Signed]]/SalesData[[#This Row],[Contracts Offered]])</f>
        <v>0.23809523809523808</v>
      </c>
      <c r="AG1186" s="5">
        <f>IF(SalesData[[#This Row],[Customers Visited]]=0,0,SalesData[[#This Row],[Test Drives]]/SalesData[[#This Row],[Customers Visited]])</f>
        <v>0.44323144104803491</v>
      </c>
      <c r="AH1186" s="5">
        <f>IF(SalesData[[#This Row],[Customers Visited]]=0,0,SalesData[[#This Row],[Contracts Signed]]/SalesData[[#This Row],[Customers Visited]])</f>
        <v>6.5502183406113537E-2</v>
      </c>
      <c r="AI1186" s="6">
        <f>IF(SalesData[[#This Row],[Contracts Signed]]=0,0,SalesData[[#This Row],[Profit(€)]]/SalesData[[#This Row],[Contracts Signed]])</f>
        <v>3222</v>
      </c>
      <c r="AJ1186" s="5" t="str">
        <f>TRIM(CLEAN(SalesData[[#This Row],[Retailer]]))</f>
        <v>Saxon Wheels</v>
      </c>
    </row>
    <row r="1187" spans="1:36" ht="14.25" hidden="1" x14ac:dyDescent="0.2">
      <c r="A1187" t="s">
        <v>1975</v>
      </c>
      <c r="B1187" s="1">
        <v>46074</v>
      </c>
      <c r="C1187" t="s">
        <v>62</v>
      </c>
      <c r="D1187" t="s">
        <v>151</v>
      </c>
      <c r="E1187" t="s">
        <v>42</v>
      </c>
      <c r="F1187" t="s">
        <v>114</v>
      </c>
      <c r="G1187" t="s">
        <v>115</v>
      </c>
      <c r="H1187" t="s">
        <v>115</v>
      </c>
      <c r="I1187" t="s">
        <v>116</v>
      </c>
      <c r="J1187" t="s">
        <v>117</v>
      </c>
      <c r="K1187" t="s">
        <v>78</v>
      </c>
      <c r="L1187" t="s">
        <v>67</v>
      </c>
      <c r="M1187" t="s">
        <v>47</v>
      </c>
      <c r="N1187" t="s">
        <v>48</v>
      </c>
      <c r="O1187" t="s">
        <v>70</v>
      </c>
      <c r="P1187" t="s">
        <v>49</v>
      </c>
      <c r="Q1187" t="s">
        <v>144</v>
      </c>
      <c r="R1187">
        <v>330</v>
      </c>
      <c r="S1187">
        <v>159</v>
      </c>
      <c r="T1187">
        <v>95</v>
      </c>
      <c r="U1187">
        <v>20</v>
      </c>
      <c r="V1187" t="s">
        <v>738</v>
      </c>
      <c r="W1187">
        <v>23099</v>
      </c>
      <c r="X1187" t="s">
        <v>7310</v>
      </c>
      <c r="Y1187">
        <v>21373</v>
      </c>
      <c r="Z1187">
        <v>461980</v>
      </c>
      <c r="AA1187">
        <v>34520</v>
      </c>
      <c r="AB1187" t="str">
        <f>(VLOOKUP(SalesData[[#This Row],[Month Number]],Reference!C$5:E$16,2,FALSE))</f>
        <v>Feb</v>
      </c>
      <c r="AC1187">
        <f>MONTH(SalesData[[#This Row],[Date]])</f>
        <v>2</v>
      </c>
      <c r="AD1187">
        <f>Reference!F$4</f>
        <v>2026</v>
      </c>
      <c r="AE1187" t="str">
        <f>IF(OR(SalesData[[#This Row],[Day]]="Saturday",SalesData[[#This Row],[Day]]="Sunday"),"Weekend","Weekday")</f>
        <v>Weekend</v>
      </c>
      <c r="AF1187" s="5">
        <f>IF(SalesData[[#This Row],[Contracts Offered]]=0,0,SalesData[[#This Row],[Contracts Signed]]/SalesData[[#This Row],[Contracts Offered]])</f>
        <v>0.21052631578947367</v>
      </c>
      <c r="AG1187" s="5">
        <f>IF(SalesData[[#This Row],[Customers Visited]]=0,0,SalesData[[#This Row],[Test Drives]]/SalesData[[#This Row],[Customers Visited]])</f>
        <v>0.48181818181818181</v>
      </c>
      <c r="AH1187" s="5">
        <f>IF(SalesData[[#This Row],[Customers Visited]]=0,0,SalesData[[#This Row],[Contracts Signed]]/SalesData[[#This Row],[Customers Visited]])</f>
        <v>6.0606060606060608E-2</v>
      </c>
      <c r="AI1187" s="6">
        <f>IF(SalesData[[#This Row],[Contracts Signed]]=0,0,SalesData[[#This Row],[Profit(€)]]/SalesData[[#This Row],[Contracts Signed]])</f>
        <v>1726</v>
      </c>
      <c r="AJ1187" s="5" t="str">
        <f>TRIM(CLEAN(SalesData[[#This Row],[Retailer]]))</f>
        <v>Elbe Drive</v>
      </c>
    </row>
    <row r="1188" spans="1:36" ht="14.25" hidden="1" x14ac:dyDescent="0.2">
      <c r="A1188" t="s">
        <v>1977</v>
      </c>
      <c r="B1188" s="1">
        <v>46065</v>
      </c>
      <c r="C1188" t="s">
        <v>121</v>
      </c>
      <c r="D1188" t="s">
        <v>100</v>
      </c>
      <c r="E1188" t="s">
        <v>26</v>
      </c>
      <c r="F1188" t="s">
        <v>114</v>
      </c>
      <c r="G1188" t="s">
        <v>115</v>
      </c>
      <c r="H1188" t="s">
        <v>115</v>
      </c>
      <c r="I1188" t="s">
        <v>56</v>
      </c>
      <c r="J1188" t="s">
        <v>7028</v>
      </c>
      <c r="K1188" t="s">
        <v>91</v>
      </c>
      <c r="L1188" t="s">
        <v>46</v>
      </c>
      <c r="M1188" t="s">
        <v>47</v>
      </c>
      <c r="N1188" t="s">
        <v>69</v>
      </c>
      <c r="O1188" t="s">
        <v>36</v>
      </c>
      <c r="P1188" t="s">
        <v>49</v>
      </c>
      <c r="Q1188" t="s">
        <v>167</v>
      </c>
      <c r="R1188">
        <v>231</v>
      </c>
      <c r="S1188">
        <v>119</v>
      </c>
      <c r="T1188">
        <v>76</v>
      </c>
      <c r="U1188">
        <v>28</v>
      </c>
      <c r="V1188" t="s">
        <v>6439</v>
      </c>
      <c r="W1188">
        <v>53738</v>
      </c>
      <c r="X1188" t="s">
        <v>2561</v>
      </c>
      <c r="Y1188">
        <v>44027</v>
      </c>
      <c r="Z1188">
        <v>1504664</v>
      </c>
      <c r="AA1188">
        <v>271908</v>
      </c>
      <c r="AB1188" t="str">
        <f>(VLOOKUP(SalesData[[#This Row],[Month Number]],Reference!C$5:E$16,2,FALSE))</f>
        <v>Feb</v>
      </c>
      <c r="AC1188">
        <f>MONTH(SalesData[[#This Row],[Date]])</f>
        <v>2</v>
      </c>
      <c r="AD1188">
        <f>Reference!F$4</f>
        <v>2026</v>
      </c>
      <c r="AE1188" t="str">
        <f>IF(OR(SalesData[[#This Row],[Day]]="Saturday",SalesData[[#This Row],[Day]]="Sunday"),"Weekend","Weekday")</f>
        <v>Weekday</v>
      </c>
      <c r="AF1188" s="5">
        <f>IF(SalesData[[#This Row],[Contracts Offered]]=0,0,SalesData[[#This Row],[Contracts Signed]]/SalesData[[#This Row],[Contracts Offered]])</f>
        <v>0.36842105263157893</v>
      </c>
      <c r="AG1188" s="5">
        <f>IF(SalesData[[#This Row],[Customers Visited]]=0,0,SalesData[[#This Row],[Test Drives]]/SalesData[[#This Row],[Customers Visited]])</f>
        <v>0.51515151515151514</v>
      </c>
      <c r="AH1188" s="5">
        <f>IF(SalesData[[#This Row],[Customers Visited]]=0,0,SalesData[[#This Row],[Contracts Signed]]/SalesData[[#This Row],[Customers Visited]])</f>
        <v>0.12121212121212122</v>
      </c>
      <c r="AI1188" s="6">
        <f>IF(SalesData[[#This Row],[Contracts Signed]]=0,0,SalesData[[#This Row],[Profit(€)]]/SalesData[[#This Row],[Contracts Signed]])</f>
        <v>9711</v>
      </c>
      <c r="AJ1188" s="5" t="str">
        <f>TRIM(CLEAN(SalesData[[#This Row],[Retailer]]))</f>
        <v>Elbe Drive</v>
      </c>
    </row>
    <row r="1189" spans="1:36" ht="14.25" hidden="1" x14ac:dyDescent="0.2">
      <c r="A1189" t="s">
        <v>1979</v>
      </c>
      <c r="B1189" s="1">
        <v>46076</v>
      </c>
      <c r="C1189" t="s">
        <v>53</v>
      </c>
      <c r="D1189" t="s">
        <v>25</v>
      </c>
      <c r="E1189" t="s">
        <v>26</v>
      </c>
      <c r="F1189" t="s">
        <v>127</v>
      </c>
      <c r="G1189" t="s">
        <v>128</v>
      </c>
      <c r="H1189" t="s">
        <v>103</v>
      </c>
      <c r="I1189" t="s">
        <v>116</v>
      </c>
      <c r="J1189" t="s">
        <v>132</v>
      </c>
      <c r="K1189" t="s">
        <v>78</v>
      </c>
      <c r="L1189" t="s">
        <v>46</v>
      </c>
      <c r="M1189" t="s">
        <v>87</v>
      </c>
      <c r="N1189" t="s">
        <v>35</v>
      </c>
      <c r="O1189" t="s">
        <v>36</v>
      </c>
      <c r="P1189" t="s">
        <v>71</v>
      </c>
      <c r="Q1189" t="s">
        <v>129</v>
      </c>
      <c r="R1189">
        <v>318</v>
      </c>
      <c r="S1189">
        <v>153</v>
      </c>
      <c r="T1189">
        <v>95</v>
      </c>
      <c r="U1189">
        <v>31</v>
      </c>
      <c r="V1189" t="s">
        <v>6676</v>
      </c>
      <c r="W1189">
        <v>22989</v>
      </c>
      <c r="X1189" t="s">
        <v>2590</v>
      </c>
      <c r="Y1189">
        <v>20808</v>
      </c>
      <c r="Z1189">
        <v>712659</v>
      </c>
      <c r="AA1189">
        <v>67611</v>
      </c>
      <c r="AB1189" t="str">
        <f>(VLOOKUP(SalesData[[#This Row],[Month Number]],Reference!C$5:E$16,2,FALSE))</f>
        <v>Feb</v>
      </c>
      <c r="AC1189">
        <f>MONTH(SalesData[[#This Row],[Date]])</f>
        <v>2</v>
      </c>
      <c r="AD1189">
        <f>Reference!F$4</f>
        <v>2026</v>
      </c>
      <c r="AE1189" t="str">
        <f>IF(OR(SalesData[[#This Row],[Day]]="Saturday",SalesData[[#This Row],[Day]]="Sunday"),"Weekend","Weekday")</f>
        <v>Weekday</v>
      </c>
      <c r="AF1189" s="5">
        <f>IF(SalesData[[#This Row],[Contracts Offered]]=0,0,SalesData[[#This Row],[Contracts Signed]]/SalesData[[#This Row],[Contracts Offered]])</f>
        <v>0.32631578947368423</v>
      </c>
      <c r="AG1189" s="5">
        <f>IF(SalesData[[#This Row],[Customers Visited]]=0,0,SalesData[[#This Row],[Test Drives]]/SalesData[[#This Row],[Customers Visited]])</f>
        <v>0.48113207547169812</v>
      </c>
      <c r="AH1189" s="5">
        <f>IF(SalesData[[#This Row],[Customers Visited]]=0,0,SalesData[[#This Row],[Contracts Signed]]/SalesData[[#This Row],[Customers Visited]])</f>
        <v>9.7484276729559755E-2</v>
      </c>
      <c r="AI1189" s="6">
        <f>IF(SalesData[[#This Row],[Contracts Signed]]=0,0,SalesData[[#This Row],[Profit(€)]]/SalesData[[#This Row],[Contracts Signed]])</f>
        <v>2181</v>
      </c>
      <c r="AJ1189" s="5" t="str">
        <f>TRIM(CLEAN(SalesData[[#This Row],[Retailer]]))</f>
        <v>Rhein Auto Group</v>
      </c>
    </row>
    <row r="1190" spans="1:36" ht="14.25" hidden="1" x14ac:dyDescent="0.2">
      <c r="A1190" t="s">
        <v>1980</v>
      </c>
      <c r="B1190" s="1">
        <v>46057</v>
      </c>
      <c r="C1190" t="s">
        <v>24</v>
      </c>
      <c r="D1190" t="s">
        <v>82</v>
      </c>
      <c r="E1190" t="s">
        <v>26</v>
      </c>
      <c r="F1190" t="s">
        <v>109</v>
      </c>
      <c r="G1190" t="s">
        <v>110</v>
      </c>
      <c r="H1190" t="s">
        <v>45</v>
      </c>
      <c r="I1190" t="s">
        <v>56</v>
      </c>
      <c r="J1190" t="s">
        <v>179</v>
      </c>
      <c r="K1190" t="s">
        <v>32</v>
      </c>
      <c r="L1190" t="s">
        <v>67</v>
      </c>
      <c r="M1190" t="s">
        <v>68</v>
      </c>
      <c r="N1190" t="s">
        <v>48</v>
      </c>
      <c r="O1190" t="s">
        <v>36</v>
      </c>
      <c r="P1190" t="s">
        <v>37</v>
      </c>
      <c r="Q1190" t="s">
        <v>189</v>
      </c>
      <c r="R1190">
        <v>285</v>
      </c>
      <c r="S1190">
        <v>177</v>
      </c>
      <c r="T1190">
        <v>125</v>
      </c>
      <c r="U1190">
        <v>41</v>
      </c>
      <c r="V1190" t="s">
        <v>6658</v>
      </c>
      <c r="W1190">
        <v>50720</v>
      </c>
      <c r="X1190" t="s">
        <v>7202</v>
      </c>
      <c r="Y1190">
        <v>39856</v>
      </c>
      <c r="Z1190">
        <v>2079520</v>
      </c>
      <c r="AA1190">
        <v>445424</v>
      </c>
      <c r="AB1190" t="str">
        <f>(VLOOKUP(SalesData[[#This Row],[Month Number]],Reference!C$5:E$16,2,FALSE))</f>
        <v>Feb</v>
      </c>
      <c r="AC1190">
        <f>MONTH(SalesData[[#This Row],[Date]])</f>
        <v>2</v>
      </c>
      <c r="AD1190">
        <f>Reference!F$4</f>
        <v>2026</v>
      </c>
      <c r="AE1190" t="str">
        <f>IF(OR(SalesData[[#This Row],[Day]]="Saturday",SalesData[[#This Row],[Day]]="Sunday"),"Weekend","Weekday")</f>
        <v>Weekday</v>
      </c>
      <c r="AF1190" s="5">
        <f>IF(SalesData[[#This Row],[Contracts Offered]]=0,0,SalesData[[#This Row],[Contracts Signed]]/SalesData[[#This Row],[Contracts Offered]])</f>
        <v>0.32800000000000001</v>
      </c>
      <c r="AG1190" s="5">
        <f>IF(SalesData[[#This Row],[Customers Visited]]=0,0,SalesData[[#This Row],[Test Drives]]/SalesData[[#This Row],[Customers Visited]])</f>
        <v>0.62105263157894741</v>
      </c>
      <c r="AH1190" s="5">
        <f>IF(SalesData[[#This Row],[Customers Visited]]=0,0,SalesData[[#This Row],[Contracts Signed]]/SalesData[[#This Row],[Customers Visited]])</f>
        <v>0.14385964912280702</v>
      </c>
      <c r="AI1190" s="6">
        <f>IF(SalesData[[#This Row],[Contracts Signed]]=0,0,SalesData[[#This Row],[Profit(€)]]/SalesData[[#This Row],[Contracts Signed]])</f>
        <v>10864</v>
      </c>
      <c r="AJ1190" s="5" t="str">
        <f>TRIM(CLEAN(SalesData[[#This Row],[Retailer]]))</f>
        <v>Leipzig Mobility</v>
      </c>
    </row>
    <row r="1191" spans="1:36" ht="14.25" hidden="1" x14ac:dyDescent="0.2">
      <c r="A1191" t="s">
        <v>1981</v>
      </c>
      <c r="B1191" s="1">
        <v>46067</v>
      </c>
      <c r="C1191" t="s">
        <v>121</v>
      </c>
      <c r="D1191" t="s">
        <v>151</v>
      </c>
      <c r="E1191" t="s">
        <v>42</v>
      </c>
      <c r="F1191" t="s">
        <v>101</v>
      </c>
      <c r="G1191" t="s">
        <v>102</v>
      </c>
      <c r="H1191" t="s">
        <v>103</v>
      </c>
      <c r="I1191" t="s">
        <v>116</v>
      </c>
      <c r="J1191" t="s">
        <v>7090</v>
      </c>
      <c r="K1191" t="s">
        <v>91</v>
      </c>
      <c r="L1191" t="s">
        <v>46</v>
      </c>
      <c r="M1191" t="s">
        <v>87</v>
      </c>
      <c r="N1191" t="s">
        <v>35</v>
      </c>
      <c r="O1191" t="s">
        <v>70</v>
      </c>
      <c r="P1191" t="s">
        <v>49</v>
      </c>
      <c r="Q1191" t="s">
        <v>172</v>
      </c>
      <c r="R1191">
        <v>370</v>
      </c>
      <c r="S1191">
        <v>203</v>
      </c>
      <c r="T1191">
        <v>122</v>
      </c>
      <c r="U1191">
        <v>29</v>
      </c>
      <c r="V1191" t="s">
        <v>527</v>
      </c>
      <c r="W1191">
        <v>23575</v>
      </c>
      <c r="X1191" t="s">
        <v>7392</v>
      </c>
      <c r="Y1191">
        <v>21246</v>
      </c>
      <c r="Z1191">
        <v>683675</v>
      </c>
      <c r="AA1191">
        <v>67541</v>
      </c>
      <c r="AB1191" t="str">
        <f>(VLOOKUP(SalesData[[#This Row],[Month Number]],Reference!C$5:E$16,2,FALSE))</f>
        <v>Feb</v>
      </c>
      <c r="AC1191">
        <f>MONTH(SalesData[[#This Row],[Date]])</f>
        <v>2</v>
      </c>
      <c r="AD1191">
        <f>Reference!F$4</f>
        <v>2026</v>
      </c>
      <c r="AE1191" t="str">
        <f>IF(OR(SalesData[[#This Row],[Day]]="Saturday",SalesData[[#This Row],[Day]]="Sunday"),"Weekend","Weekday")</f>
        <v>Weekend</v>
      </c>
      <c r="AF1191" s="5">
        <f>IF(SalesData[[#This Row],[Contracts Offered]]=0,0,SalesData[[#This Row],[Contracts Signed]]/SalesData[[#This Row],[Contracts Offered]])</f>
        <v>0.23770491803278687</v>
      </c>
      <c r="AG1191" s="5">
        <f>IF(SalesData[[#This Row],[Customers Visited]]=0,0,SalesData[[#This Row],[Test Drives]]/SalesData[[#This Row],[Customers Visited]])</f>
        <v>0.5486486486486486</v>
      </c>
      <c r="AH1191" s="5">
        <f>IF(SalesData[[#This Row],[Customers Visited]]=0,0,SalesData[[#This Row],[Contracts Signed]]/SalesData[[#This Row],[Customers Visited]])</f>
        <v>7.8378378378378383E-2</v>
      </c>
      <c r="AI1191" s="6">
        <f>IF(SalesData[[#This Row],[Contracts Signed]]=0,0,SalesData[[#This Row],[Profit(€)]]/SalesData[[#This Row],[Contracts Signed]])</f>
        <v>2329</v>
      </c>
      <c r="AJ1191" s="5" t="str">
        <f>TRIM(CLEAN(SalesData[[#This Row],[Retailer]]))</f>
        <v>Ruhr Auto Plaza</v>
      </c>
    </row>
    <row r="1192" spans="1:36" ht="14.25" hidden="1" x14ac:dyDescent="0.2">
      <c r="A1192" t="s">
        <v>1982</v>
      </c>
      <c r="B1192" s="1">
        <v>46055</v>
      </c>
      <c r="C1192" t="s">
        <v>24</v>
      </c>
      <c r="D1192" t="s">
        <v>25</v>
      </c>
      <c r="E1192" t="s">
        <v>26</v>
      </c>
      <c r="F1192" t="s">
        <v>109</v>
      </c>
      <c r="G1192" t="s">
        <v>110</v>
      </c>
      <c r="H1192" t="s">
        <v>45</v>
      </c>
      <c r="I1192" t="s">
        <v>116</v>
      </c>
      <c r="J1192" t="s">
        <v>7026</v>
      </c>
      <c r="K1192" t="s">
        <v>78</v>
      </c>
      <c r="L1192" t="s">
        <v>46</v>
      </c>
      <c r="M1192" t="s">
        <v>68</v>
      </c>
      <c r="N1192" t="s">
        <v>69</v>
      </c>
      <c r="O1192" t="s">
        <v>70</v>
      </c>
      <c r="P1192" t="s">
        <v>71</v>
      </c>
      <c r="Q1192" t="s">
        <v>172</v>
      </c>
      <c r="R1192">
        <v>355</v>
      </c>
      <c r="S1192">
        <v>151</v>
      </c>
      <c r="T1192">
        <v>88</v>
      </c>
      <c r="U1192">
        <v>24</v>
      </c>
      <c r="V1192" t="s">
        <v>523</v>
      </c>
      <c r="W1192">
        <v>21798</v>
      </c>
      <c r="X1192" t="s">
        <v>5065</v>
      </c>
      <c r="Y1192">
        <v>19514</v>
      </c>
      <c r="Z1192">
        <v>523152</v>
      </c>
      <c r="AA1192">
        <v>54816</v>
      </c>
      <c r="AB1192" t="str">
        <f>(VLOOKUP(SalesData[[#This Row],[Month Number]],Reference!C$5:E$16,2,FALSE))</f>
        <v>Feb</v>
      </c>
      <c r="AC1192">
        <f>MONTH(SalesData[[#This Row],[Date]])</f>
        <v>2</v>
      </c>
      <c r="AD1192">
        <f>Reference!F$4</f>
        <v>2026</v>
      </c>
      <c r="AE1192" t="str">
        <f>IF(OR(SalesData[[#This Row],[Day]]="Saturday",SalesData[[#This Row],[Day]]="Sunday"),"Weekend","Weekday")</f>
        <v>Weekday</v>
      </c>
      <c r="AF1192" s="5">
        <f>IF(SalesData[[#This Row],[Contracts Offered]]=0,0,SalesData[[#This Row],[Contracts Signed]]/SalesData[[#This Row],[Contracts Offered]])</f>
        <v>0.27272727272727271</v>
      </c>
      <c r="AG1192" s="5">
        <f>IF(SalesData[[#This Row],[Customers Visited]]=0,0,SalesData[[#This Row],[Test Drives]]/SalesData[[#This Row],[Customers Visited]])</f>
        <v>0.42535211267605633</v>
      </c>
      <c r="AH1192" s="5">
        <f>IF(SalesData[[#This Row],[Customers Visited]]=0,0,SalesData[[#This Row],[Contracts Signed]]/SalesData[[#This Row],[Customers Visited]])</f>
        <v>6.7605633802816895E-2</v>
      </c>
      <c r="AI1192" s="6">
        <f>IF(SalesData[[#This Row],[Contracts Signed]]=0,0,SalesData[[#This Row],[Profit(€)]]/SalesData[[#This Row],[Contracts Signed]])</f>
        <v>2284</v>
      </c>
      <c r="AJ1192" s="5" t="str">
        <f>TRIM(CLEAN(SalesData[[#This Row],[Retailer]]))</f>
        <v>Leipzig Mobility</v>
      </c>
    </row>
    <row r="1193" spans="1:36" ht="14.25" hidden="1" x14ac:dyDescent="0.2">
      <c r="A1193" t="s">
        <v>1984</v>
      </c>
      <c r="B1193" s="1">
        <v>46056</v>
      </c>
      <c r="C1193" t="s">
        <v>24</v>
      </c>
      <c r="D1193" t="s">
        <v>63</v>
      </c>
      <c r="E1193" t="s">
        <v>26</v>
      </c>
      <c r="F1193" t="s">
        <v>94</v>
      </c>
      <c r="G1193" t="s">
        <v>95</v>
      </c>
      <c r="H1193" t="s">
        <v>96</v>
      </c>
      <c r="I1193" t="s">
        <v>64</v>
      </c>
      <c r="J1193" t="s">
        <v>65</v>
      </c>
      <c r="K1193" t="s">
        <v>91</v>
      </c>
      <c r="L1193" t="s">
        <v>33</v>
      </c>
      <c r="M1193" t="s">
        <v>47</v>
      </c>
      <c r="N1193" t="s">
        <v>35</v>
      </c>
      <c r="O1193" t="s">
        <v>36</v>
      </c>
      <c r="P1193" t="s">
        <v>37</v>
      </c>
      <c r="Q1193" t="s">
        <v>172</v>
      </c>
      <c r="R1193">
        <v>156</v>
      </c>
      <c r="S1193">
        <v>69</v>
      </c>
      <c r="T1193">
        <v>48</v>
      </c>
      <c r="U1193">
        <v>19</v>
      </c>
      <c r="V1193" t="s">
        <v>6577</v>
      </c>
      <c r="W1193">
        <v>65055</v>
      </c>
      <c r="X1193" t="s">
        <v>7393</v>
      </c>
      <c r="Y1193">
        <v>47131</v>
      </c>
      <c r="Z1193">
        <v>1236045</v>
      </c>
      <c r="AA1193">
        <v>340556</v>
      </c>
      <c r="AB1193" t="str">
        <f>(VLOOKUP(SalesData[[#This Row],[Month Number]],Reference!C$5:E$16,2,FALSE))</f>
        <v>Feb</v>
      </c>
      <c r="AC1193">
        <f>MONTH(SalesData[[#This Row],[Date]])</f>
        <v>2</v>
      </c>
      <c r="AD1193">
        <f>Reference!F$4</f>
        <v>2026</v>
      </c>
      <c r="AE1193" t="str">
        <f>IF(OR(SalesData[[#This Row],[Day]]="Saturday",SalesData[[#This Row],[Day]]="Sunday"),"Weekend","Weekday")</f>
        <v>Weekday</v>
      </c>
      <c r="AF1193" s="5">
        <f>IF(SalesData[[#This Row],[Contracts Offered]]=0,0,SalesData[[#This Row],[Contracts Signed]]/SalesData[[#This Row],[Contracts Offered]])</f>
        <v>0.39583333333333331</v>
      </c>
      <c r="AG1193" s="5">
        <f>IF(SalesData[[#This Row],[Customers Visited]]=0,0,SalesData[[#This Row],[Test Drives]]/SalesData[[#This Row],[Customers Visited]])</f>
        <v>0.44230769230769229</v>
      </c>
      <c r="AH1193" s="5">
        <f>IF(SalesData[[#This Row],[Customers Visited]]=0,0,SalesData[[#This Row],[Contracts Signed]]/SalesData[[#This Row],[Customers Visited]])</f>
        <v>0.12179487179487179</v>
      </c>
      <c r="AI1193" s="6">
        <f>IF(SalesData[[#This Row],[Contracts Signed]]=0,0,SalesData[[#This Row],[Profit(€)]]/SalesData[[#This Row],[Contracts Signed]])</f>
        <v>17924</v>
      </c>
      <c r="AJ1193" s="5" t="str">
        <f>TRIM(CLEAN(SalesData[[#This Row],[Retailer]]))</f>
        <v>Bavaria Motors</v>
      </c>
    </row>
    <row r="1194" spans="1:36" ht="14.25" hidden="1" x14ac:dyDescent="0.2">
      <c r="A1194" t="s">
        <v>1985</v>
      </c>
      <c r="B1194" s="1">
        <v>46070</v>
      </c>
      <c r="C1194" t="s">
        <v>62</v>
      </c>
      <c r="D1194" t="s">
        <v>63</v>
      </c>
      <c r="E1194" t="s">
        <v>26</v>
      </c>
      <c r="F1194" t="s">
        <v>94</v>
      </c>
      <c r="G1194" t="s">
        <v>95</v>
      </c>
      <c r="H1194" t="s">
        <v>96</v>
      </c>
      <c r="I1194" t="s">
        <v>104</v>
      </c>
      <c r="J1194" t="s">
        <v>7031</v>
      </c>
      <c r="K1194" t="s">
        <v>78</v>
      </c>
      <c r="L1194" t="s">
        <v>46</v>
      </c>
      <c r="M1194" t="s">
        <v>68</v>
      </c>
      <c r="N1194" t="s">
        <v>69</v>
      </c>
      <c r="O1194" t="s">
        <v>70</v>
      </c>
      <c r="P1194" t="s">
        <v>71</v>
      </c>
      <c r="Q1194" t="s">
        <v>122</v>
      </c>
      <c r="R1194">
        <v>345</v>
      </c>
      <c r="S1194">
        <v>172</v>
      </c>
      <c r="T1194">
        <v>117</v>
      </c>
      <c r="U1194">
        <v>34</v>
      </c>
      <c r="V1194" t="s">
        <v>403</v>
      </c>
      <c r="W1194">
        <v>26594</v>
      </c>
      <c r="X1194" t="s">
        <v>2185</v>
      </c>
      <c r="Y1194">
        <v>23480</v>
      </c>
      <c r="Z1194">
        <v>904196</v>
      </c>
      <c r="AA1194">
        <v>105876</v>
      </c>
      <c r="AB1194" t="str">
        <f>(VLOOKUP(SalesData[[#This Row],[Month Number]],Reference!C$5:E$16,2,FALSE))</f>
        <v>Feb</v>
      </c>
      <c r="AC1194">
        <f>MONTH(SalesData[[#This Row],[Date]])</f>
        <v>2</v>
      </c>
      <c r="AD1194">
        <f>Reference!F$4</f>
        <v>2026</v>
      </c>
      <c r="AE1194" t="str">
        <f>IF(OR(SalesData[[#This Row],[Day]]="Saturday",SalesData[[#This Row],[Day]]="Sunday"),"Weekend","Weekday")</f>
        <v>Weekday</v>
      </c>
      <c r="AF1194" s="5">
        <f>IF(SalesData[[#This Row],[Contracts Offered]]=0,0,SalesData[[#This Row],[Contracts Signed]]/SalesData[[#This Row],[Contracts Offered]])</f>
        <v>0.29059829059829062</v>
      </c>
      <c r="AG1194" s="5">
        <f>IF(SalesData[[#This Row],[Customers Visited]]=0,0,SalesData[[#This Row],[Test Drives]]/SalesData[[#This Row],[Customers Visited]])</f>
        <v>0.49855072463768119</v>
      </c>
      <c r="AH1194" s="5">
        <f>IF(SalesData[[#This Row],[Customers Visited]]=0,0,SalesData[[#This Row],[Contracts Signed]]/SalesData[[#This Row],[Customers Visited]])</f>
        <v>9.8550724637681164E-2</v>
      </c>
      <c r="AI1194" s="6">
        <f>IF(SalesData[[#This Row],[Contracts Signed]]=0,0,SalesData[[#This Row],[Profit(€)]]/SalesData[[#This Row],[Contracts Signed]])</f>
        <v>3114</v>
      </c>
      <c r="AJ1194" s="5" t="str">
        <f>TRIM(CLEAN(SalesData[[#This Row],[Retailer]]))</f>
        <v>Bavaria Motors</v>
      </c>
    </row>
    <row r="1195" spans="1:36" ht="14.25" hidden="1" x14ac:dyDescent="0.2">
      <c r="A1195" t="s">
        <v>1986</v>
      </c>
      <c r="B1195" s="1">
        <v>46064</v>
      </c>
      <c r="C1195" t="s">
        <v>121</v>
      </c>
      <c r="D1195" t="s">
        <v>82</v>
      </c>
      <c r="E1195" t="s">
        <v>26</v>
      </c>
      <c r="F1195" t="s">
        <v>101</v>
      </c>
      <c r="G1195" t="s">
        <v>102</v>
      </c>
      <c r="H1195" t="s">
        <v>103</v>
      </c>
      <c r="I1195" t="s">
        <v>56</v>
      </c>
      <c r="J1195" t="s">
        <v>97</v>
      </c>
      <c r="K1195" t="s">
        <v>78</v>
      </c>
      <c r="L1195" t="s">
        <v>33</v>
      </c>
      <c r="M1195" t="s">
        <v>34</v>
      </c>
      <c r="N1195" t="s">
        <v>69</v>
      </c>
      <c r="O1195" t="s">
        <v>70</v>
      </c>
      <c r="P1195" t="s">
        <v>58</v>
      </c>
      <c r="Q1195" t="s">
        <v>240</v>
      </c>
      <c r="R1195">
        <v>281</v>
      </c>
      <c r="S1195">
        <v>160</v>
      </c>
      <c r="T1195">
        <v>110</v>
      </c>
      <c r="U1195">
        <v>41</v>
      </c>
      <c r="V1195" t="s">
        <v>6598</v>
      </c>
      <c r="W1195">
        <v>42196</v>
      </c>
      <c r="X1195" t="s">
        <v>7260</v>
      </c>
      <c r="Y1195">
        <v>34261</v>
      </c>
      <c r="Z1195">
        <v>1730036</v>
      </c>
      <c r="AA1195">
        <v>325335</v>
      </c>
      <c r="AB1195" t="str">
        <f>(VLOOKUP(SalesData[[#This Row],[Month Number]],Reference!C$5:E$16,2,FALSE))</f>
        <v>Feb</v>
      </c>
      <c r="AC1195">
        <f>MONTH(SalesData[[#This Row],[Date]])</f>
        <v>2</v>
      </c>
      <c r="AD1195">
        <f>Reference!F$4</f>
        <v>2026</v>
      </c>
      <c r="AE1195" t="str">
        <f>IF(OR(SalesData[[#This Row],[Day]]="Saturday",SalesData[[#This Row],[Day]]="Sunday"),"Weekend","Weekday")</f>
        <v>Weekday</v>
      </c>
      <c r="AF1195" s="5">
        <f>IF(SalesData[[#This Row],[Contracts Offered]]=0,0,SalesData[[#This Row],[Contracts Signed]]/SalesData[[#This Row],[Contracts Offered]])</f>
        <v>0.37272727272727274</v>
      </c>
      <c r="AG1195" s="5">
        <f>IF(SalesData[[#This Row],[Customers Visited]]=0,0,SalesData[[#This Row],[Test Drives]]/SalesData[[#This Row],[Customers Visited]])</f>
        <v>0.56939501779359436</v>
      </c>
      <c r="AH1195" s="5">
        <f>IF(SalesData[[#This Row],[Customers Visited]]=0,0,SalesData[[#This Row],[Contracts Signed]]/SalesData[[#This Row],[Customers Visited]])</f>
        <v>0.14590747330960854</v>
      </c>
      <c r="AI1195" s="6">
        <f>IF(SalesData[[#This Row],[Contracts Signed]]=0,0,SalesData[[#This Row],[Profit(€)]]/SalesData[[#This Row],[Contracts Signed]])</f>
        <v>7935</v>
      </c>
      <c r="AJ1195" s="5" t="str">
        <f>TRIM(CLEAN(SalesData[[#This Row],[Retailer]]))</f>
        <v>Ruhr Auto Plaza</v>
      </c>
    </row>
    <row r="1196" spans="1:36" ht="14.25" hidden="1" x14ac:dyDescent="0.2">
      <c r="A1196" t="s">
        <v>1988</v>
      </c>
      <c r="B1196" s="1">
        <v>46069</v>
      </c>
      <c r="C1196" t="s">
        <v>62</v>
      </c>
      <c r="D1196" t="s">
        <v>25</v>
      </c>
      <c r="E1196" t="s">
        <v>26</v>
      </c>
      <c r="F1196" t="s">
        <v>7649</v>
      </c>
      <c r="G1196" t="s">
        <v>55</v>
      </c>
      <c r="H1196" t="s">
        <v>55</v>
      </c>
      <c r="I1196" t="s">
        <v>56</v>
      </c>
      <c r="J1196" t="s">
        <v>7028</v>
      </c>
      <c r="K1196" t="s">
        <v>66</v>
      </c>
      <c r="L1196" t="s">
        <v>46</v>
      </c>
      <c r="M1196" t="s">
        <v>87</v>
      </c>
      <c r="N1196" t="s">
        <v>48</v>
      </c>
      <c r="O1196" t="s">
        <v>36</v>
      </c>
      <c r="P1196" t="s">
        <v>37</v>
      </c>
      <c r="Q1196" t="s">
        <v>158</v>
      </c>
      <c r="R1196">
        <v>275</v>
      </c>
      <c r="S1196">
        <v>151</v>
      </c>
      <c r="T1196">
        <v>104</v>
      </c>
      <c r="U1196">
        <v>37</v>
      </c>
      <c r="V1196" t="s">
        <v>6738</v>
      </c>
      <c r="W1196">
        <v>52642</v>
      </c>
      <c r="X1196" t="s">
        <v>5862</v>
      </c>
      <c r="Y1196">
        <v>41839</v>
      </c>
      <c r="Z1196">
        <v>1947754</v>
      </c>
      <c r="AA1196">
        <v>399711</v>
      </c>
      <c r="AB1196" t="str">
        <f>(VLOOKUP(SalesData[[#This Row],[Month Number]],Reference!C$5:E$16,2,FALSE))</f>
        <v>Feb</v>
      </c>
      <c r="AC1196">
        <f>MONTH(SalesData[[#This Row],[Date]])</f>
        <v>2</v>
      </c>
      <c r="AD1196">
        <f>Reference!F$4</f>
        <v>2026</v>
      </c>
      <c r="AE1196" t="str">
        <f>IF(OR(SalesData[[#This Row],[Day]]="Saturday",SalesData[[#This Row],[Day]]="Sunday"),"Weekend","Weekday")</f>
        <v>Weekday</v>
      </c>
      <c r="AF1196" s="5">
        <f>IF(SalesData[[#This Row],[Contracts Offered]]=0,0,SalesData[[#This Row],[Contracts Signed]]/SalesData[[#This Row],[Contracts Offered]])</f>
        <v>0.35576923076923078</v>
      </c>
      <c r="AG1196" s="5">
        <f>IF(SalesData[[#This Row],[Customers Visited]]=0,0,SalesData[[#This Row],[Test Drives]]/SalesData[[#This Row],[Customers Visited]])</f>
        <v>0.54909090909090907</v>
      </c>
      <c r="AH1196" s="5">
        <f>IF(SalesData[[#This Row],[Customers Visited]]=0,0,SalesData[[#This Row],[Contracts Signed]]/SalesData[[#This Row],[Customers Visited]])</f>
        <v>0.13454545454545455</v>
      </c>
      <c r="AI1196" s="6">
        <f>IF(SalesData[[#This Row],[Contracts Signed]]=0,0,SalesData[[#This Row],[Profit(€)]]/SalesData[[#This Row],[Contracts Signed]])</f>
        <v>10803</v>
      </c>
      <c r="AJ1196" s="5" t="str">
        <f>TRIM(CLEAN(SalesData[[#This Row],[Retailer]]))</f>
        <v>Autohaus Berlin</v>
      </c>
    </row>
    <row r="1197" spans="1:36" ht="14.25" hidden="1" x14ac:dyDescent="0.2">
      <c r="A1197" t="s">
        <v>1989</v>
      </c>
      <c r="B1197" s="1">
        <v>46057</v>
      </c>
      <c r="C1197" t="s">
        <v>24</v>
      </c>
      <c r="D1197" t="s">
        <v>82</v>
      </c>
      <c r="E1197" t="s">
        <v>26</v>
      </c>
      <c r="F1197" t="s">
        <v>43</v>
      </c>
      <c r="G1197" t="s">
        <v>44</v>
      </c>
      <c r="H1197" t="s">
        <v>45</v>
      </c>
      <c r="I1197" t="s">
        <v>64</v>
      </c>
      <c r="J1197" t="s">
        <v>7029</v>
      </c>
      <c r="K1197" t="s">
        <v>66</v>
      </c>
      <c r="L1197" t="s">
        <v>33</v>
      </c>
      <c r="M1197" t="s">
        <v>34</v>
      </c>
      <c r="N1197" t="s">
        <v>48</v>
      </c>
      <c r="O1197" t="s">
        <v>36</v>
      </c>
      <c r="P1197" t="s">
        <v>71</v>
      </c>
      <c r="Q1197" t="s">
        <v>50</v>
      </c>
      <c r="R1197">
        <v>164</v>
      </c>
      <c r="S1197">
        <v>97</v>
      </c>
      <c r="T1197">
        <v>66</v>
      </c>
      <c r="U1197">
        <v>23</v>
      </c>
      <c r="V1197" t="s">
        <v>6863</v>
      </c>
      <c r="W1197">
        <v>62682</v>
      </c>
      <c r="X1197" t="s">
        <v>7034</v>
      </c>
      <c r="Y1197">
        <v>47984</v>
      </c>
      <c r="Z1197">
        <v>1441686</v>
      </c>
      <c r="AA1197">
        <v>338054</v>
      </c>
      <c r="AB1197" t="str">
        <f>(VLOOKUP(SalesData[[#This Row],[Month Number]],Reference!C$5:E$16,2,FALSE))</f>
        <v>Feb</v>
      </c>
      <c r="AC1197">
        <f>MONTH(SalesData[[#This Row],[Date]])</f>
        <v>2</v>
      </c>
      <c r="AD1197">
        <f>Reference!F$4</f>
        <v>2026</v>
      </c>
      <c r="AE1197" t="str">
        <f>IF(OR(SalesData[[#This Row],[Day]]="Saturday",SalesData[[#This Row],[Day]]="Sunday"),"Weekend","Weekday")</f>
        <v>Weekday</v>
      </c>
      <c r="AF1197" s="5">
        <f>IF(SalesData[[#This Row],[Contracts Offered]]=0,0,SalesData[[#This Row],[Contracts Signed]]/SalesData[[#This Row],[Contracts Offered]])</f>
        <v>0.34848484848484851</v>
      </c>
      <c r="AG1197" s="5">
        <f>IF(SalesData[[#This Row],[Customers Visited]]=0,0,SalesData[[#This Row],[Test Drives]]/SalesData[[#This Row],[Customers Visited]])</f>
        <v>0.59146341463414631</v>
      </c>
      <c r="AH1197" s="5">
        <f>IF(SalesData[[#This Row],[Customers Visited]]=0,0,SalesData[[#This Row],[Contracts Signed]]/SalesData[[#This Row],[Customers Visited]])</f>
        <v>0.1402439024390244</v>
      </c>
      <c r="AI1197" s="6">
        <f>IF(SalesData[[#This Row],[Contracts Signed]]=0,0,SalesData[[#This Row],[Profit(€)]]/SalesData[[#This Row],[Contracts Signed]])</f>
        <v>14698</v>
      </c>
      <c r="AJ1197" s="5" t="str">
        <f>TRIM(CLEAN(SalesData[[#This Row],[Retailer]]))</f>
        <v>Saxon Wheels</v>
      </c>
    </row>
    <row r="1198" spans="1:36" ht="14.25" x14ac:dyDescent="0.2">
      <c r="A1198" t="s">
        <v>1991</v>
      </c>
      <c r="B1198" s="1">
        <v>46054</v>
      </c>
      <c r="C1198" t="s">
        <v>24</v>
      </c>
      <c r="D1198" t="s">
        <v>41</v>
      </c>
      <c r="E1198" t="s">
        <v>42</v>
      </c>
      <c r="F1198" t="s">
        <v>27</v>
      </c>
      <c r="G1198" t="s">
        <v>28</v>
      </c>
      <c r="H1198" t="s">
        <v>29</v>
      </c>
      <c r="I1198" t="s">
        <v>30</v>
      </c>
      <c r="J1198" t="s">
        <v>166</v>
      </c>
      <c r="K1198" t="s">
        <v>66</v>
      </c>
      <c r="L1198" t="s">
        <v>46</v>
      </c>
      <c r="M1198" t="s">
        <v>34</v>
      </c>
      <c r="N1198" t="s">
        <v>48</v>
      </c>
      <c r="O1198" t="s">
        <v>70</v>
      </c>
      <c r="P1198" t="s">
        <v>71</v>
      </c>
      <c r="Q1198" t="s">
        <v>106</v>
      </c>
      <c r="R1198">
        <v>242</v>
      </c>
      <c r="S1198">
        <v>115</v>
      </c>
      <c r="T1198">
        <v>83</v>
      </c>
      <c r="U1198">
        <v>29</v>
      </c>
      <c r="V1198" t="s">
        <v>6749</v>
      </c>
      <c r="W1198">
        <v>58817</v>
      </c>
      <c r="X1198" t="s">
        <v>7387</v>
      </c>
      <c r="Y1198">
        <v>44545</v>
      </c>
      <c r="Z1198">
        <v>1705693</v>
      </c>
      <c r="AA1198">
        <v>413888</v>
      </c>
      <c r="AB1198" t="str">
        <f>(VLOOKUP(SalesData[[#This Row],[Month Number]],Reference!C$5:E$16,2,FALSE))</f>
        <v>Feb</v>
      </c>
      <c r="AC1198">
        <f>MONTH(SalesData[[#This Row],[Date]])</f>
        <v>2</v>
      </c>
      <c r="AD1198">
        <f>Reference!F$4</f>
        <v>2026</v>
      </c>
      <c r="AE1198" t="str">
        <f>IF(OR(SalesData[[#This Row],[Day]]="Saturday",SalesData[[#This Row],[Day]]="Sunday"),"Weekend","Weekday")</f>
        <v>Weekend</v>
      </c>
      <c r="AF1198" s="5">
        <f>IF(SalesData[[#This Row],[Contracts Offered]]=0,0,SalesData[[#This Row],[Contracts Signed]]/SalesData[[#This Row],[Contracts Offered]])</f>
        <v>0.3493975903614458</v>
      </c>
      <c r="AG1198" s="5">
        <f>IF(SalesData[[#This Row],[Customers Visited]]=0,0,SalesData[[#This Row],[Test Drives]]/SalesData[[#This Row],[Customers Visited]])</f>
        <v>0.47520661157024796</v>
      </c>
      <c r="AH1198" s="5">
        <f>IF(SalesData[[#This Row],[Customers Visited]]=0,0,SalesData[[#This Row],[Contracts Signed]]/SalesData[[#This Row],[Customers Visited]])</f>
        <v>0.11983471074380166</v>
      </c>
      <c r="AI1198" s="6">
        <f>IF(SalesData[[#This Row],[Contracts Signed]]=0,0,SalesData[[#This Row],[Profit(€)]]/SalesData[[#This Row],[Contracts Signed]])</f>
        <v>14272</v>
      </c>
      <c r="AJ1198" s="5" t="str">
        <f>TRIM(CLEAN(SalesData[[#This Row],[Retailer]]))</f>
        <v>Main Auto Hub</v>
      </c>
    </row>
    <row r="1199" spans="1:36" ht="14.25" x14ac:dyDescent="0.2">
      <c r="A1199" t="s">
        <v>1993</v>
      </c>
      <c r="B1199" s="1">
        <v>46057</v>
      </c>
      <c r="C1199" t="s">
        <v>24</v>
      </c>
      <c r="D1199" t="s">
        <v>82</v>
      </c>
      <c r="E1199" t="s">
        <v>26</v>
      </c>
      <c r="F1199" t="s">
        <v>101</v>
      </c>
      <c r="G1199" t="s">
        <v>102</v>
      </c>
      <c r="H1199" t="s">
        <v>103</v>
      </c>
      <c r="I1199" t="s">
        <v>30</v>
      </c>
      <c r="J1199" t="s">
        <v>188</v>
      </c>
      <c r="K1199" t="s">
        <v>78</v>
      </c>
      <c r="L1199" t="s">
        <v>33</v>
      </c>
      <c r="M1199" t="s">
        <v>47</v>
      </c>
      <c r="N1199" t="s">
        <v>69</v>
      </c>
      <c r="O1199" t="s">
        <v>70</v>
      </c>
      <c r="P1199" t="s">
        <v>49</v>
      </c>
      <c r="Q1199" t="s">
        <v>158</v>
      </c>
      <c r="R1199">
        <v>171</v>
      </c>
      <c r="S1199">
        <v>102</v>
      </c>
      <c r="T1199">
        <v>71</v>
      </c>
      <c r="U1199">
        <v>27</v>
      </c>
      <c r="V1199" t="s">
        <v>6486</v>
      </c>
      <c r="W1199">
        <v>52717</v>
      </c>
      <c r="X1199" t="s">
        <v>2861</v>
      </c>
      <c r="Y1199">
        <v>39877</v>
      </c>
      <c r="Z1199">
        <v>1423359</v>
      </c>
      <c r="AA1199">
        <v>346680</v>
      </c>
      <c r="AB1199" t="str">
        <f>(VLOOKUP(SalesData[[#This Row],[Month Number]],Reference!C$5:E$16,2,FALSE))</f>
        <v>Feb</v>
      </c>
      <c r="AC1199">
        <f>MONTH(SalesData[[#This Row],[Date]])</f>
        <v>2</v>
      </c>
      <c r="AD1199">
        <f>Reference!F$4</f>
        <v>2026</v>
      </c>
      <c r="AE1199" t="str">
        <f>IF(OR(SalesData[[#This Row],[Day]]="Saturday",SalesData[[#This Row],[Day]]="Sunday"),"Weekend","Weekday")</f>
        <v>Weekday</v>
      </c>
      <c r="AF1199" s="5">
        <f>IF(SalesData[[#This Row],[Contracts Offered]]=0,0,SalesData[[#This Row],[Contracts Signed]]/SalesData[[#This Row],[Contracts Offered]])</f>
        <v>0.38028169014084506</v>
      </c>
      <c r="AG1199" s="5">
        <f>IF(SalesData[[#This Row],[Customers Visited]]=0,0,SalesData[[#This Row],[Test Drives]]/SalesData[[#This Row],[Customers Visited]])</f>
        <v>0.59649122807017541</v>
      </c>
      <c r="AH1199" s="5">
        <f>IF(SalesData[[#This Row],[Customers Visited]]=0,0,SalesData[[#This Row],[Contracts Signed]]/SalesData[[#This Row],[Customers Visited]])</f>
        <v>0.15789473684210525</v>
      </c>
      <c r="AI1199" s="6">
        <f>IF(SalesData[[#This Row],[Contracts Signed]]=0,0,SalesData[[#This Row],[Profit(€)]]/SalesData[[#This Row],[Contracts Signed]])</f>
        <v>12840</v>
      </c>
      <c r="AJ1199" s="5" t="str">
        <f>TRIM(CLEAN(SalesData[[#This Row],[Retailer]]))</f>
        <v>Ruhr Auto Plaza</v>
      </c>
    </row>
    <row r="1200" spans="1:36" ht="14.25" hidden="1" x14ac:dyDescent="0.2">
      <c r="A1200" t="s">
        <v>1994</v>
      </c>
      <c r="B1200" s="1">
        <v>46068</v>
      </c>
      <c r="C1200" t="s">
        <v>62</v>
      </c>
      <c r="D1200" t="s">
        <v>41</v>
      </c>
      <c r="E1200" t="s">
        <v>42</v>
      </c>
      <c r="F1200" t="s">
        <v>127</v>
      </c>
      <c r="G1200" t="s">
        <v>128</v>
      </c>
      <c r="H1200" t="s">
        <v>103</v>
      </c>
      <c r="I1200" t="s">
        <v>64</v>
      </c>
      <c r="J1200" t="s">
        <v>7029</v>
      </c>
      <c r="K1200" t="s">
        <v>66</v>
      </c>
      <c r="L1200" t="s">
        <v>33</v>
      </c>
      <c r="M1200" t="s">
        <v>34</v>
      </c>
      <c r="N1200" t="s">
        <v>35</v>
      </c>
      <c r="O1200" t="s">
        <v>36</v>
      </c>
      <c r="P1200" t="s">
        <v>71</v>
      </c>
      <c r="Q1200" t="s">
        <v>106</v>
      </c>
      <c r="R1200">
        <v>227</v>
      </c>
      <c r="S1200">
        <v>109</v>
      </c>
      <c r="T1200">
        <v>83</v>
      </c>
      <c r="U1200">
        <v>27</v>
      </c>
      <c r="V1200" t="s">
        <v>6390</v>
      </c>
      <c r="W1200">
        <v>65341</v>
      </c>
      <c r="X1200" t="s">
        <v>1151</v>
      </c>
      <c r="Y1200">
        <v>46559</v>
      </c>
      <c r="Z1200">
        <v>1764207</v>
      </c>
      <c r="AA1200">
        <v>507114</v>
      </c>
      <c r="AB1200" t="str">
        <f>(VLOOKUP(SalesData[[#This Row],[Month Number]],Reference!C$5:E$16,2,FALSE))</f>
        <v>Feb</v>
      </c>
      <c r="AC1200">
        <f>MONTH(SalesData[[#This Row],[Date]])</f>
        <v>2</v>
      </c>
      <c r="AD1200">
        <f>Reference!F$4</f>
        <v>2026</v>
      </c>
      <c r="AE1200" t="str">
        <f>IF(OR(SalesData[[#This Row],[Day]]="Saturday",SalesData[[#This Row],[Day]]="Sunday"),"Weekend","Weekday")</f>
        <v>Weekend</v>
      </c>
      <c r="AF1200" s="5">
        <f>IF(SalesData[[#This Row],[Contracts Offered]]=0,0,SalesData[[#This Row],[Contracts Signed]]/SalesData[[#This Row],[Contracts Offered]])</f>
        <v>0.3253012048192771</v>
      </c>
      <c r="AG1200" s="5">
        <f>IF(SalesData[[#This Row],[Customers Visited]]=0,0,SalesData[[#This Row],[Test Drives]]/SalesData[[#This Row],[Customers Visited]])</f>
        <v>0.48017621145374451</v>
      </c>
      <c r="AH1200" s="5">
        <f>IF(SalesData[[#This Row],[Customers Visited]]=0,0,SalesData[[#This Row],[Contracts Signed]]/SalesData[[#This Row],[Customers Visited]])</f>
        <v>0.11894273127753303</v>
      </c>
      <c r="AI1200" s="6">
        <f>IF(SalesData[[#This Row],[Contracts Signed]]=0,0,SalesData[[#This Row],[Profit(€)]]/SalesData[[#This Row],[Contracts Signed]])</f>
        <v>18782</v>
      </c>
      <c r="AJ1200" s="5" t="str">
        <f>TRIM(CLEAN(SalesData[[#This Row],[Retailer]]))</f>
        <v>Rhein Auto Group</v>
      </c>
    </row>
    <row r="1201" spans="1:36" ht="14.25" hidden="1" x14ac:dyDescent="0.2">
      <c r="A1201" t="s">
        <v>1995</v>
      </c>
      <c r="B1201" s="1">
        <v>46077</v>
      </c>
      <c r="C1201" t="s">
        <v>53</v>
      </c>
      <c r="D1201" t="s">
        <v>63</v>
      </c>
      <c r="E1201" t="s">
        <v>26</v>
      </c>
      <c r="F1201" t="s">
        <v>94</v>
      </c>
      <c r="G1201" t="s">
        <v>95</v>
      </c>
      <c r="H1201" t="s">
        <v>96</v>
      </c>
      <c r="I1201" t="s">
        <v>56</v>
      </c>
      <c r="J1201" t="s">
        <v>57</v>
      </c>
      <c r="K1201" t="s">
        <v>91</v>
      </c>
      <c r="L1201" t="s">
        <v>46</v>
      </c>
      <c r="M1201" t="s">
        <v>87</v>
      </c>
      <c r="N1201" t="s">
        <v>48</v>
      </c>
      <c r="O1201" t="s">
        <v>36</v>
      </c>
      <c r="P1201" t="s">
        <v>49</v>
      </c>
      <c r="Q1201" t="s">
        <v>106</v>
      </c>
      <c r="R1201">
        <v>201</v>
      </c>
      <c r="S1201">
        <v>114</v>
      </c>
      <c r="T1201">
        <v>81</v>
      </c>
      <c r="U1201">
        <v>28</v>
      </c>
      <c r="V1201" t="s">
        <v>6590</v>
      </c>
      <c r="W1201">
        <v>43455</v>
      </c>
      <c r="X1201" t="s">
        <v>4223</v>
      </c>
      <c r="Y1201">
        <v>32815</v>
      </c>
      <c r="Z1201">
        <v>1216740</v>
      </c>
      <c r="AA1201">
        <v>297920</v>
      </c>
      <c r="AB1201" t="str">
        <f>(VLOOKUP(SalesData[[#This Row],[Month Number]],Reference!C$5:E$16,2,FALSE))</f>
        <v>Feb</v>
      </c>
      <c r="AC1201">
        <f>MONTH(SalesData[[#This Row],[Date]])</f>
        <v>2</v>
      </c>
      <c r="AD1201">
        <f>Reference!F$4</f>
        <v>2026</v>
      </c>
      <c r="AE1201" t="str">
        <f>IF(OR(SalesData[[#This Row],[Day]]="Saturday",SalesData[[#This Row],[Day]]="Sunday"),"Weekend","Weekday")</f>
        <v>Weekday</v>
      </c>
      <c r="AF1201" s="5">
        <f>IF(SalesData[[#This Row],[Contracts Offered]]=0,0,SalesData[[#This Row],[Contracts Signed]]/SalesData[[#This Row],[Contracts Offered]])</f>
        <v>0.34567901234567899</v>
      </c>
      <c r="AG1201" s="5">
        <f>IF(SalesData[[#This Row],[Customers Visited]]=0,0,SalesData[[#This Row],[Test Drives]]/SalesData[[#This Row],[Customers Visited]])</f>
        <v>0.56716417910447758</v>
      </c>
      <c r="AH1201" s="5">
        <f>IF(SalesData[[#This Row],[Customers Visited]]=0,0,SalesData[[#This Row],[Contracts Signed]]/SalesData[[#This Row],[Customers Visited]])</f>
        <v>0.13930348258706468</v>
      </c>
      <c r="AI1201" s="6">
        <f>IF(SalesData[[#This Row],[Contracts Signed]]=0,0,SalesData[[#This Row],[Profit(€)]]/SalesData[[#This Row],[Contracts Signed]])</f>
        <v>10640</v>
      </c>
      <c r="AJ1201" s="5" t="str">
        <f>TRIM(CLEAN(SalesData[[#This Row],[Retailer]]))</f>
        <v>Bavaria Motors</v>
      </c>
    </row>
    <row r="1202" spans="1:36" ht="14.25" hidden="1" x14ac:dyDescent="0.2">
      <c r="A1202" t="s">
        <v>1997</v>
      </c>
      <c r="B1202" s="1">
        <v>46070</v>
      </c>
      <c r="C1202" t="s">
        <v>62</v>
      </c>
      <c r="D1202" t="s">
        <v>63</v>
      </c>
      <c r="E1202" t="s">
        <v>26</v>
      </c>
      <c r="F1202" t="s">
        <v>114</v>
      </c>
      <c r="G1202" t="s">
        <v>115</v>
      </c>
      <c r="H1202" t="s">
        <v>115</v>
      </c>
      <c r="I1202" t="s">
        <v>104</v>
      </c>
      <c r="J1202" t="s">
        <v>105</v>
      </c>
      <c r="K1202" t="s">
        <v>78</v>
      </c>
      <c r="L1202" t="s">
        <v>33</v>
      </c>
      <c r="M1202" t="s">
        <v>34</v>
      </c>
      <c r="N1202" t="s">
        <v>69</v>
      </c>
      <c r="O1202" t="s">
        <v>70</v>
      </c>
      <c r="P1202" t="s">
        <v>71</v>
      </c>
      <c r="Q1202" t="s">
        <v>144</v>
      </c>
      <c r="R1202">
        <v>390</v>
      </c>
      <c r="S1202">
        <v>216</v>
      </c>
      <c r="T1202">
        <v>137</v>
      </c>
      <c r="U1202">
        <v>36</v>
      </c>
      <c r="V1202" t="s">
        <v>508</v>
      </c>
      <c r="W1202">
        <v>26461</v>
      </c>
      <c r="X1202" t="s">
        <v>7311</v>
      </c>
      <c r="Y1202">
        <v>23136</v>
      </c>
      <c r="Z1202">
        <v>952596</v>
      </c>
      <c r="AA1202">
        <v>119700</v>
      </c>
      <c r="AB1202" t="str">
        <f>(VLOOKUP(SalesData[[#This Row],[Month Number]],Reference!C$5:E$16,2,FALSE))</f>
        <v>Feb</v>
      </c>
      <c r="AC1202">
        <f>MONTH(SalesData[[#This Row],[Date]])</f>
        <v>2</v>
      </c>
      <c r="AD1202">
        <f>Reference!F$4</f>
        <v>2026</v>
      </c>
      <c r="AE1202" t="str">
        <f>IF(OR(SalesData[[#This Row],[Day]]="Saturday",SalesData[[#This Row],[Day]]="Sunday"),"Weekend","Weekday")</f>
        <v>Weekday</v>
      </c>
      <c r="AF1202" s="5">
        <f>IF(SalesData[[#This Row],[Contracts Offered]]=0,0,SalesData[[#This Row],[Contracts Signed]]/SalesData[[#This Row],[Contracts Offered]])</f>
        <v>0.26277372262773724</v>
      </c>
      <c r="AG1202" s="5">
        <f>IF(SalesData[[#This Row],[Customers Visited]]=0,0,SalesData[[#This Row],[Test Drives]]/SalesData[[#This Row],[Customers Visited]])</f>
        <v>0.55384615384615388</v>
      </c>
      <c r="AH1202" s="5">
        <f>IF(SalesData[[#This Row],[Customers Visited]]=0,0,SalesData[[#This Row],[Contracts Signed]]/SalesData[[#This Row],[Customers Visited]])</f>
        <v>9.2307692307692313E-2</v>
      </c>
      <c r="AI1202" s="6">
        <f>IF(SalesData[[#This Row],[Contracts Signed]]=0,0,SalesData[[#This Row],[Profit(€)]]/SalesData[[#This Row],[Contracts Signed]])</f>
        <v>3325</v>
      </c>
      <c r="AJ1202" s="5" t="str">
        <f>TRIM(CLEAN(SalesData[[#This Row],[Retailer]]))</f>
        <v>Elbe Drive</v>
      </c>
    </row>
    <row r="1203" spans="1:36" ht="14.25" x14ac:dyDescent="0.2">
      <c r="A1203" t="s">
        <v>1999</v>
      </c>
      <c r="B1203" s="1">
        <v>46080</v>
      </c>
      <c r="C1203" t="s">
        <v>53</v>
      </c>
      <c r="D1203" t="s">
        <v>54</v>
      </c>
      <c r="E1203" t="s">
        <v>26</v>
      </c>
      <c r="F1203" t="s">
        <v>83</v>
      </c>
      <c r="G1203" t="s">
        <v>84</v>
      </c>
      <c r="H1203" t="s">
        <v>85</v>
      </c>
      <c r="I1203" t="s">
        <v>30</v>
      </c>
      <c r="J1203" t="s">
        <v>166</v>
      </c>
      <c r="K1203" t="s">
        <v>91</v>
      </c>
      <c r="L1203" t="s">
        <v>46</v>
      </c>
      <c r="M1203" t="s">
        <v>47</v>
      </c>
      <c r="N1203" t="s">
        <v>69</v>
      </c>
      <c r="O1203" t="s">
        <v>70</v>
      </c>
      <c r="P1203" t="s">
        <v>58</v>
      </c>
      <c r="Q1203" t="s">
        <v>169</v>
      </c>
      <c r="R1203">
        <v>169</v>
      </c>
      <c r="S1203">
        <v>80</v>
      </c>
      <c r="T1203">
        <v>54</v>
      </c>
      <c r="U1203">
        <v>22</v>
      </c>
      <c r="V1203" t="s">
        <v>6767</v>
      </c>
      <c r="W1203">
        <v>66979</v>
      </c>
      <c r="X1203" t="s">
        <v>2334</v>
      </c>
      <c r="Y1203">
        <v>50823</v>
      </c>
      <c r="Z1203">
        <v>1473538</v>
      </c>
      <c r="AA1203">
        <v>355432</v>
      </c>
      <c r="AB1203" t="str">
        <f>(VLOOKUP(SalesData[[#This Row],[Month Number]],Reference!C$5:E$16,2,FALSE))</f>
        <v>Feb</v>
      </c>
      <c r="AC1203">
        <f>MONTH(SalesData[[#This Row],[Date]])</f>
        <v>2</v>
      </c>
      <c r="AD1203">
        <f>Reference!F$4</f>
        <v>2026</v>
      </c>
      <c r="AE1203" t="str">
        <f>IF(OR(SalesData[[#This Row],[Day]]="Saturday",SalesData[[#This Row],[Day]]="Sunday"),"Weekend","Weekday")</f>
        <v>Weekday</v>
      </c>
      <c r="AF1203" s="5">
        <f>IF(SalesData[[#This Row],[Contracts Offered]]=0,0,SalesData[[#This Row],[Contracts Signed]]/SalesData[[#This Row],[Contracts Offered]])</f>
        <v>0.40740740740740738</v>
      </c>
      <c r="AG1203" s="5">
        <f>IF(SalesData[[#This Row],[Customers Visited]]=0,0,SalesData[[#This Row],[Test Drives]]/SalesData[[#This Row],[Customers Visited]])</f>
        <v>0.47337278106508873</v>
      </c>
      <c r="AH1203" s="5">
        <f>IF(SalesData[[#This Row],[Customers Visited]]=0,0,SalesData[[#This Row],[Contracts Signed]]/SalesData[[#This Row],[Customers Visited]])</f>
        <v>0.13017751479289941</v>
      </c>
      <c r="AI1203" s="6">
        <f>IF(SalesData[[#This Row],[Contracts Signed]]=0,0,SalesData[[#This Row],[Profit(€)]]/SalesData[[#This Row],[Contracts Signed]])</f>
        <v>16156</v>
      </c>
      <c r="AJ1203" s="5" t="str">
        <f>TRIM(CLEAN(SalesData[[#This Row],[Retailer]]))</f>
        <v>Hannover Cars</v>
      </c>
    </row>
    <row r="1204" spans="1:36" ht="14.25" hidden="1" x14ac:dyDescent="0.2">
      <c r="A1204" t="s">
        <v>2000</v>
      </c>
      <c r="B1204" s="1">
        <v>46076</v>
      </c>
      <c r="C1204" t="s">
        <v>53</v>
      </c>
      <c r="D1204" t="s">
        <v>25</v>
      </c>
      <c r="E1204" t="s">
        <v>26</v>
      </c>
      <c r="F1204" t="s">
        <v>114</v>
      </c>
      <c r="G1204" t="s">
        <v>115</v>
      </c>
      <c r="H1204" t="s">
        <v>115</v>
      </c>
      <c r="I1204" t="s">
        <v>56</v>
      </c>
      <c r="J1204" t="s">
        <v>7028</v>
      </c>
      <c r="K1204" t="s">
        <v>78</v>
      </c>
      <c r="L1204" t="s">
        <v>46</v>
      </c>
      <c r="M1204" t="s">
        <v>34</v>
      </c>
      <c r="N1204" t="s">
        <v>48</v>
      </c>
      <c r="O1204" t="s">
        <v>70</v>
      </c>
      <c r="P1204" t="s">
        <v>58</v>
      </c>
      <c r="Q1204" t="s">
        <v>204</v>
      </c>
      <c r="R1204">
        <v>240</v>
      </c>
      <c r="S1204">
        <v>121</v>
      </c>
      <c r="T1204">
        <v>79</v>
      </c>
      <c r="U1204">
        <v>29</v>
      </c>
      <c r="V1204" t="s">
        <v>6682</v>
      </c>
      <c r="W1204">
        <v>46606</v>
      </c>
      <c r="X1204" t="s">
        <v>7055</v>
      </c>
      <c r="Y1204">
        <v>36033</v>
      </c>
      <c r="Z1204">
        <v>1351574</v>
      </c>
      <c r="AA1204">
        <v>306617</v>
      </c>
      <c r="AB1204" t="str">
        <f>(VLOOKUP(SalesData[[#This Row],[Month Number]],Reference!C$5:E$16,2,FALSE))</f>
        <v>Feb</v>
      </c>
      <c r="AC1204">
        <f>MONTH(SalesData[[#This Row],[Date]])</f>
        <v>2</v>
      </c>
      <c r="AD1204">
        <f>Reference!F$4</f>
        <v>2026</v>
      </c>
      <c r="AE1204" t="str">
        <f>IF(OR(SalesData[[#This Row],[Day]]="Saturday",SalesData[[#This Row],[Day]]="Sunday"),"Weekend","Weekday")</f>
        <v>Weekday</v>
      </c>
      <c r="AF1204" s="5">
        <f>IF(SalesData[[#This Row],[Contracts Offered]]=0,0,SalesData[[#This Row],[Contracts Signed]]/SalesData[[#This Row],[Contracts Offered]])</f>
        <v>0.36708860759493672</v>
      </c>
      <c r="AG1204" s="5">
        <f>IF(SalesData[[#This Row],[Customers Visited]]=0,0,SalesData[[#This Row],[Test Drives]]/SalesData[[#This Row],[Customers Visited]])</f>
        <v>0.50416666666666665</v>
      </c>
      <c r="AH1204" s="5">
        <f>IF(SalesData[[#This Row],[Customers Visited]]=0,0,SalesData[[#This Row],[Contracts Signed]]/SalesData[[#This Row],[Customers Visited]])</f>
        <v>0.12083333333333333</v>
      </c>
      <c r="AI1204" s="6">
        <f>IF(SalesData[[#This Row],[Contracts Signed]]=0,0,SalesData[[#This Row],[Profit(€)]]/SalesData[[#This Row],[Contracts Signed]])</f>
        <v>10573</v>
      </c>
      <c r="AJ1204" s="5" t="str">
        <f>TRIM(CLEAN(SalesData[[#This Row],[Retailer]]))</f>
        <v>Elbe Drive</v>
      </c>
    </row>
    <row r="1205" spans="1:36" ht="14.25" hidden="1" x14ac:dyDescent="0.2">
      <c r="A1205" t="s">
        <v>2001</v>
      </c>
      <c r="B1205" s="1">
        <v>46064</v>
      </c>
      <c r="C1205" t="s">
        <v>121</v>
      </c>
      <c r="D1205" t="s">
        <v>82</v>
      </c>
      <c r="E1205" t="s">
        <v>26</v>
      </c>
      <c r="F1205" t="s">
        <v>94</v>
      </c>
      <c r="G1205" t="s">
        <v>95</v>
      </c>
      <c r="H1205" t="s">
        <v>96</v>
      </c>
      <c r="I1205" t="s">
        <v>116</v>
      </c>
      <c r="J1205" t="s">
        <v>117</v>
      </c>
      <c r="K1205" t="s">
        <v>66</v>
      </c>
      <c r="L1205" t="s">
        <v>67</v>
      </c>
      <c r="M1205" t="s">
        <v>34</v>
      </c>
      <c r="N1205" t="s">
        <v>35</v>
      </c>
      <c r="O1205" t="s">
        <v>36</v>
      </c>
      <c r="P1205" t="s">
        <v>71</v>
      </c>
      <c r="Q1205" t="s">
        <v>38</v>
      </c>
      <c r="R1205">
        <v>316</v>
      </c>
      <c r="S1205">
        <v>135</v>
      </c>
      <c r="T1205">
        <v>89</v>
      </c>
      <c r="U1205">
        <v>26</v>
      </c>
      <c r="V1205" t="s">
        <v>4546</v>
      </c>
      <c r="W1205">
        <v>23935</v>
      </c>
      <c r="X1205" t="s">
        <v>6558</v>
      </c>
      <c r="Y1205">
        <v>21791</v>
      </c>
      <c r="Z1205">
        <v>622310</v>
      </c>
      <c r="AA1205">
        <v>55744</v>
      </c>
      <c r="AB1205" t="str">
        <f>(VLOOKUP(SalesData[[#This Row],[Month Number]],Reference!C$5:E$16,2,FALSE))</f>
        <v>Feb</v>
      </c>
      <c r="AC1205">
        <f>MONTH(SalesData[[#This Row],[Date]])</f>
        <v>2</v>
      </c>
      <c r="AD1205">
        <f>Reference!F$4</f>
        <v>2026</v>
      </c>
      <c r="AE1205" t="str">
        <f>IF(OR(SalesData[[#This Row],[Day]]="Saturday",SalesData[[#This Row],[Day]]="Sunday"),"Weekend","Weekday")</f>
        <v>Weekday</v>
      </c>
      <c r="AF1205" s="5">
        <f>IF(SalesData[[#This Row],[Contracts Offered]]=0,0,SalesData[[#This Row],[Contracts Signed]]/SalesData[[#This Row],[Contracts Offered]])</f>
        <v>0.29213483146067415</v>
      </c>
      <c r="AG1205" s="5">
        <f>IF(SalesData[[#This Row],[Customers Visited]]=0,0,SalesData[[#This Row],[Test Drives]]/SalesData[[#This Row],[Customers Visited]])</f>
        <v>0.42721518987341772</v>
      </c>
      <c r="AH1205" s="5">
        <f>IF(SalesData[[#This Row],[Customers Visited]]=0,0,SalesData[[#This Row],[Contracts Signed]]/SalesData[[#This Row],[Customers Visited]])</f>
        <v>8.2278481012658222E-2</v>
      </c>
      <c r="AI1205" s="6">
        <f>IF(SalesData[[#This Row],[Contracts Signed]]=0,0,SalesData[[#This Row],[Profit(€)]]/SalesData[[#This Row],[Contracts Signed]])</f>
        <v>2144</v>
      </c>
      <c r="AJ1205" s="5" t="str">
        <f>TRIM(CLEAN(SalesData[[#This Row],[Retailer]]))</f>
        <v>Bavaria Motors</v>
      </c>
    </row>
    <row r="1206" spans="1:36" ht="14.25" hidden="1" x14ac:dyDescent="0.2">
      <c r="A1206" t="s">
        <v>2002</v>
      </c>
      <c r="B1206" s="1">
        <v>46068</v>
      </c>
      <c r="C1206" t="s">
        <v>62</v>
      </c>
      <c r="D1206" t="s">
        <v>41</v>
      </c>
      <c r="E1206" t="s">
        <v>42</v>
      </c>
      <c r="F1206" t="s">
        <v>109</v>
      </c>
      <c r="G1206" t="s">
        <v>110</v>
      </c>
      <c r="H1206" t="s">
        <v>45</v>
      </c>
      <c r="I1206" t="s">
        <v>64</v>
      </c>
      <c r="J1206" t="s">
        <v>111</v>
      </c>
      <c r="K1206" t="s">
        <v>66</v>
      </c>
      <c r="L1206" t="s">
        <v>46</v>
      </c>
      <c r="M1206" t="s">
        <v>87</v>
      </c>
      <c r="N1206" t="s">
        <v>48</v>
      </c>
      <c r="O1206" t="s">
        <v>36</v>
      </c>
      <c r="P1206" t="s">
        <v>49</v>
      </c>
      <c r="Q1206" t="s">
        <v>189</v>
      </c>
      <c r="R1206">
        <v>268</v>
      </c>
      <c r="S1206">
        <v>126</v>
      </c>
      <c r="T1206">
        <v>89</v>
      </c>
      <c r="U1206">
        <v>25</v>
      </c>
      <c r="V1206" t="s">
        <v>6752</v>
      </c>
      <c r="W1206">
        <v>71086</v>
      </c>
      <c r="X1206" t="s">
        <v>7262</v>
      </c>
      <c r="Y1206">
        <v>55852</v>
      </c>
      <c r="Z1206">
        <v>1777150</v>
      </c>
      <c r="AA1206">
        <v>380850</v>
      </c>
      <c r="AB1206" t="str">
        <f>(VLOOKUP(SalesData[[#This Row],[Month Number]],Reference!C$5:E$16,2,FALSE))</f>
        <v>Feb</v>
      </c>
      <c r="AC1206">
        <f>MONTH(SalesData[[#This Row],[Date]])</f>
        <v>2</v>
      </c>
      <c r="AD1206">
        <f>Reference!F$4</f>
        <v>2026</v>
      </c>
      <c r="AE1206" t="str">
        <f>IF(OR(SalesData[[#This Row],[Day]]="Saturday",SalesData[[#This Row],[Day]]="Sunday"),"Weekend","Weekday")</f>
        <v>Weekend</v>
      </c>
      <c r="AF1206" s="5">
        <f>IF(SalesData[[#This Row],[Contracts Offered]]=0,0,SalesData[[#This Row],[Contracts Signed]]/SalesData[[#This Row],[Contracts Offered]])</f>
        <v>0.2808988764044944</v>
      </c>
      <c r="AG1206" s="5">
        <f>IF(SalesData[[#This Row],[Customers Visited]]=0,0,SalesData[[#This Row],[Test Drives]]/SalesData[[#This Row],[Customers Visited]])</f>
        <v>0.47014925373134331</v>
      </c>
      <c r="AH1206" s="5">
        <f>IF(SalesData[[#This Row],[Customers Visited]]=0,0,SalesData[[#This Row],[Contracts Signed]]/SalesData[[#This Row],[Customers Visited]])</f>
        <v>9.3283582089552244E-2</v>
      </c>
      <c r="AI1206" s="6">
        <f>IF(SalesData[[#This Row],[Contracts Signed]]=0,0,SalesData[[#This Row],[Profit(€)]]/SalesData[[#This Row],[Contracts Signed]])</f>
        <v>15234</v>
      </c>
      <c r="AJ1206" s="5" t="str">
        <f>TRIM(CLEAN(SalesData[[#This Row],[Retailer]]))</f>
        <v>Leipzig Mobility</v>
      </c>
    </row>
    <row r="1207" spans="1:36" ht="14.25" hidden="1" x14ac:dyDescent="0.2">
      <c r="A1207" t="s">
        <v>2004</v>
      </c>
      <c r="B1207" s="1">
        <v>46077</v>
      </c>
      <c r="C1207" t="s">
        <v>53</v>
      </c>
      <c r="D1207" t="s">
        <v>63</v>
      </c>
      <c r="E1207" t="s">
        <v>26</v>
      </c>
      <c r="F1207" t="s">
        <v>109</v>
      </c>
      <c r="G1207" t="s">
        <v>110</v>
      </c>
      <c r="H1207" t="s">
        <v>45</v>
      </c>
      <c r="I1207" t="s">
        <v>116</v>
      </c>
      <c r="J1207" t="s">
        <v>132</v>
      </c>
      <c r="K1207" t="s">
        <v>78</v>
      </c>
      <c r="L1207" t="s">
        <v>46</v>
      </c>
      <c r="M1207" t="s">
        <v>47</v>
      </c>
      <c r="N1207" t="s">
        <v>35</v>
      </c>
      <c r="O1207" t="s">
        <v>36</v>
      </c>
      <c r="P1207" t="s">
        <v>37</v>
      </c>
      <c r="Q1207" t="s">
        <v>79</v>
      </c>
      <c r="R1207">
        <v>309</v>
      </c>
      <c r="S1207">
        <v>169</v>
      </c>
      <c r="T1207">
        <v>106</v>
      </c>
      <c r="U1207">
        <v>20</v>
      </c>
      <c r="V1207" t="s">
        <v>606</v>
      </c>
      <c r="W1207">
        <v>21978</v>
      </c>
      <c r="X1207" t="s">
        <v>4114</v>
      </c>
      <c r="Y1207">
        <v>20347</v>
      </c>
      <c r="Z1207">
        <v>439560</v>
      </c>
      <c r="AA1207">
        <v>32620</v>
      </c>
      <c r="AB1207" t="str">
        <f>(VLOOKUP(SalesData[[#This Row],[Month Number]],Reference!C$5:E$16,2,FALSE))</f>
        <v>Feb</v>
      </c>
      <c r="AC1207">
        <f>MONTH(SalesData[[#This Row],[Date]])</f>
        <v>2</v>
      </c>
      <c r="AD1207">
        <f>Reference!F$4</f>
        <v>2026</v>
      </c>
      <c r="AE1207" t="str">
        <f>IF(OR(SalesData[[#This Row],[Day]]="Saturday",SalesData[[#This Row],[Day]]="Sunday"),"Weekend","Weekday")</f>
        <v>Weekday</v>
      </c>
      <c r="AF1207" s="5">
        <f>IF(SalesData[[#This Row],[Contracts Offered]]=0,0,SalesData[[#This Row],[Contracts Signed]]/SalesData[[#This Row],[Contracts Offered]])</f>
        <v>0.18867924528301888</v>
      </c>
      <c r="AG1207" s="5">
        <f>IF(SalesData[[#This Row],[Customers Visited]]=0,0,SalesData[[#This Row],[Test Drives]]/SalesData[[#This Row],[Customers Visited]])</f>
        <v>0.54692556634304212</v>
      </c>
      <c r="AH1207" s="5">
        <f>IF(SalesData[[#This Row],[Customers Visited]]=0,0,SalesData[[#This Row],[Contracts Signed]]/SalesData[[#This Row],[Customers Visited]])</f>
        <v>6.4724919093851127E-2</v>
      </c>
      <c r="AI1207" s="6">
        <f>IF(SalesData[[#This Row],[Contracts Signed]]=0,0,SalesData[[#This Row],[Profit(€)]]/SalesData[[#This Row],[Contracts Signed]])</f>
        <v>1631</v>
      </c>
      <c r="AJ1207" s="5" t="str">
        <f>TRIM(CLEAN(SalesData[[#This Row],[Retailer]]))</f>
        <v>Leipzig Mobility</v>
      </c>
    </row>
    <row r="1208" spans="1:36" ht="14.25" hidden="1" x14ac:dyDescent="0.2">
      <c r="A1208" t="s">
        <v>2005</v>
      </c>
      <c r="B1208" s="1">
        <v>46069</v>
      </c>
      <c r="C1208" t="s">
        <v>62</v>
      </c>
      <c r="D1208" t="s">
        <v>25</v>
      </c>
      <c r="E1208" t="s">
        <v>26</v>
      </c>
      <c r="F1208" t="s">
        <v>74</v>
      </c>
      <c r="G1208" t="s">
        <v>75</v>
      </c>
      <c r="H1208" t="s">
        <v>76</v>
      </c>
      <c r="I1208" t="s">
        <v>116</v>
      </c>
      <c r="J1208" t="s">
        <v>7090</v>
      </c>
      <c r="K1208" t="s">
        <v>32</v>
      </c>
      <c r="L1208" t="s">
        <v>46</v>
      </c>
      <c r="M1208" t="s">
        <v>47</v>
      </c>
      <c r="N1208" t="s">
        <v>69</v>
      </c>
      <c r="O1208" t="s">
        <v>70</v>
      </c>
      <c r="P1208" t="s">
        <v>58</v>
      </c>
      <c r="Q1208" t="s">
        <v>189</v>
      </c>
      <c r="R1208">
        <v>408</v>
      </c>
      <c r="S1208">
        <v>183</v>
      </c>
      <c r="T1208">
        <v>120</v>
      </c>
      <c r="U1208">
        <v>31</v>
      </c>
      <c r="V1208" t="s">
        <v>413</v>
      </c>
      <c r="W1208">
        <v>20901</v>
      </c>
      <c r="X1208" t="s">
        <v>727</v>
      </c>
      <c r="Y1208">
        <v>19127</v>
      </c>
      <c r="Z1208">
        <v>647931</v>
      </c>
      <c r="AA1208">
        <v>54994</v>
      </c>
      <c r="AB1208" t="str">
        <f>(VLOOKUP(SalesData[[#This Row],[Month Number]],Reference!C$5:E$16,2,FALSE))</f>
        <v>Feb</v>
      </c>
      <c r="AC1208">
        <f>MONTH(SalesData[[#This Row],[Date]])</f>
        <v>2</v>
      </c>
      <c r="AD1208">
        <f>Reference!F$4</f>
        <v>2026</v>
      </c>
      <c r="AE1208" t="str">
        <f>IF(OR(SalesData[[#This Row],[Day]]="Saturday",SalesData[[#This Row],[Day]]="Sunday"),"Weekend","Weekday")</f>
        <v>Weekday</v>
      </c>
      <c r="AF1208" s="5">
        <f>IF(SalesData[[#This Row],[Contracts Offered]]=0,0,SalesData[[#This Row],[Contracts Signed]]/SalesData[[#This Row],[Contracts Offered]])</f>
        <v>0.25833333333333336</v>
      </c>
      <c r="AG1208" s="5">
        <f>IF(SalesData[[#This Row],[Customers Visited]]=0,0,SalesData[[#This Row],[Test Drives]]/SalesData[[#This Row],[Customers Visited]])</f>
        <v>0.4485294117647059</v>
      </c>
      <c r="AH1208" s="5">
        <f>IF(SalesData[[#This Row],[Customers Visited]]=0,0,SalesData[[#This Row],[Contracts Signed]]/SalesData[[#This Row],[Customers Visited]])</f>
        <v>7.5980392156862739E-2</v>
      </c>
      <c r="AI1208" s="6">
        <f>IF(SalesData[[#This Row],[Contracts Signed]]=0,0,SalesData[[#This Row],[Profit(€)]]/SalesData[[#This Row],[Contracts Signed]])</f>
        <v>1774</v>
      </c>
      <c r="AJ1208" s="5" t="str">
        <f>TRIM(CLEAN(SalesData[[#This Row],[Retailer]]))</f>
        <v>Stuttgart Auto Center</v>
      </c>
    </row>
    <row r="1209" spans="1:36" ht="14.25" x14ac:dyDescent="0.2">
      <c r="A1209" t="s">
        <v>2007</v>
      </c>
      <c r="B1209" s="1">
        <v>46060</v>
      </c>
      <c r="C1209" t="s">
        <v>24</v>
      </c>
      <c r="D1209" t="s">
        <v>151</v>
      </c>
      <c r="E1209" t="s">
        <v>42</v>
      </c>
      <c r="F1209" t="s">
        <v>127</v>
      </c>
      <c r="G1209" t="s">
        <v>128</v>
      </c>
      <c r="H1209" t="s">
        <v>103</v>
      </c>
      <c r="I1209" t="s">
        <v>30</v>
      </c>
      <c r="J1209" t="s">
        <v>7075</v>
      </c>
      <c r="K1209" t="s">
        <v>32</v>
      </c>
      <c r="L1209" t="s">
        <v>33</v>
      </c>
      <c r="M1209" t="s">
        <v>34</v>
      </c>
      <c r="N1209" t="s">
        <v>48</v>
      </c>
      <c r="O1209" t="s">
        <v>36</v>
      </c>
      <c r="P1209" t="s">
        <v>58</v>
      </c>
      <c r="Q1209" t="s">
        <v>204</v>
      </c>
      <c r="R1209">
        <v>215</v>
      </c>
      <c r="S1209">
        <v>132</v>
      </c>
      <c r="T1209">
        <v>104</v>
      </c>
      <c r="U1209">
        <v>42</v>
      </c>
      <c r="V1209" t="s">
        <v>7320</v>
      </c>
      <c r="W1209">
        <v>51260</v>
      </c>
      <c r="X1209" t="s">
        <v>7394</v>
      </c>
      <c r="Y1209">
        <v>37922</v>
      </c>
      <c r="Z1209">
        <v>2152920</v>
      </c>
      <c r="AA1209">
        <v>560196</v>
      </c>
      <c r="AB1209" t="str">
        <f>(VLOOKUP(SalesData[[#This Row],[Month Number]],Reference!C$5:E$16,2,FALSE))</f>
        <v>Feb</v>
      </c>
      <c r="AC1209">
        <f>MONTH(SalesData[[#This Row],[Date]])</f>
        <v>2</v>
      </c>
      <c r="AD1209">
        <f>Reference!F$4</f>
        <v>2026</v>
      </c>
      <c r="AE1209" t="str">
        <f>IF(OR(SalesData[[#This Row],[Day]]="Saturday",SalesData[[#This Row],[Day]]="Sunday"),"Weekend","Weekday")</f>
        <v>Weekend</v>
      </c>
      <c r="AF1209" s="5">
        <f>IF(SalesData[[#This Row],[Contracts Offered]]=0,0,SalesData[[#This Row],[Contracts Signed]]/SalesData[[#This Row],[Contracts Offered]])</f>
        <v>0.40384615384615385</v>
      </c>
      <c r="AG1209" s="5">
        <f>IF(SalesData[[#This Row],[Customers Visited]]=0,0,SalesData[[#This Row],[Test Drives]]/SalesData[[#This Row],[Customers Visited]])</f>
        <v>0.61395348837209307</v>
      </c>
      <c r="AH1209" s="5">
        <f>IF(SalesData[[#This Row],[Customers Visited]]=0,0,SalesData[[#This Row],[Contracts Signed]]/SalesData[[#This Row],[Customers Visited]])</f>
        <v>0.19534883720930232</v>
      </c>
      <c r="AI1209" s="6">
        <f>IF(SalesData[[#This Row],[Contracts Signed]]=0,0,SalesData[[#This Row],[Profit(€)]]/SalesData[[#This Row],[Contracts Signed]])</f>
        <v>13338</v>
      </c>
      <c r="AJ1209" s="5" t="str">
        <f>TRIM(CLEAN(SalesData[[#This Row],[Retailer]]))</f>
        <v>Rhein Auto Group</v>
      </c>
    </row>
    <row r="1210" spans="1:36" ht="14.25" x14ac:dyDescent="0.2">
      <c r="A1210" t="s">
        <v>2009</v>
      </c>
      <c r="B1210" s="1">
        <v>46065</v>
      </c>
      <c r="C1210" t="s">
        <v>121</v>
      </c>
      <c r="D1210" t="s">
        <v>100</v>
      </c>
      <c r="E1210" t="s">
        <v>26</v>
      </c>
      <c r="F1210" t="s">
        <v>94</v>
      </c>
      <c r="G1210" t="s">
        <v>95</v>
      </c>
      <c r="H1210" t="s">
        <v>96</v>
      </c>
      <c r="I1210" t="s">
        <v>30</v>
      </c>
      <c r="J1210" t="s">
        <v>166</v>
      </c>
      <c r="K1210" t="s">
        <v>91</v>
      </c>
      <c r="L1210" t="s">
        <v>46</v>
      </c>
      <c r="M1210" t="s">
        <v>47</v>
      </c>
      <c r="N1210" t="s">
        <v>69</v>
      </c>
      <c r="O1210" t="s">
        <v>36</v>
      </c>
      <c r="P1210" t="s">
        <v>49</v>
      </c>
      <c r="Q1210" t="s">
        <v>189</v>
      </c>
      <c r="R1210">
        <v>278</v>
      </c>
      <c r="S1210">
        <v>167</v>
      </c>
      <c r="T1210">
        <v>132</v>
      </c>
      <c r="U1210">
        <v>44</v>
      </c>
      <c r="V1210" t="s">
        <v>6370</v>
      </c>
      <c r="W1210">
        <v>56757</v>
      </c>
      <c r="X1210" t="s">
        <v>3288</v>
      </c>
      <c r="Y1210">
        <v>41427</v>
      </c>
      <c r="Z1210">
        <v>2497308</v>
      </c>
      <c r="AA1210">
        <v>674520</v>
      </c>
      <c r="AB1210" t="str">
        <f>(VLOOKUP(SalesData[[#This Row],[Month Number]],Reference!C$5:E$16,2,FALSE))</f>
        <v>Feb</v>
      </c>
      <c r="AC1210">
        <f>MONTH(SalesData[[#This Row],[Date]])</f>
        <v>2</v>
      </c>
      <c r="AD1210">
        <f>Reference!F$4</f>
        <v>2026</v>
      </c>
      <c r="AE1210" t="str">
        <f>IF(OR(SalesData[[#This Row],[Day]]="Saturday",SalesData[[#This Row],[Day]]="Sunday"),"Weekend","Weekday")</f>
        <v>Weekday</v>
      </c>
      <c r="AF1210" s="5">
        <f>IF(SalesData[[#This Row],[Contracts Offered]]=0,0,SalesData[[#This Row],[Contracts Signed]]/SalesData[[#This Row],[Contracts Offered]])</f>
        <v>0.33333333333333331</v>
      </c>
      <c r="AG1210" s="5">
        <f>IF(SalesData[[#This Row],[Customers Visited]]=0,0,SalesData[[#This Row],[Test Drives]]/SalesData[[#This Row],[Customers Visited]])</f>
        <v>0.60071942446043169</v>
      </c>
      <c r="AH1210" s="5">
        <f>IF(SalesData[[#This Row],[Customers Visited]]=0,0,SalesData[[#This Row],[Contracts Signed]]/SalesData[[#This Row],[Customers Visited]])</f>
        <v>0.15827338129496402</v>
      </c>
      <c r="AI1210" s="6">
        <f>IF(SalesData[[#This Row],[Contracts Signed]]=0,0,SalesData[[#This Row],[Profit(€)]]/SalesData[[#This Row],[Contracts Signed]])</f>
        <v>15330</v>
      </c>
      <c r="AJ1210" s="5" t="str">
        <f>TRIM(CLEAN(SalesData[[#This Row],[Retailer]]))</f>
        <v>Bavaria Motors</v>
      </c>
    </row>
    <row r="1211" spans="1:36" ht="14.25" x14ac:dyDescent="0.2">
      <c r="A1211" t="s">
        <v>2011</v>
      </c>
      <c r="B1211" s="1">
        <v>46060</v>
      </c>
      <c r="C1211" t="s">
        <v>24</v>
      </c>
      <c r="D1211" t="s">
        <v>151</v>
      </c>
      <c r="E1211" t="s">
        <v>42</v>
      </c>
      <c r="F1211" t="s">
        <v>83</v>
      </c>
      <c r="G1211" t="s">
        <v>84</v>
      </c>
      <c r="H1211" t="s">
        <v>85</v>
      </c>
      <c r="I1211" t="s">
        <v>30</v>
      </c>
      <c r="J1211" t="s">
        <v>7075</v>
      </c>
      <c r="K1211" t="s">
        <v>32</v>
      </c>
      <c r="L1211" t="s">
        <v>33</v>
      </c>
      <c r="M1211" t="s">
        <v>34</v>
      </c>
      <c r="N1211" t="s">
        <v>35</v>
      </c>
      <c r="O1211" t="s">
        <v>70</v>
      </c>
      <c r="P1211" t="s">
        <v>49</v>
      </c>
      <c r="Q1211" t="s">
        <v>167</v>
      </c>
      <c r="R1211">
        <v>205</v>
      </c>
      <c r="S1211">
        <v>120</v>
      </c>
      <c r="T1211">
        <v>87</v>
      </c>
      <c r="U1211">
        <v>31</v>
      </c>
      <c r="V1211" t="s">
        <v>6350</v>
      </c>
      <c r="W1211">
        <v>52300</v>
      </c>
      <c r="X1211" t="s">
        <v>7395</v>
      </c>
      <c r="Y1211">
        <v>37488</v>
      </c>
      <c r="Z1211">
        <v>1621300</v>
      </c>
      <c r="AA1211">
        <v>459172</v>
      </c>
      <c r="AB1211" t="str">
        <f>(VLOOKUP(SalesData[[#This Row],[Month Number]],Reference!C$5:E$16,2,FALSE))</f>
        <v>Feb</v>
      </c>
      <c r="AC1211">
        <f>MONTH(SalesData[[#This Row],[Date]])</f>
        <v>2</v>
      </c>
      <c r="AD1211">
        <f>Reference!F$4</f>
        <v>2026</v>
      </c>
      <c r="AE1211" t="str">
        <f>IF(OR(SalesData[[#This Row],[Day]]="Saturday",SalesData[[#This Row],[Day]]="Sunday"),"Weekend","Weekday")</f>
        <v>Weekend</v>
      </c>
      <c r="AF1211" s="5">
        <f>IF(SalesData[[#This Row],[Contracts Offered]]=0,0,SalesData[[#This Row],[Contracts Signed]]/SalesData[[#This Row],[Contracts Offered]])</f>
        <v>0.35632183908045978</v>
      </c>
      <c r="AG1211" s="5">
        <f>IF(SalesData[[#This Row],[Customers Visited]]=0,0,SalesData[[#This Row],[Test Drives]]/SalesData[[#This Row],[Customers Visited]])</f>
        <v>0.58536585365853655</v>
      </c>
      <c r="AH1211" s="5">
        <f>IF(SalesData[[#This Row],[Customers Visited]]=0,0,SalesData[[#This Row],[Contracts Signed]]/SalesData[[#This Row],[Customers Visited]])</f>
        <v>0.15121951219512195</v>
      </c>
      <c r="AI1211" s="6">
        <f>IF(SalesData[[#This Row],[Contracts Signed]]=0,0,SalesData[[#This Row],[Profit(€)]]/SalesData[[#This Row],[Contracts Signed]])</f>
        <v>14812</v>
      </c>
      <c r="AJ1211" s="5" t="str">
        <f>TRIM(CLEAN(SalesData[[#This Row],[Retailer]]))</f>
        <v>Hannover Cars</v>
      </c>
    </row>
    <row r="1212" spans="1:36" ht="14.25" hidden="1" x14ac:dyDescent="0.2">
      <c r="A1212" t="s">
        <v>2013</v>
      </c>
      <c r="B1212" s="1">
        <v>46067</v>
      </c>
      <c r="C1212" t="s">
        <v>121</v>
      </c>
      <c r="D1212" t="s">
        <v>151</v>
      </c>
      <c r="E1212" t="s">
        <v>42</v>
      </c>
      <c r="F1212" t="s">
        <v>27</v>
      </c>
      <c r="G1212" t="s">
        <v>28</v>
      </c>
      <c r="H1212" t="s">
        <v>29</v>
      </c>
      <c r="I1212" t="s">
        <v>64</v>
      </c>
      <c r="J1212" t="s">
        <v>111</v>
      </c>
      <c r="K1212" t="s">
        <v>91</v>
      </c>
      <c r="L1212" t="s">
        <v>46</v>
      </c>
      <c r="M1212" t="s">
        <v>34</v>
      </c>
      <c r="N1212" t="s">
        <v>69</v>
      </c>
      <c r="O1212" t="s">
        <v>70</v>
      </c>
      <c r="P1212" t="s">
        <v>37</v>
      </c>
      <c r="Q1212" t="s">
        <v>118</v>
      </c>
      <c r="R1212">
        <v>201</v>
      </c>
      <c r="S1212">
        <v>111</v>
      </c>
      <c r="T1212">
        <v>80</v>
      </c>
      <c r="U1212">
        <v>24</v>
      </c>
      <c r="V1212" t="s">
        <v>6633</v>
      </c>
      <c r="W1212">
        <v>62048</v>
      </c>
      <c r="X1212" t="s">
        <v>7386</v>
      </c>
      <c r="Y1212">
        <v>44679</v>
      </c>
      <c r="Z1212">
        <v>1489152</v>
      </c>
      <c r="AA1212">
        <v>416856</v>
      </c>
      <c r="AB1212" t="str">
        <f>(VLOOKUP(SalesData[[#This Row],[Month Number]],Reference!C$5:E$16,2,FALSE))</f>
        <v>Feb</v>
      </c>
      <c r="AC1212">
        <f>MONTH(SalesData[[#This Row],[Date]])</f>
        <v>2</v>
      </c>
      <c r="AD1212">
        <f>Reference!F$4</f>
        <v>2026</v>
      </c>
      <c r="AE1212" t="str">
        <f>IF(OR(SalesData[[#This Row],[Day]]="Saturday",SalesData[[#This Row],[Day]]="Sunday"),"Weekend","Weekday")</f>
        <v>Weekend</v>
      </c>
      <c r="AF1212" s="5">
        <f>IF(SalesData[[#This Row],[Contracts Offered]]=0,0,SalesData[[#This Row],[Contracts Signed]]/SalesData[[#This Row],[Contracts Offered]])</f>
        <v>0.3</v>
      </c>
      <c r="AG1212" s="5">
        <f>IF(SalesData[[#This Row],[Customers Visited]]=0,0,SalesData[[#This Row],[Test Drives]]/SalesData[[#This Row],[Customers Visited]])</f>
        <v>0.55223880597014929</v>
      </c>
      <c r="AH1212" s="5">
        <f>IF(SalesData[[#This Row],[Customers Visited]]=0,0,SalesData[[#This Row],[Contracts Signed]]/SalesData[[#This Row],[Customers Visited]])</f>
        <v>0.11940298507462686</v>
      </c>
      <c r="AI1212" s="6">
        <f>IF(SalesData[[#This Row],[Contracts Signed]]=0,0,SalesData[[#This Row],[Profit(€)]]/SalesData[[#This Row],[Contracts Signed]])</f>
        <v>17369</v>
      </c>
      <c r="AJ1212" s="5" t="str">
        <f>TRIM(CLEAN(SalesData[[#This Row],[Retailer]]))</f>
        <v>Main Auto Hub</v>
      </c>
    </row>
    <row r="1213" spans="1:36" ht="14.25" hidden="1" x14ac:dyDescent="0.2">
      <c r="A1213" t="s">
        <v>2014</v>
      </c>
      <c r="B1213" s="1">
        <v>46068</v>
      </c>
      <c r="C1213" t="s">
        <v>62</v>
      </c>
      <c r="D1213" t="s">
        <v>41</v>
      </c>
      <c r="E1213" t="s">
        <v>42</v>
      </c>
      <c r="F1213" t="s">
        <v>109</v>
      </c>
      <c r="G1213" t="s">
        <v>110</v>
      </c>
      <c r="H1213" t="s">
        <v>45</v>
      </c>
      <c r="I1213" t="s">
        <v>64</v>
      </c>
      <c r="J1213" t="s">
        <v>65</v>
      </c>
      <c r="K1213" t="s">
        <v>66</v>
      </c>
      <c r="L1213" t="s">
        <v>33</v>
      </c>
      <c r="M1213" t="s">
        <v>68</v>
      </c>
      <c r="N1213" t="s">
        <v>35</v>
      </c>
      <c r="O1213" t="s">
        <v>70</v>
      </c>
      <c r="P1213" t="s">
        <v>49</v>
      </c>
      <c r="Q1213" t="s">
        <v>88</v>
      </c>
      <c r="R1213">
        <v>285</v>
      </c>
      <c r="S1213">
        <v>157</v>
      </c>
      <c r="T1213">
        <v>112</v>
      </c>
      <c r="U1213">
        <v>32</v>
      </c>
      <c r="V1213" t="s">
        <v>7396</v>
      </c>
      <c r="W1213">
        <v>53298</v>
      </c>
      <c r="X1213" t="s">
        <v>7244</v>
      </c>
      <c r="Y1213">
        <v>39648</v>
      </c>
      <c r="Z1213">
        <v>1705536</v>
      </c>
      <c r="AA1213">
        <v>436800</v>
      </c>
      <c r="AB1213" t="str">
        <f>(VLOOKUP(SalesData[[#This Row],[Month Number]],Reference!C$5:E$16,2,FALSE))</f>
        <v>Feb</v>
      </c>
      <c r="AC1213">
        <f>MONTH(SalesData[[#This Row],[Date]])</f>
        <v>2</v>
      </c>
      <c r="AD1213">
        <f>Reference!F$4</f>
        <v>2026</v>
      </c>
      <c r="AE1213" t="str">
        <f>IF(OR(SalesData[[#This Row],[Day]]="Saturday",SalesData[[#This Row],[Day]]="Sunday"),"Weekend","Weekday")</f>
        <v>Weekend</v>
      </c>
      <c r="AF1213" s="5">
        <f>IF(SalesData[[#This Row],[Contracts Offered]]=0,0,SalesData[[#This Row],[Contracts Signed]]/SalesData[[#This Row],[Contracts Offered]])</f>
        <v>0.2857142857142857</v>
      </c>
      <c r="AG1213" s="5">
        <f>IF(SalesData[[#This Row],[Customers Visited]]=0,0,SalesData[[#This Row],[Test Drives]]/SalesData[[#This Row],[Customers Visited]])</f>
        <v>0.55087719298245619</v>
      </c>
      <c r="AH1213" s="5">
        <f>IF(SalesData[[#This Row],[Customers Visited]]=0,0,SalesData[[#This Row],[Contracts Signed]]/SalesData[[#This Row],[Customers Visited]])</f>
        <v>0.11228070175438597</v>
      </c>
      <c r="AI1213" s="6">
        <f>IF(SalesData[[#This Row],[Contracts Signed]]=0,0,SalesData[[#This Row],[Profit(€)]]/SalesData[[#This Row],[Contracts Signed]])</f>
        <v>13650</v>
      </c>
      <c r="AJ1213" s="5" t="str">
        <f>TRIM(CLEAN(SalesData[[#This Row],[Retailer]]))</f>
        <v>Leipzig Mobility</v>
      </c>
    </row>
    <row r="1214" spans="1:36" ht="14.25" hidden="1" x14ac:dyDescent="0.2">
      <c r="A1214" t="s">
        <v>2015</v>
      </c>
      <c r="B1214" s="1">
        <v>46061</v>
      </c>
      <c r="C1214" t="s">
        <v>121</v>
      </c>
      <c r="D1214" t="s">
        <v>41</v>
      </c>
      <c r="E1214" t="s">
        <v>42</v>
      </c>
      <c r="F1214" t="s">
        <v>94</v>
      </c>
      <c r="G1214" t="s">
        <v>95</v>
      </c>
      <c r="H1214" t="s">
        <v>96</v>
      </c>
      <c r="I1214" t="s">
        <v>56</v>
      </c>
      <c r="J1214" t="s">
        <v>97</v>
      </c>
      <c r="K1214" t="s">
        <v>78</v>
      </c>
      <c r="L1214" t="s">
        <v>33</v>
      </c>
      <c r="M1214" t="s">
        <v>68</v>
      </c>
      <c r="N1214" t="s">
        <v>48</v>
      </c>
      <c r="O1214" t="s">
        <v>36</v>
      </c>
      <c r="P1214" t="s">
        <v>71</v>
      </c>
      <c r="Q1214" t="s">
        <v>122</v>
      </c>
      <c r="R1214">
        <v>184</v>
      </c>
      <c r="S1214">
        <v>100</v>
      </c>
      <c r="T1214">
        <v>72</v>
      </c>
      <c r="U1214">
        <v>26</v>
      </c>
      <c r="V1214" t="s">
        <v>6519</v>
      </c>
      <c r="W1214">
        <v>48564</v>
      </c>
      <c r="X1214" t="s">
        <v>3104</v>
      </c>
      <c r="Y1214">
        <v>39490</v>
      </c>
      <c r="Z1214">
        <v>1262664</v>
      </c>
      <c r="AA1214">
        <v>235924</v>
      </c>
      <c r="AB1214" t="str">
        <f>(VLOOKUP(SalesData[[#This Row],[Month Number]],Reference!C$5:E$16,2,FALSE))</f>
        <v>Feb</v>
      </c>
      <c r="AC1214">
        <f>MONTH(SalesData[[#This Row],[Date]])</f>
        <v>2</v>
      </c>
      <c r="AD1214">
        <f>Reference!F$4</f>
        <v>2026</v>
      </c>
      <c r="AE1214" t="str">
        <f>IF(OR(SalesData[[#This Row],[Day]]="Saturday",SalesData[[#This Row],[Day]]="Sunday"),"Weekend","Weekday")</f>
        <v>Weekend</v>
      </c>
      <c r="AF1214" s="5">
        <f>IF(SalesData[[#This Row],[Contracts Offered]]=0,0,SalesData[[#This Row],[Contracts Signed]]/SalesData[[#This Row],[Contracts Offered]])</f>
        <v>0.3611111111111111</v>
      </c>
      <c r="AG1214" s="5">
        <f>IF(SalesData[[#This Row],[Customers Visited]]=0,0,SalesData[[#This Row],[Test Drives]]/SalesData[[#This Row],[Customers Visited]])</f>
        <v>0.54347826086956519</v>
      </c>
      <c r="AH1214" s="5">
        <f>IF(SalesData[[#This Row],[Customers Visited]]=0,0,SalesData[[#This Row],[Contracts Signed]]/SalesData[[#This Row],[Customers Visited]])</f>
        <v>0.14130434782608695</v>
      </c>
      <c r="AI1214" s="6">
        <f>IF(SalesData[[#This Row],[Contracts Signed]]=0,0,SalesData[[#This Row],[Profit(€)]]/SalesData[[#This Row],[Contracts Signed]])</f>
        <v>9074</v>
      </c>
      <c r="AJ1214" s="5" t="str">
        <f>TRIM(CLEAN(SalesData[[#This Row],[Retailer]]))</f>
        <v>Bavaria Motors</v>
      </c>
    </row>
    <row r="1215" spans="1:36" ht="14.25" hidden="1" x14ac:dyDescent="0.2">
      <c r="A1215" t="s">
        <v>2017</v>
      </c>
      <c r="B1215" s="1">
        <v>46080</v>
      </c>
      <c r="C1215" t="s">
        <v>53</v>
      </c>
      <c r="D1215" t="s">
        <v>54</v>
      </c>
      <c r="E1215" t="s">
        <v>26</v>
      </c>
      <c r="F1215" t="s">
        <v>109</v>
      </c>
      <c r="G1215" t="s">
        <v>110</v>
      </c>
      <c r="H1215" t="s">
        <v>45</v>
      </c>
      <c r="I1215" t="s">
        <v>64</v>
      </c>
      <c r="J1215" t="s">
        <v>157</v>
      </c>
      <c r="K1215" t="s">
        <v>91</v>
      </c>
      <c r="L1215" t="s">
        <v>33</v>
      </c>
      <c r="M1215" t="s">
        <v>34</v>
      </c>
      <c r="N1215" t="s">
        <v>69</v>
      </c>
      <c r="O1215" t="s">
        <v>36</v>
      </c>
      <c r="P1215" t="s">
        <v>49</v>
      </c>
      <c r="Q1215" t="s">
        <v>144</v>
      </c>
      <c r="R1215">
        <v>256</v>
      </c>
      <c r="S1215">
        <v>124</v>
      </c>
      <c r="T1215">
        <v>86</v>
      </c>
      <c r="U1215">
        <v>28</v>
      </c>
      <c r="V1215" t="s">
        <v>6364</v>
      </c>
      <c r="W1215">
        <v>65021</v>
      </c>
      <c r="X1215" t="s">
        <v>4990</v>
      </c>
      <c r="Y1215">
        <v>47666</v>
      </c>
      <c r="Z1215">
        <v>1820588</v>
      </c>
      <c r="AA1215">
        <v>485940</v>
      </c>
      <c r="AB1215" t="str">
        <f>(VLOOKUP(SalesData[[#This Row],[Month Number]],Reference!C$5:E$16,2,FALSE))</f>
        <v>Feb</v>
      </c>
      <c r="AC1215">
        <f>MONTH(SalesData[[#This Row],[Date]])</f>
        <v>2</v>
      </c>
      <c r="AD1215">
        <f>Reference!F$4</f>
        <v>2026</v>
      </c>
      <c r="AE1215" t="str">
        <f>IF(OR(SalesData[[#This Row],[Day]]="Saturday",SalesData[[#This Row],[Day]]="Sunday"),"Weekend","Weekday")</f>
        <v>Weekday</v>
      </c>
      <c r="AF1215" s="5">
        <f>IF(SalesData[[#This Row],[Contracts Offered]]=0,0,SalesData[[#This Row],[Contracts Signed]]/SalesData[[#This Row],[Contracts Offered]])</f>
        <v>0.32558139534883723</v>
      </c>
      <c r="AG1215" s="5">
        <f>IF(SalesData[[#This Row],[Customers Visited]]=0,0,SalesData[[#This Row],[Test Drives]]/SalesData[[#This Row],[Customers Visited]])</f>
        <v>0.484375</v>
      </c>
      <c r="AH1215" s="5">
        <f>IF(SalesData[[#This Row],[Customers Visited]]=0,0,SalesData[[#This Row],[Contracts Signed]]/SalesData[[#This Row],[Customers Visited]])</f>
        <v>0.109375</v>
      </c>
      <c r="AI1215" s="6">
        <f>IF(SalesData[[#This Row],[Contracts Signed]]=0,0,SalesData[[#This Row],[Profit(€)]]/SalesData[[#This Row],[Contracts Signed]])</f>
        <v>17355</v>
      </c>
      <c r="AJ1215" s="5" t="str">
        <f>TRIM(CLEAN(SalesData[[#This Row],[Retailer]]))</f>
        <v>Leipzig Mobility</v>
      </c>
    </row>
    <row r="1216" spans="1:36" ht="14.25" x14ac:dyDescent="0.2">
      <c r="A1216" t="s">
        <v>2018</v>
      </c>
      <c r="B1216" s="1">
        <v>46069</v>
      </c>
      <c r="C1216" t="s">
        <v>62</v>
      </c>
      <c r="D1216" t="s">
        <v>25</v>
      </c>
      <c r="E1216" t="s">
        <v>26</v>
      </c>
      <c r="F1216" t="s">
        <v>43</v>
      </c>
      <c r="G1216" t="s">
        <v>44</v>
      </c>
      <c r="H1216" t="s">
        <v>45</v>
      </c>
      <c r="I1216" t="s">
        <v>30</v>
      </c>
      <c r="J1216" t="s">
        <v>7075</v>
      </c>
      <c r="K1216" t="s">
        <v>32</v>
      </c>
      <c r="L1216" t="s">
        <v>33</v>
      </c>
      <c r="M1216" t="s">
        <v>47</v>
      </c>
      <c r="N1216" t="s">
        <v>35</v>
      </c>
      <c r="O1216" t="s">
        <v>36</v>
      </c>
      <c r="P1216" t="s">
        <v>37</v>
      </c>
      <c r="Q1216" t="s">
        <v>88</v>
      </c>
      <c r="R1216">
        <v>151</v>
      </c>
      <c r="S1216">
        <v>85</v>
      </c>
      <c r="T1216">
        <v>62</v>
      </c>
      <c r="U1216">
        <v>23</v>
      </c>
      <c r="V1216" t="s">
        <v>6610</v>
      </c>
      <c r="W1216">
        <v>64694</v>
      </c>
      <c r="X1216" t="s">
        <v>7045</v>
      </c>
      <c r="Y1216">
        <v>48630</v>
      </c>
      <c r="Z1216">
        <v>1487962</v>
      </c>
      <c r="AA1216">
        <v>369472</v>
      </c>
      <c r="AB1216" t="str">
        <f>(VLOOKUP(SalesData[[#This Row],[Month Number]],Reference!C$5:E$16,2,FALSE))</f>
        <v>Feb</v>
      </c>
      <c r="AC1216">
        <f>MONTH(SalesData[[#This Row],[Date]])</f>
        <v>2</v>
      </c>
      <c r="AD1216">
        <f>Reference!F$4</f>
        <v>2026</v>
      </c>
      <c r="AE1216" t="str">
        <f>IF(OR(SalesData[[#This Row],[Day]]="Saturday",SalesData[[#This Row],[Day]]="Sunday"),"Weekend","Weekday")</f>
        <v>Weekday</v>
      </c>
      <c r="AF1216" s="5">
        <f>IF(SalesData[[#This Row],[Contracts Offered]]=0,0,SalesData[[#This Row],[Contracts Signed]]/SalesData[[#This Row],[Contracts Offered]])</f>
        <v>0.37096774193548387</v>
      </c>
      <c r="AG1216" s="5">
        <f>IF(SalesData[[#This Row],[Customers Visited]]=0,0,SalesData[[#This Row],[Test Drives]]/SalesData[[#This Row],[Customers Visited]])</f>
        <v>0.5629139072847682</v>
      </c>
      <c r="AH1216" s="5">
        <f>IF(SalesData[[#This Row],[Customers Visited]]=0,0,SalesData[[#This Row],[Contracts Signed]]/SalesData[[#This Row],[Customers Visited]])</f>
        <v>0.15231788079470199</v>
      </c>
      <c r="AI1216" s="6">
        <f>IF(SalesData[[#This Row],[Contracts Signed]]=0,0,SalesData[[#This Row],[Profit(€)]]/SalesData[[#This Row],[Contracts Signed]])</f>
        <v>16064</v>
      </c>
      <c r="AJ1216" s="5" t="str">
        <f>TRIM(CLEAN(SalesData[[#This Row],[Retailer]]))</f>
        <v>Saxon Wheels</v>
      </c>
    </row>
    <row r="1217" spans="1:36" ht="14.25" hidden="1" x14ac:dyDescent="0.2">
      <c r="A1217" t="s">
        <v>2019</v>
      </c>
      <c r="B1217" s="1">
        <v>46069</v>
      </c>
      <c r="C1217" t="s">
        <v>62</v>
      </c>
      <c r="D1217" t="s">
        <v>25</v>
      </c>
      <c r="E1217" t="s">
        <v>26</v>
      </c>
      <c r="F1217" t="s">
        <v>74</v>
      </c>
      <c r="G1217" t="s">
        <v>75</v>
      </c>
      <c r="H1217" t="s">
        <v>76</v>
      </c>
      <c r="I1217" t="s">
        <v>116</v>
      </c>
      <c r="J1217" t="s">
        <v>7090</v>
      </c>
      <c r="K1217" t="s">
        <v>66</v>
      </c>
      <c r="L1217" t="s">
        <v>46</v>
      </c>
      <c r="M1217" t="s">
        <v>68</v>
      </c>
      <c r="N1217" t="s">
        <v>69</v>
      </c>
      <c r="O1217" t="s">
        <v>36</v>
      </c>
      <c r="P1217" t="s">
        <v>71</v>
      </c>
      <c r="Q1217" t="s">
        <v>135</v>
      </c>
      <c r="R1217">
        <v>367</v>
      </c>
      <c r="S1217">
        <v>197</v>
      </c>
      <c r="T1217">
        <v>115</v>
      </c>
      <c r="U1217">
        <v>31</v>
      </c>
      <c r="V1217" t="s">
        <v>1996</v>
      </c>
      <c r="W1217">
        <v>19853</v>
      </c>
      <c r="X1217" t="s">
        <v>303</v>
      </c>
      <c r="Y1217">
        <v>17995</v>
      </c>
      <c r="Z1217">
        <v>615443</v>
      </c>
      <c r="AA1217">
        <v>57598</v>
      </c>
      <c r="AB1217" t="str">
        <f>(VLOOKUP(SalesData[[#This Row],[Month Number]],Reference!C$5:E$16,2,FALSE))</f>
        <v>Feb</v>
      </c>
      <c r="AC1217">
        <f>MONTH(SalesData[[#This Row],[Date]])</f>
        <v>2</v>
      </c>
      <c r="AD1217">
        <f>Reference!F$4</f>
        <v>2026</v>
      </c>
      <c r="AE1217" t="str">
        <f>IF(OR(SalesData[[#This Row],[Day]]="Saturday",SalesData[[#This Row],[Day]]="Sunday"),"Weekend","Weekday")</f>
        <v>Weekday</v>
      </c>
      <c r="AF1217" s="5">
        <f>IF(SalesData[[#This Row],[Contracts Offered]]=0,0,SalesData[[#This Row],[Contracts Signed]]/SalesData[[#This Row],[Contracts Offered]])</f>
        <v>0.26956521739130435</v>
      </c>
      <c r="AG1217" s="5">
        <f>IF(SalesData[[#This Row],[Customers Visited]]=0,0,SalesData[[#This Row],[Test Drives]]/SalesData[[#This Row],[Customers Visited]])</f>
        <v>0.53678474114441421</v>
      </c>
      <c r="AH1217" s="5">
        <f>IF(SalesData[[#This Row],[Customers Visited]]=0,0,SalesData[[#This Row],[Contracts Signed]]/SalesData[[#This Row],[Customers Visited]])</f>
        <v>8.4468664850136238E-2</v>
      </c>
      <c r="AI1217" s="6">
        <f>IF(SalesData[[#This Row],[Contracts Signed]]=0,0,SalesData[[#This Row],[Profit(€)]]/SalesData[[#This Row],[Contracts Signed]])</f>
        <v>1858</v>
      </c>
      <c r="AJ1217" s="5" t="str">
        <f>TRIM(CLEAN(SalesData[[#This Row],[Retailer]]))</f>
        <v>Stuttgart Auto Center</v>
      </c>
    </row>
    <row r="1218" spans="1:36" ht="14.25" hidden="1" x14ac:dyDescent="0.2">
      <c r="A1218" t="s">
        <v>2020</v>
      </c>
      <c r="B1218" s="1">
        <v>46066</v>
      </c>
      <c r="C1218" t="s">
        <v>121</v>
      </c>
      <c r="D1218" t="s">
        <v>54</v>
      </c>
      <c r="E1218" t="s">
        <v>26</v>
      </c>
      <c r="F1218" t="s">
        <v>83</v>
      </c>
      <c r="G1218" t="s">
        <v>84</v>
      </c>
      <c r="H1218" t="s">
        <v>85</v>
      </c>
      <c r="I1218" t="s">
        <v>104</v>
      </c>
      <c r="J1218" t="s">
        <v>143</v>
      </c>
      <c r="K1218" t="s">
        <v>32</v>
      </c>
      <c r="L1218" t="s">
        <v>67</v>
      </c>
      <c r="M1218" t="s">
        <v>47</v>
      </c>
      <c r="N1218" t="s">
        <v>69</v>
      </c>
      <c r="O1218" t="s">
        <v>36</v>
      </c>
      <c r="P1218" t="s">
        <v>71</v>
      </c>
      <c r="Q1218" t="s">
        <v>129</v>
      </c>
      <c r="R1218">
        <v>326</v>
      </c>
      <c r="S1218">
        <v>146</v>
      </c>
      <c r="T1218">
        <v>88</v>
      </c>
      <c r="U1218">
        <v>22</v>
      </c>
      <c r="V1218" t="s">
        <v>1004</v>
      </c>
      <c r="W1218">
        <v>31672</v>
      </c>
      <c r="X1218" t="s">
        <v>5464</v>
      </c>
      <c r="Y1218">
        <v>28434</v>
      </c>
      <c r="Z1218">
        <v>696784</v>
      </c>
      <c r="AA1218">
        <v>71236</v>
      </c>
      <c r="AB1218" t="str">
        <f>(VLOOKUP(SalesData[[#This Row],[Month Number]],Reference!C$5:E$16,2,FALSE))</f>
        <v>Feb</v>
      </c>
      <c r="AC1218">
        <f>MONTH(SalesData[[#This Row],[Date]])</f>
        <v>2</v>
      </c>
      <c r="AD1218">
        <f>Reference!F$4</f>
        <v>2026</v>
      </c>
      <c r="AE1218" t="str">
        <f>IF(OR(SalesData[[#This Row],[Day]]="Saturday",SalesData[[#This Row],[Day]]="Sunday"),"Weekend","Weekday")</f>
        <v>Weekday</v>
      </c>
      <c r="AF1218" s="5">
        <f>IF(SalesData[[#This Row],[Contracts Offered]]=0,0,SalesData[[#This Row],[Contracts Signed]]/SalesData[[#This Row],[Contracts Offered]])</f>
        <v>0.25</v>
      </c>
      <c r="AG1218" s="5">
        <f>IF(SalesData[[#This Row],[Customers Visited]]=0,0,SalesData[[#This Row],[Test Drives]]/SalesData[[#This Row],[Customers Visited]])</f>
        <v>0.44785276073619634</v>
      </c>
      <c r="AH1218" s="5">
        <f>IF(SalesData[[#This Row],[Customers Visited]]=0,0,SalesData[[#This Row],[Contracts Signed]]/SalesData[[#This Row],[Customers Visited]])</f>
        <v>6.7484662576687116E-2</v>
      </c>
      <c r="AI1218" s="6">
        <f>IF(SalesData[[#This Row],[Contracts Signed]]=0,0,SalesData[[#This Row],[Profit(€)]]/SalesData[[#This Row],[Contracts Signed]])</f>
        <v>3238</v>
      </c>
      <c r="AJ1218" s="5" t="str">
        <f>TRIM(CLEAN(SalesData[[#This Row],[Retailer]]))</f>
        <v>Hannover Cars</v>
      </c>
    </row>
    <row r="1219" spans="1:36" ht="14.25" hidden="1" x14ac:dyDescent="0.2">
      <c r="A1219" t="s">
        <v>2021</v>
      </c>
      <c r="B1219" s="1">
        <v>46057</v>
      </c>
      <c r="C1219" t="s">
        <v>24</v>
      </c>
      <c r="D1219" t="s">
        <v>82</v>
      </c>
      <c r="E1219" t="s">
        <v>26</v>
      </c>
      <c r="F1219" t="s">
        <v>43</v>
      </c>
      <c r="G1219" t="s">
        <v>44</v>
      </c>
      <c r="H1219" t="s">
        <v>45</v>
      </c>
      <c r="I1219" t="s">
        <v>104</v>
      </c>
      <c r="J1219" t="s">
        <v>140</v>
      </c>
      <c r="K1219" t="s">
        <v>32</v>
      </c>
      <c r="L1219" t="s">
        <v>46</v>
      </c>
      <c r="M1219" t="s">
        <v>87</v>
      </c>
      <c r="N1219" t="s">
        <v>35</v>
      </c>
      <c r="O1219" t="s">
        <v>70</v>
      </c>
      <c r="P1219" t="s">
        <v>49</v>
      </c>
      <c r="Q1219" t="s">
        <v>240</v>
      </c>
      <c r="R1219">
        <v>331</v>
      </c>
      <c r="S1219">
        <v>174</v>
      </c>
      <c r="T1219">
        <v>118</v>
      </c>
      <c r="U1219">
        <v>24</v>
      </c>
      <c r="V1219" t="s">
        <v>301</v>
      </c>
      <c r="W1219">
        <v>32859</v>
      </c>
      <c r="X1219" t="s">
        <v>4613</v>
      </c>
      <c r="Y1219">
        <v>28891</v>
      </c>
      <c r="Z1219">
        <v>788616</v>
      </c>
      <c r="AA1219">
        <v>95232</v>
      </c>
      <c r="AB1219" t="str">
        <f>(VLOOKUP(SalesData[[#This Row],[Month Number]],Reference!C$5:E$16,2,FALSE))</f>
        <v>Feb</v>
      </c>
      <c r="AC1219">
        <f>MONTH(SalesData[[#This Row],[Date]])</f>
        <v>2</v>
      </c>
      <c r="AD1219">
        <f>Reference!F$4</f>
        <v>2026</v>
      </c>
      <c r="AE1219" t="str">
        <f>IF(OR(SalesData[[#This Row],[Day]]="Saturday",SalesData[[#This Row],[Day]]="Sunday"),"Weekend","Weekday")</f>
        <v>Weekday</v>
      </c>
      <c r="AF1219" s="5">
        <f>IF(SalesData[[#This Row],[Contracts Offered]]=0,0,SalesData[[#This Row],[Contracts Signed]]/SalesData[[#This Row],[Contracts Offered]])</f>
        <v>0.20338983050847459</v>
      </c>
      <c r="AG1219" s="5">
        <f>IF(SalesData[[#This Row],[Customers Visited]]=0,0,SalesData[[#This Row],[Test Drives]]/SalesData[[#This Row],[Customers Visited]])</f>
        <v>0.52567975830815705</v>
      </c>
      <c r="AH1219" s="5">
        <f>IF(SalesData[[#This Row],[Customers Visited]]=0,0,SalesData[[#This Row],[Contracts Signed]]/SalesData[[#This Row],[Customers Visited]])</f>
        <v>7.2507552870090641E-2</v>
      </c>
      <c r="AI1219" s="6">
        <f>IF(SalesData[[#This Row],[Contracts Signed]]=0,0,SalesData[[#This Row],[Profit(€)]]/SalesData[[#This Row],[Contracts Signed]])</f>
        <v>3968</v>
      </c>
      <c r="AJ1219" s="5" t="str">
        <f>TRIM(CLEAN(SalesData[[#This Row],[Retailer]]))</f>
        <v>Saxon Wheels</v>
      </c>
    </row>
    <row r="1220" spans="1:36" ht="14.25" hidden="1" x14ac:dyDescent="0.2">
      <c r="A1220" t="s">
        <v>2022</v>
      </c>
      <c r="B1220" s="1">
        <v>46059</v>
      </c>
      <c r="C1220" t="s">
        <v>24</v>
      </c>
      <c r="D1220" t="s">
        <v>54</v>
      </c>
      <c r="E1220" t="s">
        <v>26</v>
      </c>
      <c r="F1220" t="s">
        <v>27</v>
      </c>
      <c r="G1220" t="s">
        <v>28</v>
      </c>
      <c r="H1220" t="s">
        <v>29</v>
      </c>
      <c r="I1220" t="s">
        <v>104</v>
      </c>
      <c r="J1220" t="s">
        <v>7031</v>
      </c>
      <c r="K1220" t="s">
        <v>32</v>
      </c>
      <c r="L1220" t="s">
        <v>46</v>
      </c>
      <c r="M1220" t="s">
        <v>68</v>
      </c>
      <c r="N1220" t="s">
        <v>35</v>
      </c>
      <c r="O1220" t="s">
        <v>36</v>
      </c>
      <c r="P1220" t="s">
        <v>37</v>
      </c>
      <c r="Q1220" t="s">
        <v>122</v>
      </c>
      <c r="R1220">
        <v>506</v>
      </c>
      <c r="S1220">
        <v>235</v>
      </c>
      <c r="T1220">
        <v>154</v>
      </c>
      <c r="U1220">
        <v>37</v>
      </c>
      <c r="V1220" t="s">
        <v>1996</v>
      </c>
      <c r="W1220">
        <v>26609</v>
      </c>
      <c r="X1220" t="s">
        <v>260</v>
      </c>
      <c r="Y1220">
        <v>24086</v>
      </c>
      <c r="Z1220">
        <v>984533</v>
      </c>
      <c r="AA1220">
        <v>93351</v>
      </c>
      <c r="AB1220" t="str">
        <f>(VLOOKUP(SalesData[[#This Row],[Month Number]],Reference!C$5:E$16,2,FALSE))</f>
        <v>Feb</v>
      </c>
      <c r="AC1220">
        <f>MONTH(SalesData[[#This Row],[Date]])</f>
        <v>2</v>
      </c>
      <c r="AD1220">
        <f>Reference!F$4</f>
        <v>2026</v>
      </c>
      <c r="AE1220" t="str">
        <f>IF(OR(SalesData[[#This Row],[Day]]="Saturday",SalesData[[#This Row],[Day]]="Sunday"),"Weekend","Weekday")</f>
        <v>Weekday</v>
      </c>
      <c r="AF1220" s="5">
        <f>IF(SalesData[[#This Row],[Contracts Offered]]=0,0,SalesData[[#This Row],[Contracts Signed]]/SalesData[[#This Row],[Contracts Offered]])</f>
        <v>0.24025974025974026</v>
      </c>
      <c r="AG1220" s="5">
        <f>IF(SalesData[[#This Row],[Customers Visited]]=0,0,SalesData[[#This Row],[Test Drives]]/SalesData[[#This Row],[Customers Visited]])</f>
        <v>0.46442687747035571</v>
      </c>
      <c r="AH1220" s="5">
        <f>IF(SalesData[[#This Row],[Customers Visited]]=0,0,SalesData[[#This Row],[Contracts Signed]]/SalesData[[#This Row],[Customers Visited]])</f>
        <v>7.3122529644268769E-2</v>
      </c>
      <c r="AI1220" s="6">
        <f>IF(SalesData[[#This Row],[Contracts Signed]]=0,0,SalesData[[#This Row],[Profit(€)]]/SalesData[[#This Row],[Contracts Signed]])</f>
        <v>2523</v>
      </c>
      <c r="AJ1220" s="5" t="str">
        <f>TRIM(CLEAN(SalesData[[#This Row],[Retailer]]))</f>
        <v>Main Auto Hub</v>
      </c>
    </row>
    <row r="1221" spans="1:36" ht="14.25" x14ac:dyDescent="0.2">
      <c r="A1221" t="s">
        <v>2024</v>
      </c>
      <c r="B1221" s="1">
        <v>46075</v>
      </c>
      <c r="C1221" t="s">
        <v>53</v>
      </c>
      <c r="D1221" t="s">
        <v>41</v>
      </c>
      <c r="E1221" t="s">
        <v>42</v>
      </c>
      <c r="F1221" t="s">
        <v>94</v>
      </c>
      <c r="G1221" t="s">
        <v>95</v>
      </c>
      <c r="H1221" t="s">
        <v>96</v>
      </c>
      <c r="I1221" t="s">
        <v>30</v>
      </c>
      <c r="J1221" t="s">
        <v>7075</v>
      </c>
      <c r="K1221" t="s">
        <v>32</v>
      </c>
      <c r="L1221" t="s">
        <v>33</v>
      </c>
      <c r="M1221" t="s">
        <v>34</v>
      </c>
      <c r="N1221" t="s">
        <v>35</v>
      </c>
      <c r="O1221" t="s">
        <v>70</v>
      </c>
      <c r="P1221" t="s">
        <v>37</v>
      </c>
      <c r="Q1221" t="s">
        <v>167</v>
      </c>
      <c r="R1221">
        <v>198</v>
      </c>
      <c r="S1221">
        <v>121</v>
      </c>
      <c r="T1221">
        <v>97</v>
      </c>
      <c r="U1221">
        <v>30</v>
      </c>
      <c r="V1221" t="s">
        <v>6927</v>
      </c>
      <c r="W1221">
        <v>63991</v>
      </c>
      <c r="X1221" t="s">
        <v>1151</v>
      </c>
      <c r="Y1221">
        <v>47228</v>
      </c>
      <c r="Z1221">
        <v>1919730</v>
      </c>
      <c r="AA1221">
        <v>502890</v>
      </c>
      <c r="AB1221" t="str">
        <f>(VLOOKUP(SalesData[[#This Row],[Month Number]],Reference!C$5:E$16,2,FALSE))</f>
        <v>Feb</v>
      </c>
      <c r="AC1221">
        <f>MONTH(SalesData[[#This Row],[Date]])</f>
        <v>2</v>
      </c>
      <c r="AD1221">
        <f>Reference!F$4</f>
        <v>2026</v>
      </c>
      <c r="AE1221" t="str">
        <f>IF(OR(SalesData[[#This Row],[Day]]="Saturday",SalesData[[#This Row],[Day]]="Sunday"),"Weekend","Weekday")</f>
        <v>Weekend</v>
      </c>
      <c r="AF1221" s="5">
        <f>IF(SalesData[[#This Row],[Contracts Offered]]=0,0,SalesData[[#This Row],[Contracts Signed]]/SalesData[[#This Row],[Contracts Offered]])</f>
        <v>0.30927835051546393</v>
      </c>
      <c r="AG1221" s="5">
        <f>IF(SalesData[[#This Row],[Customers Visited]]=0,0,SalesData[[#This Row],[Test Drives]]/SalesData[[#This Row],[Customers Visited]])</f>
        <v>0.61111111111111116</v>
      </c>
      <c r="AH1221" s="5">
        <f>IF(SalesData[[#This Row],[Customers Visited]]=0,0,SalesData[[#This Row],[Contracts Signed]]/SalesData[[#This Row],[Customers Visited]])</f>
        <v>0.15151515151515152</v>
      </c>
      <c r="AI1221" s="6">
        <f>IF(SalesData[[#This Row],[Contracts Signed]]=0,0,SalesData[[#This Row],[Profit(€)]]/SalesData[[#This Row],[Contracts Signed]])</f>
        <v>16763</v>
      </c>
      <c r="AJ1221" s="5" t="str">
        <f>TRIM(CLEAN(SalesData[[#This Row],[Retailer]]))</f>
        <v>Bavaria Motors</v>
      </c>
    </row>
    <row r="1222" spans="1:36" ht="14.25" x14ac:dyDescent="0.2">
      <c r="A1222" t="s">
        <v>2025</v>
      </c>
      <c r="B1222" s="1">
        <v>46067</v>
      </c>
      <c r="C1222" t="s">
        <v>121</v>
      </c>
      <c r="D1222" t="s">
        <v>151</v>
      </c>
      <c r="E1222" t="s">
        <v>42</v>
      </c>
      <c r="F1222" t="s">
        <v>127</v>
      </c>
      <c r="G1222" t="s">
        <v>128</v>
      </c>
      <c r="H1222" t="s">
        <v>103</v>
      </c>
      <c r="I1222" t="s">
        <v>30</v>
      </c>
      <c r="J1222" t="s">
        <v>188</v>
      </c>
      <c r="K1222" t="s">
        <v>66</v>
      </c>
      <c r="L1222" t="s">
        <v>33</v>
      </c>
      <c r="M1222" t="s">
        <v>87</v>
      </c>
      <c r="N1222" t="s">
        <v>35</v>
      </c>
      <c r="O1222" t="s">
        <v>36</v>
      </c>
      <c r="P1222" t="s">
        <v>71</v>
      </c>
      <c r="Q1222" t="s">
        <v>169</v>
      </c>
      <c r="R1222">
        <v>272</v>
      </c>
      <c r="S1222">
        <v>145</v>
      </c>
      <c r="T1222">
        <v>101</v>
      </c>
      <c r="U1222">
        <v>40</v>
      </c>
      <c r="V1222" t="s">
        <v>6612</v>
      </c>
      <c r="W1222">
        <v>58763</v>
      </c>
      <c r="X1222" t="s">
        <v>7240</v>
      </c>
      <c r="Y1222">
        <v>42424</v>
      </c>
      <c r="Z1222">
        <v>2350520</v>
      </c>
      <c r="AA1222">
        <v>653560</v>
      </c>
      <c r="AB1222" t="str">
        <f>(VLOOKUP(SalesData[[#This Row],[Month Number]],Reference!C$5:E$16,2,FALSE))</f>
        <v>Feb</v>
      </c>
      <c r="AC1222">
        <f>MONTH(SalesData[[#This Row],[Date]])</f>
        <v>2</v>
      </c>
      <c r="AD1222">
        <f>Reference!F$4</f>
        <v>2026</v>
      </c>
      <c r="AE1222" t="str">
        <f>IF(OR(SalesData[[#This Row],[Day]]="Saturday",SalesData[[#This Row],[Day]]="Sunday"),"Weekend","Weekday")</f>
        <v>Weekend</v>
      </c>
      <c r="AF1222" s="5">
        <f>IF(SalesData[[#This Row],[Contracts Offered]]=0,0,SalesData[[#This Row],[Contracts Signed]]/SalesData[[#This Row],[Contracts Offered]])</f>
        <v>0.39603960396039606</v>
      </c>
      <c r="AG1222" s="5">
        <f>IF(SalesData[[#This Row],[Customers Visited]]=0,0,SalesData[[#This Row],[Test Drives]]/SalesData[[#This Row],[Customers Visited]])</f>
        <v>0.53308823529411764</v>
      </c>
      <c r="AH1222" s="5">
        <f>IF(SalesData[[#This Row],[Customers Visited]]=0,0,SalesData[[#This Row],[Contracts Signed]]/SalesData[[#This Row],[Customers Visited]])</f>
        <v>0.14705882352941177</v>
      </c>
      <c r="AI1222" s="6">
        <f>IF(SalesData[[#This Row],[Contracts Signed]]=0,0,SalesData[[#This Row],[Profit(€)]]/SalesData[[#This Row],[Contracts Signed]])</f>
        <v>16339</v>
      </c>
      <c r="AJ1222" s="5" t="str">
        <f>TRIM(CLEAN(SalesData[[#This Row],[Retailer]]))</f>
        <v>Rhein Auto Group</v>
      </c>
    </row>
    <row r="1223" spans="1:36" ht="14.25" hidden="1" x14ac:dyDescent="0.2">
      <c r="A1223" t="s">
        <v>2027</v>
      </c>
      <c r="B1223" s="1">
        <v>46057</v>
      </c>
      <c r="C1223" t="s">
        <v>24</v>
      </c>
      <c r="D1223" t="s">
        <v>82</v>
      </c>
      <c r="E1223" t="s">
        <v>26</v>
      </c>
      <c r="F1223" t="s">
        <v>27</v>
      </c>
      <c r="G1223" t="s">
        <v>28</v>
      </c>
      <c r="H1223" t="s">
        <v>29</v>
      </c>
      <c r="I1223" t="s">
        <v>56</v>
      </c>
      <c r="J1223" t="s">
        <v>179</v>
      </c>
      <c r="K1223" t="s">
        <v>32</v>
      </c>
      <c r="L1223" t="s">
        <v>67</v>
      </c>
      <c r="M1223" t="s">
        <v>34</v>
      </c>
      <c r="N1223" t="s">
        <v>35</v>
      </c>
      <c r="O1223" t="s">
        <v>70</v>
      </c>
      <c r="P1223" t="s">
        <v>58</v>
      </c>
      <c r="Q1223" t="s">
        <v>144</v>
      </c>
      <c r="R1223">
        <v>276</v>
      </c>
      <c r="S1223">
        <v>129</v>
      </c>
      <c r="T1223">
        <v>91</v>
      </c>
      <c r="U1223">
        <v>30</v>
      </c>
      <c r="V1223" t="s">
        <v>6726</v>
      </c>
      <c r="W1223">
        <v>55253</v>
      </c>
      <c r="X1223" t="s">
        <v>7114</v>
      </c>
      <c r="Y1223">
        <v>44963</v>
      </c>
      <c r="Z1223">
        <v>1657590</v>
      </c>
      <c r="AA1223">
        <v>308700</v>
      </c>
      <c r="AB1223" t="str">
        <f>(VLOOKUP(SalesData[[#This Row],[Month Number]],Reference!C$5:E$16,2,FALSE))</f>
        <v>Feb</v>
      </c>
      <c r="AC1223">
        <f>MONTH(SalesData[[#This Row],[Date]])</f>
        <v>2</v>
      </c>
      <c r="AD1223">
        <f>Reference!F$4</f>
        <v>2026</v>
      </c>
      <c r="AE1223" t="str">
        <f>IF(OR(SalesData[[#This Row],[Day]]="Saturday",SalesData[[#This Row],[Day]]="Sunday"),"Weekend","Weekday")</f>
        <v>Weekday</v>
      </c>
      <c r="AF1223" s="5">
        <f>IF(SalesData[[#This Row],[Contracts Offered]]=0,0,SalesData[[#This Row],[Contracts Signed]]/SalesData[[#This Row],[Contracts Offered]])</f>
        <v>0.32967032967032966</v>
      </c>
      <c r="AG1223" s="5">
        <f>IF(SalesData[[#This Row],[Customers Visited]]=0,0,SalesData[[#This Row],[Test Drives]]/SalesData[[#This Row],[Customers Visited]])</f>
        <v>0.46739130434782611</v>
      </c>
      <c r="AH1223" s="5">
        <f>IF(SalesData[[#This Row],[Customers Visited]]=0,0,SalesData[[#This Row],[Contracts Signed]]/SalesData[[#This Row],[Customers Visited]])</f>
        <v>0.10869565217391304</v>
      </c>
      <c r="AI1223" s="6">
        <f>IF(SalesData[[#This Row],[Contracts Signed]]=0,0,SalesData[[#This Row],[Profit(€)]]/SalesData[[#This Row],[Contracts Signed]])</f>
        <v>10290</v>
      </c>
      <c r="AJ1223" s="5" t="str">
        <f>TRIM(CLEAN(SalesData[[#This Row],[Retailer]]))</f>
        <v>Main Auto Hub</v>
      </c>
    </row>
    <row r="1224" spans="1:36" ht="14.25" hidden="1" x14ac:dyDescent="0.2">
      <c r="A1224" t="s">
        <v>2028</v>
      </c>
      <c r="B1224" s="1">
        <v>46071</v>
      </c>
      <c r="C1224" t="s">
        <v>62</v>
      </c>
      <c r="D1224" t="s">
        <v>82</v>
      </c>
      <c r="E1224" t="s">
        <v>26</v>
      </c>
      <c r="F1224" t="s">
        <v>7649</v>
      </c>
      <c r="G1224" t="s">
        <v>55</v>
      </c>
      <c r="H1224" t="s">
        <v>55</v>
      </c>
      <c r="I1224" t="s">
        <v>56</v>
      </c>
      <c r="J1224" t="s">
        <v>7028</v>
      </c>
      <c r="K1224" t="s">
        <v>32</v>
      </c>
      <c r="L1224" t="s">
        <v>46</v>
      </c>
      <c r="M1224" t="s">
        <v>34</v>
      </c>
      <c r="N1224" t="s">
        <v>69</v>
      </c>
      <c r="O1224" t="s">
        <v>70</v>
      </c>
      <c r="P1224" t="s">
        <v>71</v>
      </c>
      <c r="Q1224" t="s">
        <v>158</v>
      </c>
      <c r="R1224">
        <v>210</v>
      </c>
      <c r="S1224">
        <v>113</v>
      </c>
      <c r="T1224">
        <v>76</v>
      </c>
      <c r="U1224">
        <v>28</v>
      </c>
      <c r="V1224" t="s">
        <v>6418</v>
      </c>
      <c r="W1224">
        <v>49363</v>
      </c>
      <c r="X1224" t="s">
        <v>2313</v>
      </c>
      <c r="Y1224">
        <v>38411</v>
      </c>
      <c r="Z1224">
        <v>1382164</v>
      </c>
      <c r="AA1224">
        <v>306656</v>
      </c>
      <c r="AB1224" t="str">
        <f>(VLOOKUP(SalesData[[#This Row],[Month Number]],Reference!C$5:E$16,2,FALSE))</f>
        <v>Feb</v>
      </c>
      <c r="AC1224">
        <f>MONTH(SalesData[[#This Row],[Date]])</f>
        <v>2</v>
      </c>
      <c r="AD1224">
        <f>Reference!F$4</f>
        <v>2026</v>
      </c>
      <c r="AE1224" t="str">
        <f>IF(OR(SalesData[[#This Row],[Day]]="Saturday",SalesData[[#This Row],[Day]]="Sunday"),"Weekend","Weekday")</f>
        <v>Weekday</v>
      </c>
      <c r="AF1224" s="5">
        <f>IF(SalesData[[#This Row],[Contracts Offered]]=0,0,SalesData[[#This Row],[Contracts Signed]]/SalesData[[#This Row],[Contracts Offered]])</f>
        <v>0.36842105263157893</v>
      </c>
      <c r="AG1224" s="5">
        <f>IF(SalesData[[#This Row],[Customers Visited]]=0,0,SalesData[[#This Row],[Test Drives]]/SalesData[[#This Row],[Customers Visited]])</f>
        <v>0.53809523809523807</v>
      </c>
      <c r="AH1224" s="5">
        <f>IF(SalesData[[#This Row],[Customers Visited]]=0,0,SalesData[[#This Row],[Contracts Signed]]/SalesData[[#This Row],[Customers Visited]])</f>
        <v>0.13333333333333333</v>
      </c>
      <c r="AI1224" s="6">
        <f>IF(SalesData[[#This Row],[Contracts Signed]]=0,0,SalesData[[#This Row],[Profit(€)]]/SalesData[[#This Row],[Contracts Signed]])</f>
        <v>10952</v>
      </c>
      <c r="AJ1224" s="5" t="str">
        <f>TRIM(CLEAN(SalesData[[#This Row],[Retailer]]))</f>
        <v>Autohaus Berlin</v>
      </c>
    </row>
    <row r="1225" spans="1:36" ht="14.25" hidden="1" x14ac:dyDescent="0.2">
      <c r="A1225" t="s">
        <v>2029</v>
      </c>
      <c r="B1225" s="1">
        <v>46080</v>
      </c>
      <c r="C1225" t="s">
        <v>53</v>
      </c>
      <c r="D1225" t="s">
        <v>54</v>
      </c>
      <c r="E1225" t="s">
        <v>26</v>
      </c>
      <c r="F1225" t="s">
        <v>43</v>
      </c>
      <c r="G1225" t="s">
        <v>44</v>
      </c>
      <c r="H1225" t="s">
        <v>45</v>
      </c>
      <c r="I1225" t="s">
        <v>56</v>
      </c>
      <c r="J1225" t="s">
        <v>57</v>
      </c>
      <c r="K1225" t="s">
        <v>32</v>
      </c>
      <c r="L1225" t="s">
        <v>46</v>
      </c>
      <c r="M1225" t="s">
        <v>87</v>
      </c>
      <c r="N1225" t="s">
        <v>35</v>
      </c>
      <c r="O1225" t="s">
        <v>70</v>
      </c>
      <c r="P1225" t="s">
        <v>49</v>
      </c>
      <c r="Q1225" t="s">
        <v>169</v>
      </c>
      <c r="R1225">
        <v>258</v>
      </c>
      <c r="S1225">
        <v>159</v>
      </c>
      <c r="T1225">
        <v>119</v>
      </c>
      <c r="U1225">
        <v>33</v>
      </c>
      <c r="V1225" t="s">
        <v>6555</v>
      </c>
      <c r="W1225">
        <v>44262</v>
      </c>
      <c r="X1225" t="s">
        <v>3704</v>
      </c>
      <c r="Y1225">
        <v>35998</v>
      </c>
      <c r="Z1225">
        <v>1460646</v>
      </c>
      <c r="AA1225">
        <v>272712</v>
      </c>
      <c r="AB1225" t="str">
        <f>(VLOOKUP(SalesData[[#This Row],[Month Number]],Reference!C$5:E$16,2,FALSE))</f>
        <v>Feb</v>
      </c>
      <c r="AC1225">
        <f>MONTH(SalesData[[#This Row],[Date]])</f>
        <v>2</v>
      </c>
      <c r="AD1225">
        <f>Reference!F$4</f>
        <v>2026</v>
      </c>
      <c r="AE1225" t="str">
        <f>IF(OR(SalesData[[#This Row],[Day]]="Saturday",SalesData[[#This Row],[Day]]="Sunday"),"Weekend","Weekday")</f>
        <v>Weekday</v>
      </c>
      <c r="AF1225" s="5">
        <f>IF(SalesData[[#This Row],[Contracts Offered]]=0,0,SalesData[[#This Row],[Contracts Signed]]/SalesData[[#This Row],[Contracts Offered]])</f>
        <v>0.27731092436974791</v>
      </c>
      <c r="AG1225" s="5">
        <f>IF(SalesData[[#This Row],[Customers Visited]]=0,0,SalesData[[#This Row],[Test Drives]]/SalesData[[#This Row],[Customers Visited]])</f>
        <v>0.61627906976744184</v>
      </c>
      <c r="AH1225" s="5">
        <f>IF(SalesData[[#This Row],[Customers Visited]]=0,0,SalesData[[#This Row],[Contracts Signed]]/SalesData[[#This Row],[Customers Visited]])</f>
        <v>0.12790697674418605</v>
      </c>
      <c r="AI1225" s="6">
        <f>IF(SalesData[[#This Row],[Contracts Signed]]=0,0,SalesData[[#This Row],[Profit(€)]]/SalesData[[#This Row],[Contracts Signed]])</f>
        <v>8264</v>
      </c>
      <c r="AJ1225" s="5" t="str">
        <f>TRIM(CLEAN(SalesData[[#This Row],[Retailer]]))</f>
        <v>Saxon Wheels</v>
      </c>
    </row>
    <row r="1226" spans="1:36" ht="14.25" hidden="1" x14ac:dyDescent="0.2">
      <c r="A1226" t="s">
        <v>2030</v>
      </c>
      <c r="B1226" s="1">
        <v>46065</v>
      </c>
      <c r="C1226" t="s">
        <v>121</v>
      </c>
      <c r="D1226" t="s">
        <v>100</v>
      </c>
      <c r="E1226" t="s">
        <v>26</v>
      </c>
      <c r="F1226" t="s">
        <v>101</v>
      </c>
      <c r="G1226" t="s">
        <v>102</v>
      </c>
      <c r="H1226" t="s">
        <v>103</v>
      </c>
      <c r="I1226" t="s">
        <v>104</v>
      </c>
      <c r="J1226" t="s">
        <v>7031</v>
      </c>
      <c r="K1226" t="s">
        <v>78</v>
      </c>
      <c r="L1226" t="s">
        <v>46</v>
      </c>
      <c r="M1226" t="s">
        <v>87</v>
      </c>
      <c r="N1226" t="s">
        <v>35</v>
      </c>
      <c r="O1226" t="s">
        <v>70</v>
      </c>
      <c r="P1226" t="s">
        <v>71</v>
      </c>
      <c r="Q1226" t="s">
        <v>158</v>
      </c>
      <c r="R1226">
        <v>391</v>
      </c>
      <c r="S1226">
        <v>203</v>
      </c>
      <c r="T1226">
        <v>144</v>
      </c>
      <c r="U1226">
        <v>35</v>
      </c>
      <c r="V1226" t="s">
        <v>1447</v>
      </c>
      <c r="W1226">
        <v>33312</v>
      </c>
      <c r="X1226" t="s">
        <v>2406</v>
      </c>
      <c r="Y1226">
        <v>29775</v>
      </c>
      <c r="Z1226">
        <v>1165920</v>
      </c>
      <c r="AA1226">
        <v>123795</v>
      </c>
      <c r="AB1226" t="str">
        <f>(VLOOKUP(SalesData[[#This Row],[Month Number]],Reference!C$5:E$16,2,FALSE))</f>
        <v>Feb</v>
      </c>
      <c r="AC1226">
        <f>MONTH(SalesData[[#This Row],[Date]])</f>
        <v>2</v>
      </c>
      <c r="AD1226">
        <f>Reference!F$4</f>
        <v>2026</v>
      </c>
      <c r="AE1226" t="str">
        <f>IF(OR(SalesData[[#This Row],[Day]]="Saturday",SalesData[[#This Row],[Day]]="Sunday"),"Weekend","Weekday")</f>
        <v>Weekday</v>
      </c>
      <c r="AF1226" s="5">
        <f>IF(SalesData[[#This Row],[Contracts Offered]]=0,0,SalesData[[#This Row],[Contracts Signed]]/SalesData[[#This Row],[Contracts Offered]])</f>
        <v>0.24305555555555555</v>
      </c>
      <c r="AG1226" s="5">
        <f>IF(SalesData[[#This Row],[Customers Visited]]=0,0,SalesData[[#This Row],[Test Drives]]/SalesData[[#This Row],[Customers Visited]])</f>
        <v>0.51918158567774941</v>
      </c>
      <c r="AH1226" s="5">
        <f>IF(SalesData[[#This Row],[Customers Visited]]=0,0,SalesData[[#This Row],[Contracts Signed]]/SalesData[[#This Row],[Customers Visited]])</f>
        <v>8.9514066496163683E-2</v>
      </c>
      <c r="AI1226" s="6">
        <f>IF(SalesData[[#This Row],[Contracts Signed]]=0,0,SalesData[[#This Row],[Profit(€)]]/SalesData[[#This Row],[Contracts Signed]])</f>
        <v>3537</v>
      </c>
      <c r="AJ1226" s="5" t="str">
        <f>TRIM(CLEAN(SalesData[[#This Row],[Retailer]]))</f>
        <v>Ruhr Auto Plaza</v>
      </c>
    </row>
    <row r="1227" spans="1:36" ht="14.25" hidden="1" x14ac:dyDescent="0.2">
      <c r="A1227" t="s">
        <v>2031</v>
      </c>
      <c r="B1227" s="1">
        <v>46073</v>
      </c>
      <c r="C1227" t="s">
        <v>62</v>
      </c>
      <c r="D1227" t="s">
        <v>54</v>
      </c>
      <c r="E1227" t="s">
        <v>26</v>
      </c>
      <c r="F1227" t="s">
        <v>83</v>
      </c>
      <c r="G1227" t="s">
        <v>84</v>
      </c>
      <c r="H1227" t="s">
        <v>85</v>
      </c>
      <c r="I1227" t="s">
        <v>56</v>
      </c>
      <c r="J1227" t="s">
        <v>57</v>
      </c>
      <c r="K1227" t="s">
        <v>78</v>
      </c>
      <c r="L1227" t="s">
        <v>46</v>
      </c>
      <c r="M1227" t="s">
        <v>68</v>
      </c>
      <c r="N1227" t="s">
        <v>48</v>
      </c>
      <c r="O1227" t="s">
        <v>36</v>
      </c>
      <c r="P1227" t="s">
        <v>37</v>
      </c>
      <c r="Q1227" t="s">
        <v>135</v>
      </c>
      <c r="R1227">
        <v>289</v>
      </c>
      <c r="S1227">
        <v>154</v>
      </c>
      <c r="T1227">
        <v>109</v>
      </c>
      <c r="U1227">
        <v>35</v>
      </c>
      <c r="V1227" t="s">
        <v>6591</v>
      </c>
      <c r="W1227">
        <v>41583</v>
      </c>
      <c r="X1227" t="s">
        <v>2278</v>
      </c>
      <c r="Y1227">
        <v>32053</v>
      </c>
      <c r="Z1227">
        <v>1455405</v>
      </c>
      <c r="AA1227">
        <v>333550</v>
      </c>
      <c r="AB1227" t="str">
        <f>(VLOOKUP(SalesData[[#This Row],[Month Number]],Reference!C$5:E$16,2,FALSE))</f>
        <v>Feb</v>
      </c>
      <c r="AC1227">
        <f>MONTH(SalesData[[#This Row],[Date]])</f>
        <v>2</v>
      </c>
      <c r="AD1227">
        <f>Reference!F$4</f>
        <v>2026</v>
      </c>
      <c r="AE1227" t="str">
        <f>IF(OR(SalesData[[#This Row],[Day]]="Saturday",SalesData[[#This Row],[Day]]="Sunday"),"Weekend","Weekday")</f>
        <v>Weekday</v>
      </c>
      <c r="AF1227" s="5">
        <f>IF(SalesData[[#This Row],[Contracts Offered]]=0,0,SalesData[[#This Row],[Contracts Signed]]/SalesData[[#This Row],[Contracts Offered]])</f>
        <v>0.32110091743119268</v>
      </c>
      <c r="AG1227" s="5">
        <f>IF(SalesData[[#This Row],[Customers Visited]]=0,0,SalesData[[#This Row],[Test Drives]]/SalesData[[#This Row],[Customers Visited]])</f>
        <v>0.53287197231833905</v>
      </c>
      <c r="AH1227" s="5">
        <f>IF(SalesData[[#This Row],[Customers Visited]]=0,0,SalesData[[#This Row],[Contracts Signed]]/SalesData[[#This Row],[Customers Visited]])</f>
        <v>0.12110726643598616</v>
      </c>
      <c r="AI1227" s="6">
        <f>IF(SalesData[[#This Row],[Contracts Signed]]=0,0,SalesData[[#This Row],[Profit(€)]]/SalesData[[#This Row],[Contracts Signed]])</f>
        <v>9530</v>
      </c>
      <c r="AJ1227" s="5" t="str">
        <f>TRIM(CLEAN(SalesData[[#This Row],[Retailer]]))</f>
        <v>Hannover Cars</v>
      </c>
    </row>
    <row r="1228" spans="1:36" ht="14.25" hidden="1" x14ac:dyDescent="0.2">
      <c r="A1228" t="s">
        <v>2032</v>
      </c>
      <c r="B1228" s="1">
        <v>46080</v>
      </c>
      <c r="C1228" t="s">
        <v>53</v>
      </c>
      <c r="D1228" t="s">
        <v>54</v>
      </c>
      <c r="E1228" t="s">
        <v>26</v>
      </c>
      <c r="F1228" t="s">
        <v>101</v>
      </c>
      <c r="G1228" t="s">
        <v>102</v>
      </c>
      <c r="H1228" t="s">
        <v>103</v>
      </c>
      <c r="I1228" t="s">
        <v>56</v>
      </c>
      <c r="J1228" t="s">
        <v>7028</v>
      </c>
      <c r="K1228" t="s">
        <v>78</v>
      </c>
      <c r="L1228" t="s">
        <v>46</v>
      </c>
      <c r="M1228" t="s">
        <v>87</v>
      </c>
      <c r="N1228" t="s">
        <v>35</v>
      </c>
      <c r="O1228" t="s">
        <v>36</v>
      </c>
      <c r="P1228" t="s">
        <v>58</v>
      </c>
      <c r="Q1228" t="s">
        <v>122</v>
      </c>
      <c r="R1228">
        <v>289</v>
      </c>
      <c r="S1228">
        <v>138</v>
      </c>
      <c r="T1228">
        <v>92</v>
      </c>
      <c r="U1228">
        <v>33</v>
      </c>
      <c r="V1228" t="s">
        <v>6556</v>
      </c>
      <c r="W1228">
        <v>44317</v>
      </c>
      <c r="X1228" t="s">
        <v>3065</v>
      </c>
      <c r="Y1228">
        <v>34166</v>
      </c>
      <c r="Z1228">
        <v>1462461</v>
      </c>
      <c r="AA1228">
        <v>334983</v>
      </c>
      <c r="AB1228" t="str">
        <f>(VLOOKUP(SalesData[[#This Row],[Month Number]],Reference!C$5:E$16,2,FALSE))</f>
        <v>Feb</v>
      </c>
      <c r="AC1228">
        <f>MONTH(SalesData[[#This Row],[Date]])</f>
        <v>2</v>
      </c>
      <c r="AD1228">
        <f>Reference!F$4</f>
        <v>2026</v>
      </c>
      <c r="AE1228" t="str">
        <f>IF(OR(SalesData[[#This Row],[Day]]="Saturday",SalesData[[#This Row],[Day]]="Sunday"),"Weekend","Weekday")</f>
        <v>Weekday</v>
      </c>
      <c r="AF1228" s="5">
        <f>IF(SalesData[[#This Row],[Contracts Offered]]=0,0,SalesData[[#This Row],[Contracts Signed]]/SalesData[[#This Row],[Contracts Offered]])</f>
        <v>0.35869565217391303</v>
      </c>
      <c r="AG1228" s="5">
        <f>IF(SalesData[[#This Row],[Customers Visited]]=0,0,SalesData[[#This Row],[Test Drives]]/SalesData[[#This Row],[Customers Visited]])</f>
        <v>0.47750865051903113</v>
      </c>
      <c r="AH1228" s="5">
        <f>IF(SalesData[[#This Row],[Customers Visited]]=0,0,SalesData[[#This Row],[Contracts Signed]]/SalesData[[#This Row],[Customers Visited]])</f>
        <v>0.11418685121107267</v>
      </c>
      <c r="AI1228" s="6">
        <f>IF(SalesData[[#This Row],[Contracts Signed]]=0,0,SalesData[[#This Row],[Profit(€)]]/SalesData[[#This Row],[Contracts Signed]])</f>
        <v>10151</v>
      </c>
      <c r="AJ1228" s="5" t="str">
        <f>TRIM(CLEAN(SalesData[[#This Row],[Retailer]]))</f>
        <v>Ruhr Auto Plaza</v>
      </c>
    </row>
    <row r="1229" spans="1:36" ht="14.25" hidden="1" x14ac:dyDescent="0.2">
      <c r="A1229" t="s">
        <v>2034</v>
      </c>
      <c r="B1229" s="1">
        <v>46071</v>
      </c>
      <c r="C1229" t="s">
        <v>62</v>
      </c>
      <c r="D1229" t="s">
        <v>82</v>
      </c>
      <c r="E1229" t="s">
        <v>26</v>
      </c>
      <c r="F1229" t="s">
        <v>127</v>
      </c>
      <c r="G1229" t="s">
        <v>128</v>
      </c>
      <c r="H1229" t="s">
        <v>103</v>
      </c>
      <c r="I1229" t="s">
        <v>104</v>
      </c>
      <c r="J1229" t="s">
        <v>140</v>
      </c>
      <c r="K1229" t="s">
        <v>91</v>
      </c>
      <c r="L1229" t="s">
        <v>46</v>
      </c>
      <c r="M1229" t="s">
        <v>47</v>
      </c>
      <c r="N1229" t="s">
        <v>69</v>
      </c>
      <c r="O1229" t="s">
        <v>36</v>
      </c>
      <c r="P1229" t="s">
        <v>58</v>
      </c>
      <c r="Q1229" t="s">
        <v>118</v>
      </c>
      <c r="R1229">
        <v>490</v>
      </c>
      <c r="S1229">
        <v>277</v>
      </c>
      <c r="T1229">
        <v>177</v>
      </c>
      <c r="U1229">
        <v>49</v>
      </c>
      <c r="V1229" t="s">
        <v>3264</v>
      </c>
      <c r="W1229">
        <v>30328</v>
      </c>
      <c r="X1229" t="s">
        <v>7397</v>
      </c>
      <c r="Y1229">
        <v>26089</v>
      </c>
      <c r="Z1229">
        <v>1486072</v>
      </c>
      <c r="AA1229">
        <v>207711</v>
      </c>
      <c r="AB1229" t="str">
        <f>(VLOOKUP(SalesData[[#This Row],[Month Number]],Reference!C$5:E$16,2,FALSE))</f>
        <v>Feb</v>
      </c>
      <c r="AC1229">
        <f>MONTH(SalesData[[#This Row],[Date]])</f>
        <v>2</v>
      </c>
      <c r="AD1229">
        <f>Reference!F$4</f>
        <v>2026</v>
      </c>
      <c r="AE1229" t="str">
        <f>IF(OR(SalesData[[#This Row],[Day]]="Saturday",SalesData[[#This Row],[Day]]="Sunday"),"Weekend","Weekday")</f>
        <v>Weekday</v>
      </c>
      <c r="AF1229" s="5">
        <f>IF(SalesData[[#This Row],[Contracts Offered]]=0,0,SalesData[[#This Row],[Contracts Signed]]/SalesData[[#This Row],[Contracts Offered]])</f>
        <v>0.2768361581920904</v>
      </c>
      <c r="AG1229" s="5">
        <f>IF(SalesData[[#This Row],[Customers Visited]]=0,0,SalesData[[#This Row],[Test Drives]]/SalesData[[#This Row],[Customers Visited]])</f>
        <v>0.5653061224489796</v>
      </c>
      <c r="AH1229" s="5">
        <f>IF(SalesData[[#This Row],[Customers Visited]]=0,0,SalesData[[#This Row],[Contracts Signed]]/SalesData[[#This Row],[Customers Visited]])</f>
        <v>0.1</v>
      </c>
      <c r="AI1229" s="6">
        <f>IF(SalesData[[#This Row],[Contracts Signed]]=0,0,SalesData[[#This Row],[Profit(€)]]/SalesData[[#This Row],[Contracts Signed]])</f>
        <v>4239</v>
      </c>
      <c r="AJ1229" s="5" t="str">
        <f>TRIM(CLEAN(SalesData[[#This Row],[Retailer]]))</f>
        <v>Rhein Auto Group</v>
      </c>
    </row>
    <row r="1230" spans="1:36" ht="14.25" hidden="1" x14ac:dyDescent="0.2">
      <c r="A1230" t="s">
        <v>2036</v>
      </c>
      <c r="B1230" s="1">
        <v>46070</v>
      </c>
      <c r="C1230" t="s">
        <v>62</v>
      </c>
      <c r="D1230" t="s">
        <v>63</v>
      </c>
      <c r="E1230" t="s">
        <v>26</v>
      </c>
      <c r="F1230" t="s">
        <v>94</v>
      </c>
      <c r="G1230" t="s">
        <v>95</v>
      </c>
      <c r="H1230" t="s">
        <v>96</v>
      </c>
      <c r="I1230" t="s">
        <v>56</v>
      </c>
      <c r="J1230" t="s">
        <v>97</v>
      </c>
      <c r="K1230" t="s">
        <v>66</v>
      </c>
      <c r="L1230" t="s">
        <v>33</v>
      </c>
      <c r="M1230" t="s">
        <v>47</v>
      </c>
      <c r="N1230" t="s">
        <v>69</v>
      </c>
      <c r="O1230" t="s">
        <v>70</v>
      </c>
      <c r="P1230" t="s">
        <v>58</v>
      </c>
      <c r="Q1230" t="s">
        <v>169</v>
      </c>
      <c r="R1230">
        <v>258</v>
      </c>
      <c r="S1230">
        <v>158</v>
      </c>
      <c r="T1230">
        <v>120</v>
      </c>
      <c r="U1230">
        <v>43</v>
      </c>
      <c r="V1230" t="s">
        <v>6685</v>
      </c>
      <c r="W1230">
        <v>51071</v>
      </c>
      <c r="X1230" t="s">
        <v>159</v>
      </c>
      <c r="Y1230">
        <v>40087</v>
      </c>
      <c r="Z1230">
        <v>2196053</v>
      </c>
      <c r="AA1230">
        <v>472312</v>
      </c>
      <c r="AB1230" t="str">
        <f>(VLOOKUP(SalesData[[#This Row],[Month Number]],Reference!C$5:E$16,2,FALSE))</f>
        <v>Feb</v>
      </c>
      <c r="AC1230">
        <f>MONTH(SalesData[[#This Row],[Date]])</f>
        <v>2</v>
      </c>
      <c r="AD1230">
        <f>Reference!F$4</f>
        <v>2026</v>
      </c>
      <c r="AE1230" t="str">
        <f>IF(OR(SalesData[[#This Row],[Day]]="Saturday",SalesData[[#This Row],[Day]]="Sunday"),"Weekend","Weekday")</f>
        <v>Weekday</v>
      </c>
      <c r="AF1230" s="5">
        <f>IF(SalesData[[#This Row],[Contracts Offered]]=0,0,SalesData[[#This Row],[Contracts Signed]]/SalesData[[#This Row],[Contracts Offered]])</f>
        <v>0.35833333333333334</v>
      </c>
      <c r="AG1230" s="5">
        <f>IF(SalesData[[#This Row],[Customers Visited]]=0,0,SalesData[[#This Row],[Test Drives]]/SalesData[[#This Row],[Customers Visited]])</f>
        <v>0.61240310077519378</v>
      </c>
      <c r="AH1230" s="5">
        <f>IF(SalesData[[#This Row],[Customers Visited]]=0,0,SalesData[[#This Row],[Contracts Signed]]/SalesData[[#This Row],[Customers Visited]])</f>
        <v>0.16666666666666666</v>
      </c>
      <c r="AI1230" s="6">
        <f>IF(SalesData[[#This Row],[Contracts Signed]]=0,0,SalesData[[#This Row],[Profit(€)]]/SalesData[[#This Row],[Contracts Signed]])</f>
        <v>10984</v>
      </c>
      <c r="AJ1230" s="5" t="str">
        <f>TRIM(CLEAN(SalesData[[#This Row],[Retailer]]))</f>
        <v>Bavaria Motors</v>
      </c>
    </row>
    <row r="1231" spans="1:36" ht="14.25" hidden="1" x14ac:dyDescent="0.2">
      <c r="A1231" t="s">
        <v>2037</v>
      </c>
      <c r="B1231" s="1">
        <v>46074</v>
      </c>
      <c r="C1231" t="s">
        <v>62</v>
      </c>
      <c r="D1231" t="s">
        <v>151</v>
      </c>
      <c r="E1231" t="s">
        <v>42</v>
      </c>
      <c r="F1231" t="s">
        <v>7649</v>
      </c>
      <c r="G1231" t="s">
        <v>55</v>
      </c>
      <c r="H1231" t="s">
        <v>55</v>
      </c>
      <c r="I1231" t="s">
        <v>104</v>
      </c>
      <c r="J1231" t="s">
        <v>7031</v>
      </c>
      <c r="K1231" t="s">
        <v>66</v>
      </c>
      <c r="L1231" t="s">
        <v>46</v>
      </c>
      <c r="M1231" t="s">
        <v>34</v>
      </c>
      <c r="N1231" t="s">
        <v>48</v>
      </c>
      <c r="O1231" t="s">
        <v>70</v>
      </c>
      <c r="P1231" t="s">
        <v>58</v>
      </c>
      <c r="Q1231" t="s">
        <v>172</v>
      </c>
      <c r="R1231">
        <v>438</v>
      </c>
      <c r="S1231">
        <v>252</v>
      </c>
      <c r="T1231">
        <v>167</v>
      </c>
      <c r="U1231">
        <v>49</v>
      </c>
      <c r="V1231" t="s">
        <v>1767</v>
      </c>
      <c r="W1231">
        <v>33170</v>
      </c>
      <c r="X1231" t="s">
        <v>1092</v>
      </c>
      <c r="Y1231">
        <v>29250</v>
      </c>
      <c r="Z1231">
        <v>1625330</v>
      </c>
      <c r="AA1231">
        <v>192080</v>
      </c>
      <c r="AB1231" t="str">
        <f>(VLOOKUP(SalesData[[#This Row],[Month Number]],Reference!C$5:E$16,2,FALSE))</f>
        <v>Feb</v>
      </c>
      <c r="AC1231">
        <f>MONTH(SalesData[[#This Row],[Date]])</f>
        <v>2</v>
      </c>
      <c r="AD1231">
        <f>Reference!F$4</f>
        <v>2026</v>
      </c>
      <c r="AE1231" t="str">
        <f>IF(OR(SalesData[[#This Row],[Day]]="Saturday",SalesData[[#This Row],[Day]]="Sunday"),"Weekend","Weekday")</f>
        <v>Weekend</v>
      </c>
      <c r="AF1231" s="5">
        <f>IF(SalesData[[#This Row],[Contracts Offered]]=0,0,SalesData[[#This Row],[Contracts Signed]]/SalesData[[#This Row],[Contracts Offered]])</f>
        <v>0.29341317365269459</v>
      </c>
      <c r="AG1231" s="5">
        <f>IF(SalesData[[#This Row],[Customers Visited]]=0,0,SalesData[[#This Row],[Test Drives]]/SalesData[[#This Row],[Customers Visited]])</f>
        <v>0.57534246575342463</v>
      </c>
      <c r="AH1231" s="5">
        <f>IF(SalesData[[#This Row],[Customers Visited]]=0,0,SalesData[[#This Row],[Contracts Signed]]/SalesData[[#This Row],[Customers Visited]])</f>
        <v>0.11187214611872145</v>
      </c>
      <c r="AI1231" s="6">
        <f>IF(SalesData[[#This Row],[Contracts Signed]]=0,0,SalesData[[#This Row],[Profit(€)]]/SalesData[[#This Row],[Contracts Signed]])</f>
        <v>3920</v>
      </c>
      <c r="AJ1231" s="5" t="str">
        <f>TRIM(CLEAN(SalesData[[#This Row],[Retailer]]))</f>
        <v>Autohaus Berlin</v>
      </c>
    </row>
    <row r="1232" spans="1:36" ht="14.25" hidden="1" x14ac:dyDescent="0.2">
      <c r="A1232" t="s">
        <v>2039</v>
      </c>
      <c r="B1232" s="1">
        <v>46074</v>
      </c>
      <c r="C1232" t="s">
        <v>62</v>
      </c>
      <c r="D1232" t="s">
        <v>151</v>
      </c>
      <c r="E1232" t="s">
        <v>42</v>
      </c>
      <c r="F1232" t="s">
        <v>74</v>
      </c>
      <c r="G1232" t="s">
        <v>75</v>
      </c>
      <c r="H1232" t="s">
        <v>76</v>
      </c>
      <c r="I1232" t="s">
        <v>64</v>
      </c>
      <c r="J1232" t="s">
        <v>7029</v>
      </c>
      <c r="K1232" t="s">
        <v>91</v>
      </c>
      <c r="L1232" t="s">
        <v>33</v>
      </c>
      <c r="M1232" t="s">
        <v>68</v>
      </c>
      <c r="N1232" t="s">
        <v>48</v>
      </c>
      <c r="O1232" t="s">
        <v>70</v>
      </c>
      <c r="P1232" t="s">
        <v>58</v>
      </c>
      <c r="Q1232" t="s">
        <v>189</v>
      </c>
      <c r="R1232">
        <v>283</v>
      </c>
      <c r="S1232">
        <v>142</v>
      </c>
      <c r="T1232">
        <v>111</v>
      </c>
      <c r="U1232">
        <v>36</v>
      </c>
      <c r="V1232" t="s">
        <v>6368</v>
      </c>
      <c r="W1232">
        <v>62986</v>
      </c>
      <c r="X1232" t="s">
        <v>7175</v>
      </c>
      <c r="Y1232">
        <v>48206</v>
      </c>
      <c r="Z1232">
        <v>2267496</v>
      </c>
      <c r="AA1232">
        <v>532080</v>
      </c>
      <c r="AB1232" t="str">
        <f>(VLOOKUP(SalesData[[#This Row],[Month Number]],Reference!C$5:E$16,2,FALSE))</f>
        <v>Feb</v>
      </c>
      <c r="AC1232">
        <f>MONTH(SalesData[[#This Row],[Date]])</f>
        <v>2</v>
      </c>
      <c r="AD1232">
        <f>Reference!F$4</f>
        <v>2026</v>
      </c>
      <c r="AE1232" t="str">
        <f>IF(OR(SalesData[[#This Row],[Day]]="Saturday",SalesData[[#This Row],[Day]]="Sunday"),"Weekend","Weekday")</f>
        <v>Weekend</v>
      </c>
      <c r="AF1232" s="5">
        <f>IF(SalesData[[#This Row],[Contracts Offered]]=0,0,SalesData[[#This Row],[Contracts Signed]]/SalesData[[#This Row],[Contracts Offered]])</f>
        <v>0.32432432432432434</v>
      </c>
      <c r="AG1232" s="5">
        <f>IF(SalesData[[#This Row],[Customers Visited]]=0,0,SalesData[[#This Row],[Test Drives]]/SalesData[[#This Row],[Customers Visited]])</f>
        <v>0.50176678445229683</v>
      </c>
      <c r="AH1232" s="5">
        <f>IF(SalesData[[#This Row],[Customers Visited]]=0,0,SalesData[[#This Row],[Contracts Signed]]/SalesData[[#This Row],[Customers Visited]])</f>
        <v>0.12720848056537101</v>
      </c>
      <c r="AI1232" s="6">
        <f>IF(SalesData[[#This Row],[Contracts Signed]]=0,0,SalesData[[#This Row],[Profit(€)]]/SalesData[[#This Row],[Contracts Signed]])</f>
        <v>14780</v>
      </c>
      <c r="AJ1232" s="5" t="str">
        <f>TRIM(CLEAN(SalesData[[#This Row],[Retailer]]))</f>
        <v>Stuttgart Auto Center</v>
      </c>
    </row>
    <row r="1233" spans="1:36" ht="14.25" hidden="1" x14ac:dyDescent="0.2">
      <c r="A1233" t="s">
        <v>2041</v>
      </c>
      <c r="B1233" s="1">
        <v>46054</v>
      </c>
      <c r="C1233" t="s">
        <v>24</v>
      </c>
      <c r="D1233" t="s">
        <v>41</v>
      </c>
      <c r="E1233" t="s">
        <v>42</v>
      </c>
      <c r="F1233" t="s">
        <v>114</v>
      </c>
      <c r="G1233" t="s">
        <v>115</v>
      </c>
      <c r="H1233" t="s">
        <v>115</v>
      </c>
      <c r="I1233" t="s">
        <v>64</v>
      </c>
      <c r="J1233" t="s">
        <v>77</v>
      </c>
      <c r="K1233" t="s">
        <v>91</v>
      </c>
      <c r="L1233" t="s">
        <v>46</v>
      </c>
      <c r="M1233" t="s">
        <v>34</v>
      </c>
      <c r="N1233" t="s">
        <v>35</v>
      </c>
      <c r="O1233" t="s">
        <v>36</v>
      </c>
      <c r="P1233" t="s">
        <v>49</v>
      </c>
      <c r="Q1233" t="s">
        <v>167</v>
      </c>
      <c r="R1233">
        <v>267</v>
      </c>
      <c r="S1233">
        <v>121</v>
      </c>
      <c r="T1233">
        <v>87</v>
      </c>
      <c r="U1233">
        <v>31</v>
      </c>
      <c r="V1233" t="s">
        <v>6598</v>
      </c>
      <c r="W1233">
        <v>54526</v>
      </c>
      <c r="X1233" t="s">
        <v>7398</v>
      </c>
      <c r="Y1233">
        <v>41488</v>
      </c>
      <c r="Z1233">
        <v>1690306</v>
      </c>
      <c r="AA1233">
        <v>404178</v>
      </c>
      <c r="AB1233" t="str">
        <f>(VLOOKUP(SalesData[[#This Row],[Month Number]],Reference!C$5:E$16,2,FALSE))</f>
        <v>Feb</v>
      </c>
      <c r="AC1233">
        <f>MONTH(SalesData[[#This Row],[Date]])</f>
        <v>2</v>
      </c>
      <c r="AD1233">
        <f>Reference!F$4</f>
        <v>2026</v>
      </c>
      <c r="AE1233" t="str">
        <f>IF(OR(SalesData[[#This Row],[Day]]="Saturday",SalesData[[#This Row],[Day]]="Sunday"),"Weekend","Weekday")</f>
        <v>Weekend</v>
      </c>
      <c r="AF1233" s="5">
        <f>IF(SalesData[[#This Row],[Contracts Offered]]=0,0,SalesData[[#This Row],[Contracts Signed]]/SalesData[[#This Row],[Contracts Offered]])</f>
        <v>0.35632183908045978</v>
      </c>
      <c r="AG1233" s="5">
        <f>IF(SalesData[[#This Row],[Customers Visited]]=0,0,SalesData[[#This Row],[Test Drives]]/SalesData[[#This Row],[Customers Visited]])</f>
        <v>0.45318352059925093</v>
      </c>
      <c r="AH1233" s="5">
        <f>IF(SalesData[[#This Row],[Customers Visited]]=0,0,SalesData[[#This Row],[Contracts Signed]]/SalesData[[#This Row],[Customers Visited]])</f>
        <v>0.11610486891385768</v>
      </c>
      <c r="AI1233" s="6">
        <f>IF(SalesData[[#This Row],[Contracts Signed]]=0,0,SalesData[[#This Row],[Profit(€)]]/SalesData[[#This Row],[Contracts Signed]])</f>
        <v>13038</v>
      </c>
      <c r="AJ1233" s="5" t="str">
        <f>TRIM(CLEAN(SalesData[[#This Row],[Retailer]]))</f>
        <v>Elbe Drive</v>
      </c>
    </row>
    <row r="1234" spans="1:36" ht="14.25" hidden="1" x14ac:dyDescent="0.2">
      <c r="A1234" t="s">
        <v>2043</v>
      </c>
      <c r="B1234" s="1">
        <v>46054</v>
      </c>
      <c r="C1234" t="s">
        <v>24</v>
      </c>
      <c r="D1234" t="s">
        <v>41</v>
      </c>
      <c r="E1234" t="s">
        <v>42</v>
      </c>
      <c r="F1234" t="s">
        <v>94</v>
      </c>
      <c r="G1234" t="s">
        <v>95</v>
      </c>
      <c r="H1234" t="s">
        <v>96</v>
      </c>
      <c r="I1234" t="s">
        <v>56</v>
      </c>
      <c r="J1234" t="s">
        <v>179</v>
      </c>
      <c r="K1234" t="s">
        <v>78</v>
      </c>
      <c r="L1234" t="s">
        <v>67</v>
      </c>
      <c r="M1234" t="s">
        <v>47</v>
      </c>
      <c r="N1234" t="s">
        <v>35</v>
      </c>
      <c r="O1234" t="s">
        <v>70</v>
      </c>
      <c r="P1234" t="s">
        <v>37</v>
      </c>
      <c r="Q1234" t="s">
        <v>38</v>
      </c>
      <c r="R1234">
        <v>174</v>
      </c>
      <c r="S1234">
        <v>101</v>
      </c>
      <c r="T1234">
        <v>72</v>
      </c>
      <c r="U1234">
        <v>22</v>
      </c>
      <c r="V1234" t="s">
        <v>6432</v>
      </c>
      <c r="W1234">
        <v>40154</v>
      </c>
      <c r="X1234" t="s">
        <v>7112</v>
      </c>
      <c r="Y1234">
        <v>30793</v>
      </c>
      <c r="Z1234">
        <v>883388</v>
      </c>
      <c r="AA1234">
        <v>205942</v>
      </c>
      <c r="AB1234" t="str">
        <f>(VLOOKUP(SalesData[[#This Row],[Month Number]],Reference!C$5:E$16,2,FALSE))</f>
        <v>Feb</v>
      </c>
      <c r="AC1234">
        <f>MONTH(SalesData[[#This Row],[Date]])</f>
        <v>2</v>
      </c>
      <c r="AD1234">
        <f>Reference!F$4</f>
        <v>2026</v>
      </c>
      <c r="AE1234" t="str">
        <f>IF(OR(SalesData[[#This Row],[Day]]="Saturday",SalesData[[#This Row],[Day]]="Sunday"),"Weekend","Weekday")</f>
        <v>Weekend</v>
      </c>
      <c r="AF1234" s="5">
        <f>IF(SalesData[[#This Row],[Contracts Offered]]=0,0,SalesData[[#This Row],[Contracts Signed]]/SalesData[[#This Row],[Contracts Offered]])</f>
        <v>0.30555555555555558</v>
      </c>
      <c r="AG1234" s="5">
        <f>IF(SalesData[[#This Row],[Customers Visited]]=0,0,SalesData[[#This Row],[Test Drives]]/SalesData[[#This Row],[Customers Visited]])</f>
        <v>0.58045977011494254</v>
      </c>
      <c r="AH1234" s="5">
        <f>IF(SalesData[[#This Row],[Customers Visited]]=0,0,SalesData[[#This Row],[Contracts Signed]]/SalesData[[#This Row],[Customers Visited]])</f>
        <v>0.12643678160919541</v>
      </c>
      <c r="AI1234" s="6">
        <f>IF(SalesData[[#This Row],[Contracts Signed]]=0,0,SalesData[[#This Row],[Profit(€)]]/SalesData[[#This Row],[Contracts Signed]])</f>
        <v>9361</v>
      </c>
      <c r="AJ1234" s="5" t="str">
        <f>TRIM(CLEAN(SalesData[[#This Row],[Retailer]]))</f>
        <v>Bavaria Motors</v>
      </c>
    </row>
    <row r="1235" spans="1:36" ht="14.25" hidden="1" x14ac:dyDescent="0.2">
      <c r="A1235" t="s">
        <v>2045</v>
      </c>
      <c r="B1235" s="1">
        <v>46058</v>
      </c>
      <c r="C1235" t="s">
        <v>24</v>
      </c>
      <c r="D1235" t="s">
        <v>100</v>
      </c>
      <c r="E1235" t="s">
        <v>26</v>
      </c>
      <c r="F1235" t="s">
        <v>101</v>
      </c>
      <c r="G1235" t="s">
        <v>102</v>
      </c>
      <c r="H1235" t="s">
        <v>103</v>
      </c>
      <c r="I1235" t="s">
        <v>64</v>
      </c>
      <c r="J1235" t="s">
        <v>157</v>
      </c>
      <c r="K1235" t="s">
        <v>66</v>
      </c>
      <c r="L1235" t="s">
        <v>33</v>
      </c>
      <c r="M1235" t="s">
        <v>34</v>
      </c>
      <c r="N1235" t="s">
        <v>69</v>
      </c>
      <c r="O1235" t="s">
        <v>36</v>
      </c>
      <c r="P1235" t="s">
        <v>49</v>
      </c>
      <c r="Q1235" t="s">
        <v>158</v>
      </c>
      <c r="R1235">
        <v>150</v>
      </c>
      <c r="S1235">
        <v>82</v>
      </c>
      <c r="T1235">
        <v>61</v>
      </c>
      <c r="U1235">
        <v>20</v>
      </c>
      <c r="V1235" t="s">
        <v>6903</v>
      </c>
      <c r="W1235">
        <v>70500</v>
      </c>
      <c r="X1235" t="s">
        <v>7399</v>
      </c>
      <c r="Y1235">
        <v>53197</v>
      </c>
      <c r="Z1235">
        <v>1410000</v>
      </c>
      <c r="AA1235">
        <v>346060</v>
      </c>
      <c r="AB1235" t="str">
        <f>(VLOOKUP(SalesData[[#This Row],[Month Number]],Reference!C$5:E$16,2,FALSE))</f>
        <v>Feb</v>
      </c>
      <c r="AC1235">
        <f>MONTH(SalesData[[#This Row],[Date]])</f>
        <v>2</v>
      </c>
      <c r="AD1235">
        <f>Reference!F$4</f>
        <v>2026</v>
      </c>
      <c r="AE1235" t="str">
        <f>IF(OR(SalesData[[#This Row],[Day]]="Saturday",SalesData[[#This Row],[Day]]="Sunday"),"Weekend","Weekday")</f>
        <v>Weekday</v>
      </c>
      <c r="AF1235" s="5">
        <f>IF(SalesData[[#This Row],[Contracts Offered]]=0,0,SalesData[[#This Row],[Contracts Signed]]/SalesData[[#This Row],[Contracts Offered]])</f>
        <v>0.32786885245901637</v>
      </c>
      <c r="AG1235" s="5">
        <f>IF(SalesData[[#This Row],[Customers Visited]]=0,0,SalesData[[#This Row],[Test Drives]]/SalesData[[#This Row],[Customers Visited]])</f>
        <v>0.54666666666666663</v>
      </c>
      <c r="AH1235" s="5">
        <f>IF(SalesData[[#This Row],[Customers Visited]]=0,0,SalesData[[#This Row],[Contracts Signed]]/SalesData[[#This Row],[Customers Visited]])</f>
        <v>0.13333333333333333</v>
      </c>
      <c r="AI1235" s="6">
        <f>IF(SalesData[[#This Row],[Contracts Signed]]=0,0,SalesData[[#This Row],[Profit(€)]]/SalesData[[#This Row],[Contracts Signed]])</f>
        <v>17303</v>
      </c>
      <c r="AJ1235" s="5" t="str">
        <f>TRIM(CLEAN(SalesData[[#This Row],[Retailer]]))</f>
        <v>Ruhr Auto Plaza</v>
      </c>
    </row>
    <row r="1236" spans="1:36" ht="14.25" hidden="1" x14ac:dyDescent="0.2">
      <c r="A1236" t="s">
        <v>2047</v>
      </c>
      <c r="B1236" s="1">
        <v>46076</v>
      </c>
      <c r="C1236" t="s">
        <v>53</v>
      </c>
      <c r="D1236" t="s">
        <v>25</v>
      </c>
      <c r="E1236" t="s">
        <v>26</v>
      </c>
      <c r="F1236" t="s">
        <v>27</v>
      </c>
      <c r="G1236" t="s">
        <v>28</v>
      </c>
      <c r="H1236" t="s">
        <v>29</v>
      </c>
      <c r="I1236" t="s">
        <v>104</v>
      </c>
      <c r="J1236" t="s">
        <v>7061</v>
      </c>
      <c r="K1236" t="s">
        <v>78</v>
      </c>
      <c r="L1236" t="s">
        <v>46</v>
      </c>
      <c r="M1236" t="s">
        <v>68</v>
      </c>
      <c r="N1236" t="s">
        <v>69</v>
      </c>
      <c r="O1236" t="s">
        <v>70</v>
      </c>
      <c r="P1236" t="s">
        <v>49</v>
      </c>
      <c r="Q1236" t="s">
        <v>158</v>
      </c>
      <c r="R1236">
        <v>420</v>
      </c>
      <c r="S1236">
        <v>235</v>
      </c>
      <c r="T1236">
        <v>166</v>
      </c>
      <c r="U1236">
        <v>29</v>
      </c>
      <c r="V1236" t="s">
        <v>3632</v>
      </c>
      <c r="W1236">
        <v>29498</v>
      </c>
      <c r="X1236" t="s">
        <v>506</v>
      </c>
      <c r="Y1236">
        <v>26787</v>
      </c>
      <c r="Z1236">
        <v>855442</v>
      </c>
      <c r="AA1236">
        <v>78619</v>
      </c>
      <c r="AB1236" t="str">
        <f>(VLOOKUP(SalesData[[#This Row],[Month Number]],Reference!C$5:E$16,2,FALSE))</f>
        <v>Feb</v>
      </c>
      <c r="AC1236">
        <f>MONTH(SalesData[[#This Row],[Date]])</f>
        <v>2</v>
      </c>
      <c r="AD1236">
        <f>Reference!F$4</f>
        <v>2026</v>
      </c>
      <c r="AE1236" t="str">
        <f>IF(OR(SalesData[[#This Row],[Day]]="Saturday",SalesData[[#This Row],[Day]]="Sunday"),"Weekend","Weekday")</f>
        <v>Weekday</v>
      </c>
      <c r="AF1236" s="5">
        <f>IF(SalesData[[#This Row],[Contracts Offered]]=0,0,SalesData[[#This Row],[Contracts Signed]]/SalesData[[#This Row],[Contracts Offered]])</f>
        <v>0.1746987951807229</v>
      </c>
      <c r="AG1236" s="5">
        <f>IF(SalesData[[#This Row],[Customers Visited]]=0,0,SalesData[[#This Row],[Test Drives]]/SalesData[[#This Row],[Customers Visited]])</f>
        <v>0.55952380952380953</v>
      </c>
      <c r="AH1236" s="5">
        <f>IF(SalesData[[#This Row],[Customers Visited]]=0,0,SalesData[[#This Row],[Contracts Signed]]/SalesData[[#This Row],[Customers Visited]])</f>
        <v>6.9047619047619052E-2</v>
      </c>
      <c r="AI1236" s="6">
        <f>IF(SalesData[[#This Row],[Contracts Signed]]=0,0,SalesData[[#This Row],[Profit(€)]]/SalesData[[#This Row],[Contracts Signed]])</f>
        <v>2711</v>
      </c>
      <c r="AJ1236" s="5" t="str">
        <f>TRIM(CLEAN(SalesData[[#This Row],[Retailer]]))</f>
        <v>Main Auto Hub</v>
      </c>
    </row>
    <row r="1237" spans="1:36" ht="14.25" hidden="1" x14ac:dyDescent="0.2">
      <c r="A1237" t="s">
        <v>2048</v>
      </c>
      <c r="B1237" s="1">
        <v>46061</v>
      </c>
      <c r="C1237" t="s">
        <v>121</v>
      </c>
      <c r="D1237" t="s">
        <v>41</v>
      </c>
      <c r="E1237" t="s">
        <v>42</v>
      </c>
      <c r="F1237" t="s">
        <v>109</v>
      </c>
      <c r="G1237" t="s">
        <v>110</v>
      </c>
      <c r="H1237" t="s">
        <v>45</v>
      </c>
      <c r="I1237" t="s">
        <v>64</v>
      </c>
      <c r="J1237" t="s">
        <v>65</v>
      </c>
      <c r="K1237" t="s">
        <v>66</v>
      </c>
      <c r="L1237" t="s">
        <v>33</v>
      </c>
      <c r="M1237" t="s">
        <v>87</v>
      </c>
      <c r="N1237" t="s">
        <v>48</v>
      </c>
      <c r="O1237" t="s">
        <v>36</v>
      </c>
      <c r="P1237" t="s">
        <v>37</v>
      </c>
      <c r="Q1237" t="s">
        <v>38</v>
      </c>
      <c r="R1237">
        <v>180</v>
      </c>
      <c r="S1237">
        <v>89</v>
      </c>
      <c r="T1237">
        <v>63</v>
      </c>
      <c r="U1237">
        <v>19</v>
      </c>
      <c r="V1237" t="s">
        <v>7141</v>
      </c>
      <c r="W1237">
        <v>54488</v>
      </c>
      <c r="X1237" t="s">
        <v>51</v>
      </c>
      <c r="Y1237">
        <v>39666</v>
      </c>
      <c r="Z1237">
        <v>1035272</v>
      </c>
      <c r="AA1237">
        <v>281618</v>
      </c>
      <c r="AB1237" t="str">
        <f>(VLOOKUP(SalesData[[#This Row],[Month Number]],Reference!C$5:E$16,2,FALSE))</f>
        <v>Feb</v>
      </c>
      <c r="AC1237">
        <f>MONTH(SalesData[[#This Row],[Date]])</f>
        <v>2</v>
      </c>
      <c r="AD1237">
        <f>Reference!F$4</f>
        <v>2026</v>
      </c>
      <c r="AE1237" t="str">
        <f>IF(OR(SalesData[[#This Row],[Day]]="Saturday",SalesData[[#This Row],[Day]]="Sunday"),"Weekend","Weekday")</f>
        <v>Weekend</v>
      </c>
      <c r="AF1237" s="5">
        <f>IF(SalesData[[#This Row],[Contracts Offered]]=0,0,SalesData[[#This Row],[Contracts Signed]]/SalesData[[#This Row],[Contracts Offered]])</f>
        <v>0.30158730158730157</v>
      </c>
      <c r="AG1237" s="5">
        <f>IF(SalesData[[#This Row],[Customers Visited]]=0,0,SalesData[[#This Row],[Test Drives]]/SalesData[[#This Row],[Customers Visited]])</f>
        <v>0.49444444444444446</v>
      </c>
      <c r="AH1237" s="5">
        <f>IF(SalesData[[#This Row],[Customers Visited]]=0,0,SalesData[[#This Row],[Contracts Signed]]/SalesData[[#This Row],[Customers Visited]])</f>
        <v>0.10555555555555556</v>
      </c>
      <c r="AI1237" s="6">
        <f>IF(SalesData[[#This Row],[Contracts Signed]]=0,0,SalesData[[#This Row],[Profit(€)]]/SalesData[[#This Row],[Contracts Signed]])</f>
        <v>14822</v>
      </c>
      <c r="AJ1237" s="5" t="str">
        <f>TRIM(CLEAN(SalesData[[#This Row],[Retailer]]))</f>
        <v>Leipzig Mobility</v>
      </c>
    </row>
    <row r="1238" spans="1:36" ht="14.25" hidden="1" x14ac:dyDescent="0.2">
      <c r="A1238" t="s">
        <v>2049</v>
      </c>
      <c r="B1238" s="1">
        <v>46080</v>
      </c>
      <c r="C1238" t="s">
        <v>53</v>
      </c>
      <c r="D1238" t="s">
        <v>54</v>
      </c>
      <c r="E1238" t="s">
        <v>26</v>
      </c>
      <c r="F1238" t="s">
        <v>83</v>
      </c>
      <c r="G1238" t="s">
        <v>84</v>
      </c>
      <c r="H1238" t="s">
        <v>85</v>
      </c>
      <c r="I1238" t="s">
        <v>116</v>
      </c>
      <c r="J1238" t="s">
        <v>7026</v>
      </c>
      <c r="K1238" t="s">
        <v>91</v>
      </c>
      <c r="L1238" t="s">
        <v>46</v>
      </c>
      <c r="M1238" t="s">
        <v>47</v>
      </c>
      <c r="N1238" t="s">
        <v>69</v>
      </c>
      <c r="O1238" t="s">
        <v>36</v>
      </c>
      <c r="P1238" t="s">
        <v>37</v>
      </c>
      <c r="Q1238" t="s">
        <v>118</v>
      </c>
      <c r="R1238">
        <v>334</v>
      </c>
      <c r="S1238">
        <v>156</v>
      </c>
      <c r="T1238">
        <v>91</v>
      </c>
      <c r="U1238">
        <v>21</v>
      </c>
      <c r="V1238" t="s">
        <v>1828</v>
      </c>
      <c r="W1238">
        <v>26103</v>
      </c>
      <c r="X1238" t="s">
        <v>3082</v>
      </c>
      <c r="Y1238">
        <v>23444</v>
      </c>
      <c r="Z1238">
        <v>548163</v>
      </c>
      <c r="AA1238">
        <v>55839</v>
      </c>
      <c r="AB1238" t="str">
        <f>(VLOOKUP(SalesData[[#This Row],[Month Number]],Reference!C$5:E$16,2,FALSE))</f>
        <v>Feb</v>
      </c>
      <c r="AC1238">
        <f>MONTH(SalesData[[#This Row],[Date]])</f>
        <v>2</v>
      </c>
      <c r="AD1238">
        <f>Reference!F$4</f>
        <v>2026</v>
      </c>
      <c r="AE1238" t="str">
        <f>IF(OR(SalesData[[#This Row],[Day]]="Saturday",SalesData[[#This Row],[Day]]="Sunday"),"Weekend","Weekday")</f>
        <v>Weekday</v>
      </c>
      <c r="AF1238" s="5">
        <f>IF(SalesData[[#This Row],[Contracts Offered]]=0,0,SalesData[[#This Row],[Contracts Signed]]/SalesData[[#This Row],[Contracts Offered]])</f>
        <v>0.23076923076923078</v>
      </c>
      <c r="AG1238" s="5">
        <f>IF(SalesData[[#This Row],[Customers Visited]]=0,0,SalesData[[#This Row],[Test Drives]]/SalesData[[#This Row],[Customers Visited]])</f>
        <v>0.46706586826347307</v>
      </c>
      <c r="AH1238" s="5">
        <f>IF(SalesData[[#This Row],[Customers Visited]]=0,0,SalesData[[#This Row],[Contracts Signed]]/SalesData[[#This Row],[Customers Visited]])</f>
        <v>6.2874251497005984E-2</v>
      </c>
      <c r="AI1238" s="6">
        <f>IF(SalesData[[#This Row],[Contracts Signed]]=0,0,SalesData[[#This Row],[Profit(€)]]/SalesData[[#This Row],[Contracts Signed]])</f>
        <v>2659</v>
      </c>
      <c r="AJ1238" s="5" t="str">
        <f>TRIM(CLEAN(SalesData[[#This Row],[Retailer]]))</f>
        <v>Hannover Cars</v>
      </c>
    </row>
    <row r="1239" spans="1:36" ht="14.25" x14ac:dyDescent="0.2">
      <c r="A1239" t="s">
        <v>2050</v>
      </c>
      <c r="B1239" s="1">
        <v>46078</v>
      </c>
      <c r="C1239" t="s">
        <v>53</v>
      </c>
      <c r="D1239" t="s">
        <v>82</v>
      </c>
      <c r="E1239" t="s">
        <v>26</v>
      </c>
      <c r="F1239" t="s">
        <v>94</v>
      </c>
      <c r="G1239" t="s">
        <v>95</v>
      </c>
      <c r="H1239" t="s">
        <v>96</v>
      </c>
      <c r="I1239" t="s">
        <v>30</v>
      </c>
      <c r="J1239" t="s">
        <v>166</v>
      </c>
      <c r="K1239" t="s">
        <v>91</v>
      </c>
      <c r="L1239" t="s">
        <v>46</v>
      </c>
      <c r="M1239" t="s">
        <v>47</v>
      </c>
      <c r="N1239" t="s">
        <v>48</v>
      </c>
      <c r="O1239" t="s">
        <v>70</v>
      </c>
      <c r="P1239" t="s">
        <v>49</v>
      </c>
      <c r="Q1239" t="s">
        <v>50</v>
      </c>
      <c r="R1239">
        <v>271</v>
      </c>
      <c r="S1239">
        <v>132</v>
      </c>
      <c r="T1239">
        <v>103</v>
      </c>
      <c r="U1239">
        <v>34</v>
      </c>
      <c r="V1239" t="s">
        <v>7361</v>
      </c>
      <c r="W1239">
        <v>61234</v>
      </c>
      <c r="X1239" t="s">
        <v>7135</v>
      </c>
      <c r="Y1239">
        <v>44989</v>
      </c>
      <c r="Z1239">
        <v>2081956</v>
      </c>
      <c r="AA1239">
        <v>552330</v>
      </c>
      <c r="AB1239" t="str">
        <f>(VLOOKUP(SalesData[[#This Row],[Month Number]],Reference!C$5:E$16,2,FALSE))</f>
        <v>Feb</v>
      </c>
      <c r="AC1239">
        <f>MONTH(SalesData[[#This Row],[Date]])</f>
        <v>2</v>
      </c>
      <c r="AD1239">
        <f>Reference!F$4</f>
        <v>2026</v>
      </c>
      <c r="AE1239" t="str">
        <f>IF(OR(SalesData[[#This Row],[Day]]="Saturday",SalesData[[#This Row],[Day]]="Sunday"),"Weekend","Weekday")</f>
        <v>Weekday</v>
      </c>
      <c r="AF1239" s="5">
        <f>IF(SalesData[[#This Row],[Contracts Offered]]=0,0,SalesData[[#This Row],[Contracts Signed]]/SalesData[[#This Row],[Contracts Offered]])</f>
        <v>0.3300970873786408</v>
      </c>
      <c r="AG1239" s="5">
        <f>IF(SalesData[[#This Row],[Customers Visited]]=0,0,SalesData[[#This Row],[Test Drives]]/SalesData[[#This Row],[Customers Visited]])</f>
        <v>0.4870848708487085</v>
      </c>
      <c r="AH1239" s="5">
        <f>IF(SalesData[[#This Row],[Customers Visited]]=0,0,SalesData[[#This Row],[Contracts Signed]]/SalesData[[#This Row],[Customers Visited]])</f>
        <v>0.12546125461254612</v>
      </c>
      <c r="AI1239" s="6">
        <f>IF(SalesData[[#This Row],[Contracts Signed]]=0,0,SalesData[[#This Row],[Profit(€)]]/SalesData[[#This Row],[Contracts Signed]])</f>
        <v>16245</v>
      </c>
      <c r="AJ1239" s="5" t="str">
        <f>TRIM(CLEAN(SalesData[[#This Row],[Retailer]]))</f>
        <v>Bavaria Motors</v>
      </c>
    </row>
    <row r="1240" spans="1:36" ht="14.25" hidden="1" x14ac:dyDescent="0.2">
      <c r="A1240" t="s">
        <v>2051</v>
      </c>
      <c r="B1240" s="1">
        <v>46055</v>
      </c>
      <c r="C1240" t="s">
        <v>24</v>
      </c>
      <c r="D1240" t="s">
        <v>25</v>
      </c>
      <c r="E1240" t="s">
        <v>26</v>
      </c>
      <c r="F1240" t="s">
        <v>83</v>
      </c>
      <c r="G1240" t="s">
        <v>84</v>
      </c>
      <c r="H1240" t="s">
        <v>85</v>
      </c>
      <c r="I1240" t="s">
        <v>64</v>
      </c>
      <c r="J1240" t="s">
        <v>7029</v>
      </c>
      <c r="K1240" t="s">
        <v>78</v>
      </c>
      <c r="L1240" t="s">
        <v>33</v>
      </c>
      <c r="M1240" t="s">
        <v>47</v>
      </c>
      <c r="N1240" t="s">
        <v>35</v>
      </c>
      <c r="O1240" t="s">
        <v>70</v>
      </c>
      <c r="P1240" t="s">
        <v>71</v>
      </c>
      <c r="Q1240" t="s">
        <v>167</v>
      </c>
      <c r="R1240">
        <v>150</v>
      </c>
      <c r="S1240">
        <v>82</v>
      </c>
      <c r="T1240">
        <v>60</v>
      </c>
      <c r="U1240">
        <v>19</v>
      </c>
      <c r="V1240" t="s">
        <v>6652</v>
      </c>
      <c r="W1240">
        <v>70152</v>
      </c>
      <c r="X1240" t="s">
        <v>7063</v>
      </c>
      <c r="Y1240">
        <v>51204</v>
      </c>
      <c r="Z1240">
        <v>1332888</v>
      </c>
      <c r="AA1240">
        <v>360012</v>
      </c>
      <c r="AB1240" t="str">
        <f>(VLOOKUP(SalesData[[#This Row],[Month Number]],Reference!C$5:E$16,2,FALSE))</f>
        <v>Feb</v>
      </c>
      <c r="AC1240">
        <f>MONTH(SalesData[[#This Row],[Date]])</f>
        <v>2</v>
      </c>
      <c r="AD1240">
        <f>Reference!F$4</f>
        <v>2026</v>
      </c>
      <c r="AE1240" t="str">
        <f>IF(OR(SalesData[[#This Row],[Day]]="Saturday",SalesData[[#This Row],[Day]]="Sunday"),"Weekend","Weekday")</f>
        <v>Weekday</v>
      </c>
      <c r="AF1240" s="5">
        <f>IF(SalesData[[#This Row],[Contracts Offered]]=0,0,SalesData[[#This Row],[Contracts Signed]]/SalesData[[#This Row],[Contracts Offered]])</f>
        <v>0.31666666666666665</v>
      </c>
      <c r="AG1240" s="5">
        <f>IF(SalesData[[#This Row],[Customers Visited]]=0,0,SalesData[[#This Row],[Test Drives]]/SalesData[[#This Row],[Customers Visited]])</f>
        <v>0.54666666666666663</v>
      </c>
      <c r="AH1240" s="5">
        <f>IF(SalesData[[#This Row],[Customers Visited]]=0,0,SalesData[[#This Row],[Contracts Signed]]/SalesData[[#This Row],[Customers Visited]])</f>
        <v>0.12666666666666668</v>
      </c>
      <c r="AI1240" s="6">
        <f>IF(SalesData[[#This Row],[Contracts Signed]]=0,0,SalesData[[#This Row],[Profit(€)]]/SalesData[[#This Row],[Contracts Signed]])</f>
        <v>18948</v>
      </c>
      <c r="AJ1240" s="5" t="str">
        <f>TRIM(CLEAN(SalesData[[#This Row],[Retailer]]))</f>
        <v>Hannover Cars</v>
      </c>
    </row>
    <row r="1241" spans="1:36" ht="14.25" hidden="1" x14ac:dyDescent="0.2">
      <c r="A1241" t="s">
        <v>2052</v>
      </c>
      <c r="B1241" s="1">
        <v>46065</v>
      </c>
      <c r="C1241" t="s">
        <v>121</v>
      </c>
      <c r="D1241" t="s">
        <v>100</v>
      </c>
      <c r="E1241" t="s">
        <v>26</v>
      </c>
      <c r="F1241" t="s">
        <v>94</v>
      </c>
      <c r="G1241" t="s">
        <v>95</v>
      </c>
      <c r="H1241" t="s">
        <v>96</v>
      </c>
      <c r="I1241" t="s">
        <v>56</v>
      </c>
      <c r="J1241" t="s">
        <v>57</v>
      </c>
      <c r="K1241" t="s">
        <v>78</v>
      </c>
      <c r="L1241" t="s">
        <v>46</v>
      </c>
      <c r="M1241" t="s">
        <v>68</v>
      </c>
      <c r="N1241" t="s">
        <v>69</v>
      </c>
      <c r="O1241" t="s">
        <v>36</v>
      </c>
      <c r="P1241" t="s">
        <v>37</v>
      </c>
      <c r="Q1241" t="s">
        <v>79</v>
      </c>
      <c r="R1241">
        <v>168</v>
      </c>
      <c r="S1241">
        <v>93</v>
      </c>
      <c r="T1241">
        <v>61</v>
      </c>
      <c r="U1241">
        <v>22</v>
      </c>
      <c r="V1241" t="s">
        <v>6474</v>
      </c>
      <c r="W1241">
        <v>43085</v>
      </c>
      <c r="X1241" t="s">
        <v>4758</v>
      </c>
      <c r="Y1241">
        <v>35216</v>
      </c>
      <c r="Z1241">
        <v>947870</v>
      </c>
      <c r="AA1241">
        <v>173118</v>
      </c>
      <c r="AB1241" t="str">
        <f>(VLOOKUP(SalesData[[#This Row],[Month Number]],Reference!C$5:E$16,2,FALSE))</f>
        <v>Feb</v>
      </c>
      <c r="AC1241">
        <f>MONTH(SalesData[[#This Row],[Date]])</f>
        <v>2</v>
      </c>
      <c r="AD1241">
        <f>Reference!F$4</f>
        <v>2026</v>
      </c>
      <c r="AE1241" t="str">
        <f>IF(OR(SalesData[[#This Row],[Day]]="Saturday",SalesData[[#This Row],[Day]]="Sunday"),"Weekend","Weekday")</f>
        <v>Weekday</v>
      </c>
      <c r="AF1241" s="5">
        <f>IF(SalesData[[#This Row],[Contracts Offered]]=0,0,SalesData[[#This Row],[Contracts Signed]]/SalesData[[#This Row],[Contracts Offered]])</f>
        <v>0.36065573770491804</v>
      </c>
      <c r="AG1241" s="5">
        <f>IF(SalesData[[#This Row],[Customers Visited]]=0,0,SalesData[[#This Row],[Test Drives]]/SalesData[[#This Row],[Customers Visited]])</f>
        <v>0.5535714285714286</v>
      </c>
      <c r="AH1241" s="5">
        <f>IF(SalesData[[#This Row],[Customers Visited]]=0,0,SalesData[[#This Row],[Contracts Signed]]/SalesData[[#This Row],[Customers Visited]])</f>
        <v>0.13095238095238096</v>
      </c>
      <c r="AI1241" s="6">
        <f>IF(SalesData[[#This Row],[Contracts Signed]]=0,0,SalesData[[#This Row],[Profit(€)]]/SalesData[[#This Row],[Contracts Signed]])</f>
        <v>7869</v>
      </c>
      <c r="AJ1241" s="5" t="str">
        <f>TRIM(CLEAN(SalesData[[#This Row],[Retailer]]))</f>
        <v>Bavaria Motors</v>
      </c>
    </row>
    <row r="1242" spans="1:36" ht="14.25" hidden="1" x14ac:dyDescent="0.2">
      <c r="A1242" t="s">
        <v>2053</v>
      </c>
      <c r="B1242" s="1">
        <v>46066</v>
      </c>
      <c r="C1242" t="s">
        <v>121</v>
      </c>
      <c r="D1242" t="s">
        <v>54</v>
      </c>
      <c r="E1242" t="s">
        <v>26</v>
      </c>
      <c r="F1242" t="s">
        <v>43</v>
      </c>
      <c r="G1242" t="s">
        <v>44</v>
      </c>
      <c r="H1242" t="s">
        <v>45</v>
      </c>
      <c r="I1242" t="s">
        <v>56</v>
      </c>
      <c r="J1242" t="s">
        <v>137</v>
      </c>
      <c r="K1242" t="s">
        <v>78</v>
      </c>
      <c r="L1242" t="s">
        <v>46</v>
      </c>
      <c r="M1242" t="s">
        <v>47</v>
      </c>
      <c r="N1242" t="s">
        <v>48</v>
      </c>
      <c r="O1242" t="s">
        <v>70</v>
      </c>
      <c r="P1242" t="s">
        <v>49</v>
      </c>
      <c r="Q1242" t="s">
        <v>158</v>
      </c>
      <c r="R1242">
        <v>259</v>
      </c>
      <c r="S1242">
        <v>134</v>
      </c>
      <c r="T1242">
        <v>89</v>
      </c>
      <c r="U1242">
        <v>23</v>
      </c>
      <c r="V1242" t="s">
        <v>833</v>
      </c>
      <c r="W1242">
        <v>41723</v>
      </c>
      <c r="X1242" t="s">
        <v>159</v>
      </c>
      <c r="Y1242">
        <v>33561</v>
      </c>
      <c r="Z1242">
        <v>959629</v>
      </c>
      <c r="AA1242">
        <v>187726</v>
      </c>
      <c r="AB1242" t="str">
        <f>(VLOOKUP(SalesData[[#This Row],[Month Number]],Reference!C$5:E$16,2,FALSE))</f>
        <v>Feb</v>
      </c>
      <c r="AC1242">
        <f>MONTH(SalesData[[#This Row],[Date]])</f>
        <v>2</v>
      </c>
      <c r="AD1242">
        <f>Reference!F$4</f>
        <v>2026</v>
      </c>
      <c r="AE1242" t="str">
        <f>IF(OR(SalesData[[#This Row],[Day]]="Saturday",SalesData[[#This Row],[Day]]="Sunday"),"Weekend","Weekday")</f>
        <v>Weekday</v>
      </c>
      <c r="AF1242" s="5">
        <f>IF(SalesData[[#This Row],[Contracts Offered]]=0,0,SalesData[[#This Row],[Contracts Signed]]/SalesData[[#This Row],[Contracts Offered]])</f>
        <v>0.25842696629213485</v>
      </c>
      <c r="AG1242" s="5">
        <f>IF(SalesData[[#This Row],[Customers Visited]]=0,0,SalesData[[#This Row],[Test Drives]]/SalesData[[#This Row],[Customers Visited]])</f>
        <v>0.51737451737451734</v>
      </c>
      <c r="AH1242" s="5">
        <f>IF(SalesData[[#This Row],[Customers Visited]]=0,0,SalesData[[#This Row],[Contracts Signed]]/SalesData[[#This Row],[Customers Visited]])</f>
        <v>8.8803088803088806E-2</v>
      </c>
      <c r="AI1242" s="6">
        <f>IF(SalesData[[#This Row],[Contracts Signed]]=0,0,SalesData[[#This Row],[Profit(€)]]/SalesData[[#This Row],[Contracts Signed]])</f>
        <v>8162</v>
      </c>
      <c r="AJ1242" s="5" t="str">
        <f>TRIM(CLEAN(SalesData[[#This Row],[Retailer]]))</f>
        <v>Saxon Wheels</v>
      </c>
    </row>
    <row r="1243" spans="1:36" ht="14.25" hidden="1" x14ac:dyDescent="0.2">
      <c r="A1243" t="s">
        <v>2055</v>
      </c>
      <c r="B1243" s="1">
        <v>46064</v>
      </c>
      <c r="C1243" t="s">
        <v>121</v>
      </c>
      <c r="D1243" t="s">
        <v>82</v>
      </c>
      <c r="E1243" t="s">
        <v>26</v>
      </c>
      <c r="F1243" t="s">
        <v>83</v>
      </c>
      <c r="G1243" t="s">
        <v>84</v>
      </c>
      <c r="H1243" t="s">
        <v>85</v>
      </c>
      <c r="I1243" t="s">
        <v>64</v>
      </c>
      <c r="J1243" t="s">
        <v>157</v>
      </c>
      <c r="K1243" t="s">
        <v>78</v>
      </c>
      <c r="L1243" t="s">
        <v>33</v>
      </c>
      <c r="M1243" t="s">
        <v>47</v>
      </c>
      <c r="N1243" t="s">
        <v>69</v>
      </c>
      <c r="O1243" t="s">
        <v>36</v>
      </c>
      <c r="P1243" t="s">
        <v>71</v>
      </c>
      <c r="Q1243" t="s">
        <v>172</v>
      </c>
      <c r="R1243">
        <v>191</v>
      </c>
      <c r="S1243">
        <v>89</v>
      </c>
      <c r="T1243">
        <v>63</v>
      </c>
      <c r="U1243">
        <v>25</v>
      </c>
      <c r="V1243" t="s">
        <v>6830</v>
      </c>
      <c r="W1243">
        <v>70461</v>
      </c>
      <c r="X1243" t="s">
        <v>396</v>
      </c>
      <c r="Y1243">
        <v>51752</v>
      </c>
      <c r="Z1243">
        <v>1761525</v>
      </c>
      <c r="AA1243">
        <v>467725</v>
      </c>
      <c r="AB1243" t="str">
        <f>(VLOOKUP(SalesData[[#This Row],[Month Number]],Reference!C$5:E$16,2,FALSE))</f>
        <v>Feb</v>
      </c>
      <c r="AC1243">
        <f>MONTH(SalesData[[#This Row],[Date]])</f>
        <v>2</v>
      </c>
      <c r="AD1243">
        <f>Reference!F$4</f>
        <v>2026</v>
      </c>
      <c r="AE1243" t="str">
        <f>IF(OR(SalesData[[#This Row],[Day]]="Saturday",SalesData[[#This Row],[Day]]="Sunday"),"Weekend","Weekday")</f>
        <v>Weekday</v>
      </c>
      <c r="AF1243" s="5">
        <f>IF(SalesData[[#This Row],[Contracts Offered]]=0,0,SalesData[[#This Row],[Contracts Signed]]/SalesData[[#This Row],[Contracts Offered]])</f>
        <v>0.3968253968253968</v>
      </c>
      <c r="AG1243" s="5">
        <f>IF(SalesData[[#This Row],[Customers Visited]]=0,0,SalesData[[#This Row],[Test Drives]]/SalesData[[#This Row],[Customers Visited]])</f>
        <v>0.46596858638743455</v>
      </c>
      <c r="AH1243" s="5">
        <f>IF(SalesData[[#This Row],[Customers Visited]]=0,0,SalesData[[#This Row],[Contracts Signed]]/SalesData[[#This Row],[Customers Visited]])</f>
        <v>0.13089005235602094</v>
      </c>
      <c r="AI1243" s="6">
        <f>IF(SalesData[[#This Row],[Contracts Signed]]=0,0,SalesData[[#This Row],[Profit(€)]]/SalesData[[#This Row],[Contracts Signed]])</f>
        <v>18709</v>
      </c>
      <c r="AJ1243" s="5" t="str">
        <f>TRIM(CLEAN(SalesData[[#This Row],[Retailer]]))</f>
        <v>Hannover Cars</v>
      </c>
    </row>
    <row r="1244" spans="1:36" ht="14.25" hidden="1" x14ac:dyDescent="0.2">
      <c r="A1244" t="s">
        <v>2057</v>
      </c>
      <c r="B1244" s="1">
        <v>46068</v>
      </c>
      <c r="C1244" t="s">
        <v>62</v>
      </c>
      <c r="D1244" t="s">
        <v>41</v>
      </c>
      <c r="E1244" t="s">
        <v>42</v>
      </c>
      <c r="F1244" t="s">
        <v>101</v>
      </c>
      <c r="G1244" t="s">
        <v>102</v>
      </c>
      <c r="H1244" t="s">
        <v>103</v>
      </c>
      <c r="I1244" t="s">
        <v>104</v>
      </c>
      <c r="J1244" t="s">
        <v>7061</v>
      </c>
      <c r="K1244" t="s">
        <v>66</v>
      </c>
      <c r="L1244" t="s">
        <v>46</v>
      </c>
      <c r="M1244" t="s">
        <v>68</v>
      </c>
      <c r="N1244" t="s">
        <v>48</v>
      </c>
      <c r="O1244" t="s">
        <v>36</v>
      </c>
      <c r="P1244" t="s">
        <v>49</v>
      </c>
      <c r="Q1244" t="s">
        <v>167</v>
      </c>
      <c r="R1244">
        <v>307</v>
      </c>
      <c r="S1244">
        <v>158</v>
      </c>
      <c r="T1244">
        <v>93</v>
      </c>
      <c r="U1244">
        <v>21</v>
      </c>
      <c r="V1244" t="s">
        <v>1436</v>
      </c>
      <c r="W1244">
        <v>27580</v>
      </c>
      <c r="X1244" t="s">
        <v>692</v>
      </c>
      <c r="Y1244">
        <v>24634</v>
      </c>
      <c r="Z1244">
        <v>579180</v>
      </c>
      <c r="AA1244">
        <v>61866</v>
      </c>
      <c r="AB1244" t="str">
        <f>(VLOOKUP(SalesData[[#This Row],[Month Number]],Reference!C$5:E$16,2,FALSE))</f>
        <v>Feb</v>
      </c>
      <c r="AC1244">
        <f>MONTH(SalesData[[#This Row],[Date]])</f>
        <v>2</v>
      </c>
      <c r="AD1244">
        <f>Reference!F$4</f>
        <v>2026</v>
      </c>
      <c r="AE1244" t="str">
        <f>IF(OR(SalesData[[#This Row],[Day]]="Saturday",SalesData[[#This Row],[Day]]="Sunday"),"Weekend","Weekday")</f>
        <v>Weekend</v>
      </c>
      <c r="AF1244" s="5">
        <f>IF(SalesData[[#This Row],[Contracts Offered]]=0,0,SalesData[[#This Row],[Contracts Signed]]/SalesData[[#This Row],[Contracts Offered]])</f>
        <v>0.22580645161290322</v>
      </c>
      <c r="AG1244" s="5">
        <f>IF(SalesData[[#This Row],[Customers Visited]]=0,0,SalesData[[#This Row],[Test Drives]]/SalesData[[#This Row],[Customers Visited]])</f>
        <v>0.51465798045602607</v>
      </c>
      <c r="AH1244" s="5">
        <f>IF(SalesData[[#This Row],[Customers Visited]]=0,0,SalesData[[#This Row],[Contracts Signed]]/SalesData[[#This Row],[Customers Visited]])</f>
        <v>6.8403908794788276E-2</v>
      </c>
      <c r="AI1244" s="6">
        <f>IF(SalesData[[#This Row],[Contracts Signed]]=0,0,SalesData[[#This Row],[Profit(€)]]/SalesData[[#This Row],[Contracts Signed]])</f>
        <v>2946</v>
      </c>
      <c r="AJ1244" s="5" t="str">
        <f>TRIM(CLEAN(SalesData[[#This Row],[Retailer]]))</f>
        <v>Ruhr Auto Plaza</v>
      </c>
    </row>
    <row r="1245" spans="1:36" ht="14.25" x14ac:dyDescent="0.2">
      <c r="A1245" t="s">
        <v>2058</v>
      </c>
      <c r="B1245" s="1">
        <v>46075</v>
      </c>
      <c r="C1245" t="s">
        <v>53</v>
      </c>
      <c r="D1245" t="s">
        <v>41</v>
      </c>
      <c r="E1245" t="s">
        <v>42</v>
      </c>
      <c r="F1245" t="s">
        <v>83</v>
      </c>
      <c r="G1245" t="s">
        <v>84</v>
      </c>
      <c r="H1245" t="s">
        <v>85</v>
      </c>
      <c r="I1245" t="s">
        <v>30</v>
      </c>
      <c r="J1245" t="s">
        <v>86</v>
      </c>
      <c r="K1245" t="s">
        <v>66</v>
      </c>
      <c r="L1245" t="s">
        <v>33</v>
      </c>
      <c r="M1245" t="s">
        <v>87</v>
      </c>
      <c r="N1245" t="s">
        <v>69</v>
      </c>
      <c r="O1245" t="s">
        <v>70</v>
      </c>
      <c r="P1245" t="s">
        <v>49</v>
      </c>
      <c r="Q1245" t="s">
        <v>347</v>
      </c>
      <c r="R1245">
        <v>216</v>
      </c>
      <c r="S1245">
        <v>99</v>
      </c>
      <c r="T1245">
        <v>77</v>
      </c>
      <c r="U1245">
        <v>23</v>
      </c>
      <c r="V1245" t="s">
        <v>6733</v>
      </c>
      <c r="W1245">
        <v>49729</v>
      </c>
      <c r="X1245" t="s">
        <v>5566</v>
      </c>
      <c r="Y1245">
        <v>35249</v>
      </c>
      <c r="Z1245">
        <v>1143767</v>
      </c>
      <c r="AA1245">
        <v>333040</v>
      </c>
      <c r="AB1245" t="str">
        <f>(VLOOKUP(SalesData[[#This Row],[Month Number]],Reference!C$5:E$16,2,FALSE))</f>
        <v>Feb</v>
      </c>
      <c r="AC1245">
        <f>MONTH(SalesData[[#This Row],[Date]])</f>
        <v>2</v>
      </c>
      <c r="AD1245">
        <f>Reference!F$4</f>
        <v>2026</v>
      </c>
      <c r="AE1245" t="str">
        <f>IF(OR(SalesData[[#This Row],[Day]]="Saturday",SalesData[[#This Row],[Day]]="Sunday"),"Weekend","Weekday")</f>
        <v>Weekend</v>
      </c>
      <c r="AF1245" s="5">
        <f>IF(SalesData[[#This Row],[Contracts Offered]]=0,0,SalesData[[#This Row],[Contracts Signed]]/SalesData[[#This Row],[Contracts Offered]])</f>
        <v>0.29870129870129869</v>
      </c>
      <c r="AG1245" s="5">
        <f>IF(SalesData[[#This Row],[Customers Visited]]=0,0,SalesData[[#This Row],[Test Drives]]/SalesData[[#This Row],[Customers Visited]])</f>
        <v>0.45833333333333331</v>
      </c>
      <c r="AH1245" s="5">
        <f>IF(SalesData[[#This Row],[Customers Visited]]=0,0,SalesData[[#This Row],[Contracts Signed]]/SalesData[[#This Row],[Customers Visited]])</f>
        <v>0.10648148148148148</v>
      </c>
      <c r="AI1245" s="6">
        <f>IF(SalesData[[#This Row],[Contracts Signed]]=0,0,SalesData[[#This Row],[Profit(€)]]/SalesData[[#This Row],[Contracts Signed]])</f>
        <v>14480</v>
      </c>
      <c r="AJ1245" s="5" t="str">
        <f>TRIM(CLEAN(SalesData[[#This Row],[Retailer]]))</f>
        <v>Hannover Cars</v>
      </c>
    </row>
    <row r="1246" spans="1:36" ht="14.25" hidden="1" x14ac:dyDescent="0.2">
      <c r="A1246" t="s">
        <v>2059</v>
      </c>
      <c r="B1246" s="1">
        <v>46064</v>
      </c>
      <c r="C1246" t="s">
        <v>121</v>
      </c>
      <c r="D1246" t="s">
        <v>82</v>
      </c>
      <c r="E1246" t="s">
        <v>26</v>
      </c>
      <c r="F1246" t="s">
        <v>101</v>
      </c>
      <c r="G1246" t="s">
        <v>102</v>
      </c>
      <c r="H1246" t="s">
        <v>103</v>
      </c>
      <c r="I1246" t="s">
        <v>56</v>
      </c>
      <c r="J1246" t="s">
        <v>7028</v>
      </c>
      <c r="K1246" t="s">
        <v>66</v>
      </c>
      <c r="L1246" t="s">
        <v>46</v>
      </c>
      <c r="M1246" t="s">
        <v>34</v>
      </c>
      <c r="N1246" t="s">
        <v>69</v>
      </c>
      <c r="O1246" t="s">
        <v>70</v>
      </c>
      <c r="P1246" t="s">
        <v>58</v>
      </c>
      <c r="Q1246" t="s">
        <v>79</v>
      </c>
      <c r="R1246">
        <v>179</v>
      </c>
      <c r="S1246">
        <v>107</v>
      </c>
      <c r="T1246">
        <v>68</v>
      </c>
      <c r="U1246">
        <v>28</v>
      </c>
      <c r="V1246" t="s">
        <v>6888</v>
      </c>
      <c r="W1246">
        <v>42294</v>
      </c>
      <c r="X1246" t="s">
        <v>1215</v>
      </c>
      <c r="Y1246">
        <v>31818</v>
      </c>
      <c r="Z1246">
        <v>1184232</v>
      </c>
      <c r="AA1246">
        <v>293328</v>
      </c>
      <c r="AB1246" t="str">
        <f>(VLOOKUP(SalesData[[#This Row],[Month Number]],Reference!C$5:E$16,2,FALSE))</f>
        <v>Feb</v>
      </c>
      <c r="AC1246">
        <f>MONTH(SalesData[[#This Row],[Date]])</f>
        <v>2</v>
      </c>
      <c r="AD1246">
        <f>Reference!F$4</f>
        <v>2026</v>
      </c>
      <c r="AE1246" t="str">
        <f>IF(OR(SalesData[[#This Row],[Day]]="Saturday",SalesData[[#This Row],[Day]]="Sunday"),"Weekend","Weekday")</f>
        <v>Weekday</v>
      </c>
      <c r="AF1246" s="5">
        <f>IF(SalesData[[#This Row],[Contracts Offered]]=0,0,SalesData[[#This Row],[Contracts Signed]]/SalesData[[#This Row],[Contracts Offered]])</f>
        <v>0.41176470588235292</v>
      </c>
      <c r="AG1246" s="5">
        <f>IF(SalesData[[#This Row],[Customers Visited]]=0,0,SalesData[[#This Row],[Test Drives]]/SalesData[[#This Row],[Customers Visited]])</f>
        <v>0.5977653631284916</v>
      </c>
      <c r="AH1246" s="5">
        <f>IF(SalesData[[#This Row],[Customers Visited]]=0,0,SalesData[[#This Row],[Contracts Signed]]/SalesData[[#This Row],[Customers Visited]])</f>
        <v>0.15642458100558659</v>
      </c>
      <c r="AI1246" s="6">
        <f>IF(SalesData[[#This Row],[Contracts Signed]]=0,0,SalesData[[#This Row],[Profit(€)]]/SalesData[[#This Row],[Contracts Signed]])</f>
        <v>10476</v>
      </c>
      <c r="AJ1246" s="5" t="str">
        <f>TRIM(CLEAN(SalesData[[#This Row],[Retailer]]))</f>
        <v>Ruhr Auto Plaza</v>
      </c>
    </row>
    <row r="1247" spans="1:36" ht="14.25" hidden="1" x14ac:dyDescent="0.2">
      <c r="A1247" t="s">
        <v>2060</v>
      </c>
      <c r="B1247" s="1">
        <v>46081</v>
      </c>
      <c r="C1247" t="s">
        <v>53</v>
      </c>
      <c r="D1247" t="s">
        <v>151</v>
      </c>
      <c r="E1247" t="s">
        <v>42</v>
      </c>
      <c r="F1247" t="s">
        <v>101</v>
      </c>
      <c r="G1247" t="s">
        <v>102</v>
      </c>
      <c r="H1247" t="s">
        <v>103</v>
      </c>
      <c r="I1247" t="s">
        <v>64</v>
      </c>
      <c r="J1247" t="s">
        <v>77</v>
      </c>
      <c r="K1247" t="s">
        <v>32</v>
      </c>
      <c r="L1247" t="s">
        <v>46</v>
      </c>
      <c r="M1247" t="s">
        <v>34</v>
      </c>
      <c r="N1247" t="s">
        <v>48</v>
      </c>
      <c r="O1247" t="s">
        <v>36</v>
      </c>
      <c r="P1247" t="s">
        <v>71</v>
      </c>
      <c r="Q1247" t="s">
        <v>189</v>
      </c>
      <c r="R1247">
        <v>177</v>
      </c>
      <c r="S1247">
        <v>95</v>
      </c>
      <c r="T1247">
        <v>71</v>
      </c>
      <c r="U1247">
        <v>23</v>
      </c>
      <c r="V1247" t="s">
        <v>6644</v>
      </c>
      <c r="W1247">
        <v>69763</v>
      </c>
      <c r="X1247" t="s">
        <v>7122</v>
      </c>
      <c r="Y1247">
        <v>51198</v>
      </c>
      <c r="Z1247">
        <v>1604549</v>
      </c>
      <c r="AA1247">
        <v>426995</v>
      </c>
      <c r="AB1247" t="str">
        <f>(VLOOKUP(SalesData[[#This Row],[Month Number]],Reference!C$5:E$16,2,FALSE))</f>
        <v>Feb</v>
      </c>
      <c r="AC1247">
        <f>MONTH(SalesData[[#This Row],[Date]])</f>
        <v>2</v>
      </c>
      <c r="AD1247">
        <f>Reference!F$4</f>
        <v>2026</v>
      </c>
      <c r="AE1247" t="str">
        <f>IF(OR(SalesData[[#This Row],[Day]]="Saturday",SalesData[[#This Row],[Day]]="Sunday"),"Weekend","Weekday")</f>
        <v>Weekend</v>
      </c>
      <c r="AF1247" s="5">
        <f>IF(SalesData[[#This Row],[Contracts Offered]]=0,0,SalesData[[#This Row],[Contracts Signed]]/SalesData[[#This Row],[Contracts Offered]])</f>
        <v>0.323943661971831</v>
      </c>
      <c r="AG1247" s="5">
        <f>IF(SalesData[[#This Row],[Customers Visited]]=0,0,SalesData[[#This Row],[Test Drives]]/SalesData[[#This Row],[Customers Visited]])</f>
        <v>0.53672316384180796</v>
      </c>
      <c r="AH1247" s="5">
        <f>IF(SalesData[[#This Row],[Customers Visited]]=0,0,SalesData[[#This Row],[Contracts Signed]]/SalesData[[#This Row],[Customers Visited]])</f>
        <v>0.12994350282485875</v>
      </c>
      <c r="AI1247" s="6">
        <f>IF(SalesData[[#This Row],[Contracts Signed]]=0,0,SalesData[[#This Row],[Profit(€)]]/SalesData[[#This Row],[Contracts Signed]])</f>
        <v>18565</v>
      </c>
      <c r="AJ1247" s="5" t="str">
        <f>TRIM(CLEAN(SalesData[[#This Row],[Retailer]]))</f>
        <v>Ruhr Auto Plaza</v>
      </c>
    </row>
    <row r="1248" spans="1:36" ht="14.25" hidden="1" x14ac:dyDescent="0.2">
      <c r="A1248" t="s">
        <v>2062</v>
      </c>
      <c r="B1248" s="1">
        <v>46058</v>
      </c>
      <c r="C1248" t="s">
        <v>24</v>
      </c>
      <c r="D1248" t="s">
        <v>100</v>
      </c>
      <c r="E1248" t="s">
        <v>26</v>
      </c>
      <c r="F1248" t="s">
        <v>94</v>
      </c>
      <c r="G1248" t="s">
        <v>95</v>
      </c>
      <c r="H1248" t="s">
        <v>96</v>
      </c>
      <c r="I1248" t="s">
        <v>56</v>
      </c>
      <c r="J1248" t="s">
        <v>57</v>
      </c>
      <c r="K1248" t="s">
        <v>32</v>
      </c>
      <c r="L1248" t="s">
        <v>46</v>
      </c>
      <c r="M1248" t="s">
        <v>34</v>
      </c>
      <c r="N1248" t="s">
        <v>48</v>
      </c>
      <c r="O1248" t="s">
        <v>36</v>
      </c>
      <c r="P1248" t="s">
        <v>49</v>
      </c>
      <c r="Q1248" t="s">
        <v>172</v>
      </c>
      <c r="R1248">
        <v>239</v>
      </c>
      <c r="S1248">
        <v>115</v>
      </c>
      <c r="T1248">
        <v>74</v>
      </c>
      <c r="U1248">
        <v>30</v>
      </c>
      <c r="V1248" t="s">
        <v>6360</v>
      </c>
      <c r="W1248">
        <v>46225</v>
      </c>
      <c r="X1248" t="s">
        <v>4948</v>
      </c>
      <c r="Y1248">
        <v>36665</v>
      </c>
      <c r="Z1248">
        <v>1386750</v>
      </c>
      <c r="AA1248">
        <v>286800</v>
      </c>
      <c r="AB1248" t="str">
        <f>(VLOOKUP(SalesData[[#This Row],[Month Number]],Reference!C$5:E$16,2,FALSE))</f>
        <v>Feb</v>
      </c>
      <c r="AC1248">
        <f>MONTH(SalesData[[#This Row],[Date]])</f>
        <v>2</v>
      </c>
      <c r="AD1248">
        <f>Reference!F$4</f>
        <v>2026</v>
      </c>
      <c r="AE1248" t="str">
        <f>IF(OR(SalesData[[#This Row],[Day]]="Saturday",SalesData[[#This Row],[Day]]="Sunday"),"Weekend","Weekday")</f>
        <v>Weekday</v>
      </c>
      <c r="AF1248" s="5">
        <f>IF(SalesData[[#This Row],[Contracts Offered]]=0,0,SalesData[[#This Row],[Contracts Signed]]/SalesData[[#This Row],[Contracts Offered]])</f>
        <v>0.40540540540540543</v>
      </c>
      <c r="AG1248" s="5">
        <f>IF(SalesData[[#This Row],[Customers Visited]]=0,0,SalesData[[#This Row],[Test Drives]]/SalesData[[#This Row],[Customers Visited]])</f>
        <v>0.48117154811715479</v>
      </c>
      <c r="AH1248" s="5">
        <f>IF(SalesData[[#This Row],[Customers Visited]]=0,0,SalesData[[#This Row],[Contracts Signed]]/SalesData[[#This Row],[Customers Visited]])</f>
        <v>0.12552301255230125</v>
      </c>
      <c r="AI1248" s="6">
        <f>IF(SalesData[[#This Row],[Contracts Signed]]=0,0,SalesData[[#This Row],[Profit(€)]]/SalesData[[#This Row],[Contracts Signed]])</f>
        <v>9560</v>
      </c>
      <c r="AJ1248" s="5" t="str">
        <f>TRIM(CLEAN(SalesData[[#This Row],[Retailer]]))</f>
        <v>Bavaria Motors</v>
      </c>
    </row>
    <row r="1249" spans="1:36" ht="14.25" hidden="1" x14ac:dyDescent="0.2">
      <c r="A1249" t="s">
        <v>2063</v>
      </c>
      <c r="B1249" s="1">
        <v>46061</v>
      </c>
      <c r="C1249" t="s">
        <v>121</v>
      </c>
      <c r="D1249" t="s">
        <v>41</v>
      </c>
      <c r="E1249" t="s">
        <v>42</v>
      </c>
      <c r="F1249" t="s">
        <v>74</v>
      </c>
      <c r="G1249" t="s">
        <v>75</v>
      </c>
      <c r="H1249" t="s">
        <v>76</v>
      </c>
      <c r="I1249" t="s">
        <v>104</v>
      </c>
      <c r="J1249" t="s">
        <v>140</v>
      </c>
      <c r="K1249" t="s">
        <v>32</v>
      </c>
      <c r="L1249" t="s">
        <v>46</v>
      </c>
      <c r="M1249" t="s">
        <v>47</v>
      </c>
      <c r="N1249" t="s">
        <v>35</v>
      </c>
      <c r="O1249" t="s">
        <v>36</v>
      </c>
      <c r="P1249" t="s">
        <v>58</v>
      </c>
      <c r="Q1249" t="s">
        <v>106</v>
      </c>
      <c r="R1249">
        <v>432</v>
      </c>
      <c r="S1249">
        <v>180</v>
      </c>
      <c r="T1249">
        <v>129</v>
      </c>
      <c r="U1249">
        <v>35</v>
      </c>
      <c r="V1249" t="s">
        <v>1767</v>
      </c>
      <c r="W1249">
        <v>28875</v>
      </c>
      <c r="X1249" t="s">
        <v>2203</v>
      </c>
      <c r="Y1249">
        <v>26063</v>
      </c>
      <c r="Z1249">
        <v>1010625</v>
      </c>
      <c r="AA1249">
        <v>98420</v>
      </c>
      <c r="AB1249" t="str">
        <f>(VLOOKUP(SalesData[[#This Row],[Month Number]],Reference!C$5:E$16,2,FALSE))</f>
        <v>Feb</v>
      </c>
      <c r="AC1249">
        <f>MONTH(SalesData[[#This Row],[Date]])</f>
        <v>2</v>
      </c>
      <c r="AD1249">
        <f>Reference!F$4</f>
        <v>2026</v>
      </c>
      <c r="AE1249" t="str">
        <f>IF(OR(SalesData[[#This Row],[Day]]="Saturday",SalesData[[#This Row],[Day]]="Sunday"),"Weekend","Weekday")</f>
        <v>Weekend</v>
      </c>
      <c r="AF1249" s="5">
        <f>IF(SalesData[[#This Row],[Contracts Offered]]=0,0,SalesData[[#This Row],[Contracts Signed]]/SalesData[[#This Row],[Contracts Offered]])</f>
        <v>0.27131782945736432</v>
      </c>
      <c r="AG1249" s="5">
        <f>IF(SalesData[[#This Row],[Customers Visited]]=0,0,SalesData[[#This Row],[Test Drives]]/SalesData[[#This Row],[Customers Visited]])</f>
        <v>0.41666666666666669</v>
      </c>
      <c r="AH1249" s="5">
        <f>IF(SalesData[[#This Row],[Customers Visited]]=0,0,SalesData[[#This Row],[Contracts Signed]]/SalesData[[#This Row],[Customers Visited]])</f>
        <v>8.1018518518518517E-2</v>
      </c>
      <c r="AI1249" s="6">
        <f>IF(SalesData[[#This Row],[Contracts Signed]]=0,0,SalesData[[#This Row],[Profit(€)]]/SalesData[[#This Row],[Contracts Signed]])</f>
        <v>2812</v>
      </c>
      <c r="AJ1249" s="5" t="str">
        <f>TRIM(CLEAN(SalesData[[#This Row],[Retailer]]))</f>
        <v>Stuttgart Auto Center</v>
      </c>
    </row>
    <row r="1250" spans="1:36" ht="14.25" x14ac:dyDescent="0.2">
      <c r="A1250" t="s">
        <v>2064</v>
      </c>
      <c r="B1250" s="1">
        <v>46059</v>
      </c>
      <c r="C1250" t="s">
        <v>24</v>
      </c>
      <c r="D1250" t="s">
        <v>54</v>
      </c>
      <c r="E1250" t="s">
        <v>26</v>
      </c>
      <c r="F1250" t="s">
        <v>43</v>
      </c>
      <c r="G1250" t="s">
        <v>44</v>
      </c>
      <c r="H1250" t="s">
        <v>45</v>
      </c>
      <c r="I1250" t="s">
        <v>30</v>
      </c>
      <c r="J1250" t="s">
        <v>188</v>
      </c>
      <c r="K1250" t="s">
        <v>32</v>
      </c>
      <c r="L1250" t="s">
        <v>33</v>
      </c>
      <c r="M1250" t="s">
        <v>47</v>
      </c>
      <c r="N1250" t="s">
        <v>35</v>
      </c>
      <c r="O1250" t="s">
        <v>36</v>
      </c>
      <c r="P1250" t="s">
        <v>71</v>
      </c>
      <c r="Q1250" t="s">
        <v>172</v>
      </c>
      <c r="R1250">
        <v>169</v>
      </c>
      <c r="S1250">
        <v>103</v>
      </c>
      <c r="T1250">
        <v>76</v>
      </c>
      <c r="U1250">
        <v>30</v>
      </c>
      <c r="V1250" t="s">
        <v>6636</v>
      </c>
      <c r="W1250">
        <v>57891</v>
      </c>
      <c r="X1250" t="s">
        <v>7400</v>
      </c>
      <c r="Y1250">
        <v>41996</v>
      </c>
      <c r="Z1250">
        <v>1736730</v>
      </c>
      <c r="AA1250">
        <v>476850</v>
      </c>
      <c r="AB1250" t="str">
        <f>(VLOOKUP(SalesData[[#This Row],[Month Number]],Reference!C$5:E$16,2,FALSE))</f>
        <v>Feb</v>
      </c>
      <c r="AC1250">
        <f>MONTH(SalesData[[#This Row],[Date]])</f>
        <v>2</v>
      </c>
      <c r="AD1250">
        <f>Reference!F$4</f>
        <v>2026</v>
      </c>
      <c r="AE1250" t="str">
        <f>IF(OR(SalesData[[#This Row],[Day]]="Saturday",SalesData[[#This Row],[Day]]="Sunday"),"Weekend","Weekday")</f>
        <v>Weekday</v>
      </c>
      <c r="AF1250" s="5">
        <f>IF(SalesData[[#This Row],[Contracts Offered]]=0,0,SalesData[[#This Row],[Contracts Signed]]/SalesData[[#This Row],[Contracts Offered]])</f>
        <v>0.39473684210526316</v>
      </c>
      <c r="AG1250" s="5">
        <f>IF(SalesData[[#This Row],[Customers Visited]]=0,0,SalesData[[#This Row],[Test Drives]]/SalesData[[#This Row],[Customers Visited]])</f>
        <v>0.60946745562130178</v>
      </c>
      <c r="AH1250" s="5">
        <f>IF(SalesData[[#This Row],[Customers Visited]]=0,0,SalesData[[#This Row],[Contracts Signed]]/SalesData[[#This Row],[Customers Visited]])</f>
        <v>0.17751479289940827</v>
      </c>
      <c r="AI1250" s="6">
        <f>IF(SalesData[[#This Row],[Contracts Signed]]=0,0,SalesData[[#This Row],[Profit(€)]]/SalesData[[#This Row],[Contracts Signed]])</f>
        <v>15895</v>
      </c>
      <c r="AJ1250" s="5" t="str">
        <f>TRIM(CLEAN(SalesData[[#This Row],[Retailer]]))</f>
        <v>Saxon Wheels</v>
      </c>
    </row>
    <row r="1251" spans="1:36" ht="14.25" x14ac:dyDescent="0.2">
      <c r="A1251" t="s">
        <v>2065</v>
      </c>
      <c r="B1251" s="1">
        <v>46065</v>
      </c>
      <c r="C1251" t="s">
        <v>121</v>
      </c>
      <c r="D1251" t="s">
        <v>100</v>
      </c>
      <c r="E1251" t="s">
        <v>26</v>
      </c>
      <c r="F1251" t="s">
        <v>109</v>
      </c>
      <c r="G1251" t="s">
        <v>110</v>
      </c>
      <c r="H1251" t="s">
        <v>45</v>
      </c>
      <c r="I1251" t="s">
        <v>30</v>
      </c>
      <c r="J1251" t="s">
        <v>7075</v>
      </c>
      <c r="K1251" t="s">
        <v>32</v>
      </c>
      <c r="L1251" t="s">
        <v>33</v>
      </c>
      <c r="M1251" t="s">
        <v>87</v>
      </c>
      <c r="N1251" t="s">
        <v>69</v>
      </c>
      <c r="O1251" t="s">
        <v>36</v>
      </c>
      <c r="P1251" t="s">
        <v>49</v>
      </c>
      <c r="Q1251" t="s">
        <v>106</v>
      </c>
      <c r="R1251">
        <v>141</v>
      </c>
      <c r="S1251">
        <v>68</v>
      </c>
      <c r="T1251">
        <v>51</v>
      </c>
      <c r="U1251">
        <v>16</v>
      </c>
      <c r="V1251" t="s">
        <v>6439</v>
      </c>
      <c r="W1251">
        <v>51967</v>
      </c>
      <c r="X1251" t="s">
        <v>5891</v>
      </c>
      <c r="Y1251">
        <v>38461</v>
      </c>
      <c r="Z1251">
        <v>831472</v>
      </c>
      <c r="AA1251">
        <v>216096</v>
      </c>
      <c r="AB1251" t="str">
        <f>(VLOOKUP(SalesData[[#This Row],[Month Number]],Reference!C$5:E$16,2,FALSE))</f>
        <v>Feb</v>
      </c>
      <c r="AC1251">
        <f>MONTH(SalesData[[#This Row],[Date]])</f>
        <v>2</v>
      </c>
      <c r="AD1251">
        <f>Reference!F$4</f>
        <v>2026</v>
      </c>
      <c r="AE1251" t="str">
        <f>IF(OR(SalesData[[#This Row],[Day]]="Saturday",SalesData[[#This Row],[Day]]="Sunday"),"Weekend","Weekday")</f>
        <v>Weekday</v>
      </c>
      <c r="AF1251" s="5">
        <f>IF(SalesData[[#This Row],[Contracts Offered]]=0,0,SalesData[[#This Row],[Contracts Signed]]/SalesData[[#This Row],[Contracts Offered]])</f>
        <v>0.31372549019607843</v>
      </c>
      <c r="AG1251" s="5">
        <f>IF(SalesData[[#This Row],[Customers Visited]]=0,0,SalesData[[#This Row],[Test Drives]]/SalesData[[#This Row],[Customers Visited]])</f>
        <v>0.48226950354609927</v>
      </c>
      <c r="AH1251" s="5">
        <f>IF(SalesData[[#This Row],[Customers Visited]]=0,0,SalesData[[#This Row],[Contracts Signed]]/SalesData[[#This Row],[Customers Visited]])</f>
        <v>0.11347517730496454</v>
      </c>
      <c r="AI1251" s="6">
        <f>IF(SalesData[[#This Row],[Contracts Signed]]=0,0,SalesData[[#This Row],[Profit(€)]]/SalesData[[#This Row],[Contracts Signed]])</f>
        <v>13506</v>
      </c>
      <c r="AJ1251" s="5" t="str">
        <f>TRIM(CLEAN(SalesData[[#This Row],[Retailer]]))</f>
        <v>Leipzig Mobility</v>
      </c>
    </row>
    <row r="1252" spans="1:36" ht="14.25" hidden="1" x14ac:dyDescent="0.2">
      <c r="A1252" t="s">
        <v>2066</v>
      </c>
      <c r="B1252" s="1">
        <v>46081</v>
      </c>
      <c r="C1252" t="s">
        <v>53</v>
      </c>
      <c r="D1252" t="s">
        <v>151</v>
      </c>
      <c r="E1252" t="s">
        <v>42</v>
      </c>
      <c r="F1252" t="s">
        <v>127</v>
      </c>
      <c r="G1252" t="s">
        <v>128</v>
      </c>
      <c r="H1252" t="s">
        <v>103</v>
      </c>
      <c r="I1252" t="s">
        <v>116</v>
      </c>
      <c r="J1252" t="s">
        <v>117</v>
      </c>
      <c r="K1252" t="s">
        <v>78</v>
      </c>
      <c r="L1252" t="s">
        <v>67</v>
      </c>
      <c r="M1252" t="s">
        <v>87</v>
      </c>
      <c r="N1252" t="s">
        <v>69</v>
      </c>
      <c r="O1252" t="s">
        <v>36</v>
      </c>
      <c r="P1252" t="s">
        <v>37</v>
      </c>
      <c r="Q1252" t="s">
        <v>38</v>
      </c>
      <c r="R1252">
        <v>367</v>
      </c>
      <c r="S1252">
        <v>143</v>
      </c>
      <c r="T1252">
        <v>99</v>
      </c>
      <c r="U1252">
        <v>22</v>
      </c>
      <c r="V1252" t="s">
        <v>1109</v>
      </c>
      <c r="W1252">
        <v>23964</v>
      </c>
      <c r="X1252" t="s">
        <v>3542</v>
      </c>
      <c r="Y1252">
        <v>21771</v>
      </c>
      <c r="Z1252">
        <v>527208</v>
      </c>
      <c r="AA1252">
        <v>48246</v>
      </c>
      <c r="AB1252" t="str">
        <f>(VLOOKUP(SalesData[[#This Row],[Month Number]],Reference!C$5:E$16,2,FALSE))</f>
        <v>Feb</v>
      </c>
      <c r="AC1252">
        <f>MONTH(SalesData[[#This Row],[Date]])</f>
        <v>2</v>
      </c>
      <c r="AD1252">
        <f>Reference!F$4</f>
        <v>2026</v>
      </c>
      <c r="AE1252" t="str">
        <f>IF(OR(SalesData[[#This Row],[Day]]="Saturday",SalesData[[#This Row],[Day]]="Sunday"),"Weekend","Weekday")</f>
        <v>Weekend</v>
      </c>
      <c r="AF1252" s="5">
        <f>IF(SalesData[[#This Row],[Contracts Offered]]=0,0,SalesData[[#This Row],[Contracts Signed]]/SalesData[[#This Row],[Contracts Offered]])</f>
        <v>0.22222222222222221</v>
      </c>
      <c r="AG1252" s="5">
        <f>IF(SalesData[[#This Row],[Customers Visited]]=0,0,SalesData[[#This Row],[Test Drives]]/SalesData[[#This Row],[Customers Visited]])</f>
        <v>0.38964577656675747</v>
      </c>
      <c r="AH1252" s="5">
        <f>IF(SalesData[[#This Row],[Customers Visited]]=0,0,SalesData[[#This Row],[Contracts Signed]]/SalesData[[#This Row],[Customers Visited]])</f>
        <v>5.9945504087193457E-2</v>
      </c>
      <c r="AI1252" s="6">
        <f>IF(SalesData[[#This Row],[Contracts Signed]]=0,0,SalesData[[#This Row],[Profit(€)]]/SalesData[[#This Row],[Contracts Signed]])</f>
        <v>2193</v>
      </c>
      <c r="AJ1252" s="5" t="str">
        <f>TRIM(CLEAN(SalesData[[#This Row],[Retailer]]))</f>
        <v>Rhein Auto Group</v>
      </c>
    </row>
    <row r="1253" spans="1:36" ht="14.25" x14ac:dyDescent="0.2">
      <c r="A1253" t="s">
        <v>2068</v>
      </c>
      <c r="B1253" s="1">
        <v>46067</v>
      </c>
      <c r="C1253" t="s">
        <v>121</v>
      </c>
      <c r="D1253" t="s">
        <v>151</v>
      </c>
      <c r="E1253" t="s">
        <v>42</v>
      </c>
      <c r="F1253" t="s">
        <v>27</v>
      </c>
      <c r="G1253" t="s">
        <v>28</v>
      </c>
      <c r="H1253" t="s">
        <v>29</v>
      </c>
      <c r="I1253" t="s">
        <v>30</v>
      </c>
      <c r="J1253" t="s">
        <v>7075</v>
      </c>
      <c r="K1253" t="s">
        <v>91</v>
      </c>
      <c r="L1253" t="s">
        <v>33</v>
      </c>
      <c r="M1253" t="s">
        <v>34</v>
      </c>
      <c r="N1253" t="s">
        <v>48</v>
      </c>
      <c r="O1253" t="s">
        <v>36</v>
      </c>
      <c r="P1253" t="s">
        <v>58</v>
      </c>
      <c r="Q1253" t="s">
        <v>59</v>
      </c>
      <c r="R1253">
        <v>214</v>
      </c>
      <c r="S1253">
        <v>104</v>
      </c>
      <c r="T1253">
        <v>75</v>
      </c>
      <c r="U1253">
        <v>33</v>
      </c>
      <c r="V1253" t="s">
        <v>7401</v>
      </c>
      <c r="W1253">
        <v>57133</v>
      </c>
      <c r="X1253" t="s">
        <v>7402</v>
      </c>
      <c r="Y1253">
        <v>40099</v>
      </c>
      <c r="Z1253">
        <v>1885389</v>
      </c>
      <c r="AA1253">
        <v>562122</v>
      </c>
      <c r="AB1253" t="str">
        <f>(VLOOKUP(SalesData[[#This Row],[Month Number]],Reference!C$5:E$16,2,FALSE))</f>
        <v>Feb</v>
      </c>
      <c r="AC1253">
        <f>MONTH(SalesData[[#This Row],[Date]])</f>
        <v>2</v>
      </c>
      <c r="AD1253">
        <f>Reference!F$4</f>
        <v>2026</v>
      </c>
      <c r="AE1253" t="str">
        <f>IF(OR(SalesData[[#This Row],[Day]]="Saturday",SalesData[[#This Row],[Day]]="Sunday"),"Weekend","Weekday")</f>
        <v>Weekend</v>
      </c>
      <c r="AF1253" s="5">
        <f>IF(SalesData[[#This Row],[Contracts Offered]]=0,0,SalesData[[#This Row],[Contracts Signed]]/SalesData[[#This Row],[Contracts Offered]])</f>
        <v>0.44</v>
      </c>
      <c r="AG1253" s="5">
        <f>IF(SalesData[[#This Row],[Customers Visited]]=0,0,SalesData[[#This Row],[Test Drives]]/SalesData[[#This Row],[Customers Visited]])</f>
        <v>0.48598130841121495</v>
      </c>
      <c r="AH1253" s="5">
        <f>IF(SalesData[[#This Row],[Customers Visited]]=0,0,SalesData[[#This Row],[Contracts Signed]]/SalesData[[#This Row],[Customers Visited]])</f>
        <v>0.1542056074766355</v>
      </c>
      <c r="AI1253" s="6">
        <f>IF(SalesData[[#This Row],[Contracts Signed]]=0,0,SalesData[[#This Row],[Profit(€)]]/SalesData[[#This Row],[Contracts Signed]])</f>
        <v>17034</v>
      </c>
      <c r="AJ1253" s="5" t="str">
        <f>TRIM(CLEAN(SalesData[[#This Row],[Retailer]]))</f>
        <v>Main Auto Hub</v>
      </c>
    </row>
    <row r="1254" spans="1:36" ht="14.25" hidden="1" x14ac:dyDescent="0.2">
      <c r="A1254" t="s">
        <v>2069</v>
      </c>
      <c r="B1254" s="1">
        <v>46057</v>
      </c>
      <c r="C1254" t="s">
        <v>24</v>
      </c>
      <c r="D1254" t="s">
        <v>82</v>
      </c>
      <c r="E1254" t="s">
        <v>26</v>
      </c>
      <c r="F1254" t="s">
        <v>7649</v>
      </c>
      <c r="G1254" t="s">
        <v>55</v>
      </c>
      <c r="H1254" t="s">
        <v>55</v>
      </c>
      <c r="I1254" t="s">
        <v>56</v>
      </c>
      <c r="J1254" t="s">
        <v>97</v>
      </c>
      <c r="K1254" t="s">
        <v>78</v>
      </c>
      <c r="L1254" t="s">
        <v>33</v>
      </c>
      <c r="M1254" t="s">
        <v>87</v>
      </c>
      <c r="N1254" t="s">
        <v>35</v>
      </c>
      <c r="O1254" t="s">
        <v>70</v>
      </c>
      <c r="P1254" t="s">
        <v>71</v>
      </c>
      <c r="Q1254" t="s">
        <v>118</v>
      </c>
      <c r="R1254">
        <v>250</v>
      </c>
      <c r="S1254">
        <v>130</v>
      </c>
      <c r="T1254">
        <v>91</v>
      </c>
      <c r="U1254">
        <v>33</v>
      </c>
      <c r="V1254" t="s">
        <v>6967</v>
      </c>
      <c r="W1254">
        <v>49243</v>
      </c>
      <c r="X1254" t="s">
        <v>2997</v>
      </c>
      <c r="Y1254">
        <v>37471</v>
      </c>
      <c r="Z1254">
        <v>1625019</v>
      </c>
      <c r="AA1254">
        <v>388476</v>
      </c>
      <c r="AB1254" t="str">
        <f>(VLOOKUP(SalesData[[#This Row],[Month Number]],Reference!C$5:E$16,2,FALSE))</f>
        <v>Feb</v>
      </c>
      <c r="AC1254">
        <f>MONTH(SalesData[[#This Row],[Date]])</f>
        <v>2</v>
      </c>
      <c r="AD1254">
        <f>Reference!F$4</f>
        <v>2026</v>
      </c>
      <c r="AE1254" t="str">
        <f>IF(OR(SalesData[[#This Row],[Day]]="Saturday",SalesData[[#This Row],[Day]]="Sunday"),"Weekend","Weekday")</f>
        <v>Weekday</v>
      </c>
      <c r="AF1254" s="5">
        <f>IF(SalesData[[#This Row],[Contracts Offered]]=0,0,SalesData[[#This Row],[Contracts Signed]]/SalesData[[#This Row],[Contracts Offered]])</f>
        <v>0.36263736263736263</v>
      </c>
      <c r="AG1254" s="5">
        <f>IF(SalesData[[#This Row],[Customers Visited]]=0,0,SalesData[[#This Row],[Test Drives]]/SalesData[[#This Row],[Customers Visited]])</f>
        <v>0.52</v>
      </c>
      <c r="AH1254" s="5">
        <f>IF(SalesData[[#This Row],[Customers Visited]]=0,0,SalesData[[#This Row],[Contracts Signed]]/SalesData[[#This Row],[Customers Visited]])</f>
        <v>0.13200000000000001</v>
      </c>
      <c r="AI1254" s="6">
        <f>IF(SalesData[[#This Row],[Contracts Signed]]=0,0,SalesData[[#This Row],[Profit(€)]]/SalesData[[#This Row],[Contracts Signed]])</f>
        <v>11772</v>
      </c>
      <c r="AJ1254" s="5" t="str">
        <f>TRIM(CLEAN(SalesData[[#This Row],[Retailer]]))</f>
        <v>Autohaus Berlin</v>
      </c>
    </row>
    <row r="1255" spans="1:36" ht="14.25" hidden="1" x14ac:dyDescent="0.2">
      <c r="A1255" t="s">
        <v>2071</v>
      </c>
      <c r="B1255" s="1">
        <v>46064</v>
      </c>
      <c r="C1255" t="s">
        <v>121</v>
      </c>
      <c r="D1255" t="s">
        <v>82</v>
      </c>
      <c r="E1255" t="s">
        <v>26</v>
      </c>
      <c r="F1255" t="s">
        <v>94</v>
      </c>
      <c r="G1255" t="s">
        <v>95</v>
      </c>
      <c r="H1255" t="s">
        <v>96</v>
      </c>
      <c r="I1255" t="s">
        <v>56</v>
      </c>
      <c r="J1255" t="s">
        <v>57</v>
      </c>
      <c r="K1255" t="s">
        <v>32</v>
      </c>
      <c r="L1255" t="s">
        <v>46</v>
      </c>
      <c r="M1255" t="s">
        <v>68</v>
      </c>
      <c r="N1255" t="s">
        <v>69</v>
      </c>
      <c r="O1255" t="s">
        <v>70</v>
      </c>
      <c r="P1255" t="s">
        <v>71</v>
      </c>
      <c r="Q1255" t="s">
        <v>79</v>
      </c>
      <c r="R1255">
        <v>251</v>
      </c>
      <c r="S1255">
        <v>158</v>
      </c>
      <c r="T1255">
        <v>112</v>
      </c>
      <c r="U1255">
        <v>42</v>
      </c>
      <c r="V1255" t="s">
        <v>6770</v>
      </c>
      <c r="W1255">
        <v>46109</v>
      </c>
      <c r="X1255" t="s">
        <v>7152</v>
      </c>
      <c r="Y1255">
        <v>34763</v>
      </c>
      <c r="Z1255">
        <v>1936578</v>
      </c>
      <c r="AA1255">
        <v>476532</v>
      </c>
      <c r="AB1255" t="str">
        <f>(VLOOKUP(SalesData[[#This Row],[Month Number]],Reference!C$5:E$16,2,FALSE))</f>
        <v>Feb</v>
      </c>
      <c r="AC1255">
        <f>MONTH(SalesData[[#This Row],[Date]])</f>
        <v>2</v>
      </c>
      <c r="AD1255">
        <f>Reference!F$4</f>
        <v>2026</v>
      </c>
      <c r="AE1255" t="str">
        <f>IF(OR(SalesData[[#This Row],[Day]]="Saturday",SalesData[[#This Row],[Day]]="Sunday"),"Weekend","Weekday")</f>
        <v>Weekday</v>
      </c>
      <c r="AF1255" s="5">
        <f>IF(SalesData[[#This Row],[Contracts Offered]]=0,0,SalesData[[#This Row],[Contracts Signed]]/SalesData[[#This Row],[Contracts Offered]])</f>
        <v>0.375</v>
      </c>
      <c r="AG1255" s="5">
        <f>IF(SalesData[[#This Row],[Customers Visited]]=0,0,SalesData[[#This Row],[Test Drives]]/SalesData[[#This Row],[Customers Visited]])</f>
        <v>0.62948207171314741</v>
      </c>
      <c r="AH1255" s="5">
        <f>IF(SalesData[[#This Row],[Customers Visited]]=0,0,SalesData[[#This Row],[Contracts Signed]]/SalesData[[#This Row],[Customers Visited]])</f>
        <v>0.16733067729083664</v>
      </c>
      <c r="AI1255" s="6">
        <f>IF(SalesData[[#This Row],[Contracts Signed]]=0,0,SalesData[[#This Row],[Profit(€)]]/SalesData[[#This Row],[Contracts Signed]])</f>
        <v>11346</v>
      </c>
      <c r="AJ1255" s="5" t="str">
        <f>TRIM(CLEAN(SalesData[[#This Row],[Retailer]]))</f>
        <v>Bavaria Motors</v>
      </c>
    </row>
    <row r="1256" spans="1:36" ht="14.25" hidden="1" x14ac:dyDescent="0.2">
      <c r="A1256" t="s">
        <v>2072</v>
      </c>
      <c r="B1256" s="1">
        <v>46076</v>
      </c>
      <c r="C1256" t="s">
        <v>53</v>
      </c>
      <c r="D1256" t="s">
        <v>25</v>
      </c>
      <c r="E1256" t="s">
        <v>26</v>
      </c>
      <c r="F1256" t="s">
        <v>114</v>
      </c>
      <c r="G1256" t="s">
        <v>115</v>
      </c>
      <c r="H1256" t="s">
        <v>115</v>
      </c>
      <c r="I1256" t="s">
        <v>56</v>
      </c>
      <c r="J1256" t="s">
        <v>97</v>
      </c>
      <c r="K1256" t="s">
        <v>91</v>
      </c>
      <c r="L1256" t="s">
        <v>33</v>
      </c>
      <c r="M1256" t="s">
        <v>47</v>
      </c>
      <c r="N1256" t="s">
        <v>69</v>
      </c>
      <c r="O1256" t="s">
        <v>70</v>
      </c>
      <c r="P1256" t="s">
        <v>37</v>
      </c>
      <c r="Q1256" t="s">
        <v>152</v>
      </c>
      <c r="R1256">
        <v>201</v>
      </c>
      <c r="S1256">
        <v>117</v>
      </c>
      <c r="T1256">
        <v>83</v>
      </c>
      <c r="U1256">
        <v>28</v>
      </c>
      <c r="V1256" t="s">
        <v>6535</v>
      </c>
      <c r="W1256">
        <v>42368</v>
      </c>
      <c r="X1256" t="s">
        <v>7246</v>
      </c>
      <c r="Y1256">
        <v>34650</v>
      </c>
      <c r="Z1256">
        <v>1186304</v>
      </c>
      <c r="AA1256">
        <v>216104</v>
      </c>
      <c r="AB1256" t="str">
        <f>(VLOOKUP(SalesData[[#This Row],[Month Number]],Reference!C$5:E$16,2,FALSE))</f>
        <v>Feb</v>
      </c>
      <c r="AC1256">
        <f>MONTH(SalesData[[#This Row],[Date]])</f>
        <v>2</v>
      </c>
      <c r="AD1256">
        <f>Reference!F$4</f>
        <v>2026</v>
      </c>
      <c r="AE1256" t="str">
        <f>IF(OR(SalesData[[#This Row],[Day]]="Saturday",SalesData[[#This Row],[Day]]="Sunday"),"Weekend","Weekday")</f>
        <v>Weekday</v>
      </c>
      <c r="AF1256" s="5">
        <f>IF(SalesData[[#This Row],[Contracts Offered]]=0,0,SalesData[[#This Row],[Contracts Signed]]/SalesData[[#This Row],[Contracts Offered]])</f>
        <v>0.33734939759036142</v>
      </c>
      <c r="AG1256" s="5">
        <f>IF(SalesData[[#This Row],[Customers Visited]]=0,0,SalesData[[#This Row],[Test Drives]]/SalesData[[#This Row],[Customers Visited]])</f>
        <v>0.58208955223880599</v>
      </c>
      <c r="AH1256" s="5">
        <f>IF(SalesData[[#This Row],[Customers Visited]]=0,0,SalesData[[#This Row],[Contracts Signed]]/SalesData[[#This Row],[Customers Visited]])</f>
        <v>0.13930348258706468</v>
      </c>
      <c r="AI1256" s="6">
        <f>IF(SalesData[[#This Row],[Contracts Signed]]=0,0,SalesData[[#This Row],[Profit(€)]]/SalesData[[#This Row],[Contracts Signed]])</f>
        <v>7718</v>
      </c>
      <c r="AJ1256" s="5" t="str">
        <f>TRIM(CLEAN(SalesData[[#This Row],[Retailer]]))</f>
        <v>Elbe Drive</v>
      </c>
    </row>
    <row r="1257" spans="1:36" ht="14.25" hidden="1" x14ac:dyDescent="0.2">
      <c r="A1257" t="s">
        <v>2073</v>
      </c>
      <c r="B1257" s="1">
        <v>46073</v>
      </c>
      <c r="C1257" t="s">
        <v>62</v>
      </c>
      <c r="D1257" t="s">
        <v>54</v>
      </c>
      <c r="E1257" t="s">
        <v>26</v>
      </c>
      <c r="F1257" t="s">
        <v>101</v>
      </c>
      <c r="G1257" t="s">
        <v>102</v>
      </c>
      <c r="H1257" t="s">
        <v>103</v>
      </c>
      <c r="I1257" t="s">
        <v>104</v>
      </c>
      <c r="J1257" t="s">
        <v>140</v>
      </c>
      <c r="K1257" t="s">
        <v>66</v>
      </c>
      <c r="L1257" t="s">
        <v>46</v>
      </c>
      <c r="M1257" t="s">
        <v>87</v>
      </c>
      <c r="N1257" t="s">
        <v>48</v>
      </c>
      <c r="O1257" t="s">
        <v>36</v>
      </c>
      <c r="P1257" t="s">
        <v>37</v>
      </c>
      <c r="Q1257" t="s">
        <v>172</v>
      </c>
      <c r="R1257">
        <v>399</v>
      </c>
      <c r="S1257">
        <v>197</v>
      </c>
      <c r="T1257">
        <v>118</v>
      </c>
      <c r="U1257">
        <v>27</v>
      </c>
      <c r="V1257" t="s">
        <v>636</v>
      </c>
      <c r="W1257">
        <v>30333</v>
      </c>
      <c r="X1257" t="s">
        <v>1184</v>
      </c>
      <c r="Y1257">
        <v>26092</v>
      </c>
      <c r="Z1257">
        <v>818991</v>
      </c>
      <c r="AA1257">
        <v>114507</v>
      </c>
      <c r="AB1257" t="str">
        <f>(VLOOKUP(SalesData[[#This Row],[Month Number]],Reference!C$5:E$16,2,FALSE))</f>
        <v>Feb</v>
      </c>
      <c r="AC1257">
        <f>MONTH(SalesData[[#This Row],[Date]])</f>
        <v>2</v>
      </c>
      <c r="AD1257">
        <f>Reference!F$4</f>
        <v>2026</v>
      </c>
      <c r="AE1257" t="str">
        <f>IF(OR(SalesData[[#This Row],[Day]]="Saturday",SalesData[[#This Row],[Day]]="Sunday"),"Weekend","Weekday")</f>
        <v>Weekday</v>
      </c>
      <c r="AF1257" s="5">
        <f>IF(SalesData[[#This Row],[Contracts Offered]]=0,0,SalesData[[#This Row],[Contracts Signed]]/SalesData[[#This Row],[Contracts Offered]])</f>
        <v>0.2288135593220339</v>
      </c>
      <c r="AG1257" s="5">
        <f>IF(SalesData[[#This Row],[Customers Visited]]=0,0,SalesData[[#This Row],[Test Drives]]/SalesData[[#This Row],[Customers Visited]])</f>
        <v>0.49373433583959897</v>
      </c>
      <c r="AH1257" s="5">
        <f>IF(SalesData[[#This Row],[Customers Visited]]=0,0,SalesData[[#This Row],[Contracts Signed]]/SalesData[[#This Row],[Customers Visited]])</f>
        <v>6.7669172932330823E-2</v>
      </c>
      <c r="AI1257" s="6">
        <f>IF(SalesData[[#This Row],[Contracts Signed]]=0,0,SalesData[[#This Row],[Profit(€)]]/SalesData[[#This Row],[Contracts Signed]])</f>
        <v>4241</v>
      </c>
      <c r="AJ1257" s="5" t="str">
        <f>TRIM(CLEAN(SalesData[[#This Row],[Retailer]]))</f>
        <v>Ruhr Auto Plaza</v>
      </c>
    </row>
    <row r="1258" spans="1:36" ht="14.25" hidden="1" x14ac:dyDescent="0.2">
      <c r="A1258" t="s">
        <v>2074</v>
      </c>
      <c r="B1258" s="1">
        <v>46061</v>
      </c>
      <c r="C1258" t="s">
        <v>121</v>
      </c>
      <c r="D1258" t="s">
        <v>41</v>
      </c>
      <c r="E1258" t="s">
        <v>42</v>
      </c>
      <c r="F1258" t="s">
        <v>127</v>
      </c>
      <c r="G1258" t="s">
        <v>128</v>
      </c>
      <c r="H1258" t="s">
        <v>103</v>
      </c>
      <c r="I1258" t="s">
        <v>64</v>
      </c>
      <c r="J1258" t="s">
        <v>77</v>
      </c>
      <c r="K1258" t="s">
        <v>91</v>
      </c>
      <c r="L1258" t="s">
        <v>46</v>
      </c>
      <c r="M1258" t="s">
        <v>47</v>
      </c>
      <c r="N1258" t="s">
        <v>48</v>
      </c>
      <c r="O1258" t="s">
        <v>70</v>
      </c>
      <c r="P1258" t="s">
        <v>58</v>
      </c>
      <c r="Q1258" t="s">
        <v>240</v>
      </c>
      <c r="R1258">
        <v>220</v>
      </c>
      <c r="S1258">
        <v>129</v>
      </c>
      <c r="T1258">
        <v>97</v>
      </c>
      <c r="U1258">
        <v>33</v>
      </c>
      <c r="V1258" t="s">
        <v>6469</v>
      </c>
      <c r="W1258">
        <v>51329</v>
      </c>
      <c r="X1258" t="s">
        <v>7230</v>
      </c>
      <c r="Y1258">
        <v>37260</v>
      </c>
      <c r="Z1258">
        <v>1693857</v>
      </c>
      <c r="AA1258">
        <v>464277</v>
      </c>
      <c r="AB1258" t="str">
        <f>(VLOOKUP(SalesData[[#This Row],[Month Number]],Reference!C$5:E$16,2,FALSE))</f>
        <v>Feb</v>
      </c>
      <c r="AC1258">
        <f>MONTH(SalesData[[#This Row],[Date]])</f>
        <v>2</v>
      </c>
      <c r="AD1258">
        <f>Reference!F$4</f>
        <v>2026</v>
      </c>
      <c r="AE1258" t="str">
        <f>IF(OR(SalesData[[#This Row],[Day]]="Saturday",SalesData[[#This Row],[Day]]="Sunday"),"Weekend","Weekday")</f>
        <v>Weekend</v>
      </c>
      <c r="AF1258" s="5">
        <f>IF(SalesData[[#This Row],[Contracts Offered]]=0,0,SalesData[[#This Row],[Contracts Signed]]/SalesData[[#This Row],[Contracts Offered]])</f>
        <v>0.34020618556701032</v>
      </c>
      <c r="AG1258" s="5">
        <f>IF(SalesData[[#This Row],[Customers Visited]]=0,0,SalesData[[#This Row],[Test Drives]]/SalesData[[#This Row],[Customers Visited]])</f>
        <v>0.58636363636363631</v>
      </c>
      <c r="AH1258" s="5">
        <f>IF(SalesData[[#This Row],[Customers Visited]]=0,0,SalesData[[#This Row],[Contracts Signed]]/SalesData[[#This Row],[Customers Visited]])</f>
        <v>0.15</v>
      </c>
      <c r="AI1258" s="6">
        <f>IF(SalesData[[#This Row],[Contracts Signed]]=0,0,SalesData[[#This Row],[Profit(€)]]/SalesData[[#This Row],[Contracts Signed]])</f>
        <v>14069</v>
      </c>
      <c r="AJ1258" s="5" t="str">
        <f>TRIM(CLEAN(SalesData[[#This Row],[Retailer]]))</f>
        <v>Rhein Auto Group</v>
      </c>
    </row>
    <row r="1259" spans="1:36" ht="14.25" x14ac:dyDescent="0.2">
      <c r="A1259" t="s">
        <v>2076</v>
      </c>
      <c r="B1259" s="1">
        <v>46054</v>
      </c>
      <c r="C1259" t="s">
        <v>24</v>
      </c>
      <c r="D1259" t="s">
        <v>41</v>
      </c>
      <c r="E1259" t="s">
        <v>42</v>
      </c>
      <c r="F1259" t="s">
        <v>94</v>
      </c>
      <c r="G1259" t="s">
        <v>95</v>
      </c>
      <c r="H1259" t="s">
        <v>96</v>
      </c>
      <c r="I1259" t="s">
        <v>30</v>
      </c>
      <c r="J1259" t="s">
        <v>166</v>
      </c>
      <c r="K1259" t="s">
        <v>66</v>
      </c>
      <c r="L1259" t="s">
        <v>46</v>
      </c>
      <c r="M1259" t="s">
        <v>34</v>
      </c>
      <c r="N1259" t="s">
        <v>69</v>
      </c>
      <c r="O1259" t="s">
        <v>36</v>
      </c>
      <c r="P1259" t="s">
        <v>71</v>
      </c>
      <c r="Q1259" t="s">
        <v>88</v>
      </c>
      <c r="R1259">
        <v>157</v>
      </c>
      <c r="S1259">
        <v>79</v>
      </c>
      <c r="T1259">
        <v>54</v>
      </c>
      <c r="U1259">
        <v>24</v>
      </c>
      <c r="V1259" t="s">
        <v>7403</v>
      </c>
      <c r="W1259">
        <v>53155</v>
      </c>
      <c r="X1259" t="s">
        <v>4802</v>
      </c>
      <c r="Y1259">
        <v>41279</v>
      </c>
      <c r="Z1259">
        <v>1275720</v>
      </c>
      <c r="AA1259">
        <v>285024</v>
      </c>
      <c r="AB1259" t="str">
        <f>(VLOOKUP(SalesData[[#This Row],[Month Number]],Reference!C$5:E$16,2,FALSE))</f>
        <v>Feb</v>
      </c>
      <c r="AC1259">
        <f>MONTH(SalesData[[#This Row],[Date]])</f>
        <v>2</v>
      </c>
      <c r="AD1259">
        <f>Reference!F$4</f>
        <v>2026</v>
      </c>
      <c r="AE1259" t="str">
        <f>IF(OR(SalesData[[#This Row],[Day]]="Saturday",SalesData[[#This Row],[Day]]="Sunday"),"Weekend","Weekday")</f>
        <v>Weekend</v>
      </c>
      <c r="AF1259" s="5">
        <f>IF(SalesData[[#This Row],[Contracts Offered]]=0,0,SalesData[[#This Row],[Contracts Signed]]/SalesData[[#This Row],[Contracts Offered]])</f>
        <v>0.44444444444444442</v>
      </c>
      <c r="AG1259" s="5">
        <f>IF(SalesData[[#This Row],[Customers Visited]]=0,0,SalesData[[#This Row],[Test Drives]]/SalesData[[#This Row],[Customers Visited]])</f>
        <v>0.50318471337579618</v>
      </c>
      <c r="AH1259" s="5">
        <f>IF(SalesData[[#This Row],[Customers Visited]]=0,0,SalesData[[#This Row],[Contracts Signed]]/SalesData[[#This Row],[Customers Visited]])</f>
        <v>0.15286624203821655</v>
      </c>
      <c r="AI1259" s="6">
        <f>IF(SalesData[[#This Row],[Contracts Signed]]=0,0,SalesData[[#This Row],[Profit(€)]]/SalesData[[#This Row],[Contracts Signed]])</f>
        <v>11876</v>
      </c>
      <c r="AJ1259" s="5" t="str">
        <f>TRIM(CLEAN(SalesData[[#This Row],[Retailer]]))</f>
        <v>Bavaria Motors</v>
      </c>
    </row>
    <row r="1260" spans="1:36" ht="14.25" hidden="1" x14ac:dyDescent="0.2">
      <c r="A1260" t="s">
        <v>2077</v>
      </c>
      <c r="B1260" s="1">
        <v>46064</v>
      </c>
      <c r="C1260" t="s">
        <v>121</v>
      </c>
      <c r="D1260" t="s">
        <v>82</v>
      </c>
      <c r="E1260" t="s">
        <v>26</v>
      </c>
      <c r="F1260" t="s">
        <v>127</v>
      </c>
      <c r="G1260" t="s">
        <v>128</v>
      </c>
      <c r="H1260" t="s">
        <v>103</v>
      </c>
      <c r="I1260" t="s">
        <v>64</v>
      </c>
      <c r="J1260" t="s">
        <v>77</v>
      </c>
      <c r="K1260" t="s">
        <v>32</v>
      </c>
      <c r="L1260" t="s">
        <v>46</v>
      </c>
      <c r="M1260" t="s">
        <v>34</v>
      </c>
      <c r="N1260" t="s">
        <v>35</v>
      </c>
      <c r="O1260" t="s">
        <v>36</v>
      </c>
      <c r="P1260" t="s">
        <v>71</v>
      </c>
      <c r="Q1260" t="s">
        <v>106</v>
      </c>
      <c r="R1260">
        <v>205</v>
      </c>
      <c r="S1260">
        <v>112</v>
      </c>
      <c r="T1260">
        <v>85</v>
      </c>
      <c r="U1260">
        <v>28</v>
      </c>
      <c r="V1260" t="s">
        <v>6403</v>
      </c>
      <c r="W1260">
        <v>68097</v>
      </c>
      <c r="X1260" t="s">
        <v>2386</v>
      </c>
      <c r="Y1260">
        <v>49468</v>
      </c>
      <c r="Z1260">
        <v>1906716</v>
      </c>
      <c r="AA1260">
        <v>521612</v>
      </c>
      <c r="AB1260" t="str">
        <f>(VLOOKUP(SalesData[[#This Row],[Month Number]],Reference!C$5:E$16,2,FALSE))</f>
        <v>Feb</v>
      </c>
      <c r="AC1260">
        <f>MONTH(SalesData[[#This Row],[Date]])</f>
        <v>2</v>
      </c>
      <c r="AD1260">
        <f>Reference!F$4</f>
        <v>2026</v>
      </c>
      <c r="AE1260" t="str">
        <f>IF(OR(SalesData[[#This Row],[Day]]="Saturday",SalesData[[#This Row],[Day]]="Sunday"),"Weekend","Weekday")</f>
        <v>Weekday</v>
      </c>
      <c r="AF1260" s="5">
        <f>IF(SalesData[[#This Row],[Contracts Offered]]=0,0,SalesData[[#This Row],[Contracts Signed]]/SalesData[[#This Row],[Contracts Offered]])</f>
        <v>0.32941176470588235</v>
      </c>
      <c r="AG1260" s="5">
        <f>IF(SalesData[[#This Row],[Customers Visited]]=0,0,SalesData[[#This Row],[Test Drives]]/SalesData[[#This Row],[Customers Visited]])</f>
        <v>0.54634146341463419</v>
      </c>
      <c r="AH1260" s="5">
        <f>IF(SalesData[[#This Row],[Customers Visited]]=0,0,SalesData[[#This Row],[Contracts Signed]]/SalesData[[#This Row],[Customers Visited]])</f>
        <v>0.13658536585365855</v>
      </c>
      <c r="AI1260" s="6">
        <f>IF(SalesData[[#This Row],[Contracts Signed]]=0,0,SalesData[[#This Row],[Profit(€)]]/SalesData[[#This Row],[Contracts Signed]])</f>
        <v>18629</v>
      </c>
      <c r="AJ1260" s="5" t="str">
        <f>TRIM(CLEAN(SalesData[[#This Row],[Retailer]]))</f>
        <v>Rhein Auto Group</v>
      </c>
    </row>
    <row r="1261" spans="1:36" ht="14.25" hidden="1" x14ac:dyDescent="0.2">
      <c r="A1261" t="s">
        <v>2078</v>
      </c>
      <c r="B1261" s="1">
        <v>46062</v>
      </c>
      <c r="C1261" t="s">
        <v>121</v>
      </c>
      <c r="D1261" t="s">
        <v>25</v>
      </c>
      <c r="E1261" t="s">
        <v>26</v>
      </c>
      <c r="F1261" t="s">
        <v>114</v>
      </c>
      <c r="G1261" t="s">
        <v>115</v>
      </c>
      <c r="H1261" t="s">
        <v>115</v>
      </c>
      <c r="I1261" t="s">
        <v>116</v>
      </c>
      <c r="J1261" t="s">
        <v>7026</v>
      </c>
      <c r="K1261" t="s">
        <v>78</v>
      </c>
      <c r="L1261" t="s">
        <v>46</v>
      </c>
      <c r="M1261" t="s">
        <v>47</v>
      </c>
      <c r="N1261" t="s">
        <v>69</v>
      </c>
      <c r="O1261" t="s">
        <v>36</v>
      </c>
      <c r="P1261" t="s">
        <v>49</v>
      </c>
      <c r="Q1261" t="s">
        <v>129</v>
      </c>
      <c r="R1261">
        <v>243</v>
      </c>
      <c r="S1261">
        <v>106</v>
      </c>
      <c r="T1261">
        <v>62</v>
      </c>
      <c r="U1261">
        <v>14</v>
      </c>
      <c r="V1261" t="s">
        <v>822</v>
      </c>
      <c r="W1261">
        <v>21534</v>
      </c>
      <c r="X1261" t="s">
        <v>1418</v>
      </c>
      <c r="Y1261">
        <v>19842</v>
      </c>
      <c r="Z1261">
        <v>301476</v>
      </c>
      <c r="AA1261">
        <v>23688</v>
      </c>
      <c r="AB1261" t="str">
        <f>(VLOOKUP(SalesData[[#This Row],[Month Number]],Reference!C$5:E$16,2,FALSE))</f>
        <v>Feb</v>
      </c>
      <c r="AC1261">
        <f>MONTH(SalesData[[#This Row],[Date]])</f>
        <v>2</v>
      </c>
      <c r="AD1261">
        <f>Reference!F$4</f>
        <v>2026</v>
      </c>
      <c r="AE1261" t="str">
        <f>IF(OR(SalesData[[#This Row],[Day]]="Saturday",SalesData[[#This Row],[Day]]="Sunday"),"Weekend","Weekday")</f>
        <v>Weekday</v>
      </c>
      <c r="AF1261" s="5">
        <f>IF(SalesData[[#This Row],[Contracts Offered]]=0,0,SalesData[[#This Row],[Contracts Signed]]/SalesData[[#This Row],[Contracts Offered]])</f>
        <v>0.22580645161290322</v>
      </c>
      <c r="AG1261" s="5">
        <f>IF(SalesData[[#This Row],[Customers Visited]]=0,0,SalesData[[#This Row],[Test Drives]]/SalesData[[#This Row],[Customers Visited]])</f>
        <v>0.43621399176954734</v>
      </c>
      <c r="AH1261" s="5">
        <f>IF(SalesData[[#This Row],[Customers Visited]]=0,0,SalesData[[#This Row],[Contracts Signed]]/SalesData[[#This Row],[Customers Visited]])</f>
        <v>5.7613168724279837E-2</v>
      </c>
      <c r="AI1261" s="6">
        <f>IF(SalesData[[#This Row],[Contracts Signed]]=0,0,SalesData[[#This Row],[Profit(€)]]/SalesData[[#This Row],[Contracts Signed]])</f>
        <v>1692</v>
      </c>
      <c r="AJ1261" s="5" t="str">
        <f>TRIM(CLEAN(SalesData[[#This Row],[Retailer]]))</f>
        <v>Elbe Drive</v>
      </c>
    </row>
    <row r="1262" spans="1:36" ht="14.25" hidden="1" x14ac:dyDescent="0.2">
      <c r="A1262" t="s">
        <v>2079</v>
      </c>
      <c r="B1262" s="1">
        <v>46055</v>
      </c>
      <c r="C1262" t="s">
        <v>24</v>
      </c>
      <c r="D1262" t="s">
        <v>25</v>
      </c>
      <c r="E1262" t="s">
        <v>26</v>
      </c>
      <c r="F1262" t="s">
        <v>74</v>
      </c>
      <c r="G1262" t="s">
        <v>75</v>
      </c>
      <c r="H1262" t="s">
        <v>76</v>
      </c>
      <c r="I1262" t="s">
        <v>64</v>
      </c>
      <c r="J1262" t="s">
        <v>7029</v>
      </c>
      <c r="K1262" t="s">
        <v>66</v>
      </c>
      <c r="L1262" t="s">
        <v>33</v>
      </c>
      <c r="M1262" t="s">
        <v>34</v>
      </c>
      <c r="N1262" t="s">
        <v>35</v>
      </c>
      <c r="O1262" t="s">
        <v>36</v>
      </c>
      <c r="P1262" t="s">
        <v>71</v>
      </c>
      <c r="Q1262" t="s">
        <v>38</v>
      </c>
      <c r="R1262">
        <v>202</v>
      </c>
      <c r="S1262">
        <v>106</v>
      </c>
      <c r="T1262">
        <v>83</v>
      </c>
      <c r="U1262">
        <v>26</v>
      </c>
      <c r="V1262" t="s">
        <v>6620</v>
      </c>
      <c r="W1262">
        <v>54286</v>
      </c>
      <c r="X1262" t="s">
        <v>7133</v>
      </c>
      <c r="Y1262">
        <v>41754</v>
      </c>
      <c r="Z1262">
        <v>1411436</v>
      </c>
      <c r="AA1262">
        <v>325832</v>
      </c>
      <c r="AB1262" t="str">
        <f>(VLOOKUP(SalesData[[#This Row],[Month Number]],Reference!C$5:E$16,2,FALSE))</f>
        <v>Feb</v>
      </c>
      <c r="AC1262">
        <f>MONTH(SalesData[[#This Row],[Date]])</f>
        <v>2</v>
      </c>
      <c r="AD1262">
        <f>Reference!F$4</f>
        <v>2026</v>
      </c>
      <c r="AE1262" t="str">
        <f>IF(OR(SalesData[[#This Row],[Day]]="Saturday",SalesData[[#This Row],[Day]]="Sunday"),"Weekend","Weekday")</f>
        <v>Weekday</v>
      </c>
      <c r="AF1262" s="5">
        <f>IF(SalesData[[#This Row],[Contracts Offered]]=0,0,SalesData[[#This Row],[Contracts Signed]]/SalesData[[#This Row],[Contracts Offered]])</f>
        <v>0.31325301204819278</v>
      </c>
      <c r="AG1262" s="5">
        <f>IF(SalesData[[#This Row],[Customers Visited]]=0,0,SalesData[[#This Row],[Test Drives]]/SalesData[[#This Row],[Customers Visited]])</f>
        <v>0.52475247524752477</v>
      </c>
      <c r="AH1262" s="5">
        <f>IF(SalesData[[#This Row],[Customers Visited]]=0,0,SalesData[[#This Row],[Contracts Signed]]/SalesData[[#This Row],[Customers Visited]])</f>
        <v>0.12871287128712872</v>
      </c>
      <c r="AI1262" s="6">
        <f>IF(SalesData[[#This Row],[Contracts Signed]]=0,0,SalesData[[#This Row],[Profit(€)]]/SalesData[[#This Row],[Contracts Signed]])</f>
        <v>12532</v>
      </c>
      <c r="AJ1262" s="5" t="str">
        <f>TRIM(CLEAN(SalesData[[#This Row],[Retailer]]))</f>
        <v>Stuttgart Auto Center</v>
      </c>
    </row>
    <row r="1263" spans="1:36" ht="14.25" hidden="1" x14ac:dyDescent="0.2">
      <c r="A1263" t="s">
        <v>2080</v>
      </c>
      <c r="B1263" s="1">
        <v>46058</v>
      </c>
      <c r="C1263" t="s">
        <v>24</v>
      </c>
      <c r="D1263" t="s">
        <v>100</v>
      </c>
      <c r="E1263" t="s">
        <v>26</v>
      </c>
      <c r="F1263" t="s">
        <v>127</v>
      </c>
      <c r="G1263" t="s">
        <v>128</v>
      </c>
      <c r="H1263" t="s">
        <v>103</v>
      </c>
      <c r="I1263" t="s">
        <v>56</v>
      </c>
      <c r="J1263" t="s">
        <v>179</v>
      </c>
      <c r="K1263" t="s">
        <v>66</v>
      </c>
      <c r="L1263" t="s">
        <v>67</v>
      </c>
      <c r="M1263" t="s">
        <v>87</v>
      </c>
      <c r="N1263" t="s">
        <v>48</v>
      </c>
      <c r="O1263" t="s">
        <v>36</v>
      </c>
      <c r="P1263" t="s">
        <v>37</v>
      </c>
      <c r="Q1263" t="s">
        <v>167</v>
      </c>
      <c r="R1263">
        <v>183</v>
      </c>
      <c r="S1263">
        <v>84</v>
      </c>
      <c r="T1263">
        <v>55</v>
      </c>
      <c r="U1263">
        <v>17</v>
      </c>
      <c r="V1263" t="s">
        <v>6909</v>
      </c>
      <c r="W1263">
        <v>48836</v>
      </c>
      <c r="X1263" t="s">
        <v>7402</v>
      </c>
      <c r="Y1263">
        <v>38085</v>
      </c>
      <c r="Z1263">
        <v>830212</v>
      </c>
      <c r="AA1263">
        <v>182767</v>
      </c>
      <c r="AB1263" t="str">
        <f>(VLOOKUP(SalesData[[#This Row],[Month Number]],Reference!C$5:E$16,2,FALSE))</f>
        <v>Feb</v>
      </c>
      <c r="AC1263">
        <f>MONTH(SalesData[[#This Row],[Date]])</f>
        <v>2</v>
      </c>
      <c r="AD1263">
        <f>Reference!F$4</f>
        <v>2026</v>
      </c>
      <c r="AE1263" t="str">
        <f>IF(OR(SalesData[[#This Row],[Day]]="Saturday",SalesData[[#This Row],[Day]]="Sunday"),"Weekend","Weekday")</f>
        <v>Weekday</v>
      </c>
      <c r="AF1263" s="5">
        <f>IF(SalesData[[#This Row],[Contracts Offered]]=0,0,SalesData[[#This Row],[Contracts Signed]]/SalesData[[#This Row],[Contracts Offered]])</f>
        <v>0.30909090909090908</v>
      </c>
      <c r="AG1263" s="5">
        <f>IF(SalesData[[#This Row],[Customers Visited]]=0,0,SalesData[[#This Row],[Test Drives]]/SalesData[[#This Row],[Customers Visited]])</f>
        <v>0.45901639344262296</v>
      </c>
      <c r="AH1263" s="5">
        <f>IF(SalesData[[#This Row],[Customers Visited]]=0,0,SalesData[[#This Row],[Contracts Signed]]/SalesData[[#This Row],[Customers Visited]])</f>
        <v>9.2896174863387984E-2</v>
      </c>
      <c r="AI1263" s="6">
        <f>IF(SalesData[[#This Row],[Contracts Signed]]=0,0,SalesData[[#This Row],[Profit(€)]]/SalesData[[#This Row],[Contracts Signed]])</f>
        <v>10751</v>
      </c>
      <c r="AJ1263" s="5" t="str">
        <f>TRIM(CLEAN(SalesData[[#This Row],[Retailer]]))</f>
        <v>Rhein Auto Group</v>
      </c>
    </row>
    <row r="1264" spans="1:36" ht="14.25" x14ac:dyDescent="0.2">
      <c r="A1264" t="s">
        <v>2082</v>
      </c>
      <c r="B1264" s="1">
        <v>46071</v>
      </c>
      <c r="C1264" t="s">
        <v>62</v>
      </c>
      <c r="D1264" t="s">
        <v>82</v>
      </c>
      <c r="E1264" t="s">
        <v>26</v>
      </c>
      <c r="F1264" t="s">
        <v>109</v>
      </c>
      <c r="G1264" t="s">
        <v>110</v>
      </c>
      <c r="H1264" t="s">
        <v>45</v>
      </c>
      <c r="I1264" t="s">
        <v>30</v>
      </c>
      <c r="J1264" t="s">
        <v>31</v>
      </c>
      <c r="K1264" t="s">
        <v>32</v>
      </c>
      <c r="L1264" t="s">
        <v>46</v>
      </c>
      <c r="M1264" t="s">
        <v>47</v>
      </c>
      <c r="N1264" t="s">
        <v>69</v>
      </c>
      <c r="O1264" t="s">
        <v>70</v>
      </c>
      <c r="P1264" t="s">
        <v>49</v>
      </c>
      <c r="Q1264" t="s">
        <v>135</v>
      </c>
      <c r="R1264">
        <v>169</v>
      </c>
      <c r="S1264">
        <v>87</v>
      </c>
      <c r="T1264">
        <v>65</v>
      </c>
      <c r="U1264">
        <v>22</v>
      </c>
      <c r="V1264" t="s">
        <v>6739</v>
      </c>
      <c r="W1264">
        <v>68043</v>
      </c>
      <c r="X1264" t="s">
        <v>7404</v>
      </c>
      <c r="Y1264">
        <v>47975</v>
      </c>
      <c r="Z1264">
        <v>1496946</v>
      </c>
      <c r="AA1264">
        <v>441496</v>
      </c>
      <c r="AB1264" t="str">
        <f>(VLOOKUP(SalesData[[#This Row],[Month Number]],Reference!C$5:E$16,2,FALSE))</f>
        <v>Feb</v>
      </c>
      <c r="AC1264">
        <f>MONTH(SalesData[[#This Row],[Date]])</f>
        <v>2</v>
      </c>
      <c r="AD1264">
        <f>Reference!F$4</f>
        <v>2026</v>
      </c>
      <c r="AE1264" t="str">
        <f>IF(OR(SalesData[[#This Row],[Day]]="Saturday",SalesData[[#This Row],[Day]]="Sunday"),"Weekend","Weekday")</f>
        <v>Weekday</v>
      </c>
      <c r="AF1264" s="5">
        <f>IF(SalesData[[#This Row],[Contracts Offered]]=0,0,SalesData[[#This Row],[Contracts Signed]]/SalesData[[#This Row],[Contracts Offered]])</f>
        <v>0.33846153846153848</v>
      </c>
      <c r="AG1264" s="5">
        <f>IF(SalesData[[#This Row],[Customers Visited]]=0,0,SalesData[[#This Row],[Test Drives]]/SalesData[[#This Row],[Customers Visited]])</f>
        <v>0.51479289940828399</v>
      </c>
      <c r="AH1264" s="5">
        <f>IF(SalesData[[#This Row],[Customers Visited]]=0,0,SalesData[[#This Row],[Contracts Signed]]/SalesData[[#This Row],[Customers Visited]])</f>
        <v>0.13017751479289941</v>
      </c>
      <c r="AI1264" s="6">
        <f>IF(SalesData[[#This Row],[Contracts Signed]]=0,0,SalesData[[#This Row],[Profit(€)]]/SalesData[[#This Row],[Contracts Signed]])</f>
        <v>20068</v>
      </c>
      <c r="AJ1264" s="5" t="str">
        <f>TRIM(CLEAN(SalesData[[#This Row],[Retailer]]))</f>
        <v>Leipzig Mobility</v>
      </c>
    </row>
    <row r="1265" spans="1:36" ht="14.25" hidden="1" x14ac:dyDescent="0.2">
      <c r="A1265" t="s">
        <v>2083</v>
      </c>
      <c r="B1265" s="1">
        <v>46058</v>
      </c>
      <c r="C1265" t="s">
        <v>24</v>
      </c>
      <c r="D1265" t="s">
        <v>100</v>
      </c>
      <c r="E1265" t="s">
        <v>26</v>
      </c>
      <c r="F1265" t="s">
        <v>101</v>
      </c>
      <c r="G1265" t="s">
        <v>102</v>
      </c>
      <c r="H1265" t="s">
        <v>103</v>
      </c>
      <c r="I1265" t="s">
        <v>104</v>
      </c>
      <c r="J1265" t="s">
        <v>105</v>
      </c>
      <c r="K1265" t="s">
        <v>78</v>
      </c>
      <c r="L1265" t="s">
        <v>33</v>
      </c>
      <c r="M1265" t="s">
        <v>34</v>
      </c>
      <c r="N1265" t="s">
        <v>48</v>
      </c>
      <c r="O1265" t="s">
        <v>70</v>
      </c>
      <c r="P1265" t="s">
        <v>71</v>
      </c>
      <c r="Q1265" t="s">
        <v>347</v>
      </c>
      <c r="R1265">
        <v>502</v>
      </c>
      <c r="S1265">
        <v>208</v>
      </c>
      <c r="T1265">
        <v>128</v>
      </c>
      <c r="U1265">
        <v>33</v>
      </c>
      <c r="V1265" t="s">
        <v>1723</v>
      </c>
      <c r="W1265">
        <v>30741</v>
      </c>
      <c r="X1265" t="s">
        <v>7405</v>
      </c>
      <c r="Y1265">
        <v>27470</v>
      </c>
      <c r="Z1265">
        <v>1014453</v>
      </c>
      <c r="AA1265">
        <v>107943</v>
      </c>
      <c r="AB1265" t="str">
        <f>(VLOOKUP(SalesData[[#This Row],[Month Number]],Reference!C$5:E$16,2,FALSE))</f>
        <v>Feb</v>
      </c>
      <c r="AC1265">
        <f>MONTH(SalesData[[#This Row],[Date]])</f>
        <v>2</v>
      </c>
      <c r="AD1265">
        <f>Reference!F$4</f>
        <v>2026</v>
      </c>
      <c r="AE1265" t="str">
        <f>IF(OR(SalesData[[#This Row],[Day]]="Saturday",SalesData[[#This Row],[Day]]="Sunday"),"Weekend","Weekday")</f>
        <v>Weekday</v>
      </c>
      <c r="AF1265" s="5">
        <f>IF(SalesData[[#This Row],[Contracts Offered]]=0,0,SalesData[[#This Row],[Contracts Signed]]/SalesData[[#This Row],[Contracts Offered]])</f>
        <v>0.2578125</v>
      </c>
      <c r="AG1265" s="5">
        <f>IF(SalesData[[#This Row],[Customers Visited]]=0,0,SalesData[[#This Row],[Test Drives]]/SalesData[[#This Row],[Customers Visited]])</f>
        <v>0.41434262948207173</v>
      </c>
      <c r="AH1265" s="5">
        <f>IF(SalesData[[#This Row],[Customers Visited]]=0,0,SalesData[[#This Row],[Contracts Signed]]/SalesData[[#This Row],[Customers Visited]])</f>
        <v>6.5737051792828682E-2</v>
      </c>
      <c r="AI1265" s="6">
        <f>IF(SalesData[[#This Row],[Contracts Signed]]=0,0,SalesData[[#This Row],[Profit(€)]]/SalesData[[#This Row],[Contracts Signed]])</f>
        <v>3271</v>
      </c>
      <c r="AJ1265" s="5" t="str">
        <f>TRIM(CLEAN(SalesData[[#This Row],[Retailer]]))</f>
        <v>Ruhr Auto Plaza</v>
      </c>
    </row>
    <row r="1266" spans="1:36" ht="14.25" hidden="1" x14ac:dyDescent="0.2">
      <c r="A1266" t="s">
        <v>2085</v>
      </c>
      <c r="B1266" s="1">
        <v>46076</v>
      </c>
      <c r="C1266" t="s">
        <v>53</v>
      </c>
      <c r="D1266" t="s">
        <v>25</v>
      </c>
      <c r="E1266" t="s">
        <v>26</v>
      </c>
      <c r="F1266" t="s">
        <v>7649</v>
      </c>
      <c r="G1266" t="s">
        <v>55</v>
      </c>
      <c r="H1266" t="s">
        <v>55</v>
      </c>
      <c r="I1266" t="s">
        <v>56</v>
      </c>
      <c r="J1266" t="s">
        <v>179</v>
      </c>
      <c r="K1266" t="s">
        <v>66</v>
      </c>
      <c r="L1266" t="s">
        <v>67</v>
      </c>
      <c r="M1266" t="s">
        <v>34</v>
      </c>
      <c r="N1266" t="s">
        <v>48</v>
      </c>
      <c r="O1266" t="s">
        <v>70</v>
      </c>
      <c r="P1266" t="s">
        <v>49</v>
      </c>
      <c r="Q1266" t="s">
        <v>88</v>
      </c>
      <c r="R1266">
        <v>243</v>
      </c>
      <c r="S1266">
        <v>134</v>
      </c>
      <c r="T1266">
        <v>92</v>
      </c>
      <c r="U1266">
        <v>28</v>
      </c>
      <c r="V1266" t="s">
        <v>6880</v>
      </c>
      <c r="W1266">
        <v>49965</v>
      </c>
      <c r="X1266" t="s">
        <v>7089</v>
      </c>
      <c r="Y1266">
        <v>38721</v>
      </c>
      <c r="Z1266">
        <v>1399020</v>
      </c>
      <c r="AA1266">
        <v>314832</v>
      </c>
      <c r="AB1266" t="str">
        <f>(VLOOKUP(SalesData[[#This Row],[Month Number]],Reference!C$5:E$16,2,FALSE))</f>
        <v>Feb</v>
      </c>
      <c r="AC1266">
        <f>MONTH(SalesData[[#This Row],[Date]])</f>
        <v>2</v>
      </c>
      <c r="AD1266">
        <f>Reference!F$4</f>
        <v>2026</v>
      </c>
      <c r="AE1266" t="str">
        <f>IF(OR(SalesData[[#This Row],[Day]]="Saturday",SalesData[[#This Row],[Day]]="Sunday"),"Weekend","Weekday")</f>
        <v>Weekday</v>
      </c>
      <c r="AF1266" s="5">
        <f>IF(SalesData[[#This Row],[Contracts Offered]]=0,0,SalesData[[#This Row],[Contracts Signed]]/SalesData[[#This Row],[Contracts Offered]])</f>
        <v>0.30434782608695654</v>
      </c>
      <c r="AG1266" s="5">
        <f>IF(SalesData[[#This Row],[Customers Visited]]=0,0,SalesData[[#This Row],[Test Drives]]/SalesData[[#This Row],[Customers Visited]])</f>
        <v>0.55144032921810704</v>
      </c>
      <c r="AH1266" s="5">
        <f>IF(SalesData[[#This Row],[Customers Visited]]=0,0,SalesData[[#This Row],[Contracts Signed]]/SalesData[[#This Row],[Customers Visited]])</f>
        <v>0.11522633744855967</v>
      </c>
      <c r="AI1266" s="6">
        <f>IF(SalesData[[#This Row],[Contracts Signed]]=0,0,SalesData[[#This Row],[Profit(€)]]/SalesData[[#This Row],[Contracts Signed]])</f>
        <v>11244</v>
      </c>
      <c r="AJ1266" s="5" t="str">
        <f>TRIM(CLEAN(SalesData[[#This Row],[Retailer]]))</f>
        <v>Autohaus Berlin</v>
      </c>
    </row>
    <row r="1267" spans="1:36" ht="14.25" x14ac:dyDescent="0.2">
      <c r="A1267" t="s">
        <v>2086</v>
      </c>
      <c r="B1267" s="1">
        <v>46064</v>
      </c>
      <c r="C1267" t="s">
        <v>121</v>
      </c>
      <c r="D1267" t="s">
        <v>82</v>
      </c>
      <c r="E1267" t="s">
        <v>26</v>
      </c>
      <c r="F1267" t="s">
        <v>83</v>
      </c>
      <c r="G1267" t="s">
        <v>84</v>
      </c>
      <c r="H1267" t="s">
        <v>85</v>
      </c>
      <c r="I1267" t="s">
        <v>30</v>
      </c>
      <c r="J1267" t="s">
        <v>166</v>
      </c>
      <c r="K1267" t="s">
        <v>66</v>
      </c>
      <c r="L1267" t="s">
        <v>46</v>
      </c>
      <c r="M1267" t="s">
        <v>68</v>
      </c>
      <c r="N1267" t="s">
        <v>48</v>
      </c>
      <c r="O1267" t="s">
        <v>36</v>
      </c>
      <c r="P1267" t="s">
        <v>58</v>
      </c>
      <c r="Q1267" t="s">
        <v>106</v>
      </c>
      <c r="R1267">
        <v>277</v>
      </c>
      <c r="S1267">
        <v>132</v>
      </c>
      <c r="T1267">
        <v>99</v>
      </c>
      <c r="U1267">
        <v>41</v>
      </c>
      <c r="V1267" t="s">
        <v>7406</v>
      </c>
      <c r="W1267">
        <v>59359</v>
      </c>
      <c r="X1267" t="s">
        <v>7318</v>
      </c>
      <c r="Y1267">
        <v>45860</v>
      </c>
      <c r="Z1267">
        <v>2433719</v>
      </c>
      <c r="AA1267">
        <v>553459</v>
      </c>
      <c r="AB1267" t="str">
        <f>(VLOOKUP(SalesData[[#This Row],[Month Number]],Reference!C$5:E$16,2,FALSE))</f>
        <v>Feb</v>
      </c>
      <c r="AC1267">
        <f>MONTH(SalesData[[#This Row],[Date]])</f>
        <v>2</v>
      </c>
      <c r="AD1267">
        <f>Reference!F$4</f>
        <v>2026</v>
      </c>
      <c r="AE1267" t="str">
        <f>IF(OR(SalesData[[#This Row],[Day]]="Saturday",SalesData[[#This Row],[Day]]="Sunday"),"Weekend","Weekday")</f>
        <v>Weekday</v>
      </c>
      <c r="AF1267" s="5">
        <f>IF(SalesData[[#This Row],[Contracts Offered]]=0,0,SalesData[[#This Row],[Contracts Signed]]/SalesData[[#This Row],[Contracts Offered]])</f>
        <v>0.41414141414141414</v>
      </c>
      <c r="AG1267" s="5">
        <f>IF(SalesData[[#This Row],[Customers Visited]]=0,0,SalesData[[#This Row],[Test Drives]]/SalesData[[#This Row],[Customers Visited]])</f>
        <v>0.47653429602888087</v>
      </c>
      <c r="AH1267" s="5">
        <f>IF(SalesData[[#This Row],[Customers Visited]]=0,0,SalesData[[#This Row],[Contracts Signed]]/SalesData[[#This Row],[Customers Visited]])</f>
        <v>0.14801444043321299</v>
      </c>
      <c r="AI1267" s="6">
        <f>IF(SalesData[[#This Row],[Contracts Signed]]=0,0,SalesData[[#This Row],[Profit(€)]]/SalesData[[#This Row],[Contracts Signed]])</f>
        <v>13499</v>
      </c>
      <c r="AJ1267" s="5" t="str">
        <f>TRIM(CLEAN(SalesData[[#This Row],[Retailer]]))</f>
        <v>Hannover Cars</v>
      </c>
    </row>
    <row r="1268" spans="1:36" ht="14.25" x14ac:dyDescent="0.2">
      <c r="A1268" t="s">
        <v>2088</v>
      </c>
      <c r="B1268" s="1">
        <v>46081</v>
      </c>
      <c r="C1268" t="s">
        <v>53</v>
      </c>
      <c r="D1268" t="s">
        <v>151</v>
      </c>
      <c r="E1268" t="s">
        <v>42</v>
      </c>
      <c r="F1268" t="s">
        <v>43</v>
      </c>
      <c r="G1268" t="s">
        <v>44</v>
      </c>
      <c r="H1268" t="s">
        <v>45</v>
      </c>
      <c r="I1268" t="s">
        <v>30</v>
      </c>
      <c r="J1268" t="s">
        <v>31</v>
      </c>
      <c r="K1268" t="s">
        <v>66</v>
      </c>
      <c r="L1268" t="s">
        <v>46</v>
      </c>
      <c r="M1268" t="s">
        <v>47</v>
      </c>
      <c r="N1268" t="s">
        <v>35</v>
      </c>
      <c r="O1268" t="s">
        <v>70</v>
      </c>
      <c r="P1268" t="s">
        <v>58</v>
      </c>
      <c r="Q1268" t="s">
        <v>118</v>
      </c>
      <c r="R1268">
        <v>202</v>
      </c>
      <c r="S1268">
        <v>117</v>
      </c>
      <c r="T1268">
        <v>83</v>
      </c>
      <c r="U1268">
        <v>35</v>
      </c>
      <c r="V1268" t="s">
        <v>6887</v>
      </c>
      <c r="W1268">
        <v>61268</v>
      </c>
      <c r="X1268" t="s">
        <v>7407</v>
      </c>
      <c r="Y1268">
        <v>42993</v>
      </c>
      <c r="Z1268">
        <v>2144380</v>
      </c>
      <c r="AA1268">
        <v>639625</v>
      </c>
      <c r="AB1268" t="str">
        <f>(VLOOKUP(SalesData[[#This Row],[Month Number]],Reference!C$5:E$16,2,FALSE))</f>
        <v>Feb</v>
      </c>
      <c r="AC1268">
        <f>MONTH(SalesData[[#This Row],[Date]])</f>
        <v>2</v>
      </c>
      <c r="AD1268">
        <f>Reference!F$4</f>
        <v>2026</v>
      </c>
      <c r="AE1268" t="str">
        <f>IF(OR(SalesData[[#This Row],[Day]]="Saturday",SalesData[[#This Row],[Day]]="Sunday"),"Weekend","Weekday")</f>
        <v>Weekend</v>
      </c>
      <c r="AF1268" s="5">
        <f>IF(SalesData[[#This Row],[Contracts Offered]]=0,0,SalesData[[#This Row],[Contracts Signed]]/SalesData[[#This Row],[Contracts Offered]])</f>
        <v>0.42168674698795183</v>
      </c>
      <c r="AG1268" s="5">
        <f>IF(SalesData[[#This Row],[Customers Visited]]=0,0,SalesData[[#This Row],[Test Drives]]/SalesData[[#This Row],[Customers Visited]])</f>
        <v>0.57920792079207917</v>
      </c>
      <c r="AH1268" s="5">
        <f>IF(SalesData[[#This Row],[Customers Visited]]=0,0,SalesData[[#This Row],[Contracts Signed]]/SalesData[[#This Row],[Customers Visited]])</f>
        <v>0.17326732673267325</v>
      </c>
      <c r="AI1268" s="6">
        <f>IF(SalesData[[#This Row],[Contracts Signed]]=0,0,SalesData[[#This Row],[Profit(€)]]/SalesData[[#This Row],[Contracts Signed]])</f>
        <v>18275</v>
      </c>
      <c r="AJ1268" s="5" t="str">
        <f>TRIM(CLEAN(SalesData[[#This Row],[Retailer]]))</f>
        <v>Saxon Wheels</v>
      </c>
    </row>
    <row r="1269" spans="1:36" ht="14.25" hidden="1" x14ac:dyDescent="0.2">
      <c r="A1269" t="s">
        <v>2089</v>
      </c>
      <c r="B1269" s="1">
        <v>46064</v>
      </c>
      <c r="C1269" t="s">
        <v>121</v>
      </c>
      <c r="D1269" t="s">
        <v>82</v>
      </c>
      <c r="E1269" t="s">
        <v>26</v>
      </c>
      <c r="F1269" t="s">
        <v>83</v>
      </c>
      <c r="G1269" t="s">
        <v>84</v>
      </c>
      <c r="H1269" t="s">
        <v>85</v>
      </c>
      <c r="I1269" t="s">
        <v>104</v>
      </c>
      <c r="J1269" t="s">
        <v>143</v>
      </c>
      <c r="K1269" t="s">
        <v>91</v>
      </c>
      <c r="L1269" t="s">
        <v>67</v>
      </c>
      <c r="M1269" t="s">
        <v>87</v>
      </c>
      <c r="N1269" t="s">
        <v>69</v>
      </c>
      <c r="O1269" t="s">
        <v>36</v>
      </c>
      <c r="P1269" t="s">
        <v>37</v>
      </c>
      <c r="Q1269" t="s">
        <v>167</v>
      </c>
      <c r="R1269">
        <v>346</v>
      </c>
      <c r="S1269">
        <v>161</v>
      </c>
      <c r="T1269">
        <v>114</v>
      </c>
      <c r="U1269">
        <v>26</v>
      </c>
      <c r="V1269" t="s">
        <v>3319</v>
      </c>
      <c r="W1269">
        <v>32786</v>
      </c>
      <c r="X1269" t="s">
        <v>1892</v>
      </c>
      <c r="Y1269">
        <v>28851</v>
      </c>
      <c r="Z1269">
        <v>852436</v>
      </c>
      <c r="AA1269">
        <v>102310</v>
      </c>
      <c r="AB1269" t="str">
        <f>(VLOOKUP(SalesData[[#This Row],[Month Number]],Reference!C$5:E$16,2,FALSE))</f>
        <v>Feb</v>
      </c>
      <c r="AC1269">
        <f>MONTH(SalesData[[#This Row],[Date]])</f>
        <v>2</v>
      </c>
      <c r="AD1269">
        <f>Reference!F$4</f>
        <v>2026</v>
      </c>
      <c r="AE1269" t="str">
        <f>IF(OR(SalesData[[#This Row],[Day]]="Saturday",SalesData[[#This Row],[Day]]="Sunday"),"Weekend","Weekday")</f>
        <v>Weekday</v>
      </c>
      <c r="AF1269" s="5">
        <f>IF(SalesData[[#This Row],[Contracts Offered]]=0,0,SalesData[[#This Row],[Contracts Signed]]/SalesData[[#This Row],[Contracts Offered]])</f>
        <v>0.22807017543859648</v>
      </c>
      <c r="AG1269" s="5">
        <f>IF(SalesData[[#This Row],[Customers Visited]]=0,0,SalesData[[#This Row],[Test Drives]]/SalesData[[#This Row],[Customers Visited]])</f>
        <v>0.46531791907514453</v>
      </c>
      <c r="AH1269" s="5">
        <f>IF(SalesData[[#This Row],[Customers Visited]]=0,0,SalesData[[#This Row],[Contracts Signed]]/SalesData[[#This Row],[Customers Visited]])</f>
        <v>7.5144508670520235E-2</v>
      </c>
      <c r="AI1269" s="6">
        <f>IF(SalesData[[#This Row],[Contracts Signed]]=0,0,SalesData[[#This Row],[Profit(€)]]/SalesData[[#This Row],[Contracts Signed]])</f>
        <v>3935</v>
      </c>
      <c r="AJ1269" s="5" t="str">
        <f>TRIM(CLEAN(SalesData[[#This Row],[Retailer]]))</f>
        <v>Hannover Cars</v>
      </c>
    </row>
    <row r="1270" spans="1:36" ht="14.25" hidden="1" x14ac:dyDescent="0.2">
      <c r="A1270" t="s">
        <v>2091</v>
      </c>
      <c r="B1270" s="1">
        <v>46066</v>
      </c>
      <c r="C1270" t="s">
        <v>121</v>
      </c>
      <c r="D1270" t="s">
        <v>54</v>
      </c>
      <c r="E1270" t="s">
        <v>26</v>
      </c>
      <c r="F1270" t="s">
        <v>101</v>
      </c>
      <c r="G1270" t="s">
        <v>102</v>
      </c>
      <c r="H1270" t="s">
        <v>103</v>
      </c>
      <c r="I1270" t="s">
        <v>64</v>
      </c>
      <c r="J1270" t="s">
        <v>7029</v>
      </c>
      <c r="K1270" t="s">
        <v>91</v>
      </c>
      <c r="L1270" t="s">
        <v>33</v>
      </c>
      <c r="M1270" t="s">
        <v>47</v>
      </c>
      <c r="N1270" t="s">
        <v>48</v>
      </c>
      <c r="O1270" t="s">
        <v>36</v>
      </c>
      <c r="P1270" t="s">
        <v>71</v>
      </c>
      <c r="Q1270" t="s">
        <v>152</v>
      </c>
      <c r="R1270">
        <v>262</v>
      </c>
      <c r="S1270">
        <v>135</v>
      </c>
      <c r="T1270">
        <v>94</v>
      </c>
      <c r="U1270">
        <v>33</v>
      </c>
      <c r="V1270" t="s">
        <v>6705</v>
      </c>
      <c r="W1270">
        <v>64814</v>
      </c>
      <c r="X1270" t="s">
        <v>554</v>
      </c>
      <c r="Y1270">
        <v>50904</v>
      </c>
      <c r="Z1270">
        <v>2138862</v>
      </c>
      <c r="AA1270">
        <v>459030</v>
      </c>
      <c r="AB1270" t="str">
        <f>(VLOOKUP(SalesData[[#This Row],[Month Number]],Reference!C$5:E$16,2,FALSE))</f>
        <v>Feb</v>
      </c>
      <c r="AC1270">
        <f>MONTH(SalesData[[#This Row],[Date]])</f>
        <v>2</v>
      </c>
      <c r="AD1270">
        <f>Reference!F$4</f>
        <v>2026</v>
      </c>
      <c r="AE1270" t="str">
        <f>IF(OR(SalesData[[#This Row],[Day]]="Saturday",SalesData[[#This Row],[Day]]="Sunday"),"Weekend","Weekday")</f>
        <v>Weekday</v>
      </c>
      <c r="AF1270" s="5">
        <f>IF(SalesData[[#This Row],[Contracts Offered]]=0,0,SalesData[[#This Row],[Contracts Signed]]/SalesData[[#This Row],[Contracts Offered]])</f>
        <v>0.35106382978723405</v>
      </c>
      <c r="AG1270" s="5">
        <f>IF(SalesData[[#This Row],[Customers Visited]]=0,0,SalesData[[#This Row],[Test Drives]]/SalesData[[#This Row],[Customers Visited]])</f>
        <v>0.51526717557251911</v>
      </c>
      <c r="AH1270" s="5">
        <f>IF(SalesData[[#This Row],[Customers Visited]]=0,0,SalesData[[#This Row],[Contracts Signed]]/SalesData[[#This Row],[Customers Visited]])</f>
        <v>0.12595419847328243</v>
      </c>
      <c r="AI1270" s="6">
        <f>IF(SalesData[[#This Row],[Contracts Signed]]=0,0,SalesData[[#This Row],[Profit(€)]]/SalesData[[#This Row],[Contracts Signed]])</f>
        <v>13910</v>
      </c>
      <c r="AJ1270" s="5" t="str">
        <f>TRIM(CLEAN(SalesData[[#This Row],[Retailer]]))</f>
        <v>Ruhr Auto Plaza</v>
      </c>
    </row>
    <row r="1271" spans="1:36" ht="14.25" x14ac:dyDescent="0.2">
      <c r="A1271" t="s">
        <v>2092</v>
      </c>
      <c r="B1271" s="1">
        <v>46070</v>
      </c>
      <c r="C1271" t="s">
        <v>62</v>
      </c>
      <c r="D1271" t="s">
        <v>63</v>
      </c>
      <c r="E1271" t="s">
        <v>26</v>
      </c>
      <c r="F1271" t="s">
        <v>101</v>
      </c>
      <c r="G1271" t="s">
        <v>102</v>
      </c>
      <c r="H1271" t="s">
        <v>103</v>
      </c>
      <c r="I1271" t="s">
        <v>30</v>
      </c>
      <c r="J1271" t="s">
        <v>7075</v>
      </c>
      <c r="K1271" t="s">
        <v>91</v>
      </c>
      <c r="L1271" t="s">
        <v>33</v>
      </c>
      <c r="M1271" t="s">
        <v>34</v>
      </c>
      <c r="N1271" t="s">
        <v>35</v>
      </c>
      <c r="O1271" t="s">
        <v>70</v>
      </c>
      <c r="P1271" t="s">
        <v>49</v>
      </c>
      <c r="Q1271" t="s">
        <v>38</v>
      </c>
      <c r="R1271">
        <v>234</v>
      </c>
      <c r="S1271">
        <v>119</v>
      </c>
      <c r="T1271">
        <v>95</v>
      </c>
      <c r="U1271">
        <v>28</v>
      </c>
      <c r="V1271" t="s">
        <v>6439</v>
      </c>
      <c r="W1271">
        <v>61352</v>
      </c>
      <c r="X1271" t="s">
        <v>7353</v>
      </c>
      <c r="Y1271">
        <v>44170</v>
      </c>
      <c r="Z1271">
        <v>1717856</v>
      </c>
      <c r="AA1271">
        <v>481096</v>
      </c>
      <c r="AB1271" t="str">
        <f>(VLOOKUP(SalesData[[#This Row],[Month Number]],Reference!C$5:E$16,2,FALSE))</f>
        <v>Feb</v>
      </c>
      <c r="AC1271">
        <f>MONTH(SalesData[[#This Row],[Date]])</f>
        <v>2</v>
      </c>
      <c r="AD1271">
        <f>Reference!F$4</f>
        <v>2026</v>
      </c>
      <c r="AE1271" t="str">
        <f>IF(OR(SalesData[[#This Row],[Day]]="Saturday",SalesData[[#This Row],[Day]]="Sunday"),"Weekend","Weekday")</f>
        <v>Weekday</v>
      </c>
      <c r="AF1271" s="5">
        <f>IF(SalesData[[#This Row],[Contracts Offered]]=0,0,SalesData[[#This Row],[Contracts Signed]]/SalesData[[#This Row],[Contracts Offered]])</f>
        <v>0.29473684210526313</v>
      </c>
      <c r="AG1271" s="5">
        <f>IF(SalesData[[#This Row],[Customers Visited]]=0,0,SalesData[[#This Row],[Test Drives]]/SalesData[[#This Row],[Customers Visited]])</f>
        <v>0.50854700854700852</v>
      </c>
      <c r="AH1271" s="5">
        <f>IF(SalesData[[#This Row],[Customers Visited]]=0,0,SalesData[[#This Row],[Contracts Signed]]/SalesData[[#This Row],[Customers Visited]])</f>
        <v>0.11965811965811966</v>
      </c>
      <c r="AI1271" s="6">
        <f>IF(SalesData[[#This Row],[Contracts Signed]]=0,0,SalesData[[#This Row],[Profit(€)]]/SalesData[[#This Row],[Contracts Signed]])</f>
        <v>17182</v>
      </c>
      <c r="AJ1271" s="5" t="str">
        <f>TRIM(CLEAN(SalesData[[#This Row],[Retailer]]))</f>
        <v>Ruhr Auto Plaza</v>
      </c>
    </row>
    <row r="1272" spans="1:36" ht="14.25" hidden="1" x14ac:dyDescent="0.2">
      <c r="A1272" t="s">
        <v>2093</v>
      </c>
      <c r="B1272" s="1">
        <v>46065</v>
      </c>
      <c r="C1272" t="s">
        <v>121</v>
      </c>
      <c r="D1272" t="s">
        <v>100</v>
      </c>
      <c r="E1272" t="s">
        <v>26</v>
      </c>
      <c r="F1272" t="s">
        <v>101</v>
      </c>
      <c r="G1272" t="s">
        <v>102</v>
      </c>
      <c r="H1272" t="s">
        <v>103</v>
      </c>
      <c r="I1272" t="s">
        <v>56</v>
      </c>
      <c r="J1272" t="s">
        <v>57</v>
      </c>
      <c r="K1272" t="s">
        <v>32</v>
      </c>
      <c r="L1272" t="s">
        <v>46</v>
      </c>
      <c r="M1272" t="s">
        <v>68</v>
      </c>
      <c r="N1272" t="s">
        <v>35</v>
      </c>
      <c r="O1272" t="s">
        <v>70</v>
      </c>
      <c r="P1272" t="s">
        <v>58</v>
      </c>
      <c r="Q1272" t="s">
        <v>189</v>
      </c>
      <c r="R1272">
        <v>265</v>
      </c>
      <c r="S1272">
        <v>158</v>
      </c>
      <c r="T1272">
        <v>111</v>
      </c>
      <c r="U1272">
        <v>41</v>
      </c>
      <c r="V1272" t="s">
        <v>6725</v>
      </c>
      <c r="W1272">
        <v>42918</v>
      </c>
      <c r="X1272" t="s">
        <v>2576</v>
      </c>
      <c r="Y1272">
        <v>34475</v>
      </c>
      <c r="Z1272">
        <v>1759638</v>
      </c>
      <c r="AA1272">
        <v>346163</v>
      </c>
      <c r="AB1272" t="str">
        <f>(VLOOKUP(SalesData[[#This Row],[Month Number]],Reference!C$5:E$16,2,FALSE))</f>
        <v>Feb</v>
      </c>
      <c r="AC1272">
        <f>MONTH(SalesData[[#This Row],[Date]])</f>
        <v>2</v>
      </c>
      <c r="AD1272">
        <f>Reference!F$4</f>
        <v>2026</v>
      </c>
      <c r="AE1272" t="str">
        <f>IF(OR(SalesData[[#This Row],[Day]]="Saturday",SalesData[[#This Row],[Day]]="Sunday"),"Weekend","Weekday")</f>
        <v>Weekday</v>
      </c>
      <c r="AF1272" s="5">
        <f>IF(SalesData[[#This Row],[Contracts Offered]]=0,0,SalesData[[#This Row],[Contracts Signed]]/SalesData[[#This Row],[Contracts Offered]])</f>
        <v>0.36936936936936937</v>
      </c>
      <c r="AG1272" s="5">
        <f>IF(SalesData[[#This Row],[Customers Visited]]=0,0,SalesData[[#This Row],[Test Drives]]/SalesData[[#This Row],[Customers Visited]])</f>
        <v>0.5962264150943396</v>
      </c>
      <c r="AH1272" s="5">
        <f>IF(SalesData[[#This Row],[Customers Visited]]=0,0,SalesData[[#This Row],[Contracts Signed]]/SalesData[[#This Row],[Customers Visited]])</f>
        <v>0.15471698113207547</v>
      </c>
      <c r="AI1272" s="6">
        <f>IF(SalesData[[#This Row],[Contracts Signed]]=0,0,SalesData[[#This Row],[Profit(€)]]/SalesData[[#This Row],[Contracts Signed]])</f>
        <v>8443</v>
      </c>
      <c r="AJ1272" s="5" t="str">
        <f>TRIM(CLEAN(SalesData[[#This Row],[Retailer]]))</f>
        <v>Ruhr Auto Plaza</v>
      </c>
    </row>
    <row r="1273" spans="1:36" ht="14.25" hidden="1" x14ac:dyDescent="0.2">
      <c r="A1273" t="s">
        <v>2094</v>
      </c>
      <c r="B1273" s="1">
        <v>46079</v>
      </c>
      <c r="C1273" t="s">
        <v>53</v>
      </c>
      <c r="D1273" t="s">
        <v>100</v>
      </c>
      <c r="E1273" t="s">
        <v>26</v>
      </c>
      <c r="F1273" t="s">
        <v>83</v>
      </c>
      <c r="G1273" t="s">
        <v>84</v>
      </c>
      <c r="H1273" t="s">
        <v>85</v>
      </c>
      <c r="I1273" t="s">
        <v>64</v>
      </c>
      <c r="J1273" t="s">
        <v>65</v>
      </c>
      <c r="K1273" t="s">
        <v>32</v>
      </c>
      <c r="L1273" t="s">
        <v>33</v>
      </c>
      <c r="M1273" t="s">
        <v>34</v>
      </c>
      <c r="N1273" t="s">
        <v>48</v>
      </c>
      <c r="O1273" t="s">
        <v>70</v>
      </c>
      <c r="P1273" t="s">
        <v>37</v>
      </c>
      <c r="Q1273" t="s">
        <v>204</v>
      </c>
      <c r="R1273">
        <v>272</v>
      </c>
      <c r="S1273">
        <v>119</v>
      </c>
      <c r="T1273">
        <v>80</v>
      </c>
      <c r="U1273">
        <v>28</v>
      </c>
      <c r="V1273" t="s">
        <v>6439</v>
      </c>
      <c r="W1273">
        <v>57178</v>
      </c>
      <c r="X1273" t="s">
        <v>7101</v>
      </c>
      <c r="Y1273">
        <v>40839</v>
      </c>
      <c r="Z1273">
        <v>1600984</v>
      </c>
      <c r="AA1273">
        <v>457492</v>
      </c>
      <c r="AB1273" t="str">
        <f>(VLOOKUP(SalesData[[#This Row],[Month Number]],Reference!C$5:E$16,2,FALSE))</f>
        <v>Feb</v>
      </c>
      <c r="AC1273">
        <f>MONTH(SalesData[[#This Row],[Date]])</f>
        <v>2</v>
      </c>
      <c r="AD1273">
        <f>Reference!F$4</f>
        <v>2026</v>
      </c>
      <c r="AE1273" t="str">
        <f>IF(OR(SalesData[[#This Row],[Day]]="Saturday",SalesData[[#This Row],[Day]]="Sunday"),"Weekend","Weekday")</f>
        <v>Weekday</v>
      </c>
      <c r="AF1273" s="5">
        <f>IF(SalesData[[#This Row],[Contracts Offered]]=0,0,SalesData[[#This Row],[Contracts Signed]]/SalesData[[#This Row],[Contracts Offered]])</f>
        <v>0.35</v>
      </c>
      <c r="AG1273" s="5">
        <f>IF(SalesData[[#This Row],[Customers Visited]]=0,0,SalesData[[#This Row],[Test Drives]]/SalesData[[#This Row],[Customers Visited]])</f>
        <v>0.4375</v>
      </c>
      <c r="AH1273" s="5">
        <f>IF(SalesData[[#This Row],[Customers Visited]]=0,0,SalesData[[#This Row],[Contracts Signed]]/SalesData[[#This Row],[Customers Visited]])</f>
        <v>0.10294117647058823</v>
      </c>
      <c r="AI1273" s="6">
        <f>IF(SalesData[[#This Row],[Contracts Signed]]=0,0,SalesData[[#This Row],[Profit(€)]]/SalesData[[#This Row],[Contracts Signed]])</f>
        <v>16339</v>
      </c>
      <c r="AJ1273" s="5" t="str">
        <f>TRIM(CLEAN(SalesData[[#This Row],[Retailer]]))</f>
        <v>Hannover Cars</v>
      </c>
    </row>
    <row r="1274" spans="1:36" ht="14.25" x14ac:dyDescent="0.2">
      <c r="A1274" t="s">
        <v>2095</v>
      </c>
      <c r="B1274" s="1">
        <v>46068</v>
      </c>
      <c r="C1274" t="s">
        <v>62</v>
      </c>
      <c r="D1274" t="s">
        <v>41</v>
      </c>
      <c r="E1274" t="s">
        <v>42</v>
      </c>
      <c r="F1274" t="s">
        <v>43</v>
      </c>
      <c r="G1274" t="s">
        <v>44</v>
      </c>
      <c r="H1274" t="s">
        <v>45</v>
      </c>
      <c r="I1274" t="s">
        <v>30</v>
      </c>
      <c r="J1274" t="s">
        <v>86</v>
      </c>
      <c r="K1274" t="s">
        <v>78</v>
      </c>
      <c r="L1274" t="s">
        <v>33</v>
      </c>
      <c r="M1274" t="s">
        <v>68</v>
      </c>
      <c r="N1274" t="s">
        <v>48</v>
      </c>
      <c r="O1274" t="s">
        <v>70</v>
      </c>
      <c r="P1274" t="s">
        <v>49</v>
      </c>
      <c r="Q1274" t="s">
        <v>135</v>
      </c>
      <c r="R1274">
        <v>160</v>
      </c>
      <c r="S1274">
        <v>80</v>
      </c>
      <c r="T1274">
        <v>59</v>
      </c>
      <c r="U1274">
        <v>20</v>
      </c>
      <c r="V1274" t="s">
        <v>6403</v>
      </c>
      <c r="W1274">
        <v>61372</v>
      </c>
      <c r="X1274" t="s">
        <v>7082</v>
      </c>
      <c r="Y1274">
        <v>44721</v>
      </c>
      <c r="Z1274">
        <v>1227440</v>
      </c>
      <c r="AA1274">
        <v>333020</v>
      </c>
      <c r="AB1274" t="str">
        <f>(VLOOKUP(SalesData[[#This Row],[Month Number]],Reference!C$5:E$16,2,FALSE))</f>
        <v>Feb</v>
      </c>
      <c r="AC1274">
        <f>MONTH(SalesData[[#This Row],[Date]])</f>
        <v>2</v>
      </c>
      <c r="AD1274">
        <f>Reference!F$4</f>
        <v>2026</v>
      </c>
      <c r="AE1274" t="str">
        <f>IF(OR(SalesData[[#This Row],[Day]]="Saturday",SalesData[[#This Row],[Day]]="Sunday"),"Weekend","Weekday")</f>
        <v>Weekend</v>
      </c>
      <c r="AF1274" s="5">
        <f>IF(SalesData[[#This Row],[Contracts Offered]]=0,0,SalesData[[#This Row],[Contracts Signed]]/SalesData[[#This Row],[Contracts Offered]])</f>
        <v>0.33898305084745761</v>
      </c>
      <c r="AG1274" s="5">
        <f>IF(SalesData[[#This Row],[Customers Visited]]=0,0,SalesData[[#This Row],[Test Drives]]/SalesData[[#This Row],[Customers Visited]])</f>
        <v>0.5</v>
      </c>
      <c r="AH1274" s="5">
        <f>IF(SalesData[[#This Row],[Customers Visited]]=0,0,SalesData[[#This Row],[Contracts Signed]]/SalesData[[#This Row],[Customers Visited]])</f>
        <v>0.125</v>
      </c>
      <c r="AI1274" s="6">
        <f>IF(SalesData[[#This Row],[Contracts Signed]]=0,0,SalesData[[#This Row],[Profit(€)]]/SalesData[[#This Row],[Contracts Signed]])</f>
        <v>16651</v>
      </c>
      <c r="AJ1274" s="5" t="str">
        <f>TRIM(CLEAN(SalesData[[#This Row],[Retailer]]))</f>
        <v>Saxon Wheels</v>
      </c>
    </row>
    <row r="1275" spans="1:36" ht="14.25" hidden="1" x14ac:dyDescent="0.2">
      <c r="A1275" t="s">
        <v>2096</v>
      </c>
      <c r="B1275" s="1">
        <v>46068</v>
      </c>
      <c r="C1275" t="s">
        <v>62</v>
      </c>
      <c r="D1275" t="s">
        <v>41</v>
      </c>
      <c r="E1275" t="s">
        <v>42</v>
      </c>
      <c r="F1275" t="s">
        <v>114</v>
      </c>
      <c r="G1275" t="s">
        <v>115</v>
      </c>
      <c r="H1275" t="s">
        <v>115</v>
      </c>
      <c r="I1275" t="s">
        <v>56</v>
      </c>
      <c r="J1275" t="s">
        <v>97</v>
      </c>
      <c r="K1275" t="s">
        <v>32</v>
      </c>
      <c r="L1275" t="s">
        <v>33</v>
      </c>
      <c r="M1275" t="s">
        <v>47</v>
      </c>
      <c r="N1275" t="s">
        <v>35</v>
      </c>
      <c r="O1275" t="s">
        <v>36</v>
      </c>
      <c r="P1275" t="s">
        <v>71</v>
      </c>
      <c r="Q1275" t="s">
        <v>158</v>
      </c>
      <c r="R1275">
        <v>281</v>
      </c>
      <c r="S1275">
        <v>166</v>
      </c>
      <c r="T1275">
        <v>119</v>
      </c>
      <c r="U1275">
        <v>44</v>
      </c>
      <c r="V1275" t="s">
        <v>6606</v>
      </c>
      <c r="W1275">
        <v>43454</v>
      </c>
      <c r="X1275" t="s">
        <v>7385</v>
      </c>
      <c r="Y1275">
        <v>34823</v>
      </c>
      <c r="Z1275">
        <v>1911976</v>
      </c>
      <c r="AA1275">
        <v>379764</v>
      </c>
      <c r="AB1275" t="str">
        <f>(VLOOKUP(SalesData[[#This Row],[Month Number]],Reference!C$5:E$16,2,FALSE))</f>
        <v>Feb</v>
      </c>
      <c r="AC1275">
        <f>MONTH(SalesData[[#This Row],[Date]])</f>
        <v>2</v>
      </c>
      <c r="AD1275">
        <f>Reference!F$4</f>
        <v>2026</v>
      </c>
      <c r="AE1275" t="str">
        <f>IF(OR(SalesData[[#This Row],[Day]]="Saturday",SalesData[[#This Row],[Day]]="Sunday"),"Weekend","Weekday")</f>
        <v>Weekend</v>
      </c>
      <c r="AF1275" s="5">
        <f>IF(SalesData[[#This Row],[Contracts Offered]]=0,0,SalesData[[#This Row],[Contracts Signed]]/SalesData[[#This Row],[Contracts Offered]])</f>
        <v>0.36974789915966388</v>
      </c>
      <c r="AG1275" s="5">
        <f>IF(SalesData[[#This Row],[Customers Visited]]=0,0,SalesData[[#This Row],[Test Drives]]/SalesData[[#This Row],[Customers Visited]])</f>
        <v>0.59074733096085408</v>
      </c>
      <c r="AH1275" s="5">
        <f>IF(SalesData[[#This Row],[Customers Visited]]=0,0,SalesData[[#This Row],[Contracts Signed]]/SalesData[[#This Row],[Customers Visited]])</f>
        <v>0.15658362989323843</v>
      </c>
      <c r="AI1275" s="6">
        <f>IF(SalesData[[#This Row],[Contracts Signed]]=0,0,SalesData[[#This Row],[Profit(€)]]/SalesData[[#This Row],[Contracts Signed]])</f>
        <v>8631</v>
      </c>
      <c r="AJ1275" s="5" t="str">
        <f>TRIM(CLEAN(SalesData[[#This Row],[Retailer]]))</f>
        <v>Elbe Drive</v>
      </c>
    </row>
    <row r="1276" spans="1:36" ht="14.25" x14ac:dyDescent="0.2">
      <c r="A1276" t="s">
        <v>2097</v>
      </c>
      <c r="B1276" s="1">
        <v>46055</v>
      </c>
      <c r="C1276" t="s">
        <v>24</v>
      </c>
      <c r="D1276" t="s">
        <v>25</v>
      </c>
      <c r="E1276" t="s">
        <v>26</v>
      </c>
      <c r="F1276" t="s">
        <v>27</v>
      </c>
      <c r="G1276" t="s">
        <v>28</v>
      </c>
      <c r="H1276" t="s">
        <v>29</v>
      </c>
      <c r="I1276" t="s">
        <v>30</v>
      </c>
      <c r="J1276" t="s">
        <v>188</v>
      </c>
      <c r="K1276" t="s">
        <v>66</v>
      </c>
      <c r="L1276" t="s">
        <v>33</v>
      </c>
      <c r="M1276" t="s">
        <v>68</v>
      </c>
      <c r="N1276" t="s">
        <v>69</v>
      </c>
      <c r="O1276" t="s">
        <v>70</v>
      </c>
      <c r="P1276" t="s">
        <v>37</v>
      </c>
      <c r="Q1276" t="s">
        <v>158</v>
      </c>
      <c r="R1276">
        <v>184</v>
      </c>
      <c r="S1276">
        <v>112</v>
      </c>
      <c r="T1276">
        <v>86</v>
      </c>
      <c r="U1276">
        <v>27</v>
      </c>
      <c r="V1276" t="s">
        <v>6400</v>
      </c>
      <c r="W1276">
        <v>54677</v>
      </c>
      <c r="X1276" t="s">
        <v>7408</v>
      </c>
      <c r="Y1276">
        <v>40179</v>
      </c>
      <c r="Z1276">
        <v>1476279</v>
      </c>
      <c r="AA1276">
        <v>391446</v>
      </c>
      <c r="AB1276" t="str">
        <f>(VLOOKUP(SalesData[[#This Row],[Month Number]],Reference!C$5:E$16,2,FALSE))</f>
        <v>Feb</v>
      </c>
      <c r="AC1276">
        <f>MONTH(SalesData[[#This Row],[Date]])</f>
        <v>2</v>
      </c>
      <c r="AD1276">
        <f>Reference!F$4</f>
        <v>2026</v>
      </c>
      <c r="AE1276" t="str">
        <f>IF(OR(SalesData[[#This Row],[Day]]="Saturday",SalesData[[#This Row],[Day]]="Sunday"),"Weekend","Weekday")</f>
        <v>Weekday</v>
      </c>
      <c r="AF1276" s="5">
        <f>IF(SalesData[[#This Row],[Contracts Offered]]=0,0,SalesData[[#This Row],[Contracts Signed]]/SalesData[[#This Row],[Contracts Offered]])</f>
        <v>0.31395348837209303</v>
      </c>
      <c r="AG1276" s="5">
        <f>IF(SalesData[[#This Row],[Customers Visited]]=0,0,SalesData[[#This Row],[Test Drives]]/SalesData[[#This Row],[Customers Visited]])</f>
        <v>0.60869565217391308</v>
      </c>
      <c r="AH1276" s="5">
        <f>IF(SalesData[[#This Row],[Customers Visited]]=0,0,SalesData[[#This Row],[Contracts Signed]]/SalesData[[#This Row],[Customers Visited]])</f>
        <v>0.14673913043478262</v>
      </c>
      <c r="AI1276" s="6">
        <f>IF(SalesData[[#This Row],[Contracts Signed]]=0,0,SalesData[[#This Row],[Profit(€)]]/SalesData[[#This Row],[Contracts Signed]])</f>
        <v>14498</v>
      </c>
      <c r="AJ1276" s="5" t="str">
        <f>TRIM(CLEAN(SalesData[[#This Row],[Retailer]]))</f>
        <v>Main Auto Hub</v>
      </c>
    </row>
    <row r="1277" spans="1:36" ht="14.25" hidden="1" x14ac:dyDescent="0.2">
      <c r="A1277" t="s">
        <v>2098</v>
      </c>
      <c r="B1277" s="1">
        <v>46065</v>
      </c>
      <c r="C1277" t="s">
        <v>121</v>
      </c>
      <c r="D1277" t="s">
        <v>100</v>
      </c>
      <c r="E1277" t="s">
        <v>26</v>
      </c>
      <c r="F1277" t="s">
        <v>109</v>
      </c>
      <c r="G1277" t="s">
        <v>110</v>
      </c>
      <c r="H1277" t="s">
        <v>45</v>
      </c>
      <c r="I1277" t="s">
        <v>56</v>
      </c>
      <c r="J1277" t="s">
        <v>57</v>
      </c>
      <c r="K1277" t="s">
        <v>32</v>
      </c>
      <c r="L1277" t="s">
        <v>46</v>
      </c>
      <c r="M1277" t="s">
        <v>47</v>
      </c>
      <c r="N1277" t="s">
        <v>35</v>
      </c>
      <c r="O1277" t="s">
        <v>36</v>
      </c>
      <c r="P1277" t="s">
        <v>37</v>
      </c>
      <c r="Q1277" t="s">
        <v>347</v>
      </c>
      <c r="R1277">
        <v>209</v>
      </c>
      <c r="S1277">
        <v>132</v>
      </c>
      <c r="T1277">
        <v>89</v>
      </c>
      <c r="U1277">
        <v>28</v>
      </c>
      <c r="V1277" t="s">
        <v>6802</v>
      </c>
      <c r="W1277">
        <v>42077</v>
      </c>
      <c r="X1277" t="s">
        <v>977</v>
      </c>
      <c r="Y1277">
        <v>32125</v>
      </c>
      <c r="Z1277">
        <v>1178156</v>
      </c>
      <c r="AA1277">
        <v>278656</v>
      </c>
      <c r="AB1277" t="str">
        <f>(VLOOKUP(SalesData[[#This Row],[Month Number]],Reference!C$5:E$16,2,FALSE))</f>
        <v>Feb</v>
      </c>
      <c r="AC1277">
        <f>MONTH(SalesData[[#This Row],[Date]])</f>
        <v>2</v>
      </c>
      <c r="AD1277">
        <f>Reference!F$4</f>
        <v>2026</v>
      </c>
      <c r="AE1277" t="str">
        <f>IF(OR(SalesData[[#This Row],[Day]]="Saturday",SalesData[[#This Row],[Day]]="Sunday"),"Weekend","Weekday")</f>
        <v>Weekday</v>
      </c>
      <c r="AF1277" s="5">
        <f>IF(SalesData[[#This Row],[Contracts Offered]]=0,0,SalesData[[#This Row],[Contracts Signed]]/SalesData[[#This Row],[Contracts Offered]])</f>
        <v>0.3146067415730337</v>
      </c>
      <c r="AG1277" s="5">
        <f>IF(SalesData[[#This Row],[Customers Visited]]=0,0,SalesData[[#This Row],[Test Drives]]/SalesData[[#This Row],[Customers Visited]])</f>
        <v>0.63157894736842102</v>
      </c>
      <c r="AH1277" s="5">
        <f>IF(SalesData[[#This Row],[Customers Visited]]=0,0,SalesData[[#This Row],[Contracts Signed]]/SalesData[[#This Row],[Customers Visited]])</f>
        <v>0.13397129186602871</v>
      </c>
      <c r="AI1277" s="6">
        <f>IF(SalesData[[#This Row],[Contracts Signed]]=0,0,SalesData[[#This Row],[Profit(€)]]/SalesData[[#This Row],[Contracts Signed]])</f>
        <v>9952</v>
      </c>
      <c r="AJ1277" s="5" t="str">
        <f>TRIM(CLEAN(SalesData[[#This Row],[Retailer]]))</f>
        <v>Leipzig Mobility</v>
      </c>
    </row>
    <row r="1278" spans="1:36" ht="14.25" x14ac:dyDescent="0.2">
      <c r="A1278" t="s">
        <v>2099</v>
      </c>
      <c r="B1278" s="1">
        <v>46058</v>
      </c>
      <c r="C1278" t="s">
        <v>24</v>
      </c>
      <c r="D1278" t="s">
        <v>100</v>
      </c>
      <c r="E1278" t="s">
        <v>26</v>
      </c>
      <c r="F1278" t="s">
        <v>27</v>
      </c>
      <c r="G1278" t="s">
        <v>28</v>
      </c>
      <c r="H1278" t="s">
        <v>29</v>
      </c>
      <c r="I1278" t="s">
        <v>30</v>
      </c>
      <c r="J1278" t="s">
        <v>166</v>
      </c>
      <c r="K1278" t="s">
        <v>78</v>
      </c>
      <c r="L1278" t="s">
        <v>46</v>
      </c>
      <c r="M1278" t="s">
        <v>68</v>
      </c>
      <c r="N1278" t="s">
        <v>48</v>
      </c>
      <c r="O1278" t="s">
        <v>70</v>
      </c>
      <c r="P1278" t="s">
        <v>71</v>
      </c>
      <c r="Q1278" t="s">
        <v>122</v>
      </c>
      <c r="R1278">
        <v>262</v>
      </c>
      <c r="S1278">
        <v>138</v>
      </c>
      <c r="T1278">
        <v>104</v>
      </c>
      <c r="U1278">
        <v>41</v>
      </c>
      <c r="V1278" t="s">
        <v>6769</v>
      </c>
      <c r="W1278">
        <v>59693</v>
      </c>
      <c r="X1278" t="s">
        <v>7309</v>
      </c>
      <c r="Y1278">
        <v>46355</v>
      </c>
      <c r="Z1278">
        <v>2447413</v>
      </c>
      <c r="AA1278">
        <v>546858</v>
      </c>
      <c r="AB1278" t="str">
        <f>(VLOOKUP(SalesData[[#This Row],[Month Number]],Reference!C$5:E$16,2,FALSE))</f>
        <v>Feb</v>
      </c>
      <c r="AC1278">
        <f>MONTH(SalesData[[#This Row],[Date]])</f>
        <v>2</v>
      </c>
      <c r="AD1278">
        <f>Reference!F$4</f>
        <v>2026</v>
      </c>
      <c r="AE1278" t="str">
        <f>IF(OR(SalesData[[#This Row],[Day]]="Saturday",SalesData[[#This Row],[Day]]="Sunday"),"Weekend","Weekday")</f>
        <v>Weekday</v>
      </c>
      <c r="AF1278" s="5">
        <f>IF(SalesData[[#This Row],[Contracts Offered]]=0,0,SalesData[[#This Row],[Contracts Signed]]/SalesData[[#This Row],[Contracts Offered]])</f>
        <v>0.39423076923076922</v>
      </c>
      <c r="AG1278" s="5">
        <f>IF(SalesData[[#This Row],[Customers Visited]]=0,0,SalesData[[#This Row],[Test Drives]]/SalesData[[#This Row],[Customers Visited]])</f>
        <v>0.52671755725190839</v>
      </c>
      <c r="AH1278" s="5">
        <f>IF(SalesData[[#This Row],[Customers Visited]]=0,0,SalesData[[#This Row],[Contracts Signed]]/SalesData[[#This Row],[Customers Visited]])</f>
        <v>0.15648854961832062</v>
      </c>
      <c r="AI1278" s="6">
        <f>IF(SalesData[[#This Row],[Contracts Signed]]=0,0,SalesData[[#This Row],[Profit(€)]]/SalesData[[#This Row],[Contracts Signed]])</f>
        <v>13338</v>
      </c>
      <c r="AJ1278" s="5" t="str">
        <f>TRIM(CLEAN(SalesData[[#This Row],[Retailer]]))</f>
        <v>Main Auto Hub</v>
      </c>
    </row>
    <row r="1279" spans="1:36" ht="14.25" hidden="1" x14ac:dyDescent="0.2">
      <c r="A1279" t="s">
        <v>2100</v>
      </c>
      <c r="B1279" s="1">
        <v>46072</v>
      </c>
      <c r="C1279" t="s">
        <v>62</v>
      </c>
      <c r="D1279" t="s">
        <v>100</v>
      </c>
      <c r="E1279" t="s">
        <v>26</v>
      </c>
      <c r="F1279" t="s">
        <v>74</v>
      </c>
      <c r="G1279" t="s">
        <v>75</v>
      </c>
      <c r="H1279" t="s">
        <v>76</v>
      </c>
      <c r="I1279" t="s">
        <v>56</v>
      </c>
      <c r="J1279" t="s">
        <v>97</v>
      </c>
      <c r="K1279" t="s">
        <v>32</v>
      </c>
      <c r="L1279" t="s">
        <v>33</v>
      </c>
      <c r="M1279" t="s">
        <v>87</v>
      </c>
      <c r="N1279" t="s">
        <v>35</v>
      </c>
      <c r="O1279" t="s">
        <v>70</v>
      </c>
      <c r="P1279" t="s">
        <v>58</v>
      </c>
      <c r="Q1279" t="s">
        <v>347</v>
      </c>
      <c r="R1279">
        <v>217</v>
      </c>
      <c r="S1279">
        <v>115</v>
      </c>
      <c r="T1279">
        <v>89</v>
      </c>
      <c r="U1279">
        <v>30</v>
      </c>
      <c r="V1279" t="s">
        <v>6360</v>
      </c>
      <c r="W1279">
        <v>40001</v>
      </c>
      <c r="X1279" t="s">
        <v>1906</v>
      </c>
      <c r="Y1279">
        <v>30993</v>
      </c>
      <c r="Z1279">
        <v>1200030</v>
      </c>
      <c r="AA1279">
        <v>270240</v>
      </c>
      <c r="AB1279" t="str">
        <f>(VLOOKUP(SalesData[[#This Row],[Month Number]],Reference!C$5:E$16,2,FALSE))</f>
        <v>Feb</v>
      </c>
      <c r="AC1279">
        <f>MONTH(SalesData[[#This Row],[Date]])</f>
        <v>2</v>
      </c>
      <c r="AD1279">
        <f>Reference!F$4</f>
        <v>2026</v>
      </c>
      <c r="AE1279" t="str">
        <f>IF(OR(SalesData[[#This Row],[Day]]="Saturday",SalesData[[#This Row],[Day]]="Sunday"),"Weekend","Weekday")</f>
        <v>Weekday</v>
      </c>
      <c r="AF1279" s="5">
        <f>IF(SalesData[[#This Row],[Contracts Offered]]=0,0,SalesData[[#This Row],[Contracts Signed]]/SalesData[[#This Row],[Contracts Offered]])</f>
        <v>0.33707865168539325</v>
      </c>
      <c r="AG1279" s="5">
        <f>IF(SalesData[[#This Row],[Customers Visited]]=0,0,SalesData[[#This Row],[Test Drives]]/SalesData[[#This Row],[Customers Visited]])</f>
        <v>0.52995391705069128</v>
      </c>
      <c r="AH1279" s="5">
        <f>IF(SalesData[[#This Row],[Customers Visited]]=0,0,SalesData[[#This Row],[Contracts Signed]]/SalesData[[#This Row],[Customers Visited]])</f>
        <v>0.13824884792626729</v>
      </c>
      <c r="AI1279" s="6">
        <f>IF(SalesData[[#This Row],[Contracts Signed]]=0,0,SalesData[[#This Row],[Profit(€)]]/SalesData[[#This Row],[Contracts Signed]])</f>
        <v>9008</v>
      </c>
      <c r="AJ1279" s="5" t="str">
        <f>TRIM(CLEAN(SalesData[[#This Row],[Retailer]]))</f>
        <v>Stuttgart Auto Center</v>
      </c>
    </row>
    <row r="1280" spans="1:36" ht="14.25" hidden="1" x14ac:dyDescent="0.2">
      <c r="A1280" t="s">
        <v>2101</v>
      </c>
      <c r="B1280" s="1">
        <v>46068</v>
      </c>
      <c r="C1280" t="s">
        <v>62</v>
      </c>
      <c r="D1280" t="s">
        <v>41</v>
      </c>
      <c r="E1280" t="s">
        <v>42</v>
      </c>
      <c r="F1280" t="s">
        <v>101</v>
      </c>
      <c r="G1280" t="s">
        <v>102</v>
      </c>
      <c r="H1280" t="s">
        <v>103</v>
      </c>
      <c r="I1280" t="s">
        <v>116</v>
      </c>
      <c r="J1280" t="s">
        <v>203</v>
      </c>
      <c r="K1280" t="s">
        <v>91</v>
      </c>
      <c r="L1280" t="s">
        <v>67</v>
      </c>
      <c r="M1280" t="s">
        <v>87</v>
      </c>
      <c r="N1280" t="s">
        <v>69</v>
      </c>
      <c r="O1280" t="s">
        <v>70</v>
      </c>
      <c r="P1280" t="s">
        <v>49</v>
      </c>
      <c r="Q1280" t="s">
        <v>152</v>
      </c>
      <c r="R1280">
        <v>427</v>
      </c>
      <c r="S1280">
        <v>179</v>
      </c>
      <c r="T1280">
        <v>118</v>
      </c>
      <c r="U1280">
        <v>19</v>
      </c>
      <c r="V1280" t="s">
        <v>277</v>
      </c>
      <c r="W1280">
        <v>23029</v>
      </c>
      <c r="X1280" t="s">
        <v>7271</v>
      </c>
      <c r="Y1280">
        <v>21185</v>
      </c>
      <c r="Z1280">
        <v>437551</v>
      </c>
      <c r="AA1280">
        <v>35036</v>
      </c>
      <c r="AB1280" t="str">
        <f>(VLOOKUP(SalesData[[#This Row],[Month Number]],Reference!C$5:E$16,2,FALSE))</f>
        <v>Feb</v>
      </c>
      <c r="AC1280">
        <f>MONTH(SalesData[[#This Row],[Date]])</f>
        <v>2</v>
      </c>
      <c r="AD1280">
        <f>Reference!F$4</f>
        <v>2026</v>
      </c>
      <c r="AE1280" t="str">
        <f>IF(OR(SalesData[[#This Row],[Day]]="Saturday",SalesData[[#This Row],[Day]]="Sunday"),"Weekend","Weekday")</f>
        <v>Weekend</v>
      </c>
      <c r="AF1280" s="5">
        <f>IF(SalesData[[#This Row],[Contracts Offered]]=0,0,SalesData[[#This Row],[Contracts Signed]]/SalesData[[#This Row],[Contracts Offered]])</f>
        <v>0.16101694915254236</v>
      </c>
      <c r="AG1280" s="5">
        <f>IF(SalesData[[#This Row],[Customers Visited]]=0,0,SalesData[[#This Row],[Test Drives]]/SalesData[[#This Row],[Customers Visited]])</f>
        <v>0.41920374707259955</v>
      </c>
      <c r="AH1280" s="5">
        <f>IF(SalesData[[#This Row],[Customers Visited]]=0,0,SalesData[[#This Row],[Contracts Signed]]/SalesData[[#This Row],[Customers Visited]])</f>
        <v>4.449648711943794E-2</v>
      </c>
      <c r="AI1280" s="6">
        <f>IF(SalesData[[#This Row],[Contracts Signed]]=0,0,SalesData[[#This Row],[Profit(€)]]/SalesData[[#This Row],[Contracts Signed]])</f>
        <v>1844</v>
      </c>
      <c r="AJ1280" s="5" t="str">
        <f>TRIM(CLEAN(SalesData[[#This Row],[Retailer]]))</f>
        <v>Ruhr Auto Plaza</v>
      </c>
    </row>
    <row r="1281" spans="1:36" ht="14.25" hidden="1" x14ac:dyDescent="0.2">
      <c r="A1281" t="s">
        <v>2102</v>
      </c>
      <c r="B1281" s="1">
        <v>46076</v>
      </c>
      <c r="C1281" t="s">
        <v>53</v>
      </c>
      <c r="D1281" t="s">
        <v>25</v>
      </c>
      <c r="E1281" t="s">
        <v>26</v>
      </c>
      <c r="F1281" t="s">
        <v>74</v>
      </c>
      <c r="G1281" t="s">
        <v>75</v>
      </c>
      <c r="H1281" t="s">
        <v>76</v>
      </c>
      <c r="I1281" t="s">
        <v>116</v>
      </c>
      <c r="J1281" t="s">
        <v>117</v>
      </c>
      <c r="K1281" t="s">
        <v>91</v>
      </c>
      <c r="L1281" t="s">
        <v>67</v>
      </c>
      <c r="M1281" t="s">
        <v>47</v>
      </c>
      <c r="N1281" t="s">
        <v>69</v>
      </c>
      <c r="O1281" t="s">
        <v>70</v>
      </c>
      <c r="P1281" t="s">
        <v>49</v>
      </c>
      <c r="Q1281" t="s">
        <v>129</v>
      </c>
      <c r="R1281">
        <v>233</v>
      </c>
      <c r="S1281">
        <v>102</v>
      </c>
      <c r="T1281">
        <v>67</v>
      </c>
      <c r="U1281">
        <v>15</v>
      </c>
      <c r="V1281" t="s">
        <v>415</v>
      </c>
      <c r="W1281">
        <v>19952</v>
      </c>
      <c r="X1281" t="s">
        <v>5332</v>
      </c>
      <c r="Y1281">
        <v>18251</v>
      </c>
      <c r="Z1281">
        <v>299280</v>
      </c>
      <c r="AA1281">
        <v>25515</v>
      </c>
      <c r="AB1281" t="str">
        <f>(VLOOKUP(SalesData[[#This Row],[Month Number]],Reference!C$5:E$16,2,FALSE))</f>
        <v>Feb</v>
      </c>
      <c r="AC1281">
        <f>MONTH(SalesData[[#This Row],[Date]])</f>
        <v>2</v>
      </c>
      <c r="AD1281">
        <f>Reference!F$4</f>
        <v>2026</v>
      </c>
      <c r="AE1281" t="str">
        <f>IF(OR(SalesData[[#This Row],[Day]]="Saturday",SalesData[[#This Row],[Day]]="Sunday"),"Weekend","Weekday")</f>
        <v>Weekday</v>
      </c>
      <c r="AF1281" s="5">
        <f>IF(SalesData[[#This Row],[Contracts Offered]]=0,0,SalesData[[#This Row],[Contracts Signed]]/SalesData[[#This Row],[Contracts Offered]])</f>
        <v>0.22388059701492538</v>
      </c>
      <c r="AG1281" s="5">
        <f>IF(SalesData[[#This Row],[Customers Visited]]=0,0,SalesData[[#This Row],[Test Drives]]/SalesData[[#This Row],[Customers Visited]])</f>
        <v>0.43776824034334766</v>
      </c>
      <c r="AH1281" s="5">
        <f>IF(SalesData[[#This Row],[Customers Visited]]=0,0,SalesData[[#This Row],[Contracts Signed]]/SalesData[[#This Row],[Customers Visited]])</f>
        <v>6.4377682403433473E-2</v>
      </c>
      <c r="AI1281" s="6">
        <f>IF(SalesData[[#This Row],[Contracts Signed]]=0,0,SalesData[[#This Row],[Profit(€)]]/SalesData[[#This Row],[Contracts Signed]])</f>
        <v>1701</v>
      </c>
      <c r="AJ1281" s="5" t="str">
        <f>TRIM(CLEAN(SalesData[[#This Row],[Retailer]]))</f>
        <v>Stuttgart Auto Center</v>
      </c>
    </row>
    <row r="1282" spans="1:36" ht="14.25" hidden="1" x14ac:dyDescent="0.2">
      <c r="A1282" t="s">
        <v>2104</v>
      </c>
      <c r="B1282" s="1">
        <v>46057</v>
      </c>
      <c r="C1282" t="s">
        <v>24</v>
      </c>
      <c r="D1282" t="s">
        <v>82</v>
      </c>
      <c r="E1282" t="s">
        <v>26</v>
      </c>
      <c r="F1282" t="s">
        <v>127</v>
      </c>
      <c r="G1282" t="s">
        <v>128</v>
      </c>
      <c r="H1282" t="s">
        <v>103</v>
      </c>
      <c r="I1282" t="s">
        <v>116</v>
      </c>
      <c r="J1282" t="s">
        <v>7090</v>
      </c>
      <c r="K1282" t="s">
        <v>91</v>
      </c>
      <c r="L1282" t="s">
        <v>46</v>
      </c>
      <c r="M1282" t="s">
        <v>34</v>
      </c>
      <c r="N1282" t="s">
        <v>48</v>
      </c>
      <c r="O1282" t="s">
        <v>70</v>
      </c>
      <c r="P1282" t="s">
        <v>71</v>
      </c>
      <c r="Q1282" t="s">
        <v>118</v>
      </c>
      <c r="R1282">
        <v>314</v>
      </c>
      <c r="S1282">
        <v>170</v>
      </c>
      <c r="T1282">
        <v>108</v>
      </c>
      <c r="U1282">
        <v>25</v>
      </c>
      <c r="V1282" t="s">
        <v>415</v>
      </c>
      <c r="W1282">
        <v>20052</v>
      </c>
      <c r="X1282" t="s">
        <v>953</v>
      </c>
      <c r="Y1282">
        <v>18094</v>
      </c>
      <c r="Z1282">
        <v>501300</v>
      </c>
      <c r="AA1282">
        <v>48950</v>
      </c>
      <c r="AB1282" t="str">
        <f>(VLOOKUP(SalesData[[#This Row],[Month Number]],Reference!C$5:E$16,2,FALSE))</f>
        <v>Feb</v>
      </c>
      <c r="AC1282">
        <f>MONTH(SalesData[[#This Row],[Date]])</f>
        <v>2</v>
      </c>
      <c r="AD1282">
        <f>Reference!F$4</f>
        <v>2026</v>
      </c>
      <c r="AE1282" t="str">
        <f>IF(OR(SalesData[[#This Row],[Day]]="Saturday",SalesData[[#This Row],[Day]]="Sunday"),"Weekend","Weekday")</f>
        <v>Weekday</v>
      </c>
      <c r="AF1282" s="5">
        <f>IF(SalesData[[#This Row],[Contracts Offered]]=0,0,SalesData[[#This Row],[Contracts Signed]]/SalesData[[#This Row],[Contracts Offered]])</f>
        <v>0.23148148148148148</v>
      </c>
      <c r="AG1282" s="5">
        <f>IF(SalesData[[#This Row],[Customers Visited]]=0,0,SalesData[[#This Row],[Test Drives]]/SalesData[[#This Row],[Customers Visited]])</f>
        <v>0.54140127388535031</v>
      </c>
      <c r="AH1282" s="5">
        <f>IF(SalesData[[#This Row],[Customers Visited]]=0,0,SalesData[[#This Row],[Contracts Signed]]/SalesData[[#This Row],[Customers Visited]])</f>
        <v>7.9617834394904455E-2</v>
      </c>
      <c r="AI1282" s="6">
        <f>IF(SalesData[[#This Row],[Contracts Signed]]=0,0,SalesData[[#This Row],[Profit(€)]]/SalesData[[#This Row],[Contracts Signed]])</f>
        <v>1958</v>
      </c>
      <c r="AJ1282" s="5" t="str">
        <f>TRIM(CLEAN(SalesData[[#This Row],[Retailer]]))</f>
        <v>Rhein Auto Group</v>
      </c>
    </row>
    <row r="1283" spans="1:36" ht="14.25" hidden="1" x14ac:dyDescent="0.2">
      <c r="A1283" t="s">
        <v>2105</v>
      </c>
      <c r="B1283" s="1">
        <v>46076</v>
      </c>
      <c r="C1283" t="s">
        <v>53</v>
      </c>
      <c r="D1283" t="s">
        <v>25</v>
      </c>
      <c r="E1283" t="s">
        <v>26</v>
      </c>
      <c r="F1283" t="s">
        <v>114</v>
      </c>
      <c r="G1283" t="s">
        <v>115</v>
      </c>
      <c r="H1283" t="s">
        <v>115</v>
      </c>
      <c r="I1283" t="s">
        <v>56</v>
      </c>
      <c r="J1283" t="s">
        <v>97</v>
      </c>
      <c r="K1283" t="s">
        <v>91</v>
      </c>
      <c r="L1283" t="s">
        <v>33</v>
      </c>
      <c r="M1283" t="s">
        <v>68</v>
      </c>
      <c r="N1283" t="s">
        <v>69</v>
      </c>
      <c r="O1283" t="s">
        <v>36</v>
      </c>
      <c r="P1283" t="s">
        <v>71</v>
      </c>
      <c r="Q1283" t="s">
        <v>135</v>
      </c>
      <c r="R1283">
        <v>293</v>
      </c>
      <c r="S1283">
        <v>136</v>
      </c>
      <c r="T1283">
        <v>91</v>
      </c>
      <c r="U1283">
        <v>37</v>
      </c>
      <c r="V1283" t="s">
        <v>6933</v>
      </c>
      <c r="W1283">
        <v>46490</v>
      </c>
      <c r="X1283" t="s">
        <v>2386</v>
      </c>
      <c r="Y1283">
        <v>35962</v>
      </c>
      <c r="Z1283">
        <v>1720130</v>
      </c>
      <c r="AA1283">
        <v>389536</v>
      </c>
      <c r="AB1283" t="str">
        <f>(VLOOKUP(SalesData[[#This Row],[Month Number]],Reference!C$5:E$16,2,FALSE))</f>
        <v>Feb</v>
      </c>
      <c r="AC1283">
        <f>MONTH(SalesData[[#This Row],[Date]])</f>
        <v>2</v>
      </c>
      <c r="AD1283">
        <f>Reference!F$4</f>
        <v>2026</v>
      </c>
      <c r="AE1283" t="str">
        <f>IF(OR(SalesData[[#This Row],[Day]]="Saturday",SalesData[[#This Row],[Day]]="Sunday"),"Weekend","Weekday")</f>
        <v>Weekday</v>
      </c>
      <c r="AF1283" s="5">
        <f>IF(SalesData[[#This Row],[Contracts Offered]]=0,0,SalesData[[#This Row],[Contracts Signed]]/SalesData[[#This Row],[Contracts Offered]])</f>
        <v>0.40659340659340659</v>
      </c>
      <c r="AG1283" s="5">
        <f>IF(SalesData[[#This Row],[Customers Visited]]=0,0,SalesData[[#This Row],[Test Drives]]/SalesData[[#This Row],[Customers Visited]])</f>
        <v>0.46416382252559729</v>
      </c>
      <c r="AH1283" s="5">
        <f>IF(SalesData[[#This Row],[Customers Visited]]=0,0,SalesData[[#This Row],[Contracts Signed]]/SalesData[[#This Row],[Customers Visited]])</f>
        <v>0.12627986348122866</v>
      </c>
      <c r="AI1283" s="6">
        <f>IF(SalesData[[#This Row],[Contracts Signed]]=0,0,SalesData[[#This Row],[Profit(€)]]/SalesData[[#This Row],[Contracts Signed]])</f>
        <v>10528</v>
      </c>
      <c r="AJ1283" s="5" t="str">
        <f>TRIM(CLEAN(SalesData[[#This Row],[Retailer]]))</f>
        <v>Elbe Drive</v>
      </c>
    </row>
    <row r="1284" spans="1:36" ht="14.25" hidden="1" x14ac:dyDescent="0.2">
      <c r="A1284" t="s">
        <v>2106</v>
      </c>
      <c r="B1284" s="1">
        <v>46073</v>
      </c>
      <c r="C1284" t="s">
        <v>62</v>
      </c>
      <c r="D1284" t="s">
        <v>54</v>
      </c>
      <c r="E1284" t="s">
        <v>26</v>
      </c>
      <c r="F1284" t="s">
        <v>43</v>
      </c>
      <c r="G1284" t="s">
        <v>44</v>
      </c>
      <c r="H1284" t="s">
        <v>45</v>
      </c>
      <c r="I1284" t="s">
        <v>116</v>
      </c>
      <c r="J1284" t="s">
        <v>132</v>
      </c>
      <c r="K1284" t="s">
        <v>32</v>
      </c>
      <c r="L1284" t="s">
        <v>46</v>
      </c>
      <c r="M1284" t="s">
        <v>47</v>
      </c>
      <c r="N1284" t="s">
        <v>35</v>
      </c>
      <c r="O1284" t="s">
        <v>70</v>
      </c>
      <c r="P1284" t="s">
        <v>58</v>
      </c>
      <c r="Q1284" t="s">
        <v>189</v>
      </c>
      <c r="R1284">
        <v>242</v>
      </c>
      <c r="S1284">
        <v>99</v>
      </c>
      <c r="T1284">
        <v>63</v>
      </c>
      <c r="U1284">
        <v>15</v>
      </c>
      <c r="V1284" t="s">
        <v>592</v>
      </c>
      <c r="W1284">
        <v>26844</v>
      </c>
      <c r="X1284" t="s">
        <v>2962</v>
      </c>
      <c r="Y1284">
        <v>24577</v>
      </c>
      <c r="Z1284">
        <v>402660</v>
      </c>
      <c r="AA1284">
        <v>34005</v>
      </c>
      <c r="AB1284" t="str">
        <f>(VLOOKUP(SalesData[[#This Row],[Month Number]],Reference!C$5:E$16,2,FALSE))</f>
        <v>Feb</v>
      </c>
      <c r="AC1284">
        <f>MONTH(SalesData[[#This Row],[Date]])</f>
        <v>2</v>
      </c>
      <c r="AD1284">
        <f>Reference!F$4</f>
        <v>2026</v>
      </c>
      <c r="AE1284" t="str">
        <f>IF(OR(SalesData[[#This Row],[Day]]="Saturday",SalesData[[#This Row],[Day]]="Sunday"),"Weekend","Weekday")</f>
        <v>Weekday</v>
      </c>
      <c r="AF1284" s="5">
        <f>IF(SalesData[[#This Row],[Contracts Offered]]=0,0,SalesData[[#This Row],[Contracts Signed]]/SalesData[[#This Row],[Contracts Offered]])</f>
        <v>0.23809523809523808</v>
      </c>
      <c r="AG1284" s="5">
        <f>IF(SalesData[[#This Row],[Customers Visited]]=0,0,SalesData[[#This Row],[Test Drives]]/SalesData[[#This Row],[Customers Visited]])</f>
        <v>0.40909090909090912</v>
      </c>
      <c r="AH1284" s="5">
        <f>IF(SalesData[[#This Row],[Customers Visited]]=0,0,SalesData[[#This Row],[Contracts Signed]]/SalesData[[#This Row],[Customers Visited]])</f>
        <v>6.1983471074380167E-2</v>
      </c>
      <c r="AI1284" s="6">
        <f>IF(SalesData[[#This Row],[Contracts Signed]]=0,0,SalesData[[#This Row],[Profit(€)]]/SalesData[[#This Row],[Contracts Signed]])</f>
        <v>2267</v>
      </c>
      <c r="AJ1284" s="5" t="str">
        <f>TRIM(CLEAN(SalesData[[#This Row],[Retailer]]))</f>
        <v>Saxon Wheels</v>
      </c>
    </row>
    <row r="1285" spans="1:36" ht="14.25" hidden="1" x14ac:dyDescent="0.2">
      <c r="A1285" t="s">
        <v>2108</v>
      </c>
      <c r="B1285" s="1">
        <v>46062</v>
      </c>
      <c r="C1285" t="s">
        <v>121</v>
      </c>
      <c r="D1285" t="s">
        <v>25</v>
      </c>
      <c r="E1285" t="s">
        <v>26</v>
      </c>
      <c r="F1285" t="s">
        <v>94</v>
      </c>
      <c r="G1285" t="s">
        <v>95</v>
      </c>
      <c r="H1285" t="s">
        <v>96</v>
      </c>
      <c r="I1285" t="s">
        <v>116</v>
      </c>
      <c r="J1285" t="s">
        <v>132</v>
      </c>
      <c r="K1285" t="s">
        <v>32</v>
      </c>
      <c r="L1285" t="s">
        <v>46</v>
      </c>
      <c r="M1285" t="s">
        <v>87</v>
      </c>
      <c r="N1285" t="s">
        <v>48</v>
      </c>
      <c r="O1285" t="s">
        <v>70</v>
      </c>
      <c r="P1285" t="s">
        <v>58</v>
      </c>
      <c r="Q1285" t="s">
        <v>240</v>
      </c>
      <c r="R1285">
        <v>337</v>
      </c>
      <c r="S1285">
        <v>152</v>
      </c>
      <c r="T1285">
        <v>102</v>
      </c>
      <c r="U1285">
        <v>30</v>
      </c>
      <c r="V1285" t="s">
        <v>3828</v>
      </c>
      <c r="W1285">
        <v>21660</v>
      </c>
      <c r="X1285" t="s">
        <v>5974</v>
      </c>
      <c r="Y1285">
        <v>19991</v>
      </c>
      <c r="Z1285">
        <v>649800</v>
      </c>
      <c r="AA1285">
        <v>50070</v>
      </c>
      <c r="AB1285" t="str">
        <f>(VLOOKUP(SalesData[[#This Row],[Month Number]],Reference!C$5:E$16,2,FALSE))</f>
        <v>Feb</v>
      </c>
      <c r="AC1285">
        <f>MONTH(SalesData[[#This Row],[Date]])</f>
        <v>2</v>
      </c>
      <c r="AD1285">
        <f>Reference!F$4</f>
        <v>2026</v>
      </c>
      <c r="AE1285" t="str">
        <f>IF(OR(SalesData[[#This Row],[Day]]="Saturday",SalesData[[#This Row],[Day]]="Sunday"),"Weekend","Weekday")</f>
        <v>Weekday</v>
      </c>
      <c r="AF1285" s="5">
        <f>IF(SalesData[[#This Row],[Contracts Offered]]=0,0,SalesData[[#This Row],[Contracts Signed]]/SalesData[[#This Row],[Contracts Offered]])</f>
        <v>0.29411764705882354</v>
      </c>
      <c r="AG1285" s="5">
        <f>IF(SalesData[[#This Row],[Customers Visited]]=0,0,SalesData[[#This Row],[Test Drives]]/SalesData[[#This Row],[Customers Visited]])</f>
        <v>0.45103857566765576</v>
      </c>
      <c r="AH1285" s="5">
        <f>IF(SalesData[[#This Row],[Customers Visited]]=0,0,SalesData[[#This Row],[Contracts Signed]]/SalesData[[#This Row],[Customers Visited]])</f>
        <v>8.9020771513353122E-2</v>
      </c>
      <c r="AI1285" s="6">
        <f>IF(SalesData[[#This Row],[Contracts Signed]]=0,0,SalesData[[#This Row],[Profit(€)]]/SalesData[[#This Row],[Contracts Signed]])</f>
        <v>1669</v>
      </c>
      <c r="AJ1285" s="5" t="str">
        <f>TRIM(CLEAN(SalesData[[#This Row],[Retailer]]))</f>
        <v>Bavaria Motors</v>
      </c>
    </row>
    <row r="1286" spans="1:36" ht="14.25" hidden="1" x14ac:dyDescent="0.2">
      <c r="A1286" t="s">
        <v>2109</v>
      </c>
      <c r="B1286" s="1">
        <v>46059</v>
      </c>
      <c r="C1286" t="s">
        <v>24</v>
      </c>
      <c r="D1286" t="s">
        <v>54</v>
      </c>
      <c r="E1286" t="s">
        <v>26</v>
      </c>
      <c r="F1286" t="s">
        <v>101</v>
      </c>
      <c r="G1286" t="s">
        <v>102</v>
      </c>
      <c r="H1286" t="s">
        <v>103</v>
      </c>
      <c r="I1286" t="s">
        <v>64</v>
      </c>
      <c r="J1286" t="s">
        <v>157</v>
      </c>
      <c r="K1286" t="s">
        <v>32</v>
      </c>
      <c r="L1286" t="s">
        <v>33</v>
      </c>
      <c r="M1286" t="s">
        <v>87</v>
      </c>
      <c r="N1286" t="s">
        <v>35</v>
      </c>
      <c r="O1286" t="s">
        <v>36</v>
      </c>
      <c r="P1286" t="s">
        <v>71</v>
      </c>
      <c r="Q1286" t="s">
        <v>118</v>
      </c>
      <c r="R1286">
        <v>268</v>
      </c>
      <c r="S1286">
        <v>120</v>
      </c>
      <c r="T1286">
        <v>94</v>
      </c>
      <c r="U1286">
        <v>32</v>
      </c>
      <c r="V1286" t="s">
        <v>6388</v>
      </c>
      <c r="W1286">
        <v>53848</v>
      </c>
      <c r="X1286" t="s">
        <v>7095</v>
      </c>
      <c r="Y1286">
        <v>39356</v>
      </c>
      <c r="Z1286">
        <v>1723136</v>
      </c>
      <c r="AA1286">
        <v>463744</v>
      </c>
      <c r="AB1286" t="str">
        <f>(VLOOKUP(SalesData[[#This Row],[Month Number]],Reference!C$5:E$16,2,FALSE))</f>
        <v>Feb</v>
      </c>
      <c r="AC1286">
        <f>MONTH(SalesData[[#This Row],[Date]])</f>
        <v>2</v>
      </c>
      <c r="AD1286">
        <f>Reference!F$4</f>
        <v>2026</v>
      </c>
      <c r="AE1286" t="str">
        <f>IF(OR(SalesData[[#This Row],[Day]]="Saturday",SalesData[[#This Row],[Day]]="Sunday"),"Weekend","Weekday")</f>
        <v>Weekday</v>
      </c>
      <c r="AF1286" s="5">
        <f>IF(SalesData[[#This Row],[Contracts Offered]]=0,0,SalesData[[#This Row],[Contracts Signed]]/SalesData[[#This Row],[Contracts Offered]])</f>
        <v>0.34042553191489361</v>
      </c>
      <c r="AG1286" s="5">
        <f>IF(SalesData[[#This Row],[Customers Visited]]=0,0,SalesData[[#This Row],[Test Drives]]/SalesData[[#This Row],[Customers Visited]])</f>
        <v>0.44776119402985076</v>
      </c>
      <c r="AH1286" s="5">
        <f>IF(SalesData[[#This Row],[Customers Visited]]=0,0,SalesData[[#This Row],[Contracts Signed]]/SalesData[[#This Row],[Customers Visited]])</f>
        <v>0.11940298507462686</v>
      </c>
      <c r="AI1286" s="6">
        <f>IF(SalesData[[#This Row],[Contracts Signed]]=0,0,SalesData[[#This Row],[Profit(€)]]/SalesData[[#This Row],[Contracts Signed]])</f>
        <v>14492</v>
      </c>
      <c r="AJ1286" s="5" t="str">
        <f>TRIM(CLEAN(SalesData[[#This Row],[Retailer]]))</f>
        <v>Ruhr Auto Plaza</v>
      </c>
    </row>
    <row r="1287" spans="1:36" ht="14.25" hidden="1" x14ac:dyDescent="0.2">
      <c r="A1287" t="s">
        <v>2111</v>
      </c>
      <c r="B1287" s="1">
        <v>46064</v>
      </c>
      <c r="C1287" t="s">
        <v>121</v>
      </c>
      <c r="D1287" t="s">
        <v>82</v>
      </c>
      <c r="E1287" t="s">
        <v>26</v>
      </c>
      <c r="F1287" t="s">
        <v>43</v>
      </c>
      <c r="G1287" t="s">
        <v>44</v>
      </c>
      <c r="H1287" t="s">
        <v>45</v>
      </c>
      <c r="I1287" t="s">
        <v>64</v>
      </c>
      <c r="J1287" t="s">
        <v>111</v>
      </c>
      <c r="K1287" t="s">
        <v>91</v>
      </c>
      <c r="L1287" t="s">
        <v>46</v>
      </c>
      <c r="M1287" t="s">
        <v>34</v>
      </c>
      <c r="N1287" t="s">
        <v>35</v>
      </c>
      <c r="O1287" t="s">
        <v>70</v>
      </c>
      <c r="P1287" t="s">
        <v>49</v>
      </c>
      <c r="Q1287" t="s">
        <v>50</v>
      </c>
      <c r="R1287">
        <v>167</v>
      </c>
      <c r="S1287">
        <v>94</v>
      </c>
      <c r="T1287">
        <v>70</v>
      </c>
      <c r="U1287">
        <v>20</v>
      </c>
      <c r="V1287" t="s">
        <v>7070</v>
      </c>
      <c r="W1287">
        <v>64166</v>
      </c>
      <c r="X1287" t="s">
        <v>196</v>
      </c>
      <c r="Y1287">
        <v>47218</v>
      </c>
      <c r="Z1287">
        <v>1283320</v>
      </c>
      <c r="AA1287">
        <v>338960</v>
      </c>
      <c r="AB1287" t="str">
        <f>(VLOOKUP(SalesData[[#This Row],[Month Number]],Reference!C$5:E$16,2,FALSE))</f>
        <v>Feb</v>
      </c>
      <c r="AC1287">
        <f>MONTH(SalesData[[#This Row],[Date]])</f>
        <v>2</v>
      </c>
      <c r="AD1287">
        <f>Reference!F$4</f>
        <v>2026</v>
      </c>
      <c r="AE1287" t="str">
        <f>IF(OR(SalesData[[#This Row],[Day]]="Saturday",SalesData[[#This Row],[Day]]="Sunday"),"Weekend","Weekday")</f>
        <v>Weekday</v>
      </c>
      <c r="AF1287" s="5">
        <f>IF(SalesData[[#This Row],[Contracts Offered]]=0,0,SalesData[[#This Row],[Contracts Signed]]/SalesData[[#This Row],[Contracts Offered]])</f>
        <v>0.2857142857142857</v>
      </c>
      <c r="AG1287" s="5">
        <f>IF(SalesData[[#This Row],[Customers Visited]]=0,0,SalesData[[#This Row],[Test Drives]]/SalesData[[#This Row],[Customers Visited]])</f>
        <v>0.56287425149700598</v>
      </c>
      <c r="AH1287" s="5">
        <f>IF(SalesData[[#This Row],[Customers Visited]]=0,0,SalesData[[#This Row],[Contracts Signed]]/SalesData[[#This Row],[Customers Visited]])</f>
        <v>0.11976047904191617</v>
      </c>
      <c r="AI1287" s="6">
        <f>IF(SalesData[[#This Row],[Contracts Signed]]=0,0,SalesData[[#This Row],[Profit(€)]]/SalesData[[#This Row],[Contracts Signed]])</f>
        <v>16948</v>
      </c>
      <c r="AJ1287" s="5" t="str">
        <f>TRIM(CLEAN(SalesData[[#This Row],[Retailer]]))</f>
        <v>Saxon Wheels</v>
      </c>
    </row>
    <row r="1288" spans="1:36" ht="14.25" hidden="1" x14ac:dyDescent="0.2">
      <c r="A1288" t="s">
        <v>2112</v>
      </c>
      <c r="B1288" s="1">
        <v>46081</v>
      </c>
      <c r="C1288" t="s">
        <v>53</v>
      </c>
      <c r="D1288" t="s">
        <v>151</v>
      </c>
      <c r="E1288" t="s">
        <v>42</v>
      </c>
      <c r="F1288" t="s">
        <v>43</v>
      </c>
      <c r="G1288" t="s">
        <v>44</v>
      </c>
      <c r="H1288" t="s">
        <v>45</v>
      </c>
      <c r="I1288" t="s">
        <v>116</v>
      </c>
      <c r="J1288" t="s">
        <v>203</v>
      </c>
      <c r="K1288" t="s">
        <v>32</v>
      </c>
      <c r="L1288" t="s">
        <v>67</v>
      </c>
      <c r="M1288" t="s">
        <v>47</v>
      </c>
      <c r="N1288" t="s">
        <v>69</v>
      </c>
      <c r="O1288" t="s">
        <v>70</v>
      </c>
      <c r="P1288" t="s">
        <v>37</v>
      </c>
      <c r="Q1288" t="s">
        <v>189</v>
      </c>
      <c r="R1288">
        <v>418</v>
      </c>
      <c r="S1288">
        <v>195</v>
      </c>
      <c r="T1288">
        <v>110</v>
      </c>
      <c r="U1288">
        <v>22</v>
      </c>
      <c r="V1288" t="s">
        <v>2878</v>
      </c>
      <c r="W1288">
        <v>25119</v>
      </c>
      <c r="X1288" t="s">
        <v>483</v>
      </c>
      <c r="Y1288">
        <v>22470</v>
      </c>
      <c r="Z1288">
        <v>552618</v>
      </c>
      <c r="AA1288">
        <v>58278</v>
      </c>
      <c r="AB1288" t="str">
        <f>(VLOOKUP(SalesData[[#This Row],[Month Number]],Reference!C$5:E$16,2,FALSE))</f>
        <v>Feb</v>
      </c>
      <c r="AC1288">
        <f>MONTH(SalesData[[#This Row],[Date]])</f>
        <v>2</v>
      </c>
      <c r="AD1288">
        <f>Reference!F$4</f>
        <v>2026</v>
      </c>
      <c r="AE1288" t="str">
        <f>IF(OR(SalesData[[#This Row],[Day]]="Saturday",SalesData[[#This Row],[Day]]="Sunday"),"Weekend","Weekday")</f>
        <v>Weekend</v>
      </c>
      <c r="AF1288" s="5">
        <f>IF(SalesData[[#This Row],[Contracts Offered]]=0,0,SalesData[[#This Row],[Contracts Signed]]/SalesData[[#This Row],[Contracts Offered]])</f>
        <v>0.2</v>
      </c>
      <c r="AG1288" s="5">
        <f>IF(SalesData[[#This Row],[Customers Visited]]=0,0,SalesData[[#This Row],[Test Drives]]/SalesData[[#This Row],[Customers Visited]])</f>
        <v>0.46650717703349281</v>
      </c>
      <c r="AH1288" s="5">
        <f>IF(SalesData[[#This Row],[Customers Visited]]=0,0,SalesData[[#This Row],[Contracts Signed]]/SalesData[[#This Row],[Customers Visited]])</f>
        <v>5.2631578947368418E-2</v>
      </c>
      <c r="AI1288" s="6">
        <f>IF(SalesData[[#This Row],[Contracts Signed]]=0,0,SalesData[[#This Row],[Profit(€)]]/SalesData[[#This Row],[Contracts Signed]])</f>
        <v>2649</v>
      </c>
      <c r="AJ1288" s="5" t="str">
        <f>TRIM(CLEAN(SalesData[[#This Row],[Retailer]]))</f>
        <v>Saxon Wheels</v>
      </c>
    </row>
    <row r="1289" spans="1:36" ht="14.25" hidden="1" x14ac:dyDescent="0.2">
      <c r="A1289" t="s">
        <v>2113</v>
      </c>
      <c r="B1289" s="1">
        <v>46071</v>
      </c>
      <c r="C1289" t="s">
        <v>62</v>
      </c>
      <c r="D1289" t="s">
        <v>82</v>
      </c>
      <c r="E1289" t="s">
        <v>26</v>
      </c>
      <c r="F1289" t="s">
        <v>94</v>
      </c>
      <c r="G1289" t="s">
        <v>95</v>
      </c>
      <c r="H1289" t="s">
        <v>96</v>
      </c>
      <c r="I1289" t="s">
        <v>116</v>
      </c>
      <c r="J1289" t="s">
        <v>7026</v>
      </c>
      <c r="K1289" t="s">
        <v>78</v>
      </c>
      <c r="L1289" t="s">
        <v>46</v>
      </c>
      <c r="M1289" t="s">
        <v>47</v>
      </c>
      <c r="N1289" t="s">
        <v>35</v>
      </c>
      <c r="O1289" t="s">
        <v>70</v>
      </c>
      <c r="P1289" t="s">
        <v>58</v>
      </c>
      <c r="Q1289" t="s">
        <v>167</v>
      </c>
      <c r="R1289">
        <v>321</v>
      </c>
      <c r="S1289">
        <v>132</v>
      </c>
      <c r="T1289">
        <v>80</v>
      </c>
      <c r="U1289">
        <v>29</v>
      </c>
      <c r="V1289" t="s">
        <v>6540</v>
      </c>
      <c r="W1289">
        <v>25406</v>
      </c>
      <c r="X1289" t="s">
        <v>4233</v>
      </c>
      <c r="Y1289">
        <v>23306</v>
      </c>
      <c r="Z1289">
        <v>736774</v>
      </c>
      <c r="AA1289">
        <v>60900</v>
      </c>
      <c r="AB1289" t="str">
        <f>(VLOOKUP(SalesData[[#This Row],[Month Number]],Reference!C$5:E$16,2,FALSE))</f>
        <v>Feb</v>
      </c>
      <c r="AC1289">
        <f>MONTH(SalesData[[#This Row],[Date]])</f>
        <v>2</v>
      </c>
      <c r="AD1289">
        <f>Reference!F$4</f>
        <v>2026</v>
      </c>
      <c r="AE1289" t="str">
        <f>IF(OR(SalesData[[#This Row],[Day]]="Saturday",SalesData[[#This Row],[Day]]="Sunday"),"Weekend","Weekday")</f>
        <v>Weekday</v>
      </c>
      <c r="AF1289" s="5">
        <f>IF(SalesData[[#This Row],[Contracts Offered]]=0,0,SalesData[[#This Row],[Contracts Signed]]/SalesData[[#This Row],[Contracts Offered]])</f>
        <v>0.36249999999999999</v>
      </c>
      <c r="AG1289" s="5">
        <f>IF(SalesData[[#This Row],[Customers Visited]]=0,0,SalesData[[#This Row],[Test Drives]]/SalesData[[#This Row],[Customers Visited]])</f>
        <v>0.41121495327102803</v>
      </c>
      <c r="AH1289" s="5">
        <f>IF(SalesData[[#This Row],[Customers Visited]]=0,0,SalesData[[#This Row],[Contracts Signed]]/SalesData[[#This Row],[Customers Visited]])</f>
        <v>9.0342679127725853E-2</v>
      </c>
      <c r="AI1289" s="6">
        <f>IF(SalesData[[#This Row],[Contracts Signed]]=0,0,SalesData[[#This Row],[Profit(€)]]/SalesData[[#This Row],[Contracts Signed]])</f>
        <v>2100</v>
      </c>
      <c r="AJ1289" s="5" t="str">
        <f>TRIM(CLEAN(SalesData[[#This Row],[Retailer]]))</f>
        <v>Bavaria Motors</v>
      </c>
    </row>
    <row r="1290" spans="1:36" ht="14.25" hidden="1" x14ac:dyDescent="0.2">
      <c r="A1290" t="s">
        <v>2115</v>
      </c>
      <c r="B1290" s="1">
        <v>46076</v>
      </c>
      <c r="C1290" t="s">
        <v>53</v>
      </c>
      <c r="D1290" t="s">
        <v>25</v>
      </c>
      <c r="E1290" t="s">
        <v>26</v>
      </c>
      <c r="F1290" t="s">
        <v>7649</v>
      </c>
      <c r="G1290" t="s">
        <v>55</v>
      </c>
      <c r="H1290" t="s">
        <v>55</v>
      </c>
      <c r="I1290" t="s">
        <v>64</v>
      </c>
      <c r="J1290" t="s">
        <v>65</v>
      </c>
      <c r="K1290" t="s">
        <v>32</v>
      </c>
      <c r="L1290" t="s">
        <v>33</v>
      </c>
      <c r="M1290" t="s">
        <v>34</v>
      </c>
      <c r="N1290" t="s">
        <v>35</v>
      </c>
      <c r="O1290" t="s">
        <v>36</v>
      </c>
      <c r="P1290" t="s">
        <v>49</v>
      </c>
      <c r="Q1290" t="s">
        <v>122</v>
      </c>
      <c r="R1290">
        <v>179</v>
      </c>
      <c r="S1290">
        <v>86</v>
      </c>
      <c r="T1290">
        <v>61</v>
      </c>
      <c r="U1290">
        <v>23</v>
      </c>
      <c r="V1290" t="s">
        <v>6416</v>
      </c>
      <c r="W1290">
        <v>65445</v>
      </c>
      <c r="X1290" t="s">
        <v>7387</v>
      </c>
      <c r="Y1290">
        <v>50700</v>
      </c>
      <c r="Z1290">
        <v>1505235</v>
      </c>
      <c r="AA1290">
        <v>339135</v>
      </c>
      <c r="AB1290" t="str">
        <f>(VLOOKUP(SalesData[[#This Row],[Month Number]],Reference!C$5:E$16,2,FALSE))</f>
        <v>Feb</v>
      </c>
      <c r="AC1290">
        <f>MONTH(SalesData[[#This Row],[Date]])</f>
        <v>2</v>
      </c>
      <c r="AD1290">
        <f>Reference!F$4</f>
        <v>2026</v>
      </c>
      <c r="AE1290" t="str">
        <f>IF(OR(SalesData[[#This Row],[Day]]="Saturday",SalesData[[#This Row],[Day]]="Sunday"),"Weekend","Weekday")</f>
        <v>Weekday</v>
      </c>
      <c r="AF1290" s="5">
        <f>IF(SalesData[[#This Row],[Contracts Offered]]=0,0,SalesData[[#This Row],[Contracts Signed]]/SalesData[[#This Row],[Contracts Offered]])</f>
        <v>0.37704918032786883</v>
      </c>
      <c r="AG1290" s="5">
        <f>IF(SalesData[[#This Row],[Customers Visited]]=0,0,SalesData[[#This Row],[Test Drives]]/SalesData[[#This Row],[Customers Visited]])</f>
        <v>0.48044692737430167</v>
      </c>
      <c r="AH1290" s="5">
        <f>IF(SalesData[[#This Row],[Customers Visited]]=0,0,SalesData[[#This Row],[Contracts Signed]]/SalesData[[#This Row],[Customers Visited]])</f>
        <v>0.12849162011173185</v>
      </c>
      <c r="AI1290" s="6">
        <f>IF(SalesData[[#This Row],[Contracts Signed]]=0,0,SalesData[[#This Row],[Profit(€)]]/SalesData[[#This Row],[Contracts Signed]])</f>
        <v>14745</v>
      </c>
      <c r="AJ1290" s="5" t="str">
        <f>TRIM(CLEAN(SalesData[[#This Row],[Retailer]]))</f>
        <v>Autohaus Berlin</v>
      </c>
    </row>
    <row r="1291" spans="1:36" ht="14.25" hidden="1" x14ac:dyDescent="0.2">
      <c r="A1291" t="s">
        <v>2117</v>
      </c>
      <c r="B1291" s="1">
        <v>46056</v>
      </c>
      <c r="C1291" t="s">
        <v>24</v>
      </c>
      <c r="D1291" t="s">
        <v>63</v>
      </c>
      <c r="E1291" t="s">
        <v>26</v>
      </c>
      <c r="F1291" t="s">
        <v>7649</v>
      </c>
      <c r="G1291" t="s">
        <v>55</v>
      </c>
      <c r="H1291" t="s">
        <v>55</v>
      </c>
      <c r="I1291" t="s">
        <v>116</v>
      </c>
      <c r="J1291" t="s">
        <v>203</v>
      </c>
      <c r="K1291" t="s">
        <v>91</v>
      </c>
      <c r="L1291" t="s">
        <v>67</v>
      </c>
      <c r="M1291" t="s">
        <v>34</v>
      </c>
      <c r="N1291" t="s">
        <v>69</v>
      </c>
      <c r="O1291" t="s">
        <v>70</v>
      </c>
      <c r="P1291" t="s">
        <v>49</v>
      </c>
      <c r="Q1291" t="s">
        <v>152</v>
      </c>
      <c r="R1291">
        <v>346</v>
      </c>
      <c r="S1291">
        <v>135</v>
      </c>
      <c r="T1291">
        <v>85</v>
      </c>
      <c r="U1291">
        <v>21</v>
      </c>
      <c r="V1291" t="s">
        <v>925</v>
      </c>
      <c r="W1291">
        <v>20363</v>
      </c>
      <c r="X1291" t="s">
        <v>7409</v>
      </c>
      <c r="Y1291">
        <v>18483</v>
      </c>
      <c r="Z1291">
        <v>427623</v>
      </c>
      <c r="AA1291">
        <v>39480</v>
      </c>
      <c r="AB1291" t="str">
        <f>(VLOOKUP(SalesData[[#This Row],[Month Number]],Reference!C$5:E$16,2,FALSE))</f>
        <v>Feb</v>
      </c>
      <c r="AC1291">
        <f>MONTH(SalesData[[#This Row],[Date]])</f>
        <v>2</v>
      </c>
      <c r="AD1291">
        <f>Reference!F$4</f>
        <v>2026</v>
      </c>
      <c r="AE1291" t="str">
        <f>IF(OR(SalesData[[#This Row],[Day]]="Saturday",SalesData[[#This Row],[Day]]="Sunday"),"Weekend","Weekday")</f>
        <v>Weekday</v>
      </c>
      <c r="AF1291" s="5">
        <f>IF(SalesData[[#This Row],[Contracts Offered]]=0,0,SalesData[[#This Row],[Contracts Signed]]/SalesData[[#This Row],[Contracts Offered]])</f>
        <v>0.24705882352941178</v>
      </c>
      <c r="AG1291" s="5">
        <f>IF(SalesData[[#This Row],[Customers Visited]]=0,0,SalesData[[#This Row],[Test Drives]]/SalesData[[#This Row],[Customers Visited]])</f>
        <v>0.39017341040462428</v>
      </c>
      <c r="AH1291" s="5">
        <f>IF(SalesData[[#This Row],[Customers Visited]]=0,0,SalesData[[#This Row],[Contracts Signed]]/SalesData[[#This Row],[Customers Visited]])</f>
        <v>6.0693641618497107E-2</v>
      </c>
      <c r="AI1291" s="6">
        <f>IF(SalesData[[#This Row],[Contracts Signed]]=0,0,SalesData[[#This Row],[Profit(€)]]/SalesData[[#This Row],[Contracts Signed]])</f>
        <v>1880</v>
      </c>
      <c r="AJ1291" s="5" t="str">
        <f>TRIM(CLEAN(SalesData[[#This Row],[Retailer]]))</f>
        <v>Autohaus Berlin</v>
      </c>
    </row>
    <row r="1292" spans="1:36" ht="14.25" hidden="1" x14ac:dyDescent="0.2">
      <c r="A1292" t="s">
        <v>2118</v>
      </c>
      <c r="B1292" s="1">
        <v>46068</v>
      </c>
      <c r="C1292" t="s">
        <v>62</v>
      </c>
      <c r="D1292" t="s">
        <v>41</v>
      </c>
      <c r="E1292" t="s">
        <v>42</v>
      </c>
      <c r="F1292" t="s">
        <v>109</v>
      </c>
      <c r="G1292" t="s">
        <v>110</v>
      </c>
      <c r="H1292" t="s">
        <v>45</v>
      </c>
      <c r="I1292" t="s">
        <v>64</v>
      </c>
      <c r="J1292" t="s">
        <v>157</v>
      </c>
      <c r="K1292" t="s">
        <v>66</v>
      </c>
      <c r="L1292" t="s">
        <v>33</v>
      </c>
      <c r="M1292" t="s">
        <v>34</v>
      </c>
      <c r="N1292" t="s">
        <v>48</v>
      </c>
      <c r="O1292" t="s">
        <v>70</v>
      </c>
      <c r="P1292" t="s">
        <v>37</v>
      </c>
      <c r="Q1292" t="s">
        <v>189</v>
      </c>
      <c r="R1292">
        <v>245</v>
      </c>
      <c r="S1292">
        <v>134</v>
      </c>
      <c r="T1292">
        <v>103</v>
      </c>
      <c r="U1292">
        <v>29</v>
      </c>
      <c r="V1292" t="s">
        <v>7011</v>
      </c>
      <c r="W1292">
        <v>57144</v>
      </c>
      <c r="X1292" t="s">
        <v>7109</v>
      </c>
      <c r="Y1292">
        <v>44788</v>
      </c>
      <c r="Z1292">
        <v>1657176</v>
      </c>
      <c r="AA1292">
        <v>358324</v>
      </c>
      <c r="AB1292" t="str">
        <f>(VLOOKUP(SalesData[[#This Row],[Month Number]],Reference!C$5:E$16,2,FALSE))</f>
        <v>Feb</v>
      </c>
      <c r="AC1292">
        <f>MONTH(SalesData[[#This Row],[Date]])</f>
        <v>2</v>
      </c>
      <c r="AD1292">
        <f>Reference!F$4</f>
        <v>2026</v>
      </c>
      <c r="AE1292" t="str">
        <f>IF(OR(SalesData[[#This Row],[Day]]="Saturday",SalesData[[#This Row],[Day]]="Sunday"),"Weekend","Weekday")</f>
        <v>Weekend</v>
      </c>
      <c r="AF1292" s="5">
        <f>IF(SalesData[[#This Row],[Contracts Offered]]=0,0,SalesData[[#This Row],[Contracts Signed]]/SalesData[[#This Row],[Contracts Offered]])</f>
        <v>0.28155339805825241</v>
      </c>
      <c r="AG1292" s="5">
        <f>IF(SalesData[[#This Row],[Customers Visited]]=0,0,SalesData[[#This Row],[Test Drives]]/SalesData[[#This Row],[Customers Visited]])</f>
        <v>0.54693877551020409</v>
      </c>
      <c r="AH1292" s="5">
        <f>IF(SalesData[[#This Row],[Customers Visited]]=0,0,SalesData[[#This Row],[Contracts Signed]]/SalesData[[#This Row],[Customers Visited]])</f>
        <v>0.11836734693877551</v>
      </c>
      <c r="AI1292" s="6">
        <f>IF(SalesData[[#This Row],[Contracts Signed]]=0,0,SalesData[[#This Row],[Profit(€)]]/SalesData[[#This Row],[Contracts Signed]])</f>
        <v>12356</v>
      </c>
      <c r="AJ1292" s="5" t="str">
        <f>TRIM(CLEAN(SalesData[[#This Row],[Retailer]]))</f>
        <v>Leipzig Mobility</v>
      </c>
    </row>
    <row r="1293" spans="1:36" ht="14.25" hidden="1" x14ac:dyDescent="0.2">
      <c r="A1293" t="s">
        <v>2119</v>
      </c>
      <c r="B1293" s="1">
        <v>46069</v>
      </c>
      <c r="C1293" t="s">
        <v>62</v>
      </c>
      <c r="D1293" t="s">
        <v>25</v>
      </c>
      <c r="E1293" t="s">
        <v>26</v>
      </c>
      <c r="F1293" t="s">
        <v>74</v>
      </c>
      <c r="G1293" t="s">
        <v>75</v>
      </c>
      <c r="H1293" t="s">
        <v>76</v>
      </c>
      <c r="I1293" t="s">
        <v>116</v>
      </c>
      <c r="J1293" t="s">
        <v>203</v>
      </c>
      <c r="K1293" t="s">
        <v>66</v>
      </c>
      <c r="L1293" t="s">
        <v>67</v>
      </c>
      <c r="M1293" t="s">
        <v>47</v>
      </c>
      <c r="N1293" t="s">
        <v>48</v>
      </c>
      <c r="O1293" t="s">
        <v>36</v>
      </c>
      <c r="P1293" t="s">
        <v>58</v>
      </c>
      <c r="Q1293" t="s">
        <v>167</v>
      </c>
      <c r="R1293">
        <v>310</v>
      </c>
      <c r="S1293">
        <v>135</v>
      </c>
      <c r="T1293">
        <v>91</v>
      </c>
      <c r="U1293">
        <v>25</v>
      </c>
      <c r="V1293" t="s">
        <v>123</v>
      </c>
      <c r="W1293">
        <v>25623</v>
      </c>
      <c r="X1293" t="s">
        <v>7172</v>
      </c>
      <c r="Y1293">
        <v>22939</v>
      </c>
      <c r="Z1293">
        <v>640575</v>
      </c>
      <c r="AA1293">
        <v>67100</v>
      </c>
      <c r="AB1293" t="str">
        <f>(VLOOKUP(SalesData[[#This Row],[Month Number]],Reference!C$5:E$16,2,FALSE))</f>
        <v>Feb</v>
      </c>
      <c r="AC1293">
        <f>MONTH(SalesData[[#This Row],[Date]])</f>
        <v>2</v>
      </c>
      <c r="AD1293">
        <f>Reference!F$4</f>
        <v>2026</v>
      </c>
      <c r="AE1293" t="str">
        <f>IF(OR(SalesData[[#This Row],[Day]]="Saturday",SalesData[[#This Row],[Day]]="Sunday"),"Weekend","Weekday")</f>
        <v>Weekday</v>
      </c>
      <c r="AF1293" s="5">
        <f>IF(SalesData[[#This Row],[Contracts Offered]]=0,0,SalesData[[#This Row],[Contracts Signed]]/SalesData[[#This Row],[Contracts Offered]])</f>
        <v>0.27472527472527475</v>
      </c>
      <c r="AG1293" s="5">
        <f>IF(SalesData[[#This Row],[Customers Visited]]=0,0,SalesData[[#This Row],[Test Drives]]/SalesData[[#This Row],[Customers Visited]])</f>
        <v>0.43548387096774194</v>
      </c>
      <c r="AH1293" s="5">
        <f>IF(SalesData[[#This Row],[Customers Visited]]=0,0,SalesData[[#This Row],[Contracts Signed]]/SalesData[[#This Row],[Customers Visited]])</f>
        <v>8.0645161290322578E-2</v>
      </c>
      <c r="AI1293" s="6">
        <f>IF(SalesData[[#This Row],[Contracts Signed]]=0,0,SalesData[[#This Row],[Profit(€)]]/SalesData[[#This Row],[Contracts Signed]])</f>
        <v>2684</v>
      </c>
      <c r="AJ1293" s="5" t="str">
        <f>TRIM(CLEAN(SalesData[[#This Row],[Retailer]]))</f>
        <v>Stuttgart Auto Center</v>
      </c>
    </row>
    <row r="1294" spans="1:36" ht="14.25" x14ac:dyDescent="0.2">
      <c r="A1294" t="s">
        <v>2120</v>
      </c>
      <c r="B1294" s="1">
        <v>46054</v>
      </c>
      <c r="C1294" t="s">
        <v>24</v>
      </c>
      <c r="D1294" t="s">
        <v>41</v>
      </c>
      <c r="E1294" t="s">
        <v>42</v>
      </c>
      <c r="F1294" t="s">
        <v>127</v>
      </c>
      <c r="G1294" t="s">
        <v>128</v>
      </c>
      <c r="H1294" t="s">
        <v>103</v>
      </c>
      <c r="I1294" t="s">
        <v>30</v>
      </c>
      <c r="J1294" t="s">
        <v>86</v>
      </c>
      <c r="K1294" t="s">
        <v>78</v>
      </c>
      <c r="L1294" t="s">
        <v>33</v>
      </c>
      <c r="M1294" t="s">
        <v>68</v>
      </c>
      <c r="N1294" t="s">
        <v>69</v>
      </c>
      <c r="O1294" t="s">
        <v>36</v>
      </c>
      <c r="P1294" t="s">
        <v>58</v>
      </c>
      <c r="Q1294" t="s">
        <v>169</v>
      </c>
      <c r="R1294">
        <v>239</v>
      </c>
      <c r="S1294">
        <v>133</v>
      </c>
      <c r="T1294">
        <v>92</v>
      </c>
      <c r="U1294">
        <v>39</v>
      </c>
      <c r="V1294" t="s">
        <v>6573</v>
      </c>
      <c r="W1294">
        <v>52875</v>
      </c>
      <c r="X1294" t="s">
        <v>7410</v>
      </c>
      <c r="Y1294">
        <v>39737</v>
      </c>
      <c r="Z1294">
        <v>2062125</v>
      </c>
      <c r="AA1294">
        <v>512382</v>
      </c>
      <c r="AB1294" t="str">
        <f>(VLOOKUP(SalesData[[#This Row],[Month Number]],Reference!C$5:E$16,2,FALSE))</f>
        <v>Feb</v>
      </c>
      <c r="AC1294">
        <f>MONTH(SalesData[[#This Row],[Date]])</f>
        <v>2</v>
      </c>
      <c r="AD1294">
        <f>Reference!F$4</f>
        <v>2026</v>
      </c>
      <c r="AE1294" t="str">
        <f>IF(OR(SalesData[[#This Row],[Day]]="Saturday",SalesData[[#This Row],[Day]]="Sunday"),"Weekend","Weekday")</f>
        <v>Weekend</v>
      </c>
      <c r="AF1294" s="5">
        <f>IF(SalesData[[#This Row],[Contracts Offered]]=0,0,SalesData[[#This Row],[Contracts Signed]]/SalesData[[#This Row],[Contracts Offered]])</f>
        <v>0.42391304347826086</v>
      </c>
      <c r="AG1294" s="5">
        <f>IF(SalesData[[#This Row],[Customers Visited]]=0,0,SalesData[[#This Row],[Test Drives]]/SalesData[[#This Row],[Customers Visited]])</f>
        <v>0.55648535564853552</v>
      </c>
      <c r="AH1294" s="5">
        <f>IF(SalesData[[#This Row],[Customers Visited]]=0,0,SalesData[[#This Row],[Contracts Signed]]/SalesData[[#This Row],[Customers Visited]])</f>
        <v>0.16317991631799164</v>
      </c>
      <c r="AI1294" s="6">
        <f>IF(SalesData[[#This Row],[Contracts Signed]]=0,0,SalesData[[#This Row],[Profit(€)]]/SalesData[[#This Row],[Contracts Signed]])</f>
        <v>13138</v>
      </c>
      <c r="AJ1294" s="5" t="str">
        <f>TRIM(CLEAN(SalesData[[#This Row],[Retailer]]))</f>
        <v>Rhein Auto Group</v>
      </c>
    </row>
    <row r="1295" spans="1:36" ht="14.25" hidden="1" x14ac:dyDescent="0.2">
      <c r="A1295" t="s">
        <v>2122</v>
      </c>
      <c r="B1295" s="1">
        <v>46072</v>
      </c>
      <c r="C1295" t="s">
        <v>62</v>
      </c>
      <c r="D1295" t="s">
        <v>100</v>
      </c>
      <c r="E1295" t="s">
        <v>26</v>
      </c>
      <c r="F1295" t="s">
        <v>83</v>
      </c>
      <c r="G1295" t="s">
        <v>84</v>
      </c>
      <c r="H1295" t="s">
        <v>85</v>
      </c>
      <c r="I1295" t="s">
        <v>56</v>
      </c>
      <c r="J1295" t="s">
        <v>7028</v>
      </c>
      <c r="K1295" t="s">
        <v>32</v>
      </c>
      <c r="L1295" t="s">
        <v>46</v>
      </c>
      <c r="M1295" t="s">
        <v>47</v>
      </c>
      <c r="N1295" t="s">
        <v>48</v>
      </c>
      <c r="O1295" t="s">
        <v>36</v>
      </c>
      <c r="P1295" t="s">
        <v>71</v>
      </c>
      <c r="Q1295" t="s">
        <v>79</v>
      </c>
      <c r="R1295">
        <v>240</v>
      </c>
      <c r="S1295">
        <v>126</v>
      </c>
      <c r="T1295">
        <v>85</v>
      </c>
      <c r="U1295">
        <v>27</v>
      </c>
      <c r="V1295" t="s">
        <v>6452</v>
      </c>
      <c r="W1295">
        <v>41601</v>
      </c>
      <c r="X1295" t="s">
        <v>4556</v>
      </c>
      <c r="Y1295">
        <v>31370</v>
      </c>
      <c r="Z1295">
        <v>1123227</v>
      </c>
      <c r="AA1295">
        <v>276237</v>
      </c>
      <c r="AB1295" t="str">
        <f>(VLOOKUP(SalesData[[#This Row],[Month Number]],Reference!C$5:E$16,2,FALSE))</f>
        <v>Feb</v>
      </c>
      <c r="AC1295">
        <f>MONTH(SalesData[[#This Row],[Date]])</f>
        <v>2</v>
      </c>
      <c r="AD1295">
        <f>Reference!F$4</f>
        <v>2026</v>
      </c>
      <c r="AE1295" t="str">
        <f>IF(OR(SalesData[[#This Row],[Day]]="Saturday",SalesData[[#This Row],[Day]]="Sunday"),"Weekend","Weekday")</f>
        <v>Weekday</v>
      </c>
      <c r="AF1295" s="5">
        <f>IF(SalesData[[#This Row],[Contracts Offered]]=0,0,SalesData[[#This Row],[Contracts Signed]]/SalesData[[#This Row],[Contracts Offered]])</f>
        <v>0.31764705882352939</v>
      </c>
      <c r="AG1295" s="5">
        <f>IF(SalesData[[#This Row],[Customers Visited]]=0,0,SalesData[[#This Row],[Test Drives]]/SalesData[[#This Row],[Customers Visited]])</f>
        <v>0.52500000000000002</v>
      </c>
      <c r="AH1295" s="5">
        <f>IF(SalesData[[#This Row],[Customers Visited]]=0,0,SalesData[[#This Row],[Contracts Signed]]/SalesData[[#This Row],[Customers Visited]])</f>
        <v>0.1125</v>
      </c>
      <c r="AI1295" s="6">
        <f>IF(SalesData[[#This Row],[Contracts Signed]]=0,0,SalesData[[#This Row],[Profit(€)]]/SalesData[[#This Row],[Contracts Signed]])</f>
        <v>10231</v>
      </c>
      <c r="AJ1295" s="5" t="str">
        <f>TRIM(CLEAN(SalesData[[#This Row],[Retailer]]))</f>
        <v>Hannover Cars</v>
      </c>
    </row>
    <row r="1296" spans="1:36" ht="14.25" hidden="1" x14ac:dyDescent="0.2">
      <c r="A1296" t="s">
        <v>2123</v>
      </c>
      <c r="B1296" s="1">
        <v>46077</v>
      </c>
      <c r="C1296" t="s">
        <v>53</v>
      </c>
      <c r="D1296" t="s">
        <v>63</v>
      </c>
      <c r="E1296" t="s">
        <v>26</v>
      </c>
      <c r="F1296" t="s">
        <v>74</v>
      </c>
      <c r="G1296" t="s">
        <v>75</v>
      </c>
      <c r="H1296" t="s">
        <v>76</v>
      </c>
      <c r="I1296" t="s">
        <v>64</v>
      </c>
      <c r="J1296" t="s">
        <v>111</v>
      </c>
      <c r="K1296" t="s">
        <v>66</v>
      </c>
      <c r="L1296" t="s">
        <v>46</v>
      </c>
      <c r="M1296" t="s">
        <v>47</v>
      </c>
      <c r="N1296" t="s">
        <v>69</v>
      </c>
      <c r="O1296" t="s">
        <v>36</v>
      </c>
      <c r="P1296" t="s">
        <v>49</v>
      </c>
      <c r="Q1296" t="s">
        <v>59</v>
      </c>
      <c r="R1296">
        <v>185</v>
      </c>
      <c r="S1296">
        <v>83</v>
      </c>
      <c r="T1296">
        <v>61</v>
      </c>
      <c r="U1296">
        <v>21</v>
      </c>
      <c r="V1296" t="s">
        <v>6706</v>
      </c>
      <c r="W1296">
        <v>60816</v>
      </c>
      <c r="X1296" t="s">
        <v>3642</v>
      </c>
      <c r="Y1296">
        <v>45695</v>
      </c>
      <c r="Z1296">
        <v>1277136</v>
      </c>
      <c r="AA1296">
        <v>317541</v>
      </c>
      <c r="AB1296" t="str">
        <f>(VLOOKUP(SalesData[[#This Row],[Month Number]],Reference!C$5:E$16,2,FALSE))</f>
        <v>Feb</v>
      </c>
      <c r="AC1296">
        <f>MONTH(SalesData[[#This Row],[Date]])</f>
        <v>2</v>
      </c>
      <c r="AD1296">
        <f>Reference!F$4</f>
        <v>2026</v>
      </c>
      <c r="AE1296" t="str">
        <f>IF(OR(SalesData[[#This Row],[Day]]="Saturday",SalesData[[#This Row],[Day]]="Sunday"),"Weekend","Weekday")</f>
        <v>Weekday</v>
      </c>
      <c r="AF1296" s="5">
        <f>IF(SalesData[[#This Row],[Contracts Offered]]=0,0,SalesData[[#This Row],[Contracts Signed]]/SalesData[[#This Row],[Contracts Offered]])</f>
        <v>0.34426229508196721</v>
      </c>
      <c r="AG1296" s="5">
        <f>IF(SalesData[[#This Row],[Customers Visited]]=0,0,SalesData[[#This Row],[Test Drives]]/SalesData[[#This Row],[Customers Visited]])</f>
        <v>0.44864864864864867</v>
      </c>
      <c r="AH1296" s="5">
        <f>IF(SalesData[[#This Row],[Customers Visited]]=0,0,SalesData[[#This Row],[Contracts Signed]]/SalesData[[#This Row],[Customers Visited]])</f>
        <v>0.11351351351351352</v>
      </c>
      <c r="AI1296" s="6">
        <f>IF(SalesData[[#This Row],[Contracts Signed]]=0,0,SalesData[[#This Row],[Profit(€)]]/SalesData[[#This Row],[Contracts Signed]])</f>
        <v>15121</v>
      </c>
      <c r="AJ1296" s="5" t="str">
        <f>TRIM(CLEAN(SalesData[[#This Row],[Retailer]]))</f>
        <v>Stuttgart Auto Center</v>
      </c>
    </row>
    <row r="1297" spans="1:36" ht="14.25" hidden="1" x14ac:dyDescent="0.2">
      <c r="A1297" t="s">
        <v>2124</v>
      </c>
      <c r="B1297" s="1">
        <v>46077</v>
      </c>
      <c r="C1297" t="s">
        <v>53</v>
      </c>
      <c r="D1297" t="s">
        <v>63</v>
      </c>
      <c r="E1297" t="s">
        <v>26</v>
      </c>
      <c r="F1297" t="s">
        <v>94</v>
      </c>
      <c r="G1297" t="s">
        <v>95</v>
      </c>
      <c r="H1297" t="s">
        <v>96</v>
      </c>
      <c r="I1297" t="s">
        <v>56</v>
      </c>
      <c r="J1297" t="s">
        <v>137</v>
      </c>
      <c r="K1297" t="s">
        <v>32</v>
      </c>
      <c r="L1297" t="s">
        <v>46</v>
      </c>
      <c r="M1297" t="s">
        <v>47</v>
      </c>
      <c r="N1297" t="s">
        <v>35</v>
      </c>
      <c r="O1297" t="s">
        <v>70</v>
      </c>
      <c r="P1297" t="s">
        <v>71</v>
      </c>
      <c r="Q1297" t="s">
        <v>158</v>
      </c>
      <c r="R1297">
        <v>307</v>
      </c>
      <c r="S1297">
        <v>179</v>
      </c>
      <c r="T1297">
        <v>127</v>
      </c>
      <c r="U1297">
        <v>41</v>
      </c>
      <c r="V1297" t="s">
        <v>6940</v>
      </c>
      <c r="W1297">
        <v>41103</v>
      </c>
      <c r="X1297" t="s">
        <v>7142</v>
      </c>
      <c r="Y1297">
        <v>33590</v>
      </c>
      <c r="Z1297">
        <v>1685223</v>
      </c>
      <c r="AA1297">
        <v>308033</v>
      </c>
      <c r="AB1297" t="str">
        <f>(VLOOKUP(SalesData[[#This Row],[Month Number]],Reference!C$5:E$16,2,FALSE))</f>
        <v>Feb</v>
      </c>
      <c r="AC1297">
        <f>MONTH(SalesData[[#This Row],[Date]])</f>
        <v>2</v>
      </c>
      <c r="AD1297">
        <f>Reference!F$4</f>
        <v>2026</v>
      </c>
      <c r="AE1297" t="str">
        <f>IF(OR(SalesData[[#This Row],[Day]]="Saturday",SalesData[[#This Row],[Day]]="Sunday"),"Weekend","Weekday")</f>
        <v>Weekday</v>
      </c>
      <c r="AF1297" s="5">
        <f>IF(SalesData[[#This Row],[Contracts Offered]]=0,0,SalesData[[#This Row],[Contracts Signed]]/SalesData[[#This Row],[Contracts Offered]])</f>
        <v>0.32283464566929132</v>
      </c>
      <c r="AG1297" s="5">
        <f>IF(SalesData[[#This Row],[Customers Visited]]=0,0,SalesData[[#This Row],[Test Drives]]/SalesData[[#This Row],[Customers Visited]])</f>
        <v>0.58306188925081437</v>
      </c>
      <c r="AH1297" s="5">
        <f>IF(SalesData[[#This Row],[Customers Visited]]=0,0,SalesData[[#This Row],[Contracts Signed]]/SalesData[[#This Row],[Customers Visited]])</f>
        <v>0.13355048859934854</v>
      </c>
      <c r="AI1297" s="6">
        <f>IF(SalesData[[#This Row],[Contracts Signed]]=0,0,SalesData[[#This Row],[Profit(€)]]/SalesData[[#This Row],[Contracts Signed]])</f>
        <v>7513</v>
      </c>
      <c r="AJ1297" s="5" t="str">
        <f>TRIM(CLEAN(SalesData[[#This Row],[Retailer]]))</f>
        <v>Bavaria Motors</v>
      </c>
    </row>
    <row r="1298" spans="1:36" ht="14.25" hidden="1" x14ac:dyDescent="0.2">
      <c r="A1298" t="s">
        <v>2125</v>
      </c>
      <c r="B1298" s="1">
        <v>46080</v>
      </c>
      <c r="C1298" t="s">
        <v>53</v>
      </c>
      <c r="D1298" t="s">
        <v>54</v>
      </c>
      <c r="E1298" t="s">
        <v>26</v>
      </c>
      <c r="F1298" t="s">
        <v>114</v>
      </c>
      <c r="G1298" t="s">
        <v>115</v>
      </c>
      <c r="H1298" t="s">
        <v>115</v>
      </c>
      <c r="I1298" t="s">
        <v>104</v>
      </c>
      <c r="J1298" t="s">
        <v>143</v>
      </c>
      <c r="K1298" t="s">
        <v>32</v>
      </c>
      <c r="L1298" t="s">
        <v>67</v>
      </c>
      <c r="M1298" t="s">
        <v>68</v>
      </c>
      <c r="N1298" t="s">
        <v>69</v>
      </c>
      <c r="O1298" t="s">
        <v>36</v>
      </c>
      <c r="P1298" t="s">
        <v>37</v>
      </c>
      <c r="Q1298" t="s">
        <v>129</v>
      </c>
      <c r="R1298">
        <v>427</v>
      </c>
      <c r="S1298">
        <v>236</v>
      </c>
      <c r="T1298">
        <v>163</v>
      </c>
      <c r="U1298">
        <v>34</v>
      </c>
      <c r="V1298" t="s">
        <v>807</v>
      </c>
      <c r="W1298">
        <v>25635</v>
      </c>
      <c r="X1298" t="s">
        <v>7411</v>
      </c>
      <c r="Y1298">
        <v>23211</v>
      </c>
      <c r="Z1298">
        <v>871590</v>
      </c>
      <c r="AA1298">
        <v>82416</v>
      </c>
      <c r="AB1298" t="str">
        <f>(VLOOKUP(SalesData[[#This Row],[Month Number]],Reference!C$5:E$16,2,FALSE))</f>
        <v>Feb</v>
      </c>
      <c r="AC1298">
        <f>MONTH(SalesData[[#This Row],[Date]])</f>
        <v>2</v>
      </c>
      <c r="AD1298">
        <f>Reference!F$4</f>
        <v>2026</v>
      </c>
      <c r="AE1298" t="str">
        <f>IF(OR(SalesData[[#This Row],[Day]]="Saturday",SalesData[[#This Row],[Day]]="Sunday"),"Weekend","Weekday")</f>
        <v>Weekday</v>
      </c>
      <c r="AF1298" s="5">
        <f>IF(SalesData[[#This Row],[Contracts Offered]]=0,0,SalesData[[#This Row],[Contracts Signed]]/SalesData[[#This Row],[Contracts Offered]])</f>
        <v>0.20858895705521471</v>
      </c>
      <c r="AG1298" s="5">
        <f>IF(SalesData[[#This Row],[Customers Visited]]=0,0,SalesData[[#This Row],[Test Drives]]/SalesData[[#This Row],[Customers Visited]])</f>
        <v>0.5526932084309133</v>
      </c>
      <c r="AH1298" s="5">
        <f>IF(SalesData[[#This Row],[Customers Visited]]=0,0,SalesData[[#This Row],[Contracts Signed]]/SalesData[[#This Row],[Customers Visited]])</f>
        <v>7.9625292740046844E-2</v>
      </c>
      <c r="AI1298" s="6">
        <f>IF(SalesData[[#This Row],[Contracts Signed]]=0,0,SalesData[[#This Row],[Profit(€)]]/SalesData[[#This Row],[Contracts Signed]])</f>
        <v>2424</v>
      </c>
      <c r="AJ1298" s="5" t="str">
        <f>TRIM(CLEAN(SalesData[[#This Row],[Retailer]]))</f>
        <v>Elbe Drive</v>
      </c>
    </row>
    <row r="1299" spans="1:36" ht="14.25" hidden="1" x14ac:dyDescent="0.2">
      <c r="A1299" t="s">
        <v>2127</v>
      </c>
      <c r="B1299" s="1">
        <v>46078</v>
      </c>
      <c r="C1299" t="s">
        <v>53</v>
      </c>
      <c r="D1299" t="s">
        <v>82</v>
      </c>
      <c r="E1299" t="s">
        <v>26</v>
      </c>
      <c r="F1299" t="s">
        <v>27</v>
      </c>
      <c r="G1299" t="s">
        <v>28</v>
      </c>
      <c r="H1299" t="s">
        <v>29</v>
      </c>
      <c r="I1299" t="s">
        <v>104</v>
      </c>
      <c r="J1299" t="s">
        <v>140</v>
      </c>
      <c r="K1299" t="s">
        <v>32</v>
      </c>
      <c r="L1299" t="s">
        <v>46</v>
      </c>
      <c r="M1299" t="s">
        <v>47</v>
      </c>
      <c r="N1299" t="s">
        <v>48</v>
      </c>
      <c r="O1299" t="s">
        <v>70</v>
      </c>
      <c r="P1299" t="s">
        <v>58</v>
      </c>
      <c r="Q1299" t="s">
        <v>152</v>
      </c>
      <c r="R1299">
        <v>393</v>
      </c>
      <c r="S1299">
        <v>215</v>
      </c>
      <c r="T1299">
        <v>152</v>
      </c>
      <c r="U1299">
        <v>34</v>
      </c>
      <c r="V1299" t="s">
        <v>6930</v>
      </c>
      <c r="W1299">
        <v>27877</v>
      </c>
      <c r="X1299" t="s">
        <v>373</v>
      </c>
      <c r="Y1299">
        <v>24870</v>
      </c>
      <c r="Z1299">
        <v>947818</v>
      </c>
      <c r="AA1299">
        <v>102238</v>
      </c>
      <c r="AB1299" t="str">
        <f>(VLOOKUP(SalesData[[#This Row],[Month Number]],Reference!C$5:E$16,2,FALSE))</f>
        <v>Feb</v>
      </c>
      <c r="AC1299">
        <f>MONTH(SalesData[[#This Row],[Date]])</f>
        <v>2</v>
      </c>
      <c r="AD1299">
        <f>Reference!F$4</f>
        <v>2026</v>
      </c>
      <c r="AE1299" t="str">
        <f>IF(OR(SalesData[[#This Row],[Day]]="Saturday",SalesData[[#This Row],[Day]]="Sunday"),"Weekend","Weekday")</f>
        <v>Weekday</v>
      </c>
      <c r="AF1299" s="5">
        <f>IF(SalesData[[#This Row],[Contracts Offered]]=0,0,SalesData[[#This Row],[Contracts Signed]]/SalesData[[#This Row],[Contracts Offered]])</f>
        <v>0.22368421052631579</v>
      </c>
      <c r="AG1299" s="5">
        <f>IF(SalesData[[#This Row],[Customers Visited]]=0,0,SalesData[[#This Row],[Test Drives]]/SalesData[[#This Row],[Customers Visited]])</f>
        <v>0.54707379134860046</v>
      </c>
      <c r="AH1299" s="5">
        <f>IF(SalesData[[#This Row],[Customers Visited]]=0,0,SalesData[[#This Row],[Contracts Signed]]/SalesData[[#This Row],[Customers Visited]])</f>
        <v>8.6513994910941472E-2</v>
      </c>
      <c r="AI1299" s="6">
        <f>IF(SalesData[[#This Row],[Contracts Signed]]=0,0,SalesData[[#This Row],[Profit(€)]]/SalesData[[#This Row],[Contracts Signed]])</f>
        <v>3007</v>
      </c>
      <c r="AJ1299" s="5" t="str">
        <f>TRIM(CLEAN(SalesData[[#This Row],[Retailer]]))</f>
        <v>Main Auto Hub</v>
      </c>
    </row>
    <row r="1300" spans="1:36" ht="14.25" hidden="1" x14ac:dyDescent="0.2">
      <c r="A1300" t="s">
        <v>2128</v>
      </c>
      <c r="B1300" s="1">
        <v>46068</v>
      </c>
      <c r="C1300" t="s">
        <v>62</v>
      </c>
      <c r="D1300" t="s">
        <v>41</v>
      </c>
      <c r="E1300" t="s">
        <v>42</v>
      </c>
      <c r="F1300" t="s">
        <v>27</v>
      </c>
      <c r="G1300" t="s">
        <v>28</v>
      </c>
      <c r="H1300" t="s">
        <v>29</v>
      </c>
      <c r="I1300" t="s">
        <v>116</v>
      </c>
      <c r="J1300" t="s">
        <v>7090</v>
      </c>
      <c r="K1300" t="s">
        <v>78</v>
      </c>
      <c r="L1300" t="s">
        <v>46</v>
      </c>
      <c r="M1300" t="s">
        <v>47</v>
      </c>
      <c r="N1300" t="s">
        <v>48</v>
      </c>
      <c r="O1300" t="s">
        <v>36</v>
      </c>
      <c r="P1300" t="s">
        <v>37</v>
      </c>
      <c r="Q1300" t="s">
        <v>118</v>
      </c>
      <c r="R1300">
        <v>377</v>
      </c>
      <c r="S1300">
        <v>179</v>
      </c>
      <c r="T1300">
        <v>107</v>
      </c>
      <c r="U1300">
        <v>28</v>
      </c>
      <c r="V1300" t="s">
        <v>433</v>
      </c>
      <c r="W1300">
        <v>22792</v>
      </c>
      <c r="X1300" t="s">
        <v>4025</v>
      </c>
      <c r="Y1300">
        <v>20344</v>
      </c>
      <c r="Z1300">
        <v>638176</v>
      </c>
      <c r="AA1300">
        <v>68544</v>
      </c>
      <c r="AB1300" t="str">
        <f>(VLOOKUP(SalesData[[#This Row],[Month Number]],Reference!C$5:E$16,2,FALSE))</f>
        <v>Feb</v>
      </c>
      <c r="AC1300">
        <f>MONTH(SalesData[[#This Row],[Date]])</f>
        <v>2</v>
      </c>
      <c r="AD1300">
        <f>Reference!F$4</f>
        <v>2026</v>
      </c>
      <c r="AE1300" t="str">
        <f>IF(OR(SalesData[[#This Row],[Day]]="Saturday",SalesData[[#This Row],[Day]]="Sunday"),"Weekend","Weekday")</f>
        <v>Weekend</v>
      </c>
      <c r="AF1300" s="5">
        <f>IF(SalesData[[#This Row],[Contracts Offered]]=0,0,SalesData[[#This Row],[Contracts Signed]]/SalesData[[#This Row],[Contracts Offered]])</f>
        <v>0.26168224299065418</v>
      </c>
      <c r="AG1300" s="5">
        <f>IF(SalesData[[#This Row],[Customers Visited]]=0,0,SalesData[[#This Row],[Test Drives]]/SalesData[[#This Row],[Customers Visited]])</f>
        <v>0.47480106100795755</v>
      </c>
      <c r="AH1300" s="5">
        <f>IF(SalesData[[#This Row],[Customers Visited]]=0,0,SalesData[[#This Row],[Contracts Signed]]/SalesData[[#This Row],[Customers Visited]])</f>
        <v>7.4270557029177717E-2</v>
      </c>
      <c r="AI1300" s="6">
        <f>IF(SalesData[[#This Row],[Contracts Signed]]=0,0,SalesData[[#This Row],[Profit(€)]]/SalesData[[#This Row],[Contracts Signed]])</f>
        <v>2448</v>
      </c>
      <c r="AJ1300" s="5" t="str">
        <f>TRIM(CLEAN(SalesData[[#This Row],[Retailer]]))</f>
        <v>Main Auto Hub</v>
      </c>
    </row>
    <row r="1301" spans="1:36" ht="14.25" hidden="1" x14ac:dyDescent="0.2">
      <c r="A1301" t="s">
        <v>2130</v>
      </c>
      <c r="B1301" s="1">
        <v>46066</v>
      </c>
      <c r="C1301" t="s">
        <v>121</v>
      </c>
      <c r="D1301" t="s">
        <v>54</v>
      </c>
      <c r="E1301" t="s">
        <v>26</v>
      </c>
      <c r="F1301" t="s">
        <v>94</v>
      </c>
      <c r="G1301" t="s">
        <v>95</v>
      </c>
      <c r="H1301" t="s">
        <v>96</v>
      </c>
      <c r="I1301" t="s">
        <v>64</v>
      </c>
      <c r="J1301" t="s">
        <v>157</v>
      </c>
      <c r="K1301" t="s">
        <v>66</v>
      </c>
      <c r="L1301" t="s">
        <v>33</v>
      </c>
      <c r="M1301" t="s">
        <v>68</v>
      </c>
      <c r="N1301" t="s">
        <v>48</v>
      </c>
      <c r="O1301" t="s">
        <v>36</v>
      </c>
      <c r="P1301" t="s">
        <v>71</v>
      </c>
      <c r="Q1301" t="s">
        <v>347</v>
      </c>
      <c r="R1301">
        <v>226</v>
      </c>
      <c r="S1301">
        <v>112</v>
      </c>
      <c r="T1301">
        <v>85</v>
      </c>
      <c r="U1301">
        <v>30</v>
      </c>
      <c r="V1301" t="s">
        <v>6684</v>
      </c>
      <c r="W1301">
        <v>62457</v>
      </c>
      <c r="X1301" t="s">
        <v>7302</v>
      </c>
      <c r="Y1301">
        <v>47966</v>
      </c>
      <c r="Z1301">
        <v>1873710</v>
      </c>
      <c r="AA1301">
        <v>434730</v>
      </c>
      <c r="AB1301" t="str">
        <f>(VLOOKUP(SalesData[[#This Row],[Month Number]],Reference!C$5:E$16,2,FALSE))</f>
        <v>Feb</v>
      </c>
      <c r="AC1301">
        <f>MONTH(SalesData[[#This Row],[Date]])</f>
        <v>2</v>
      </c>
      <c r="AD1301">
        <f>Reference!F$4</f>
        <v>2026</v>
      </c>
      <c r="AE1301" t="str">
        <f>IF(OR(SalesData[[#This Row],[Day]]="Saturday",SalesData[[#This Row],[Day]]="Sunday"),"Weekend","Weekday")</f>
        <v>Weekday</v>
      </c>
      <c r="AF1301" s="5">
        <f>IF(SalesData[[#This Row],[Contracts Offered]]=0,0,SalesData[[#This Row],[Contracts Signed]]/SalesData[[#This Row],[Contracts Offered]])</f>
        <v>0.35294117647058826</v>
      </c>
      <c r="AG1301" s="5">
        <f>IF(SalesData[[#This Row],[Customers Visited]]=0,0,SalesData[[#This Row],[Test Drives]]/SalesData[[#This Row],[Customers Visited]])</f>
        <v>0.49557522123893805</v>
      </c>
      <c r="AH1301" s="5">
        <f>IF(SalesData[[#This Row],[Customers Visited]]=0,0,SalesData[[#This Row],[Contracts Signed]]/SalesData[[#This Row],[Customers Visited]])</f>
        <v>0.13274336283185842</v>
      </c>
      <c r="AI1301" s="6">
        <f>IF(SalesData[[#This Row],[Contracts Signed]]=0,0,SalesData[[#This Row],[Profit(€)]]/SalesData[[#This Row],[Contracts Signed]])</f>
        <v>14491</v>
      </c>
      <c r="AJ1301" s="5" t="str">
        <f>TRIM(CLEAN(SalesData[[#This Row],[Retailer]]))</f>
        <v>Bavaria Motors</v>
      </c>
    </row>
    <row r="1302" spans="1:36" ht="14.25" hidden="1" x14ac:dyDescent="0.2">
      <c r="A1302" t="s">
        <v>2131</v>
      </c>
      <c r="B1302" s="1">
        <v>46069</v>
      </c>
      <c r="C1302" t="s">
        <v>62</v>
      </c>
      <c r="D1302" t="s">
        <v>25</v>
      </c>
      <c r="E1302" t="s">
        <v>26</v>
      </c>
      <c r="F1302" t="s">
        <v>127</v>
      </c>
      <c r="G1302" t="s">
        <v>128</v>
      </c>
      <c r="H1302" t="s">
        <v>103</v>
      </c>
      <c r="I1302" t="s">
        <v>56</v>
      </c>
      <c r="J1302" t="s">
        <v>57</v>
      </c>
      <c r="K1302" t="s">
        <v>91</v>
      </c>
      <c r="L1302" t="s">
        <v>46</v>
      </c>
      <c r="M1302" t="s">
        <v>68</v>
      </c>
      <c r="N1302" t="s">
        <v>69</v>
      </c>
      <c r="O1302" t="s">
        <v>36</v>
      </c>
      <c r="P1302" t="s">
        <v>58</v>
      </c>
      <c r="Q1302" t="s">
        <v>118</v>
      </c>
      <c r="R1302">
        <v>188</v>
      </c>
      <c r="S1302">
        <v>95</v>
      </c>
      <c r="T1302">
        <v>71</v>
      </c>
      <c r="U1302">
        <v>26</v>
      </c>
      <c r="V1302" t="s">
        <v>6559</v>
      </c>
      <c r="W1302">
        <v>47635</v>
      </c>
      <c r="X1302" t="s">
        <v>2406</v>
      </c>
      <c r="Y1302">
        <v>36563</v>
      </c>
      <c r="Z1302">
        <v>1238510</v>
      </c>
      <c r="AA1302">
        <v>287872</v>
      </c>
      <c r="AB1302" t="str">
        <f>(VLOOKUP(SalesData[[#This Row],[Month Number]],Reference!C$5:E$16,2,FALSE))</f>
        <v>Feb</v>
      </c>
      <c r="AC1302">
        <f>MONTH(SalesData[[#This Row],[Date]])</f>
        <v>2</v>
      </c>
      <c r="AD1302">
        <f>Reference!F$4</f>
        <v>2026</v>
      </c>
      <c r="AE1302" t="str">
        <f>IF(OR(SalesData[[#This Row],[Day]]="Saturday",SalesData[[#This Row],[Day]]="Sunday"),"Weekend","Weekday")</f>
        <v>Weekday</v>
      </c>
      <c r="AF1302" s="5">
        <f>IF(SalesData[[#This Row],[Contracts Offered]]=0,0,SalesData[[#This Row],[Contracts Signed]]/SalesData[[#This Row],[Contracts Offered]])</f>
        <v>0.36619718309859156</v>
      </c>
      <c r="AG1302" s="5">
        <f>IF(SalesData[[#This Row],[Customers Visited]]=0,0,SalesData[[#This Row],[Test Drives]]/SalesData[[#This Row],[Customers Visited]])</f>
        <v>0.50531914893617025</v>
      </c>
      <c r="AH1302" s="5">
        <f>IF(SalesData[[#This Row],[Customers Visited]]=0,0,SalesData[[#This Row],[Contracts Signed]]/SalesData[[#This Row],[Customers Visited]])</f>
        <v>0.13829787234042554</v>
      </c>
      <c r="AI1302" s="6">
        <f>IF(SalesData[[#This Row],[Contracts Signed]]=0,0,SalesData[[#This Row],[Profit(€)]]/SalesData[[#This Row],[Contracts Signed]])</f>
        <v>11072</v>
      </c>
      <c r="AJ1302" s="5" t="str">
        <f>TRIM(CLEAN(SalesData[[#This Row],[Retailer]]))</f>
        <v>Rhein Auto Group</v>
      </c>
    </row>
    <row r="1303" spans="1:36" ht="14.25" hidden="1" x14ac:dyDescent="0.2">
      <c r="A1303" t="s">
        <v>2133</v>
      </c>
      <c r="B1303" s="1">
        <v>46066</v>
      </c>
      <c r="C1303" t="s">
        <v>121</v>
      </c>
      <c r="D1303" t="s">
        <v>54</v>
      </c>
      <c r="E1303" t="s">
        <v>26</v>
      </c>
      <c r="F1303" t="s">
        <v>94</v>
      </c>
      <c r="G1303" t="s">
        <v>95</v>
      </c>
      <c r="H1303" t="s">
        <v>96</v>
      </c>
      <c r="I1303" t="s">
        <v>104</v>
      </c>
      <c r="J1303" t="s">
        <v>140</v>
      </c>
      <c r="K1303" t="s">
        <v>78</v>
      </c>
      <c r="L1303" t="s">
        <v>46</v>
      </c>
      <c r="M1303" t="s">
        <v>68</v>
      </c>
      <c r="N1303" t="s">
        <v>48</v>
      </c>
      <c r="O1303" t="s">
        <v>36</v>
      </c>
      <c r="P1303" t="s">
        <v>71</v>
      </c>
      <c r="Q1303" t="s">
        <v>347</v>
      </c>
      <c r="R1303">
        <v>289</v>
      </c>
      <c r="S1303">
        <v>153</v>
      </c>
      <c r="T1303">
        <v>91</v>
      </c>
      <c r="U1303">
        <v>29</v>
      </c>
      <c r="V1303" t="s">
        <v>722</v>
      </c>
      <c r="W1303">
        <v>32538</v>
      </c>
      <c r="X1303" t="s">
        <v>230</v>
      </c>
      <c r="Y1303">
        <v>29078</v>
      </c>
      <c r="Z1303">
        <v>943602</v>
      </c>
      <c r="AA1303">
        <v>100340</v>
      </c>
      <c r="AB1303" t="str">
        <f>(VLOOKUP(SalesData[[#This Row],[Month Number]],Reference!C$5:E$16,2,FALSE))</f>
        <v>Feb</v>
      </c>
      <c r="AC1303">
        <f>MONTH(SalesData[[#This Row],[Date]])</f>
        <v>2</v>
      </c>
      <c r="AD1303">
        <f>Reference!F$4</f>
        <v>2026</v>
      </c>
      <c r="AE1303" t="str">
        <f>IF(OR(SalesData[[#This Row],[Day]]="Saturday",SalesData[[#This Row],[Day]]="Sunday"),"Weekend","Weekday")</f>
        <v>Weekday</v>
      </c>
      <c r="AF1303" s="5">
        <f>IF(SalesData[[#This Row],[Contracts Offered]]=0,0,SalesData[[#This Row],[Contracts Signed]]/SalesData[[#This Row],[Contracts Offered]])</f>
        <v>0.31868131868131866</v>
      </c>
      <c r="AG1303" s="5">
        <f>IF(SalesData[[#This Row],[Customers Visited]]=0,0,SalesData[[#This Row],[Test Drives]]/SalesData[[#This Row],[Customers Visited]])</f>
        <v>0.52941176470588236</v>
      </c>
      <c r="AH1303" s="5">
        <f>IF(SalesData[[#This Row],[Customers Visited]]=0,0,SalesData[[#This Row],[Contracts Signed]]/SalesData[[#This Row],[Customers Visited]])</f>
        <v>0.10034602076124567</v>
      </c>
      <c r="AI1303" s="6">
        <f>IF(SalesData[[#This Row],[Contracts Signed]]=0,0,SalesData[[#This Row],[Profit(€)]]/SalesData[[#This Row],[Contracts Signed]])</f>
        <v>3460</v>
      </c>
      <c r="AJ1303" s="5" t="str">
        <f>TRIM(CLEAN(SalesData[[#This Row],[Retailer]]))</f>
        <v>Bavaria Motors</v>
      </c>
    </row>
    <row r="1304" spans="1:36" ht="14.25" hidden="1" x14ac:dyDescent="0.2">
      <c r="A1304" t="s">
        <v>2134</v>
      </c>
      <c r="B1304" s="1">
        <v>46055</v>
      </c>
      <c r="C1304" t="s">
        <v>24</v>
      </c>
      <c r="D1304" t="s">
        <v>25</v>
      </c>
      <c r="E1304" t="s">
        <v>26</v>
      </c>
      <c r="F1304" t="s">
        <v>101</v>
      </c>
      <c r="G1304" t="s">
        <v>102</v>
      </c>
      <c r="H1304" t="s">
        <v>103</v>
      </c>
      <c r="I1304" t="s">
        <v>104</v>
      </c>
      <c r="J1304" t="s">
        <v>105</v>
      </c>
      <c r="K1304" t="s">
        <v>78</v>
      </c>
      <c r="L1304" t="s">
        <v>33</v>
      </c>
      <c r="M1304" t="s">
        <v>68</v>
      </c>
      <c r="N1304" t="s">
        <v>69</v>
      </c>
      <c r="O1304" t="s">
        <v>36</v>
      </c>
      <c r="P1304" t="s">
        <v>37</v>
      </c>
      <c r="Q1304" t="s">
        <v>118</v>
      </c>
      <c r="R1304">
        <v>325</v>
      </c>
      <c r="S1304">
        <v>152</v>
      </c>
      <c r="T1304">
        <v>95</v>
      </c>
      <c r="U1304">
        <v>21</v>
      </c>
      <c r="V1304" t="s">
        <v>2440</v>
      </c>
      <c r="W1304">
        <v>32167</v>
      </c>
      <c r="X1304" t="s">
        <v>2084</v>
      </c>
      <c r="Y1304">
        <v>29169</v>
      </c>
      <c r="Z1304">
        <v>675507</v>
      </c>
      <c r="AA1304">
        <v>62958</v>
      </c>
      <c r="AB1304" t="str">
        <f>(VLOOKUP(SalesData[[#This Row],[Month Number]],Reference!C$5:E$16,2,FALSE))</f>
        <v>Feb</v>
      </c>
      <c r="AC1304">
        <f>MONTH(SalesData[[#This Row],[Date]])</f>
        <v>2</v>
      </c>
      <c r="AD1304">
        <f>Reference!F$4</f>
        <v>2026</v>
      </c>
      <c r="AE1304" t="str">
        <f>IF(OR(SalesData[[#This Row],[Day]]="Saturday",SalesData[[#This Row],[Day]]="Sunday"),"Weekend","Weekday")</f>
        <v>Weekday</v>
      </c>
      <c r="AF1304" s="5">
        <f>IF(SalesData[[#This Row],[Contracts Offered]]=0,0,SalesData[[#This Row],[Contracts Signed]]/SalesData[[#This Row],[Contracts Offered]])</f>
        <v>0.22105263157894736</v>
      </c>
      <c r="AG1304" s="5">
        <f>IF(SalesData[[#This Row],[Customers Visited]]=0,0,SalesData[[#This Row],[Test Drives]]/SalesData[[#This Row],[Customers Visited]])</f>
        <v>0.46769230769230768</v>
      </c>
      <c r="AH1304" s="5">
        <f>IF(SalesData[[#This Row],[Customers Visited]]=0,0,SalesData[[#This Row],[Contracts Signed]]/SalesData[[#This Row],[Customers Visited]])</f>
        <v>6.4615384615384616E-2</v>
      </c>
      <c r="AI1304" s="6">
        <f>IF(SalesData[[#This Row],[Contracts Signed]]=0,0,SalesData[[#This Row],[Profit(€)]]/SalesData[[#This Row],[Contracts Signed]])</f>
        <v>2998</v>
      </c>
      <c r="AJ1304" s="5" t="str">
        <f>TRIM(CLEAN(SalesData[[#This Row],[Retailer]]))</f>
        <v>Ruhr Auto Plaza</v>
      </c>
    </row>
    <row r="1305" spans="1:36" ht="14.25" hidden="1" x14ac:dyDescent="0.2">
      <c r="A1305" t="s">
        <v>2135</v>
      </c>
      <c r="B1305" s="1">
        <v>46062</v>
      </c>
      <c r="C1305" t="s">
        <v>121</v>
      </c>
      <c r="D1305" t="s">
        <v>25</v>
      </c>
      <c r="E1305" t="s">
        <v>26</v>
      </c>
      <c r="F1305" t="s">
        <v>127</v>
      </c>
      <c r="G1305" t="s">
        <v>128</v>
      </c>
      <c r="H1305" t="s">
        <v>103</v>
      </c>
      <c r="I1305" t="s">
        <v>116</v>
      </c>
      <c r="J1305" t="s">
        <v>7026</v>
      </c>
      <c r="K1305" t="s">
        <v>78</v>
      </c>
      <c r="L1305" t="s">
        <v>46</v>
      </c>
      <c r="M1305" t="s">
        <v>68</v>
      </c>
      <c r="N1305" t="s">
        <v>35</v>
      </c>
      <c r="O1305" t="s">
        <v>36</v>
      </c>
      <c r="P1305" t="s">
        <v>49</v>
      </c>
      <c r="Q1305" t="s">
        <v>152</v>
      </c>
      <c r="R1305">
        <v>304</v>
      </c>
      <c r="S1305">
        <v>145</v>
      </c>
      <c r="T1305">
        <v>98</v>
      </c>
      <c r="U1305">
        <v>22</v>
      </c>
      <c r="V1305" t="s">
        <v>1235</v>
      </c>
      <c r="W1305">
        <v>21445</v>
      </c>
      <c r="X1305" t="s">
        <v>4265</v>
      </c>
      <c r="Y1305">
        <v>19107</v>
      </c>
      <c r="Z1305">
        <v>471790</v>
      </c>
      <c r="AA1305">
        <v>51436</v>
      </c>
      <c r="AB1305" t="str">
        <f>(VLOOKUP(SalesData[[#This Row],[Month Number]],Reference!C$5:E$16,2,FALSE))</f>
        <v>Feb</v>
      </c>
      <c r="AC1305">
        <f>MONTH(SalesData[[#This Row],[Date]])</f>
        <v>2</v>
      </c>
      <c r="AD1305">
        <f>Reference!F$4</f>
        <v>2026</v>
      </c>
      <c r="AE1305" t="str">
        <f>IF(OR(SalesData[[#This Row],[Day]]="Saturday",SalesData[[#This Row],[Day]]="Sunday"),"Weekend","Weekday")</f>
        <v>Weekday</v>
      </c>
      <c r="AF1305" s="5">
        <f>IF(SalesData[[#This Row],[Contracts Offered]]=0,0,SalesData[[#This Row],[Contracts Signed]]/SalesData[[#This Row],[Contracts Offered]])</f>
        <v>0.22448979591836735</v>
      </c>
      <c r="AG1305" s="5">
        <f>IF(SalesData[[#This Row],[Customers Visited]]=0,0,SalesData[[#This Row],[Test Drives]]/SalesData[[#This Row],[Customers Visited]])</f>
        <v>0.47697368421052633</v>
      </c>
      <c r="AH1305" s="5">
        <f>IF(SalesData[[#This Row],[Customers Visited]]=0,0,SalesData[[#This Row],[Contracts Signed]]/SalesData[[#This Row],[Customers Visited]])</f>
        <v>7.2368421052631582E-2</v>
      </c>
      <c r="AI1305" s="6">
        <f>IF(SalesData[[#This Row],[Contracts Signed]]=0,0,SalesData[[#This Row],[Profit(€)]]/SalesData[[#This Row],[Contracts Signed]])</f>
        <v>2338</v>
      </c>
      <c r="AJ1305" s="5" t="str">
        <f>TRIM(CLEAN(SalesData[[#This Row],[Retailer]]))</f>
        <v>Rhein Auto Group</v>
      </c>
    </row>
    <row r="1306" spans="1:36" ht="14.25" hidden="1" x14ac:dyDescent="0.2">
      <c r="A1306" t="s">
        <v>2136</v>
      </c>
      <c r="B1306" s="1">
        <v>46073</v>
      </c>
      <c r="C1306" t="s">
        <v>62</v>
      </c>
      <c r="D1306" t="s">
        <v>54</v>
      </c>
      <c r="E1306" t="s">
        <v>26</v>
      </c>
      <c r="F1306" t="s">
        <v>43</v>
      </c>
      <c r="G1306" t="s">
        <v>44</v>
      </c>
      <c r="H1306" t="s">
        <v>45</v>
      </c>
      <c r="I1306" t="s">
        <v>104</v>
      </c>
      <c r="J1306" t="s">
        <v>140</v>
      </c>
      <c r="K1306" t="s">
        <v>91</v>
      </c>
      <c r="L1306" t="s">
        <v>46</v>
      </c>
      <c r="M1306" t="s">
        <v>47</v>
      </c>
      <c r="N1306" t="s">
        <v>35</v>
      </c>
      <c r="O1306" t="s">
        <v>36</v>
      </c>
      <c r="P1306" t="s">
        <v>37</v>
      </c>
      <c r="Q1306" t="s">
        <v>152</v>
      </c>
      <c r="R1306">
        <v>376</v>
      </c>
      <c r="S1306">
        <v>205</v>
      </c>
      <c r="T1306">
        <v>120</v>
      </c>
      <c r="U1306">
        <v>31</v>
      </c>
      <c r="V1306" t="s">
        <v>911</v>
      </c>
      <c r="W1306">
        <v>28612</v>
      </c>
      <c r="X1306" t="s">
        <v>7200</v>
      </c>
      <c r="Y1306">
        <v>25346</v>
      </c>
      <c r="Z1306">
        <v>886972</v>
      </c>
      <c r="AA1306">
        <v>101246</v>
      </c>
      <c r="AB1306" t="str">
        <f>(VLOOKUP(SalesData[[#This Row],[Month Number]],Reference!C$5:E$16,2,FALSE))</f>
        <v>Feb</v>
      </c>
      <c r="AC1306">
        <f>MONTH(SalesData[[#This Row],[Date]])</f>
        <v>2</v>
      </c>
      <c r="AD1306">
        <f>Reference!F$4</f>
        <v>2026</v>
      </c>
      <c r="AE1306" t="str">
        <f>IF(OR(SalesData[[#This Row],[Day]]="Saturday",SalesData[[#This Row],[Day]]="Sunday"),"Weekend","Weekday")</f>
        <v>Weekday</v>
      </c>
      <c r="AF1306" s="5">
        <f>IF(SalesData[[#This Row],[Contracts Offered]]=0,0,SalesData[[#This Row],[Contracts Signed]]/SalesData[[#This Row],[Contracts Offered]])</f>
        <v>0.25833333333333336</v>
      </c>
      <c r="AG1306" s="5">
        <f>IF(SalesData[[#This Row],[Customers Visited]]=0,0,SalesData[[#This Row],[Test Drives]]/SalesData[[#This Row],[Customers Visited]])</f>
        <v>0.54521276595744683</v>
      </c>
      <c r="AH1306" s="5">
        <f>IF(SalesData[[#This Row],[Customers Visited]]=0,0,SalesData[[#This Row],[Contracts Signed]]/SalesData[[#This Row],[Customers Visited]])</f>
        <v>8.2446808510638292E-2</v>
      </c>
      <c r="AI1306" s="6">
        <f>IF(SalesData[[#This Row],[Contracts Signed]]=0,0,SalesData[[#This Row],[Profit(€)]]/SalesData[[#This Row],[Contracts Signed]])</f>
        <v>3266</v>
      </c>
      <c r="AJ1306" s="5" t="str">
        <f>TRIM(CLEAN(SalesData[[#This Row],[Retailer]]))</f>
        <v>Saxon Wheels</v>
      </c>
    </row>
    <row r="1307" spans="1:36" ht="14.25" hidden="1" x14ac:dyDescent="0.2">
      <c r="A1307" t="s">
        <v>2137</v>
      </c>
      <c r="B1307" s="1">
        <v>46070</v>
      </c>
      <c r="C1307" t="s">
        <v>62</v>
      </c>
      <c r="D1307" t="s">
        <v>63</v>
      </c>
      <c r="E1307" t="s">
        <v>26</v>
      </c>
      <c r="F1307" t="s">
        <v>127</v>
      </c>
      <c r="G1307" t="s">
        <v>128</v>
      </c>
      <c r="H1307" t="s">
        <v>103</v>
      </c>
      <c r="I1307" t="s">
        <v>56</v>
      </c>
      <c r="J1307" t="s">
        <v>137</v>
      </c>
      <c r="K1307" t="s">
        <v>91</v>
      </c>
      <c r="L1307" t="s">
        <v>46</v>
      </c>
      <c r="M1307" t="s">
        <v>34</v>
      </c>
      <c r="N1307" t="s">
        <v>35</v>
      </c>
      <c r="O1307" t="s">
        <v>36</v>
      </c>
      <c r="P1307" t="s">
        <v>58</v>
      </c>
      <c r="Q1307" t="s">
        <v>135</v>
      </c>
      <c r="R1307">
        <v>284</v>
      </c>
      <c r="S1307">
        <v>144</v>
      </c>
      <c r="T1307">
        <v>96</v>
      </c>
      <c r="U1307">
        <v>37</v>
      </c>
      <c r="V1307" t="s">
        <v>6593</v>
      </c>
      <c r="W1307">
        <v>51973</v>
      </c>
      <c r="X1307" t="s">
        <v>929</v>
      </c>
      <c r="Y1307">
        <v>40293</v>
      </c>
      <c r="Z1307">
        <v>1923001</v>
      </c>
      <c r="AA1307">
        <v>432160</v>
      </c>
      <c r="AB1307" t="str">
        <f>(VLOOKUP(SalesData[[#This Row],[Month Number]],Reference!C$5:E$16,2,FALSE))</f>
        <v>Feb</v>
      </c>
      <c r="AC1307">
        <f>MONTH(SalesData[[#This Row],[Date]])</f>
        <v>2</v>
      </c>
      <c r="AD1307">
        <f>Reference!F$4</f>
        <v>2026</v>
      </c>
      <c r="AE1307" t="str">
        <f>IF(OR(SalesData[[#This Row],[Day]]="Saturday",SalesData[[#This Row],[Day]]="Sunday"),"Weekend","Weekday")</f>
        <v>Weekday</v>
      </c>
      <c r="AF1307" s="5">
        <f>IF(SalesData[[#This Row],[Contracts Offered]]=0,0,SalesData[[#This Row],[Contracts Signed]]/SalesData[[#This Row],[Contracts Offered]])</f>
        <v>0.38541666666666669</v>
      </c>
      <c r="AG1307" s="5">
        <f>IF(SalesData[[#This Row],[Customers Visited]]=0,0,SalesData[[#This Row],[Test Drives]]/SalesData[[#This Row],[Customers Visited]])</f>
        <v>0.50704225352112675</v>
      </c>
      <c r="AH1307" s="5">
        <f>IF(SalesData[[#This Row],[Customers Visited]]=0,0,SalesData[[#This Row],[Contracts Signed]]/SalesData[[#This Row],[Customers Visited]])</f>
        <v>0.13028169014084506</v>
      </c>
      <c r="AI1307" s="6">
        <f>IF(SalesData[[#This Row],[Contracts Signed]]=0,0,SalesData[[#This Row],[Profit(€)]]/SalesData[[#This Row],[Contracts Signed]])</f>
        <v>11680</v>
      </c>
      <c r="AJ1307" s="5" t="str">
        <f>TRIM(CLEAN(SalesData[[#This Row],[Retailer]]))</f>
        <v>Rhein Auto Group</v>
      </c>
    </row>
    <row r="1308" spans="1:36" ht="14.25" hidden="1" x14ac:dyDescent="0.2">
      <c r="A1308" t="s">
        <v>2139</v>
      </c>
      <c r="B1308" s="1">
        <v>46071</v>
      </c>
      <c r="C1308" t="s">
        <v>62</v>
      </c>
      <c r="D1308" t="s">
        <v>82</v>
      </c>
      <c r="E1308" t="s">
        <v>26</v>
      </c>
      <c r="F1308" t="s">
        <v>74</v>
      </c>
      <c r="G1308" t="s">
        <v>75</v>
      </c>
      <c r="H1308" t="s">
        <v>76</v>
      </c>
      <c r="I1308" t="s">
        <v>56</v>
      </c>
      <c r="J1308" t="s">
        <v>179</v>
      </c>
      <c r="K1308" t="s">
        <v>66</v>
      </c>
      <c r="L1308" t="s">
        <v>67</v>
      </c>
      <c r="M1308" t="s">
        <v>87</v>
      </c>
      <c r="N1308" t="s">
        <v>69</v>
      </c>
      <c r="O1308" t="s">
        <v>70</v>
      </c>
      <c r="P1308" t="s">
        <v>58</v>
      </c>
      <c r="Q1308" t="s">
        <v>118</v>
      </c>
      <c r="R1308">
        <v>253</v>
      </c>
      <c r="S1308">
        <v>139</v>
      </c>
      <c r="T1308">
        <v>99</v>
      </c>
      <c r="U1308">
        <v>36</v>
      </c>
      <c r="V1308" t="s">
        <v>6627</v>
      </c>
      <c r="W1308">
        <v>51169</v>
      </c>
      <c r="X1308" t="s">
        <v>7220</v>
      </c>
      <c r="Y1308">
        <v>40574</v>
      </c>
      <c r="Z1308">
        <v>1842084</v>
      </c>
      <c r="AA1308">
        <v>381420</v>
      </c>
      <c r="AB1308" t="str">
        <f>(VLOOKUP(SalesData[[#This Row],[Month Number]],Reference!C$5:E$16,2,FALSE))</f>
        <v>Feb</v>
      </c>
      <c r="AC1308">
        <f>MONTH(SalesData[[#This Row],[Date]])</f>
        <v>2</v>
      </c>
      <c r="AD1308">
        <f>Reference!F$4</f>
        <v>2026</v>
      </c>
      <c r="AE1308" t="str">
        <f>IF(OR(SalesData[[#This Row],[Day]]="Saturday",SalesData[[#This Row],[Day]]="Sunday"),"Weekend","Weekday")</f>
        <v>Weekday</v>
      </c>
      <c r="AF1308" s="5">
        <f>IF(SalesData[[#This Row],[Contracts Offered]]=0,0,SalesData[[#This Row],[Contracts Signed]]/SalesData[[#This Row],[Contracts Offered]])</f>
        <v>0.36363636363636365</v>
      </c>
      <c r="AG1308" s="5">
        <f>IF(SalesData[[#This Row],[Customers Visited]]=0,0,SalesData[[#This Row],[Test Drives]]/SalesData[[#This Row],[Customers Visited]])</f>
        <v>0.54940711462450598</v>
      </c>
      <c r="AH1308" s="5">
        <f>IF(SalesData[[#This Row],[Customers Visited]]=0,0,SalesData[[#This Row],[Contracts Signed]]/SalesData[[#This Row],[Customers Visited]])</f>
        <v>0.14229249011857709</v>
      </c>
      <c r="AI1308" s="6">
        <f>IF(SalesData[[#This Row],[Contracts Signed]]=0,0,SalesData[[#This Row],[Profit(€)]]/SalesData[[#This Row],[Contracts Signed]])</f>
        <v>10595</v>
      </c>
      <c r="AJ1308" s="5" t="str">
        <f>TRIM(CLEAN(SalesData[[#This Row],[Retailer]]))</f>
        <v>Stuttgart Auto Center</v>
      </c>
    </row>
    <row r="1309" spans="1:36" ht="14.25" hidden="1" x14ac:dyDescent="0.2">
      <c r="A1309" t="s">
        <v>2140</v>
      </c>
      <c r="B1309" s="1">
        <v>46075</v>
      </c>
      <c r="C1309" t="s">
        <v>53</v>
      </c>
      <c r="D1309" t="s">
        <v>41</v>
      </c>
      <c r="E1309" t="s">
        <v>42</v>
      </c>
      <c r="F1309" t="s">
        <v>109</v>
      </c>
      <c r="G1309" t="s">
        <v>110</v>
      </c>
      <c r="H1309" t="s">
        <v>45</v>
      </c>
      <c r="I1309" t="s">
        <v>116</v>
      </c>
      <c r="J1309" t="s">
        <v>7026</v>
      </c>
      <c r="K1309" t="s">
        <v>66</v>
      </c>
      <c r="L1309" t="s">
        <v>46</v>
      </c>
      <c r="M1309" t="s">
        <v>87</v>
      </c>
      <c r="N1309" t="s">
        <v>69</v>
      </c>
      <c r="O1309" t="s">
        <v>36</v>
      </c>
      <c r="P1309" t="s">
        <v>71</v>
      </c>
      <c r="Q1309" t="s">
        <v>169</v>
      </c>
      <c r="R1309">
        <v>406</v>
      </c>
      <c r="S1309">
        <v>178</v>
      </c>
      <c r="T1309">
        <v>100</v>
      </c>
      <c r="U1309">
        <v>28</v>
      </c>
      <c r="V1309" t="s">
        <v>3410</v>
      </c>
      <c r="W1309">
        <v>24589</v>
      </c>
      <c r="X1309" t="s">
        <v>7412</v>
      </c>
      <c r="Y1309">
        <v>22042</v>
      </c>
      <c r="Z1309">
        <v>688492</v>
      </c>
      <c r="AA1309">
        <v>71316</v>
      </c>
      <c r="AB1309" t="str">
        <f>(VLOOKUP(SalesData[[#This Row],[Month Number]],Reference!C$5:E$16,2,FALSE))</f>
        <v>Feb</v>
      </c>
      <c r="AC1309">
        <f>MONTH(SalesData[[#This Row],[Date]])</f>
        <v>2</v>
      </c>
      <c r="AD1309">
        <f>Reference!F$4</f>
        <v>2026</v>
      </c>
      <c r="AE1309" t="str">
        <f>IF(OR(SalesData[[#This Row],[Day]]="Saturday",SalesData[[#This Row],[Day]]="Sunday"),"Weekend","Weekday")</f>
        <v>Weekend</v>
      </c>
      <c r="AF1309" s="5">
        <f>IF(SalesData[[#This Row],[Contracts Offered]]=0,0,SalesData[[#This Row],[Contracts Signed]]/SalesData[[#This Row],[Contracts Offered]])</f>
        <v>0.28000000000000003</v>
      </c>
      <c r="AG1309" s="5">
        <f>IF(SalesData[[#This Row],[Customers Visited]]=0,0,SalesData[[#This Row],[Test Drives]]/SalesData[[#This Row],[Customers Visited]])</f>
        <v>0.43842364532019706</v>
      </c>
      <c r="AH1309" s="5">
        <f>IF(SalesData[[#This Row],[Customers Visited]]=0,0,SalesData[[#This Row],[Contracts Signed]]/SalesData[[#This Row],[Customers Visited]])</f>
        <v>6.8965517241379309E-2</v>
      </c>
      <c r="AI1309" s="6">
        <f>IF(SalesData[[#This Row],[Contracts Signed]]=0,0,SalesData[[#This Row],[Profit(€)]]/SalesData[[#This Row],[Contracts Signed]])</f>
        <v>2547</v>
      </c>
      <c r="AJ1309" s="5" t="str">
        <f>TRIM(CLEAN(SalesData[[#This Row],[Retailer]]))</f>
        <v>Leipzig Mobility</v>
      </c>
    </row>
    <row r="1310" spans="1:36" ht="14.25" hidden="1" x14ac:dyDescent="0.2">
      <c r="A1310" t="s">
        <v>2141</v>
      </c>
      <c r="B1310" s="1">
        <v>46068</v>
      </c>
      <c r="C1310" t="s">
        <v>62</v>
      </c>
      <c r="D1310" t="s">
        <v>41</v>
      </c>
      <c r="E1310" t="s">
        <v>42</v>
      </c>
      <c r="F1310" t="s">
        <v>43</v>
      </c>
      <c r="G1310" t="s">
        <v>44</v>
      </c>
      <c r="H1310" t="s">
        <v>45</v>
      </c>
      <c r="I1310" t="s">
        <v>56</v>
      </c>
      <c r="J1310" t="s">
        <v>7028</v>
      </c>
      <c r="K1310" t="s">
        <v>32</v>
      </c>
      <c r="L1310" t="s">
        <v>46</v>
      </c>
      <c r="M1310" t="s">
        <v>68</v>
      </c>
      <c r="N1310" t="s">
        <v>69</v>
      </c>
      <c r="O1310" t="s">
        <v>70</v>
      </c>
      <c r="P1310" t="s">
        <v>49</v>
      </c>
      <c r="Q1310" t="s">
        <v>240</v>
      </c>
      <c r="R1310">
        <v>198</v>
      </c>
      <c r="S1310">
        <v>116</v>
      </c>
      <c r="T1310">
        <v>81</v>
      </c>
      <c r="U1310">
        <v>24</v>
      </c>
      <c r="V1310" t="s">
        <v>6818</v>
      </c>
      <c r="W1310">
        <v>39531</v>
      </c>
      <c r="X1310" t="s">
        <v>2334</v>
      </c>
      <c r="Y1310">
        <v>30968</v>
      </c>
      <c r="Z1310">
        <v>948744</v>
      </c>
      <c r="AA1310">
        <v>205512</v>
      </c>
      <c r="AB1310" t="str">
        <f>(VLOOKUP(SalesData[[#This Row],[Month Number]],Reference!C$5:E$16,2,FALSE))</f>
        <v>Feb</v>
      </c>
      <c r="AC1310">
        <f>MONTH(SalesData[[#This Row],[Date]])</f>
        <v>2</v>
      </c>
      <c r="AD1310">
        <f>Reference!F$4</f>
        <v>2026</v>
      </c>
      <c r="AE1310" t="str">
        <f>IF(OR(SalesData[[#This Row],[Day]]="Saturday",SalesData[[#This Row],[Day]]="Sunday"),"Weekend","Weekday")</f>
        <v>Weekend</v>
      </c>
      <c r="AF1310" s="5">
        <f>IF(SalesData[[#This Row],[Contracts Offered]]=0,0,SalesData[[#This Row],[Contracts Signed]]/SalesData[[#This Row],[Contracts Offered]])</f>
        <v>0.29629629629629628</v>
      </c>
      <c r="AG1310" s="5">
        <f>IF(SalesData[[#This Row],[Customers Visited]]=0,0,SalesData[[#This Row],[Test Drives]]/SalesData[[#This Row],[Customers Visited]])</f>
        <v>0.58585858585858586</v>
      </c>
      <c r="AH1310" s="5">
        <f>IF(SalesData[[#This Row],[Customers Visited]]=0,0,SalesData[[#This Row],[Contracts Signed]]/SalesData[[#This Row],[Customers Visited]])</f>
        <v>0.12121212121212122</v>
      </c>
      <c r="AI1310" s="6">
        <f>IF(SalesData[[#This Row],[Contracts Signed]]=0,0,SalesData[[#This Row],[Profit(€)]]/SalesData[[#This Row],[Contracts Signed]])</f>
        <v>8563</v>
      </c>
      <c r="AJ1310" s="5" t="str">
        <f>TRIM(CLEAN(SalesData[[#This Row],[Retailer]]))</f>
        <v>Saxon Wheels</v>
      </c>
    </row>
    <row r="1311" spans="1:36" ht="14.25" hidden="1" x14ac:dyDescent="0.2">
      <c r="A1311" t="s">
        <v>2143</v>
      </c>
      <c r="B1311" s="1">
        <v>46077</v>
      </c>
      <c r="C1311" t="s">
        <v>53</v>
      </c>
      <c r="D1311" t="s">
        <v>63</v>
      </c>
      <c r="E1311" t="s">
        <v>26</v>
      </c>
      <c r="F1311" t="s">
        <v>101</v>
      </c>
      <c r="G1311" t="s">
        <v>102</v>
      </c>
      <c r="H1311" t="s">
        <v>103</v>
      </c>
      <c r="I1311" t="s">
        <v>56</v>
      </c>
      <c r="J1311" t="s">
        <v>97</v>
      </c>
      <c r="K1311" t="s">
        <v>78</v>
      </c>
      <c r="L1311" t="s">
        <v>33</v>
      </c>
      <c r="M1311" t="s">
        <v>68</v>
      </c>
      <c r="N1311" t="s">
        <v>48</v>
      </c>
      <c r="O1311" t="s">
        <v>70</v>
      </c>
      <c r="P1311" t="s">
        <v>49</v>
      </c>
      <c r="Q1311" t="s">
        <v>172</v>
      </c>
      <c r="R1311">
        <v>288</v>
      </c>
      <c r="S1311">
        <v>142</v>
      </c>
      <c r="T1311">
        <v>94</v>
      </c>
      <c r="U1311">
        <v>31</v>
      </c>
      <c r="V1311" t="s">
        <v>6900</v>
      </c>
      <c r="W1311">
        <v>48251</v>
      </c>
      <c r="X1311" t="s">
        <v>7413</v>
      </c>
      <c r="Y1311">
        <v>36357</v>
      </c>
      <c r="Z1311">
        <v>1495781</v>
      </c>
      <c r="AA1311">
        <v>368714</v>
      </c>
      <c r="AB1311" t="str">
        <f>(VLOOKUP(SalesData[[#This Row],[Month Number]],Reference!C$5:E$16,2,FALSE))</f>
        <v>Feb</v>
      </c>
      <c r="AC1311">
        <f>MONTH(SalesData[[#This Row],[Date]])</f>
        <v>2</v>
      </c>
      <c r="AD1311">
        <f>Reference!F$4</f>
        <v>2026</v>
      </c>
      <c r="AE1311" t="str">
        <f>IF(OR(SalesData[[#This Row],[Day]]="Saturday",SalesData[[#This Row],[Day]]="Sunday"),"Weekend","Weekday")</f>
        <v>Weekday</v>
      </c>
      <c r="AF1311" s="5">
        <f>IF(SalesData[[#This Row],[Contracts Offered]]=0,0,SalesData[[#This Row],[Contracts Signed]]/SalesData[[#This Row],[Contracts Offered]])</f>
        <v>0.32978723404255317</v>
      </c>
      <c r="AG1311" s="5">
        <f>IF(SalesData[[#This Row],[Customers Visited]]=0,0,SalesData[[#This Row],[Test Drives]]/SalesData[[#This Row],[Customers Visited]])</f>
        <v>0.49305555555555558</v>
      </c>
      <c r="AH1311" s="5">
        <f>IF(SalesData[[#This Row],[Customers Visited]]=0,0,SalesData[[#This Row],[Contracts Signed]]/SalesData[[#This Row],[Customers Visited]])</f>
        <v>0.1076388888888889</v>
      </c>
      <c r="AI1311" s="6">
        <f>IF(SalesData[[#This Row],[Contracts Signed]]=0,0,SalesData[[#This Row],[Profit(€)]]/SalesData[[#This Row],[Contracts Signed]])</f>
        <v>11894</v>
      </c>
      <c r="AJ1311" s="5" t="str">
        <f>TRIM(CLEAN(SalesData[[#This Row],[Retailer]]))</f>
        <v>Ruhr Auto Plaza</v>
      </c>
    </row>
    <row r="1312" spans="1:36" ht="14.25" hidden="1" x14ac:dyDescent="0.2">
      <c r="A1312" t="s">
        <v>2145</v>
      </c>
      <c r="B1312" s="1">
        <v>46061</v>
      </c>
      <c r="C1312" t="s">
        <v>121</v>
      </c>
      <c r="D1312" t="s">
        <v>41</v>
      </c>
      <c r="E1312" t="s">
        <v>42</v>
      </c>
      <c r="F1312" t="s">
        <v>114</v>
      </c>
      <c r="G1312" t="s">
        <v>115</v>
      </c>
      <c r="H1312" t="s">
        <v>115</v>
      </c>
      <c r="I1312" t="s">
        <v>116</v>
      </c>
      <c r="J1312" t="s">
        <v>7026</v>
      </c>
      <c r="K1312" t="s">
        <v>66</v>
      </c>
      <c r="L1312" t="s">
        <v>46</v>
      </c>
      <c r="M1312" t="s">
        <v>34</v>
      </c>
      <c r="N1312" t="s">
        <v>48</v>
      </c>
      <c r="O1312" t="s">
        <v>70</v>
      </c>
      <c r="P1312" t="s">
        <v>58</v>
      </c>
      <c r="Q1312" t="s">
        <v>59</v>
      </c>
      <c r="R1312">
        <v>336</v>
      </c>
      <c r="S1312">
        <v>181</v>
      </c>
      <c r="T1312">
        <v>105</v>
      </c>
      <c r="U1312">
        <v>29</v>
      </c>
      <c r="V1312" t="s">
        <v>801</v>
      </c>
      <c r="W1312">
        <v>22639</v>
      </c>
      <c r="X1312" t="s">
        <v>1743</v>
      </c>
      <c r="Y1312">
        <v>20158</v>
      </c>
      <c r="Z1312">
        <v>656531</v>
      </c>
      <c r="AA1312">
        <v>71949</v>
      </c>
      <c r="AB1312" t="str">
        <f>(VLOOKUP(SalesData[[#This Row],[Month Number]],Reference!C$5:E$16,2,FALSE))</f>
        <v>Feb</v>
      </c>
      <c r="AC1312">
        <f>MONTH(SalesData[[#This Row],[Date]])</f>
        <v>2</v>
      </c>
      <c r="AD1312">
        <f>Reference!F$4</f>
        <v>2026</v>
      </c>
      <c r="AE1312" t="str">
        <f>IF(OR(SalesData[[#This Row],[Day]]="Saturday",SalesData[[#This Row],[Day]]="Sunday"),"Weekend","Weekday")</f>
        <v>Weekend</v>
      </c>
      <c r="AF1312" s="5">
        <f>IF(SalesData[[#This Row],[Contracts Offered]]=0,0,SalesData[[#This Row],[Contracts Signed]]/SalesData[[#This Row],[Contracts Offered]])</f>
        <v>0.27619047619047621</v>
      </c>
      <c r="AG1312" s="5">
        <f>IF(SalesData[[#This Row],[Customers Visited]]=0,0,SalesData[[#This Row],[Test Drives]]/SalesData[[#This Row],[Customers Visited]])</f>
        <v>0.53869047619047616</v>
      </c>
      <c r="AH1312" s="5">
        <f>IF(SalesData[[#This Row],[Customers Visited]]=0,0,SalesData[[#This Row],[Contracts Signed]]/SalesData[[#This Row],[Customers Visited]])</f>
        <v>8.6309523809523808E-2</v>
      </c>
      <c r="AI1312" s="6">
        <f>IF(SalesData[[#This Row],[Contracts Signed]]=0,0,SalesData[[#This Row],[Profit(€)]]/SalesData[[#This Row],[Contracts Signed]])</f>
        <v>2481</v>
      </c>
      <c r="AJ1312" s="5" t="str">
        <f>TRIM(CLEAN(SalesData[[#This Row],[Retailer]]))</f>
        <v>Elbe Drive</v>
      </c>
    </row>
    <row r="1313" spans="1:36" ht="14.25" hidden="1" x14ac:dyDescent="0.2">
      <c r="A1313" t="s">
        <v>2146</v>
      </c>
      <c r="B1313" s="1">
        <v>46066</v>
      </c>
      <c r="C1313" t="s">
        <v>121</v>
      </c>
      <c r="D1313" t="s">
        <v>54</v>
      </c>
      <c r="E1313" t="s">
        <v>26</v>
      </c>
      <c r="F1313" t="s">
        <v>101</v>
      </c>
      <c r="G1313" t="s">
        <v>102</v>
      </c>
      <c r="H1313" t="s">
        <v>103</v>
      </c>
      <c r="I1313" t="s">
        <v>116</v>
      </c>
      <c r="J1313" t="s">
        <v>203</v>
      </c>
      <c r="K1313" t="s">
        <v>78</v>
      </c>
      <c r="L1313" t="s">
        <v>67</v>
      </c>
      <c r="M1313" t="s">
        <v>47</v>
      </c>
      <c r="N1313" t="s">
        <v>35</v>
      </c>
      <c r="O1313" t="s">
        <v>36</v>
      </c>
      <c r="P1313" t="s">
        <v>49</v>
      </c>
      <c r="Q1313" t="s">
        <v>152</v>
      </c>
      <c r="R1313">
        <v>412</v>
      </c>
      <c r="S1313">
        <v>194</v>
      </c>
      <c r="T1313">
        <v>122</v>
      </c>
      <c r="U1313">
        <v>23</v>
      </c>
      <c r="V1313" t="s">
        <v>866</v>
      </c>
      <c r="W1313">
        <v>22302</v>
      </c>
      <c r="X1313" t="s">
        <v>4071</v>
      </c>
      <c r="Y1313">
        <v>19945</v>
      </c>
      <c r="Z1313">
        <v>512946</v>
      </c>
      <c r="AA1313">
        <v>54211</v>
      </c>
      <c r="AB1313" t="str">
        <f>(VLOOKUP(SalesData[[#This Row],[Month Number]],Reference!C$5:E$16,2,FALSE))</f>
        <v>Feb</v>
      </c>
      <c r="AC1313">
        <f>MONTH(SalesData[[#This Row],[Date]])</f>
        <v>2</v>
      </c>
      <c r="AD1313">
        <f>Reference!F$4</f>
        <v>2026</v>
      </c>
      <c r="AE1313" t="str">
        <f>IF(OR(SalesData[[#This Row],[Day]]="Saturday",SalesData[[#This Row],[Day]]="Sunday"),"Weekend","Weekday")</f>
        <v>Weekday</v>
      </c>
      <c r="AF1313" s="5">
        <f>IF(SalesData[[#This Row],[Contracts Offered]]=0,0,SalesData[[#This Row],[Contracts Signed]]/SalesData[[#This Row],[Contracts Offered]])</f>
        <v>0.18852459016393441</v>
      </c>
      <c r="AG1313" s="5">
        <f>IF(SalesData[[#This Row],[Customers Visited]]=0,0,SalesData[[#This Row],[Test Drives]]/SalesData[[#This Row],[Customers Visited]])</f>
        <v>0.470873786407767</v>
      </c>
      <c r="AH1313" s="5">
        <f>IF(SalesData[[#This Row],[Customers Visited]]=0,0,SalesData[[#This Row],[Contracts Signed]]/SalesData[[#This Row],[Customers Visited]])</f>
        <v>5.5825242718446605E-2</v>
      </c>
      <c r="AI1313" s="6">
        <f>IF(SalesData[[#This Row],[Contracts Signed]]=0,0,SalesData[[#This Row],[Profit(€)]]/SalesData[[#This Row],[Contracts Signed]])</f>
        <v>2357</v>
      </c>
      <c r="AJ1313" s="5" t="str">
        <f>TRIM(CLEAN(SalesData[[#This Row],[Retailer]]))</f>
        <v>Ruhr Auto Plaza</v>
      </c>
    </row>
    <row r="1314" spans="1:36" ht="14.25" hidden="1" x14ac:dyDescent="0.2">
      <c r="A1314" t="s">
        <v>2147</v>
      </c>
      <c r="B1314" s="1">
        <v>46060</v>
      </c>
      <c r="C1314" t="s">
        <v>24</v>
      </c>
      <c r="D1314" t="s">
        <v>151</v>
      </c>
      <c r="E1314" t="s">
        <v>42</v>
      </c>
      <c r="F1314" t="s">
        <v>74</v>
      </c>
      <c r="G1314" t="s">
        <v>75</v>
      </c>
      <c r="H1314" t="s">
        <v>76</v>
      </c>
      <c r="I1314" t="s">
        <v>64</v>
      </c>
      <c r="J1314" t="s">
        <v>157</v>
      </c>
      <c r="K1314" t="s">
        <v>66</v>
      </c>
      <c r="L1314" t="s">
        <v>33</v>
      </c>
      <c r="M1314" t="s">
        <v>68</v>
      </c>
      <c r="N1314" t="s">
        <v>69</v>
      </c>
      <c r="O1314" t="s">
        <v>36</v>
      </c>
      <c r="P1314" t="s">
        <v>71</v>
      </c>
      <c r="Q1314" t="s">
        <v>158</v>
      </c>
      <c r="R1314">
        <v>166</v>
      </c>
      <c r="S1314">
        <v>96</v>
      </c>
      <c r="T1314">
        <v>70</v>
      </c>
      <c r="U1314">
        <v>25</v>
      </c>
      <c r="V1314" t="s">
        <v>6831</v>
      </c>
      <c r="W1314">
        <v>72392</v>
      </c>
      <c r="X1314" t="s">
        <v>7274</v>
      </c>
      <c r="Y1314">
        <v>52336</v>
      </c>
      <c r="Z1314">
        <v>1809800</v>
      </c>
      <c r="AA1314">
        <v>501400</v>
      </c>
      <c r="AB1314" t="str">
        <f>(VLOOKUP(SalesData[[#This Row],[Month Number]],Reference!C$5:E$16,2,FALSE))</f>
        <v>Feb</v>
      </c>
      <c r="AC1314">
        <f>MONTH(SalesData[[#This Row],[Date]])</f>
        <v>2</v>
      </c>
      <c r="AD1314">
        <f>Reference!F$4</f>
        <v>2026</v>
      </c>
      <c r="AE1314" t="str">
        <f>IF(OR(SalesData[[#This Row],[Day]]="Saturday",SalesData[[#This Row],[Day]]="Sunday"),"Weekend","Weekday")</f>
        <v>Weekend</v>
      </c>
      <c r="AF1314" s="5">
        <f>IF(SalesData[[#This Row],[Contracts Offered]]=0,0,SalesData[[#This Row],[Contracts Signed]]/SalesData[[#This Row],[Contracts Offered]])</f>
        <v>0.35714285714285715</v>
      </c>
      <c r="AG1314" s="5">
        <f>IF(SalesData[[#This Row],[Customers Visited]]=0,0,SalesData[[#This Row],[Test Drives]]/SalesData[[#This Row],[Customers Visited]])</f>
        <v>0.57831325301204817</v>
      </c>
      <c r="AH1314" s="5">
        <f>IF(SalesData[[#This Row],[Customers Visited]]=0,0,SalesData[[#This Row],[Contracts Signed]]/SalesData[[#This Row],[Customers Visited]])</f>
        <v>0.15060240963855423</v>
      </c>
      <c r="AI1314" s="6">
        <f>IF(SalesData[[#This Row],[Contracts Signed]]=0,0,SalesData[[#This Row],[Profit(€)]]/SalesData[[#This Row],[Contracts Signed]])</f>
        <v>20056</v>
      </c>
      <c r="AJ1314" s="5" t="str">
        <f>TRIM(CLEAN(SalesData[[#This Row],[Retailer]]))</f>
        <v>Stuttgart Auto Center</v>
      </c>
    </row>
    <row r="1315" spans="1:36" ht="14.25" hidden="1" x14ac:dyDescent="0.2">
      <c r="A1315" t="s">
        <v>2148</v>
      </c>
      <c r="B1315" s="1">
        <v>46080</v>
      </c>
      <c r="C1315" t="s">
        <v>53</v>
      </c>
      <c r="D1315" t="s">
        <v>54</v>
      </c>
      <c r="E1315" t="s">
        <v>26</v>
      </c>
      <c r="F1315" t="s">
        <v>114</v>
      </c>
      <c r="G1315" t="s">
        <v>115</v>
      </c>
      <c r="H1315" t="s">
        <v>115</v>
      </c>
      <c r="I1315" t="s">
        <v>64</v>
      </c>
      <c r="J1315" t="s">
        <v>157</v>
      </c>
      <c r="K1315" t="s">
        <v>78</v>
      </c>
      <c r="L1315" t="s">
        <v>33</v>
      </c>
      <c r="M1315" t="s">
        <v>87</v>
      </c>
      <c r="N1315" t="s">
        <v>69</v>
      </c>
      <c r="O1315" t="s">
        <v>36</v>
      </c>
      <c r="P1315" t="s">
        <v>37</v>
      </c>
      <c r="Q1315" t="s">
        <v>152</v>
      </c>
      <c r="R1315">
        <v>190</v>
      </c>
      <c r="S1315">
        <v>108</v>
      </c>
      <c r="T1315">
        <v>74</v>
      </c>
      <c r="U1315">
        <v>29</v>
      </c>
      <c r="V1315" t="s">
        <v>6727</v>
      </c>
      <c r="W1315">
        <v>68236</v>
      </c>
      <c r="X1315" t="s">
        <v>7337</v>
      </c>
      <c r="Y1315">
        <v>51830</v>
      </c>
      <c r="Z1315">
        <v>1978844</v>
      </c>
      <c r="AA1315">
        <v>475774</v>
      </c>
      <c r="AB1315" t="str">
        <f>(VLOOKUP(SalesData[[#This Row],[Month Number]],Reference!C$5:E$16,2,FALSE))</f>
        <v>Feb</v>
      </c>
      <c r="AC1315">
        <f>MONTH(SalesData[[#This Row],[Date]])</f>
        <v>2</v>
      </c>
      <c r="AD1315">
        <f>Reference!F$4</f>
        <v>2026</v>
      </c>
      <c r="AE1315" t="str">
        <f>IF(OR(SalesData[[#This Row],[Day]]="Saturday",SalesData[[#This Row],[Day]]="Sunday"),"Weekend","Weekday")</f>
        <v>Weekday</v>
      </c>
      <c r="AF1315" s="5">
        <f>IF(SalesData[[#This Row],[Contracts Offered]]=0,0,SalesData[[#This Row],[Contracts Signed]]/SalesData[[#This Row],[Contracts Offered]])</f>
        <v>0.39189189189189189</v>
      </c>
      <c r="AG1315" s="5">
        <f>IF(SalesData[[#This Row],[Customers Visited]]=0,0,SalesData[[#This Row],[Test Drives]]/SalesData[[#This Row],[Customers Visited]])</f>
        <v>0.56842105263157894</v>
      </c>
      <c r="AH1315" s="5">
        <f>IF(SalesData[[#This Row],[Customers Visited]]=0,0,SalesData[[#This Row],[Contracts Signed]]/SalesData[[#This Row],[Customers Visited]])</f>
        <v>0.15263157894736842</v>
      </c>
      <c r="AI1315" s="6">
        <f>IF(SalesData[[#This Row],[Contracts Signed]]=0,0,SalesData[[#This Row],[Profit(€)]]/SalesData[[#This Row],[Contracts Signed]])</f>
        <v>16406</v>
      </c>
      <c r="AJ1315" s="5" t="str">
        <f>TRIM(CLEAN(SalesData[[#This Row],[Retailer]]))</f>
        <v>Elbe Drive</v>
      </c>
    </row>
    <row r="1316" spans="1:36" ht="14.25" hidden="1" x14ac:dyDescent="0.2">
      <c r="A1316" t="s">
        <v>2149</v>
      </c>
      <c r="B1316" s="1">
        <v>46072</v>
      </c>
      <c r="C1316" t="s">
        <v>62</v>
      </c>
      <c r="D1316" t="s">
        <v>100</v>
      </c>
      <c r="E1316" t="s">
        <v>26</v>
      </c>
      <c r="F1316" t="s">
        <v>7649</v>
      </c>
      <c r="G1316" t="s">
        <v>55</v>
      </c>
      <c r="H1316" t="s">
        <v>55</v>
      </c>
      <c r="I1316" t="s">
        <v>104</v>
      </c>
      <c r="J1316" t="s">
        <v>140</v>
      </c>
      <c r="K1316" t="s">
        <v>78</v>
      </c>
      <c r="L1316" t="s">
        <v>46</v>
      </c>
      <c r="M1316" t="s">
        <v>68</v>
      </c>
      <c r="N1316" t="s">
        <v>35</v>
      </c>
      <c r="O1316" t="s">
        <v>70</v>
      </c>
      <c r="P1316" t="s">
        <v>37</v>
      </c>
      <c r="Q1316" t="s">
        <v>204</v>
      </c>
      <c r="R1316">
        <v>349</v>
      </c>
      <c r="S1316">
        <v>161</v>
      </c>
      <c r="T1316">
        <v>98</v>
      </c>
      <c r="U1316">
        <v>24</v>
      </c>
      <c r="V1316" t="s">
        <v>2563</v>
      </c>
      <c r="W1316">
        <v>28679</v>
      </c>
      <c r="X1316" t="s">
        <v>816</v>
      </c>
      <c r="Y1316">
        <v>24719</v>
      </c>
      <c r="Z1316">
        <v>688296</v>
      </c>
      <c r="AA1316">
        <v>95040</v>
      </c>
      <c r="AB1316" t="str">
        <f>(VLOOKUP(SalesData[[#This Row],[Month Number]],Reference!C$5:E$16,2,FALSE))</f>
        <v>Feb</v>
      </c>
      <c r="AC1316">
        <f>MONTH(SalesData[[#This Row],[Date]])</f>
        <v>2</v>
      </c>
      <c r="AD1316">
        <f>Reference!F$4</f>
        <v>2026</v>
      </c>
      <c r="AE1316" t="str">
        <f>IF(OR(SalesData[[#This Row],[Day]]="Saturday",SalesData[[#This Row],[Day]]="Sunday"),"Weekend","Weekday")</f>
        <v>Weekday</v>
      </c>
      <c r="AF1316" s="5">
        <f>IF(SalesData[[#This Row],[Contracts Offered]]=0,0,SalesData[[#This Row],[Contracts Signed]]/SalesData[[#This Row],[Contracts Offered]])</f>
        <v>0.24489795918367346</v>
      </c>
      <c r="AG1316" s="5">
        <f>IF(SalesData[[#This Row],[Customers Visited]]=0,0,SalesData[[#This Row],[Test Drives]]/SalesData[[#This Row],[Customers Visited]])</f>
        <v>0.46131805157593125</v>
      </c>
      <c r="AH1316" s="5">
        <f>IF(SalesData[[#This Row],[Customers Visited]]=0,0,SalesData[[#This Row],[Contracts Signed]]/SalesData[[#This Row],[Customers Visited]])</f>
        <v>6.8767908309455589E-2</v>
      </c>
      <c r="AI1316" s="6">
        <f>IF(SalesData[[#This Row],[Contracts Signed]]=0,0,SalesData[[#This Row],[Profit(€)]]/SalesData[[#This Row],[Contracts Signed]])</f>
        <v>3960</v>
      </c>
      <c r="AJ1316" s="5" t="str">
        <f>TRIM(CLEAN(SalesData[[#This Row],[Retailer]]))</f>
        <v>Autohaus Berlin</v>
      </c>
    </row>
    <row r="1317" spans="1:36" ht="14.25" hidden="1" x14ac:dyDescent="0.2">
      <c r="A1317" t="s">
        <v>2150</v>
      </c>
      <c r="B1317" s="1">
        <v>46058</v>
      </c>
      <c r="C1317" t="s">
        <v>24</v>
      </c>
      <c r="D1317" t="s">
        <v>100</v>
      </c>
      <c r="E1317" t="s">
        <v>26</v>
      </c>
      <c r="F1317" t="s">
        <v>114</v>
      </c>
      <c r="G1317" t="s">
        <v>115</v>
      </c>
      <c r="H1317" t="s">
        <v>115</v>
      </c>
      <c r="I1317" t="s">
        <v>64</v>
      </c>
      <c r="J1317" t="s">
        <v>77</v>
      </c>
      <c r="K1317" t="s">
        <v>66</v>
      </c>
      <c r="L1317" t="s">
        <v>46</v>
      </c>
      <c r="M1317" t="s">
        <v>68</v>
      </c>
      <c r="N1317" t="s">
        <v>35</v>
      </c>
      <c r="O1317" t="s">
        <v>36</v>
      </c>
      <c r="P1317" t="s">
        <v>71</v>
      </c>
      <c r="Q1317" t="s">
        <v>169</v>
      </c>
      <c r="R1317">
        <v>263</v>
      </c>
      <c r="S1317">
        <v>144</v>
      </c>
      <c r="T1317">
        <v>104</v>
      </c>
      <c r="U1317">
        <v>42</v>
      </c>
      <c r="V1317" t="s">
        <v>6395</v>
      </c>
      <c r="W1317">
        <v>65330</v>
      </c>
      <c r="X1317" t="s">
        <v>923</v>
      </c>
      <c r="Y1317">
        <v>49135</v>
      </c>
      <c r="Z1317">
        <v>2743860</v>
      </c>
      <c r="AA1317">
        <v>680190</v>
      </c>
      <c r="AB1317" t="str">
        <f>(VLOOKUP(SalesData[[#This Row],[Month Number]],Reference!C$5:E$16,2,FALSE))</f>
        <v>Feb</v>
      </c>
      <c r="AC1317">
        <f>MONTH(SalesData[[#This Row],[Date]])</f>
        <v>2</v>
      </c>
      <c r="AD1317">
        <f>Reference!F$4</f>
        <v>2026</v>
      </c>
      <c r="AE1317" t="str">
        <f>IF(OR(SalesData[[#This Row],[Day]]="Saturday",SalesData[[#This Row],[Day]]="Sunday"),"Weekend","Weekday")</f>
        <v>Weekday</v>
      </c>
      <c r="AF1317" s="5">
        <f>IF(SalesData[[#This Row],[Contracts Offered]]=0,0,SalesData[[#This Row],[Contracts Signed]]/SalesData[[#This Row],[Contracts Offered]])</f>
        <v>0.40384615384615385</v>
      </c>
      <c r="AG1317" s="5">
        <f>IF(SalesData[[#This Row],[Customers Visited]]=0,0,SalesData[[#This Row],[Test Drives]]/SalesData[[#This Row],[Customers Visited]])</f>
        <v>0.54752851711026618</v>
      </c>
      <c r="AH1317" s="5">
        <f>IF(SalesData[[#This Row],[Customers Visited]]=0,0,SalesData[[#This Row],[Contracts Signed]]/SalesData[[#This Row],[Customers Visited]])</f>
        <v>0.1596958174904943</v>
      </c>
      <c r="AI1317" s="6">
        <f>IF(SalesData[[#This Row],[Contracts Signed]]=0,0,SalesData[[#This Row],[Profit(€)]]/SalesData[[#This Row],[Contracts Signed]])</f>
        <v>16195</v>
      </c>
      <c r="AJ1317" s="5" t="str">
        <f>TRIM(CLEAN(SalesData[[#This Row],[Retailer]]))</f>
        <v>Elbe Drive</v>
      </c>
    </row>
    <row r="1318" spans="1:36" ht="14.25" hidden="1" x14ac:dyDescent="0.2">
      <c r="A1318" t="s">
        <v>2151</v>
      </c>
      <c r="B1318" s="1">
        <v>46074</v>
      </c>
      <c r="C1318" t="s">
        <v>62</v>
      </c>
      <c r="D1318" t="s">
        <v>151</v>
      </c>
      <c r="E1318" t="s">
        <v>42</v>
      </c>
      <c r="F1318" t="s">
        <v>114</v>
      </c>
      <c r="G1318" t="s">
        <v>115</v>
      </c>
      <c r="H1318" t="s">
        <v>115</v>
      </c>
      <c r="I1318" t="s">
        <v>116</v>
      </c>
      <c r="J1318" t="s">
        <v>203</v>
      </c>
      <c r="K1318" t="s">
        <v>78</v>
      </c>
      <c r="L1318" t="s">
        <v>67</v>
      </c>
      <c r="M1318" t="s">
        <v>87</v>
      </c>
      <c r="N1318" t="s">
        <v>35</v>
      </c>
      <c r="O1318" t="s">
        <v>70</v>
      </c>
      <c r="P1318" t="s">
        <v>71</v>
      </c>
      <c r="Q1318" t="s">
        <v>106</v>
      </c>
      <c r="R1318">
        <v>404</v>
      </c>
      <c r="S1318">
        <v>175</v>
      </c>
      <c r="T1318">
        <v>111</v>
      </c>
      <c r="U1318">
        <v>33</v>
      </c>
      <c r="V1318" t="s">
        <v>525</v>
      </c>
      <c r="W1318">
        <v>19539</v>
      </c>
      <c r="X1318" t="s">
        <v>1082</v>
      </c>
      <c r="Y1318">
        <v>17954</v>
      </c>
      <c r="Z1318">
        <v>644787</v>
      </c>
      <c r="AA1318">
        <v>52305</v>
      </c>
      <c r="AB1318" t="str">
        <f>(VLOOKUP(SalesData[[#This Row],[Month Number]],Reference!C$5:E$16,2,FALSE))</f>
        <v>Feb</v>
      </c>
      <c r="AC1318">
        <f>MONTH(SalesData[[#This Row],[Date]])</f>
        <v>2</v>
      </c>
      <c r="AD1318">
        <f>Reference!F$4</f>
        <v>2026</v>
      </c>
      <c r="AE1318" t="str">
        <f>IF(OR(SalesData[[#This Row],[Day]]="Saturday",SalesData[[#This Row],[Day]]="Sunday"),"Weekend","Weekday")</f>
        <v>Weekend</v>
      </c>
      <c r="AF1318" s="5">
        <f>IF(SalesData[[#This Row],[Contracts Offered]]=0,0,SalesData[[#This Row],[Contracts Signed]]/SalesData[[#This Row],[Contracts Offered]])</f>
        <v>0.29729729729729731</v>
      </c>
      <c r="AG1318" s="5">
        <f>IF(SalesData[[#This Row],[Customers Visited]]=0,0,SalesData[[#This Row],[Test Drives]]/SalesData[[#This Row],[Customers Visited]])</f>
        <v>0.43316831683168316</v>
      </c>
      <c r="AH1318" s="5">
        <f>IF(SalesData[[#This Row],[Customers Visited]]=0,0,SalesData[[#This Row],[Contracts Signed]]/SalesData[[#This Row],[Customers Visited]])</f>
        <v>8.1683168316831686E-2</v>
      </c>
      <c r="AI1318" s="6">
        <f>IF(SalesData[[#This Row],[Contracts Signed]]=0,0,SalesData[[#This Row],[Profit(€)]]/SalesData[[#This Row],[Contracts Signed]])</f>
        <v>1585</v>
      </c>
      <c r="AJ1318" s="5" t="str">
        <f>TRIM(CLEAN(SalesData[[#This Row],[Retailer]]))</f>
        <v>Elbe Drive</v>
      </c>
    </row>
    <row r="1319" spans="1:36" ht="14.25" hidden="1" x14ac:dyDescent="0.2">
      <c r="A1319" t="s">
        <v>2152</v>
      </c>
      <c r="B1319" s="1">
        <v>46079</v>
      </c>
      <c r="C1319" t="s">
        <v>53</v>
      </c>
      <c r="D1319" t="s">
        <v>100</v>
      </c>
      <c r="E1319" t="s">
        <v>26</v>
      </c>
      <c r="F1319" t="s">
        <v>114</v>
      </c>
      <c r="G1319" t="s">
        <v>115</v>
      </c>
      <c r="H1319" t="s">
        <v>115</v>
      </c>
      <c r="I1319" t="s">
        <v>104</v>
      </c>
      <c r="J1319" t="s">
        <v>7031</v>
      </c>
      <c r="K1319" t="s">
        <v>78</v>
      </c>
      <c r="L1319" t="s">
        <v>46</v>
      </c>
      <c r="M1319" t="s">
        <v>68</v>
      </c>
      <c r="N1319" t="s">
        <v>69</v>
      </c>
      <c r="O1319" t="s">
        <v>70</v>
      </c>
      <c r="P1319" t="s">
        <v>37</v>
      </c>
      <c r="Q1319" t="s">
        <v>347</v>
      </c>
      <c r="R1319">
        <v>394</v>
      </c>
      <c r="S1319">
        <v>214</v>
      </c>
      <c r="T1319">
        <v>146</v>
      </c>
      <c r="U1319">
        <v>37</v>
      </c>
      <c r="V1319" t="s">
        <v>1709</v>
      </c>
      <c r="W1319">
        <v>28187</v>
      </c>
      <c r="X1319" t="s">
        <v>5974</v>
      </c>
      <c r="Y1319">
        <v>24572</v>
      </c>
      <c r="Z1319">
        <v>1042919</v>
      </c>
      <c r="AA1319">
        <v>133755</v>
      </c>
      <c r="AB1319" t="str">
        <f>(VLOOKUP(SalesData[[#This Row],[Month Number]],Reference!C$5:E$16,2,FALSE))</f>
        <v>Feb</v>
      </c>
      <c r="AC1319">
        <f>MONTH(SalesData[[#This Row],[Date]])</f>
        <v>2</v>
      </c>
      <c r="AD1319">
        <f>Reference!F$4</f>
        <v>2026</v>
      </c>
      <c r="AE1319" t="str">
        <f>IF(OR(SalesData[[#This Row],[Day]]="Saturday",SalesData[[#This Row],[Day]]="Sunday"),"Weekend","Weekday")</f>
        <v>Weekday</v>
      </c>
      <c r="AF1319" s="5">
        <f>IF(SalesData[[#This Row],[Contracts Offered]]=0,0,SalesData[[#This Row],[Contracts Signed]]/SalesData[[#This Row],[Contracts Offered]])</f>
        <v>0.25342465753424659</v>
      </c>
      <c r="AG1319" s="5">
        <f>IF(SalesData[[#This Row],[Customers Visited]]=0,0,SalesData[[#This Row],[Test Drives]]/SalesData[[#This Row],[Customers Visited]])</f>
        <v>0.54314720812182737</v>
      </c>
      <c r="AH1319" s="5">
        <f>IF(SalesData[[#This Row],[Customers Visited]]=0,0,SalesData[[#This Row],[Contracts Signed]]/SalesData[[#This Row],[Customers Visited]])</f>
        <v>9.3908629441624369E-2</v>
      </c>
      <c r="AI1319" s="6">
        <f>IF(SalesData[[#This Row],[Contracts Signed]]=0,0,SalesData[[#This Row],[Profit(€)]]/SalesData[[#This Row],[Contracts Signed]])</f>
        <v>3615</v>
      </c>
      <c r="AJ1319" s="5" t="str">
        <f>TRIM(CLEAN(SalesData[[#This Row],[Retailer]]))</f>
        <v>Elbe Drive</v>
      </c>
    </row>
    <row r="1320" spans="1:36" ht="14.25" hidden="1" x14ac:dyDescent="0.2">
      <c r="A1320" t="s">
        <v>2153</v>
      </c>
      <c r="B1320" s="1">
        <v>46075</v>
      </c>
      <c r="C1320" t="s">
        <v>53</v>
      </c>
      <c r="D1320" t="s">
        <v>41</v>
      </c>
      <c r="E1320" t="s">
        <v>42</v>
      </c>
      <c r="F1320" t="s">
        <v>7649</v>
      </c>
      <c r="G1320" t="s">
        <v>55</v>
      </c>
      <c r="H1320" t="s">
        <v>55</v>
      </c>
      <c r="I1320" t="s">
        <v>104</v>
      </c>
      <c r="J1320" t="s">
        <v>143</v>
      </c>
      <c r="K1320" t="s">
        <v>91</v>
      </c>
      <c r="L1320" t="s">
        <v>67</v>
      </c>
      <c r="M1320" t="s">
        <v>68</v>
      </c>
      <c r="N1320" t="s">
        <v>35</v>
      </c>
      <c r="O1320" t="s">
        <v>70</v>
      </c>
      <c r="P1320" t="s">
        <v>71</v>
      </c>
      <c r="Q1320" t="s">
        <v>118</v>
      </c>
      <c r="R1320">
        <v>334</v>
      </c>
      <c r="S1320">
        <v>174</v>
      </c>
      <c r="T1320">
        <v>121</v>
      </c>
      <c r="U1320">
        <v>32</v>
      </c>
      <c r="V1320" t="s">
        <v>1228</v>
      </c>
      <c r="W1320">
        <v>28847</v>
      </c>
      <c r="X1320" t="s">
        <v>4948</v>
      </c>
      <c r="Y1320">
        <v>24829</v>
      </c>
      <c r="Z1320">
        <v>923104</v>
      </c>
      <c r="AA1320">
        <v>128576</v>
      </c>
      <c r="AB1320" t="str">
        <f>(VLOOKUP(SalesData[[#This Row],[Month Number]],Reference!C$5:E$16,2,FALSE))</f>
        <v>Feb</v>
      </c>
      <c r="AC1320">
        <f>MONTH(SalesData[[#This Row],[Date]])</f>
        <v>2</v>
      </c>
      <c r="AD1320">
        <f>Reference!F$4</f>
        <v>2026</v>
      </c>
      <c r="AE1320" t="str">
        <f>IF(OR(SalesData[[#This Row],[Day]]="Saturday",SalesData[[#This Row],[Day]]="Sunday"),"Weekend","Weekday")</f>
        <v>Weekend</v>
      </c>
      <c r="AF1320" s="5">
        <f>IF(SalesData[[#This Row],[Contracts Offered]]=0,0,SalesData[[#This Row],[Contracts Signed]]/SalesData[[#This Row],[Contracts Offered]])</f>
        <v>0.26446280991735538</v>
      </c>
      <c r="AG1320" s="5">
        <f>IF(SalesData[[#This Row],[Customers Visited]]=0,0,SalesData[[#This Row],[Test Drives]]/SalesData[[#This Row],[Customers Visited]])</f>
        <v>0.52095808383233533</v>
      </c>
      <c r="AH1320" s="5">
        <f>IF(SalesData[[#This Row],[Customers Visited]]=0,0,SalesData[[#This Row],[Contracts Signed]]/SalesData[[#This Row],[Customers Visited]])</f>
        <v>9.580838323353294E-2</v>
      </c>
      <c r="AI1320" s="6">
        <f>IF(SalesData[[#This Row],[Contracts Signed]]=0,0,SalesData[[#This Row],[Profit(€)]]/SalesData[[#This Row],[Contracts Signed]])</f>
        <v>4018</v>
      </c>
      <c r="AJ1320" s="5" t="str">
        <f>TRIM(CLEAN(SalesData[[#This Row],[Retailer]]))</f>
        <v>Autohaus Berlin</v>
      </c>
    </row>
    <row r="1321" spans="1:36" ht="14.25" hidden="1" x14ac:dyDescent="0.2">
      <c r="A1321" t="s">
        <v>2154</v>
      </c>
      <c r="B1321" s="1">
        <v>46060</v>
      </c>
      <c r="C1321" t="s">
        <v>24</v>
      </c>
      <c r="D1321" t="s">
        <v>151</v>
      </c>
      <c r="E1321" t="s">
        <v>42</v>
      </c>
      <c r="F1321" t="s">
        <v>74</v>
      </c>
      <c r="G1321" t="s">
        <v>75</v>
      </c>
      <c r="H1321" t="s">
        <v>76</v>
      </c>
      <c r="I1321" t="s">
        <v>104</v>
      </c>
      <c r="J1321" t="s">
        <v>7061</v>
      </c>
      <c r="K1321" t="s">
        <v>66</v>
      </c>
      <c r="L1321" t="s">
        <v>46</v>
      </c>
      <c r="M1321" t="s">
        <v>87</v>
      </c>
      <c r="N1321" t="s">
        <v>48</v>
      </c>
      <c r="O1321" t="s">
        <v>36</v>
      </c>
      <c r="P1321" t="s">
        <v>49</v>
      </c>
      <c r="Q1321" t="s">
        <v>152</v>
      </c>
      <c r="R1321">
        <v>267</v>
      </c>
      <c r="S1321">
        <v>120</v>
      </c>
      <c r="T1321">
        <v>78</v>
      </c>
      <c r="U1321">
        <v>19</v>
      </c>
      <c r="V1321" t="s">
        <v>1698</v>
      </c>
      <c r="W1321">
        <v>29719</v>
      </c>
      <c r="X1321" t="s">
        <v>900</v>
      </c>
      <c r="Y1321">
        <v>27030</v>
      </c>
      <c r="Z1321">
        <v>564661</v>
      </c>
      <c r="AA1321">
        <v>51091</v>
      </c>
      <c r="AB1321" t="str">
        <f>(VLOOKUP(SalesData[[#This Row],[Month Number]],Reference!C$5:E$16,2,FALSE))</f>
        <v>Feb</v>
      </c>
      <c r="AC1321">
        <f>MONTH(SalesData[[#This Row],[Date]])</f>
        <v>2</v>
      </c>
      <c r="AD1321">
        <f>Reference!F$4</f>
        <v>2026</v>
      </c>
      <c r="AE1321" t="str">
        <f>IF(OR(SalesData[[#This Row],[Day]]="Saturday",SalesData[[#This Row],[Day]]="Sunday"),"Weekend","Weekday")</f>
        <v>Weekend</v>
      </c>
      <c r="AF1321" s="5">
        <f>IF(SalesData[[#This Row],[Contracts Offered]]=0,0,SalesData[[#This Row],[Contracts Signed]]/SalesData[[#This Row],[Contracts Offered]])</f>
        <v>0.24358974358974358</v>
      </c>
      <c r="AG1321" s="5">
        <f>IF(SalesData[[#This Row],[Customers Visited]]=0,0,SalesData[[#This Row],[Test Drives]]/SalesData[[#This Row],[Customers Visited]])</f>
        <v>0.449438202247191</v>
      </c>
      <c r="AH1321" s="5">
        <f>IF(SalesData[[#This Row],[Customers Visited]]=0,0,SalesData[[#This Row],[Contracts Signed]]/SalesData[[#This Row],[Customers Visited]])</f>
        <v>7.116104868913857E-2</v>
      </c>
      <c r="AI1321" s="6">
        <f>IF(SalesData[[#This Row],[Contracts Signed]]=0,0,SalesData[[#This Row],[Profit(€)]]/SalesData[[#This Row],[Contracts Signed]])</f>
        <v>2689</v>
      </c>
      <c r="AJ1321" s="5" t="str">
        <f>TRIM(CLEAN(SalesData[[#This Row],[Retailer]]))</f>
        <v>Stuttgart Auto Center</v>
      </c>
    </row>
    <row r="1322" spans="1:36" ht="14.25" x14ac:dyDescent="0.2">
      <c r="A1322" t="s">
        <v>2156</v>
      </c>
      <c r="B1322" s="1">
        <v>46063</v>
      </c>
      <c r="C1322" t="s">
        <v>121</v>
      </c>
      <c r="D1322" t="s">
        <v>63</v>
      </c>
      <c r="E1322" t="s">
        <v>26</v>
      </c>
      <c r="F1322" t="s">
        <v>109</v>
      </c>
      <c r="G1322" t="s">
        <v>110</v>
      </c>
      <c r="H1322" t="s">
        <v>45</v>
      </c>
      <c r="I1322" t="s">
        <v>30</v>
      </c>
      <c r="J1322" t="s">
        <v>31</v>
      </c>
      <c r="K1322" t="s">
        <v>91</v>
      </c>
      <c r="L1322" t="s">
        <v>46</v>
      </c>
      <c r="M1322" t="s">
        <v>34</v>
      </c>
      <c r="N1322" t="s">
        <v>48</v>
      </c>
      <c r="O1322" t="s">
        <v>70</v>
      </c>
      <c r="P1322" t="s">
        <v>71</v>
      </c>
      <c r="Q1322" t="s">
        <v>144</v>
      </c>
      <c r="R1322">
        <v>219</v>
      </c>
      <c r="S1322">
        <v>106</v>
      </c>
      <c r="T1322">
        <v>73</v>
      </c>
      <c r="U1322">
        <v>30</v>
      </c>
      <c r="V1322" t="s">
        <v>6760</v>
      </c>
      <c r="W1322">
        <v>61236</v>
      </c>
      <c r="X1322" t="s">
        <v>196</v>
      </c>
      <c r="Y1322">
        <v>43938</v>
      </c>
      <c r="Z1322">
        <v>1837080</v>
      </c>
      <c r="AA1322">
        <v>518940</v>
      </c>
      <c r="AB1322" t="str">
        <f>(VLOOKUP(SalesData[[#This Row],[Month Number]],Reference!C$5:E$16,2,FALSE))</f>
        <v>Feb</v>
      </c>
      <c r="AC1322">
        <f>MONTH(SalesData[[#This Row],[Date]])</f>
        <v>2</v>
      </c>
      <c r="AD1322">
        <f>Reference!F$4</f>
        <v>2026</v>
      </c>
      <c r="AE1322" t="str">
        <f>IF(OR(SalesData[[#This Row],[Day]]="Saturday",SalesData[[#This Row],[Day]]="Sunday"),"Weekend","Weekday")</f>
        <v>Weekday</v>
      </c>
      <c r="AF1322" s="5">
        <f>IF(SalesData[[#This Row],[Contracts Offered]]=0,0,SalesData[[#This Row],[Contracts Signed]]/SalesData[[#This Row],[Contracts Offered]])</f>
        <v>0.41095890410958902</v>
      </c>
      <c r="AG1322" s="5">
        <f>IF(SalesData[[#This Row],[Customers Visited]]=0,0,SalesData[[#This Row],[Test Drives]]/SalesData[[#This Row],[Customers Visited]])</f>
        <v>0.48401826484018262</v>
      </c>
      <c r="AH1322" s="5">
        <f>IF(SalesData[[#This Row],[Customers Visited]]=0,0,SalesData[[#This Row],[Contracts Signed]]/SalesData[[#This Row],[Customers Visited]])</f>
        <v>0.13698630136986301</v>
      </c>
      <c r="AI1322" s="6">
        <f>IF(SalesData[[#This Row],[Contracts Signed]]=0,0,SalesData[[#This Row],[Profit(€)]]/SalesData[[#This Row],[Contracts Signed]])</f>
        <v>17298</v>
      </c>
      <c r="AJ1322" s="5" t="str">
        <f>TRIM(CLEAN(SalesData[[#This Row],[Retailer]]))</f>
        <v>Leipzig Mobility</v>
      </c>
    </row>
    <row r="1323" spans="1:36" ht="14.25" x14ac:dyDescent="0.2">
      <c r="A1323" t="s">
        <v>2158</v>
      </c>
      <c r="B1323" s="1">
        <v>46058</v>
      </c>
      <c r="C1323" t="s">
        <v>24</v>
      </c>
      <c r="D1323" t="s">
        <v>100</v>
      </c>
      <c r="E1323" t="s">
        <v>26</v>
      </c>
      <c r="F1323" t="s">
        <v>7649</v>
      </c>
      <c r="G1323" t="s">
        <v>55</v>
      </c>
      <c r="H1323" t="s">
        <v>55</v>
      </c>
      <c r="I1323" t="s">
        <v>30</v>
      </c>
      <c r="J1323" t="s">
        <v>166</v>
      </c>
      <c r="K1323" t="s">
        <v>66</v>
      </c>
      <c r="L1323" t="s">
        <v>46</v>
      </c>
      <c r="M1323" t="s">
        <v>87</v>
      </c>
      <c r="N1323" t="s">
        <v>69</v>
      </c>
      <c r="O1323" t="s">
        <v>36</v>
      </c>
      <c r="P1323" t="s">
        <v>71</v>
      </c>
      <c r="Q1323" t="s">
        <v>144</v>
      </c>
      <c r="R1323">
        <v>152</v>
      </c>
      <c r="S1323">
        <v>91</v>
      </c>
      <c r="T1323">
        <v>69</v>
      </c>
      <c r="U1323">
        <v>29</v>
      </c>
      <c r="V1323" t="s">
        <v>7414</v>
      </c>
      <c r="W1323">
        <v>57398</v>
      </c>
      <c r="X1323" t="s">
        <v>1403</v>
      </c>
      <c r="Y1323">
        <v>40647</v>
      </c>
      <c r="Z1323">
        <v>1664542</v>
      </c>
      <c r="AA1323">
        <v>485779</v>
      </c>
      <c r="AB1323" t="str">
        <f>(VLOOKUP(SalesData[[#This Row],[Month Number]],Reference!C$5:E$16,2,FALSE))</f>
        <v>Feb</v>
      </c>
      <c r="AC1323">
        <f>MONTH(SalesData[[#This Row],[Date]])</f>
        <v>2</v>
      </c>
      <c r="AD1323">
        <f>Reference!F$4</f>
        <v>2026</v>
      </c>
      <c r="AE1323" t="str">
        <f>IF(OR(SalesData[[#This Row],[Day]]="Saturday",SalesData[[#This Row],[Day]]="Sunday"),"Weekend","Weekday")</f>
        <v>Weekday</v>
      </c>
      <c r="AF1323" s="5">
        <f>IF(SalesData[[#This Row],[Contracts Offered]]=0,0,SalesData[[#This Row],[Contracts Signed]]/SalesData[[#This Row],[Contracts Offered]])</f>
        <v>0.42028985507246375</v>
      </c>
      <c r="AG1323" s="5">
        <f>IF(SalesData[[#This Row],[Customers Visited]]=0,0,SalesData[[#This Row],[Test Drives]]/SalesData[[#This Row],[Customers Visited]])</f>
        <v>0.59868421052631582</v>
      </c>
      <c r="AH1323" s="5">
        <f>IF(SalesData[[#This Row],[Customers Visited]]=0,0,SalesData[[#This Row],[Contracts Signed]]/SalesData[[#This Row],[Customers Visited]])</f>
        <v>0.19078947368421054</v>
      </c>
      <c r="AI1323" s="6">
        <f>IF(SalesData[[#This Row],[Contracts Signed]]=0,0,SalesData[[#This Row],[Profit(€)]]/SalesData[[#This Row],[Contracts Signed]])</f>
        <v>16751</v>
      </c>
      <c r="AJ1323" s="5" t="str">
        <f>TRIM(CLEAN(SalesData[[#This Row],[Retailer]]))</f>
        <v>Autohaus Berlin</v>
      </c>
    </row>
    <row r="1324" spans="1:36" ht="14.25" hidden="1" x14ac:dyDescent="0.2">
      <c r="A1324" t="s">
        <v>2160</v>
      </c>
      <c r="B1324" s="1">
        <v>46069</v>
      </c>
      <c r="C1324" t="s">
        <v>62</v>
      </c>
      <c r="D1324" t="s">
        <v>25</v>
      </c>
      <c r="E1324" t="s">
        <v>26</v>
      </c>
      <c r="F1324" t="s">
        <v>83</v>
      </c>
      <c r="G1324" t="s">
        <v>84</v>
      </c>
      <c r="H1324" t="s">
        <v>85</v>
      </c>
      <c r="I1324" t="s">
        <v>116</v>
      </c>
      <c r="J1324" t="s">
        <v>7026</v>
      </c>
      <c r="K1324" t="s">
        <v>32</v>
      </c>
      <c r="L1324" t="s">
        <v>46</v>
      </c>
      <c r="M1324" t="s">
        <v>68</v>
      </c>
      <c r="N1324" t="s">
        <v>48</v>
      </c>
      <c r="O1324" t="s">
        <v>36</v>
      </c>
      <c r="P1324" t="s">
        <v>49</v>
      </c>
      <c r="Q1324" t="s">
        <v>144</v>
      </c>
      <c r="R1324">
        <v>226</v>
      </c>
      <c r="S1324">
        <v>87</v>
      </c>
      <c r="T1324">
        <v>59</v>
      </c>
      <c r="U1324">
        <v>11</v>
      </c>
      <c r="V1324" t="s">
        <v>2012</v>
      </c>
      <c r="W1324">
        <v>23026</v>
      </c>
      <c r="X1324" t="s">
        <v>544</v>
      </c>
      <c r="Y1324">
        <v>20991</v>
      </c>
      <c r="Z1324">
        <v>253286</v>
      </c>
      <c r="AA1324">
        <v>22385</v>
      </c>
      <c r="AB1324" t="str">
        <f>(VLOOKUP(SalesData[[#This Row],[Month Number]],Reference!C$5:E$16,2,FALSE))</f>
        <v>Feb</v>
      </c>
      <c r="AC1324">
        <f>MONTH(SalesData[[#This Row],[Date]])</f>
        <v>2</v>
      </c>
      <c r="AD1324">
        <f>Reference!F$4</f>
        <v>2026</v>
      </c>
      <c r="AE1324" t="str">
        <f>IF(OR(SalesData[[#This Row],[Day]]="Saturday",SalesData[[#This Row],[Day]]="Sunday"),"Weekend","Weekday")</f>
        <v>Weekday</v>
      </c>
      <c r="AF1324" s="5">
        <f>IF(SalesData[[#This Row],[Contracts Offered]]=0,0,SalesData[[#This Row],[Contracts Signed]]/SalesData[[#This Row],[Contracts Offered]])</f>
        <v>0.1864406779661017</v>
      </c>
      <c r="AG1324" s="5">
        <f>IF(SalesData[[#This Row],[Customers Visited]]=0,0,SalesData[[#This Row],[Test Drives]]/SalesData[[#This Row],[Customers Visited]])</f>
        <v>0.38495575221238937</v>
      </c>
      <c r="AH1324" s="5">
        <f>IF(SalesData[[#This Row],[Customers Visited]]=0,0,SalesData[[#This Row],[Contracts Signed]]/SalesData[[#This Row],[Customers Visited]])</f>
        <v>4.8672566371681415E-2</v>
      </c>
      <c r="AI1324" s="6">
        <f>IF(SalesData[[#This Row],[Contracts Signed]]=0,0,SalesData[[#This Row],[Profit(€)]]/SalesData[[#This Row],[Contracts Signed]])</f>
        <v>2035</v>
      </c>
      <c r="AJ1324" s="5" t="str">
        <f>TRIM(CLEAN(SalesData[[#This Row],[Retailer]]))</f>
        <v>Hannover Cars</v>
      </c>
    </row>
    <row r="1325" spans="1:36" ht="14.25" x14ac:dyDescent="0.2">
      <c r="A1325" t="s">
        <v>2162</v>
      </c>
      <c r="B1325" s="1">
        <v>46055</v>
      </c>
      <c r="C1325" t="s">
        <v>24</v>
      </c>
      <c r="D1325" t="s">
        <v>25</v>
      </c>
      <c r="E1325" t="s">
        <v>26</v>
      </c>
      <c r="F1325" t="s">
        <v>83</v>
      </c>
      <c r="G1325" t="s">
        <v>84</v>
      </c>
      <c r="H1325" t="s">
        <v>85</v>
      </c>
      <c r="I1325" t="s">
        <v>30</v>
      </c>
      <c r="J1325" t="s">
        <v>7075</v>
      </c>
      <c r="K1325" t="s">
        <v>78</v>
      </c>
      <c r="L1325" t="s">
        <v>33</v>
      </c>
      <c r="M1325" t="s">
        <v>87</v>
      </c>
      <c r="N1325" t="s">
        <v>69</v>
      </c>
      <c r="O1325" t="s">
        <v>70</v>
      </c>
      <c r="P1325" t="s">
        <v>58</v>
      </c>
      <c r="Q1325" t="s">
        <v>79</v>
      </c>
      <c r="R1325">
        <v>216</v>
      </c>
      <c r="S1325">
        <v>128</v>
      </c>
      <c r="T1325">
        <v>102</v>
      </c>
      <c r="U1325">
        <v>40</v>
      </c>
      <c r="V1325" t="s">
        <v>7076</v>
      </c>
      <c r="W1325">
        <v>54908</v>
      </c>
      <c r="X1325" t="s">
        <v>2142</v>
      </c>
      <c r="Y1325">
        <v>42184</v>
      </c>
      <c r="Z1325">
        <v>2196320</v>
      </c>
      <c r="AA1325">
        <v>508960</v>
      </c>
      <c r="AB1325" t="str">
        <f>(VLOOKUP(SalesData[[#This Row],[Month Number]],Reference!C$5:E$16,2,FALSE))</f>
        <v>Feb</v>
      </c>
      <c r="AC1325">
        <f>MONTH(SalesData[[#This Row],[Date]])</f>
        <v>2</v>
      </c>
      <c r="AD1325">
        <f>Reference!F$4</f>
        <v>2026</v>
      </c>
      <c r="AE1325" t="str">
        <f>IF(OR(SalesData[[#This Row],[Day]]="Saturday",SalesData[[#This Row],[Day]]="Sunday"),"Weekend","Weekday")</f>
        <v>Weekday</v>
      </c>
      <c r="AF1325" s="5">
        <f>IF(SalesData[[#This Row],[Contracts Offered]]=0,0,SalesData[[#This Row],[Contracts Signed]]/SalesData[[#This Row],[Contracts Offered]])</f>
        <v>0.39215686274509803</v>
      </c>
      <c r="AG1325" s="5">
        <f>IF(SalesData[[#This Row],[Customers Visited]]=0,0,SalesData[[#This Row],[Test Drives]]/SalesData[[#This Row],[Customers Visited]])</f>
        <v>0.59259259259259256</v>
      </c>
      <c r="AH1325" s="5">
        <f>IF(SalesData[[#This Row],[Customers Visited]]=0,0,SalesData[[#This Row],[Contracts Signed]]/SalesData[[#This Row],[Customers Visited]])</f>
        <v>0.18518518518518517</v>
      </c>
      <c r="AI1325" s="6">
        <f>IF(SalesData[[#This Row],[Contracts Signed]]=0,0,SalesData[[#This Row],[Profit(€)]]/SalesData[[#This Row],[Contracts Signed]])</f>
        <v>12724</v>
      </c>
      <c r="AJ1325" s="5" t="str">
        <f>TRIM(CLEAN(SalesData[[#This Row],[Retailer]]))</f>
        <v>Hannover Cars</v>
      </c>
    </row>
    <row r="1326" spans="1:36" ht="14.25" x14ac:dyDescent="0.2">
      <c r="A1326" t="s">
        <v>2164</v>
      </c>
      <c r="B1326" s="1">
        <v>46063</v>
      </c>
      <c r="C1326" t="s">
        <v>121</v>
      </c>
      <c r="D1326" t="s">
        <v>63</v>
      </c>
      <c r="E1326" t="s">
        <v>26</v>
      </c>
      <c r="F1326" t="s">
        <v>101</v>
      </c>
      <c r="G1326" t="s">
        <v>102</v>
      </c>
      <c r="H1326" t="s">
        <v>103</v>
      </c>
      <c r="I1326" t="s">
        <v>30</v>
      </c>
      <c r="J1326" t="s">
        <v>86</v>
      </c>
      <c r="K1326" t="s">
        <v>78</v>
      </c>
      <c r="L1326" t="s">
        <v>33</v>
      </c>
      <c r="M1326" t="s">
        <v>68</v>
      </c>
      <c r="N1326" t="s">
        <v>48</v>
      </c>
      <c r="O1326" t="s">
        <v>36</v>
      </c>
      <c r="P1326" t="s">
        <v>49</v>
      </c>
      <c r="Q1326" t="s">
        <v>152</v>
      </c>
      <c r="R1326">
        <v>199</v>
      </c>
      <c r="S1326">
        <v>102</v>
      </c>
      <c r="T1326">
        <v>77</v>
      </c>
      <c r="U1326">
        <v>26</v>
      </c>
      <c r="V1326" t="s">
        <v>6517</v>
      </c>
      <c r="W1326">
        <v>51989</v>
      </c>
      <c r="X1326" t="s">
        <v>384</v>
      </c>
      <c r="Y1326">
        <v>38076</v>
      </c>
      <c r="Z1326">
        <v>1351714</v>
      </c>
      <c r="AA1326">
        <v>361738</v>
      </c>
      <c r="AB1326" t="str">
        <f>(VLOOKUP(SalesData[[#This Row],[Month Number]],Reference!C$5:E$16,2,FALSE))</f>
        <v>Feb</v>
      </c>
      <c r="AC1326">
        <f>MONTH(SalesData[[#This Row],[Date]])</f>
        <v>2</v>
      </c>
      <c r="AD1326">
        <f>Reference!F$4</f>
        <v>2026</v>
      </c>
      <c r="AE1326" t="str">
        <f>IF(OR(SalesData[[#This Row],[Day]]="Saturday",SalesData[[#This Row],[Day]]="Sunday"),"Weekend","Weekday")</f>
        <v>Weekday</v>
      </c>
      <c r="AF1326" s="5">
        <f>IF(SalesData[[#This Row],[Contracts Offered]]=0,0,SalesData[[#This Row],[Contracts Signed]]/SalesData[[#This Row],[Contracts Offered]])</f>
        <v>0.33766233766233766</v>
      </c>
      <c r="AG1326" s="5">
        <f>IF(SalesData[[#This Row],[Customers Visited]]=0,0,SalesData[[#This Row],[Test Drives]]/SalesData[[#This Row],[Customers Visited]])</f>
        <v>0.51256281407035176</v>
      </c>
      <c r="AH1326" s="5">
        <f>IF(SalesData[[#This Row],[Customers Visited]]=0,0,SalesData[[#This Row],[Contracts Signed]]/SalesData[[#This Row],[Customers Visited]])</f>
        <v>0.1306532663316583</v>
      </c>
      <c r="AI1326" s="6">
        <f>IF(SalesData[[#This Row],[Contracts Signed]]=0,0,SalesData[[#This Row],[Profit(€)]]/SalesData[[#This Row],[Contracts Signed]])</f>
        <v>13913</v>
      </c>
      <c r="AJ1326" s="5" t="str">
        <f>TRIM(CLEAN(SalesData[[#This Row],[Retailer]]))</f>
        <v>Ruhr Auto Plaza</v>
      </c>
    </row>
    <row r="1327" spans="1:36" ht="14.25" hidden="1" x14ac:dyDescent="0.2">
      <c r="A1327" t="s">
        <v>2165</v>
      </c>
      <c r="B1327" s="1">
        <v>46077</v>
      </c>
      <c r="C1327" t="s">
        <v>53</v>
      </c>
      <c r="D1327" t="s">
        <v>63</v>
      </c>
      <c r="E1327" t="s">
        <v>26</v>
      </c>
      <c r="F1327" t="s">
        <v>74</v>
      </c>
      <c r="G1327" t="s">
        <v>75</v>
      </c>
      <c r="H1327" t="s">
        <v>76</v>
      </c>
      <c r="I1327" t="s">
        <v>104</v>
      </c>
      <c r="J1327" t="s">
        <v>140</v>
      </c>
      <c r="K1327" t="s">
        <v>66</v>
      </c>
      <c r="L1327" t="s">
        <v>46</v>
      </c>
      <c r="M1327" t="s">
        <v>47</v>
      </c>
      <c r="N1327" t="s">
        <v>35</v>
      </c>
      <c r="O1327" t="s">
        <v>70</v>
      </c>
      <c r="P1327" t="s">
        <v>71</v>
      </c>
      <c r="Q1327" t="s">
        <v>106</v>
      </c>
      <c r="R1327">
        <v>296</v>
      </c>
      <c r="S1327">
        <v>161</v>
      </c>
      <c r="T1327">
        <v>103</v>
      </c>
      <c r="U1327">
        <v>26</v>
      </c>
      <c r="V1327" t="s">
        <v>3319</v>
      </c>
      <c r="W1327">
        <v>27721</v>
      </c>
      <c r="X1327" t="s">
        <v>1184</v>
      </c>
      <c r="Y1327">
        <v>24477</v>
      </c>
      <c r="Z1327">
        <v>720746</v>
      </c>
      <c r="AA1327">
        <v>84344</v>
      </c>
      <c r="AB1327" t="str">
        <f>(VLOOKUP(SalesData[[#This Row],[Month Number]],Reference!C$5:E$16,2,FALSE))</f>
        <v>Feb</v>
      </c>
      <c r="AC1327">
        <f>MONTH(SalesData[[#This Row],[Date]])</f>
        <v>2</v>
      </c>
      <c r="AD1327">
        <f>Reference!F$4</f>
        <v>2026</v>
      </c>
      <c r="AE1327" t="str">
        <f>IF(OR(SalesData[[#This Row],[Day]]="Saturday",SalesData[[#This Row],[Day]]="Sunday"),"Weekend","Weekday")</f>
        <v>Weekday</v>
      </c>
      <c r="AF1327" s="5">
        <f>IF(SalesData[[#This Row],[Contracts Offered]]=0,0,SalesData[[#This Row],[Contracts Signed]]/SalesData[[#This Row],[Contracts Offered]])</f>
        <v>0.25242718446601942</v>
      </c>
      <c r="AG1327" s="5">
        <f>IF(SalesData[[#This Row],[Customers Visited]]=0,0,SalesData[[#This Row],[Test Drives]]/SalesData[[#This Row],[Customers Visited]])</f>
        <v>0.54391891891891897</v>
      </c>
      <c r="AH1327" s="5">
        <f>IF(SalesData[[#This Row],[Customers Visited]]=0,0,SalesData[[#This Row],[Contracts Signed]]/SalesData[[#This Row],[Customers Visited]])</f>
        <v>8.7837837837837843E-2</v>
      </c>
      <c r="AI1327" s="6">
        <f>IF(SalesData[[#This Row],[Contracts Signed]]=0,0,SalesData[[#This Row],[Profit(€)]]/SalesData[[#This Row],[Contracts Signed]])</f>
        <v>3244</v>
      </c>
      <c r="AJ1327" s="5" t="str">
        <f>TRIM(CLEAN(SalesData[[#This Row],[Retailer]]))</f>
        <v>Stuttgart Auto Center</v>
      </c>
    </row>
    <row r="1328" spans="1:36" ht="14.25" hidden="1" x14ac:dyDescent="0.2">
      <c r="A1328" t="s">
        <v>2166</v>
      </c>
      <c r="B1328" s="1">
        <v>46075</v>
      </c>
      <c r="C1328" t="s">
        <v>53</v>
      </c>
      <c r="D1328" t="s">
        <v>41</v>
      </c>
      <c r="E1328" t="s">
        <v>42</v>
      </c>
      <c r="F1328" t="s">
        <v>127</v>
      </c>
      <c r="G1328" t="s">
        <v>128</v>
      </c>
      <c r="H1328" t="s">
        <v>103</v>
      </c>
      <c r="I1328" t="s">
        <v>104</v>
      </c>
      <c r="J1328" t="s">
        <v>7061</v>
      </c>
      <c r="K1328" t="s">
        <v>78</v>
      </c>
      <c r="L1328" t="s">
        <v>46</v>
      </c>
      <c r="M1328" t="s">
        <v>47</v>
      </c>
      <c r="N1328" t="s">
        <v>69</v>
      </c>
      <c r="O1328" t="s">
        <v>36</v>
      </c>
      <c r="P1328" t="s">
        <v>58</v>
      </c>
      <c r="Q1328" t="s">
        <v>204</v>
      </c>
      <c r="R1328">
        <v>469</v>
      </c>
      <c r="S1328">
        <v>205</v>
      </c>
      <c r="T1328">
        <v>132</v>
      </c>
      <c r="U1328">
        <v>39</v>
      </c>
      <c r="V1328" t="s">
        <v>5651</v>
      </c>
      <c r="W1328">
        <v>32427</v>
      </c>
      <c r="X1328" t="s">
        <v>1299</v>
      </c>
      <c r="Y1328">
        <v>28756</v>
      </c>
      <c r="Z1328">
        <v>1264653</v>
      </c>
      <c r="AA1328">
        <v>143169</v>
      </c>
      <c r="AB1328" t="str">
        <f>(VLOOKUP(SalesData[[#This Row],[Month Number]],Reference!C$5:E$16,2,FALSE))</f>
        <v>Feb</v>
      </c>
      <c r="AC1328">
        <f>MONTH(SalesData[[#This Row],[Date]])</f>
        <v>2</v>
      </c>
      <c r="AD1328">
        <f>Reference!F$4</f>
        <v>2026</v>
      </c>
      <c r="AE1328" t="str">
        <f>IF(OR(SalesData[[#This Row],[Day]]="Saturday",SalesData[[#This Row],[Day]]="Sunday"),"Weekend","Weekday")</f>
        <v>Weekend</v>
      </c>
      <c r="AF1328" s="5">
        <f>IF(SalesData[[#This Row],[Contracts Offered]]=0,0,SalesData[[#This Row],[Contracts Signed]]/SalesData[[#This Row],[Contracts Offered]])</f>
        <v>0.29545454545454547</v>
      </c>
      <c r="AG1328" s="5">
        <f>IF(SalesData[[#This Row],[Customers Visited]]=0,0,SalesData[[#This Row],[Test Drives]]/SalesData[[#This Row],[Customers Visited]])</f>
        <v>0.43710021321961623</v>
      </c>
      <c r="AH1328" s="5">
        <f>IF(SalesData[[#This Row],[Customers Visited]]=0,0,SalesData[[#This Row],[Contracts Signed]]/SalesData[[#This Row],[Customers Visited]])</f>
        <v>8.3155650319829424E-2</v>
      </c>
      <c r="AI1328" s="6">
        <f>IF(SalesData[[#This Row],[Contracts Signed]]=0,0,SalesData[[#This Row],[Profit(€)]]/SalesData[[#This Row],[Contracts Signed]])</f>
        <v>3671</v>
      </c>
      <c r="AJ1328" s="5" t="str">
        <f>TRIM(CLEAN(SalesData[[#This Row],[Retailer]]))</f>
        <v>Rhein Auto Group</v>
      </c>
    </row>
    <row r="1329" spans="1:36" ht="14.25" hidden="1" x14ac:dyDescent="0.2">
      <c r="A1329" t="s">
        <v>2167</v>
      </c>
      <c r="B1329" s="1">
        <v>46059</v>
      </c>
      <c r="C1329" t="s">
        <v>24</v>
      </c>
      <c r="D1329" t="s">
        <v>54</v>
      </c>
      <c r="E1329" t="s">
        <v>26</v>
      </c>
      <c r="F1329" t="s">
        <v>74</v>
      </c>
      <c r="G1329" t="s">
        <v>75</v>
      </c>
      <c r="H1329" t="s">
        <v>76</v>
      </c>
      <c r="I1329" t="s">
        <v>56</v>
      </c>
      <c r="J1329" t="s">
        <v>7028</v>
      </c>
      <c r="K1329" t="s">
        <v>66</v>
      </c>
      <c r="L1329" t="s">
        <v>46</v>
      </c>
      <c r="M1329" t="s">
        <v>34</v>
      </c>
      <c r="N1329" t="s">
        <v>35</v>
      </c>
      <c r="O1329" t="s">
        <v>36</v>
      </c>
      <c r="P1329" t="s">
        <v>58</v>
      </c>
      <c r="Q1329" t="s">
        <v>204</v>
      </c>
      <c r="R1329">
        <v>301</v>
      </c>
      <c r="S1329">
        <v>181</v>
      </c>
      <c r="T1329">
        <v>135</v>
      </c>
      <c r="U1329">
        <v>49</v>
      </c>
      <c r="V1329" t="s">
        <v>6881</v>
      </c>
      <c r="W1329">
        <v>49740</v>
      </c>
      <c r="X1329" t="s">
        <v>7056</v>
      </c>
      <c r="Y1329">
        <v>39127</v>
      </c>
      <c r="Z1329">
        <v>2437260</v>
      </c>
      <c r="AA1329">
        <v>520037</v>
      </c>
      <c r="AB1329" t="str">
        <f>(VLOOKUP(SalesData[[#This Row],[Month Number]],Reference!C$5:E$16,2,FALSE))</f>
        <v>Feb</v>
      </c>
      <c r="AC1329">
        <f>MONTH(SalesData[[#This Row],[Date]])</f>
        <v>2</v>
      </c>
      <c r="AD1329">
        <f>Reference!F$4</f>
        <v>2026</v>
      </c>
      <c r="AE1329" t="str">
        <f>IF(OR(SalesData[[#This Row],[Day]]="Saturday",SalesData[[#This Row],[Day]]="Sunday"),"Weekend","Weekday")</f>
        <v>Weekday</v>
      </c>
      <c r="AF1329" s="5">
        <f>IF(SalesData[[#This Row],[Contracts Offered]]=0,0,SalesData[[#This Row],[Contracts Signed]]/SalesData[[#This Row],[Contracts Offered]])</f>
        <v>0.36296296296296299</v>
      </c>
      <c r="AG1329" s="5">
        <f>IF(SalesData[[#This Row],[Customers Visited]]=0,0,SalesData[[#This Row],[Test Drives]]/SalesData[[#This Row],[Customers Visited]])</f>
        <v>0.6013289036544851</v>
      </c>
      <c r="AH1329" s="5">
        <f>IF(SalesData[[#This Row],[Customers Visited]]=0,0,SalesData[[#This Row],[Contracts Signed]]/SalesData[[#This Row],[Customers Visited]])</f>
        <v>0.16279069767441862</v>
      </c>
      <c r="AI1329" s="6">
        <f>IF(SalesData[[#This Row],[Contracts Signed]]=0,0,SalesData[[#This Row],[Profit(€)]]/SalesData[[#This Row],[Contracts Signed]])</f>
        <v>10613</v>
      </c>
      <c r="AJ1329" s="5" t="str">
        <f>TRIM(CLEAN(SalesData[[#This Row],[Retailer]]))</f>
        <v>Stuttgart Auto Center</v>
      </c>
    </row>
    <row r="1330" spans="1:36" ht="14.25" hidden="1" x14ac:dyDescent="0.2">
      <c r="A1330" t="s">
        <v>2169</v>
      </c>
      <c r="B1330" s="1">
        <v>46064</v>
      </c>
      <c r="C1330" t="s">
        <v>121</v>
      </c>
      <c r="D1330" t="s">
        <v>82</v>
      </c>
      <c r="E1330" t="s">
        <v>26</v>
      </c>
      <c r="F1330" t="s">
        <v>83</v>
      </c>
      <c r="G1330" t="s">
        <v>84</v>
      </c>
      <c r="H1330" t="s">
        <v>85</v>
      </c>
      <c r="I1330" t="s">
        <v>116</v>
      </c>
      <c r="J1330" t="s">
        <v>7090</v>
      </c>
      <c r="K1330" t="s">
        <v>78</v>
      </c>
      <c r="L1330" t="s">
        <v>46</v>
      </c>
      <c r="M1330" t="s">
        <v>34</v>
      </c>
      <c r="N1330" t="s">
        <v>69</v>
      </c>
      <c r="O1330" t="s">
        <v>36</v>
      </c>
      <c r="P1330" t="s">
        <v>49</v>
      </c>
      <c r="Q1330" t="s">
        <v>189</v>
      </c>
      <c r="R1330">
        <v>392</v>
      </c>
      <c r="S1330">
        <v>180</v>
      </c>
      <c r="T1330">
        <v>120</v>
      </c>
      <c r="U1330">
        <v>23</v>
      </c>
      <c r="V1330" t="s">
        <v>727</v>
      </c>
      <c r="W1330">
        <v>20527</v>
      </c>
      <c r="X1330" t="s">
        <v>1743</v>
      </c>
      <c r="Y1330">
        <v>18414</v>
      </c>
      <c r="Z1330">
        <v>472121</v>
      </c>
      <c r="AA1330">
        <v>48599</v>
      </c>
      <c r="AB1330" t="str">
        <f>(VLOOKUP(SalesData[[#This Row],[Month Number]],Reference!C$5:E$16,2,FALSE))</f>
        <v>Feb</v>
      </c>
      <c r="AC1330">
        <f>MONTH(SalesData[[#This Row],[Date]])</f>
        <v>2</v>
      </c>
      <c r="AD1330">
        <f>Reference!F$4</f>
        <v>2026</v>
      </c>
      <c r="AE1330" t="str">
        <f>IF(OR(SalesData[[#This Row],[Day]]="Saturday",SalesData[[#This Row],[Day]]="Sunday"),"Weekend","Weekday")</f>
        <v>Weekday</v>
      </c>
      <c r="AF1330" s="5">
        <f>IF(SalesData[[#This Row],[Contracts Offered]]=0,0,SalesData[[#This Row],[Contracts Signed]]/SalesData[[#This Row],[Contracts Offered]])</f>
        <v>0.19166666666666668</v>
      </c>
      <c r="AG1330" s="5">
        <f>IF(SalesData[[#This Row],[Customers Visited]]=0,0,SalesData[[#This Row],[Test Drives]]/SalesData[[#This Row],[Customers Visited]])</f>
        <v>0.45918367346938777</v>
      </c>
      <c r="AH1330" s="5">
        <f>IF(SalesData[[#This Row],[Customers Visited]]=0,0,SalesData[[#This Row],[Contracts Signed]]/SalesData[[#This Row],[Customers Visited]])</f>
        <v>5.8673469387755105E-2</v>
      </c>
      <c r="AI1330" s="6">
        <f>IF(SalesData[[#This Row],[Contracts Signed]]=0,0,SalesData[[#This Row],[Profit(€)]]/SalesData[[#This Row],[Contracts Signed]])</f>
        <v>2113</v>
      </c>
      <c r="AJ1330" s="5" t="str">
        <f>TRIM(CLEAN(SalesData[[#This Row],[Retailer]]))</f>
        <v>Hannover Cars</v>
      </c>
    </row>
    <row r="1331" spans="1:36" ht="14.25" hidden="1" x14ac:dyDescent="0.2">
      <c r="A1331" t="s">
        <v>2170</v>
      </c>
      <c r="B1331" s="1">
        <v>46080</v>
      </c>
      <c r="C1331" t="s">
        <v>53</v>
      </c>
      <c r="D1331" t="s">
        <v>54</v>
      </c>
      <c r="E1331" t="s">
        <v>26</v>
      </c>
      <c r="F1331" t="s">
        <v>7649</v>
      </c>
      <c r="G1331" t="s">
        <v>55</v>
      </c>
      <c r="H1331" t="s">
        <v>55</v>
      </c>
      <c r="I1331" t="s">
        <v>116</v>
      </c>
      <c r="J1331" t="s">
        <v>117</v>
      </c>
      <c r="K1331" t="s">
        <v>32</v>
      </c>
      <c r="L1331" t="s">
        <v>67</v>
      </c>
      <c r="M1331" t="s">
        <v>68</v>
      </c>
      <c r="N1331" t="s">
        <v>48</v>
      </c>
      <c r="O1331" t="s">
        <v>70</v>
      </c>
      <c r="P1331" t="s">
        <v>58</v>
      </c>
      <c r="Q1331" t="s">
        <v>152</v>
      </c>
      <c r="R1331">
        <v>409</v>
      </c>
      <c r="S1331">
        <v>179</v>
      </c>
      <c r="T1331">
        <v>101</v>
      </c>
      <c r="U1331">
        <v>33</v>
      </c>
      <c r="V1331" t="s">
        <v>309</v>
      </c>
      <c r="W1331">
        <v>26599</v>
      </c>
      <c r="X1331" t="s">
        <v>4753</v>
      </c>
      <c r="Y1331">
        <v>24093</v>
      </c>
      <c r="Z1331">
        <v>877767</v>
      </c>
      <c r="AA1331">
        <v>82698</v>
      </c>
      <c r="AB1331" t="str">
        <f>(VLOOKUP(SalesData[[#This Row],[Month Number]],Reference!C$5:E$16,2,FALSE))</f>
        <v>Feb</v>
      </c>
      <c r="AC1331">
        <f>MONTH(SalesData[[#This Row],[Date]])</f>
        <v>2</v>
      </c>
      <c r="AD1331">
        <f>Reference!F$4</f>
        <v>2026</v>
      </c>
      <c r="AE1331" t="str">
        <f>IF(OR(SalesData[[#This Row],[Day]]="Saturday",SalesData[[#This Row],[Day]]="Sunday"),"Weekend","Weekday")</f>
        <v>Weekday</v>
      </c>
      <c r="AF1331" s="5">
        <f>IF(SalesData[[#This Row],[Contracts Offered]]=0,0,SalesData[[#This Row],[Contracts Signed]]/SalesData[[#This Row],[Contracts Offered]])</f>
        <v>0.32673267326732675</v>
      </c>
      <c r="AG1331" s="5">
        <f>IF(SalesData[[#This Row],[Customers Visited]]=0,0,SalesData[[#This Row],[Test Drives]]/SalesData[[#This Row],[Customers Visited]])</f>
        <v>0.43765281173594134</v>
      </c>
      <c r="AH1331" s="5">
        <f>IF(SalesData[[#This Row],[Customers Visited]]=0,0,SalesData[[#This Row],[Contracts Signed]]/SalesData[[#This Row],[Customers Visited]])</f>
        <v>8.0684596577017112E-2</v>
      </c>
      <c r="AI1331" s="6">
        <f>IF(SalesData[[#This Row],[Contracts Signed]]=0,0,SalesData[[#This Row],[Profit(€)]]/SalesData[[#This Row],[Contracts Signed]])</f>
        <v>2506</v>
      </c>
      <c r="AJ1331" s="5" t="str">
        <f>TRIM(CLEAN(SalesData[[#This Row],[Retailer]]))</f>
        <v>Autohaus Berlin</v>
      </c>
    </row>
    <row r="1332" spans="1:36" ht="14.25" hidden="1" x14ac:dyDescent="0.2">
      <c r="A1332" t="s">
        <v>2171</v>
      </c>
      <c r="B1332" s="1">
        <v>46067</v>
      </c>
      <c r="C1332" t="s">
        <v>121</v>
      </c>
      <c r="D1332" t="s">
        <v>151</v>
      </c>
      <c r="E1332" t="s">
        <v>42</v>
      </c>
      <c r="F1332" t="s">
        <v>83</v>
      </c>
      <c r="G1332" t="s">
        <v>84</v>
      </c>
      <c r="H1332" t="s">
        <v>85</v>
      </c>
      <c r="I1332" t="s">
        <v>64</v>
      </c>
      <c r="J1332" t="s">
        <v>65</v>
      </c>
      <c r="K1332" t="s">
        <v>66</v>
      </c>
      <c r="L1332" t="s">
        <v>33</v>
      </c>
      <c r="M1332" t="s">
        <v>47</v>
      </c>
      <c r="N1332" t="s">
        <v>35</v>
      </c>
      <c r="O1332" t="s">
        <v>70</v>
      </c>
      <c r="P1332" t="s">
        <v>37</v>
      </c>
      <c r="Q1332" t="s">
        <v>88</v>
      </c>
      <c r="R1332">
        <v>231</v>
      </c>
      <c r="S1332">
        <v>107</v>
      </c>
      <c r="T1332">
        <v>74</v>
      </c>
      <c r="U1332">
        <v>23</v>
      </c>
      <c r="V1332" t="s">
        <v>6435</v>
      </c>
      <c r="W1332">
        <v>57377</v>
      </c>
      <c r="X1332" t="s">
        <v>7062</v>
      </c>
      <c r="Y1332">
        <v>45200</v>
      </c>
      <c r="Z1332">
        <v>1319671</v>
      </c>
      <c r="AA1332">
        <v>280071</v>
      </c>
      <c r="AB1332" t="str">
        <f>(VLOOKUP(SalesData[[#This Row],[Month Number]],Reference!C$5:E$16,2,FALSE))</f>
        <v>Feb</v>
      </c>
      <c r="AC1332">
        <f>MONTH(SalesData[[#This Row],[Date]])</f>
        <v>2</v>
      </c>
      <c r="AD1332">
        <f>Reference!F$4</f>
        <v>2026</v>
      </c>
      <c r="AE1332" t="str">
        <f>IF(OR(SalesData[[#This Row],[Day]]="Saturday",SalesData[[#This Row],[Day]]="Sunday"),"Weekend","Weekday")</f>
        <v>Weekend</v>
      </c>
      <c r="AF1332" s="5">
        <f>IF(SalesData[[#This Row],[Contracts Offered]]=0,0,SalesData[[#This Row],[Contracts Signed]]/SalesData[[#This Row],[Contracts Offered]])</f>
        <v>0.3108108108108108</v>
      </c>
      <c r="AG1332" s="5">
        <f>IF(SalesData[[#This Row],[Customers Visited]]=0,0,SalesData[[#This Row],[Test Drives]]/SalesData[[#This Row],[Customers Visited]])</f>
        <v>0.46320346320346323</v>
      </c>
      <c r="AH1332" s="5">
        <f>IF(SalesData[[#This Row],[Customers Visited]]=0,0,SalesData[[#This Row],[Contracts Signed]]/SalesData[[#This Row],[Customers Visited]])</f>
        <v>9.9567099567099568E-2</v>
      </c>
      <c r="AI1332" s="6">
        <f>IF(SalesData[[#This Row],[Contracts Signed]]=0,0,SalesData[[#This Row],[Profit(€)]]/SalesData[[#This Row],[Contracts Signed]])</f>
        <v>12177</v>
      </c>
      <c r="AJ1332" s="5" t="str">
        <f>TRIM(CLEAN(SalesData[[#This Row],[Retailer]]))</f>
        <v>Hannover Cars</v>
      </c>
    </row>
    <row r="1333" spans="1:36" ht="14.25" hidden="1" x14ac:dyDescent="0.2">
      <c r="A1333" t="s">
        <v>2173</v>
      </c>
      <c r="B1333" s="1">
        <v>46074</v>
      </c>
      <c r="C1333" t="s">
        <v>62</v>
      </c>
      <c r="D1333" t="s">
        <v>151</v>
      </c>
      <c r="E1333" t="s">
        <v>42</v>
      </c>
      <c r="F1333" t="s">
        <v>43</v>
      </c>
      <c r="G1333" t="s">
        <v>44</v>
      </c>
      <c r="H1333" t="s">
        <v>45</v>
      </c>
      <c r="I1333" t="s">
        <v>64</v>
      </c>
      <c r="J1333" t="s">
        <v>111</v>
      </c>
      <c r="K1333" t="s">
        <v>32</v>
      </c>
      <c r="L1333" t="s">
        <v>46</v>
      </c>
      <c r="M1333" t="s">
        <v>34</v>
      </c>
      <c r="N1333" t="s">
        <v>69</v>
      </c>
      <c r="O1333" t="s">
        <v>36</v>
      </c>
      <c r="P1333" t="s">
        <v>71</v>
      </c>
      <c r="Q1333" t="s">
        <v>152</v>
      </c>
      <c r="R1333">
        <v>157</v>
      </c>
      <c r="S1333">
        <v>78</v>
      </c>
      <c r="T1333">
        <v>62</v>
      </c>
      <c r="U1333">
        <v>18</v>
      </c>
      <c r="V1333" t="s">
        <v>6386</v>
      </c>
      <c r="W1333">
        <v>53187</v>
      </c>
      <c r="X1333" t="s">
        <v>7415</v>
      </c>
      <c r="Y1333">
        <v>42016</v>
      </c>
      <c r="Z1333">
        <v>957366</v>
      </c>
      <c r="AA1333">
        <v>201078</v>
      </c>
      <c r="AB1333" t="str">
        <f>(VLOOKUP(SalesData[[#This Row],[Month Number]],Reference!C$5:E$16,2,FALSE))</f>
        <v>Feb</v>
      </c>
      <c r="AC1333">
        <f>MONTH(SalesData[[#This Row],[Date]])</f>
        <v>2</v>
      </c>
      <c r="AD1333">
        <f>Reference!F$4</f>
        <v>2026</v>
      </c>
      <c r="AE1333" t="str">
        <f>IF(OR(SalesData[[#This Row],[Day]]="Saturday",SalesData[[#This Row],[Day]]="Sunday"),"Weekend","Weekday")</f>
        <v>Weekend</v>
      </c>
      <c r="AF1333" s="5">
        <f>IF(SalesData[[#This Row],[Contracts Offered]]=0,0,SalesData[[#This Row],[Contracts Signed]]/SalesData[[#This Row],[Contracts Offered]])</f>
        <v>0.29032258064516131</v>
      </c>
      <c r="AG1333" s="5">
        <f>IF(SalesData[[#This Row],[Customers Visited]]=0,0,SalesData[[#This Row],[Test Drives]]/SalesData[[#This Row],[Customers Visited]])</f>
        <v>0.49681528662420382</v>
      </c>
      <c r="AH1333" s="5">
        <f>IF(SalesData[[#This Row],[Customers Visited]]=0,0,SalesData[[#This Row],[Contracts Signed]]/SalesData[[#This Row],[Customers Visited]])</f>
        <v>0.11464968152866242</v>
      </c>
      <c r="AI1333" s="6">
        <f>IF(SalesData[[#This Row],[Contracts Signed]]=0,0,SalesData[[#This Row],[Profit(€)]]/SalesData[[#This Row],[Contracts Signed]])</f>
        <v>11171</v>
      </c>
      <c r="AJ1333" s="5" t="str">
        <f>TRIM(CLEAN(SalesData[[#This Row],[Retailer]]))</f>
        <v>Saxon Wheels</v>
      </c>
    </row>
    <row r="1334" spans="1:36" ht="14.25" x14ac:dyDescent="0.2">
      <c r="A1334" t="s">
        <v>2174</v>
      </c>
      <c r="B1334" s="1">
        <v>46057</v>
      </c>
      <c r="C1334" t="s">
        <v>24</v>
      </c>
      <c r="D1334" t="s">
        <v>82</v>
      </c>
      <c r="E1334" t="s">
        <v>26</v>
      </c>
      <c r="F1334" t="s">
        <v>94</v>
      </c>
      <c r="G1334" t="s">
        <v>95</v>
      </c>
      <c r="H1334" t="s">
        <v>96</v>
      </c>
      <c r="I1334" t="s">
        <v>30</v>
      </c>
      <c r="J1334" t="s">
        <v>86</v>
      </c>
      <c r="K1334" t="s">
        <v>91</v>
      </c>
      <c r="L1334" t="s">
        <v>33</v>
      </c>
      <c r="M1334" t="s">
        <v>87</v>
      </c>
      <c r="N1334" t="s">
        <v>35</v>
      </c>
      <c r="O1334" t="s">
        <v>70</v>
      </c>
      <c r="P1334" t="s">
        <v>49</v>
      </c>
      <c r="Q1334" t="s">
        <v>144</v>
      </c>
      <c r="R1334">
        <v>159</v>
      </c>
      <c r="S1334">
        <v>72</v>
      </c>
      <c r="T1334">
        <v>51</v>
      </c>
      <c r="U1334">
        <v>19</v>
      </c>
      <c r="V1334" t="s">
        <v>6784</v>
      </c>
      <c r="W1334">
        <v>59773</v>
      </c>
      <c r="X1334" t="s">
        <v>7327</v>
      </c>
      <c r="Y1334">
        <v>43450</v>
      </c>
      <c r="Z1334">
        <v>1135687</v>
      </c>
      <c r="AA1334">
        <v>310137</v>
      </c>
      <c r="AB1334" t="str">
        <f>(VLOOKUP(SalesData[[#This Row],[Month Number]],Reference!C$5:E$16,2,FALSE))</f>
        <v>Feb</v>
      </c>
      <c r="AC1334">
        <f>MONTH(SalesData[[#This Row],[Date]])</f>
        <v>2</v>
      </c>
      <c r="AD1334">
        <f>Reference!F$4</f>
        <v>2026</v>
      </c>
      <c r="AE1334" t="str">
        <f>IF(OR(SalesData[[#This Row],[Day]]="Saturday",SalesData[[#This Row],[Day]]="Sunday"),"Weekend","Weekday")</f>
        <v>Weekday</v>
      </c>
      <c r="AF1334" s="5">
        <f>IF(SalesData[[#This Row],[Contracts Offered]]=0,0,SalesData[[#This Row],[Contracts Signed]]/SalesData[[#This Row],[Contracts Offered]])</f>
        <v>0.37254901960784315</v>
      </c>
      <c r="AG1334" s="5">
        <f>IF(SalesData[[#This Row],[Customers Visited]]=0,0,SalesData[[#This Row],[Test Drives]]/SalesData[[#This Row],[Customers Visited]])</f>
        <v>0.45283018867924529</v>
      </c>
      <c r="AH1334" s="5">
        <f>IF(SalesData[[#This Row],[Customers Visited]]=0,0,SalesData[[#This Row],[Contracts Signed]]/SalesData[[#This Row],[Customers Visited]])</f>
        <v>0.11949685534591195</v>
      </c>
      <c r="AI1334" s="6">
        <f>IF(SalesData[[#This Row],[Contracts Signed]]=0,0,SalesData[[#This Row],[Profit(€)]]/SalesData[[#This Row],[Contracts Signed]])</f>
        <v>16323</v>
      </c>
      <c r="AJ1334" s="5" t="str">
        <f>TRIM(CLEAN(SalesData[[#This Row],[Retailer]]))</f>
        <v>Bavaria Motors</v>
      </c>
    </row>
    <row r="1335" spans="1:36" ht="14.25" hidden="1" x14ac:dyDescent="0.2">
      <c r="A1335" t="s">
        <v>2175</v>
      </c>
      <c r="B1335" s="1">
        <v>46081</v>
      </c>
      <c r="C1335" t="s">
        <v>53</v>
      </c>
      <c r="D1335" t="s">
        <v>151</v>
      </c>
      <c r="E1335" t="s">
        <v>42</v>
      </c>
      <c r="F1335" t="s">
        <v>7649</v>
      </c>
      <c r="G1335" t="s">
        <v>55</v>
      </c>
      <c r="H1335" t="s">
        <v>55</v>
      </c>
      <c r="I1335" t="s">
        <v>56</v>
      </c>
      <c r="J1335" t="s">
        <v>57</v>
      </c>
      <c r="K1335" t="s">
        <v>78</v>
      </c>
      <c r="L1335" t="s">
        <v>46</v>
      </c>
      <c r="M1335" t="s">
        <v>68</v>
      </c>
      <c r="N1335" t="s">
        <v>48</v>
      </c>
      <c r="O1335" t="s">
        <v>70</v>
      </c>
      <c r="P1335" t="s">
        <v>37</v>
      </c>
      <c r="Q1335" t="s">
        <v>347</v>
      </c>
      <c r="R1335">
        <v>217</v>
      </c>
      <c r="S1335">
        <v>122</v>
      </c>
      <c r="T1335">
        <v>91</v>
      </c>
      <c r="U1335">
        <v>25</v>
      </c>
      <c r="V1335" t="s">
        <v>6657</v>
      </c>
      <c r="W1335">
        <v>49672</v>
      </c>
      <c r="X1335" t="s">
        <v>7218</v>
      </c>
      <c r="Y1335">
        <v>39027</v>
      </c>
      <c r="Z1335">
        <v>1241800</v>
      </c>
      <c r="AA1335">
        <v>266125</v>
      </c>
      <c r="AB1335" t="str">
        <f>(VLOOKUP(SalesData[[#This Row],[Month Number]],Reference!C$5:E$16,2,FALSE))</f>
        <v>Feb</v>
      </c>
      <c r="AC1335">
        <f>MONTH(SalesData[[#This Row],[Date]])</f>
        <v>2</v>
      </c>
      <c r="AD1335">
        <f>Reference!F$4</f>
        <v>2026</v>
      </c>
      <c r="AE1335" t="str">
        <f>IF(OR(SalesData[[#This Row],[Day]]="Saturday",SalesData[[#This Row],[Day]]="Sunday"),"Weekend","Weekday")</f>
        <v>Weekend</v>
      </c>
      <c r="AF1335" s="5">
        <f>IF(SalesData[[#This Row],[Contracts Offered]]=0,0,SalesData[[#This Row],[Contracts Signed]]/SalesData[[#This Row],[Contracts Offered]])</f>
        <v>0.27472527472527475</v>
      </c>
      <c r="AG1335" s="5">
        <f>IF(SalesData[[#This Row],[Customers Visited]]=0,0,SalesData[[#This Row],[Test Drives]]/SalesData[[#This Row],[Customers Visited]])</f>
        <v>0.56221198156682028</v>
      </c>
      <c r="AH1335" s="5">
        <f>IF(SalesData[[#This Row],[Customers Visited]]=0,0,SalesData[[#This Row],[Contracts Signed]]/SalesData[[#This Row],[Customers Visited]])</f>
        <v>0.1152073732718894</v>
      </c>
      <c r="AI1335" s="6">
        <f>IF(SalesData[[#This Row],[Contracts Signed]]=0,0,SalesData[[#This Row],[Profit(€)]]/SalesData[[#This Row],[Contracts Signed]])</f>
        <v>10645</v>
      </c>
      <c r="AJ1335" s="5" t="str">
        <f>TRIM(CLEAN(SalesData[[#This Row],[Retailer]]))</f>
        <v>Autohaus Berlin</v>
      </c>
    </row>
    <row r="1336" spans="1:36" ht="14.25" hidden="1" x14ac:dyDescent="0.2">
      <c r="A1336" t="s">
        <v>2177</v>
      </c>
      <c r="B1336" s="1">
        <v>46065</v>
      </c>
      <c r="C1336" t="s">
        <v>121</v>
      </c>
      <c r="D1336" t="s">
        <v>100</v>
      </c>
      <c r="E1336" t="s">
        <v>26</v>
      </c>
      <c r="F1336" t="s">
        <v>109</v>
      </c>
      <c r="G1336" t="s">
        <v>110</v>
      </c>
      <c r="H1336" t="s">
        <v>45</v>
      </c>
      <c r="I1336" t="s">
        <v>56</v>
      </c>
      <c r="J1336" t="s">
        <v>57</v>
      </c>
      <c r="K1336" t="s">
        <v>91</v>
      </c>
      <c r="L1336" t="s">
        <v>46</v>
      </c>
      <c r="M1336" t="s">
        <v>68</v>
      </c>
      <c r="N1336" t="s">
        <v>69</v>
      </c>
      <c r="O1336" t="s">
        <v>36</v>
      </c>
      <c r="P1336" t="s">
        <v>71</v>
      </c>
      <c r="Q1336" t="s">
        <v>122</v>
      </c>
      <c r="R1336">
        <v>205</v>
      </c>
      <c r="S1336">
        <v>123</v>
      </c>
      <c r="T1336">
        <v>93</v>
      </c>
      <c r="U1336">
        <v>30</v>
      </c>
      <c r="V1336" t="s">
        <v>6903</v>
      </c>
      <c r="W1336">
        <v>50276</v>
      </c>
      <c r="X1336" t="s">
        <v>361</v>
      </c>
      <c r="Y1336">
        <v>38592</v>
      </c>
      <c r="Z1336">
        <v>1508280</v>
      </c>
      <c r="AA1336">
        <v>350520</v>
      </c>
      <c r="AB1336" t="str">
        <f>(VLOOKUP(SalesData[[#This Row],[Month Number]],Reference!C$5:E$16,2,FALSE))</f>
        <v>Feb</v>
      </c>
      <c r="AC1336">
        <f>MONTH(SalesData[[#This Row],[Date]])</f>
        <v>2</v>
      </c>
      <c r="AD1336">
        <f>Reference!F$4</f>
        <v>2026</v>
      </c>
      <c r="AE1336" t="str">
        <f>IF(OR(SalesData[[#This Row],[Day]]="Saturday",SalesData[[#This Row],[Day]]="Sunday"),"Weekend","Weekday")</f>
        <v>Weekday</v>
      </c>
      <c r="AF1336" s="5">
        <f>IF(SalesData[[#This Row],[Contracts Offered]]=0,0,SalesData[[#This Row],[Contracts Signed]]/SalesData[[#This Row],[Contracts Offered]])</f>
        <v>0.32258064516129031</v>
      </c>
      <c r="AG1336" s="5">
        <f>IF(SalesData[[#This Row],[Customers Visited]]=0,0,SalesData[[#This Row],[Test Drives]]/SalesData[[#This Row],[Customers Visited]])</f>
        <v>0.6</v>
      </c>
      <c r="AH1336" s="5">
        <f>IF(SalesData[[#This Row],[Customers Visited]]=0,0,SalesData[[#This Row],[Contracts Signed]]/SalesData[[#This Row],[Customers Visited]])</f>
        <v>0.14634146341463414</v>
      </c>
      <c r="AI1336" s="6">
        <f>IF(SalesData[[#This Row],[Contracts Signed]]=0,0,SalesData[[#This Row],[Profit(€)]]/SalesData[[#This Row],[Contracts Signed]])</f>
        <v>11684</v>
      </c>
      <c r="AJ1336" s="5" t="str">
        <f>TRIM(CLEAN(SalesData[[#This Row],[Retailer]]))</f>
        <v>Leipzig Mobility</v>
      </c>
    </row>
    <row r="1337" spans="1:36" ht="14.25" hidden="1" x14ac:dyDescent="0.2">
      <c r="A1337" t="s">
        <v>2178</v>
      </c>
      <c r="B1337" s="1">
        <v>46069</v>
      </c>
      <c r="C1337" t="s">
        <v>62</v>
      </c>
      <c r="D1337" t="s">
        <v>25</v>
      </c>
      <c r="E1337" t="s">
        <v>26</v>
      </c>
      <c r="F1337" t="s">
        <v>94</v>
      </c>
      <c r="G1337" t="s">
        <v>95</v>
      </c>
      <c r="H1337" t="s">
        <v>96</v>
      </c>
      <c r="I1337" t="s">
        <v>64</v>
      </c>
      <c r="J1337" t="s">
        <v>157</v>
      </c>
      <c r="K1337" t="s">
        <v>32</v>
      </c>
      <c r="L1337" t="s">
        <v>33</v>
      </c>
      <c r="M1337" t="s">
        <v>34</v>
      </c>
      <c r="N1337" t="s">
        <v>48</v>
      </c>
      <c r="O1337" t="s">
        <v>70</v>
      </c>
      <c r="P1337" t="s">
        <v>49</v>
      </c>
      <c r="Q1337" t="s">
        <v>167</v>
      </c>
      <c r="R1337">
        <v>243</v>
      </c>
      <c r="S1337">
        <v>122</v>
      </c>
      <c r="T1337">
        <v>92</v>
      </c>
      <c r="U1337">
        <v>32</v>
      </c>
      <c r="V1337" t="s">
        <v>6751</v>
      </c>
      <c r="W1337">
        <v>63180</v>
      </c>
      <c r="X1337" t="s">
        <v>2693</v>
      </c>
      <c r="Y1337">
        <v>46958</v>
      </c>
      <c r="Z1337">
        <v>2021760</v>
      </c>
      <c r="AA1337">
        <v>519104</v>
      </c>
      <c r="AB1337" t="str">
        <f>(VLOOKUP(SalesData[[#This Row],[Month Number]],Reference!C$5:E$16,2,FALSE))</f>
        <v>Feb</v>
      </c>
      <c r="AC1337">
        <f>MONTH(SalesData[[#This Row],[Date]])</f>
        <v>2</v>
      </c>
      <c r="AD1337">
        <f>Reference!F$4</f>
        <v>2026</v>
      </c>
      <c r="AE1337" t="str">
        <f>IF(OR(SalesData[[#This Row],[Day]]="Saturday",SalesData[[#This Row],[Day]]="Sunday"),"Weekend","Weekday")</f>
        <v>Weekday</v>
      </c>
      <c r="AF1337" s="5">
        <f>IF(SalesData[[#This Row],[Contracts Offered]]=0,0,SalesData[[#This Row],[Contracts Signed]]/SalesData[[#This Row],[Contracts Offered]])</f>
        <v>0.34782608695652173</v>
      </c>
      <c r="AG1337" s="5">
        <f>IF(SalesData[[#This Row],[Customers Visited]]=0,0,SalesData[[#This Row],[Test Drives]]/SalesData[[#This Row],[Customers Visited]])</f>
        <v>0.50205761316872433</v>
      </c>
      <c r="AH1337" s="5">
        <f>IF(SalesData[[#This Row],[Customers Visited]]=0,0,SalesData[[#This Row],[Contracts Signed]]/SalesData[[#This Row],[Customers Visited]])</f>
        <v>0.13168724279835392</v>
      </c>
      <c r="AI1337" s="6">
        <f>IF(SalesData[[#This Row],[Contracts Signed]]=0,0,SalesData[[#This Row],[Profit(€)]]/SalesData[[#This Row],[Contracts Signed]])</f>
        <v>16222</v>
      </c>
      <c r="AJ1337" s="5" t="str">
        <f>TRIM(CLEAN(SalesData[[#This Row],[Retailer]]))</f>
        <v>Bavaria Motors</v>
      </c>
    </row>
    <row r="1338" spans="1:36" ht="14.25" hidden="1" x14ac:dyDescent="0.2">
      <c r="A1338" t="s">
        <v>2180</v>
      </c>
      <c r="B1338" s="1">
        <v>46075</v>
      </c>
      <c r="C1338" t="s">
        <v>53</v>
      </c>
      <c r="D1338" t="s">
        <v>41</v>
      </c>
      <c r="E1338" t="s">
        <v>42</v>
      </c>
      <c r="F1338" t="s">
        <v>127</v>
      </c>
      <c r="G1338" t="s">
        <v>128</v>
      </c>
      <c r="H1338" t="s">
        <v>103</v>
      </c>
      <c r="I1338" t="s">
        <v>56</v>
      </c>
      <c r="J1338" t="s">
        <v>137</v>
      </c>
      <c r="K1338" t="s">
        <v>78</v>
      </c>
      <c r="L1338" t="s">
        <v>46</v>
      </c>
      <c r="M1338" t="s">
        <v>34</v>
      </c>
      <c r="N1338" t="s">
        <v>69</v>
      </c>
      <c r="O1338" t="s">
        <v>36</v>
      </c>
      <c r="P1338" t="s">
        <v>58</v>
      </c>
      <c r="Q1338" t="s">
        <v>129</v>
      </c>
      <c r="R1338">
        <v>247</v>
      </c>
      <c r="S1338">
        <v>137</v>
      </c>
      <c r="T1338">
        <v>88</v>
      </c>
      <c r="U1338">
        <v>32</v>
      </c>
      <c r="V1338" t="s">
        <v>6389</v>
      </c>
      <c r="W1338">
        <v>47551</v>
      </c>
      <c r="X1338" t="s">
        <v>7352</v>
      </c>
      <c r="Y1338">
        <v>36488</v>
      </c>
      <c r="Z1338">
        <v>1521632</v>
      </c>
      <c r="AA1338">
        <v>354016</v>
      </c>
      <c r="AB1338" t="str">
        <f>(VLOOKUP(SalesData[[#This Row],[Month Number]],Reference!C$5:E$16,2,FALSE))</f>
        <v>Feb</v>
      </c>
      <c r="AC1338">
        <f>MONTH(SalesData[[#This Row],[Date]])</f>
        <v>2</v>
      </c>
      <c r="AD1338">
        <f>Reference!F$4</f>
        <v>2026</v>
      </c>
      <c r="AE1338" t="str">
        <f>IF(OR(SalesData[[#This Row],[Day]]="Saturday",SalesData[[#This Row],[Day]]="Sunday"),"Weekend","Weekday")</f>
        <v>Weekend</v>
      </c>
      <c r="AF1338" s="5">
        <f>IF(SalesData[[#This Row],[Contracts Offered]]=0,0,SalesData[[#This Row],[Contracts Signed]]/SalesData[[#This Row],[Contracts Offered]])</f>
        <v>0.36363636363636365</v>
      </c>
      <c r="AG1338" s="5">
        <f>IF(SalesData[[#This Row],[Customers Visited]]=0,0,SalesData[[#This Row],[Test Drives]]/SalesData[[#This Row],[Customers Visited]])</f>
        <v>0.55465587044534415</v>
      </c>
      <c r="AH1338" s="5">
        <f>IF(SalesData[[#This Row],[Customers Visited]]=0,0,SalesData[[#This Row],[Contracts Signed]]/SalesData[[#This Row],[Customers Visited]])</f>
        <v>0.12955465587044535</v>
      </c>
      <c r="AI1338" s="6">
        <f>IF(SalesData[[#This Row],[Contracts Signed]]=0,0,SalesData[[#This Row],[Profit(€)]]/SalesData[[#This Row],[Contracts Signed]])</f>
        <v>11063</v>
      </c>
      <c r="AJ1338" s="5" t="str">
        <f>TRIM(CLEAN(SalesData[[#This Row],[Retailer]]))</f>
        <v>Rhein Auto Group</v>
      </c>
    </row>
    <row r="1339" spans="1:36" ht="14.25" hidden="1" x14ac:dyDescent="0.2">
      <c r="A1339" t="s">
        <v>2181</v>
      </c>
      <c r="B1339" s="1">
        <v>46062</v>
      </c>
      <c r="C1339" t="s">
        <v>121</v>
      </c>
      <c r="D1339" t="s">
        <v>25</v>
      </c>
      <c r="E1339" t="s">
        <v>26</v>
      </c>
      <c r="F1339" t="s">
        <v>127</v>
      </c>
      <c r="G1339" t="s">
        <v>128</v>
      </c>
      <c r="H1339" t="s">
        <v>103</v>
      </c>
      <c r="I1339" t="s">
        <v>64</v>
      </c>
      <c r="J1339" t="s">
        <v>157</v>
      </c>
      <c r="K1339" t="s">
        <v>91</v>
      </c>
      <c r="L1339" t="s">
        <v>33</v>
      </c>
      <c r="M1339" t="s">
        <v>47</v>
      </c>
      <c r="N1339" t="s">
        <v>69</v>
      </c>
      <c r="O1339" t="s">
        <v>36</v>
      </c>
      <c r="P1339" t="s">
        <v>71</v>
      </c>
      <c r="Q1339" t="s">
        <v>158</v>
      </c>
      <c r="R1339">
        <v>166</v>
      </c>
      <c r="S1339">
        <v>80</v>
      </c>
      <c r="T1339">
        <v>54</v>
      </c>
      <c r="U1339">
        <v>22</v>
      </c>
      <c r="V1339" t="s">
        <v>6767</v>
      </c>
      <c r="W1339">
        <v>59293</v>
      </c>
      <c r="X1339" t="s">
        <v>958</v>
      </c>
      <c r="Y1339">
        <v>45467</v>
      </c>
      <c r="Z1339">
        <v>1304446</v>
      </c>
      <c r="AA1339">
        <v>304172</v>
      </c>
      <c r="AB1339" t="str">
        <f>(VLOOKUP(SalesData[[#This Row],[Month Number]],Reference!C$5:E$16,2,FALSE))</f>
        <v>Feb</v>
      </c>
      <c r="AC1339">
        <f>MONTH(SalesData[[#This Row],[Date]])</f>
        <v>2</v>
      </c>
      <c r="AD1339">
        <f>Reference!F$4</f>
        <v>2026</v>
      </c>
      <c r="AE1339" t="str">
        <f>IF(OR(SalesData[[#This Row],[Day]]="Saturday",SalesData[[#This Row],[Day]]="Sunday"),"Weekend","Weekday")</f>
        <v>Weekday</v>
      </c>
      <c r="AF1339" s="5">
        <f>IF(SalesData[[#This Row],[Contracts Offered]]=0,0,SalesData[[#This Row],[Contracts Signed]]/SalesData[[#This Row],[Contracts Offered]])</f>
        <v>0.40740740740740738</v>
      </c>
      <c r="AG1339" s="5">
        <f>IF(SalesData[[#This Row],[Customers Visited]]=0,0,SalesData[[#This Row],[Test Drives]]/SalesData[[#This Row],[Customers Visited]])</f>
        <v>0.48192771084337349</v>
      </c>
      <c r="AH1339" s="5">
        <f>IF(SalesData[[#This Row],[Customers Visited]]=0,0,SalesData[[#This Row],[Contracts Signed]]/SalesData[[#This Row],[Customers Visited]])</f>
        <v>0.13253012048192772</v>
      </c>
      <c r="AI1339" s="6">
        <f>IF(SalesData[[#This Row],[Contracts Signed]]=0,0,SalesData[[#This Row],[Profit(€)]]/SalesData[[#This Row],[Contracts Signed]])</f>
        <v>13826</v>
      </c>
      <c r="AJ1339" s="5" t="str">
        <f>TRIM(CLEAN(SalesData[[#This Row],[Retailer]]))</f>
        <v>Rhein Auto Group</v>
      </c>
    </row>
    <row r="1340" spans="1:36" ht="14.25" hidden="1" x14ac:dyDescent="0.2">
      <c r="A1340" t="s">
        <v>2182</v>
      </c>
      <c r="B1340" s="1">
        <v>46060</v>
      </c>
      <c r="C1340" t="s">
        <v>24</v>
      </c>
      <c r="D1340" t="s">
        <v>151</v>
      </c>
      <c r="E1340" t="s">
        <v>42</v>
      </c>
      <c r="F1340" t="s">
        <v>94</v>
      </c>
      <c r="G1340" t="s">
        <v>95</v>
      </c>
      <c r="H1340" t="s">
        <v>96</v>
      </c>
      <c r="I1340" t="s">
        <v>104</v>
      </c>
      <c r="J1340" t="s">
        <v>105</v>
      </c>
      <c r="K1340" t="s">
        <v>78</v>
      </c>
      <c r="L1340" t="s">
        <v>33</v>
      </c>
      <c r="M1340" t="s">
        <v>68</v>
      </c>
      <c r="N1340" t="s">
        <v>35</v>
      </c>
      <c r="O1340" t="s">
        <v>70</v>
      </c>
      <c r="P1340" t="s">
        <v>71</v>
      </c>
      <c r="Q1340" t="s">
        <v>240</v>
      </c>
      <c r="R1340">
        <v>381</v>
      </c>
      <c r="S1340">
        <v>159</v>
      </c>
      <c r="T1340">
        <v>100</v>
      </c>
      <c r="U1340">
        <v>26</v>
      </c>
      <c r="V1340" t="s">
        <v>2087</v>
      </c>
      <c r="W1340">
        <v>28742</v>
      </c>
      <c r="X1340" t="s">
        <v>3180</v>
      </c>
      <c r="Y1340">
        <v>26123</v>
      </c>
      <c r="Z1340">
        <v>747292</v>
      </c>
      <c r="AA1340">
        <v>68094</v>
      </c>
      <c r="AB1340" t="str">
        <f>(VLOOKUP(SalesData[[#This Row],[Month Number]],Reference!C$5:E$16,2,FALSE))</f>
        <v>Feb</v>
      </c>
      <c r="AC1340">
        <f>MONTH(SalesData[[#This Row],[Date]])</f>
        <v>2</v>
      </c>
      <c r="AD1340">
        <f>Reference!F$4</f>
        <v>2026</v>
      </c>
      <c r="AE1340" t="str">
        <f>IF(OR(SalesData[[#This Row],[Day]]="Saturday",SalesData[[#This Row],[Day]]="Sunday"),"Weekend","Weekday")</f>
        <v>Weekend</v>
      </c>
      <c r="AF1340" s="5">
        <f>IF(SalesData[[#This Row],[Contracts Offered]]=0,0,SalesData[[#This Row],[Contracts Signed]]/SalesData[[#This Row],[Contracts Offered]])</f>
        <v>0.26</v>
      </c>
      <c r="AG1340" s="5">
        <f>IF(SalesData[[#This Row],[Customers Visited]]=0,0,SalesData[[#This Row],[Test Drives]]/SalesData[[#This Row],[Customers Visited]])</f>
        <v>0.41732283464566927</v>
      </c>
      <c r="AH1340" s="5">
        <f>IF(SalesData[[#This Row],[Customers Visited]]=0,0,SalesData[[#This Row],[Contracts Signed]]/SalesData[[#This Row],[Customers Visited]])</f>
        <v>6.8241469816272965E-2</v>
      </c>
      <c r="AI1340" s="6">
        <f>IF(SalesData[[#This Row],[Contracts Signed]]=0,0,SalesData[[#This Row],[Profit(€)]]/SalesData[[#This Row],[Contracts Signed]])</f>
        <v>2619</v>
      </c>
      <c r="AJ1340" s="5" t="str">
        <f>TRIM(CLEAN(SalesData[[#This Row],[Retailer]]))</f>
        <v>Bavaria Motors</v>
      </c>
    </row>
    <row r="1341" spans="1:36" ht="14.25" x14ac:dyDescent="0.2">
      <c r="A1341" t="s">
        <v>2183</v>
      </c>
      <c r="B1341" s="1">
        <v>46054</v>
      </c>
      <c r="C1341" t="s">
        <v>24</v>
      </c>
      <c r="D1341" t="s">
        <v>41</v>
      </c>
      <c r="E1341" t="s">
        <v>42</v>
      </c>
      <c r="F1341" t="s">
        <v>7649</v>
      </c>
      <c r="G1341" t="s">
        <v>55</v>
      </c>
      <c r="H1341" t="s">
        <v>55</v>
      </c>
      <c r="I1341" t="s">
        <v>30</v>
      </c>
      <c r="J1341" t="s">
        <v>7075</v>
      </c>
      <c r="K1341" t="s">
        <v>78</v>
      </c>
      <c r="L1341" t="s">
        <v>33</v>
      </c>
      <c r="M1341" t="s">
        <v>34</v>
      </c>
      <c r="N1341" t="s">
        <v>35</v>
      </c>
      <c r="O1341" t="s">
        <v>70</v>
      </c>
      <c r="P1341" t="s">
        <v>37</v>
      </c>
      <c r="Q1341" t="s">
        <v>79</v>
      </c>
      <c r="R1341">
        <v>192</v>
      </c>
      <c r="S1341">
        <v>107</v>
      </c>
      <c r="T1341">
        <v>73</v>
      </c>
      <c r="U1341">
        <v>31</v>
      </c>
      <c r="V1341" t="s">
        <v>6851</v>
      </c>
      <c r="W1341">
        <v>61765</v>
      </c>
      <c r="X1341" t="s">
        <v>1101</v>
      </c>
      <c r="Y1341">
        <v>48005</v>
      </c>
      <c r="Z1341">
        <v>1914715</v>
      </c>
      <c r="AA1341">
        <v>426560</v>
      </c>
      <c r="AB1341" t="str">
        <f>(VLOOKUP(SalesData[[#This Row],[Month Number]],Reference!C$5:E$16,2,FALSE))</f>
        <v>Feb</v>
      </c>
      <c r="AC1341">
        <f>MONTH(SalesData[[#This Row],[Date]])</f>
        <v>2</v>
      </c>
      <c r="AD1341">
        <f>Reference!F$4</f>
        <v>2026</v>
      </c>
      <c r="AE1341" t="str">
        <f>IF(OR(SalesData[[#This Row],[Day]]="Saturday",SalesData[[#This Row],[Day]]="Sunday"),"Weekend","Weekday")</f>
        <v>Weekend</v>
      </c>
      <c r="AF1341" s="5">
        <f>IF(SalesData[[#This Row],[Contracts Offered]]=0,0,SalesData[[#This Row],[Contracts Signed]]/SalesData[[#This Row],[Contracts Offered]])</f>
        <v>0.42465753424657532</v>
      </c>
      <c r="AG1341" s="5">
        <f>IF(SalesData[[#This Row],[Customers Visited]]=0,0,SalesData[[#This Row],[Test Drives]]/SalesData[[#This Row],[Customers Visited]])</f>
        <v>0.55729166666666663</v>
      </c>
      <c r="AH1341" s="5">
        <f>IF(SalesData[[#This Row],[Customers Visited]]=0,0,SalesData[[#This Row],[Contracts Signed]]/SalesData[[#This Row],[Customers Visited]])</f>
        <v>0.16145833333333334</v>
      </c>
      <c r="AI1341" s="6">
        <f>IF(SalesData[[#This Row],[Contracts Signed]]=0,0,SalesData[[#This Row],[Profit(€)]]/SalesData[[#This Row],[Contracts Signed]])</f>
        <v>13760</v>
      </c>
      <c r="AJ1341" s="5" t="str">
        <f>TRIM(CLEAN(SalesData[[#This Row],[Retailer]]))</f>
        <v>Autohaus Berlin</v>
      </c>
    </row>
    <row r="1342" spans="1:36" ht="14.25" hidden="1" x14ac:dyDescent="0.2">
      <c r="A1342" t="s">
        <v>2184</v>
      </c>
      <c r="B1342" s="1">
        <v>46065</v>
      </c>
      <c r="C1342" t="s">
        <v>121</v>
      </c>
      <c r="D1342" t="s">
        <v>100</v>
      </c>
      <c r="E1342" t="s">
        <v>26</v>
      </c>
      <c r="F1342" t="s">
        <v>74</v>
      </c>
      <c r="G1342" t="s">
        <v>75</v>
      </c>
      <c r="H1342" t="s">
        <v>76</v>
      </c>
      <c r="I1342" t="s">
        <v>64</v>
      </c>
      <c r="J1342" t="s">
        <v>65</v>
      </c>
      <c r="K1342" t="s">
        <v>91</v>
      </c>
      <c r="L1342" t="s">
        <v>33</v>
      </c>
      <c r="M1342" t="s">
        <v>87</v>
      </c>
      <c r="N1342" t="s">
        <v>35</v>
      </c>
      <c r="O1342" t="s">
        <v>36</v>
      </c>
      <c r="P1342" t="s">
        <v>37</v>
      </c>
      <c r="Q1342" t="s">
        <v>172</v>
      </c>
      <c r="R1342">
        <v>199</v>
      </c>
      <c r="S1342">
        <v>93</v>
      </c>
      <c r="T1342">
        <v>63</v>
      </c>
      <c r="U1342">
        <v>21</v>
      </c>
      <c r="V1342" t="s">
        <v>6364</v>
      </c>
      <c r="W1342">
        <v>54070</v>
      </c>
      <c r="X1342" t="s">
        <v>7169</v>
      </c>
      <c r="Y1342">
        <v>40610</v>
      </c>
      <c r="Z1342">
        <v>1135470</v>
      </c>
      <c r="AA1342">
        <v>282660</v>
      </c>
      <c r="AB1342" t="str">
        <f>(VLOOKUP(SalesData[[#This Row],[Month Number]],Reference!C$5:E$16,2,FALSE))</f>
        <v>Feb</v>
      </c>
      <c r="AC1342">
        <f>MONTH(SalesData[[#This Row],[Date]])</f>
        <v>2</v>
      </c>
      <c r="AD1342">
        <f>Reference!F$4</f>
        <v>2026</v>
      </c>
      <c r="AE1342" t="str">
        <f>IF(OR(SalesData[[#This Row],[Day]]="Saturday",SalesData[[#This Row],[Day]]="Sunday"),"Weekend","Weekday")</f>
        <v>Weekday</v>
      </c>
      <c r="AF1342" s="5">
        <f>IF(SalesData[[#This Row],[Contracts Offered]]=0,0,SalesData[[#This Row],[Contracts Signed]]/SalesData[[#This Row],[Contracts Offered]])</f>
        <v>0.33333333333333331</v>
      </c>
      <c r="AG1342" s="5">
        <f>IF(SalesData[[#This Row],[Customers Visited]]=0,0,SalesData[[#This Row],[Test Drives]]/SalesData[[#This Row],[Customers Visited]])</f>
        <v>0.46733668341708545</v>
      </c>
      <c r="AH1342" s="5">
        <f>IF(SalesData[[#This Row],[Customers Visited]]=0,0,SalesData[[#This Row],[Contracts Signed]]/SalesData[[#This Row],[Customers Visited]])</f>
        <v>0.10552763819095477</v>
      </c>
      <c r="AI1342" s="6">
        <f>IF(SalesData[[#This Row],[Contracts Signed]]=0,0,SalesData[[#This Row],[Profit(€)]]/SalesData[[#This Row],[Contracts Signed]])</f>
        <v>13460</v>
      </c>
      <c r="AJ1342" s="5" t="str">
        <f>TRIM(CLEAN(SalesData[[#This Row],[Retailer]]))</f>
        <v>Stuttgart Auto Center</v>
      </c>
    </row>
    <row r="1343" spans="1:36" ht="14.25" hidden="1" x14ac:dyDescent="0.2">
      <c r="A1343" t="s">
        <v>2186</v>
      </c>
      <c r="B1343" s="1">
        <v>46072</v>
      </c>
      <c r="C1343" t="s">
        <v>62</v>
      </c>
      <c r="D1343" t="s">
        <v>100</v>
      </c>
      <c r="E1343" t="s">
        <v>26</v>
      </c>
      <c r="F1343" t="s">
        <v>94</v>
      </c>
      <c r="G1343" t="s">
        <v>95</v>
      </c>
      <c r="H1343" t="s">
        <v>96</v>
      </c>
      <c r="I1343" t="s">
        <v>64</v>
      </c>
      <c r="J1343" t="s">
        <v>77</v>
      </c>
      <c r="K1343" t="s">
        <v>66</v>
      </c>
      <c r="L1343" t="s">
        <v>46</v>
      </c>
      <c r="M1343" t="s">
        <v>34</v>
      </c>
      <c r="N1343" t="s">
        <v>35</v>
      </c>
      <c r="O1343" t="s">
        <v>36</v>
      </c>
      <c r="P1343" t="s">
        <v>58</v>
      </c>
      <c r="Q1343" t="s">
        <v>79</v>
      </c>
      <c r="R1343">
        <v>189</v>
      </c>
      <c r="S1343">
        <v>90</v>
      </c>
      <c r="T1343">
        <v>70</v>
      </c>
      <c r="U1343">
        <v>28</v>
      </c>
      <c r="V1343" t="s">
        <v>7105</v>
      </c>
      <c r="W1343">
        <v>59284</v>
      </c>
      <c r="X1343" t="s">
        <v>7214</v>
      </c>
      <c r="Y1343">
        <v>44977</v>
      </c>
      <c r="Z1343">
        <v>1659952</v>
      </c>
      <c r="AA1343">
        <v>400596</v>
      </c>
      <c r="AB1343" t="str">
        <f>(VLOOKUP(SalesData[[#This Row],[Month Number]],Reference!C$5:E$16,2,FALSE))</f>
        <v>Feb</v>
      </c>
      <c r="AC1343">
        <f>MONTH(SalesData[[#This Row],[Date]])</f>
        <v>2</v>
      </c>
      <c r="AD1343">
        <f>Reference!F$4</f>
        <v>2026</v>
      </c>
      <c r="AE1343" t="str">
        <f>IF(OR(SalesData[[#This Row],[Day]]="Saturday",SalesData[[#This Row],[Day]]="Sunday"),"Weekend","Weekday")</f>
        <v>Weekday</v>
      </c>
      <c r="AF1343" s="5">
        <f>IF(SalesData[[#This Row],[Contracts Offered]]=0,0,SalesData[[#This Row],[Contracts Signed]]/SalesData[[#This Row],[Contracts Offered]])</f>
        <v>0.4</v>
      </c>
      <c r="AG1343" s="5">
        <f>IF(SalesData[[#This Row],[Customers Visited]]=0,0,SalesData[[#This Row],[Test Drives]]/SalesData[[#This Row],[Customers Visited]])</f>
        <v>0.47619047619047616</v>
      </c>
      <c r="AH1343" s="5">
        <f>IF(SalesData[[#This Row],[Customers Visited]]=0,0,SalesData[[#This Row],[Contracts Signed]]/SalesData[[#This Row],[Customers Visited]])</f>
        <v>0.14814814814814814</v>
      </c>
      <c r="AI1343" s="6">
        <f>IF(SalesData[[#This Row],[Contracts Signed]]=0,0,SalesData[[#This Row],[Profit(€)]]/SalesData[[#This Row],[Contracts Signed]])</f>
        <v>14307</v>
      </c>
      <c r="AJ1343" s="5" t="str">
        <f>TRIM(CLEAN(SalesData[[#This Row],[Retailer]]))</f>
        <v>Bavaria Motors</v>
      </c>
    </row>
    <row r="1344" spans="1:36" ht="14.25" x14ac:dyDescent="0.2">
      <c r="A1344" t="s">
        <v>2187</v>
      </c>
      <c r="B1344" s="1">
        <v>46070</v>
      </c>
      <c r="C1344" t="s">
        <v>62</v>
      </c>
      <c r="D1344" t="s">
        <v>63</v>
      </c>
      <c r="E1344" t="s">
        <v>26</v>
      </c>
      <c r="F1344" t="s">
        <v>83</v>
      </c>
      <c r="G1344" t="s">
        <v>84</v>
      </c>
      <c r="H1344" t="s">
        <v>85</v>
      </c>
      <c r="I1344" t="s">
        <v>30</v>
      </c>
      <c r="J1344" t="s">
        <v>86</v>
      </c>
      <c r="K1344" t="s">
        <v>66</v>
      </c>
      <c r="L1344" t="s">
        <v>33</v>
      </c>
      <c r="M1344" t="s">
        <v>47</v>
      </c>
      <c r="N1344" t="s">
        <v>48</v>
      </c>
      <c r="O1344" t="s">
        <v>36</v>
      </c>
      <c r="P1344" t="s">
        <v>58</v>
      </c>
      <c r="Q1344" t="s">
        <v>144</v>
      </c>
      <c r="R1344">
        <v>256</v>
      </c>
      <c r="S1344">
        <v>156</v>
      </c>
      <c r="T1344">
        <v>120</v>
      </c>
      <c r="U1344">
        <v>47</v>
      </c>
      <c r="V1344" t="s">
        <v>7416</v>
      </c>
      <c r="W1344">
        <v>62437</v>
      </c>
      <c r="X1344" t="s">
        <v>909</v>
      </c>
      <c r="Y1344">
        <v>43836</v>
      </c>
      <c r="Z1344">
        <v>2934539</v>
      </c>
      <c r="AA1344">
        <v>874247</v>
      </c>
      <c r="AB1344" t="str">
        <f>(VLOOKUP(SalesData[[#This Row],[Month Number]],Reference!C$5:E$16,2,FALSE))</f>
        <v>Feb</v>
      </c>
      <c r="AC1344">
        <f>MONTH(SalesData[[#This Row],[Date]])</f>
        <v>2</v>
      </c>
      <c r="AD1344">
        <f>Reference!F$4</f>
        <v>2026</v>
      </c>
      <c r="AE1344" t="str">
        <f>IF(OR(SalesData[[#This Row],[Day]]="Saturday",SalesData[[#This Row],[Day]]="Sunday"),"Weekend","Weekday")</f>
        <v>Weekday</v>
      </c>
      <c r="AF1344" s="5">
        <f>IF(SalesData[[#This Row],[Contracts Offered]]=0,0,SalesData[[#This Row],[Contracts Signed]]/SalesData[[#This Row],[Contracts Offered]])</f>
        <v>0.39166666666666666</v>
      </c>
      <c r="AG1344" s="5">
        <f>IF(SalesData[[#This Row],[Customers Visited]]=0,0,SalesData[[#This Row],[Test Drives]]/SalesData[[#This Row],[Customers Visited]])</f>
        <v>0.609375</v>
      </c>
      <c r="AH1344" s="5">
        <f>IF(SalesData[[#This Row],[Customers Visited]]=0,0,SalesData[[#This Row],[Contracts Signed]]/SalesData[[#This Row],[Customers Visited]])</f>
        <v>0.18359375</v>
      </c>
      <c r="AI1344" s="6">
        <f>IF(SalesData[[#This Row],[Contracts Signed]]=0,0,SalesData[[#This Row],[Profit(€)]]/SalesData[[#This Row],[Contracts Signed]])</f>
        <v>18601</v>
      </c>
      <c r="AJ1344" s="5" t="str">
        <f>TRIM(CLEAN(SalesData[[#This Row],[Retailer]]))</f>
        <v>Hannover Cars</v>
      </c>
    </row>
    <row r="1345" spans="1:36" ht="14.25" hidden="1" x14ac:dyDescent="0.2">
      <c r="A1345" t="s">
        <v>2188</v>
      </c>
      <c r="B1345" s="1">
        <v>46055</v>
      </c>
      <c r="C1345" t="s">
        <v>24</v>
      </c>
      <c r="D1345" t="s">
        <v>25</v>
      </c>
      <c r="E1345" t="s">
        <v>26</v>
      </c>
      <c r="F1345" t="s">
        <v>7649</v>
      </c>
      <c r="G1345" t="s">
        <v>55</v>
      </c>
      <c r="H1345" t="s">
        <v>55</v>
      </c>
      <c r="I1345" t="s">
        <v>64</v>
      </c>
      <c r="J1345" t="s">
        <v>157</v>
      </c>
      <c r="K1345" t="s">
        <v>91</v>
      </c>
      <c r="L1345" t="s">
        <v>33</v>
      </c>
      <c r="M1345" t="s">
        <v>68</v>
      </c>
      <c r="N1345" t="s">
        <v>48</v>
      </c>
      <c r="O1345" t="s">
        <v>36</v>
      </c>
      <c r="P1345" t="s">
        <v>71</v>
      </c>
      <c r="Q1345" t="s">
        <v>172</v>
      </c>
      <c r="R1345">
        <v>245</v>
      </c>
      <c r="S1345">
        <v>118</v>
      </c>
      <c r="T1345">
        <v>86</v>
      </c>
      <c r="U1345">
        <v>33</v>
      </c>
      <c r="V1345" t="s">
        <v>6793</v>
      </c>
      <c r="W1345">
        <v>49832</v>
      </c>
      <c r="X1345" t="s">
        <v>1632</v>
      </c>
      <c r="Y1345">
        <v>36994</v>
      </c>
      <c r="Z1345">
        <v>1644456</v>
      </c>
      <c r="AA1345">
        <v>423654</v>
      </c>
      <c r="AB1345" t="str">
        <f>(VLOOKUP(SalesData[[#This Row],[Month Number]],Reference!C$5:E$16,2,FALSE))</f>
        <v>Feb</v>
      </c>
      <c r="AC1345">
        <f>MONTH(SalesData[[#This Row],[Date]])</f>
        <v>2</v>
      </c>
      <c r="AD1345">
        <f>Reference!F$4</f>
        <v>2026</v>
      </c>
      <c r="AE1345" t="str">
        <f>IF(OR(SalesData[[#This Row],[Day]]="Saturday",SalesData[[#This Row],[Day]]="Sunday"),"Weekend","Weekday")</f>
        <v>Weekday</v>
      </c>
      <c r="AF1345" s="5">
        <f>IF(SalesData[[#This Row],[Contracts Offered]]=0,0,SalesData[[#This Row],[Contracts Signed]]/SalesData[[#This Row],[Contracts Offered]])</f>
        <v>0.38372093023255816</v>
      </c>
      <c r="AG1345" s="5">
        <f>IF(SalesData[[#This Row],[Customers Visited]]=0,0,SalesData[[#This Row],[Test Drives]]/SalesData[[#This Row],[Customers Visited]])</f>
        <v>0.48163265306122449</v>
      </c>
      <c r="AH1345" s="5">
        <f>IF(SalesData[[#This Row],[Customers Visited]]=0,0,SalesData[[#This Row],[Contracts Signed]]/SalesData[[#This Row],[Customers Visited]])</f>
        <v>0.13469387755102041</v>
      </c>
      <c r="AI1345" s="6">
        <f>IF(SalesData[[#This Row],[Contracts Signed]]=0,0,SalesData[[#This Row],[Profit(€)]]/SalesData[[#This Row],[Contracts Signed]])</f>
        <v>12838</v>
      </c>
      <c r="AJ1345" s="5" t="str">
        <f>TRIM(CLEAN(SalesData[[#This Row],[Retailer]]))</f>
        <v>Autohaus Berlin</v>
      </c>
    </row>
    <row r="1346" spans="1:36" ht="14.25" hidden="1" x14ac:dyDescent="0.2">
      <c r="A1346" t="s">
        <v>2190</v>
      </c>
      <c r="B1346" s="1">
        <v>46070</v>
      </c>
      <c r="C1346" t="s">
        <v>62</v>
      </c>
      <c r="D1346" t="s">
        <v>63</v>
      </c>
      <c r="E1346" t="s">
        <v>26</v>
      </c>
      <c r="F1346" t="s">
        <v>83</v>
      </c>
      <c r="G1346" t="s">
        <v>84</v>
      </c>
      <c r="H1346" t="s">
        <v>85</v>
      </c>
      <c r="I1346" t="s">
        <v>64</v>
      </c>
      <c r="J1346" t="s">
        <v>65</v>
      </c>
      <c r="K1346" t="s">
        <v>66</v>
      </c>
      <c r="L1346" t="s">
        <v>33</v>
      </c>
      <c r="M1346" t="s">
        <v>68</v>
      </c>
      <c r="N1346" t="s">
        <v>69</v>
      </c>
      <c r="O1346" t="s">
        <v>70</v>
      </c>
      <c r="P1346" t="s">
        <v>49</v>
      </c>
      <c r="Q1346" t="s">
        <v>118</v>
      </c>
      <c r="R1346">
        <v>243</v>
      </c>
      <c r="S1346">
        <v>115</v>
      </c>
      <c r="T1346">
        <v>83</v>
      </c>
      <c r="U1346">
        <v>28</v>
      </c>
      <c r="V1346" t="s">
        <v>6576</v>
      </c>
      <c r="W1346">
        <v>68524</v>
      </c>
      <c r="X1346" t="s">
        <v>3704</v>
      </c>
      <c r="Y1346">
        <v>51648</v>
      </c>
      <c r="Z1346">
        <v>1918672</v>
      </c>
      <c r="AA1346">
        <v>472528</v>
      </c>
      <c r="AB1346" t="str">
        <f>(VLOOKUP(SalesData[[#This Row],[Month Number]],Reference!C$5:E$16,2,FALSE))</f>
        <v>Feb</v>
      </c>
      <c r="AC1346">
        <f>MONTH(SalesData[[#This Row],[Date]])</f>
        <v>2</v>
      </c>
      <c r="AD1346">
        <f>Reference!F$4</f>
        <v>2026</v>
      </c>
      <c r="AE1346" t="str">
        <f>IF(OR(SalesData[[#This Row],[Day]]="Saturday",SalesData[[#This Row],[Day]]="Sunday"),"Weekend","Weekday")</f>
        <v>Weekday</v>
      </c>
      <c r="AF1346" s="5">
        <f>IF(SalesData[[#This Row],[Contracts Offered]]=0,0,SalesData[[#This Row],[Contracts Signed]]/SalesData[[#This Row],[Contracts Offered]])</f>
        <v>0.33734939759036142</v>
      </c>
      <c r="AG1346" s="5">
        <f>IF(SalesData[[#This Row],[Customers Visited]]=0,0,SalesData[[#This Row],[Test Drives]]/SalesData[[#This Row],[Customers Visited]])</f>
        <v>0.47325102880658437</v>
      </c>
      <c r="AH1346" s="5">
        <f>IF(SalesData[[#This Row],[Customers Visited]]=0,0,SalesData[[#This Row],[Contracts Signed]]/SalesData[[#This Row],[Customers Visited]])</f>
        <v>0.11522633744855967</v>
      </c>
      <c r="AI1346" s="6">
        <f>IF(SalesData[[#This Row],[Contracts Signed]]=0,0,SalesData[[#This Row],[Profit(€)]]/SalesData[[#This Row],[Contracts Signed]])</f>
        <v>16876</v>
      </c>
      <c r="AJ1346" s="5" t="str">
        <f>TRIM(CLEAN(SalesData[[#This Row],[Retailer]]))</f>
        <v>Hannover Cars</v>
      </c>
    </row>
    <row r="1347" spans="1:36" ht="14.25" x14ac:dyDescent="0.2">
      <c r="A1347" t="s">
        <v>2191</v>
      </c>
      <c r="B1347" s="1">
        <v>46074</v>
      </c>
      <c r="C1347" t="s">
        <v>62</v>
      </c>
      <c r="D1347" t="s">
        <v>151</v>
      </c>
      <c r="E1347" t="s">
        <v>42</v>
      </c>
      <c r="F1347" t="s">
        <v>114</v>
      </c>
      <c r="G1347" t="s">
        <v>115</v>
      </c>
      <c r="H1347" t="s">
        <v>115</v>
      </c>
      <c r="I1347" t="s">
        <v>30</v>
      </c>
      <c r="J1347" t="s">
        <v>7075</v>
      </c>
      <c r="K1347" t="s">
        <v>66</v>
      </c>
      <c r="L1347" t="s">
        <v>33</v>
      </c>
      <c r="M1347" t="s">
        <v>47</v>
      </c>
      <c r="N1347" t="s">
        <v>35</v>
      </c>
      <c r="O1347" t="s">
        <v>36</v>
      </c>
      <c r="P1347" t="s">
        <v>37</v>
      </c>
      <c r="Q1347" t="s">
        <v>189</v>
      </c>
      <c r="R1347">
        <v>173</v>
      </c>
      <c r="S1347">
        <v>106</v>
      </c>
      <c r="T1347">
        <v>72</v>
      </c>
      <c r="U1347">
        <v>30</v>
      </c>
      <c r="V1347" t="s">
        <v>6760</v>
      </c>
      <c r="W1347">
        <v>60041</v>
      </c>
      <c r="X1347" t="s">
        <v>7332</v>
      </c>
      <c r="Y1347">
        <v>46456</v>
      </c>
      <c r="Z1347">
        <v>1801230</v>
      </c>
      <c r="AA1347">
        <v>407550</v>
      </c>
      <c r="AB1347" t="str">
        <f>(VLOOKUP(SalesData[[#This Row],[Month Number]],Reference!C$5:E$16,2,FALSE))</f>
        <v>Feb</v>
      </c>
      <c r="AC1347">
        <f>MONTH(SalesData[[#This Row],[Date]])</f>
        <v>2</v>
      </c>
      <c r="AD1347">
        <f>Reference!F$4</f>
        <v>2026</v>
      </c>
      <c r="AE1347" t="str">
        <f>IF(OR(SalesData[[#This Row],[Day]]="Saturday",SalesData[[#This Row],[Day]]="Sunday"),"Weekend","Weekday")</f>
        <v>Weekend</v>
      </c>
      <c r="AF1347" s="5">
        <f>IF(SalesData[[#This Row],[Contracts Offered]]=0,0,SalesData[[#This Row],[Contracts Signed]]/SalesData[[#This Row],[Contracts Offered]])</f>
        <v>0.41666666666666669</v>
      </c>
      <c r="AG1347" s="5">
        <f>IF(SalesData[[#This Row],[Customers Visited]]=0,0,SalesData[[#This Row],[Test Drives]]/SalesData[[#This Row],[Customers Visited]])</f>
        <v>0.61271676300578037</v>
      </c>
      <c r="AH1347" s="5">
        <f>IF(SalesData[[#This Row],[Customers Visited]]=0,0,SalesData[[#This Row],[Contracts Signed]]/SalesData[[#This Row],[Customers Visited]])</f>
        <v>0.17341040462427745</v>
      </c>
      <c r="AI1347" s="6">
        <f>IF(SalesData[[#This Row],[Contracts Signed]]=0,0,SalesData[[#This Row],[Profit(€)]]/SalesData[[#This Row],[Contracts Signed]])</f>
        <v>13585</v>
      </c>
      <c r="AJ1347" s="5" t="str">
        <f>TRIM(CLEAN(SalesData[[#This Row],[Retailer]]))</f>
        <v>Elbe Drive</v>
      </c>
    </row>
    <row r="1348" spans="1:36" ht="14.25" x14ac:dyDescent="0.2">
      <c r="A1348" t="s">
        <v>2193</v>
      </c>
      <c r="B1348" s="1">
        <v>46063</v>
      </c>
      <c r="C1348" t="s">
        <v>121</v>
      </c>
      <c r="D1348" t="s">
        <v>63</v>
      </c>
      <c r="E1348" t="s">
        <v>26</v>
      </c>
      <c r="F1348" t="s">
        <v>43</v>
      </c>
      <c r="G1348" t="s">
        <v>44</v>
      </c>
      <c r="H1348" t="s">
        <v>45</v>
      </c>
      <c r="I1348" t="s">
        <v>30</v>
      </c>
      <c r="J1348" t="s">
        <v>166</v>
      </c>
      <c r="K1348" t="s">
        <v>91</v>
      </c>
      <c r="L1348" t="s">
        <v>46</v>
      </c>
      <c r="M1348" t="s">
        <v>47</v>
      </c>
      <c r="N1348" t="s">
        <v>35</v>
      </c>
      <c r="O1348" t="s">
        <v>36</v>
      </c>
      <c r="P1348" t="s">
        <v>58</v>
      </c>
      <c r="Q1348" t="s">
        <v>38</v>
      </c>
      <c r="R1348">
        <v>141</v>
      </c>
      <c r="S1348">
        <v>79</v>
      </c>
      <c r="T1348">
        <v>54</v>
      </c>
      <c r="U1348">
        <v>23</v>
      </c>
      <c r="V1348" t="s">
        <v>6788</v>
      </c>
      <c r="W1348">
        <v>57809</v>
      </c>
      <c r="X1348" t="s">
        <v>7269</v>
      </c>
      <c r="Y1348">
        <v>41337</v>
      </c>
      <c r="Z1348">
        <v>1329607</v>
      </c>
      <c r="AA1348">
        <v>378856</v>
      </c>
      <c r="AB1348" t="str">
        <f>(VLOOKUP(SalesData[[#This Row],[Month Number]],Reference!C$5:E$16,2,FALSE))</f>
        <v>Feb</v>
      </c>
      <c r="AC1348">
        <f>MONTH(SalesData[[#This Row],[Date]])</f>
        <v>2</v>
      </c>
      <c r="AD1348">
        <f>Reference!F$4</f>
        <v>2026</v>
      </c>
      <c r="AE1348" t="str">
        <f>IF(OR(SalesData[[#This Row],[Day]]="Saturday",SalesData[[#This Row],[Day]]="Sunday"),"Weekend","Weekday")</f>
        <v>Weekday</v>
      </c>
      <c r="AF1348" s="5">
        <f>IF(SalesData[[#This Row],[Contracts Offered]]=0,0,SalesData[[#This Row],[Contracts Signed]]/SalesData[[#This Row],[Contracts Offered]])</f>
        <v>0.42592592592592593</v>
      </c>
      <c r="AG1348" s="5">
        <f>IF(SalesData[[#This Row],[Customers Visited]]=0,0,SalesData[[#This Row],[Test Drives]]/SalesData[[#This Row],[Customers Visited]])</f>
        <v>0.56028368794326244</v>
      </c>
      <c r="AH1348" s="5">
        <f>IF(SalesData[[#This Row],[Customers Visited]]=0,0,SalesData[[#This Row],[Contracts Signed]]/SalesData[[#This Row],[Customers Visited]])</f>
        <v>0.16312056737588654</v>
      </c>
      <c r="AI1348" s="6">
        <f>IF(SalesData[[#This Row],[Contracts Signed]]=0,0,SalesData[[#This Row],[Profit(€)]]/SalesData[[#This Row],[Contracts Signed]])</f>
        <v>16472</v>
      </c>
      <c r="AJ1348" s="5" t="str">
        <f>TRIM(CLEAN(SalesData[[#This Row],[Retailer]]))</f>
        <v>Saxon Wheels</v>
      </c>
    </row>
    <row r="1349" spans="1:36" ht="14.25" hidden="1" x14ac:dyDescent="0.2">
      <c r="A1349" t="s">
        <v>2194</v>
      </c>
      <c r="B1349" s="1">
        <v>46061</v>
      </c>
      <c r="C1349" t="s">
        <v>121</v>
      </c>
      <c r="D1349" t="s">
        <v>41</v>
      </c>
      <c r="E1349" t="s">
        <v>42</v>
      </c>
      <c r="F1349" t="s">
        <v>114</v>
      </c>
      <c r="G1349" t="s">
        <v>115</v>
      </c>
      <c r="H1349" t="s">
        <v>115</v>
      </c>
      <c r="I1349" t="s">
        <v>56</v>
      </c>
      <c r="J1349" t="s">
        <v>97</v>
      </c>
      <c r="K1349" t="s">
        <v>32</v>
      </c>
      <c r="L1349" t="s">
        <v>33</v>
      </c>
      <c r="M1349" t="s">
        <v>68</v>
      </c>
      <c r="N1349" t="s">
        <v>69</v>
      </c>
      <c r="O1349" t="s">
        <v>70</v>
      </c>
      <c r="P1349" t="s">
        <v>37</v>
      </c>
      <c r="Q1349" t="s">
        <v>79</v>
      </c>
      <c r="R1349">
        <v>263</v>
      </c>
      <c r="S1349">
        <v>156</v>
      </c>
      <c r="T1349">
        <v>108</v>
      </c>
      <c r="U1349">
        <v>31</v>
      </c>
      <c r="V1349" t="s">
        <v>6972</v>
      </c>
      <c r="W1349">
        <v>46253</v>
      </c>
      <c r="X1349" t="s">
        <v>2728</v>
      </c>
      <c r="Y1349">
        <v>37261</v>
      </c>
      <c r="Z1349">
        <v>1433843</v>
      </c>
      <c r="AA1349">
        <v>278752</v>
      </c>
      <c r="AB1349" t="str">
        <f>(VLOOKUP(SalesData[[#This Row],[Month Number]],Reference!C$5:E$16,2,FALSE))</f>
        <v>Feb</v>
      </c>
      <c r="AC1349">
        <f>MONTH(SalesData[[#This Row],[Date]])</f>
        <v>2</v>
      </c>
      <c r="AD1349">
        <f>Reference!F$4</f>
        <v>2026</v>
      </c>
      <c r="AE1349" t="str">
        <f>IF(OR(SalesData[[#This Row],[Day]]="Saturday",SalesData[[#This Row],[Day]]="Sunday"),"Weekend","Weekday")</f>
        <v>Weekend</v>
      </c>
      <c r="AF1349" s="5">
        <f>IF(SalesData[[#This Row],[Contracts Offered]]=0,0,SalesData[[#This Row],[Contracts Signed]]/SalesData[[#This Row],[Contracts Offered]])</f>
        <v>0.28703703703703703</v>
      </c>
      <c r="AG1349" s="5">
        <f>IF(SalesData[[#This Row],[Customers Visited]]=0,0,SalesData[[#This Row],[Test Drives]]/SalesData[[#This Row],[Customers Visited]])</f>
        <v>0.59315589353612164</v>
      </c>
      <c r="AH1349" s="5">
        <f>IF(SalesData[[#This Row],[Customers Visited]]=0,0,SalesData[[#This Row],[Contracts Signed]]/SalesData[[#This Row],[Customers Visited]])</f>
        <v>0.11787072243346007</v>
      </c>
      <c r="AI1349" s="6">
        <f>IF(SalesData[[#This Row],[Contracts Signed]]=0,0,SalesData[[#This Row],[Profit(€)]]/SalesData[[#This Row],[Contracts Signed]])</f>
        <v>8992</v>
      </c>
      <c r="AJ1349" s="5" t="str">
        <f>TRIM(CLEAN(SalesData[[#This Row],[Retailer]]))</f>
        <v>Elbe Drive</v>
      </c>
    </row>
    <row r="1350" spans="1:36" ht="14.25" hidden="1" x14ac:dyDescent="0.2">
      <c r="A1350" t="s">
        <v>2196</v>
      </c>
      <c r="B1350" s="1">
        <v>46074</v>
      </c>
      <c r="C1350" t="s">
        <v>62</v>
      </c>
      <c r="D1350" t="s">
        <v>151</v>
      </c>
      <c r="E1350" t="s">
        <v>42</v>
      </c>
      <c r="F1350" t="s">
        <v>109</v>
      </c>
      <c r="G1350" t="s">
        <v>110</v>
      </c>
      <c r="H1350" t="s">
        <v>45</v>
      </c>
      <c r="I1350" t="s">
        <v>104</v>
      </c>
      <c r="J1350" t="s">
        <v>7031</v>
      </c>
      <c r="K1350" t="s">
        <v>91</v>
      </c>
      <c r="L1350" t="s">
        <v>46</v>
      </c>
      <c r="M1350" t="s">
        <v>68</v>
      </c>
      <c r="N1350" t="s">
        <v>69</v>
      </c>
      <c r="O1350" t="s">
        <v>36</v>
      </c>
      <c r="P1350" t="s">
        <v>49</v>
      </c>
      <c r="Q1350" t="s">
        <v>38</v>
      </c>
      <c r="R1350">
        <v>412</v>
      </c>
      <c r="S1350">
        <v>237</v>
      </c>
      <c r="T1350">
        <v>160</v>
      </c>
      <c r="U1350">
        <v>28</v>
      </c>
      <c r="V1350" t="s">
        <v>303</v>
      </c>
      <c r="W1350">
        <v>32709</v>
      </c>
      <c r="X1350" t="s">
        <v>7417</v>
      </c>
      <c r="Y1350">
        <v>29595</v>
      </c>
      <c r="Z1350">
        <v>915852</v>
      </c>
      <c r="AA1350">
        <v>87192</v>
      </c>
      <c r="AB1350" t="str">
        <f>(VLOOKUP(SalesData[[#This Row],[Month Number]],Reference!C$5:E$16,2,FALSE))</f>
        <v>Feb</v>
      </c>
      <c r="AC1350">
        <f>MONTH(SalesData[[#This Row],[Date]])</f>
        <v>2</v>
      </c>
      <c r="AD1350">
        <f>Reference!F$4</f>
        <v>2026</v>
      </c>
      <c r="AE1350" t="str">
        <f>IF(OR(SalesData[[#This Row],[Day]]="Saturday",SalesData[[#This Row],[Day]]="Sunday"),"Weekend","Weekday")</f>
        <v>Weekend</v>
      </c>
      <c r="AF1350" s="5">
        <f>IF(SalesData[[#This Row],[Contracts Offered]]=0,0,SalesData[[#This Row],[Contracts Signed]]/SalesData[[#This Row],[Contracts Offered]])</f>
        <v>0.17499999999999999</v>
      </c>
      <c r="AG1350" s="5">
        <f>IF(SalesData[[#This Row],[Customers Visited]]=0,0,SalesData[[#This Row],[Test Drives]]/SalesData[[#This Row],[Customers Visited]])</f>
        <v>0.57524271844660191</v>
      </c>
      <c r="AH1350" s="5">
        <f>IF(SalesData[[#This Row],[Customers Visited]]=0,0,SalesData[[#This Row],[Contracts Signed]]/SalesData[[#This Row],[Customers Visited]])</f>
        <v>6.7961165048543687E-2</v>
      </c>
      <c r="AI1350" s="6">
        <f>IF(SalesData[[#This Row],[Contracts Signed]]=0,0,SalesData[[#This Row],[Profit(€)]]/SalesData[[#This Row],[Contracts Signed]])</f>
        <v>3114</v>
      </c>
      <c r="AJ1350" s="5" t="str">
        <f>TRIM(CLEAN(SalesData[[#This Row],[Retailer]]))</f>
        <v>Leipzig Mobility</v>
      </c>
    </row>
    <row r="1351" spans="1:36" ht="14.25" hidden="1" x14ac:dyDescent="0.2">
      <c r="A1351" t="s">
        <v>2198</v>
      </c>
      <c r="B1351" s="1">
        <v>46062</v>
      </c>
      <c r="C1351" t="s">
        <v>121</v>
      </c>
      <c r="D1351" t="s">
        <v>25</v>
      </c>
      <c r="E1351" t="s">
        <v>26</v>
      </c>
      <c r="F1351" t="s">
        <v>114</v>
      </c>
      <c r="G1351" t="s">
        <v>115</v>
      </c>
      <c r="H1351" t="s">
        <v>115</v>
      </c>
      <c r="I1351" t="s">
        <v>56</v>
      </c>
      <c r="J1351" t="s">
        <v>179</v>
      </c>
      <c r="K1351" t="s">
        <v>78</v>
      </c>
      <c r="L1351" t="s">
        <v>67</v>
      </c>
      <c r="M1351" t="s">
        <v>87</v>
      </c>
      <c r="N1351" t="s">
        <v>35</v>
      </c>
      <c r="O1351" t="s">
        <v>70</v>
      </c>
      <c r="P1351" t="s">
        <v>58</v>
      </c>
      <c r="Q1351" t="s">
        <v>172</v>
      </c>
      <c r="R1351">
        <v>203</v>
      </c>
      <c r="S1351">
        <v>102</v>
      </c>
      <c r="T1351">
        <v>66</v>
      </c>
      <c r="U1351">
        <v>28</v>
      </c>
      <c r="V1351" t="s">
        <v>6975</v>
      </c>
      <c r="W1351">
        <v>49311</v>
      </c>
      <c r="X1351" t="s">
        <v>1937</v>
      </c>
      <c r="Y1351">
        <v>37176</v>
      </c>
      <c r="Z1351">
        <v>1380708</v>
      </c>
      <c r="AA1351">
        <v>339780</v>
      </c>
      <c r="AB1351" t="str">
        <f>(VLOOKUP(SalesData[[#This Row],[Month Number]],Reference!C$5:E$16,2,FALSE))</f>
        <v>Feb</v>
      </c>
      <c r="AC1351">
        <f>MONTH(SalesData[[#This Row],[Date]])</f>
        <v>2</v>
      </c>
      <c r="AD1351">
        <f>Reference!F$4</f>
        <v>2026</v>
      </c>
      <c r="AE1351" t="str">
        <f>IF(OR(SalesData[[#This Row],[Day]]="Saturday",SalesData[[#This Row],[Day]]="Sunday"),"Weekend","Weekday")</f>
        <v>Weekday</v>
      </c>
      <c r="AF1351" s="5">
        <f>IF(SalesData[[#This Row],[Contracts Offered]]=0,0,SalesData[[#This Row],[Contracts Signed]]/SalesData[[#This Row],[Contracts Offered]])</f>
        <v>0.42424242424242425</v>
      </c>
      <c r="AG1351" s="5">
        <f>IF(SalesData[[#This Row],[Customers Visited]]=0,0,SalesData[[#This Row],[Test Drives]]/SalesData[[#This Row],[Customers Visited]])</f>
        <v>0.50246305418719217</v>
      </c>
      <c r="AH1351" s="5">
        <f>IF(SalesData[[#This Row],[Customers Visited]]=0,0,SalesData[[#This Row],[Contracts Signed]]/SalesData[[#This Row],[Customers Visited]])</f>
        <v>0.13793103448275862</v>
      </c>
      <c r="AI1351" s="6">
        <f>IF(SalesData[[#This Row],[Contracts Signed]]=0,0,SalesData[[#This Row],[Profit(€)]]/SalesData[[#This Row],[Contracts Signed]])</f>
        <v>12135</v>
      </c>
      <c r="AJ1351" s="5" t="str">
        <f>TRIM(CLEAN(SalesData[[#This Row],[Retailer]]))</f>
        <v>Elbe Drive</v>
      </c>
    </row>
    <row r="1352" spans="1:36" ht="14.25" hidden="1" x14ac:dyDescent="0.2">
      <c r="A1352" t="s">
        <v>2199</v>
      </c>
      <c r="B1352" s="1">
        <v>46073</v>
      </c>
      <c r="C1352" t="s">
        <v>62</v>
      </c>
      <c r="D1352" t="s">
        <v>54</v>
      </c>
      <c r="E1352" t="s">
        <v>26</v>
      </c>
      <c r="F1352" t="s">
        <v>127</v>
      </c>
      <c r="G1352" t="s">
        <v>128</v>
      </c>
      <c r="H1352" t="s">
        <v>103</v>
      </c>
      <c r="I1352" t="s">
        <v>104</v>
      </c>
      <c r="J1352" t="s">
        <v>143</v>
      </c>
      <c r="K1352" t="s">
        <v>91</v>
      </c>
      <c r="L1352" t="s">
        <v>67</v>
      </c>
      <c r="M1352" t="s">
        <v>68</v>
      </c>
      <c r="N1352" t="s">
        <v>35</v>
      </c>
      <c r="O1352" t="s">
        <v>36</v>
      </c>
      <c r="P1352" t="s">
        <v>71</v>
      </c>
      <c r="Q1352" t="s">
        <v>158</v>
      </c>
      <c r="R1352">
        <v>432</v>
      </c>
      <c r="S1352">
        <v>191</v>
      </c>
      <c r="T1352">
        <v>124</v>
      </c>
      <c r="U1352">
        <v>37</v>
      </c>
      <c r="V1352" t="s">
        <v>7418</v>
      </c>
      <c r="W1352">
        <v>29179</v>
      </c>
      <c r="X1352" t="s">
        <v>1683</v>
      </c>
      <c r="Y1352">
        <v>25290</v>
      </c>
      <c r="Z1352">
        <v>1079623</v>
      </c>
      <c r="AA1352">
        <v>143893</v>
      </c>
      <c r="AB1352" t="str">
        <f>(VLOOKUP(SalesData[[#This Row],[Month Number]],Reference!C$5:E$16,2,FALSE))</f>
        <v>Feb</v>
      </c>
      <c r="AC1352">
        <f>MONTH(SalesData[[#This Row],[Date]])</f>
        <v>2</v>
      </c>
      <c r="AD1352">
        <f>Reference!F$4</f>
        <v>2026</v>
      </c>
      <c r="AE1352" t="str">
        <f>IF(OR(SalesData[[#This Row],[Day]]="Saturday",SalesData[[#This Row],[Day]]="Sunday"),"Weekend","Weekday")</f>
        <v>Weekday</v>
      </c>
      <c r="AF1352" s="5">
        <f>IF(SalesData[[#This Row],[Contracts Offered]]=0,0,SalesData[[#This Row],[Contracts Signed]]/SalesData[[#This Row],[Contracts Offered]])</f>
        <v>0.29838709677419356</v>
      </c>
      <c r="AG1352" s="5">
        <f>IF(SalesData[[#This Row],[Customers Visited]]=0,0,SalesData[[#This Row],[Test Drives]]/SalesData[[#This Row],[Customers Visited]])</f>
        <v>0.44212962962962965</v>
      </c>
      <c r="AH1352" s="5">
        <f>IF(SalesData[[#This Row],[Customers Visited]]=0,0,SalesData[[#This Row],[Contracts Signed]]/SalesData[[#This Row],[Customers Visited]])</f>
        <v>8.5648148148148154E-2</v>
      </c>
      <c r="AI1352" s="6">
        <f>IF(SalesData[[#This Row],[Contracts Signed]]=0,0,SalesData[[#This Row],[Profit(€)]]/SalesData[[#This Row],[Contracts Signed]])</f>
        <v>3889</v>
      </c>
      <c r="AJ1352" s="5" t="str">
        <f>TRIM(CLEAN(SalesData[[#This Row],[Retailer]]))</f>
        <v>Rhein Auto Group</v>
      </c>
    </row>
    <row r="1353" spans="1:36" ht="14.25" hidden="1" x14ac:dyDescent="0.2">
      <c r="A1353" t="s">
        <v>2200</v>
      </c>
      <c r="B1353" s="1">
        <v>46071</v>
      </c>
      <c r="C1353" t="s">
        <v>62</v>
      </c>
      <c r="D1353" t="s">
        <v>82</v>
      </c>
      <c r="E1353" t="s">
        <v>26</v>
      </c>
      <c r="F1353" t="s">
        <v>27</v>
      </c>
      <c r="G1353" t="s">
        <v>28</v>
      </c>
      <c r="H1353" t="s">
        <v>29</v>
      </c>
      <c r="I1353" t="s">
        <v>116</v>
      </c>
      <c r="J1353" t="s">
        <v>132</v>
      </c>
      <c r="K1353" t="s">
        <v>66</v>
      </c>
      <c r="L1353" t="s">
        <v>46</v>
      </c>
      <c r="M1353" t="s">
        <v>34</v>
      </c>
      <c r="N1353" t="s">
        <v>35</v>
      </c>
      <c r="O1353" t="s">
        <v>36</v>
      </c>
      <c r="P1353" t="s">
        <v>49</v>
      </c>
      <c r="Q1353" t="s">
        <v>122</v>
      </c>
      <c r="R1353">
        <v>343</v>
      </c>
      <c r="S1353">
        <v>142</v>
      </c>
      <c r="T1353">
        <v>94</v>
      </c>
      <c r="U1353">
        <v>18</v>
      </c>
      <c r="V1353" t="s">
        <v>1503</v>
      </c>
      <c r="W1353">
        <v>21475</v>
      </c>
      <c r="X1353" t="s">
        <v>5036</v>
      </c>
      <c r="Y1353">
        <v>19849</v>
      </c>
      <c r="Z1353">
        <v>386550</v>
      </c>
      <c r="AA1353">
        <v>29268</v>
      </c>
      <c r="AB1353" t="str">
        <f>(VLOOKUP(SalesData[[#This Row],[Month Number]],Reference!C$5:E$16,2,FALSE))</f>
        <v>Feb</v>
      </c>
      <c r="AC1353">
        <f>MONTH(SalesData[[#This Row],[Date]])</f>
        <v>2</v>
      </c>
      <c r="AD1353">
        <f>Reference!F$4</f>
        <v>2026</v>
      </c>
      <c r="AE1353" t="str">
        <f>IF(OR(SalesData[[#This Row],[Day]]="Saturday",SalesData[[#This Row],[Day]]="Sunday"),"Weekend","Weekday")</f>
        <v>Weekday</v>
      </c>
      <c r="AF1353" s="5">
        <f>IF(SalesData[[#This Row],[Contracts Offered]]=0,0,SalesData[[#This Row],[Contracts Signed]]/SalesData[[#This Row],[Contracts Offered]])</f>
        <v>0.19148936170212766</v>
      </c>
      <c r="AG1353" s="5">
        <f>IF(SalesData[[#This Row],[Customers Visited]]=0,0,SalesData[[#This Row],[Test Drives]]/SalesData[[#This Row],[Customers Visited]])</f>
        <v>0.4139941690962099</v>
      </c>
      <c r="AH1353" s="5">
        <f>IF(SalesData[[#This Row],[Customers Visited]]=0,0,SalesData[[#This Row],[Contracts Signed]]/SalesData[[#This Row],[Customers Visited]])</f>
        <v>5.2478134110787174E-2</v>
      </c>
      <c r="AI1353" s="6">
        <f>IF(SalesData[[#This Row],[Contracts Signed]]=0,0,SalesData[[#This Row],[Profit(€)]]/SalesData[[#This Row],[Contracts Signed]])</f>
        <v>1626</v>
      </c>
      <c r="AJ1353" s="5" t="str">
        <f>TRIM(CLEAN(SalesData[[#This Row],[Retailer]]))</f>
        <v>Main Auto Hub</v>
      </c>
    </row>
    <row r="1354" spans="1:36" ht="14.25" hidden="1" x14ac:dyDescent="0.2">
      <c r="A1354" t="s">
        <v>2201</v>
      </c>
      <c r="B1354" s="1">
        <v>46063</v>
      </c>
      <c r="C1354" t="s">
        <v>121</v>
      </c>
      <c r="D1354" t="s">
        <v>63</v>
      </c>
      <c r="E1354" t="s">
        <v>26</v>
      </c>
      <c r="F1354" t="s">
        <v>7649</v>
      </c>
      <c r="G1354" t="s">
        <v>55</v>
      </c>
      <c r="H1354" t="s">
        <v>55</v>
      </c>
      <c r="I1354" t="s">
        <v>116</v>
      </c>
      <c r="J1354" t="s">
        <v>132</v>
      </c>
      <c r="K1354" t="s">
        <v>32</v>
      </c>
      <c r="L1354" t="s">
        <v>46</v>
      </c>
      <c r="M1354" t="s">
        <v>34</v>
      </c>
      <c r="N1354" t="s">
        <v>69</v>
      </c>
      <c r="O1354" t="s">
        <v>36</v>
      </c>
      <c r="P1354" t="s">
        <v>49</v>
      </c>
      <c r="Q1354" t="s">
        <v>204</v>
      </c>
      <c r="R1354">
        <v>355</v>
      </c>
      <c r="S1354">
        <v>158</v>
      </c>
      <c r="T1354">
        <v>108</v>
      </c>
      <c r="U1354">
        <v>23</v>
      </c>
      <c r="V1354" t="s">
        <v>3559</v>
      </c>
      <c r="W1354">
        <v>21082</v>
      </c>
      <c r="X1354" t="s">
        <v>112</v>
      </c>
      <c r="Y1354">
        <v>19550</v>
      </c>
      <c r="Z1354">
        <v>484886</v>
      </c>
      <c r="AA1354">
        <v>35236</v>
      </c>
      <c r="AB1354" t="str">
        <f>(VLOOKUP(SalesData[[#This Row],[Month Number]],Reference!C$5:E$16,2,FALSE))</f>
        <v>Feb</v>
      </c>
      <c r="AC1354">
        <f>MONTH(SalesData[[#This Row],[Date]])</f>
        <v>2</v>
      </c>
      <c r="AD1354">
        <f>Reference!F$4</f>
        <v>2026</v>
      </c>
      <c r="AE1354" t="str">
        <f>IF(OR(SalesData[[#This Row],[Day]]="Saturday",SalesData[[#This Row],[Day]]="Sunday"),"Weekend","Weekday")</f>
        <v>Weekday</v>
      </c>
      <c r="AF1354" s="5">
        <f>IF(SalesData[[#This Row],[Contracts Offered]]=0,0,SalesData[[#This Row],[Contracts Signed]]/SalesData[[#This Row],[Contracts Offered]])</f>
        <v>0.21296296296296297</v>
      </c>
      <c r="AG1354" s="5">
        <f>IF(SalesData[[#This Row],[Customers Visited]]=0,0,SalesData[[#This Row],[Test Drives]]/SalesData[[#This Row],[Customers Visited]])</f>
        <v>0.44507042253521129</v>
      </c>
      <c r="AH1354" s="5">
        <f>IF(SalesData[[#This Row],[Customers Visited]]=0,0,SalesData[[#This Row],[Contracts Signed]]/SalesData[[#This Row],[Customers Visited]])</f>
        <v>6.4788732394366194E-2</v>
      </c>
      <c r="AI1354" s="6">
        <f>IF(SalesData[[#This Row],[Contracts Signed]]=0,0,SalesData[[#This Row],[Profit(€)]]/SalesData[[#This Row],[Contracts Signed]])</f>
        <v>1532</v>
      </c>
      <c r="AJ1354" s="5" t="str">
        <f>TRIM(CLEAN(SalesData[[#This Row],[Retailer]]))</f>
        <v>Autohaus Berlin</v>
      </c>
    </row>
    <row r="1355" spans="1:36" ht="14.25" hidden="1" x14ac:dyDescent="0.2">
      <c r="A1355" t="s">
        <v>2202</v>
      </c>
      <c r="B1355" s="1">
        <v>46076</v>
      </c>
      <c r="C1355" t="s">
        <v>53</v>
      </c>
      <c r="D1355" t="s">
        <v>25</v>
      </c>
      <c r="E1355" t="s">
        <v>26</v>
      </c>
      <c r="F1355" t="s">
        <v>127</v>
      </c>
      <c r="G1355" t="s">
        <v>128</v>
      </c>
      <c r="H1355" t="s">
        <v>103</v>
      </c>
      <c r="I1355" t="s">
        <v>104</v>
      </c>
      <c r="J1355" t="s">
        <v>7031</v>
      </c>
      <c r="K1355" t="s">
        <v>66</v>
      </c>
      <c r="L1355" t="s">
        <v>46</v>
      </c>
      <c r="M1355" t="s">
        <v>34</v>
      </c>
      <c r="N1355" t="s">
        <v>69</v>
      </c>
      <c r="O1355" t="s">
        <v>70</v>
      </c>
      <c r="P1355" t="s">
        <v>71</v>
      </c>
      <c r="Q1355" t="s">
        <v>144</v>
      </c>
      <c r="R1355">
        <v>501</v>
      </c>
      <c r="S1355">
        <v>255</v>
      </c>
      <c r="T1355">
        <v>148</v>
      </c>
      <c r="U1355">
        <v>44</v>
      </c>
      <c r="V1355" t="s">
        <v>7060</v>
      </c>
      <c r="W1355">
        <v>27097</v>
      </c>
      <c r="X1355" t="s">
        <v>7419</v>
      </c>
      <c r="Y1355">
        <v>24551</v>
      </c>
      <c r="Z1355">
        <v>1192268</v>
      </c>
      <c r="AA1355">
        <v>112024</v>
      </c>
      <c r="AB1355" t="str">
        <f>(VLOOKUP(SalesData[[#This Row],[Month Number]],Reference!C$5:E$16,2,FALSE))</f>
        <v>Feb</v>
      </c>
      <c r="AC1355">
        <f>MONTH(SalesData[[#This Row],[Date]])</f>
        <v>2</v>
      </c>
      <c r="AD1355">
        <f>Reference!F$4</f>
        <v>2026</v>
      </c>
      <c r="AE1355" t="str">
        <f>IF(OR(SalesData[[#This Row],[Day]]="Saturday",SalesData[[#This Row],[Day]]="Sunday"),"Weekend","Weekday")</f>
        <v>Weekday</v>
      </c>
      <c r="AF1355" s="5">
        <f>IF(SalesData[[#This Row],[Contracts Offered]]=0,0,SalesData[[#This Row],[Contracts Signed]]/SalesData[[#This Row],[Contracts Offered]])</f>
        <v>0.29729729729729731</v>
      </c>
      <c r="AG1355" s="5">
        <f>IF(SalesData[[#This Row],[Customers Visited]]=0,0,SalesData[[#This Row],[Test Drives]]/SalesData[[#This Row],[Customers Visited]])</f>
        <v>0.50898203592814373</v>
      </c>
      <c r="AH1355" s="5">
        <f>IF(SalesData[[#This Row],[Customers Visited]]=0,0,SalesData[[#This Row],[Contracts Signed]]/SalesData[[#This Row],[Customers Visited]])</f>
        <v>8.7824351297405193E-2</v>
      </c>
      <c r="AI1355" s="6">
        <f>IF(SalesData[[#This Row],[Contracts Signed]]=0,0,SalesData[[#This Row],[Profit(€)]]/SalesData[[#This Row],[Contracts Signed]])</f>
        <v>2546</v>
      </c>
      <c r="AJ1355" s="5" t="str">
        <f>TRIM(CLEAN(SalesData[[#This Row],[Retailer]]))</f>
        <v>Rhein Auto Group</v>
      </c>
    </row>
    <row r="1356" spans="1:36" ht="14.25" hidden="1" x14ac:dyDescent="0.2">
      <c r="A1356" t="s">
        <v>2204</v>
      </c>
      <c r="B1356" s="1">
        <v>46059</v>
      </c>
      <c r="C1356" t="s">
        <v>24</v>
      </c>
      <c r="D1356" t="s">
        <v>54</v>
      </c>
      <c r="E1356" t="s">
        <v>26</v>
      </c>
      <c r="F1356" t="s">
        <v>127</v>
      </c>
      <c r="G1356" t="s">
        <v>128</v>
      </c>
      <c r="H1356" t="s">
        <v>103</v>
      </c>
      <c r="I1356" t="s">
        <v>64</v>
      </c>
      <c r="J1356" t="s">
        <v>7029</v>
      </c>
      <c r="K1356" t="s">
        <v>32</v>
      </c>
      <c r="L1356" t="s">
        <v>33</v>
      </c>
      <c r="M1356" t="s">
        <v>87</v>
      </c>
      <c r="N1356" t="s">
        <v>69</v>
      </c>
      <c r="O1356" t="s">
        <v>36</v>
      </c>
      <c r="P1356" t="s">
        <v>71</v>
      </c>
      <c r="Q1356" t="s">
        <v>240</v>
      </c>
      <c r="R1356">
        <v>168</v>
      </c>
      <c r="S1356">
        <v>91</v>
      </c>
      <c r="T1356">
        <v>63</v>
      </c>
      <c r="U1356">
        <v>25</v>
      </c>
      <c r="V1356" t="s">
        <v>7162</v>
      </c>
      <c r="W1356">
        <v>66405</v>
      </c>
      <c r="X1356" t="s">
        <v>7238</v>
      </c>
      <c r="Y1356">
        <v>50597</v>
      </c>
      <c r="Z1356">
        <v>1660125</v>
      </c>
      <c r="AA1356">
        <v>395200</v>
      </c>
      <c r="AB1356" t="str">
        <f>(VLOOKUP(SalesData[[#This Row],[Month Number]],Reference!C$5:E$16,2,FALSE))</f>
        <v>Feb</v>
      </c>
      <c r="AC1356">
        <f>MONTH(SalesData[[#This Row],[Date]])</f>
        <v>2</v>
      </c>
      <c r="AD1356">
        <f>Reference!F$4</f>
        <v>2026</v>
      </c>
      <c r="AE1356" t="str">
        <f>IF(OR(SalesData[[#This Row],[Day]]="Saturday",SalesData[[#This Row],[Day]]="Sunday"),"Weekend","Weekday")</f>
        <v>Weekday</v>
      </c>
      <c r="AF1356" s="5">
        <f>IF(SalesData[[#This Row],[Contracts Offered]]=0,0,SalesData[[#This Row],[Contracts Signed]]/SalesData[[#This Row],[Contracts Offered]])</f>
        <v>0.3968253968253968</v>
      </c>
      <c r="AG1356" s="5">
        <f>IF(SalesData[[#This Row],[Customers Visited]]=0,0,SalesData[[#This Row],[Test Drives]]/SalesData[[#This Row],[Customers Visited]])</f>
        <v>0.54166666666666663</v>
      </c>
      <c r="AH1356" s="5">
        <f>IF(SalesData[[#This Row],[Customers Visited]]=0,0,SalesData[[#This Row],[Contracts Signed]]/SalesData[[#This Row],[Customers Visited]])</f>
        <v>0.14880952380952381</v>
      </c>
      <c r="AI1356" s="6">
        <f>IF(SalesData[[#This Row],[Contracts Signed]]=0,0,SalesData[[#This Row],[Profit(€)]]/SalesData[[#This Row],[Contracts Signed]])</f>
        <v>15808</v>
      </c>
      <c r="AJ1356" s="5" t="str">
        <f>TRIM(CLEAN(SalesData[[#This Row],[Retailer]]))</f>
        <v>Rhein Auto Group</v>
      </c>
    </row>
    <row r="1357" spans="1:36" ht="14.25" x14ac:dyDescent="0.2">
      <c r="A1357" t="s">
        <v>2205</v>
      </c>
      <c r="B1357" s="1">
        <v>46079</v>
      </c>
      <c r="C1357" t="s">
        <v>53</v>
      </c>
      <c r="D1357" t="s">
        <v>100</v>
      </c>
      <c r="E1357" t="s">
        <v>26</v>
      </c>
      <c r="F1357" t="s">
        <v>27</v>
      </c>
      <c r="G1357" t="s">
        <v>28</v>
      </c>
      <c r="H1357" t="s">
        <v>29</v>
      </c>
      <c r="I1357" t="s">
        <v>30</v>
      </c>
      <c r="J1357" t="s">
        <v>166</v>
      </c>
      <c r="K1357" t="s">
        <v>78</v>
      </c>
      <c r="L1357" t="s">
        <v>46</v>
      </c>
      <c r="M1357" t="s">
        <v>47</v>
      </c>
      <c r="N1357" t="s">
        <v>35</v>
      </c>
      <c r="O1357" t="s">
        <v>36</v>
      </c>
      <c r="P1357" t="s">
        <v>71</v>
      </c>
      <c r="Q1357" t="s">
        <v>122</v>
      </c>
      <c r="R1357">
        <v>278</v>
      </c>
      <c r="S1357">
        <v>131</v>
      </c>
      <c r="T1357">
        <v>91</v>
      </c>
      <c r="U1357">
        <v>38</v>
      </c>
      <c r="V1357" t="s">
        <v>6971</v>
      </c>
      <c r="W1357">
        <v>57029</v>
      </c>
      <c r="X1357" t="s">
        <v>7300</v>
      </c>
      <c r="Y1357">
        <v>42396</v>
      </c>
      <c r="Z1357">
        <v>2167102</v>
      </c>
      <c r="AA1357">
        <v>556054</v>
      </c>
      <c r="AB1357" t="str">
        <f>(VLOOKUP(SalesData[[#This Row],[Month Number]],Reference!C$5:E$16,2,FALSE))</f>
        <v>Feb</v>
      </c>
      <c r="AC1357">
        <f>MONTH(SalesData[[#This Row],[Date]])</f>
        <v>2</v>
      </c>
      <c r="AD1357">
        <f>Reference!F$4</f>
        <v>2026</v>
      </c>
      <c r="AE1357" t="str">
        <f>IF(OR(SalesData[[#This Row],[Day]]="Saturday",SalesData[[#This Row],[Day]]="Sunday"),"Weekend","Weekday")</f>
        <v>Weekday</v>
      </c>
      <c r="AF1357" s="5">
        <f>IF(SalesData[[#This Row],[Contracts Offered]]=0,0,SalesData[[#This Row],[Contracts Signed]]/SalesData[[#This Row],[Contracts Offered]])</f>
        <v>0.4175824175824176</v>
      </c>
      <c r="AG1357" s="5">
        <f>IF(SalesData[[#This Row],[Customers Visited]]=0,0,SalesData[[#This Row],[Test Drives]]/SalesData[[#This Row],[Customers Visited]])</f>
        <v>0.47122302158273383</v>
      </c>
      <c r="AH1357" s="5">
        <f>IF(SalesData[[#This Row],[Customers Visited]]=0,0,SalesData[[#This Row],[Contracts Signed]]/SalesData[[#This Row],[Customers Visited]])</f>
        <v>0.1366906474820144</v>
      </c>
      <c r="AI1357" s="6">
        <f>IF(SalesData[[#This Row],[Contracts Signed]]=0,0,SalesData[[#This Row],[Profit(€)]]/SalesData[[#This Row],[Contracts Signed]])</f>
        <v>14633</v>
      </c>
      <c r="AJ1357" s="5" t="str">
        <f>TRIM(CLEAN(SalesData[[#This Row],[Retailer]]))</f>
        <v>Main Auto Hub</v>
      </c>
    </row>
    <row r="1358" spans="1:36" ht="14.25" hidden="1" x14ac:dyDescent="0.2">
      <c r="A1358" t="s">
        <v>2206</v>
      </c>
      <c r="B1358" s="1">
        <v>46069</v>
      </c>
      <c r="C1358" t="s">
        <v>62</v>
      </c>
      <c r="D1358" t="s">
        <v>25</v>
      </c>
      <c r="E1358" t="s">
        <v>26</v>
      </c>
      <c r="F1358" t="s">
        <v>27</v>
      </c>
      <c r="G1358" t="s">
        <v>28</v>
      </c>
      <c r="H1358" t="s">
        <v>29</v>
      </c>
      <c r="I1358" t="s">
        <v>64</v>
      </c>
      <c r="J1358" t="s">
        <v>65</v>
      </c>
      <c r="K1358" t="s">
        <v>78</v>
      </c>
      <c r="L1358" t="s">
        <v>33</v>
      </c>
      <c r="M1358" t="s">
        <v>34</v>
      </c>
      <c r="N1358" t="s">
        <v>35</v>
      </c>
      <c r="O1358" t="s">
        <v>70</v>
      </c>
      <c r="P1358" t="s">
        <v>71</v>
      </c>
      <c r="Q1358" t="s">
        <v>172</v>
      </c>
      <c r="R1358">
        <v>188</v>
      </c>
      <c r="S1358">
        <v>102</v>
      </c>
      <c r="T1358">
        <v>70</v>
      </c>
      <c r="U1358">
        <v>23</v>
      </c>
      <c r="V1358" t="s">
        <v>6817</v>
      </c>
      <c r="W1358">
        <v>71757</v>
      </c>
      <c r="X1358" t="s">
        <v>7420</v>
      </c>
      <c r="Y1358">
        <v>51151</v>
      </c>
      <c r="Z1358">
        <v>1650411</v>
      </c>
      <c r="AA1358">
        <v>473938</v>
      </c>
      <c r="AB1358" t="str">
        <f>(VLOOKUP(SalesData[[#This Row],[Month Number]],Reference!C$5:E$16,2,FALSE))</f>
        <v>Feb</v>
      </c>
      <c r="AC1358">
        <f>MONTH(SalesData[[#This Row],[Date]])</f>
        <v>2</v>
      </c>
      <c r="AD1358">
        <f>Reference!F$4</f>
        <v>2026</v>
      </c>
      <c r="AE1358" t="str">
        <f>IF(OR(SalesData[[#This Row],[Day]]="Saturday",SalesData[[#This Row],[Day]]="Sunday"),"Weekend","Weekday")</f>
        <v>Weekday</v>
      </c>
      <c r="AF1358" s="5">
        <f>IF(SalesData[[#This Row],[Contracts Offered]]=0,0,SalesData[[#This Row],[Contracts Signed]]/SalesData[[#This Row],[Contracts Offered]])</f>
        <v>0.32857142857142857</v>
      </c>
      <c r="AG1358" s="5">
        <f>IF(SalesData[[#This Row],[Customers Visited]]=0,0,SalesData[[#This Row],[Test Drives]]/SalesData[[#This Row],[Customers Visited]])</f>
        <v>0.54255319148936165</v>
      </c>
      <c r="AH1358" s="5">
        <f>IF(SalesData[[#This Row],[Customers Visited]]=0,0,SalesData[[#This Row],[Contracts Signed]]/SalesData[[#This Row],[Customers Visited]])</f>
        <v>0.12234042553191489</v>
      </c>
      <c r="AI1358" s="6">
        <f>IF(SalesData[[#This Row],[Contracts Signed]]=0,0,SalesData[[#This Row],[Profit(€)]]/SalesData[[#This Row],[Contracts Signed]])</f>
        <v>20606</v>
      </c>
      <c r="AJ1358" s="5" t="str">
        <f>TRIM(CLEAN(SalesData[[#This Row],[Retailer]]))</f>
        <v>Main Auto Hub</v>
      </c>
    </row>
    <row r="1359" spans="1:36" ht="14.25" hidden="1" x14ac:dyDescent="0.2">
      <c r="A1359" t="s">
        <v>2207</v>
      </c>
      <c r="B1359" s="1">
        <v>46075</v>
      </c>
      <c r="C1359" t="s">
        <v>53</v>
      </c>
      <c r="D1359" t="s">
        <v>41</v>
      </c>
      <c r="E1359" t="s">
        <v>42</v>
      </c>
      <c r="F1359" t="s">
        <v>27</v>
      </c>
      <c r="G1359" t="s">
        <v>28</v>
      </c>
      <c r="H1359" t="s">
        <v>29</v>
      </c>
      <c r="I1359" t="s">
        <v>56</v>
      </c>
      <c r="J1359" t="s">
        <v>7028</v>
      </c>
      <c r="K1359" t="s">
        <v>78</v>
      </c>
      <c r="L1359" t="s">
        <v>46</v>
      </c>
      <c r="M1359" t="s">
        <v>47</v>
      </c>
      <c r="N1359" t="s">
        <v>69</v>
      </c>
      <c r="O1359" t="s">
        <v>70</v>
      </c>
      <c r="P1359" t="s">
        <v>58</v>
      </c>
      <c r="Q1359" t="s">
        <v>38</v>
      </c>
      <c r="R1359">
        <v>165</v>
      </c>
      <c r="S1359">
        <v>77</v>
      </c>
      <c r="T1359">
        <v>58</v>
      </c>
      <c r="U1359">
        <v>20</v>
      </c>
      <c r="V1359" t="s">
        <v>6398</v>
      </c>
      <c r="W1359">
        <v>44319</v>
      </c>
      <c r="X1359" t="s">
        <v>7177</v>
      </c>
      <c r="Y1359">
        <v>35813</v>
      </c>
      <c r="Z1359">
        <v>886380</v>
      </c>
      <c r="AA1359">
        <v>170120</v>
      </c>
      <c r="AB1359" t="str">
        <f>(VLOOKUP(SalesData[[#This Row],[Month Number]],Reference!C$5:E$16,2,FALSE))</f>
        <v>Feb</v>
      </c>
      <c r="AC1359">
        <f>MONTH(SalesData[[#This Row],[Date]])</f>
        <v>2</v>
      </c>
      <c r="AD1359">
        <f>Reference!F$4</f>
        <v>2026</v>
      </c>
      <c r="AE1359" t="str">
        <f>IF(OR(SalesData[[#This Row],[Day]]="Saturday",SalesData[[#This Row],[Day]]="Sunday"),"Weekend","Weekday")</f>
        <v>Weekend</v>
      </c>
      <c r="AF1359" s="5">
        <f>IF(SalesData[[#This Row],[Contracts Offered]]=0,0,SalesData[[#This Row],[Contracts Signed]]/SalesData[[#This Row],[Contracts Offered]])</f>
        <v>0.34482758620689657</v>
      </c>
      <c r="AG1359" s="5">
        <f>IF(SalesData[[#This Row],[Customers Visited]]=0,0,SalesData[[#This Row],[Test Drives]]/SalesData[[#This Row],[Customers Visited]])</f>
        <v>0.46666666666666667</v>
      </c>
      <c r="AH1359" s="5">
        <f>IF(SalesData[[#This Row],[Customers Visited]]=0,0,SalesData[[#This Row],[Contracts Signed]]/SalesData[[#This Row],[Customers Visited]])</f>
        <v>0.12121212121212122</v>
      </c>
      <c r="AI1359" s="6">
        <f>IF(SalesData[[#This Row],[Contracts Signed]]=0,0,SalesData[[#This Row],[Profit(€)]]/SalesData[[#This Row],[Contracts Signed]])</f>
        <v>8506</v>
      </c>
      <c r="AJ1359" s="5" t="str">
        <f>TRIM(CLEAN(SalesData[[#This Row],[Retailer]]))</f>
        <v>Main Auto Hub</v>
      </c>
    </row>
    <row r="1360" spans="1:36" ht="14.25" hidden="1" x14ac:dyDescent="0.2">
      <c r="A1360" t="s">
        <v>2209</v>
      </c>
      <c r="B1360" s="1">
        <v>46062</v>
      </c>
      <c r="C1360" t="s">
        <v>121</v>
      </c>
      <c r="D1360" t="s">
        <v>25</v>
      </c>
      <c r="E1360" t="s">
        <v>26</v>
      </c>
      <c r="F1360" t="s">
        <v>7649</v>
      </c>
      <c r="G1360" t="s">
        <v>55</v>
      </c>
      <c r="H1360" t="s">
        <v>55</v>
      </c>
      <c r="I1360" t="s">
        <v>104</v>
      </c>
      <c r="J1360" t="s">
        <v>7061</v>
      </c>
      <c r="K1360" t="s">
        <v>66</v>
      </c>
      <c r="L1360" t="s">
        <v>46</v>
      </c>
      <c r="M1360" t="s">
        <v>34</v>
      </c>
      <c r="N1360" t="s">
        <v>35</v>
      </c>
      <c r="O1360" t="s">
        <v>70</v>
      </c>
      <c r="P1360" t="s">
        <v>37</v>
      </c>
      <c r="Q1360" t="s">
        <v>152</v>
      </c>
      <c r="R1360">
        <v>335</v>
      </c>
      <c r="S1360">
        <v>166</v>
      </c>
      <c r="T1360">
        <v>109</v>
      </c>
      <c r="U1360">
        <v>25</v>
      </c>
      <c r="V1360" t="s">
        <v>6434</v>
      </c>
      <c r="W1360">
        <v>26897</v>
      </c>
      <c r="X1360" t="s">
        <v>7421</v>
      </c>
      <c r="Y1360">
        <v>23977</v>
      </c>
      <c r="Z1360">
        <v>672425</v>
      </c>
      <c r="AA1360">
        <v>73000</v>
      </c>
      <c r="AB1360" t="str">
        <f>(VLOOKUP(SalesData[[#This Row],[Month Number]],Reference!C$5:E$16,2,FALSE))</f>
        <v>Feb</v>
      </c>
      <c r="AC1360">
        <f>MONTH(SalesData[[#This Row],[Date]])</f>
        <v>2</v>
      </c>
      <c r="AD1360">
        <f>Reference!F$4</f>
        <v>2026</v>
      </c>
      <c r="AE1360" t="str">
        <f>IF(OR(SalesData[[#This Row],[Day]]="Saturday",SalesData[[#This Row],[Day]]="Sunday"),"Weekend","Weekday")</f>
        <v>Weekday</v>
      </c>
      <c r="AF1360" s="5">
        <f>IF(SalesData[[#This Row],[Contracts Offered]]=0,0,SalesData[[#This Row],[Contracts Signed]]/SalesData[[#This Row],[Contracts Offered]])</f>
        <v>0.22935779816513763</v>
      </c>
      <c r="AG1360" s="5">
        <f>IF(SalesData[[#This Row],[Customers Visited]]=0,0,SalesData[[#This Row],[Test Drives]]/SalesData[[#This Row],[Customers Visited]])</f>
        <v>0.4955223880597015</v>
      </c>
      <c r="AH1360" s="5">
        <f>IF(SalesData[[#This Row],[Customers Visited]]=0,0,SalesData[[#This Row],[Contracts Signed]]/SalesData[[#This Row],[Customers Visited]])</f>
        <v>7.4626865671641784E-2</v>
      </c>
      <c r="AI1360" s="6">
        <f>IF(SalesData[[#This Row],[Contracts Signed]]=0,0,SalesData[[#This Row],[Profit(€)]]/SalesData[[#This Row],[Contracts Signed]])</f>
        <v>2920</v>
      </c>
      <c r="AJ1360" s="5" t="str">
        <f>TRIM(CLEAN(SalesData[[#This Row],[Retailer]]))</f>
        <v>Autohaus Berlin</v>
      </c>
    </row>
    <row r="1361" spans="1:36" ht="14.25" hidden="1" x14ac:dyDescent="0.2">
      <c r="A1361" t="s">
        <v>2210</v>
      </c>
      <c r="B1361" s="1">
        <v>46071</v>
      </c>
      <c r="C1361" t="s">
        <v>62</v>
      </c>
      <c r="D1361" t="s">
        <v>82</v>
      </c>
      <c r="E1361" t="s">
        <v>26</v>
      </c>
      <c r="F1361" t="s">
        <v>74</v>
      </c>
      <c r="G1361" t="s">
        <v>75</v>
      </c>
      <c r="H1361" t="s">
        <v>76</v>
      </c>
      <c r="I1361" t="s">
        <v>104</v>
      </c>
      <c r="J1361" t="s">
        <v>140</v>
      </c>
      <c r="K1361" t="s">
        <v>66</v>
      </c>
      <c r="L1361" t="s">
        <v>46</v>
      </c>
      <c r="M1361" t="s">
        <v>47</v>
      </c>
      <c r="N1361" t="s">
        <v>48</v>
      </c>
      <c r="O1361" t="s">
        <v>36</v>
      </c>
      <c r="P1361" t="s">
        <v>37</v>
      </c>
      <c r="Q1361" t="s">
        <v>169</v>
      </c>
      <c r="R1361">
        <v>338</v>
      </c>
      <c r="S1361">
        <v>142</v>
      </c>
      <c r="T1361">
        <v>83</v>
      </c>
      <c r="U1361">
        <v>22</v>
      </c>
      <c r="V1361" t="s">
        <v>3407</v>
      </c>
      <c r="W1361">
        <v>32584</v>
      </c>
      <c r="X1361" t="s">
        <v>1992</v>
      </c>
      <c r="Y1361">
        <v>28236</v>
      </c>
      <c r="Z1361">
        <v>716848</v>
      </c>
      <c r="AA1361">
        <v>95656</v>
      </c>
      <c r="AB1361" t="str">
        <f>(VLOOKUP(SalesData[[#This Row],[Month Number]],Reference!C$5:E$16,2,FALSE))</f>
        <v>Feb</v>
      </c>
      <c r="AC1361">
        <f>MONTH(SalesData[[#This Row],[Date]])</f>
        <v>2</v>
      </c>
      <c r="AD1361">
        <f>Reference!F$4</f>
        <v>2026</v>
      </c>
      <c r="AE1361" t="str">
        <f>IF(OR(SalesData[[#This Row],[Day]]="Saturday",SalesData[[#This Row],[Day]]="Sunday"),"Weekend","Weekday")</f>
        <v>Weekday</v>
      </c>
      <c r="AF1361" s="5">
        <f>IF(SalesData[[#This Row],[Contracts Offered]]=0,0,SalesData[[#This Row],[Contracts Signed]]/SalesData[[#This Row],[Contracts Offered]])</f>
        <v>0.26506024096385544</v>
      </c>
      <c r="AG1361" s="5">
        <f>IF(SalesData[[#This Row],[Customers Visited]]=0,0,SalesData[[#This Row],[Test Drives]]/SalesData[[#This Row],[Customers Visited]])</f>
        <v>0.42011834319526625</v>
      </c>
      <c r="AH1361" s="5">
        <f>IF(SalesData[[#This Row],[Customers Visited]]=0,0,SalesData[[#This Row],[Contracts Signed]]/SalesData[[#This Row],[Customers Visited]])</f>
        <v>6.5088757396449703E-2</v>
      </c>
      <c r="AI1361" s="6">
        <f>IF(SalesData[[#This Row],[Contracts Signed]]=0,0,SalesData[[#This Row],[Profit(€)]]/SalesData[[#This Row],[Contracts Signed]])</f>
        <v>4348</v>
      </c>
      <c r="AJ1361" s="5" t="str">
        <f>TRIM(CLEAN(SalesData[[#This Row],[Retailer]]))</f>
        <v>Stuttgart Auto Center</v>
      </c>
    </row>
    <row r="1362" spans="1:36" ht="14.25" hidden="1" x14ac:dyDescent="0.2">
      <c r="A1362" t="s">
        <v>2212</v>
      </c>
      <c r="B1362" s="1">
        <v>46079</v>
      </c>
      <c r="C1362" t="s">
        <v>53</v>
      </c>
      <c r="D1362" t="s">
        <v>100</v>
      </c>
      <c r="E1362" t="s">
        <v>26</v>
      </c>
      <c r="F1362" t="s">
        <v>94</v>
      </c>
      <c r="G1362" t="s">
        <v>95</v>
      </c>
      <c r="H1362" t="s">
        <v>96</v>
      </c>
      <c r="I1362" t="s">
        <v>116</v>
      </c>
      <c r="J1362" t="s">
        <v>7026</v>
      </c>
      <c r="K1362" t="s">
        <v>91</v>
      </c>
      <c r="L1362" t="s">
        <v>46</v>
      </c>
      <c r="M1362" t="s">
        <v>87</v>
      </c>
      <c r="N1362" t="s">
        <v>48</v>
      </c>
      <c r="O1362" t="s">
        <v>70</v>
      </c>
      <c r="P1362" t="s">
        <v>58</v>
      </c>
      <c r="Q1362" t="s">
        <v>347</v>
      </c>
      <c r="R1362">
        <v>409</v>
      </c>
      <c r="S1362">
        <v>224</v>
      </c>
      <c r="T1362">
        <v>132</v>
      </c>
      <c r="U1362">
        <v>49</v>
      </c>
      <c r="V1362" t="s">
        <v>6542</v>
      </c>
      <c r="W1362">
        <v>26027</v>
      </c>
      <c r="X1362" t="s">
        <v>2583</v>
      </c>
      <c r="Y1362">
        <v>23832</v>
      </c>
      <c r="Z1362">
        <v>1275323</v>
      </c>
      <c r="AA1362">
        <v>107555</v>
      </c>
      <c r="AB1362" t="str">
        <f>(VLOOKUP(SalesData[[#This Row],[Month Number]],Reference!C$5:E$16,2,FALSE))</f>
        <v>Feb</v>
      </c>
      <c r="AC1362">
        <f>MONTH(SalesData[[#This Row],[Date]])</f>
        <v>2</v>
      </c>
      <c r="AD1362">
        <f>Reference!F$4</f>
        <v>2026</v>
      </c>
      <c r="AE1362" t="str">
        <f>IF(OR(SalesData[[#This Row],[Day]]="Saturday",SalesData[[#This Row],[Day]]="Sunday"),"Weekend","Weekday")</f>
        <v>Weekday</v>
      </c>
      <c r="AF1362" s="5">
        <f>IF(SalesData[[#This Row],[Contracts Offered]]=0,0,SalesData[[#This Row],[Contracts Signed]]/SalesData[[#This Row],[Contracts Offered]])</f>
        <v>0.37121212121212122</v>
      </c>
      <c r="AG1362" s="5">
        <f>IF(SalesData[[#This Row],[Customers Visited]]=0,0,SalesData[[#This Row],[Test Drives]]/SalesData[[#This Row],[Customers Visited]])</f>
        <v>0.5476772616136919</v>
      </c>
      <c r="AH1362" s="5">
        <f>IF(SalesData[[#This Row],[Customers Visited]]=0,0,SalesData[[#This Row],[Contracts Signed]]/SalesData[[#This Row],[Customers Visited]])</f>
        <v>0.11980440097799511</v>
      </c>
      <c r="AI1362" s="6">
        <f>IF(SalesData[[#This Row],[Contracts Signed]]=0,0,SalesData[[#This Row],[Profit(€)]]/SalesData[[#This Row],[Contracts Signed]])</f>
        <v>2195</v>
      </c>
      <c r="AJ1362" s="5" t="str">
        <f>TRIM(CLEAN(SalesData[[#This Row],[Retailer]]))</f>
        <v>Bavaria Motors</v>
      </c>
    </row>
    <row r="1363" spans="1:36" ht="14.25" hidden="1" x14ac:dyDescent="0.2">
      <c r="A1363" t="s">
        <v>2214</v>
      </c>
      <c r="B1363" s="1">
        <v>46076</v>
      </c>
      <c r="C1363" t="s">
        <v>53</v>
      </c>
      <c r="D1363" t="s">
        <v>25</v>
      </c>
      <c r="E1363" t="s">
        <v>26</v>
      </c>
      <c r="F1363" t="s">
        <v>43</v>
      </c>
      <c r="G1363" t="s">
        <v>44</v>
      </c>
      <c r="H1363" t="s">
        <v>45</v>
      </c>
      <c r="I1363" t="s">
        <v>56</v>
      </c>
      <c r="J1363" t="s">
        <v>7028</v>
      </c>
      <c r="K1363" t="s">
        <v>32</v>
      </c>
      <c r="L1363" t="s">
        <v>46</v>
      </c>
      <c r="M1363" t="s">
        <v>68</v>
      </c>
      <c r="N1363" t="s">
        <v>69</v>
      </c>
      <c r="O1363" t="s">
        <v>70</v>
      </c>
      <c r="P1363" t="s">
        <v>49</v>
      </c>
      <c r="Q1363" t="s">
        <v>240</v>
      </c>
      <c r="R1363">
        <v>312</v>
      </c>
      <c r="S1363">
        <v>161</v>
      </c>
      <c r="T1363">
        <v>114</v>
      </c>
      <c r="U1363">
        <v>33</v>
      </c>
      <c r="V1363" t="s">
        <v>6570</v>
      </c>
      <c r="W1363">
        <v>55246</v>
      </c>
      <c r="X1363" t="s">
        <v>7045</v>
      </c>
      <c r="Y1363">
        <v>41817</v>
      </c>
      <c r="Z1363">
        <v>1823118</v>
      </c>
      <c r="AA1363">
        <v>443157</v>
      </c>
      <c r="AB1363" t="str">
        <f>(VLOOKUP(SalesData[[#This Row],[Month Number]],Reference!C$5:E$16,2,FALSE))</f>
        <v>Feb</v>
      </c>
      <c r="AC1363">
        <f>MONTH(SalesData[[#This Row],[Date]])</f>
        <v>2</v>
      </c>
      <c r="AD1363">
        <f>Reference!F$4</f>
        <v>2026</v>
      </c>
      <c r="AE1363" t="str">
        <f>IF(OR(SalesData[[#This Row],[Day]]="Saturday",SalesData[[#This Row],[Day]]="Sunday"),"Weekend","Weekday")</f>
        <v>Weekday</v>
      </c>
      <c r="AF1363" s="5">
        <f>IF(SalesData[[#This Row],[Contracts Offered]]=0,0,SalesData[[#This Row],[Contracts Signed]]/SalesData[[#This Row],[Contracts Offered]])</f>
        <v>0.28947368421052633</v>
      </c>
      <c r="AG1363" s="5">
        <f>IF(SalesData[[#This Row],[Customers Visited]]=0,0,SalesData[[#This Row],[Test Drives]]/SalesData[[#This Row],[Customers Visited]])</f>
        <v>0.51602564102564108</v>
      </c>
      <c r="AH1363" s="5">
        <f>IF(SalesData[[#This Row],[Customers Visited]]=0,0,SalesData[[#This Row],[Contracts Signed]]/SalesData[[#This Row],[Customers Visited]])</f>
        <v>0.10576923076923077</v>
      </c>
      <c r="AI1363" s="6">
        <f>IF(SalesData[[#This Row],[Contracts Signed]]=0,0,SalesData[[#This Row],[Profit(€)]]/SalesData[[#This Row],[Contracts Signed]])</f>
        <v>13429</v>
      </c>
      <c r="AJ1363" s="5" t="str">
        <f>TRIM(CLEAN(SalesData[[#This Row],[Retailer]]))</f>
        <v>Saxon Wheels</v>
      </c>
    </row>
    <row r="1364" spans="1:36" ht="14.25" hidden="1" x14ac:dyDescent="0.2">
      <c r="A1364" t="s">
        <v>2215</v>
      </c>
      <c r="B1364" s="1">
        <v>46075</v>
      </c>
      <c r="C1364" t="s">
        <v>53</v>
      </c>
      <c r="D1364" t="s">
        <v>41</v>
      </c>
      <c r="E1364" t="s">
        <v>42</v>
      </c>
      <c r="F1364" t="s">
        <v>101</v>
      </c>
      <c r="G1364" t="s">
        <v>102</v>
      </c>
      <c r="H1364" t="s">
        <v>103</v>
      </c>
      <c r="I1364" t="s">
        <v>116</v>
      </c>
      <c r="J1364" t="s">
        <v>117</v>
      </c>
      <c r="K1364" t="s">
        <v>91</v>
      </c>
      <c r="L1364" t="s">
        <v>67</v>
      </c>
      <c r="M1364" t="s">
        <v>68</v>
      </c>
      <c r="N1364" t="s">
        <v>35</v>
      </c>
      <c r="O1364" t="s">
        <v>70</v>
      </c>
      <c r="P1364" t="s">
        <v>37</v>
      </c>
      <c r="Q1364" t="s">
        <v>189</v>
      </c>
      <c r="R1364">
        <v>280</v>
      </c>
      <c r="S1364">
        <v>118</v>
      </c>
      <c r="T1364">
        <v>80</v>
      </c>
      <c r="U1364">
        <v>15</v>
      </c>
      <c r="V1364" t="s">
        <v>1663</v>
      </c>
      <c r="W1364">
        <v>24909</v>
      </c>
      <c r="X1364" t="s">
        <v>3021</v>
      </c>
      <c r="Y1364">
        <v>23014</v>
      </c>
      <c r="Z1364">
        <v>373635</v>
      </c>
      <c r="AA1364">
        <v>28425</v>
      </c>
      <c r="AB1364" t="str">
        <f>(VLOOKUP(SalesData[[#This Row],[Month Number]],Reference!C$5:E$16,2,FALSE))</f>
        <v>Feb</v>
      </c>
      <c r="AC1364">
        <f>MONTH(SalesData[[#This Row],[Date]])</f>
        <v>2</v>
      </c>
      <c r="AD1364">
        <f>Reference!F$4</f>
        <v>2026</v>
      </c>
      <c r="AE1364" t="str">
        <f>IF(OR(SalesData[[#This Row],[Day]]="Saturday",SalesData[[#This Row],[Day]]="Sunday"),"Weekend","Weekday")</f>
        <v>Weekend</v>
      </c>
      <c r="AF1364" s="5">
        <f>IF(SalesData[[#This Row],[Contracts Offered]]=0,0,SalesData[[#This Row],[Contracts Signed]]/SalesData[[#This Row],[Contracts Offered]])</f>
        <v>0.1875</v>
      </c>
      <c r="AG1364" s="5">
        <f>IF(SalesData[[#This Row],[Customers Visited]]=0,0,SalesData[[#This Row],[Test Drives]]/SalesData[[#This Row],[Customers Visited]])</f>
        <v>0.42142857142857143</v>
      </c>
      <c r="AH1364" s="5">
        <f>IF(SalesData[[#This Row],[Customers Visited]]=0,0,SalesData[[#This Row],[Contracts Signed]]/SalesData[[#This Row],[Customers Visited]])</f>
        <v>5.3571428571428568E-2</v>
      </c>
      <c r="AI1364" s="6">
        <f>IF(SalesData[[#This Row],[Contracts Signed]]=0,0,SalesData[[#This Row],[Profit(€)]]/SalesData[[#This Row],[Contracts Signed]])</f>
        <v>1895</v>
      </c>
      <c r="AJ1364" s="5" t="str">
        <f>TRIM(CLEAN(SalesData[[#This Row],[Retailer]]))</f>
        <v>Ruhr Auto Plaza</v>
      </c>
    </row>
    <row r="1365" spans="1:36" ht="14.25" hidden="1" x14ac:dyDescent="0.2">
      <c r="A1365" t="s">
        <v>2217</v>
      </c>
      <c r="B1365" s="1">
        <v>46060</v>
      </c>
      <c r="C1365" t="s">
        <v>24</v>
      </c>
      <c r="D1365" t="s">
        <v>151</v>
      </c>
      <c r="E1365" t="s">
        <v>42</v>
      </c>
      <c r="F1365" t="s">
        <v>109</v>
      </c>
      <c r="G1365" t="s">
        <v>110</v>
      </c>
      <c r="H1365" t="s">
        <v>45</v>
      </c>
      <c r="I1365" t="s">
        <v>116</v>
      </c>
      <c r="J1365" t="s">
        <v>117</v>
      </c>
      <c r="K1365" t="s">
        <v>32</v>
      </c>
      <c r="L1365" t="s">
        <v>67</v>
      </c>
      <c r="M1365" t="s">
        <v>87</v>
      </c>
      <c r="N1365" t="s">
        <v>69</v>
      </c>
      <c r="O1365" t="s">
        <v>70</v>
      </c>
      <c r="P1365" t="s">
        <v>37</v>
      </c>
      <c r="Q1365" t="s">
        <v>152</v>
      </c>
      <c r="R1365">
        <v>354</v>
      </c>
      <c r="S1365">
        <v>193</v>
      </c>
      <c r="T1365">
        <v>121</v>
      </c>
      <c r="U1365">
        <v>25</v>
      </c>
      <c r="V1365" t="s">
        <v>4532</v>
      </c>
      <c r="W1365">
        <v>24115</v>
      </c>
      <c r="X1365" t="s">
        <v>1457</v>
      </c>
      <c r="Y1365">
        <v>22182</v>
      </c>
      <c r="Z1365">
        <v>602875</v>
      </c>
      <c r="AA1365">
        <v>48325</v>
      </c>
      <c r="AB1365" t="str">
        <f>(VLOOKUP(SalesData[[#This Row],[Month Number]],Reference!C$5:E$16,2,FALSE))</f>
        <v>Feb</v>
      </c>
      <c r="AC1365">
        <f>MONTH(SalesData[[#This Row],[Date]])</f>
        <v>2</v>
      </c>
      <c r="AD1365">
        <f>Reference!F$4</f>
        <v>2026</v>
      </c>
      <c r="AE1365" t="str">
        <f>IF(OR(SalesData[[#This Row],[Day]]="Saturday",SalesData[[#This Row],[Day]]="Sunday"),"Weekend","Weekday")</f>
        <v>Weekend</v>
      </c>
      <c r="AF1365" s="5">
        <f>IF(SalesData[[#This Row],[Contracts Offered]]=0,0,SalesData[[#This Row],[Contracts Signed]]/SalesData[[#This Row],[Contracts Offered]])</f>
        <v>0.20661157024793389</v>
      </c>
      <c r="AG1365" s="5">
        <f>IF(SalesData[[#This Row],[Customers Visited]]=0,0,SalesData[[#This Row],[Test Drives]]/SalesData[[#This Row],[Customers Visited]])</f>
        <v>0.54519774011299438</v>
      </c>
      <c r="AH1365" s="5">
        <f>IF(SalesData[[#This Row],[Customers Visited]]=0,0,SalesData[[#This Row],[Contracts Signed]]/SalesData[[#This Row],[Customers Visited]])</f>
        <v>7.0621468926553674E-2</v>
      </c>
      <c r="AI1365" s="6">
        <f>IF(SalesData[[#This Row],[Contracts Signed]]=0,0,SalesData[[#This Row],[Profit(€)]]/SalesData[[#This Row],[Contracts Signed]])</f>
        <v>1933</v>
      </c>
      <c r="AJ1365" s="5" t="str">
        <f>TRIM(CLEAN(SalesData[[#This Row],[Retailer]]))</f>
        <v>Leipzig Mobility</v>
      </c>
    </row>
    <row r="1366" spans="1:36" ht="14.25" hidden="1" x14ac:dyDescent="0.2">
      <c r="A1366" t="s">
        <v>2218</v>
      </c>
      <c r="B1366" s="1">
        <v>46069</v>
      </c>
      <c r="C1366" t="s">
        <v>62</v>
      </c>
      <c r="D1366" t="s">
        <v>25</v>
      </c>
      <c r="E1366" t="s">
        <v>26</v>
      </c>
      <c r="F1366" t="s">
        <v>43</v>
      </c>
      <c r="G1366" t="s">
        <v>44</v>
      </c>
      <c r="H1366" t="s">
        <v>45</v>
      </c>
      <c r="I1366" t="s">
        <v>64</v>
      </c>
      <c r="J1366" t="s">
        <v>7029</v>
      </c>
      <c r="K1366" t="s">
        <v>66</v>
      </c>
      <c r="L1366" t="s">
        <v>33</v>
      </c>
      <c r="M1366" t="s">
        <v>68</v>
      </c>
      <c r="N1366" t="s">
        <v>69</v>
      </c>
      <c r="O1366" t="s">
        <v>70</v>
      </c>
      <c r="P1366" t="s">
        <v>37</v>
      </c>
      <c r="Q1366" t="s">
        <v>169</v>
      </c>
      <c r="R1366">
        <v>163</v>
      </c>
      <c r="S1366">
        <v>89</v>
      </c>
      <c r="T1366">
        <v>65</v>
      </c>
      <c r="U1366">
        <v>20</v>
      </c>
      <c r="V1366" t="s">
        <v>6578</v>
      </c>
      <c r="W1366">
        <v>51225</v>
      </c>
      <c r="X1366" t="s">
        <v>2796</v>
      </c>
      <c r="Y1366">
        <v>39612</v>
      </c>
      <c r="Z1366">
        <v>1024500</v>
      </c>
      <c r="AA1366">
        <v>232260</v>
      </c>
      <c r="AB1366" t="str">
        <f>(VLOOKUP(SalesData[[#This Row],[Month Number]],Reference!C$5:E$16,2,FALSE))</f>
        <v>Feb</v>
      </c>
      <c r="AC1366">
        <f>MONTH(SalesData[[#This Row],[Date]])</f>
        <v>2</v>
      </c>
      <c r="AD1366">
        <f>Reference!F$4</f>
        <v>2026</v>
      </c>
      <c r="AE1366" t="str">
        <f>IF(OR(SalesData[[#This Row],[Day]]="Saturday",SalesData[[#This Row],[Day]]="Sunday"),"Weekend","Weekday")</f>
        <v>Weekday</v>
      </c>
      <c r="AF1366" s="5">
        <f>IF(SalesData[[#This Row],[Contracts Offered]]=0,0,SalesData[[#This Row],[Contracts Signed]]/SalesData[[#This Row],[Contracts Offered]])</f>
        <v>0.30769230769230771</v>
      </c>
      <c r="AG1366" s="5">
        <f>IF(SalesData[[#This Row],[Customers Visited]]=0,0,SalesData[[#This Row],[Test Drives]]/SalesData[[#This Row],[Customers Visited]])</f>
        <v>0.54601226993865026</v>
      </c>
      <c r="AH1366" s="5">
        <f>IF(SalesData[[#This Row],[Customers Visited]]=0,0,SalesData[[#This Row],[Contracts Signed]]/SalesData[[#This Row],[Customers Visited]])</f>
        <v>0.12269938650306748</v>
      </c>
      <c r="AI1366" s="6">
        <f>IF(SalesData[[#This Row],[Contracts Signed]]=0,0,SalesData[[#This Row],[Profit(€)]]/SalesData[[#This Row],[Contracts Signed]])</f>
        <v>11613</v>
      </c>
      <c r="AJ1366" s="5" t="str">
        <f>TRIM(CLEAN(SalesData[[#This Row],[Retailer]]))</f>
        <v>Saxon Wheels</v>
      </c>
    </row>
    <row r="1367" spans="1:36" ht="14.25" hidden="1" x14ac:dyDescent="0.2">
      <c r="A1367" t="s">
        <v>2219</v>
      </c>
      <c r="B1367" s="1">
        <v>46058</v>
      </c>
      <c r="C1367" t="s">
        <v>24</v>
      </c>
      <c r="D1367" t="s">
        <v>100</v>
      </c>
      <c r="E1367" t="s">
        <v>26</v>
      </c>
      <c r="F1367" t="s">
        <v>43</v>
      </c>
      <c r="G1367" t="s">
        <v>44</v>
      </c>
      <c r="H1367" t="s">
        <v>45</v>
      </c>
      <c r="I1367" t="s">
        <v>116</v>
      </c>
      <c r="J1367" t="s">
        <v>7090</v>
      </c>
      <c r="K1367" t="s">
        <v>78</v>
      </c>
      <c r="L1367" t="s">
        <v>46</v>
      </c>
      <c r="M1367" t="s">
        <v>47</v>
      </c>
      <c r="N1367" t="s">
        <v>69</v>
      </c>
      <c r="O1367" t="s">
        <v>70</v>
      </c>
      <c r="P1367" t="s">
        <v>58</v>
      </c>
      <c r="Q1367" t="s">
        <v>129</v>
      </c>
      <c r="R1367">
        <v>289</v>
      </c>
      <c r="S1367">
        <v>158</v>
      </c>
      <c r="T1367">
        <v>101</v>
      </c>
      <c r="U1367">
        <v>25</v>
      </c>
      <c r="V1367" t="s">
        <v>1470</v>
      </c>
      <c r="W1367">
        <v>25038</v>
      </c>
      <c r="X1367" t="s">
        <v>2543</v>
      </c>
      <c r="Y1367">
        <v>22895</v>
      </c>
      <c r="Z1367">
        <v>625950</v>
      </c>
      <c r="AA1367">
        <v>53575</v>
      </c>
      <c r="AB1367" t="str">
        <f>(VLOOKUP(SalesData[[#This Row],[Month Number]],Reference!C$5:E$16,2,FALSE))</f>
        <v>Feb</v>
      </c>
      <c r="AC1367">
        <f>MONTH(SalesData[[#This Row],[Date]])</f>
        <v>2</v>
      </c>
      <c r="AD1367">
        <f>Reference!F$4</f>
        <v>2026</v>
      </c>
      <c r="AE1367" t="str">
        <f>IF(OR(SalesData[[#This Row],[Day]]="Saturday",SalesData[[#This Row],[Day]]="Sunday"),"Weekend","Weekday")</f>
        <v>Weekday</v>
      </c>
      <c r="AF1367" s="5">
        <f>IF(SalesData[[#This Row],[Contracts Offered]]=0,0,SalesData[[#This Row],[Contracts Signed]]/SalesData[[#This Row],[Contracts Offered]])</f>
        <v>0.24752475247524752</v>
      </c>
      <c r="AG1367" s="5">
        <f>IF(SalesData[[#This Row],[Customers Visited]]=0,0,SalesData[[#This Row],[Test Drives]]/SalesData[[#This Row],[Customers Visited]])</f>
        <v>0.54671280276816614</v>
      </c>
      <c r="AH1367" s="5">
        <f>IF(SalesData[[#This Row],[Customers Visited]]=0,0,SalesData[[#This Row],[Contracts Signed]]/SalesData[[#This Row],[Customers Visited]])</f>
        <v>8.6505190311418678E-2</v>
      </c>
      <c r="AI1367" s="6">
        <f>IF(SalesData[[#This Row],[Contracts Signed]]=0,0,SalesData[[#This Row],[Profit(€)]]/SalesData[[#This Row],[Contracts Signed]])</f>
        <v>2143</v>
      </c>
      <c r="AJ1367" s="5" t="str">
        <f>TRIM(CLEAN(SalesData[[#This Row],[Retailer]]))</f>
        <v>Saxon Wheels</v>
      </c>
    </row>
    <row r="1368" spans="1:36" ht="14.25" hidden="1" x14ac:dyDescent="0.2">
      <c r="A1368" t="s">
        <v>2220</v>
      </c>
      <c r="B1368" s="1">
        <v>46072</v>
      </c>
      <c r="C1368" t="s">
        <v>62</v>
      </c>
      <c r="D1368" t="s">
        <v>100</v>
      </c>
      <c r="E1368" t="s">
        <v>26</v>
      </c>
      <c r="F1368" t="s">
        <v>114</v>
      </c>
      <c r="G1368" t="s">
        <v>115</v>
      </c>
      <c r="H1368" t="s">
        <v>115</v>
      </c>
      <c r="I1368" t="s">
        <v>104</v>
      </c>
      <c r="J1368" t="s">
        <v>7061</v>
      </c>
      <c r="K1368" t="s">
        <v>66</v>
      </c>
      <c r="L1368" t="s">
        <v>46</v>
      </c>
      <c r="M1368" t="s">
        <v>87</v>
      </c>
      <c r="N1368" t="s">
        <v>48</v>
      </c>
      <c r="O1368" t="s">
        <v>70</v>
      </c>
      <c r="P1368" t="s">
        <v>58</v>
      </c>
      <c r="Q1368" t="s">
        <v>118</v>
      </c>
      <c r="R1368">
        <v>370</v>
      </c>
      <c r="S1368">
        <v>192</v>
      </c>
      <c r="T1368">
        <v>126</v>
      </c>
      <c r="U1368">
        <v>32</v>
      </c>
      <c r="V1368" t="s">
        <v>508</v>
      </c>
      <c r="W1368">
        <v>33125</v>
      </c>
      <c r="X1368" t="s">
        <v>5994</v>
      </c>
      <c r="Y1368">
        <v>29300</v>
      </c>
      <c r="Z1368">
        <v>1060000</v>
      </c>
      <c r="AA1368">
        <v>122400</v>
      </c>
      <c r="AB1368" t="str">
        <f>(VLOOKUP(SalesData[[#This Row],[Month Number]],Reference!C$5:E$16,2,FALSE))</f>
        <v>Feb</v>
      </c>
      <c r="AC1368">
        <f>MONTH(SalesData[[#This Row],[Date]])</f>
        <v>2</v>
      </c>
      <c r="AD1368">
        <f>Reference!F$4</f>
        <v>2026</v>
      </c>
      <c r="AE1368" t="str">
        <f>IF(OR(SalesData[[#This Row],[Day]]="Saturday",SalesData[[#This Row],[Day]]="Sunday"),"Weekend","Weekday")</f>
        <v>Weekday</v>
      </c>
      <c r="AF1368" s="5">
        <f>IF(SalesData[[#This Row],[Contracts Offered]]=0,0,SalesData[[#This Row],[Contracts Signed]]/SalesData[[#This Row],[Contracts Offered]])</f>
        <v>0.25396825396825395</v>
      </c>
      <c r="AG1368" s="5">
        <f>IF(SalesData[[#This Row],[Customers Visited]]=0,0,SalesData[[#This Row],[Test Drives]]/SalesData[[#This Row],[Customers Visited]])</f>
        <v>0.51891891891891895</v>
      </c>
      <c r="AH1368" s="5">
        <f>IF(SalesData[[#This Row],[Customers Visited]]=0,0,SalesData[[#This Row],[Contracts Signed]]/SalesData[[#This Row],[Customers Visited]])</f>
        <v>8.6486486486486491E-2</v>
      </c>
      <c r="AI1368" s="6">
        <f>IF(SalesData[[#This Row],[Contracts Signed]]=0,0,SalesData[[#This Row],[Profit(€)]]/SalesData[[#This Row],[Contracts Signed]])</f>
        <v>3825</v>
      </c>
      <c r="AJ1368" s="5" t="str">
        <f>TRIM(CLEAN(SalesData[[#This Row],[Retailer]]))</f>
        <v>Elbe Drive</v>
      </c>
    </row>
    <row r="1369" spans="1:36" ht="14.25" hidden="1" x14ac:dyDescent="0.2">
      <c r="A1369" t="s">
        <v>2221</v>
      </c>
      <c r="B1369" s="1">
        <v>46080</v>
      </c>
      <c r="C1369" t="s">
        <v>53</v>
      </c>
      <c r="D1369" t="s">
        <v>54</v>
      </c>
      <c r="E1369" t="s">
        <v>26</v>
      </c>
      <c r="F1369" t="s">
        <v>83</v>
      </c>
      <c r="G1369" t="s">
        <v>84</v>
      </c>
      <c r="H1369" t="s">
        <v>85</v>
      </c>
      <c r="I1369" t="s">
        <v>64</v>
      </c>
      <c r="J1369" t="s">
        <v>111</v>
      </c>
      <c r="K1369" t="s">
        <v>66</v>
      </c>
      <c r="L1369" t="s">
        <v>46</v>
      </c>
      <c r="M1369" t="s">
        <v>68</v>
      </c>
      <c r="N1369" t="s">
        <v>35</v>
      </c>
      <c r="O1369" t="s">
        <v>70</v>
      </c>
      <c r="P1369" t="s">
        <v>37</v>
      </c>
      <c r="Q1369" t="s">
        <v>152</v>
      </c>
      <c r="R1369">
        <v>227</v>
      </c>
      <c r="S1369">
        <v>107</v>
      </c>
      <c r="T1369">
        <v>80</v>
      </c>
      <c r="U1369">
        <v>26</v>
      </c>
      <c r="V1369" t="s">
        <v>6932</v>
      </c>
      <c r="W1369">
        <v>60316</v>
      </c>
      <c r="X1369" t="s">
        <v>384</v>
      </c>
      <c r="Y1369">
        <v>47172</v>
      </c>
      <c r="Z1369">
        <v>1568216</v>
      </c>
      <c r="AA1369">
        <v>341744</v>
      </c>
      <c r="AB1369" t="str">
        <f>(VLOOKUP(SalesData[[#This Row],[Month Number]],Reference!C$5:E$16,2,FALSE))</f>
        <v>Feb</v>
      </c>
      <c r="AC1369">
        <f>MONTH(SalesData[[#This Row],[Date]])</f>
        <v>2</v>
      </c>
      <c r="AD1369">
        <f>Reference!F$4</f>
        <v>2026</v>
      </c>
      <c r="AE1369" t="str">
        <f>IF(OR(SalesData[[#This Row],[Day]]="Saturday",SalesData[[#This Row],[Day]]="Sunday"),"Weekend","Weekday")</f>
        <v>Weekday</v>
      </c>
      <c r="AF1369" s="5">
        <f>IF(SalesData[[#This Row],[Contracts Offered]]=0,0,SalesData[[#This Row],[Contracts Signed]]/SalesData[[#This Row],[Contracts Offered]])</f>
        <v>0.32500000000000001</v>
      </c>
      <c r="AG1369" s="5">
        <f>IF(SalesData[[#This Row],[Customers Visited]]=0,0,SalesData[[#This Row],[Test Drives]]/SalesData[[#This Row],[Customers Visited]])</f>
        <v>0.47136563876651982</v>
      </c>
      <c r="AH1369" s="5">
        <f>IF(SalesData[[#This Row],[Customers Visited]]=0,0,SalesData[[#This Row],[Contracts Signed]]/SalesData[[#This Row],[Customers Visited]])</f>
        <v>0.11453744493392071</v>
      </c>
      <c r="AI1369" s="6">
        <f>IF(SalesData[[#This Row],[Contracts Signed]]=0,0,SalesData[[#This Row],[Profit(€)]]/SalesData[[#This Row],[Contracts Signed]])</f>
        <v>13144</v>
      </c>
      <c r="AJ1369" s="5" t="str">
        <f>TRIM(CLEAN(SalesData[[#This Row],[Retailer]]))</f>
        <v>Hannover Cars</v>
      </c>
    </row>
    <row r="1370" spans="1:36" ht="14.25" hidden="1" x14ac:dyDescent="0.2">
      <c r="A1370" t="s">
        <v>2223</v>
      </c>
      <c r="B1370" s="1">
        <v>46077</v>
      </c>
      <c r="C1370" t="s">
        <v>53</v>
      </c>
      <c r="D1370" t="s">
        <v>63</v>
      </c>
      <c r="E1370" t="s">
        <v>26</v>
      </c>
      <c r="F1370" t="s">
        <v>7649</v>
      </c>
      <c r="G1370" t="s">
        <v>55</v>
      </c>
      <c r="H1370" t="s">
        <v>55</v>
      </c>
      <c r="I1370" t="s">
        <v>116</v>
      </c>
      <c r="J1370" t="s">
        <v>7090</v>
      </c>
      <c r="K1370" t="s">
        <v>91</v>
      </c>
      <c r="L1370" t="s">
        <v>46</v>
      </c>
      <c r="M1370" t="s">
        <v>87</v>
      </c>
      <c r="N1370" t="s">
        <v>69</v>
      </c>
      <c r="O1370" t="s">
        <v>70</v>
      </c>
      <c r="P1370" t="s">
        <v>58</v>
      </c>
      <c r="Q1370" t="s">
        <v>118</v>
      </c>
      <c r="R1370">
        <v>338</v>
      </c>
      <c r="S1370">
        <v>172</v>
      </c>
      <c r="T1370">
        <v>100</v>
      </c>
      <c r="U1370">
        <v>32</v>
      </c>
      <c r="V1370" t="s">
        <v>363</v>
      </c>
      <c r="W1370">
        <v>20946</v>
      </c>
      <c r="X1370" t="s">
        <v>6741</v>
      </c>
      <c r="Y1370">
        <v>18761</v>
      </c>
      <c r="Z1370">
        <v>670272</v>
      </c>
      <c r="AA1370">
        <v>69920</v>
      </c>
      <c r="AB1370" t="str">
        <f>(VLOOKUP(SalesData[[#This Row],[Month Number]],Reference!C$5:E$16,2,FALSE))</f>
        <v>Feb</v>
      </c>
      <c r="AC1370">
        <f>MONTH(SalesData[[#This Row],[Date]])</f>
        <v>2</v>
      </c>
      <c r="AD1370">
        <f>Reference!F$4</f>
        <v>2026</v>
      </c>
      <c r="AE1370" t="str">
        <f>IF(OR(SalesData[[#This Row],[Day]]="Saturday",SalesData[[#This Row],[Day]]="Sunday"),"Weekend","Weekday")</f>
        <v>Weekday</v>
      </c>
      <c r="AF1370" s="5">
        <f>IF(SalesData[[#This Row],[Contracts Offered]]=0,0,SalesData[[#This Row],[Contracts Signed]]/SalesData[[#This Row],[Contracts Offered]])</f>
        <v>0.32</v>
      </c>
      <c r="AG1370" s="5">
        <f>IF(SalesData[[#This Row],[Customers Visited]]=0,0,SalesData[[#This Row],[Test Drives]]/SalesData[[#This Row],[Customers Visited]])</f>
        <v>0.50887573964497046</v>
      </c>
      <c r="AH1370" s="5">
        <f>IF(SalesData[[#This Row],[Customers Visited]]=0,0,SalesData[[#This Row],[Contracts Signed]]/SalesData[[#This Row],[Customers Visited]])</f>
        <v>9.4674556213017749E-2</v>
      </c>
      <c r="AI1370" s="6">
        <f>IF(SalesData[[#This Row],[Contracts Signed]]=0,0,SalesData[[#This Row],[Profit(€)]]/SalesData[[#This Row],[Contracts Signed]])</f>
        <v>2185</v>
      </c>
      <c r="AJ1370" s="5" t="str">
        <f>TRIM(CLEAN(SalesData[[#This Row],[Retailer]]))</f>
        <v>Autohaus Berlin</v>
      </c>
    </row>
    <row r="1371" spans="1:36" ht="14.25" hidden="1" x14ac:dyDescent="0.2">
      <c r="A1371" t="s">
        <v>2224</v>
      </c>
      <c r="B1371" s="1">
        <v>46064</v>
      </c>
      <c r="C1371" t="s">
        <v>121</v>
      </c>
      <c r="D1371" t="s">
        <v>82</v>
      </c>
      <c r="E1371" t="s">
        <v>26</v>
      </c>
      <c r="F1371" t="s">
        <v>114</v>
      </c>
      <c r="G1371" t="s">
        <v>115</v>
      </c>
      <c r="H1371" t="s">
        <v>115</v>
      </c>
      <c r="I1371" t="s">
        <v>116</v>
      </c>
      <c r="J1371" t="s">
        <v>117</v>
      </c>
      <c r="K1371" t="s">
        <v>66</v>
      </c>
      <c r="L1371" t="s">
        <v>67</v>
      </c>
      <c r="M1371" t="s">
        <v>34</v>
      </c>
      <c r="N1371" t="s">
        <v>48</v>
      </c>
      <c r="O1371" t="s">
        <v>70</v>
      </c>
      <c r="P1371" t="s">
        <v>49</v>
      </c>
      <c r="Q1371" t="s">
        <v>240</v>
      </c>
      <c r="R1371">
        <v>295</v>
      </c>
      <c r="S1371">
        <v>140</v>
      </c>
      <c r="T1371">
        <v>94</v>
      </c>
      <c r="U1371">
        <v>19</v>
      </c>
      <c r="V1371" t="s">
        <v>3726</v>
      </c>
      <c r="W1371">
        <v>23644</v>
      </c>
      <c r="X1371" t="s">
        <v>1058</v>
      </c>
      <c r="Y1371">
        <v>21428</v>
      </c>
      <c r="Z1371">
        <v>449236</v>
      </c>
      <c r="AA1371">
        <v>42104</v>
      </c>
      <c r="AB1371" t="str">
        <f>(VLOOKUP(SalesData[[#This Row],[Month Number]],Reference!C$5:E$16,2,FALSE))</f>
        <v>Feb</v>
      </c>
      <c r="AC1371">
        <f>MONTH(SalesData[[#This Row],[Date]])</f>
        <v>2</v>
      </c>
      <c r="AD1371">
        <f>Reference!F$4</f>
        <v>2026</v>
      </c>
      <c r="AE1371" t="str">
        <f>IF(OR(SalesData[[#This Row],[Day]]="Saturday",SalesData[[#This Row],[Day]]="Sunday"),"Weekend","Weekday")</f>
        <v>Weekday</v>
      </c>
      <c r="AF1371" s="5">
        <f>IF(SalesData[[#This Row],[Contracts Offered]]=0,0,SalesData[[#This Row],[Contracts Signed]]/SalesData[[#This Row],[Contracts Offered]])</f>
        <v>0.20212765957446807</v>
      </c>
      <c r="AG1371" s="5">
        <f>IF(SalesData[[#This Row],[Customers Visited]]=0,0,SalesData[[#This Row],[Test Drives]]/SalesData[[#This Row],[Customers Visited]])</f>
        <v>0.47457627118644069</v>
      </c>
      <c r="AH1371" s="5">
        <f>IF(SalesData[[#This Row],[Customers Visited]]=0,0,SalesData[[#This Row],[Contracts Signed]]/SalesData[[#This Row],[Customers Visited]])</f>
        <v>6.4406779661016947E-2</v>
      </c>
      <c r="AI1371" s="6">
        <f>IF(SalesData[[#This Row],[Contracts Signed]]=0,0,SalesData[[#This Row],[Profit(€)]]/SalesData[[#This Row],[Contracts Signed]])</f>
        <v>2216</v>
      </c>
      <c r="AJ1371" s="5" t="str">
        <f>TRIM(CLEAN(SalesData[[#This Row],[Retailer]]))</f>
        <v>Elbe Drive</v>
      </c>
    </row>
    <row r="1372" spans="1:36" ht="14.25" hidden="1" x14ac:dyDescent="0.2">
      <c r="A1372" t="s">
        <v>2225</v>
      </c>
      <c r="B1372" s="1">
        <v>46068</v>
      </c>
      <c r="C1372" t="s">
        <v>62</v>
      </c>
      <c r="D1372" t="s">
        <v>41</v>
      </c>
      <c r="E1372" t="s">
        <v>42</v>
      </c>
      <c r="F1372" t="s">
        <v>7649</v>
      </c>
      <c r="G1372" t="s">
        <v>55</v>
      </c>
      <c r="H1372" t="s">
        <v>55</v>
      </c>
      <c r="I1372" t="s">
        <v>104</v>
      </c>
      <c r="J1372" t="s">
        <v>105</v>
      </c>
      <c r="K1372" t="s">
        <v>91</v>
      </c>
      <c r="L1372" t="s">
        <v>33</v>
      </c>
      <c r="M1372" t="s">
        <v>87</v>
      </c>
      <c r="N1372" t="s">
        <v>48</v>
      </c>
      <c r="O1372" t="s">
        <v>36</v>
      </c>
      <c r="P1372" t="s">
        <v>49</v>
      </c>
      <c r="Q1372" t="s">
        <v>167</v>
      </c>
      <c r="R1372">
        <v>489</v>
      </c>
      <c r="S1372">
        <v>275</v>
      </c>
      <c r="T1372">
        <v>163</v>
      </c>
      <c r="U1372">
        <v>46</v>
      </c>
      <c r="V1372" t="s">
        <v>6964</v>
      </c>
      <c r="W1372">
        <v>31174</v>
      </c>
      <c r="X1372" t="s">
        <v>7079</v>
      </c>
      <c r="Y1372">
        <v>28203</v>
      </c>
      <c r="Z1372">
        <v>1434004</v>
      </c>
      <c r="AA1372">
        <v>136666</v>
      </c>
      <c r="AB1372" t="str">
        <f>(VLOOKUP(SalesData[[#This Row],[Month Number]],Reference!C$5:E$16,2,FALSE))</f>
        <v>Feb</v>
      </c>
      <c r="AC1372">
        <f>MONTH(SalesData[[#This Row],[Date]])</f>
        <v>2</v>
      </c>
      <c r="AD1372">
        <f>Reference!F$4</f>
        <v>2026</v>
      </c>
      <c r="AE1372" t="str">
        <f>IF(OR(SalesData[[#This Row],[Day]]="Saturday",SalesData[[#This Row],[Day]]="Sunday"),"Weekend","Weekday")</f>
        <v>Weekend</v>
      </c>
      <c r="AF1372" s="5">
        <f>IF(SalesData[[#This Row],[Contracts Offered]]=0,0,SalesData[[#This Row],[Contracts Signed]]/SalesData[[#This Row],[Contracts Offered]])</f>
        <v>0.2822085889570552</v>
      </c>
      <c r="AG1372" s="5">
        <f>IF(SalesData[[#This Row],[Customers Visited]]=0,0,SalesData[[#This Row],[Test Drives]]/SalesData[[#This Row],[Customers Visited]])</f>
        <v>0.56237218813905931</v>
      </c>
      <c r="AH1372" s="5">
        <f>IF(SalesData[[#This Row],[Customers Visited]]=0,0,SalesData[[#This Row],[Contracts Signed]]/SalesData[[#This Row],[Customers Visited]])</f>
        <v>9.4069529652351741E-2</v>
      </c>
      <c r="AI1372" s="6">
        <f>IF(SalesData[[#This Row],[Contracts Signed]]=0,0,SalesData[[#This Row],[Profit(€)]]/SalesData[[#This Row],[Contracts Signed]])</f>
        <v>2971</v>
      </c>
      <c r="AJ1372" s="5" t="str">
        <f>TRIM(CLEAN(SalesData[[#This Row],[Retailer]]))</f>
        <v>Autohaus Berlin</v>
      </c>
    </row>
    <row r="1373" spans="1:36" ht="14.25" x14ac:dyDescent="0.2">
      <c r="A1373" t="s">
        <v>2227</v>
      </c>
      <c r="B1373" s="1">
        <v>46068</v>
      </c>
      <c r="C1373" t="s">
        <v>62</v>
      </c>
      <c r="D1373" t="s">
        <v>41</v>
      </c>
      <c r="E1373" t="s">
        <v>42</v>
      </c>
      <c r="F1373" t="s">
        <v>7649</v>
      </c>
      <c r="G1373" t="s">
        <v>55</v>
      </c>
      <c r="H1373" t="s">
        <v>55</v>
      </c>
      <c r="I1373" t="s">
        <v>30</v>
      </c>
      <c r="J1373" t="s">
        <v>188</v>
      </c>
      <c r="K1373" t="s">
        <v>32</v>
      </c>
      <c r="L1373" t="s">
        <v>33</v>
      </c>
      <c r="M1373" t="s">
        <v>87</v>
      </c>
      <c r="N1373" t="s">
        <v>69</v>
      </c>
      <c r="O1373" t="s">
        <v>70</v>
      </c>
      <c r="P1373" t="s">
        <v>71</v>
      </c>
      <c r="Q1373" t="s">
        <v>158</v>
      </c>
      <c r="R1373">
        <v>174</v>
      </c>
      <c r="S1373">
        <v>80</v>
      </c>
      <c r="T1373">
        <v>63</v>
      </c>
      <c r="U1373">
        <v>24</v>
      </c>
      <c r="V1373" t="s">
        <v>7100</v>
      </c>
      <c r="W1373">
        <v>57637</v>
      </c>
      <c r="X1373" t="s">
        <v>2278</v>
      </c>
      <c r="Y1373">
        <v>41697</v>
      </c>
      <c r="Z1373">
        <v>1383288</v>
      </c>
      <c r="AA1373">
        <v>382560</v>
      </c>
      <c r="AB1373" t="str">
        <f>(VLOOKUP(SalesData[[#This Row],[Month Number]],Reference!C$5:E$16,2,FALSE))</f>
        <v>Feb</v>
      </c>
      <c r="AC1373">
        <f>MONTH(SalesData[[#This Row],[Date]])</f>
        <v>2</v>
      </c>
      <c r="AD1373">
        <f>Reference!F$4</f>
        <v>2026</v>
      </c>
      <c r="AE1373" t="str">
        <f>IF(OR(SalesData[[#This Row],[Day]]="Saturday",SalesData[[#This Row],[Day]]="Sunday"),"Weekend","Weekday")</f>
        <v>Weekend</v>
      </c>
      <c r="AF1373" s="5">
        <f>IF(SalesData[[#This Row],[Contracts Offered]]=0,0,SalesData[[#This Row],[Contracts Signed]]/SalesData[[#This Row],[Contracts Offered]])</f>
        <v>0.38095238095238093</v>
      </c>
      <c r="AG1373" s="5">
        <f>IF(SalesData[[#This Row],[Customers Visited]]=0,0,SalesData[[#This Row],[Test Drives]]/SalesData[[#This Row],[Customers Visited]])</f>
        <v>0.45977011494252873</v>
      </c>
      <c r="AH1373" s="5">
        <f>IF(SalesData[[#This Row],[Customers Visited]]=0,0,SalesData[[#This Row],[Contracts Signed]]/SalesData[[#This Row],[Customers Visited]])</f>
        <v>0.13793103448275862</v>
      </c>
      <c r="AI1373" s="6">
        <f>IF(SalesData[[#This Row],[Contracts Signed]]=0,0,SalesData[[#This Row],[Profit(€)]]/SalesData[[#This Row],[Contracts Signed]])</f>
        <v>15940</v>
      </c>
      <c r="AJ1373" s="5" t="str">
        <f>TRIM(CLEAN(SalesData[[#This Row],[Retailer]]))</f>
        <v>Autohaus Berlin</v>
      </c>
    </row>
    <row r="1374" spans="1:36" ht="14.25" hidden="1" x14ac:dyDescent="0.2">
      <c r="A1374" t="s">
        <v>2228</v>
      </c>
      <c r="B1374" s="1">
        <v>46066</v>
      </c>
      <c r="C1374" t="s">
        <v>121</v>
      </c>
      <c r="D1374" t="s">
        <v>54</v>
      </c>
      <c r="E1374" t="s">
        <v>26</v>
      </c>
      <c r="F1374" t="s">
        <v>43</v>
      </c>
      <c r="G1374" t="s">
        <v>44</v>
      </c>
      <c r="H1374" t="s">
        <v>45</v>
      </c>
      <c r="I1374" t="s">
        <v>64</v>
      </c>
      <c r="J1374" t="s">
        <v>77</v>
      </c>
      <c r="K1374" t="s">
        <v>91</v>
      </c>
      <c r="L1374" t="s">
        <v>46</v>
      </c>
      <c r="M1374" t="s">
        <v>47</v>
      </c>
      <c r="N1374" t="s">
        <v>35</v>
      </c>
      <c r="O1374" t="s">
        <v>70</v>
      </c>
      <c r="P1374" t="s">
        <v>37</v>
      </c>
      <c r="Q1374" t="s">
        <v>79</v>
      </c>
      <c r="R1374">
        <v>289</v>
      </c>
      <c r="S1374">
        <v>146</v>
      </c>
      <c r="T1374">
        <v>110</v>
      </c>
      <c r="U1374">
        <v>36</v>
      </c>
      <c r="V1374" t="s">
        <v>6356</v>
      </c>
      <c r="W1374">
        <v>58566</v>
      </c>
      <c r="X1374" t="s">
        <v>7205</v>
      </c>
      <c r="Y1374">
        <v>42387</v>
      </c>
      <c r="Z1374">
        <v>2108376</v>
      </c>
      <c r="AA1374">
        <v>582444</v>
      </c>
      <c r="AB1374" t="str">
        <f>(VLOOKUP(SalesData[[#This Row],[Month Number]],Reference!C$5:E$16,2,FALSE))</f>
        <v>Feb</v>
      </c>
      <c r="AC1374">
        <f>MONTH(SalesData[[#This Row],[Date]])</f>
        <v>2</v>
      </c>
      <c r="AD1374">
        <f>Reference!F$4</f>
        <v>2026</v>
      </c>
      <c r="AE1374" t="str">
        <f>IF(OR(SalesData[[#This Row],[Day]]="Saturday",SalesData[[#This Row],[Day]]="Sunday"),"Weekend","Weekday")</f>
        <v>Weekday</v>
      </c>
      <c r="AF1374" s="5">
        <f>IF(SalesData[[#This Row],[Contracts Offered]]=0,0,SalesData[[#This Row],[Contracts Signed]]/SalesData[[#This Row],[Contracts Offered]])</f>
        <v>0.32727272727272727</v>
      </c>
      <c r="AG1374" s="5">
        <f>IF(SalesData[[#This Row],[Customers Visited]]=0,0,SalesData[[#This Row],[Test Drives]]/SalesData[[#This Row],[Customers Visited]])</f>
        <v>0.50519031141868509</v>
      </c>
      <c r="AH1374" s="5">
        <f>IF(SalesData[[#This Row],[Customers Visited]]=0,0,SalesData[[#This Row],[Contracts Signed]]/SalesData[[#This Row],[Customers Visited]])</f>
        <v>0.1245674740484429</v>
      </c>
      <c r="AI1374" s="6">
        <f>IF(SalesData[[#This Row],[Contracts Signed]]=0,0,SalesData[[#This Row],[Profit(€)]]/SalesData[[#This Row],[Contracts Signed]])</f>
        <v>16179</v>
      </c>
      <c r="AJ1374" s="5" t="str">
        <f>TRIM(CLEAN(SalesData[[#This Row],[Retailer]]))</f>
        <v>Saxon Wheels</v>
      </c>
    </row>
    <row r="1375" spans="1:36" ht="14.25" x14ac:dyDescent="0.2">
      <c r="A1375" t="s">
        <v>2229</v>
      </c>
      <c r="B1375" s="1">
        <v>46065</v>
      </c>
      <c r="C1375" t="s">
        <v>121</v>
      </c>
      <c r="D1375" t="s">
        <v>100</v>
      </c>
      <c r="E1375" t="s">
        <v>26</v>
      </c>
      <c r="F1375" t="s">
        <v>114</v>
      </c>
      <c r="G1375" t="s">
        <v>115</v>
      </c>
      <c r="H1375" t="s">
        <v>115</v>
      </c>
      <c r="I1375" t="s">
        <v>30</v>
      </c>
      <c r="J1375" t="s">
        <v>166</v>
      </c>
      <c r="K1375" t="s">
        <v>66</v>
      </c>
      <c r="L1375" t="s">
        <v>46</v>
      </c>
      <c r="M1375" t="s">
        <v>47</v>
      </c>
      <c r="N1375" t="s">
        <v>48</v>
      </c>
      <c r="O1375" t="s">
        <v>36</v>
      </c>
      <c r="P1375" t="s">
        <v>49</v>
      </c>
      <c r="Q1375" t="s">
        <v>240</v>
      </c>
      <c r="R1375">
        <v>269</v>
      </c>
      <c r="S1375">
        <v>152</v>
      </c>
      <c r="T1375">
        <v>112</v>
      </c>
      <c r="U1375">
        <v>39</v>
      </c>
      <c r="V1375" t="s">
        <v>6668</v>
      </c>
      <c r="W1375">
        <v>55282</v>
      </c>
      <c r="X1375" t="s">
        <v>7166</v>
      </c>
      <c r="Y1375">
        <v>40977</v>
      </c>
      <c r="Z1375">
        <v>2155998</v>
      </c>
      <c r="AA1375">
        <v>557895</v>
      </c>
      <c r="AB1375" t="str">
        <f>(VLOOKUP(SalesData[[#This Row],[Month Number]],Reference!C$5:E$16,2,FALSE))</f>
        <v>Feb</v>
      </c>
      <c r="AC1375">
        <f>MONTH(SalesData[[#This Row],[Date]])</f>
        <v>2</v>
      </c>
      <c r="AD1375">
        <f>Reference!F$4</f>
        <v>2026</v>
      </c>
      <c r="AE1375" t="str">
        <f>IF(OR(SalesData[[#This Row],[Day]]="Saturday",SalesData[[#This Row],[Day]]="Sunday"),"Weekend","Weekday")</f>
        <v>Weekday</v>
      </c>
      <c r="AF1375" s="5">
        <f>IF(SalesData[[#This Row],[Contracts Offered]]=0,0,SalesData[[#This Row],[Contracts Signed]]/SalesData[[#This Row],[Contracts Offered]])</f>
        <v>0.3482142857142857</v>
      </c>
      <c r="AG1375" s="5">
        <f>IF(SalesData[[#This Row],[Customers Visited]]=0,0,SalesData[[#This Row],[Test Drives]]/SalesData[[#This Row],[Customers Visited]])</f>
        <v>0.56505576208178443</v>
      </c>
      <c r="AH1375" s="5">
        <f>IF(SalesData[[#This Row],[Customers Visited]]=0,0,SalesData[[#This Row],[Contracts Signed]]/SalesData[[#This Row],[Customers Visited]])</f>
        <v>0.1449814126394052</v>
      </c>
      <c r="AI1375" s="6">
        <f>IF(SalesData[[#This Row],[Contracts Signed]]=0,0,SalesData[[#This Row],[Profit(€)]]/SalesData[[#This Row],[Contracts Signed]])</f>
        <v>14305</v>
      </c>
      <c r="AJ1375" s="5" t="str">
        <f>TRIM(CLEAN(SalesData[[#This Row],[Retailer]]))</f>
        <v>Elbe Drive</v>
      </c>
    </row>
    <row r="1376" spans="1:36" ht="14.25" x14ac:dyDescent="0.2">
      <c r="A1376" t="s">
        <v>2230</v>
      </c>
      <c r="B1376" s="1">
        <v>46062</v>
      </c>
      <c r="C1376" t="s">
        <v>121</v>
      </c>
      <c r="D1376" t="s">
        <v>25</v>
      </c>
      <c r="E1376" t="s">
        <v>26</v>
      </c>
      <c r="F1376" t="s">
        <v>114</v>
      </c>
      <c r="G1376" t="s">
        <v>115</v>
      </c>
      <c r="H1376" t="s">
        <v>115</v>
      </c>
      <c r="I1376" t="s">
        <v>30</v>
      </c>
      <c r="J1376" t="s">
        <v>188</v>
      </c>
      <c r="K1376" t="s">
        <v>32</v>
      </c>
      <c r="L1376" t="s">
        <v>33</v>
      </c>
      <c r="M1376" t="s">
        <v>34</v>
      </c>
      <c r="N1376" t="s">
        <v>35</v>
      </c>
      <c r="O1376" t="s">
        <v>70</v>
      </c>
      <c r="P1376" t="s">
        <v>71</v>
      </c>
      <c r="Q1376" t="s">
        <v>106</v>
      </c>
      <c r="R1376">
        <v>182</v>
      </c>
      <c r="S1376">
        <v>104</v>
      </c>
      <c r="T1376">
        <v>73</v>
      </c>
      <c r="U1376">
        <v>30</v>
      </c>
      <c r="V1376" t="s">
        <v>6532</v>
      </c>
      <c r="W1376">
        <v>57476</v>
      </c>
      <c r="X1376" t="s">
        <v>3526</v>
      </c>
      <c r="Y1376">
        <v>44021</v>
      </c>
      <c r="Z1376">
        <v>1724280</v>
      </c>
      <c r="AA1376">
        <v>403650</v>
      </c>
      <c r="AB1376" t="str">
        <f>(VLOOKUP(SalesData[[#This Row],[Month Number]],Reference!C$5:E$16,2,FALSE))</f>
        <v>Feb</v>
      </c>
      <c r="AC1376">
        <f>MONTH(SalesData[[#This Row],[Date]])</f>
        <v>2</v>
      </c>
      <c r="AD1376">
        <f>Reference!F$4</f>
        <v>2026</v>
      </c>
      <c r="AE1376" t="str">
        <f>IF(OR(SalesData[[#This Row],[Day]]="Saturday",SalesData[[#This Row],[Day]]="Sunday"),"Weekend","Weekday")</f>
        <v>Weekday</v>
      </c>
      <c r="AF1376" s="5">
        <f>IF(SalesData[[#This Row],[Contracts Offered]]=0,0,SalesData[[#This Row],[Contracts Signed]]/SalesData[[#This Row],[Contracts Offered]])</f>
        <v>0.41095890410958902</v>
      </c>
      <c r="AG1376" s="5">
        <f>IF(SalesData[[#This Row],[Customers Visited]]=0,0,SalesData[[#This Row],[Test Drives]]/SalesData[[#This Row],[Customers Visited]])</f>
        <v>0.5714285714285714</v>
      </c>
      <c r="AH1376" s="5">
        <f>IF(SalesData[[#This Row],[Customers Visited]]=0,0,SalesData[[#This Row],[Contracts Signed]]/SalesData[[#This Row],[Customers Visited]])</f>
        <v>0.16483516483516483</v>
      </c>
      <c r="AI1376" s="6">
        <f>IF(SalesData[[#This Row],[Contracts Signed]]=0,0,SalesData[[#This Row],[Profit(€)]]/SalesData[[#This Row],[Contracts Signed]])</f>
        <v>13455</v>
      </c>
      <c r="AJ1376" s="5" t="str">
        <f>TRIM(CLEAN(SalesData[[#This Row],[Retailer]]))</f>
        <v>Elbe Drive</v>
      </c>
    </row>
    <row r="1377" spans="1:36" ht="14.25" x14ac:dyDescent="0.2">
      <c r="A1377" t="s">
        <v>2231</v>
      </c>
      <c r="B1377" s="1">
        <v>46076</v>
      </c>
      <c r="C1377" t="s">
        <v>53</v>
      </c>
      <c r="D1377" t="s">
        <v>25</v>
      </c>
      <c r="E1377" t="s">
        <v>26</v>
      </c>
      <c r="F1377" t="s">
        <v>109</v>
      </c>
      <c r="G1377" t="s">
        <v>110</v>
      </c>
      <c r="H1377" t="s">
        <v>45</v>
      </c>
      <c r="I1377" t="s">
        <v>30</v>
      </c>
      <c r="J1377" t="s">
        <v>188</v>
      </c>
      <c r="K1377" t="s">
        <v>66</v>
      </c>
      <c r="L1377" t="s">
        <v>33</v>
      </c>
      <c r="M1377" t="s">
        <v>68</v>
      </c>
      <c r="N1377" t="s">
        <v>69</v>
      </c>
      <c r="O1377" t="s">
        <v>36</v>
      </c>
      <c r="P1377" t="s">
        <v>58</v>
      </c>
      <c r="Q1377" t="s">
        <v>189</v>
      </c>
      <c r="R1377">
        <v>220</v>
      </c>
      <c r="S1377">
        <v>109</v>
      </c>
      <c r="T1377">
        <v>87</v>
      </c>
      <c r="U1377">
        <v>35</v>
      </c>
      <c r="V1377" t="s">
        <v>7422</v>
      </c>
      <c r="W1377">
        <v>54414</v>
      </c>
      <c r="X1377" t="s">
        <v>7220</v>
      </c>
      <c r="Y1377">
        <v>42253</v>
      </c>
      <c r="Z1377">
        <v>1904490</v>
      </c>
      <c r="AA1377">
        <v>425635</v>
      </c>
      <c r="AB1377" t="str">
        <f>(VLOOKUP(SalesData[[#This Row],[Month Number]],Reference!C$5:E$16,2,FALSE))</f>
        <v>Feb</v>
      </c>
      <c r="AC1377">
        <f>MONTH(SalesData[[#This Row],[Date]])</f>
        <v>2</v>
      </c>
      <c r="AD1377">
        <f>Reference!F$4</f>
        <v>2026</v>
      </c>
      <c r="AE1377" t="str">
        <f>IF(OR(SalesData[[#This Row],[Day]]="Saturday",SalesData[[#This Row],[Day]]="Sunday"),"Weekend","Weekday")</f>
        <v>Weekday</v>
      </c>
      <c r="AF1377" s="5">
        <f>IF(SalesData[[#This Row],[Contracts Offered]]=0,0,SalesData[[#This Row],[Contracts Signed]]/SalesData[[#This Row],[Contracts Offered]])</f>
        <v>0.40229885057471265</v>
      </c>
      <c r="AG1377" s="5">
        <f>IF(SalesData[[#This Row],[Customers Visited]]=0,0,SalesData[[#This Row],[Test Drives]]/SalesData[[#This Row],[Customers Visited]])</f>
        <v>0.49545454545454548</v>
      </c>
      <c r="AH1377" s="5">
        <f>IF(SalesData[[#This Row],[Customers Visited]]=0,0,SalesData[[#This Row],[Contracts Signed]]/SalesData[[#This Row],[Customers Visited]])</f>
        <v>0.15909090909090909</v>
      </c>
      <c r="AI1377" s="6">
        <f>IF(SalesData[[#This Row],[Contracts Signed]]=0,0,SalesData[[#This Row],[Profit(€)]]/SalesData[[#This Row],[Contracts Signed]])</f>
        <v>12161</v>
      </c>
      <c r="AJ1377" s="5" t="str">
        <f>TRIM(CLEAN(SalesData[[#This Row],[Retailer]]))</f>
        <v>Leipzig Mobility</v>
      </c>
    </row>
    <row r="1378" spans="1:36" ht="14.25" hidden="1" x14ac:dyDescent="0.2">
      <c r="A1378" t="s">
        <v>2233</v>
      </c>
      <c r="B1378" s="1">
        <v>46062</v>
      </c>
      <c r="C1378" t="s">
        <v>121</v>
      </c>
      <c r="D1378" t="s">
        <v>25</v>
      </c>
      <c r="E1378" t="s">
        <v>26</v>
      </c>
      <c r="F1378" t="s">
        <v>109</v>
      </c>
      <c r="G1378" t="s">
        <v>110</v>
      </c>
      <c r="H1378" t="s">
        <v>45</v>
      </c>
      <c r="I1378" t="s">
        <v>104</v>
      </c>
      <c r="J1378" t="s">
        <v>7061</v>
      </c>
      <c r="K1378" t="s">
        <v>32</v>
      </c>
      <c r="L1378" t="s">
        <v>46</v>
      </c>
      <c r="M1378" t="s">
        <v>68</v>
      </c>
      <c r="N1378" t="s">
        <v>69</v>
      </c>
      <c r="O1378" t="s">
        <v>36</v>
      </c>
      <c r="P1378" t="s">
        <v>71</v>
      </c>
      <c r="Q1378" t="s">
        <v>38</v>
      </c>
      <c r="R1378">
        <v>447</v>
      </c>
      <c r="S1378">
        <v>248</v>
      </c>
      <c r="T1378">
        <v>172</v>
      </c>
      <c r="U1378">
        <v>47</v>
      </c>
      <c r="V1378" t="s">
        <v>722</v>
      </c>
      <c r="W1378">
        <v>29400</v>
      </c>
      <c r="X1378" t="s">
        <v>2267</v>
      </c>
      <c r="Y1378">
        <v>26007</v>
      </c>
      <c r="Z1378">
        <v>1381800</v>
      </c>
      <c r="AA1378">
        <v>159471</v>
      </c>
      <c r="AB1378" t="str">
        <f>(VLOOKUP(SalesData[[#This Row],[Month Number]],Reference!C$5:E$16,2,FALSE))</f>
        <v>Feb</v>
      </c>
      <c r="AC1378">
        <f>MONTH(SalesData[[#This Row],[Date]])</f>
        <v>2</v>
      </c>
      <c r="AD1378">
        <f>Reference!F$4</f>
        <v>2026</v>
      </c>
      <c r="AE1378" t="str">
        <f>IF(OR(SalesData[[#This Row],[Day]]="Saturday",SalesData[[#This Row],[Day]]="Sunday"),"Weekend","Weekday")</f>
        <v>Weekday</v>
      </c>
      <c r="AF1378" s="5">
        <f>IF(SalesData[[#This Row],[Contracts Offered]]=0,0,SalesData[[#This Row],[Contracts Signed]]/SalesData[[#This Row],[Contracts Offered]])</f>
        <v>0.27325581395348836</v>
      </c>
      <c r="AG1378" s="5">
        <f>IF(SalesData[[#This Row],[Customers Visited]]=0,0,SalesData[[#This Row],[Test Drives]]/SalesData[[#This Row],[Customers Visited]])</f>
        <v>0.55480984340044748</v>
      </c>
      <c r="AH1378" s="5">
        <f>IF(SalesData[[#This Row],[Customers Visited]]=0,0,SalesData[[#This Row],[Contracts Signed]]/SalesData[[#This Row],[Customers Visited]])</f>
        <v>0.10514541387024609</v>
      </c>
      <c r="AI1378" s="6">
        <f>IF(SalesData[[#This Row],[Contracts Signed]]=0,0,SalesData[[#This Row],[Profit(€)]]/SalesData[[#This Row],[Contracts Signed]])</f>
        <v>3393</v>
      </c>
      <c r="AJ1378" s="5" t="str">
        <f>TRIM(CLEAN(SalesData[[#This Row],[Retailer]]))</f>
        <v>Leipzig Mobility</v>
      </c>
    </row>
    <row r="1379" spans="1:36" ht="14.25" hidden="1" x14ac:dyDescent="0.2">
      <c r="A1379" t="s">
        <v>2234</v>
      </c>
      <c r="B1379" s="1">
        <v>46075</v>
      </c>
      <c r="C1379" t="s">
        <v>53</v>
      </c>
      <c r="D1379" t="s">
        <v>41</v>
      </c>
      <c r="E1379" t="s">
        <v>42</v>
      </c>
      <c r="F1379" t="s">
        <v>83</v>
      </c>
      <c r="G1379" t="s">
        <v>84</v>
      </c>
      <c r="H1379" t="s">
        <v>85</v>
      </c>
      <c r="I1379" t="s">
        <v>116</v>
      </c>
      <c r="J1379" t="s">
        <v>7026</v>
      </c>
      <c r="K1379" t="s">
        <v>91</v>
      </c>
      <c r="L1379" t="s">
        <v>46</v>
      </c>
      <c r="M1379" t="s">
        <v>87</v>
      </c>
      <c r="N1379" t="s">
        <v>69</v>
      </c>
      <c r="O1379" t="s">
        <v>70</v>
      </c>
      <c r="P1379" t="s">
        <v>58</v>
      </c>
      <c r="Q1379" t="s">
        <v>167</v>
      </c>
      <c r="R1379">
        <v>347</v>
      </c>
      <c r="S1379">
        <v>183</v>
      </c>
      <c r="T1379">
        <v>103</v>
      </c>
      <c r="U1379">
        <v>36</v>
      </c>
      <c r="V1379" t="s">
        <v>849</v>
      </c>
      <c r="W1379">
        <v>22581</v>
      </c>
      <c r="X1379" t="s">
        <v>4117</v>
      </c>
      <c r="Y1379">
        <v>20173</v>
      </c>
      <c r="Z1379">
        <v>812916</v>
      </c>
      <c r="AA1379">
        <v>86688</v>
      </c>
      <c r="AB1379" t="str">
        <f>(VLOOKUP(SalesData[[#This Row],[Month Number]],Reference!C$5:E$16,2,FALSE))</f>
        <v>Feb</v>
      </c>
      <c r="AC1379">
        <f>MONTH(SalesData[[#This Row],[Date]])</f>
        <v>2</v>
      </c>
      <c r="AD1379">
        <f>Reference!F$4</f>
        <v>2026</v>
      </c>
      <c r="AE1379" t="str">
        <f>IF(OR(SalesData[[#This Row],[Day]]="Saturday",SalesData[[#This Row],[Day]]="Sunday"),"Weekend","Weekday")</f>
        <v>Weekend</v>
      </c>
      <c r="AF1379" s="5">
        <f>IF(SalesData[[#This Row],[Contracts Offered]]=0,0,SalesData[[#This Row],[Contracts Signed]]/SalesData[[#This Row],[Contracts Offered]])</f>
        <v>0.34951456310679613</v>
      </c>
      <c r="AG1379" s="5">
        <f>IF(SalesData[[#This Row],[Customers Visited]]=0,0,SalesData[[#This Row],[Test Drives]]/SalesData[[#This Row],[Customers Visited]])</f>
        <v>0.52737752161383289</v>
      </c>
      <c r="AH1379" s="5">
        <f>IF(SalesData[[#This Row],[Customers Visited]]=0,0,SalesData[[#This Row],[Contracts Signed]]/SalesData[[#This Row],[Customers Visited]])</f>
        <v>0.1037463976945245</v>
      </c>
      <c r="AI1379" s="6">
        <f>IF(SalesData[[#This Row],[Contracts Signed]]=0,0,SalesData[[#This Row],[Profit(€)]]/SalesData[[#This Row],[Contracts Signed]])</f>
        <v>2408</v>
      </c>
      <c r="AJ1379" s="5" t="str">
        <f>TRIM(CLEAN(SalesData[[#This Row],[Retailer]]))</f>
        <v>Hannover Cars</v>
      </c>
    </row>
    <row r="1380" spans="1:36" ht="14.25" hidden="1" x14ac:dyDescent="0.2">
      <c r="A1380" t="s">
        <v>2236</v>
      </c>
      <c r="B1380" s="1">
        <v>46054</v>
      </c>
      <c r="C1380" t="s">
        <v>24</v>
      </c>
      <c r="D1380" t="s">
        <v>41</v>
      </c>
      <c r="E1380" t="s">
        <v>42</v>
      </c>
      <c r="F1380" t="s">
        <v>109</v>
      </c>
      <c r="G1380" t="s">
        <v>110</v>
      </c>
      <c r="H1380" t="s">
        <v>45</v>
      </c>
      <c r="I1380" t="s">
        <v>56</v>
      </c>
      <c r="J1380" t="s">
        <v>137</v>
      </c>
      <c r="K1380" t="s">
        <v>32</v>
      </c>
      <c r="L1380" t="s">
        <v>46</v>
      </c>
      <c r="M1380" t="s">
        <v>34</v>
      </c>
      <c r="N1380" t="s">
        <v>35</v>
      </c>
      <c r="O1380" t="s">
        <v>36</v>
      </c>
      <c r="P1380" t="s">
        <v>49</v>
      </c>
      <c r="Q1380" t="s">
        <v>106</v>
      </c>
      <c r="R1380">
        <v>289</v>
      </c>
      <c r="S1380">
        <v>184</v>
      </c>
      <c r="T1380">
        <v>131</v>
      </c>
      <c r="U1380">
        <v>34</v>
      </c>
      <c r="V1380" t="s">
        <v>236</v>
      </c>
      <c r="W1380">
        <v>52163</v>
      </c>
      <c r="X1380" t="s">
        <v>1752</v>
      </c>
      <c r="Y1380">
        <v>42237</v>
      </c>
      <c r="Z1380">
        <v>1773542</v>
      </c>
      <c r="AA1380">
        <v>337484</v>
      </c>
      <c r="AB1380" t="str">
        <f>(VLOOKUP(SalesData[[#This Row],[Month Number]],Reference!C$5:E$16,2,FALSE))</f>
        <v>Feb</v>
      </c>
      <c r="AC1380">
        <f>MONTH(SalesData[[#This Row],[Date]])</f>
        <v>2</v>
      </c>
      <c r="AD1380">
        <f>Reference!F$4</f>
        <v>2026</v>
      </c>
      <c r="AE1380" t="str">
        <f>IF(OR(SalesData[[#This Row],[Day]]="Saturday",SalesData[[#This Row],[Day]]="Sunday"),"Weekend","Weekday")</f>
        <v>Weekend</v>
      </c>
      <c r="AF1380" s="5">
        <f>IF(SalesData[[#This Row],[Contracts Offered]]=0,0,SalesData[[#This Row],[Contracts Signed]]/SalesData[[#This Row],[Contracts Offered]])</f>
        <v>0.25954198473282442</v>
      </c>
      <c r="AG1380" s="5">
        <f>IF(SalesData[[#This Row],[Customers Visited]]=0,0,SalesData[[#This Row],[Test Drives]]/SalesData[[#This Row],[Customers Visited]])</f>
        <v>0.63667820069204151</v>
      </c>
      <c r="AH1380" s="5">
        <f>IF(SalesData[[#This Row],[Customers Visited]]=0,0,SalesData[[#This Row],[Contracts Signed]]/SalesData[[#This Row],[Customers Visited]])</f>
        <v>0.11764705882352941</v>
      </c>
      <c r="AI1380" s="6">
        <f>IF(SalesData[[#This Row],[Contracts Signed]]=0,0,SalesData[[#This Row],[Profit(€)]]/SalesData[[#This Row],[Contracts Signed]])</f>
        <v>9926</v>
      </c>
      <c r="AJ1380" s="5" t="str">
        <f>TRIM(CLEAN(SalesData[[#This Row],[Retailer]]))</f>
        <v>Leipzig Mobility</v>
      </c>
    </row>
    <row r="1381" spans="1:36" ht="14.25" hidden="1" x14ac:dyDescent="0.2">
      <c r="A1381" t="s">
        <v>2238</v>
      </c>
      <c r="B1381" s="1">
        <v>46080</v>
      </c>
      <c r="C1381" t="s">
        <v>53</v>
      </c>
      <c r="D1381" t="s">
        <v>54</v>
      </c>
      <c r="E1381" t="s">
        <v>26</v>
      </c>
      <c r="F1381" t="s">
        <v>43</v>
      </c>
      <c r="G1381" t="s">
        <v>44</v>
      </c>
      <c r="H1381" t="s">
        <v>45</v>
      </c>
      <c r="I1381" t="s">
        <v>116</v>
      </c>
      <c r="J1381" t="s">
        <v>203</v>
      </c>
      <c r="K1381" t="s">
        <v>32</v>
      </c>
      <c r="L1381" t="s">
        <v>67</v>
      </c>
      <c r="M1381" t="s">
        <v>68</v>
      </c>
      <c r="N1381" t="s">
        <v>69</v>
      </c>
      <c r="O1381" t="s">
        <v>70</v>
      </c>
      <c r="P1381" t="s">
        <v>71</v>
      </c>
      <c r="Q1381" t="s">
        <v>50</v>
      </c>
      <c r="R1381">
        <v>260</v>
      </c>
      <c r="S1381">
        <v>103</v>
      </c>
      <c r="T1381">
        <v>59</v>
      </c>
      <c r="U1381">
        <v>13</v>
      </c>
      <c r="V1381" t="s">
        <v>1951</v>
      </c>
      <c r="W1381">
        <v>24796</v>
      </c>
      <c r="X1381" t="s">
        <v>7423</v>
      </c>
      <c r="Y1381">
        <v>22282</v>
      </c>
      <c r="Z1381">
        <v>322348</v>
      </c>
      <c r="AA1381">
        <v>32682</v>
      </c>
      <c r="AB1381" t="str">
        <f>(VLOOKUP(SalesData[[#This Row],[Month Number]],Reference!C$5:E$16,2,FALSE))</f>
        <v>Feb</v>
      </c>
      <c r="AC1381">
        <f>MONTH(SalesData[[#This Row],[Date]])</f>
        <v>2</v>
      </c>
      <c r="AD1381">
        <f>Reference!F$4</f>
        <v>2026</v>
      </c>
      <c r="AE1381" t="str">
        <f>IF(OR(SalesData[[#This Row],[Day]]="Saturday",SalesData[[#This Row],[Day]]="Sunday"),"Weekend","Weekday")</f>
        <v>Weekday</v>
      </c>
      <c r="AF1381" s="5">
        <f>IF(SalesData[[#This Row],[Contracts Offered]]=0,0,SalesData[[#This Row],[Contracts Signed]]/SalesData[[#This Row],[Contracts Offered]])</f>
        <v>0.22033898305084745</v>
      </c>
      <c r="AG1381" s="5">
        <f>IF(SalesData[[#This Row],[Customers Visited]]=0,0,SalesData[[#This Row],[Test Drives]]/SalesData[[#This Row],[Customers Visited]])</f>
        <v>0.39615384615384613</v>
      </c>
      <c r="AH1381" s="5">
        <f>IF(SalesData[[#This Row],[Customers Visited]]=0,0,SalesData[[#This Row],[Contracts Signed]]/SalesData[[#This Row],[Customers Visited]])</f>
        <v>0.05</v>
      </c>
      <c r="AI1381" s="6">
        <f>IF(SalesData[[#This Row],[Contracts Signed]]=0,0,SalesData[[#This Row],[Profit(€)]]/SalesData[[#This Row],[Contracts Signed]])</f>
        <v>2514</v>
      </c>
      <c r="AJ1381" s="5" t="str">
        <f>TRIM(CLEAN(SalesData[[#This Row],[Retailer]]))</f>
        <v>Saxon Wheels</v>
      </c>
    </row>
    <row r="1382" spans="1:36" ht="14.25" hidden="1" x14ac:dyDescent="0.2">
      <c r="A1382" t="s">
        <v>2239</v>
      </c>
      <c r="B1382" s="1">
        <v>46060</v>
      </c>
      <c r="C1382" t="s">
        <v>24</v>
      </c>
      <c r="D1382" t="s">
        <v>151</v>
      </c>
      <c r="E1382" t="s">
        <v>42</v>
      </c>
      <c r="F1382" t="s">
        <v>101</v>
      </c>
      <c r="G1382" t="s">
        <v>102</v>
      </c>
      <c r="H1382" t="s">
        <v>103</v>
      </c>
      <c r="I1382" t="s">
        <v>104</v>
      </c>
      <c r="J1382" t="s">
        <v>140</v>
      </c>
      <c r="K1382" t="s">
        <v>66</v>
      </c>
      <c r="L1382" t="s">
        <v>46</v>
      </c>
      <c r="M1382" t="s">
        <v>34</v>
      </c>
      <c r="N1382" t="s">
        <v>69</v>
      </c>
      <c r="O1382" t="s">
        <v>36</v>
      </c>
      <c r="P1382" t="s">
        <v>71</v>
      </c>
      <c r="Q1382" t="s">
        <v>50</v>
      </c>
      <c r="R1382">
        <v>519</v>
      </c>
      <c r="S1382">
        <v>257</v>
      </c>
      <c r="T1382">
        <v>169</v>
      </c>
      <c r="U1382">
        <v>44</v>
      </c>
      <c r="V1382" t="s">
        <v>1302</v>
      </c>
      <c r="W1382">
        <v>30281</v>
      </c>
      <c r="X1382" t="s">
        <v>977</v>
      </c>
      <c r="Y1382">
        <v>26624</v>
      </c>
      <c r="Z1382">
        <v>1332364</v>
      </c>
      <c r="AA1382">
        <v>160908</v>
      </c>
      <c r="AB1382" t="str">
        <f>(VLOOKUP(SalesData[[#This Row],[Month Number]],Reference!C$5:E$16,2,FALSE))</f>
        <v>Feb</v>
      </c>
      <c r="AC1382">
        <f>MONTH(SalesData[[#This Row],[Date]])</f>
        <v>2</v>
      </c>
      <c r="AD1382">
        <f>Reference!F$4</f>
        <v>2026</v>
      </c>
      <c r="AE1382" t="str">
        <f>IF(OR(SalesData[[#This Row],[Day]]="Saturday",SalesData[[#This Row],[Day]]="Sunday"),"Weekend","Weekday")</f>
        <v>Weekend</v>
      </c>
      <c r="AF1382" s="5">
        <f>IF(SalesData[[#This Row],[Contracts Offered]]=0,0,SalesData[[#This Row],[Contracts Signed]]/SalesData[[#This Row],[Contracts Offered]])</f>
        <v>0.26035502958579881</v>
      </c>
      <c r="AG1382" s="5">
        <f>IF(SalesData[[#This Row],[Customers Visited]]=0,0,SalesData[[#This Row],[Test Drives]]/SalesData[[#This Row],[Customers Visited]])</f>
        <v>0.4951830443159923</v>
      </c>
      <c r="AH1382" s="5">
        <f>IF(SalesData[[#This Row],[Customers Visited]]=0,0,SalesData[[#This Row],[Contracts Signed]]/SalesData[[#This Row],[Customers Visited]])</f>
        <v>8.477842003853564E-2</v>
      </c>
      <c r="AI1382" s="6">
        <f>IF(SalesData[[#This Row],[Contracts Signed]]=0,0,SalesData[[#This Row],[Profit(€)]]/SalesData[[#This Row],[Contracts Signed]])</f>
        <v>3657</v>
      </c>
      <c r="AJ1382" s="5" t="str">
        <f>TRIM(CLEAN(SalesData[[#This Row],[Retailer]]))</f>
        <v>Ruhr Auto Plaza</v>
      </c>
    </row>
    <row r="1383" spans="1:36" ht="14.25" hidden="1" x14ac:dyDescent="0.2">
      <c r="A1383" t="s">
        <v>2240</v>
      </c>
      <c r="B1383" s="1">
        <v>46075</v>
      </c>
      <c r="C1383" t="s">
        <v>53</v>
      </c>
      <c r="D1383" t="s">
        <v>41</v>
      </c>
      <c r="E1383" t="s">
        <v>42</v>
      </c>
      <c r="F1383" t="s">
        <v>109</v>
      </c>
      <c r="G1383" t="s">
        <v>110</v>
      </c>
      <c r="H1383" t="s">
        <v>45</v>
      </c>
      <c r="I1383" t="s">
        <v>64</v>
      </c>
      <c r="J1383" t="s">
        <v>77</v>
      </c>
      <c r="K1383" t="s">
        <v>91</v>
      </c>
      <c r="L1383" t="s">
        <v>46</v>
      </c>
      <c r="M1383" t="s">
        <v>68</v>
      </c>
      <c r="N1383" t="s">
        <v>69</v>
      </c>
      <c r="O1383" t="s">
        <v>70</v>
      </c>
      <c r="P1383" t="s">
        <v>49</v>
      </c>
      <c r="Q1383" t="s">
        <v>204</v>
      </c>
      <c r="R1383">
        <v>278</v>
      </c>
      <c r="S1383">
        <v>126</v>
      </c>
      <c r="T1383">
        <v>86</v>
      </c>
      <c r="U1383">
        <v>28</v>
      </c>
      <c r="V1383" t="s">
        <v>6433</v>
      </c>
      <c r="W1383">
        <v>66708</v>
      </c>
      <c r="X1383" t="s">
        <v>7062</v>
      </c>
      <c r="Y1383">
        <v>49590</v>
      </c>
      <c r="Z1383">
        <v>1867824</v>
      </c>
      <c r="AA1383">
        <v>479304</v>
      </c>
      <c r="AB1383" t="str">
        <f>(VLOOKUP(SalesData[[#This Row],[Month Number]],Reference!C$5:E$16,2,FALSE))</f>
        <v>Feb</v>
      </c>
      <c r="AC1383">
        <f>MONTH(SalesData[[#This Row],[Date]])</f>
        <v>2</v>
      </c>
      <c r="AD1383">
        <f>Reference!F$4</f>
        <v>2026</v>
      </c>
      <c r="AE1383" t="str">
        <f>IF(OR(SalesData[[#This Row],[Day]]="Saturday",SalesData[[#This Row],[Day]]="Sunday"),"Weekend","Weekday")</f>
        <v>Weekend</v>
      </c>
      <c r="AF1383" s="5">
        <f>IF(SalesData[[#This Row],[Contracts Offered]]=0,0,SalesData[[#This Row],[Contracts Signed]]/SalesData[[#This Row],[Contracts Offered]])</f>
        <v>0.32558139534883723</v>
      </c>
      <c r="AG1383" s="5">
        <f>IF(SalesData[[#This Row],[Customers Visited]]=0,0,SalesData[[#This Row],[Test Drives]]/SalesData[[#This Row],[Customers Visited]])</f>
        <v>0.45323741007194246</v>
      </c>
      <c r="AH1383" s="5">
        <f>IF(SalesData[[#This Row],[Customers Visited]]=0,0,SalesData[[#This Row],[Contracts Signed]]/SalesData[[#This Row],[Customers Visited]])</f>
        <v>0.10071942446043165</v>
      </c>
      <c r="AI1383" s="6">
        <f>IF(SalesData[[#This Row],[Contracts Signed]]=0,0,SalesData[[#This Row],[Profit(€)]]/SalesData[[#This Row],[Contracts Signed]])</f>
        <v>17118</v>
      </c>
      <c r="AJ1383" s="5" t="str">
        <f>TRIM(CLEAN(SalesData[[#This Row],[Retailer]]))</f>
        <v>Leipzig Mobility</v>
      </c>
    </row>
    <row r="1384" spans="1:36" ht="14.25" x14ac:dyDescent="0.2">
      <c r="A1384" t="s">
        <v>2241</v>
      </c>
      <c r="B1384" s="1">
        <v>46065</v>
      </c>
      <c r="C1384" t="s">
        <v>121</v>
      </c>
      <c r="D1384" t="s">
        <v>100</v>
      </c>
      <c r="E1384" t="s">
        <v>26</v>
      </c>
      <c r="F1384" t="s">
        <v>83</v>
      </c>
      <c r="G1384" t="s">
        <v>84</v>
      </c>
      <c r="H1384" t="s">
        <v>85</v>
      </c>
      <c r="I1384" t="s">
        <v>30</v>
      </c>
      <c r="J1384" t="s">
        <v>7075</v>
      </c>
      <c r="K1384" t="s">
        <v>66</v>
      </c>
      <c r="L1384" t="s">
        <v>33</v>
      </c>
      <c r="M1384" t="s">
        <v>87</v>
      </c>
      <c r="N1384" t="s">
        <v>35</v>
      </c>
      <c r="O1384" t="s">
        <v>36</v>
      </c>
      <c r="P1384" t="s">
        <v>49</v>
      </c>
      <c r="Q1384" t="s">
        <v>240</v>
      </c>
      <c r="R1384">
        <v>227</v>
      </c>
      <c r="S1384">
        <v>104</v>
      </c>
      <c r="T1384">
        <v>72</v>
      </c>
      <c r="U1384">
        <v>29</v>
      </c>
      <c r="V1384" t="s">
        <v>6832</v>
      </c>
      <c r="W1384">
        <v>68212</v>
      </c>
      <c r="X1384" t="s">
        <v>7424</v>
      </c>
      <c r="Y1384">
        <v>49233</v>
      </c>
      <c r="Z1384">
        <v>1978148</v>
      </c>
      <c r="AA1384">
        <v>550391</v>
      </c>
      <c r="AB1384" t="str">
        <f>(VLOOKUP(SalesData[[#This Row],[Month Number]],Reference!C$5:E$16,2,FALSE))</f>
        <v>Feb</v>
      </c>
      <c r="AC1384">
        <f>MONTH(SalesData[[#This Row],[Date]])</f>
        <v>2</v>
      </c>
      <c r="AD1384">
        <f>Reference!F$4</f>
        <v>2026</v>
      </c>
      <c r="AE1384" t="str">
        <f>IF(OR(SalesData[[#This Row],[Day]]="Saturday",SalesData[[#This Row],[Day]]="Sunday"),"Weekend","Weekday")</f>
        <v>Weekday</v>
      </c>
      <c r="AF1384" s="5">
        <f>IF(SalesData[[#This Row],[Contracts Offered]]=0,0,SalesData[[#This Row],[Contracts Signed]]/SalesData[[#This Row],[Contracts Offered]])</f>
        <v>0.40277777777777779</v>
      </c>
      <c r="AG1384" s="5">
        <f>IF(SalesData[[#This Row],[Customers Visited]]=0,0,SalesData[[#This Row],[Test Drives]]/SalesData[[#This Row],[Customers Visited]])</f>
        <v>0.45814977973568283</v>
      </c>
      <c r="AH1384" s="5">
        <f>IF(SalesData[[#This Row],[Customers Visited]]=0,0,SalesData[[#This Row],[Contracts Signed]]/SalesData[[#This Row],[Customers Visited]])</f>
        <v>0.1277533039647577</v>
      </c>
      <c r="AI1384" s="6">
        <f>IF(SalesData[[#This Row],[Contracts Signed]]=0,0,SalesData[[#This Row],[Profit(€)]]/SalesData[[#This Row],[Contracts Signed]])</f>
        <v>18979</v>
      </c>
      <c r="AJ1384" s="5" t="str">
        <f>TRIM(CLEAN(SalesData[[#This Row],[Retailer]]))</f>
        <v>Hannover Cars</v>
      </c>
    </row>
    <row r="1385" spans="1:36" ht="14.25" hidden="1" x14ac:dyDescent="0.2">
      <c r="A1385" t="s">
        <v>2243</v>
      </c>
      <c r="B1385" s="1">
        <v>46075</v>
      </c>
      <c r="C1385" t="s">
        <v>53</v>
      </c>
      <c r="D1385" t="s">
        <v>41</v>
      </c>
      <c r="E1385" t="s">
        <v>42</v>
      </c>
      <c r="F1385" t="s">
        <v>74</v>
      </c>
      <c r="G1385" t="s">
        <v>75</v>
      </c>
      <c r="H1385" t="s">
        <v>76</v>
      </c>
      <c r="I1385" t="s">
        <v>104</v>
      </c>
      <c r="J1385" t="s">
        <v>143</v>
      </c>
      <c r="K1385" t="s">
        <v>78</v>
      </c>
      <c r="L1385" t="s">
        <v>67</v>
      </c>
      <c r="M1385" t="s">
        <v>47</v>
      </c>
      <c r="N1385" t="s">
        <v>48</v>
      </c>
      <c r="O1385" t="s">
        <v>70</v>
      </c>
      <c r="P1385" t="s">
        <v>37</v>
      </c>
      <c r="Q1385" t="s">
        <v>88</v>
      </c>
      <c r="R1385">
        <v>318</v>
      </c>
      <c r="S1385">
        <v>138</v>
      </c>
      <c r="T1385">
        <v>91</v>
      </c>
      <c r="U1385">
        <v>21</v>
      </c>
      <c r="V1385" t="s">
        <v>1453</v>
      </c>
      <c r="W1385">
        <v>30738</v>
      </c>
      <c r="X1385" t="s">
        <v>207</v>
      </c>
      <c r="Y1385">
        <v>27029</v>
      </c>
      <c r="Z1385">
        <v>645498</v>
      </c>
      <c r="AA1385">
        <v>77889</v>
      </c>
      <c r="AB1385" t="str">
        <f>(VLOOKUP(SalesData[[#This Row],[Month Number]],Reference!C$5:E$16,2,FALSE))</f>
        <v>Feb</v>
      </c>
      <c r="AC1385">
        <f>MONTH(SalesData[[#This Row],[Date]])</f>
        <v>2</v>
      </c>
      <c r="AD1385">
        <f>Reference!F$4</f>
        <v>2026</v>
      </c>
      <c r="AE1385" t="str">
        <f>IF(OR(SalesData[[#This Row],[Day]]="Saturday",SalesData[[#This Row],[Day]]="Sunday"),"Weekend","Weekday")</f>
        <v>Weekend</v>
      </c>
      <c r="AF1385" s="5">
        <f>IF(SalesData[[#This Row],[Contracts Offered]]=0,0,SalesData[[#This Row],[Contracts Signed]]/SalesData[[#This Row],[Contracts Offered]])</f>
        <v>0.23076923076923078</v>
      </c>
      <c r="AG1385" s="5">
        <f>IF(SalesData[[#This Row],[Customers Visited]]=0,0,SalesData[[#This Row],[Test Drives]]/SalesData[[#This Row],[Customers Visited]])</f>
        <v>0.43396226415094341</v>
      </c>
      <c r="AH1385" s="5">
        <f>IF(SalesData[[#This Row],[Customers Visited]]=0,0,SalesData[[#This Row],[Contracts Signed]]/SalesData[[#This Row],[Customers Visited]])</f>
        <v>6.6037735849056603E-2</v>
      </c>
      <c r="AI1385" s="6">
        <f>IF(SalesData[[#This Row],[Contracts Signed]]=0,0,SalesData[[#This Row],[Profit(€)]]/SalesData[[#This Row],[Contracts Signed]])</f>
        <v>3709</v>
      </c>
      <c r="AJ1385" s="5" t="str">
        <f>TRIM(CLEAN(SalesData[[#This Row],[Retailer]]))</f>
        <v>Stuttgart Auto Center</v>
      </c>
    </row>
    <row r="1386" spans="1:36" ht="14.25" hidden="1" x14ac:dyDescent="0.2">
      <c r="A1386" t="s">
        <v>2244</v>
      </c>
      <c r="B1386" s="1">
        <v>46062</v>
      </c>
      <c r="C1386" t="s">
        <v>121</v>
      </c>
      <c r="D1386" t="s">
        <v>25</v>
      </c>
      <c r="E1386" t="s">
        <v>26</v>
      </c>
      <c r="F1386" t="s">
        <v>43</v>
      </c>
      <c r="G1386" t="s">
        <v>44</v>
      </c>
      <c r="H1386" t="s">
        <v>45</v>
      </c>
      <c r="I1386" t="s">
        <v>56</v>
      </c>
      <c r="J1386" t="s">
        <v>179</v>
      </c>
      <c r="K1386" t="s">
        <v>91</v>
      </c>
      <c r="L1386" t="s">
        <v>67</v>
      </c>
      <c r="M1386" t="s">
        <v>47</v>
      </c>
      <c r="N1386" t="s">
        <v>35</v>
      </c>
      <c r="O1386" t="s">
        <v>36</v>
      </c>
      <c r="P1386" t="s">
        <v>58</v>
      </c>
      <c r="Q1386" t="s">
        <v>158</v>
      </c>
      <c r="R1386">
        <v>303</v>
      </c>
      <c r="S1386">
        <v>168</v>
      </c>
      <c r="T1386">
        <v>120</v>
      </c>
      <c r="U1386">
        <v>43</v>
      </c>
      <c r="V1386" t="s">
        <v>6660</v>
      </c>
      <c r="W1386">
        <v>41087</v>
      </c>
      <c r="X1386" t="s">
        <v>7219</v>
      </c>
      <c r="Y1386">
        <v>31912</v>
      </c>
      <c r="Z1386">
        <v>1766741</v>
      </c>
      <c r="AA1386">
        <v>394525</v>
      </c>
      <c r="AB1386" t="str">
        <f>(VLOOKUP(SalesData[[#This Row],[Month Number]],Reference!C$5:E$16,2,FALSE))</f>
        <v>Feb</v>
      </c>
      <c r="AC1386">
        <f>MONTH(SalesData[[#This Row],[Date]])</f>
        <v>2</v>
      </c>
      <c r="AD1386">
        <f>Reference!F$4</f>
        <v>2026</v>
      </c>
      <c r="AE1386" t="str">
        <f>IF(OR(SalesData[[#This Row],[Day]]="Saturday",SalesData[[#This Row],[Day]]="Sunday"),"Weekend","Weekday")</f>
        <v>Weekday</v>
      </c>
      <c r="AF1386" s="5">
        <f>IF(SalesData[[#This Row],[Contracts Offered]]=0,0,SalesData[[#This Row],[Contracts Signed]]/SalesData[[#This Row],[Contracts Offered]])</f>
        <v>0.35833333333333334</v>
      </c>
      <c r="AG1386" s="5">
        <f>IF(SalesData[[#This Row],[Customers Visited]]=0,0,SalesData[[#This Row],[Test Drives]]/SalesData[[#This Row],[Customers Visited]])</f>
        <v>0.5544554455445545</v>
      </c>
      <c r="AH1386" s="5">
        <f>IF(SalesData[[#This Row],[Customers Visited]]=0,0,SalesData[[#This Row],[Contracts Signed]]/SalesData[[#This Row],[Customers Visited]])</f>
        <v>0.14191419141914191</v>
      </c>
      <c r="AI1386" s="6">
        <f>IF(SalesData[[#This Row],[Contracts Signed]]=0,0,SalesData[[#This Row],[Profit(€)]]/SalesData[[#This Row],[Contracts Signed]])</f>
        <v>9175</v>
      </c>
      <c r="AJ1386" s="5" t="str">
        <f>TRIM(CLEAN(SalesData[[#This Row],[Retailer]]))</f>
        <v>Saxon Wheels</v>
      </c>
    </row>
    <row r="1387" spans="1:36" ht="14.25" hidden="1" x14ac:dyDescent="0.2">
      <c r="A1387" t="s">
        <v>2245</v>
      </c>
      <c r="B1387" s="1">
        <v>46061</v>
      </c>
      <c r="C1387" t="s">
        <v>121</v>
      </c>
      <c r="D1387" t="s">
        <v>41</v>
      </c>
      <c r="E1387" t="s">
        <v>42</v>
      </c>
      <c r="F1387" t="s">
        <v>114</v>
      </c>
      <c r="G1387" t="s">
        <v>115</v>
      </c>
      <c r="H1387" t="s">
        <v>115</v>
      </c>
      <c r="I1387" t="s">
        <v>64</v>
      </c>
      <c r="J1387" t="s">
        <v>7029</v>
      </c>
      <c r="K1387" t="s">
        <v>66</v>
      </c>
      <c r="L1387" t="s">
        <v>33</v>
      </c>
      <c r="M1387" t="s">
        <v>34</v>
      </c>
      <c r="N1387" t="s">
        <v>35</v>
      </c>
      <c r="O1387" t="s">
        <v>36</v>
      </c>
      <c r="P1387" t="s">
        <v>49</v>
      </c>
      <c r="Q1387" t="s">
        <v>122</v>
      </c>
      <c r="R1387">
        <v>243</v>
      </c>
      <c r="S1387">
        <v>107</v>
      </c>
      <c r="T1387">
        <v>82</v>
      </c>
      <c r="U1387">
        <v>28</v>
      </c>
      <c r="V1387" t="s">
        <v>6888</v>
      </c>
      <c r="W1387">
        <v>66951</v>
      </c>
      <c r="X1387" t="s">
        <v>7425</v>
      </c>
      <c r="Y1387">
        <v>49138</v>
      </c>
      <c r="Z1387">
        <v>1874628</v>
      </c>
      <c r="AA1387">
        <v>498764</v>
      </c>
      <c r="AB1387" t="str">
        <f>(VLOOKUP(SalesData[[#This Row],[Month Number]],Reference!C$5:E$16,2,FALSE))</f>
        <v>Feb</v>
      </c>
      <c r="AC1387">
        <f>MONTH(SalesData[[#This Row],[Date]])</f>
        <v>2</v>
      </c>
      <c r="AD1387">
        <f>Reference!F$4</f>
        <v>2026</v>
      </c>
      <c r="AE1387" t="str">
        <f>IF(OR(SalesData[[#This Row],[Day]]="Saturday",SalesData[[#This Row],[Day]]="Sunday"),"Weekend","Weekday")</f>
        <v>Weekend</v>
      </c>
      <c r="AF1387" s="5">
        <f>IF(SalesData[[#This Row],[Contracts Offered]]=0,0,SalesData[[#This Row],[Contracts Signed]]/SalesData[[#This Row],[Contracts Offered]])</f>
        <v>0.34146341463414637</v>
      </c>
      <c r="AG1387" s="5">
        <f>IF(SalesData[[#This Row],[Customers Visited]]=0,0,SalesData[[#This Row],[Test Drives]]/SalesData[[#This Row],[Customers Visited]])</f>
        <v>0.44032921810699588</v>
      </c>
      <c r="AH1387" s="5">
        <f>IF(SalesData[[#This Row],[Customers Visited]]=0,0,SalesData[[#This Row],[Contracts Signed]]/SalesData[[#This Row],[Customers Visited]])</f>
        <v>0.11522633744855967</v>
      </c>
      <c r="AI1387" s="6">
        <f>IF(SalesData[[#This Row],[Contracts Signed]]=0,0,SalesData[[#This Row],[Profit(€)]]/SalesData[[#This Row],[Contracts Signed]])</f>
        <v>17813</v>
      </c>
      <c r="AJ1387" s="5" t="str">
        <f>TRIM(CLEAN(SalesData[[#This Row],[Retailer]]))</f>
        <v>Elbe Drive</v>
      </c>
    </row>
    <row r="1388" spans="1:36" ht="14.25" hidden="1" x14ac:dyDescent="0.2">
      <c r="A1388" t="s">
        <v>2246</v>
      </c>
      <c r="B1388" s="1">
        <v>46074</v>
      </c>
      <c r="C1388" t="s">
        <v>62</v>
      </c>
      <c r="D1388" t="s">
        <v>151</v>
      </c>
      <c r="E1388" t="s">
        <v>42</v>
      </c>
      <c r="F1388" t="s">
        <v>114</v>
      </c>
      <c r="G1388" t="s">
        <v>115</v>
      </c>
      <c r="H1388" t="s">
        <v>115</v>
      </c>
      <c r="I1388" t="s">
        <v>104</v>
      </c>
      <c r="J1388" t="s">
        <v>7031</v>
      </c>
      <c r="K1388" t="s">
        <v>91</v>
      </c>
      <c r="L1388" t="s">
        <v>46</v>
      </c>
      <c r="M1388" t="s">
        <v>87</v>
      </c>
      <c r="N1388" t="s">
        <v>69</v>
      </c>
      <c r="O1388" t="s">
        <v>36</v>
      </c>
      <c r="P1388" t="s">
        <v>49</v>
      </c>
      <c r="Q1388" t="s">
        <v>189</v>
      </c>
      <c r="R1388">
        <v>459</v>
      </c>
      <c r="S1388">
        <v>205</v>
      </c>
      <c r="T1388">
        <v>125</v>
      </c>
      <c r="U1388">
        <v>26</v>
      </c>
      <c r="V1388" t="s">
        <v>1503</v>
      </c>
      <c r="W1388">
        <v>27347</v>
      </c>
      <c r="X1388" t="s">
        <v>7426</v>
      </c>
      <c r="Y1388">
        <v>23525</v>
      </c>
      <c r="Z1388">
        <v>711022</v>
      </c>
      <c r="AA1388">
        <v>99372</v>
      </c>
      <c r="AB1388" t="str">
        <f>(VLOOKUP(SalesData[[#This Row],[Month Number]],Reference!C$5:E$16,2,FALSE))</f>
        <v>Feb</v>
      </c>
      <c r="AC1388">
        <f>MONTH(SalesData[[#This Row],[Date]])</f>
        <v>2</v>
      </c>
      <c r="AD1388">
        <f>Reference!F$4</f>
        <v>2026</v>
      </c>
      <c r="AE1388" t="str">
        <f>IF(OR(SalesData[[#This Row],[Day]]="Saturday",SalesData[[#This Row],[Day]]="Sunday"),"Weekend","Weekday")</f>
        <v>Weekend</v>
      </c>
      <c r="AF1388" s="5">
        <f>IF(SalesData[[#This Row],[Contracts Offered]]=0,0,SalesData[[#This Row],[Contracts Signed]]/SalesData[[#This Row],[Contracts Offered]])</f>
        <v>0.20799999999999999</v>
      </c>
      <c r="AG1388" s="5">
        <f>IF(SalesData[[#This Row],[Customers Visited]]=0,0,SalesData[[#This Row],[Test Drives]]/SalesData[[#This Row],[Customers Visited]])</f>
        <v>0.44662309368191722</v>
      </c>
      <c r="AH1388" s="5">
        <f>IF(SalesData[[#This Row],[Customers Visited]]=0,0,SalesData[[#This Row],[Contracts Signed]]/SalesData[[#This Row],[Customers Visited]])</f>
        <v>5.6644880174291937E-2</v>
      </c>
      <c r="AI1388" s="6">
        <f>IF(SalesData[[#This Row],[Contracts Signed]]=0,0,SalesData[[#This Row],[Profit(€)]]/SalesData[[#This Row],[Contracts Signed]])</f>
        <v>3822</v>
      </c>
      <c r="AJ1388" s="5" t="str">
        <f>TRIM(CLEAN(SalesData[[#This Row],[Retailer]]))</f>
        <v>Elbe Drive</v>
      </c>
    </row>
    <row r="1389" spans="1:36" ht="14.25" hidden="1" x14ac:dyDescent="0.2">
      <c r="A1389" t="s">
        <v>2247</v>
      </c>
      <c r="B1389" s="1">
        <v>46068</v>
      </c>
      <c r="C1389" t="s">
        <v>62</v>
      </c>
      <c r="D1389" t="s">
        <v>41</v>
      </c>
      <c r="E1389" t="s">
        <v>42</v>
      </c>
      <c r="F1389" t="s">
        <v>7649</v>
      </c>
      <c r="G1389" t="s">
        <v>55</v>
      </c>
      <c r="H1389" t="s">
        <v>55</v>
      </c>
      <c r="I1389" t="s">
        <v>56</v>
      </c>
      <c r="J1389" t="s">
        <v>97</v>
      </c>
      <c r="K1389" t="s">
        <v>91</v>
      </c>
      <c r="L1389" t="s">
        <v>33</v>
      </c>
      <c r="M1389" t="s">
        <v>34</v>
      </c>
      <c r="N1389" t="s">
        <v>69</v>
      </c>
      <c r="O1389" t="s">
        <v>36</v>
      </c>
      <c r="P1389" t="s">
        <v>71</v>
      </c>
      <c r="Q1389" t="s">
        <v>135</v>
      </c>
      <c r="R1389">
        <v>243</v>
      </c>
      <c r="S1389">
        <v>116</v>
      </c>
      <c r="T1389">
        <v>80</v>
      </c>
      <c r="U1389">
        <v>28</v>
      </c>
      <c r="V1389" t="s">
        <v>6659</v>
      </c>
      <c r="W1389">
        <v>53949</v>
      </c>
      <c r="X1389" t="s">
        <v>7055</v>
      </c>
      <c r="Y1389">
        <v>43963</v>
      </c>
      <c r="Z1389">
        <v>1510572</v>
      </c>
      <c r="AA1389">
        <v>279608</v>
      </c>
      <c r="AB1389" t="str">
        <f>(VLOOKUP(SalesData[[#This Row],[Month Number]],Reference!C$5:E$16,2,FALSE))</f>
        <v>Feb</v>
      </c>
      <c r="AC1389">
        <f>MONTH(SalesData[[#This Row],[Date]])</f>
        <v>2</v>
      </c>
      <c r="AD1389">
        <f>Reference!F$4</f>
        <v>2026</v>
      </c>
      <c r="AE1389" t="str">
        <f>IF(OR(SalesData[[#This Row],[Day]]="Saturday",SalesData[[#This Row],[Day]]="Sunday"),"Weekend","Weekday")</f>
        <v>Weekend</v>
      </c>
      <c r="AF1389" s="5">
        <f>IF(SalesData[[#This Row],[Contracts Offered]]=0,0,SalesData[[#This Row],[Contracts Signed]]/SalesData[[#This Row],[Contracts Offered]])</f>
        <v>0.35</v>
      </c>
      <c r="AG1389" s="5">
        <f>IF(SalesData[[#This Row],[Customers Visited]]=0,0,SalesData[[#This Row],[Test Drives]]/SalesData[[#This Row],[Customers Visited]])</f>
        <v>0.47736625514403291</v>
      </c>
      <c r="AH1389" s="5">
        <f>IF(SalesData[[#This Row],[Customers Visited]]=0,0,SalesData[[#This Row],[Contracts Signed]]/SalesData[[#This Row],[Customers Visited]])</f>
        <v>0.11522633744855967</v>
      </c>
      <c r="AI1389" s="6">
        <f>IF(SalesData[[#This Row],[Contracts Signed]]=0,0,SalesData[[#This Row],[Profit(€)]]/SalesData[[#This Row],[Contracts Signed]])</f>
        <v>9986</v>
      </c>
      <c r="AJ1389" s="5" t="str">
        <f>TRIM(CLEAN(SalesData[[#This Row],[Retailer]]))</f>
        <v>Autohaus Berlin</v>
      </c>
    </row>
    <row r="1390" spans="1:36" ht="14.25" hidden="1" x14ac:dyDescent="0.2">
      <c r="A1390" t="s">
        <v>2249</v>
      </c>
      <c r="B1390" s="1">
        <v>46059</v>
      </c>
      <c r="C1390" t="s">
        <v>24</v>
      </c>
      <c r="D1390" t="s">
        <v>54</v>
      </c>
      <c r="E1390" t="s">
        <v>26</v>
      </c>
      <c r="F1390" t="s">
        <v>94</v>
      </c>
      <c r="G1390" t="s">
        <v>95</v>
      </c>
      <c r="H1390" t="s">
        <v>96</v>
      </c>
      <c r="I1390" t="s">
        <v>56</v>
      </c>
      <c r="J1390" t="s">
        <v>57</v>
      </c>
      <c r="K1390" t="s">
        <v>32</v>
      </c>
      <c r="L1390" t="s">
        <v>46</v>
      </c>
      <c r="M1390" t="s">
        <v>47</v>
      </c>
      <c r="N1390" t="s">
        <v>35</v>
      </c>
      <c r="O1390" t="s">
        <v>70</v>
      </c>
      <c r="P1390" t="s">
        <v>58</v>
      </c>
      <c r="Q1390" t="s">
        <v>129</v>
      </c>
      <c r="R1390">
        <v>161</v>
      </c>
      <c r="S1390">
        <v>87</v>
      </c>
      <c r="T1390">
        <v>67</v>
      </c>
      <c r="U1390">
        <v>25</v>
      </c>
      <c r="V1390" t="s">
        <v>7360</v>
      </c>
      <c r="W1390">
        <v>41368</v>
      </c>
      <c r="X1390" t="s">
        <v>550</v>
      </c>
      <c r="Y1390">
        <v>32135</v>
      </c>
      <c r="Z1390">
        <v>1034200</v>
      </c>
      <c r="AA1390">
        <v>230825</v>
      </c>
      <c r="AB1390" t="str">
        <f>(VLOOKUP(SalesData[[#This Row],[Month Number]],Reference!C$5:E$16,2,FALSE))</f>
        <v>Feb</v>
      </c>
      <c r="AC1390">
        <f>MONTH(SalesData[[#This Row],[Date]])</f>
        <v>2</v>
      </c>
      <c r="AD1390">
        <f>Reference!F$4</f>
        <v>2026</v>
      </c>
      <c r="AE1390" t="str">
        <f>IF(OR(SalesData[[#This Row],[Day]]="Saturday",SalesData[[#This Row],[Day]]="Sunday"),"Weekend","Weekday")</f>
        <v>Weekday</v>
      </c>
      <c r="AF1390" s="5">
        <f>IF(SalesData[[#This Row],[Contracts Offered]]=0,0,SalesData[[#This Row],[Contracts Signed]]/SalesData[[#This Row],[Contracts Offered]])</f>
        <v>0.37313432835820898</v>
      </c>
      <c r="AG1390" s="5">
        <f>IF(SalesData[[#This Row],[Customers Visited]]=0,0,SalesData[[#This Row],[Test Drives]]/SalesData[[#This Row],[Customers Visited]])</f>
        <v>0.54037267080745344</v>
      </c>
      <c r="AH1390" s="5">
        <f>IF(SalesData[[#This Row],[Customers Visited]]=0,0,SalesData[[#This Row],[Contracts Signed]]/SalesData[[#This Row],[Customers Visited]])</f>
        <v>0.15527950310559005</v>
      </c>
      <c r="AI1390" s="6">
        <f>IF(SalesData[[#This Row],[Contracts Signed]]=0,0,SalesData[[#This Row],[Profit(€)]]/SalesData[[#This Row],[Contracts Signed]])</f>
        <v>9233</v>
      </c>
      <c r="AJ1390" s="5" t="str">
        <f>TRIM(CLEAN(SalesData[[#This Row],[Retailer]]))</f>
        <v>Bavaria Motors</v>
      </c>
    </row>
    <row r="1391" spans="1:36" ht="14.25" hidden="1" x14ac:dyDescent="0.2">
      <c r="A1391" t="s">
        <v>2250</v>
      </c>
      <c r="B1391" s="1">
        <v>46063</v>
      </c>
      <c r="C1391" t="s">
        <v>121</v>
      </c>
      <c r="D1391" t="s">
        <v>63</v>
      </c>
      <c r="E1391" t="s">
        <v>26</v>
      </c>
      <c r="F1391" t="s">
        <v>101</v>
      </c>
      <c r="G1391" t="s">
        <v>102</v>
      </c>
      <c r="H1391" t="s">
        <v>103</v>
      </c>
      <c r="I1391" t="s">
        <v>116</v>
      </c>
      <c r="J1391" t="s">
        <v>117</v>
      </c>
      <c r="K1391" t="s">
        <v>91</v>
      </c>
      <c r="L1391" t="s">
        <v>67</v>
      </c>
      <c r="M1391" t="s">
        <v>87</v>
      </c>
      <c r="N1391" t="s">
        <v>48</v>
      </c>
      <c r="O1391" t="s">
        <v>36</v>
      </c>
      <c r="P1391" t="s">
        <v>58</v>
      </c>
      <c r="Q1391" t="s">
        <v>204</v>
      </c>
      <c r="R1391">
        <v>276</v>
      </c>
      <c r="S1391">
        <v>106</v>
      </c>
      <c r="T1391">
        <v>66</v>
      </c>
      <c r="U1391">
        <v>21</v>
      </c>
      <c r="V1391" t="s">
        <v>7046</v>
      </c>
      <c r="W1391">
        <v>21961</v>
      </c>
      <c r="X1391" t="s">
        <v>3535</v>
      </c>
      <c r="Y1391">
        <v>20052</v>
      </c>
      <c r="Z1391">
        <v>461181</v>
      </c>
      <c r="AA1391">
        <v>40089</v>
      </c>
      <c r="AB1391" t="str">
        <f>(VLOOKUP(SalesData[[#This Row],[Month Number]],Reference!C$5:E$16,2,FALSE))</f>
        <v>Feb</v>
      </c>
      <c r="AC1391">
        <f>MONTH(SalesData[[#This Row],[Date]])</f>
        <v>2</v>
      </c>
      <c r="AD1391">
        <f>Reference!F$4</f>
        <v>2026</v>
      </c>
      <c r="AE1391" t="str">
        <f>IF(OR(SalesData[[#This Row],[Day]]="Saturday",SalesData[[#This Row],[Day]]="Sunday"),"Weekend","Weekday")</f>
        <v>Weekday</v>
      </c>
      <c r="AF1391" s="5">
        <f>IF(SalesData[[#This Row],[Contracts Offered]]=0,0,SalesData[[#This Row],[Contracts Signed]]/SalesData[[#This Row],[Contracts Offered]])</f>
        <v>0.31818181818181818</v>
      </c>
      <c r="AG1391" s="5">
        <f>IF(SalesData[[#This Row],[Customers Visited]]=0,0,SalesData[[#This Row],[Test Drives]]/SalesData[[#This Row],[Customers Visited]])</f>
        <v>0.38405797101449274</v>
      </c>
      <c r="AH1391" s="5">
        <f>IF(SalesData[[#This Row],[Customers Visited]]=0,0,SalesData[[#This Row],[Contracts Signed]]/SalesData[[#This Row],[Customers Visited]])</f>
        <v>7.6086956521739135E-2</v>
      </c>
      <c r="AI1391" s="6">
        <f>IF(SalesData[[#This Row],[Contracts Signed]]=0,0,SalesData[[#This Row],[Profit(€)]]/SalesData[[#This Row],[Contracts Signed]])</f>
        <v>1909</v>
      </c>
      <c r="AJ1391" s="5" t="str">
        <f>TRIM(CLEAN(SalesData[[#This Row],[Retailer]]))</f>
        <v>Ruhr Auto Plaza</v>
      </c>
    </row>
    <row r="1392" spans="1:36" ht="14.25" hidden="1" x14ac:dyDescent="0.2">
      <c r="A1392" t="s">
        <v>2252</v>
      </c>
      <c r="B1392" s="1">
        <v>46070</v>
      </c>
      <c r="C1392" t="s">
        <v>62</v>
      </c>
      <c r="D1392" t="s">
        <v>63</v>
      </c>
      <c r="E1392" t="s">
        <v>26</v>
      </c>
      <c r="F1392" t="s">
        <v>27</v>
      </c>
      <c r="G1392" t="s">
        <v>28</v>
      </c>
      <c r="H1392" t="s">
        <v>29</v>
      </c>
      <c r="I1392" t="s">
        <v>116</v>
      </c>
      <c r="J1392" t="s">
        <v>7026</v>
      </c>
      <c r="K1392" t="s">
        <v>91</v>
      </c>
      <c r="L1392" t="s">
        <v>46</v>
      </c>
      <c r="M1392" t="s">
        <v>34</v>
      </c>
      <c r="N1392" t="s">
        <v>69</v>
      </c>
      <c r="O1392" t="s">
        <v>70</v>
      </c>
      <c r="P1392" t="s">
        <v>71</v>
      </c>
      <c r="Q1392" t="s">
        <v>38</v>
      </c>
      <c r="R1392">
        <v>290</v>
      </c>
      <c r="S1392">
        <v>152</v>
      </c>
      <c r="T1392">
        <v>104</v>
      </c>
      <c r="U1392">
        <v>21</v>
      </c>
      <c r="V1392" t="s">
        <v>2440</v>
      </c>
      <c r="W1392">
        <v>20412</v>
      </c>
      <c r="X1392" t="s">
        <v>7397</v>
      </c>
      <c r="Y1392">
        <v>18577</v>
      </c>
      <c r="Z1392">
        <v>428652</v>
      </c>
      <c r="AA1392">
        <v>38535</v>
      </c>
      <c r="AB1392" t="str">
        <f>(VLOOKUP(SalesData[[#This Row],[Month Number]],Reference!C$5:E$16,2,FALSE))</f>
        <v>Feb</v>
      </c>
      <c r="AC1392">
        <f>MONTH(SalesData[[#This Row],[Date]])</f>
        <v>2</v>
      </c>
      <c r="AD1392">
        <f>Reference!F$4</f>
        <v>2026</v>
      </c>
      <c r="AE1392" t="str">
        <f>IF(OR(SalesData[[#This Row],[Day]]="Saturday",SalesData[[#This Row],[Day]]="Sunday"),"Weekend","Weekday")</f>
        <v>Weekday</v>
      </c>
      <c r="AF1392" s="5">
        <f>IF(SalesData[[#This Row],[Contracts Offered]]=0,0,SalesData[[#This Row],[Contracts Signed]]/SalesData[[#This Row],[Contracts Offered]])</f>
        <v>0.20192307692307693</v>
      </c>
      <c r="AG1392" s="5">
        <f>IF(SalesData[[#This Row],[Customers Visited]]=0,0,SalesData[[#This Row],[Test Drives]]/SalesData[[#This Row],[Customers Visited]])</f>
        <v>0.52413793103448281</v>
      </c>
      <c r="AH1392" s="5">
        <f>IF(SalesData[[#This Row],[Customers Visited]]=0,0,SalesData[[#This Row],[Contracts Signed]]/SalesData[[#This Row],[Customers Visited]])</f>
        <v>7.2413793103448282E-2</v>
      </c>
      <c r="AI1392" s="6">
        <f>IF(SalesData[[#This Row],[Contracts Signed]]=0,0,SalesData[[#This Row],[Profit(€)]]/SalesData[[#This Row],[Contracts Signed]])</f>
        <v>1835</v>
      </c>
      <c r="AJ1392" s="5" t="str">
        <f>TRIM(CLEAN(SalesData[[#This Row],[Retailer]]))</f>
        <v>Main Auto Hub</v>
      </c>
    </row>
    <row r="1393" spans="1:36" ht="14.25" x14ac:dyDescent="0.2">
      <c r="A1393" t="s">
        <v>2253</v>
      </c>
      <c r="B1393" s="1">
        <v>46071</v>
      </c>
      <c r="C1393" t="s">
        <v>62</v>
      </c>
      <c r="D1393" t="s">
        <v>82</v>
      </c>
      <c r="E1393" t="s">
        <v>26</v>
      </c>
      <c r="F1393" t="s">
        <v>94</v>
      </c>
      <c r="G1393" t="s">
        <v>95</v>
      </c>
      <c r="H1393" t="s">
        <v>96</v>
      </c>
      <c r="I1393" t="s">
        <v>30</v>
      </c>
      <c r="J1393" t="s">
        <v>7075</v>
      </c>
      <c r="K1393" t="s">
        <v>78</v>
      </c>
      <c r="L1393" t="s">
        <v>33</v>
      </c>
      <c r="M1393" t="s">
        <v>47</v>
      </c>
      <c r="N1393" t="s">
        <v>69</v>
      </c>
      <c r="O1393" t="s">
        <v>36</v>
      </c>
      <c r="P1393" t="s">
        <v>58</v>
      </c>
      <c r="Q1393" t="s">
        <v>118</v>
      </c>
      <c r="R1393">
        <v>167</v>
      </c>
      <c r="S1393">
        <v>76</v>
      </c>
      <c r="T1393">
        <v>56</v>
      </c>
      <c r="U1393">
        <v>25</v>
      </c>
      <c r="V1393" t="s">
        <v>7427</v>
      </c>
      <c r="W1393">
        <v>65029</v>
      </c>
      <c r="X1393" t="s">
        <v>7337</v>
      </c>
      <c r="Y1393">
        <v>46443</v>
      </c>
      <c r="Z1393">
        <v>1625725</v>
      </c>
      <c r="AA1393">
        <v>464650</v>
      </c>
      <c r="AB1393" t="str">
        <f>(VLOOKUP(SalesData[[#This Row],[Month Number]],Reference!C$5:E$16,2,FALSE))</f>
        <v>Feb</v>
      </c>
      <c r="AC1393">
        <f>MONTH(SalesData[[#This Row],[Date]])</f>
        <v>2</v>
      </c>
      <c r="AD1393">
        <f>Reference!F$4</f>
        <v>2026</v>
      </c>
      <c r="AE1393" t="str">
        <f>IF(OR(SalesData[[#This Row],[Day]]="Saturday",SalesData[[#This Row],[Day]]="Sunday"),"Weekend","Weekday")</f>
        <v>Weekday</v>
      </c>
      <c r="AF1393" s="5">
        <f>IF(SalesData[[#This Row],[Contracts Offered]]=0,0,SalesData[[#This Row],[Contracts Signed]]/SalesData[[#This Row],[Contracts Offered]])</f>
        <v>0.44642857142857145</v>
      </c>
      <c r="AG1393" s="5">
        <f>IF(SalesData[[#This Row],[Customers Visited]]=0,0,SalesData[[#This Row],[Test Drives]]/SalesData[[#This Row],[Customers Visited]])</f>
        <v>0.45508982035928142</v>
      </c>
      <c r="AH1393" s="5">
        <f>IF(SalesData[[#This Row],[Customers Visited]]=0,0,SalesData[[#This Row],[Contracts Signed]]/SalesData[[#This Row],[Customers Visited]])</f>
        <v>0.1497005988023952</v>
      </c>
      <c r="AI1393" s="6">
        <f>IF(SalesData[[#This Row],[Contracts Signed]]=0,0,SalesData[[#This Row],[Profit(€)]]/SalesData[[#This Row],[Contracts Signed]])</f>
        <v>18586</v>
      </c>
      <c r="AJ1393" s="5" t="str">
        <f>TRIM(CLEAN(SalesData[[#This Row],[Retailer]]))</f>
        <v>Bavaria Motors</v>
      </c>
    </row>
    <row r="1394" spans="1:36" ht="14.25" hidden="1" x14ac:dyDescent="0.2">
      <c r="A1394" t="s">
        <v>2254</v>
      </c>
      <c r="B1394" s="1">
        <v>46055</v>
      </c>
      <c r="C1394" t="s">
        <v>24</v>
      </c>
      <c r="D1394" t="s">
        <v>25</v>
      </c>
      <c r="E1394" t="s">
        <v>26</v>
      </c>
      <c r="F1394" t="s">
        <v>114</v>
      </c>
      <c r="G1394" t="s">
        <v>115</v>
      </c>
      <c r="H1394" t="s">
        <v>115</v>
      </c>
      <c r="I1394" t="s">
        <v>56</v>
      </c>
      <c r="J1394" t="s">
        <v>57</v>
      </c>
      <c r="K1394" t="s">
        <v>78</v>
      </c>
      <c r="L1394" t="s">
        <v>46</v>
      </c>
      <c r="M1394" t="s">
        <v>68</v>
      </c>
      <c r="N1394" t="s">
        <v>35</v>
      </c>
      <c r="O1394" t="s">
        <v>36</v>
      </c>
      <c r="P1394" t="s">
        <v>37</v>
      </c>
      <c r="Q1394" t="s">
        <v>59</v>
      </c>
      <c r="R1394">
        <v>164</v>
      </c>
      <c r="S1394">
        <v>104</v>
      </c>
      <c r="T1394">
        <v>75</v>
      </c>
      <c r="U1394">
        <v>24</v>
      </c>
      <c r="V1394" t="s">
        <v>6386</v>
      </c>
      <c r="W1394">
        <v>50394</v>
      </c>
      <c r="X1394" t="s">
        <v>796</v>
      </c>
      <c r="Y1394">
        <v>40954</v>
      </c>
      <c r="Z1394">
        <v>1209456</v>
      </c>
      <c r="AA1394">
        <v>226560</v>
      </c>
      <c r="AB1394" t="str">
        <f>(VLOOKUP(SalesData[[#This Row],[Month Number]],Reference!C$5:E$16,2,FALSE))</f>
        <v>Feb</v>
      </c>
      <c r="AC1394">
        <f>MONTH(SalesData[[#This Row],[Date]])</f>
        <v>2</v>
      </c>
      <c r="AD1394">
        <f>Reference!F$4</f>
        <v>2026</v>
      </c>
      <c r="AE1394" t="str">
        <f>IF(OR(SalesData[[#This Row],[Day]]="Saturday",SalesData[[#This Row],[Day]]="Sunday"),"Weekend","Weekday")</f>
        <v>Weekday</v>
      </c>
      <c r="AF1394" s="5">
        <f>IF(SalesData[[#This Row],[Contracts Offered]]=0,0,SalesData[[#This Row],[Contracts Signed]]/SalesData[[#This Row],[Contracts Offered]])</f>
        <v>0.32</v>
      </c>
      <c r="AG1394" s="5">
        <f>IF(SalesData[[#This Row],[Customers Visited]]=0,0,SalesData[[#This Row],[Test Drives]]/SalesData[[#This Row],[Customers Visited]])</f>
        <v>0.63414634146341464</v>
      </c>
      <c r="AH1394" s="5">
        <f>IF(SalesData[[#This Row],[Customers Visited]]=0,0,SalesData[[#This Row],[Contracts Signed]]/SalesData[[#This Row],[Customers Visited]])</f>
        <v>0.14634146341463414</v>
      </c>
      <c r="AI1394" s="6">
        <f>IF(SalesData[[#This Row],[Contracts Signed]]=0,0,SalesData[[#This Row],[Profit(€)]]/SalesData[[#This Row],[Contracts Signed]])</f>
        <v>9440</v>
      </c>
      <c r="AJ1394" s="5" t="str">
        <f>TRIM(CLEAN(SalesData[[#This Row],[Retailer]]))</f>
        <v>Elbe Drive</v>
      </c>
    </row>
    <row r="1395" spans="1:36" ht="14.25" hidden="1" x14ac:dyDescent="0.2">
      <c r="A1395" t="s">
        <v>2255</v>
      </c>
      <c r="B1395" s="1">
        <v>46056</v>
      </c>
      <c r="C1395" t="s">
        <v>24</v>
      </c>
      <c r="D1395" t="s">
        <v>63</v>
      </c>
      <c r="E1395" t="s">
        <v>26</v>
      </c>
      <c r="F1395" t="s">
        <v>127</v>
      </c>
      <c r="G1395" t="s">
        <v>128</v>
      </c>
      <c r="H1395" t="s">
        <v>103</v>
      </c>
      <c r="I1395" t="s">
        <v>104</v>
      </c>
      <c r="J1395" t="s">
        <v>140</v>
      </c>
      <c r="K1395" t="s">
        <v>91</v>
      </c>
      <c r="L1395" t="s">
        <v>46</v>
      </c>
      <c r="M1395" t="s">
        <v>68</v>
      </c>
      <c r="N1395" t="s">
        <v>69</v>
      </c>
      <c r="O1395" t="s">
        <v>70</v>
      </c>
      <c r="P1395" t="s">
        <v>49</v>
      </c>
      <c r="Q1395" t="s">
        <v>50</v>
      </c>
      <c r="R1395">
        <v>312</v>
      </c>
      <c r="S1395">
        <v>130</v>
      </c>
      <c r="T1395">
        <v>78</v>
      </c>
      <c r="U1395">
        <v>20</v>
      </c>
      <c r="V1395" t="s">
        <v>1109</v>
      </c>
      <c r="W1395">
        <v>33518</v>
      </c>
      <c r="X1395" t="s">
        <v>1717</v>
      </c>
      <c r="Y1395">
        <v>29055</v>
      </c>
      <c r="Z1395">
        <v>670360</v>
      </c>
      <c r="AA1395">
        <v>89260</v>
      </c>
      <c r="AB1395" t="str">
        <f>(VLOOKUP(SalesData[[#This Row],[Month Number]],Reference!C$5:E$16,2,FALSE))</f>
        <v>Feb</v>
      </c>
      <c r="AC1395">
        <f>MONTH(SalesData[[#This Row],[Date]])</f>
        <v>2</v>
      </c>
      <c r="AD1395">
        <f>Reference!F$4</f>
        <v>2026</v>
      </c>
      <c r="AE1395" t="str">
        <f>IF(OR(SalesData[[#This Row],[Day]]="Saturday",SalesData[[#This Row],[Day]]="Sunday"),"Weekend","Weekday")</f>
        <v>Weekday</v>
      </c>
      <c r="AF1395" s="5">
        <f>IF(SalesData[[#This Row],[Contracts Offered]]=0,0,SalesData[[#This Row],[Contracts Signed]]/SalesData[[#This Row],[Contracts Offered]])</f>
        <v>0.25641025641025639</v>
      </c>
      <c r="AG1395" s="5">
        <f>IF(SalesData[[#This Row],[Customers Visited]]=0,0,SalesData[[#This Row],[Test Drives]]/SalesData[[#This Row],[Customers Visited]])</f>
        <v>0.41666666666666669</v>
      </c>
      <c r="AH1395" s="5">
        <f>IF(SalesData[[#This Row],[Customers Visited]]=0,0,SalesData[[#This Row],[Contracts Signed]]/SalesData[[#This Row],[Customers Visited]])</f>
        <v>6.4102564102564097E-2</v>
      </c>
      <c r="AI1395" s="6">
        <f>IF(SalesData[[#This Row],[Contracts Signed]]=0,0,SalesData[[#This Row],[Profit(€)]]/SalesData[[#This Row],[Contracts Signed]])</f>
        <v>4463</v>
      </c>
      <c r="AJ1395" s="5" t="str">
        <f>TRIM(CLEAN(SalesData[[#This Row],[Retailer]]))</f>
        <v>Rhein Auto Group</v>
      </c>
    </row>
    <row r="1396" spans="1:36" ht="14.25" hidden="1" x14ac:dyDescent="0.2">
      <c r="A1396" t="s">
        <v>2256</v>
      </c>
      <c r="B1396" s="1">
        <v>46078</v>
      </c>
      <c r="C1396" t="s">
        <v>53</v>
      </c>
      <c r="D1396" t="s">
        <v>82</v>
      </c>
      <c r="E1396" t="s">
        <v>26</v>
      </c>
      <c r="F1396" t="s">
        <v>127</v>
      </c>
      <c r="G1396" t="s">
        <v>128</v>
      </c>
      <c r="H1396" t="s">
        <v>103</v>
      </c>
      <c r="I1396" t="s">
        <v>104</v>
      </c>
      <c r="J1396" t="s">
        <v>105</v>
      </c>
      <c r="K1396" t="s">
        <v>32</v>
      </c>
      <c r="L1396" t="s">
        <v>33</v>
      </c>
      <c r="M1396" t="s">
        <v>87</v>
      </c>
      <c r="N1396" t="s">
        <v>35</v>
      </c>
      <c r="O1396" t="s">
        <v>70</v>
      </c>
      <c r="P1396" t="s">
        <v>58</v>
      </c>
      <c r="Q1396" t="s">
        <v>59</v>
      </c>
      <c r="R1396">
        <v>404</v>
      </c>
      <c r="S1396">
        <v>194</v>
      </c>
      <c r="T1396">
        <v>118</v>
      </c>
      <c r="U1396">
        <v>32</v>
      </c>
      <c r="V1396" t="s">
        <v>1562</v>
      </c>
      <c r="W1396">
        <v>28823</v>
      </c>
      <c r="X1396" t="s">
        <v>1726</v>
      </c>
      <c r="Y1396">
        <v>25632</v>
      </c>
      <c r="Z1396">
        <v>922336</v>
      </c>
      <c r="AA1396">
        <v>102112</v>
      </c>
      <c r="AB1396" t="str">
        <f>(VLOOKUP(SalesData[[#This Row],[Month Number]],Reference!C$5:E$16,2,FALSE))</f>
        <v>Feb</v>
      </c>
      <c r="AC1396">
        <f>MONTH(SalesData[[#This Row],[Date]])</f>
        <v>2</v>
      </c>
      <c r="AD1396">
        <f>Reference!F$4</f>
        <v>2026</v>
      </c>
      <c r="AE1396" t="str">
        <f>IF(OR(SalesData[[#This Row],[Day]]="Saturday",SalesData[[#This Row],[Day]]="Sunday"),"Weekend","Weekday")</f>
        <v>Weekday</v>
      </c>
      <c r="AF1396" s="5">
        <f>IF(SalesData[[#This Row],[Contracts Offered]]=0,0,SalesData[[#This Row],[Contracts Signed]]/SalesData[[#This Row],[Contracts Offered]])</f>
        <v>0.2711864406779661</v>
      </c>
      <c r="AG1396" s="5">
        <f>IF(SalesData[[#This Row],[Customers Visited]]=0,0,SalesData[[#This Row],[Test Drives]]/SalesData[[#This Row],[Customers Visited]])</f>
        <v>0.48019801980198018</v>
      </c>
      <c r="AH1396" s="5">
        <f>IF(SalesData[[#This Row],[Customers Visited]]=0,0,SalesData[[#This Row],[Contracts Signed]]/SalesData[[#This Row],[Customers Visited]])</f>
        <v>7.9207920792079209E-2</v>
      </c>
      <c r="AI1396" s="6">
        <f>IF(SalesData[[#This Row],[Contracts Signed]]=0,0,SalesData[[#This Row],[Profit(€)]]/SalesData[[#This Row],[Contracts Signed]])</f>
        <v>3191</v>
      </c>
      <c r="AJ1396" s="5" t="str">
        <f>TRIM(CLEAN(SalesData[[#This Row],[Retailer]]))</f>
        <v>Rhein Auto Group</v>
      </c>
    </row>
    <row r="1397" spans="1:36" ht="14.25" x14ac:dyDescent="0.2">
      <c r="A1397" t="s">
        <v>2257</v>
      </c>
      <c r="B1397" s="1">
        <v>46071</v>
      </c>
      <c r="C1397" t="s">
        <v>62</v>
      </c>
      <c r="D1397" t="s">
        <v>82</v>
      </c>
      <c r="E1397" t="s">
        <v>26</v>
      </c>
      <c r="F1397" t="s">
        <v>74</v>
      </c>
      <c r="G1397" t="s">
        <v>75</v>
      </c>
      <c r="H1397" t="s">
        <v>76</v>
      </c>
      <c r="I1397" t="s">
        <v>30</v>
      </c>
      <c r="J1397" t="s">
        <v>86</v>
      </c>
      <c r="K1397" t="s">
        <v>32</v>
      </c>
      <c r="L1397" t="s">
        <v>33</v>
      </c>
      <c r="M1397" t="s">
        <v>47</v>
      </c>
      <c r="N1397" t="s">
        <v>69</v>
      </c>
      <c r="O1397" t="s">
        <v>36</v>
      </c>
      <c r="P1397" t="s">
        <v>49</v>
      </c>
      <c r="Q1397" t="s">
        <v>129</v>
      </c>
      <c r="R1397">
        <v>221</v>
      </c>
      <c r="S1397">
        <v>119</v>
      </c>
      <c r="T1397">
        <v>88</v>
      </c>
      <c r="U1397">
        <v>32</v>
      </c>
      <c r="V1397" t="s">
        <v>6632</v>
      </c>
      <c r="W1397">
        <v>52629</v>
      </c>
      <c r="X1397" t="s">
        <v>5094</v>
      </c>
      <c r="Y1397">
        <v>38872</v>
      </c>
      <c r="Z1397">
        <v>1684128</v>
      </c>
      <c r="AA1397">
        <v>440224</v>
      </c>
      <c r="AB1397" t="str">
        <f>(VLOOKUP(SalesData[[#This Row],[Month Number]],Reference!C$5:E$16,2,FALSE))</f>
        <v>Feb</v>
      </c>
      <c r="AC1397">
        <f>MONTH(SalesData[[#This Row],[Date]])</f>
        <v>2</v>
      </c>
      <c r="AD1397">
        <f>Reference!F$4</f>
        <v>2026</v>
      </c>
      <c r="AE1397" t="str">
        <f>IF(OR(SalesData[[#This Row],[Day]]="Saturday",SalesData[[#This Row],[Day]]="Sunday"),"Weekend","Weekday")</f>
        <v>Weekday</v>
      </c>
      <c r="AF1397" s="5">
        <f>IF(SalesData[[#This Row],[Contracts Offered]]=0,0,SalesData[[#This Row],[Contracts Signed]]/SalesData[[#This Row],[Contracts Offered]])</f>
        <v>0.36363636363636365</v>
      </c>
      <c r="AG1397" s="5">
        <f>IF(SalesData[[#This Row],[Customers Visited]]=0,0,SalesData[[#This Row],[Test Drives]]/SalesData[[#This Row],[Customers Visited]])</f>
        <v>0.53846153846153844</v>
      </c>
      <c r="AH1397" s="5">
        <f>IF(SalesData[[#This Row],[Customers Visited]]=0,0,SalesData[[#This Row],[Contracts Signed]]/SalesData[[#This Row],[Customers Visited]])</f>
        <v>0.14479638009049775</v>
      </c>
      <c r="AI1397" s="6">
        <f>IF(SalesData[[#This Row],[Contracts Signed]]=0,0,SalesData[[#This Row],[Profit(€)]]/SalesData[[#This Row],[Contracts Signed]])</f>
        <v>13757</v>
      </c>
      <c r="AJ1397" s="5" t="str">
        <f>TRIM(CLEAN(SalesData[[#This Row],[Retailer]]))</f>
        <v>Stuttgart Auto Center</v>
      </c>
    </row>
    <row r="1398" spans="1:36" ht="14.25" hidden="1" x14ac:dyDescent="0.2">
      <c r="A1398" t="s">
        <v>2258</v>
      </c>
      <c r="B1398" s="1">
        <v>46073</v>
      </c>
      <c r="C1398" t="s">
        <v>62</v>
      </c>
      <c r="D1398" t="s">
        <v>54</v>
      </c>
      <c r="E1398" t="s">
        <v>26</v>
      </c>
      <c r="F1398" t="s">
        <v>83</v>
      </c>
      <c r="G1398" t="s">
        <v>84</v>
      </c>
      <c r="H1398" t="s">
        <v>85</v>
      </c>
      <c r="I1398" t="s">
        <v>104</v>
      </c>
      <c r="J1398" t="s">
        <v>7031</v>
      </c>
      <c r="K1398" t="s">
        <v>66</v>
      </c>
      <c r="L1398" t="s">
        <v>46</v>
      </c>
      <c r="M1398" t="s">
        <v>47</v>
      </c>
      <c r="N1398" t="s">
        <v>35</v>
      </c>
      <c r="O1398" t="s">
        <v>36</v>
      </c>
      <c r="P1398" t="s">
        <v>37</v>
      </c>
      <c r="Q1398" t="s">
        <v>38</v>
      </c>
      <c r="R1398">
        <v>324</v>
      </c>
      <c r="S1398">
        <v>185</v>
      </c>
      <c r="T1398">
        <v>122</v>
      </c>
      <c r="U1398">
        <v>27</v>
      </c>
      <c r="V1398" t="s">
        <v>4370</v>
      </c>
      <c r="W1398">
        <v>34242</v>
      </c>
      <c r="X1398" t="s">
        <v>7405</v>
      </c>
      <c r="Y1398">
        <v>29516</v>
      </c>
      <c r="Z1398">
        <v>924534</v>
      </c>
      <c r="AA1398">
        <v>127602</v>
      </c>
      <c r="AB1398" t="str">
        <f>(VLOOKUP(SalesData[[#This Row],[Month Number]],Reference!C$5:E$16,2,FALSE))</f>
        <v>Feb</v>
      </c>
      <c r="AC1398">
        <f>MONTH(SalesData[[#This Row],[Date]])</f>
        <v>2</v>
      </c>
      <c r="AD1398">
        <f>Reference!F$4</f>
        <v>2026</v>
      </c>
      <c r="AE1398" t="str">
        <f>IF(OR(SalesData[[#This Row],[Day]]="Saturday",SalesData[[#This Row],[Day]]="Sunday"),"Weekend","Weekday")</f>
        <v>Weekday</v>
      </c>
      <c r="AF1398" s="5">
        <f>IF(SalesData[[#This Row],[Contracts Offered]]=0,0,SalesData[[#This Row],[Contracts Signed]]/SalesData[[#This Row],[Contracts Offered]])</f>
        <v>0.22131147540983606</v>
      </c>
      <c r="AG1398" s="5">
        <f>IF(SalesData[[#This Row],[Customers Visited]]=0,0,SalesData[[#This Row],[Test Drives]]/SalesData[[#This Row],[Customers Visited]])</f>
        <v>0.57098765432098764</v>
      </c>
      <c r="AH1398" s="5">
        <f>IF(SalesData[[#This Row],[Customers Visited]]=0,0,SalesData[[#This Row],[Contracts Signed]]/SalesData[[#This Row],[Customers Visited]])</f>
        <v>8.3333333333333329E-2</v>
      </c>
      <c r="AI1398" s="6">
        <f>IF(SalesData[[#This Row],[Contracts Signed]]=0,0,SalesData[[#This Row],[Profit(€)]]/SalesData[[#This Row],[Contracts Signed]])</f>
        <v>4726</v>
      </c>
      <c r="AJ1398" s="5" t="str">
        <f>TRIM(CLEAN(SalesData[[#This Row],[Retailer]]))</f>
        <v>Hannover Cars</v>
      </c>
    </row>
    <row r="1399" spans="1:36" ht="14.25" hidden="1" x14ac:dyDescent="0.2">
      <c r="A1399" t="s">
        <v>2260</v>
      </c>
      <c r="B1399" s="1">
        <v>46060</v>
      </c>
      <c r="C1399" t="s">
        <v>24</v>
      </c>
      <c r="D1399" t="s">
        <v>151</v>
      </c>
      <c r="E1399" t="s">
        <v>42</v>
      </c>
      <c r="F1399" t="s">
        <v>127</v>
      </c>
      <c r="G1399" t="s">
        <v>128</v>
      </c>
      <c r="H1399" t="s">
        <v>103</v>
      </c>
      <c r="I1399" t="s">
        <v>116</v>
      </c>
      <c r="J1399" t="s">
        <v>7026</v>
      </c>
      <c r="K1399" t="s">
        <v>32</v>
      </c>
      <c r="L1399" t="s">
        <v>46</v>
      </c>
      <c r="M1399" t="s">
        <v>34</v>
      </c>
      <c r="N1399" t="s">
        <v>35</v>
      </c>
      <c r="O1399" t="s">
        <v>36</v>
      </c>
      <c r="P1399" t="s">
        <v>37</v>
      </c>
      <c r="Q1399" t="s">
        <v>79</v>
      </c>
      <c r="R1399">
        <v>394</v>
      </c>
      <c r="S1399">
        <v>216</v>
      </c>
      <c r="T1399">
        <v>131</v>
      </c>
      <c r="U1399">
        <v>33</v>
      </c>
      <c r="V1399" t="s">
        <v>3899</v>
      </c>
      <c r="W1399">
        <v>22678</v>
      </c>
      <c r="X1399" t="s">
        <v>3831</v>
      </c>
      <c r="Y1399">
        <v>20574</v>
      </c>
      <c r="Z1399">
        <v>748374</v>
      </c>
      <c r="AA1399">
        <v>69432</v>
      </c>
      <c r="AB1399" t="str">
        <f>(VLOOKUP(SalesData[[#This Row],[Month Number]],Reference!C$5:E$16,2,FALSE))</f>
        <v>Feb</v>
      </c>
      <c r="AC1399">
        <f>MONTH(SalesData[[#This Row],[Date]])</f>
        <v>2</v>
      </c>
      <c r="AD1399">
        <f>Reference!F$4</f>
        <v>2026</v>
      </c>
      <c r="AE1399" t="str">
        <f>IF(OR(SalesData[[#This Row],[Day]]="Saturday",SalesData[[#This Row],[Day]]="Sunday"),"Weekend","Weekday")</f>
        <v>Weekend</v>
      </c>
      <c r="AF1399" s="5">
        <f>IF(SalesData[[#This Row],[Contracts Offered]]=0,0,SalesData[[#This Row],[Contracts Signed]]/SalesData[[#This Row],[Contracts Offered]])</f>
        <v>0.25190839694656486</v>
      </c>
      <c r="AG1399" s="5">
        <f>IF(SalesData[[#This Row],[Customers Visited]]=0,0,SalesData[[#This Row],[Test Drives]]/SalesData[[#This Row],[Customers Visited]])</f>
        <v>0.54822335025380708</v>
      </c>
      <c r="AH1399" s="5">
        <f>IF(SalesData[[#This Row],[Customers Visited]]=0,0,SalesData[[#This Row],[Contracts Signed]]/SalesData[[#This Row],[Customers Visited]])</f>
        <v>8.3756345177664976E-2</v>
      </c>
      <c r="AI1399" s="6">
        <f>IF(SalesData[[#This Row],[Contracts Signed]]=0,0,SalesData[[#This Row],[Profit(€)]]/SalesData[[#This Row],[Contracts Signed]])</f>
        <v>2104</v>
      </c>
      <c r="AJ1399" s="5" t="str">
        <f>TRIM(CLEAN(SalesData[[#This Row],[Retailer]]))</f>
        <v>Rhein Auto Group</v>
      </c>
    </row>
    <row r="1400" spans="1:36" ht="14.25" hidden="1" x14ac:dyDescent="0.2">
      <c r="A1400" t="s">
        <v>2262</v>
      </c>
      <c r="B1400" s="1">
        <v>46080</v>
      </c>
      <c r="C1400" t="s">
        <v>53</v>
      </c>
      <c r="D1400" t="s">
        <v>54</v>
      </c>
      <c r="E1400" t="s">
        <v>26</v>
      </c>
      <c r="F1400" t="s">
        <v>94</v>
      </c>
      <c r="G1400" t="s">
        <v>95</v>
      </c>
      <c r="H1400" t="s">
        <v>96</v>
      </c>
      <c r="I1400" t="s">
        <v>116</v>
      </c>
      <c r="J1400" t="s">
        <v>132</v>
      </c>
      <c r="K1400" t="s">
        <v>78</v>
      </c>
      <c r="L1400" t="s">
        <v>46</v>
      </c>
      <c r="M1400" t="s">
        <v>47</v>
      </c>
      <c r="N1400" t="s">
        <v>35</v>
      </c>
      <c r="O1400" t="s">
        <v>36</v>
      </c>
      <c r="P1400" t="s">
        <v>71</v>
      </c>
      <c r="Q1400" t="s">
        <v>59</v>
      </c>
      <c r="R1400">
        <v>420</v>
      </c>
      <c r="S1400">
        <v>221</v>
      </c>
      <c r="T1400">
        <v>125</v>
      </c>
      <c r="U1400">
        <v>39</v>
      </c>
      <c r="V1400" t="s">
        <v>859</v>
      </c>
      <c r="W1400">
        <v>19464</v>
      </c>
      <c r="X1400" t="s">
        <v>458</v>
      </c>
      <c r="Y1400">
        <v>17920</v>
      </c>
      <c r="Z1400">
        <v>759096</v>
      </c>
      <c r="AA1400">
        <v>60216</v>
      </c>
      <c r="AB1400" t="str">
        <f>(VLOOKUP(SalesData[[#This Row],[Month Number]],Reference!C$5:E$16,2,FALSE))</f>
        <v>Feb</v>
      </c>
      <c r="AC1400">
        <f>MONTH(SalesData[[#This Row],[Date]])</f>
        <v>2</v>
      </c>
      <c r="AD1400">
        <f>Reference!F$4</f>
        <v>2026</v>
      </c>
      <c r="AE1400" t="str">
        <f>IF(OR(SalesData[[#This Row],[Day]]="Saturday",SalesData[[#This Row],[Day]]="Sunday"),"Weekend","Weekday")</f>
        <v>Weekday</v>
      </c>
      <c r="AF1400" s="5">
        <f>IF(SalesData[[#This Row],[Contracts Offered]]=0,0,SalesData[[#This Row],[Contracts Signed]]/SalesData[[#This Row],[Contracts Offered]])</f>
        <v>0.312</v>
      </c>
      <c r="AG1400" s="5">
        <f>IF(SalesData[[#This Row],[Customers Visited]]=0,0,SalesData[[#This Row],[Test Drives]]/SalesData[[#This Row],[Customers Visited]])</f>
        <v>0.52619047619047621</v>
      </c>
      <c r="AH1400" s="5">
        <f>IF(SalesData[[#This Row],[Customers Visited]]=0,0,SalesData[[#This Row],[Contracts Signed]]/SalesData[[#This Row],[Customers Visited]])</f>
        <v>9.285714285714286E-2</v>
      </c>
      <c r="AI1400" s="6">
        <f>IF(SalesData[[#This Row],[Contracts Signed]]=0,0,SalesData[[#This Row],[Profit(€)]]/SalesData[[#This Row],[Contracts Signed]])</f>
        <v>1544</v>
      </c>
      <c r="AJ1400" s="5" t="str">
        <f>TRIM(CLEAN(SalesData[[#This Row],[Retailer]]))</f>
        <v>Bavaria Motors</v>
      </c>
    </row>
    <row r="1401" spans="1:36" ht="14.25" hidden="1" x14ac:dyDescent="0.2">
      <c r="A1401" t="s">
        <v>2264</v>
      </c>
      <c r="B1401" s="1">
        <v>46055</v>
      </c>
      <c r="C1401" t="s">
        <v>24</v>
      </c>
      <c r="D1401" t="s">
        <v>25</v>
      </c>
      <c r="E1401" t="s">
        <v>26</v>
      </c>
      <c r="F1401" t="s">
        <v>127</v>
      </c>
      <c r="G1401" t="s">
        <v>128</v>
      </c>
      <c r="H1401" t="s">
        <v>103</v>
      </c>
      <c r="I1401" t="s">
        <v>64</v>
      </c>
      <c r="J1401" t="s">
        <v>65</v>
      </c>
      <c r="K1401" t="s">
        <v>78</v>
      </c>
      <c r="L1401" t="s">
        <v>33</v>
      </c>
      <c r="M1401" t="s">
        <v>34</v>
      </c>
      <c r="N1401" t="s">
        <v>69</v>
      </c>
      <c r="O1401" t="s">
        <v>36</v>
      </c>
      <c r="P1401" t="s">
        <v>71</v>
      </c>
      <c r="Q1401" t="s">
        <v>152</v>
      </c>
      <c r="R1401">
        <v>234</v>
      </c>
      <c r="S1401">
        <v>110</v>
      </c>
      <c r="T1401">
        <v>81</v>
      </c>
      <c r="U1401">
        <v>30</v>
      </c>
      <c r="V1401" t="s">
        <v>6483</v>
      </c>
      <c r="W1401">
        <v>52625</v>
      </c>
      <c r="X1401" t="s">
        <v>7385</v>
      </c>
      <c r="Y1401">
        <v>38655</v>
      </c>
      <c r="Z1401">
        <v>1578750</v>
      </c>
      <c r="AA1401">
        <v>419100</v>
      </c>
      <c r="AB1401" t="str">
        <f>(VLOOKUP(SalesData[[#This Row],[Month Number]],Reference!C$5:E$16,2,FALSE))</f>
        <v>Feb</v>
      </c>
      <c r="AC1401">
        <f>MONTH(SalesData[[#This Row],[Date]])</f>
        <v>2</v>
      </c>
      <c r="AD1401">
        <f>Reference!F$4</f>
        <v>2026</v>
      </c>
      <c r="AE1401" t="str">
        <f>IF(OR(SalesData[[#This Row],[Day]]="Saturday",SalesData[[#This Row],[Day]]="Sunday"),"Weekend","Weekday")</f>
        <v>Weekday</v>
      </c>
      <c r="AF1401" s="5">
        <f>IF(SalesData[[#This Row],[Contracts Offered]]=0,0,SalesData[[#This Row],[Contracts Signed]]/SalesData[[#This Row],[Contracts Offered]])</f>
        <v>0.37037037037037035</v>
      </c>
      <c r="AG1401" s="5">
        <f>IF(SalesData[[#This Row],[Customers Visited]]=0,0,SalesData[[#This Row],[Test Drives]]/SalesData[[#This Row],[Customers Visited]])</f>
        <v>0.47008547008547008</v>
      </c>
      <c r="AH1401" s="5">
        <f>IF(SalesData[[#This Row],[Customers Visited]]=0,0,SalesData[[#This Row],[Contracts Signed]]/SalesData[[#This Row],[Customers Visited]])</f>
        <v>0.12820512820512819</v>
      </c>
      <c r="AI1401" s="6">
        <f>IF(SalesData[[#This Row],[Contracts Signed]]=0,0,SalesData[[#This Row],[Profit(€)]]/SalesData[[#This Row],[Contracts Signed]])</f>
        <v>13970</v>
      </c>
      <c r="AJ1401" s="5" t="str">
        <f>TRIM(CLEAN(SalesData[[#This Row],[Retailer]]))</f>
        <v>Rhein Auto Group</v>
      </c>
    </row>
    <row r="1402" spans="1:36" ht="14.25" hidden="1" x14ac:dyDescent="0.2">
      <c r="A1402" t="s">
        <v>2265</v>
      </c>
      <c r="B1402" s="1">
        <v>46057</v>
      </c>
      <c r="C1402" t="s">
        <v>24</v>
      </c>
      <c r="D1402" t="s">
        <v>82</v>
      </c>
      <c r="E1402" t="s">
        <v>26</v>
      </c>
      <c r="F1402" t="s">
        <v>127</v>
      </c>
      <c r="G1402" t="s">
        <v>128</v>
      </c>
      <c r="H1402" t="s">
        <v>103</v>
      </c>
      <c r="I1402" t="s">
        <v>56</v>
      </c>
      <c r="J1402" t="s">
        <v>97</v>
      </c>
      <c r="K1402" t="s">
        <v>32</v>
      </c>
      <c r="L1402" t="s">
        <v>33</v>
      </c>
      <c r="M1402" t="s">
        <v>68</v>
      </c>
      <c r="N1402" t="s">
        <v>35</v>
      </c>
      <c r="O1402" t="s">
        <v>36</v>
      </c>
      <c r="P1402" t="s">
        <v>49</v>
      </c>
      <c r="Q1402" t="s">
        <v>240</v>
      </c>
      <c r="R1402">
        <v>182</v>
      </c>
      <c r="S1402">
        <v>89</v>
      </c>
      <c r="T1402">
        <v>58</v>
      </c>
      <c r="U1402">
        <v>18</v>
      </c>
      <c r="V1402" t="s">
        <v>6996</v>
      </c>
      <c r="W1402">
        <v>53785</v>
      </c>
      <c r="X1402" t="s">
        <v>7325</v>
      </c>
      <c r="Y1402">
        <v>40940</v>
      </c>
      <c r="Z1402">
        <v>968130</v>
      </c>
      <c r="AA1402">
        <v>231210</v>
      </c>
      <c r="AB1402" t="str">
        <f>(VLOOKUP(SalesData[[#This Row],[Month Number]],Reference!C$5:E$16,2,FALSE))</f>
        <v>Feb</v>
      </c>
      <c r="AC1402">
        <f>MONTH(SalesData[[#This Row],[Date]])</f>
        <v>2</v>
      </c>
      <c r="AD1402">
        <f>Reference!F$4</f>
        <v>2026</v>
      </c>
      <c r="AE1402" t="str">
        <f>IF(OR(SalesData[[#This Row],[Day]]="Saturday",SalesData[[#This Row],[Day]]="Sunday"),"Weekend","Weekday")</f>
        <v>Weekday</v>
      </c>
      <c r="AF1402" s="5">
        <f>IF(SalesData[[#This Row],[Contracts Offered]]=0,0,SalesData[[#This Row],[Contracts Signed]]/SalesData[[#This Row],[Contracts Offered]])</f>
        <v>0.31034482758620691</v>
      </c>
      <c r="AG1402" s="5">
        <f>IF(SalesData[[#This Row],[Customers Visited]]=0,0,SalesData[[#This Row],[Test Drives]]/SalesData[[#This Row],[Customers Visited]])</f>
        <v>0.48901098901098899</v>
      </c>
      <c r="AH1402" s="5">
        <f>IF(SalesData[[#This Row],[Customers Visited]]=0,0,SalesData[[#This Row],[Contracts Signed]]/SalesData[[#This Row],[Customers Visited]])</f>
        <v>9.8901098901098897E-2</v>
      </c>
      <c r="AI1402" s="6">
        <f>IF(SalesData[[#This Row],[Contracts Signed]]=0,0,SalesData[[#This Row],[Profit(€)]]/SalesData[[#This Row],[Contracts Signed]])</f>
        <v>12845</v>
      </c>
      <c r="AJ1402" s="5" t="str">
        <f>TRIM(CLEAN(SalesData[[#This Row],[Retailer]]))</f>
        <v>Rhein Auto Group</v>
      </c>
    </row>
    <row r="1403" spans="1:36" ht="14.25" hidden="1" x14ac:dyDescent="0.2">
      <c r="A1403" t="s">
        <v>2266</v>
      </c>
      <c r="B1403" s="1">
        <v>46058</v>
      </c>
      <c r="C1403" t="s">
        <v>24</v>
      </c>
      <c r="D1403" t="s">
        <v>100</v>
      </c>
      <c r="E1403" t="s">
        <v>26</v>
      </c>
      <c r="F1403" t="s">
        <v>83</v>
      </c>
      <c r="G1403" t="s">
        <v>84</v>
      </c>
      <c r="H1403" t="s">
        <v>85</v>
      </c>
      <c r="I1403" t="s">
        <v>104</v>
      </c>
      <c r="J1403" t="s">
        <v>143</v>
      </c>
      <c r="K1403" t="s">
        <v>91</v>
      </c>
      <c r="L1403" t="s">
        <v>67</v>
      </c>
      <c r="M1403" t="s">
        <v>34</v>
      </c>
      <c r="N1403" t="s">
        <v>48</v>
      </c>
      <c r="O1403" t="s">
        <v>70</v>
      </c>
      <c r="P1403" t="s">
        <v>49</v>
      </c>
      <c r="Q1403" t="s">
        <v>50</v>
      </c>
      <c r="R1403">
        <v>403</v>
      </c>
      <c r="S1403">
        <v>164</v>
      </c>
      <c r="T1403">
        <v>111</v>
      </c>
      <c r="U1403">
        <v>26</v>
      </c>
      <c r="V1403" t="s">
        <v>3128</v>
      </c>
      <c r="W1403">
        <v>33291</v>
      </c>
      <c r="X1403" t="s">
        <v>7428</v>
      </c>
      <c r="Y1403">
        <v>30077</v>
      </c>
      <c r="Z1403">
        <v>865566</v>
      </c>
      <c r="AA1403">
        <v>83564</v>
      </c>
      <c r="AB1403" t="str">
        <f>(VLOOKUP(SalesData[[#This Row],[Month Number]],Reference!C$5:E$16,2,FALSE))</f>
        <v>Feb</v>
      </c>
      <c r="AC1403">
        <f>MONTH(SalesData[[#This Row],[Date]])</f>
        <v>2</v>
      </c>
      <c r="AD1403">
        <f>Reference!F$4</f>
        <v>2026</v>
      </c>
      <c r="AE1403" t="str">
        <f>IF(OR(SalesData[[#This Row],[Day]]="Saturday",SalesData[[#This Row],[Day]]="Sunday"),"Weekend","Weekday")</f>
        <v>Weekday</v>
      </c>
      <c r="AF1403" s="5">
        <f>IF(SalesData[[#This Row],[Contracts Offered]]=0,0,SalesData[[#This Row],[Contracts Signed]]/SalesData[[#This Row],[Contracts Offered]])</f>
        <v>0.23423423423423423</v>
      </c>
      <c r="AG1403" s="5">
        <f>IF(SalesData[[#This Row],[Customers Visited]]=0,0,SalesData[[#This Row],[Test Drives]]/SalesData[[#This Row],[Customers Visited]])</f>
        <v>0.40694789081885857</v>
      </c>
      <c r="AH1403" s="5">
        <f>IF(SalesData[[#This Row],[Customers Visited]]=0,0,SalesData[[#This Row],[Contracts Signed]]/SalesData[[#This Row],[Customers Visited]])</f>
        <v>6.4516129032258063E-2</v>
      </c>
      <c r="AI1403" s="6">
        <f>IF(SalesData[[#This Row],[Contracts Signed]]=0,0,SalesData[[#This Row],[Profit(€)]]/SalesData[[#This Row],[Contracts Signed]])</f>
        <v>3214</v>
      </c>
      <c r="AJ1403" s="5" t="str">
        <f>TRIM(CLEAN(SalesData[[#This Row],[Retailer]]))</f>
        <v>Hannover Cars</v>
      </c>
    </row>
    <row r="1404" spans="1:36" ht="14.25" x14ac:dyDescent="0.2">
      <c r="A1404" t="s">
        <v>2268</v>
      </c>
      <c r="B1404" s="1">
        <v>46071</v>
      </c>
      <c r="C1404" t="s">
        <v>62</v>
      </c>
      <c r="D1404" t="s">
        <v>82</v>
      </c>
      <c r="E1404" t="s">
        <v>26</v>
      </c>
      <c r="F1404" t="s">
        <v>109</v>
      </c>
      <c r="G1404" t="s">
        <v>110</v>
      </c>
      <c r="H1404" t="s">
        <v>45</v>
      </c>
      <c r="I1404" t="s">
        <v>30</v>
      </c>
      <c r="J1404" t="s">
        <v>7075</v>
      </c>
      <c r="K1404" t="s">
        <v>78</v>
      </c>
      <c r="L1404" t="s">
        <v>33</v>
      </c>
      <c r="M1404" t="s">
        <v>68</v>
      </c>
      <c r="N1404" t="s">
        <v>48</v>
      </c>
      <c r="O1404" t="s">
        <v>36</v>
      </c>
      <c r="P1404" t="s">
        <v>58</v>
      </c>
      <c r="Q1404" t="s">
        <v>50</v>
      </c>
      <c r="R1404">
        <v>191</v>
      </c>
      <c r="S1404">
        <v>117</v>
      </c>
      <c r="T1404">
        <v>86</v>
      </c>
      <c r="U1404">
        <v>36</v>
      </c>
      <c r="V1404" t="s">
        <v>7429</v>
      </c>
      <c r="W1404">
        <v>65058</v>
      </c>
      <c r="X1404" t="s">
        <v>7194</v>
      </c>
      <c r="Y1404">
        <v>47097</v>
      </c>
      <c r="Z1404">
        <v>2342088</v>
      </c>
      <c r="AA1404">
        <v>646596</v>
      </c>
      <c r="AB1404" t="str">
        <f>(VLOOKUP(SalesData[[#This Row],[Month Number]],Reference!C$5:E$16,2,FALSE))</f>
        <v>Feb</v>
      </c>
      <c r="AC1404">
        <f>MONTH(SalesData[[#This Row],[Date]])</f>
        <v>2</v>
      </c>
      <c r="AD1404">
        <f>Reference!F$4</f>
        <v>2026</v>
      </c>
      <c r="AE1404" t="str">
        <f>IF(OR(SalesData[[#This Row],[Day]]="Saturday",SalesData[[#This Row],[Day]]="Sunday"),"Weekend","Weekday")</f>
        <v>Weekday</v>
      </c>
      <c r="AF1404" s="5">
        <f>IF(SalesData[[#This Row],[Contracts Offered]]=0,0,SalesData[[#This Row],[Contracts Signed]]/SalesData[[#This Row],[Contracts Offered]])</f>
        <v>0.41860465116279072</v>
      </c>
      <c r="AG1404" s="5">
        <f>IF(SalesData[[#This Row],[Customers Visited]]=0,0,SalesData[[#This Row],[Test Drives]]/SalesData[[#This Row],[Customers Visited]])</f>
        <v>0.61256544502617805</v>
      </c>
      <c r="AH1404" s="5">
        <f>IF(SalesData[[#This Row],[Customers Visited]]=0,0,SalesData[[#This Row],[Contracts Signed]]/SalesData[[#This Row],[Customers Visited]])</f>
        <v>0.18848167539267016</v>
      </c>
      <c r="AI1404" s="6">
        <f>IF(SalesData[[#This Row],[Contracts Signed]]=0,0,SalesData[[#This Row],[Profit(€)]]/SalesData[[#This Row],[Contracts Signed]])</f>
        <v>17961</v>
      </c>
      <c r="AJ1404" s="5" t="str">
        <f>TRIM(CLEAN(SalesData[[#This Row],[Retailer]]))</f>
        <v>Leipzig Mobility</v>
      </c>
    </row>
    <row r="1405" spans="1:36" ht="14.25" hidden="1" x14ac:dyDescent="0.2">
      <c r="A1405" t="s">
        <v>2269</v>
      </c>
      <c r="B1405" s="1">
        <v>46061</v>
      </c>
      <c r="C1405" t="s">
        <v>121</v>
      </c>
      <c r="D1405" t="s">
        <v>41</v>
      </c>
      <c r="E1405" t="s">
        <v>42</v>
      </c>
      <c r="F1405" t="s">
        <v>83</v>
      </c>
      <c r="G1405" t="s">
        <v>84</v>
      </c>
      <c r="H1405" t="s">
        <v>85</v>
      </c>
      <c r="I1405" t="s">
        <v>116</v>
      </c>
      <c r="J1405" t="s">
        <v>203</v>
      </c>
      <c r="K1405" t="s">
        <v>78</v>
      </c>
      <c r="L1405" t="s">
        <v>67</v>
      </c>
      <c r="M1405" t="s">
        <v>87</v>
      </c>
      <c r="N1405" t="s">
        <v>69</v>
      </c>
      <c r="O1405" t="s">
        <v>70</v>
      </c>
      <c r="P1405" t="s">
        <v>49</v>
      </c>
      <c r="Q1405" t="s">
        <v>144</v>
      </c>
      <c r="R1405">
        <v>323</v>
      </c>
      <c r="S1405">
        <v>135</v>
      </c>
      <c r="T1405">
        <v>86</v>
      </c>
      <c r="U1405">
        <v>16</v>
      </c>
      <c r="V1405" t="s">
        <v>3021</v>
      </c>
      <c r="W1405">
        <v>22660</v>
      </c>
      <c r="X1405" t="s">
        <v>209</v>
      </c>
      <c r="Y1405">
        <v>21001</v>
      </c>
      <c r="Z1405">
        <v>362560</v>
      </c>
      <c r="AA1405">
        <v>26544</v>
      </c>
      <c r="AB1405" t="str">
        <f>(VLOOKUP(SalesData[[#This Row],[Month Number]],Reference!C$5:E$16,2,FALSE))</f>
        <v>Feb</v>
      </c>
      <c r="AC1405">
        <f>MONTH(SalesData[[#This Row],[Date]])</f>
        <v>2</v>
      </c>
      <c r="AD1405">
        <f>Reference!F$4</f>
        <v>2026</v>
      </c>
      <c r="AE1405" t="str">
        <f>IF(OR(SalesData[[#This Row],[Day]]="Saturday",SalesData[[#This Row],[Day]]="Sunday"),"Weekend","Weekday")</f>
        <v>Weekend</v>
      </c>
      <c r="AF1405" s="5">
        <f>IF(SalesData[[#This Row],[Contracts Offered]]=0,0,SalesData[[#This Row],[Contracts Signed]]/SalesData[[#This Row],[Contracts Offered]])</f>
        <v>0.18604651162790697</v>
      </c>
      <c r="AG1405" s="5">
        <f>IF(SalesData[[#This Row],[Customers Visited]]=0,0,SalesData[[#This Row],[Test Drives]]/SalesData[[#This Row],[Customers Visited]])</f>
        <v>0.41795665634674922</v>
      </c>
      <c r="AH1405" s="5">
        <f>IF(SalesData[[#This Row],[Customers Visited]]=0,0,SalesData[[#This Row],[Contracts Signed]]/SalesData[[#This Row],[Customers Visited]])</f>
        <v>4.9535603715170282E-2</v>
      </c>
      <c r="AI1405" s="6">
        <f>IF(SalesData[[#This Row],[Contracts Signed]]=0,0,SalesData[[#This Row],[Profit(€)]]/SalesData[[#This Row],[Contracts Signed]])</f>
        <v>1659</v>
      </c>
      <c r="AJ1405" s="5" t="str">
        <f>TRIM(CLEAN(SalesData[[#This Row],[Retailer]]))</f>
        <v>Hannover Cars</v>
      </c>
    </row>
    <row r="1406" spans="1:36" ht="14.25" hidden="1" x14ac:dyDescent="0.2">
      <c r="A1406" t="s">
        <v>2271</v>
      </c>
      <c r="B1406" s="1">
        <v>46080</v>
      </c>
      <c r="C1406" t="s">
        <v>53</v>
      </c>
      <c r="D1406" t="s">
        <v>54</v>
      </c>
      <c r="E1406" t="s">
        <v>26</v>
      </c>
      <c r="F1406" t="s">
        <v>43</v>
      </c>
      <c r="G1406" t="s">
        <v>44</v>
      </c>
      <c r="H1406" t="s">
        <v>45</v>
      </c>
      <c r="I1406" t="s">
        <v>116</v>
      </c>
      <c r="J1406" t="s">
        <v>132</v>
      </c>
      <c r="K1406" t="s">
        <v>66</v>
      </c>
      <c r="L1406" t="s">
        <v>46</v>
      </c>
      <c r="M1406" t="s">
        <v>34</v>
      </c>
      <c r="N1406" t="s">
        <v>35</v>
      </c>
      <c r="O1406" t="s">
        <v>36</v>
      </c>
      <c r="P1406" t="s">
        <v>49</v>
      </c>
      <c r="Q1406" t="s">
        <v>158</v>
      </c>
      <c r="R1406">
        <v>295</v>
      </c>
      <c r="S1406">
        <v>121</v>
      </c>
      <c r="T1406">
        <v>80</v>
      </c>
      <c r="U1406">
        <v>19</v>
      </c>
      <c r="V1406" t="s">
        <v>2453</v>
      </c>
      <c r="W1406">
        <v>25238</v>
      </c>
      <c r="X1406" t="s">
        <v>1068</v>
      </c>
      <c r="Y1406">
        <v>23318</v>
      </c>
      <c r="Z1406">
        <v>479522</v>
      </c>
      <c r="AA1406">
        <v>36480</v>
      </c>
      <c r="AB1406" t="str">
        <f>(VLOOKUP(SalesData[[#This Row],[Month Number]],Reference!C$5:E$16,2,FALSE))</f>
        <v>Feb</v>
      </c>
      <c r="AC1406">
        <f>MONTH(SalesData[[#This Row],[Date]])</f>
        <v>2</v>
      </c>
      <c r="AD1406">
        <f>Reference!F$4</f>
        <v>2026</v>
      </c>
      <c r="AE1406" t="str">
        <f>IF(OR(SalesData[[#This Row],[Day]]="Saturday",SalesData[[#This Row],[Day]]="Sunday"),"Weekend","Weekday")</f>
        <v>Weekday</v>
      </c>
      <c r="AF1406" s="5">
        <f>IF(SalesData[[#This Row],[Contracts Offered]]=0,0,SalesData[[#This Row],[Contracts Signed]]/SalesData[[#This Row],[Contracts Offered]])</f>
        <v>0.23749999999999999</v>
      </c>
      <c r="AG1406" s="5">
        <f>IF(SalesData[[#This Row],[Customers Visited]]=0,0,SalesData[[#This Row],[Test Drives]]/SalesData[[#This Row],[Customers Visited]])</f>
        <v>0.4101694915254237</v>
      </c>
      <c r="AH1406" s="5">
        <f>IF(SalesData[[#This Row],[Customers Visited]]=0,0,SalesData[[#This Row],[Contracts Signed]]/SalesData[[#This Row],[Customers Visited]])</f>
        <v>6.4406779661016947E-2</v>
      </c>
      <c r="AI1406" s="6">
        <f>IF(SalesData[[#This Row],[Contracts Signed]]=0,0,SalesData[[#This Row],[Profit(€)]]/SalesData[[#This Row],[Contracts Signed]])</f>
        <v>1920</v>
      </c>
      <c r="AJ1406" s="5" t="str">
        <f>TRIM(CLEAN(SalesData[[#This Row],[Retailer]]))</f>
        <v>Saxon Wheels</v>
      </c>
    </row>
    <row r="1407" spans="1:36" ht="14.25" hidden="1" x14ac:dyDescent="0.2">
      <c r="A1407" t="s">
        <v>2273</v>
      </c>
      <c r="B1407" s="1">
        <v>46068</v>
      </c>
      <c r="C1407" t="s">
        <v>62</v>
      </c>
      <c r="D1407" t="s">
        <v>41</v>
      </c>
      <c r="E1407" t="s">
        <v>42</v>
      </c>
      <c r="F1407" t="s">
        <v>83</v>
      </c>
      <c r="G1407" t="s">
        <v>84</v>
      </c>
      <c r="H1407" t="s">
        <v>85</v>
      </c>
      <c r="I1407" t="s">
        <v>104</v>
      </c>
      <c r="J1407" t="s">
        <v>140</v>
      </c>
      <c r="K1407" t="s">
        <v>66</v>
      </c>
      <c r="L1407" t="s">
        <v>46</v>
      </c>
      <c r="M1407" t="s">
        <v>34</v>
      </c>
      <c r="N1407" t="s">
        <v>35</v>
      </c>
      <c r="O1407" t="s">
        <v>70</v>
      </c>
      <c r="P1407" t="s">
        <v>71</v>
      </c>
      <c r="Q1407" t="s">
        <v>122</v>
      </c>
      <c r="R1407">
        <v>507</v>
      </c>
      <c r="S1407">
        <v>259</v>
      </c>
      <c r="T1407">
        <v>177</v>
      </c>
      <c r="U1407">
        <v>35</v>
      </c>
      <c r="V1407" t="s">
        <v>437</v>
      </c>
      <c r="W1407">
        <v>33999</v>
      </c>
      <c r="X1407" t="s">
        <v>1921</v>
      </c>
      <c r="Y1407">
        <v>29266</v>
      </c>
      <c r="Z1407">
        <v>1189965</v>
      </c>
      <c r="AA1407">
        <v>165655</v>
      </c>
      <c r="AB1407" t="str">
        <f>(VLOOKUP(SalesData[[#This Row],[Month Number]],Reference!C$5:E$16,2,FALSE))</f>
        <v>Feb</v>
      </c>
      <c r="AC1407">
        <f>MONTH(SalesData[[#This Row],[Date]])</f>
        <v>2</v>
      </c>
      <c r="AD1407">
        <f>Reference!F$4</f>
        <v>2026</v>
      </c>
      <c r="AE1407" t="str">
        <f>IF(OR(SalesData[[#This Row],[Day]]="Saturday",SalesData[[#This Row],[Day]]="Sunday"),"Weekend","Weekday")</f>
        <v>Weekend</v>
      </c>
      <c r="AF1407" s="5">
        <f>IF(SalesData[[#This Row],[Contracts Offered]]=0,0,SalesData[[#This Row],[Contracts Signed]]/SalesData[[#This Row],[Contracts Offered]])</f>
        <v>0.19774011299435029</v>
      </c>
      <c r="AG1407" s="5">
        <f>IF(SalesData[[#This Row],[Customers Visited]]=0,0,SalesData[[#This Row],[Test Drives]]/SalesData[[#This Row],[Customers Visited]])</f>
        <v>0.51084812623274167</v>
      </c>
      <c r="AH1407" s="5">
        <f>IF(SalesData[[#This Row],[Customers Visited]]=0,0,SalesData[[#This Row],[Contracts Signed]]/SalesData[[#This Row],[Customers Visited]])</f>
        <v>6.9033530571992116E-2</v>
      </c>
      <c r="AI1407" s="6">
        <f>IF(SalesData[[#This Row],[Contracts Signed]]=0,0,SalesData[[#This Row],[Profit(€)]]/SalesData[[#This Row],[Contracts Signed]])</f>
        <v>4733</v>
      </c>
      <c r="AJ1407" s="5" t="str">
        <f>TRIM(CLEAN(SalesData[[#This Row],[Retailer]]))</f>
        <v>Hannover Cars</v>
      </c>
    </row>
    <row r="1408" spans="1:36" ht="14.25" x14ac:dyDescent="0.2">
      <c r="A1408" t="s">
        <v>2274</v>
      </c>
      <c r="B1408" s="1">
        <v>46079</v>
      </c>
      <c r="C1408" t="s">
        <v>53</v>
      </c>
      <c r="D1408" t="s">
        <v>100</v>
      </c>
      <c r="E1408" t="s">
        <v>26</v>
      </c>
      <c r="F1408" t="s">
        <v>27</v>
      </c>
      <c r="G1408" t="s">
        <v>28</v>
      </c>
      <c r="H1408" t="s">
        <v>29</v>
      </c>
      <c r="I1408" t="s">
        <v>30</v>
      </c>
      <c r="J1408" t="s">
        <v>31</v>
      </c>
      <c r="K1408" t="s">
        <v>78</v>
      </c>
      <c r="L1408" t="s">
        <v>46</v>
      </c>
      <c r="M1408" t="s">
        <v>68</v>
      </c>
      <c r="N1408" t="s">
        <v>48</v>
      </c>
      <c r="O1408" t="s">
        <v>36</v>
      </c>
      <c r="P1408" t="s">
        <v>58</v>
      </c>
      <c r="Q1408" t="s">
        <v>144</v>
      </c>
      <c r="R1408">
        <v>195</v>
      </c>
      <c r="S1408">
        <v>117</v>
      </c>
      <c r="T1408">
        <v>90</v>
      </c>
      <c r="U1408">
        <v>34</v>
      </c>
      <c r="V1408" t="s">
        <v>6580</v>
      </c>
      <c r="W1408">
        <v>55269</v>
      </c>
      <c r="X1408" t="s">
        <v>7378</v>
      </c>
      <c r="Y1408">
        <v>40747</v>
      </c>
      <c r="Z1408">
        <v>1879146</v>
      </c>
      <c r="AA1408">
        <v>493748</v>
      </c>
      <c r="AB1408" t="str">
        <f>(VLOOKUP(SalesData[[#This Row],[Month Number]],Reference!C$5:E$16,2,FALSE))</f>
        <v>Feb</v>
      </c>
      <c r="AC1408">
        <f>MONTH(SalesData[[#This Row],[Date]])</f>
        <v>2</v>
      </c>
      <c r="AD1408">
        <f>Reference!F$4</f>
        <v>2026</v>
      </c>
      <c r="AE1408" t="str">
        <f>IF(OR(SalesData[[#This Row],[Day]]="Saturday",SalesData[[#This Row],[Day]]="Sunday"),"Weekend","Weekday")</f>
        <v>Weekday</v>
      </c>
      <c r="AF1408" s="5">
        <f>IF(SalesData[[#This Row],[Contracts Offered]]=0,0,SalesData[[#This Row],[Contracts Signed]]/SalesData[[#This Row],[Contracts Offered]])</f>
        <v>0.37777777777777777</v>
      </c>
      <c r="AG1408" s="5">
        <f>IF(SalesData[[#This Row],[Customers Visited]]=0,0,SalesData[[#This Row],[Test Drives]]/SalesData[[#This Row],[Customers Visited]])</f>
        <v>0.6</v>
      </c>
      <c r="AH1408" s="5">
        <f>IF(SalesData[[#This Row],[Customers Visited]]=0,0,SalesData[[#This Row],[Contracts Signed]]/SalesData[[#This Row],[Customers Visited]])</f>
        <v>0.17435897435897435</v>
      </c>
      <c r="AI1408" s="6">
        <f>IF(SalesData[[#This Row],[Contracts Signed]]=0,0,SalesData[[#This Row],[Profit(€)]]/SalesData[[#This Row],[Contracts Signed]])</f>
        <v>14522</v>
      </c>
      <c r="AJ1408" s="5" t="str">
        <f>TRIM(CLEAN(SalesData[[#This Row],[Retailer]]))</f>
        <v>Main Auto Hub</v>
      </c>
    </row>
    <row r="1409" spans="1:36" ht="14.25" hidden="1" x14ac:dyDescent="0.2">
      <c r="A1409" t="s">
        <v>2275</v>
      </c>
      <c r="B1409" s="1">
        <v>46055</v>
      </c>
      <c r="C1409" t="s">
        <v>24</v>
      </c>
      <c r="D1409" t="s">
        <v>25</v>
      </c>
      <c r="E1409" t="s">
        <v>26</v>
      </c>
      <c r="F1409" t="s">
        <v>101</v>
      </c>
      <c r="G1409" t="s">
        <v>102</v>
      </c>
      <c r="H1409" t="s">
        <v>103</v>
      </c>
      <c r="I1409" t="s">
        <v>104</v>
      </c>
      <c r="J1409" t="s">
        <v>105</v>
      </c>
      <c r="K1409" t="s">
        <v>32</v>
      </c>
      <c r="L1409" t="s">
        <v>33</v>
      </c>
      <c r="M1409" t="s">
        <v>68</v>
      </c>
      <c r="N1409" t="s">
        <v>48</v>
      </c>
      <c r="O1409" t="s">
        <v>36</v>
      </c>
      <c r="P1409" t="s">
        <v>37</v>
      </c>
      <c r="Q1409" t="s">
        <v>347</v>
      </c>
      <c r="R1409">
        <v>427</v>
      </c>
      <c r="S1409">
        <v>171</v>
      </c>
      <c r="T1409">
        <v>104</v>
      </c>
      <c r="U1409">
        <v>24</v>
      </c>
      <c r="V1409" t="s">
        <v>687</v>
      </c>
      <c r="W1409">
        <v>31363</v>
      </c>
      <c r="X1409" t="s">
        <v>929</v>
      </c>
      <c r="Y1409">
        <v>27288</v>
      </c>
      <c r="Z1409">
        <v>752712</v>
      </c>
      <c r="AA1409">
        <v>97800</v>
      </c>
      <c r="AB1409" t="str">
        <f>(VLOOKUP(SalesData[[#This Row],[Month Number]],Reference!C$5:E$16,2,FALSE))</f>
        <v>Feb</v>
      </c>
      <c r="AC1409">
        <f>MONTH(SalesData[[#This Row],[Date]])</f>
        <v>2</v>
      </c>
      <c r="AD1409">
        <f>Reference!F$4</f>
        <v>2026</v>
      </c>
      <c r="AE1409" t="str">
        <f>IF(OR(SalesData[[#This Row],[Day]]="Saturday",SalesData[[#This Row],[Day]]="Sunday"),"Weekend","Weekday")</f>
        <v>Weekday</v>
      </c>
      <c r="AF1409" s="5">
        <f>IF(SalesData[[#This Row],[Contracts Offered]]=0,0,SalesData[[#This Row],[Contracts Signed]]/SalesData[[#This Row],[Contracts Offered]])</f>
        <v>0.23076923076923078</v>
      </c>
      <c r="AG1409" s="5">
        <f>IF(SalesData[[#This Row],[Customers Visited]]=0,0,SalesData[[#This Row],[Test Drives]]/SalesData[[#This Row],[Customers Visited]])</f>
        <v>0.40046838407494145</v>
      </c>
      <c r="AH1409" s="5">
        <f>IF(SalesData[[#This Row],[Customers Visited]]=0,0,SalesData[[#This Row],[Contracts Signed]]/SalesData[[#This Row],[Customers Visited]])</f>
        <v>5.6206088992974239E-2</v>
      </c>
      <c r="AI1409" s="6">
        <f>IF(SalesData[[#This Row],[Contracts Signed]]=0,0,SalesData[[#This Row],[Profit(€)]]/SalesData[[#This Row],[Contracts Signed]])</f>
        <v>4075</v>
      </c>
      <c r="AJ1409" s="5" t="str">
        <f>TRIM(CLEAN(SalesData[[#This Row],[Retailer]]))</f>
        <v>Ruhr Auto Plaza</v>
      </c>
    </row>
    <row r="1410" spans="1:36" ht="14.25" hidden="1" x14ac:dyDescent="0.2">
      <c r="A1410" t="s">
        <v>2276</v>
      </c>
      <c r="B1410" s="1">
        <v>46057</v>
      </c>
      <c r="C1410" t="s">
        <v>24</v>
      </c>
      <c r="D1410" t="s">
        <v>82</v>
      </c>
      <c r="E1410" t="s">
        <v>26</v>
      </c>
      <c r="F1410" t="s">
        <v>109</v>
      </c>
      <c r="G1410" t="s">
        <v>110</v>
      </c>
      <c r="H1410" t="s">
        <v>45</v>
      </c>
      <c r="I1410" t="s">
        <v>104</v>
      </c>
      <c r="J1410" t="s">
        <v>143</v>
      </c>
      <c r="K1410" t="s">
        <v>32</v>
      </c>
      <c r="L1410" t="s">
        <v>67</v>
      </c>
      <c r="M1410" t="s">
        <v>34</v>
      </c>
      <c r="N1410" t="s">
        <v>48</v>
      </c>
      <c r="O1410" t="s">
        <v>36</v>
      </c>
      <c r="P1410" t="s">
        <v>71</v>
      </c>
      <c r="Q1410" t="s">
        <v>88</v>
      </c>
      <c r="R1410">
        <v>267</v>
      </c>
      <c r="S1410">
        <v>153</v>
      </c>
      <c r="T1410">
        <v>96</v>
      </c>
      <c r="U1410">
        <v>23</v>
      </c>
      <c r="V1410" t="s">
        <v>960</v>
      </c>
      <c r="W1410">
        <v>28172</v>
      </c>
      <c r="X1410" t="s">
        <v>4565</v>
      </c>
      <c r="Y1410">
        <v>25539</v>
      </c>
      <c r="Z1410">
        <v>647956</v>
      </c>
      <c r="AA1410">
        <v>60559</v>
      </c>
      <c r="AB1410" t="str">
        <f>(VLOOKUP(SalesData[[#This Row],[Month Number]],Reference!C$5:E$16,2,FALSE))</f>
        <v>Feb</v>
      </c>
      <c r="AC1410">
        <f>MONTH(SalesData[[#This Row],[Date]])</f>
        <v>2</v>
      </c>
      <c r="AD1410">
        <f>Reference!F$4</f>
        <v>2026</v>
      </c>
      <c r="AE1410" t="str">
        <f>IF(OR(SalesData[[#This Row],[Day]]="Saturday",SalesData[[#This Row],[Day]]="Sunday"),"Weekend","Weekday")</f>
        <v>Weekday</v>
      </c>
      <c r="AF1410" s="5">
        <f>IF(SalesData[[#This Row],[Contracts Offered]]=0,0,SalesData[[#This Row],[Contracts Signed]]/SalesData[[#This Row],[Contracts Offered]])</f>
        <v>0.23958333333333334</v>
      </c>
      <c r="AG1410" s="5">
        <f>IF(SalesData[[#This Row],[Customers Visited]]=0,0,SalesData[[#This Row],[Test Drives]]/SalesData[[#This Row],[Customers Visited]])</f>
        <v>0.5730337078651685</v>
      </c>
      <c r="AH1410" s="5">
        <f>IF(SalesData[[#This Row],[Customers Visited]]=0,0,SalesData[[#This Row],[Contracts Signed]]/SalesData[[#This Row],[Customers Visited]])</f>
        <v>8.6142322097378279E-2</v>
      </c>
      <c r="AI1410" s="6">
        <f>IF(SalesData[[#This Row],[Contracts Signed]]=0,0,SalesData[[#This Row],[Profit(€)]]/SalesData[[#This Row],[Contracts Signed]])</f>
        <v>2633</v>
      </c>
      <c r="AJ1410" s="5" t="str">
        <f>TRIM(CLEAN(SalesData[[#This Row],[Retailer]]))</f>
        <v>Leipzig Mobility</v>
      </c>
    </row>
    <row r="1411" spans="1:36" ht="14.25" hidden="1" x14ac:dyDescent="0.2">
      <c r="A1411" t="s">
        <v>2277</v>
      </c>
      <c r="B1411" s="1">
        <v>46063</v>
      </c>
      <c r="C1411" t="s">
        <v>121</v>
      </c>
      <c r="D1411" t="s">
        <v>63</v>
      </c>
      <c r="E1411" t="s">
        <v>26</v>
      </c>
      <c r="F1411" t="s">
        <v>127</v>
      </c>
      <c r="G1411" t="s">
        <v>128</v>
      </c>
      <c r="H1411" t="s">
        <v>103</v>
      </c>
      <c r="I1411" t="s">
        <v>116</v>
      </c>
      <c r="J1411" t="s">
        <v>203</v>
      </c>
      <c r="K1411" t="s">
        <v>32</v>
      </c>
      <c r="L1411" t="s">
        <v>67</v>
      </c>
      <c r="M1411" t="s">
        <v>47</v>
      </c>
      <c r="N1411" t="s">
        <v>48</v>
      </c>
      <c r="O1411" t="s">
        <v>70</v>
      </c>
      <c r="P1411" t="s">
        <v>37</v>
      </c>
      <c r="Q1411" t="s">
        <v>158</v>
      </c>
      <c r="R1411">
        <v>316</v>
      </c>
      <c r="S1411">
        <v>142</v>
      </c>
      <c r="T1411">
        <v>97</v>
      </c>
      <c r="U1411">
        <v>20</v>
      </c>
      <c r="V1411" t="s">
        <v>927</v>
      </c>
      <c r="W1411">
        <v>24740</v>
      </c>
      <c r="X1411" t="s">
        <v>7430</v>
      </c>
      <c r="Y1411">
        <v>22057</v>
      </c>
      <c r="Z1411">
        <v>494800</v>
      </c>
      <c r="AA1411">
        <v>53660</v>
      </c>
      <c r="AB1411" t="str">
        <f>(VLOOKUP(SalesData[[#This Row],[Month Number]],Reference!C$5:E$16,2,FALSE))</f>
        <v>Feb</v>
      </c>
      <c r="AC1411">
        <f>MONTH(SalesData[[#This Row],[Date]])</f>
        <v>2</v>
      </c>
      <c r="AD1411">
        <f>Reference!F$4</f>
        <v>2026</v>
      </c>
      <c r="AE1411" t="str">
        <f>IF(OR(SalesData[[#This Row],[Day]]="Saturday",SalesData[[#This Row],[Day]]="Sunday"),"Weekend","Weekday")</f>
        <v>Weekday</v>
      </c>
      <c r="AF1411" s="5">
        <f>IF(SalesData[[#This Row],[Contracts Offered]]=0,0,SalesData[[#This Row],[Contracts Signed]]/SalesData[[#This Row],[Contracts Offered]])</f>
        <v>0.20618556701030927</v>
      </c>
      <c r="AG1411" s="5">
        <f>IF(SalesData[[#This Row],[Customers Visited]]=0,0,SalesData[[#This Row],[Test Drives]]/SalesData[[#This Row],[Customers Visited]])</f>
        <v>0.44936708860759494</v>
      </c>
      <c r="AH1411" s="5">
        <f>IF(SalesData[[#This Row],[Customers Visited]]=0,0,SalesData[[#This Row],[Contracts Signed]]/SalesData[[#This Row],[Customers Visited]])</f>
        <v>6.3291139240506333E-2</v>
      </c>
      <c r="AI1411" s="6">
        <f>IF(SalesData[[#This Row],[Contracts Signed]]=0,0,SalesData[[#This Row],[Profit(€)]]/SalesData[[#This Row],[Contracts Signed]])</f>
        <v>2683</v>
      </c>
      <c r="AJ1411" s="5" t="str">
        <f>TRIM(CLEAN(SalesData[[#This Row],[Retailer]]))</f>
        <v>Rhein Auto Group</v>
      </c>
    </row>
    <row r="1412" spans="1:36" ht="14.25" x14ac:dyDescent="0.2">
      <c r="A1412" t="s">
        <v>2279</v>
      </c>
      <c r="B1412" s="1">
        <v>46066</v>
      </c>
      <c r="C1412" t="s">
        <v>121</v>
      </c>
      <c r="D1412" t="s">
        <v>54</v>
      </c>
      <c r="E1412" t="s">
        <v>26</v>
      </c>
      <c r="F1412" t="s">
        <v>74</v>
      </c>
      <c r="G1412" t="s">
        <v>75</v>
      </c>
      <c r="H1412" t="s">
        <v>76</v>
      </c>
      <c r="I1412" t="s">
        <v>30</v>
      </c>
      <c r="J1412" t="s">
        <v>188</v>
      </c>
      <c r="K1412" t="s">
        <v>66</v>
      </c>
      <c r="L1412" t="s">
        <v>33</v>
      </c>
      <c r="M1412" t="s">
        <v>87</v>
      </c>
      <c r="N1412" t="s">
        <v>35</v>
      </c>
      <c r="O1412" t="s">
        <v>70</v>
      </c>
      <c r="P1412" t="s">
        <v>58</v>
      </c>
      <c r="Q1412" t="s">
        <v>169</v>
      </c>
      <c r="R1412">
        <v>205</v>
      </c>
      <c r="S1412">
        <v>97</v>
      </c>
      <c r="T1412">
        <v>71</v>
      </c>
      <c r="U1412">
        <v>30</v>
      </c>
      <c r="V1412" t="s">
        <v>7431</v>
      </c>
      <c r="W1412">
        <v>53717</v>
      </c>
      <c r="X1412" t="s">
        <v>1754</v>
      </c>
      <c r="Y1412">
        <v>38270</v>
      </c>
      <c r="Z1412">
        <v>1611510</v>
      </c>
      <c r="AA1412">
        <v>463410</v>
      </c>
      <c r="AB1412" t="str">
        <f>(VLOOKUP(SalesData[[#This Row],[Month Number]],Reference!C$5:E$16,2,FALSE))</f>
        <v>Feb</v>
      </c>
      <c r="AC1412">
        <f>MONTH(SalesData[[#This Row],[Date]])</f>
        <v>2</v>
      </c>
      <c r="AD1412">
        <f>Reference!F$4</f>
        <v>2026</v>
      </c>
      <c r="AE1412" t="str">
        <f>IF(OR(SalesData[[#This Row],[Day]]="Saturday",SalesData[[#This Row],[Day]]="Sunday"),"Weekend","Weekday")</f>
        <v>Weekday</v>
      </c>
      <c r="AF1412" s="5">
        <f>IF(SalesData[[#This Row],[Contracts Offered]]=0,0,SalesData[[#This Row],[Contracts Signed]]/SalesData[[#This Row],[Contracts Offered]])</f>
        <v>0.42253521126760563</v>
      </c>
      <c r="AG1412" s="5">
        <f>IF(SalesData[[#This Row],[Customers Visited]]=0,0,SalesData[[#This Row],[Test Drives]]/SalesData[[#This Row],[Customers Visited]])</f>
        <v>0.47317073170731705</v>
      </c>
      <c r="AH1412" s="5">
        <f>IF(SalesData[[#This Row],[Customers Visited]]=0,0,SalesData[[#This Row],[Contracts Signed]]/SalesData[[#This Row],[Customers Visited]])</f>
        <v>0.14634146341463414</v>
      </c>
      <c r="AI1412" s="6">
        <f>IF(SalesData[[#This Row],[Contracts Signed]]=0,0,SalesData[[#This Row],[Profit(€)]]/SalesData[[#This Row],[Contracts Signed]])</f>
        <v>15447</v>
      </c>
      <c r="AJ1412" s="5" t="str">
        <f>TRIM(CLEAN(SalesData[[#This Row],[Retailer]]))</f>
        <v>Stuttgart Auto Center</v>
      </c>
    </row>
    <row r="1413" spans="1:36" ht="14.25" x14ac:dyDescent="0.2">
      <c r="A1413" t="s">
        <v>2280</v>
      </c>
      <c r="B1413" s="1">
        <v>46067</v>
      </c>
      <c r="C1413" t="s">
        <v>121</v>
      </c>
      <c r="D1413" t="s">
        <v>151</v>
      </c>
      <c r="E1413" t="s">
        <v>42</v>
      </c>
      <c r="F1413" t="s">
        <v>27</v>
      </c>
      <c r="G1413" t="s">
        <v>28</v>
      </c>
      <c r="H1413" t="s">
        <v>29</v>
      </c>
      <c r="I1413" t="s">
        <v>30</v>
      </c>
      <c r="J1413" t="s">
        <v>31</v>
      </c>
      <c r="K1413" t="s">
        <v>66</v>
      </c>
      <c r="L1413" t="s">
        <v>46</v>
      </c>
      <c r="M1413" t="s">
        <v>68</v>
      </c>
      <c r="N1413" t="s">
        <v>48</v>
      </c>
      <c r="O1413" t="s">
        <v>70</v>
      </c>
      <c r="P1413" t="s">
        <v>71</v>
      </c>
      <c r="Q1413" t="s">
        <v>50</v>
      </c>
      <c r="R1413">
        <v>270</v>
      </c>
      <c r="S1413">
        <v>153</v>
      </c>
      <c r="T1413">
        <v>107</v>
      </c>
      <c r="U1413">
        <v>44</v>
      </c>
      <c r="V1413" t="s">
        <v>6945</v>
      </c>
      <c r="W1413">
        <v>52904</v>
      </c>
      <c r="X1413" t="s">
        <v>7093</v>
      </c>
      <c r="Y1413">
        <v>38651</v>
      </c>
      <c r="Z1413">
        <v>2327776</v>
      </c>
      <c r="AA1413">
        <v>627132</v>
      </c>
      <c r="AB1413" t="str">
        <f>(VLOOKUP(SalesData[[#This Row],[Month Number]],Reference!C$5:E$16,2,FALSE))</f>
        <v>Feb</v>
      </c>
      <c r="AC1413">
        <f>MONTH(SalesData[[#This Row],[Date]])</f>
        <v>2</v>
      </c>
      <c r="AD1413">
        <f>Reference!F$4</f>
        <v>2026</v>
      </c>
      <c r="AE1413" t="str">
        <f>IF(OR(SalesData[[#This Row],[Day]]="Saturday",SalesData[[#This Row],[Day]]="Sunday"),"Weekend","Weekday")</f>
        <v>Weekend</v>
      </c>
      <c r="AF1413" s="5">
        <f>IF(SalesData[[#This Row],[Contracts Offered]]=0,0,SalesData[[#This Row],[Contracts Signed]]/SalesData[[#This Row],[Contracts Offered]])</f>
        <v>0.41121495327102803</v>
      </c>
      <c r="AG1413" s="5">
        <f>IF(SalesData[[#This Row],[Customers Visited]]=0,0,SalesData[[#This Row],[Test Drives]]/SalesData[[#This Row],[Customers Visited]])</f>
        <v>0.56666666666666665</v>
      </c>
      <c r="AH1413" s="5">
        <f>IF(SalesData[[#This Row],[Customers Visited]]=0,0,SalesData[[#This Row],[Contracts Signed]]/SalesData[[#This Row],[Customers Visited]])</f>
        <v>0.16296296296296298</v>
      </c>
      <c r="AI1413" s="6">
        <f>IF(SalesData[[#This Row],[Contracts Signed]]=0,0,SalesData[[#This Row],[Profit(€)]]/SalesData[[#This Row],[Contracts Signed]])</f>
        <v>14253</v>
      </c>
      <c r="AJ1413" s="5" t="str">
        <f>TRIM(CLEAN(SalesData[[#This Row],[Retailer]]))</f>
        <v>Main Auto Hub</v>
      </c>
    </row>
    <row r="1414" spans="1:36" ht="14.25" hidden="1" x14ac:dyDescent="0.2">
      <c r="A1414" t="s">
        <v>2281</v>
      </c>
      <c r="B1414" s="1">
        <v>46074</v>
      </c>
      <c r="C1414" t="s">
        <v>62</v>
      </c>
      <c r="D1414" t="s">
        <v>151</v>
      </c>
      <c r="E1414" t="s">
        <v>42</v>
      </c>
      <c r="F1414" t="s">
        <v>43</v>
      </c>
      <c r="G1414" t="s">
        <v>44</v>
      </c>
      <c r="H1414" t="s">
        <v>45</v>
      </c>
      <c r="I1414" t="s">
        <v>56</v>
      </c>
      <c r="J1414" t="s">
        <v>7028</v>
      </c>
      <c r="K1414" t="s">
        <v>78</v>
      </c>
      <c r="L1414" t="s">
        <v>46</v>
      </c>
      <c r="M1414" t="s">
        <v>47</v>
      </c>
      <c r="N1414" t="s">
        <v>35</v>
      </c>
      <c r="O1414" t="s">
        <v>36</v>
      </c>
      <c r="P1414" t="s">
        <v>58</v>
      </c>
      <c r="Q1414" t="s">
        <v>240</v>
      </c>
      <c r="R1414">
        <v>268</v>
      </c>
      <c r="S1414">
        <v>157</v>
      </c>
      <c r="T1414">
        <v>101</v>
      </c>
      <c r="U1414">
        <v>43</v>
      </c>
      <c r="V1414" t="s">
        <v>6549</v>
      </c>
      <c r="W1414">
        <v>45731</v>
      </c>
      <c r="X1414" t="s">
        <v>4652</v>
      </c>
      <c r="Y1414">
        <v>36976</v>
      </c>
      <c r="Z1414">
        <v>1966433</v>
      </c>
      <c r="AA1414">
        <v>376465</v>
      </c>
      <c r="AB1414" t="str">
        <f>(VLOOKUP(SalesData[[#This Row],[Month Number]],Reference!C$5:E$16,2,FALSE))</f>
        <v>Feb</v>
      </c>
      <c r="AC1414">
        <f>MONTH(SalesData[[#This Row],[Date]])</f>
        <v>2</v>
      </c>
      <c r="AD1414">
        <f>Reference!F$4</f>
        <v>2026</v>
      </c>
      <c r="AE1414" t="str">
        <f>IF(OR(SalesData[[#This Row],[Day]]="Saturday",SalesData[[#This Row],[Day]]="Sunday"),"Weekend","Weekday")</f>
        <v>Weekend</v>
      </c>
      <c r="AF1414" s="5">
        <f>IF(SalesData[[#This Row],[Contracts Offered]]=0,0,SalesData[[#This Row],[Contracts Signed]]/SalesData[[#This Row],[Contracts Offered]])</f>
        <v>0.42574257425742573</v>
      </c>
      <c r="AG1414" s="5">
        <f>IF(SalesData[[#This Row],[Customers Visited]]=0,0,SalesData[[#This Row],[Test Drives]]/SalesData[[#This Row],[Customers Visited]])</f>
        <v>0.58582089552238803</v>
      </c>
      <c r="AH1414" s="5">
        <f>IF(SalesData[[#This Row],[Customers Visited]]=0,0,SalesData[[#This Row],[Contracts Signed]]/SalesData[[#This Row],[Customers Visited]])</f>
        <v>0.16044776119402984</v>
      </c>
      <c r="AI1414" s="6">
        <f>IF(SalesData[[#This Row],[Contracts Signed]]=0,0,SalesData[[#This Row],[Profit(€)]]/SalesData[[#This Row],[Contracts Signed]])</f>
        <v>8755</v>
      </c>
      <c r="AJ1414" s="5" t="str">
        <f>TRIM(CLEAN(SalesData[[#This Row],[Retailer]]))</f>
        <v>Saxon Wheels</v>
      </c>
    </row>
    <row r="1415" spans="1:36" ht="14.25" hidden="1" x14ac:dyDescent="0.2">
      <c r="A1415" t="s">
        <v>2283</v>
      </c>
      <c r="B1415" s="1">
        <v>46061</v>
      </c>
      <c r="C1415" t="s">
        <v>121</v>
      </c>
      <c r="D1415" t="s">
        <v>41</v>
      </c>
      <c r="E1415" t="s">
        <v>42</v>
      </c>
      <c r="F1415" t="s">
        <v>127</v>
      </c>
      <c r="G1415" t="s">
        <v>128</v>
      </c>
      <c r="H1415" t="s">
        <v>103</v>
      </c>
      <c r="I1415" t="s">
        <v>64</v>
      </c>
      <c r="J1415" t="s">
        <v>157</v>
      </c>
      <c r="K1415" t="s">
        <v>66</v>
      </c>
      <c r="L1415" t="s">
        <v>33</v>
      </c>
      <c r="M1415" t="s">
        <v>34</v>
      </c>
      <c r="N1415" t="s">
        <v>69</v>
      </c>
      <c r="O1415" t="s">
        <v>36</v>
      </c>
      <c r="P1415" t="s">
        <v>58</v>
      </c>
      <c r="Q1415" t="s">
        <v>122</v>
      </c>
      <c r="R1415">
        <v>213</v>
      </c>
      <c r="S1415">
        <v>121</v>
      </c>
      <c r="T1415">
        <v>95</v>
      </c>
      <c r="U1415">
        <v>37</v>
      </c>
      <c r="V1415" t="s">
        <v>7432</v>
      </c>
      <c r="W1415">
        <v>59924</v>
      </c>
      <c r="X1415" t="s">
        <v>307</v>
      </c>
      <c r="Y1415">
        <v>43175</v>
      </c>
      <c r="Z1415">
        <v>2217188</v>
      </c>
      <c r="AA1415">
        <v>619713</v>
      </c>
      <c r="AB1415" t="str">
        <f>(VLOOKUP(SalesData[[#This Row],[Month Number]],Reference!C$5:E$16,2,FALSE))</f>
        <v>Feb</v>
      </c>
      <c r="AC1415">
        <f>MONTH(SalesData[[#This Row],[Date]])</f>
        <v>2</v>
      </c>
      <c r="AD1415">
        <f>Reference!F$4</f>
        <v>2026</v>
      </c>
      <c r="AE1415" t="str">
        <f>IF(OR(SalesData[[#This Row],[Day]]="Saturday",SalesData[[#This Row],[Day]]="Sunday"),"Weekend","Weekday")</f>
        <v>Weekend</v>
      </c>
      <c r="AF1415" s="5">
        <f>IF(SalesData[[#This Row],[Contracts Offered]]=0,0,SalesData[[#This Row],[Contracts Signed]]/SalesData[[#This Row],[Contracts Offered]])</f>
        <v>0.38947368421052631</v>
      </c>
      <c r="AG1415" s="5">
        <f>IF(SalesData[[#This Row],[Customers Visited]]=0,0,SalesData[[#This Row],[Test Drives]]/SalesData[[#This Row],[Customers Visited]])</f>
        <v>0.568075117370892</v>
      </c>
      <c r="AH1415" s="5">
        <f>IF(SalesData[[#This Row],[Customers Visited]]=0,0,SalesData[[#This Row],[Contracts Signed]]/SalesData[[#This Row],[Customers Visited]])</f>
        <v>0.17370892018779344</v>
      </c>
      <c r="AI1415" s="6">
        <f>IF(SalesData[[#This Row],[Contracts Signed]]=0,0,SalesData[[#This Row],[Profit(€)]]/SalesData[[#This Row],[Contracts Signed]])</f>
        <v>16749</v>
      </c>
      <c r="AJ1415" s="5" t="str">
        <f>TRIM(CLEAN(SalesData[[#This Row],[Retailer]]))</f>
        <v>Rhein Auto Group</v>
      </c>
    </row>
    <row r="1416" spans="1:36" ht="14.25" x14ac:dyDescent="0.2">
      <c r="A1416" t="s">
        <v>2284</v>
      </c>
      <c r="B1416" s="1">
        <v>46065</v>
      </c>
      <c r="C1416" t="s">
        <v>121</v>
      </c>
      <c r="D1416" t="s">
        <v>100</v>
      </c>
      <c r="E1416" t="s">
        <v>26</v>
      </c>
      <c r="F1416" t="s">
        <v>114</v>
      </c>
      <c r="G1416" t="s">
        <v>115</v>
      </c>
      <c r="H1416" t="s">
        <v>115</v>
      </c>
      <c r="I1416" t="s">
        <v>30</v>
      </c>
      <c r="J1416" t="s">
        <v>31</v>
      </c>
      <c r="K1416" t="s">
        <v>66</v>
      </c>
      <c r="L1416" t="s">
        <v>46</v>
      </c>
      <c r="M1416" t="s">
        <v>47</v>
      </c>
      <c r="N1416" t="s">
        <v>48</v>
      </c>
      <c r="O1416" t="s">
        <v>70</v>
      </c>
      <c r="P1416" t="s">
        <v>49</v>
      </c>
      <c r="Q1416" t="s">
        <v>152</v>
      </c>
      <c r="R1416">
        <v>252</v>
      </c>
      <c r="S1416">
        <v>146</v>
      </c>
      <c r="T1416">
        <v>105</v>
      </c>
      <c r="U1416">
        <v>36</v>
      </c>
      <c r="V1416" t="s">
        <v>6356</v>
      </c>
      <c r="W1416">
        <v>60837</v>
      </c>
      <c r="X1416" t="s">
        <v>7050</v>
      </c>
      <c r="Y1416">
        <v>42740</v>
      </c>
      <c r="Z1416">
        <v>2190132</v>
      </c>
      <c r="AA1416">
        <v>651492</v>
      </c>
      <c r="AB1416" t="str">
        <f>(VLOOKUP(SalesData[[#This Row],[Month Number]],Reference!C$5:E$16,2,FALSE))</f>
        <v>Feb</v>
      </c>
      <c r="AC1416">
        <f>MONTH(SalesData[[#This Row],[Date]])</f>
        <v>2</v>
      </c>
      <c r="AD1416">
        <f>Reference!F$4</f>
        <v>2026</v>
      </c>
      <c r="AE1416" t="str">
        <f>IF(OR(SalesData[[#This Row],[Day]]="Saturday",SalesData[[#This Row],[Day]]="Sunday"),"Weekend","Weekday")</f>
        <v>Weekday</v>
      </c>
      <c r="AF1416" s="5">
        <f>IF(SalesData[[#This Row],[Contracts Offered]]=0,0,SalesData[[#This Row],[Contracts Signed]]/SalesData[[#This Row],[Contracts Offered]])</f>
        <v>0.34285714285714286</v>
      </c>
      <c r="AG1416" s="5">
        <f>IF(SalesData[[#This Row],[Customers Visited]]=0,0,SalesData[[#This Row],[Test Drives]]/SalesData[[#This Row],[Customers Visited]])</f>
        <v>0.57936507936507942</v>
      </c>
      <c r="AH1416" s="5">
        <f>IF(SalesData[[#This Row],[Customers Visited]]=0,0,SalesData[[#This Row],[Contracts Signed]]/SalesData[[#This Row],[Customers Visited]])</f>
        <v>0.14285714285714285</v>
      </c>
      <c r="AI1416" s="6">
        <f>IF(SalesData[[#This Row],[Contracts Signed]]=0,0,SalesData[[#This Row],[Profit(€)]]/SalesData[[#This Row],[Contracts Signed]])</f>
        <v>18097</v>
      </c>
      <c r="AJ1416" s="5" t="str">
        <f>TRIM(CLEAN(SalesData[[#This Row],[Retailer]]))</f>
        <v>Elbe Drive</v>
      </c>
    </row>
    <row r="1417" spans="1:36" ht="14.25" hidden="1" x14ac:dyDescent="0.2">
      <c r="A1417" t="s">
        <v>2285</v>
      </c>
      <c r="B1417" s="1">
        <v>46064</v>
      </c>
      <c r="C1417" t="s">
        <v>121</v>
      </c>
      <c r="D1417" t="s">
        <v>82</v>
      </c>
      <c r="E1417" t="s">
        <v>26</v>
      </c>
      <c r="F1417" t="s">
        <v>83</v>
      </c>
      <c r="G1417" t="s">
        <v>84</v>
      </c>
      <c r="H1417" t="s">
        <v>85</v>
      </c>
      <c r="I1417" t="s">
        <v>56</v>
      </c>
      <c r="J1417" t="s">
        <v>57</v>
      </c>
      <c r="K1417" t="s">
        <v>91</v>
      </c>
      <c r="L1417" t="s">
        <v>46</v>
      </c>
      <c r="M1417" t="s">
        <v>34</v>
      </c>
      <c r="N1417" t="s">
        <v>35</v>
      </c>
      <c r="O1417" t="s">
        <v>36</v>
      </c>
      <c r="P1417" t="s">
        <v>71</v>
      </c>
      <c r="Q1417" t="s">
        <v>129</v>
      </c>
      <c r="R1417">
        <v>240</v>
      </c>
      <c r="S1417">
        <v>144</v>
      </c>
      <c r="T1417">
        <v>109</v>
      </c>
      <c r="U1417">
        <v>36</v>
      </c>
      <c r="V1417" t="s">
        <v>6403</v>
      </c>
      <c r="W1417">
        <v>41979</v>
      </c>
      <c r="X1417" t="s">
        <v>5891</v>
      </c>
      <c r="Y1417">
        <v>32352</v>
      </c>
      <c r="Z1417">
        <v>1511244</v>
      </c>
      <c r="AA1417">
        <v>346572</v>
      </c>
      <c r="AB1417" t="str">
        <f>(VLOOKUP(SalesData[[#This Row],[Month Number]],Reference!C$5:E$16,2,FALSE))</f>
        <v>Feb</v>
      </c>
      <c r="AC1417">
        <f>MONTH(SalesData[[#This Row],[Date]])</f>
        <v>2</v>
      </c>
      <c r="AD1417">
        <f>Reference!F$4</f>
        <v>2026</v>
      </c>
      <c r="AE1417" t="str">
        <f>IF(OR(SalesData[[#This Row],[Day]]="Saturday",SalesData[[#This Row],[Day]]="Sunday"),"Weekend","Weekday")</f>
        <v>Weekday</v>
      </c>
      <c r="AF1417" s="5">
        <f>IF(SalesData[[#This Row],[Contracts Offered]]=0,0,SalesData[[#This Row],[Contracts Signed]]/SalesData[[#This Row],[Contracts Offered]])</f>
        <v>0.33027522935779818</v>
      </c>
      <c r="AG1417" s="5">
        <f>IF(SalesData[[#This Row],[Customers Visited]]=0,0,SalesData[[#This Row],[Test Drives]]/SalesData[[#This Row],[Customers Visited]])</f>
        <v>0.6</v>
      </c>
      <c r="AH1417" s="5">
        <f>IF(SalesData[[#This Row],[Customers Visited]]=0,0,SalesData[[#This Row],[Contracts Signed]]/SalesData[[#This Row],[Customers Visited]])</f>
        <v>0.15</v>
      </c>
      <c r="AI1417" s="6">
        <f>IF(SalesData[[#This Row],[Contracts Signed]]=0,0,SalesData[[#This Row],[Profit(€)]]/SalesData[[#This Row],[Contracts Signed]])</f>
        <v>9627</v>
      </c>
      <c r="AJ1417" s="5" t="str">
        <f>TRIM(CLEAN(SalesData[[#This Row],[Retailer]]))</f>
        <v>Hannover Cars</v>
      </c>
    </row>
    <row r="1418" spans="1:36" ht="14.25" hidden="1" x14ac:dyDescent="0.2">
      <c r="A1418" t="s">
        <v>2287</v>
      </c>
      <c r="B1418" s="1">
        <v>46070</v>
      </c>
      <c r="C1418" t="s">
        <v>62</v>
      </c>
      <c r="D1418" t="s">
        <v>63</v>
      </c>
      <c r="E1418" t="s">
        <v>26</v>
      </c>
      <c r="F1418" t="s">
        <v>109</v>
      </c>
      <c r="G1418" t="s">
        <v>110</v>
      </c>
      <c r="H1418" t="s">
        <v>45</v>
      </c>
      <c r="I1418" t="s">
        <v>104</v>
      </c>
      <c r="J1418" t="s">
        <v>7031</v>
      </c>
      <c r="K1418" t="s">
        <v>32</v>
      </c>
      <c r="L1418" t="s">
        <v>46</v>
      </c>
      <c r="M1418" t="s">
        <v>47</v>
      </c>
      <c r="N1418" t="s">
        <v>48</v>
      </c>
      <c r="O1418" t="s">
        <v>70</v>
      </c>
      <c r="P1418" t="s">
        <v>58</v>
      </c>
      <c r="Q1418" t="s">
        <v>172</v>
      </c>
      <c r="R1418">
        <v>368</v>
      </c>
      <c r="S1418">
        <v>170</v>
      </c>
      <c r="T1418">
        <v>119</v>
      </c>
      <c r="U1418">
        <v>30</v>
      </c>
      <c r="V1418" t="s">
        <v>859</v>
      </c>
      <c r="W1418">
        <v>28869</v>
      </c>
      <c r="X1418" t="s">
        <v>7305</v>
      </c>
      <c r="Y1418">
        <v>26113</v>
      </c>
      <c r="Z1418">
        <v>866070</v>
      </c>
      <c r="AA1418">
        <v>82680</v>
      </c>
      <c r="AB1418" t="str">
        <f>(VLOOKUP(SalesData[[#This Row],[Month Number]],Reference!C$5:E$16,2,FALSE))</f>
        <v>Feb</v>
      </c>
      <c r="AC1418">
        <f>MONTH(SalesData[[#This Row],[Date]])</f>
        <v>2</v>
      </c>
      <c r="AD1418">
        <f>Reference!F$4</f>
        <v>2026</v>
      </c>
      <c r="AE1418" t="str">
        <f>IF(OR(SalesData[[#This Row],[Day]]="Saturday",SalesData[[#This Row],[Day]]="Sunday"),"Weekend","Weekday")</f>
        <v>Weekday</v>
      </c>
      <c r="AF1418" s="5">
        <f>IF(SalesData[[#This Row],[Contracts Offered]]=0,0,SalesData[[#This Row],[Contracts Signed]]/SalesData[[#This Row],[Contracts Offered]])</f>
        <v>0.25210084033613445</v>
      </c>
      <c r="AG1418" s="5">
        <f>IF(SalesData[[#This Row],[Customers Visited]]=0,0,SalesData[[#This Row],[Test Drives]]/SalesData[[#This Row],[Customers Visited]])</f>
        <v>0.46195652173913043</v>
      </c>
      <c r="AH1418" s="5">
        <f>IF(SalesData[[#This Row],[Customers Visited]]=0,0,SalesData[[#This Row],[Contracts Signed]]/SalesData[[#This Row],[Customers Visited]])</f>
        <v>8.1521739130434784E-2</v>
      </c>
      <c r="AI1418" s="6">
        <f>IF(SalesData[[#This Row],[Contracts Signed]]=0,0,SalesData[[#This Row],[Profit(€)]]/SalesData[[#This Row],[Contracts Signed]])</f>
        <v>2756</v>
      </c>
      <c r="AJ1418" s="5" t="str">
        <f>TRIM(CLEAN(SalesData[[#This Row],[Retailer]]))</f>
        <v>Leipzig Mobility</v>
      </c>
    </row>
    <row r="1419" spans="1:36" ht="14.25" hidden="1" x14ac:dyDescent="0.2">
      <c r="A1419" t="s">
        <v>2289</v>
      </c>
      <c r="B1419" s="1">
        <v>46081</v>
      </c>
      <c r="C1419" t="s">
        <v>53</v>
      </c>
      <c r="D1419" t="s">
        <v>151</v>
      </c>
      <c r="E1419" t="s">
        <v>42</v>
      </c>
      <c r="F1419" t="s">
        <v>127</v>
      </c>
      <c r="G1419" t="s">
        <v>128</v>
      </c>
      <c r="H1419" t="s">
        <v>103</v>
      </c>
      <c r="I1419" t="s">
        <v>64</v>
      </c>
      <c r="J1419" t="s">
        <v>77</v>
      </c>
      <c r="K1419" t="s">
        <v>91</v>
      </c>
      <c r="L1419" t="s">
        <v>46</v>
      </c>
      <c r="M1419" t="s">
        <v>47</v>
      </c>
      <c r="N1419" t="s">
        <v>35</v>
      </c>
      <c r="O1419" t="s">
        <v>36</v>
      </c>
      <c r="P1419" t="s">
        <v>37</v>
      </c>
      <c r="Q1419" t="s">
        <v>50</v>
      </c>
      <c r="R1419">
        <v>211</v>
      </c>
      <c r="S1419">
        <v>123</v>
      </c>
      <c r="T1419">
        <v>84</v>
      </c>
      <c r="U1419">
        <v>31</v>
      </c>
      <c r="V1419" t="s">
        <v>6352</v>
      </c>
      <c r="W1419">
        <v>70345</v>
      </c>
      <c r="X1419" t="s">
        <v>2796</v>
      </c>
      <c r="Y1419">
        <v>55358</v>
      </c>
      <c r="Z1419">
        <v>2180695</v>
      </c>
      <c r="AA1419">
        <v>464597</v>
      </c>
      <c r="AB1419" t="str">
        <f>(VLOOKUP(SalesData[[#This Row],[Month Number]],Reference!C$5:E$16,2,FALSE))</f>
        <v>Feb</v>
      </c>
      <c r="AC1419">
        <f>MONTH(SalesData[[#This Row],[Date]])</f>
        <v>2</v>
      </c>
      <c r="AD1419">
        <f>Reference!F$4</f>
        <v>2026</v>
      </c>
      <c r="AE1419" t="str">
        <f>IF(OR(SalesData[[#This Row],[Day]]="Saturday",SalesData[[#This Row],[Day]]="Sunday"),"Weekend","Weekday")</f>
        <v>Weekend</v>
      </c>
      <c r="AF1419" s="5">
        <f>IF(SalesData[[#This Row],[Contracts Offered]]=0,0,SalesData[[#This Row],[Contracts Signed]]/SalesData[[#This Row],[Contracts Offered]])</f>
        <v>0.36904761904761907</v>
      </c>
      <c r="AG1419" s="5">
        <f>IF(SalesData[[#This Row],[Customers Visited]]=0,0,SalesData[[#This Row],[Test Drives]]/SalesData[[#This Row],[Customers Visited]])</f>
        <v>0.58293838862559244</v>
      </c>
      <c r="AH1419" s="5">
        <f>IF(SalesData[[#This Row],[Customers Visited]]=0,0,SalesData[[#This Row],[Contracts Signed]]/SalesData[[#This Row],[Customers Visited]])</f>
        <v>0.14691943127962084</v>
      </c>
      <c r="AI1419" s="6">
        <f>IF(SalesData[[#This Row],[Contracts Signed]]=0,0,SalesData[[#This Row],[Profit(€)]]/SalesData[[#This Row],[Contracts Signed]])</f>
        <v>14987</v>
      </c>
      <c r="AJ1419" s="5" t="str">
        <f>TRIM(CLEAN(SalesData[[#This Row],[Retailer]]))</f>
        <v>Rhein Auto Group</v>
      </c>
    </row>
    <row r="1420" spans="1:36" ht="14.25" hidden="1" x14ac:dyDescent="0.2">
      <c r="A1420" t="s">
        <v>2290</v>
      </c>
      <c r="B1420" s="1">
        <v>46078</v>
      </c>
      <c r="C1420" t="s">
        <v>53</v>
      </c>
      <c r="D1420" t="s">
        <v>82</v>
      </c>
      <c r="E1420" t="s">
        <v>26</v>
      </c>
      <c r="F1420" t="s">
        <v>83</v>
      </c>
      <c r="G1420" t="s">
        <v>84</v>
      </c>
      <c r="H1420" t="s">
        <v>85</v>
      </c>
      <c r="I1420" t="s">
        <v>104</v>
      </c>
      <c r="J1420" t="s">
        <v>105</v>
      </c>
      <c r="K1420" t="s">
        <v>91</v>
      </c>
      <c r="L1420" t="s">
        <v>33</v>
      </c>
      <c r="M1420" t="s">
        <v>87</v>
      </c>
      <c r="N1420" t="s">
        <v>48</v>
      </c>
      <c r="O1420" t="s">
        <v>70</v>
      </c>
      <c r="P1420" t="s">
        <v>58</v>
      </c>
      <c r="Q1420" t="s">
        <v>88</v>
      </c>
      <c r="R1420">
        <v>487</v>
      </c>
      <c r="S1420">
        <v>230</v>
      </c>
      <c r="T1420">
        <v>158</v>
      </c>
      <c r="U1420">
        <v>44</v>
      </c>
      <c r="V1420" t="s">
        <v>249</v>
      </c>
      <c r="W1420">
        <v>26183</v>
      </c>
      <c r="X1420" t="s">
        <v>2033</v>
      </c>
      <c r="Y1420">
        <v>23096</v>
      </c>
      <c r="Z1420">
        <v>1152052</v>
      </c>
      <c r="AA1420">
        <v>135828</v>
      </c>
      <c r="AB1420" t="str">
        <f>(VLOOKUP(SalesData[[#This Row],[Month Number]],Reference!C$5:E$16,2,FALSE))</f>
        <v>Feb</v>
      </c>
      <c r="AC1420">
        <f>MONTH(SalesData[[#This Row],[Date]])</f>
        <v>2</v>
      </c>
      <c r="AD1420">
        <f>Reference!F$4</f>
        <v>2026</v>
      </c>
      <c r="AE1420" t="str">
        <f>IF(OR(SalesData[[#This Row],[Day]]="Saturday",SalesData[[#This Row],[Day]]="Sunday"),"Weekend","Weekday")</f>
        <v>Weekday</v>
      </c>
      <c r="AF1420" s="5">
        <f>IF(SalesData[[#This Row],[Contracts Offered]]=0,0,SalesData[[#This Row],[Contracts Signed]]/SalesData[[#This Row],[Contracts Offered]])</f>
        <v>0.27848101265822783</v>
      </c>
      <c r="AG1420" s="5">
        <f>IF(SalesData[[#This Row],[Customers Visited]]=0,0,SalesData[[#This Row],[Test Drives]]/SalesData[[#This Row],[Customers Visited]])</f>
        <v>0.47227926078028748</v>
      </c>
      <c r="AH1420" s="5">
        <f>IF(SalesData[[#This Row],[Customers Visited]]=0,0,SalesData[[#This Row],[Contracts Signed]]/SalesData[[#This Row],[Customers Visited]])</f>
        <v>9.034907597535935E-2</v>
      </c>
      <c r="AI1420" s="6">
        <f>IF(SalesData[[#This Row],[Contracts Signed]]=0,0,SalesData[[#This Row],[Profit(€)]]/SalesData[[#This Row],[Contracts Signed]])</f>
        <v>3087</v>
      </c>
      <c r="AJ1420" s="5" t="str">
        <f>TRIM(CLEAN(SalesData[[#This Row],[Retailer]]))</f>
        <v>Hannover Cars</v>
      </c>
    </row>
    <row r="1421" spans="1:36" ht="14.25" hidden="1" x14ac:dyDescent="0.2">
      <c r="A1421" t="s">
        <v>2291</v>
      </c>
      <c r="B1421" s="1">
        <v>46054</v>
      </c>
      <c r="C1421" t="s">
        <v>24</v>
      </c>
      <c r="D1421" t="s">
        <v>41</v>
      </c>
      <c r="E1421" t="s">
        <v>42</v>
      </c>
      <c r="F1421" t="s">
        <v>101</v>
      </c>
      <c r="G1421" t="s">
        <v>102</v>
      </c>
      <c r="H1421" t="s">
        <v>103</v>
      </c>
      <c r="I1421" t="s">
        <v>64</v>
      </c>
      <c r="J1421" t="s">
        <v>7029</v>
      </c>
      <c r="K1421" t="s">
        <v>78</v>
      </c>
      <c r="L1421" t="s">
        <v>33</v>
      </c>
      <c r="M1421" t="s">
        <v>47</v>
      </c>
      <c r="N1421" t="s">
        <v>69</v>
      </c>
      <c r="O1421" t="s">
        <v>70</v>
      </c>
      <c r="P1421" t="s">
        <v>71</v>
      </c>
      <c r="Q1421" t="s">
        <v>172</v>
      </c>
      <c r="R1421">
        <v>157</v>
      </c>
      <c r="S1421">
        <v>76</v>
      </c>
      <c r="T1421">
        <v>59</v>
      </c>
      <c r="U1421">
        <v>18</v>
      </c>
      <c r="V1421" t="s">
        <v>6441</v>
      </c>
      <c r="W1421">
        <v>61032</v>
      </c>
      <c r="X1421" t="s">
        <v>7257</v>
      </c>
      <c r="Y1421">
        <v>46122</v>
      </c>
      <c r="Z1421">
        <v>1098576</v>
      </c>
      <c r="AA1421">
        <v>268380</v>
      </c>
      <c r="AB1421" t="str">
        <f>(VLOOKUP(SalesData[[#This Row],[Month Number]],Reference!C$5:E$16,2,FALSE))</f>
        <v>Feb</v>
      </c>
      <c r="AC1421">
        <f>MONTH(SalesData[[#This Row],[Date]])</f>
        <v>2</v>
      </c>
      <c r="AD1421">
        <f>Reference!F$4</f>
        <v>2026</v>
      </c>
      <c r="AE1421" t="str">
        <f>IF(OR(SalesData[[#This Row],[Day]]="Saturday",SalesData[[#This Row],[Day]]="Sunday"),"Weekend","Weekday")</f>
        <v>Weekend</v>
      </c>
      <c r="AF1421" s="5">
        <f>IF(SalesData[[#This Row],[Contracts Offered]]=0,0,SalesData[[#This Row],[Contracts Signed]]/SalesData[[#This Row],[Contracts Offered]])</f>
        <v>0.30508474576271188</v>
      </c>
      <c r="AG1421" s="5">
        <f>IF(SalesData[[#This Row],[Customers Visited]]=0,0,SalesData[[#This Row],[Test Drives]]/SalesData[[#This Row],[Customers Visited]])</f>
        <v>0.48407643312101911</v>
      </c>
      <c r="AH1421" s="5">
        <f>IF(SalesData[[#This Row],[Customers Visited]]=0,0,SalesData[[#This Row],[Contracts Signed]]/SalesData[[#This Row],[Customers Visited]])</f>
        <v>0.11464968152866242</v>
      </c>
      <c r="AI1421" s="6">
        <f>IF(SalesData[[#This Row],[Contracts Signed]]=0,0,SalesData[[#This Row],[Profit(€)]]/SalesData[[#This Row],[Contracts Signed]])</f>
        <v>14910</v>
      </c>
      <c r="AJ1421" s="5" t="str">
        <f>TRIM(CLEAN(SalesData[[#This Row],[Retailer]]))</f>
        <v>Ruhr Auto Plaza</v>
      </c>
    </row>
    <row r="1422" spans="1:36" ht="14.25" hidden="1" x14ac:dyDescent="0.2">
      <c r="A1422" t="s">
        <v>2293</v>
      </c>
      <c r="B1422" s="1">
        <v>46078</v>
      </c>
      <c r="C1422" t="s">
        <v>53</v>
      </c>
      <c r="D1422" t="s">
        <v>82</v>
      </c>
      <c r="E1422" t="s">
        <v>26</v>
      </c>
      <c r="F1422" t="s">
        <v>7649</v>
      </c>
      <c r="G1422" t="s">
        <v>55</v>
      </c>
      <c r="H1422" t="s">
        <v>55</v>
      </c>
      <c r="I1422" t="s">
        <v>104</v>
      </c>
      <c r="J1422" t="s">
        <v>105</v>
      </c>
      <c r="K1422" t="s">
        <v>91</v>
      </c>
      <c r="L1422" t="s">
        <v>33</v>
      </c>
      <c r="M1422" t="s">
        <v>34</v>
      </c>
      <c r="N1422" t="s">
        <v>35</v>
      </c>
      <c r="O1422" t="s">
        <v>36</v>
      </c>
      <c r="P1422" t="s">
        <v>71</v>
      </c>
      <c r="Q1422" t="s">
        <v>79</v>
      </c>
      <c r="R1422">
        <v>368</v>
      </c>
      <c r="S1422">
        <v>177</v>
      </c>
      <c r="T1422">
        <v>113</v>
      </c>
      <c r="U1422">
        <v>32</v>
      </c>
      <c r="V1422" t="s">
        <v>975</v>
      </c>
      <c r="W1422">
        <v>31955</v>
      </c>
      <c r="X1422" t="s">
        <v>2529</v>
      </c>
      <c r="Y1422">
        <v>27507</v>
      </c>
      <c r="Z1422">
        <v>1022560</v>
      </c>
      <c r="AA1422">
        <v>142336</v>
      </c>
      <c r="AB1422" t="str">
        <f>(VLOOKUP(SalesData[[#This Row],[Month Number]],Reference!C$5:E$16,2,FALSE))</f>
        <v>Feb</v>
      </c>
      <c r="AC1422">
        <f>MONTH(SalesData[[#This Row],[Date]])</f>
        <v>2</v>
      </c>
      <c r="AD1422">
        <f>Reference!F$4</f>
        <v>2026</v>
      </c>
      <c r="AE1422" t="str">
        <f>IF(OR(SalesData[[#This Row],[Day]]="Saturday",SalesData[[#This Row],[Day]]="Sunday"),"Weekend","Weekday")</f>
        <v>Weekday</v>
      </c>
      <c r="AF1422" s="5">
        <f>IF(SalesData[[#This Row],[Contracts Offered]]=0,0,SalesData[[#This Row],[Contracts Signed]]/SalesData[[#This Row],[Contracts Offered]])</f>
        <v>0.2831858407079646</v>
      </c>
      <c r="AG1422" s="5">
        <f>IF(SalesData[[#This Row],[Customers Visited]]=0,0,SalesData[[#This Row],[Test Drives]]/SalesData[[#This Row],[Customers Visited]])</f>
        <v>0.48097826086956524</v>
      </c>
      <c r="AH1422" s="5">
        <f>IF(SalesData[[#This Row],[Customers Visited]]=0,0,SalesData[[#This Row],[Contracts Signed]]/SalesData[[#This Row],[Customers Visited]])</f>
        <v>8.6956521739130432E-2</v>
      </c>
      <c r="AI1422" s="6">
        <f>IF(SalesData[[#This Row],[Contracts Signed]]=0,0,SalesData[[#This Row],[Profit(€)]]/SalesData[[#This Row],[Contracts Signed]])</f>
        <v>4448</v>
      </c>
      <c r="AJ1422" s="5" t="str">
        <f>TRIM(CLEAN(SalesData[[#This Row],[Retailer]]))</f>
        <v>Autohaus Berlin</v>
      </c>
    </row>
    <row r="1423" spans="1:36" ht="14.25" hidden="1" x14ac:dyDescent="0.2">
      <c r="A1423" t="s">
        <v>2295</v>
      </c>
      <c r="B1423" s="1">
        <v>46078</v>
      </c>
      <c r="C1423" t="s">
        <v>53</v>
      </c>
      <c r="D1423" t="s">
        <v>82</v>
      </c>
      <c r="E1423" t="s">
        <v>26</v>
      </c>
      <c r="F1423" t="s">
        <v>101</v>
      </c>
      <c r="G1423" t="s">
        <v>102</v>
      </c>
      <c r="H1423" t="s">
        <v>103</v>
      </c>
      <c r="I1423" t="s">
        <v>116</v>
      </c>
      <c r="J1423" t="s">
        <v>203</v>
      </c>
      <c r="K1423" t="s">
        <v>66</v>
      </c>
      <c r="L1423" t="s">
        <v>67</v>
      </c>
      <c r="M1423" t="s">
        <v>87</v>
      </c>
      <c r="N1423" t="s">
        <v>48</v>
      </c>
      <c r="O1423" t="s">
        <v>36</v>
      </c>
      <c r="P1423" t="s">
        <v>71</v>
      </c>
      <c r="Q1423" t="s">
        <v>158</v>
      </c>
      <c r="R1423">
        <v>294</v>
      </c>
      <c r="S1423">
        <v>143</v>
      </c>
      <c r="T1423">
        <v>88</v>
      </c>
      <c r="U1423">
        <v>25</v>
      </c>
      <c r="V1423" t="s">
        <v>599</v>
      </c>
      <c r="W1423">
        <v>25550</v>
      </c>
      <c r="X1423" t="s">
        <v>1310</v>
      </c>
      <c r="Y1423">
        <v>22872</v>
      </c>
      <c r="Z1423">
        <v>638750</v>
      </c>
      <c r="AA1423">
        <v>66950</v>
      </c>
      <c r="AB1423" t="str">
        <f>(VLOOKUP(SalesData[[#This Row],[Month Number]],Reference!C$5:E$16,2,FALSE))</f>
        <v>Feb</v>
      </c>
      <c r="AC1423">
        <f>MONTH(SalesData[[#This Row],[Date]])</f>
        <v>2</v>
      </c>
      <c r="AD1423">
        <f>Reference!F$4</f>
        <v>2026</v>
      </c>
      <c r="AE1423" t="str">
        <f>IF(OR(SalesData[[#This Row],[Day]]="Saturday",SalesData[[#This Row],[Day]]="Sunday"),"Weekend","Weekday")</f>
        <v>Weekday</v>
      </c>
      <c r="AF1423" s="5">
        <f>IF(SalesData[[#This Row],[Contracts Offered]]=0,0,SalesData[[#This Row],[Contracts Signed]]/SalesData[[#This Row],[Contracts Offered]])</f>
        <v>0.28409090909090912</v>
      </c>
      <c r="AG1423" s="5">
        <f>IF(SalesData[[#This Row],[Customers Visited]]=0,0,SalesData[[#This Row],[Test Drives]]/SalesData[[#This Row],[Customers Visited]])</f>
        <v>0.48639455782312924</v>
      </c>
      <c r="AH1423" s="5">
        <f>IF(SalesData[[#This Row],[Customers Visited]]=0,0,SalesData[[#This Row],[Contracts Signed]]/SalesData[[#This Row],[Customers Visited]])</f>
        <v>8.5034013605442174E-2</v>
      </c>
      <c r="AI1423" s="6">
        <f>IF(SalesData[[#This Row],[Contracts Signed]]=0,0,SalesData[[#This Row],[Profit(€)]]/SalesData[[#This Row],[Contracts Signed]])</f>
        <v>2678</v>
      </c>
      <c r="AJ1423" s="5" t="str">
        <f>TRIM(CLEAN(SalesData[[#This Row],[Retailer]]))</f>
        <v>Ruhr Auto Plaza</v>
      </c>
    </row>
    <row r="1424" spans="1:36" ht="14.25" hidden="1" x14ac:dyDescent="0.2">
      <c r="A1424" t="s">
        <v>2296</v>
      </c>
      <c r="B1424" s="1">
        <v>46072</v>
      </c>
      <c r="C1424" t="s">
        <v>62</v>
      </c>
      <c r="D1424" t="s">
        <v>100</v>
      </c>
      <c r="E1424" t="s">
        <v>26</v>
      </c>
      <c r="F1424" t="s">
        <v>43</v>
      </c>
      <c r="G1424" t="s">
        <v>44</v>
      </c>
      <c r="H1424" t="s">
        <v>45</v>
      </c>
      <c r="I1424" t="s">
        <v>116</v>
      </c>
      <c r="J1424" t="s">
        <v>132</v>
      </c>
      <c r="K1424" t="s">
        <v>78</v>
      </c>
      <c r="L1424" t="s">
        <v>46</v>
      </c>
      <c r="M1424" t="s">
        <v>34</v>
      </c>
      <c r="N1424" t="s">
        <v>69</v>
      </c>
      <c r="O1424" t="s">
        <v>70</v>
      </c>
      <c r="P1424" t="s">
        <v>58</v>
      </c>
      <c r="Q1424" t="s">
        <v>204</v>
      </c>
      <c r="R1424">
        <v>225</v>
      </c>
      <c r="S1424">
        <v>90</v>
      </c>
      <c r="T1424">
        <v>55</v>
      </c>
      <c r="U1424">
        <v>14</v>
      </c>
      <c r="V1424" t="s">
        <v>925</v>
      </c>
      <c r="W1424">
        <v>21616</v>
      </c>
      <c r="X1424" t="s">
        <v>845</v>
      </c>
      <c r="Y1424">
        <v>19728</v>
      </c>
      <c r="Z1424">
        <v>302624</v>
      </c>
      <c r="AA1424">
        <v>26432</v>
      </c>
      <c r="AB1424" t="str">
        <f>(VLOOKUP(SalesData[[#This Row],[Month Number]],Reference!C$5:E$16,2,FALSE))</f>
        <v>Feb</v>
      </c>
      <c r="AC1424">
        <f>MONTH(SalesData[[#This Row],[Date]])</f>
        <v>2</v>
      </c>
      <c r="AD1424">
        <f>Reference!F$4</f>
        <v>2026</v>
      </c>
      <c r="AE1424" t="str">
        <f>IF(OR(SalesData[[#This Row],[Day]]="Saturday",SalesData[[#This Row],[Day]]="Sunday"),"Weekend","Weekday")</f>
        <v>Weekday</v>
      </c>
      <c r="AF1424" s="5">
        <f>IF(SalesData[[#This Row],[Contracts Offered]]=0,0,SalesData[[#This Row],[Contracts Signed]]/SalesData[[#This Row],[Contracts Offered]])</f>
        <v>0.25454545454545452</v>
      </c>
      <c r="AG1424" s="5">
        <f>IF(SalesData[[#This Row],[Customers Visited]]=0,0,SalesData[[#This Row],[Test Drives]]/SalesData[[#This Row],[Customers Visited]])</f>
        <v>0.4</v>
      </c>
      <c r="AH1424" s="5">
        <f>IF(SalesData[[#This Row],[Customers Visited]]=0,0,SalesData[[#This Row],[Contracts Signed]]/SalesData[[#This Row],[Customers Visited]])</f>
        <v>6.222222222222222E-2</v>
      </c>
      <c r="AI1424" s="6">
        <f>IF(SalesData[[#This Row],[Contracts Signed]]=0,0,SalesData[[#This Row],[Profit(€)]]/SalesData[[#This Row],[Contracts Signed]])</f>
        <v>1888</v>
      </c>
      <c r="AJ1424" s="5" t="str">
        <f>TRIM(CLEAN(SalesData[[#This Row],[Retailer]]))</f>
        <v>Saxon Wheels</v>
      </c>
    </row>
    <row r="1425" spans="1:36" ht="14.25" hidden="1" x14ac:dyDescent="0.2">
      <c r="A1425" t="s">
        <v>2297</v>
      </c>
      <c r="B1425" s="1">
        <v>46080</v>
      </c>
      <c r="C1425" t="s">
        <v>53</v>
      </c>
      <c r="D1425" t="s">
        <v>54</v>
      </c>
      <c r="E1425" t="s">
        <v>26</v>
      </c>
      <c r="F1425" t="s">
        <v>27</v>
      </c>
      <c r="G1425" t="s">
        <v>28</v>
      </c>
      <c r="H1425" t="s">
        <v>29</v>
      </c>
      <c r="I1425" t="s">
        <v>116</v>
      </c>
      <c r="J1425" t="s">
        <v>7090</v>
      </c>
      <c r="K1425" t="s">
        <v>66</v>
      </c>
      <c r="L1425" t="s">
        <v>46</v>
      </c>
      <c r="M1425" t="s">
        <v>68</v>
      </c>
      <c r="N1425" t="s">
        <v>48</v>
      </c>
      <c r="O1425" t="s">
        <v>36</v>
      </c>
      <c r="P1425" t="s">
        <v>37</v>
      </c>
      <c r="Q1425" t="s">
        <v>106</v>
      </c>
      <c r="R1425">
        <v>426</v>
      </c>
      <c r="S1425">
        <v>201</v>
      </c>
      <c r="T1425">
        <v>117</v>
      </c>
      <c r="U1425">
        <v>26</v>
      </c>
      <c r="V1425" t="s">
        <v>3455</v>
      </c>
      <c r="W1425">
        <v>23771</v>
      </c>
      <c r="X1425" t="s">
        <v>7048</v>
      </c>
      <c r="Y1425">
        <v>21230</v>
      </c>
      <c r="Z1425">
        <v>618046</v>
      </c>
      <c r="AA1425">
        <v>66066</v>
      </c>
      <c r="AB1425" t="str">
        <f>(VLOOKUP(SalesData[[#This Row],[Month Number]],Reference!C$5:E$16,2,FALSE))</f>
        <v>Feb</v>
      </c>
      <c r="AC1425">
        <f>MONTH(SalesData[[#This Row],[Date]])</f>
        <v>2</v>
      </c>
      <c r="AD1425">
        <f>Reference!F$4</f>
        <v>2026</v>
      </c>
      <c r="AE1425" t="str">
        <f>IF(OR(SalesData[[#This Row],[Day]]="Saturday",SalesData[[#This Row],[Day]]="Sunday"),"Weekend","Weekday")</f>
        <v>Weekday</v>
      </c>
      <c r="AF1425" s="5">
        <f>IF(SalesData[[#This Row],[Contracts Offered]]=0,0,SalesData[[#This Row],[Contracts Signed]]/SalesData[[#This Row],[Contracts Offered]])</f>
        <v>0.22222222222222221</v>
      </c>
      <c r="AG1425" s="5">
        <f>IF(SalesData[[#This Row],[Customers Visited]]=0,0,SalesData[[#This Row],[Test Drives]]/SalesData[[#This Row],[Customers Visited]])</f>
        <v>0.47183098591549294</v>
      </c>
      <c r="AH1425" s="5">
        <f>IF(SalesData[[#This Row],[Customers Visited]]=0,0,SalesData[[#This Row],[Contracts Signed]]/SalesData[[#This Row],[Customers Visited]])</f>
        <v>6.1032863849765258E-2</v>
      </c>
      <c r="AI1425" s="6">
        <f>IF(SalesData[[#This Row],[Contracts Signed]]=0,0,SalesData[[#This Row],[Profit(€)]]/SalesData[[#This Row],[Contracts Signed]])</f>
        <v>2541</v>
      </c>
      <c r="AJ1425" s="5" t="str">
        <f>TRIM(CLEAN(SalesData[[#This Row],[Retailer]]))</f>
        <v>Main Auto Hub</v>
      </c>
    </row>
    <row r="1426" spans="1:36" ht="14.25" hidden="1" x14ac:dyDescent="0.2">
      <c r="A1426" t="s">
        <v>2298</v>
      </c>
      <c r="B1426" s="1">
        <v>46075</v>
      </c>
      <c r="C1426" t="s">
        <v>53</v>
      </c>
      <c r="D1426" t="s">
        <v>41</v>
      </c>
      <c r="E1426" t="s">
        <v>42</v>
      </c>
      <c r="F1426" t="s">
        <v>101</v>
      </c>
      <c r="G1426" t="s">
        <v>102</v>
      </c>
      <c r="H1426" t="s">
        <v>103</v>
      </c>
      <c r="I1426" t="s">
        <v>64</v>
      </c>
      <c r="J1426" t="s">
        <v>111</v>
      </c>
      <c r="K1426" t="s">
        <v>66</v>
      </c>
      <c r="L1426" t="s">
        <v>46</v>
      </c>
      <c r="M1426" t="s">
        <v>47</v>
      </c>
      <c r="N1426" t="s">
        <v>69</v>
      </c>
      <c r="O1426" t="s">
        <v>36</v>
      </c>
      <c r="P1426" t="s">
        <v>58</v>
      </c>
      <c r="Q1426" t="s">
        <v>240</v>
      </c>
      <c r="R1426">
        <v>194</v>
      </c>
      <c r="S1426">
        <v>107</v>
      </c>
      <c r="T1426">
        <v>75</v>
      </c>
      <c r="U1426">
        <v>29</v>
      </c>
      <c r="V1426" t="s">
        <v>6921</v>
      </c>
      <c r="W1426">
        <v>61739</v>
      </c>
      <c r="X1426" t="s">
        <v>3488</v>
      </c>
      <c r="Y1426">
        <v>47578</v>
      </c>
      <c r="Z1426">
        <v>1790431</v>
      </c>
      <c r="AA1426">
        <v>410669</v>
      </c>
      <c r="AB1426" t="str">
        <f>(VLOOKUP(SalesData[[#This Row],[Month Number]],Reference!C$5:E$16,2,FALSE))</f>
        <v>Feb</v>
      </c>
      <c r="AC1426">
        <f>MONTH(SalesData[[#This Row],[Date]])</f>
        <v>2</v>
      </c>
      <c r="AD1426">
        <f>Reference!F$4</f>
        <v>2026</v>
      </c>
      <c r="AE1426" t="str">
        <f>IF(OR(SalesData[[#This Row],[Day]]="Saturday",SalesData[[#This Row],[Day]]="Sunday"),"Weekend","Weekday")</f>
        <v>Weekend</v>
      </c>
      <c r="AF1426" s="5">
        <f>IF(SalesData[[#This Row],[Contracts Offered]]=0,0,SalesData[[#This Row],[Contracts Signed]]/SalesData[[#This Row],[Contracts Offered]])</f>
        <v>0.38666666666666666</v>
      </c>
      <c r="AG1426" s="5">
        <f>IF(SalesData[[#This Row],[Customers Visited]]=0,0,SalesData[[#This Row],[Test Drives]]/SalesData[[#This Row],[Customers Visited]])</f>
        <v>0.55154639175257736</v>
      </c>
      <c r="AH1426" s="5">
        <f>IF(SalesData[[#This Row],[Customers Visited]]=0,0,SalesData[[#This Row],[Contracts Signed]]/SalesData[[#This Row],[Customers Visited]])</f>
        <v>0.14948453608247422</v>
      </c>
      <c r="AI1426" s="6">
        <f>IF(SalesData[[#This Row],[Contracts Signed]]=0,0,SalesData[[#This Row],[Profit(€)]]/SalesData[[#This Row],[Contracts Signed]])</f>
        <v>14161</v>
      </c>
      <c r="AJ1426" s="5" t="str">
        <f>TRIM(CLEAN(SalesData[[#This Row],[Retailer]]))</f>
        <v>Ruhr Auto Plaza</v>
      </c>
    </row>
    <row r="1427" spans="1:36" ht="14.25" x14ac:dyDescent="0.2">
      <c r="A1427" t="s">
        <v>2300</v>
      </c>
      <c r="B1427" s="1">
        <v>46078</v>
      </c>
      <c r="C1427" t="s">
        <v>53</v>
      </c>
      <c r="D1427" t="s">
        <v>82</v>
      </c>
      <c r="E1427" t="s">
        <v>26</v>
      </c>
      <c r="F1427" t="s">
        <v>74</v>
      </c>
      <c r="G1427" t="s">
        <v>75</v>
      </c>
      <c r="H1427" t="s">
        <v>76</v>
      </c>
      <c r="I1427" t="s">
        <v>30</v>
      </c>
      <c r="J1427" t="s">
        <v>188</v>
      </c>
      <c r="K1427" t="s">
        <v>32</v>
      </c>
      <c r="L1427" t="s">
        <v>33</v>
      </c>
      <c r="M1427" t="s">
        <v>47</v>
      </c>
      <c r="N1427" t="s">
        <v>35</v>
      </c>
      <c r="O1427" t="s">
        <v>36</v>
      </c>
      <c r="P1427" t="s">
        <v>49</v>
      </c>
      <c r="Q1427" t="s">
        <v>59</v>
      </c>
      <c r="R1427">
        <v>141</v>
      </c>
      <c r="S1427">
        <v>68</v>
      </c>
      <c r="T1427">
        <v>54</v>
      </c>
      <c r="U1427">
        <v>18</v>
      </c>
      <c r="V1427" t="s">
        <v>6486</v>
      </c>
      <c r="W1427">
        <v>51488</v>
      </c>
      <c r="X1427" t="s">
        <v>504</v>
      </c>
      <c r="Y1427">
        <v>39955</v>
      </c>
      <c r="Z1427">
        <v>926784</v>
      </c>
      <c r="AA1427">
        <v>207594</v>
      </c>
      <c r="AB1427" t="str">
        <f>(VLOOKUP(SalesData[[#This Row],[Month Number]],Reference!C$5:E$16,2,FALSE))</f>
        <v>Feb</v>
      </c>
      <c r="AC1427">
        <f>MONTH(SalesData[[#This Row],[Date]])</f>
        <v>2</v>
      </c>
      <c r="AD1427">
        <f>Reference!F$4</f>
        <v>2026</v>
      </c>
      <c r="AE1427" t="str">
        <f>IF(OR(SalesData[[#This Row],[Day]]="Saturday",SalesData[[#This Row],[Day]]="Sunday"),"Weekend","Weekday")</f>
        <v>Weekday</v>
      </c>
      <c r="AF1427" s="5">
        <f>IF(SalesData[[#This Row],[Contracts Offered]]=0,0,SalesData[[#This Row],[Contracts Signed]]/SalesData[[#This Row],[Contracts Offered]])</f>
        <v>0.33333333333333331</v>
      </c>
      <c r="AG1427" s="5">
        <f>IF(SalesData[[#This Row],[Customers Visited]]=0,0,SalesData[[#This Row],[Test Drives]]/SalesData[[#This Row],[Customers Visited]])</f>
        <v>0.48226950354609927</v>
      </c>
      <c r="AH1427" s="5">
        <f>IF(SalesData[[#This Row],[Customers Visited]]=0,0,SalesData[[#This Row],[Contracts Signed]]/SalesData[[#This Row],[Customers Visited]])</f>
        <v>0.1276595744680851</v>
      </c>
      <c r="AI1427" s="6">
        <f>IF(SalesData[[#This Row],[Contracts Signed]]=0,0,SalesData[[#This Row],[Profit(€)]]/SalesData[[#This Row],[Contracts Signed]])</f>
        <v>11533</v>
      </c>
      <c r="AJ1427" s="5" t="str">
        <f>TRIM(CLEAN(SalesData[[#This Row],[Retailer]]))</f>
        <v>Stuttgart Auto Center</v>
      </c>
    </row>
    <row r="1428" spans="1:36" ht="14.25" hidden="1" x14ac:dyDescent="0.2">
      <c r="A1428" t="s">
        <v>2301</v>
      </c>
      <c r="B1428" s="1">
        <v>46072</v>
      </c>
      <c r="C1428" t="s">
        <v>62</v>
      </c>
      <c r="D1428" t="s">
        <v>100</v>
      </c>
      <c r="E1428" t="s">
        <v>26</v>
      </c>
      <c r="F1428" t="s">
        <v>127</v>
      </c>
      <c r="G1428" t="s">
        <v>128</v>
      </c>
      <c r="H1428" t="s">
        <v>103</v>
      </c>
      <c r="I1428" t="s">
        <v>116</v>
      </c>
      <c r="J1428" t="s">
        <v>203</v>
      </c>
      <c r="K1428" t="s">
        <v>32</v>
      </c>
      <c r="L1428" t="s">
        <v>67</v>
      </c>
      <c r="M1428" t="s">
        <v>34</v>
      </c>
      <c r="N1428" t="s">
        <v>69</v>
      </c>
      <c r="O1428" t="s">
        <v>70</v>
      </c>
      <c r="P1428" t="s">
        <v>71</v>
      </c>
      <c r="Q1428" t="s">
        <v>167</v>
      </c>
      <c r="R1428">
        <v>225</v>
      </c>
      <c r="S1428">
        <v>107</v>
      </c>
      <c r="T1428">
        <v>67</v>
      </c>
      <c r="U1428">
        <v>19</v>
      </c>
      <c r="V1428" t="s">
        <v>2026</v>
      </c>
      <c r="W1428">
        <v>21257</v>
      </c>
      <c r="X1428" t="s">
        <v>1381</v>
      </c>
      <c r="Y1428">
        <v>19333</v>
      </c>
      <c r="Z1428">
        <v>403883</v>
      </c>
      <c r="AA1428">
        <v>36556</v>
      </c>
      <c r="AB1428" t="str">
        <f>(VLOOKUP(SalesData[[#This Row],[Month Number]],Reference!C$5:E$16,2,FALSE))</f>
        <v>Feb</v>
      </c>
      <c r="AC1428">
        <f>MONTH(SalesData[[#This Row],[Date]])</f>
        <v>2</v>
      </c>
      <c r="AD1428">
        <f>Reference!F$4</f>
        <v>2026</v>
      </c>
      <c r="AE1428" t="str">
        <f>IF(OR(SalesData[[#This Row],[Day]]="Saturday",SalesData[[#This Row],[Day]]="Sunday"),"Weekend","Weekday")</f>
        <v>Weekday</v>
      </c>
      <c r="AF1428" s="5">
        <f>IF(SalesData[[#This Row],[Contracts Offered]]=0,0,SalesData[[#This Row],[Contracts Signed]]/SalesData[[#This Row],[Contracts Offered]])</f>
        <v>0.28358208955223879</v>
      </c>
      <c r="AG1428" s="5">
        <f>IF(SalesData[[#This Row],[Customers Visited]]=0,0,SalesData[[#This Row],[Test Drives]]/SalesData[[#This Row],[Customers Visited]])</f>
        <v>0.47555555555555556</v>
      </c>
      <c r="AH1428" s="5">
        <f>IF(SalesData[[#This Row],[Customers Visited]]=0,0,SalesData[[#This Row],[Contracts Signed]]/SalesData[[#This Row],[Customers Visited]])</f>
        <v>8.4444444444444447E-2</v>
      </c>
      <c r="AI1428" s="6">
        <f>IF(SalesData[[#This Row],[Contracts Signed]]=0,0,SalesData[[#This Row],[Profit(€)]]/SalesData[[#This Row],[Contracts Signed]])</f>
        <v>1924</v>
      </c>
      <c r="AJ1428" s="5" t="str">
        <f>TRIM(CLEAN(SalesData[[#This Row],[Retailer]]))</f>
        <v>Rhein Auto Group</v>
      </c>
    </row>
    <row r="1429" spans="1:36" ht="14.25" hidden="1" x14ac:dyDescent="0.2">
      <c r="A1429" t="s">
        <v>2303</v>
      </c>
      <c r="B1429" s="1">
        <v>46073</v>
      </c>
      <c r="C1429" t="s">
        <v>62</v>
      </c>
      <c r="D1429" t="s">
        <v>54</v>
      </c>
      <c r="E1429" t="s">
        <v>26</v>
      </c>
      <c r="F1429" t="s">
        <v>7649</v>
      </c>
      <c r="G1429" t="s">
        <v>55</v>
      </c>
      <c r="H1429" t="s">
        <v>55</v>
      </c>
      <c r="I1429" t="s">
        <v>56</v>
      </c>
      <c r="J1429" t="s">
        <v>179</v>
      </c>
      <c r="K1429" t="s">
        <v>32</v>
      </c>
      <c r="L1429" t="s">
        <v>67</v>
      </c>
      <c r="M1429" t="s">
        <v>34</v>
      </c>
      <c r="N1429" t="s">
        <v>48</v>
      </c>
      <c r="O1429" t="s">
        <v>36</v>
      </c>
      <c r="P1429" t="s">
        <v>49</v>
      </c>
      <c r="Q1429" t="s">
        <v>158</v>
      </c>
      <c r="R1429">
        <v>279</v>
      </c>
      <c r="S1429">
        <v>148</v>
      </c>
      <c r="T1429">
        <v>102</v>
      </c>
      <c r="U1429">
        <v>34</v>
      </c>
      <c r="V1429" t="s">
        <v>6650</v>
      </c>
      <c r="W1429">
        <v>44460</v>
      </c>
      <c r="X1429" t="s">
        <v>361</v>
      </c>
      <c r="Y1429">
        <v>35173</v>
      </c>
      <c r="Z1429">
        <v>1511640</v>
      </c>
      <c r="AA1429">
        <v>315758</v>
      </c>
      <c r="AB1429" t="str">
        <f>(VLOOKUP(SalesData[[#This Row],[Month Number]],Reference!C$5:E$16,2,FALSE))</f>
        <v>Feb</v>
      </c>
      <c r="AC1429">
        <f>MONTH(SalesData[[#This Row],[Date]])</f>
        <v>2</v>
      </c>
      <c r="AD1429">
        <f>Reference!F$4</f>
        <v>2026</v>
      </c>
      <c r="AE1429" t="str">
        <f>IF(OR(SalesData[[#This Row],[Day]]="Saturday",SalesData[[#This Row],[Day]]="Sunday"),"Weekend","Weekday")</f>
        <v>Weekday</v>
      </c>
      <c r="AF1429" s="5">
        <f>IF(SalesData[[#This Row],[Contracts Offered]]=0,0,SalesData[[#This Row],[Contracts Signed]]/SalesData[[#This Row],[Contracts Offered]])</f>
        <v>0.33333333333333331</v>
      </c>
      <c r="AG1429" s="5">
        <f>IF(SalesData[[#This Row],[Customers Visited]]=0,0,SalesData[[#This Row],[Test Drives]]/SalesData[[#This Row],[Customers Visited]])</f>
        <v>0.53046594982078854</v>
      </c>
      <c r="AH1429" s="5">
        <f>IF(SalesData[[#This Row],[Customers Visited]]=0,0,SalesData[[#This Row],[Contracts Signed]]/SalesData[[#This Row],[Customers Visited]])</f>
        <v>0.12186379928315412</v>
      </c>
      <c r="AI1429" s="6">
        <f>IF(SalesData[[#This Row],[Contracts Signed]]=0,0,SalesData[[#This Row],[Profit(€)]]/SalesData[[#This Row],[Contracts Signed]])</f>
        <v>9287</v>
      </c>
      <c r="AJ1429" s="5" t="str">
        <f>TRIM(CLEAN(SalesData[[#This Row],[Retailer]]))</f>
        <v>Autohaus Berlin</v>
      </c>
    </row>
    <row r="1430" spans="1:36" ht="14.25" hidden="1" x14ac:dyDescent="0.2">
      <c r="A1430" t="s">
        <v>2304</v>
      </c>
      <c r="B1430" s="1">
        <v>46067</v>
      </c>
      <c r="C1430" t="s">
        <v>121</v>
      </c>
      <c r="D1430" t="s">
        <v>151</v>
      </c>
      <c r="E1430" t="s">
        <v>42</v>
      </c>
      <c r="F1430" t="s">
        <v>127</v>
      </c>
      <c r="G1430" t="s">
        <v>128</v>
      </c>
      <c r="H1430" t="s">
        <v>103</v>
      </c>
      <c r="I1430" t="s">
        <v>104</v>
      </c>
      <c r="J1430" t="s">
        <v>105</v>
      </c>
      <c r="K1430" t="s">
        <v>91</v>
      </c>
      <c r="L1430" t="s">
        <v>33</v>
      </c>
      <c r="M1430" t="s">
        <v>47</v>
      </c>
      <c r="N1430" t="s">
        <v>35</v>
      </c>
      <c r="O1430" t="s">
        <v>36</v>
      </c>
      <c r="P1430" t="s">
        <v>71</v>
      </c>
      <c r="Q1430" t="s">
        <v>59</v>
      </c>
      <c r="R1430">
        <v>466</v>
      </c>
      <c r="S1430">
        <v>266</v>
      </c>
      <c r="T1430">
        <v>170</v>
      </c>
      <c r="U1430">
        <v>45</v>
      </c>
      <c r="V1430" t="s">
        <v>656</v>
      </c>
      <c r="W1430">
        <v>34542</v>
      </c>
      <c r="X1430" t="s">
        <v>4948</v>
      </c>
      <c r="Y1430">
        <v>30904</v>
      </c>
      <c r="Z1430">
        <v>1554390</v>
      </c>
      <c r="AA1430">
        <v>163710</v>
      </c>
      <c r="AB1430" t="str">
        <f>(VLOOKUP(SalesData[[#This Row],[Month Number]],Reference!C$5:E$16,2,FALSE))</f>
        <v>Feb</v>
      </c>
      <c r="AC1430">
        <f>MONTH(SalesData[[#This Row],[Date]])</f>
        <v>2</v>
      </c>
      <c r="AD1430">
        <f>Reference!F$4</f>
        <v>2026</v>
      </c>
      <c r="AE1430" t="str">
        <f>IF(OR(SalesData[[#This Row],[Day]]="Saturday",SalesData[[#This Row],[Day]]="Sunday"),"Weekend","Weekday")</f>
        <v>Weekend</v>
      </c>
      <c r="AF1430" s="5">
        <f>IF(SalesData[[#This Row],[Contracts Offered]]=0,0,SalesData[[#This Row],[Contracts Signed]]/SalesData[[#This Row],[Contracts Offered]])</f>
        <v>0.26470588235294118</v>
      </c>
      <c r="AG1430" s="5">
        <f>IF(SalesData[[#This Row],[Customers Visited]]=0,0,SalesData[[#This Row],[Test Drives]]/SalesData[[#This Row],[Customers Visited]])</f>
        <v>0.57081545064377681</v>
      </c>
      <c r="AH1430" s="5">
        <f>IF(SalesData[[#This Row],[Customers Visited]]=0,0,SalesData[[#This Row],[Contracts Signed]]/SalesData[[#This Row],[Customers Visited]])</f>
        <v>9.6566523605150209E-2</v>
      </c>
      <c r="AI1430" s="6">
        <f>IF(SalesData[[#This Row],[Contracts Signed]]=0,0,SalesData[[#This Row],[Profit(€)]]/SalesData[[#This Row],[Contracts Signed]])</f>
        <v>3638</v>
      </c>
      <c r="AJ1430" s="5" t="str">
        <f>TRIM(CLEAN(SalesData[[#This Row],[Retailer]]))</f>
        <v>Rhein Auto Group</v>
      </c>
    </row>
    <row r="1431" spans="1:36" ht="14.25" hidden="1" x14ac:dyDescent="0.2">
      <c r="A1431" t="s">
        <v>2306</v>
      </c>
      <c r="B1431" s="1">
        <v>46073</v>
      </c>
      <c r="C1431" t="s">
        <v>62</v>
      </c>
      <c r="D1431" t="s">
        <v>54</v>
      </c>
      <c r="E1431" t="s">
        <v>26</v>
      </c>
      <c r="F1431" t="s">
        <v>7649</v>
      </c>
      <c r="G1431" t="s">
        <v>55</v>
      </c>
      <c r="H1431" t="s">
        <v>55</v>
      </c>
      <c r="I1431" t="s">
        <v>104</v>
      </c>
      <c r="J1431" t="s">
        <v>143</v>
      </c>
      <c r="K1431" t="s">
        <v>66</v>
      </c>
      <c r="L1431" t="s">
        <v>67</v>
      </c>
      <c r="M1431" t="s">
        <v>34</v>
      </c>
      <c r="N1431" t="s">
        <v>69</v>
      </c>
      <c r="O1431" t="s">
        <v>36</v>
      </c>
      <c r="P1431" t="s">
        <v>58</v>
      </c>
      <c r="Q1431" t="s">
        <v>158</v>
      </c>
      <c r="R1431">
        <v>519</v>
      </c>
      <c r="S1431">
        <v>288</v>
      </c>
      <c r="T1431">
        <v>191</v>
      </c>
      <c r="U1431">
        <v>61</v>
      </c>
      <c r="V1431" t="s">
        <v>6609</v>
      </c>
      <c r="W1431">
        <v>26555</v>
      </c>
      <c r="X1431" t="s">
        <v>1465</v>
      </c>
      <c r="Y1431">
        <v>23830</v>
      </c>
      <c r="Z1431">
        <v>1619855</v>
      </c>
      <c r="AA1431">
        <v>166225</v>
      </c>
      <c r="AB1431" t="str">
        <f>(VLOOKUP(SalesData[[#This Row],[Month Number]],Reference!C$5:E$16,2,FALSE))</f>
        <v>Feb</v>
      </c>
      <c r="AC1431">
        <f>MONTH(SalesData[[#This Row],[Date]])</f>
        <v>2</v>
      </c>
      <c r="AD1431">
        <f>Reference!F$4</f>
        <v>2026</v>
      </c>
      <c r="AE1431" t="str">
        <f>IF(OR(SalesData[[#This Row],[Day]]="Saturday",SalesData[[#This Row],[Day]]="Sunday"),"Weekend","Weekday")</f>
        <v>Weekday</v>
      </c>
      <c r="AF1431" s="5">
        <f>IF(SalesData[[#This Row],[Contracts Offered]]=0,0,SalesData[[#This Row],[Contracts Signed]]/SalesData[[#This Row],[Contracts Offered]])</f>
        <v>0.3193717277486911</v>
      </c>
      <c r="AG1431" s="5">
        <f>IF(SalesData[[#This Row],[Customers Visited]]=0,0,SalesData[[#This Row],[Test Drives]]/SalesData[[#This Row],[Customers Visited]])</f>
        <v>0.55491329479768781</v>
      </c>
      <c r="AH1431" s="5">
        <f>IF(SalesData[[#This Row],[Customers Visited]]=0,0,SalesData[[#This Row],[Contracts Signed]]/SalesData[[#This Row],[Customers Visited]])</f>
        <v>0.11753371868978806</v>
      </c>
      <c r="AI1431" s="6">
        <f>IF(SalesData[[#This Row],[Contracts Signed]]=0,0,SalesData[[#This Row],[Profit(€)]]/SalesData[[#This Row],[Contracts Signed]])</f>
        <v>2725</v>
      </c>
      <c r="AJ1431" s="5" t="str">
        <f>TRIM(CLEAN(SalesData[[#This Row],[Retailer]]))</f>
        <v>Autohaus Berlin</v>
      </c>
    </row>
    <row r="1432" spans="1:36" ht="14.25" x14ac:dyDescent="0.2">
      <c r="A1432" t="s">
        <v>2307</v>
      </c>
      <c r="B1432" s="1">
        <v>46066</v>
      </c>
      <c r="C1432" t="s">
        <v>121</v>
      </c>
      <c r="D1432" t="s">
        <v>54</v>
      </c>
      <c r="E1432" t="s">
        <v>26</v>
      </c>
      <c r="F1432" t="s">
        <v>43</v>
      </c>
      <c r="G1432" t="s">
        <v>44</v>
      </c>
      <c r="H1432" t="s">
        <v>45</v>
      </c>
      <c r="I1432" t="s">
        <v>30</v>
      </c>
      <c r="J1432" t="s">
        <v>7075</v>
      </c>
      <c r="K1432" t="s">
        <v>66</v>
      </c>
      <c r="L1432" t="s">
        <v>33</v>
      </c>
      <c r="M1432" t="s">
        <v>87</v>
      </c>
      <c r="N1432" t="s">
        <v>48</v>
      </c>
      <c r="O1432" t="s">
        <v>70</v>
      </c>
      <c r="P1432" t="s">
        <v>49</v>
      </c>
      <c r="Q1432" t="s">
        <v>204</v>
      </c>
      <c r="R1432">
        <v>197</v>
      </c>
      <c r="S1432">
        <v>119</v>
      </c>
      <c r="T1432">
        <v>83</v>
      </c>
      <c r="U1432">
        <v>32</v>
      </c>
      <c r="V1432" t="s">
        <v>6632</v>
      </c>
      <c r="W1432">
        <v>69599</v>
      </c>
      <c r="X1432" t="s">
        <v>7239</v>
      </c>
      <c r="Y1432">
        <v>51290</v>
      </c>
      <c r="Z1432">
        <v>2227168</v>
      </c>
      <c r="AA1432">
        <v>585888</v>
      </c>
      <c r="AB1432" t="str">
        <f>(VLOOKUP(SalesData[[#This Row],[Month Number]],Reference!C$5:E$16,2,FALSE))</f>
        <v>Feb</v>
      </c>
      <c r="AC1432">
        <f>MONTH(SalesData[[#This Row],[Date]])</f>
        <v>2</v>
      </c>
      <c r="AD1432">
        <f>Reference!F$4</f>
        <v>2026</v>
      </c>
      <c r="AE1432" t="str">
        <f>IF(OR(SalesData[[#This Row],[Day]]="Saturday",SalesData[[#This Row],[Day]]="Sunday"),"Weekend","Weekday")</f>
        <v>Weekday</v>
      </c>
      <c r="AF1432" s="5">
        <f>IF(SalesData[[#This Row],[Contracts Offered]]=0,0,SalesData[[#This Row],[Contracts Signed]]/SalesData[[#This Row],[Contracts Offered]])</f>
        <v>0.38554216867469882</v>
      </c>
      <c r="AG1432" s="5">
        <f>IF(SalesData[[#This Row],[Customers Visited]]=0,0,SalesData[[#This Row],[Test Drives]]/SalesData[[#This Row],[Customers Visited]])</f>
        <v>0.60406091370558379</v>
      </c>
      <c r="AH1432" s="5">
        <f>IF(SalesData[[#This Row],[Customers Visited]]=0,0,SalesData[[#This Row],[Contracts Signed]]/SalesData[[#This Row],[Customers Visited]])</f>
        <v>0.16243654822335024</v>
      </c>
      <c r="AI1432" s="6">
        <f>IF(SalesData[[#This Row],[Contracts Signed]]=0,0,SalesData[[#This Row],[Profit(€)]]/SalesData[[#This Row],[Contracts Signed]])</f>
        <v>18309</v>
      </c>
      <c r="AJ1432" s="5" t="str">
        <f>TRIM(CLEAN(SalesData[[#This Row],[Retailer]]))</f>
        <v>Saxon Wheels</v>
      </c>
    </row>
    <row r="1433" spans="1:36" ht="14.25" hidden="1" x14ac:dyDescent="0.2">
      <c r="A1433" t="s">
        <v>2308</v>
      </c>
      <c r="B1433" s="1">
        <v>46055</v>
      </c>
      <c r="C1433" t="s">
        <v>24</v>
      </c>
      <c r="D1433" t="s">
        <v>25</v>
      </c>
      <c r="E1433" t="s">
        <v>26</v>
      </c>
      <c r="F1433" t="s">
        <v>43</v>
      </c>
      <c r="G1433" t="s">
        <v>44</v>
      </c>
      <c r="H1433" t="s">
        <v>45</v>
      </c>
      <c r="I1433" t="s">
        <v>64</v>
      </c>
      <c r="J1433" t="s">
        <v>77</v>
      </c>
      <c r="K1433" t="s">
        <v>91</v>
      </c>
      <c r="L1433" t="s">
        <v>46</v>
      </c>
      <c r="M1433" t="s">
        <v>34</v>
      </c>
      <c r="N1433" t="s">
        <v>69</v>
      </c>
      <c r="O1433" t="s">
        <v>70</v>
      </c>
      <c r="P1433" t="s">
        <v>49</v>
      </c>
      <c r="Q1433" t="s">
        <v>59</v>
      </c>
      <c r="R1433">
        <v>236</v>
      </c>
      <c r="S1433">
        <v>123</v>
      </c>
      <c r="T1433">
        <v>84</v>
      </c>
      <c r="U1433">
        <v>27</v>
      </c>
      <c r="V1433" t="s">
        <v>6382</v>
      </c>
      <c r="W1433">
        <v>53228</v>
      </c>
      <c r="X1433" t="s">
        <v>5566</v>
      </c>
      <c r="Y1433">
        <v>40368</v>
      </c>
      <c r="Z1433">
        <v>1437156</v>
      </c>
      <c r="AA1433">
        <v>347220</v>
      </c>
      <c r="AB1433" t="str">
        <f>(VLOOKUP(SalesData[[#This Row],[Month Number]],Reference!C$5:E$16,2,FALSE))</f>
        <v>Feb</v>
      </c>
      <c r="AC1433">
        <f>MONTH(SalesData[[#This Row],[Date]])</f>
        <v>2</v>
      </c>
      <c r="AD1433">
        <f>Reference!F$4</f>
        <v>2026</v>
      </c>
      <c r="AE1433" t="str">
        <f>IF(OR(SalesData[[#This Row],[Day]]="Saturday",SalesData[[#This Row],[Day]]="Sunday"),"Weekend","Weekday")</f>
        <v>Weekday</v>
      </c>
      <c r="AF1433" s="5">
        <f>IF(SalesData[[#This Row],[Contracts Offered]]=0,0,SalesData[[#This Row],[Contracts Signed]]/SalesData[[#This Row],[Contracts Offered]])</f>
        <v>0.32142857142857145</v>
      </c>
      <c r="AG1433" s="5">
        <f>IF(SalesData[[#This Row],[Customers Visited]]=0,0,SalesData[[#This Row],[Test Drives]]/SalesData[[#This Row],[Customers Visited]])</f>
        <v>0.52118644067796616</v>
      </c>
      <c r="AH1433" s="5">
        <f>IF(SalesData[[#This Row],[Customers Visited]]=0,0,SalesData[[#This Row],[Contracts Signed]]/SalesData[[#This Row],[Customers Visited]])</f>
        <v>0.11440677966101695</v>
      </c>
      <c r="AI1433" s="6">
        <f>IF(SalesData[[#This Row],[Contracts Signed]]=0,0,SalesData[[#This Row],[Profit(€)]]/SalesData[[#This Row],[Contracts Signed]])</f>
        <v>12860</v>
      </c>
      <c r="AJ1433" s="5" t="str">
        <f>TRIM(CLEAN(SalesData[[#This Row],[Retailer]]))</f>
        <v>Saxon Wheels</v>
      </c>
    </row>
    <row r="1434" spans="1:36" ht="14.25" hidden="1" x14ac:dyDescent="0.2">
      <c r="A1434" t="s">
        <v>2309</v>
      </c>
      <c r="B1434" s="1">
        <v>46075</v>
      </c>
      <c r="C1434" t="s">
        <v>53</v>
      </c>
      <c r="D1434" t="s">
        <v>41</v>
      </c>
      <c r="E1434" t="s">
        <v>42</v>
      </c>
      <c r="F1434" t="s">
        <v>74</v>
      </c>
      <c r="G1434" t="s">
        <v>75</v>
      </c>
      <c r="H1434" t="s">
        <v>76</v>
      </c>
      <c r="I1434" t="s">
        <v>116</v>
      </c>
      <c r="J1434" t="s">
        <v>117</v>
      </c>
      <c r="K1434" t="s">
        <v>66</v>
      </c>
      <c r="L1434" t="s">
        <v>67</v>
      </c>
      <c r="M1434" t="s">
        <v>34</v>
      </c>
      <c r="N1434" t="s">
        <v>48</v>
      </c>
      <c r="O1434" t="s">
        <v>36</v>
      </c>
      <c r="P1434" t="s">
        <v>37</v>
      </c>
      <c r="Q1434" t="s">
        <v>59</v>
      </c>
      <c r="R1434">
        <v>281</v>
      </c>
      <c r="S1434">
        <v>141</v>
      </c>
      <c r="T1434">
        <v>96</v>
      </c>
      <c r="U1434">
        <v>22</v>
      </c>
      <c r="V1434" t="s">
        <v>2368</v>
      </c>
      <c r="W1434">
        <v>22361</v>
      </c>
      <c r="X1434" t="s">
        <v>544</v>
      </c>
      <c r="Y1434">
        <v>20718</v>
      </c>
      <c r="Z1434">
        <v>491942</v>
      </c>
      <c r="AA1434">
        <v>36146</v>
      </c>
      <c r="AB1434" t="str">
        <f>(VLOOKUP(SalesData[[#This Row],[Month Number]],Reference!C$5:E$16,2,FALSE))</f>
        <v>Feb</v>
      </c>
      <c r="AC1434">
        <f>MONTH(SalesData[[#This Row],[Date]])</f>
        <v>2</v>
      </c>
      <c r="AD1434">
        <f>Reference!F$4</f>
        <v>2026</v>
      </c>
      <c r="AE1434" t="str">
        <f>IF(OR(SalesData[[#This Row],[Day]]="Saturday",SalesData[[#This Row],[Day]]="Sunday"),"Weekend","Weekday")</f>
        <v>Weekend</v>
      </c>
      <c r="AF1434" s="5">
        <f>IF(SalesData[[#This Row],[Contracts Offered]]=0,0,SalesData[[#This Row],[Contracts Signed]]/SalesData[[#This Row],[Contracts Offered]])</f>
        <v>0.22916666666666666</v>
      </c>
      <c r="AG1434" s="5">
        <f>IF(SalesData[[#This Row],[Customers Visited]]=0,0,SalesData[[#This Row],[Test Drives]]/SalesData[[#This Row],[Customers Visited]])</f>
        <v>0.50177935943060503</v>
      </c>
      <c r="AH1434" s="5">
        <f>IF(SalesData[[#This Row],[Customers Visited]]=0,0,SalesData[[#This Row],[Contracts Signed]]/SalesData[[#This Row],[Customers Visited]])</f>
        <v>7.8291814946619215E-2</v>
      </c>
      <c r="AI1434" s="6">
        <f>IF(SalesData[[#This Row],[Contracts Signed]]=0,0,SalesData[[#This Row],[Profit(€)]]/SalesData[[#This Row],[Contracts Signed]])</f>
        <v>1643</v>
      </c>
      <c r="AJ1434" s="5" t="str">
        <f>TRIM(CLEAN(SalesData[[#This Row],[Retailer]]))</f>
        <v>Stuttgart Auto Center</v>
      </c>
    </row>
    <row r="1435" spans="1:36" ht="14.25" x14ac:dyDescent="0.2">
      <c r="A1435" t="s">
        <v>2310</v>
      </c>
      <c r="B1435" s="1">
        <v>46064</v>
      </c>
      <c r="C1435" t="s">
        <v>121</v>
      </c>
      <c r="D1435" t="s">
        <v>82</v>
      </c>
      <c r="E1435" t="s">
        <v>26</v>
      </c>
      <c r="F1435" t="s">
        <v>94</v>
      </c>
      <c r="G1435" t="s">
        <v>95</v>
      </c>
      <c r="H1435" t="s">
        <v>96</v>
      </c>
      <c r="I1435" t="s">
        <v>30</v>
      </c>
      <c r="J1435" t="s">
        <v>86</v>
      </c>
      <c r="K1435" t="s">
        <v>91</v>
      </c>
      <c r="L1435" t="s">
        <v>33</v>
      </c>
      <c r="M1435" t="s">
        <v>68</v>
      </c>
      <c r="N1435" t="s">
        <v>69</v>
      </c>
      <c r="O1435" t="s">
        <v>36</v>
      </c>
      <c r="P1435" t="s">
        <v>49</v>
      </c>
      <c r="Q1435" t="s">
        <v>79</v>
      </c>
      <c r="R1435">
        <v>232</v>
      </c>
      <c r="S1435">
        <v>104</v>
      </c>
      <c r="T1435">
        <v>84</v>
      </c>
      <c r="U1435">
        <v>31</v>
      </c>
      <c r="V1435" t="s">
        <v>7433</v>
      </c>
      <c r="W1435">
        <v>50307</v>
      </c>
      <c r="X1435" t="s">
        <v>7033</v>
      </c>
      <c r="Y1435">
        <v>38592</v>
      </c>
      <c r="Z1435">
        <v>1559517</v>
      </c>
      <c r="AA1435">
        <v>363165</v>
      </c>
      <c r="AB1435" t="str">
        <f>(VLOOKUP(SalesData[[#This Row],[Month Number]],Reference!C$5:E$16,2,FALSE))</f>
        <v>Feb</v>
      </c>
      <c r="AC1435">
        <f>MONTH(SalesData[[#This Row],[Date]])</f>
        <v>2</v>
      </c>
      <c r="AD1435">
        <f>Reference!F$4</f>
        <v>2026</v>
      </c>
      <c r="AE1435" t="str">
        <f>IF(OR(SalesData[[#This Row],[Day]]="Saturday",SalesData[[#This Row],[Day]]="Sunday"),"Weekend","Weekday")</f>
        <v>Weekday</v>
      </c>
      <c r="AF1435" s="5">
        <f>IF(SalesData[[#This Row],[Contracts Offered]]=0,0,SalesData[[#This Row],[Contracts Signed]]/SalesData[[#This Row],[Contracts Offered]])</f>
        <v>0.36904761904761907</v>
      </c>
      <c r="AG1435" s="5">
        <f>IF(SalesData[[#This Row],[Customers Visited]]=0,0,SalesData[[#This Row],[Test Drives]]/SalesData[[#This Row],[Customers Visited]])</f>
        <v>0.44827586206896552</v>
      </c>
      <c r="AH1435" s="5">
        <f>IF(SalesData[[#This Row],[Customers Visited]]=0,0,SalesData[[#This Row],[Contracts Signed]]/SalesData[[#This Row],[Customers Visited]])</f>
        <v>0.1336206896551724</v>
      </c>
      <c r="AI1435" s="6">
        <f>IF(SalesData[[#This Row],[Contracts Signed]]=0,0,SalesData[[#This Row],[Profit(€)]]/SalesData[[#This Row],[Contracts Signed]])</f>
        <v>11715</v>
      </c>
      <c r="AJ1435" s="5" t="str">
        <f>TRIM(CLEAN(SalesData[[#This Row],[Retailer]]))</f>
        <v>Bavaria Motors</v>
      </c>
    </row>
    <row r="1436" spans="1:36" ht="14.25" hidden="1" x14ac:dyDescent="0.2">
      <c r="A1436" t="s">
        <v>2311</v>
      </c>
      <c r="B1436" s="1">
        <v>46080</v>
      </c>
      <c r="C1436" t="s">
        <v>53</v>
      </c>
      <c r="D1436" t="s">
        <v>54</v>
      </c>
      <c r="E1436" t="s">
        <v>26</v>
      </c>
      <c r="F1436" t="s">
        <v>83</v>
      </c>
      <c r="G1436" t="s">
        <v>84</v>
      </c>
      <c r="H1436" t="s">
        <v>85</v>
      </c>
      <c r="I1436" t="s">
        <v>56</v>
      </c>
      <c r="J1436" t="s">
        <v>137</v>
      </c>
      <c r="K1436" t="s">
        <v>66</v>
      </c>
      <c r="L1436" t="s">
        <v>46</v>
      </c>
      <c r="M1436" t="s">
        <v>47</v>
      </c>
      <c r="N1436" t="s">
        <v>35</v>
      </c>
      <c r="O1436" t="s">
        <v>36</v>
      </c>
      <c r="P1436" t="s">
        <v>37</v>
      </c>
      <c r="Q1436" t="s">
        <v>118</v>
      </c>
      <c r="R1436">
        <v>201</v>
      </c>
      <c r="S1436">
        <v>127</v>
      </c>
      <c r="T1436">
        <v>86</v>
      </c>
      <c r="U1436">
        <v>26</v>
      </c>
      <c r="V1436" t="s">
        <v>6913</v>
      </c>
      <c r="W1436">
        <v>40606</v>
      </c>
      <c r="X1436" t="s">
        <v>7434</v>
      </c>
      <c r="Y1436">
        <v>31610</v>
      </c>
      <c r="Z1436">
        <v>1055756</v>
      </c>
      <c r="AA1436">
        <v>233896</v>
      </c>
      <c r="AB1436" t="str">
        <f>(VLOOKUP(SalesData[[#This Row],[Month Number]],Reference!C$5:E$16,2,FALSE))</f>
        <v>Feb</v>
      </c>
      <c r="AC1436">
        <f>MONTH(SalesData[[#This Row],[Date]])</f>
        <v>2</v>
      </c>
      <c r="AD1436">
        <f>Reference!F$4</f>
        <v>2026</v>
      </c>
      <c r="AE1436" t="str">
        <f>IF(OR(SalesData[[#This Row],[Day]]="Saturday",SalesData[[#This Row],[Day]]="Sunday"),"Weekend","Weekday")</f>
        <v>Weekday</v>
      </c>
      <c r="AF1436" s="5">
        <f>IF(SalesData[[#This Row],[Contracts Offered]]=0,0,SalesData[[#This Row],[Contracts Signed]]/SalesData[[#This Row],[Contracts Offered]])</f>
        <v>0.30232558139534882</v>
      </c>
      <c r="AG1436" s="5">
        <f>IF(SalesData[[#This Row],[Customers Visited]]=0,0,SalesData[[#This Row],[Test Drives]]/SalesData[[#This Row],[Customers Visited]])</f>
        <v>0.63184079601990051</v>
      </c>
      <c r="AH1436" s="5">
        <f>IF(SalesData[[#This Row],[Customers Visited]]=0,0,SalesData[[#This Row],[Contracts Signed]]/SalesData[[#This Row],[Customers Visited]])</f>
        <v>0.12935323383084577</v>
      </c>
      <c r="AI1436" s="6">
        <f>IF(SalesData[[#This Row],[Contracts Signed]]=0,0,SalesData[[#This Row],[Profit(€)]]/SalesData[[#This Row],[Contracts Signed]])</f>
        <v>8996</v>
      </c>
      <c r="AJ1436" s="5" t="str">
        <f>TRIM(CLEAN(SalesData[[#This Row],[Retailer]]))</f>
        <v>Hannover Cars</v>
      </c>
    </row>
    <row r="1437" spans="1:36" ht="14.25" hidden="1" x14ac:dyDescent="0.2">
      <c r="A1437" t="s">
        <v>2312</v>
      </c>
      <c r="B1437" s="1">
        <v>46081</v>
      </c>
      <c r="C1437" t="s">
        <v>53</v>
      </c>
      <c r="D1437" t="s">
        <v>151</v>
      </c>
      <c r="E1437" t="s">
        <v>42</v>
      </c>
      <c r="F1437" t="s">
        <v>94</v>
      </c>
      <c r="G1437" t="s">
        <v>95</v>
      </c>
      <c r="H1437" t="s">
        <v>96</v>
      </c>
      <c r="I1437" t="s">
        <v>116</v>
      </c>
      <c r="J1437" t="s">
        <v>203</v>
      </c>
      <c r="K1437" t="s">
        <v>66</v>
      </c>
      <c r="L1437" t="s">
        <v>67</v>
      </c>
      <c r="M1437" t="s">
        <v>47</v>
      </c>
      <c r="N1437" t="s">
        <v>69</v>
      </c>
      <c r="O1437" t="s">
        <v>70</v>
      </c>
      <c r="P1437" t="s">
        <v>37</v>
      </c>
      <c r="Q1437" t="s">
        <v>347</v>
      </c>
      <c r="R1437">
        <v>361</v>
      </c>
      <c r="S1437">
        <v>154</v>
      </c>
      <c r="T1437">
        <v>91</v>
      </c>
      <c r="U1437">
        <v>27</v>
      </c>
      <c r="V1437" t="s">
        <v>1195</v>
      </c>
      <c r="W1437">
        <v>24399</v>
      </c>
      <c r="X1437" t="s">
        <v>3756</v>
      </c>
      <c r="Y1437">
        <v>22113</v>
      </c>
      <c r="Z1437">
        <v>658773</v>
      </c>
      <c r="AA1437">
        <v>61722</v>
      </c>
      <c r="AB1437" t="str">
        <f>(VLOOKUP(SalesData[[#This Row],[Month Number]],Reference!C$5:E$16,2,FALSE))</f>
        <v>Feb</v>
      </c>
      <c r="AC1437">
        <f>MONTH(SalesData[[#This Row],[Date]])</f>
        <v>2</v>
      </c>
      <c r="AD1437">
        <f>Reference!F$4</f>
        <v>2026</v>
      </c>
      <c r="AE1437" t="str">
        <f>IF(OR(SalesData[[#This Row],[Day]]="Saturday",SalesData[[#This Row],[Day]]="Sunday"),"Weekend","Weekday")</f>
        <v>Weekend</v>
      </c>
      <c r="AF1437" s="5">
        <f>IF(SalesData[[#This Row],[Contracts Offered]]=0,0,SalesData[[#This Row],[Contracts Signed]]/SalesData[[#This Row],[Contracts Offered]])</f>
        <v>0.2967032967032967</v>
      </c>
      <c r="AG1437" s="5">
        <f>IF(SalesData[[#This Row],[Customers Visited]]=0,0,SalesData[[#This Row],[Test Drives]]/SalesData[[#This Row],[Customers Visited]])</f>
        <v>0.4265927977839335</v>
      </c>
      <c r="AH1437" s="5">
        <f>IF(SalesData[[#This Row],[Customers Visited]]=0,0,SalesData[[#This Row],[Contracts Signed]]/SalesData[[#This Row],[Customers Visited]])</f>
        <v>7.4792243767313013E-2</v>
      </c>
      <c r="AI1437" s="6">
        <f>IF(SalesData[[#This Row],[Contracts Signed]]=0,0,SalesData[[#This Row],[Profit(€)]]/SalesData[[#This Row],[Contracts Signed]])</f>
        <v>2286</v>
      </c>
      <c r="AJ1437" s="5" t="str">
        <f>TRIM(CLEAN(SalesData[[#This Row],[Retailer]]))</f>
        <v>Bavaria Motors</v>
      </c>
    </row>
    <row r="1438" spans="1:36" ht="14.25" hidden="1" x14ac:dyDescent="0.2">
      <c r="A1438" t="s">
        <v>2314</v>
      </c>
      <c r="B1438" s="1">
        <v>46066</v>
      </c>
      <c r="C1438" t="s">
        <v>121</v>
      </c>
      <c r="D1438" t="s">
        <v>54</v>
      </c>
      <c r="E1438" t="s">
        <v>26</v>
      </c>
      <c r="F1438" t="s">
        <v>94</v>
      </c>
      <c r="G1438" t="s">
        <v>95</v>
      </c>
      <c r="H1438" t="s">
        <v>96</v>
      </c>
      <c r="I1438" t="s">
        <v>116</v>
      </c>
      <c r="J1438" t="s">
        <v>203</v>
      </c>
      <c r="K1438" t="s">
        <v>32</v>
      </c>
      <c r="L1438" t="s">
        <v>67</v>
      </c>
      <c r="M1438" t="s">
        <v>47</v>
      </c>
      <c r="N1438" t="s">
        <v>35</v>
      </c>
      <c r="O1438" t="s">
        <v>36</v>
      </c>
      <c r="P1438" t="s">
        <v>49</v>
      </c>
      <c r="Q1438" t="s">
        <v>118</v>
      </c>
      <c r="R1438">
        <v>377</v>
      </c>
      <c r="S1438">
        <v>188</v>
      </c>
      <c r="T1438">
        <v>108</v>
      </c>
      <c r="U1438">
        <v>33</v>
      </c>
      <c r="V1438" t="s">
        <v>1863</v>
      </c>
      <c r="W1438">
        <v>25118</v>
      </c>
      <c r="X1438" t="s">
        <v>896</v>
      </c>
      <c r="Y1438">
        <v>23031</v>
      </c>
      <c r="Z1438">
        <v>828894</v>
      </c>
      <c r="AA1438">
        <v>68871</v>
      </c>
      <c r="AB1438" t="str">
        <f>(VLOOKUP(SalesData[[#This Row],[Month Number]],Reference!C$5:E$16,2,FALSE))</f>
        <v>Feb</v>
      </c>
      <c r="AC1438">
        <f>MONTH(SalesData[[#This Row],[Date]])</f>
        <v>2</v>
      </c>
      <c r="AD1438">
        <f>Reference!F$4</f>
        <v>2026</v>
      </c>
      <c r="AE1438" t="str">
        <f>IF(OR(SalesData[[#This Row],[Day]]="Saturday",SalesData[[#This Row],[Day]]="Sunday"),"Weekend","Weekday")</f>
        <v>Weekday</v>
      </c>
      <c r="AF1438" s="5">
        <f>IF(SalesData[[#This Row],[Contracts Offered]]=0,0,SalesData[[#This Row],[Contracts Signed]]/SalesData[[#This Row],[Contracts Offered]])</f>
        <v>0.30555555555555558</v>
      </c>
      <c r="AG1438" s="5">
        <f>IF(SalesData[[#This Row],[Customers Visited]]=0,0,SalesData[[#This Row],[Test Drives]]/SalesData[[#This Row],[Customers Visited]])</f>
        <v>0.49867374005305037</v>
      </c>
      <c r="AH1438" s="5">
        <f>IF(SalesData[[#This Row],[Customers Visited]]=0,0,SalesData[[#This Row],[Contracts Signed]]/SalesData[[#This Row],[Customers Visited]])</f>
        <v>8.7533156498673742E-2</v>
      </c>
      <c r="AI1438" s="6">
        <f>IF(SalesData[[#This Row],[Contracts Signed]]=0,0,SalesData[[#This Row],[Profit(€)]]/SalesData[[#This Row],[Contracts Signed]])</f>
        <v>2087</v>
      </c>
      <c r="AJ1438" s="5" t="str">
        <f>TRIM(CLEAN(SalesData[[#This Row],[Retailer]]))</f>
        <v>Bavaria Motors</v>
      </c>
    </row>
    <row r="1439" spans="1:36" ht="14.25" hidden="1" x14ac:dyDescent="0.2">
      <c r="A1439" t="s">
        <v>2315</v>
      </c>
      <c r="B1439" s="1">
        <v>46070</v>
      </c>
      <c r="C1439" t="s">
        <v>62</v>
      </c>
      <c r="D1439" t="s">
        <v>63</v>
      </c>
      <c r="E1439" t="s">
        <v>26</v>
      </c>
      <c r="F1439" t="s">
        <v>7649</v>
      </c>
      <c r="G1439" t="s">
        <v>55</v>
      </c>
      <c r="H1439" t="s">
        <v>55</v>
      </c>
      <c r="I1439" t="s">
        <v>116</v>
      </c>
      <c r="J1439" t="s">
        <v>7090</v>
      </c>
      <c r="K1439" t="s">
        <v>91</v>
      </c>
      <c r="L1439" t="s">
        <v>46</v>
      </c>
      <c r="M1439" t="s">
        <v>47</v>
      </c>
      <c r="N1439" t="s">
        <v>69</v>
      </c>
      <c r="O1439" t="s">
        <v>36</v>
      </c>
      <c r="P1439" t="s">
        <v>71</v>
      </c>
      <c r="Q1439" t="s">
        <v>59</v>
      </c>
      <c r="R1439">
        <v>355</v>
      </c>
      <c r="S1439">
        <v>151</v>
      </c>
      <c r="T1439">
        <v>87</v>
      </c>
      <c r="U1439">
        <v>26</v>
      </c>
      <c r="V1439" t="s">
        <v>3653</v>
      </c>
      <c r="W1439">
        <v>26295</v>
      </c>
      <c r="X1439" t="s">
        <v>4121</v>
      </c>
      <c r="Y1439">
        <v>23958</v>
      </c>
      <c r="Z1439">
        <v>683670</v>
      </c>
      <c r="AA1439">
        <v>60762</v>
      </c>
      <c r="AB1439" t="str">
        <f>(VLOOKUP(SalesData[[#This Row],[Month Number]],Reference!C$5:E$16,2,FALSE))</f>
        <v>Feb</v>
      </c>
      <c r="AC1439">
        <f>MONTH(SalesData[[#This Row],[Date]])</f>
        <v>2</v>
      </c>
      <c r="AD1439">
        <f>Reference!F$4</f>
        <v>2026</v>
      </c>
      <c r="AE1439" t="str">
        <f>IF(OR(SalesData[[#This Row],[Day]]="Saturday",SalesData[[#This Row],[Day]]="Sunday"),"Weekend","Weekday")</f>
        <v>Weekday</v>
      </c>
      <c r="AF1439" s="5">
        <f>IF(SalesData[[#This Row],[Contracts Offered]]=0,0,SalesData[[#This Row],[Contracts Signed]]/SalesData[[#This Row],[Contracts Offered]])</f>
        <v>0.2988505747126437</v>
      </c>
      <c r="AG1439" s="5">
        <f>IF(SalesData[[#This Row],[Customers Visited]]=0,0,SalesData[[#This Row],[Test Drives]]/SalesData[[#This Row],[Customers Visited]])</f>
        <v>0.42535211267605633</v>
      </c>
      <c r="AH1439" s="5">
        <f>IF(SalesData[[#This Row],[Customers Visited]]=0,0,SalesData[[#This Row],[Contracts Signed]]/SalesData[[#This Row],[Customers Visited]])</f>
        <v>7.3239436619718309E-2</v>
      </c>
      <c r="AI1439" s="6">
        <f>IF(SalesData[[#This Row],[Contracts Signed]]=0,0,SalesData[[#This Row],[Profit(€)]]/SalesData[[#This Row],[Contracts Signed]])</f>
        <v>2337</v>
      </c>
      <c r="AJ1439" s="5" t="str">
        <f>TRIM(CLEAN(SalesData[[#This Row],[Retailer]]))</f>
        <v>Autohaus Berlin</v>
      </c>
    </row>
    <row r="1440" spans="1:36" ht="14.25" x14ac:dyDescent="0.2">
      <c r="A1440" t="s">
        <v>2316</v>
      </c>
      <c r="B1440" s="1">
        <v>46068</v>
      </c>
      <c r="C1440" t="s">
        <v>62</v>
      </c>
      <c r="D1440" t="s">
        <v>41</v>
      </c>
      <c r="E1440" t="s">
        <v>42</v>
      </c>
      <c r="F1440" t="s">
        <v>127</v>
      </c>
      <c r="G1440" t="s">
        <v>128</v>
      </c>
      <c r="H1440" t="s">
        <v>103</v>
      </c>
      <c r="I1440" t="s">
        <v>30</v>
      </c>
      <c r="J1440" t="s">
        <v>188</v>
      </c>
      <c r="K1440" t="s">
        <v>32</v>
      </c>
      <c r="L1440" t="s">
        <v>33</v>
      </c>
      <c r="M1440" t="s">
        <v>68</v>
      </c>
      <c r="N1440" t="s">
        <v>48</v>
      </c>
      <c r="O1440" t="s">
        <v>70</v>
      </c>
      <c r="P1440" t="s">
        <v>58</v>
      </c>
      <c r="Q1440" t="s">
        <v>172</v>
      </c>
      <c r="R1440">
        <v>178</v>
      </c>
      <c r="S1440">
        <v>90</v>
      </c>
      <c r="T1440">
        <v>69</v>
      </c>
      <c r="U1440">
        <v>27</v>
      </c>
      <c r="V1440" t="s">
        <v>7100</v>
      </c>
      <c r="W1440">
        <v>67729</v>
      </c>
      <c r="X1440" t="s">
        <v>7435</v>
      </c>
      <c r="Y1440">
        <v>47712</v>
      </c>
      <c r="Z1440">
        <v>1828683</v>
      </c>
      <c r="AA1440">
        <v>540459</v>
      </c>
      <c r="AB1440" t="str">
        <f>(VLOOKUP(SalesData[[#This Row],[Month Number]],Reference!C$5:E$16,2,FALSE))</f>
        <v>Feb</v>
      </c>
      <c r="AC1440">
        <f>MONTH(SalesData[[#This Row],[Date]])</f>
        <v>2</v>
      </c>
      <c r="AD1440">
        <f>Reference!F$4</f>
        <v>2026</v>
      </c>
      <c r="AE1440" t="str">
        <f>IF(OR(SalesData[[#This Row],[Day]]="Saturday",SalesData[[#This Row],[Day]]="Sunday"),"Weekend","Weekday")</f>
        <v>Weekend</v>
      </c>
      <c r="AF1440" s="5">
        <f>IF(SalesData[[#This Row],[Contracts Offered]]=0,0,SalesData[[#This Row],[Contracts Signed]]/SalesData[[#This Row],[Contracts Offered]])</f>
        <v>0.39130434782608697</v>
      </c>
      <c r="AG1440" s="5">
        <f>IF(SalesData[[#This Row],[Customers Visited]]=0,0,SalesData[[#This Row],[Test Drives]]/SalesData[[#This Row],[Customers Visited]])</f>
        <v>0.5056179775280899</v>
      </c>
      <c r="AH1440" s="5">
        <f>IF(SalesData[[#This Row],[Customers Visited]]=0,0,SalesData[[#This Row],[Contracts Signed]]/SalesData[[#This Row],[Customers Visited]])</f>
        <v>0.15168539325842698</v>
      </c>
      <c r="AI1440" s="6">
        <f>IF(SalesData[[#This Row],[Contracts Signed]]=0,0,SalesData[[#This Row],[Profit(€)]]/SalesData[[#This Row],[Contracts Signed]])</f>
        <v>20017</v>
      </c>
      <c r="AJ1440" s="5" t="str">
        <f>TRIM(CLEAN(SalesData[[#This Row],[Retailer]]))</f>
        <v>Rhein Auto Group</v>
      </c>
    </row>
    <row r="1441" spans="1:36" ht="14.25" x14ac:dyDescent="0.2">
      <c r="A1441" t="s">
        <v>2317</v>
      </c>
      <c r="B1441" s="1">
        <v>46072</v>
      </c>
      <c r="C1441" t="s">
        <v>62</v>
      </c>
      <c r="D1441" t="s">
        <v>100</v>
      </c>
      <c r="E1441" t="s">
        <v>26</v>
      </c>
      <c r="F1441" t="s">
        <v>114</v>
      </c>
      <c r="G1441" t="s">
        <v>115</v>
      </c>
      <c r="H1441" t="s">
        <v>115</v>
      </c>
      <c r="I1441" t="s">
        <v>30</v>
      </c>
      <c r="J1441" t="s">
        <v>188</v>
      </c>
      <c r="K1441" t="s">
        <v>78</v>
      </c>
      <c r="L1441" t="s">
        <v>33</v>
      </c>
      <c r="M1441" t="s">
        <v>34</v>
      </c>
      <c r="N1441" t="s">
        <v>48</v>
      </c>
      <c r="O1441" t="s">
        <v>70</v>
      </c>
      <c r="P1441" t="s">
        <v>58</v>
      </c>
      <c r="Q1441" t="s">
        <v>129</v>
      </c>
      <c r="R1441">
        <v>223</v>
      </c>
      <c r="S1441">
        <v>131</v>
      </c>
      <c r="T1441">
        <v>92</v>
      </c>
      <c r="U1441">
        <v>38</v>
      </c>
      <c r="V1441" t="s">
        <v>6971</v>
      </c>
      <c r="W1441">
        <v>61063</v>
      </c>
      <c r="X1441" t="s">
        <v>7436</v>
      </c>
      <c r="Y1441">
        <v>43640</v>
      </c>
      <c r="Z1441">
        <v>2320394</v>
      </c>
      <c r="AA1441">
        <v>662074</v>
      </c>
      <c r="AB1441" t="str">
        <f>(VLOOKUP(SalesData[[#This Row],[Month Number]],Reference!C$5:E$16,2,FALSE))</f>
        <v>Feb</v>
      </c>
      <c r="AC1441">
        <f>MONTH(SalesData[[#This Row],[Date]])</f>
        <v>2</v>
      </c>
      <c r="AD1441">
        <f>Reference!F$4</f>
        <v>2026</v>
      </c>
      <c r="AE1441" t="str">
        <f>IF(OR(SalesData[[#This Row],[Day]]="Saturday",SalesData[[#This Row],[Day]]="Sunday"),"Weekend","Weekday")</f>
        <v>Weekday</v>
      </c>
      <c r="AF1441" s="5">
        <f>IF(SalesData[[#This Row],[Contracts Offered]]=0,0,SalesData[[#This Row],[Contracts Signed]]/SalesData[[#This Row],[Contracts Offered]])</f>
        <v>0.41304347826086957</v>
      </c>
      <c r="AG1441" s="5">
        <f>IF(SalesData[[#This Row],[Customers Visited]]=0,0,SalesData[[#This Row],[Test Drives]]/SalesData[[#This Row],[Customers Visited]])</f>
        <v>0.58744394618834084</v>
      </c>
      <c r="AH1441" s="5">
        <f>IF(SalesData[[#This Row],[Customers Visited]]=0,0,SalesData[[#This Row],[Contracts Signed]]/SalesData[[#This Row],[Customers Visited]])</f>
        <v>0.17040358744394618</v>
      </c>
      <c r="AI1441" s="6">
        <f>IF(SalesData[[#This Row],[Contracts Signed]]=0,0,SalesData[[#This Row],[Profit(€)]]/SalesData[[#This Row],[Contracts Signed]])</f>
        <v>17423</v>
      </c>
      <c r="AJ1441" s="5" t="str">
        <f>TRIM(CLEAN(SalesData[[#This Row],[Retailer]]))</f>
        <v>Elbe Drive</v>
      </c>
    </row>
    <row r="1442" spans="1:36" ht="14.25" hidden="1" x14ac:dyDescent="0.2">
      <c r="A1442" t="s">
        <v>2318</v>
      </c>
      <c r="B1442" s="1">
        <v>46072</v>
      </c>
      <c r="C1442" t="s">
        <v>62</v>
      </c>
      <c r="D1442" t="s">
        <v>100</v>
      </c>
      <c r="E1442" t="s">
        <v>26</v>
      </c>
      <c r="F1442" t="s">
        <v>83</v>
      </c>
      <c r="G1442" t="s">
        <v>84</v>
      </c>
      <c r="H1442" t="s">
        <v>85</v>
      </c>
      <c r="I1442" t="s">
        <v>104</v>
      </c>
      <c r="J1442" t="s">
        <v>7061</v>
      </c>
      <c r="K1442" t="s">
        <v>66</v>
      </c>
      <c r="L1442" t="s">
        <v>46</v>
      </c>
      <c r="M1442" t="s">
        <v>87</v>
      </c>
      <c r="N1442" t="s">
        <v>35</v>
      </c>
      <c r="O1442" t="s">
        <v>36</v>
      </c>
      <c r="P1442" t="s">
        <v>49</v>
      </c>
      <c r="Q1442" t="s">
        <v>122</v>
      </c>
      <c r="R1442">
        <v>491</v>
      </c>
      <c r="S1442">
        <v>241</v>
      </c>
      <c r="T1442">
        <v>141</v>
      </c>
      <c r="U1442">
        <v>40</v>
      </c>
      <c r="V1442" t="s">
        <v>6989</v>
      </c>
      <c r="W1442">
        <v>31353</v>
      </c>
      <c r="X1442" t="s">
        <v>565</v>
      </c>
      <c r="Y1442">
        <v>27378</v>
      </c>
      <c r="Z1442">
        <v>1254120</v>
      </c>
      <c r="AA1442">
        <v>159000</v>
      </c>
      <c r="AB1442" t="str">
        <f>(VLOOKUP(SalesData[[#This Row],[Month Number]],Reference!C$5:E$16,2,FALSE))</f>
        <v>Feb</v>
      </c>
      <c r="AC1442">
        <f>MONTH(SalesData[[#This Row],[Date]])</f>
        <v>2</v>
      </c>
      <c r="AD1442">
        <f>Reference!F$4</f>
        <v>2026</v>
      </c>
      <c r="AE1442" t="str">
        <f>IF(OR(SalesData[[#This Row],[Day]]="Saturday",SalesData[[#This Row],[Day]]="Sunday"),"Weekend","Weekday")</f>
        <v>Weekday</v>
      </c>
      <c r="AF1442" s="5">
        <f>IF(SalesData[[#This Row],[Contracts Offered]]=0,0,SalesData[[#This Row],[Contracts Signed]]/SalesData[[#This Row],[Contracts Offered]])</f>
        <v>0.28368794326241137</v>
      </c>
      <c r="AG1442" s="5">
        <f>IF(SalesData[[#This Row],[Customers Visited]]=0,0,SalesData[[#This Row],[Test Drives]]/SalesData[[#This Row],[Customers Visited]])</f>
        <v>0.49083503054989819</v>
      </c>
      <c r="AH1442" s="5">
        <f>IF(SalesData[[#This Row],[Customers Visited]]=0,0,SalesData[[#This Row],[Contracts Signed]]/SalesData[[#This Row],[Customers Visited]])</f>
        <v>8.1466395112016296E-2</v>
      </c>
      <c r="AI1442" s="6">
        <f>IF(SalesData[[#This Row],[Contracts Signed]]=0,0,SalesData[[#This Row],[Profit(€)]]/SalesData[[#This Row],[Contracts Signed]])</f>
        <v>3975</v>
      </c>
      <c r="AJ1442" s="5" t="str">
        <f>TRIM(CLEAN(SalesData[[#This Row],[Retailer]]))</f>
        <v>Hannover Cars</v>
      </c>
    </row>
    <row r="1443" spans="1:36" ht="14.25" hidden="1" x14ac:dyDescent="0.2">
      <c r="A1443" t="s">
        <v>2319</v>
      </c>
      <c r="B1443" s="1">
        <v>46057</v>
      </c>
      <c r="C1443" t="s">
        <v>24</v>
      </c>
      <c r="D1443" t="s">
        <v>82</v>
      </c>
      <c r="E1443" t="s">
        <v>26</v>
      </c>
      <c r="F1443" t="s">
        <v>7649</v>
      </c>
      <c r="G1443" t="s">
        <v>55</v>
      </c>
      <c r="H1443" t="s">
        <v>55</v>
      </c>
      <c r="I1443" t="s">
        <v>56</v>
      </c>
      <c r="J1443" t="s">
        <v>97</v>
      </c>
      <c r="K1443" t="s">
        <v>91</v>
      </c>
      <c r="L1443" t="s">
        <v>33</v>
      </c>
      <c r="M1443" t="s">
        <v>34</v>
      </c>
      <c r="N1443" t="s">
        <v>69</v>
      </c>
      <c r="O1443" t="s">
        <v>36</v>
      </c>
      <c r="P1443" t="s">
        <v>37</v>
      </c>
      <c r="Q1443" t="s">
        <v>59</v>
      </c>
      <c r="R1443">
        <v>236</v>
      </c>
      <c r="S1443">
        <v>147</v>
      </c>
      <c r="T1443">
        <v>95</v>
      </c>
      <c r="U1443">
        <v>32</v>
      </c>
      <c r="V1443" t="s">
        <v>6391</v>
      </c>
      <c r="W1443">
        <v>46172</v>
      </c>
      <c r="X1443" t="s">
        <v>7437</v>
      </c>
      <c r="Y1443">
        <v>35658</v>
      </c>
      <c r="Z1443">
        <v>1477504</v>
      </c>
      <c r="AA1443">
        <v>336448</v>
      </c>
      <c r="AB1443" t="str">
        <f>(VLOOKUP(SalesData[[#This Row],[Month Number]],Reference!C$5:E$16,2,FALSE))</f>
        <v>Feb</v>
      </c>
      <c r="AC1443">
        <f>MONTH(SalesData[[#This Row],[Date]])</f>
        <v>2</v>
      </c>
      <c r="AD1443">
        <f>Reference!F$4</f>
        <v>2026</v>
      </c>
      <c r="AE1443" t="str">
        <f>IF(OR(SalesData[[#This Row],[Day]]="Saturday",SalesData[[#This Row],[Day]]="Sunday"),"Weekend","Weekday")</f>
        <v>Weekday</v>
      </c>
      <c r="AF1443" s="5">
        <f>IF(SalesData[[#This Row],[Contracts Offered]]=0,0,SalesData[[#This Row],[Contracts Signed]]/SalesData[[#This Row],[Contracts Offered]])</f>
        <v>0.33684210526315789</v>
      </c>
      <c r="AG1443" s="5">
        <f>IF(SalesData[[#This Row],[Customers Visited]]=0,0,SalesData[[#This Row],[Test Drives]]/SalesData[[#This Row],[Customers Visited]])</f>
        <v>0.6228813559322034</v>
      </c>
      <c r="AH1443" s="5">
        <f>IF(SalesData[[#This Row],[Customers Visited]]=0,0,SalesData[[#This Row],[Contracts Signed]]/SalesData[[#This Row],[Customers Visited]])</f>
        <v>0.13559322033898305</v>
      </c>
      <c r="AI1443" s="6">
        <f>IF(SalesData[[#This Row],[Contracts Signed]]=0,0,SalesData[[#This Row],[Profit(€)]]/SalesData[[#This Row],[Contracts Signed]])</f>
        <v>10514</v>
      </c>
      <c r="AJ1443" s="5" t="str">
        <f>TRIM(CLEAN(SalesData[[#This Row],[Retailer]]))</f>
        <v>Autohaus Berlin</v>
      </c>
    </row>
    <row r="1444" spans="1:36" ht="14.25" hidden="1" x14ac:dyDescent="0.2">
      <c r="A1444" t="s">
        <v>2320</v>
      </c>
      <c r="B1444" s="1">
        <v>46075</v>
      </c>
      <c r="C1444" t="s">
        <v>53</v>
      </c>
      <c r="D1444" t="s">
        <v>41</v>
      </c>
      <c r="E1444" t="s">
        <v>42</v>
      </c>
      <c r="F1444" t="s">
        <v>114</v>
      </c>
      <c r="G1444" t="s">
        <v>115</v>
      </c>
      <c r="H1444" t="s">
        <v>115</v>
      </c>
      <c r="I1444" t="s">
        <v>64</v>
      </c>
      <c r="J1444" t="s">
        <v>77</v>
      </c>
      <c r="K1444" t="s">
        <v>78</v>
      </c>
      <c r="L1444" t="s">
        <v>46</v>
      </c>
      <c r="M1444" t="s">
        <v>87</v>
      </c>
      <c r="N1444" t="s">
        <v>69</v>
      </c>
      <c r="O1444" t="s">
        <v>36</v>
      </c>
      <c r="P1444" t="s">
        <v>58</v>
      </c>
      <c r="Q1444" t="s">
        <v>38</v>
      </c>
      <c r="R1444">
        <v>165</v>
      </c>
      <c r="S1444">
        <v>92</v>
      </c>
      <c r="T1444">
        <v>71</v>
      </c>
      <c r="U1444">
        <v>26</v>
      </c>
      <c r="V1444" t="s">
        <v>6896</v>
      </c>
      <c r="W1444">
        <v>67680</v>
      </c>
      <c r="X1444" t="s">
        <v>7438</v>
      </c>
      <c r="Y1444">
        <v>50019</v>
      </c>
      <c r="Z1444">
        <v>1759680</v>
      </c>
      <c r="AA1444">
        <v>459186</v>
      </c>
      <c r="AB1444" t="str">
        <f>(VLOOKUP(SalesData[[#This Row],[Month Number]],Reference!C$5:E$16,2,FALSE))</f>
        <v>Feb</v>
      </c>
      <c r="AC1444">
        <f>MONTH(SalesData[[#This Row],[Date]])</f>
        <v>2</v>
      </c>
      <c r="AD1444">
        <f>Reference!F$4</f>
        <v>2026</v>
      </c>
      <c r="AE1444" t="str">
        <f>IF(OR(SalesData[[#This Row],[Day]]="Saturday",SalesData[[#This Row],[Day]]="Sunday"),"Weekend","Weekday")</f>
        <v>Weekend</v>
      </c>
      <c r="AF1444" s="5">
        <f>IF(SalesData[[#This Row],[Contracts Offered]]=0,0,SalesData[[#This Row],[Contracts Signed]]/SalesData[[#This Row],[Contracts Offered]])</f>
        <v>0.36619718309859156</v>
      </c>
      <c r="AG1444" s="5">
        <f>IF(SalesData[[#This Row],[Customers Visited]]=0,0,SalesData[[#This Row],[Test Drives]]/SalesData[[#This Row],[Customers Visited]])</f>
        <v>0.55757575757575761</v>
      </c>
      <c r="AH1444" s="5">
        <f>IF(SalesData[[#This Row],[Customers Visited]]=0,0,SalesData[[#This Row],[Contracts Signed]]/SalesData[[#This Row],[Customers Visited]])</f>
        <v>0.15757575757575756</v>
      </c>
      <c r="AI1444" s="6">
        <f>IF(SalesData[[#This Row],[Contracts Signed]]=0,0,SalesData[[#This Row],[Profit(€)]]/SalesData[[#This Row],[Contracts Signed]])</f>
        <v>17661</v>
      </c>
      <c r="AJ1444" s="5" t="str">
        <f>TRIM(CLEAN(SalesData[[#This Row],[Retailer]]))</f>
        <v>Elbe Drive</v>
      </c>
    </row>
    <row r="1445" spans="1:36" ht="14.25" hidden="1" x14ac:dyDescent="0.2">
      <c r="A1445" t="s">
        <v>2321</v>
      </c>
      <c r="B1445" s="1">
        <v>46073</v>
      </c>
      <c r="C1445" t="s">
        <v>62</v>
      </c>
      <c r="D1445" t="s">
        <v>54</v>
      </c>
      <c r="E1445" t="s">
        <v>26</v>
      </c>
      <c r="F1445" t="s">
        <v>83</v>
      </c>
      <c r="G1445" t="s">
        <v>84</v>
      </c>
      <c r="H1445" t="s">
        <v>85</v>
      </c>
      <c r="I1445" t="s">
        <v>56</v>
      </c>
      <c r="J1445" t="s">
        <v>179</v>
      </c>
      <c r="K1445" t="s">
        <v>91</v>
      </c>
      <c r="L1445" t="s">
        <v>67</v>
      </c>
      <c r="M1445" t="s">
        <v>34</v>
      </c>
      <c r="N1445" t="s">
        <v>48</v>
      </c>
      <c r="O1445" t="s">
        <v>70</v>
      </c>
      <c r="P1445" t="s">
        <v>71</v>
      </c>
      <c r="Q1445" t="s">
        <v>158</v>
      </c>
      <c r="R1445">
        <v>224</v>
      </c>
      <c r="S1445">
        <v>119</v>
      </c>
      <c r="T1445">
        <v>92</v>
      </c>
      <c r="U1445">
        <v>29</v>
      </c>
      <c r="V1445" t="s">
        <v>6756</v>
      </c>
      <c r="W1445">
        <v>42842</v>
      </c>
      <c r="X1445" t="s">
        <v>7119</v>
      </c>
      <c r="Y1445">
        <v>33264</v>
      </c>
      <c r="Z1445">
        <v>1242418</v>
      </c>
      <c r="AA1445">
        <v>277762</v>
      </c>
      <c r="AB1445" t="str">
        <f>(VLOOKUP(SalesData[[#This Row],[Month Number]],Reference!C$5:E$16,2,FALSE))</f>
        <v>Feb</v>
      </c>
      <c r="AC1445">
        <f>MONTH(SalesData[[#This Row],[Date]])</f>
        <v>2</v>
      </c>
      <c r="AD1445">
        <f>Reference!F$4</f>
        <v>2026</v>
      </c>
      <c r="AE1445" t="str">
        <f>IF(OR(SalesData[[#This Row],[Day]]="Saturday",SalesData[[#This Row],[Day]]="Sunday"),"Weekend","Weekday")</f>
        <v>Weekday</v>
      </c>
      <c r="AF1445" s="5">
        <f>IF(SalesData[[#This Row],[Contracts Offered]]=0,0,SalesData[[#This Row],[Contracts Signed]]/SalesData[[#This Row],[Contracts Offered]])</f>
        <v>0.31521739130434784</v>
      </c>
      <c r="AG1445" s="5">
        <f>IF(SalesData[[#This Row],[Customers Visited]]=0,0,SalesData[[#This Row],[Test Drives]]/SalesData[[#This Row],[Customers Visited]])</f>
        <v>0.53125</v>
      </c>
      <c r="AH1445" s="5">
        <f>IF(SalesData[[#This Row],[Customers Visited]]=0,0,SalesData[[#This Row],[Contracts Signed]]/SalesData[[#This Row],[Customers Visited]])</f>
        <v>0.12946428571428573</v>
      </c>
      <c r="AI1445" s="6">
        <f>IF(SalesData[[#This Row],[Contracts Signed]]=0,0,SalesData[[#This Row],[Profit(€)]]/SalesData[[#This Row],[Contracts Signed]])</f>
        <v>9578</v>
      </c>
      <c r="AJ1445" s="5" t="str">
        <f>TRIM(CLEAN(SalesData[[#This Row],[Retailer]]))</f>
        <v>Hannover Cars</v>
      </c>
    </row>
    <row r="1446" spans="1:36" ht="14.25" x14ac:dyDescent="0.2">
      <c r="A1446" t="s">
        <v>2322</v>
      </c>
      <c r="B1446" s="1">
        <v>46063</v>
      </c>
      <c r="C1446" t="s">
        <v>121</v>
      </c>
      <c r="D1446" t="s">
        <v>63</v>
      </c>
      <c r="E1446" t="s">
        <v>26</v>
      </c>
      <c r="F1446" t="s">
        <v>101</v>
      </c>
      <c r="G1446" t="s">
        <v>102</v>
      </c>
      <c r="H1446" t="s">
        <v>103</v>
      </c>
      <c r="I1446" t="s">
        <v>30</v>
      </c>
      <c r="J1446" t="s">
        <v>188</v>
      </c>
      <c r="K1446" t="s">
        <v>66</v>
      </c>
      <c r="L1446" t="s">
        <v>33</v>
      </c>
      <c r="M1446" t="s">
        <v>34</v>
      </c>
      <c r="N1446" t="s">
        <v>48</v>
      </c>
      <c r="O1446" t="s">
        <v>70</v>
      </c>
      <c r="P1446" t="s">
        <v>49</v>
      </c>
      <c r="Q1446" t="s">
        <v>240</v>
      </c>
      <c r="R1446">
        <v>178</v>
      </c>
      <c r="S1446">
        <v>88</v>
      </c>
      <c r="T1446">
        <v>71</v>
      </c>
      <c r="U1446">
        <v>23</v>
      </c>
      <c r="V1446" t="s">
        <v>6775</v>
      </c>
      <c r="W1446">
        <v>62841</v>
      </c>
      <c r="X1446" t="s">
        <v>7404</v>
      </c>
      <c r="Y1446">
        <v>47015</v>
      </c>
      <c r="Z1446">
        <v>1445343</v>
      </c>
      <c r="AA1446">
        <v>363998</v>
      </c>
      <c r="AB1446" t="str">
        <f>(VLOOKUP(SalesData[[#This Row],[Month Number]],Reference!C$5:E$16,2,FALSE))</f>
        <v>Feb</v>
      </c>
      <c r="AC1446">
        <f>MONTH(SalesData[[#This Row],[Date]])</f>
        <v>2</v>
      </c>
      <c r="AD1446">
        <f>Reference!F$4</f>
        <v>2026</v>
      </c>
      <c r="AE1446" t="str">
        <f>IF(OR(SalesData[[#This Row],[Day]]="Saturday",SalesData[[#This Row],[Day]]="Sunday"),"Weekend","Weekday")</f>
        <v>Weekday</v>
      </c>
      <c r="AF1446" s="5">
        <f>IF(SalesData[[#This Row],[Contracts Offered]]=0,0,SalesData[[#This Row],[Contracts Signed]]/SalesData[[#This Row],[Contracts Offered]])</f>
        <v>0.323943661971831</v>
      </c>
      <c r="AG1446" s="5">
        <f>IF(SalesData[[#This Row],[Customers Visited]]=0,0,SalesData[[#This Row],[Test Drives]]/SalesData[[#This Row],[Customers Visited]])</f>
        <v>0.4943820224719101</v>
      </c>
      <c r="AH1446" s="5">
        <f>IF(SalesData[[#This Row],[Customers Visited]]=0,0,SalesData[[#This Row],[Contracts Signed]]/SalesData[[#This Row],[Customers Visited]])</f>
        <v>0.12921348314606743</v>
      </c>
      <c r="AI1446" s="6">
        <f>IF(SalesData[[#This Row],[Contracts Signed]]=0,0,SalesData[[#This Row],[Profit(€)]]/SalesData[[#This Row],[Contracts Signed]])</f>
        <v>15826</v>
      </c>
      <c r="AJ1446" s="5" t="str">
        <f>TRIM(CLEAN(SalesData[[#This Row],[Retailer]]))</f>
        <v>Ruhr Auto Plaza</v>
      </c>
    </row>
    <row r="1447" spans="1:36" ht="14.25" x14ac:dyDescent="0.2">
      <c r="A1447" t="s">
        <v>2324</v>
      </c>
      <c r="B1447" s="1">
        <v>46057</v>
      </c>
      <c r="C1447" t="s">
        <v>24</v>
      </c>
      <c r="D1447" t="s">
        <v>82</v>
      </c>
      <c r="E1447" t="s">
        <v>26</v>
      </c>
      <c r="F1447" t="s">
        <v>101</v>
      </c>
      <c r="G1447" t="s">
        <v>102</v>
      </c>
      <c r="H1447" t="s">
        <v>103</v>
      </c>
      <c r="I1447" t="s">
        <v>30</v>
      </c>
      <c r="J1447" t="s">
        <v>7075</v>
      </c>
      <c r="K1447" t="s">
        <v>78</v>
      </c>
      <c r="L1447" t="s">
        <v>33</v>
      </c>
      <c r="M1447" t="s">
        <v>47</v>
      </c>
      <c r="N1447" t="s">
        <v>48</v>
      </c>
      <c r="O1447" t="s">
        <v>70</v>
      </c>
      <c r="P1447" t="s">
        <v>49</v>
      </c>
      <c r="Q1447" t="s">
        <v>79</v>
      </c>
      <c r="R1447">
        <v>278</v>
      </c>
      <c r="S1447">
        <v>152</v>
      </c>
      <c r="T1447">
        <v>118</v>
      </c>
      <c r="U1447">
        <v>37</v>
      </c>
      <c r="V1447" t="s">
        <v>6548</v>
      </c>
      <c r="W1447">
        <v>55557</v>
      </c>
      <c r="X1447" t="s">
        <v>5566</v>
      </c>
      <c r="Y1447">
        <v>39391</v>
      </c>
      <c r="Z1447">
        <v>2055609</v>
      </c>
      <c r="AA1447">
        <v>598142</v>
      </c>
      <c r="AB1447" t="str">
        <f>(VLOOKUP(SalesData[[#This Row],[Month Number]],Reference!C$5:E$16,2,FALSE))</f>
        <v>Feb</v>
      </c>
      <c r="AC1447">
        <f>MONTH(SalesData[[#This Row],[Date]])</f>
        <v>2</v>
      </c>
      <c r="AD1447">
        <f>Reference!F$4</f>
        <v>2026</v>
      </c>
      <c r="AE1447" t="str">
        <f>IF(OR(SalesData[[#This Row],[Day]]="Saturday",SalesData[[#This Row],[Day]]="Sunday"),"Weekend","Weekday")</f>
        <v>Weekday</v>
      </c>
      <c r="AF1447" s="5">
        <f>IF(SalesData[[#This Row],[Contracts Offered]]=0,0,SalesData[[#This Row],[Contracts Signed]]/SalesData[[#This Row],[Contracts Offered]])</f>
        <v>0.3135593220338983</v>
      </c>
      <c r="AG1447" s="5">
        <f>IF(SalesData[[#This Row],[Customers Visited]]=0,0,SalesData[[#This Row],[Test Drives]]/SalesData[[#This Row],[Customers Visited]])</f>
        <v>0.5467625899280576</v>
      </c>
      <c r="AH1447" s="5">
        <f>IF(SalesData[[#This Row],[Customers Visited]]=0,0,SalesData[[#This Row],[Contracts Signed]]/SalesData[[#This Row],[Customers Visited]])</f>
        <v>0.13309352517985612</v>
      </c>
      <c r="AI1447" s="6">
        <f>IF(SalesData[[#This Row],[Contracts Signed]]=0,0,SalesData[[#This Row],[Profit(€)]]/SalesData[[#This Row],[Contracts Signed]])</f>
        <v>16166</v>
      </c>
      <c r="AJ1447" s="5" t="str">
        <f>TRIM(CLEAN(SalesData[[#This Row],[Retailer]]))</f>
        <v>Ruhr Auto Plaza</v>
      </c>
    </row>
    <row r="1448" spans="1:36" ht="14.25" hidden="1" x14ac:dyDescent="0.2">
      <c r="A1448" t="s">
        <v>2325</v>
      </c>
      <c r="B1448" s="1">
        <v>46065</v>
      </c>
      <c r="C1448" t="s">
        <v>121</v>
      </c>
      <c r="D1448" t="s">
        <v>100</v>
      </c>
      <c r="E1448" t="s">
        <v>26</v>
      </c>
      <c r="F1448" t="s">
        <v>27</v>
      </c>
      <c r="G1448" t="s">
        <v>28</v>
      </c>
      <c r="H1448" t="s">
        <v>29</v>
      </c>
      <c r="I1448" t="s">
        <v>116</v>
      </c>
      <c r="J1448" t="s">
        <v>203</v>
      </c>
      <c r="K1448" t="s">
        <v>91</v>
      </c>
      <c r="L1448" t="s">
        <v>67</v>
      </c>
      <c r="M1448" t="s">
        <v>87</v>
      </c>
      <c r="N1448" t="s">
        <v>48</v>
      </c>
      <c r="O1448" t="s">
        <v>36</v>
      </c>
      <c r="P1448" t="s">
        <v>49</v>
      </c>
      <c r="Q1448" t="s">
        <v>347</v>
      </c>
      <c r="R1448">
        <v>255</v>
      </c>
      <c r="S1448">
        <v>120</v>
      </c>
      <c r="T1448">
        <v>83</v>
      </c>
      <c r="U1448">
        <v>17</v>
      </c>
      <c r="V1448" t="s">
        <v>234</v>
      </c>
      <c r="W1448">
        <v>22734</v>
      </c>
      <c r="X1448" t="s">
        <v>7439</v>
      </c>
      <c r="Y1448">
        <v>20236</v>
      </c>
      <c r="Z1448">
        <v>386478</v>
      </c>
      <c r="AA1448">
        <v>42466</v>
      </c>
      <c r="AB1448" t="str">
        <f>(VLOOKUP(SalesData[[#This Row],[Month Number]],Reference!C$5:E$16,2,FALSE))</f>
        <v>Feb</v>
      </c>
      <c r="AC1448">
        <f>MONTH(SalesData[[#This Row],[Date]])</f>
        <v>2</v>
      </c>
      <c r="AD1448">
        <f>Reference!F$4</f>
        <v>2026</v>
      </c>
      <c r="AE1448" t="str">
        <f>IF(OR(SalesData[[#This Row],[Day]]="Saturday",SalesData[[#This Row],[Day]]="Sunday"),"Weekend","Weekday")</f>
        <v>Weekday</v>
      </c>
      <c r="AF1448" s="5">
        <f>IF(SalesData[[#This Row],[Contracts Offered]]=0,0,SalesData[[#This Row],[Contracts Signed]]/SalesData[[#This Row],[Contracts Offered]])</f>
        <v>0.20481927710843373</v>
      </c>
      <c r="AG1448" s="5">
        <f>IF(SalesData[[#This Row],[Customers Visited]]=0,0,SalesData[[#This Row],[Test Drives]]/SalesData[[#This Row],[Customers Visited]])</f>
        <v>0.47058823529411764</v>
      </c>
      <c r="AH1448" s="5">
        <f>IF(SalesData[[#This Row],[Customers Visited]]=0,0,SalesData[[#This Row],[Contracts Signed]]/SalesData[[#This Row],[Customers Visited]])</f>
        <v>6.6666666666666666E-2</v>
      </c>
      <c r="AI1448" s="6">
        <f>IF(SalesData[[#This Row],[Contracts Signed]]=0,0,SalesData[[#This Row],[Profit(€)]]/SalesData[[#This Row],[Contracts Signed]])</f>
        <v>2498</v>
      </c>
      <c r="AJ1448" s="5" t="str">
        <f>TRIM(CLEAN(SalesData[[#This Row],[Retailer]]))</f>
        <v>Main Auto Hub</v>
      </c>
    </row>
    <row r="1449" spans="1:36" ht="14.25" hidden="1" x14ac:dyDescent="0.2">
      <c r="A1449" t="s">
        <v>2326</v>
      </c>
      <c r="B1449" s="1">
        <v>46080</v>
      </c>
      <c r="C1449" t="s">
        <v>53</v>
      </c>
      <c r="D1449" t="s">
        <v>54</v>
      </c>
      <c r="E1449" t="s">
        <v>26</v>
      </c>
      <c r="F1449" t="s">
        <v>27</v>
      </c>
      <c r="G1449" t="s">
        <v>28</v>
      </c>
      <c r="H1449" t="s">
        <v>29</v>
      </c>
      <c r="I1449" t="s">
        <v>64</v>
      </c>
      <c r="J1449" t="s">
        <v>157</v>
      </c>
      <c r="K1449" t="s">
        <v>91</v>
      </c>
      <c r="L1449" t="s">
        <v>33</v>
      </c>
      <c r="M1449" t="s">
        <v>47</v>
      </c>
      <c r="N1449" t="s">
        <v>35</v>
      </c>
      <c r="O1449" t="s">
        <v>36</v>
      </c>
      <c r="P1449" t="s">
        <v>37</v>
      </c>
      <c r="Q1449" t="s">
        <v>240</v>
      </c>
      <c r="R1449">
        <v>149</v>
      </c>
      <c r="S1449">
        <v>72</v>
      </c>
      <c r="T1449">
        <v>51</v>
      </c>
      <c r="U1449">
        <v>19</v>
      </c>
      <c r="V1449" t="s">
        <v>6784</v>
      </c>
      <c r="W1449">
        <v>51406</v>
      </c>
      <c r="X1449" t="s">
        <v>7161</v>
      </c>
      <c r="Y1449">
        <v>37949</v>
      </c>
      <c r="Z1449">
        <v>976714</v>
      </c>
      <c r="AA1449">
        <v>255683</v>
      </c>
      <c r="AB1449" t="str">
        <f>(VLOOKUP(SalesData[[#This Row],[Month Number]],Reference!C$5:E$16,2,FALSE))</f>
        <v>Feb</v>
      </c>
      <c r="AC1449">
        <f>MONTH(SalesData[[#This Row],[Date]])</f>
        <v>2</v>
      </c>
      <c r="AD1449">
        <f>Reference!F$4</f>
        <v>2026</v>
      </c>
      <c r="AE1449" t="str">
        <f>IF(OR(SalesData[[#This Row],[Day]]="Saturday",SalesData[[#This Row],[Day]]="Sunday"),"Weekend","Weekday")</f>
        <v>Weekday</v>
      </c>
      <c r="AF1449" s="5">
        <f>IF(SalesData[[#This Row],[Contracts Offered]]=0,0,SalesData[[#This Row],[Contracts Signed]]/SalesData[[#This Row],[Contracts Offered]])</f>
        <v>0.37254901960784315</v>
      </c>
      <c r="AG1449" s="5">
        <f>IF(SalesData[[#This Row],[Customers Visited]]=0,0,SalesData[[#This Row],[Test Drives]]/SalesData[[#This Row],[Customers Visited]])</f>
        <v>0.48322147651006714</v>
      </c>
      <c r="AH1449" s="5">
        <f>IF(SalesData[[#This Row],[Customers Visited]]=0,0,SalesData[[#This Row],[Contracts Signed]]/SalesData[[#This Row],[Customers Visited]])</f>
        <v>0.12751677852348994</v>
      </c>
      <c r="AI1449" s="6">
        <f>IF(SalesData[[#This Row],[Contracts Signed]]=0,0,SalesData[[#This Row],[Profit(€)]]/SalesData[[#This Row],[Contracts Signed]])</f>
        <v>13457</v>
      </c>
      <c r="AJ1449" s="5" t="str">
        <f>TRIM(CLEAN(SalesData[[#This Row],[Retailer]]))</f>
        <v>Main Auto Hub</v>
      </c>
    </row>
    <row r="1450" spans="1:36" ht="14.25" hidden="1" x14ac:dyDescent="0.2">
      <c r="A1450" t="s">
        <v>2327</v>
      </c>
      <c r="B1450" s="1">
        <v>46064</v>
      </c>
      <c r="C1450" t="s">
        <v>121</v>
      </c>
      <c r="D1450" t="s">
        <v>82</v>
      </c>
      <c r="E1450" t="s">
        <v>26</v>
      </c>
      <c r="F1450" t="s">
        <v>83</v>
      </c>
      <c r="G1450" t="s">
        <v>84</v>
      </c>
      <c r="H1450" t="s">
        <v>85</v>
      </c>
      <c r="I1450" t="s">
        <v>56</v>
      </c>
      <c r="J1450" t="s">
        <v>137</v>
      </c>
      <c r="K1450" t="s">
        <v>78</v>
      </c>
      <c r="L1450" t="s">
        <v>46</v>
      </c>
      <c r="M1450" t="s">
        <v>68</v>
      </c>
      <c r="N1450" t="s">
        <v>48</v>
      </c>
      <c r="O1450" t="s">
        <v>36</v>
      </c>
      <c r="P1450" t="s">
        <v>58</v>
      </c>
      <c r="Q1450" t="s">
        <v>88</v>
      </c>
      <c r="R1450">
        <v>176</v>
      </c>
      <c r="S1450">
        <v>107</v>
      </c>
      <c r="T1450">
        <v>77</v>
      </c>
      <c r="U1450">
        <v>27</v>
      </c>
      <c r="V1450" t="s">
        <v>6674</v>
      </c>
      <c r="W1450">
        <v>41966</v>
      </c>
      <c r="X1450" t="s">
        <v>7160</v>
      </c>
      <c r="Y1450">
        <v>33247</v>
      </c>
      <c r="Z1450">
        <v>1133082</v>
      </c>
      <c r="AA1450">
        <v>235413</v>
      </c>
      <c r="AB1450" t="str">
        <f>(VLOOKUP(SalesData[[#This Row],[Month Number]],Reference!C$5:E$16,2,FALSE))</f>
        <v>Feb</v>
      </c>
      <c r="AC1450">
        <f>MONTH(SalesData[[#This Row],[Date]])</f>
        <v>2</v>
      </c>
      <c r="AD1450">
        <f>Reference!F$4</f>
        <v>2026</v>
      </c>
      <c r="AE1450" t="str">
        <f>IF(OR(SalesData[[#This Row],[Day]]="Saturday",SalesData[[#This Row],[Day]]="Sunday"),"Weekend","Weekday")</f>
        <v>Weekday</v>
      </c>
      <c r="AF1450" s="5">
        <f>IF(SalesData[[#This Row],[Contracts Offered]]=0,0,SalesData[[#This Row],[Contracts Signed]]/SalesData[[#This Row],[Contracts Offered]])</f>
        <v>0.35064935064935066</v>
      </c>
      <c r="AG1450" s="5">
        <f>IF(SalesData[[#This Row],[Customers Visited]]=0,0,SalesData[[#This Row],[Test Drives]]/SalesData[[#This Row],[Customers Visited]])</f>
        <v>0.60795454545454541</v>
      </c>
      <c r="AH1450" s="5">
        <f>IF(SalesData[[#This Row],[Customers Visited]]=0,0,SalesData[[#This Row],[Contracts Signed]]/SalesData[[#This Row],[Customers Visited]])</f>
        <v>0.15340909090909091</v>
      </c>
      <c r="AI1450" s="6">
        <f>IF(SalesData[[#This Row],[Contracts Signed]]=0,0,SalesData[[#This Row],[Profit(€)]]/SalesData[[#This Row],[Contracts Signed]])</f>
        <v>8719</v>
      </c>
      <c r="AJ1450" s="5" t="str">
        <f>TRIM(CLEAN(SalesData[[#This Row],[Retailer]]))</f>
        <v>Hannover Cars</v>
      </c>
    </row>
    <row r="1451" spans="1:36" ht="14.25" hidden="1" x14ac:dyDescent="0.2">
      <c r="A1451" t="s">
        <v>2329</v>
      </c>
      <c r="B1451" s="1">
        <v>46059</v>
      </c>
      <c r="C1451" t="s">
        <v>24</v>
      </c>
      <c r="D1451" t="s">
        <v>54</v>
      </c>
      <c r="E1451" t="s">
        <v>26</v>
      </c>
      <c r="F1451" t="s">
        <v>94</v>
      </c>
      <c r="G1451" t="s">
        <v>95</v>
      </c>
      <c r="H1451" t="s">
        <v>96</v>
      </c>
      <c r="I1451" t="s">
        <v>104</v>
      </c>
      <c r="J1451" t="s">
        <v>143</v>
      </c>
      <c r="K1451" t="s">
        <v>78</v>
      </c>
      <c r="L1451" t="s">
        <v>67</v>
      </c>
      <c r="M1451" t="s">
        <v>87</v>
      </c>
      <c r="N1451" t="s">
        <v>35</v>
      </c>
      <c r="O1451" t="s">
        <v>36</v>
      </c>
      <c r="P1451" t="s">
        <v>49</v>
      </c>
      <c r="Q1451" t="s">
        <v>152</v>
      </c>
      <c r="R1451">
        <v>301</v>
      </c>
      <c r="S1451">
        <v>158</v>
      </c>
      <c r="T1451">
        <v>100</v>
      </c>
      <c r="U1451">
        <v>24</v>
      </c>
      <c r="V1451" t="s">
        <v>1532</v>
      </c>
      <c r="W1451">
        <v>30338</v>
      </c>
      <c r="X1451" t="s">
        <v>441</v>
      </c>
      <c r="Y1451">
        <v>26679</v>
      </c>
      <c r="Z1451">
        <v>728112</v>
      </c>
      <c r="AA1451">
        <v>87816</v>
      </c>
      <c r="AB1451" t="str">
        <f>(VLOOKUP(SalesData[[#This Row],[Month Number]],Reference!C$5:E$16,2,FALSE))</f>
        <v>Feb</v>
      </c>
      <c r="AC1451">
        <f>MONTH(SalesData[[#This Row],[Date]])</f>
        <v>2</v>
      </c>
      <c r="AD1451">
        <f>Reference!F$4</f>
        <v>2026</v>
      </c>
      <c r="AE1451" t="str">
        <f>IF(OR(SalesData[[#This Row],[Day]]="Saturday",SalesData[[#This Row],[Day]]="Sunday"),"Weekend","Weekday")</f>
        <v>Weekday</v>
      </c>
      <c r="AF1451" s="5">
        <f>IF(SalesData[[#This Row],[Contracts Offered]]=0,0,SalesData[[#This Row],[Contracts Signed]]/SalesData[[#This Row],[Contracts Offered]])</f>
        <v>0.24</v>
      </c>
      <c r="AG1451" s="5">
        <f>IF(SalesData[[#This Row],[Customers Visited]]=0,0,SalesData[[#This Row],[Test Drives]]/SalesData[[#This Row],[Customers Visited]])</f>
        <v>0.52491694352159468</v>
      </c>
      <c r="AH1451" s="5">
        <f>IF(SalesData[[#This Row],[Customers Visited]]=0,0,SalesData[[#This Row],[Contracts Signed]]/SalesData[[#This Row],[Customers Visited]])</f>
        <v>7.9734219269102985E-2</v>
      </c>
      <c r="AI1451" s="6">
        <f>IF(SalesData[[#This Row],[Contracts Signed]]=0,0,SalesData[[#This Row],[Profit(€)]]/SalesData[[#This Row],[Contracts Signed]])</f>
        <v>3659</v>
      </c>
      <c r="AJ1451" s="5" t="str">
        <f>TRIM(CLEAN(SalesData[[#This Row],[Retailer]]))</f>
        <v>Bavaria Motors</v>
      </c>
    </row>
    <row r="1452" spans="1:36" ht="14.25" hidden="1" x14ac:dyDescent="0.2">
      <c r="A1452" t="s">
        <v>2330</v>
      </c>
      <c r="B1452" s="1">
        <v>46066</v>
      </c>
      <c r="C1452" t="s">
        <v>121</v>
      </c>
      <c r="D1452" t="s">
        <v>54</v>
      </c>
      <c r="E1452" t="s">
        <v>26</v>
      </c>
      <c r="F1452" t="s">
        <v>127</v>
      </c>
      <c r="G1452" t="s">
        <v>128</v>
      </c>
      <c r="H1452" t="s">
        <v>103</v>
      </c>
      <c r="I1452" t="s">
        <v>116</v>
      </c>
      <c r="J1452" t="s">
        <v>203</v>
      </c>
      <c r="K1452" t="s">
        <v>78</v>
      </c>
      <c r="L1452" t="s">
        <v>67</v>
      </c>
      <c r="M1452" t="s">
        <v>68</v>
      </c>
      <c r="N1452" t="s">
        <v>35</v>
      </c>
      <c r="O1452" t="s">
        <v>70</v>
      </c>
      <c r="P1452" t="s">
        <v>71</v>
      </c>
      <c r="Q1452" t="s">
        <v>347</v>
      </c>
      <c r="R1452">
        <v>341</v>
      </c>
      <c r="S1452">
        <v>129</v>
      </c>
      <c r="T1452">
        <v>87</v>
      </c>
      <c r="U1452">
        <v>23</v>
      </c>
      <c r="V1452" t="s">
        <v>3611</v>
      </c>
      <c r="W1452">
        <v>25799</v>
      </c>
      <c r="X1452" t="s">
        <v>3535</v>
      </c>
      <c r="Y1452">
        <v>23245</v>
      </c>
      <c r="Z1452">
        <v>593377</v>
      </c>
      <c r="AA1452">
        <v>58742</v>
      </c>
      <c r="AB1452" t="str">
        <f>(VLOOKUP(SalesData[[#This Row],[Month Number]],Reference!C$5:E$16,2,FALSE))</f>
        <v>Feb</v>
      </c>
      <c r="AC1452">
        <f>MONTH(SalesData[[#This Row],[Date]])</f>
        <v>2</v>
      </c>
      <c r="AD1452">
        <f>Reference!F$4</f>
        <v>2026</v>
      </c>
      <c r="AE1452" t="str">
        <f>IF(OR(SalesData[[#This Row],[Day]]="Saturday",SalesData[[#This Row],[Day]]="Sunday"),"Weekend","Weekday")</f>
        <v>Weekday</v>
      </c>
      <c r="AF1452" s="5">
        <f>IF(SalesData[[#This Row],[Contracts Offered]]=0,0,SalesData[[#This Row],[Contracts Signed]]/SalesData[[#This Row],[Contracts Offered]])</f>
        <v>0.26436781609195403</v>
      </c>
      <c r="AG1452" s="5">
        <f>IF(SalesData[[#This Row],[Customers Visited]]=0,0,SalesData[[#This Row],[Test Drives]]/SalesData[[#This Row],[Customers Visited]])</f>
        <v>0.3782991202346041</v>
      </c>
      <c r="AH1452" s="5">
        <f>IF(SalesData[[#This Row],[Customers Visited]]=0,0,SalesData[[#This Row],[Contracts Signed]]/SalesData[[#This Row],[Customers Visited]])</f>
        <v>6.7448680351906154E-2</v>
      </c>
      <c r="AI1452" s="6">
        <f>IF(SalesData[[#This Row],[Contracts Signed]]=0,0,SalesData[[#This Row],[Profit(€)]]/SalesData[[#This Row],[Contracts Signed]])</f>
        <v>2554</v>
      </c>
      <c r="AJ1452" s="5" t="str">
        <f>TRIM(CLEAN(SalesData[[#This Row],[Retailer]]))</f>
        <v>Rhein Auto Group</v>
      </c>
    </row>
    <row r="1453" spans="1:36" ht="14.25" hidden="1" x14ac:dyDescent="0.2">
      <c r="A1453" t="s">
        <v>2331</v>
      </c>
      <c r="B1453" s="1">
        <v>46064</v>
      </c>
      <c r="C1453" t="s">
        <v>121</v>
      </c>
      <c r="D1453" t="s">
        <v>82</v>
      </c>
      <c r="E1453" t="s">
        <v>26</v>
      </c>
      <c r="F1453" t="s">
        <v>114</v>
      </c>
      <c r="G1453" t="s">
        <v>115</v>
      </c>
      <c r="H1453" t="s">
        <v>115</v>
      </c>
      <c r="I1453" t="s">
        <v>56</v>
      </c>
      <c r="J1453" t="s">
        <v>179</v>
      </c>
      <c r="K1453" t="s">
        <v>78</v>
      </c>
      <c r="L1453" t="s">
        <v>67</v>
      </c>
      <c r="M1453" t="s">
        <v>47</v>
      </c>
      <c r="N1453" t="s">
        <v>69</v>
      </c>
      <c r="O1453" t="s">
        <v>70</v>
      </c>
      <c r="P1453" t="s">
        <v>71</v>
      </c>
      <c r="Q1453" t="s">
        <v>38</v>
      </c>
      <c r="R1453">
        <v>253</v>
      </c>
      <c r="S1453">
        <v>121</v>
      </c>
      <c r="T1453">
        <v>89</v>
      </c>
      <c r="U1453">
        <v>26</v>
      </c>
      <c r="V1453" t="s">
        <v>6670</v>
      </c>
      <c r="W1453">
        <v>41598</v>
      </c>
      <c r="X1453" t="s">
        <v>623</v>
      </c>
      <c r="Y1453">
        <v>31841</v>
      </c>
      <c r="Z1453">
        <v>1081548</v>
      </c>
      <c r="AA1453">
        <v>253682</v>
      </c>
      <c r="AB1453" t="str">
        <f>(VLOOKUP(SalesData[[#This Row],[Month Number]],Reference!C$5:E$16,2,FALSE))</f>
        <v>Feb</v>
      </c>
      <c r="AC1453">
        <f>MONTH(SalesData[[#This Row],[Date]])</f>
        <v>2</v>
      </c>
      <c r="AD1453">
        <f>Reference!F$4</f>
        <v>2026</v>
      </c>
      <c r="AE1453" t="str">
        <f>IF(OR(SalesData[[#This Row],[Day]]="Saturday",SalesData[[#This Row],[Day]]="Sunday"),"Weekend","Weekday")</f>
        <v>Weekday</v>
      </c>
      <c r="AF1453" s="5">
        <f>IF(SalesData[[#This Row],[Contracts Offered]]=0,0,SalesData[[#This Row],[Contracts Signed]]/SalesData[[#This Row],[Contracts Offered]])</f>
        <v>0.29213483146067415</v>
      </c>
      <c r="AG1453" s="5">
        <f>IF(SalesData[[#This Row],[Customers Visited]]=0,0,SalesData[[#This Row],[Test Drives]]/SalesData[[#This Row],[Customers Visited]])</f>
        <v>0.47826086956521741</v>
      </c>
      <c r="AH1453" s="5">
        <f>IF(SalesData[[#This Row],[Customers Visited]]=0,0,SalesData[[#This Row],[Contracts Signed]]/SalesData[[#This Row],[Customers Visited]])</f>
        <v>0.10276679841897234</v>
      </c>
      <c r="AI1453" s="6">
        <f>IF(SalesData[[#This Row],[Contracts Signed]]=0,0,SalesData[[#This Row],[Profit(€)]]/SalesData[[#This Row],[Contracts Signed]])</f>
        <v>9757</v>
      </c>
      <c r="AJ1453" s="5" t="str">
        <f>TRIM(CLEAN(SalesData[[#This Row],[Retailer]]))</f>
        <v>Elbe Drive</v>
      </c>
    </row>
    <row r="1454" spans="1:36" ht="14.25" x14ac:dyDescent="0.2">
      <c r="A1454" t="s">
        <v>2333</v>
      </c>
      <c r="B1454" s="1">
        <v>46056</v>
      </c>
      <c r="C1454" t="s">
        <v>24</v>
      </c>
      <c r="D1454" t="s">
        <v>63</v>
      </c>
      <c r="E1454" t="s">
        <v>26</v>
      </c>
      <c r="F1454" t="s">
        <v>7649</v>
      </c>
      <c r="G1454" t="s">
        <v>55</v>
      </c>
      <c r="H1454" t="s">
        <v>55</v>
      </c>
      <c r="I1454" t="s">
        <v>30</v>
      </c>
      <c r="J1454" t="s">
        <v>7075</v>
      </c>
      <c r="K1454" t="s">
        <v>32</v>
      </c>
      <c r="L1454" t="s">
        <v>33</v>
      </c>
      <c r="M1454" t="s">
        <v>47</v>
      </c>
      <c r="N1454" t="s">
        <v>69</v>
      </c>
      <c r="O1454" t="s">
        <v>36</v>
      </c>
      <c r="P1454" t="s">
        <v>49</v>
      </c>
      <c r="Q1454" t="s">
        <v>144</v>
      </c>
      <c r="R1454">
        <v>196</v>
      </c>
      <c r="S1454">
        <v>96</v>
      </c>
      <c r="T1454">
        <v>71</v>
      </c>
      <c r="U1454">
        <v>27</v>
      </c>
      <c r="V1454" t="s">
        <v>6514</v>
      </c>
      <c r="W1454">
        <v>68215</v>
      </c>
      <c r="X1454" t="s">
        <v>1937</v>
      </c>
      <c r="Y1454">
        <v>51300</v>
      </c>
      <c r="Z1454">
        <v>1841805</v>
      </c>
      <c r="AA1454">
        <v>456705</v>
      </c>
      <c r="AB1454" t="str">
        <f>(VLOOKUP(SalesData[[#This Row],[Month Number]],Reference!C$5:E$16,2,FALSE))</f>
        <v>Feb</v>
      </c>
      <c r="AC1454">
        <f>MONTH(SalesData[[#This Row],[Date]])</f>
        <v>2</v>
      </c>
      <c r="AD1454">
        <f>Reference!F$4</f>
        <v>2026</v>
      </c>
      <c r="AE1454" t="str">
        <f>IF(OR(SalesData[[#This Row],[Day]]="Saturday",SalesData[[#This Row],[Day]]="Sunday"),"Weekend","Weekday")</f>
        <v>Weekday</v>
      </c>
      <c r="AF1454" s="5">
        <f>IF(SalesData[[#This Row],[Contracts Offered]]=0,0,SalesData[[#This Row],[Contracts Signed]]/SalesData[[#This Row],[Contracts Offered]])</f>
        <v>0.38028169014084506</v>
      </c>
      <c r="AG1454" s="5">
        <f>IF(SalesData[[#This Row],[Customers Visited]]=0,0,SalesData[[#This Row],[Test Drives]]/SalesData[[#This Row],[Customers Visited]])</f>
        <v>0.48979591836734693</v>
      </c>
      <c r="AH1454" s="5">
        <f>IF(SalesData[[#This Row],[Customers Visited]]=0,0,SalesData[[#This Row],[Contracts Signed]]/SalesData[[#This Row],[Customers Visited]])</f>
        <v>0.13775510204081631</v>
      </c>
      <c r="AI1454" s="6">
        <f>IF(SalesData[[#This Row],[Contracts Signed]]=0,0,SalesData[[#This Row],[Profit(€)]]/SalesData[[#This Row],[Contracts Signed]])</f>
        <v>16915</v>
      </c>
      <c r="AJ1454" s="5" t="str">
        <f>TRIM(CLEAN(SalesData[[#This Row],[Retailer]]))</f>
        <v>Autohaus Berlin</v>
      </c>
    </row>
    <row r="1455" spans="1:36" ht="14.25" hidden="1" x14ac:dyDescent="0.2">
      <c r="A1455" t="s">
        <v>2335</v>
      </c>
      <c r="B1455" s="1">
        <v>46059</v>
      </c>
      <c r="C1455" t="s">
        <v>24</v>
      </c>
      <c r="D1455" t="s">
        <v>54</v>
      </c>
      <c r="E1455" t="s">
        <v>26</v>
      </c>
      <c r="F1455" t="s">
        <v>94</v>
      </c>
      <c r="G1455" t="s">
        <v>95</v>
      </c>
      <c r="H1455" t="s">
        <v>96</v>
      </c>
      <c r="I1455" t="s">
        <v>64</v>
      </c>
      <c r="J1455" t="s">
        <v>77</v>
      </c>
      <c r="K1455" t="s">
        <v>91</v>
      </c>
      <c r="L1455" t="s">
        <v>46</v>
      </c>
      <c r="M1455" t="s">
        <v>68</v>
      </c>
      <c r="N1455" t="s">
        <v>69</v>
      </c>
      <c r="O1455" t="s">
        <v>36</v>
      </c>
      <c r="P1455" t="s">
        <v>49</v>
      </c>
      <c r="Q1455" t="s">
        <v>169</v>
      </c>
      <c r="R1455">
        <v>283</v>
      </c>
      <c r="S1455">
        <v>152</v>
      </c>
      <c r="T1455">
        <v>103</v>
      </c>
      <c r="U1455">
        <v>39</v>
      </c>
      <c r="V1455" t="s">
        <v>6668</v>
      </c>
      <c r="W1455">
        <v>61678</v>
      </c>
      <c r="X1455" t="s">
        <v>3045</v>
      </c>
      <c r="Y1455">
        <v>45302</v>
      </c>
      <c r="Z1455">
        <v>2405442</v>
      </c>
      <c r="AA1455">
        <v>638664</v>
      </c>
      <c r="AB1455" t="str">
        <f>(VLOOKUP(SalesData[[#This Row],[Month Number]],Reference!C$5:E$16,2,FALSE))</f>
        <v>Feb</v>
      </c>
      <c r="AC1455">
        <f>MONTH(SalesData[[#This Row],[Date]])</f>
        <v>2</v>
      </c>
      <c r="AD1455">
        <f>Reference!F$4</f>
        <v>2026</v>
      </c>
      <c r="AE1455" t="str">
        <f>IF(OR(SalesData[[#This Row],[Day]]="Saturday",SalesData[[#This Row],[Day]]="Sunday"),"Weekend","Weekday")</f>
        <v>Weekday</v>
      </c>
      <c r="AF1455" s="5">
        <f>IF(SalesData[[#This Row],[Contracts Offered]]=0,0,SalesData[[#This Row],[Contracts Signed]]/SalesData[[#This Row],[Contracts Offered]])</f>
        <v>0.37864077669902912</v>
      </c>
      <c r="AG1455" s="5">
        <f>IF(SalesData[[#This Row],[Customers Visited]]=0,0,SalesData[[#This Row],[Test Drives]]/SalesData[[#This Row],[Customers Visited]])</f>
        <v>0.53710247349823326</v>
      </c>
      <c r="AH1455" s="5">
        <f>IF(SalesData[[#This Row],[Customers Visited]]=0,0,SalesData[[#This Row],[Contracts Signed]]/SalesData[[#This Row],[Customers Visited]])</f>
        <v>0.13780918727915195</v>
      </c>
      <c r="AI1455" s="6">
        <f>IF(SalesData[[#This Row],[Contracts Signed]]=0,0,SalesData[[#This Row],[Profit(€)]]/SalesData[[#This Row],[Contracts Signed]])</f>
        <v>16376</v>
      </c>
      <c r="AJ1455" s="5" t="str">
        <f>TRIM(CLEAN(SalesData[[#This Row],[Retailer]]))</f>
        <v>Bavaria Motors</v>
      </c>
    </row>
    <row r="1456" spans="1:36" ht="14.25" hidden="1" x14ac:dyDescent="0.2">
      <c r="A1456" t="s">
        <v>2337</v>
      </c>
      <c r="B1456" s="1">
        <v>46081</v>
      </c>
      <c r="C1456" t="s">
        <v>53</v>
      </c>
      <c r="D1456" t="s">
        <v>151</v>
      </c>
      <c r="E1456" t="s">
        <v>42</v>
      </c>
      <c r="F1456" t="s">
        <v>74</v>
      </c>
      <c r="G1456" t="s">
        <v>75</v>
      </c>
      <c r="H1456" t="s">
        <v>76</v>
      </c>
      <c r="I1456" t="s">
        <v>116</v>
      </c>
      <c r="J1456" t="s">
        <v>132</v>
      </c>
      <c r="K1456" t="s">
        <v>66</v>
      </c>
      <c r="L1456" t="s">
        <v>46</v>
      </c>
      <c r="M1456" t="s">
        <v>34</v>
      </c>
      <c r="N1456" t="s">
        <v>48</v>
      </c>
      <c r="O1456" t="s">
        <v>36</v>
      </c>
      <c r="P1456" t="s">
        <v>58</v>
      </c>
      <c r="Q1456" t="s">
        <v>135</v>
      </c>
      <c r="R1456">
        <v>328</v>
      </c>
      <c r="S1456">
        <v>135</v>
      </c>
      <c r="T1456">
        <v>93</v>
      </c>
      <c r="U1456">
        <v>28</v>
      </c>
      <c r="V1456" t="s">
        <v>7440</v>
      </c>
      <c r="W1456">
        <v>20336</v>
      </c>
      <c r="X1456" t="s">
        <v>4553</v>
      </c>
      <c r="Y1456">
        <v>18601</v>
      </c>
      <c r="Z1456">
        <v>569408</v>
      </c>
      <c r="AA1456">
        <v>48580</v>
      </c>
      <c r="AB1456" t="str">
        <f>(VLOOKUP(SalesData[[#This Row],[Month Number]],Reference!C$5:E$16,2,FALSE))</f>
        <v>Feb</v>
      </c>
      <c r="AC1456">
        <f>MONTH(SalesData[[#This Row],[Date]])</f>
        <v>2</v>
      </c>
      <c r="AD1456">
        <f>Reference!F$4</f>
        <v>2026</v>
      </c>
      <c r="AE1456" t="str">
        <f>IF(OR(SalesData[[#This Row],[Day]]="Saturday",SalesData[[#This Row],[Day]]="Sunday"),"Weekend","Weekday")</f>
        <v>Weekend</v>
      </c>
      <c r="AF1456" s="5">
        <f>IF(SalesData[[#This Row],[Contracts Offered]]=0,0,SalesData[[#This Row],[Contracts Signed]]/SalesData[[#This Row],[Contracts Offered]])</f>
        <v>0.30107526881720431</v>
      </c>
      <c r="AG1456" s="5">
        <f>IF(SalesData[[#This Row],[Customers Visited]]=0,0,SalesData[[#This Row],[Test Drives]]/SalesData[[#This Row],[Customers Visited]])</f>
        <v>0.41158536585365851</v>
      </c>
      <c r="AH1456" s="5">
        <f>IF(SalesData[[#This Row],[Customers Visited]]=0,0,SalesData[[#This Row],[Contracts Signed]]/SalesData[[#This Row],[Customers Visited]])</f>
        <v>8.5365853658536592E-2</v>
      </c>
      <c r="AI1456" s="6">
        <f>IF(SalesData[[#This Row],[Contracts Signed]]=0,0,SalesData[[#This Row],[Profit(€)]]/SalesData[[#This Row],[Contracts Signed]])</f>
        <v>1735</v>
      </c>
      <c r="AJ1456" s="5" t="str">
        <f>TRIM(CLEAN(SalesData[[#This Row],[Retailer]]))</f>
        <v>Stuttgart Auto Center</v>
      </c>
    </row>
    <row r="1457" spans="1:36" ht="14.25" hidden="1" x14ac:dyDescent="0.2">
      <c r="A1457" t="s">
        <v>2338</v>
      </c>
      <c r="B1457" s="1">
        <v>46073</v>
      </c>
      <c r="C1457" t="s">
        <v>62</v>
      </c>
      <c r="D1457" t="s">
        <v>54</v>
      </c>
      <c r="E1457" t="s">
        <v>26</v>
      </c>
      <c r="F1457" t="s">
        <v>114</v>
      </c>
      <c r="G1457" t="s">
        <v>115</v>
      </c>
      <c r="H1457" t="s">
        <v>115</v>
      </c>
      <c r="I1457" t="s">
        <v>56</v>
      </c>
      <c r="J1457" t="s">
        <v>57</v>
      </c>
      <c r="K1457" t="s">
        <v>78</v>
      </c>
      <c r="L1457" t="s">
        <v>46</v>
      </c>
      <c r="M1457" t="s">
        <v>87</v>
      </c>
      <c r="N1457" t="s">
        <v>35</v>
      </c>
      <c r="O1457" t="s">
        <v>36</v>
      </c>
      <c r="P1457" t="s">
        <v>58</v>
      </c>
      <c r="Q1457" t="s">
        <v>118</v>
      </c>
      <c r="R1457">
        <v>225</v>
      </c>
      <c r="S1457">
        <v>111</v>
      </c>
      <c r="T1457">
        <v>82</v>
      </c>
      <c r="U1457">
        <v>28</v>
      </c>
      <c r="V1457" t="s">
        <v>6674</v>
      </c>
      <c r="W1457">
        <v>41150</v>
      </c>
      <c r="X1457" t="s">
        <v>1263</v>
      </c>
      <c r="Y1457">
        <v>31870</v>
      </c>
      <c r="Z1457">
        <v>1152200</v>
      </c>
      <c r="AA1457">
        <v>259840</v>
      </c>
      <c r="AB1457" t="str">
        <f>(VLOOKUP(SalesData[[#This Row],[Month Number]],Reference!C$5:E$16,2,FALSE))</f>
        <v>Feb</v>
      </c>
      <c r="AC1457">
        <f>MONTH(SalesData[[#This Row],[Date]])</f>
        <v>2</v>
      </c>
      <c r="AD1457">
        <f>Reference!F$4</f>
        <v>2026</v>
      </c>
      <c r="AE1457" t="str">
        <f>IF(OR(SalesData[[#This Row],[Day]]="Saturday",SalesData[[#This Row],[Day]]="Sunday"),"Weekend","Weekday")</f>
        <v>Weekday</v>
      </c>
      <c r="AF1457" s="5">
        <f>IF(SalesData[[#This Row],[Contracts Offered]]=0,0,SalesData[[#This Row],[Contracts Signed]]/SalesData[[#This Row],[Contracts Offered]])</f>
        <v>0.34146341463414637</v>
      </c>
      <c r="AG1457" s="5">
        <f>IF(SalesData[[#This Row],[Customers Visited]]=0,0,SalesData[[#This Row],[Test Drives]]/SalesData[[#This Row],[Customers Visited]])</f>
        <v>0.49333333333333335</v>
      </c>
      <c r="AH1457" s="5">
        <f>IF(SalesData[[#This Row],[Customers Visited]]=0,0,SalesData[[#This Row],[Contracts Signed]]/SalesData[[#This Row],[Customers Visited]])</f>
        <v>0.12444444444444444</v>
      </c>
      <c r="AI1457" s="6">
        <f>IF(SalesData[[#This Row],[Contracts Signed]]=0,0,SalesData[[#This Row],[Profit(€)]]/SalesData[[#This Row],[Contracts Signed]])</f>
        <v>9280</v>
      </c>
      <c r="AJ1457" s="5" t="str">
        <f>TRIM(CLEAN(SalesData[[#This Row],[Retailer]]))</f>
        <v>Elbe Drive</v>
      </c>
    </row>
    <row r="1458" spans="1:36" ht="14.25" x14ac:dyDescent="0.2">
      <c r="A1458" t="s">
        <v>2339</v>
      </c>
      <c r="B1458" s="1">
        <v>46063</v>
      </c>
      <c r="C1458" t="s">
        <v>121</v>
      </c>
      <c r="D1458" t="s">
        <v>63</v>
      </c>
      <c r="E1458" t="s">
        <v>26</v>
      </c>
      <c r="F1458" t="s">
        <v>83</v>
      </c>
      <c r="G1458" t="s">
        <v>84</v>
      </c>
      <c r="H1458" t="s">
        <v>85</v>
      </c>
      <c r="I1458" t="s">
        <v>30</v>
      </c>
      <c r="J1458" t="s">
        <v>31</v>
      </c>
      <c r="K1458" t="s">
        <v>32</v>
      </c>
      <c r="L1458" t="s">
        <v>46</v>
      </c>
      <c r="M1458" t="s">
        <v>68</v>
      </c>
      <c r="N1458" t="s">
        <v>69</v>
      </c>
      <c r="O1458" t="s">
        <v>36</v>
      </c>
      <c r="P1458" t="s">
        <v>58</v>
      </c>
      <c r="Q1458" t="s">
        <v>204</v>
      </c>
      <c r="R1458">
        <v>189</v>
      </c>
      <c r="S1458">
        <v>108</v>
      </c>
      <c r="T1458">
        <v>84</v>
      </c>
      <c r="U1458">
        <v>33</v>
      </c>
      <c r="V1458" t="s">
        <v>7441</v>
      </c>
      <c r="W1458">
        <v>68096</v>
      </c>
      <c r="X1458" t="s">
        <v>7442</v>
      </c>
      <c r="Y1458">
        <v>51426</v>
      </c>
      <c r="Z1458">
        <v>2247168</v>
      </c>
      <c r="AA1458">
        <v>550110</v>
      </c>
      <c r="AB1458" t="str">
        <f>(VLOOKUP(SalesData[[#This Row],[Month Number]],Reference!C$5:E$16,2,FALSE))</f>
        <v>Feb</v>
      </c>
      <c r="AC1458">
        <f>MONTH(SalesData[[#This Row],[Date]])</f>
        <v>2</v>
      </c>
      <c r="AD1458">
        <f>Reference!F$4</f>
        <v>2026</v>
      </c>
      <c r="AE1458" t="str">
        <f>IF(OR(SalesData[[#This Row],[Day]]="Saturday",SalesData[[#This Row],[Day]]="Sunday"),"Weekend","Weekday")</f>
        <v>Weekday</v>
      </c>
      <c r="AF1458" s="5">
        <f>IF(SalesData[[#This Row],[Contracts Offered]]=0,0,SalesData[[#This Row],[Contracts Signed]]/SalesData[[#This Row],[Contracts Offered]])</f>
        <v>0.39285714285714285</v>
      </c>
      <c r="AG1458" s="5">
        <f>IF(SalesData[[#This Row],[Customers Visited]]=0,0,SalesData[[#This Row],[Test Drives]]/SalesData[[#This Row],[Customers Visited]])</f>
        <v>0.5714285714285714</v>
      </c>
      <c r="AH1458" s="5">
        <f>IF(SalesData[[#This Row],[Customers Visited]]=0,0,SalesData[[#This Row],[Contracts Signed]]/SalesData[[#This Row],[Customers Visited]])</f>
        <v>0.17460317460317459</v>
      </c>
      <c r="AI1458" s="6">
        <f>IF(SalesData[[#This Row],[Contracts Signed]]=0,0,SalesData[[#This Row],[Profit(€)]]/SalesData[[#This Row],[Contracts Signed]])</f>
        <v>16670</v>
      </c>
      <c r="AJ1458" s="5" t="str">
        <f>TRIM(CLEAN(SalesData[[#This Row],[Retailer]]))</f>
        <v>Hannover Cars</v>
      </c>
    </row>
    <row r="1459" spans="1:36" ht="14.25" hidden="1" x14ac:dyDescent="0.2">
      <c r="A1459" t="s">
        <v>2340</v>
      </c>
      <c r="B1459" s="1">
        <v>46055</v>
      </c>
      <c r="C1459" t="s">
        <v>24</v>
      </c>
      <c r="D1459" t="s">
        <v>25</v>
      </c>
      <c r="E1459" t="s">
        <v>26</v>
      </c>
      <c r="F1459" t="s">
        <v>74</v>
      </c>
      <c r="G1459" t="s">
        <v>75</v>
      </c>
      <c r="H1459" t="s">
        <v>76</v>
      </c>
      <c r="I1459" t="s">
        <v>64</v>
      </c>
      <c r="J1459" t="s">
        <v>77</v>
      </c>
      <c r="K1459" t="s">
        <v>32</v>
      </c>
      <c r="L1459" t="s">
        <v>46</v>
      </c>
      <c r="M1459" t="s">
        <v>68</v>
      </c>
      <c r="N1459" t="s">
        <v>48</v>
      </c>
      <c r="O1459" t="s">
        <v>36</v>
      </c>
      <c r="P1459" t="s">
        <v>49</v>
      </c>
      <c r="Q1459" t="s">
        <v>169</v>
      </c>
      <c r="R1459">
        <v>182</v>
      </c>
      <c r="S1459">
        <v>103</v>
      </c>
      <c r="T1459">
        <v>68</v>
      </c>
      <c r="U1459">
        <v>24</v>
      </c>
      <c r="V1459" t="s">
        <v>6562</v>
      </c>
      <c r="W1459">
        <v>55507</v>
      </c>
      <c r="X1459" t="s">
        <v>7112</v>
      </c>
      <c r="Y1459">
        <v>40039</v>
      </c>
      <c r="Z1459">
        <v>1332168</v>
      </c>
      <c r="AA1459">
        <v>371232</v>
      </c>
      <c r="AB1459" t="str">
        <f>(VLOOKUP(SalesData[[#This Row],[Month Number]],Reference!C$5:E$16,2,FALSE))</f>
        <v>Feb</v>
      </c>
      <c r="AC1459">
        <f>MONTH(SalesData[[#This Row],[Date]])</f>
        <v>2</v>
      </c>
      <c r="AD1459">
        <f>Reference!F$4</f>
        <v>2026</v>
      </c>
      <c r="AE1459" t="str">
        <f>IF(OR(SalesData[[#This Row],[Day]]="Saturday",SalesData[[#This Row],[Day]]="Sunday"),"Weekend","Weekday")</f>
        <v>Weekday</v>
      </c>
      <c r="AF1459" s="5">
        <f>IF(SalesData[[#This Row],[Contracts Offered]]=0,0,SalesData[[#This Row],[Contracts Signed]]/SalesData[[#This Row],[Contracts Offered]])</f>
        <v>0.35294117647058826</v>
      </c>
      <c r="AG1459" s="5">
        <f>IF(SalesData[[#This Row],[Customers Visited]]=0,0,SalesData[[#This Row],[Test Drives]]/SalesData[[#This Row],[Customers Visited]])</f>
        <v>0.56593406593406592</v>
      </c>
      <c r="AH1459" s="5">
        <f>IF(SalesData[[#This Row],[Customers Visited]]=0,0,SalesData[[#This Row],[Contracts Signed]]/SalesData[[#This Row],[Customers Visited]])</f>
        <v>0.13186813186813187</v>
      </c>
      <c r="AI1459" s="6">
        <f>IF(SalesData[[#This Row],[Contracts Signed]]=0,0,SalesData[[#This Row],[Profit(€)]]/SalesData[[#This Row],[Contracts Signed]])</f>
        <v>15468</v>
      </c>
      <c r="AJ1459" s="5" t="str">
        <f>TRIM(CLEAN(SalesData[[#This Row],[Retailer]]))</f>
        <v>Stuttgart Auto Center</v>
      </c>
    </row>
    <row r="1460" spans="1:36" ht="14.25" x14ac:dyDescent="0.2">
      <c r="A1460" t="s">
        <v>2341</v>
      </c>
      <c r="B1460" s="1">
        <v>46057</v>
      </c>
      <c r="C1460" t="s">
        <v>24</v>
      </c>
      <c r="D1460" t="s">
        <v>82</v>
      </c>
      <c r="E1460" t="s">
        <v>26</v>
      </c>
      <c r="F1460" t="s">
        <v>7649</v>
      </c>
      <c r="G1460" t="s">
        <v>55</v>
      </c>
      <c r="H1460" t="s">
        <v>55</v>
      </c>
      <c r="I1460" t="s">
        <v>30</v>
      </c>
      <c r="J1460" t="s">
        <v>188</v>
      </c>
      <c r="K1460" t="s">
        <v>91</v>
      </c>
      <c r="L1460" t="s">
        <v>33</v>
      </c>
      <c r="M1460" t="s">
        <v>68</v>
      </c>
      <c r="N1460" t="s">
        <v>48</v>
      </c>
      <c r="O1460" t="s">
        <v>70</v>
      </c>
      <c r="P1460" t="s">
        <v>58</v>
      </c>
      <c r="Q1460" t="s">
        <v>88</v>
      </c>
      <c r="R1460">
        <v>156</v>
      </c>
      <c r="S1460">
        <v>88</v>
      </c>
      <c r="T1460">
        <v>62</v>
      </c>
      <c r="U1460">
        <v>25</v>
      </c>
      <c r="V1460" t="s">
        <v>7088</v>
      </c>
      <c r="W1460">
        <v>60602</v>
      </c>
      <c r="X1460" t="s">
        <v>7390</v>
      </c>
      <c r="Y1460">
        <v>42690</v>
      </c>
      <c r="Z1460">
        <v>1515050</v>
      </c>
      <c r="AA1460">
        <v>447800</v>
      </c>
      <c r="AB1460" t="str">
        <f>(VLOOKUP(SalesData[[#This Row],[Month Number]],Reference!C$5:E$16,2,FALSE))</f>
        <v>Feb</v>
      </c>
      <c r="AC1460">
        <f>MONTH(SalesData[[#This Row],[Date]])</f>
        <v>2</v>
      </c>
      <c r="AD1460">
        <f>Reference!F$4</f>
        <v>2026</v>
      </c>
      <c r="AE1460" t="str">
        <f>IF(OR(SalesData[[#This Row],[Day]]="Saturday",SalesData[[#This Row],[Day]]="Sunday"),"Weekend","Weekday")</f>
        <v>Weekday</v>
      </c>
      <c r="AF1460" s="5">
        <f>IF(SalesData[[#This Row],[Contracts Offered]]=0,0,SalesData[[#This Row],[Contracts Signed]]/SalesData[[#This Row],[Contracts Offered]])</f>
        <v>0.40322580645161288</v>
      </c>
      <c r="AG1460" s="5">
        <f>IF(SalesData[[#This Row],[Customers Visited]]=0,0,SalesData[[#This Row],[Test Drives]]/SalesData[[#This Row],[Customers Visited]])</f>
        <v>0.5641025641025641</v>
      </c>
      <c r="AH1460" s="5">
        <f>IF(SalesData[[#This Row],[Customers Visited]]=0,0,SalesData[[#This Row],[Contracts Signed]]/SalesData[[#This Row],[Customers Visited]])</f>
        <v>0.16025641025641027</v>
      </c>
      <c r="AI1460" s="6">
        <f>IF(SalesData[[#This Row],[Contracts Signed]]=0,0,SalesData[[#This Row],[Profit(€)]]/SalesData[[#This Row],[Contracts Signed]])</f>
        <v>17912</v>
      </c>
      <c r="AJ1460" s="5" t="str">
        <f>TRIM(CLEAN(SalesData[[#This Row],[Retailer]]))</f>
        <v>Autohaus Berlin</v>
      </c>
    </row>
    <row r="1461" spans="1:36" ht="14.25" hidden="1" x14ac:dyDescent="0.2">
      <c r="A1461" t="s">
        <v>2342</v>
      </c>
      <c r="B1461" s="1">
        <v>46076</v>
      </c>
      <c r="C1461" t="s">
        <v>53</v>
      </c>
      <c r="D1461" t="s">
        <v>25</v>
      </c>
      <c r="E1461" t="s">
        <v>26</v>
      </c>
      <c r="F1461" t="s">
        <v>94</v>
      </c>
      <c r="G1461" t="s">
        <v>95</v>
      </c>
      <c r="H1461" t="s">
        <v>96</v>
      </c>
      <c r="I1461" t="s">
        <v>56</v>
      </c>
      <c r="J1461" t="s">
        <v>7028</v>
      </c>
      <c r="K1461" t="s">
        <v>78</v>
      </c>
      <c r="L1461" t="s">
        <v>46</v>
      </c>
      <c r="M1461" t="s">
        <v>68</v>
      </c>
      <c r="N1461" t="s">
        <v>69</v>
      </c>
      <c r="O1461" t="s">
        <v>36</v>
      </c>
      <c r="P1461" t="s">
        <v>37</v>
      </c>
      <c r="Q1461" t="s">
        <v>144</v>
      </c>
      <c r="R1461">
        <v>191</v>
      </c>
      <c r="S1461">
        <v>120</v>
      </c>
      <c r="T1461">
        <v>82</v>
      </c>
      <c r="U1461">
        <v>31</v>
      </c>
      <c r="V1461" t="s">
        <v>6350</v>
      </c>
      <c r="W1461">
        <v>45673</v>
      </c>
      <c r="X1461" t="s">
        <v>4573</v>
      </c>
      <c r="Y1461">
        <v>34841</v>
      </c>
      <c r="Z1461">
        <v>1415863</v>
      </c>
      <c r="AA1461">
        <v>335792</v>
      </c>
      <c r="AB1461" t="str">
        <f>(VLOOKUP(SalesData[[#This Row],[Month Number]],Reference!C$5:E$16,2,FALSE))</f>
        <v>Feb</v>
      </c>
      <c r="AC1461">
        <f>MONTH(SalesData[[#This Row],[Date]])</f>
        <v>2</v>
      </c>
      <c r="AD1461">
        <f>Reference!F$4</f>
        <v>2026</v>
      </c>
      <c r="AE1461" t="str">
        <f>IF(OR(SalesData[[#This Row],[Day]]="Saturday",SalesData[[#This Row],[Day]]="Sunday"),"Weekend","Weekday")</f>
        <v>Weekday</v>
      </c>
      <c r="AF1461" s="5">
        <f>IF(SalesData[[#This Row],[Contracts Offered]]=0,0,SalesData[[#This Row],[Contracts Signed]]/SalesData[[#This Row],[Contracts Offered]])</f>
        <v>0.37804878048780488</v>
      </c>
      <c r="AG1461" s="5">
        <f>IF(SalesData[[#This Row],[Customers Visited]]=0,0,SalesData[[#This Row],[Test Drives]]/SalesData[[#This Row],[Customers Visited]])</f>
        <v>0.62827225130890052</v>
      </c>
      <c r="AH1461" s="5">
        <f>IF(SalesData[[#This Row],[Customers Visited]]=0,0,SalesData[[#This Row],[Contracts Signed]]/SalesData[[#This Row],[Customers Visited]])</f>
        <v>0.16230366492146597</v>
      </c>
      <c r="AI1461" s="6">
        <f>IF(SalesData[[#This Row],[Contracts Signed]]=0,0,SalesData[[#This Row],[Profit(€)]]/SalesData[[#This Row],[Contracts Signed]])</f>
        <v>10832</v>
      </c>
      <c r="AJ1461" s="5" t="str">
        <f>TRIM(CLEAN(SalesData[[#This Row],[Retailer]]))</f>
        <v>Bavaria Motors</v>
      </c>
    </row>
    <row r="1462" spans="1:36" ht="14.25" hidden="1" x14ac:dyDescent="0.2">
      <c r="A1462" t="s">
        <v>2343</v>
      </c>
      <c r="B1462" s="1">
        <v>46076</v>
      </c>
      <c r="C1462" t="s">
        <v>53</v>
      </c>
      <c r="D1462" t="s">
        <v>25</v>
      </c>
      <c r="E1462" t="s">
        <v>26</v>
      </c>
      <c r="F1462" t="s">
        <v>74</v>
      </c>
      <c r="G1462" t="s">
        <v>75</v>
      </c>
      <c r="H1462" t="s">
        <v>76</v>
      </c>
      <c r="I1462" t="s">
        <v>116</v>
      </c>
      <c r="J1462" t="s">
        <v>7026</v>
      </c>
      <c r="K1462" t="s">
        <v>78</v>
      </c>
      <c r="L1462" t="s">
        <v>46</v>
      </c>
      <c r="M1462" t="s">
        <v>87</v>
      </c>
      <c r="N1462" t="s">
        <v>69</v>
      </c>
      <c r="O1462" t="s">
        <v>70</v>
      </c>
      <c r="P1462" t="s">
        <v>71</v>
      </c>
      <c r="Q1462" t="s">
        <v>204</v>
      </c>
      <c r="R1462">
        <v>354</v>
      </c>
      <c r="S1462">
        <v>179</v>
      </c>
      <c r="T1462">
        <v>108</v>
      </c>
      <c r="U1462">
        <v>27</v>
      </c>
      <c r="V1462" t="s">
        <v>3005</v>
      </c>
      <c r="W1462">
        <v>21499</v>
      </c>
      <c r="X1462" t="s">
        <v>7443</v>
      </c>
      <c r="Y1462">
        <v>19953</v>
      </c>
      <c r="Z1462">
        <v>580473</v>
      </c>
      <c r="AA1462">
        <v>41742</v>
      </c>
      <c r="AB1462" t="str">
        <f>(VLOOKUP(SalesData[[#This Row],[Month Number]],Reference!C$5:E$16,2,FALSE))</f>
        <v>Feb</v>
      </c>
      <c r="AC1462">
        <f>MONTH(SalesData[[#This Row],[Date]])</f>
        <v>2</v>
      </c>
      <c r="AD1462">
        <f>Reference!F$4</f>
        <v>2026</v>
      </c>
      <c r="AE1462" t="str">
        <f>IF(OR(SalesData[[#This Row],[Day]]="Saturday",SalesData[[#This Row],[Day]]="Sunday"),"Weekend","Weekday")</f>
        <v>Weekday</v>
      </c>
      <c r="AF1462" s="5">
        <f>IF(SalesData[[#This Row],[Contracts Offered]]=0,0,SalesData[[#This Row],[Contracts Signed]]/SalesData[[#This Row],[Contracts Offered]])</f>
        <v>0.25</v>
      </c>
      <c r="AG1462" s="5">
        <f>IF(SalesData[[#This Row],[Customers Visited]]=0,0,SalesData[[#This Row],[Test Drives]]/SalesData[[#This Row],[Customers Visited]])</f>
        <v>0.50564971751412424</v>
      </c>
      <c r="AH1462" s="5">
        <f>IF(SalesData[[#This Row],[Customers Visited]]=0,0,SalesData[[#This Row],[Contracts Signed]]/SalesData[[#This Row],[Customers Visited]])</f>
        <v>7.6271186440677971E-2</v>
      </c>
      <c r="AI1462" s="6">
        <f>IF(SalesData[[#This Row],[Contracts Signed]]=0,0,SalesData[[#This Row],[Profit(€)]]/SalesData[[#This Row],[Contracts Signed]])</f>
        <v>1546</v>
      </c>
      <c r="AJ1462" s="5" t="str">
        <f>TRIM(CLEAN(SalesData[[#This Row],[Retailer]]))</f>
        <v>Stuttgart Auto Center</v>
      </c>
    </row>
    <row r="1463" spans="1:36" ht="14.25" hidden="1" x14ac:dyDescent="0.2">
      <c r="A1463" t="s">
        <v>2344</v>
      </c>
      <c r="B1463" s="1">
        <v>46060</v>
      </c>
      <c r="C1463" t="s">
        <v>24</v>
      </c>
      <c r="D1463" t="s">
        <v>151</v>
      </c>
      <c r="E1463" t="s">
        <v>42</v>
      </c>
      <c r="F1463" t="s">
        <v>109</v>
      </c>
      <c r="G1463" t="s">
        <v>110</v>
      </c>
      <c r="H1463" t="s">
        <v>45</v>
      </c>
      <c r="I1463" t="s">
        <v>104</v>
      </c>
      <c r="J1463" t="s">
        <v>7061</v>
      </c>
      <c r="K1463" t="s">
        <v>78</v>
      </c>
      <c r="L1463" t="s">
        <v>46</v>
      </c>
      <c r="M1463" t="s">
        <v>47</v>
      </c>
      <c r="N1463" t="s">
        <v>48</v>
      </c>
      <c r="O1463" t="s">
        <v>36</v>
      </c>
      <c r="P1463" t="s">
        <v>71</v>
      </c>
      <c r="Q1463" t="s">
        <v>106</v>
      </c>
      <c r="R1463">
        <v>299</v>
      </c>
      <c r="S1463">
        <v>147</v>
      </c>
      <c r="T1463">
        <v>100</v>
      </c>
      <c r="U1463">
        <v>22</v>
      </c>
      <c r="V1463" t="s">
        <v>6849</v>
      </c>
      <c r="W1463">
        <v>27033</v>
      </c>
      <c r="X1463" t="s">
        <v>5601</v>
      </c>
      <c r="Y1463">
        <v>23954</v>
      </c>
      <c r="Z1463">
        <v>594726</v>
      </c>
      <c r="AA1463">
        <v>67738</v>
      </c>
      <c r="AB1463" t="str">
        <f>(VLOOKUP(SalesData[[#This Row],[Month Number]],Reference!C$5:E$16,2,FALSE))</f>
        <v>Feb</v>
      </c>
      <c r="AC1463">
        <f>MONTH(SalesData[[#This Row],[Date]])</f>
        <v>2</v>
      </c>
      <c r="AD1463">
        <f>Reference!F$4</f>
        <v>2026</v>
      </c>
      <c r="AE1463" t="str">
        <f>IF(OR(SalesData[[#This Row],[Day]]="Saturday",SalesData[[#This Row],[Day]]="Sunday"),"Weekend","Weekday")</f>
        <v>Weekend</v>
      </c>
      <c r="AF1463" s="5">
        <f>IF(SalesData[[#This Row],[Contracts Offered]]=0,0,SalesData[[#This Row],[Contracts Signed]]/SalesData[[#This Row],[Contracts Offered]])</f>
        <v>0.22</v>
      </c>
      <c r="AG1463" s="5">
        <f>IF(SalesData[[#This Row],[Customers Visited]]=0,0,SalesData[[#This Row],[Test Drives]]/SalesData[[#This Row],[Customers Visited]])</f>
        <v>0.49163879598662208</v>
      </c>
      <c r="AH1463" s="5">
        <f>IF(SalesData[[#This Row],[Customers Visited]]=0,0,SalesData[[#This Row],[Contracts Signed]]/SalesData[[#This Row],[Customers Visited]])</f>
        <v>7.3578595317725759E-2</v>
      </c>
      <c r="AI1463" s="6">
        <f>IF(SalesData[[#This Row],[Contracts Signed]]=0,0,SalesData[[#This Row],[Profit(€)]]/SalesData[[#This Row],[Contracts Signed]])</f>
        <v>3079</v>
      </c>
      <c r="AJ1463" s="5" t="str">
        <f>TRIM(CLEAN(SalesData[[#This Row],[Retailer]]))</f>
        <v>Leipzig Mobility</v>
      </c>
    </row>
    <row r="1464" spans="1:36" ht="14.25" hidden="1" x14ac:dyDescent="0.2">
      <c r="A1464" t="s">
        <v>2345</v>
      </c>
      <c r="B1464" s="1">
        <v>46078</v>
      </c>
      <c r="C1464" t="s">
        <v>53</v>
      </c>
      <c r="D1464" t="s">
        <v>82</v>
      </c>
      <c r="E1464" t="s">
        <v>26</v>
      </c>
      <c r="F1464" t="s">
        <v>109</v>
      </c>
      <c r="G1464" t="s">
        <v>110</v>
      </c>
      <c r="H1464" t="s">
        <v>45</v>
      </c>
      <c r="I1464" t="s">
        <v>116</v>
      </c>
      <c r="J1464" t="s">
        <v>132</v>
      </c>
      <c r="K1464" t="s">
        <v>78</v>
      </c>
      <c r="L1464" t="s">
        <v>46</v>
      </c>
      <c r="M1464" t="s">
        <v>68</v>
      </c>
      <c r="N1464" t="s">
        <v>69</v>
      </c>
      <c r="O1464" t="s">
        <v>36</v>
      </c>
      <c r="P1464" t="s">
        <v>71</v>
      </c>
      <c r="Q1464" t="s">
        <v>79</v>
      </c>
      <c r="R1464">
        <v>391</v>
      </c>
      <c r="S1464">
        <v>218</v>
      </c>
      <c r="T1464">
        <v>139</v>
      </c>
      <c r="U1464">
        <v>37</v>
      </c>
      <c r="V1464" t="s">
        <v>4902</v>
      </c>
      <c r="W1464">
        <v>22770</v>
      </c>
      <c r="X1464" t="s">
        <v>985</v>
      </c>
      <c r="Y1464">
        <v>20839</v>
      </c>
      <c r="Z1464">
        <v>842490</v>
      </c>
      <c r="AA1464">
        <v>71447</v>
      </c>
      <c r="AB1464" t="str">
        <f>(VLOOKUP(SalesData[[#This Row],[Month Number]],Reference!C$5:E$16,2,FALSE))</f>
        <v>Feb</v>
      </c>
      <c r="AC1464">
        <f>MONTH(SalesData[[#This Row],[Date]])</f>
        <v>2</v>
      </c>
      <c r="AD1464">
        <f>Reference!F$4</f>
        <v>2026</v>
      </c>
      <c r="AE1464" t="str">
        <f>IF(OR(SalesData[[#This Row],[Day]]="Saturday",SalesData[[#This Row],[Day]]="Sunday"),"Weekend","Weekday")</f>
        <v>Weekday</v>
      </c>
      <c r="AF1464" s="5">
        <f>IF(SalesData[[#This Row],[Contracts Offered]]=0,0,SalesData[[#This Row],[Contracts Signed]]/SalesData[[#This Row],[Contracts Offered]])</f>
        <v>0.26618705035971224</v>
      </c>
      <c r="AG1464" s="5">
        <f>IF(SalesData[[#This Row],[Customers Visited]]=0,0,SalesData[[#This Row],[Test Drives]]/SalesData[[#This Row],[Customers Visited]])</f>
        <v>0.55754475703324813</v>
      </c>
      <c r="AH1464" s="5">
        <f>IF(SalesData[[#This Row],[Customers Visited]]=0,0,SalesData[[#This Row],[Contracts Signed]]/SalesData[[#This Row],[Customers Visited]])</f>
        <v>9.4629156010230184E-2</v>
      </c>
      <c r="AI1464" s="6">
        <f>IF(SalesData[[#This Row],[Contracts Signed]]=0,0,SalesData[[#This Row],[Profit(€)]]/SalesData[[#This Row],[Contracts Signed]])</f>
        <v>1931</v>
      </c>
      <c r="AJ1464" s="5" t="str">
        <f>TRIM(CLEAN(SalesData[[#This Row],[Retailer]]))</f>
        <v>Leipzig Mobility</v>
      </c>
    </row>
    <row r="1465" spans="1:36" ht="14.25" hidden="1" x14ac:dyDescent="0.2">
      <c r="A1465" t="s">
        <v>2346</v>
      </c>
      <c r="B1465" s="1">
        <v>46065</v>
      </c>
      <c r="C1465" t="s">
        <v>121</v>
      </c>
      <c r="D1465" t="s">
        <v>100</v>
      </c>
      <c r="E1465" t="s">
        <v>26</v>
      </c>
      <c r="F1465" t="s">
        <v>7649</v>
      </c>
      <c r="G1465" t="s">
        <v>55</v>
      </c>
      <c r="H1465" t="s">
        <v>55</v>
      </c>
      <c r="I1465" t="s">
        <v>116</v>
      </c>
      <c r="J1465" t="s">
        <v>132</v>
      </c>
      <c r="K1465" t="s">
        <v>91</v>
      </c>
      <c r="L1465" t="s">
        <v>46</v>
      </c>
      <c r="M1465" t="s">
        <v>34</v>
      </c>
      <c r="N1465" t="s">
        <v>48</v>
      </c>
      <c r="O1465" t="s">
        <v>36</v>
      </c>
      <c r="P1465" t="s">
        <v>49</v>
      </c>
      <c r="Q1465" t="s">
        <v>38</v>
      </c>
      <c r="R1465">
        <v>308</v>
      </c>
      <c r="S1465">
        <v>119</v>
      </c>
      <c r="T1465">
        <v>74</v>
      </c>
      <c r="U1465">
        <v>21</v>
      </c>
      <c r="V1465" t="s">
        <v>859</v>
      </c>
      <c r="W1465">
        <v>21656</v>
      </c>
      <c r="X1465" t="s">
        <v>1295</v>
      </c>
      <c r="Y1465">
        <v>20138</v>
      </c>
      <c r="Z1465">
        <v>454776</v>
      </c>
      <c r="AA1465">
        <v>31878</v>
      </c>
      <c r="AB1465" t="str">
        <f>(VLOOKUP(SalesData[[#This Row],[Month Number]],Reference!C$5:E$16,2,FALSE))</f>
        <v>Feb</v>
      </c>
      <c r="AC1465">
        <f>MONTH(SalesData[[#This Row],[Date]])</f>
        <v>2</v>
      </c>
      <c r="AD1465">
        <f>Reference!F$4</f>
        <v>2026</v>
      </c>
      <c r="AE1465" t="str">
        <f>IF(OR(SalesData[[#This Row],[Day]]="Saturday",SalesData[[#This Row],[Day]]="Sunday"),"Weekend","Weekday")</f>
        <v>Weekday</v>
      </c>
      <c r="AF1465" s="5">
        <f>IF(SalesData[[#This Row],[Contracts Offered]]=0,0,SalesData[[#This Row],[Contracts Signed]]/SalesData[[#This Row],[Contracts Offered]])</f>
        <v>0.28378378378378377</v>
      </c>
      <c r="AG1465" s="5">
        <f>IF(SalesData[[#This Row],[Customers Visited]]=0,0,SalesData[[#This Row],[Test Drives]]/SalesData[[#This Row],[Customers Visited]])</f>
        <v>0.38636363636363635</v>
      </c>
      <c r="AH1465" s="5">
        <f>IF(SalesData[[#This Row],[Customers Visited]]=0,0,SalesData[[#This Row],[Contracts Signed]]/SalesData[[#This Row],[Customers Visited]])</f>
        <v>6.8181818181818177E-2</v>
      </c>
      <c r="AI1465" s="6">
        <f>IF(SalesData[[#This Row],[Contracts Signed]]=0,0,SalesData[[#This Row],[Profit(€)]]/SalesData[[#This Row],[Contracts Signed]])</f>
        <v>1518</v>
      </c>
      <c r="AJ1465" s="5" t="str">
        <f>TRIM(CLEAN(SalesData[[#This Row],[Retailer]]))</f>
        <v>Autohaus Berlin</v>
      </c>
    </row>
    <row r="1466" spans="1:36" ht="14.25" hidden="1" x14ac:dyDescent="0.2">
      <c r="A1466" t="s">
        <v>2347</v>
      </c>
      <c r="B1466" s="1">
        <v>46077</v>
      </c>
      <c r="C1466" t="s">
        <v>53</v>
      </c>
      <c r="D1466" t="s">
        <v>63</v>
      </c>
      <c r="E1466" t="s">
        <v>26</v>
      </c>
      <c r="F1466" t="s">
        <v>109</v>
      </c>
      <c r="G1466" t="s">
        <v>110</v>
      </c>
      <c r="H1466" t="s">
        <v>45</v>
      </c>
      <c r="I1466" t="s">
        <v>104</v>
      </c>
      <c r="J1466" t="s">
        <v>140</v>
      </c>
      <c r="K1466" t="s">
        <v>78</v>
      </c>
      <c r="L1466" t="s">
        <v>46</v>
      </c>
      <c r="M1466" t="s">
        <v>34</v>
      </c>
      <c r="N1466" t="s">
        <v>69</v>
      </c>
      <c r="O1466" t="s">
        <v>36</v>
      </c>
      <c r="P1466" t="s">
        <v>71</v>
      </c>
      <c r="Q1466" t="s">
        <v>167</v>
      </c>
      <c r="R1466">
        <v>441</v>
      </c>
      <c r="S1466">
        <v>234</v>
      </c>
      <c r="T1466">
        <v>152</v>
      </c>
      <c r="U1466">
        <v>33</v>
      </c>
      <c r="V1466" t="s">
        <v>536</v>
      </c>
      <c r="W1466">
        <v>31546</v>
      </c>
      <c r="X1466" t="s">
        <v>7444</v>
      </c>
      <c r="Y1466">
        <v>27525</v>
      </c>
      <c r="Z1466">
        <v>1041018</v>
      </c>
      <c r="AA1466">
        <v>132693</v>
      </c>
      <c r="AB1466" t="str">
        <f>(VLOOKUP(SalesData[[#This Row],[Month Number]],Reference!C$5:E$16,2,FALSE))</f>
        <v>Feb</v>
      </c>
      <c r="AC1466">
        <f>MONTH(SalesData[[#This Row],[Date]])</f>
        <v>2</v>
      </c>
      <c r="AD1466">
        <f>Reference!F$4</f>
        <v>2026</v>
      </c>
      <c r="AE1466" t="str">
        <f>IF(OR(SalesData[[#This Row],[Day]]="Saturday",SalesData[[#This Row],[Day]]="Sunday"),"Weekend","Weekday")</f>
        <v>Weekday</v>
      </c>
      <c r="AF1466" s="5">
        <f>IF(SalesData[[#This Row],[Contracts Offered]]=0,0,SalesData[[#This Row],[Contracts Signed]]/SalesData[[#This Row],[Contracts Offered]])</f>
        <v>0.21710526315789475</v>
      </c>
      <c r="AG1466" s="5">
        <f>IF(SalesData[[#This Row],[Customers Visited]]=0,0,SalesData[[#This Row],[Test Drives]]/SalesData[[#This Row],[Customers Visited]])</f>
        <v>0.53061224489795922</v>
      </c>
      <c r="AH1466" s="5">
        <f>IF(SalesData[[#This Row],[Customers Visited]]=0,0,SalesData[[#This Row],[Contracts Signed]]/SalesData[[#This Row],[Customers Visited]])</f>
        <v>7.4829931972789115E-2</v>
      </c>
      <c r="AI1466" s="6">
        <f>IF(SalesData[[#This Row],[Contracts Signed]]=0,0,SalesData[[#This Row],[Profit(€)]]/SalesData[[#This Row],[Contracts Signed]])</f>
        <v>4021</v>
      </c>
      <c r="AJ1466" s="5" t="str">
        <f>TRIM(CLEAN(SalesData[[#This Row],[Retailer]]))</f>
        <v>Leipzig Mobility</v>
      </c>
    </row>
    <row r="1467" spans="1:36" ht="14.25" hidden="1" x14ac:dyDescent="0.2">
      <c r="A1467" t="s">
        <v>2349</v>
      </c>
      <c r="B1467" s="1">
        <v>46063</v>
      </c>
      <c r="C1467" t="s">
        <v>121</v>
      </c>
      <c r="D1467" t="s">
        <v>63</v>
      </c>
      <c r="E1467" t="s">
        <v>26</v>
      </c>
      <c r="F1467" t="s">
        <v>83</v>
      </c>
      <c r="G1467" t="s">
        <v>84</v>
      </c>
      <c r="H1467" t="s">
        <v>85</v>
      </c>
      <c r="I1467" t="s">
        <v>116</v>
      </c>
      <c r="J1467" t="s">
        <v>203</v>
      </c>
      <c r="K1467" t="s">
        <v>32</v>
      </c>
      <c r="L1467" t="s">
        <v>67</v>
      </c>
      <c r="M1467" t="s">
        <v>34</v>
      </c>
      <c r="N1467" t="s">
        <v>48</v>
      </c>
      <c r="O1467" t="s">
        <v>70</v>
      </c>
      <c r="P1467" t="s">
        <v>37</v>
      </c>
      <c r="Q1467" t="s">
        <v>172</v>
      </c>
      <c r="R1467">
        <v>325</v>
      </c>
      <c r="S1467">
        <v>158</v>
      </c>
      <c r="T1467">
        <v>91</v>
      </c>
      <c r="U1467">
        <v>19</v>
      </c>
      <c r="V1467" t="s">
        <v>690</v>
      </c>
      <c r="W1467">
        <v>24518</v>
      </c>
      <c r="X1467" t="s">
        <v>5056</v>
      </c>
      <c r="Y1467">
        <v>22429</v>
      </c>
      <c r="Z1467">
        <v>465842</v>
      </c>
      <c r="AA1467">
        <v>39691</v>
      </c>
      <c r="AB1467" t="str">
        <f>(VLOOKUP(SalesData[[#This Row],[Month Number]],Reference!C$5:E$16,2,FALSE))</f>
        <v>Feb</v>
      </c>
      <c r="AC1467">
        <f>MONTH(SalesData[[#This Row],[Date]])</f>
        <v>2</v>
      </c>
      <c r="AD1467">
        <f>Reference!F$4</f>
        <v>2026</v>
      </c>
      <c r="AE1467" t="str">
        <f>IF(OR(SalesData[[#This Row],[Day]]="Saturday",SalesData[[#This Row],[Day]]="Sunday"),"Weekend","Weekday")</f>
        <v>Weekday</v>
      </c>
      <c r="AF1467" s="5">
        <f>IF(SalesData[[#This Row],[Contracts Offered]]=0,0,SalesData[[#This Row],[Contracts Signed]]/SalesData[[#This Row],[Contracts Offered]])</f>
        <v>0.2087912087912088</v>
      </c>
      <c r="AG1467" s="5">
        <f>IF(SalesData[[#This Row],[Customers Visited]]=0,0,SalesData[[#This Row],[Test Drives]]/SalesData[[#This Row],[Customers Visited]])</f>
        <v>0.48615384615384616</v>
      </c>
      <c r="AH1467" s="5">
        <f>IF(SalesData[[#This Row],[Customers Visited]]=0,0,SalesData[[#This Row],[Contracts Signed]]/SalesData[[#This Row],[Customers Visited]])</f>
        <v>5.8461538461538461E-2</v>
      </c>
      <c r="AI1467" s="6">
        <f>IF(SalesData[[#This Row],[Contracts Signed]]=0,0,SalesData[[#This Row],[Profit(€)]]/SalesData[[#This Row],[Contracts Signed]])</f>
        <v>2089</v>
      </c>
      <c r="AJ1467" s="5" t="str">
        <f>TRIM(CLEAN(SalesData[[#This Row],[Retailer]]))</f>
        <v>Hannover Cars</v>
      </c>
    </row>
    <row r="1468" spans="1:36" ht="14.25" hidden="1" x14ac:dyDescent="0.2">
      <c r="A1468" t="s">
        <v>2350</v>
      </c>
      <c r="B1468" s="1">
        <v>46074</v>
      </c>
      <c r="C1468" t="s">
        <v>62</v>
      </c>
      <c r="D1468" t="s">
        <v>151</v>
      </c>
      <c r="E1468" t="s">
        <v>42</v>
      </c>
      <c r="F1468" t="s">
        <v>127</v>
      </c>
      <c r="G1468" t="s">
        <v>128</v>
      </c>
      <c r="H1468" t="s">
        <v>103</v>
      </c>
      <c r="I1468" t="s">
        <v>56</v>
      </c>
      <c r="J1468" t="s">
        <v>7028</v>
      </c>
      <c r="K1468" t="s">
        <v>78</v>
      </c>
      <c r="L1468" t="s">
        <v>46</v>
      </c>
      <c r="M1468" t="s">
        <v>87</v>
      </c>
      <c r="N1468" t="s">
        <v>35</v>
      </c>
      <c r="O1468" t="s">
        <v>36</v>
      </c>
      <c r="P1468" t="s">
        <v>58</v>
      </c>
      <c r="Q1468" t="s">
        <v>106</v>
      </c>
      <c r="R1468">
        <v>193</v>
      </c>
      <c r="S1468">
        <v>101</v>
      </c>
      <c r="T1468">
        <v>69</v>
      </c>
      <c r="U1468">
        <v>26</v>
      </c>
      <c r="V1468" t="s">
        <v>6599</v>
      </c>
      <c r="W1468">
        <v>45247</v>
      </c>
      <c r="X1468" t="s">
        <v>7445</v>
      </c>
      <c r="Y1468">
        <v>35293</v>
      </c>
      <c r="Z1468">
        <v>1176422</v>
      </c>
      <c r="AA1468">
        <v>258804</v>
      </c>
      <c r="AB1468" t="str">
        <f>(VLOOKUP(SalesData[[#This Row],[Month Number]],Reference!C$5:E$16,2,FALSE))</f>
        <v>Feb</v>
      </c>
      <c r="AC1468">
        <f>MONTH(SalesData[[#This Row],[Date]])</f>
        <v>2</v>
      </c>
      <c r="AD1468">
        <f>Reference!F$4</f>
        <v>2026</v>
      </c>
      <c r="AE1468" t="str">
        <f>IF(OR(SalesData[[#This Row],[Day]]="Saturday",SalesData[[#This Row],[Day]]="Sunday"),"Weekend","Weekday")</f>
        <v>Weekend</v>
      </c>
      <c r="AF1468" s="5">
        <f>IF(SalesData[[#This Row],[Contracts Offered]]=0,0,SalesData[[#This Row],[Contracts Signed]]/SalesData[[#This Row],[Contracts Offered]])</f>
        <v>0.37681159420289856</v>
      </c>
      <c r="AG1468" s="5">
        <f>IF(SalesData[[#This Row],[Customers Visited]]=0,0,SalesData[[#This Row],[Test Drives]]/SalesData[[#This Row],[Customers Visited]])</f>
        <v>0.52331606217616577</v>
      </c>
      <c r="AH1468" s="5">
        <f>IF(SalesData[[#This Row],[Customers Visited]]=0,0,SalesData[[#This Row],[Contracts Signed]]/SalesData[[#This Row],[Customers Visited]])</f>
        <v>0.13471502590673576</v>
      </c>
      <c r="AI1468" s="6">
        <f>IF(SalesData[[#This Row],[Contracts Signed]]=0,0,SalesData[[#This Row],[Profit(€)]]/SalesData[[#This Row],[Contracts Signed]])</f>
        <v>9954</v>
      </c>
      <c r="AJ1468" s="5" t="str">
        <f>TRIM(CLEAN(SalesData[[#This Row],[Retailer]]))</f>
        <v>Rhein Auto Group</v>
      </c>
    </row>
    <row r="1469" spans="1:36" ht="14.25" x14ac:dyDescent="0.2">
      <c r="A1469" t="s">
        <v>2352</v>
      </c>
      <c r="B1469" s="1">
        <v>46072</v>
      </c>
      <c r="C1469" t="s">
        <v>62</v>
      </c>
      <c r="D1469" t="s">
        <v>100</v>
      </c>
      <c r="E1469" t="s">
        <v>26</v>
      </c>
      <c r="F1469" t="s">
        <v>109</v>
      </c>
      <c r="G1469" t="s">
        <v>110</v>
      </c>
      <c r="H1469" t="s">
        <v>45</v>
      </c>
      <c r="I1469" t="s">
        <v>30</v>
      </c>
      <c r="J1469" t="s">
        <v>166</v>
      </c>
      <c r="K1469" t="s">
        <v>78</v>
      </c>
      <c r="L1469" t="s">
        <v>46</v>
      </c>
      <c r="M1469" t="s">
        <v>87</v>
      </c>
      <c r="N1469" t="s">
        <v>69</v>
      </c>
      <c r="O1469" t="s">
        <v>70</v>
      </c>
      <c r="P1469" t="s">
        <v>71</v>
      </c>
      <c r="Q1469" t="s">
        <v>122</v>
      </c>
      <c r="R1469">
        <v>199</v>
      </c>
      <c r="S1469">
        <v>109</v>
      </c>
      <c r="T1469">
        <v>77</v>
      </c>
      <c r="U1469">
        <v>29</v>
      </c>
      <c r="V1469" t="s">
        <v>6687</v>
      </c>
      <c r="W1469">
        <v>59273</v>
      </c>
      <c r="X1469" t="s">
        <v>1590</v>
      </c>
      <c r="Y1469">
        <v>41890</v>
      </c>
      <c r="Z1469">
        <v>1718917</v>
      </c>
      <c r="AA1469">
        <v>504107</v>
      </c>
      <c r="AB1469" t="str">
        <f>(VLOOKUP(SalesData[[#This Row],[Month Number]],Reference!C$5:E$16,2,FALSE))</f>
        <v>Feb</v>
      </c>
      <c r="AC1469">
        <f>MONTH(SalesData[[#This Row],[Date]])</f>
        <v>2</v>
      </c>
      <c r="AD1469">
        <f>Reference!F$4</f>
        <v>2026</v>
      </c>
      <c r="AE1469" t="str">
        <f>IF(OR(SalesData[[#This Row],[Day]]="Saturday",SalesData[[#This Row],[Day]]="Sunday"),"Weekend","Weekday")</f>
        <v>Weekday</v>
      </c>
      <c r="AF1469" s="5">
        <f>IF(SalesData[[#This Row],[Contracts Offered]]=0,0,SalesData[[#This Row],[Contracts Signed]]/SalesData[[#This Row],[Contracts Offered]])</f>
        <v>0.37662337662337664</v>
      </c>
      <c r="AG1469" s="5">
        <f>IF(SalesData[[#This Row],[Customers Visited]]=0,0,SalesData[[#This Row],[Test Drives]]/SalesData[[#This Row],[Customers Visited]])</f>
        <v>0.54773869346733672</v>
      </c>
      <c r="AH1469" s="5">
        <f>IF(SalesData[[#This Row],[Customers Visited]]=0,0,SalesData[[#This Row],[Contracts Signed]]/SalesData[[#This Row],[Customers Visited]])</f>
        <v>0.14572864321608039</v>
      </c>
      <c r="AI1469" s="6">
        <f>IF(SalesData[[#This Row],[Contracts Signed]]=0,0,SalesData[[#This Row],[Profit(€)]]/SalesData[[#This Row],[Contracts Signed]])</f>
        <v>17383</v>
      </c>
      <c r="AJ1469" s="5" t="str">
        <f>TRIM(CLEAN(SalesData[[#This Row],[Retailer]]))</f>
        <v>Leipzig Mobility</v>
      </c>
    </row>
    <row r="1470" spans="1:36" ht="14.25" hidden="1" x14ac:dyDescent="0.2">
      <c r="A1470" t="s">
        <v>2353</v>
      </c>
      <c r="B1470" s="1">
        <v>46071</v>
      </c>
      <c r="C1470" t="s">
        <v>62</v>
      </c>
      <c r="D1470" t="s">
        <v>82</v>
      </c>
      <c r="E1470" t="s">
        <v>26</v>
      </c>
      <c r="F1470" t="s">
        <v>114</v>
      </c>
      <c r="G1470" t="s">
        <v>115</v>
      </c>
      <c r="H1470" t="s">
        <v>115</v>
      </c>
      <c r="I1470" t="s">
        <v>104</v>
      </c>
      <c r="J1470" t="s">
        <v>143</v>
      </c>
      <c r="K1470" t="s">
        <v>66</v>
      </c>
      <c r="L1470" t="s">
        <v>67</v>
      </c>
      <c r="M1470" t="s">
        <v>34</v>
      </c>
      <c r="N1470" t="s">
        <v>35</v>
      </c>
      <c r="O1470" t="s">
        <v>36</v>
      </c>
      <c r="P1470" t="s">
        <v>37</v>
      </c>
      <c r="Q1470" t="s">
        <v>50</v>
      </c>
      <c r="R1470">
        <v>473</v>
      </c>
      <c r="S1470">
        <v>266</v>
      </c>
      <c r="T1470">
        <v>161</v>
      </c>
      <c r="U1470">
        <v>49</v>
      </c>
      <c r="V1470" t="s">
        <v>247</v>
      </c>
      <c r="W1470">
        <v>25906</v>
      </c>
      <c r="X1470" t="s">
        <v>7446</v>
      </c>
      <c r="Y1470">
        <v>23376</v>
      </c>
      <c r="Z1470">
        <v>1269394</v>
      </c>
      <c r="AA1470">
        <v>123970</v>
      </c>
      <c r="AB1470" t="str">
        <f>(VLOOKUP(SalesData[[#This Row],[Month Number]],Reference!C$5:E$16,2,FALSE))</f>
        <v>Feb</v>
      </c>
      <c r="AC1470">
        <f>MONTH(SalesData[[#This Row],[Date]])</f>
        <v>2</v>
      </c>
      <c r="AD1470">
        <f>Reference!F$4</f>
        <v>2026</v>
      </c>
      <c r="AE1470" t="str">
        <f>IF(OR(SalesData[[#This Row],[Day]]="Saturday",SalesData[[#This Row],[Day]]="Sunday"),"Weekend","Weekday")</f>
        <v>Weekday</v>
      </c>
      <c r="AF1470" s="5">
        <f>IF(SalesData[[#This Row],[Contracts Offered]]=0,0,SalesData[[#This Row],[Contracts Signed]]/SalesData[[#This Row],[Contracts Offered]])</f>
        <v>0.30434782608695654</v>
      </c>
      <c r="AG1470" s="5">
        <f>IF(SalesData[[#This Row],[Customers Visited]]=0,0,SalesData[[#This Row],[Test Drives]]/SalesData[[#This Row],[Customers Visited]])</f>
        <v>0.56236786469344613</v>
      </c>
      <c r="AH1470" s="5">
        <f>IF(SalesData[[#This Row],[Customers Visited]]=0,0,SalesData[[#This Row],[Contracts Signed]]/SalesData[[#This Row],[Customers Visited]])</f>
        <v>0.10359408033826638</v>
      </c>
      <c r="AI1470" s="6">
        <f>IF(SalesData[[#This Row],[Contracts Signed]]=0,0,SalesData[[#This Row],[Profit(€)]]/SalesData[[#This Row],[Contracts Signed]])</f>
        <v>2530</v>
      </c>
      <c r="AJ1470" s="5" t="str">
        <f>TRIM(CLEAN(SalesData[[#This Row],[Retailer]]))</f>
        <v>Elbe Drive</v>
      </c>
    </row>
    <row r="1471" spans="1:36" ht="14.25" hidden="1" x14ac:dyDescent="0.2">
      <c r="A1471" t="s">
        <v>2354</v>
      </c>
      <c r="B1471" s="1">
        <v>46073</v>
      </c>
      <c r="C1471" t="s">
        <v>62</v>
      </c>
      <c r="D1471" t="s">
        <v>54</v>
      </c>
      <c r="E1471" t="s">
        <v>26</v>
      </c>
      <c r="F1471" t="s">
        <v>94</v>
      </c>
      <c r="G1471" t="s">
        <v>95</v>
      </c>
      <c r="H1471" t="s">
        <v>96</v>
      </c>
      <c r="I1471" t="s">
        <v>64</v>
      </c>
      <c r="J1471" t="s">
        <v>65</v>
      </c>
      <c r="K1471" t="s">
        <v>78</v>
      </c>
      <c r="L1471" t="s">
        <v>33</v>
      </c>
      <c r="M1471" t="s">
        <v>87</v>
      </c>
      <c r="N1471" t="s">
        <v>48</v>
      </c>
      <c r="O1471" t="s">
        <v>36</v>
      </c>
      <c r="P1471" t="s">
        <v>71</v>
      </c>
      <c r="Q1471" t="s">
        <v>172</v>
      </c>
      <c r="R1471">
        <v>264</v>
      </c>
      <c r="S1471">
        <v>152</v>
      </c>
      <c r="T1471">
        <v>113</v>
      </c>
      <c r="U1471">
        <v>46</v>
      </c>
      <c r="V1471" t="s">
        <v>7096</v>
      </c>
      <c r="W1471">
        <v>49800</v>
      </c>
      <c r="X1471" t="s">
        <v>2796</v>
      </c>
      <c r="Y1471">
        <v>36227</v>
      </c>
      <c r="Z1471">
        <v>2290800</v>
      </c>
      <c r="AA1471">
        <v>624358</v>
      </c>
      <c r="AB1471" t="str">
        <f>(VLOOKUP(SalesData[[#This Row],[Month Number]],Reference!C$5:E$16,2,FALSE))</f>
        <v>Feb</v>
      </c>
      <c r="AC1471">
        <f>MONTH(SalesData[[#This Row],[Date]])</f>
        <v>2</v>
      </c>
      <c r="AD1471">
        <f>Reference!F$4</f>
        <v>2026</v>
      </c>
      <c r="AE1471" t="str">
        <f>IF(OR(SalesData[[#This Row],[Day]]="Saturday",SalesData[[#This Row],[Day]]="Sunday"),"Weekend","Weekday")</f>
        <v>Weekday</v>
      </c>
      <c r="AF1471" s="5">
        <f>IF(SalesData[[#This Row],[Contracts Offered]]=0,0,SalesData[[#This Row],[Contracts Signed]]/SalesData[[#This Row],[Contracts Offered]])</f>
        <v>0.40707964601769914</v>
      </c>
      <c r="AG1471" s="5">
        <f>IF(SalesData[[#This Row],[Customers Visited]]=0,0,SalesData[[#This Row],[Test Drives]]/SalesData[[#This Row],[Customers Visited]])</f>
        <v>0.5757575757575758</v>
      </c>
      <c r="AH1471" s="5">
        <f>IF(SalesData[[#This Row],[Customers Visited]]=0,0,SalesData[[#This Row],[Contracts Signed]]/SalesData[[#This Row],[Customers Visited]])</f>
        <v>0.17424242424242425</v>
      </c>
      <c r="AI1471" s="6">
        <f>IF(SalesData[[#This Row],[Contracts Signed]]=0,0,SalesData[[#This Row],[Profit(€)]]/SalesData[[#This Row],[Contracts Signed]])</f>
        <v>13573</v>
      </c>
      <c r="AJ1471" s="5" t="str">
        <f>TRIM(CLEAN(SalesData[[#This Row],[Retailer]]))</f>
        <v>Bavaria Motors</v>
      </c>
    </row>
    <row r="1472" spans="1:36" ht="14.25" hidden="1" x14ac:dyDescent="0.2">
      <c r="A1472" t="s">
        <v>2356</v>
      </c>
      <c r="B1472" s="1">
        <v>46066</v>
      </c>
      <c r="C1472" t="s">
        <v>121</v>
      </c>
      <c r="D1472" t="s">
        <v>54</v>
      </c>
      <c r="E1472" t="s">
        <v>26</v>
      </c>
      <c r="F1472" t="s">
        <v>127</v>
      </c>
      <c r="G1472" t="s">
        <v>128</v>
      </c>
      <c r="H1472" t="s">
        <v>103</v>
      </c>
      <c r="I1472" t="s">
        <v>116</v>
      </c>
      <c r="J1472" t="s">
        <v>132</v>
      </c>
      <c r="K1472" t="s">
        <v>32</v>
      </c>
      <c r="L1472" t="s">
        <v>46</v>
      </c>
      <c r="M1472" t="s">
        <v>68</v>
      </c>
      <c r="N1472" t="s">
        <v>69</v>
      </c>
      <c r="O1472" t="s">
        <v>70</v>
      </c>
      <c r="P1472" t="s">
        <v>71</v>
      </c>
      <c r="Q1472" t="s">
        <v>135</v>
      </c>
      <c r="R1472">
        <v>405</v>
      </c>
      <c r="S1472">
        <v>197</v>
      </c>
      <c r="T1472">
        <v>120</v>
      </c>
      <c r="U1472">
        <v>29</v>
      </c>
      <c r="V1472" t="s">
        <v>1182</v>
      </c>
      <c r="W1472">
        <v>21315</v>
      </c>
      <c r="X1472" t="s">
        <v>2195</v>
      </c>
      <c r="Y1472">
        <v>19115</v>
      </c>
      <c r="Z1472">
        <v>618135</v>
      </c>
      <c r="AA1472">
        <v>63800</v>
      </c>
      <c r="AB1472" t="str">
        <f>(VLOOKUP(SalesData[[#This Row],[Month Number]],Reference!C$5:E$16,2,FALSE))</f>
        <v>Feb</v>
      </c>
      <c r="AC1472">
        <f>MONTH(SalesData[[#This Row],[Date]])</f>
        <v>2</v>
      </c>
      <c r="AD1472">
        <f>Reference!F$4</f>
        <v>2026</v>
      </c>
      <c r="AE1472" t="str">
        <f>IF(OR(SalesData[[#This Row],[Day]]="Saturday",SalesData[[#This Row],[Day]]="Sunday"),"Weekend","Weekday")</f>
        <v>Weekday</v>
      </c>
      <c r="AF1472" s="5">
        <f>IF(SalesData[[#This Row],[Contracts Offered]]=0,0,SalesData[[#This Row],[Contracts Signed]]/SalesData[[#This Row],[Contracts Offered]])</f>
        <v>0.24166666666666667</v>
      </c>
      <c r="AG1472" s="5">
        <f>IF(SalesData[[#This Row],[Customers Visited]]=0,0,SalesData[[#This Row],[Test Drives]]/SalesData[[#This Row],[Customers Visited]])</f>
        <v>0.48641975308641977</v>
      </c>
      <c r="AH1472" s="5">
        <f>IF(SalesData[[#This Row],[Customers Visited]]=0,0,SalesData[[#This Row],[Contracts Signed]]/SalesData[[#This Row],[Customers Visited]])</f>
        <v>7.160493827160494E-2</v>
      </c>
      <c r="AI1472" s="6">
        <f>IF(SalesData[[#This Row],[Contracts Signed]]=0,0,SalesData[[#This Row],[Profit(€)]]/SalesData[[#This Row],[Contracts Signed]])</f>
        <v>2200</v>
      </c>
      <c r="AJ1472" s="5" t="str">
        <f>TRIM(CLEAN(SalesData[[#This Row],[Retailer]]))</f>
        <v>Rhein Auto Group</v>
      </c>
    </row>
    <row r="1473" spans="1:36" ht="14.25" hidden="1" x14ac:dyDescent="0.2">
      <c r="A1473" t="s">
        <v>2358</v>
      </c>
      <c r="B1473" s="1">
        <v>46069</v>
      </c>
      <c r="C1473" t="s">
        <v>62</v>
      </c>
      <c r="D1473" t="s">
        <v>25</v>
      </c>
      <c r="E1473" t="s">
        <v>26</v>
      </c>
      <c r="F1473" t="s">
        <v>114</v>
      </c>
      <c r="G1473" t="s">
        <v>115</v>
      </c>
      <c r="H1473" t="s">
        <v>115</v>
      </c>
      <c r="I1473" t="s">
        <v>116</v>
      </c>
      <c r="J1473" t="s">
        <v>132</v>
      </c>
      <c r="K1473" t="s">
        <v>91</v>
      </c>
      <c r="L1473" t="s">
        <v>46</v>
      </c>
      <c r="M1473" t="s">
        <v>68</v>
      </c>
      <c r="N1473" t="s">
        <v>48</v>
      </c>
      <c r="O1473" t="s">
        <v>36</v>
      </c>
      <c r="P1473" t="s">
        <v>58</v>
      </c>
      <c r="Q1473" t="s">
        <v>59</v>
      </c>
      <c r="R1473">
        <v>292</v>
      </c>
      <c r="S1473">
        <v>131</v>
      </c>
      <c r="T1473">
        <v>88</v>
      </c>
      <c r="U1473">
        <v>25</v>
      </c>
      <c r="V1473" t="s">
        <v>4318</v>
      </c>
      <c r="W1473">
        <v>25487</v>
      </c>
      <c r="X1473" t="s">
        <v>303</v>
      </c>
      <c r="Y1473">
        <v>22766</v>
      </c>
      <c r="Z1473">
        <v>637175</v>
      </c>
      <c r="AA1473">
        <v>68025</v>
      </c>
      <c r="AB1473" t="str">
        <f>(VLOOKUP(SalesData[[#This Row],[Month Number]],Reference!C$5:E$16,2,FALSE))</f>
        <v>Feb</v>
      </c>
      <c r="AC1473">
        <f>MONTH(SalesData[[#This Row],[Date]])</f>
        <v>2</v>
      </c>
      <c r="AD1473">
        <f>Reference!F$4</f>
        <v>2026</v>
      </c>
      <c r="AE1473" t="str">
        <f>IF(OR(SalesData[[#This Row],[Day]]="Saturday",SalesData[[#This Row],[Day]]="Sunday"),"Weekend","Weekday")</f>
        <v>Weekday</v>
      </c>
      <c r="AF1473" s="5">
        <f>IF(SalesData[[#This Row],[Contracts Offered]]=0,0,SalesData[[#This Row],[Contracts Signed]]/SalesData[[#This Row],[Contracts Offered]])</f>
        <v>0.28409090909090912</v>
      </c>
      <c r="AG1473" s="5">
        <f>IF(SalesData[[#This Row],[Customers Visited]]=0,0,SalesData[[#This Row],[Test Drives]]/SalesData[[#This Row],[Customers Visited]])</f>
        <v>0.44863013698630139</v>
      </c>
      <c r="AH1473" s="5">
        <f>IF(SalesData[[#This Row],[Customers Visited]]=0,0,SalesData[[#This Row],[Contracts Signed]]/SalesData[[#This Row],[Customers Visited]])</f>
        <v>8.5616438356164379E-2</v>
      </c>
      <c r="AI1473" s="6">
        <f>IF(SalesData[[#This Row],[Contracts Signed]]=0,0,SalesData[[#This Row],[Profit(€)]]/SalesData[[#This Row],[Contracts Signed]])</f>
        <v>2721</v>
      </c>
      <c r="AJ1473" s="5" t="str">
        <f>TRIM(CLEAN(SalesData[[#This Row],[Retailer]]))</f>
        <v>Elbe Drive</v>
      </c>
    </row>
    <row r="1474" spans="1:36" ht="14.25" hidden="1" x14ac:dyDescent="0.2">
      <c r="A1474" t="s">
        <v>2359</v>
      </c>
      <c r="B1474" s="1">
        <v>46060</v>
      </c>
      <c r="C1474" t="s">
        <v>24</v>
      </c>
      <c r="D1474" t="s">
        <v>151</v>
      </c>
      <c r="E1474" t="s">
        <v>42</v>
      </c>
      <c r="F1474" t="s">
        <v>101</v>
      </c>
      <c r="G1474" t="s">
        <v>102</v>
      </c>
      <c r="H1474" t="s">
        <v>103</v>
      </c>
      <c r="I1474" t="s">
        <v>104</v>
      </c>
      <c r="J1474" t="s">
        <v>7031</v>
      </c>
      <c r="K1474" t="s">
        <v>91</v>
      </c>
      <c r="L1474" t="s">
        <v>46</v>
      </c>
      <c r="M1474" t="s">
        <v>68</v>
      </c>
      <c r="N1474" t="s">
        <v>35</v>
      </c>
      <c r="O1474" t="s">
        <v>70</v>
      </c>
      <c r="P1474" t="s">
        <v>49</v>
      </c>
      <c r="Q1474" t="s">
        <v>135</v>
      </c>
      <c r="R1474">
        <v>477</v>
      </c>
      <c r="S1474">
        <v>272</v>
      </c>
      <c r="T1474">
        <v>158</v>
      </c>
      <c r="U1474">
        <v>39</v>
      </c>
      <c r="V1474" t="s">
        <v>6503</v>
      </c>
      <c r="W1474">
        <v>27806</v>
      </c>
      <c r="X1474" t="s">
        <v>466</v>
      </c>
      <c r="Y1474">
        <v>25248</v>
      </c>
      <c r="Z1474">
        <v>1084434</v>
      </c>
      <c r="AA1474">
        <v>99762</v>
      </c>
      <c r="AB1474" t="str">
        <f>(VLOOKUP(SalesData[[#This Row],[Month Number]],Reference!C$5:E$16,2,FALSE))</f>
        <v>Feb</v>
      </c>
      <c r="AC1474">
        <f>MONTH(SalesData[[#This Row],[Date]])</f>
        <v>2</v>
      </c>
      <c r="AD1474">
        <f>Reference!F$4</f>
        <v>2026</v>
      </c>
      <c r="AE1474" t="str">
        <f>IF(OR(SalesData[[#This Row],[Day]]="Saturday",SalesData[[#This Row],[Day]]="Sunday"),"Weekend","Weekday")</f>
        <v>Weekend</v>
      </c>
      <c r="AF1474" s="5">
        <f>IF(SalesData[[#This Row],[Contracts Offered]]=0,0,SalesData[[#This Row],[Contracts Signed]]/SalesData[[#This Row],[Contracts Offered]])</f>
        <v>0.24683544303797469</v>
      </c>
      <c r="AG1474" s="5">
        <f>IF(SalesData[[#This Row],[Customers Visited]]=0,0,SalesData[[#This Row],[Test Drives]]/SalesData[[#This Row],[Customers Visited]])</f>
        <v>0.57023060796645697</v>
      </c>
      <c r="AH1474" s="5">
        <f>IF(SalesData[[#This Row],[Customers Visited]]=0,0,SalesData[[#This Row],[Contracts Signed]]/SalesData[[#This Row],[Customers Visited]])</f>
        <v>8.1761006289308172E-2</v>
      </c>
      <c r="AI1474" s="6">
        <f>IF(SalesData[[#This Row],[Contracts Signed]]=0,0,SalesData[[#This Row],[Profit(€)]]/SalesData[[#This Row],[Contracts Signed]])</f>
        <v>2558</v>
      </c>
      <c r="AJ1474" s="5" t="str">
        <f>TRIM(CLEAN(SalesData[[#This Row],[Retailer]]))</f>
        <v>Ruhr Auto Plaza</v>
      </c>
    </row>
    <row r="1475" spans="1:36" ht="14.25" hidden="1" x14ac:dyDescent="0.2">
      <c r="A1475" t="s">
        <v>2361</v>
      </c>
      <c r="B1475" s="1">
        <v>46058</v>
      </c>
      <c r="C1475" t="s">
        <v>24</v>
      </c>
      <c r="D1475" t="s">
        <v>100</v>
      </c>
      <c r="E1475" t="s">
        <v>26</v>
      </c>
      <c r="F1475" t="s">
        <v>7649</v>
      </c>
      <c r="G1475" t="s">
        <v>55</v>
      </c>
      <c r="H1475" t="s">
        <v>55</v>
      </c>
      <c r="I1475" t="s">
        <v>104</v>
      </c>
      <c r="J1475" t="s">
        <v>7061</v>
      </c>
      <c r="K1475" t="s">
        <v>32</v>
      </c>
      <c r="L1475" t="s">
        <v>46</v>
      </c>
      <c r="M1475" t="s">
        <v>87</v>
      </c>
      <c r="N1475" t="s">
        <v>35</v>
      </c>
      <c r="O1475" t="s">
        <v>70</v>
      </c>
      <c r="P1475" t="s">
        <v>37</v>
      </c>
      <c r="Q1475" t="s">
        <v>50</v>
      </c>
      <c r="R1475">
        <v>262</v>
      </c>
      <c r="S1475">
        <v>108</v>
      </c>
      <c r="T1475">
        <v>77</v>
      </c>
      <c r="U1475">
        <v>18</v>
      </c>
      <c r="V1475" t="s">
        <v>508</v>
      </c>
      <c r="W1475">
        <v>32393</v>
      </c>
      <c r="X1475" t="s">
        <v>4313</v>
      </c>
      <c r="Y1475">
        <v>29180</v>
      </c>
      <c r="Z1475">
        <v>583074</v>
      </c>
      <c r="AA1475">
        <v>57834</v>
      </c>
      <c r="AB1475" t="str">
        <f>(VLOOKUP(SalesData[[#This Row],[Month Number]],Reference!C$5:E$16,2,FALSE))</f>
        <v>Feb</v>
      </c>
      <c r="AC1475">
        <f>MONTH(SalesData[[#This Row],[Date]])</f>
        <v>2</v>
      </c>
      <c r="AD1475">
        <f>Reference!F$4</f>
        <v>2026</v>
      </c>
      <c r="AE1475" t="str">
        <f>IF(OR(SalesData[[#This Row],[Day]]="Saturday",SalesData[[#This Row],[Day]]="Sunday"),"Weekend","Weekday")</f>
        <v>Weekday</v>
      </c>
      <c r="AF1475" s="5">
        <f>IF(SalesData[[#This Row],[Contracts Offered]]=0,0,SalesData[[#This Row],[Contracts Signed]]/SalesData[[#This Row],[Contracts Offered]])</f>
        <v>0.23376623376623376</v>
      </c>
      <c r="AG1475" s="5">
        <f>IF(SalesData[[#This Row],[Customers Visited]]=0,0,SalesData[[#This Row],[Test Drives]]/SalesData[[#This Row],[Customers Visited]])</f>
        <v>0.41221374045801529</v>
      </c>
      <c r="AH1475" s="5">
        <f>IF(SalesData[[#This Row],[Customers Visited]]=0,0,SalesData[[#This Row],[Contracts Signed]]/SalesData[[#This Row],[Customers Visited]])</f>
        <v>6.8702290076335881E-2</v>
      </c>
      <c r="AI1475" s="6">
        <f>IF(SalesData[[#This Row],[Contracts Signed]]=0,0,SalesData[[#This Row],[Profit(€)]]/SalesData[[#This Row],[Contracts Signed]])</f>
        <v>3213</v>
      </c>
      <c r="AJ1475" s="5" t="str">
        <f>TRIM(CLEAN(SalesData[[#This Row],[Retailer]]))</f>
        <v>Autohaus Berlin</v>
      </c>
    </row>
    <row r="1476" spans="1:36" ht="14.25" hidden="1" x14ac:dyDescent="0.2">
      <c r="A1476" t="s">
        <v>2362</v>
      </c>
      <c r="B1476" s="1">
        <v>46055</v>
      </c>
      <c r="C1476" t="s">
        <v>24</v>
      </c>
      <c r="D1476" t="s">
        <v>25</v>
      </c>
      <c r="E1476" t="s">
        <v>26</v>
      </c>
      <c r="F1476" t="s">
        <v>43</v>
      </c>
      <c r="G1476" t="s">
        <v>44</v>
      </c>
      <c r="H1476" t="s">
        <v>45</v>
      </c>
      <c r="I1476" t="s">
        <v>116</v>
      </c>
      <c r="J1476" t="s">
        <v>132</v>
      </c>
      <c r="K1476" t="s">
        <v>78</v>
      </c>
      <c r="L1476" t="s">
        <v>46</v>
      </c>
      <c r="M1476" t="s">
        <v>47</v>
      </c>
      <c r="N1476" t="s">
        <v>69</v>
      </c>
      <c r="O1476" t="s">
        <v>70</v>
      </c>
      <c r="P1476" t="s">
        <v>58</v>
      </c>
      <c r="Q1476" t="s">
        <v>118</v>
      </c>
      <c r="R1476">
        <v>414</v>
      </c>
      <c r="S1476">
        <v>158</v>
      </c>
      <c r="T1476">
        <v>99</v>
      </c>
      <c r="U1476">
        <v>29</v>
      </c>
      <c r="V1476" t="s">
        <v>628</v>
      </c>
      <c r="W1476">
        <v>23983</v>
      </c>
      <c r="X1476" t="s">
        <v>646</v>
      </c>
      <c r="Y1476">
        <v>21500</v>
      </c>
      <c r="Z1476">
        <v>695507</v>
      </c>
      <c r="AA1476">
        <v>72007</v>
      </c>
      <c r="AB1476" t="str">
        <f>(VLOOKUP(SalesData[[#This Row],[Month Number]],Reference!C$5:E$16,2,FALSE))</f>
        <v>Feb</v>
      </c>
      <c r="AC1476">
        <f>MONTH(SalesData[[#This Row],[Date]])</f>
        <v>2</v>
      </c>
      <c r="AD1476">
        <f>Reference!F$4</f>
        <v>2026</v>
      </c>
      <c r="AE1476" t="str">
        <f>IF(OR(SalesData[[#This Row],[Day]]="Saturday",SalesData[[#This Row],[Day]]="Sunday"),"Weekend","Weekday")</f>
        <v>Weekday</v>
      </c>
      <c r="AF1476" s="5">
        <f>IF(SalesData[[#This Row],[Contracts Offered]]=0,0,SalesData[[#This Row],[Contracts Signed]]/SalesData[[#This Row],[Contracts Offered]])</f>
        <v>0.29292929292929293</v>
      </c>
      <c r="AG1476" s="5">
        <f>IF(SalesData[[#This Row],[Customers Visited]]=0,0,SalesData[[#This Row],[Test Drives]]/SalesData[[#This Row],[Customers Visited]])</f>
        <v>0.38164251207729466</v>
      </c>
      <c r="AH1476" s="5">
        <f>IF(SalesData[[#This Row],[Customers Visited]]=0,0,SalesData[[#This Row],[Contracts Signed]]/SalesData[[#This Row],[Customers Visited]])</f>
        <v>7.0048309178743967E-2</v>
      </c>
      <c r="AI1476" s="6">
        <f>IF(SalesData[[#This Row],[Contracts Signed]]=0,0,SalesData[[#This Row],[Profit(€)]]/SalesData[[#This Row],[Contracts Signed]])</f>
        <v>2483</v>
      </c>
      <c r="AJ1476" s="5" t="str">
        <f>TRIM(CLEAN(SalesData[[#This Row],[Retailer]]))</f>
        <v>Saxon Wheels</v>
      </c>
    </row>
    <row r="1477" spans="1:36" ht="14.25" x14ac:dyDescent="0.2">
      <c r="A1477" t="s">
        <v>2363</v>
      </c>
      <c r="B1477" s="1">
        <v>46079</v>
      </c>
      <c r="C1477" t="s">
        <v>53</v>
      </c>
      <c r="D1477" t="s">
        <v>100</v>
      </c>
      <c r="E1477" t="s">
        <v>26</v>
      </c>
      <c r="F1477" t="s">
        <v>27</v>
      </c>
      <c r="G1477" t="s">
        <v>28</v>
      </c>
      <c r="H1477" t="s">
        <v>29</v>
      </c>
      <c r="I1477" t="s">
        <v>30</v>
      </c>
      <c r="J1477" t="s">
        <v>188</v>
      </c>
      <c r="K1477" t="s">
        <v>91</v>
      </c>
      <c r="L1477" t="s">
        <v>33</v>
      </c>
      <c r="M1477" t="s">
        <v>34</v>
      </c>
      <c r="N1477" t="s">
        <v>35</v>
      </c>
      <c r="O1477" t="s">
        <v>36</v>
      </c>
      <c r="P1477" t="s">
        <v>58</v>
      </c>
      <c r="Q1477" t="s">
        <v>144</v>
      </c>
      <c r="R1477">
        <v>220</v>
      </c>
      <c r="S1477">
        <v>103</v>
      </c>
      <c r="T1477">
        <v>73</v>
      </c>
      <c r="U1477">
        <v>33</v>
      </c>
      <c r="V1477" t="s">
        <v>7447</v>
      </c>
      <c r="W1477">
        <v>66112</v>
      </c>
      <c r="X1477" t="s">
        <v>1167</v>
      </c>
      <c r="Y1477">
        <v>49546</v>
      </c>
      <c r="Z1477">
        <v>2181696</v>
      </c>
      <c r="AA1477">
        <v>546678</v>
      </c>
      <c r="AB1477" t="str">
        <f>(VLOOKUP(SalesData[[#This Row],[Month Number]],Reference!C$5:E$16,2,FALSE))</f>
        <v>Feb</v>
      </c>
      <c r="AC1477">
        <f>MONTH(SalesData[[#This Row],[Date]])</f>
        <v>2</v>
      </c>
      <c r="AD1477">
        <f>Reference!F$4</f>
        <v>2026</v>
      </c>
      <c r="AE1477" t="str">
        <f>IF(OR(SalesData[[#This Row],[Day]]="Saturday",SalesData[[#This Row],[Day]]="Sunday"),"Weekend","Weekday")</f>
        <v>Weekday</v>
      </c>
      <c r="AF1477" s="5">
        <f>IF(SalesData[[#This Row],[Contracts Offered]]=0,0,SalesData[[#This Row],[Contracts Signed]]/SalesData[[#This Row],[Contracts Offered]])</f>
        <v>0.45205479452054792</v>
      </c>
      <c r="AG1477" s="5">
        <f>IF(SalesData[[#This Row],[Customers Visited]]=0,0,SalesData[[#This Row],[Test Drives]]/SalesData[[#This Row],[Customers Visited]])</f>
        <v>0.4681818181818182</v>
      </c>
      <c r="AH1477" s="5">
        <f>IF(SalesData[[#This Row],[Customers Visited]]=0,0,SalesData[[#This Row],[Contracts Signed]]/SalesData[[#This Row],[Customers Visited]])</f>
        <v>0.15</v>
      </c>
      <c r="AI1477" s="6">
        <f>IF(SalesData[[#This Row],[Contracts Signed]]=0,0,SalesData[[#This Row],[Profit(€)]]/SalesData[[#This Row],[Contracts Signed]])</f>
        <v>16566</v>
      </c>
      <c r="AJ1477" s="5" t="str">
        <f>TRIM(CLEAN(SalesData[[#This Row],[Retailer]]))</f>
        <v>Main Auto Hub</v>
      </c>
    </row>
    <row r="1478" spans="1:36" ht="14.25" hidden="1" x14ac:dyDescent="0.2">
      <c r="A1478" t="s">
        <v>2364</v>
      </c>
      <c r="B1478" s="1">
        <v>46059</v>
      </c>
      <c r="C1478" t="s">
        <v>24</v>
      </c>
      <c r="D1478" t="s">
        <v>54</v>
      </c>
      <c r="E1478" t="s">
        <v>26</v>
      </c>
      <c r="F1478" t="s">
        <v>101</v>
      </c>
      <c r="G1478" t="s">
        <v>102</v>
      </c>
      <c r="H1478" t="s">
        <v>103</v>
      </c>
      <c r="I1478" t="s">
        <v>56</v>
      </c>
      <c r="J1478" t="s">
        <v>7028</v>
      </c>
      <c r="K1478" t="s">
        <v>66</v>
      </c>
      <c r="L1478" t="s">
        <v>46</v>
      </c>
      <c r="M1478" t="s">
        <v>34</v>
      </c>
      <c r="N1478" t="s">
        <v>69</v>
      </c>
      <c r="O1478" t="s">
        <v>70</v>
      </c>
      <c r="P1478" t="s">
        <v>49</v>
      </c>
      <c r="Q1478" t="s">
        <v>38</v>
      </c>
      <c r="R1478">
        <v>291</v>
      </c>
      <c r="S1478">
        <v>180</v>
      </c>
      <c r="T1478">
        <v>124</v>
      </c>
      <c r="U1478">
        <v>32</v>
      </c>
      <c r="V1478" t="s">
        <v>716</v>
      </c>
      <c r="W1478">
        <v>51949</v>
      </c>
      <c r="X1478" t="s">
        <v>7238</v>
      </c>
      <c r="Y1478">
        <v>42046</v>
      </c>
      <c r="Z1478">
        <v>1662368</v>
      </c>
      <c r="AA1478">
        <v>316896</v>
      </c>
      <c r="AB1478" t="str">
        <f>(VLOOKUP(SalesData[[#This Row],[Month Number]],Reference!C$5:E$16,2,FALSE))</f>
        <v>Feb</v>
      </c>
      <c r="AC1478">
        <f>MONTH(SalesData[[#This Row],[Date]])</f>
        <v>2</v>
      </c>
      <c r="AD1478">
        <f>Reference!F$4</f>
        <v>2026</v>
      </c>
      <c r="AE1478" t="str">
        <f>IF(OR(SalesData[[#This Row],[Day]]="Saturday",SalesData[[#This Row],[Day]]="Sunday"),"Weekend","Weekday")</f>
        <v>Weekday</v>
      </c>
      <c r="AF1478" s="5">
        <f>IF(SalesData[[#This Row],[Contracts Offered]]=0,0,SalesData[[#This Row],[Contracts Signed]]/SalesData[[#This Row],[Contracts Offered]])</f>
        <v>0.25806451612903225</v>
      </c>
      <c r="AG1478" s="5">
        <f>IF(SalesData[[#This Row],[Customers Visited]]=0,0,SalesData[[#This Row],[Test Drives]]/SalesData[[#This Row],[Customers Visited]])</f>
        <v>0.61855670103092786</v>
      </c>
      <c r="AH1478" s="5">
        <f>IF(SalesData[[#This Row],[Customers Visited]]=0,0,SalesData[[#This Row],[Contracts Signed]]/SalesData[[#This Row],[Customers Visited]])</f>
        <v>0.10996563573883161</v>
      </c>
      <c r="AI1478" s="6">
        <f>IF(SalesData[[#This Row],[Contracts Signed]]=0,0,SalesData[[#This Row],[Profit(€)]]/SalesData[[#This Row],[Contracts Signed]])</f>
        <v>9903</v>
      </c>
      <c r="AJ1478" s="5" t="str">
        <f>TRIM(CLEAN(SalesData[[#This Row],[Retailer]]))</f>
        <v>Ruhr Auto Plaza</v>
      </c>
    </row>
    <row r="1479" spans="1:36" ht="14.25" hidden="1" x14ac:dyDescent="0.2">
      <c r="A1479" t="s">
        <v>2365</v>
      </c>
      <c r="B1479" s="1">
        <v>46059</v>
      </c>
      <c r="C1479" t="s">
        <v>24</v>
      </c>
      <c r="D1479" t="s">
        <v>54</v>
      </c>
      <c r="E1479" t="s">
        <v>26</v>
      </c>
      <c r="F1479" t="s">
        <v>109</v>
      </c>
      <c r="G1479" t="s">
        <v>110</v>
      </c>
      <c r="H1479" t="s">
        <v>45</v>
      </c>
      <c r="I1479" t="s">
        <v>56</v>
      </c>
      <c r="J1479" t="s">
        <v>137</v>
      </c>
      <c r="K1479" t="s">
        <v>91</v>
      </c>
      <c r="L1479" t="s">
        <v>46</v>
      </c>
      <c r="M1479" t="s">
        <v>34</v>
      </c>
      <c r="N1479" t="s">
        <v>48</v>
      </c>
      <c r="O1479" t="s">
        <v>36</v>
      </c>
      <c r="P1479" t="s">
        <v>49</v>
      </c>
      <c r="Q1479" t="s">
        <v>240</v>
      </c>
      <c r="R1479">
        <v>162</v>
      </c>
      <c r="S1479">
        <v>86</v>
      </c>
      <c r="T1479">
        <v>61</v>
      </c>
      <c r="U1479">
        <v>17</v>
      </c>
      <c r="V1479" t="s">
        <v>403</v>
      </c>
      <c r="W1479">
        <v>43340</v>
      </c>
      <c r="X1479" t="s">
        <v>51</v>
      </c>
      <c r="Y1479">
        <v>34749</v>
      </c>
      <c r="Z1479">
        <v>736780</v>
      </c>
      <c r="AA1479">
        <v>146047</v>
      </c>
      <c r="AB1479" t="str">
        <f>(VLOOKUP(SalesData[[#This Row],[Month Number]],Reference!C$5:E$16,2,FALSE))</f>
        <v>Feb</v>
      </c>
      <c r="AC1479">
        <f>MONTH(SalesData[[#This Row],[Date]])</f>
        <v>2</v>
      </c>
      <c r="AD1479">
        <f>Reference!F$4</f>
        <v>2026</v>
      </c>
      <c r="AE1479" t="str">
        <f>IF(OR(SalesData[[#This Row],[Day]]="Saturday",SalesData[[#This Row],[Day]]="Sunday"),"Weekend","Weekday")</f>
        <v>Weekday</v>
      </c>
      <c r="AF1479" s="5">
        <f>IF(SalesData[[#This Row],[Contracts Offered]]=0,0,SalesData[[#This Row],[Contracts Signed]]/SalesData[[#This Row],[Contracts Offered]])</f>
        <v>0.27868852459016391</v>
      </c>
      <c r="AG1479" s="5">
        <f>IF(SalesData[[#This Row],[Customers Visited]]=0,0,SalesData[[#This Row],[Test Drives]]/SalesData[[#This Row],[Customers Visited]])</f>
        <v>0.53086419753086422</v>
      </c>
      <c r="AH1479" s="5">
        <f>IF(SalesData[[#This Row],[Customers Visited]]=0,0,SalesData[[#This Row],[Contracts Signed]]/SalesData[[#This Row],[Customers Visited]])</f>
        <v>0.10493827160493827</v>
      </c>
      <c r="AI1479" s="6">
        <f>IF(SalesData[[#This Row],[Contracts Signed]]=0,0,SalesData[[#This Row],[Profit(€)]]/SalesData[[#This Row],[Contracts Signed]])</f>
        <v>8591</v>
      </c>
      <c r="AJ1479" s="5" t="str">
        <f>TRIM(CLEAN(SalesData[[#This Row],[Retailer]]))</f>
        <v>Leipzig Mobility</v>
      </c>
    </row>
    <row r="1480" spans="1:36" ht="14.25" hidden="1" x14ac:dyDescent="0.2">
      <c r="A1480" t="s">
        <v>2366</v>
      </c>
      <c r="B1480" s="1">
        <v>46060</v>
      </c>
      <c r="C1480" t="s">
        <v>24</v>
      </c>
      <c r="D1480" t="s">
        <v>151</v>
      </c>
      <c r="E1480" t="s">
        <v>42</v>
      </c>
      <c r="F1480" t="s">
        <v>114</v>
      </c>
      <c r="G1480" t="s">
        <v>115</v>
      </c>
      <c r="H1480" t="s">
        <v>115</v>
      </c>
      <c r="I1480" t="s">
        <v>56</v>
      </c>
      <c r="J1480" t="s">
        <v>179</v>
      </c>
      <c r="K1480" t="s">
        <v>78</v>
      </c>
      <c r="L1480" t="s">
        <v>67</v>
      </c>
      <c r="M1480" t="s">
        <v>34</v>
      </c>
      <c r="N1480" t="s">
        <v>69</v>
      </c>
      <c r="O1480" t="s">
        <v>36</v>
      </c>
      <c r="P1480" t="s">
        <v>49</v>
      </c>
      <c r="Q1480" t="s">
        <v>204</v>
      </c>
      <c r="R1480">
        <v>248</v>
      </c>
      <c r="S1480">
        <v>127</v>
      </c>
      <c r="T1480">
        <v>89</v>
      </c>
      <c r="U1480">
        <v>28</v>
      </c>
      <c r="V1480" t="s">
        <v>6538</v>
      </c>
      <c r="W1480">
        <v>45104</v>
      </c>
      <c r="X1480" t="s">
        <v>7183</v>
      </c>
      <c r="Y1480">
        <v>36481</v>
      </c>
      <c r="Z1480">
        <v>1262912</v>
      </c>
      <c r="AA1480">
        <v>241444</v>
      </c>
      <c r="AB1480" t="str">
        <f>(VLOOKUP(SalesData[[#This Row],[Month Number]],Reference!C$5:E$16,2,FALSE))</f>
        <v>Feb</v>
      </c>
      <c r="AC1480">
        <f>MONTH(SalesData[[#This Row],[Date]])</f>
        <v>2</v>
      </c>
      <c r="AD1480">
        <f>Reference!F$4</f>
        <v>2026</v>
      </c>
      <c r="AE1480" t="str">
        <f>IF(OR(SalesData[[#This Row],[Day]]="Saturday",SalesData[[#This Row],[Day]]="Sunday"),"Weekend","Weekday")</f>
        <v>Weekend</v>
      </c>
      <c r="AF1480" s="5">
        <f>IF(SalesData[[#This Row],[Contracts Offered]]=0,0,SalesData[[#This Row],[Contracts Signed]]/SalesData[[#This Row],[Contracts Offered]])</f>
        <v>0.3146067415730337</v>
      </c>
      <c r="AG1480" s="5">
        <f>IF(SalesData[[#This Row],[Customers Visited]]=0,0,SalesData[[#This Row],[Test Drives]]/SalesData[[#This Row],[Customers Visited]])</f>
        <v>0.51209677419354838</v>
      </c>
      <c r="AH1480" s="5">
        <f>IF(SalesData[[#This Row],[Customers Visited]]=0,0,SalesData[[#This Row],[Contracts Signed]]/SalesData[[#This Row],[Customers Visited]])</f>
        <v>0.11290322580645161</v>
      </c>
      <c r="AI1480" s="6">
        <f>IF(SalesData[[#This Row],[Contracts Signed]]=0,0,SalesData[[#This Row],[Profit(€)]]/SalesData[[#This Row],[Contracts Signed]])</f>
        <v>8623</v>
      </c>
      <c r="AJ1480" s="5" t="str">
        <f>TRIM(CLEAN(SalesData[[#This Row],[Retailer]]))</f>
        <v>Elbe Drive</v>
      </c>
    </row>
    <row r="1481" spans="1:36" ht="14.25" x14ac:dyDescent="0.2">
      <c r="A1481" t="s">
        <v>2367</v>
      </c>
      <c r="B1481" s="1">
        <v>46081</v>
      </c>
      <c r="C1481" t="s">
        <v>53</v>
      </c>
      <c r="D1481" t="s">
        <v>151</v>
      </c>
      <c r="E1481" t="s">
        <v>42</v>
      </c>
      <c r="F1481" t="s">
        <v>127</v>
      </c>
      <c r="G1481" t="s">
        <v>128</v>
      </c>
      <c r="H1481" t="s">
        <v>103</v>
      </c>
      <c r="I1481" t="s">
        <v>30</v>
      </c>
      <c r="J1481" t="s">
        <v>7075</v>
      </c>
      <c r="K1481" t="s">
        <v>66</v>
      </c>
      <c r="L1481" t="s">
        <v>33</v>
      </c>
      <c r="M1481" t="s">
        <v>47</v>
      </c>
      <c r="N1481" t="s">
        <v>69</v>
      </c>
      <c r="O1481" t="s">
        <v>36</v>
      </c>
      <c r="P1481" t="s">
        <v>49</v>
      </c>
      <c r="Q1481" t="s">
        <v>172</v>
      </c>
      <c r="R1481">
        <v>268</v>
      </c>
      <c r="S1481">
        <v>159</v>
      </c>
      <c r="T1481">
        <v>115</v>
      </c>
      <c r="U1481">
        <v>42</v>
      </c>
      <c r="V1481" t="s">
        <v>6539</v>
      </c>
      <c r="W1481">
        <v>67032</v>
      </c>
      <c r="X1481" t="s">
        <v>7095</v>
      </c>
      <c r="Y1481">
        <v>47771</v>
      </c>
      <c r="Z1481">
        <v>2815344</v>
      </c>
      <c r="AA1481">
        <v>808962</v>
      </c>
      <c r="AB1481" t="str">
        <f>(VLOOKUP(SalesData[[#This Row],[Month Number]],Reference!C$5:E$16,2,FALSE))</f>
        <v>Feb</v>
      </c>
      <c r="AC1481">
        <f>MONTH(SalesData[[#This Row],[Date]])</f>
        <v>2</v>
      </c>
      <c r="AD1481">
        <f>Reference!F$4</f>
        <v>2026</v>
      </c>
      <c r="AE1481" t="str">
        <f>IF(OR(SalesData[[#This Row],[Day]]="Saturday",SalesData[[#This Row],[Day]]="Sunday"),"Weekend","Weekday")</f>
        <v>Weekend</v>
      </c>
      <c r="AF1481" s="5">
        <f>IF(SalesData[[#This Row],[Contracts Offered]]=0,0,SalesData[[#This Row],[Contracts Signed]]/SalesData[[#This Row],[Contracts Offered]])</f>
        <v>0.36521739130434783</v>
      </c>
      <c r="AG1481" s="5">
        <f>IF(SalesData[[#This Row],[Customers Visited]]=0,0,SalesData[[#This Row],[Test Drives]]/SalesData[[#This Row],[Customers Visited]])</f>
        <v>0.59328358208955223</v>
      </c>
      <c r="AH1481" s="5">
        <f>IF(SalesData[[#This Row],[Customers Visited]]=0,0,SalesData[[#This Row],[Contracts Signed]]/SalesData[[#This Row],[Customers Visited]])</f>
        <v>0.15671641791044777</v>
      </c>
      <c r="AI1481" s="6">
        <f>IF(SalesData[[#This Row],[Contracts Signed]]=0,0,SalesData[[#This Row],[Profit(€)]]/SalesData[[#This Row],[Contracts Signed]])</f>
        <v>19261</v>
      </c>
      <c r="AJ1481" s="5" t="str">
        <f>TRIM(CLEAN(SalesData[[#This Row],[Retailer]]))</f>
        <v>Rhein Auto Group</v>
      </c>
    </row>
    <row r="1482" spans="1:36" ht="14.25" hidden="1" x14ac:dyDescent="0.2">
      <c r="A1482" t="s">
        <v>2369</v>
      </c>
      <c r="B1482" s="1">
        <v>46065</v>
      </c>
      <c r="C1482" t="s">
        <v>121</v>
      </c>
      <c r="D1482" t="s">
        <v>100</v>
      </c>
      <c r="E1482" t="s">
        <v>26</v>
      </c>
      <c r="F1482" t="s">
        <v>27</v>
      </c>
      <c r="G1482" t="s">
        <v>28</v>
      </c>
      <c r="H1482" t="s">
        <v>29</v>
      </c>
      <c r="I1482" t="s">
        <v>64</v>
      </c>
      <c r="J1482" t="s">
        <v>7029</v>
      </c>
      <c r="K1482" t="s">
        <v>91</v>
      </c>
      <c r="L1482" t="s">
        <v>33</v>
      </c>
      <c r="M1482" t="s">
        <v>47</v>
      </c>
      <c r="N1482" t="s">
        <v>35</v>
      </c>
      <c r="O1482" t="s">
        <v>70</v>
      </c>
      <c r="P1482" t="s">
        <v>71</v>
      </c>
      <c r="Q1482" t="s">
        <v>118</v>
      </c>
      <c r="R1482">
        <v>240</v>
      </c>
      <c r="S1482">
        <v>132</v>
      </c>
      <c r="T1482">
        <v>87</v>
      </c>
      <c r="U1482">
        <v>35</v>
      </c>
      <c r="V1482" t="s">
        <v>6822</v>
      </c>
      <c r="W1482">
        <v>71155</v>
      </c>
      <c r="X1482" t="s">
        <v>7340</v>
      </c>
      <c r="Y1482">
        <v>51488</v>
      </c>
      <c r="Z1482">
        <v>2490425</v>
      </c>
      <c r="AA1482">
        <v>688345</v>
      </c>
      <c r="AB1482" t="str">
        <f>(VLOOKUP(SalesData[[#This Row],[Month Number]],Reference!C$5:E$16,2,FALSE))</f>
        <v>Feb</v>
      </c>
      <c r="AC1482">
        <f>MONTH(SalesData[[#This Row],[Date]])</f>
        <v>2</v>
      </c>
      <c r="AD1482">
        <f>Reference!F$4</f>
        <v>2026</v>
      </c>
      <c r="AE1482" t="str">
        <f>IF(OR(SalesData[[#This Row],[Day]]="Saturday",SalesData[[#This Row],[Day]]="Sunday"),"Weekend","Weekday")</f>
        <v>Weekday</v>
      </c>
      <c r="AF1482" s="5">
        <f>IF(SalesData[[#This Row],[Contracts Offered]]=0,0,SalesData[[#This Row],[Contracts Signed]]/SalesData[[#This Row],[Contracts Offered]])</f>
        <v>0.40229885057471265</v>
      </c>
      <c r="AG1482" s="5">
        <f>IF(SalesData[[#This Row],[Customers Visited]]=0,0,SalesData[[#This Row],[Test Drives]]/SalesData[[#This Row],[Customers Visited]])</f>
        <v>0.55000000000000004</v>
      </c>
      <c r="AH1482" s="5">
        <f>IF(SalesData[[#This Row],[Customers Visited]]=0,0,SalesData[[#This Row],[Contracts Signed]]/SalesData[[#This Row],[Customers Visited]])</f>
        <v>0.14583333333333334</v>
      </c>
      <c r="AI1482" s="6">
        <f>IF(SalesData[[#This Row],[Contracts Signed]]=0,0,SalesData[[#This Row],[Profit(€)]]/SalesData[[#This Row],[Contracts Signed]])</f>
        <v>19667</v>
      </c>
      <c r="AJ1482" s="5" t="str">
        <f>TRIM(CLEAN(SalesData[[#This Row],[Retailer]]))</f>
        <v>Main Auto Hub</v>
      </c>
    </row>
    <row r="1483" spans="1:36" ht="14.25" hidden="1" x14ac:dyDescent="0.2">
      <c r="A1483" t="s">
        <v>2371</v>
      </c>
      <c r="B1483" s="1">
        <v>46076</v>
      </c>
      <c r="C1483" t="s">
        <v>53</v>
      </c>
      <c r="D1483" t="s">
        <v>25</v>
      </c>
      <c r="E1483" t="s">
        <v>26</v>
      </c>
      <c r="F1483" t="s">
        <v>109</v>
      </c>
      <c r="G1483" t="s">
        <v>110</v>
      </c>
      <c r="H1483" t="s">
        <v>45</v>
      </c>
      <c r="I1483" t="s">
        <v>116</v>
      </c>
      <c r="J1483" t="s">
        <v>7026</v>
      </c>
      <c r="K1483" t="s">
        <v>91</v>
      </c>
      <c r="L1483" t="s">
        <v>46</v>
      </c>
      <c r="M1483" t="s">
        <v>87</v>
      </c>
      <c r="N1483" t="s">
        <v>69</v>
      </c>
      <c r="O1483" t="s">
        <v>70</v>
      </c>
      <c r="P1483" t="s">
        <v>58</v>
      </c>
      <c r="Q1483" t="s">
        <v>167</v>
      </c>
      <c r="R1483">
        <v>401</v>
      </c>
      <c r="S1483">
        <v>152</v>
      </c>
      <c r="T1483">
        <v>100</v>
      </c>
      <c r="U1483">
        <v>26</v>
      </c>
      <c r="V1483" t="s">
        <v>468</v>
      </c>
      <c r="W1483">
        <v>26470</v>
      </c>
      <c r="X1483" t="s">
        <v>1105</v>
      </c>
      <c r="Y1483">
        <v>23872</v>
      </c>
      <c r="Z1483">
        <v>688220</v>
      </c>
      <c r="AA1483">
        <v>67548</v>
      </c>
      <c r="AB1483" t="str">
        <f>(VLOOKUP(SalesData[[#This Row],[Month Number]],Reference!C$5:E$16,2,FALSE))</f>
        <v>Feb</v>
      </c>
      <c r="AC1483">
        <f>MONTH(SalesData[[#This Row],[Date]])</f>
        <v>2</v>
      </c>
      <c r="AD1483">
        <f>Reference!F$4</f>
        <v>2026</v>
      </c>
      <c r="AE1483" t="str">
        <f>IF(OR(SalesData[[#This Row],[Day]]="Saturday",SalesData[[#This Row],[Day]]="Sunday"),"Weekend","Weekday")</f>
        <v>Weekday</v>
      </c>
      <c r="AF1483" s="5">
        <f>IF(SalesData[[#This Row],[Contracts Offered]]=0,0,SalesData[[#This Row],[Contracts Signed]]/SalesData[[#This Row],[Contracts Offered]])</f>
        <v>0.26</v>
      </c>
      <c r="AG1483" s="5">
        <f>IF(SalesData[[#This Row],[Customers Visited]]=0,0,SalesData[[#This Row],[Test Drives]]/SalesData[[#This Row],[Customers Visited]])</f>
        <v>0.37905236907730672</v>
      </c>
      <c r="AH1483" s="5">
        <f>IF(SalesData[[#This Row],[Customers Visited]]=0,0,SalesData[[#This Row],[Contracts Signed]]/SalesData[[#This Row],[Customers Visited]])</f>
        <v>6.4837905236907731E-2</v>
      </c>
      <c r="AI1483" s="6">
        <f>IF(SalesData[[#This Row],[Contracts Signed]]=0,0,SalesData[[#This Row],[Profit(€)]]/SalesData[[#This Row],[Contracts Signed]])</f>
        <v>2598</v>
      </c>
      <c r="AJ1483" s="5" t="str">
        <f>TRIM(CLEAN(SalesData[[#This Row],[Retailer]]))</f>
        <v>Leipzig Mobility</v>
      </c>
    </row>
    <row r="1484" spans="1:36" ht="14.25" x14ac:dyDescent="0.2">
      <c r="A1484" t="s">
        <v>2373</v>
      </c>
      <c r="B1484" s="1">
        <v>46077</v>
      </c>
      <c r="C1484" t="s">
        <v>53</v>
      </c>
      <c r="D1484" t="s">
        <v>63</v>
      </c>
      <c r="E1484" t="s">
        <v>26</v>
      </c>
      <c r="F1484" t="s">
        <v>7649</v>
      </c>
      <c r="G1484" t="s">
        <v>55</v>
      </c>
      <c r="H1484" t="s">
        <v>55</v>
      </c>
      <c r="I1484" t="s">
        <v>30</v>
      </c>
      <c r="J1484" t="s">
        <v>188</v>
      </c>
      <c r="K1484" t="s">
        <v>32</v>
      </c>
      <c r="L1484" t="s">
        <v>33</v>
      </c>
      <c r="M1484" t="s">
        <v>68</v>
      </c>
      <c r="N1484" t="s">
        <v>35</v>
      </c>
      <c r="O1484" t="s">
        <v>70</v>
      </c>
      <c r="P1484" t="s">
        <v>58</v>
      </c>
      <c r="Q1484" t="s">
        <v>88</v>
      </c>
      <c r="R1484">
        <v>186</v>
      </c>
      <c r="S1484">
        <v>105</v>
      </c>
      <c r="T1484">
        <v>84</v>
      </c>
      <c r="U1484">
        <v>35</v>
      </c>
      <c r="V1484" t="s">
        <v>7206</v>
      </c>
      <c r="W1484">
        <v>58162</v>
      </c>
      <c r="X1484" t="s">
        <v>7198</v>
      </c>
      <c r="Y1484">
        <v>45185</v>
      </c>
      <c r="Z1484">
        <v>2035670</v>
      </c>
      <c r="AA1484">
        <v>454195</v>
      </c>
      <c r="AB1484" t="str">
        <f>(VLOOKUP(SalesData[[#This Row],[Month Number]],Reference!C$5:E$16,2,FALSE))</f>
        <v>Feb</v>
      </c>
      <c r="AC1484">
        <f>MONTH(SalesData[[#This Row],[Date]])</f>
        <v>2</v>
      </c>
      <c r="AD1484">
        <f>Reference!F$4</f>
        <v>2026</v>
      </c>
      <c r="AE1484" t="str">
        <f>IF(OR(SalesData[[#This Row],[Day]]="Saturday",SalesData[[#This Row],[Day]]="Sunday"),"Weekend","Weekday")</f>
        <v>Weekday</v>
      </c>
      <c r="AF1484" s="5">
        <f>IF(SalesData[[#This Row],[Contracts Offered]]=0,0,SalesData[[#This Row],[Contracts Signed]]/SalesData[[#This Row],[Contracts Offered]])</f>
        <v>0.41666666666666669</v>
      </c>
      <c r="AG1484" s="5">
        <f>IF(SalesData[[#This Row],[Customers Visited]]=0,0,SalesData[[#This Row],[Test Drives]]/SalesData[[#This Row],[Customers Visited]])</f>
        <v>0.56451612903225812</v>
      </c>
      <c r="AH1484" s="5">
        <f>IF(SalesData[[#This Row],[Customers Visited]]=0,0,SalesData[[#This Row],[Contracts Signed]]/SalesData[[#This Row],[Customers Visited]])</f>
        <v>0.18817204301075269</v>
      </c>
      <c r="AI1484" s="6">
        <f>IF(SalesData[[#This Row],[Contracts Signed]]=0,0,SalesData[[#This Row],[Profit(€)]]/SalesData[[#This Row],[Contracts Signed]])</f>
        <v>12977</v>
      </c>
      <c r="AJ1484" s="5" t="str">
        <f>TRIM(CLEAN(SalesData[[#This Row],[Retailer]]))</f>
        <v>Autohaus Berlin</v>
      </c>
    </row>
    <row r="1485" spans="1:36" ht="14.25" hidden="1" x14ac:dyDescent="0.2">
      <c r="A1485" t="s">
        <v>2374</v>
      </c>
      <c r="B1485" s="1">
        <v>46066</v>
      </c>
      <c r="C1485" t="s">
        <v>121</v>
      </c>
      <c r="D1485" t="s">
        <v>54</v>
      </c>
      <c r="E1485" t="s">
        <v>26</v>
      </c>
      <c r="F1485" t="s">
        <v>27</v>
      </c>
      <c r="G1485" t="s">
        <v>28</v>
      </c>
      <c r="H1485" t="s">
        <v>29</v>
      </c>
      <c r="I1485" t="s">
        <v>116</v>
      </c>
      <c r="J1485" t="s">
        <v>132</v>
      </c>
      <c r="K1485" t="s">
        <v>32</v>
      </c>
      <c r="L1485" t="s">
        <v>46</v>
      </c>
      <c r="M1485" t="s">
        <v>87</v>
      </c>
      <c r="N1485" t="s">
        <v>35</v>
      </c>
      <c r="O1485" t="s">
        <v>36</v>
      </c>
      <c r="P1485" t="s">
        <v>37</v>
      </c>
      <c r="Q1485" t="s">
        <v>118</v>
      </c>
      <c r="R1485">
        <v>241</v>
      </c>
      <c r="S1485">
        <v>116</v>
      </c>
      <c r="T1485">
        <v>71</v>
      </c>
      <c r="U1485">
        <v>17</v>
      </c>
      <c r="V1485" t="s">
        <v>4894</v>
      </c>
      <c r="W1485">
        <v>20586</v>
      </c>
      <c r="X1485" t="s">
        <v>1178</v>
      </c>
      <c r="Y1485">
        <v>18401</v>
      </c>
      <c r="Z1485">
        <v>349962</v>
      </c>
      <c r="AA1485">
        <v>37145</v>
      </c>
      <c r="AB1485" t="str">
        <f>(VLOOKUP(SalesData[[#This Row],[Month Number]],Reference!C$5:E$16,2,FALSE))</f>
        <v>Feb</v>
      </c>
      <c r="AC1485">
        <f>MONTH(SalesData[[#This Row],[Date]])</f>
        <v>2</v>
      </c>
      <c r="AD1485">
        <f>Reference!F$4</f>
        <v>2026</v>
      </c>
      <c r="AE1485" t="str">
        <f>IF(OR(SalesData[[#This Row],[Day]]="Saturday",SalesData[[#This Row],[Day]]="Sunday"),"Weekend","Weekday")</f>
        <v>Weekday</v>
      </c>
      <c r="AF1485" s="5">
        <f>IF(SalesData[[#This Row],[Contracts Offered]]=0,0,SalesData[[#This Row],[Contracts Signed]]/SalesData[[#This Row],[Contracts Offered]])</f>
        <v>0.23943661971830985</v>
      </c>
      <c r="AG1485" s="5">
        <f>IF(SalesData[[#This Row],[Customers Visited]]=0,0,SalesData[[#This Row],[Test Drives]]/SalesData[[#This Row],[Customers Visited]])</f>
        <v>0.48132780082987553</v>
      </c>
      <c r="AH1485" s="5">
        <f>IF(SalesData[[#This Row],[Customers Visited]]=0,0,SalesData[[#This Row],[Contracts Signed]]/SalesData[[#This Row],[Customers Visited]])</f>
        <v>7.0539419087136929E-2</v>
      </c>
      <c r="AI1485" s="6">
        <f>IF(SalesData[[#This Row],[Contracts Signed]]=0,0,SalesData[[#This Row],[Profit(€)]]/SalesData[[#This Row],[Contracts Signed]])</f>
        <v>2185</v>
      </c>
      <c r="AJ1485" s="5" t="str">
        <f>TRIM(CLEAN(SalesData[[#This Row],[Retailer]]))</f>
        <v>Main Auto Hub</v>
      </c>
    </row>
    <row r="1486" spans="1:36" ht="14.25" hidden="1" x14ac:dyDescent="0.2">
      <c r="A1486" t="s">
        <v>2375</v>
      </c>
      <c r="B1486" s="1">
        <v>46066</v>
      </c>
      <c r="C1486" t="s">
        <v>121</v>
      </c>
      <c r="D1486" t="s">
        <v>54</v>
      </c>
      <c r="E1486" t="s">
        <v>26</v>
      </c>
      <c r="F1486" t="s">
        <v>109</v>
      </c>
      <c r="G1486" t="s">
        <v>110</v>
      </c>
      <c r="H1486" t="s">
        <v>45</v>
      </c>
      <c r="I1486" t="s">
        <v>104</v>
      </c>
      <c r="J1486" t="s">
        <v>105</v>
      </c>
      <c r="K1486" t="s">
        <v>32</v>
      </c>
      <c r="L1486" t="s">
        <v>33</v>
      </c>
      <c r="M1486" t="s">
        <v>34</v>
      </c>
      <c r="N1486" t="s">
        <v>69</v>
      </c>
      <c r="O1486" t="s">
        <v>70</v>
      </c>
      <c r="P1486" t="s">
        <v>71</v>
      </c>
      <c r="Q1486" t="s">
        <v>118</v>
      </c>
      <c r="R1486">
        <v>505</v>
      </c>
      <c r="S1486">
        <v>268</v>
      </c>
      <c r="T1486">
        <v>171</v>
      </c>
      <c r="U1486">
        <v>41</v>
      </c>
      <c r="V1486" t="s">
        <v>5219</v>
      </c>
      <c r="W1486">
        <v>33117</v>
      </c>
      <c r="X1486" t="s">
        <v>3707</v>
      </c>
      <c r="Y1486">
        <v>30070</v>
      </c>
      <c r="Z1486">
        <v>1357797</v>
      </c>
      <c r="AA1486">
        <v>124927</v>
      </c>
      <c r="AB1486" t="str">
        <f>(VLOOKUP(SalesData[[#This Row],[Month Number]],Reference!C$5:E$16,2,FALSE))</f>
        <v>Feb</v>
      </c>
      <c r="AC1486">
        <f>MONTH(SalesData[[#This Row],[Date]])</f>
        <v>2</v>
      </c>
      <c r="AD1486">
        <f>Reference!F$4</f>
        <v>2026</v>
      </c>
      <c r="AE1486" t="str">
        <f>IF(OR(SalesData[[#This Row],[Day]]="Saturday",SalesData[[#This Row],[Day]]="Sunday"),"Weekend","Weekday")</f>
        <v>Weekday</v>
      </c>
      <c r="AF1486" s="5">
        <f>IF(SalesData[[#This Row],[Contracts Offered]]=0,0,SalesData[[#This Row],[Contracts Signed]]/SalesData[[#This Row],[Contracts Offered]])</f>
        <v>0.23976608187134502</v>
      </c>
      <c r="AG1486" s="5">
        <f>IF(SalesData[[#This Row],[Customers Visited]]=0,0,SalesData[[#This Row],[Test Drives]]/SalesData[[#This Row],[Customers Visited]])</f>
        <v>0.53069306930693072</v>
      </c>
      <c r="AH1486" s="5">
        <f>IF(SalesData[[#This Row],[Customers Visited]]=0,0,SalesData[[#This Row],[Contracts Signed]]/SalesData[[#This Row],[Customers Visited]])</f>
        <v>8.1188118811881191E-2</v>
      </c>
      <c r="AI1486" s="6">
        <f>IF(SalesData[[#This Row],[Contracts Signed]]=0,0,SalesData[[#This Row],[Profit(€)]]/SalesData[[#This Row],[Contracts Signed]])</f>
        <v>3047</v>
      </c>
      <c r="AJ1486" s="5" t="str">
        <f>TRIM(CLEAN(SalesData[[#This Row],[Retailer]]))</f>
        <v>Leipzig Mobility</v>
      </c>
    </row>
    <row r="1487" spans="1:36" ht="14.25" hidden="1" x14ac:dyDescent="0.2">
      <c r="A1487" t="s">
        <v>2376</v>
      </c>
      <c r="B1487" s="1">
        <v>46055</v>
      </c>
      <c r="C1487" t="s">
        <v>24</v>
      </c>
      <c r="D1487" t="s">
        <v>25</v>
      </c>
      <c r="E1487" t="s">
        <v>26</v>
      </c>
      <c r="F1487" t="s">
        <v>43</v>
      </c>
      <c r="G1487" t="s">
        <v>44</v>
      </c>
      <c r="H1487" t="s">
        <v>45</v>
      </c>
      <c r="I1487" t="s">
        <v>104</v>
      </c>
      <c r="J1487" t="s">
        <v>105</v>
      </c>
      <c r="K1487" t="s">
        <v>78</v>
      </c>
      <c r="L1487" t="s">
        <v>33</v>
      </c>
      <c r="M1487" t="s">
        <v>34</v>
      </c>
      <c r="N1487" t="s">
        <v>69</v>
      </c>
      <c r="O1487" t="s">
        <v>36</v>
      </c>
      <c r="P1487" t="s">
        <v>58</v>
      </c>
      <c r="Q1487" t="s">
        <v>240</v>
      </c>
      <c r="R1487">
        <v>322</v>
      </c>
      <c r="S1487">
        <v>183</v>
      </c>
      <c r="T1487">
        <v>116</v>
      </c>
      <c r="U1487">
        <v>30</v>
      </c>
      <c r="V1487" t="s">
        <v>4469</v>
      </c>
      <c r="W1487">
        <v>27023</v>
      </c>
      <c r="X1487" t="s">
        <v>5545</v>
      </c>
      <c r="Y1487">
        <v>23298</v>
      </c>
      <c r="Z1487">
        <v>810690</v>
      </c>
      <c r="AA1487">
        <v>111750</v>
      </c>
      <c r="AB1487" t="str">
        <f>(VLOOKUP(SalesData[[#This Row],[Month Number]],Reference!C$5:E$16,2,FALSE))</f>
        <v>Feb</v>
      </c>
      <c r="AC1487">
        <f>MONTH(SalesData[[#This Row],[Date]])</f>
        <v>2</v>
      </c>
      <c r="AD1487">
        <f>Reference!F$4</f>
        <v>2026</v>
      </c>
      <c r="AE1487" t="str">
        <f>IF(OR(SalesData[[#This Row],[Day]]="Saturday",SalesData[[#This Row],[Day]]="Sunday"),"Weekend","Weekday")</f>
        <v>Weekday</v>
      </c>
      <c r="AF1487" s="5">
        <f>IF(SalesData[[#This Row],[Contracts Offered]]=0,0,SalesData[[#This Row],[Contracts Signed]]/SalesData[[#This Row],[Contracts Offered]])</f>
        <v>0.25862068965517243</v>
      </c>
      <c r="AG1487" s="5">
        <f>IF(SalesData[[#This Row],[Customers Visited]]=0,0,SalesData[[#This Row],[Test Drives]]/SalesData[[#This Row],[Customers Visited]])</f>
        <v>0.56832298136645965</v>
      </c>
      <c r="AH1487" s="5">
        <f>IF(SalesData[[#This Row],[Customers Visited]]=0,0,SalesData[[#This Row],[Contracts Signed]]/SalesData[[#This Row],[Customers Visited]])</f>
        <v>9.3167701863354033E-2</v>
      </c>
      <c r="AI1487" s="6">
        <f>IF(SalesData[[#This Row],[Contracts Signed]]=0,0,SalesData[[#This Row],[Profit(€)]]/SalesData[[#This Row],[Contracts Signed]])</f>
        <v>3725</v>
      </c>
      <c r="AJ1487" s="5" t="str">
        <f>TRIM(CLEAN(SalesData[[#This Row],[Retailer]]))</f>
        <v>Saxon Wheels</v>
      </c>
    </row>
    <row r="1488" spans="1:36" ht="14.25" hidden="1" x14ac:dyDescent="0.2">
      <c r="A1488" t="s">
        <v>2377</v>
      </c>
      <c r="B1488" s="1">
        <v>46065</v>
      </c>
      <c r="C1488" t="s">
        <v>121</v>
      </c>
      <c r="D1488" t="s">
        <v>100</v>
      </c>
      <c r="E1488" t="s">
        <v>26</v>
      </c>
      <c r="F1488" t="s">
        <v>7649</v>
      </c>
      <c r="G1488" t="s">
        <v>55</v>
      </c>
      <c r="H1488" t="s">
        <v>55</v>
      </c>
      <c r="I1488" t="s">
        <v>116</v>
      </c>
      <c r="J1488" t="s">
        <v>132</v>
      </c>
      <c r="K1488" t="s">
        <v>78</v>
      </c>
      <c r="L1488" t="s">
        <v>46</v>
      </c>
      <c r="M1488" t="s">
        <v>47</v>
      </c>
      <c r="N1488" t="s">
        <v>35</v>
      </c>
      <c r="O1488" t="s">
        <v>70</v>
      </c>
      <c r="P1488" t="s">
        <v>37</v>
      </c>
      <c r="Q1488" t="s">
        <v>50</v>
      </c>
      <c r="R1488">
        <v>422</v>
      </c>
      <c r="S1488">
        <v>202</v>
      </c>
      <c r="T1488">
        <v>119</v>
      </c>
      <c r="U1488">
        <v>37</v>
      </c>
      <c r="V1488" t="s">
        <v>1736</v>
      </c>
      <c r="W1488">
        <v>25423</v>
      </c>
      <c r="X1488" t="s">
        <v>4934</v>
      </c>
      <c r="Y1488">
        <v>23073</v>
      </c>
      <c r="Z1488">
        <v>940651</v>
      </c>
      <c r="AA1488">
        <v>86950</v>
      </c>
      <c r="AB1488" t="str">
        <f>(VLOOKUP(SalesData[[#This Row],[Month Number]],Reference!C$5:E$16,2,FALSE))</f>
        <v>Feb</v>
      </c>
      <c r="AC1488">
        <f>MONTH(SalesData[[#This Row],[Date]])</f>
        <v>2</v>
      </c>
      <c r="AD1488">
        <f>Reference!F$4</f>
        <v>2026</v>
      </c>
      <c r="AE1488" t="str">
        <f>IF(OR(SalesData[[#This Row],[Day]]="Saturday",SalesData[[#This Row],[Day]]="Sunday"),"Weekend","Weekday")</f>
        <v>Weekday</v>
      </c>
      <c r="AF1488" s="5">
        <f>IF(SalesData[[#This Row],[Contracts Offered]]=0,0,SalesData[[#This Row],[Contracts Signed]]/SalesData[[#This Row],[Contracts Offered]])</f>
        <v>0.31092436974789917</v>
      </c>
      <c r="AG1488" s="5">
        <f>IF(SalesData[[#This Row],[Customers Visited]]=0,0,SalesData[[#This Row],[Test Drives]]/SalesData[[#This Row],[Customers Visited]])</f>
        <v>0.47867298578199052</v>
      </c>
      <c r="AH1488" s="5">
        <f>IF(SalesData[[#This Row],[Customers Visited]]=0,0,SalesData[[#This Row],[Contracts Signed]]/SalesData[[#This Row],[Customers Visited]])</f>
        <v>8.7677725118483416E-2</v>
      </c>
      <c r="AI1488" s="6">
        <f>IF(SalesData[[#This Row],[Contracts Signed]]=0,0,SalesData[[#This Row],[Profit(€)]]/SalesData[[#This Row],[Contracts Signed]])</f>
        <v>2350</v>
      </c>
      <c r="AJ1488" s="5" t="str">
        <f>TRIM(CLEAN(SalesData[[#This Row],[Retailer]]))</f>
        <v>Autohaus Berlin</v>
      </c>
    </row>
    <row r="1489" spans="1:36" ht="14.25" hidden="1" x14ac:dyDescent="0.2">
      <c r="A1489" t="s">
        <v>2378</v>
      </c>
      <c r="B1489" s="1">
        <v>46063</v>
      </c>
      <c r="C1489" t="s">
        <v>121</v>
      </c>
      <c r="D1489" t="s">
        <v>63</v>
      </c>
      <c r="E1489" t="s">
        <v>26</v>
      </c>
      <c r="F1489" t="s">
        <v>127</v>
      </c>
      <c r="G1489" t="s">
        <v>128</v>
      </c>
      <c r="H1489" t="s">
        <v>103</v>
      </c>
      <c r="I1489" t="s">
        <v>64</v>
      </c>
      <c r="J1489" t="s">
        <v>7029</v>
      </c>
      <c r="K1489" t="s">
        <v>32</v>
      </c>
      <c r="L1489" t="s">
        <v>33</v>
      </c>
      <c r="M1489" t="s">
        <v>87</v>
      </c>
      <c r="N1489" t="s">
        <v>48</v>
      </c>
      <c r="O1489" t="s">
        <v>70</v>
      </c>
      <c r="P1489" t="s">
        <v>37</v>
      </c>
      <c r="Q1489" t="s">
        <v>135</v>
      </c>
      <c r="R1489">
        <v>185</v>
      </c>
      <c r="S1489">
        <v>99</v>
      </c>
      <c r="T1489">
        <v>68</v>
      </c>
      <c r="U1489">
        <v>22</v>
      </c>
      <c r="V1489" t="s">
        <v>6433</v>
      </c>
      <c r="W1489">
        <v>64568</v>
      </c>
      <c r="X1489" t="s">
        <v>2107</v>
      </c>
      <c r="Y1489">
        <v>48665</v>
      </c>
      <c r="Z1489">
        <v>1420496</v>
      </c>
      <c r="AA1489">
        <v>349866</v>
      </c>
      <c r="AB1489" t="str">
        <f>(VLOOKUP(SalesData[[#This Row],[Month Number]],Reference!C$5:E$16,2,FALSE))</f>
        <v>Feb</v>
      </c>
      <c r="AC1489">
        <f>MONTH(SalesData[[#This Row],[Date]])</f>
        <v>2</v>
      </c>
      <c r="AD1489">
        <f>Reference!F$4</f>
        <v>2026</v>
      </c>
      <c r="AE1489" t="str">
        <f>IF(OR(SalesData[[#This Row],[Day]]="Saturday",SalesData[[#This Row],[Day]]="Sunday"),"Weekend","Weekday")</f>
        <v>Weekday</v>
      </c>
      <c r="AF1489" s="5">
        <f>IF(SalesData[[#This Row],[Contracts Offered]]=0,0,SalesData[[#This Row],[Contracts Signed]]/SalesData[[#This Row],[Contracts Offered]])</f>
        <v>0.3235294117647059</v>
      </c>
      <c r="AG1489" s="5">
        <f>IF(SalesData[[#This Row],[Customers Visited]]=0,0,SalesData[[#This Row],[Test Drives]]/SalesData[[#This Row],[Customers Visited]])</f>
        <v>0.53513513513513511</v>
      </c>
      <c r="AH1489" s="5">
        <f>IF(SalesData[[#This Row],[Customers Visited]]=0,0,SalesData[[#This Row],[Contracts Signed]]/SalesData[[#This Row],[Customers Visited]])</f>
        <v>0.11891891891891893</v>
      </c>
      <c r="AI1489" s="6">
        <f>IF(SalesData[[#This Row],[Contracts Signed]]=0,0,SalesData[[#This Row],[Profit(€)]]/SalesData[[#This Row],[Contracts Signed]])</f>
        <v>15903</v>
      </c>
      <c r="AJ1489" s="5" t="str">
        <f>TRIM(CLEAN(SalesData[[#This Row],[Retailer]]))</f>
        <v>Rhein Auto Group</v>
      </c>
    </row>
    <row r="1490" spans="1:36" ht="14.25" hidden="1" x14ac:dyDescent="0.2">
      <c r="A1490" t="s">
        <v>2379</v>
      </c>
      <c r="B1490" s="1">
        <v>46071</v>
      </c>
      <c r="C1490" t="s">
        <v>62</v>
      </c>
      <c r="D1490" t="s">
        <v>82</v>
      </c>
      <c r="E1490" t="s">
        <v>26</v>
      </c>
      <c r="F1490" t="s">
        <v>83</v>
      </c>
      <c r="G1490" t="s">
        <v>84</v>
      </c>
      <c r="H1490" t="s">
        <v>85</v>
      </c>
      <c r="I1490" t="s">
        <v>64</v>
      </c>
      <c r="J1490" t="s">
        <v>65</v>
      </c>
      <c r="K1490" t="s">
        <v>91</v>
      </c>
      <c r="L1490" t="s">
        <v>33</v>
      </c>
      <c r="M1490" t="s">
        <v>47</v>
      </c>
      <c r="N1490" t="s">
        <v>69</v>
      </c>
      <c r="O1490" t="s">
        <v>70</v>
      </c>
      <c r="P1490" t="s">
        <v>58</v>
      </c>
      <c r="Q1490" t="s">
        <v>38</v>
      </c>
      <c r="R1490">
        <v>172</v>
      </c>
      <c r="S1490">
        <v>87</v>
      </c>
      <c r="T1490">
        <v>62</v>
      </c>
      <c r="U1490">
        <v>22</v>
      </c>
      <c r="V1490" t="s">
        <v>6739</v>
      </c>
      <c r="W1490">
        <v>51089</v>
      </c>
      <c r="X1490" t="s">
        <v>7324</v>
      </c>
      <c r="Y1490">
        <v>36472</v>
      </c>
      <c r="Z1490">
        <v>1123958</v>
      </c>
      <c r="AA1490">
        <v>321574</v>
      </c>
      <c r="AB1490" t="str">
        <f>(VLOOKUP(SalesData[[#This Row],[Month Number]],Reference!C$5:E$16,2,FALSE))</f>
        <v>Feb</v>
      </c>
      <c r="AC1490">
        <f>MONTH(SalesData[[#This Row],[Date]])</f>
        <v>2</v>
      </c>
      <c r="AD1490">
        <f>Reference!F$4</f>
        <v>2026</v>
      </c>
      <c r="AE1490" t="str">
        <f>IF(OR(SalesData[[#This Row],[Day]]="Saturday",SalesData[[#This Row],[Day]]="Sunday"),"Weekend","Weekday")</f>
        <v>Weekday</v>
      </c>
      <c r="AF1490" s="5">
        <f>IF(SalesData[[#This Row],[Contracts Offered]]=0,0,SalesData[[#This Row],[Contracts Signed]]/SalesData[[#This Row],[Contracts Offered]])</f>
        <v>0.35483870967741937</v>
      </c>
      <c r="AG1490" s="5">
        <f>IF(SalesData[[#This Row],[Customers Visited]]=0,0,SalesData[[#This Row],[Test Drives]]/SalesData[[#This Row],[Customers Visited]])</f>
        <v>0.5058139534883721</v>
      </c>
      <c r="AH1490" s="5">
        <f>IF(SalesData[[#This Row],[Customers Visited]]=0,0,SalesData[[#This Row],[Contracts Signed]]/SalesData[[#This Row],[Customers Visited]])</f>
        <v>0.12790697674418605</v>
      </c>
      <c r="AI1490" s="6">
        <f>IF(SalesData[[#This Row],[Contracts Signed]]=0,0,SalesData[[#This Row],[Profit(€)]]/SalesData[[#This Row],[Contracts Signed]])</f>
        <v>14617</v>
      </c>
      <c r="AJ1490" s="5" t="str">
        <f>TRIM(CLEAN(SalesData[[#This Row],[Retailer]]))</f>
        <v>Hannover Cars</v>
      </c>
    </row>
    <row r="1491" spans="1:36" ht="14.25" hidden="1" x14ac:dyDescent="0.2">
      <c r="A1491" t="s">
        <v>2380</v>
      </c>
      <c r="B1491" s="1">
        <v>46070</v>
      </c>
      <c r="C1491" t="s">
        <v>62</v>
      </c>
      <c r="D1491" t="s">
        <v>63</v>
      </c>
      <c r="E1491" t="s">
        <v>26</v>
      </c>
      <c r="F1491" t="s">
        <v>94</v>
      </c>
      <c r="G1491" t="s">
        <v>95</v>
      </c>
      <c r="H1491" t="s">
        <v>96</v>
      </c>
      <c r="I1491" t="s">
        <v>116</v>
      </c>
      <c r="J1491" t="s">
        <v>203</v>
      </c>
      <c r="K1491" t="s">
        <v>91</v>
      </c>
      <c r="L1491" t="s">
        <v>67</v>
      </c>
      <c r="M1491" t="s">
        <v>68</v>
      </c>
      <c r="N1491" t="s">
        <v>48</v>
      </c>
      <c r="O1491" t="s">
        <v>36</v>
      </c>
      <c r="P1491" t="s">
        <v>58</v>
      </c>
      <c r="Q1491" t="s">
        <v>106</v>
      </c>
      <c r="R1491">
        <v>295</v>
      </c>
      <c r="S1491">
        <v>130</v>
      </c>
      <c r="T1491">
        <v>82</v>
      </c>
      <c r="U1491">
        <v>29</v>
      </c>
      <c r="V1491" t="s">
        <v>6923</v>
      </c>
      <c r="W1491">
        <v>21628</v>
      </c>
      <c r="X1491" t="s">
        <v>2226</v>
      </c>
      <c r="Y1491">
        <v>19843</v>
      </c>
      <c r="Z1491">
        <v>627212</v>
      </c>
      <c r="AA1491">
        <v>51765</v>
      </c>
      <c r="AB1491" t="str">
        <f>(VLOOKUP(SalesData[[#This Row],[Month Number]],Reference!C$5:E$16,2,FALSE))</f>
        <v>Feb</v>
      </c>
      <c r="AC1491">
        <f>MONTH(SalesData[[#This Row],[Date]])</f>
        <v>2</v>
      </c>
      <c r="AD1491">
        <f>Reference!F$4</f>
        <v>2026</v>
      </c>
      <c r="AE1491" t="str">
        <f>IF(OR(SalesData[[#This Row],[Day]]="Saturday",SalesData[[#This Row],[Day]]="Sunday"),"Weekend","Weekday")</f>
        <v>Weekday</v>
      </c>
      <c r="AF1491" s="5">
        <f>IF(SalesData[[#This Row],[Contracts Offered]]=0,0,SalesData[[#This Row],[Contracts Signed]]/SalesData[[#This Row],[Contracts Offered]])</f>
        <v>0.35365853658536583</v>
      </c>
      <c r="AG1491" s="5">
        <f>IF(SalesData[[#This Row],[Customers Visited]]=0,0,SalesData[[#This Row],[Test Drives]]/SalesData[[#This Row],[Customers Visited]])</f>
        <v>0.44067796610169491</v>
      </c>
      <c r="AH1491" s="5">
        <f>IF(SalesData[[#This Row],[Customers Visited]]=0,0,SalesData[[#This Row],[Contracts Signed]]/SalesData[[#This Row],[Customers Visited]])</f>
        <v>9.8305084745762716E-2</v>
      </c>
      <c r="AI1491" s="6">
        <f>IF(SalesData[[#This Row],[Contracts Signed]]=0,0,SalesData[[#This Row],[Profit(€)]]/SalesData[[#This Row],[Contracts Signed]])</f>
        <v>1785</v>
      </c>
      <c r="AJ1491" s="5" t="str">
        <f>TRIM(CLEAN(SalesData[[#This Row],[Retailer]]))</f>
        <v>Bavaria Motors</v>
      </c>
    </row>
    <row r="1492" spans="1:36" ht="14.25" x14ac:dyDescent="0.2">
      <c r="A1492" t="s">
        <v>2381</v>
      </c>
      <c r="B1492" s="1">
        <v>46069</v>
      </c>
      <c r="C1492" t="s">
        <v>62</v>
      </c>
      <c r="D1492" t="s">
        <v>25</v>
      </c>
      <c r="E1492" t="s">
        <v>26</v>
      </c>
      <c r="F1492" t="s">
        <v>109</v>
      </c>
      <c r="G1492" t="s">
        <v>110</v>
      </c>
      <c r="H1492" t="s">
        <v>45</v>
      </c>
      <c r="I1492" t="s">
        <v>30</v>
      </c>
      <c r="J1492" t="s">
        <v>31</v>
      </c>
      <c r="K1492" t="s">
        <v>91</v>
      </c>
      <c r="L1492" t="s">
        <v>46</v>
      </c>
      <c r="M1492" t="s">
        <v>34</v>
      </c>
      <c r="N1492" t="s">
        <v>48</v>
      </c>
      <c r="O1492" t="s">
        <v>70</v>
      </c>
      <c r="P1492" t="s">
        <v>37</v>
      </c>
      <c r="Q1492" t="s">
        <v>169</v>
      </c>
      <c r="R1492">
        <v>244</v>
      </c>
      <c r="S1492">
        <v>146</v>
      </c>
      <c r="T1492">
        <v>113</v>
      </c>
      <c r="U1492">
        <v>40</v>
      </c>
      <c r="V1492" t="s">
        <v>6468</v>
      </c>
      <c r="W1492">
        <v>58598</v>
      </c>
      <c r="X1492" t="s">
        <v>7216</v>
      </c>
      <c r="Y1492">
        <v>42363</v>
      </c>
      <c r="Z1492">
        <v>2343920</v>
      </c>
      <c r="AA1492">
        <v>649400</v>
      </c>
      <c r="AB1492" t="str">
        <f>(VLOOKUP(SalesData[[#This Row],[Month Number]],Reference!C$5:E$16,2,FALSE))</f>
        <v>Feb</v>
      </c>
      <c r="AC1492">
        <f>MONTH(SalesData[[#This Row],[Date]])</f>
        <v>2</v>
      </c>
      <c r="AD1492">
        <f>Reference!F$4</f>
        <v>2026</v>
      </c>
      <c r="AE1492" t="str">
        <f>IF(OR(SalesData[[#This Row],[Day]]="Saturday",SalesData[[#This Row],[Day]]="Sunday"),"Weekend","Weekday")</f>
        <v>Weekday</v>
      </c>
      <c r="AF1492" s="5">
        <f>IF(SalesData[[#This Row],[Contracts Offered]]=0,0,SalesData[[#This Row],[Contracts Signed]]/SalesData[[#This Row],[Contracts Offered]])</f>
        <v>0.35398230088495575</v>
      </c>
      <c r="AG1492" s="5">
        <f>IF(SalesData[[#This Row],[Customers Visited]]=0,0,SalesData[[#This Row],[Test Drives]]/SalesData[[#This Row],[Customers Visited]])</f>
        <v>0.59836065573770492</v>
      </c>
      <c r="AH1492" s="5">
        <f>IF(SalesData[[#This Row],[Customers Visited]]=0,0,SalesData[[#This Row],[Contracts Signed]]/SalesData[[#This Row],[Customers Visited]])</f>
        <v>0.16393442622950818</v>
      </c>
      <c r="AI1492" s="6">
        <f>IF(SalesData[[#This Row],[Contracts Signed]]=0,0,SalesData[[#This Row],[Profit(€)]]/SalesData[[#This Row],[Contracts Signed]])</f>
        <v>16235</v>
      </c>
      <c r="AJ1492" s="5" t="str">
        <f>TRIM(CLEAN(SalesData[[#This Row],[Retailer]]))</f>
        <v>Leipzig Mobility</v>
      </c>
    </row>
    <row r="1493" spans="1:36" ht="14.25" hidden="1" x14ac:dyDescent="0.2">
      <c r="A1493" t="s">
        <v>2382</v>
      </c>
      <c r="B1493" s="1">
        <v>46067</v>
      </c>
      <c r="C1493" t="s">
        <v>121</v>
      </c>
      <c r="D1493" t="s">
        <v>151</v>
      </c>
      <c r="E1493" t="s">
        <v>42</v>
      </c>
      <c r="F1493" t="s">
        <v>114</v>
      </c>
      <c r="G1493" t="s">
        <v>115</v>
      </c>
      <c r="H1493" t="s">
        <v>115</v>
      </c>
      <c r="I1493" t="s">
        <v>64</v>
      </c>
      <c r="J1493" t="s">
        <v>77</v>
      </c>
      <c r="K1493" t="s">
        <v>91</v>
      </c>
      <c r="L1493" t="s">
        <v>46</v>
      </c>
      <c r="M1493" t="s">
        <v>87</v>
      </c>
      <c r="N1493" t="s">
        <v>35</v>
      </c>
      <c r="O1493" t="s">
        <v>36</v>
      </c>
      <c r="P1493" t="s">
        <v>37</v>
      </c>
      <c r="Q1493" t="s">
        <v>172</v>
      </c>
      <c r="R1493">
        <v>164</v>
      </c>
      <c r="S1493">
        <v>82</v>
      </c>
      <c r="T1493">
        <v>62</v>
      </c>
      <c r="U1493">
        <v>20</v>
      </c>
      <c r="V1493" t="s">
        <v>6903</v>
      </c>
      <c r="W1493">
        <v>53778</v>
      </c>
      <c r="X1493" t="s">
        <v>7425</v>
      </c>
      <c r="Y1493">
        <v>41190</v>
      </c>
      <c r="Z1493">
        <v>1075560</v>
      </c>
      <c r="AA1493">
        <v>251760</v>
      </c>
      <c r="AB1493" t="str">
        <f>(VLOOKUP(SalesData[[#This Row],[Month Number]],Reference!C$5:E$16,2,FALSE))</f>
        <v>Feb</v>
      </c>
      <c r="AC1493">
        <f>MONTH(SalesData[[#This Row],[Date]])</f>
        <v>2</v>
      </c>
      <c r="AD1493">
        <f>Reference!F$4</f>
        <v>2026</v>
      </c>
      <c r="AE1493" t="str">
        <f>IF(OR(SalesData[[#This Row],[Day]]="Saturday",SalesData[[#This Row],[Day]]="Sunday"),"Weekend","Weekday")</f>
        <v>Weekend</v>
      </c>
      <c r="AF1493" s="5">
        <f>IF(SalesData[[#This Row],[Contracts Offered]]=0,0,SalesData[[#This Row],[Contracts Signed]]/SalesData[[#This Row],[Contracts Offered]])</f>
        <v>0.32258064516129031</v>
      </c>
      <c r="AG1493" s="5">
        <f>IF(SalesData[[#This Row],[Customers Visited]]=0,0,SalesData[[#This Row],[Test Drives]]/SalesData[[#This Row],[Customers Visited]])</f>
        <v>0.5</v>
      </c>
      <c r="AH1493" s="5">
        <f>IF(SalesData[[#This Row],[Customers Visited]]=0,0,SalesData[[#This Row],[Contracts Signed]]/SalesData[[#This Row],[Customers Visited]])</f>
        <v>0.12195121951219512</v>
      </c>
      <c r="AI1493" s="6">
        <f>IF(SalesData[[#This Row],[Contracts Signed]]=0,0,SalesData[[#This Row],[Profit(€)]]/SalesData[[#This Row],[Contracts Signed]])</f>
        <v>12588</v>
      </c>
      <c r="AJ1493" s="5" t="str">
        <f>TRIM(CLEAN(SalesData[[#This Row],[Retailer]]))</f>
        <v>Elbe Drive</v>
      </c>
    </row>
    <row r="1494" spans="1:36" ht="14.25" x14ac:dyDescent="0.2">
      <c r="A1494" t="s">
        <v>2383</v>
      </c>
      <c r="B1494" s="1">
        <v>46061</v>
      </c>
      <c r="C1494" t="s">
        <v>121</v>
      </c>
      <c r="D1494" t="s">
        <v>41</v>
      </c>
      <c r="E1494" t="s">
        <v>42</v>
      </c>
      <c r="F1494" t="s">
        <v>114</v>
      </c>
      <c r="G1494" t="s">
        <v>115</v>
      </c>
      <c r="H1494" t="s">
        <v>115</v>
      </c>
      <c r="I1494" t="s">
        <v>30</v>
      </c>
      <c r="J1494" t="s">
        <v>31</v>
      </c>
      <c r="K1494" t="s">
        <v>91</v>
      </c>
      <c r="L1494" t="s">
        <v>46</v>
      </c>
      <c r="M1494" t="s">
        <v>47</v>
      </c>
      <c r="N1494" t="s">
        <v>69</v>
      </c>
      <c r="O1494" t="s">
        <v>36</v>
      </c>
      <c r="P1494" t="s">
        <v>49</v>
      </c>
      <c r="Q1494" t="s">
        <v>204</v>
      </c>
      <c r="R1494">
        <v>172</v>
      </c>
      <c r="S1494">
        <v>82</v>
      </c>
      <c r="T1494">
        <v>56</v>
      </c>
      <c r="U1494">
        <v>22</v>
      </c>
      <c r="V1494" t="s">
        <v>7247</v>
      </c>
      <c r="W1494">
        <v>52634</v>
      </c>
      <c r="X1494" t="s">
        <v>994</v>
      </c>
      <c r="Y1494">
        <v>40237</v>
      </c>
      <c r="Z1494">
        <v>1157948</v>
      </c>
      <c r="AA1494">
        <v>272734</v>
      </c>
      <c r="AB1494" t="str">
        <f>(VLOOKUP(SalesData[[#This Row],[Month Number]],Reference!C$5:E$16,2,FALSE))</f>
        <v>Feb</v>
      </c>
      <c r="AC1494">
        <f>MONTH(SalesData[[#This Row],[Date]])</f>
        <v>2</v>
      </c>
      <c r="AD1494">
        <f>Reference!F$4</f>
        <v>2026</v>
      </c>
      <c r="AE1494" t="str">
        <f>IF(OR(SalesData[[#This Row],[Day]]="Saturday",SalesData[[#This Row],[Day]]="Sunday"),"Weekend","Weekday")</f>
        <v>Weekend</v>
      </c>
      <c r="AF1494" s="5">
        <f>IF(SalesData[[#This Row],[Contracts Offered]]=0,0,SalesData[[#This Row],[Contracts Signed]]/SalesData[[#This Row],[Contracts Offered]])</f>
        <v>0.39285714285714285</v>
      </c>
      <c r="AG1494" s="5">
        <f>IF(SalesData[[#This Row],[Customers Visited]]=0,0,SalesData[[#This Row],[Test Drives]]/SalesData[[#This Row],[Customers Visited]])</f>
        <v>0.47674418604651164</v>
      </c>
      <c r="AH1494" s="5">
        <f>IF(SalesData[[#This Row],[Customers Visited]]=0,0,SalesData[[#This Row],[Contracts Signed]]/SalesData[[#This Row],[Customers Visited]])</f>
        <v>0.12790697674418605</v>
      </c>
      <c r="AI1494" s="6">
        <f>IF(SalesData[[#This Row],[Contracts Signed]]=0,0,SalesData[[#This Row],[Profit(€)]]/SalesData[[#This Row],[Contracts Signed]])</f>
        <v>12397</v>
      </c>
      <c r="AJ1494" s="5" t="str">
        <f>TRIM(CLEAN(SalesData[[#This Row],[Retailer]]))</f>
        <v>Elbe Drive</v>
      </c>
    </row>
    <row r="1495" spans="1:36" ht="14.25" hidden="1" x14ac:dyDescent="0.2">
      <c r="A1495" t="s">
        <v>2384</v>
      </c>
      <c r="B1495" s="1">
        <v>46066</v>
      </c>
      <c r="C1495" t="s">
        <v>121</v>
      </c>
      <c r="D1495" t="s">
        <v>54</v>
      </c>
      <c r="E1495" t="s">
        <v>26</v>
      </c>
      <c r="F1495" t="s">
        <v>94</v>
      </c>
      <c r="G1495" t="s">
        <v>95</v>
      </c>
      <c r="H1495" t="s">
        <v>96</v>
      </c>
      <c r="I1495" t="s">
        <v>64</v>
      </c>
      <c r="J1495" t="s">
        <v>77</v>
      </c>
      <c r="K1495" t="s">
        <v>91</v>
      </c>
      <c r="L1495" t="s">
        <v>46</v>
      </c>
      <c r="M1495" t="s">
        <v>87</v>
      </c>
      <c r="N1495" t="s">
        <v>69</v>
      </c>
      <c r="O1495" t="s">
        <v>70</v>
      </c>
      <c r="P1495" t="s">
        <v>49</v>
      </c>
      <c r="Q1495" t="s">
        <v>129</v>
      </c>
      <c r="R1495">
        <v>222</v>
      </c>
      <c r="S1495">
        <v>126</v>
      </c>
      <c r="T1495">
        <v>95</v>
      </c>
      <c r="U1495">
        <v>34</v>
      </c>
      <c r="V1495" t="s">
        <v>6955</v>
      </c>
      <c r="W1495">
        <v>54421</v>
      </c>
      <c r="X1495" t="s">
        <v>7030</v>
      </c>
      <c r="Y1495">
        <v>41853</v>
      </c>
      <c r="Z1495">
        <v>1850314</v>
      </c>
      <c r="AA1495">
        <v>427312</v>
      </c>
      <c r="AB1495" t="str">
        <f>(VLOOKUP(SalesData[[#This Row],[Month Number]],Reference!C$5:E$16,2,FALSE))</f>
        <v>Feb</v>
      </c>
      <c r="AC1495">
        <f>MONTH(SalesData[[#This Row],[Date]])</f>
        <v>2</v>
      </c>
      <c r="AD1495">
        <f>Reference!F$4</f>
        <v>2026</v>
      </c>
      <c r="AE1495" t="str">
        <f>IF(OR(SalesData[[#This Row],[Day]]="Saturday",SalesData[[#This Row],[Day]]="Sunday"),"Weekend","Weekday")</f>
        <v>Weekday</v>
      </c>
      <c r="AF1495" s="5">
        <f>IF(SalesData[[#This Row],[Contracts Offered]]=0,0,SalesData[[#This Row],[Contracts Signed]]/SalesData[[#This Row],[Contracts Offered]])</f>
        <v>0.35789473684210527</v>
      </c>
      <c r="AG1495" s="5">
        <f>IF(SalesData[[#This Row],[Customers Visited]]=0,0,SalesData[[#This Row],[Test Drives]]/SalesData[[#This Row],[Customers Visited]])</f>
        <v>0.56756756756756754</v>
      </c>
      <c r="AH1495" s="5">
        <f>IF(SalesData[[#This Row],[Customers Visited]]=0,0,SalesData[[#This Row],[Contracts Signed]]/SalesData[[#This Row],[Customers Visited]])</f>
        <v>0.15315315315315314</v>
      </c>
      <c r="AI1495" s="6">
        <f>IF(SalesData[[#This Row],[Contracts Signed]]=0,0,SalesData[[#This Row],[Profit(€)]]/SalesData[[#This Row],[Contracts Signed]])</f>
        <v>12568</v>
      </c>
      <c r="AJ1495" s="5" t="str">
        <f>TRIM(CLEAN(SalesData[[#This Row],[Retailer]]))</f>
        <v>Bavaria Motors</v>
      </c>
    </row>
    <row r="1496" spans="1:36" ht="14.25" x14ac:dyDescent="0.2">
      <c r="A1496" t="s">
        <v>2385</v>
      </c>
      <c r="B1496" s="1">
        <v>46063</v>
      </c>
      <c r="C1496" t="s">
        <v>121</v>
      </c>
      <c r="D1496" t="s">
        <v>63</v>
      </c>
      <c r="E1496" t="s">
        <v>26</v>
      </c>
      <c r="F1496" t="s">
        <v>83</v>
      </c>
      <c r="G1496" t="s">
        <v>84</v>
      </c>
      <c r="H1496" t="s">
        <v>85</v>
      </c>
      <c r="I1496" t="s">
        <v>30</v>
      </c>
      <c r="J1496" t="s">
        <v>7075</v>
      </c>
      <c r="K1496" t="s">
        <v>32</v>
      </c>
      <c r="L1496" t="s">
        <v>33</v>
      </c>
      <c r="M1496" t="s">
        <v>87</v>
      </c>
      <c r="N1496" t="s">
        <v>48</v>
      </c>
      <c r="O1496" t="s">
        <v>70</v>
      </c>
      <c r="P1496" t="s">
        <v>49</v>
      </c>
      <c r="Q1496" t="s">
        <v>50</v>
      </c>
      <c r="R1496">
        <v>207</v>
      </c>
      <c r="S1496">
        <v>103</v>
      </c>
      <c r="T1496">
        <v>75</v>
      </c>
      <c r="U1496">
        <v>26</v>
      </c>
      <c r="V1496" t="s">
        <v>6533</v>
      </c>
      <c r="W1496">
        <v>55088</v>
      </c>
      <c r="X1496" t="s">
        <v>7448</v>
      </c>
      <c r="Y1496">
        <v>39045</v>
      </c>
      <c r="Z1496">
        <v>1432288</v>
      </c>
      <c r="AA1496">
        <v>417118</v>
      </c>
      <c r="AB1496" t="str">
        <f>(VLOOKUP(SalesData[[#This Row],[Month Number]],Reference!C$5:E$16,2,FALSE))</f>
        <v>Feb</v>
      </c>
      <c r="AC1496">
        <f>MONTH(SalesData[[#This Row],[Date]])</f>
        <v>2</v>
      </c>
      <c r="AD1496">
        <f>Reference!F$4</f>
        <v>2026</v>
      </c>
      <c r="AE1496" t="str">
        <f>IF(OR(SalesData[[#This Row],[Day]]="Saturday",SalesData[[#This Row],[Day]]="Sunday"),"Weekend","Weekday")</f>
        <v>Weekday</v>
      </c>
      <c r="AF1496" s="5">
        <f>IF(SalesData[[#This Row],[Contracts Offered]]=0,0,SalesData[[#This Row],[Contracts Signed]]/SalesData[[#This Row],[Contracts Offered]])</f>
        <v>0.34666666666666668</v>
      </c>
      <c r="AG1496" s="5">
        <f>IF(SalesData[[#This Row],[Customers Visited]]=0,0,SalesData[[#This Row],[Test Drives]]/SalesData[[#This Row],[Customers Visited]])</f>
        <v>0.49758454106280192</v>
      </c>
      <c r="AH1496" s="5">
        <f>IF(SalesData[[#This Row],[Customers Visited]]=0,0,SalesData[[#This Row],[Contracts Signed]]/SalesData[[#This Row],[Customers Visited]])</f>
        <v>0.12560386473429952</v>
      </c>
      <c r="AI1496" s="6">
        <f>IF(SalesData[[#This Row],[Contracts Signed]]=0,0,SalesData[[#This Row],[Profit(€)]]/SalesData[[#This Row],[Contracts Signed]])</f>
        <v>16043</v>
      </c>
      <c r="AJ1496" s="5" t="str">
        <f>TRIM(CLEAN(SalesData[[#This Row],[Retailer]]))</f>
        <v>Hannover Cars</v>
      </c>
    </row>
    <row r="1497" spans="1:36" ht="14.25" hidden="1" x14ac:dyDescent="0.2">
      <c r="A1497" t="s">
        <v>2387</v>
      </c>
      <c r="B1497" s="1">
        <v>46065</v>
      </c>
      <c r="C1497" t="s">
        <v>121</v>
      </c>
      <c r="D1497" t="s">
        <v>100</v>
      </c>
      <c r="E1497" t="s">
        <v>26</v>
      </c>
      <c r="F1497" t="s">
        <v>109</v>
      </c>
      <c r="G1497" t="s">
        <v>110</v>
      </c>
      <c r="H1497" t="s">
        <v>45</v>
      </c>
      <c r="I1497" t="s">
        <v>116</v>
      </c>
      <c r="J1497" t="s">
        <v>132</v>
      </c>
      <c r="K1497" t="s">
        <v>91</v>
      </c>
      <c r="L1497" t="s">
        <v>46</v>
      </c>
      <c r="M1497" t="s">
        <v>47</v>
      </c>
      <c r="N1497" t="s">
        <v>48</v>
      </c>
      <c r="O1497" t="s">
        <v>70</v>
      </c>
      <c r="P1497" t="s">
        <v>71</v>
      </c>
      <c r="Q1497" t="s">
        <v>152</v>
      </c>
      <c r="R1497">
        <v>313</v>
      </c>
      <c r="S1497">
        <v>142</v>
      </c>
      <c r="T1497">
        <v>83</v>
      </c>
      <c r="U1497">
        <v>25</v>
      </c>
      <c r="V1497" t="s">
        <v>852</v>
      </c>
      <c r="W1497">
        <v>26680</v>
      </c>
      <c r="X1497" t="s">
        <v>3663</v>
      </c>
      <c r="Y1497">
        <v>24141</v>
      </c>
      <c r="Z1497">
        <v>667000</v>
      </c>
      <c r="AA1497">
        <v>63475</v>
      </c>
      <c r="AB1497" t="str">
        <f>(VLOOKUP(SalesData[[#This Row],[Month Number]],Reference!C$5:E$16,2,FALSE))</f>
        <v>Feb</v>
      </c>
      <c r="AC1497">
        <f>MONTH(SalesData[[#This Row],[Date]])</f>
        <v>2</v>
      </c>
      <c r="AD1497">
        <f>Reference!F$4</f>
        <v>2026</v>
      </c>
      <c r="AE1497" t="str">
        <f>IF(OR(SalesData[[#This Row],[Day]]="Saturday",SalesData[[#This Row],[Day]]="Sunday"),"Weekend","Weekday")</f>
        <v>Weekday</v>
      </c>
      <c r="AF1497" s="5">
        <f>IF(SalesData[[#This Row],[Contracts Offered]]=0,0,SalesData[[#This Row],[Contracts Signed]]/SalesData[[#This Row],[Contracts Offered]])</f>
        <v>0.30120481927710846</v>
      </c>
      <c r="AG1497" s="5">
        <f>IF(SalesData[[#This Row],[Customers Visited]]=0,0,SalesData[[#This Row],[Test Drives]]/SalesData[[#This Row],[Customers Visited]])</f>
        <v>0.45367412140575081</v>
      </c>
      <c r="AH1497" s="5">
        <f>IF(SalesData[[#This Row],[Customers Visited]]=0,0,SalesData[[#This Row],[Contracts Signed]]/SalesData[[#This Row],[Customers Visited]])</f>
        <v>7.9872204472843447E-2</v>
      </c>
      <c r="AI1497" s="6">
        <f>IF(SalesData[[#This Row],[Contracts Signed]]=0,0,SalesData[[#This Row],[Profit(€)]]/SalesData[[#This Row],[Contracts Signed]])</f>
        <v>2539</v>
      </c>
      <c r="AJ1497" s="5" t="str">
        <f>TRIM(CLEAN(SalesData[[#This Row],[Retailer]]))</f>
        <v>Leipzig Mobility</v>
      </c>
    </row>
    <row r="1498" spans="1:36" ht="14.25" x14ac:dyDescent="0.2">
      <c r="A1498" t="s">
        <v>2388</v>
      </c>
      <c r="B1498" s="1">
        <v>46062</v>
      </c>
      <c r="C1498" t="s">
        <v>121</v>
      </c>
      <c r="D1498" t="s">
        <v>25</v>
      </c>
      <c r="E1498" t="s">
        <v>26</v>
      </c>
      <c r="F1498" t="s">
        <v>83</v>
      </c>
      <c r="G1498" t="s">
        <v>84</v>
      </c>
      <c r="H1498" t="s">
        <v>85</v>
      </c>
      <c r="I1498" t="s">
        <v>30</v>
      </c>
      <c r="J1498" t="s">
        <v>31</v>
      </c>
      <c r="K1498" t="s">
        <v>91</v>
      </c>
      <c r="L1498" t="s">
        <v>46</v>
      </c>
      <c r="M1498" t="s">
        <v>87</v>
      </c>
      <c r="N1498" t="s">
        <v>69</v>
      </c>
      <c r="O1498" t="s">
        <v>70</v>
      </c>
      <c r="P1498" t="s">
        <v>58</v>
      </c>
      <c r="Q1498" t="s">
        <v>167</v>
      </c>
      <c r="R1498">
        <v>268</v>
      </c>
      <c r="S1498">
        <v>164</v>
      </c>
      <c r="T1498">
        <v>132</v>
      </c>
      <c r="U1498">
        <v>50</v>
      </c>
      <c r="V1498" t="s">
        <v>7449</v>
      </c>
      <c r="W1498">
        <v>61066</v>
      </c>
      <c r="X1498" t="s">
        <v>7089</v>
      </c>
      <c r="Y1498">
        <v>43217</v>
      </c>
      <c r="Z1498">
        <v>3053300</v>
      </c>
      <c r="AA1498">
        <v>892450</v>
      </c>
      <c r="AB1498" t="str">
        <f>(VLOOKUP(SalesData[[#This Row],[Month Number]],Reference!C$5:E$16,2,FALSE))</f>
        <v>Feb</v>
      </c>
      <c r="AC1498">
        <f>MONTH(SalesData[[#This Row],[Date]])</f>
        <v>2</v>
      </c>
      <c r="AD1498">
        <f>Reference!F$4</f>
        <v>2026</v>
      </c>
      <c r="AE1498" t="str">
        <f>IF(OR(SalesData[[#This Row],[Day]]="Saturday",SalesData[[#This Row],[Day]]="Sunday"),"Weekend","Weekday")</f>
        <v>Weekday</v>
      </c>
      <c r="AF1498" s="5">
        <f>IF(SalesData[[#This Row],[Contracts Offered]]=0,0,SalesData[[#This Row],[Contracts Signed]]/SalesData[[#This Row],[Contracts Offered]])</f>
        <v>0.37878787878787878</v>
      </c>
      <c r="AG1498" s="5">
        <f>IF(SalesData[[#This Row],[Customers Visited]]=0,0,SalesData[[#This Row],[Test Drives]]/SalesData[[#This Row],[Customers Visited]])</f>
        <v>0.61194029850746268</v>
      </c>
      <c r="AH1498" s="5">
        <f>IF(SalesData[[#This Row],[Customers Visited]]=0,0,SalesData[[#This Row],[Contracts Signed]]/SalesData[[#This Row],[Customers Visited]])</f>
        <v>0.18656716417910449</v>
      </c>
      <c r="AI1498" s="6">
        <f>IF(SalesData[[#This Row],[Contracts Signed]]=0,0,SalesData[[#This Row],[Profit(€)]]/SalesData[[#This Row],[Contracts Signed]])</f>
        <v>17849</v>
      </c>
      <c r="AJ1498" s="5" t="str">
        <f>TRIM(CLEAN(SalesData[[#This Row],[Retailer]]))</f>
        <v>Hannover Cars</v>
      </c>
    </row>
    <row r="1499" spans="1:36" ht="14.25" hidden="1" x14ac:dyDescent="0.2">
      <c r="A1499" t="s">
        <v>2389</v>
      </c>
      <c r="B1499" s="1">
        <v>46074</v>
      </c>
      <c r="C1499" t="s">
        <v>62</v>
      </c>
      <c r="D1499" t="s">
        <v>151</v>
      </c>
      <c r="E1499" t="s">
        <v>42</v>
      </c>
      <c r="F1499" t="s">
        <v>94</v>
      </c>
      <c r="G1499" t="s">
        <v>95</v>
      </c>
      <c r="H1499" t="s">
        <v>96</v>
      </c>
      <c r="I1499" t="s">
        <v>56</v>
      </c>
      <c r="J1499" t="s">
        <v>57</v>
      </c>
      <c r="K1499" t="s">
        <v>66</v>
      </c>
      <c r="L1499" t="s">
        <v>46</v>
      </c>
      <c r="M1499" t="s">
        <v>47</v>
      </c>
      <c r="N1499" t="s">
        <v>35</v>
      </c>
      <c r="O1499" t="s">
        <v>36</v>
      </c>
      <c r="P1499" t="s">
        <v>49</v>
      </c>
      <c r="Q1499" t="s">
        <v>204</v>
      </c>
      <c r="R1499">
        <v>187</v>
      </c>
      <c r="S1499">
        <v>115</v>
      </c>
      <c r="T1499">
        <v>87</v>
      </c>
      <c r="U1499">
        <v>25</v>
      </c>
      <c r="V1499" t="s">
        <v>6379</v>
      </c>
      <c r="W1499">
        <v>46118</v>
      </c>
      <c r="X1499" t="s">
        <v>254</v>
      </c>
      <c r="Y1499">
        <v>37007</v>
      </c>
      <c r="Z1499">
        <v>1152950</v>
      </c>
      <c r="AA1499">
        <v>227775</v>
      </c>
      <c r="AB1499" t="str">
        <f>(VLOOKUP(SalesData[[#This Row],[Month Number]],Reference!C$5:E$16,2,FALSE))</f>
        <v>Feb</v>
      </c>
      <c r="AC1499">
        <f>MONTH(SalesData[[#This Row],[Date]])</f>
        <v>2</v>
      </c>
      <c r="AD1499">
        <f>Reference!F$4</f>
        <v>2026</v>
      </c>
      <c r="AE1499" t="str">
        <f>IF(OR(SalesData[[#This Row],[Day]]="Saturday",SalesData[[#This Row],[Day]]="Sunday"),"Weekend","Weekday")</f>
        <v>Weekend</v>
      </c>
      <c r="AF1499" s="5">
        <f>IF(SalesData[[#This Row],[Contracts Offered]]=0,0,SalesData[[#This Row],[Contracts Signed]]/SalesData[[#This Row],[Contracts Offered]])</f>
        <v>0.28735632183908044</v>
      </c>
      <c r="AG1499" s="5">
        <f>IF(SalesData[[#This Row],[Customers Visited]]=0,0,SalesData[[#This Row],[Test Drives]]/SalesData[[#This Row],[Customers Visited]])</f>
        <v>0.61497326203208558</v>
      </c>
      <c r="AH1499" s="5">
        <f>IF(SalesData[[#This Row],[Customers Visited]]=0,0,SalesData[[#This Row],[Contracts Signed]]/SalesData[[#This Row],[Customers Visited]])</f>
        <v>0.13368983957219252</v>
      </c>
      <c r="AI1499" s="6">
        <f>IF(SalesData[[#This Row],[Contracts Signed]]=0,0,SalesData[[#This Row],[Profit(€)]]/SalesData[[#This Row],[Contracts Signed]])</f>
        <v>9111</v>
      </c>
      <c r="AJ1499" s="5" t="str">
        <f>TRIM(CLEAN(SalesData[[#This Row],[Retailer]]))</f>
        <v>Bavaria Motors</v>
      </c>
    </row>
    <row r="1500" spans="1:36" ht="14.25" hidden="1" x14ac:dyDescent="0.2">
      <c r="A1500" t="s">
        <v>2390</v>
      </c>
      <c r="B1500" s="1">
        <v>46058</v>
      </c>
      <c r="C1500" t="s">
        <v>24</v>
      </c>
      <c r="D1500" t="s">
        <v>100</v>
      </c>
      <c r="E1500" t="s">
        <v>26</v>
      </c>
      <c r="F1500" t="s">
        <v>83</v>
      </c>
      <c r="G1500" t="s">
        <v>84</v>
      </c>
      <c r="H1500" t="s">
        <v>85</v>
      </c>
      <c r="I1500" t="s">
        <v>64</v>
      </c>
      <c r="J1500" t="s">
        <v>65</v>
      </c>
      <c r="K1500" t="s">
        <v>78</v>
      </c>
      <c r="L1500" t="s">
        <v>33</v>
      </c>
      <c r="M1500" t="s">
        <v>87</v>
      </c>
      <c r="N1500" t="s">
        <v>48</v>
      </c>
      <c r="O1500" t="s">
        <v>36</v>
      </c>
      <c r="P1500" t="s">
        <v>49</v>
      </c>
      <c r="Q1500" t="s">
        <v>172</v>
      </c>
      <c r="R1500">
        <v>201</v>
      </c>
      <c r="S1500">
        <v>93</v>
      </c>
      <c r="T1500">
        <v>66</v>
      </c>
      <c r="U1500">
        <v>21</v>
      </c>
      <c r="V1500" t="s">
        <v>6364</v>
      </c>
      <c r="W1500">
        <v>52563</v>
      </c>
      <c r="X1500" t="s">
        <v>5727</v>
      </c>
      <c r="Y1500">
        <v>37934</v>
      </c>
      <c r="Z1500">
        <v>1103823</v>
      </c>
      <c r="AA1500">
        <v>307209</v>
      </c>
      <c r="AB1500" t="str">
        <f>(VLOOKUP(SalesData[[#This Row],[Month Number]],Reference!C$5:E$16,2,FALSE))</f>
        <v>Feb</v>
      </c>
      <c r="AC1500">
        <f>MONTH(SalesData[[#This Row],[Date]])</f>
        <v>2</v>
      </c>
      <c r="AD1500">
        <f>Reference!F$4</f>
        <v>2026</v>
      </c>
      <c r="AE1500" t="str">
        <f>IF(OR(SalesData[[#This Row],[Day]]="Saturday",SalesData[[#This Row],[Day]]="Sunday"),"Weekend","Weekday")</f>
        <v>Weekday</v>
      </c>
      <c r="AF1500" s="5">
        <f>IF(SalesData[[#This Row],[Contracts Offered]]=0,0,SalesData[[#This Row],[Contracts Signed]]/SalesData[[#This Row],[Contracts Offered]])</f>
        <v>0.31818181818181818</v>
      </c>
      <c r="AG1500" s="5">
        <f>IF(SalesData[[#This Row],[Customers Visited]]=0,0,SalesData[[#This Row],[Test Drives]]/SalesData[[#This Row],[Customers Visited]])</f>
        <v>0.46268656716417911</v>
      </c>
      <c r="AH1500" s="5">
        <f>IF(SalesData[[#This Row],[Customers Visited]]=0,0,SalesData[[#This Row],[Contracts Signed]]/SalesData[[#This Row],[Customers Visited]])</f>
        <v>0.1044776119402985</v>
      </c>
      <c r="AI1500" s="6">
        <f>IF(SalesData[[#This Row],[Contracts Signed]]=0,0,SalesData[[#This Row],[Profit(€)]]/SalesData[[#This Row],[Contracts Signed]])</f>
        <v>14629</v>
      </c>
      <c r="AJ1500" s="5" t="str">
        <f>TRIM(CLEAN(SalesData[[#This Row],[Retailer]]))</f>
        <v>Hannover Cars</v>
      </c>
    </row>
    <row r="1501" spans="1:36" ht="14.25" x14ac:dyDescent="0.2">
      <c r="A1501" t="s">
        <v>2391</v>
      </c>
      <c r="B1501" s="1">
        <v>46060</v>
      </c>
      <c r="C1501" t="s">
        <v>24</v>
      </c>
      <c r="D1501" t="s">
        <v>151</v>
      </c>
      <c r="E1501" t="s">
        <v>42</v>
      </c>
      <c r="F1501" t="s">
        <v>101</v>
      </c>
      <c r="G1501" t="s">
        <v>102</v>
      </c>
      <c r="H1501" t="s">
        <v>103</v>
      </c>
      <c r="I1501" t="s">
        <v>30</v>
      </c>
      <c r="J1501" t="s">
        <v>31</v>
      </c>
      <c r="K1501" t="s">
        <v>32</v>
      </c>
      <c r="L1501" t="s">
        <v>46</v>
      </c>
      <c r="M1501" t="s">
        <v>47</v>
      </c>
      <c r="N1501" t="s">
        <v>35</v>
      </c>
      <c r="O1501" t="s">
        <v>36</v>
      </c>
      <c r="P1501" t="s">
        <v>37</v>
      </c>
      <c r="Q1501" t="s">
        <v>122</v>
      </c>
      <c r="R1501">
        <v>252</v>
      </c>
      <c r="S1501">
        <v>119</v>
      </c>
      <c r="T1501">
        <v>96</v>
      </c>
      <c r="U1501">
        <v>27</v>
      </c>
      <c r="V1501" t="s">
        <v>6715</v>
      </c>
      <c r="W1501">
        <v>61443</v>
      </c>
      <c r="X1501" t="s">
        <v>7101</v>
      </c>
      <c r="Y1501">
        <v>44463</v>
      </c>
      <c r="Z1501">
        <v>1658961</v>
      </c>
      <c r="AA1501">
        <v>458460</v>
      </c>
      <c r="AB1501" t="str">
        <f>(VLOOKUP(SalesData[[#This Row],[Month Number]],Reference!C$5:E$16,2,FALSE))</f>
        <v>Feb</v>
      </c>
      <c r="AC1501">
        <f>MONTH(SalesData[[#This Row],[Date]])</f>
        <v>2</v>
      </c>
      <c r="AD1501">
        <f>Reference!F$4</f>
        <v>2026</v>
      </c>
      <c r="AE1501" t="str">
        <f>IF(OR(SalesData[[#This Row],[Day]]="Saturday",SalesData[[#This Row],[Day]]="Sunday"),"Weekend","Weekday")</f>
        <v>Weekend</v>
      </c>
      <c r="AF1501" s="5">
        <f>IF(SalesData[[#This Row],[Contracts Offered]]=0,0,SalesData[[#This Row],[Contracts Signed]]/SalesData[[#This Row],[Contracts Offered]])</f>
        <v>0.28125</v>
      </c>
      <c r="AG1501" s="5">
        <f>IF(SalesData[[#This Row],[Customers Visited]]=0,0,SalesData[[#This Row],[Test Drives]]/SalesData[[#This Row],[Customers Visited]])</f>
        <v>0.47222222222222221</v>
      </c>
      <c r="AH1501" s="5">
        <f>IF(SalesData[[#This Row],[Customers Visited]]=0,0,SalesData[[#This Row],[Contracts Signed]]/SalesData[[#This Row],[Customers Visited]])</f>
        <v>0.10714285714285714</v>
      </c>
      <c r="AI1501" s="6">
        <f>IF(SalesData[[#This Row],[Contracts Signed]]=0,0,SalesData[[#This Row],[Profit(€)]]/SalesData[[#This Row],[Contracts Signed]])</f>
        <v>16980</v>
      </c>
      <c r="AJ1501" s="5" t="str">
        <f>TRIM(CLEAN(SalesData[[#This Row],[Retailer]]))</f>
        <v>Ruhr Auto Plaza</v>
      </c>
    </row>
    <row r="1502" spans="1:36" ht="14.25" hidden="1" x14ac:dyDescent="0.2">
      <c r="A1502" t="s">
        <v>2392</v>
      </c>
      <c r="B1502" s="1">
        <v>46079</v>
      </c>
      <c r="C1502" t="s">
        <v>53</v>
      </c>
      <c r="D1502" t="s">
        <v>100</v>
      </c>
      <c r="E1502" t="s">
        <v>26</v>
      </c>
      <c r="F1502" t="s">
        <v>114</v>
      </c>
      <c r="G1502" t="s">
        <v>115</v>
      </c>
      <c r="H1502" t="s">
        <v>115</v>
      </c>
      <c r="I1502" t="s">
        <v>56</v>
      </c>
      <c r="J1502" t="s">
        <v>57</v>
      </c>
      <c r="K1502" t="s">
        <v>78</v>
      </c>
      <c r="L1502" t="s">
        <v>46</v>
      </c>
      <c r="M1502" t="s">
        <v>68</v>
      </c>
      <c r="N1502" t="s">
        <v>35</v>
      </c>
      <c r="O1502" t="s">
        <v>70</v>
      </c>
      <c r="P1502" t="s">
        <v>58</v>
      </c>
      <c r="Q1502" t="s">
        <v>50</v>
      </c>
      <c r="R1502">
        <v>235</v>
      </c>
      <c r="S1502">
        <v>120</v>
      </c>
      <c r="T1502">
        <v>82</v>
      </c>
      <c r="U1502">
        <v>32</v>
      </c>
      <c r="V1502" t="s">
        <v>6388</v>
      </c>
      <c r="W1502">
        <v>44994</v>
      </c>
      <c r="X1502" t="s">
        <v>226</v>
      </c>
      <c r="Y1502">
        <v>34183</v>
      </c>
      <c r="Z1502">
        <v>1439808</v>
      </c>
      <c r="AA1502">
        <v>345952</v>
      </c>
      <c r="AB1502" t="str">
        <f>(VLOOKUP(SalesData[[#This Row],[Month Number]],Reference!C$5:E$16,2,FALSE))</f>
        <v>Feb</v>
      </c>
      <c r="AC1502">
        <f>MONTH(SalesData[[#This Row],[Date]])</f>
        <v>2</v>
      </c>
      <c r="AD1502">
        <f>Reference!F$4</f>
        <v>2026</v>
      </c>
      <c r="AE1502" t="str">
        <f>IF(OR(SalesData[[#This Row],[Day]]="Saturday",SalesData[[#This Row],[Day]]="Sunday"),"Weekend","Weekday")</f>
        <v>Weekday</v>
      </c>
      <c r="AF1502" s="5">
        <f>IF(SalesData[[#This Row],[Contracts Offered]]=0,0,SalesData[[#This Row],[Contracts Signed]]/SalesData[[#This Row],[Contracts Offered]])</f>
        <v>0.3902439024390244</v>
      </c>
      <c r="AG1502" s="5">
        <f>IF(SalesData[[#This Row],[Customers Visited]]=0,0,SalesData[[#This Row],[Test Drives]]/SalesData[[#This Row],[Customers Visited]])</f>
        <v>0.51063829787234039</v>
      </c>
      <c r="AH1502" s="5">
        <f>IF(SalesData[[#This Row],[Customers Visited]]=0,0,SalesData[[#This Row],[Contracts Signed]]/SalesData[[#This Row],[Customers Visited]])</f>
        <v>0.13617021276595745</v>
      </c>
      <c r="AI1502" s="6">
        <f>IF(SalesData[[#This Row],[Contracts Signed]]=0,0,SalesData[[#This Row],[Profit(€)]]/SalesData[[#This Row],[Contracts Signed]])</f>
        <v>10811</v>
      </c>
      <c r="AJ1502" s="5" t="str">
        <f>TRIM(CLEAN(SalesData[[#This Row],[Retailer]]))</f>
        <v>Elbe Drive</v>
      </c>
    </row>
    <row r="1503" spans="1:36" ht="14.25" hidden="1" x14ac:dyDescent="0.2">
      <c r="A1503" t="s">
        <v>2394</v>
      </c>
      <c r="B1503" s="1">
        <v>46057</v>
      </c>
      <c r="C1503" t="s">
        <v>24</v>
      </c>
      <c r="D1503" t="s">
        <v>82</v>
      </c>
      <c r="E1503" t="s">
        <v>26</v>
      </c>
      <c r="F1503" t="s">
        <v>114</v>
      </c>
      <c r="G1503" t="s">
        <v>115</v>
      </c>
      <c r="H1503" t="s">
        <v>115</v>
      </c>
      <c r="I1503" t="s">
        <v>104</v>
      </c>
      <c r="J1503" t="s">
        <v>7031</v>
      </c>
      <c r="K1503" t="s">
        <v>91</v>
      </c>
      <c r="L1503" t="s">
        <v>46</v>
      </c>
      <c r="M1503" t="s">
        <v>68</v>
      </c>
      <c r="N1503" t="s">
        <v>35</v>
      </c>
      <c r="O1503" t="s">
        <v>36</v>
      </c>
      <c r="P1503" t="s">
        <v>58</v>
      </c>
      <c r="Q1503" t="s">
        <v>167</v>
      </c>
      <c r="R1503">
        <v>460</v>
      </c>
      <c r="S1503">
        <v>215</v>
      </c>
      <c r="T1503">
        <v>124</v>
      </c>
      <c r="U1503">
        <v>41</v>
      </c>
      <c r="V1503" t="s">
        <v>4589</v>
      </c>
      <c r="W1503">
        <v>30927</v>
      </c>
      <c r="X1503" t="s">
        <v>548</v>
      </c>
      <c r="Y1503">
        <v>27036</v>
      </c>
      <c r="Z1503">
        <v>1268007</v>
      </c>
      <c r="AA1503">
        <v>159531</v>
      </c>
      <c r="AB1503" t="str">
        <f>(VLOOKUP(SalesData[[#This Row],[Month Number]],Reference!C$5:E$16,2,FALSE))</f>
        <v>Feb</v>
      </c>
      <c r="AC1503">
        <f>MONTH(SalesData[[#This Row],[Date]])</f>
        <v>2</v>
      </c>
      <c r="AD1503">
        <f>Reference!F$4</f>
        <v>2026</v>
      </c>
      <c r="AE1503" t="str">
        <f>IF(OR(SalesData[[#This Row],[Day]]="Saturday",SalesData[[#This Row],[Day]]="Sunday"),"Weekend","Weekday")</f>
        <v>Weekday</v>
      </c>
      <c r="AF1503" s="5">
        <f>IF(SalesData[[#This Row],[Contracts Offered]]=0,0,SalesData[[#This Row],[Contracts Signed]]/SalesData[[#This Row],[Contracts Offered]])</f>
        <v>0.33064516129032256</v>
      </c>
      <c r="AG1503" s="5">
        <f>IF(SalesData[[#This Row],[Customers Visited]]=0,0,SalesData[[#This Row],[Test Drives]]/SalesData[[#This Row],[Customers Visited]])</f>
        <v>0.46739130434782611</v>
      </c>
      <c r="AH1503" s="5">
        <f>IF(SalesData[[#This Row],[Customers Visited]]=0,0,SalesData[[#This Row],[Contracts Signed]]/SalesData[[#This Row],[Customers Visited]])</f>
        <v>8.9130434782608695E-2</v>
      </c>
      <c r="AI1503" s="6">
        <f>IF(SalesData[[#This Row],[Contracts Signed]]=0,0,SalesData[[#This Row],[Profit(€)]]/SalesData[[#This Row],[Contracts Signed]])</f>
        <v>3891</v>
      </c>
      <c r="AJ1503" s="5" t="str">
        <f>TRIM(CLEAN(SalesData[[#This Row],[Retailer]]))</f>
        <v>Elbe Drive</v>
      </c>
    </row>
    <row r="1504" spans="1:36" ht="14.25" hidden="1" x14ac:dyDescent="0.2">
      <c r="A1504" t="s">
        <v>2395</v>
      </c>
      <c r="B1504" s="1">
        <v>46059</v>
      </c>
      <c r="C1504" t="s">
        <v>24</v>
      </c>
      <c r="D1504" t="s">
        <v>54</v>
      </c>
      <c r="E1504" t="s">
        <v>26</v>
      </c>
      <c r="F1504" t="s">
        <v>127</v>
      </c>
      <c r="G1504" t="s">
        <v>128</v>
      </c>
      <c r="H1504" t="s">
        <v>103</v>
      </c>
      <c r="I1504" t="s">
        <v>116</v>
      </c>
      <c r="J1504" t="s">
        <v>7090</v>
      </c>
      <c r="K1504" t="s">
        <v>78</v>
      </c>
      <c r="L1504" t="s">
        <v>46</v>
      </c>
      <c r="M1504" t="s">
        <v>34</v>
      </c>
      <c r="N1504" t="s">
        <v>35</v>
      </c>
      <c r="O1504" t="s">
        <v>70</v>
      </c>
      <c r="P1504" t="s">
        <v>58</v>
      </c>
      <c r="Q1504" t="s">
        <v>169</v>
      </c>
      <c r="R1504">
        <v>422</v>
      </c>
      <c r="S1504">
        <v>225</v>
      </c>
      <c r="T1504">
        <v>151</v>
      </c>
      <c r="U1504">
        <v>46</v>
      </c>
      <c r="V1504" t="s">
        <v>6377</v>
      </c>
      <c r="W1504">
        <v>19173</v>
      </c>
      <c r="X1504" t="s">
        <v>5418</v>
      </c>
      <c r="Y1504">
        <v>17127</v>
      </c>
      <c r="Z1504">
        <v>881958</v>
      </c>
      <c r="AA1504">
        <v>94116</v>
      </c>
      <c r="AB1504" t="str">
        <f>(VLOOKUP(SalesData[[#This Row],[Month Number]],Reference!C$5:E$16,2,FALSE))</f>
        <v>Feb</v>
      </c>
      <c r="AC1504">
        <f>MONTH(SalesData[[#This Row],[Date]])</f>
        <v>2</v>
      </c>
      <c r="AD1504">
        <f>Reference!F$4</f>
        <v>2026</v>
      </c>
      <c r="AE1504" t="str">
        <f>IF(OR(SalesData[[#This Row],[Day]]="Saturday",SalesData[[#This Row],[Day]]="Sunday"),"Weekend","Weekday")</f>
        <v>Weekday</v>
      </c>
      <c r="AF1504" s="5">
        <f>IF(SalesData[[#This Row],[Contracts Offered]]=0,0,SalesData[[#This Row],[Contracts Signed]]/SalesData[[#This Row],[Contracts Offered]])</f>
        <v>0.30463576158940397</v>
      </c>
      <c r="AG1504" s="5">
        <f>IF(SalesData[[#This Row],[Customers Visited]]=0,0,SalesData[[#This Row],[Test Drives]]/SalesData[[#This Row],[Customers Visited]])</f>
        <v>0.53317535545023698</v>
      </c>
      <c r="AH1504" s="5">
        <f>IF(SalesData[[#This Row],[Customers Visited]]=0,0,SalesData[[#This Row],[Contracts Signed]]/SalesData[[#This Row],[Customers Visited]])</f>
        <v>0.10900473933649289</v>
      </c>
      <c r="AI1504" s="6">
        <f>IF(SalesData[[#This Row],[Contracts Signed]]=0,0,SalesData[[#This Row],[Profit(€)]]/SalesData[[#This Row],[Contracts Signed]])</f>
        <v>2046</v>
      </c>
      <c r="AJ1504" s="5" t="str">
        <f>TRIM(CLEAN(SalesData[[#This Row],[Retailer]]))</f>
        <v>Rhein Auto Group</v>
      </c>
    </row>
    <row r="1505" spans="1:36" ht="14.25" hidden="1" x14ac:dyDescent="0.2">
      <c r="A1505" t="s">
        <v>2397</v>
      </c>
      <c r="B1505" s="1">
        <v>46071</v>
      </c>
      <c r="C1505" t="s">
        <v>62</v>
      </c>
      <c r="D1505" t="s">
        <v>82</v>
      </c>
      <c r="E1505" t="s">
        <v>26</v>
      </c>
      <c r="F1505" t="s">
        <v>83</v>
      </c>
      <c r="G1505" t="s">
        <v>84</v>
      </c>
      <c r="H1505" t="s">
        <v>85</v>
      </c>
      <c r="I1505" t="s">
        <v>56</v>
      </c>
      <c r="J1505" t="s">
        <v>97</v>
      </c>
      <c r="K1505" t="s">
        <v>78</v>
      </c>
      <c r="L1505" t="s">
        <v>33</v>
      </c>
      <c r="M1505" t="s">
        <v>68</v>
      </c>
      <c r="N1505" t="s">
        <v>48</v>
      </c>
      <c r="O1505" t="s">
        <v>70</v>
      </c>
      <c r="P1505" t="s">
        <v>71</v>
      </c>
      <c r="Q1505" t="s">
        <v>167</v>
      </c>
      <c r="R1505">
        <v>244</v>
      </c>
      <c r="S1505">
        <v>113</v>
      </c>
      <c r="T1505">
        <v>85</v>
      </c>
      <c r="U1505">
        <v>25</v>
      </c>
      <c r="V1505" t="s">
        <v>6603</v>
      </c>
      <c r="W1505">
        <v>54592</v>
      </c>
      <c r="X1505" t="s">
        <v>1520</v>
      </c>
      <c r="Y1505">
        <v>42143</v>
      </c>
      <c r="Z1505">
        <v>1364800</v>
      </c>
      <c r="AA1505">
        <v>311225</v>
      </c>
      <c r="AB1505" t="str">
        <f>(VLOOKUP(SalesData[[#This Row],[Month Number]],Reference!C$5:E$16,2,FALSE))</f>
        <v>Feb</v>
      </c>
      <c r="AC1505">
        <f>MONTH(SalesData[[#This Row],[Date]])</f>
        <v>2</v>
      </c>
      <c r="AD1505">
        <f>Reference!F$4</f>
        <v>2026</v>
      </c>
      <c r="AE1505" t="str">
        <f>IF(OR(SalesData[[#This Row],[Day]]="Saturday",SalesData[[#This Row],[Day]]="Sunday"),"Weekend","Weekday")</f>
        <v>Weekday</v>
      </c>
      <c r="AF1505" s="5">
        <f>IF(SalesData[[#This Row],[Contracts Offered]]=0,0,SalesData[[#This Row],[Contracts Signed]]/SalesData[[#This Row],[Contracts Offered]])</f>
        <v>0.29411764705882354</v>
      </c>
      <c r="AG1505" s="5">
        <f>IF(SalesData[[#This Row],[Customers Visited]]=0,0,SalesData[[#This Row],[Test Drives]]/SalesData[[#This Row],[Customers Visited]])</f>
        <v>0.46311475409836067</v>
      </c>
      <c r="AH1505" s="5">
        <f>IF(SalesData[[#This Row],[Customers Visited]]=0,0,SalesData[[#This Row],[Contracts Signed]]/SalesData[[#This Row],[Customers Visited]])</f>
        <v>0.10245901639344263</v>
      </c>
      <c r="AI1505" s="6">
        <f>IF(SalesData[[#This Row],[Contracts Signed]]=0,0,SalesData[[#This Row],[Profit(€)]]/SalesData[[#This Row],[Contracts Signed]])</f>
        <v>12449</v>
      </c>
      <c r="AJ1505" s="5" t="str">
        <f>TRIM(CLEAN(SalesData[[#This Row],[Retailer]]))</f>
        <v>Hannover Cars</v>
      </c>
    </row>
    <row r="1506" spans="1:36" ht="14.25" hidden="1" x14ac:dyDescent="0.2">
      <c r="A1506" t="s">
        <v>2399</v>
      </c>
      <c r="B1506" s="1">
        <v>46070</v>
      </c>
      <c r="C1506" t="s">
        <v>62</v>
      </c>
      <c r="D1506" t="s">
        <v>63</v>
      </c>
      <c r="E1506" t="s">
        <v>26</v>
      </c>
      <c r="F1506" t="s">
        <v>127</v>
      </c>
      <c r="G1506" t="s">
        <v>128</v>
      </c>
      <c r="H1506" t="s">
        <v>103</v>
      </c>
      <c r="I1506" t="s">
        <v>56</v>
      </c>
      <c r="J1506" t="s">
        <v>57</v>
      </c>
      <c r="K1506" t="s">
        <v>32</v>
      </c>
      <c r="L1506" t="s">
        <v>46</v>
      </c>
      <c r="M1506" t="s">
        <v>34</v>
      </c>
      <c r="N1506" t="s">
        <v>69</v>
      </c>
      <c r="O1506" t="s">
        <v>36</v>
      </c>
      <c r="P1506" t="s">
        <v>71</v>
      </c>
      <c r="Q1506" t="s">
        <v>189</v>
      </c>
      <c r="R1506">
        <v>199</v>
      </c>
      <c r="S1506">
        <v>99</v>
      </c>
      <c r="T1506">
        <v>65</v>
      </c>
      <c r="U1506">
        <v>26</v>
      </c>
      <c r="V1506" t="s">
        <v>6450</v>
      </c>
      <c r="W1506">
        <v>43400</v>
      </c>
      <c r="X1506" t="s">
        <v>7450</v>
      </c>
      <c r="Y1506">
        <v>34451</v>
      </c>
      <c r="Z1506">
        <v>1128400</v>
      </c>
      <c r="AA1506">
        <v>232674</v>
      </c>
      <c r="AB1506" t="str">
        <f>(VLOOKUP(SalesData[[#This Row],[Month Number]],Reference!C$5:E$16,2,FALSE))</f>
        <v>Feb</v>
      </c>
      <c r="AC1506">
        <f>MONTH(SalesData[[#This Row],[Date]])</f>
        <v>2</v>
      </c>
      <c r="AD1506">
        <f>Reference!F$4</f>
        <v>2026</v>
      </c>
      <c r="AE1506" t="str">
        <f>IF(OR(SalesData[[#This Row],[Day]]="Saturday",SalesData[[#This Row],[Day]]="Sunday"),"Weekend","Weekday")</f>
        <v>Weekday</v>
      </c>
      <c r="AF1506" s="5">
        <f>IF(SalesData[[#This Row],[Contracts Offered]]=0,0,SalesData[[#This Row],[Contracts Signed]]/SalesData[[#This Row],[Contracts Offered]])</f>
        <v>0.4</v>
      </c>
      <c r="AG1506" s="5">
        <f>IF(SalesData[[#This Row],[Customers Visited]]=0,0,SalesData[[#This Row],[Test Drives]]/SalesData[[#This Row],[Customers Visited]])</f>
        <v>0.49748743718592964</v>
      </c>
      <c r="AH1506" s="5">
        <f>IF(SalesData[[#This Row],[Customers Visited]]=0,0,SalesData[[#This Row],[Contracts Signed]]/SalesData[[#This Row],[Customers Visited]])</f>
        <v>0.1306532663316583</v>
      </c>
      <c r="AI1506" s="6">
        <f>IF(SalesData[[#This Row],[Contracts Signed]]=0,0,SalesData[[#This Row],[Profit(€)]]/SalesData[[#This Row],[Contracts Signed]])</f>
        <v>8949</v>
      </c>
      <c r="AJ1506" s="5" t="str">
        <f>TRIM(CLEAN(SalesData[[#This Row],[Retailer]]))</f>
        <v>Rhein Auto Group</v>
      </c>
    </row>
    <row r="1507" spans="1:36" ht="14.25" hidden="1" x14ac:dyDescent="0.2">
      <c r="A1507" t="s">
        <v>2400</v>
      </c>
      <c r="B1507" s="1">
        <v>46062</v>
      </c>
      <c r="C1507" t="s">
        <v>121</v>
      </c>
      <c r="D1507" t="s">
        <v>25</v>
      </c>
      <c r="E1507" t="s">
        <v>26</v>
      </c>
      <c r="F1507" t="s">
        <v>74</v>
      </c>
      <c r="G1507" t="s">
        <v>75</v>
      </c>
      <c r="H1507" t="s">
        <v>76</v>
      </c>
      <c r="I1507" t="s">
        <v>104</v>
      </c>
      <c r="J1507" t="s">
        <v>143</v>
      </c>
      <c r="K1507" t="s">
        <v>91</v>
      </c>
      <c r="L1507" t="s">
        <v>67</v>
      </c>
      <c r="M1507" t="s">
        <v>34</v>
      </c>
      <c r="N1507" t="s">
        <v>48</v>
      </c>
      <c r="O1507" t="s">
        <v>36</v>
      </c>
      <c r="P1507" t="s">
        <v>71</v>
      </c>
      <c r="Q1507" t="s">
        <v>129</v>
      </c>
      <c r="R1507">
        <v>429</v>
      </c>
      <c r="S1507">
        <v>194</v>
      </c>
      <c r="T1507">
        <v>117</v>
      </c>
      <c r="U1507">
        <v>37</v>
      </c>
      <c r="V1507" t="s">
        <v>4589</v>
      </c>
      <c r="W1507">
        <v>34772</v>
      </c>
      <c r="X1507" t="s">
        <v>1146</v>
      </c>
      <c r="Y1507">
        <v>30358</v>
      </c>
      <c r="Z1507">
        <v>1286564</v>
      </c>
      <c r="AA1507">
        <v>163318</v>
      </c>
      <c r="AB1507" t="str">
        <f>(VLOOKUP(SalesData[[#This Row],[Month Number]],Reference!C$5:E$16,2,FALSE))</f>
        <v>Feb</v>
      </c>
      <c r="AC1507">
        <f>MONTH(SalesData[[#This Row],[Date]])</f>
        <v>2</v>
      </c>
      <c r="AD1507">
        <f>Reference!F$4</f>
        <v>2026</v>
      </c>
      <c r="AE1507" t="str">
        <f>IF(OR(SalesData[[#This Row],[Day]]="Saturday",SalesData[[#This Row],[Day]]="Sunday"),"Weekend","Weekday")</f>
        <v>Weekday</v>
      </c>
      <c r="AF1507" s="5">
        <f>IF(SalesData[[#This Row],[Contracts Offered]]=0,0,SalesData[[#This Row],[Contracts Signed]]/SalesData[[#This Row],[Contracts Offered]])</f>
        <v>0.31623931623931623</v>
      </c>
      <c r="AG1507" s="5">
        <f>IF(SalesData[[#This Row],[Customers Visited]]=0,0,SalesData[[#This Row],[Test Drives]]/SalesData[[#This Row],[Customers Visited]])</f>
        <v>0.45221445221445222</v>
      </c>
      <c r="AH1507" s="5">
        <f>IF(SalesData[[#This Row],[Customers Visited]]=0,0,SalesData[[#This Row],[Contracts Signed]]/SalesData[[#This Row],[Customers Visited]])</f>
        <v>8.6247086247086241E-2</v>
      </c>
      <c r="AI1507" s="6">
        <f>IF(SalesData[[#This Row],[Contracts Signed]]=0,0,SalesData[[#This Row],[Profit(€)]]/SalesData[[#This Row],[Contracts Signed]])</f>
        <v>4414</v>
      </c>
      <c r="AJ1507" s="5" t="str">
        <f>TRIM(CLEAN(SalesData[[#This Row],[Retailer]]))</f>
        <v>Stuttgart Auto Center</v>
      </c>
    </row>
    <row r="1508" spans="1:36" ht="14.25" hidden="1" x14ac:dyDescent="0.2">
      <c r="A1508" t="s">
        <v>2402</v>
      </c>
      <c r="B1508" s="1">
        <v>46055</v>
      </c>
      <c r="C1508" t="s">
        <v>24</v>
      </c>
      <c r="D1508" t="s">
        <v>25</v>
      </c>
      <c r="E1508" t="s">
        <v>26</v>
      </c>
      <c r="F1508" t="s">
        <v>7649</v>
      </c>
      <c r="G1508" t="s">
        <v>55</v>
      </c>
      <c r="H1508" t="s">
        <v>55</v>
      </c>
      <c r="I1508" t="s">
        <v>64</v>
      </c>
      <c r="J1508" t="s">
        <v>111</v>
      </c>
      <c r="K1508" t="s">
        <v>91</v>
      </c>
      <c r="L1508" t="s">
        <v>46</v>
      </c>
      <c r="M1508" t="s">
        <v>47</v>
      </c>
      <c r="N1508" t="s">
        <v>35</v>
      </c>
      <c r="O1508" t="s">
        <v>70</v>
      </c>
      <c r="P1508" t="s">
        <v>37</v>
      </c>
      <c r="Q1508" t="s">
        <v>106</v>
      </c>
      <c r="R1508">
        <v>277</v>
      </c>
      <c r="S1508">
        <v>123</v>
      </c>
      <c r="T1508">
        <v>95</v>
      </c>
      <c r="U1508">
        <v>31</v>
      </c>
      <c r="V1508" t="s">
        <v>6352</v>
      </c>
      <c r="W1508">
        <v>62328</v>
      </c>
      <c r="X1508" t="s">
        <v>7328</v>
      </c>
      <c r="Y1508">
        <v>45600</v>
      </c>
      <c r="Z1508">
        <v>1932168</v>
      </c>
      <c r="AA1508">
        <v>518568</v>
      </c>
      <c r="AB1508" t="str">
        <f>(VLOOKUP(SalesData[[#This Row],[Month Number]],Reference!C$5:E$16,2,FALSE))</f>
        <v>Feb</v>
      </c>
      <c r="AC1508">
        <f>MONTH(SalesData[[#This Row],[Date]])</f>
        <v>2</v>
      </c>
      <c r="AD1508">
        <f>Reference!F$4</f>
        <v>2026</v>
      </c>
      <c r="AE1508" t="str">
        <f>IF(OR(SalesData[[#This Row],[Day]]="Saturday",SalesData[[#This Row],[Day]]="Sunday"),"Weekend","Weekday")</f>
        <v>Weekday</v>
      </c>
      <c r="AF1508" s="5">
        <f>IF(SalesData[[#This Row],[Contracts Offered]]=0,0,SalesData[[#This Row],[Contracts Signed]]/SalesData[[#This Row],[Contracts Offered]])</f>
        <v>0.32631578947368423</v>
      </c>
      <c r="AG1508" s="5">
        <f>IF(SalesData[[#This Row],[Customers Visited]]=0,0,SalesData[[#This Row],[Test Drives]]/SalesData[[#This Row],[Customers Visited]])</f>
        <v>0.44404332129963897</v>
      </c>
      <c r="AH1508" s="5">
        <f>IF(SalesData[[#This Row],[Customers Visited]]=0,0,SalesData[[#This Row],[Contracts Signed]]/SalesData[[#This Row],[Customers Visited]])</f>
        <v>0.11191335740072202</v>
      </c>
      <c r="AI1508" s="6">
        <f>IF(SalesData[[#This Row],[Contracts Signed]]=0,0,SalesData[[#This Row],[Profit(€)]]/SalesData[[#This Row],[Contracts Signed]])</f>
        <v>16728</v>
      </c>
      <c r="AJ1508" s="5" t="str">
        <f>TRIM(CLEAN(SalesData[[#This Row],[Retailer]]))</f>
        <v>Autohaus Berlin</v>
      </c>
    </row>
    <row r="1509" spans="1:36" ht="14.25" hidden="1" x14ac:dyDescent="0.2">
      <c r="A1509" t="s">
        <v>2403</v>
      </c>
      <c r="B1509" s="1">
        <v>46066</v>
      </c>
      <c r="C1509" t="s">
        <v>121</v>
      </c>
      <c r="D1509" t="s">
        <v>54</v>
      </c>
      <c r="E1509" t="s">
        <v>26</v>
      </c>
      <c r="F1509" t="s">
        <v>83</v>
      </c>
      <c r="G1509" t="s">
        <v>84</v>
      </c>
      <c r="H1509" t="s">
        <v>85</v>
      </c>
      <c r="I1509" t="s">
        <v>56</v>
      </c>
      <c r="J1509" t="s">
        <v>7028</v>
      </c>
      <c r="K1509" t="s">
        <v>32</v>
      </c>
      <c r="L1509" t="s">
        <v>46</v>
      </c>
      <c r="M1509" t="s">
        <v>34</v>
      </c>
      <c r="N1509" t="s">
        <v>35</v>
      </c>
      <c r="O1509" t="s">
        <v>36</v>
      </c>
      <c r="P1509" t="s">
        <v>49</v>
      </c>
      <c r="Q1509" t="s">
        <v>106</v>
      </c>
      <c r="R1509">
        <v>294</v>
      </c>
      <c r="S1509">
        <v>164</v>
      </c>
      <c r="T1509">
        <v>107</v>
      </c>
      <c r="U1509">
        <v>37</v>
      </c>
      <c r="V1509" t="s">
        <v>6778</v>
      </c>
      <c r="W1509">
        <v>49050</v>
      </c>
      <c r="X1509" t="s">
        <v>3288</v>
      </c>
      <c r="Y1509">
        <v>38754</v>
      </c>
      <c r="Z1509">
        <v>1814850</v>
      </c>
      <c r="AA1509">
        <v>380952</v>
      </c>
      <c r="AB1509" t="str">
        <f>(VLOOKUP(SalesData[[#This Row],[Month Number]],Reference!C$5:E$16,2,FALSE))</f>
        <v>Feb</v>
      </c>
      <c r="AC1509">
        <f>MONTH(SalesData[[#This Row],[Date]])</f>
        <v>2</v>
      </c>
      <c r="AD1509">
        <f>Reference!F$4</f>
        <v>2026</v>
      </c>
      <c r="AE1509" t="str">
        <f>IF(OR(SalesData[[#This Row],[Day]]="Saturday",SalesData[[#This Row],[Day]]="Sunday"),"Weekend","Weekday")</f>
        <v>Weekday</v>
      </c>
      <c r="AF1509" s="5">
        <f>IF(SalesData[[#This Row],[Contracts Offered]]=0,0,SalesData[[#This Row],[Contracts Signed]]/SalesData[[#This Row],[Contracts Offered]])</f>
        <v>0.34579439252336447</v>
      </c>
      <c r="AG1509" s="5">
        <f>IF(SalesData[[#This Row],[Customers Visited]]=0,0,SalesData[[#This Row],[Test Drives]]/SalesData[[#This Row],[Customers Visited]])</f>
        <v>0.55782312925170063</v>
      </c>
      <c r="AH1509" s="5">
        <f>IF(SalesData[[#This Row],[Customers Visited]]=0,0,SalesData[[#This Row],[Contracts Signed]]/SalesData[[#This Row],[Customers Visited]])</f>
        <v>0.12585034013605442</v>
      </c>
      <c r="AI1509" s="6">
        <f>IF(SalesData[[#This Row],[Contracts Signed]]=0,0,SalesData[[#This Row],[Profit(€)]]/SalesData[[#This Row],[Contracts Signed]])</f>
        <v>10296</v>
      </c>
      <c r="AJ1509" s="5" t="str">
        <f>TRIM(CLEAN(SalesData[[#This Row],[Retailer]]))</f>
        <v>Hannover Cars</v>
      </c>
    </row>
    <row r="1510" spans="1:36" ht="14.25" hidden="1" x14ac:dyDescent="0.2">
      <c r="A1510" t="s">
        <v>2405</v>
      </c>
      <c r="B1510" s="1">
        <v>46077</v>
      </c>
      <c r="C1510" t="s">
        <v>53</v>
      </c>
      <c r="D1510" t="s">
        <v>63</v>
      </c>
      <c r="E1510" t="s">
        <v>26</v>
      </c>
      <c r="F1510" t="s">
        <v>109</v>
      </c>
      <c r="G1510" t="s">
        <v>110</v>
      </c>
      <c r="H1510" t="s">
        <v>45</v>
      </c>
      <c r="I1510" t="s">
        <v>64</v>
      </c>
      <c r="J1510" t="s">
        <v>7029</v>
      </c>
      <c r="K1510" t="s">
        <v>66</v>
      </c>
      <c r="L1510" t="s">
        <v>33</v>
      </c>
      <c r="M1510" t="s">
        <v>87</v>
      </c>
      <c r="N1510" t="s">
        <v>69</v>
      </c>
      <c r="O1510" t="s">
        <v>70</v>
      </c>
      <c r="P1510" t="s">
        <v>37</v>
      </c>
      <c r="Q1510" t="s">
        <v>144</v>
      </c>
      <c r="R1510">
        <v>202</v>
      </c>
      <c r="S1510">
        <v>118</v>
      </c>
      <c r="T1510">
        <v>86</v>
      </c>
      <c r="U1510">
        <v>29</v>
      </c>
      <c r="V1510" t="s">
        <v>6406</v>
      </c>
      <c r="W1510">
        <v>69480</v>
      </c>
      <c r="X1510" t="s">
        <v>2023</v>
      </c>
      <c r="Y1510">
        <v>51581</v>
      </c>
      <c r="Z1510">
        <v>2014920</v>
      </c>
      <c r="AA1510">
        <v>519071</v>
      </c>
      <c r="AB1510" t="str">
        <f>(VLOOKUP(SalesData[[#This Row],[Month Number]],Reference!C$5:E$16,2,FALSE))</f>
        <v>Feb</v>
      </c>
      <c r="AC1510">
        <f>MONTH(SalesData[[#This Row],[Date]])</f>
        <v>2</v>
      </c>
      <c r="AD1510">
        <f>Reference!F$4</f>
        <v>2026</v>
      </c>
      <c r="AE1510" t="str">
        <f>IF(OR(SalesData[[#This Row],[Day]]="Saturday",SalesData[[#This Row],[Day]]="Sunday"),"Weekend","Weekday")</f>
        <v>Weekday</v>
      </c>
      <c r="AF1510" s="5">
        <f>IF(SalesData[[#This Row],[Contracts Offered]]=0,0,SalesData[[#This Row],[Contracts Signed]]/SalesData[[#This Row],[Contracts Offered]])</f>
        <v>0.33720930232558138</v>
      </c>
      <c r="AG1510" s="5">
        <f>IF(SalesData[[#This Row],[Customers Visited]]=0,0,SalesData[[#This Row],[Test Drives]]/SalesData[[#This Row],[Customers Visited]])</f>
        <v>0.58415841584158412</v>
      </c>
      <c r="AH1510" s="5">
        <f>IF(SalesData[[#This Row],[Customers Visited]]=0,0,SalesData[[#This Row],[Contracts Signed]]/SalesData[[#This Row],[Customers Visited]])</f>
        <v>0.14356435643564355</v>
      </c>
      <c r="AI1510" s="6">
        <f>IF(SalesData[[#This Row],[Contracts Signed]]=0,0,SalesData[[#This Row],[Profit(€)]]/SalesData[[#This Row],[Contracts Signed]])</f>
        <v>17899</v>
      </c>
      <c r="AJ1510" s="5" t="str">
        <f>TRIM(CLEAN(SalesData[[#This Row],[Retailer]]))</f>
        <v>Leipzig Mobility</v>
      </c>
    </row>
    <row r="1511" spans="1:36" ht="14.25" hidden="1" x14ac:dyDescent="0.2">
      <c r="A1511" t="s">
        <v>2407</v>
      </c>
      <c r="B1511" s="1">
        <v>46076</v>
      </c>
      <c r="C1511" t="s">
        <v>53</v>
      </c>
      <c r="D1511" t="s">
        <v>25</v>
      </c>
      <c r="E1511" t="s">
        <v>26</v>
      </c>
      <c r="F1511" t="s">
        <v>94</v>
      </c>
      <c r="G1511" t="s">
        <v>95</v>
      </c>
      <c r="H1511" t="s">
        <v>96</v>
      </c>
      <c r="I1511" t="s">
        <v>104</v>
      </c>
      <c r="J1511" t="s">
        <v>143</v>
      </c>
      <c r="K1511" t="s">
        <v>32</v>
      </c>
      <c r="L1511" t="s">
        <v>67</v>
      </c>
      <c r="M1511" t="s">
        <v>47</v>
      </c>
      <c r="N1511" t="s">
        <v>35</v>
      </c>
      <c r="O1511" t="s">
        <v>36</v>
      </c>
      <c r="P1511" t="s">
        <v>49</v>
      </c>
      <c r="Q1511" t="s">
        <v>152</v>
      </c>
      <c r="R1511">
        <v>287</v>
      </c>
      <c r="S1511">
        <v>151</v>
      </c>
      <c r="T1511">
        <v>96</v>
      </c>
      <c r="U1511">
        <v>24</v>
      </c>
      <c r="V1511" t="s">
        <v>523</v>
      </c>
      <c r="W1511">
        <v>29161</v>
      </c>
      <c r="X1511" t="s">
        <v>1199</v>
      </c>
      <c r="Y1511">
        <v>25173</v>
      </c>
      <c r="Z1511">
        <v>699864</v>
      </c>
      <c r="AA1511">
        <v>95712</v>
      </c>
      <c r="AB1511" t="str">
        <f>(VLOOKUP(SalesData[[#This Row],[Month Number]],Reference!C$5:E$16,2,FALSE))</f>
        <v>Feb</v>
      </c>
      <c r="AC1511">
        <f>MONTH(SalesData[[#This Row],[Date]])</f>
        <v>2</v>
      </c>
      <c r="AD1511">
        <f>Reference!F$4</f>
        <v>2026</v>
      </c>
      <c r="AE1511" t="str">
        <f>IF(OR(SalesData[[#This Row],[Day]]="Saturday",SalesData[[#This Row],[Day]]="Sunday"),"Weekend","Weekday")</f>
        <v>Weekday</v>
      </c>
      <c r="AF1511" s="5">
        <f>IF(SalesData[[#This Row],[Contracts Offered]]=0,0,SalesData[[#This Row],[Contracts Signed]]/SalesData[[#This Row],[Contracts Offered]])</f>
        <v>0.25</v>
      </c>
      <c r="AG1511" s="5">
        <f>IF(SalesData[[#This Row],[Customers Visited]]=0,0,SalesData[[#This Row],[Test Drives]]/SalesData[[#This Row],[Customers Visited]])</f>
        <v>0.52613240418118468</v>
      </c>
      <c r="AH1511" s="5">
        <f>IF(SalesData[[#This Row],[Customers Visited]]=0,0,SalesData[[#This Row],[Contracts Signed]]/SalesData[[#This Row],[Customers Visited]])</f>
        <v>8.3623693379790948E-2</v>
      </c>
      <c r="AI1511" s="6">
        <f>IF(SalesData[[#This Row],[Contracts Signed]]=0,0,SalesData[[#This Row],[Profit(€)]]/SalesData[[#This Row],[Contracts Signed]])</f>
        <v>3988</v>
      </c>
      <c r="AJ1511" s="5" t="str">
        <f>TRIM(CLEAN(SalesData[[#This Row],[Retailer]]))</f>
        <v>Bavaria Motors</v>
      </c>
    </row>
    <row r="1512" spans="1:36" ht="14.25" x14ac:dyDescent="0.2">
      <c r="A1512" t="s">
        <v>2408</v>
      </c>
      <c r="B1512" s="1">
        <v>46063</v>
      </c>
      <c r="C1512" t="s">
        <v>121</v>
      </c>
      <c r="D1512" t="s">
        <v>63</v>
      </c>
      <c r="E1512" t="s">
        <v>26</v>
      </c>
      <c r="F1512" t="s">
        <v>127</v>
      </c>
      <c r="G1512" t="s">
        <v>128</v>
      </c>
      <c r="H1512" t="s">
        <v>103</v>
      </c>
      <c r="I1512" t="s">
        <v>30</v>
      </c>
      <c r="J1512" t="s">
        <v>7075</v>
      </c>
      <c r="K1512" t="s">
        <v>78</v>
      </c>
      <c r="L1512" t="s">
        <v>33</v>
      </c>
      <c r="M1512" t="s">
        <v>68</v>
      </c>
      <c r="N1512" t="s">
        <v>48</v>
      </c>
      <c r="O1512" t="s">
        <v>36</v>
      </c>
      <c r="P1512" t="s">
        <v>58</v>
      </c>
      <c r="Q1512" t="s">
        <v>106</v>
      </c>
      <c r="R1512">
        <v>164</v>
      </c>
      <c r="S1512">
        <v>82</v>
      </c>
      <c r="T1512">
        <v>56</v>
      </c>
      <c r="U1512">
        <v>26</v>
      </c>
      <c r="V1512" t="s">
        <v>7451</v>
      </c>
      <c r="W1512">
        <v>59210</v>
      </c>
      <c r="X1512" t="s">
        <v>7127</v>
      </c>
      <c r="Y1512">
        <v>43700</v>
      </c>
      <c r="Z1512">
        <v>1539460</v>
      </c>
      <c r="AA1512">
        <v>403260</v>
      </c>
      <c r="AB1512" t="str">
        <f>(VLOOKUP(SalesData[[#This Row],[Month Number]],Reference!C$5:E$16,2,FALSE))</f>
        <v>Feb</v>
      </c>
      <c r="AC1512">
        <f>MONTH(SalesData[[#This Row],[Date]])</f>
        <v>2</v>
      </c>
      <c r="AD1512">
        <f>Reference!F$4</f>
        <v>2026</v>
      </c>
      <c r="AE1512" t="str">
        <f>IF(OR(SalesData[[#This Row],[Day]]="Saturday",SalesData[[#This Row],[Day]]="Sunday"),"Weekend","Weekday")</f>
        <v>Weekday</v>
      </c>
      <c r="AF1512" s="5">
        <f>IF(SalesData[[#This Row],[Contracts Offered]]=0,0,SalesData[[#This Row],[Contracts Signed]]/SalesData[[#This Row],[Contracts Offered]])</f>
        <v>0.4642857142857143</v>
      </c>
      <c r="AG1512" s="5">
        <f>IF(SalesData[[#This Row],[Customers Visited]]=0,0,SalesData[[#This Row],[Test Drives]]/SalesData[[#This Row],[Customers Visited]])</f>
        <v>0.5</v>
      </c>
      <c r="AH1512" s="5">
        <f>IF(SalesData[[#This Row],[Customers Visited]]=0,0,SalesData[[#This Row],[Contracts Signed]]/SalesData[[#This Row],[Customers Visited]])</f>
        <v>0.15853658536585366</v>
      </c>
      <c r="AI1512" s="6">
        <f>IF(SalesData[[#This Row],[Contracts Signed]]=0,0,SalesData[[#This Row],[Profit(€)]]/SalesData[[#This Row],[Contracts Signed]])</f>
        <v>15510</v>
      </c>
      <c r="AJ1512" s="5" t="str">
        <f>TRIM(CLEAN(SalesData[[#This Row],[Retailer]]))</f>
        <v>Rhein Auto Group</v>
      </c>
    </row>
    <row r="1513" spans="1:36" ht="14.25" x14ac:dyDescent="0.2">
      <c r="A1513" t="s">
        <v>2409</v>
      </c>
      <c r="B1513" s="1">
        <v>46065</v>
      </c>
      <c r="C1513" t="s">
        <v>121</v>
      </c>
      <c r="D1513" t="s">
        <v>100</v>
      </c>
      <c r="E1513" t="s">
        <v>26</v>
      </c>
      <c r="F1513" t="s">
        <v>101</v>
      </c>
      <c r="G1513" t="s">
        <v>102</v>
      </c>
      <c r="H1513" t="s">
        <v>103</v>
      </c>
      <c r="I1513" t="s">
        <v>30</v>
      </c>
      <c r="J1513" t="s">
        <v>31</v>
      </c>
      <c r="K1513" t="s">
        <v>91</v>
      </c>
      <c r="L1513" t="s">
        <v>46</v>
      </c>
      <c r="M1513" t="s">
        <v>87</v>
      </c>
      <c r="N1513" t="s">
        <v>48</v>
      </c>
      <c r="O1513" t="s">
        <v>70</v>
      </c>
      <c r="P1513" t="s">
        <v>37</v>
      </c>
      <c r="Q1513" t="s">
        <v>347</v>
      </c>
      <c r="R1513">
        <v>171</v>
      </c>
      <c r="S1513">
        <v>104</v>
      </c>
      <c r="T1513">
        <v>78</v>
      </c>
      <c r="U1513">
        <v>24</v>
      </c>
      <c r="V1513" t="s">
        <v>6386</v>
      </c>
      <c r="W1513">
        <v>57534</v>
      </c>
      <c r="X1513" t="s">
        <v>7107</v>
      </c>
      <c r="Y1513">
        <v>42905</v>
      </c>
      <c r="Z1513">
        <v>1380816</v>
      </c>
      <c r="AA1513">
        <v>351096</v>
      </c>
      <c r="AB1513" t="str">
        <f>(VLOOKUP(SalesData[[#This Row],[Month Number]],Reference!C$5:E$16,2,FALSE))</f>
        <v>Feb</v>
      </c>
      <c r="AC1513">
        <f>MONTH(SalesData[[#This Row],[Date]])</f>
        <v>2</v>
      </c>
      <c r="AD1513">
        <f>Reference!F$4</f>
        <v>2026</v>
      </c>
      <c r="AE1513" t="str">
        <f>IF(OR(SalesData[[#This Row],[Day]]="Saturday",SalesData[[#This Row],[Day]]="Sunday"),"Weekend","Weekday")</f>
        <v>Weekday</v>
      </c>
      <c r="AF1513" s="5">
        <f>IF(SalesData[[#This Row],[Contracts Offered]]=0,0,SalesData[[#This Row],[Contracts Signed]]/SalesData[[#This Row],[Contracts Offered]])</f>
        <v>0.30769230769230771</v>
      </c>
      <c r="AG1513" s="5">
        <f>IF(SalesData[[#This Row],[Customers Visited]]=0,0,SalesData[[#This Row],[Test Drives]]/SalesData[[#This Row],[Customers Visited]])</f>
        <v>0.60818713450292394</v>
      </c>
      <c r="AH1513" s="5">
        <f>IF(SalesData[[#This Row],[Customers Visited]]=0,0,SalesData[[#This Row],[Contracts Signed]]/SalesData[[#This Row],[Customers Visited]])</f>
        <v>0.14035087719298245</v>
      </c>
      <c r="AI1513" s="6">
        <f>IF(SalesData[[#This Row],[Contracts Signed]]=0,0,SalesData[[#This Row],[Profit(€)]]/SalesData[[#This Row],[Contracts Signed]])</f>
        <v>14629</v>
      </c>
      <c r="AJ1513" s="5" t="str">
        <f>TRIM(CLEAN(SalesData[[#This Row],[Retailer]]))</f>
        <v>Ruhr Auto Plaza</v>
      </c>
    </row>
    <row r="1514" spans="1:36" ht="14.25" x14ac:dyDescent="0.2">
      <c r="A1514" t="s">
        <v>2410</v>
      </c>
      <c r="B1514" s="1">
        <v>46072</v>
      </c>
      <c r="C1514" t="s">
        <v>62</v>
      </c>
      <c r="D1514" t="s">
        <v>100</v>
      </c>
      <c r="E1514" t="s">
        <v>26</v>
      </c>
      <c r="F1514" t="s">
        <v>94</v>
      </c>
      <c r="G1514" t="s">
        <v>95</v>
      </c>
      <c r="H1514" t="s">
        <v>96</v>
      </c>
      <c r="I1514" t="s">
        <v>30</v>
      </c>
      <c r="J1514" t="s">
        <v>31</v>
      </c>
      <c r="K1514" t="s">
        <v>78</v>
      </c>
      <c r="L1514" t="s">
        <v>46</v>
      </c>
      <c r="M1514" t="s">
        <v>87</v>
      </c>
      <c r="N1514" t="s">
        <v>35</v>
      </c>
      <c r="O1514" t="s">
        <v>70</v>
      </c>
      <c r="P1514" t="s">
        <v>58</v>
      </c>
      <c r="Q1514" t="s">
        <v>167</v>
      </c>
      <c r="R1514">
        <v>247</v>
      </c>
      <c r="S1514">
        <v>121</v>
      </c>
      <c r="T1514">
        <v>94</v>
      </c>
      <c r="U1514">
        <v>40</v>
      </c>
      <c r="V1514" t="s">
        <v>7452</v>
      </c>
      <c r="W1514">
        <v>64346</v>
      </c>
      <c r="X1514" t="s">
        <v>7275</v>
      </c>
      <c r="Y1514">
        <v>45874</v>
      </c>
      <c r="Z1514">
        <v>2573840</v>
      </c>
      <c r="AA1514">
        <v>738880</v>
      </c>
      <c r="AB1514" t="str">
        <f>(VLOOKUP(SalesData[[#This Row],[Month Number]],Reference!C$5:E$16,2,FALSE))</f>
        <v>Feb</v>
      </c>
      <c r="AC1514">
        <f>MONTH(SalesData[[#This Row],[Date]])</f>
        <v>2</v>
      </c>
      <c r="AD1514">
        <f>Reference!F$4</f>
        <v>2026</v>
      </c>
      <c r="AE1514" t="str">
        <f>IF(OR(SalesData[[#This Row],[Day]]="Saturday",SalesData[[#This Row],[Day]]="Sunday"),"Weekend","Weekday")</f>
        <v>Weekday</v>
      </c>
      <c r="AF1514" s="5">
        <f>IF(SalesData[[#This Row],[Contracts Offered]]=0,0,SalesData[[#This Row],[Contracts Signed]]/SalesData[[#This Row],[Contracts Offered]])</f>
        <v>0.42553191489361702</v>
      </c>
      <c r="AG1514" s="5">
        <f>IF(SalesData[[#This Row],[Customers Visited]]=0,0,SalesData[[#This Row],[Test Drives]]/SalesData[[#This Row],[Customers Visited]])</f>
        <v>0.48987854251012147</v>
      </c>
      <c r="AH1514" s="5">
        <f>IF(SalesData[[#This Row],[Customers Visited]]=0,0,SalesData[[#This Row],[Contracts Signed]]/SalesData[[#This Row],[Customers Visited]])</f>
        <v>0.16194331983805668</v>
      </c>
      <c r="AI1514" s="6">
        <f>IF(SalesData[[#This Row],[Contracts Signed]]=0,0,SalesData[[#This Row],[Profit(€)]]/SalesData[[#This Row],[Contracts Signed]])</f>
        <v>18472</v>
      </c>
      <c r="AJ1514" s="5" t="str">
        <f>TRIM(CLEAN(SalesData[[#This Row],[Retailer]]))</f>
        <v>Bavaria Motors</v>
      </c>
    </row>
    <row r="1515" spans="1:36" ht="14.25" hidden="1" x14ac:dyDescent="0.2">
      <c r="A1515" t="s">
        <v>2411</v>
      </c>
      <c r="B1515" s="1">
        <v>46073</v>
      </c>
      <c r="C1515" t="s">
        <v>62</v>
      </c>
      <c r="D1515" t="s">
        <v>54</v>
      </c>
      <c r="E1515" t="s">
        <v>26</v>
      </c>
      <c r="F1515" t="s">
        <v>43</v>
      </c>
      <c r="G1515" t="s">
        <v>44</v>
      </c>
      <c r="H1515" t="s">
        <v>45</v>
      </c>
      <c r="I1515" t="s">
        <v>56</v>
      </c>
      <c r="J1515" t="s">
        <v>179</v>
      </c>
      <c r="K1515" t="s">
        <v>66</v>
      </c>
      <c r="L1515" t="s">
        <v>67</v>
      </c>
      <c r="M1515" t="s">
        <v>47</v>
      </c>
      <c r="N1515" t="s">
        <v>69</v>
      </c>
      <c r="O1515" t="s">
        <v>36</v>
      </c>
      <c r="P1515" t="s">
        <v>49</v>
      </c>
      <c r="Q1515" t="s">
        <v>135</v>
      </c>
      <c r="R1515">
        <v>164</v>
      </c>
      <c r="S1515">
        <v>104</v>
      </c>
      <c r="T1515">
        <v>75</v>
      </c>
      <c r="U1515">
        <v>20</v>
      </c>
      <c r="V1515" t="s">
        <v>576</v>
      </c>
      <c r="W1515">
        <v>44267</v>
      </c>
      <c r="X1515" t="s">
        <v>7102</v>
      </c>
      <c r="Y1515">
        <v>33787</v>
      </c>
      <c r="Z1515">
        <v>885340</v>
      </c>
      <c r="AA1515">
        <v>209600</v>
      </c>
      <c r="AB1515" t="str">
        <f>(VLOOKUP(SalesData[[#This Row],[Month Number]],Reference!C$5:E$16,2,FALSE))</f>
        <v>Feb</v>
      </c>
      <c r="AC1515">
        <f>MONTH(SalesData[[#This Row],[Date]])</f>
        <v>2</v>
      </c>
      <c r="AD1515">
        <f>Reference!F$4</f>
        <v>2026</v>
      </c>
      <c r="AE1515" t="str">
        <f>IF(OR(SalesData[[#This Row],[Day]]="Saturday",SalesData[[#This Row],[Day]]="Sunday"),"Weekend","Weekday")</f>
        <v>Weekday</v>
      </c>
      <c r="AF1515" s="5">
        <f>IF(SalesData[[#This Row],[Contracts Offered]]=0,0,SalesData[[#This Row],[Contracts Signed]]/SalesData[[#This Row],[Contracts Offered]])</f>
        <v>0.26666666666666666</v>
      </c>
      <c r="AG1515" s="5">
        <f>IF(SalesData[[#This Row],[Customers Visited]]=0,0,SalesData[[#This Row],[Test Drives]]/SalesData[[#This Row],[Customers Visited]])</f>
        <v>0.63414634146341464</v>
      </c>
      <c r="AH1515" s="5">
        <f>IF(SalesData[[#This Row],[Customers Visited]]=0,0,SalesData[[#This Row],[Contracts Signed]]/SalesData[[#This Row],[Customers Visited]])</f>
        <v>0.12195121951219512</v>
      </c>
      <c r="AI1515" s="6">
        <f>IF(SalesData[[#This Row],[Contracts Signed]]=0,0,SalesData[[#This Row],[Profit(€)]]/SalesData[[#This Row],[Contracts Signed]])</f>
        <v>10480</v>
      </c>
      <c r="AJ1515" s="5" t="str">
        <f>TRIM(CLEAN(SalesData[[#This Row],[Retailer]]))</f>
        <v>Saxon Wheels</v>
      </c>
    </row>
    <row r="1516" spans="1:36" ht="14.25" x14ac:dyDescent="0.2">
      <c r="A1516" t="s">
        <v>2412</v>
      </c>
      <c r="B1516" s="1">
        <v>46065</v>
      </c>
      <c r="C1516" t="s">
        <v>121</v>
      </c>
      <c r="D1516" t="s">
        <v>100</v>
      </c>
      <c r="E1516" t="s">
        <v>26</v>
      </c>
      <c r="F1516" t="s">
        <v>101</v>
      </c>
      <c r="G1516" t="s">
        <v>102</v>
      </c>
      <c r="H1516" t="s">
        <v>103</v>
      </c>
      <c r="I1516" t="s">
        <v>30</v>
      </c>
      <c r="J1516" t="s">
        <v>86</v>
      </c>
      <c r="K1516" t="s">
        <v>32</v>
      </c>
      <c r="L1516" t="s">
        <v>33</v>
      </c>
      <c r="M1516" t="s">
        <v>68</v>
      </c>
      <c r="N1516" t="s">
        <v>35</v>
      </c>
      <c r="O1516" t="s">
        <v>70</v>
      </c>
      <c r="P1516" t="s">
        <v>71</v>
      </c>
      <c r="Q1516" t="s">
        <v>122</v>
      </c>
      <c r="R1516">
        <v>188</v>
      </c>
      <c r="S1516">
        <v>92</v>
      </c>
      <c r="T1516">
        <v>69</v>
      </c>
      <c r="U1516">
        <v>24</v>
      </c>
      <c r="V1516" t="s">
        <v>6360</v>
      </c>
      <c r="W1516">
        <v>53961</v>
      </c>
      <c r="X1516" t="s">
        <v>7395</v>
      </c>
      <c r="Y1516">
        <v>38187</v>
      </c>
      <c r="Z1516">
        <v>1295064</v>
      </c>
      <c r="AA1516">
        <v>378576</v>
      </c>
      <c r="AB1516" t="str">
        <f>(VLOOKUP(SalesData[[#This Row],[Month Number]],Reference!C$5:E$16,2,FALSE))</f>
        <v>Feb</v>
      </c>
      <c r="AC1516">
        <f>MONTH(SalesData[[#This Row],[Date]])</f>
        <v>2</v>
      </c>
      <c r="AD1516">
        <f>Reference!F$4</f>
        <v>2026</v>
      </c>
      <c r="AE1516" t="str">
        <f>IF(OR(SalesData[[#This Row],[Day]]="Saturday",SalesData[[#This Row],[Day]]="Sunday"),"Weekend","Weekday")</f>
        <v>Weekday</v>
      </c>
      <c r="AF1516" s="5">
        <f>IF(SalesData[[#This Row],[Contracts Offered]]=0,0,SalesData[[#This Row],[Contracts Signed]]/SalesData[[#This Row],[Contracts Offered]])</f>
        <v>0.34782608695652173</v>
      </c>
      <c r="AG1516" s="5">
        <f>IF(SalesData[[#This Row],[Customers Visited]]=0,0,SalesData[[#This Row],[Test Drives]]/SalesData[[#This Row],[Customers Visited]])</f>
        <v>0.48936170212765956</v>
      </c>
      <c r="AH1516" s="5">
        <f>IF(SalesData[[#This Row],[Customers Visited]]=0,0,SalesData[[#This Row],[Contracts Signed]]/SalesData[[#This Row],[Customers Visited]])</f>
        <v>0.1276595744680851</v>
      </c>
      <c r="AI1516" s="6">
        <f>IF(SalesData[[#This Row],[Contracts Signed]]=0,0,SalesData[[#This Row],[Profit(€)]]/SalesData[[#This Row],[Contracts Signed]])</f>
        <v>15774</v>
      </c>
      <c r="AJ1516" s="5" t="str">
        <f>TRIM(CLEAN(SalesData[[#This Row],[Retailer]]))</f>
        <v>Ruhr Auto Plaza</v>
      </c>
    </row>
    <row r="1517" spans="1:36" ht="14.25" hidden="1" x14ac:dyDescent="0.2">
      <c r="A1517" t="s">
        <v>2413</v>
      </c>
      <c r="B1517" s="1">
        <v>46067</v>
      </c>
      <c r="C1517" t="s">
        <v>121</v>
      </c>
      <c r="D1517" t="s">
        <v>151</v>
      </c>
      <c r="E1517" t="s">
        <v>42</v>
      </c>
      <c r="F1517" t="s">
        <v>83</v>
      </c>
      <c r="G1517" t="s">
        <v>84</v>
      </c>
      <c r="H1517" t="s">
        <v>85</v>
      </c>
      <c r="I1517" t="s">
        <v>104</v>
      </c>
      <c r="J1517" t="s">
        <v>140</v>
      </c>
      <c r="K1517" t="s">
        <v>91</v>
      </c>
      <c r="L1517" t="s">
        <v>46</v>
      </c>
      <c r="M1517" t="s">
        <v>34</v>
      </c>
      <c r="N1517" t="s">
        <v>48</v>
      </c>
      <c r="O1517" t="s">
        <v>36</v>
      </c>
      <c r="P1517" t="s">
        <v>71</v>
      </c>
      <c r="Q1517" t="s">
        <v>172</v>
      </c>
      <c r="R1517">
        <v>441</v>
      </c>
      <c r="S1517">
        <v>188</v>
      </c>
      <c r="T1517">
        <v>126</v>
      </c>
      <c r="U1517">
        <v>32</v>
      </c>
      <c r="V1517" t="s">
        <v>2328</v>
      </c>
      <c r="W1517">
        <v>33648</v>
      </c>
      <c r="X1517" t="s">
        <v>1883</v>
      </c>
      <c r="Y1517">
        <v>30068</v>
      </c>
      <c r="Z1517">
        <v>1076736</v>
      </c>
      <c r="AA1517">
        <v>114560</v>
      </c>
      <c r="AB1517" t="str">
        <f>(VLOOKUP(SalesData[[#This Row],[Month Number]],Reference!C$5:E$16,2,FALSE))</f>
        <v>Feb</v>
      </c>
      <c r="AC1517">
        <f>MONTH(SalesData[[#This Row],[Date]])</f>
        <v>2</v>
      </c>
      <c r="AD1517">
        <f>Reference!F$4</f>
        <v>2026</v>
      </c>
      <c r="AE1517" t="str">
        <f>IF(OR(SalesData[[#This Row],[Day]]="Saturday",SalesData[[#This Row],[Day]]="Sunday"),"Weekend","Weekday")</f>
        <v>Weekend</v>
      </c>
      <c r="AF1517" s="5">
        <f>IF(SalesData[[#This Row],[Contracts Offered]]=0,0,SalesData[[#This Row],[Contracts Signed]]/SalesData[[#This Row],[Contracts Offered]])</f>
        <v>0.25396825396825395</v>
      </c>
      <c r="AG1517" s="5">
        <f>IF(SalesData[[#This Row],[Customers Visited]]=0,0,SalesData[[#This Row],[Test Drives]]/SalesData[[#This Row],[Customers Visited]])</f>
        <v>0.42630385487528344</v>
      </c>
      <c r="AH1517" s="5">
        <f>IF(SalesData[[#This Row],[Customers Visited]]=0,0,SalesData[[#This Row],[Contracts Signed]]/SalesData[[#This Row],[Customers Visited]])</f>
        <v>7.2562358276643993E-2</v>
      </c>
      <c r="AI1517" s="6">
        <f>IF(SalesData[[#This Row],[Contracts Signed]]=0,0,SalesData[[#This Row],[Profit(€)]]/SalesData[[#This Row],[Contracts Signed]])</f>
        <v>3580</v>
      </c>
      <c r="AJ1517" s="5" t="str">
        <f>TRIM(CLEAN(SalesData[[#This Row],[Retailer]]))</f>
        <v>Hannover Cars</v>
      </c>
    </row>
    <row r="1518" spans="1:36" ht="14.25" x14ac:dyDescent="0.2">
      <c r="A1518" t="s">
        <v>2414</v>
      </c>
      <c r="B1518" s="1">
        <v>46063</v>
      </c>
      <c r="C1518" t="s">
        <v>121</v>
      </c>
      <c r="D1518" t="s">
        <v>63</v>
      </c>
      <c r="E1518" t="s">
        <v>26</v>
      </c>
      <c r="F1518" t="s">
        <v>83</v>
      </c>
      <c r="G1518" t="s">
        <v>84</v>
      </c>
      <c r="H1518" t="s">
        <v>85</v>
      </c>
      <c r="I1518" t="s">
        <v>30</v>
      </c>
      <c r="J1518" t="s">
        <v>31</v>
      </c>
      <c r="K1518" t="s">
        <v>78</v>
      </c>
      <c r="L1518" t="s">
        <v>46</v>
      </c>
      <c r="M1518" t="s">
        <v>34</v>
      </c>
      <c r="N1518" t="s">
        <v>48</v>
      </c>
      <c r="O1518" t="s">
        <v>36</v>
      </c>
      <c r="P1518" t="s">
        <v>71</v>
      </c>
      <c r="Q1518" t="s">
        <v>106</v>
      </c>
      <c r="R1518">
        <v>168</v>
      </c>
      <c r="S1518">
        <v>95</v>
      </c>
      <c r="T1518">
        <v>74</v>
      </c>
      <c r="U1518">
        <v>28</v>
      </c>
      <c r="V1518" t="s">
        <v>6976</v>
      </c>
      <c r="W1518">
        <v>69016</v>
      </c>
      <c r="X1518" t="s">
        <v>7236</v>
      </c>
      <c r="Y1518">
        <v>53779</v>
      </c>
      <c r="Z1518">
        <v>1932448</v>
      </c>
      <c r="AA1518">
        <v>426636</v>
      </c>
      <c r="AB1518" t="str">
        <f>(VLOOKUP(SalesData[[#This Row],[Month Number]],Reference!C$5:E$16,2,FALSE))</f>
        <v>Feb</v>
      </c>
      <c r="AC1518">
        <f>MONTH(SalesData[[#This Row],[Date]])</f>
        <v>2</v>
      </c>
      <c r="AD1518">
        <f>Reference!F$4</f>
        <v>2026</v>
      </c>
      <c r="AE1518" t="str">
        <f>IF(OR(SalesData[[#This Row],[Day]]="Saturday",SalesData[[#This Row],[Day]]="Sunday"),"Weekend","Weekday")</f>
        <v>Weekday</v>
      </c>
      <c r="AF1518" s="5">
        <f>IF(SalesData[[#This Row],[Contracts Offered]]=0,0,SalesData[[#This Row],[Contracts Signed]]/SalesData[[#This Row],[Contracts Offered]])</f>
        <v>0.3783783783783784</v>
      </c>
      <c r="AG1518" s="5">
        <f>IF(SalesData[[#This Row],[Customers Visited]]=0,0,SalesData[[#This Row],[Test Drives]]/SalesData[[#This Row],[Customers Visited]])</f>
        <v>0.56547619047619047</v>
      </c>
      <c r="AH1518" s="5">
        <f>IF(SalesData[[#This Row],[Customers Visited]]=0,0,SalesData[[#This Row],[Contracts Signed]]/SalesData[[#This Row],[Customers Visited]])</f>
        <v>0.16666666666666666</v>
      </c>
      <c r="AI1518" s="6">
        <f>IF(SalesData[[#This Row],[Contracts Signed]]=0,0,SalesData[[#This Row],[Profit(€)]]/SalesData[[#This Row],[Contracts Signed]])</f>
        <v>15237</v>
      </c>
      <c r="AJ1518" s="5" t="str">
        <f>TRIM(CLEAN(SalesData[[#This Row],[Retailer]]))</f>
        <v>Hannover Cars</v>
      </c>
    </row>
    <row r="1519" spans="1:36" ht="14.25" hidden="1" x14ac:dyDescent="0.2">
      <c r="A1519" t="s">
        <v>2415</v>
      </c>
      <c r="B1519" s="1">
        <v>46073</v>
      </c>
      <c r="C1519" t="s">
        <v>62</v>
      </c>
      <c r="D1519" t="s">
        <v>54</v>
      </c>
      <c r="E1519" t="s">
        <v>26</v>
      </c>
      <c r="F1519" t="s">
        <v>7649</v>
      </c>
      <c r="G1519" t="s">
        <v>55</v>
      </c>
      <c r="H1519" t="s">
        <v>55</v>
      </c>
      <c r="I1519" t="s">
        <v>64</v>
      </c>
      <c r="J1519" t="s">
        <v>157</v>
      </c>
      <c r="K1519" t="s">
        <v>78</v>
      </c>
      <c r="L1519" t="s">
        <v>33</v>
      </c>
      <c r="M1519" t="s">
        <v>47</v>
      </c>
      <c r="N1519" t="s">
        <v>48</v>
      </c>
      <c r="O1519" t="s">
        <v>36</v>
      </c>
      <c r="P1519" t="s">
        <v>58</v>
      </c>
      <c r="Q1519" t="s">
        <v>122</v>
      </c>
      <c r="R1519">
        <v>273</v>
      </c>
      <c r="S1519">
        <v>143</v>
      </c>
      <c r="T1519">
        <v>98</v>
      </c>
      <c r="U1519">
        <v>43</v>
      </c>
      <c r="V1519" t="s">
        <v>7286</v>
      </c>
      <c r="W1519">
        <v>69010</v>
      </c>
      <c r="X1519" t="s">
        <v>572</v>
      </c>
      <c r="Y1519">
        <v>54193</v>
      </c>
      <c r="Z1519">
        <v>2967430</v>
      </c>
      <c r="AA1519">
        <v>637131</v>
      </c>
      <c r="AB1519" t="str">
        <f>(VLOOKUP(SalesData[[#This Row],[Month Number]],Reference!C$5:E$16,2,FALSE))</f>
        <v>Feb</v>
      </c>
      <c r="AC1519">
        <f>MONTH(SalesData[[#This Row],[Date]])</f>
        <v>2</v>
      </c>
      <c r="AD1519">
        <f>Reference!F$4</f>
        <v>2026</v>
      </c>
      <c r="AE1519" t="str">
        <f>IF(OR(SalesData[[#This Row],[Day]]="Saturday",SalesData[[#This Row],[Day]]="Sunday"),"Weekend","Weekday")</f>
        <v>Weekday</v>
      </c>
      <c r="AF1519" s="5">
        <f>IF(SalesData[[#This Row],[Contracts Offered]]=0,0,SalesData[[#This Row],[Contracts Signed]]/SalesData[[#This Row],[Contracts Offered]])</f>
        <v>0.43877551020408162</v>
      </c>
      <c r="AG1519" s="5">
        <f>IF(SalesData[[#This Row],[Customers Visited]]=0,0,SalesData[[#This Row],[Test Drives]]/SalesData[[#This Row],[Customers Visited]])</f>
        <v>0.52380952380952384</v>
      </c>
      <c r="AH1519" s="5">
        <f>IF(SalesData[[#This Row],[Customers Visited]]=0,0,SalesData[[#This Row],[Contracts Signed]]/SalesData[[#This Row],[Customers Visited]])</f>
        <v>0.1575091575091575</v>
      </c>
      <c r="AI1519" s="6">
        <f>IF(SalesData[[#This Row],[Contracts Signed]]=0,0,SalesData[[#This Row],[Profit(€)]]/SalesData[[#This Row],[Contracts Signed]])</f>
        <v>14817</v>
      </c>
      <c r="AJ1519" s="5" t="str">
        <f>TRIM(CLEAN(SalesData[[#This Row],[Retailer]]))</f>
        <v>Autohaus Berlin</v>
      </c>
    </row>
    <row r="1520" spans="1:36" ht="14.25" hidden="1" x14ac:dyDescent="0.2">
      <c r="A1520" t="s">
        <v>2416</v>
      </c>
      <c r="B1520" s="1">
        <v>46071</v>
      </c>
      <c r="C1520" t="s">
        <v>62</v>
      </c>
      <c r="D1520" t="s">
        <v>82</v>
      </c>
      <c r="E1520" t="s">
        <v>26</v>
      </c>
      <c r="F1520" t="s">
        <v>7649</v>
      </c>
      <c r="G1520" t="s">
        <v>55</v>
      </c>
      <c r="H1520" t="s">
        <v>55</v>
      </c>
      <c r="I1520" t="s">
        <v>104</v>
      </c>
      <c r="J1520" t="s">
        <v>143</v>
      </c>
      <c r="K1520" t="s">
        <v>91</v>
      </c>
      <c r="L1520" t="s">
        <v>67</v>
      </c>
      <c r="M1520" t="s">
        <v>87</v>
      </c>
      <c r="N1520" t="s">
        <v>35</v>
      </c>
      <c r="O1520" t="s">
        <v>36</v>
      </c>
      <c r="P1520" t="s">
        <v>49</v>
      </c>
      <c r="Q1520" t="s">
        <v>204</v>
      </c>
      <c r="R1520">
        <v>422</v>
      </c>
      <c r="S1520">
        <v>236</v>
      </c>
      <c r="T1520">
        <v>169</v>
      </c>
      <c r="U1520">
        <v>38</v>
      </c>
      <c r="V1520" t="s">
        <v>4353</v>
      </c>
      <c r="W1520">
        <v>32714</v>
      </c>
      <c r="X1520" t="s">
        <v>3427</v>
      </c>
      <c r="Y1520">
        <v>29428</v>
      </c>
      <c r="Z1520">
        <v>1243132</v>
      </c>
      <c r="AA1520">
        <v>124868</v>
      </c>
      <c r="AB1520" t="str">
        <f>(VLOOKUP(SalesData[[#This Row],[Month Number]],Reference!C$5:E$16,2,FALSE))</f>
        <v>Feb</v>
      </c>
      <c r="AC1520">
        <f>MONTH(SalesData[[#This Row],[Date]])</f>
        <v>2</v>
      </c>
      <c r="AD1520">
        <f>Reference!F$4</f>
        <v>2026</v>
      </c>
      <c r="AE1520" t="str">
        <f>IF(OR(SalesData[[#This Row],[Day]]="Saturday",SalesData[[#This Row],[Day]]="Sunday"),"Weekend","Weekday")</f>
        <v>Weekday</v>
      </c>
      <c r="AF1520" s="5">
        <f>IF(SalesData[[#This Row],[Contracts Offered]]=0,0,SalesData[[#This Row],[Contracts Signed]]/SalesData[[#This Row],[Contracts Offered]])</f>
        <v>0.22485207100591717</v>
      </c>
      <c r="AG1520" s="5">
        <f>IF(SalesData[[#This Row],[Customers Visited]]=0,0,SalesData[[#This Row],[Test Drives]]/SalesData[[#This Row],[Customers Visited]])</f>
        <v>0.55924170616113744</v>
      </c>
      <c r="AH1520" s="5">
        <f>IF(SalesData[[#This Row],[Customers Visited]]=0,0,SalesData[[#This Row],[Contracts Signed]]/SalesData[[#This Row],[Customers Visited]])</f>
        <v>9.004739336492891E-2</v>
      </c>
      <c r="AI1520" s="6">
        <f>IF(SalesData[[#This Row],[Contracts Signed]]=0,0,SalesData[[#This Row],[Profit(€)]]/SalesData[[#This Row],[Contracts Signed]])</f>
        <v>3286</v>
      </c>
      <c r="AJ1520" s="5" t="str">
        <f>TRIM(CLEAN(SalesData[[#This Row],[Retailer]]))</f>
        <v>Autohaus Berlin</v>
      </c>
    </row>
    <row r="1521" spans="1:36" ht="14.25" hidden="1" x14ac:dyDescent="0.2">
      <c r="A1521" t="s">
        <v>2417</v>
      </c>
      <c r="B1521" s="1">
        <v>46064</v>
      </c>
      <c r="C1521" t="s">
        <v>121</v>
      </c>
      <c r="D1521" t="s">
        <v>82</v>
      </c>
      <c r="E1521" t="s">
        <v>26</v>
      </c>
      <c r="F1521" t="s">
        <v>127</v>
      </c>
      <c r="G1521" t="s">
        <v>128</v>
      </c>
      <c r="H1521" t="s">
        <v>103</v>
      </c>
      <c r="I1521" t="s">
        <v>116</v>
      </c>
      <c r="J1521" t="s">
        <v>203</v>
      </c>
      <c r="K1521" t="s">
        <v>78</v>
      </c>
      <c r="L1521" t="s">
        <v>67</v>
      </c>
      <c r="M1521" t="s">
        <v>34</v>
      </c>
      <c r="N1521" t="s">
        <v>48</v>
      </c>
      <c r="O1521" t="s">
        <v>36</v>
      </c>
      <c r="P1521" t="s">
        <v>37</v>
      </c>
      <c r="Q1521" t="s">
        <v>118</v>
      </c>
      <c r="R1521">
        <v>405</v>
      </c>
      <c r="S1521">
        <v>209</v>
      </c>
      <c r="T1521">
        <v>118</v>
      </c>
      <c r="U1521">
        <v>36</v>
      </c>
      <c r="V1521" t="s">
        <v>3653</v>
      </c>
      <c r="W1521">
        <v>24445</v>
      </c>
      <c r="X1521" t="s">
        <v>7043</v>
      </c>
      <c r="Y1521">
        <v>21761</v>
      </c>
      <c r="Z1521">
        <v>880020</v>
      </c>
      <c r="AA1521">
        <v>96624</v>
      </c>
      <c r="AB1521" t="str">
        <f>(VLOOKUP(SalesData[[#This Row],[Month Number]],Reference!C$5:E$16,2,FALSE))</f>
        <v>Feb</v>
      </c>
      <c r="AC1521">
        <f>MONTH(SalesData[[#This Row],[Date]])</f>
        <v>2</v>
      </c>
      <c r="AD1521">
        <f>Reference!F$4</f>
        <v>2026</v>
      </c>
      <c r="AE1521" t="str">
        <f>IF(OR(SalesData[[#This Row],[Day]]="Saturday",SalesData[[#This Row],[Day]]="Sunday"),"Weekend","Weekday")</f>
        <v>Weekday</v>
      </c>
      <c r="AF1521" s="5">
        <f>IF(SalesData[[#This Row],[Contracts Offered]]=0,0,SalesData[[#This Row],[Contracts Signed]]/SalesData[[#This Row],[Contracts Offered]])</f>
        <v>0.30508474576271188</v>
      </c>
      <c r="AG1521" s="5">
        <f>IF(SalesData[[#This Row],[Customers Visited]]=0,0,SalesData[[#This Row],[Test Drives]]/SalesData[[#This Row],[Customers Visited]])</f>
        <v>0.51604938271604939</v>
      </c>
      <c r="AH1521" s="5">
        <f>IF(SalesData[[#This Row],[Customers Visited]]=0,0,SalesData[[#This Row],[Contracts Signed]]/SalesData[[#This Row],[Customers Visited]])</f>
        <v>8.8888888888888892E-2</v>
      </c>
      <c r="AI1521" s="6">
        <f>IF(SalesData[[#This Row],[Contracts Signed]]=0,0,SalesData[[#This Row],[Profit(€)]]/SalesData[[#This Row],[Contracts Signed]])</f>
        <v>2684</v>
      </c>
      <c r="AJ1521" s="5" t="str">
        <f>TRIM(CLEAN(SalesData[[#This Row],[Retailer]]))</f>
        <v>Rhein Auto Group</v>
      </c>
    </row>
    <row r="1522" spans="1:36" ht="14.25" hidden="1" x14ac:dyDescent="0.2">
      <c r="A1522" t="s">
        <v>2418</v>
      </c>
      <c r="B1522" s="1">
        <v>46071</v>
      </c>
      <c r="C1522" t="s">
        <v>62</v>
      </c>
      <c r="D1522" t="s">
        <v>82</v>
      </c>
      <c r="E1522" t="s">
        <v>26</v>
      </c>
      <c r="F1522" t="s">
        <v>83</v>
      </c>
      <c r="G1522" t="s">
        <v>84</v>
      </c>
      <c r="H1522" t="s">
        <v>85</v>
      </c>
      <c r="I1522" t="s">
        <v>56</v>
      </c>
      <c r="J1522" t="s">
        <v>179</v>
      </c>
      <c r="K1522" t="s">
        <v>91</v>
      </c>
      <c r="L1522" t="s">
        <v>67</v>
      </c>
      <c r="M1522" t="s">
        <v>34</v>
      </c>
      <c r="N1522" t="s">
        <v>48</v>
      </c>
      <c r="O1522" t="s">
        <v>70</v>
      </c>
      <c r="P1522" t="s">
        <v>71</v>
      </c>
      <c r="Q1522" t="s">
        <v>38</v>
      </c>
      <c r="R1522">
        <v>209</v>
      </c>
      <c r="S1522">
        <v>126</v>
      </c>
      <c r="T1522">
        <v>97</v>
      </c>
      <c r="U1522">
        <v>28</v>
      </c>
      <c r="V1522" t="s">
        <v>6433</v>
      </c>
      <c r="W1522">
        <v>42359</v>
      </c>
      <c r="X1522" t="s">
        <v>7260</v>
      </c>
      <c r="Y1522">
        <v>33973</v>
      </c>
      <c r="Z1522">
        <v>1186052</v>
      </c>
      <c r="AA1522">
        <v>234808</v>
      </c>
      <c r="AB1522" t="str">
        <f>(VLOOKUP(SalesData[[#This Row],[Month Number]],Reference!C$5:E$16,2,FALSE))</f>
        <v>Feb</v>
      </c>
      <c r="AC1522">
        <f>MONTH(SalesData[[#This Row],[Date]])</f>
        <v>2</v>
      </c>
      <c r="AD1522">
        <f>Reference!F$4</f>
        <v>2026</v>
      </c>
      <c r="AE1522" t="str">
        <f>IF(OR(SalesData[[#This Row],[Day]]="Saturday",SalesData[[#This Row],[Day]]="Sunday"),"Weekend","Weekday")</f>
        <v>Weekday</v>
      </c>
      <c r="AF1522" s="5">
        <f>IF(SalesData[[#This Row],[Contracts Offered]]=0,0,SalesData[[#This Row],[Contracts Signed]]/SalesData[[#This Row],[Contracts Offered]])</f>
        <v>0.28865979381443296</v>
      </c>
      <c r="AG1522" s="5">
        <f>IF(SalesData[[#This Row],[Customers Visited]]=0,0,SalesData[[#This Row],[Test Drives]]/SalesData[[#This Row],[Customers Visited]])</f>
        <v>0.60287081339712922</v>
      </c>
      <c r="AH1522" s="5">
        <f>IF(SalesData[[#This Row],[Customers Visited]]=0,0,SalesData[[#This Row],[Contracts Signed]]/SalesData[[#This Row],[Customers Visited]])</f>
        <v>0.13397129186602871</v>
      </c>
      <c r="AI1522" s="6">
        <f>IF(SalesData[[#This Row],[Contracts Signed]]=0,0,SalesData[[#This Row],[Profit(€)]]/SalesData[[#This Row],[Contracts Signed]])</f>
        <v>8386</v>
      </c>
      <c r="AJ1522" s="5" t="str">
        <f>TRIM(CLEAN(SalesData[[#This Row],[Retailer]]))</f>
        <v>Hannover Cars</v>
      </c>
    </row>
    <row r="1523" spans="1:36" ht="14.25" hidden="1" x14ac:dyDescent="0.2">
      <c r="A1523" t="s">
        <v>2419</v>
      </c>
      <c r="B1523" s="1">
        <v>46069</v>
      </c>
      <c r="C1523" t="s">
        <v>62</v>
      </c>
      <c r="D1523" t="s">
        <v>25</v>
      </c>
      <c r="E1523" t="s">
        <v>26</v>
      </c>
      <c r="F1523" t="s">
        <v>74</v>
      </c>
      <c r="G1523" t="s">
        <v>75</v>
      </c>
      <c r="H1523" t="s">
        <v>76</v>
      </c>
      <c r="I1523" t="s">
        <v>104</v>
      </c>
      <c r="J1523" t="s">
        <v>7061</v>
      </c>
      <c r="K1523" t="s">
        <v>91</v>
      </c>
      <c r="L1523" t="s">
        <v>46</v>
      </c>
      <c r="M1523" t="s">
        <v>47</v>
      </c>
      <c r="N1523" t="s">
        <v>35</v>
      </c>
      <c r="O1523" t="s">
        <v>70</v>
      </c>
      <c r="P1523" t="s">
        <v>58</v>
      </c>
      <c r="Q1523" t="s">
        <v>118</v>
      </c>
      <c r="R1523">
        <v>499</v>
      </c>
      <c r="S1523">
        <v>263</v>
      </c>
      <c r="T1523">
        <v>164</v>
      </c>
      <c r="U1523">
        <v>48</v>
      </c>
      <c r="V1523" t="s">
        <v>2360</v>
      </c>
      <c r="W1523">
        <v>34328</v>
      </c>
      <c r="X1523" t="s">
        <v>781</v>
      </c>
      <c r="Y1523">
        <v>30981</v>
      </c>
      <c r="Z1523">
        <v>1647744</v>
      </c>
      <c r="AA1523">
        <v>160656</v>
      </c>
      <c r="AB1523" t="str">
        <f>(VLOOKUP(SalesData[[#This Row],[Month Number]],Reference!C$5:E$16,2,FALSE))</f>
        <v>Feb</v>
      </c>
      <c r="AC1523">
        <f>MONTH(SalesData[[#This Row],[Date]])</f>
        <v>2</v>
      </c>
      <c r="AD1523">
        <f>Reference!F$4</f>
        <v>2026</v>
      </c>
      <c r="AE1523" t="str">
        <f>IF(OR(SalesData[[#This Row],[Day]]="Saturday",SalesData[[#This Row],[Day]]="Sunday"),"Weekend","Weekday")</f>
        <v>Weekday</v>
      </c>
      <c r="AF1523" s="5">
        <f>IF(SalesData[[#This Row],[Contracts Offered]]=0,0,SalesData[[#This Row],[Contracts Signed]]/SalesData[[#This Row],[Contracts Offered]])</f>
        <v>0.29268292682926828</v>
      </c>
      <c r="AG1523" s="5">
        <f>IF(SalesData[[#This Row],[Customers Visited]]=0,0,SalesData[[#This Row],[Test Drives]]/SalesData[[#This Row],[Customers Visited]])</f>
        <v>0.52705410821643284</v>
      </c>
      <c r="AH1523" s="5">
        <f>IF(SalesData[[#This Row],[Customers Visited]]=0,0,SalesData[[#This Row],[Contracts Signed]]/SalesData[[#This Row],[Customers Visited]])</f>
        <v>9.6192384769539077E-2</v>
      </c>
      <c r="AI1523" s="6">
        <f>IF(SalesData[[#This Row],[Contracts Signed]]=0,0,SalesData[[#This Row],[Profit(€)]]/SalesData[[#This Row],[Contracts Signed]])</f>
        <v>3347</v>
      </c>
      <c r="AJ1523" s="5" t="str">
        <f>TRIM(CLEAN(SalesData[[#This Row],[Retailer]]))</f>
        <v>Stuttgart Auto Center</v>
      </c>
    </row>
    <row r="1524" spans="1:36" ht="14.25" x14ac:dyDescent="0.2">
      <c r="A1524" t="s">
        <v>2420</v>
      </c>
      <c r="B1524" s="1">
        <v>46067</v>
      </c>
      <c r="C1524" t="s">
        <v>121</v>
      </c>
      <c r="D1524" t="s">
        <v>151</v>
      </c>
      <c r="E1524" t="s">
        <v>42</v>
      </c>
      <c r="F1524" t="s">
        <v>94</v>
      </c>
      <c r="G1524" t="s">
        <v>95</v>
      </c>
      <c r="H1524" t="s">
        <v>96</v>
      </c>
      <c r="I1524" t="s">
        <v>30</v>
      </c>
      <c r="J1524" t="s">
        <v>31</v>
      </c>
      <c r="K1524" t="s">
        <v>66</v>
      </c>
      <c r="L1524" t="s">
        <v>46</v>
      </c>
      <c r="M1524" t="s">
        <v>34</v>
      </c>
      <c r="N1524" t="s">
        <v>35</v>
      </c>
      <c r="O1524" t="s">
        <v>70</v>
      </c>
      <c r="P1524" t="s">
        <v>49</v>
      </c>
      <c r="Q1524" t="s">
        <v>88</v>
      </c>
      <c r="R1524">
        <v>160</v>
      </c>
      <c r="S1524">
        <v>74</v>
      </c>
      <c r="T1524">
        <v>54</v>
      </c>
      <c r="U1524">
        <v>19</v>
      </c>
      <c r="V1524" t="s">
        <v>6736</v>
      </c>
      <c r="W1524">
        <v>68823</v>
      </c>
      <c r="X1524" t="s">
        <v>7391</v>
      </c>
      <c r="Y1524">
        <v>53134</v>
      </c>
      <c r="Z1524">
        <v>1307637</v>
      </c>
      <c r="AA1524">
        <v>298091</v>
      </c>
      <c r="AB1524" t="str">
        <f>(VLOOKUP(SalesData[[#This Row],[Month Number]],Reference!C$5:E$16,2,FALSE))</f>
        <v>Feb</v>
      </c>
      <c r="AC1524">
        <f>MONTH(SalesData[[#This Row],[Date]])</f>
        <v>2</v>
      </c>
      <c r="AD1524">
        <f>Reference!F$4</f>
        <v>2026</v>
      </c>
      <c r="AE1524" t="str">
        <f>IF(OR(SalesData[[#This Row],[Day]]="Saturday",SalesData[[#This Row],[Day]]="Sunday"),"Weekend","Weekday")</f>
        <v>Weekend</v>
      </c>
      <c r="AF1524" s="5">
        <f>IF(SalesData[[#This Row],[Contracts Offered]]=0,0,SalesData[[#This Row],[Contracts Signed]]/SalesData[[#This Row],[Contracts Offered]])</f>
        <v>0.35185185185185186</v>
      </c>
      <c r="AG1524" s="5">
        <f>IF(SalesData[[#This Row],[Customers Visited]]=0,0,SalesData[[#This Row],[Test Drives]]/SalesData[[#This Row],[Customers Visited]])</f>
        <v>0.46250000000000002</v>
      </c>
      <c r="AH1524" s="5">
        <f>IF(SalesData[[#This Row],[Customers Visited]]=0,0,SalesData[[#This Row],[Contracts Signed]]/SalesData[[#This Row],[Customers Visited]])</f>
        <v>0.11874999999999999</v>
      </c>
      <c r="AI1524" s="6">
        <f>IF(SalesData[[#This Row],[Contracts Signed]]=0,0,SalesData[[#This Row],[Profit(€)]]/SalesData[[#This Row],[Contracts Signed]])</f>
        <v>15689</v>
      </c>
      <c r="AJ1524" s="5" t="str">
        <f>TRIM(CLEAN(SalesData[[#This Row],[Retailer]]))</f>
        <v>Bavaria Motors</v>
      </c>
    </row>
    <row r="1525" spans="1:36" ht="14.25" hidden="1" x14ac:dyDescent="0.2">
      <c r="A1525" t="s">
        <v>2421</v>
      </c>
      <c r="B1525" s="1">
        <v>46062</v>
      </c>
      <c r="C1525" t="s">
        <v>121</v>
      </c>
      <c r="D1525" t="s">
        <v>25</v>
      </c>
      <c r="E1525" t="s">
        <v>26</v>
      </c>
      <c r="F1525" t="s">
        <v>114</v>
      </c>
      <c r="G1525" t="s">
        <v>115</v>
      </c>
      <c r="H1525" t="s">
        <v>115</v>
      </c>
      <c r="I1525" t="s">
        <v>64</v>
      </c>
      <c r="J1525" t="s">
        <v>77</v>
      </c>
      <c r="K1525" t="s">
        <v>78</v>
      </c>
      <c r="L1525" t="s">
        <v>46</v>
      </c>
      <c r="M1525" t="s">
        <v>68</v>
      </c>
      <c r="N1525" t="s">
        <v>35</v>
      </c>
      <c r="O1525" t="s">
        <v>70</v>
      </c>
      <c r="P1525" t="s">
        <v>49</v>
      </c>
      <c r="Q1525" t="s">
        <v>79</v>
      </c>
      <c r="R1525">
        <v>242</v>
      </c>
      <c r="S1525">
        <v>118</v>
      </c>
      <c r="T1525">
        <v>78</v>
      </c>
      <c r="U1525">
        <v>25</v>
      </c>
      <c r="V1525" t="s">
        <v>7077</v>
      </c>
      <c r="W1525">
        <v>52336</v>
      </c>
      <c r="X1525" t="s">
        <v>7055</v>
      </c>
      <c r="Y1525">
        <v>37516</v>
      </c>
      <c r="Z1525">
        <v>1308400</v>
      </c>
      <c r="AA1525">
        <v>370500</v>
      </c>
      <c r="AB1525" t="str">
        <f>(VLOOKUP(SalesData[[#This Row],[Month Number]],Reference!C$5:E$16,2,FALSE))</f>
        <v>Feb</v>
      </c>
      <c r="AC1525">
        <f>MONTH(SalesData[[#This Row],[Date]])</f>
        <v>2</v>
      </c>
      <c r="AD1525">
        <f>Reference!F$4</f>
        <v>2026</v>
      </c>
      <c r="AE1525" t="str">
        <f>IF(OR(SalesData[[#This Row],[Day]]="Saturday",SalesData[[#This Row],[Day]]="Sunday"),"Weekend","Weekday")</f>
        <v>Weekday</v>
      </c>
      <c r="AF1525" s="5">
        <f>IF(SalesData[[#This Row],[Contracts Offered]]=0,0,SalesData[[#This Row],[Contracts Signed]]/SalesData[[#This Row],[Contracts Offered]])</f>
        <v>0.32051282051282054</v>
      </c>
      <c r="AG1525" s="5">
        <f>IF(SalesData[[#This Row],[Customers Visited]]=0,0,SalesData[[#This Row],[Test Drives]]/SalesData[[#This Row],[Customers Visited]])</f>
        <v>0.48760330578512395</v>
      </c>
      <c r="AH1525" s="5">
        <f>IF(SalesData[[#This Row],[Customers Visited]]=0,0,SalesData[[#This Row],[Contracts Signed]]/SalesData[[#This Row],[Customers Visited]])</f>
        <v>0.10330578512396695</v>
      </c>
      <c r="AI1525" s="6">
        <f>IF(SalesData[[#This Row],[Contracts Signed]]=0,0,SalesData[[#This Row],[Profit(€)]]/SalesData[[#This Row],[Contracts Signed]])</f>
        <v>14820</v>
      </c>
      <c r="AJ1525" s="5" t="str">
        <f>TRIM(CLEAN(SalesData[[#This Row],[Retailer]]))</f>
        <v>Elbe Drive</v>
      </c>
    </row>
    <row r="1526" spans="1:36" ht="14.25" hidden="1" x14ac:dyDescent="0.2">
      <c r="A1526" t="s">
        <v>2422</v>
      </c>
      <c r="B1526" s="1">
        <v>46055</v>
      </c>
      <c r="C1526" t="s">
        <v>24</v>
      </c>
      <c r="D1526" t="s">
        <v>25</v>
      </c>
      <c r="E1526" t="s">
        <v>26</v>
      </c>
      <c r="F1526" t="s">
        <v>109</v>
      </c>
      <c r="G1526" t="s">
        <v>110</v>
      </c>
      <c r="H1526" t="s">
        <v>45</v>
      </c>
      <c r="I1526" t="s">
        <v>56</v>
      </c>
      <c r="J1526" t="s">
        <v>179</v>
      </c>
      <c r="K1526" t="s">
        <v>78</v>
      </c>
      <c r="L1526" t="s">
        <v>67</v>
      </c>
      <c r="M1526" t="s">
        <v>34</v>
      </c>
      <c r="N1526" t="s">
        <v>69</v>
      </c>
      <c r="O1526" t="s">
        <v>70</v>
      </c>
      <c r="P1526" t="s">
        <v>49</v>
      </c>
      <c r="Q1526" t="s">
        <v>135</v>
      </c>
      <c r="R1526">
        <v>203</v>
      </c>
      <c r="S1526">
        <v>122</v>
      </c>
      <c r="T1526">
        <v>94</v>
      </c>
      <c r="U1526">
        <v>26</v>
      </c>
      <c r="V1526" t="s">
        <v>6587</v>
      </c>
      <c r="W1526">
        <v>49221</v>
      </c>
      <c r="X1526" t="s">
        <v>7034</v>
      </c>
      <c r="Y1526">
        <v>39177</v>
      </c>
      <c r="Z1526">
        <v>1279746</v>
      </c>
      <c r="AA1526">
        <v>261144</v>
      </c>
      <c r="AB1526" t="str">
        <f>(VLOOKUP(SalesData[[#This Row],[Month Number]],Reference!C$5:E$16,2,FALSE))</f>
        <v>Feb</v>
      </c>
      <c r="AC1526">
        <f>MONTH(SalesData[[#This Row],[Date]])</f>
        <v>2</v>
      </c>
      <c r="AD1526">
        <f>Reference!F$4</f>
        <v>2026</v>
      </c>
      <c r="AE1526" t="str">
        <f>IF(OR(SalesData[[#This Row],[Day]]="Saturday",SalesData[[#This Row],[Day]]="Sunday"),"Weekend","Weekday")</f>
        <v>Weekday</v>
      </c>
      <c r="AF1526" s="5">
        <f>IF(SalesData[[#This Row],[Contracts Offered]]=0,0,SalesData[[#This Row],[Contracts Signed]]/SalesData[[#This Row],[Contracts Offered]])</f>
        <v>0.27659574468085107</v>
      </c>
      <c r="AG1526" s="5">
        <f>IF(SalesData[[#This Row],[Customers Visited]]=0,0,SalesData[[#This Row],[Test Drives]]/SalesData[[#This Row],[Customers Visited]])</f>
        <v>0.60098522167487689</v>
      </c>
      <c r="AH1526" s="5">
        <f>IF(SalesData[[#This Row],[Customers Visited]]=0,0,SalesData[[#This Row],[Contracts Signed]]/SalesData[[#This Row],[Customers Visited]])</f>
        <v>0.12807881773399016</v>
      </c>
      <c r="AI1526" s="6">
        <f>IF(SalesData[[#This Row],[Contracts Signed]]=0,0,SalesData[[#This Row],[Profit(€)]]/SalesData[[#This Row],[Contracts Signed]])</f>
        <v>10044</v>
      </c>
      <c r="AJ1526" s="5" t="str">
        <f>TRIM(CLEAN(SalesData[[#This Row],[Retailer]]))</f>
        <v>Leipzig Mobility</v>
      </c>
    </row>
    <row r="1527" spans="1:36" ht="14.25" hidden="1" x14ac:dyDescent="0.2">
      <c r="A1527" t="s">
        <v>2423</v>
      </c>
      <c r="B1527" s="1">
        <v>46081</v>
      </c>
      <c r="C1527" t="s">
        <v>53</v>
      </c>
      <c r="D1527" t="s">
        <v>151</v>
      </c>
      <c r="E1527" t="s">
        <v>42</v>
      </c>
      <c r="F1527" t="s">
        <v>127</v>
      </c>
      <c r="G1527" t="s">
        <v>128</v>
      </c>
      <c r="H1527" t="s">
        <v>103</v>
      </c>
      <c r="I1527" t="s">
        <v>56</v>
      </c>
      <c r="J1527" t="s">
        <v>7028</v>
      </c>
      <c r="K1527" t="s">
        <v>91</v>
      </c>
      <c r="L1527" t="s">
        <v>46</v>
      </c>
      <c r="M1527" t="s">
        <v>34</v>
      </c>
      <c r="N1527" t="s">
        <v>48</v>
      </c>
      <c r="O1527" t="s">
        <v>70</v>
      </c>
      <c r="P1527" t="s">
        <v>49</v>
      </c>
      <c r="Q1527" t="s">
        <v>347</v>
      </c>
      <c r="R1527">
        <v>191</v>
      </c>
      <c r="S1527">
        <v>92</v>
      </c>
      <c r="T1527">
        <v>66</v>
      </c>
      <c r="U1527">
        <v>18</v>
      </c>
      <c r="V1527" t="s">
        <v>2567</v>
      </c>
      <c r="W1527">
        <v>49291</v>
      </c>
      <c r="X1527" t="s">
        <v>923</v>
      </c>
      <c r="Y1527">
        <v>37304</v>
      </c>
      <c r="Z1527">
        <v>887238</v>
      </c>
      <c r="AA1527">
        <v>215766</v>
      </c>
      <c r="AB1527" t="str">
        <f>(VLOOKUP(SalesData[[#This Row],[Month Number]],Reference!C$5:E$16,2,FALSE))</f>
        <v>Feb</v>
      </c>
      <c r="AC1527">
        <f>MONTH(SalesData[[#This Row],[Date]])</f>
        <v>2</v>
      </c>
      <c r="AD1527">
        <f>Reference!F$4</f>
        <v>2026</v>
      </c>
      <c r="AE1527" t="str">
        <f>IF(OR(SalesData[[#This Row],[Day]]="Saturday",SalesData[[#This Row],[Day]]="Sunday"),"Weekend","Weekday")</f>
        <v>Weekend</v>
      </c>
      <c r="AF1527" s="5">
        <f>IF(SalesData[[#This Row],[Contracts Offered]]=0,0,SalesData[[#This Row],[Contracts Signed]]/SalesData[[#This Row],[Contracts Offered]])</f>
        <v>0.27272727272727271</v>
      </c>
      <c r="AG1527" s="5">
        <f>IF(SalesData[[#This Row],[Customers Visited]]=0,0,SalesData[[#This Row],[Test Drives]]/SalesData[[#This Row],[Customers Visited]])</f>
        <v>0.48167539267015708</v>
      </c>
      <c r="AH1527" s="5">
        <f>IF(SalesData[[#This Row],[Customers Visited]]=0,0,SalesData[[#This Row],[Contracts Signed]]/SalesData[[#This Row],[Customers Visited]])</f>
        <v>9.4240837696335081E-2</v>
      </c>
      <c r="AI1527" s="6">
        <f>IF(SalesData[[#This Row],[Contracts Signed]]=0,0,SalesData[[#This Row],[Profit(€)]]/SalesData[[#This Row],[Contracts Signed]])</f>
        <v>11987</v>
      </c>
      <c r="AJ1527" s="5" t="str">
        <f>TRIM(CLEAN(SalesData[[#This Row],[Retailer]]))</f>
        <v>Rhein Auto Group</v>
      </c>
    </row>
    <row r="1528" spans="1:36" ht="14.25" hidden="1" x14ac:dyDescent="0.2">
      <c r="A1528" t="s">
        <v>2424</v>
      </c>
      <c r="B1528" s="1">
        <v>46075</v>
      </c>
      <c r="C1528" t="s">
        <v>53</v>
      </c>
      <c r="D1528" t="s">
        <v>41</v>
      </c>
      <c r="E1528" t="s">
        <v>42</v>
      </c>
      <c r="F1528" t="s">
        <v>27</v>
      </c>
      <c r="G1528" t="s">
        <v>28</v>
      </c>
      <c r="H1528" t="s">
        <v>29</v>
      </c>
      <c r="I1528" t="s">
        <v>56</v>
      </c>
      <c r="J1528" t="s">
        <v>97</v>
      </c>
      <c r="K1528" t="s">
        <v>66</v>
      </c>
      <c r="L1528" t="s">
        <v>33</v>
      </c>
      <c r="M1528" t="s">
        <v>87</v>
      </c>
      <c r="N1528" t="s">
        <v>48</v>
      </c>
      <c r="O1528" t="s">
        <v>36</v>
      </c>
      <c r="P1528" t="s">
        <v>49</v>
      </c>
      <c r="Q1528" t="s">
        <v>135</v>
      </c>
      <c r="R1528">
        <v>245</v>
      </c>
      <c r="S1528">
        <v>151</v>
      </c>
      <c r="T1528">
        <v>106</v>
      </c>
      <c r="U1528">
        <v>33</v>
      </c>
      <c r="V1528" t="s">
        <v>6798</v>
      </c>
      <c r="W1528">
        <v>47005</v>
      </c>
      <c r="X1528" t="s">
        <v>1002</v>
      </c>
      <c r="Y1528">
        <v>35781</v>
      </c>
      <c r="Z1528">
        <v>1551165</v>
      </c>
      <c r="AA1528">
        <v>370392</v>
      </c>
      <c r="AB1528" t="str">
        <f>(VLOOKUP(SalesData[[#This Row],[Month Number]],Reference!C$5:E$16,2,FALSE))</f>
        <v>Feb</v>
      </c>
      <c r="AC1528">
        <f>MONTH(SalesData[[#This Row],[Date]])</f>
        <v>2</v>
      </c>
      <c r="AD1528">
        <f>Reference!F$4</f>
        <v>2026</v>
      </c>
      <c r="AE1528" t="str">
        <f>IF(OR(SalesData[[#This Row],[Day]]="Saturday",SalesData[[#This Row],[Day]]="Sunday"),"Weekend","Weekday")</f>
        <v>Weekend</v>
      </c>
      <c r="AF1528" s="5">
        <f>IF(SalesData[[#This Row],[Contracts Offered]]=0,0,SalesData[[#This Row],[Contracts Signed]]/SalesData[[#This Row],[Contracts Offered]])</f>
        <v>0.31132075471698112</v>
      </c>
      <c r="AG1528" s="5">
        <f>IF(SalesData[[#This Row],[Customers Visited]]=0,0,SalesData[[#This Row],[Test Drives]]/SalesData[[#This Row],[Customers Visited]])</f>
        <v>0.61632653061224485</v>
      </c>
      <c r="AH1528" s="5">
        <f>IF(SalesData[[#This Row],[Customers Visited]]=0,0,SalesData[[#This Row],[Contracts Signed]]/SalesData[[#This Row],[Customers Visited]])</f>
        <v>0.13469387755102041</v>
      </c>
      <c r="AI1528" s="6">
        <f>IF(SalesData[[#This Row],[Contracts Signed]]=0,0,SalesData[[#This Row],[Profit(€)]]/SalesData[[#This Row],[Contracts Signed]])</f>
        <v>11224</v>
      </c>
      <c r="AJ1528" s="5" t="str">
        <f>TRIM(CLEAN(SalesData[[#This Row],[Retailer]]))</f>
        <v>Main Auto Hub</v>
      </c>
    </row>
    <row r="1529" spans="1:36" ht="14.25" hidden="1" x14ac:dyDescent="0.2">
      <c r="A1529" t="s">
        <v>2425</v>
      </c>
      <c r="B1529" s="1">
        <v>46062</v>
      </c>
      <c r="C1529" t="s">
        <v>121</v>
      </c>
      <c r="D1529" t="s">
        <v>25</v>
      </c>
      <c r="E1529" t="s">
        <v>26</v>
      </c>
      <c r="F1529" t="s">
        <v>43</v>
      </c>
      <c r="G1529" t="s">
        <v>44</v>
      </c>
      <c r="H1529" t="s">
        <v>45</v>
      </c>
      <c r="I1529" t="s">
        <v>104</v>
      </c>
      <c r="J1529" t="s">
        <v>7031</v>
      </c>
      <c r="K1529" t="s">
        <v>78</v>
      </c>
      <c r="L1529" t="s">
        <v>46</v>
      </c>
      <c r="M1529" t="s">
        <v>34</v>
      </c>
      <c r="N1529" t="s">
        <v>69</v>
      </c>
      <c r="O1529" t="s">
        <v>70</v>
      </c>
      <c r="P1529" t="s">
        <v>49</v>
      </c>
      <c r="Q1529" t="s">
        <v>50</v>
      </c>
      <c r="R1529">
        <v>333</v>
      </c>
      <c r="S1529">
        <v>145</v>
      </c>
      <c r="T1529">
        <v>101</v>
      </c>
      <c r="U1529">
        <v>16</v>
      </c>
      <c r="V1529" t="s">
        <v>3082</v>
      </c>
      <c r="W1529">
        <v>32320</v>
      </c>
      <c r="X1529" t="s">
        <v>847</v>
      </c>
      <c r="Y1529">
        <v>28395</v>
      </c>
      <c r="Z1529">
        <v>517120</v>
      </c>
      <c r="AA1529">
        <v>62800</v>
      </c>
      <c r="AB1529" t="str">
        <f>(VLOOKUP(SalesData[[#This Row],[Month Number]],Reference!C$5:E$16,2,FALSE))</f>
        <v>Feb</v>
      </c>
      <c r="AC1529">
        <f>MONTH(SalesData[[#This Row],[Date]])</f>
        <v>2</v>
      </c>
      <c r="AD1529">
        <f>Reference!F$4</f>
        <v>2026</v>
      </c>
      <c r="AE1529" t="str">
        <f>IF(OR(SalesData[[#This Row],[Day]]="Saturday",SalesData[[#This Row],[Day]]="Sunday"),"Weekend","Weekday")</f>
        <v>Weekday</v>
      </c>
      <c r="AF1529" s="5">
        <f>IF(SalesData[[#This Row],[Contracts Offered]]=0,0,SalesData[[#This Row],[Contracts Signed]]/SalesData[[#This Row],[Contracts Offered]])</f>
        <v>0.15841584158415842</v>
      </c>
      <c r="AG1529" s="5">
        <f>IF(SalesData[[#This Row],[Customers Visited]]=0,0,SalesData[[#This Row],[Test Drives]]/SalesData[[#This Row],[Customers Visited]])</f>
        <v>0.43543543543543545</v>
      </c>
      <c r="AH1529" s="5">
        <f>IF(SalesData[[#This Row],[Customers Visited]]=0,0,SalesData[[#This Row],[Contracts Signed]]/SalesData[[#This Row],[Customers Visited]])</f>
        <v>4.8048048048048048E-2</v>
      </c>
      <c r="AI1529" s="6">
        <f>IF(SalesData[[#This Row],[Contracts Signed]]=0,0,SalesData[[#This Row],[Profit(€)]]/SalesData[[#This Row],[Contracts Signed]])</f>
        <v>3925</v>
      </c>
      <c r="AJ1529" s="5" t="str">
        <f>TRIM(CLEAN(SalesData[[#This Row],[Retailer]]))</f>
        <v>Saxon Wheels</v>
      </c>
    </row>
    <row r="1530" spans="1:36" ht="14.25" hidden="1" x14ac:dyDescent="0.2">
      <c r="A1530" t="s">
        <v>2426</v>
      </c>
      <c r="B1530" s="1">
        <v>46067</v>
      </c>
      <c r="C1530" t="s">
        <v>121</v>
      </c>
      <c r="D1530" t="s">
        <v>151</v>
      </c>
      <c r="E1530" t="s">
        <v>42</v>
      </c>
      <c r="F1530" t="s">
        <v>109</v>
      </c>
      <c r="G1530" t="s">
        <v>110</v>
      </c>
      <c r="H1530" t="s">
        <v>45</v>
      </c>
      <c r="I1530" t="s">
        <v>116</v>
      </c>
      <c r="J1530" t="s">
        <v>132</v>
      </c>
      <c r="K1530" t="s">
        <v>78</v>
      </c>
      <c r="L1530" t="s">
        <v>46</v>
      </c>
      <c r="M1530" t="s">
        <v>47</v>
      </c>
      <c r="N1530" t="s">
        <v>69</v>
      </c>
      <c r="O1530" t="s">
        <v>70</v>
      </c>
      <c r="P1530" t="s">
        <v>71</v>
      </c>
      <c r="Q1530" t="s">
        <v>38</v>
      </c>
      <c r="R1530">
        <v>365</v>
      </c>
      <c r="S1530">
        <v>146</v>
      </c>
      <c r="T1530">
        <v>92</v>
      </c>
      <c r="U1530">
        <v>23</v>
      </c>
      <c r="V1530" t="s">
        <v>939</v>
      </c>
      <c r="W1530">
        <v>27085</v>
      </c>
      <c r="X1530" t="s">
        <v>5693</v>
      </c>
      <c r="Y1530">
        <v>25042</v>
      </c>
      <c r="Z1530">
        <v>622955</v>
      </c>
      <c r="AA1530">
        <v>46989</v>
      </c>
      <c r="AB1530" t="str">
        <f>(VLOOKUP(SalesData[[#This Row],[Month Number]],Reference!C$5:E$16,2,FALSE))</f>
        <v>Feb</v>
      </c>
      <c r="AC1530">
        <f>MONTH(SalesData[[#This Row],[Date]])</f>
        <v>2</v>
      </c>
      <c r="AD1530">
        <f>Reference!F$4</f>
        <v>2026</v>
      </c>
      <c r="AE1530" t="str">
        <f>IF(OR(SalesData[[#This Row],[Day]]="Saturday",SalesData[[#This Row],[Day]]="Sunday"),"Weekend","Weekday")</f>
        <v>Weekend</v>
      </c>
      <c r="AF1530" s="5">
        <f>IF(SalesData[[#This Row],[Contracts Offered]]=0,0,SalesData[[#This Row],[Contracts Signed]]/SalesData[[#This Row],[Contracts Offered]])</f>
        <v>0.25</v>
      </c>
      <c r="AG1530" s="5">
        <f>IF(SalesData[[#This Row],[Customers Visited]]=0,0,SalesData[[#This Row],[Test Drives]]/SalesData[[#This Row],[Customers Visited]])</f>
        <v>0.4</v>
      </c>
      <c r="AH1530" s="5">
        <f>IF(SalesData[[#This Row],[Customers Visited]]=0,0,SalesData[[#This Row],[Contracts Signed]]/SalesData[[#This Row],[Customers Visited]])</f>
        <v>6.3013698630136991E-2</v>
      </c>
      <c r="AI1530" s="6">
        <f>IF(SalesData[[#This Row],[Contracts Signed]]=0,0,SalesData[[#This Row],[Profit(€)]]/SalesData[[#This Row],[Contracts Signed]])</f>
        <v>2043</v>
      </c>
      <c r="AJ1530" s="5" t="str">
        <f>TRIM(CLEAN(SalesData[[#This Row],[Retailer]]))</f>
        <v>Leipzig Mobility</v>
      </c>
    </row>
    <row r="1531" spans="1:36" ht="14.25" hidden="1" x14ac:dyDescent="0.2">
      <c r="A1531" t="s">
        <v>2428</v>
      </c>
      <c r="B1531" s="1">
        <v>46059</v>
      </c>
      <c r="C1531" t="s">
        <v>24</v>
      </c>
      <c r="D1531" t="s">
        <v>54</v>
      </c>
      <c r="E1531" t="s">
        <v>26</v>
      </c>
      <c r="F1531" t="s">
        <v>101</v>
      </c>
      <c r="G1531" t="s">
        <v>102</v>
      </c>
      <c r="H1531" t="s">
        <v>103</v>
      </c>
      <c r="I1531" t="s">
        <v>64</v>
      </c>
      <c r="J1531" t="s">
        <v>157</v>
      </c>
      <c r="K1531" t="s">
        <v>78</v>
      </c>
      <c r="L1531" t="s">
        <v>33</v>
      </c>
      <c r="M1531" t="s">
        <v>68</v>
      </c>
      <c r="N1531" t="s">
        <v>48</v>
      </c>
      <c r="O1531" t="s">
        <v>36</v>
      </c>
      <c r="P1531" t="s">
        <v>49</v>
      </c>
      <c r="Q1531" t="s">
        <v>204</v>
      </c>
      <c r="R1531">
        <v>146</v>
      </c>
      <c r="S1531">
        <v>78</v>
      </c>
      <c r="T1531">
        <v>60</v>
      </c>
      <c r="U1531">
        <v>17</v>
      </c>
      <c r="V1531" t="s">
        <v>6443</v>
      </c>
      <c r="W1531">
        <v>64854</v>
      </c>
      <c r="X1531" t="s">
        <v>698</v>
      </c>
      <c r="Y1531">
        <v>50715</v>
      </c>
      <c r="Z1531">
        <v>1102518</v>
      </c>
      <c r="AA1531">
        <v>240363</v>
      </c>
      <c r="AB1531" t="str">
        <f>(VLOOKUP(SalesData[[#This Row],[Month Number]],Reference!C$5:E$16,2,FALSE))</f>
        <v>Feb</v>
      </c>
      <c r="AC1531">
        <f>MONTH(SalesData[[#This Row],[Date]])</f>
        <v>2</v>
      </c>
      <c r="AD1531">
        <f>Reference!F$4</f>
        <v>2026</v>
      </c>
      <c r="AE1531" t="str">
        <f>IF(OR(SalesData[[#This Row],[Day]]="Saturday",SalesData[[#This Row],[Day]]="Sunday"),"Weekend","Weekday")</f>
        <v>Weekday</v>
      </c>
      <c r="AF1531" s="5">
        <f>IF(SalesData[[#This Row],[Contracts Offered]]=0,0,SalesData[[#This Row],[Contracts Signed]]/SalesData[[#This Row],[Contracts Offered]])</f>
        <v>0.28333333333333333</v>
      </c>
      <c r="AG1531" s="5">
        <f>IF(SalesData[[#This Row],[Customers Visited]]=0,0,SalesData[[#This Row],[Test Drives]]/SalesData[[#This Row],[Customers Visited]])</f>
        <v>0.53424657534246578</v>
      </c>
      <c r="AH1531" s="5">
        <f>IF(SalesData[[#This Row],[Customers Visited]]=0,0,SalesData[[#This Row],[Contracts Signed]]/SalesData[[#This Row],[Customers Visited]])</f>
        <v>0.11643835616438356</v>
      </c>
      <c r="AI1531" s="6">
        <f>IF(SalesData[[#This Row],[Contracts Signed]]=0,0,SalesData[[#This Row],[Profit(€)]]/SalesData[[#This Row],[Contracts Signed]])</f>
        <v>14139</v>
      </c>
      <c r="AJ1531" s="5" t="str">
        <f>TRIM(CLEAN(SalesData[[#This Row],[Retailer]]))</f>
        <v>Ruhr Auto Plaza</v>
      </c>
    </row>
    <row r="1532" spans="1:36" ht="14.25" x14ac:dyDescent="0.2">
      <c r="A1532" t="s">
        <v>2429</v>
      </c>
      <c r="B1532" s="1">
        <v>46058</v>
      </c>
      <c r="C1532" t="s">
        <v>24</v>
      </c>
      <c r="D1532" t="s">
        <v>100</v>
      </c>
      <c r="E1532" t="s">
        <v>26</v>
      </c>
      <c r="F1532" t="s">
        <v>94</v>
      </c>
      <c r="G1532" t="s">
        <v>95</v>
      </c>
      <c r="H1532" t="s">
        <v>96</v>
      </c>
      <c r="I1532" t="s">
        <v>30</v>
      </c>
      <c r="J1532" t="s">
        <v>188</v>
      </c>
      <c r="K1532" t="s">
        <v>78</v>
      </c>
      <c r="L1532" t="s">
        <v>33</v>
      </c>
      <c r="M1532" t="s">
        <v>34</v>
      </c>
      <c r="N1532" t="s">
        <v>35</v>
      </c>
      <c r="O1532" t="s">
        <v>36</v>
      </c>
      <c r="P1532" t="s">
        <v>37</v>
      </c>
      <c r="Q1532" t="s">
        <v>347</v>
      </c>
      <c r="R1532">
        <v>148</v>
      </c>
      <c r="S1532">
        <v>81</v>
      </c>
      <c r="T1532">
        <v>61</v>
      </c>
      <c r="U1532">
        <v>24</v>
      </c>
      <c r="V1532" t="s">
        <v>7052</v>
      </c>
      <c r="W1532">
        <v>54219</v>
      </c>
      <c r="X1532" t="s">
        <v>589</v>
      </c>
      <c r="Y1532">
        <v>41726</v>
      </c>
      <c r="Z1532">
        <v>1301256</v>
      </c>
      <c r="AA1532">
        <v>299832</v>
      </c>
      <c r="AB1532" t="str">
        <f>(VLOOKUP(SalesData[[#This Row],[Month Number]],Reference!C$5:E$16,2,FALSE))</f>
        <v>Feb</v>
      </c>
      <c r="AC1532">
        <f>MONTH(SalesData[[#This Row],[Date]])</f>
        <v>2</v>
      </c>
      <c r="AD1532">
        <f>Reference!F$4</f>
        <v>2026</v>
      </c>
      <c r="AE1532" t="str">
        <f>IF(OR(SalesData[[#This Row],[Day]]="Saturday",SalesData[[#This Row],[Day]]="Sunday"),"Weekend","Weekday")</f>
        <v>Weekday</v>
      </c>
      <c r="AF1532" s="5">
        <f>IF(SalesData[[#This Row],[Contracts Offered]]=0,0,SalesData[[#This Row],[Contracts Signed]]/SalesData[[#This Row],[Contracts Offered]])</f>
        <v>0.39344262295081966</v>
      </c>
      <c r="AG1532" s="5">
        <f>IF(SalesData[[#This Row],[Customers Visited]]=0,0,SalesData[[#This Row],[Test Drives]]/SalesData[[#This Row],[Customers Visited]])</f>
        <v>0.54729729729729726</v>
      </c>
      <c r="AH1532" s="5">
        <f>IF(SalesData[[#This Row],[Customers Visited]]=0,0,SalesData[[#This Row],[Contracts Signed]]/SalesData[[#This Row],[Customers Visited]])</f>
        <v>0.16216216216216217</v>
      </c>
      <c r="AI1532" s="6">
        <f>IF(SalesData[[#This Row],[Contracts Signed]]=0,0,SalesData[[#This Row],[Profit(€)]]/SalesData[[#This Row],[Contracts Signed]])</f>
        <v>12493</v>
      </c>
      <c r="AJ1532" s="5" t="str">
        <f>TRIM(CLEAN(SalesData[[#This Row],[Retailer]]))</f>
        <v>Bavaria Motors</v>
      </c>
    </row>
    <row r="1533" spans="1:36" ht="14.25" hidden="1" x14ac:dyDescent="0.2">
      <c r="A1533" t="s">
        <v>2430</v>
      </c>
      <c r="B1533" s="1">
        <v>46056</v>
      </c>
      <c r="C1533" t="s">
        <v>24</v>
      </c>
      <c r="D1533" t="s">
        <v>63</v>
      </c>
      <c r="E1533" t="s">
        <v>26</v>
      </c>
      <c r="F1533" t="s">
        <v>83</v>
      </c>
      <c r="G1533" t="s">
        <v>84</v>
      </c>
      <c r="H1533" t="s">
        <v>85</v>
      </c>
      <c r="I1533" t="s">
        <v>64</v>
      </c>
      <c r="J1533" t="s">
        <v>7029</v>
      </c>
      <c r="K1533" t="s">
        <v>66</v>
      </c>
      <c r="L1533" t="s">
        <v>33</v>
      </c>
      <c r="M1533" t="s">
        <v>47</v>
      </c>
      <c r="N1533" t="s">
        <v>69</v>
      </c>
      <c r="O1533" t="s">
        <v>70</v>
      </c>
      <c r="P1533" t="s">
        <v>49</v>
      </c>
      <c r="Q1533" t="s">
        <v>50</v>
      </c>
      <c r="R1533">
        <v>270</v>
      </c>
      <c r="S1533">
        <v>131</v>
      </c>
      <c r="T1533">
        <v>90</v>
      </c>
      <c r="U1533">
        <v>32</v>
      </c>
      <c r="V1533" t="s">
        <v>6380</v>
      </c>
      <c r="W1533">
        <v>69055</v>
      </c>
      <c r="X1533" t="s">
        <v>1813</v>
      </c>
      <c r="Y1533">
        <v>54372</v>
      </c>
      <c r="Z1533">
        <v>2209760</v>
      </c>
      <c r="AA1533">
        <v>469856</v>
      </c>
      <c r="AB1533" t="str">
        <f>(VLOOKUP(SalesData[[#This Row],[Month Number]],Reference!C$5:E$16,2,FALSE))</f>
        <v>Feb</v>
      </c>
      <c r="AC1533">
        <f>MONTH(SalesData[[#This Row],[Date]])</f>
        <v>2</v>
      </c>
      <c r="AD1533">
        <f>Reference!F$4</f>
        <v>2026</v>
      </c>
      <c r="AE1533" t="str">
        <f>IF(OR(SalesData[[#This Row],[Day]]="Saturday",SalesData[[#This Row],[Day]]="Sunday"),"Weekend","Weekday")</f>
        <v>Weekday</v>
      </c>
      <c r="AF1533" s="5">
        <f>IF(SalesData[[#This Row],[Contracts Offered]]=0,0,SalesData[[#This Row],[Contracts Signed]]/SalesData[[#This Row],[Contracts Offered]])</f>
        <v>0.35555555555555557</v>
      </c>
      <c r="AG1533" s="5">
        <f>IF(SalesData[[#This Row],[Customers Visited]]=0,0,SalesData[[#This Row],[Test Drives]]/SalesData[[#This Row],[Customers Visited]])</f>
        <v>0.48518518518518516</v>
      </c>
      <c r="AH1533" s="5">
        <f>IF(SalesData[[#This Row],[Customers Visited]]=0,0,SalesData[[#This Row],[Contracts Signed]]/SalesData[[#This Row],[Customers Visited]])</f>
        <v>0.11851851851851852</v>
      </c>
      <c r="AI1533" s="6">
        <f>IF(SalesData[[#This Row],[Contracts Signed]]=0,0,SalesData[[#This Row],[Profit(€)]]/SalesData[[#This Row],[Contracts Signed]])</f>
        <v>14683</v>
      </c>
      <c r="AJ1533" s="5" t="str">
        <f>TRIM(CLEAN(SalesData[[#This Row],[Retailer]]))</f>
        <v>Hannover Cars</v>
      </c>
    </row>
    <row r="1534" spans="1:36" ht="14.25" x14ac:dyDescent="0.2">
      <c r="A1534" t="s">
        <v>2431</v>
      </c>
      <c r="B1534" s="1">
        <v>46069</v>
      </c>
      <c r="C1534" t="s">
        <v>62</v>
      </c>
      <c r="D1534" t="s">
        <v>25</v>
      </c>
      <c r="E1534" t="s">
        <v>26</v>
      </c>
      <c r="F1534" t="s">
        <v>7649</v>
      </c>
      <c r="G1534" t="s">
        <v>55</v>
      </c>
      <c r="H1534" t="s">
        <v>55</v>
      </c>
      <c r="I1534" t="s">
        <v>30</v>
      </c>
      <c r="J1534" t="s">
        <v>7075</v>
      </c>
      <c r="K1534" t="s">
        <v>32</v>
      </c>
      <c r="L1534" t="s">
        <v>33</v>
      </c>
      <c r="M1534" t="s">
        <v>68</v>
      </c>
      <c r="N1534" t="s">
        <v>35</v>
      </c>
      <c r="O1534" t="s">
        <v>70</v>
      </c>
      <c r="P1534" t="s">
        <v>49</v>
      </c>
      <c r="Q1534" t="s">
        <v>79</v>
      </c>
      <c r="R1534">
        <v>169</v>
      </c>
      <c r="S1534">
        <v>84</v>
      </c>
      <c r="T1534">
        <v>63</v>
      </c>
      <c r="U1534">
        <v>24</v>
      </c>
      <c r="V1534" t="s">
        <v>6357</v>
      </c>
      <c r="W1534">
        <v>51598</v>
      </c>
      <c r="X1534" t="s">
        <v>7453</v>
      </c>
      <c r="Y1534">
        <v>39190</v>
      </c>
      <c r="Z1534">
        <v>1238352</v>
      </c>
      <c r="AA1534">
        <v>297792</v>
      </c>
      <c r="AB1534" t="str">
        <f>(VLOOKUP(SalesData[[#This Row],[Month Number]],Reference!C$5:E$16,2,FALSE))</f>
        <v>Feb</v>
      </c>
      <c r="AC1534">
        <f>MONTH(SalesData[[#This Row],[Date]])</f>
        <v>2</v>
      </c>
      <c r="AD1534">
        <f>Reference!F$4</f>
        <v>2026</v>
      </c>
      <c r="AE1534" t="str">
        <f>IF(OR(SalesData[[#This Row],[Day]]="Saturday",SalesData[[#This Row],[Day]]="Sunday"),"Weekend","Weekday")</f>
        <v>Weekday</v>
      </c>
      <c r="AF1534" s="5">
        <f>IF(SalesData[[#This Row],[Contracts Offered]]=0,0,SalesData[[#This Row],[Contracts Signed]]/SalesData[[#This Row],[Contracts Offered]])</f>
        <v>0.38095238095238093</v>
      </c>
      <c r="AG1534" s="5">
        <f>IF(SalesData[[#This Row],[Customers Visited]]=0,0,SalesData[[#This Row],[Test Drives]]/SalesData[[#This Row],[Customers Visited]])</f>
        <v>0.49704142011834318</v>
      </c>
      <c r="AH1534" s="5">
        <f>IF(SalesData[[#This Row],[Customers Visited]]=0,0,SalesData[[#This Row],[Contracts Signed]]/SalesData[[#This Row],[Customers Visited]])</f>
        <v>0.14201183431952663</v>
      </c>
      <c r="AI1534" s="6">
        <f>IF(SalesData[[#This Row],[Contracts Signed]]=0,0,SalesData[[#This Row],[Profit(€)]]/SalesData[[#This Row],[Contracts Signed]])</f>
        <v>12408</v>
      </c>
      <c r="AJ1534" s="5" t="str">
        <f>TRIM(CLEAN(SalesData[[#This Row],[Retailer]]))</f>
        <v>Autohaus Berlin</v>
      </c>
    </row>
    <row r="1535" spans="1:36" ht="14.25" hidden="1" x14ac:dyDescent="0.2">
      <c r="A1535" t="s">
        <v>2432</v>
      </c>
      <c r="B1535" s="1">
        <v>46070</v>
      </c>
      <c r="C1535" t="s">
        <v>62</v>
      </c>
      <c r="D1535" t="s">
        <v>63</v>
      </c>
      <c r="E1535" t="s">
        <v>26</v>
      </c>
      <c r="F1535" t="s">
        <v>109</v>
      </c>
      <c r="G1535" t="s">
        <v>110</v>
      </c>
      <c r="H1535" t="s">
        <v>45</v>
      </c>
      <c r="I1535" t="s">
        <v>104</v>
      </c>
      <c r="J1535" t="s">
        <v>143</v>
      </c>
      <c r="K1535" t="s">
        <v>32</v>
      </c>
      <c r="L1535" t="s">
        <v>67</v>
      </c>
      <c r="M1535" t="s">
        <v>47</v>
      </c>
      <c r="N1535" t="s">
        <v>48</v>
      </c>
      <c r="O1535" t="s">
        <v>70</v>
      </c>
      <c r="P1535" t="s">
        <v>58</v>
      </c>
      <c r="Q1535" t="s">
        <v>347</v>
      </c>
      <c r="R1535">
        <v>329</v>
      </c>
      <c r="S1535">
        <v>132</v>
      </c>
      <c r="T1535">
        <v>81</v>
      </c>
      <c r="U1535">
        <v>23</v>
      </c>
      <c r="V1535" t="s">
        <v>1139</v>
      </c>
      <c r="W1535">
        <v>29133</v>
      </c>
      <c r="X1535" t="s">
        <v>1038</v>
      </c>
      <c r="Y1535">
        <v>25528</v>
      </c>
      <c r="Z1535">
        <v>670059</v>
      </c>
      <c r="AA1535">
        <v>82915</v>
      </c>
      <c r="AB1535" t="str">
        <f>(VLOOKUP(SalesData[[#This Row],[Month Number]],Reference!C$5:E$16,2,FALSE))</f>
        <v>Feb</v>
      </c>
      <c r="AC1535">
        <f>MONTH(SalesData[[#This Row],[Date]])</f>
        <v>2</v>
      </c>
      <c r="AD1535">
        <f>Reference!F$4</f>
        <v>2026</v>
      </c>
      <c r="AE1535" t="str">
        <f>IF(OR(SalesData[[#This Row],[Day]]="Saturday",SalesData[[#This Row],[Day]]="Sunday"),"Weekend","Weekday")</f>
        <v>Weekday</v>
      </c>
      <c r="AF1535" s="5">
        <f>IF(SalesData[[#This Row],[Contracts Offered]]=0,0,SalesData[[#This Row],[Contracts Signed]]/SalesData[[#This Row],[Contracts Offered]])</f>
        <v>0.2839506172839506</v>
      </c>
      <c r="AG1535" s="5">
        <f>IF(SalesData[[#This Row],[Customers Visited]]=0,0,SalesData[[#This Row],[Test Drives]]/SalesData[[#This Row],[Customers Visited]])</f>
        <v>0.40121580547112462</v>
      </c>
      <c r="AH1535" s="5">
        <f>IF(SalesData[[#This Row],[Customers Visited]]=0,0,SalesData[[#This Row],[Contracts Signed]]/SalesData[[#This Row],[Customers Visited]])</f>
        <v>6.9908814589665649E-2</v>
      </c>
      <c r="AI1535" s="6">
        <f>IF(SalesData[[#This Row],[Contracts Signed]]=0,0,SalesData[[#This Row],[Profit(€)]]/SalesData[[#This Row],[Contracts Signed]])</f>
        <v>3605</v>
      </c>
      <c r="AJ1535" s="5" t="str">
        <f>TRIM(CLEAN(SalesData[[#This Row],[Retailer]]))</f>
        <v>Leipzig Mobility</v>
      </c>
    </row>
    <row r="1536" spans="1:36" ht="14.25" hidden="1" x14ac:dyDescent="0.2">
      <c r="A1536" t="s">
        <v>2433</v>
      </c>
      <c r="B1536" s="1">
        <v>46061</v>
      </c>
      <c r="C1536" t="s">
        <v>121</v>
      </c>
      <c r="D1536" t="s">
        <v>41</v>
      </c>
      <c r="E1536" t="s">
        <v>42</v>
      </c>
      <c r="F1536" t="s">
        <v>7649</v>
      </c>
      <c r="G1536" t="s">
        <v>55</v>
      </c>
      <c r="H1536" t="s">
        <v>55</v>
      </c>
      <c r="I1536" t="s">
        <v>104</v>
      </c>
      <c r="J1536" t="s">
        <v>105</v>
      </c>
      <c r="K1536" t="s">
        <v>66</v>
      </c>
      <c r="L1536" t="s">
        <v>33</v>
      </c>
      <c r="M1536" t="s">
        <v>87</v>
      </c>
      <c r="N1536" t="s">
        <v>48</v>
      </c>
      <c r="O1536" t="s">
        <v>70</v>
      </c>
      <c r="P1536" t="s">
        <v>49</v>
      </c>
      <c r="Q1536" t="s">
        <v>144</v>
      </c>
      <c r="R1536">
        <v>430</v>
      </c>
      <c r="S1536">
        <v>205</v>
      </c>
      <c r="T1536">
        <v>138</v>
      </c>
      <c r="U1536">
        <v>26</v>
      </c>
      <c r="V1536" t="s">
        <v>1503</v>
      </c>
      <c r="W1536">
        <v>33696</v>
      </c>
      <c r="X1536" t="s">
        <v>1953</v>
      </c>
      <c r="Y1536">
        <v>30352</v>
      </c>
      <c r="Z1536">
        <v>876096</v>
      </c>
      <c r="AA1536">
        <v>86944</v>
      </c>
      <c r="AB1536" t="str">
        <f>(VLOOKUP(SalesData[[#This Row],[Month Number]],Reference!C$5:E$16,2,FALSE))</f>
        <v>Feb</v>
      </c>
      <c r="AC1536">
        <f>MONTH(SalesData[[#This Row],[Date]])</f>
        <v>2</v>
      </c>
      <c r="AD1536">
        <f>Reference!F$4</f>
        <v>2026</v>
      </c>
      <c r="AE1536" t="str">
        <f>IF(OR(SalesData[[#This Row],[Day]]="Saturday",SalesData[[#This Row],[Day]]="Sunday"),"Weekend","Weekday")</f>
        <v>Weekend</v>
      </c>
      <c r="AF1536" s="5">
        <f>IF(SalesData[[#This Row],[Contracts Offered]]=0,0,SalesData[[#This Row],[Contracts Signed]]/SalesData[[#This Row],[Contracts Offered]])</f>
        <v>0.18840579710144928</v>
      </c>
      <c r="AG1536" s="5">
        <f>IF(SalesData[[#This Row],[Customers Visited]]=0,0,SalesData[[#This Row],[Test Drives]]/SalesData[[#This Row],[Customers Visited]])</f>
        <v>0.47674418604651164</v>
      </c>
      <c r="AH1536" s="5">
        <f>IF(SalesData[[#This Row],[Customers Visited]]=0,0,SalesData[[#This Row],[Contracts Signed]]/SalesData[[#This Row],[Customers Visited]])</f>
        <v>6.0465116279069767E-2</v>
      </c>
      <c r="AI1536" s="6">
        <f>IF(SalesData[[#This Row],[Contracts Signed]]=0,0,SalesData[[#This Row],[Profit(€)]]/SalesData[[#This Row],[Contracts Signed]])</f>
        <v>3344</v>
      </c>
      <c r="AJ1536" s="5" t="str">
        <f>TRIM(CLEAN(SalesData[[#This Row],[Retailer]]))</f>
        <v>Autohaus Berlin</v>
      </c>
    </row>
    <row r="1537" spans="1:36" ht="14.25" hidden="1" x14ac:dyDescent="0.2">
      <c r="A1537" t="s">
        <v>2434</v>
      </c>
      <c r="B1537" s="1">
        <v>46070</v>
      </c>
      <c r="C1537" t="s">
        <v>62</v>
      </c>
      <c r="D1537" t="s">
        <v>63</v>
      </c>
      <c r="E1537" t="s">
        <v>26</v>
      </c>
      <c r="F1537" t="s">
        <v>7649</v>
      </c>
      <c r="G1537" t="s">
        <v>55</v>
      </c>
      <c r="H1537" t="s">
        <v>55</v>
      </c>
      <c r="I1537" t="s">
        <v>104</v>
      </c>
      <c r="J1537" t="s">
        <v>143</v>
      </c>
      <c r="K1537" t="s">
        <v>91</v>
      </c>
      <c r="L1537" t="s">
        <v>67</v>
      </c>
      <c r="M1537" t="s">
        <v>47</v>
      </c>
      <c r="N1537" t="s">
        <v>48</v>
      </c>
      <c r="O1537" t="s">
        <v>70</v>
      </c>
      <c r="P1537" t="s">
        <v>71</v>
      </c>
      <c r="Q1537" t="s">
        <v>347</v>
      </c>
      <c r="R1537">
        <v>328</v>
      </c>
      <c r="S1537">
        <v>180</v>
      </c>
      <c r="T1537">
        <v>127</v>
      </c>
      <c r="U1537">
        <v>30</v>
      </c>
      <c r="V1537" t="s">
        <v>508</v>
      </c>
      <c r="W1537">
        <v>33624</v>
      </c>
      <c r="X1537" t="s">
        <v>2521</v>
      </c>
      <c r="Y1537">
        <v>29601</v>
      </c>
      <c r="Z1537">
        <v>1008720</v>
      </c>
      <c r="AA1537">
        <v>120690</v>
      </c>
      <c r="AB1537" t="str">
        <f>(VLOOKUP(SalesData[[#This Row],[Month Number]],Reference!C$5:E$16,2,FALSE))</f>
        <v>Feb</v>
      </c>
      <c r="AC1537">
        <f>MONTH(SalesData[[#This Row],[Date]])</f>
        <v>2</v>
      </c>
      <c r="AD1537">
        <f>Reference!F$4</f>
        <v>2026</v>
      </c>
      <c r="AE1537" t="str">
        <f>IF(OR(SalesData[[#This Row],[Day]]="Saturday",SalesData[[#This Row],[Day]]="Sunday"),"Weekend","Weekday")</f>
        <v>Weekday</v>
      </c>
      <c r="AF1537" s="5">
        <f>IF(SalesData[[#This Row],[Contracts Offered]]=0,0,SalesData[[#This Row],[Contracts Signed]]/SalesData[[#This Row],[Contracts Offered]])</f>
        <v>0.23622047244094488</v>
      </c>
      <c r="AG1537" s="5">
        <f>IF(SalesData[[#This Row],[Customers Visited]]=0,0,SalesData[[#This Row],[Test Drives]]/SalesData[[#This Row],[Customers Visited]])</f>
        <v>0.54878048780487809</v>
      </c>
      <c r="AH1537" s="5">
        <f>IF(SalesData[[#This Row],[Customers Visited]]=0,0,SalesData[[#This Row],[Contracts Signed]]/SalesData[[#This Row],[Customers Visited]])</f>
        <v>9.1463414634146339E-2</v>
      </c>
      <c r="AI1537" s="6">
        <f>IF(SalesData[[#This Row],[Contracts Signed]]=0,0,SalesData[[#This Row],[Profit(€)]]/SalesData[[#This Row],[Contracts Signed]])</f>
        <v>4023</v>
      </c>
      <c r="AJ1537" s="5" t="str">
        <f>TRIM(CLEAN(SalesData[[#This Row],[Retailer]]))</f>
        <v>Autohaus Berlin</v>
      </c>
    </row>
    <row r="1538" spans="1:36" ht="14.25" x14ac:dyDescent="0.2">
      <c r="A1538" t="s">
        <v>2435</v>
      </c>
      <c r="B1538" s="1">
        <v>46056</v>
      </c>
      <c r="C1538" t="s">
        <v>24</v>
      </c>
      <c r="D1538" t="s">
        <v>63</v>
      </c>
      <c r="E1538" t="s">
        <v>26</v>
      </c>
      <c r="F1538" t="s">
        <v>7649</v>
      </c>
      <c r="G1538" t="s">
        <v>55</v>
      </c>
      <c r="H1538" t="s">
        <v>55</v>
      </c>
      <c r="I1538" t="s">
        <v>30</v>
      </c>
      <c r="J1538" t="s">
        <v>7075</v>
      </c>
      <c r="K1538" t="s">
        <v>32</v>
      </c>
      <c r="L1538" t="s">
        <v>33</v>
      </c>
      <c r="M1538" t="s">
        <v>47</v>
      </c>
      <c r="N1538" t="s">
        <v>69</v>
      </c>
      <c r="O1538" t="s">
        <v>36</v>
      </c>
      <c r="P1538" t="s">
        <v>49</v>
      </c>
      <c r="Q1538" t="s">
        <v>172</v>
      </c>
      <c r="R1538">
        <v>274</v>
      </c>
      <c r="S1538">
        <v>141</v>
      </c>
      <c r="T1538">
        <v>106</v>
      </c>
      <c r="U1538">
        <v>43</v>
      </c>
      <c r="V1538" t="s">
        <v>7027</v>
      </c>
      <c r="W1538">
        <v>55489</v>
      </c>
      <c r="X1538" t="s">
        <v>638</v>
      </c>
      <c r="Y1538">
        <v>40683</v>
      </c>
      <c r="Z1538">
        <v>2386027</v>
      </c>
      <c r="AA1538">
        <v>636658</v>
      </c>
      <c r="AB1538" t="str">
        <f>(VLOOKUP(SalesData[[#This Row],[Month Number]],Reference!C$5:E$16,2,FALSE))</f>
        <v>Feb</v>
      </c>
      <c r="AC1538">
        <f>MONTH(SalesData[[#This Row],[Date]])</f>
        <v>2</v>
      </c>
      <c r="AD1538">
        <f>Reference!F$4</f>
        <v>2026</v>
      </c>
      <c r="AE1538" t="str">
        <f>IF(OR(SalesData[[#This Row],[Day]]="Saturday",SalesData[[#This Row],[Day]]="Sunday"),"Weekend","Weekday")</f>
        <v>Weekday</v>
      </c>
      <c r="AF1538" s="5">
        <f>IF(SalesData[[#This Row],[Contracts Offered]]=0,0,SalesData[[#This Row],[Contracts Signed]]/SalesData[[#This Row],[Contracts Offered]])</f>
        <v>0.40566037735849059</v>
      </c>
      <c r="AG1538" s="5">
        <f>IF(SalesData[[#This Row],[Customers Visited]]=0,0,SalesData[[#This Row],[Test Drives]]/SalesData[[#This Row],[Customers Visited]])</f>
        <v>0.51459854014598538</v>
      </c>
      <c r="AH1538" s="5">
        <f>IF(SalesData[[#This Row],[Customers Visited]]=0,0,SalesData[[#This Row],[Contracts Signed]]/SalesData[[#This Row],[Customers Visited]])</f>
        <v>0.15693430656934307</v>
      </c>
      <c r="AI1538" s="6">
        <f>IF(SalesData[[#This Row],[Contracts Signed]]=0,0,SalesData[[#This Row],[Profit(€)]]/SalesData[[#This Row],[Contracts Signed]])</f>
        <v>14806</v>
      </c>
      <c r="AJ1538" s="5" t="str">
        <f>TRIM(CLEAN(SalesData[[#This Row],[Retailer]]))</f>
        <v>Autohaus Berlin</v>
      </c>
    </row>
    <row r="1539" spans="1:36" ht="14.25" hidden="1" x14ac:dyDescent="0.2">
      <c r="A1539" t="s">
        <v>2436</v>
      </c>
      <c r="B1539" s="1">
        <v>46061</v>
      </c>
      <c r="C1539" t="s">
        <v>121</v>
      </c>
      <c r="D1539" t="s">
        <v>41</v>
      </c>
      <c r="E1539" t="s">
        <v>42</v>
      </c>
      <c r="F1539" t="s">
        <v>114</v>
      </c>
      <c r="G1539" t="s">
        <v>115</v>
      </c>
      <c r="H1539" t="s">
        <v>115</v>
      </c>
      <c r="I1539" t="s">
        <v>104</v>
      </c>
      <c r="J1539" t="s">
        <v>7031</v>
      </c>
      <c r="K1539" t="s">
        <v>91</v>
      </c>
      <c r="L1539" t="s">
        <v>46</v>
      </c>
      <c r="M1539" t="s">
        <v>34</v>
      </c>
      <c r="N1539" t="s">
        <v>69</v>
      </c>
      <c r="O1539" t="s">
        <v>36</v>
      </c>
      <c r="P1539" t="s">
        <v>71</v>
      </c>
      <c r="Q1539" t="s">
        <v>88</v>
      </c>
      <c r="R1539">
        <v>375</v>
      </c>
      <c r="S1539">
        <v>201</v>
      </c>
      <c r="T1539">
        <v>126</v>
      </c>
      <c r="U1539">
        <v>33</v>
      </c>
      <c r="V1539" t="s">
        <v>1355</v>
      </c>
      <c r="W1539">
        <v>27062</v>
      </c>
      <c r="X1539" t="s">
        <v>7098</v>
      </c>
      <c r="Y1539">
        <v>24136</v>
      </c>
      <c r="Z1539">
        <v>893046</v>
      </c>
      <c r="AA1539">
        <v>96558</v>
      </c>
      <c r="AB1539" t="str">
        <f>(VLOOKUP(SalesData[[#This Row],[Month Number]],Reference!C$5:E$16,2,FALSE))</f>
        <v>Feb</v>
      </c>
      <c r="AC1539">
        <f>MONTH(SalesData[[#This Row],[Date]])</f>
        <v>2</v>
      </c>
      <c r="AD1539">
        <f>Reference!F$4</f>
        <v>2026</v>
      </c>
      <c r="AE1539" t="str">
        <f>IF(OR(SalesData[[#This Row],[Day]]="Saturday",SalesData[[#This Row],[Day]]="Sunday"),"Weekend","Weekday")</f>
        <v>Weekend</v>
      </c>
      <c r="AF1539" s="5">
        <f>IF(SalesData[[#This Row],[Contracts Offered]]=0,0,SalesData[[#This Row],[Contracts Signed]]/SalesData[[#This Row],[Contracts Offered]])</f>
        <v>0.26190476190476192</v>
      </c>
      <c r="AG1539" s="5">
        <f>IF(SalesData[[#This Row],[Customers Visited]]=0,0,SalesData[[#This Row],[Test Drives]]/SalesData[[#This Row],[Customers Visited]])</f>
        <v>0.53600000000000003</v>
      </c>
      <c r="AH1539" s="5">
        <f>IF(SalesData[[#This Row],[Customers Visited]]=0,0,SalesData[[#This Row],[Contracts Signed]]/SalesData[[#This Row],[Customers Visited]])</f>
        <v>8.7999999999999995E-2</v>
      </c>
      <c r="AI1539" s="6">
        <f>IF(SalesData[[#This Row],[Contracts Signed]]=0,0,SalesData[[#This Row],[Profit(€)]]/SalesData[[#This Row],[Contracts Signed]])</f>
        <v>2926</v>
      </c>
      <c r="AJ1539" s="5" t="str">
        <f>TRIM(CLEAN(SalesData[[#This Row],[Retailer]]))</f>
        <v>Elbe Drive</v>
      </c>
    </row>
    <row r="1540" spans="1:36" ht="14.25" x14ac:dyDescent="0.2">
      <c r="A1540" t="s">
        <v>2437</v>
      </c>
      <c r="B1540" s="1">
        <v>46070</v>
      </c>
      <c r="C1540" t="s">
        <v>62</v>
      </c>
      <c r="D1540" t="s">
        <v>63</v>
      </c>
      <c r="E1540" t="s">
        <v>26</v>
      </c>
      <c r="F1540" t="s">
        <v>83</v>
      </c>
      <c r="G1540" t="s">
        <v>84</v>
      </c>
      <c r="H1540" t="s">
        <v>85</v>
      </c>
      <c r="I1540" t="s">
        <v>30</v>
      </c>
      <c r="J1540" t="s">
        <v>166</v>
      </c>
      <c r="K1540" t="s">
        <v>66</v>
      </c>
      <c r="L1540" t="s">
        <v>46</v>
      </c>
      <c r="M1540" t="s">
        <v>68</v>
      </c>
      <c r="N1540" t="s">
        <v>35</v>
      </c>
      <c r="O1540" t="s">
        <v>36</v>
      </c>
      <c r="P1540" t="s">
        <v>58</v>
      </c>
      <c r="Q1540" t="s">
        <v>347</v>
      </c>
      <c r="R1540">
        <v>160</v>
      </c>
      <c r="S1540">
        <v>89</v>
      </c>
      <c r="T1540">
        <v>62</v>
      </c>
      <c r="U1540">
        <v>28</v>
      </c>
      <c r="V1540" t="s">
        <v>7454</v>
      </c>
      <c r="W1540">
        <v>65515</v>
      </c>
      <c r="X1540" t="s">
        <v>7224</v>
      </c>
      <c r="Y1540">
        <v>49611</v>
      </c>
      <c r="Z1540">
        <v>1834420</v>
      </c>
      <c r="AA1540">
        <v>445312</v>
      </c>
      <c r="AB1540" t="str">
        <f>(VLOOKUP(SalesData[[#This Row],[Month Number]],Reference!C$5:E$16,2,FALSE))</f>
        <v>Feb</v>
      </c>
      <c r="AC1540">
        <f>MONTH(SalesData[[#This Row],[Date]])</f>
        <v>2</v>
      </c>
      <c r="AD1540">
        <f>Reference!F$4</f>
        <v>2026</v>
      </c>
      <c r="AE1540" t="str">
        <f>IF(OR(SalesData[[#This Row],[Day]]="Saturday",SalesData[[#This Row],[Day]]="Sunday"),"Weekend","Weekday")</f>
        <v>Weekday</v>
      </c>
      <c r="AF1540" s="5">
        <f>IF(SalesData[[#This Row],[Contracts Offered]]=0,0,SalesData[[#This Row],[Contracts Signed]]/SalesData[[#This Row],[Contracts Offered]])</f>
        <v>0.45161290322580644</v>
      </c>
      <c r="AG1540" s="5">
        <f>IF(SalesData[[#This Row],[Customers Visited]]=0,0,SalesData[[#This Row],[Test Drives]]/SalesData[[#This Row],[Customers Visited]])</f>
        <v>0.55625000000000002</v>
      </c>
      <c r="AH1540" s="5">
        <f>IF(SalesData[[#This Row],[Customers Visited]]=0,0,SalesData[[#This Row],[Contracts Signed]]/SalesData[[#This Row],[Customers Visited]])</f>
        <v>0.17499999999999999</v>
      </c>
      <c r="AI1540" s="6">
        <f>IF(SalesData[[#This Row],[Contracts Signed]]=0,0,SalesData[[#This Row],[Profit(€)]]/SalesData[[#This Row],[Contracts Signed]])</f>
        <v>15904</v>
      </c>
      <c r="AJ1540" s="5" t="str">
        <f>TRIM(CLEAN(SalesData[[#This Row],[Retailer]]))</f>
        <v>Hannover Cars</v>
      </c>
    </row>
    <row r="1541" spans="1:36" ht="14.25" hidden="1" x14ac:dyDescent="0.2">
      <c r="A1541" t="s">
        <v>2438</v>
      </c>
      <c r="B1541" s="1">
        <v>46059</v>
      </c>
      <c r="C1541" t="s">
        <v>24</v>
      </c>
      <c r="D1541" t="s">
        <v>54</v>
      </c>
      <c r="E1541" t="s">
        <v>26</v>
      </c>
      <c r="F1541" t="s">
        <v>74</v>
      </c>
      <c r="G1541" t="s">
        <v>75</v>
      </c>
      <c r="H1541" t="s">
        <v>76</v>
      </c>
      <c r="I1541" t="s">
        <v>104</v>
      </c>
      <c r="J1541" t="s">
        <v>143</v>
      </c>
      <c r="K1541" t="s">
        <v>66</v>
      </c>
      <c r="L1541" t="s">
        <v>67</v>
      </c>
      <c r="M1541" t="s">
        <v>47</v>
      </c>
      <c r="N1541" t="s">
        <v>69</v>
      </c>
      <c r="O1541" t="s">
        <v>36</v>
      </c>
      <c r="P1541" t="s">
        <v>71</v>
      </c>
      <c r="Q1541" t="s">
        <v>88</v>
      </c>
      <c r="R1541">
        <v>497</v>
      </c>
      <c r="S1541">
        <v>216</v>
      </c>
      <c r="T1541">
        <v>137</v>
      </c>
      <c r="U1541">
        <v>41</v>
      </c>
      <c r="V1541" t="s">
        <v>3442</v>
      </c>
      <c r="W1541">
        <v>26132</v>
      </c>
      <c r="X1541" t="s">
        <v>315</v>
      </c>
      <c r="Y1541">
        <v>23461</v>
      </c>
      <c r="Z1541">
        <v>1071412</v>
      </c>
      <c r="AA1541">
        <v>109511</v>
      </c>
      <c r="AB1541" t="str">
        <f>(VLOOKUP(SalesData[[#This Row],[Month Number]],Reference!C$5:E$16,2,FALSE))</f>
        <v>Feb</v>
      </c>
      <c r="AC1541">
        <f>MONTH(SalesData[[#This Row],[Date]])</f>
        <v>2</v>
      </c>
      <c r="AD1541">
        <f>Reference!F$4</f>
        <v>2026</v>
      </c>
      <c r="AE1541" t="str">
        <f>IF(OR(SalesData[[#This Row],[Day]]="Saturday",SalesData[[#This Row],[Day]]="Sunday"),"Weekend","Weekday")</f>
        <v>Weekday</v>
      </c>
      <c r="AF1541" s="5">
        <f>IF(SalesData[[#This Row],[Contracts Offered]]=0,0,SalesData[[#This Row],[Contracts Signed]]/SalesData[[#This Row],[Contracts Offered]])</f>
        <v>0.29927007299270075</v>
      </c>
      <c r="AG1541" s="5">
        <f>IF(SalesData[[#This Row],[Customers Visited]]=0,0,SalesData[[#This Row],[Test Drives]]/SalesData[[#This Row],[Customers Visited]])</f>
        <v>0.43460764587525152</v>
      </c>
      <c r="AH1541" s="5">
        <f>IF(SalesData[[#This Row],[Customers Visited]]=0,0,SalesData[[#This Row],[Contracts Signed]]/SalesData[[#This Row],[Customers Visited]])</f>
        <v>8.249496981891348E-2</v>
      </c>
      <c r="AI1541" s="6">
        <f>IF(SalesData[[#This Row],[Contracts Signed]]=0,0,SalesData[[#This Row],[Profit(€)]]/SalesData[[#This Row],[Contracts Signed]])</f>
        <v>2671</v>
      </c>
      <c r="AJ1541" s="5" t="str">
        <f>TRIM(CLEAN(SalesData[[#This Row],[Retailer]]))</f>
        <v>Stuttgart Auto Center</v>
      </c>
    </row>
    <row r="1542" spans="1:36" ht="14.25" hidden="1" x14ac:dyDescent="0.2">
      <c r="A1542" t="s">
        <v>2439</v>
      </c>
      <c r="B1542" s="1">
        <v>46065</v>
      </c>
      <c r="C1542" t="s">
        <v>121</v>
      </c>
      <c r="D1542" t="s">
        <v>100</v>
      </c>
      <c r="E1542" t="s">
        <v>26</v>
      </c>
      <c r="F1542" t="s">
        <v>94</v>
      </c>
      <c r="G1542" t="s">
        <v>95</v>
      </c>
      <c r="H1542" t="s">
        <v>96</v>
      </c>
      <c r="I1542" t="s">
        <v>64</v>
      </c>
      <c r="J1542" t="s">
        <v>77</v>
      </c>
      <c r="K1542" t="s">
        <v>32</v>
      </c>
      <c r="L1542" t="s">
        <v>46</v>
      </c>
      <c r="M1542" t="s">
        <v>68</v>
      </c>
      <c r="N1542" t="s">
        <v>69</v>
      </c>
      <c r="O1542" t="s">
        <v>70</v>
      </c>
      <c r="P1542" t="s">
        <v>37</v>
      </c>
      <c r="Q1542" t="s">
        <v>50</v>
      </c>
      <c r="R1542">
        <v>152</v>
      </c>
      <c r="S1542">
        <v>74</v>
      </c>
      <c r="T1542">
        <v>51</v>
      </c>
      <c r="U1542">
        <v>17</v>
      </c>
      <c r="V1542" t="s">
        <v>6650</v>
      </c>
      <c r="W1542">
        <v>64160</v>
      </c>
      <c r="X1542" t="s">
        <v>7175</v>
      </c>
      <c r="Y1542">
        <v>49824</v>
      </c>
      <c r="Z1542">
        <v>1090720</v>
      </c>
      <c r="AA1542">
        <v>243712</v>
      </c>
      <c r="AB1542" t="str">
        <f>(VLOOKUP(SalesData[[#This Row],[Month Number]],Reference!C$5:E$16,2,FALSE))</f>
        <v>Feb</v>
      </c>
      <c r="AC1542">
        <f>MONTH(SalesData[[#This Row],[Date]])</f>
        <v>2</v>
      </c>
      <c r="AD1542">
        <f>Reference!F$4</f>
        <v>2026</v>
      </c>
      <c r="AE1542" t="str">
        <f>IF(OR(SalesData[[#This Row],[Day]]="Saturday",SalesData[[#This Row],[Day]]="Sunday"),"Weekend","Weekday")</f>
        <v>Weekday</v>
      </c>
      <c r="AF1542" s="5">
        <f>IF(SalesData[[#This Row],[Contracts Offered]]=0,0,SalesData[[#This Row],[Contracts Signed]]/SalesData[[#This Row],[Contracts Offered]])</f>
        <v>0.33333333333333331</v>
      </c>
      <c r="AG1542" s="5">
        <f>IF(SalesData[[#This Row],[Customers Visited]]=0,0,SalesData[[#This Row],[Test Drives]]/SalesData[[#This Row],[Customers Visited]])</f>
        <v>0.48684210526315791</v>
      </c>
      <c r="AH1542" s="5">
        <f>IF(SalesData[[#This Row],[Customers Visited]]=0,0,SalesData[[#This Row],[Contracts Signed]]/SalesData[[#This Row],[Customers Visited]])</f>
        <v>0.1118421052631579</v>
      </c>
      <c r="AI1542" s="6">
        <f>IF(SalesData[[#This Row],[Contracts Signed]]=0,0,SalesData[[#This Row],[Profit(€)]]/SalesData[[#This Row],[Contracts Signed]])</f>
        <v>14336</v>
      </c>
      <c r="AJ1542" s="5" t="str">
        <f>TRIM(CLEAN(SalesData[[#This Row],[Retailer]]))</f>
        <v>Bavaria Motors</v>
      </c>
    </row>
    <row r="1543" spans="1:36" ht="14.25" hidden="1" x14ac:dyDescent="0.2">
      <c r="A1543" t="s">
        <v>2441</v>
      </c>
      <c r="B1543" s="1">
        <v>46061</v>
      </c>
      <c r="C1543" t="s">
        <v>121</v>
      </c>
      <c r="D1543" t="s">
        <v>41</v>
      </c>
      <c r="E1543" t="s">
        <v>42</v>
      </c>
      <c r="F1543" t="s">
        <v>101</v>
      </c>
      <c r="G1543" t="s">
        <v>102</v>
      </c>
      <c r="H1543" t="s">
        <v>103</v>
      </c>
      <c r="I1543" t="s">
        <v>116</v>
      </c>
      <c r="J1543" t="s">
        <v>203</v>
      </c>
      <c r="K1543" t="s">
        <v>32</v>
      </c>
      <c r="L1543" t="s">
        <v>67</v>
      </c>
      <c r="M1543" t="s">
        <v>87</v>
      </c>
      <c r="N1543" t="s">
        <v>69</v>
      </c>
      <c r="O1543" t="s">
        <v>36</v>
      </c>
      <c r="P1543" t="s">
        <v>58</v>
      </c>
      <c r="Q1543" t="s">
        <v>347</v>
      </c>
      <c r="R1543">
        <v>338</v>
      </c>
      <c r="S1543">
        <v>172</v>
      </c>
      <c r="T1543">
        <v>119</v>
      </c>
      <c r="U1543">
        <v>26</v>
      </c>
      <c r="V1543" t="s">
        <v>911</v>
      </c>
      <c r="W1543">
        <v>22392</v>
      </c>
      <c r="X1543" t="s">
        <v>2440</v>
      </c>
      <c r="Y1543">
        <v>20119</v>
      </c>
      <c r="Z1543">
        <v>582192</v>
      </c>
      <c r="AA1543">
        <v>59098</v>
      </c>
      <c r="AB1543" t="str">
        <f>(VLOOKUP(SalesData[[#This Row],[Month Number]],Reference!C$5:E$16,2,FALSE))</f>
        <v>Feb</v>
      </c>
      <c r="AC1543">
        <f>MONTH(SalesData[[#This Row],[Date]])</f>
        <v>2</v>
      </c>
      <c r="AD1543">
        <f>Reference!F$4</f>
        <v>2026</v>
      </c>
      <c r="AE1543" t="str">
        <f>IF(OR(SalesData[[#This Row],[Day]]="Saturday",SalesData[[#This Row],[Day]]="Sunday"),"Weekend","Weekday")</f>
        <v>Weekend</v>
      </c>
      <c r="AF1543" s="5">
        <f>IF(SalesData[[#This Row],[Contracts Offered]]=0,0,SalesData[[#This Row],[Contracts Signed]]/SalesData[[#This Row],[Contracts Offered]])</f>
        <v>0.21848739495798319</v>
      </c>
      <c r="AG1543" s="5">
        <f>IF(SalesData[[#This Row],[Customers Visited]]=0,0,SalesData[[#This Row],[Test Drives]]/SalesData[[#This Row],[Customers Visited]])</f>
        <v>0.50887573964497046</v>
      </c>
      <c r="AH1543" s="5">
        <f>IF(SalesData[[#This Row],[Customers Visited]]=0,0,SalesData[[#This Row],[Contracts Signed]]/SalesData[[#This Row],[Customers Visited]])</f>
        <v>7.6923076923076927E-2</v>
      </c>
      <c r="AI1543" s="6">
        <f>IF(SalesData[[#This Row],[Contracts Signed]]=0,0,SalesData[[#This Row],[Profit(€)]]/SalesData[[#This Row],[Contracts Signed]])</f>
        <v>2273</v>
      </c>
      <c r="AJ1543" s="5" t="str">
        <f>TRIM(CLEAN(SalesData[[#This Row],[Retailer]]))</f>
        <v>Ruhr Auto Plaza</v>
      </c>
    </row>
    <row r="1544" spans="1:36" ht="14.25" hidden="1" x14ac:dyDescent="0.2">
      <c r="A1544" t="s">
        <v>2443</v>
      </c>
      <c r="B1544" s="1">
        <v>46075</v>
      </c>
      <c r="C1544" t="s">
        <v>53</v>
      </c>
      <c r="D1544" t="s">
        <v>41</v>
      </c>
      <c r="E1544" t="s">
        <v>42</v>
      </c>
      <c r="F1544" t="s">
        <v>114</v>
      </c>
      <c r="G1544" t="s">
        <v>115</v>
      </c>
      <c r="H1544" t="s">
        <v>115</v>
      </c>
      <c r="I1544" t="s">
        <v>104</v>
      </c>
      <c r="J1544" t="s">
        <v>140</v>
      </c>
      <c r="K1544" t="s">
        <v>32</v>
      </c>
      <c r="L1544" t="s">
        <v>46</v>
      </c>
      <c r="M1544" t="s">
        <v>34</v>
      </c>
      <c r="N1544" t="s">
        <v>35</v>
      </c>
      <c r="O1544" t="s">
        <v>36</v>
      </c>
      <c r="P1544" t="s">
        <v>37</v>
      </c>
      <c r="Q1544" t="s">
        <v>189</v>
      </c>
      <c r="R1544">
        <v>370</v>
      </c>
      <c r="S1544">
        <v>167</v>
      </c>
      <c r="T1544">
        <v>106</v>
      </c>
      <c r="U1544">
        <v>24</v>
      </c>
      <c r="V1544" t="s">
        <v>733</v>
      </c>
      <c r="W1544">
        <v>34092</v>
      </c>
      <c r="X1544" t="s">
        <v>1556</v>
      </c>
      <c r="Y1544">
        <v>30598</v>
      </c>
      <c r="Z1544">
        <v>818208</v>
      </c>
      <c r="AA1544">
        <v>83856</v>
      </c>
      <c r="AB1544" t="str">
        <f>(VLOOKUP(SalesData[[#This Row],[Month Number]],Reference!C$5:E$16,2,FALSE))</f>
        <v>Feb</v>
      </c>
      <c r="AC1544">
        <f>MONTH(SalesData[[#This Row],[Date]])</f>
        <v>2</v>
      </c>
      <c r="AD1544">
        <f>Reference!F$4</f>
        <v>2026</v>
      </c>
      <c r="AE1544" t="str">
        <f>IF(OR(SalesData[[#This Row],[Day]]="Saturday",SalesData[[#This Row],[Day]]="Sunday"),"Weekend","Weekday")</f>
        <v>Weekend</v>
      </c>
      <c r="AF1544" s="5">
        <f>IF(SalesData[[#This Row],[Contracts Offered]]=0,0,SalesData[[#This Row],[Contracts Signed]]/SalesData[[#This Row],[Contracts Offered]])</f>
        <v>0.22641509433962265</v>
      </c>
      <c r="AG1544" s="5">
        <f>IF(SalesData[[#This Row],[Customers Visited]]=0,0,SalesData[[#This Row],[Test Drives]]/SalesData[[#This Row],[Customers Visited]])</f>
        <v>0.45135135135135135</v>
      </c>
      <c r="AH1544" s="5">
        <f>IF(SalesData[[#This Row],[Customers Visited]]=0,0,SalesData[[#This Row],[Contracts Signed]]/SalesData[[#This Row],[Customers Visited]])</f>
        <v>6.4864864864864868E-2</v>
      </c>
      <c r="AI1544" s="6">
        <f>IF(SalesData[[#This Row],[Contracts Signed]]=0,0,SalesData[[#This Row],[Profit(€)]]/SalesData[[#This Row],[Contracts Signed]])</f>
        <v>3494</v>
      </c>
      <c r="AJ1544" s="5" t="str">
        <f>TRIM(CLEAN(SalesData[[#This Row],[Retailer]]))</f>
        <v>Elbe Drive</v>
      </c>
    </row>
    <row r="1545" spans="1:36" ht="14.25" x14ac:dyDescent="0.2">
      <c r="A1545" t="s">
        <v>2444</v>
      </c>
      <c r="B1545" s="1">
        <v>46081</v>
      </c>
      <c r="C1545" t="s">
        <v>53</v>
      </c>
      <c r="D1545" t="s">
        <v>151</v>
      </c>
      <c r="E1545" t="s">
        <v>42</v>
      </c>
      <c r="F1545" t="s">
        <v>114</v>
      </c>
      <c r="G1545" t="s">
        <v>115</v>
      </c>
      <c r="H1545" t="s">
        <v>115</v>
      </c>
      <c r="I1545" t="s">
        <v>30</v>
      </c>
      <c r="J1545" t="s">
        <v>86</v>
      </c>
      <c r="K1545" t="s">
        <v>32</v>
      </c>
      <c r="L1545" t="s">
        <v>33</v>
      </c>
      <c r="M1545" t="s">
        <v>87</v>
      </c>
      <c r="N1545" t="s">
        <v>35</v>
      </c>
      <c r="O1545" t="s">
        <v>36</v>
      </c>
      <c r="P1545" t="s">
        <v>58</v>
      </c>
      <c r="Q1545" t="s">
        <v>38</v>
      </c>
      <c r="R1545">
        <v>254</v>
      </c>
      <c r="S1545">
        <v>153</v>
      </c>
      <c r="T1545">
        <v>106</v>
      </c>
      <c r="U1545">
        <v>49</v>
      </c>
      <c r="V1545" t="s">
        <v>7455</v>
      </c>
      <c r="W1545">
        <v>55918</v>
      </c>
      <c r="X1545" t="s">
        <v>7456</v>
      </c>
      <c r="Y1545">
        <v>40102</v>
      </c>
      <c r="Z1545">
        <v>2739982</v>
      </c>
      <c r="AA1545">
        <v>774984</v>
      </c>
      <c r="AB1545" t="str">
        <f>(VLOOKUP(SalesData[[#This Row],[Month Number]],Reference!C$5:E$16,2,FALSE))</f>
        <v>Feb</v>
      </c>
      <c r="AC1545">
        <f>MONTH(SalesData[[#This Row],[Date]])</f>
        <v>2</v>
      </c>
      <c r="AD1545">
        <f>Reference!F$4</f>
        <v>2026</v>
      </c>
      <c r="AE1545" t="str">
        <f>IF(OR(SalesData[[#This Row],[Day]]="Saturday",SalesData[[#This Row],[Day]]="Sunday"),"Weekend","Weekday")</f>
        <v>Weekend</v>
      </c>
      <c r="AF1545" s="5">
        <f>IF(SalesData[[#This Row],[Contracts Offered]]=0,0,SalesData[[#This Row],[Contracts Signed]]/SalesData[[#This Row],[Contracts Offered]])</f>
        <v>0.46226415094339623</v>
      </c>
      <c r="AG1545" s="5">
        <f>IF(SalesData[[#This Row],[Customers Visited]]=0,0,SalesData[[#This Row],[Test Drives]]/SalesData[[#This Row],[Customers Visited]])</f>
        <v>0.60236220472440949</v>
      </c>
      <c r="AH1545" s="5">
        <f>IF(SalesData[[#This Row],[Customers Visited]]=0,0,SalesData[[#This Row],[Contracts Signed]]/SalesData[[#This Row],[Customers Visited]])</f>
        <v>0.19291338582677164</v>
      </c>
      <c r="AI1545" s="6">
        <f>IF(SalesData[[#This Row],[Contracts Signed]]=0,0,SalesData[[#This Row],[Profit(€)]]/SalesData[[#This Row],[Contracts Signed]])</f>
        <v>15816</v>
      </c>
      <c r="AJ1545" s="5" t="str">
        <f>TRIM(CLEAN(SalesData[[#This Row],[Retailer]]))</f>
        <v>Elbe Drive</v>
      </c>
    </row>
    <row r="1546" spans="1:36" ht="14.25" hidden="1" x14ac:dyDescent="0.2">
      <c r="A1546" t="s">
        <v>2446</v>
      </c>
      <c r="B1546" s="1">
        <v>46058</v>
      </c>
      <c r="C1546" t="s">
        <v>24</v>
      </c>
      <c r="D1546" t="s">
        <v>100</v>
      </c>
      <c r="E1546" t="s">
        <v>26</v>
      </c>
      <c r="F1546" t="s">
        <v>74</v>
      </c>
      <c r="G1546" t="s">
        <v>75</v>
      </c>
      <c r="H1546" t="s">
        <v>76</v>
      </c>
      <c r="I1546" t="s">
        <v>64</v>
      </c>
      <c r="J1546" t="s">
        <v>7029</v>
      </c>
      <c r="K1546" t="s">
        <v>66</v>
      </c>
      <c r="L1546" t="s">
        <v>33</v>
      </c>
      <c r="M1546" t="s">
        <v>87</v>
      </c>
      <c r="N1546" t="s">
        <v>35</v>
      </c>
      <c r="O1546" t="s">
        <v>70</v>
      </c>
      <c r="P1546" t="s">
        <v>49</v>
      </c>
      <c r="Q1546" t="s">
        <v>59</v>
      </c>
      <c r="R1546">
        <v>158</v>
      </c>
      <c r="S1546">
        <v>90</v>
      </c>
      <c r="T1546">
        <v>60</v>
      </c>
      <c r="U1546">
        <v>19</v>
      </c>
      <c r="V1546" t="s">
        <v>6430</v>
      </c>
      <c r="W1546">
        <v>68644</v>
      </c>
      <c r="X1546" t="s">
        <v>7111</v>
      </c>
      <c r="Y1546">
        <v>50514</v>
      </c>
      <c r="Z1546">
        <v>1304236</v>
      </c>
      <c r="AA1546">
        <v>344470</v>
      </c>
      <c r="AB1546" t="str">
        <f>(VLOOKUP(SalesData[[#This Row],[Month Number]],Reference!C$5:E$16,2,FALSE))</f>
        <v>Feb</v>
      </c>
      <c r="AC1546">
        <f>MONTH(SalesData[[#This Row],[Date]])</f>
        <v>2</v>
      </c>
      <c r="AD1546">
        <f>Reference!F$4</f>
        <v>2026</v>
      </c>
      <c r="AE1546" t="str">
        <f>IF(OR(SalesData[[#This Row],[Day]]="Saturday",SalesData[[#This Row],[Day]]="Sunday"),"Weekend","Weekday")</f>
        <v>Weekday</v>
      </c>
      <c r="AF1546" s="5">
        <f>IF(SalesData[[#This Row],[Contracts Offered]]=0,0,SalesData[[#This Row],[Contracts Signed]]/SalesData[[#This Row],[Contracts Offered]])</f>
        <v>0.31666666666666665</v>
      </c>
      <c r="AG1546" s="5">
        <f>IF(SalesData[[#This Row],[Customers Visited]]=0,0,SalesData[[#This Row],[Test Drives]]/SalesData[[#This Row],[Customers Visited]])</f>
        <v>0.569620253164557</v>
      </c>
      <c r="AH1546" s="5">
        <f>IF(SalesData[[#This Row],[Customers Visited]]=0,0,SalesData[[#This Row],[Contracts Signed]]/SalesData[[#This Row],[Customers Visited]])</f>
        <v>0.12025316455696203</v>
      </c>
      <c r="AI1546" s="6">
        <f>IF(SalesData[[#This Row],[Contracts Signed]]=0,0,SalesData[[#This Row],[Profit(€)]]/SalesData[[#This Row],[Contracts Signed]])</f>
        <v>18130</v>
      </c>
      <c r="AJ1546" s="5" t="str">
        <f>TRIM(CLEAN(SalesData[[#This Row],[Retailer]]))</f>
        <v>Stuttgart Auto Center</v>
      </c>
    </row>
    <row r="1547" spans="1:36" ht="14.25" hidden="1" x14ac:dyDescent="0.2">
      <c r="A1547" t="s">
        <v>2448</v>
      </c>
      <c r="B1547" s="1">
        <v>46081</v>
      </c>
      <c r="C1547" t="s">
        <v>53</v>
      </c>
      <c r="D1547" t="s">
        <v>151</v>
      </c>
      <c r="E1547" t="s">
        <v>42</v>
      </c>
      <c r="F1547" t="s">
        <v>109</v>
      </c>
      <c r="G1547" t="s">
        <v>110</v>
      </c>
      <c r="H1547" t="s">
        <v>45</v>
      </c>
      <c r="I1547" t="s">
        <v>104</v>
      </c>
      <c r="J1547" t="s">
        <v>105</v>
      </c>
      <c r="K1547" t="s">
        <v>91</v>
      </c>
      <c r="L1547" t="s">
        <v>33</v>
      </c>
      <c r="M1547" t="s">
        <v>34</v>
      </c>
      <c r="N1547" t="s">
        <v>35</v>
      </c>
      <c r="O1547" t="s">
        <v>36</v>
      </c>
      <c r="P1547" t="s">
        <v>58</v>
      </c>
      <c r="Q1547" t="s">
        <v>88</v>
      </c>
      <c r="R1547">
        <v>372</v>
      </c>
      <c r="S1547">
        <v>164</v>
      </c>
      <c r="T1547">
        <v>102</v>
      </c>
      <c r="U1547">
        <v>26</v>
      </c>
      <c r="V1547" t="s">
        <v>3128</v>
      </c>
      <c r="W1547">
        <v>34046</v>
      </c>
      <c r="X1547" t="s">
        <v>1690</v>
      </c>
      <c r="Y1547">
        <v>29677</v>
      </c>
      <c r="Z1547">
        <v>885196</v>
      </c>
      <c r="AA1547">
        <v>113594</v>
      </c>
      <c r="AB1547" t="str">
        <f>(VLOOKUP(SalesData[[#This Row],[Month Number]],Reference!C$5:E$16,2,FALSE))</f>
        <v>Feb</v>
      </c>
      <c r="AC1547">
        <f>MONTH(SalesData[[#This Row],[Date]])</f>
        <v>2</v>
      </c>
      <c r="AD1547">
        <f>Reference!F$4</f>
        <v>2026</v>
      </c>
      <c r="AE1547" t="str">
        <f>IF(OR(SalesData[[#This Row],[Day]]="Saturday",SalesData[[#This Row],[Day]]="Sunday"),"Weekend","Weekday")</f>
        <v>Weekend</v>
      </c>
      <c r="AF1547" s="5">
        <f>IF(SalesData[[#This Row],[Contracts Offered]]=0,0,SalesData[[#This Row],[Contracts Signed]]/SalesData[[#This Row],[Contracts Offered]])</f>
        <v>0.25490196078431371</v>
      </c>
      <c r="AG1547" s="5">
        <f>IF(SalesData[[#This Row],[Customers Visited]]=0,0,SalesData[[#This Row],[Test Drives]]/SalesData[[#This Row],[Customers Visited]])</f>
        <v>0.44086021505376344</v>
      </c>
      <c r="AH1547" s="5">
        <f>IF(SalesData[[#This Row],[Customers Visited]]=0,0,SalesData[[#This Row],[Contracts Signed]]/SalesData[[#This Row],[Customers Visited]])</f>
        <v>6.9892473118279563E-2</v>
      </c>
      <c r="AI1547" s="6">
        <f>IF(SalesData[[#This Row],[Contracts Signed]]=0,0,SalesData[[#This Row],[Profit(€)]]/SalesData[[#This Row],[Contracts Signed]])</f>
        <v>4369</v>
      </c>
      <c r="AJ1547" s="5" t="str">
        <f>TRIM(CLEAN(SalesData[[#This Row],[Retailer]]))</f>
        <v>Leipzig Mobility</v>
      </c>
    </row>
    <row r="1548" spans="1:36" ht="14.25" hidden="1" x14ac:dyDescent="0.2">
      <c r="A1548" t="s">
        <v>2449</v>
      </c>
      <c r="B1548" s="1">
        <v>46054</v>
      </c>
      <c r="C1548" t="s">
        <v>24</v>
      </c>
      <c r="D1548" t="s">
        <v>41</v>
      </c>
      <c r="E1548" t="s">
        <v>42</v>
      </c>
      <c r="F1548" t="s">
        <v>74</v>
      </c>
      <c r="G1548" t="s">
        <v>75</v>
      </c>
      <c r="H1548" t="s">
        <v>76</v>
      </c>
      <c r="I1548" t="s">
        <v>64</v>
      </c>
      <c r="J1548" t="s">
        <v>111</v>
      </c>
      <c r="K1548" t="s">
        <v>32</v>
      </c>
      <c r="L1548" t="s">
        <v>46</v>
      </c>
      <c r="M1548" t="s">
        <v>47</v>
      </c>
      <c r="N1548" t="s">
        <v>69</v>
      </c>
      <c r="O1548" t="s">
        <v>70</v>
      </c>
      <c r="P1548" t="s">
        <v>49</v>
      </c>
      <c r="Q1548" t="s">
        <v>169</v>
      </c>
      <c r="R1548">
        <v>212</v>
      </c>
      <c r="S1548">
        <v>110</v>
      </c>
      <c r="T1548">
        <v>75</v>
      </c>
      <c r="U1548">
        <v>27</v>
      </c>
      <c r="V1548" t="s">
        <v>6797</v>
      </c>
      <c r="W1548">
        <v>67306</v>
      </c>
      <c r="X1548" t="s">
        <v>7218</v>
      </c>
      <c r="Y1548">
        <v>52489</v>
      </c>
      <c r="Z1548">
        <v>1817262</v>
      </c>
      <c r="AA1548">
        <v>400059</v>
      </c>
      <c r="AB1548" t="str">
        <f>(VLOOKUP(SalesData[[#This Row],[Month Number]],Reference!C$5:E$16,2,FALSE))</f>
        <v>Feb</v>
      </c>
      <c r="AC1548">
        <f>MONTH(SalesData[[#This Row],[Date]])</f>
        <v>2</v>
      </c>
      <c r="AD1548">
        <f>Reference!F$4</f>
        <v>2026</v>
      </c>
      <c r="AE1548" t="str">
        <f>IF(OR(SalesData[[#This Row],[Day]]="Saturday",SalesData[[#This Row],[Day]]="Sunday"),"Weekend","Weekday")</f>
        <v>Weekend</v>
      </c>
      <c r="AF1548" s="5">
        <f>IF(SalesData[[#This Row],[Contracts Offered]]=0,0,SalesData[[#This Row],[Contracts Signed]]/SalesData[[#This Row],[Contracts Offered]])</f>
        <v>0.36</v>
      </c>
      <c r="AG1548" s="5">
        <f>IF(SalesData[[#This Row],[Customers Visited]]=0,0,SalesData[[#This Row],[Test Drives]]/SalesData[[#This Row],[Customers Visited]])</f>
        <v>0.51886792452830188</v>
      </c>
      <c r="AH1548" s="5">
        <f>IF(SalesData[[#This Row],[Customers Visited]]=0,0,SalesData[[#This Row],[Contracts Signed]]/SalesData[[#This Row],[Customers Visited]])</f>
        <v>0.12735849056603774</v>
      </c>
      <c r="AI1548" s="6">
        <f>IF(SalesData[[#This Row],[Contracts Signed]]=0,0,SalesData[[#This Row],[Profit(€)]]/SalesData[[#This Row],[Contracts Signed]])</f>
        <v>14817</v>
      </c>
      <c r="AJ1548" s="5" t="str">
        <f>TRIM(CLEAN(SalesData[[#This Row],[Retailer]]))</f>
        <v>Stuttgart Auto Center</v>
      </c>
    </row>
    <row r="1549" spans="1:36" ht="14.25" x14ac:dyDescent="0.2">
      <c r="A1549" t="s">
        <v>2450</v>
      </c>
      <c r="B1549" s="1">
        <v>46057</v>
      </c>
      <c r="C1549" t="s">
        <v>24</v>
      </c>
      <c r="D1549" t="s">
        <v>82</v>
      </c>
      <c r="E1549" t="s">
        <v>26</v>
      </c>
      <c r="F1549" t="s">
        <v>114</v>
      </c>
      <c r="G1549" t="s">
        <v>115</v>
      </c>
      <c r="H1549" t="s">
        <v>115</v>
      </c>
      <c r="I1549" t="s">
        <v>30</v>
      </c>
      <c r="J1549" t="s">
        <v>31</v>
      </c>
      <c r="K1549" t="s">
        <v>91</v>
      </c>
      <c r="L1549" t="s">
        <v>46</v>
      </c>
      <c r="M1549" t="s">
        <v>68</v>
      </c>
      <c r="N1549" t="s">
        <v>69</v>
      </c>
      <c r="O1549" t="s">
        <v>36</v>
      </c>
      <c r="P1549" t="s">
        <v>58</v>
      </c>
      <c r="Q1549" t="s">
        <v>347</v>
      </c>
      <c r="R1549">
        <v>198</v>
      </c>
      <c r="S1549">
        <v>111</v>
      </c>
      <c r="T1549">
        <v>76</v>
      </c>
      <c r="U1549">
        <v>37</v>
      </c>
      <c r="V1549" t="s">
        <v>7206</v>
      </c>
      <c r="W1549">
        <v>63654</v>
      </c>
      <c r="X1549" t="s">
        <v>7207</v>
      </c>
      <c r="Y1549">
        <v>44636</v>
      </c>
      <c r="Z1549">
        <v>2355198</v>
      </c>
      <c r="AA1549">
        <v>703666</v>
      </c>
      <c r="AB1549" t="str">
        <f>(VLOOKUP(SalesData[[#This Row],[Month Number]],Reference!C$5:E$16,2,FALSE))</f>
        <v>Feb</v>
      </c>
      <c r="AC1549">
        <f>MONTH(SalesData[[#This Row],[Date]])</f>
        <v>2</v>
      </c>
      <c r="AD1549">
        <f>Reference!F$4</f>
        <v>2026</v>
      </c>
      <c r="AE1549" t="str">
        <f>IF(OR(SalesData[[#This Row],[Day]]="Saturday",SalesData[[#This Row],[Day]]="Sunday"),"Weekend","Weekday")</f>
        <v>Weekday</v>
      </c>
      <c r="AF1549" s="5">
        <f>IF(SalesData[[#This Row],[Contracts Offered]]=0,0,SalesData[[#This Row],[Contracts Signed]]/SalesData[[#This Row],[Contracts Offered]])</f>
        <v>0.48684210526315791</v>
      </c>
      <c r="AG1549" s="5">
        <f>IF(SalesData[[#This Row],[Customers Visited]]=0,0,SalesData[[#This Row],[Test Drives]]/SalesData[[#This Row],[Customers Visited]])</f>
        <v>0.56060606060606055</v>
      </c>
      <c r="AH1549" s="5">
        <f>IF(SalesData[[#This Row],[Customers Visited]]=0,0,SalesData[[#This Row],[Contracts Signed]]/SalesData[[#This Row],[Customers Visited]])</f>
        <v>0.18686868686868688</v>
      </c>
      <c r="AI1549" s="6">
        <f>IF(SalesData[[#This Row],[Contracts Signed]]=0,0,SalesData[[#This Row],[Profit(€)]]/SalesData[[#This Row],[Contracts Signed]])</f>
        <v>19018</v>
      </c>
      <c r="AJ1549" s="5" t="str">
        <f>TRIM(CLEAN(SalesData[[#This Row],[Retailer]]))</f>
        <v>Elbe Drive</v>
      </c>
    </row>
    <row r="1550" spans="1:36" ht="14.25" x14ac:dyDescent="0.2">
      <c r="A1550" t="s">
        <v>2451</v>
      </c>
      <c r="B1550" s="1">
        <v>46075</v>
      </c>
      <c r="C1550" t="s">
        <v>53</v>
      </c>
      <c r="D1550" t="s">
        <v>41</v>
      </c>
      <c r="E1550" t="s">
        <v>42</v>
      </c>
      <c r="F1550" t="s">
        <v>7649</v>
      </c>
      <c r="G1550" t="s">
        <v>55</v>
      </c>
      <c r="H1550" t="s">
        <v>55</v>
      </c>
      <c r="I1550" t="s">
        <v>30</v>
      </c>
      <c r="J1550" t="s">
        <v>188</v>
      </c>
      <c r="K1550" t="s">
        <v>66</v>
      </c>
      <c r="L1550" t="s">
        <v>33</v>
      </c>
      <c r="M1550" t="s">
        <v>68</v>
      </c>
      <c r="N1550" t="s">
        <v>48</v>
      </c>
      <c r="O1550" t="s">
        <v>36</v>
      </c>
      <c r="P1550" t="s">
        <v>37</v>
      </c>
      <c r="Q1550" t="s">
        <v>38</v>
      </c>
      <c r="R1550">
        <v>166</v>
      </c>
      <c r="S1550">
        <v>80</v>
      </c>
      <c r="T1550">
        <v>56</v>
      </c>
      <c r="U1550">
        <v>22</v>
      </c>
      <c r="V1550" t="s">
        <v>6767</v>
      </c>
      <c r="W1550">
        <v>61625</v>
      </c>
      <c r="X1550" t="s">
        <v>7148</v>
      </c>
      <c r="Y1550">
        <v>44589</v>
      </c>
      <c r="Z1550">
        <v>1355750</v>
      </c>
      <c r="AA1550">
        <v>374792</v>
      </c>
      <c r="AB1550" t="str">
        <f>(VLOOKUP(SalesData[[#This Row],[Month Number]],Reference!C$5:E$16,2,FALSE))</f>
        <v>Feb</v>
      </c>
      <c r="AC1550">
        <f>MONTH(SalesData[[#This Row],[Date]])</f>
        <v>2</v>
      </c>
      <c r="AD1550">
        <f>Reference!F$4</f>
        <v>2026</v>
      </c>
      <c r="AE1550" t="str">
        <f>IF(OR(SalesData[[#This Row],[Day]]="Saturday",SalesData[[#This Row],[Day]]="Sunday"),"Weekend","Weekday")</f>
        <v>Weekend</v>
      </c>
      <c r="AF1550" s="5">
        <f>IF(SalesData[[#This Row],[Contracts Offered]]=0,0,SalesData[[#This Row],[Contracts Signed]]/SalesData[[#This Row],[Contracts Offered]])</f>
        <v>0.39285714285714285</v>
      </c>
      <c r="AG1550" s="5">
        <f>IF(SalesData[[#This Row],[Customers Visited]]=0,0,SalesData[[#This Row],[Test Drives]]/SalesData[[#This Row],[Customers Visited]])</f>
        <v>0.48192771084337349</v>
      </c>
      <c r="AH1550" s="5">
        <f>IF(SalesData[[#This Row],[Customers Visited]]=0,0,SalesData[[#This Row],[Contracts Signed]]/SalesData[[#This Row],[Customers Visited]])</f>
        <v>0.13253012048192772</v>
      </c>
      <c r="AI1550" s="6">
        <f>IF(SalesData[[#This Row],[Contracts Signed]]=0,0,SalesData[[#This Row],[Profit(€)]]/SalesData[[#This Row],[Contracts Signed]])</f>
        <v>17036</v>
      </c>
      <c r="AJ1550" s="5" t="str">
        <f>TRIM(CLEAN(SalesData[[#This Row],[Retailer]]))</f>
        <v>Autohaus Berlin</v>
      </c>
    </row>
    <row r="1551" spans="1:36" ht="14.25" hidden="1" x14ac:dyDescent="0.2">
      <c r="A1551" t="s">
        <v>2452</v>
      </c>
      <c r="B1551" s="1">
        <v>46074</v>
      </c>
      <c r="C1551" t="s">
        <v>62</v>
      </c>
      <c r="D1551" t="s">
        <v>151</v>
      </c>
      <c r="E1551" t="s">
        <v>42</v>
      </c>
      <c r="F1551" t="s">
        <v>101</v>
      </c>
      <c r="G1551" t="s">
        <v>102</v>
      </c>
      <c r="H1551" t="s">
        <v>103</v>
      </c>
      <c r="I1551" t="s">
        <v>56</v>
      </c>
      <c r="J1551" t="s">
        <v>7028</v>
      </c>
      <c r="K1551" t="s">
        <v>66</v>
      </c>
      <c r="L1551" t="s">
        <v>46</v>
      </c>
      <c r="M1551" t="s">
        <v>47</v>
      </c>
      <c r="N1551" t="s">
        <v>69</v>
      </c>
      <c r="O1551" t="s">
        <v>70</v>
      </c>
      <c r="P1551" t="s">
        <v>58</v>
      </c>
      <c r="Q1551" t="s">
        <v>189</v>
      </c>
      <c r="R1551">
        <v>199</v>
      </c>
      <c r="S1551">
        <v>112</v>
      </c>
      <c r="T1551">
        <v>72</v>
      </c>
      <c r="U1551">
        <v>23</v>
      </c>
      <c r="V1551" t="s">
        <v>6444</v>
      </c>
      <c r="W1551">
        <v>46880</v>
      </c>
      <c r="X1551" t="s">
        <v>7337</v>
      </c>
      <c r="Y1551">
        <v>38276</v>
      </c>
      <c r="Z1551">
        <v>1078240</v>
      </c>
      <c r="AA1551">
        <v>197892</v>
      </c>
      <c r="AB1551" t="str">
        <f>(VLOOKUP(SalesData[[#This Row],[Month Number]],Reference!C$5:E$16,2,FALSE))</f>
        <v>Feb</v>
      </c>
      <c r="AC1551">
        <f>MONTH(SalesData[[#This Row],[Date]])</f>
        <v>2</v>
      </c>
      <c r="AD1551">
        <f>Reference!F$4</f>
        <v>2026</v>
      </c>
      <c r="AE1551" t="str">
        <f>IF(OR(SalesData[[#This Row],[Day]]="Saturday",SalesData[[#This Row],[Day]]="Sunday"),"Weekend","Weekday")</f>
        <v>Weekend</v>
      </c>
      <c r="AF1551" s="5">
        <f>IF(SalesData[[#This Row],[Contracts Offered]]=0,0,SalesData[[#This Row],[Contracts Signed]]/SalesData[[#This Row],[Contracts Offered]])</f>
        <v>0.31944444444444442</v>
      </c>
      <c r="AG1551" s="5">
        <f>IF(SalesData[[#This Row],[Customers Visited]]=0,0,SalesData[[#This Row],[Test Drives]]/SalesData[[#This Row],[Customers Visited]])</f>
        <v>0.56281407035175879</v>
      </c>
      <c r="AH1551" s="5">
        <f>IF(SalesData[[#This Row],[Customers Visited]]=0,0,SalesData[[#This Row],[Contracts Signed]]/SalesData[[#This Row],[Customers Visited]])</f>
        <v>0.11557788944723618</v>
      </c>
      <c r="AI1551" s="6">
        <f>IF(SalesData[[#This Row],[Contracts Signed]]=0,0,SalesData[[#This Row],[Profit(€)]]/SalesData[[#This Row],[Contracts Signed]])</f>
        <v>8604</v>
      </c>
      <c r="AJ1551" s="5" t="str">
        <f>TRIM(CLEAN(SalesData[[#This Row],[Retailer]]))</f>
        <v>Ruhr Auto Plaza</v>
      </c>
    </row>
    <row r="1552" spans="1:36" ht="14.25" hidden="1" x14ac:dyDescent="0.2">
      <c r="A1552" t="s">
        <v>2454</v>
      </c>
      <c r="B1552" s="1">
        <v>46066</v>
      </c>
      <c r="C1552" t="s">
        <v>121</v>
      </c>
      <c r="D1552" t="s">
        <v>54</v>
      </c>
      <c r="E1552" t="s">
        <v>26</v>
      </c>
      <c r="F1552" t="s">
        <v>101</v>
      </c>
      <c r="G1552" t="s">
        <v>102</v>
      </c>
      <c r="H1552" t="s">
        <v>103</v>
      </c>
      <c r="I1552" t="s">
        <v>116</v>
      </c>
      <c r="J1552" t="s">
        <v>132</v>
      </c>
      <c r="K1552" t="s">
        <v>78</v>
      </c>
      <c r="L1552" t="s">
        <v>46</v>
      </c>
      <c r="M1552" t="s">
        <v>87</v>
      </c>
      <c r="N1552" t="s">
        <v>48</v>
      </c>
      <c r="O1552" t="s">
        <v>70</v>
      </c>
      <c r="P1552" t="s">
        <v>49</v>
      </c>
      <c r="Q1552" t="s">
        <v>152</v>
      </c>
      <c r="R1552">
        <v>287</v>
      </c>
      <c r="S1552">
        <v>127</v>
      </c>
      <c r="T1552">
        <v>87</v>
      </c>
      <c r="U1552">
        <v>16</v>
      </c>
      <c r="V1552" t="s">
        <v>7237</v>
      </c>
      <c r="W1552">
        <v>26028</v>
      </c>
      <c r="X1552" t="s">
        <v>6198</v>
      </c>
      <c r="Y1552">
        <v>23494</v>
      </c>
      <c r="Z1552">
        <v>416448</v>
      </c>
      <c r="AA1552">
        <v>40544</v>
      </c>
      <c r="AB1552" t="str">
        <f>(VLOOKUP(SalesData[[#This Row],[Month Number]],Reference!C$5:E$16,2,FALSE))</f>
        <v>Feb</v>
      </c>
      <c r="AC1552">
        <f>MONTH(SalesData[[#This Row],[Date]])</f>
        <v>2</v>
      </c>
      <c r="AD1552">
        <f>Reference!F$4</f>
        <v>2026</v>
      </c>
      <c r="AE1552" t="str">
        <f>IF(OR(SalesData[[#This Row],[Day]]="Saturday",SalesData[[#This Row],[Day]]="Sunday"),"Weekend","Weekday")</f>
        <v>Weekday</v>
      </c>
      <c r="AF1552" s="5">
        <f>IF(SalesData[[#This Row],[Contracts Offered]]=0,0,SalesData[[#This Row],[Contracts Signed]]/SalesData[[#This Row],[Contracts Offered]])</f>
        <v>0.18390804597701149</v>
      </c>
      <c r="AG1552" s="5">
        <f>IF(SalesData[[#This Row],[Customers Visited]]=0,0,SalesData[[#This Row],[Test Drives]]/SalesData[[#This Row],[Customers Visited]])</f>
        <v>0.4425087108013937</v>
      </c>
      <c r="AH1552" s="5">
        <f>IF(SalesData[[#This Row],[Customers Visited]]=0,0,SalesData[[#This Row],[Contracts Signed]]/SalesData[[#This Row],[Customers Visited]])</f>
        <v>5.5749128919860627E-2</v>
      </c>
      <c r="AI1552" s="6">
        <f>IF(SalesData[[#This Row],[Contracts Signed]]=0,0,SalesData[[#This Row],[Profit(€)]]/SalesData[[#This Row],[Contracts Signed]])</f>
        <v>2534</v>
      </c>
      <c r="AJ1552" s="5" t="str">
        <f>TRIM(CLEAN(SalesData[[#This Row],[Retailer]]))</f>
        <v>Ruhr Auto Plaza</v>
      </c>
    </row>
    <row r="1553" spans="1:36" ht="14.25" hidden="1" x14ac:dyDescent="0.2">
      <c r="A1553" t="s">
        <v>2455</v>
      </c>
      <c r="B1553" s="1">
        <v>46078</v>
      </c>
      <c r="C1553" t="s">
        <v>53</v>
      </c>
      <c r="D1553" t="s">
        <v>82</v>
      </c>
      <c r="E1553" t="s">
        <v>26</v>
      </c>
      <c r="F1553" t="s">
        <v>83</v>
      </c>
      <c r="G1553" t="s">
        <v>84</v>
      </c>
      <c r="H1553" t="s">
        <v>85</v>
      </c>
      <c r="I1553" t="s">
        <v>64</v>
      </c>
      <c r="J1553" t="s">
        <v>65</v>
      </c>
      <c r="K1553" t="s">
        <v>91</v>
      </c>
      <c r="L1553" t="s">
        <v>33</v>
      </c>
      <c r="M1553" t="s">
        <v>34</v>
      </c>
      <c r="N1553" t="s">
        <v>48</v>
      </c>
      <c r="O1553" t="s">
        <v>36</v>
      </c>
      <c r="P1553" t="s">
        <v>49</v>
      </c>
      <c r="Q1553" t="s">
        <v>50</v>
      </c>
      <c r="R1553">
        <v>200</v>
      </c>
      <c r="S1553">
        <v>90</v>
      </c>
      <c r="T1553">
        <v>62</v>
      </c>
      <c r="U1553">
        <v>20</v>
      </c>
      <c r="V1553" t="s">
        <v>6433</v>
      </c>
      <c r="W1553">
        <v>60600</v>
      </c>
      <c r="X1553" t="s">
        <v>2334</v>
      </c>
      <c r="Y1553">
        <v>43948</v>
      </c>
      <c r="Z1553">
        <v>1212000</v>
      </c>
      <c r="AA1553">
        <v>333040</v>
      </c>
      <c r="AB1553" t="str">
        <f>(VLOOKUP(SalesData[[#This Row],[Month Number]],Reference!C$5:E$16,2,FALSE))</f>
        <v>Feb</v>
      </c>
      <c r="AC1553">
        <f>MONTH(SalesData[[#This Row],[Date]])</f>
        <v>2</v>
      </c>
      <c r="AD1553">
        <f>Reference!F$4</f>
        <v>2026</v>
      </c>
      <c r="AE1553" t="str">
        <f>IF(OR(SalesData[[#This Row],[Day]]="Saturday",SalesData[[#This Row],[Day]]="Sunday"),"Weekend","Weekday")</f>
        <v>Weekday</v>
      </c>
      <c r="AF1553" s="5">
        <f>IF(SalesData[[#This Row],[Contracts Offered]]=0,0,SalesData[[#This Row],[Contracts Signed]]/SalesData[[#This Row],[Contracts Offered]])</f>
        <v>0.32258064516129031</v>
      </c>
      <c r="AG1553" s="5">
        <f>IF(SalesData[[#This Row],[Customers Visited]]=0,0,SalesData[[#This Row],[Test Drives]]/SalesData[[#This Row],[Customers Visited]])</f>
        <v>0.45</v>
      </c>
      <c r="AH1553" s="5">
        <f>IF(SalesData[[#This Row],[Customers Visited]]=0,0,SalesData[[#This Row],[Contracts Signed]]/SalesData[[#This Row],[Customers Visited]])</f>
        <v>0.1</v>
      </c>
      <c r="AI1553" s="6">
        <f>IF(SalesData[[#This Row],[Contracts Signed]]=0,0,SalesData[[#This Row],[Profit(€)]]/SalesData[[#This Row],[Contracts Signed]])</f>
        <v>16652</v>
      </c>
      <c r="AJ1553" s="5" t="str">
        <f>TRIM(CLEAN(SalesData[[#This Row],[Retailer]]))</f>
        <v>Hannover Cars</v>
      </c>
    </row>
    <row r="1554" spans="1:36" ht="14.25" x14ac:dyDescent="0.2">
      <c r="A1554" t="s">
        <v>2456</v>
      </c>
      <c r="B1554" s="1">
        <v>46075</v>
      </c>
      <c r="C1554" t="s">
        <v>53</v>
      </c>
      <c r="D1554" t="s">
        <v>41</v>
      </c>
      <c r="E1554" t="s">
        <v>42</v>
      </c>
      <c r="F1554" t="s">
        <v>127</v>
      </c>
      <c r="G1554" t="s">
        <v>128</v>
      </c>
      <c r="H1554" t="s">
        <v>103</v>
      </c>
      <c r="I1554" t="s">
        <v>30</v>
      </c>
      <c r="J1554" t="s">
        <v>86</v>
      </c>
      <c r="K1554" t="s">
        <v>91</v>
      </c>
      <c r="L1554" t="s">
        <v>33</v>
      </c>
      <c r="M1554" t="s">
        <v>47</v>
      </c>
      <c r="N1554" t="s">
        <v>69</v>
      </c>
      <c r="O1554" t="s">
        <v>70</v>
      </c>
      <c r="P1554" t="s">
        <v>71</v>
      </c>
      <c r="Q1554" t="s">
        <v>347</v>
      </c>
      <c r="R1554">
        <v>278</v>
      </c>
      <c r="S1554">
        <v>147</v>
      </c>
      <c r="T1554">
        <v>115</v>
      </c>
      <c r="U1554">
        <v>39</v>
      </c>
      <c r="V1554" t="s">
        <v>6655</v>
      </c>
      <c r="W1554">
        <v>53810</v>
      </c>
      <c r="X1554" t="s">
        <v>7108</v>
      </c>
      <c r="Y1554">
        <v>39115</v>
      </c>
      <c r="Z1554">
        <v>2098590</v>
      </c>
      <c r="AA1554">
        <v>573105</v>
      </c>
      <c r="AB1554" t="str">
        <f>(VLOOKUP(SalesData[[#This Row],[Month Number]],Reference!C$5:E$16,2,FALSE))</f>
        <v>Feb</v>
      </c>
      <c r="AC1554">
        <f>MONTH(SalesData[[#This Row],[Date]])</f>
        <v>2</v>
      </c>
      <c r="AD1554">
        <f>Reference!F$4</f>
        <v>2026</v>
      </c>
      <c r="AE1554" t="str">
        <f>IF(OR(SalesData[[#This Row],[Day]]="Saturday",SalesData[[#This Row],[Day]]="Sunday"),"Weekend","Weekday")</f>
        <v>Weekend</v>
      </c>
      <c r="AF1554" s="5">
        <f>IF(SalesData[[#This Row],[Contracts Offered]]=0,0,SalesData[[#This Row],[Contracts Signed]]/SalesData[[#This Row],[Contracts Offered]])</f>
        <v>0.33913043478260868</v>
      </c>
      <c r="AG1554" s="5">
        <f>IF(SalesData[[#This Row],[Customers Visited]]=0,0,SalesData[[#This Row],[Test Drives]]/SalesData[[#This Row],[Customers Visited]])</f>
        <v>0.52877697841726623</v>
      </c>
      <c r="AH1554" s="5">
        <f>IF(SalesData[[#This Row],[Customers Visited]]=0,0,SalesData[[#This Row],[Contracts Signed]]/SalesData[[#This Row],[Customers Visited]])</f>
        <v>0.14028776978417265</v>
      </c>
      <c r="AI1554" s="6">
        <f>IF(SalesData[[#This Row],[Contracts Signed]]=0,0,SalesData[[#This Row],[Profit(€)]]/SalesData[[#This Row],[Contracts Signed]])</f>
        <v>14695</v>
      </c>
      <c r="AJ1554" s="5" t="str">
        <f>TRIM(CLEAN(SalesData[[#This Row],[Retailer]]))</f>
        <v>Rhein Auto Group</v>
      </c>
    </row>
    <row r="1555" spans="1:36" ht="14.25" hidden="1" x14ac:dyDescent="0.2">
      <c r="A1555" t="s">
        <v>2457</v>
      </c>
      <c r="B1555" s="1">
        <v>46058</v>
      </c>
      <c r="C1555" t="s">
        <v>24</v>
      </c>
      <c r="D1555" t="s">
        <v>100</v>
      </c>
      <c r="E1555" t="s">
        <v>26</v>
      </c>
      <c r="F1555" t="s">
        <v>127</v>
      </c>
      <c r="G1555" t="s">
        <v>128</v>
      </c>
      <c r="H1555" t="s">
        <v>103</v>
      </c>
      <c r="I1555" t="s">
        <v>104</v>
      </c>
      <c r="J1555" t="s">
        <v>7061</v>
      </c>
      <c r="K1555" t="s">
        <v>32</v>
      </c>
      <c r="L1555" t="s">
        <v>46</v>
      </c>
      <c r="M1555" t="s">
        <v>68</v>
      </c>
      <c r="N1555" t="s">
        <v>48</v>
      </c>
      <c r="O1555" t="s">
        <v>70</v>
      </c>
      <c r="P1555" t="s">
        <v>49</v>
      </c>
      <c r="Q1555" t="s">
        <v>106</v>
      </c>
      <c r="R1555">
        <v>340</v>
      </c>
      <c r="S1555">
        <v>143</v>
      </c>
      <c r="T1555">
        <v>89</v>
      </c>
      <c r="U1555">
        <v>19</v>
      </c>
      <c r="V1555" t="s">
        <v>1436</v>
      </c>
      <c r="W1555">
        <v>33908</v>
      </c>
      <c r="X1555" t="s">
        <v>361</v>
      </c>
      <c r="Y1555">
        <v>29339</v>
      </c>
      <c r="Z1555">
        <v>644252</v>
      </c>
      <c r="AA1555">
        <v>86811</v>
      </c>
      <c r="AB1555" t="str">
        <f>(VLOOKUP(SalesData[[#This Row],[Month Number]],Reference!C$5:E$16,2,FALSE))</f>
        <v>Feb</v>
      </c>
      <c r="AC1555">
        <f>MONTH(SalesData[[#This Row],[Date]])</f>
        <v>2</v>
      </c>
      <c r="AD1555">
        <f>Reference!F$4</f>
        <v>2026</v>
      </c>
      <c r="AE1555" t="str">
        <f>IF(OR(SalesData[[#This Row],[Day]]="Saturday",SalesData[[#This Row],[Day]]="Sunday"),"Weekend","Weekday")</f>
        <v>Weekday</v>
      </c>
      <c r="AF1555" s="5">
        <f>IF(SalesData[[#This Row],[Contracts Offered]]=0,0,SalesData[[#This Row],[Contracts Signed]]/SalesData[[#This Row],[Contracts Offered]])</f>
        <v>0.21348314606741572</v>
      </c>
      <c r="AG1555" s="5">
        <f>IF(SalesData[[#This Row],[Customers Visited]]=0,0,SalesData[[#This Row],[Test Drives]]/SalesData[[#This Row],[Customers Visited]])</f>
        <v>0.42058823529411765</v>
      </c>
      <c r="AH1555" s="5">
        <f>IF(SalesData[[#This Row],[Customers Visited]]=0,0,SalesData[[#This Row],[Contracts Signed]]/SalesData[[#This Row],[Customers Visited]])</f>
        <v>5.5882352941176473E-2</v>
      </c>
      <c r="AI1555" s="6">
        <f>IF(SalesData[[#This Row],[Contracts Signed]]=0,0,SalesData[[#This Row],[Profit(€)]]/SalesData[[#This Row],[Contracts Signed]])</f>
        <v>4569</v>
      </c>
      <c r="AJ1555" s="5" t="str">
        <f>TRIM(CLEAN(SalesData[[#This Row],[Retailer]]))</f>
        <v>Rhein Auto Group</v>
      </c>
    </row>
    <row r="1556" spans="1:36" ht="14.25" hidden="1" x14ac:dyDescent="0.2">
      <c r="A1556" t="s">
        <v>2458</v>
      </c>
      <c r="B1556" s="1">
        <v>46065</v>
      </c>
      <c r="C1556" t="s">
        <v>121</v>
      </c>
      <c r="D1556" t="s">
        <v>100</v>
      </c>
      <c r="E1556" t="s">
        <v>26</v>
      </c>
      <c r="F1556" t="s">
        <v>101</v>
      </c>
      <c r="G1556" t="s">
        <v>102</v>
      </c>
      <c r="H1556" t="s">
        <v>103</v>
      </c>
      <c r="I1556" t="s">
        <v>104</v>
      </c>
      <c r="J1556" t="s">
        <v>143</v>
      </c>
      <c r="K1556" t="s">
        <v>66</v>
      </c>
      <c r="L1556" t="s">
        <v>67</v>
      </c>
      <c r="M1556" t="s">
        <v>47</v>
      </c>
      <c r="N1556" t="s">
        <v>48</v>
      </c>
      <c r="O1556" t="s">
        <v>36</v>
      </c>
      <c r="P1556" t="s">
        <v>58</v>
      </c>
      <c r="Q1556" t="s">
        <v>122</v>
      </c>
      <c r="R1556">
        <v>498</v>
      </c>
      <c r="S1556">
        <v>229</v>
      </c>
      <c r="T1556">
        <v>158</v>
      </c>
      <c r="U1556">
        <v>37</v>
      </c>
      <c r="V1556" t="s">
        <v>3578</v>
      </c>
      <c r="W1556">
        <v>33284</v>
      </c>
      <c r="X1556" t="s">
        <v>944</v>
      </c>
      <c r="Y1556">
        <v>29189</v>
      </c>
      <c r="Z1556">
        <v>1231508</v>
      </c>
      <c r="AA1556">
        <v>151515</v>
      </c>
      <c r="AB1556" t="str">
        <f>(VLOOKUP(SalesData[[#This Row],[Month Number]],Reference!C$5:E$16,2,FALSE))</f>
        <v>Feb</v>
      </c>
      <c r="AC1556">
        <f>MONTH(SalesData[[#This Row],[Date]])</f>
        <v>2</v>
      </c>
      <c r="AD1556">
        <f>Reference!F$4</f>
        <v>2026</v>
      </c>
      <c r="AE1556" t="str">
        <f>IF(OR(SalesData[[#This Row],[Day]]="Saturday",SalesData[[#This Row],[Day]]="Sunday"),"Weekend","Weekday")</f>
        <v>Weekday</v>
      </c>
      <c r="AF1556" s="5">
        <f>IF(SalesData[[#This Row],[Contracts Offered]]=0,0,SalesData[[#This Row],[Contracts Signed]]/SalesData[[#This Row],[Contracts Offered]])</f>
        <v>0.23417721518987342</v>
      </c>
      <c r="AG1556" s="5">
        <f>IF(SalesData[[#This Row],[Customers Visited]]=0,0,SalesData[[#This Row],[Test Drives]]/SalesData[[#This Row],[Customers Visited]])</f>
        <v>0.45983935742971888</v>
      </c>
      <c r="AH1556" s="5">
        <f>IF(SalesData[[#This Row],[Customers Visited]]=0,0,SalesData[[#This Row],[Contracts Signed]]/SalesData[[#This Row],[Customers Visited]])</f>
        <v>7.4297188755020074E-2</v>
      </c>
      <c r="AI1556" s="6">
        <f>IF(SalesData[[#This Row],[Contracts Signed]]=0,0,SalesData[[#This Row],[Profit(€)]]/SalesData[[#This Row],[Contracts Signed]])</f>
        <v>4095</v>
      </c>
      <c r="AJ1556" s="5" t="str">
        <f>TRIM(CLEAN(SalesData[[#This Row],[Retailer]]))</f>
        <v>Ruhr Auto Plaza</v>
      </c>
    </row>
    <row r="1557" spans="1:36" ht="14.25" hidden="1" x14ac:dyDescent="0.2">
      <c r="A1557" t="s">
        <v>2459</v>
      </c>
      <c r="B1557" s="1">
        <v>46066</v>
      </c>
      <c r="C1557" t="s">
        <v>121</v>
      </c>
      <c r="D1557" t="s">
        <v>54</v>
      </c>
      <c r="E1557" t="s">
        <v>26</v>
      </c>
      <c r="F1557" t="s">
        <v>27</v>
      </c>
      <c r="G1557" t="s">
        <v>28</v>
      </c>
      <c r="H1557" t="s">
        <v>29</v>
      </c>
      <c r="I1557" t="s">
        <v>104</v>
      </c>
      <c r="J1557" t="s">
        <v>143</v>
      </c>
      <c r="K1557" t="s">
        <v>78</v>
      </c>
      <c r="L1557" t="s">
        <v>67</v>
      </c>
      <c r="M1557" t="s">
        <v>47</v>
      </c>
      <c r="N1557" t="s">
        <v>69</v>
      </c>
      <c r="O1557" t="s">
        <v>70</v>
      </c>
      <c r="P1557" t="s">
        <v>58</v>
      </c>
      <c r="Q1557" t="s">
        <v>122</v>
      </c>
      <c r="R1557">
        <v>449</v>
      </c>
      <c r="S1557">
        <v>204</v>
      </c>
      <c r="T1557">
        <v>118</v>
      </c>
      <c r="U1557">
        <v>34</v>
      </c>
      <c r="V1557" t="s">
        <v>508</v>
      </c>
      <c r="W1557">
        <v>32020</v>
      </c>
      <c r="X1557" t="s">
        <v>4071</v>
      </c>
      <c r="Y1557">
        <v>27560</v>
      </c>
      <c r="Z1557">
        <v>1088680</v>
      </c>
      <c r="AA1557">
        <v>151640</v>
      </c>
      <c r="AB1557" t="str">
        <f>(VLOOKUP(SalesData[[#This Row],[Month Number]],Reference!C$5:E$16,2,FALSE))</f>
        <v>Feb</v>
      </c>
      <c r="AC1557">
        <f>MONTH(SalesData[[#This Row],[Date]])</f>
        <v>2</v>
      </c>
      <c r="AD1557">
        <f>Reference!F$4</f>
        <v>2026</v>
      </c>
      <c r="AE1557" t="str">
        <f>IF(OR(SalesData[[#This Row],[Day]]="Saturday",SalesData[[#This Row],[Day]]="Sunday"),"Weekend","Weekday")</f>
        <v>Weekday</v>
      </c>
      <c r="AF1557" s="5">
        <f>IF(SalesData[[#This Row],[Contracts Offered]]=0,0,SalesData[[#This Row],[Contracts Signed]]/SalesData[[#This Row],[Contracts Offered]])</f>
        <v>0.28813559322033899</v>
      </c>
      <c r="AG1557" s="5">
        <f>IF(SalesData[[#This Row],[Customers Visited]]=0,0,SalesData[[#This Row],[Test Drives]]/SalesData[[#This Row],[Customers Visited]])</f>
        <v>0.45434298440979953</v>
      </c>
      <c r="AH1557" s="5">
        <f>IF(SalesData[[#This Row],[Customers Visited]]=0,0,SalesData[[#This Row],[Contracts Signed]]/SalesData[[#This Row],[Customers Visited]])</f>
        <v>7.5723830734966593E-2</v>
      </c>
      <c r="AI1557" s="6">
        <f>IF(SalesData[[#This Row],[Contracts Signed]]=0,0,SalesData[[#This Row],[Profit(€)]]/SalesData[[#This Row],[Contracts Signed]])</f>
        <v>4460</v>
      </c>
      <c r="AJ1557" s="5" t="str">
        <f>TRIM(CLEAN(SalesData[[#This Row],[Retailer]]))</f>
        <v>Main Auto Hub</v>
      </c>
    </row>
    <row r="1558" spans="1:36" ht="14.25" hidden="1" x14ac:dyDescent="0.2">
      <c r="A1558" t="s">
        <v>2460</v>
      </c>
      <c r="B1558" s="1">
        <v>46069</v>
      </c>
      <c r="C1558" t="s">
        <v>62</v>
      </c>
      <c r="D1558" t="s">
        <v>25</v>
      </c>
      <c r="E1558" t="s">
        <v>26</v>
      </c>
      <c r="F1558" t="s">
        <v>101</v>
      </c>
      <c r="G1558" t="s">
        <v>102</v>
      </c>
      <c r="H1558" t="s">
        <v>103</v>
      </c>
      <c r="I1558" t="s">
        <v>104</v>
      </c>
      <c r="J1558" t="s">
        <v>143</v>
      </c>
      <c r="K1558" t="s">
        <v>78</v>
      </c>
      <c r="L1558" t="s">
        <v>67</v>
      </c>
      <c r="M1558" t="s">
        <v>68</v>
      </c>
      <c r="N1558" t="s">
        <v>35</v>
      </c>
      <c r="O1558" t="s">
        <v>70</v>
      </c>
      <c r="P1558" t="s">
        <v>71</v>
      </c>
      <c r="Q1558" t="s">
        <v>169</v>
      </c>
      <c r="R1558">
        <v>414</v>
      </c>
      <c r="S1558">
        <v>166</v>
      </c>
      <c r="T1558">
        <v>101</v>
      </c>
      <c r="U1558">
        <v>24</v>
      </c>
      <c r="V1558" t="s">
        <v>1539</v>
      </c>
      <c r="W1558">
        <v>27681</v>
      </c>
      <c r="X1558" t="s">
        <v>1270</v>
      </c>
      <c r="Y1558">
        <v>25075</v>
      </c>
      <c r="Z1558">
        <v>664344</v>
      </c>
      <c r="AA1558">
        <v>62544</v>
      </c>
      <c r="AB1558" t="str">
        <f>(VLOOKUP(SalesData[[#This Row],[Month Number]],Reference!C$5:E$16,2,FALSE))</f>
        <v>Feb</v>
      </c>
      <c r="AC1558">
        <f>MONTH(SalesData[[#This Row],[Date]])</f>
        <v>2</v>
      </c>
      <c r="AD1558">
        <f>Reference!F$4</f>
        <v>2026</v>
      </c>
      <c r="AE1558" t="str">
        <f>IF(OR(SalesData[[#This Row],[Day]]="Saturday",SalesData[[#This Row],[Day]]="Sunday"),"Weekend","Weekday")</f>
        <v>Weekday</v>
      </c>
      <c r="AF1558" s="5">
        <f>IF(SalesData[[#This Row],[Contracts Offered]]=0,0,SalesData[[#This Row],[Contracts Signed]]/SalesData[[#This Row],[Contracts Offered]])</f>
        <v>0.23762376237623761</v>
      </c>
      <c r="AG1558" s="5">
        <f>IF(SalesData[[#This Row],[Customers Visited]]=0,0,SalesData[[#This Row],[Test Drives]]/SalesData[[#This Row],[Customers Visited]])</f>
        <v>0.40096618357487923</v>
      </c>
      <c r="AH1558" s="5">
        <f>IF(SalesData[[#This Row],[Customers Visited]]=0,0,SalesData[[#This Row],[Contracts Signed]]/SalesData[[#This Row],[Customers Visited]])</f>
        <v>5.7971014492753624E-2</v>
      </c>
      <c r="AI1558" s="6">
        <f>IF(SalesData[[#This Row],[Contracts Signed]]=0,0,SalesData[[#This Row],[Profit(€)]]/SalesData[[#This Row],[Contracts Signed]])</f>
        <v>2606</v>
      </c>
      <c r="AJ1558" s="5" t="str">
        <f>TRIM(CLEAN(SalesData[[#This Row],[Retailer]]))</f>
        <v>Ruhr Auto Plaza</v>
      </c>
    </row>
    <row r="1559" spans="1:36" ht="14.25" hidden="1" x14ac:dyDescent="0.2">
      <c r="A1559" t="s">
        <v>2461</v>
      </c>
      <c r="B1559" s="1">
        <v>46060</v>
      </c>
      <c r="C1559" t="s">
        <v>24</v>
      </c>
      <c r="D1559" t="s">
        <v>151</v>
      </c>
      <c r="E1559" t="s">
        <v>42</v>
      </c>
      <c r="F1559" t="s">
        <v>74</v>
      </c>
      <c r="G1559" t="s">
        <v>75</v>
      </c>
      <c r="H1559" t="s">
        <v>76</v>
      </c>
      <c r="I1559" t="s">
        <v>104</v>
      </c>
      <c r="J1559" t="s">
        <v>143</v>
      </c>
      <c r="K1559" t="s">
        <v>66</v>
      </c>
      <c r="L1559" t="s">
        <v>67</v>
      </c>
      <c r="M1559" t="s">
        <v>47</v>
      </c>
      <c r="N1559" t="s">
        <v>35</v>
      </c>
      <c r="O1559" t="s">
        <v>70</v>
      </c>
      <c r="P1559" t="s">
        <v>71</v>
      </c>
      <c r="Q1559" t="s">
        <v>204</v>
      </c>
      <c r="R1559">
        <v>504</v>
      </c>
      <c r="S1559">
        <v>215</v>
      </c>
      <c r="T1559">
        <v>151</v>
      </c>
      <c r="U1559">
        <v>31</v>
      </c>
      <c r="V1559" t="s">
        <v>1800</v>
      </c>
      <c r="W1559">
        <v>26316</v>
      </c>
      <c r="X1559" t="s">
        <v>5601</v>
      </c>
      <c r="Y1559">
        <v>23622</v>
      </c>
      <c r="Z1559">
        <v>815796</v>
      </c>
      <c r="AA1559">
        <v>83514</v>
      </c>
      <c r="AB1559" t="str">
        <f>(VLOOKUP(SalesData[[#This Row],[Month Number]],Reference!C$5:E$16,2,FALSE))</f>
        <v>Feb</v>
      </c>
      <c r="AC1559">
        <f>MONTH(SalesData[[#This Row],[Date]])</f>
        <v>2</v>
      </c>
      <c r="AD1559">
        <f>Reference!F$4</f>
        <v>2026</v>
      </c>
      <c r="AE1559" t="str">
        <f>IF(OR(SalesData[[#This Row],[Day]]="Saturday",SalesData[[#This Row],[Day]]="Sunday"),"Weekend","Weekday")</f>
        <v>Weekend</v>
      </c>
      <c r="AF1559" s="5">
        <f>IF(SalesData[[#This Row],[Contracts Offered]]=0,0,SalesData[[#This Row],[Contracts Signed]]/SalesData[[#This Row],[Contracts Offered]])</f>
        <v>0.20529801324503311</v>
      </c>
      <c r="AG1559" s="5">
        <f>IF(SalesData[[#This Row],[Customers Visited]]=0,0,SalesData[[#This Row],[Test Drives]]/SalesData[[#This Row],[Customers Visited]])</f>
        <v>0.42658730158730157</v>
      </c>
      <c r="AH1559" s="5">
        <f>IF(SalesData[[#This Row],[Customers Visited]]=0,0,SalesData[[#This Row],[Contracts Signed]]/SalesData[[#This Row],[Customers Visited]])</f>
        <v>6.1507936507936505E-2</v>
      </c>
      <c r="AI1559" s="6">
        <f>IF(SalesData[[#This Row],[Contracts Signed]]=0,0,SalesData[[#This Row],[Profit(€)]]/SalesData[[#This Row],[Contracts Signed]])</f>
        <v>2694</v>
      </c>
      <c r="AJ1559" s="5" t="str">
        <f>TRIM(CLEAN(SalesData[[#This Row],[Retailer]]))</f>
        <v>Stuttgart Auto Center</v>
      </c>
    </row>
    <row r="1560" spans="1:36" ht="14.25" hidden="1" x14ac:dyDescent="0.2">
      <c r="A1560" t="s">
        <v>2462</v>
      </c>
      <c r="B1560" s="1">
        <v>46080</v>
      </c>
      <c r="C1560" t="s">
        <v>53</v>
      </c>
      <c r="D1560" t="s">
        <v>54</v>
      </c>
      <c r="E1560" t="s">
        <v>26</v>
      </c>
      <c r="F1560" t="s">
        <v>109</v>
      </c>
      <c r="G1560" t="s">
        <v>110</v>
      </c>
      <c r="H1560" t="s">
        <v>45</v>
      </c>
      <c r="I1560" t="s">
        <v>64</v>
      </c>
      <c r="J1560" t="s">
        <v>157</v>
      </c>
      <c r="K1560" t="s">
        <v>78</v>
      </c>
      <c r="L1560" t="s">
        <v>33</v>
      </c>
      <c r="M1560" t="s">
        <v>34</v>
      </c>
      <c r="N1560" t="s">
        <v>48</v>
      </c>
      <c r="O1560" t="s">
        <v>36</v>
      </c>
      <c r="P1560" t="s">
        <v>37</v>
      </c>
      <c r="Q1560" t="s">
        <v>118</v>
      </c>
      <c r="R1560">
        <v>179</v>
      </c>
      <c r="S1560">
        <v>86</v>
      </c>
      <c r="T1560">
        <v>67</v>
      </c>
      <c r="U1560">
        <v>18</v>
      </c>
      <c r="V1560" t="s">
        <v>6420</v>
      </c>
      <c r="W1560">
        <v>50867</v>
      </c>
      <c r="X1560" t="s">
        <v>7248</v>
      </c>
      <c r="Y1560">
        <v>38762</v>
      </c>
      <c r="Z1560">
        <v>915606</v>
      </c>
      <c r="AA1560">
        <v>217890</v>
      </c>
      <c r="AB1560" t="str">
        <f>(VLOOKUP(SalesData[[#This Row],[Month Number]],Reference!C$5:E$16,2,FALSE))</f>
        <v>Feb</v>
      </c>
      <c r="AC1560">
        <f>MONTH(SalesData[[#This Row],[Date]])</f>
        <v>2</v>
      </c>
      <c r="AD1560">
        <f>Reference!F$4</f>
        <v>2026</v>
      </c>
      <c r="AE1560" t="str">
        <f>IF(OR(SalesData[[#This Row],[Day]]="Saturday",SalesData[[#This Row],[Day]]="Sunday"),"Weekend","Weekday")</f>
        <v>Weekday</v>
      </c>
      <c r="AF1560" s="5">
        <f>IF(SalesData[[#This Row],[Contracts Offered]]=0,0,SalesData[[#This Row],[Contracts Signed]]/SalesData[[#This Row],[Contracts Offered]])</f>
        <v>0.26865671641791045</v>
      </c>
      <c r="AG1560" s="5">
        <f>IF(SalesData[[#This Row],[Customers Visited]]=0,0,SalesData[[#This Row],[Test Drives]]/SalesData[[#This Row],[Customers Visited]])</f>
        <v>0.48044692737430167</v>
      </c>
      <c r="AH1560" s="5">
        <f>IF(SalesData[[#This Row],[Customers Visited]]=0,0,SalesData[[#This Row],[Contracts Signed]]/SalesData[[#This Row],[Customers Visited]])</f>
        <v>0.1005586592178771</v>
      </c>
      <c r="AI1560" s="6">
        <f>IF(SalesData[[#This Row],[Contracts Signed]]=0,0,SalesData[[#This Row],[Profit(€)]]/SalesData[[#This Row],[Contracts Signed]])</f>
        <v>12105</v>
      </c>
      <c r="AJ1560" s="5" t="str">
        <f>TRIM(CLEAN(SalesData[[#This Row],[Retailer]]))</f>
        <v>Leipzig Mobility</v>
      </c>
    </row>
    <row r="1561" spans="1:36" ht="14.25" hidden="1" x14ac:dyDescent="0.2">
      <c r="A1561" t="s">
        <v>2463</v>
      </c>
      <c r="B1561" s="1">
        <v>46075</v>
      </c>
      <c r="C1561" t="s">
        <v>53</v>
      </c>
      <c r="D1561" t="s">
        <v>41</v>
      </c>
      <c r="E1561" t="s">
        <v>42</v>
      </c>
      <c r="F1561" t="s">
        <v>114</v>
      </c>
      <c r="G1561" t="s">
        <v>115</v>
      </c>
      <c r="H1561" t="s">
        <v>115</v>
      </c>
      <c r="I1561" t="s">
        <v>104</v>
      </c>
      <c r="J1561" t="s">
        <v>143</v>
      </c>
      <c r="K1561" t="s">
        <v>91</v>
      </c>
      <c r="L1561" t="s">
        <v>67</v>
      </c>
      <c r="M1561" t="s">
        <v>34</v>
      </c>
      <c r="N1561" t="s">
        <v>69</v>
      </c>
      <c r="O1561" t="s">
        <v>70</v>
      </c>
      <c r="P1561" t="s">
        <v>71</v>
      </c>
      <c r="Q1561" t="s">
        <v>135</v>
      </c>
      <c r="R1561">
        <v>419</v>
      </c>
      <c r="S1561">
        <v>221</v>
      </c>
      <c r="T1561">
        <v>148</v>
      </c>
      <c r="U1561">
        <v>34</v>
      </c>
      <c r="V1561" t="s">
        <v>1109</v>
      </c>
      <c r="W1561">
        <v>31531</v>
      </c>
      <c r="X1561" t="s">
        <v>3707</v>
      </c>
      <c r="Y1561">
        <v>28295</v>
      </c>
      <c r="Z1561">
        <v>1072054</v>
      </c>
      <c r="AA1561">
        <v>110024</v>
      </c>
      <c r="AB1561" t="str">
        <f>(VLOOKUP(SalesData[[#This Row],[Month Number]],Reference!C$5:E$16,2,FALSE))</f>
        <v>Feb</v>
      </c>
      <c r="AC1561">
        <f>MONTH(SalesData[[#This Row],[Date]])</f>
        <v>2</v>
      </c>
      <c r="AD1561">
        <f>Reference!F$4</f>
        <v>2026</v>
      </c>
      <c r="AE1561" t="str">
        <f>IF(OR(SalesData[[#This Row],[Day]]="Saturday",SalesData[[#This Row],[Day]]="Sunday"),"Weekend","Weekday")</f>
        <v>Weekend</v>
      </c>
      <c r="AF1561" s="5">
        <f>IF(SalesData[[#This Row],[Contracts Offered]]=0,0,SalesData[[#This Row],[Contracts Signed]]/SalesData[[#This Row],[Contracts Offered]])</f>
        <v>0.22972972972972974</v>
      </c>
      <c r="AG1561" s="5">
        <f>IF(SalesData[[#This Row],[Customers Visited]]=0,0,SalesData[[#This Row],[Test Drives]]/SalesData[[#This Row],[Customers Visited]])</f>
        <v>0.52744630071599041</v>
      </c>
      <c r="AH1561" s="5">
        <f>IF(SalesData[[#This Row],[Customers Visited]]=0,0,SalesData[[#This Row],[Contracts Signed]]/SalesData[[#This Row],[Customers Visited]])</f>
        <v>8.1145584725536998E-2</v>
      </c>
      <c r="AI1561" s="6">
        <f>IF(SalesData[[#This Row],[Contracts Signed]]=0,0,SalesData[[#This Row],[Profit(€)]]/SalesData[[#This Row],[Contracts Signed]])</f>
        <v>3236</v>
      </c>
      <c r="AJ1561" s="5" t="str">
        <f>TRIM(CLEAN(SalesData[[#This Row],[Retailer]]))</f>
        <v>Elbe Drive</v>
      </c>
    </row>
    <row r="1562" spans="1:36" ht="14.25" hidden="1" x14ac:dyDescent="0.2">
      <c r="A1562" t="s">
        <v>2465</v>
      </c>
      <c r="B1562" s="1">
        <v>46071</v>
      </c>
      <c r="C1562" t="s">
        <v>62</v>
      </c>
      <c r="D1562" t="s">
        <v>82</v>
      </c>
      <c r="E1562" t="s">
        <v>26</v>
      </c>
      <c r="F1562" t="s">
        <v>101</v>
      </c>
      <c r="G1562" t="s">
        <v>102</v>
      </c>
      <c r="H1562" t="s">
        <v>103</v>
      </c>
      <c r="I1562" t="s">
        <v>64</v>
      </c>
      <c r="J1562" t="s">
        <v>77</v>
      </c>
      <c r="K1562" t="s">
        <v>91</v>
      </c>
      <c r="L1562" t="s">
        <v>46</v>
      </c>
      <c r="M1562" t="s">
        <v>34</v>
      </c>
      <c r="N1562" t="s">
        <v>69</v>
      </c>
      <c r="O1562" t="s">
        <v>70</v>
      </c>
      <c r="P1562" t="s">
        <v>71</v>
      </c>
      <c r="Q1562" t="s">
        <v>152</v>
      </c>
      <c r="R1562">
        <v>201</v>
      </c>
      <c r="S1562">
        <v>105</v>
      </c>
      <c r="T1562">
        <v>76</v>
      </c>
      <c r="U1562">
        <v>25</v>
      </c>
      <c r="V1562" t="s">
        <v>6383</v>
      </c>
      <c r="W1562">
        <v>53899</v>
      </c>
      <c r="X1562" t="s">
        <v>7115</v>
      </c>
      <c r="Y1562">
        <v>40199</v>
      </c>
      <c r="Z1562">
        <v>1347475</v>
      </c>
      <c r="AA1562">
        <v>342500</v>
      </c>
      <c r="AB1562" t="str">
        <f>(VLOOKUP(SalesData[[#This Row],[Month Number]],Reference!C$5:E$16,2,FALSE))</f>
        <v>Feb</v>
      </c>
      <c r="AC1562">
        <f>MONTH(SalesData[[#This Row],[Date]])</f>
        <v>2</v>
      </c>
      <c r="AD1562">
        <f>Reference!F$4</f>
        <v>2026</v>
      </c>
      <c r="AE1562" t="str">
        <f>IF(OR(SalesData[[#This Row],[Day]]="Saturday",SalesData[[#This Row],[Day]]="Sunday"),"Weekend","Weekday")</f>
        <v>Weekday</v>
      </c>
      <c r="AF1562" s="5">
        <f>IF(SalesData[[#This Row],[Contracts Offered]]=0,0,SalesData[[#This Row],[Contracts Signed]]/SalesData[[#This Row],[Contracts Offered]])</f>
        <v>0.32894736842105265</v>
      </c>
      <c r="AG1562" s="5">
        <f>IF(SalesData[[#This Row],[Customers Visited]]=0,0,SalesData[[#This Row],[Test Drives]]/SalesData[[#This Row],[Customers Visited]])</f>
        <v>0.52238805970149249</v>
      </c>
      <c r="AH1562" s="5">
        <f>IF(SalesData[[#This Row],[Customers Visited]]=0,0,SalesData[[#This Row],[Contracts Signed]]/SalesData[[#This Row],[Customers Visited]])</f>
        <v>0.12437810945273632</v>
      </c>
      <c r="AI1562" s="6">
        <f>IF(SalesData[[#This Row],[Contracts Signed]]=0,0,SalesData[[#This Row],[Profit(€)]]/SalesData[[#This Row],[Contracts Signed]])</f>
        <v>13700</v>
      </c>
      <c r="AJ1562" s="5" t="str">
        <f>TRIM(CLEAN(SalesData[[#This Row],[Retailer]]))</f>
        <v>Ruhr Auto Plaza</v>
      </c>
    </row>
    <row r="1563" spans="1:36" ht="14.25" hidden="1" x14ac:dyDescent="0.2">
      <c r="A1563" t="s">
        <v>2466</v>
      </c>
      <c r="B1563" s="1">
        <v>46062</v>
      </c>
      <c r="C1563" t="s">
        <v>121</v>
      </c>
      <c r="D1563" t="s">
        <v>25</v>
      </c>
      <c r="E1563" t="s">
        <v>26</v>
      </c>
      <c r="F1563" t="s">
        <v>127</v>
      </c>
      <c r="G1563" t="s">
        <v>128</v>
      </c>
      <c r="H1563" t="s">
        <v>103</v>
      </c>
      <c r="I1563" t="s">
        <v>116</v>
      </c>
      <c r="J1563" t="s">
        <v>117</v>
      </c>
      <c r="K1563" t="s">
        <v>78</v>
      </c>
      <c r="L1563" t="s">
        <v>67</v>
      </c>
      <c r="M1563" t="s">
        <v>47</v>
      </c>
      <c r="N1563" t="s">
        <v>48</v>
      </c>
      <c r="O1563" t="s">
        <v>36</v>
      </c>
      <c r="P1563" t="s">
        <v>71</v>
      </c>
      <c r="Q1563" t="s">
        <v>172</v>
      </c>
      <c r="R1563">
        <v>360</v>
      </c>
      <c r="S1563">
        <v>144</v>
      </c>
      <c r="T1563">
        <v>80</v>
      </c>
      <c r="U1563">
        <v>26</v>
      </c>
      <c r="V1563" t="s">
        <v>1783</v>
      </c>
      <c r="W1563">
        <v>27110</v>
      </c>
      <c r="X1563" t="s">
        <v>5113</v>
      </c>
      <c r="Y1563">
        <v>24713</v>
      </c>
      <c r="Z1563">
        <v>704860</v>
      </c>
      <c r="AA1563">
        <v>62322</v>
      </c>
      <c r="AB1563" t="str">
        <f>(VLOOKUP(SalesData[[#This Row],[Month Number]],Reference!C$5:E$16,2,FALSE))</f>
        <v>Feb</v>
      </c>
      <c r="AC1563">
        <f>MONTH(SalesData[[#This Row],[Date]])</f>
        <v>2</v>
      </c>
      <c r="AD1563">
        <f>Reference!F$4</f>
        <v>2026</v>
      </c>
      <c r="AE1563" t="str">
        <f>IF(OR(SalesData[[#This Row],[Day]]="Saturday",SalesData[[#This Row],[Day]]="Sunday"),"Weekend","Weekday")</f>
        <v>Weekday</v>
      </c>
      <c r="AF1563" s="5">
        <f>IF(SalesData[[#This Row],[Contracts Offered]]=0,0,SalesData[[#This Row],[Contracts Signed]]/SalesData[[#This Row],[Contracts Offered]])</f>
        <v>0.32500000000000001</v>
      </c>
      <c r="AG1563" s="5">
        <f>IF(SalesData[[#This Row],[Customers Visited]]=0,0,SalesData[[#This Row],[Test Drives]]/SalesData[[#This Row],[Customers Visited]])</f>
        <v>0.4</v>
      </c>
      <c r="AH1563" s="5">
        <f>IF(SalesData[[#This Row],[Customers Visited]]=0,0,SalesData[[#This Row],[Contracts Signed]]/SalesData[[#This Row],[Customers Visited]])</f>
        <v>7.2222222222222215E-2</v>
      </c>
      <c r="AI1563" s="6">
        <f>IF(SalesData[[#This Row],[Contracts Signed]]=0,0,SalesData[[#This Row],[Profit(€)]]/SalesData[[#This Row],[Contracts Signed]])</f>
        <v>2397</v>
      </c>
      <c r="AJ1563" s="5" t="str">
        <f>TRIM(CLEAN(SalesData[[#This Row],[Retailer]]))</f>
        <v>Rhein Auto Group</v>
      </c>
    </row>
    <row r="1564" spans="1:36" ht="14.25" hidden="1" x14ac:dyDescent="0.2">
      <c r="A1564" t="s">
        <v>2467</v>
      </c>
      <c r="B1564" s="1">
        <v>46074</v>
      </c>
      <c r="C1564" t="s">
        <v>62</v>
      </c>
      <c r="D1564" t="s">
        <v>151</v>
      </c>
      <c r="E1564" t="s">
        <v>42</v>
      </c>
      <c r="F1564" t="s">
        <v>83</v>
      </c>
      <c r="G1564" t="s">
        <v>84</v>
      </c>
      <c r="H1564" t="s">
        <v>85</v>
      </c>
      <c r="I1564" t="s">
        <v>116</v>
      </c>
      <c r="J1564" t="s">
        <v>7026</v>
      </c>
      <c r="K1564" t="s">
        <v>91</v>
      </c>
      <c r="L1564" t="s">
        <v>46</v>
      </c>
      <c r="M1564" t="s">
        <v>87</v>
      </c>
      <c r="N1564" t="s">
        <v>69</v>
      </c>
      <c r="O1564" t="s">
        <v>36</v>
      </c>
      <c r="P1564" t="s">
        <v>58</v>
      </c>
      <c r="Q1564" t="s">
        <v>152</v>
      </c>
      <c r="R1564">
        <v>296</v>
      </c>
      <c r="S1564">
        <v>138</v>
      </c>
      <c r="T1564">
        <v>84</v>
      </c>
      <c r="U1564">
        <v>25</v>
      </c>
      <c r="V1564" t="s">
        <v>785</v>
      </c>
      <c r="W1564">
        <v>21292</v>
      </c>
      <c r="X1564" t="s">
        <v>3535</v>
      </c>
      <c r="Y1564">
        <v>19221</v>
      </c>
      <c r="Z1564">
        <v>532300</v>
      </c>
      <c r="AA1564">
        <v>51775</v>
      </c>
      <c r="AB1564" t="str">
        <f>(VLOOKUP(SalesData[[#This Row],[Month Number]],Reference!C$5:E$16,2,FALSE))</f>
        <v>Feb</v>
      </c>
      <c r="AC1564">
        <f>MONTH(SalesData[[#This Row],[Date]])</f>
        <v>2</v>
      </c>
      <c r="AD1564">
        <f>Reference!F$4</f>
        <v>2026</v>
      </c>
      <c r="AE1564" t="str">
        <f>IF(OR(SalesData[[#This Row],[Day]]="Saturday",SalesData[[#This Row],[Day]]="Sunday"),"Weekend","Weekday")</f>
        <v>Weekend</v>
      </c>
      <c r="AF1564" s="5">
        <f>IF(SalesData[[#This Row],[Contracts Offered]]=0,0,SalesData[[#This Row],[Contracts Signed]]/SalesData[[#This Row],[Contracts Offered]])</f>
        <v>0.29761904761904762</v>
      </c>
      <c r="AG1564" s="5">
        <f>IF(SalesData[[#This Row],[Customers Visited]]=0,0,SalesData[[#This Row],[Test Drives]]/SalesData[[#This Row],[Customers Visited]])</f>
        <v>0.46621621621621623</v>
      </c>
      <c r="AH1564" s="5">
        <f>IF(SalesData[[#This Row],[Customers Visited]]=0,0,SalesData[[#This Row],[Contracts Signed]]/SalesData[[#This Row],[Customers Visited]])</f>
        <v>8.4459459459459457E-2</v>
      </c>
      <c r="AI1564" s="6">
        <f>IF(SalesData[[#This Row],[Contracts Signed]]=0,0,SalesData[[#This Row],[Profit(€)]]/SalesData[[#This Row],[Contracts Signed]])</f>
        <v>2071</v>
      </c>
      <c r="AJ1564" s="5" t="str">
        <f>TRIM(CLEAN(SalesData[[#This Row],[Retailer]]))</f>
        <v>Hannover Cars</v>
      </c>
    </row>
    <row r="1565" spans="1:36" ht="14.25" hidden="1" x14ac:dyDescent="0.2">
      <c r="A1565" t="s">
        <v>2468</v>
      </c>
      <c r="B1565" s="1">
        <v>46058</v>
      </c>
      <c r="C1565" t="s">
        <v>24</v>
      </c>
      <c r="D1565" t="s">
        <v>100</v>
      </c>
      <c r="E1565" t="s">
        <v>26</v>
      </c>
      <c r="F1565" t="s">
        <v>127</v>
      </c>
      <c r="G1565" t="s">
        <v>128</v>
      </c>
      <c r="H1565" t="s">
        <v>103</v>
      </c>
      <c r="I1565" t="s">
        <v>116</v>
      </c>
      <c r="J1565" t="s">
        <v>132</v>
      </c>
      <c r="K1565" t="s">
        <v>91</v>
      </c>
      <c r="L1565" t="s">
        <v>46</v>
      </c>
      <c r="M1565" t="s">
        <v>34</v>
      </c>
      <c r="N1565" t="s">
        <v>48</v>
      </c>
      <c r="O1565" t="s">
        <v>36</v>
      </c>
      <c r="P1565" t="s">
        <v>49</v>
      </c>
      <c r="Q1565" t="s">
        <v>189</v>
      </c>
      <c r="R1565">
        <v>299</v>
      </c>
      <c r="S1565">
        <v>138</v>
      </c>
      <c r="T1565">
        <v>85</v>
      </c>
      <c r="U1565">
        <v>22</v>
      </c>
      <c r="V1565" t="s">
        <v>616</v>
      </c>
      <c r="W1565">
        <v>25632</v>
      </c>
      <c r="X1565" t="s">
        <v>7288</v>
      </c>
      <c r="Y1565">
        <v>23509</v>
      </c>
      <c r="Z1565">
        <v>563904</v>
      </c>
      <c r="AA1565">
        <v>46706</v>
      </c>
      <c r="AB1565" t="str">
        <f>(VLOOKUP(SalesData[[#This Row],[Month Number]],Reference!C$5:E$16,2,FALSE))</f>
        <v>Feb</v>
      </c>
      <c r="AC1565">
        <f>MONTH(SalesData[[#This Row],[Date]])</f>
        <v>2</v>
      </c>
      <c r="AD1565">
        <f>Reference!F$4</f>
        <v>2026</v>
      </c>
      <c r="AE1565" t="str">
        <f>IF(OR(SalesData[[#This Row],[Day]]="Saturday",SalesData[[#This Row],[Day]]="Sunday"),"Weekend","Weekday")</f>
        <v>Weekday</v>
      </c>
      <c r="AF1565" s="5">
        <f>IF(SalesData[[#This Row],[Contracts Offered]]=0,0,SalesData[[#This Row],[Contracts Signed]]/SalesData[[#This Row],[Contracts Offered]])</f>
        <v>0.25882352941176473</v>
      </c>
      <c r="AG1565" s="5">
        <f>IF(SalesData[[#This Row],[Customers Visited]]=0,0,SalesData[[#This Row],[Test Drives]]/SalesData[[#This Row],[Customers Visited]])</f>
        <v>0.46153846153846156</v>
      </c>
      <c r="AH1565" s="5">
        <f>IF(SalesData[[#This Row],[Customers Visited]]=0,0,SalesData[[#This Row],[Contracts Signed]]/SalesData[[#This Row],[Customers Visited]])</f>
        <v>7.3578595317725759E-2</v>
      </c>
      <c r="AI1565" s="6">
        <f>IF(SalesData[[#This Row],[Contracts Signed]]=0,0,SalesData[[#This Row],[Profit(€)]]/SalesData[[#This Row],[Contracts Signed]])</f>
        <v>2123</v>
      </c>
      <c r="AJ1565" s="5" t="str">
        <f>TRIM(CLEAN(SalesData[[#This Row],[Retailer]]))</f>
        <v>Rhein Auto Group</v>
      </c>
    </row>
    <row r="1566" spans="1:36" ht="14.25" hidden="1" x14ac:dyDescent="0.2">
      <c r="A1566" t="s">
        <v>2469</v>
      </c>
      <c r="B1566" s="1">
        <v>46075</v>
      </c>
      <c r="C1566" t="s">
        <v>53</v>
      </c>
      <c r="D1566" t="s">
        <v>41</v>
      </c>
      <c r="E1566" t="s">
        <v>42</v>
      </c>
      <c r="F1566" t="s">
        <v>109</v>
      </c>
      <c r="G1566" t="s">
        <v>110</v>
      </c>
      <c r="H1566" t="s">
        <v>45</v>
      </c>
      <c r="I1566" t="s">
        <v>116</v>
      </c>
      <c r="J1566" t="s">
        <v>7090</v>
      </c>
      <c r="K1566" t="s">
        <v>32</v>
      </c>
      <c r="L1566" t="s">
        <v>46</v>
      </c>
      <c r="M1566" t="s">
        <v>47</v>
      </c>
      <c r="N1566" t="s">
        <v>69</v>
      </c>
      <c r="O1566" t="s">
        <v>70</v>
      </c>
      <c r="P1566" t="s">
        <v>58</v>
      </c>
      <c r="Q1566" t="s">
        <v>135</v>
      </c>
      <c r="R1566">
        <v>401</v>
      </c>
      <c r="S1566">
        <v>209</v>
      </c>
      <c r="T1566">
        <v>129</v>
      </c>
      <c r="U1566">
        <v>33</v>
      </c>
      <c r="V1566" t="s">
        <v>456</v>
      </c>
      <c r="W1566">
        <v>26438</v>
      </c>
      <c r="X1566" t="s">
        <v>7200</v>
      </c>
      <c r="Y1566">
        <v>23792</v>
      </c>
      <c r="Z1566">
        <v>872454</v>
      </c>
      <c r="AA1566">
        <v>87318</v>
      </c>
      <c r="AB1566" t="str">
        <f>(VLOOKUP(SalesData[[#This Row],[Month Number]],Reference!C$5:E$16,2,FALSE))</f>
        <v>Feb</v>
      </c>
      <c r="AC1566">
        <f>MONTH(SalesData[[#This Row],[Date]])</f>
        <v>2</v>
      </c>
      <c r="AD1566">
        <f>Reference!F$4</f>
        <v>2026</v>
      </c>
      <c r="AE1566" t="str">
        <f>IF(OR(SalesData[[#This Row],[Day]]="Saturday",SalesData[[#This Row],[Day]]="Sunday"),"Weekend","Weekday")</f>
        <v>Weekend</v>
      </c>
      <c r="AF1566" s="5">
        <f>IF(SalesData[[#This Row],[Contracts Offered]]=0,0,SalesData[[#This Row],[Contracts Signed]]/SalesData[[#This Row],[Contracts Offered]])</f>
        <v>0.2558139534883721</v>
      </c>
      <c r="AG1566" s="5">
        <f>IF(SalesData[[#This Row],[Customers Visited]]=0,0,SalesData[[#This Row],[Test Drives]]/SalesData[[#This Row],[Customers Visited]])</f>
        <v>0.52119700748129671</v>
      </c>
      <c r="AH1566" s="5">
        <f>IF(SalesData[[#This Row],[Customers Visited]]=0,0,SalesData[[#This Row],[Contracts Signed]]/SalesData[[#This Row],[Customers Visited]])</f>
        <v>8.2294264339152115E-2</v>
      </c>
      <c r="AI1566" s="6">
        <f>IF(SalesData[[#This Row],[Contracts Signed]]=0,0,SalesData[[#This Row],[Profit(€)]]/SalesData[[#This Row],[Contracts Signed]])</f>
        <v>2646</v>
      </c>
      <c r="AJ1566" s="5" t="str">
        <f>TRIM(CLEAN(SalesData[[#This Row],[Retailer]]))</f>
        <v>Leipzig Mobility</v>
      </c>
    </row>
    <row r="1567" spans="1:36" ht="14.25" x14ac:dyDescent="0.2">
      <c r="A1567" t="s">
        <v>2470</v>
      </c>
      <c r="B1567" s="1">
        <v>46080</v>
      </c>
      <c r="C1567" t="s">
        <v>53</v>
      </c>
      <c r="D1567" t="s">
        <v>54</v>
      </c>
      <c r="E1567" t="s">
        <v>26</v>
      </c>
      <c r="F1567" t="s">
        <v>83</v>
      </c>
      <c r="G1567" t="s">
        <v>84</v>
      </c>
      <c r="H1567" t="s">
        <v>85</v>
      </c>
      <c r="I1567" t="s">
        <v>30</v>
      </c>
      <c r="J1567" t="s">
        <v>7075</v>
      </c>
      <c r="K1567" t="s">
        <v>91</v>
      </c>
      <c r="L1567" t="s">
        <v>33</v>
      </c>
      <c r="M1567" t="s">
        <v>47</v>
      </c>
      <c r="N1567" t="s">
        <v>69</v>
      </c>
      <c r="O1567" t="s">
        <v>70</v>
      </c>
      <c r="P1567" t="s">
        <v>49</v>
      </c>
      <c r="Q1567" t="s">
        <v>50</v>
      </c>
      <c r="R1567">
        <v>144</v>
      </c>
      <c r="S1567">
        <v>67</v>
      </c>
      <c r="T1567">
        <v>46</v>
      </c>
      <c r="U1567">
        <v>16</v>
      </c>
      <c r="V1567" t="s">
        <v>6531</v>
      </c>
      <c r="W1567">
        <v>53564</v>
      </c>
      <c r="X1567" t="s">
        <v>7053</v>
      </c>
      <c r="Y1567">
        <v>40778</v>
      </c>
      <c r="Z1567">
        <v>857024</v>
      </c>
      <c r="AA1567">
        <v>204576</v>
      </c>
      <c r="AB1567" t="str">
        <f>(VLOOKUP(SalesData[[#This Row],[Month Number]],Reference!C$5:E$16,2,FALSE))</f>
        <v>Feb</v>
      </c>
      <c r="AC1567">
        <f>MONTH(SalesData[[#This Row],[Date]])</f>
        <v>2</v>
      </c>
      <c r="AD1567">
        <f>Reference!F$4</f>
        <v>2026</v>
      </c>
      <c r="AE1567" t="str">
        <f>IF(OR(SalesData[[#This Row],[Day]]="Saturday",SalesData[[#This Row],[Day]]="Sunday"),"Weekend","Weekday")</f>
        <v>Weekday</v>
      </c>
      <c r="AF1567" s="5">
        <f>IF(SalesData[[#This Row],[Contracts Offered]]=0,0,SalesData[[#This Row],[Contracts Signed]]/SalesData[[#This Row],[Contracts Offered]])</f>
        <v>0.34782608695652173</v>
      </c>
      <c r="AG1567" s="5">
        <f>IF(SalesData[[#This Row],[Customers Visited]]=0,0,SalesData[[#This Row],[Test Drives]]/SalesData[[#This Row],[Customers Visited]])</f>
        <v>0.46527777777777779</v>
      </c>
      <c r="AH1567" s="5">
        <f>IF(SalesData[[#This Row],[Customers Visited]]=0,0,SalesData[[#This Row],[Contracts Signed]]/SalesData[[#This Row],[Customers Visited]])</f>
        <v>0.1111111111111111</v>
      </c>
      <c r="AI1567" s="6">
        <f>IF(SalesData[[#This Row],[Contracts Signed]]=0,0,SalesData[[#This Row],[Profit(€)]]/SalesData[[#This Row],[Contracts Signed]])</f>
        <v>12786</v>
      </c>
      <c r="AJ1567" s="5" t="str">
        <f>TRIM(CLEAN(SalesData[[#This Row],[Retailer]]))</f>
        <v>Hannover Cars</v>
      </c>
    </row>
    <row r="1568" spans="1:36" ht="14.25" hidden="1" x14ac:dyDescent="0.2">
      <c r="A1568" t="s">
        <v>2471</v>
      </c>
      <c r="B1568" s="1">
        <v>46079</v>
      </c>
      <c r="C1568" t="s">
        <v>53</v>
      </c>
      <c r="D1568" t="s">
        <v>100</v>
      </c>
      <c r="E1568" t="s">
        <v>26</v>
      </c>
      <c r="F1568" t="s">
        <v>94</v>
      </c>
      <c r="G1568" t="s">
        <v>95</v>
      </c>
      <c r="H1568" t="s">
        <v>96</v>
      </c>
      <c r="I1568" t="s">
        <v>104</v>
      </c>
      <c r="J1568" t="s">
        <v>7061</v>
      </c>
      <c r="K1568" t="s">
        <v>66</v>
      </c>
      <c r="L1568" t="s">
        <v>46</v>
      </c>
      <c r="M1568" t="s">
        <v>87</v>
      </c>
      <c r="N1568" t="s">
        <v>35</v>
      </c>
      <c r="O1568" t="s">
        <v>36</v>
      </c>
      <c r="P1568" t="s">
        <v>58</v>
      </c>
      <c r="Q1568" t="s">
        <v>129</v>
      </c>
      <c r="R1568">
        <v>295</v>
      </c>
      <c r="S1568">
        <v>157</v>
      </c>
      <c r="T1568">
        <v>92</v>
      </c>
      <c r="U1568">
        <v>36</v>
      </c>
      <c r="V1568" t="s">
        <v>6757</v>
      </c>
      <c r="W1568">
        <v>26895</v>
      </c>
      <c r="X1568" t="s">
        <v>2817</v>
      </c>
      <c r="Y1568">
        <v>24439</v>
      </c>
      <c r="Z1568">
        <v>968220</v>
      </c>
      <c r="AA1568">
        <v>88416</v>
      </c>
      <c r="AB1568" t="str">
        <f>(VLOOKUP(SalesData[[#This Row],[Month Number]],Reference!C$5:E$16,2,FALSE))</f>
        <v>Feb</v>
      </c>
      <c r="AC1568">
        <f>MONTH(SalesData[[#This Row],[Date]])</f>
        <v>2</v>
      </c>
      <c r="AD1568">
        <f>Reference!F$4</f>
        <v>2026</v>
      </c>
      <c r="AE1568" t="str">
        <f>IF(OR(SalesData[[#This Row],[Day]]="Saturday",SalesData[[#This Row],[Day]]="Sunday"),"Weekend","Weekday")</f>
        <v>Weekday</v>
      </c>
      <c r="AF1568" s="5">
        <f>IF(SalesData[[#This Row],[Contracts Offered]]=0,0,SalesData[[#This Row],[Contracts Signed]]/SalesData[[#This Row],[Contracts Offered]])</f>
        <v>0.39130434782608697</v>
      </c>
      <c r="AG1568" s="5">
        <f>IF(SalesData[[#This Row],[Customers Visited]]=0,0,SalesData[[#This Row],[Test Drives]]/SalesData[[#This Row],[Customers Visited]])</f>
        <v>0.53220338983050852</v>
      </c>
      <c r="AH1568" s="5">
        <f>IF(SalesData[[#This Row],[Customers Visited]]=0,0,SalesData[[#This Row],[Contracts Signed]]/SalesData[[#This Row],[Customers Visited]])</f>
        <v>0.12203389830508475</v>
      </c>
      <c r="AI1568" s="6">
        <f>IF(SalesData[[#This Row],[Contracts Signed]]=0,0,SalesData[[#This Row],[Profit(€)]]/SalesData[[#This Row],[Contracts Signed]])</f>
        <v>2456</v>
      </c>
      <c r="AJ1568" s="5" t="str">
        <f>TRIM(CLEAN(SalesData[[#This Row],[Retailer]]))</f>
        <v>Bavaria Motors</v>
      </c>
    </row>
    <row r="1569" spans="1:36" ht="14.25" hidden="1" x14ac:dyDescent="0.2">
      <c r="A1569" t="s">
        <v>2472</v>
      </c>
      <c r="B1569" s="1">
        <v>46076</v>
      </c>
      <c r="C1569" t="s">
        <v>53</v>
      </c>
      <c r="D1569" t="s">
        <v>25</v>
      </c>
      <c r="E1569" t="s">
        <v>26</v>
      </c>
      <c r="F1569" t="s">
        <v>127</v>
      </c>
      <c r="G1569" t="s">
        <v>128</v>
      </c>
      <c r="H1569" t="s">
        <v>103</v>
      </c>
      <c r="I1569" t="s">
        <v>56</v>
      </c>
      <c r="J1569" t="s">
        <v>179</v>
      </c>
      <c r="K1569" t="s">
        <v>78</v>
      </c>
      <c r="L1569" t="s">
        <v>67</v>
      </c>
      <c r="M1569" t="s">
        <v>87</v>
      </c>
      <c r="N1569" t="s">
        <v>35</v>
      </c>
      <c r="O1569" t="s">
        <v>70</v>
      </c>
      <c r="P1569" t="s">
        <v>71</v>
      </c>
      <c r="Q1569" t="s">
        <v>122</v>
      </c>
      <c r="R1569">
        <v>228</v>
      </c>
      <c r="S1569">
        <v>120</v>
      </c>
      <c r="T1569">
        <v>92</v>
      </c>
      <c r="U1569">
        <v>27</v>
      </c>
      <c r="V1569" t="s">
        <v>6870</v>
      </c>
      <c r="W1569">
        <v>52989</v>
      </c>
      <c r="X1569" t="s">
        <v>826</v>
      </c>
      <c r="Y1569">
        <v>41113</v>
      </c>
      <c r="Z1569">
        <v>1430703</v>
      </c>
      <c r="AA1569">
        <v>320652</v>
      </c>
      <c r="AB1569" t="str">
        <f>(VLOOKUP(SalesData[[#This Row],[Month Number]],Reference!C$5:E$16,2,FALSE))</f>
        <v>Feb</v>
      </c>
      <c r="AC1569">
        <f>MONTH(SalesData[[#This Row],[Date]])</f>
        <v>2</v>
      </c>
      <c r="AD1569">
        <f>Reference!F$4</f>
        <v>2026</v>
      </c>
      <c r="AE1569" t="str">
        <f>IF(OR(SalesData[[#This Row],[Day]]="Saturday",SalesData[[#This Row],[Day]]="Sunday"),"Weekend","Weekday")</f>
        <v>Weekday</v>
      </c>
      <c r="AF1569" s="5">
        <f>IF(SalesData[[#This Row],[Contracts Offered]]=0,0,SalesData[[#This Row],[Contracts Signed]]/SalesData[[#This Row],[Contracts Offered]])</f>
        <v>0.29347826086956524</v>
      </c>
      <c r="AG1569" s="5">
        <f>IF(SalesData[[#This Row],[Customers Visited]]=0,0,SalesData[[#This Row],[Test Drives]]/SalesData[[#This Row],[Customers Visited]])</f>
        <v>0.52631578947368418</v>
      </c>
      <c r="AH1569" s="5">
        <f>IF(SalesData[[#This Row],[Customers Visited]]=0,0,SalesData[[#This Row],[Contracts Signed]]/SalesData[[#This Row],[Customers Visited]])</f>
        <v>0.11842105263157894</v>
      </c>
      <c r="AI1569" s="6">
        <f>IF(SalesData[[#This Row],[Contracts Signed]]=0,0,SalesData[[#This Row],[Profit(€)]]/SalesData[[#This Row],[Contracts Signed]])</f>
        <v>11876</v>
      </c>
      <c r="AJ1569" s="5" t="str">
        <f>TRIM(CLEAN(SalesData[[#This Row],[Retailer]]))</f>
        <v>Rhein Auto Group</v>
      </c>
    </row>
    <row r="1570" spans="1:36" ht="14.25" hidden="1" x14ac:dyDescent="0.2">
      <c r="A1570" t="s">
        <v>2474</v>
      </c>
      <c r="B1570" s="1">
        <v>46065</v>
      </c>
      <c r="C1570" t="s">
        <v>121</v>
      </c>
      <c r="D1570" t="s">
        <v>100</v>
      </c>
      <c r="E1570" t="s">
        <v>26</v>
      </c>
      <c r="F1570" t="s">
        <v>74</v>
      </c>
      <c r="G1570" t="s">
        <v>75</v>
      </c>
      <c r="H1570" t="s">
        <v>76</v>
      </c>
      <c r="I1570" t="s">
        <v>104</v>
      </c>
      <c r="J1570" t="s">
        <v>7031</v>
      </c>
      <c r="K1570" t="s">
        <v>91</v>
      </c>
      <c r="L1570" t="s">
        <v>46</v>
      </c>
      <c r="M1570" t="s">
        <v>47</v>
      </c>
      <c r="N1570" t="s">
        <v>35</v>
      </c>
      <c r="O1570" t="s">
        <v>70</v>
      </c>
      <c r="P1570" t="s">
        <v>58</v>
      </c>
      <c r="Q1570" t="s">
        <v>189</v>
      </c>
      <c r="R1570">
        <v>471</v>
      </c>
      <c r="S1570">
        <v>205</v>
      </c>
      <c r="T1570">
        <v>119</v>
      </c>
      <c r="U1570">
        <v>43</v>
      </c>
      <c r="V1570" t="s">
        <v>6959</v>
      </c>
      <c r="W1570">
        <v>28141</v>
      </c>
      <c r="X1570" t="s">
        <v>7417</v>
      </c>
      <c r="Y1570">
        <v>24317</v>
      </c>
      <c r="Z1570">
        <v>1210063</v>
      </c>
      <c r="AA1570">
        <v>164432</v>
      </c>
      <c r="AB1570" t="str">
        <f>(VLOOKUP(SalesData[[#This Row],[Month Number]],Reference!C$5:E$16,2,FALSE))</f>
        <v>Feb</v>
      </c>
      <c r="AC1570">
        <f>MONTH(SalesData[[#This Row],[Date]])</f>
        <v>2</v>
      </c>
      <c r="AD1570">
        <f>Reference!F$4</f>
        <v>2026</v>
      </c>
      <c r="AE1570" t="str">
        <f>IF(OR(SalesData[[#This Row],[Day]]="Saturday",SalesData[[#This Row],[Day]]="Sunday"),"Weekend","Weekday")</f>
        <v>Weekday</v>
      </c>
      <c r="AF1570" s="5">
        <f>IF(SalesData[[#This Row],[Contracts Offered]]=0,0,SalesData[[#This Row],[Contracts Signed]]/SalesData[[#This Row],[Contracts Offered]])</f>
        <v>0.36134453781512604</v>
      </c>
      <c r="AG1570" s="5">
        <f>IF(SalesData[[#This Row],[Customers Visited]]=0,0,SalesData[[#This Row],[Test Drives]]/SalesData[[#This Row],[Customers Visited]])</f>
        <v>0.43524416135881105</v>
      </c>
      <c r="AH1570" s="5">
        <f>IF(SalesData[[#This Row],[Customers Visited]]=0,0,SalesData[[#This Row],[Contracts Signed]]/SalesData[[#This Row],[Customers Visited]])</f>
        <v>9.1295116772823773E-2</v>
      </c>
      <c r="AI1570" s="6">
        <f>IF(SalesData[[#This Row],[Contracts Signed]]=0,0,SalesData[[#This Row],[Profit(€)]]/SalesData[[#This Row],[Contracts Signed]])</f>
        <v>3824</v>
      </c>
      <c r="AJ1570" s="5" t="str">
        <f>TRIM(CLEAN(SalesData[[#This Row],[Retailer]]))</f>
        <v>Stuttgart Auto Center</v>
      </c>
    </row>
    <row r="1571" spans="1:36" ht="14.25" x14ac:dyDescent="0.2">
      <c r="A1571" t="s">
        <v>2475</v>
      </c>
      <c r="B1571" s="1">
        <v>46072</v>
      </c>
      <c r="C1571" t="s">
        <v>62</v>
      </c>
      <c r="D1571" t="s">
        <v>100</v>
      </c>
      <c r="E1571" t="s">
        <v>26</v>
      </c>
      <c r="F1571" t="s">
        <v>94</v>
      </c>
      <c r="G1571" t="s">
        <v>95</v>
      </c>
      <c r="H1571" t="s">
        <v>96</v>
      </c>
      <c r="I1571" t="s">
        <v>30</v>
      </c>
      <c r="J1571" t="s">
        <v>166</v>
      </c>
      <c r="K1571" t="s">
        <v>91</v>
      </c>
      <c r="L1571" t="s">
        <v>46</v>
      </c>
      <c r="M1571" t="s">
        <v>34</v>
      </c>
      <c r="N1571" t="s">
        <v>35</v>
      </c>
      <c r="O1571" t="s">
        <v>36</v>
      </c>
      <c r="P1571" t="s">
        <v>71</v>
      </c>
      <c r="Q1571" t="s">
        <v>79</v>
      </c>
      <c r="R1571">
        <v>145</v>
      </c>
      <c r="S1571">
        <v>66</v>
      </c>
      <c r="T1571">
        <v>49</v>
      </c>
      <c r="U1571">
        <v>21</v>
      </c>
      <c r="V1571" t="s">
        <v>7320</v>
      </c>
      <c r="W1571">
        <v>66212</v>
      </c>
      <c r="X1571" t="s">
        <v>7114</v>
      </c>
      <c r="Y1571">
        <v>50371</v>
      </c>
      <c r="Z1571">
        <v>1390452</v>
      </c>
      <c r="AA1571">
        <v>332661</v>
      </c>
      <c r="AB1571" t="str">
        <f>(VLOOKUP(SalesData[[#This Row],[Month Number]],Reference!C$5:E$16,2,FALSE))</f>
        <v>Feb</v>
      </c>
      <c r="AC1571">
        <f>MONTH(SalesData[[#This Row],[Date]])</f>
        <v>2</v>
      </c>
      <c r="AD1571">
        <f>Reference!F$4</f>
        <v>2026</v>
      </c>
      <c r="AE1571" t="str">
        <f>IF(OR(SalesData[[#This Row],[Day]]="Saturday",SalesData[[#This Row],[Day]]="Sunday"),"Weekend","Weekday")</f>
        <v>Weekday</v>
      </c>
      <c r="AF1571" s="5">
        <f>IF(SalesData[[#This Row],[Contracts Offered]]=0,0,SalesData[[#This Row],[Contracts Signed]]/SalesData[[#This Row],[Contracts Offered]])</f>
        <v>0.42857142857142855</v>
      </c>
      <c r="AG1571" s="5">
        <f>IF(SalesData[[#This Row],[Customers Visited]]=0,0,SalesData[[#This Row],[Test Drives]]/SalesData[[#This Row],[Customers Visited]])</f>
        <v>0.45517241379310347</v>
      </c>
      <c r="AH1571" s="5">
        <f>IF(SalesData[[#This Row],[Customers Visited]]=0,0,SalesData[[#This Row],[Contracts Signed]]/SalesData[[#This Row],[Customers Visited]])</f>
        <v>0.14482758620689656</v>
      </c>
      <c r="AI1571" s="6">
        <f>IF(SalesData[[#This Row],[Contracts Signed]]=0,0,SalesData[[#This Row],[Profit(€)]]/SalesData[[#This Row],[Contracts Signed]])</f>
        <v>15841</v>
      </c>
      <c r="AJ1571" s="5" t="str">
        <f>TRIM(CLEAN(SalesData[[#This Row],[Retailer]]))</f>
        <v>Bavaria Motors</v>
      </c>
    </row>
    <row r="1572" spans="1:36" ht="14.25" hidden="1" x14ac:dyDescent="0.2">
      <c r="A1572" t="s">
        <v>2477</v>
      </c>
      <c r="B1572" s="1">
        <v>46079</v>
      </c>
      <c r="C1572" t="s">
        <v>53</v>
      </c>
      <c r="D1572" t="s">
        <v>100</v>
      </c>
      <c r="E1572" t="s">
        <v>26</v>
      </c>
      <c r="F1572" t="s">
        <v>114</v>
      </c>
      <c r="G1572" t="s">
        <v>115</v>
      </c>
      <c r="H1572" t="s">
        <v>115</v>
      </c>
      <c r="I1572" t="s">
        <v>116</v>
      </c>
      <c r="J1572" t="s">
        <v>7090</v>
      </c>
      <c r="K1572" t="s">
        <v>78</v>
      </c>
      <c r="L1572" t="s">
        <v>46</v>
      </c>
      <c r="M1572" t="s">
        <v>47</v>
      </c>
      <c r="N1572" t="s">
        <v>48</v>
      </c>
      <c r="O1572" t="s">
        <v>70</v>
      </c>
      <c r="P1572" t="s">
        <v>37</v>
      </c>
      <c r="Q1572" t="s">
        <v>204</v>
      </c>
      <c r="R1572">
        <v>350</v>
      </c>
      <c r="S1572">
        <v>150</v>
      </c>
      <c r="T1572">
        <v>84</v>
      </c>
      <c r="U1572">
        <v>24</v>
      </c>
      <c r="V1572" t="s">
        <v>333</v>
      </c>
      <c r="W1572">
        <v>20786</v>
      </c>
      <c r="X1572" t="s">
        <v>4401</v>
      </c>
      <c r="Y1572">
        <v>19275</v>
      </c>
      <c r="Z1572">
        <v>498864</v>
      </c>
      <c r="AA1572">
        <v>36264</v>
      </c>
      <c r="AB1572" t="str">
        <f>(VLOOKUP(SalesData[[#This Row],[Month Number]],Reference!C$5:E$16,2,FALSE))</f>
        <v>Feb</v>
      </c>
      <c r="AC1572">
        <f>MONTH(SalesData[[#This Row],[Date]])</f>
        <v>2</v>
      </c>
      <c r="AD1572">
        <f>Reference!F$4</f>
        <v>2026</v>
      </c>
      <c r="AE1572" t="str">
        <f>IF(OR(SalesData[[#This Row],[Day]]="Saturday",SalesData[[#This Row],[Day]]="Sunday"),"Weekend","Weekday")</f>
        <v>Weekday</v>
      </c>
      <c r="AF1572" s="5">
        <f>IF(SalesData[[#This Row],[Contracts Offered]]=0,0,SalesData[[#This Row],[Contracts Signed]]/SalesData[[#This Row],[Contracts Offered]])</f>
        <v>0.2857142857142857</v>
      </c>
      <c r="AG1572" s="5">
        <f>IF(SalesData[[#This Row],[Customers Visited]]=0,0,SalesData[[#This Row],[Test Drives]]/SalesData[[#This Row],[Customers Visited]])</f>
        <v>0.42857142857142855</v>
      </c>
      <c r="AH1572" s="5">
        <f>IF(SalesData[[#This Row],[Customers Visited]]=0,0,SalesData[[#This Row],[Contracts Signed]]/SalesData[[#This Row],[Customers Visited]])</f>
        <v>6.8571428571428575E-2</v>
      </c>
      <c r="AI1572" s="6">
        <f>IF(SalesData[[#This Row],[Contracts Signed]]=0,0,SalesData[[#This Row],[Profit(€)]]/SalesData[[#This Row],[Contracts Signed]])</f>
        <v>1511</v>
      </c>
      <c r="AJ1572" s="5" t="str">
        <f>TRIM(CLEAN(SalesData[[#This Row],[Retailer]]))</f>
        <v>Elbe Drive</v>
      </c>
    </row>
    <row r="1573" spans="1:36" ht="14.25" hidden="1" x14ac:dyDescent="0.2">
      <c r="A1573" t="s">
        <v>2478</v>
      </c>
      <c r="B1573" s="1">
        <v>46058</v>
      </c>
      <c r="C1573" t="s">
        <v>24</v>
      </c>
      <c r="D1573" t="s">
        <v>100</v>
      </c>
      <c r="E1573" t="s">
        <v>26</v>
      </c>
      <c r="F1573" t="s">
        <v>27</v>
      </c>
      <c r="G1573" t="s">
        <v>28</v>
      </c>
      <c r="H1573" t="s">
        <v>29</v>
      </c>
      <c r="I1573" t="s">
        <v>104</v>
      </c>
      <c r="J1573" t="s">
        <v>7031</v>
      </c>
      <c r="K1573" t="s">
        <v>66</v>
      </c>
      <c r="L1573" t="s">
        <v>46</v>
      </c>
      <c r="M1573" t="s">
        <v>68</v>
      </c>
      <c r="N1573" t="s">
        <v>69</v>
      </c>
      <c r="O1573" t="s">
        <v>36</v>
      </c>
      <c r="P1573" t="s">
        <v>37</v>
      </c>
      <c r="Q1573" t="s">
        <v>118</v>
      </c>
      <c r="R1573">
        <v>345</v>
      </c>
      <c r="S1573">
        <v>146</v>
      </c>
      <c r="T1573">
        <v>98</v>
      </c>
      <c r="U1573">
        <v>22</v>
      </c>
      <c r="V1573" t="s">
        <v>1004</v>
      </c>
      <c r="W1573">
        <v>25748</v>
      </c>
      <c r="X1573" t="s">
        <v>269</v>
      </c>
      <c r="Y1573">
        <v>22588</v>
      </c>
      <c r="Z1573">
        <v>566456</v>
      </c>
      <c r="AA1573">
        <v>69520</v>
      </c>
      <c r="AB1573" t="str">
        <f>(VLOOKUP(SalesData[[#This Row],[Month Number]],Reference!C$5:E$16,2,FALSE))</f>
        <v>Feb</v>
      </c>
      <c r="AC1573">
        <f>MONTH(SalesData[[#This Row],[Date]])</f>
        <v>2</v>
      </c>
      <c r="AD1573">
        <f>Reference!F$4</f>
        <v>2026</v>
      </c>
      <c r="AE1573" t="str">
        <f>IF(OR(SalesData[[#This Row],[Day]]="Saturday",SalesData[[#This Row],[Day]]="Sunday"),"Weekend","Weekday")</f>
        <v>Weekday</v>
      </c>
      <c r="AF1573" s="5">
        <f>IF(SalesData[[#This Row],[Contracts Offered]]=0,0,SalesData[[#This Row],[Contracts Signed]]/SalesData[[#This Row],[Contracts Offered]])</f>
        <v>0.22448979591836735</v>
      </c>
      <c r="AG1573" s="5">
        <f>IF(SalesData[[#This Row],[Customers Visited]]=0,0,SalesData[[#This Row],[Test Drives]]/SalesData[[#This Row],[Customers Visited]])</f>
        <v>0.42318840579710143</v>
      </c>
      <c r="AH1573" s="5">
        <f>IF(SalesData[[#This Row],[Customers Visited]]=0,0,SalesData[[#This Row],[Contracts Signed]]/SalesData[[#This Row],[Customers Visited]])</f>
        <v>6.3768115942028983E-2</v>
      </c>
      <c r="AI1573" s="6">
        <f>IF(SalesData[[#This Row],[Contracts Signed]]=0,0,SalesData[[#This Row],[Profit(€)]]/SalesData[[#This Row],[Contracts Signed]])</f>
        <v>3160</v>
      </c>
      <c r="AJ1573" s="5" t="str">
        <f>TRIM(CLEAN(SalesData[[#This Row],[Retailer]]))</f>
        <v>Main Auto Hub</v>
      </c>
    </row>
    <row r="1574" spans="1:36" ht="14.25" hidden="1" x14ac:dyDescent="0.2">
      <c r="A1574" t="s">
        <v>2479</v>
      </c>
      <c r="B1574" s="1">
        <v>46070</v>
      </c>
      <c r="C1574" t="s">
        <v>62</v>
      </c>
      <c r="D1574" t="s">
        <v>63</v>
      </c>
      <c r="E1574" t="s">
        <v>26</v>
      </c>
      <c r="F1574" t="s">
        <v>27</v>
      </c>
      <c r="G1574" t="s">
        <v>28</v>
      </c>
      <c r="H1574" t="s">
        <v>29</v>
      </c>
      <c r="I1574" t="s">
        <v>56</v>
      </c>
      <c r="J1574" t="s">
        <v>179</v>
      </c>
      <c r="K1574" t="s">
        <v>32</v>
      </c>
      <c r="L1574" t="s">
        <v>67</v>
      </c>
      <c r="M1574" t="s">
        <v>87</v>
      </c>
      <c r="N1574" t="s">
        <v>48</v>
      </c>
      <c r="O1574" t="s">
        <v>36</v>
      </c>
      <c r="P1574" t="s">
        <v>49</v>
      </c>
      <c r="Q1574" t="s">
        <v>347</v>
      </c>
      <c r="R1574">
        <v>271</v>
      </c>
      <c r="S1574">
        <v>124</v>
      </c>
      <c r="T1574">
        <v>93</v>
      </c>
      <c r="U1574">
        <v>24</v>
      </c>
      <c r="V1574" t="s">
        <v>1142</v>
      </c>
      <c r="W1574">
        <v>41411</v>
      </c>
      <c r="X1574" t="s">
        <v>1002</v>
      </c>
      <c r="Y1574">
        <v>33497</v>
      </c>
      <c r="Z1574">
        <v>993864</v>
      </c>
      <c r="AA1574">
        <v>189936</v>
      </c>
      <c r="AB1574" t="str">
        <f>(VLOOKUP(SalesData[[#This Row],[Month Number]],Reference!C$5:E$16,2,FALSE))</f>
        <v>Feb</v>
      </c>
      <c r="AC1574">
        <f>MONTH(SalesData[[#This Row],[Date]])</f>
        <v>2</v>
      </c>
      <c r="AD1574">
        <f>Reference!F$4</f>
        <v>2026</v>
      </c>
      <c r="AE1574" t="str">
        <f>IF(OR(SalesData[[#This Row],[Day]]="Saturday",SalesData[[#This Row],[Day]]="Sunday"),"Weekend","Weekday")</f>
        <v>Weekday</v>
      </c>
      <c r="AF1574" s="5">
        <f>IF(SalesData[[#This Row],[Contracts Offered]]=0,0,SalesData[[#This Row],[Contracts Signed]]/SalesData[[#This Row],[Contracts Offered]])</f>
        <v>0.25806451612903225</v>
      </c>
      <c r="AG1574" s="5">
        <f>IF(SalesData[[#This Row],[Customers Visited]]=0,0,SalesData[[#This Row],[Test Drives]]/SalesData[[#This Row],[Customers Visited]])</f>
        <v>0.45756457564575648</v>
      </c>
      <c r="AH1574" s="5">
        <f>IF(SalesData[[#This Row],[Customers Visited]]=0,0,SalesData[[#This Row],[Contracts Signed]]/SalesData[[#This Row],[Customers Visited]])</f>
        <v>8.8560885608856083E-2</v>
      </c>
      <c r="AI1574" s="6">
        <f>IF(SalesData[[#This Row],[Contracts Signed]]=0,0,SalesData[[#This Row],[Profit(€)]]/SalesData[[#This Row],[Contracts Signed]])</f>
        <v>7914</v>
      </c>
      <c r="AJ1574" s="5" t="str">
        <f>TRIM(CLEAN(SalesData[[#This Row],[Retailer]]))</f>
        <v>Main Auto Hub</v>
      </c>
    </row>
    <row r="1575" spans="1:36" ht="14.25" hidden="1" x14ac:dyDescent="0.2">
      <c r="A1575" t="s">
        <v>2481</v>
      </c>
      <c r="B1575" s="1">
        <v>46056</v>
      </c>
      <c r="C1575" t="s">
        <v>24</v>
      </c>
      <c r="D1575" t="s">
        <v>63</v>
      </c>
      <c r="E1575" t="s">
        <v>26</v>
      </c>
      <c r="F1575" t="s">
        <v>43</v>
      </c>
      <c r="G1575" t="s">
        <v>44</v>
      </c>
      <c r="H1575" t="s">
        <v>45</v>
      </c>
      <c r="I1575" t="s">
        <v>56</v>
      </c>
      <c r="J1575" t="s">
        <v>179</v>
      </c>
      <c r="K1575" t="s">
        <v>78</v>
      </c>
      <c r="L1575" t="s">
        <v>67</v>
      </c>
      <c r="M1575" t="s">
        <v>68</v>
      </c>
      <c r="N1575" t="s">
        <v>35</v>
      </c>
      <c r="O1575" t="s">
        <v>36</v>
      </c>
      <c r="P1575" t="s">
        <v>49</v>
      </c>
      <c r="Q1575" t="s">
        <v>240</v>
      </c>
      <c r="R1575">
        <v>172</v>
      </c>
      <c r="S1575">
        <v>83</v>
      </c>
      <c r="T1575">
        <v>53</v>
      </c>
      <c r="U1575">
        <v>19</v>
      </c>
      <c r="V1575" t="s">
        <v>6447</v>
      </c>
      <c r="W1575">
        <v>49022</v>
      </c>
      <c r="X1575" t="s">
        <v>1325</v>
      </c>
      <c r="Y1575">
        <v>37619</v>
      </c>
      <c r="Z1575">
        <v>931418</v>
      </c>
      <c r="AA1575">
        <v>216657</v>
      </c>
      <c r="AB1575" t="str">
        <f>(VLOOKUP(SalesData[[#This Row],[Month Number]],Reference!C$5:E$16,2,FALSE))</f>
        <v>Feb</v>
      </c>
      <c r="AC1575">
        <f>MONTH(SalesData[[#This Row],[Date]])</f>
        <v>2</v>
      </c>
      <c r="AD1575">
        <f>Reference!F$4</f>
        <v>2026</v>
      </c>
      <c r="AE1575" t="str">
        <f>IF(OR(SalesData[[#This Row],[Day]]="Saturday",SalesData[[#This Row],[Day]]="Sunday"),"Weekend","Weekday")</f>
        <v>Weekday</v>
      </c>
      <c r="AF1575" s="5">
        <f>IF(SalesData[[#This Row],[Contracts Offered]]=0,0,SalesData[[#This Row],[Contracts Signed]]/SalesData[[#This Row],[Contracts Offered]])</f>
        <v>0.35849056603773582</v>
      </c>
      <c r="AG1575" s="5">
        <f>IF(SalesData[[#This Row],[Customers Visited]]=0,0,SalesData[[#This Row],[Test Drives]]/SalesData[[#This Row],[Customers Visited]])</f>
        <v>0.48255813953488375</v>
      </c>
      <c r="AH1575" s="5">
        <f>IF(SalesData[[#This Row],[Customers Visited]]=0,0,SalesData[[#This Row],[Contracts Signed]]/SalesData[[#This Row],[Customers Visited]])</f>
        <v>0.11046511627906977</v>
      </c>
      <c r="AI1575" s="6">
        <f>IF(SalesData[[#This Row],[Contracts Signed]]=0,0,SalesData[[#This Row],[Profit(€)]]/SalesData[[#This Row],[Contracts Signed]])</f>
        <v>11403</v>
      </c>
      <c r="AJ1575" s="5" t="str">
        <f>TRIM(CLEAN(SalesData[[#This Row],[Retailer]]))</f>
        <v>Saxon Wheels</v>
      </c>
    </row>
    <row r="1576" spans="1:36" ht="14.25" hidden="1" x14ac:dyDescent="0.2">
      <c r="A1576" t="s">
        <v>2482</v>
      </c>
      <c r="B1576" s="1">
        <v>46060</v>
      </c>
      <c r="C1576" t="s">
        <v>24</v>
      </c>
      <c r="D1576" t="s">
        <v>151</v>
      </c>
      <c r="E1576" t="s">
        <v>42</v>
      </c>
      <c r="F1576" t="s">
        <v>114</v>
      </c>
      <c r="G1576" t="s">
        <v>115</v>
      </c>
      <c r="H1576" t="s">
        <v>115</v>
      </c>
      <c r="I1576" t="s">
        <v>104</v>
      </c>
      <c r="J1576" t="s">
        <v>105</v>
      </c>
      <c r="K1576" t="s">
        <v>78</v>
      </c>
      <c r="L1576" t="s">
        <v>33</v>
      </c>
      <c r="M1576" t="s">
        <v>47</v>
      </c>
      <c r="N1576" t="s">
        <v>35</v>
      </c>
      <c r="O1576" t="s">
        <v>70</v>
      </c>
      <c r="P1576" t="s">
        <v>58</v>
      </c>
      <c r="Q1576" t="s">
        <v>189</v>
      </c>
      <c r="R1576">
        <v>494</v>
      </c>
      <c r="S1576">
        <v>207</v>
      </c>
      <c r="T1576">
        <v>144</v>
      </c>
      <c r="U1576">
        <v>42</v>
      </c>
      <c r="V1576" t="s">
        <v>6999</v>
      </c>
      <c r="W1576">
        <v>27372</v>
      </c>
      <c r="X1576" t="s">
        <v>1668</v>
      </c>
      <c r="Y1576">
        <v>24594</v>
      </c>
      <c r="Z1576">
        <v>1149624</v>
      </c>
      <c r="AA1576">
        <v>116676</v>
      </c>
      <c r="AB1576" t="str">
        <f>(VLOOKUP(SalesData[[#This Row],[Month Number]],Reference!C$5:E$16,2,FALSE))</f>
        <v>Feb</v>
      </c>
      <c r="AC1576">
        <f>MONTH(SalesData[[#This Row],[Date]])</f>
        <v>2</v>
      </c>
      <c r="AD1576">
        <f>Reference!F$4</f>
        <v>2026</v>
      </c>
      <c r="AE1576" t="str">
        <f>IF(OR(SalesData[[#This Row],[Day]]="Saturday",SalesData[[#This Row],[Day]]="Sunday"),"Weekend","Weekday")</f>
        <v>Weekend</v>
      </c>
      <c r="AF1576" s="5">
        <f>IF(SalesData[[#This Row],[Contracts Offered]]=0,0,SalesData[[#This Row],[Contracts Signed]]/SalesData[[#This Row],[Contracts Offered]])</f>
        <v>0.29166666666666669</v>
      </c>
      <c r="AG1576" s="5">
        <f>IF(SalesData[[#This Row],[Customers Visited]]=0,0,SalesData[[#This Row],[Test Drives]]/SalesData[[#This Row],[Customers Visited]])</f>
        <v>0.41902834008097167</v>
      </c>
      <c r="AH1576" s="5">
        <f>IF(SalesData[[#This Row],[Customers Visited]]=0,0,SalesData[[#This Row],[Contracts Signed]]/SalesData[[#This Row],[Customers Visited]])</f>
        <v>8.5020242914979755E-2</v>
      </c>
      <c r="AI1576" s="6">
        <f>IF(SalesData[[#This Row],[Contracts Signed]]=0,0,SalesData[[#This Row],[Profit(€)]]/SalesData[[#This Row],[Contracts Signed]])</f>
        <v>2778</v>
      </c>
      <c r="AJ1576" s="5" t="str">
        <f>TRIM(CLEAN(SalesData[[#This Row],[Retailer]]))</f>
        <v>Elbe Drive</v>
      </c>
    </row>
    <row r="1577" spans="1:36" ht="14.25" hidden="1" x14ac:dyDescent="0.2">
      <c r="A1577" t="s">
        <v>2483</v>
      </c>
      <c r="B1577" s="1">
        <v>46064</v>
      </c>
      <c r="C1577" t="s">
        <v>121</v>
      </c>
      <c r="D1577" t="s">
        <v>82</v>
      </c>
      <c r="E1577" t="s">
        <v>26</v>
      </c>
      <c r="F1577" t="s">
        <v>74</v>
      </c>
      <c r="G1577" t="s">
        <v>75</v>
      </c>
      <c r="H1577" t="s">
        <v>76</v>
      </c>
      <c r="I1577" t="s">
        <v>64</v>
      </c>
      <c r="J1577" t="s">
        <v>77</v>
      </c>
      <c r="K1577" t="s">
        <v>78</v>
      </c>
      <c r="L1577" t="s">
        <v>46</v>
      </c>
      <c r="M1577" t="s">
        <v>68</v>
      </c>
      <c r="N1577" t="s">
        <v>48</v>
      </c>
      <c r="O1577" t="s">
        <v>36</v>
      </c>
      <c r="P1577" t="s">
        <v>49</v>
      </c>
      <c r="Q1577" t="s">
        <v>169</v>
      </c>
      <c r="R1577">
        <v>267</v>
      </c>
      <c r="S1577">
        <v>137</v>
      </c>
      <c r="T1577">
        <v>99</v>
      </c>
      <c r="U1577">
        <v>36</v>
      </c>
      <c r="V1577" t="s">
        <v>6619</v>
      </c>
      <c r="W1577">
        <v>63124</v>
      </c>
      <c r="X1577" t="s">
        <v>826</v>
      </c>
      <c r="Y1577">
        <v>47097</v>
      </c>
      <c r="Z1577">
        <v>2272464</v>
      </c>
      <c r="AA1577">
        <v>576972</v>
      </c>
      <c r="AB1577" t="str">
        <f>(VLOOKUP(SalesData[[#This Row],[Month Number]],Reference!C$5:E$16,2,FALSE))</f>
        <v>Feb</v>
      </c>
      <c r="AC1577">
        <f>MONTH(SalesData[[#This Row],[Date]])</f>
        <v>2</v>
      </c>
      <c r="AD1577">
        <f>Reference!F$4</f>
        <v>2026</v>
      </c>
      <c r="AE1577" t="str">
        <f>IF(OR(SalesData[[#This Row],[Day]]="Saturday",SalesData[[#This Row],[Day]]="Sunday"),"Weekend","Weekday")</f>
        <v>Weekday</v>
      </c>
      <c r="AF1577" s="5">
        <f>IF(SalesData[[#This Row],[Contracts Offered]]=0,0,SalesData[[#This Row],[Contracts Signed]]/SalesData[[#This Row],[Contracts Offered]])</f>
        <v>0.36363636363636365</v>
      </c>
      <c r="AG1577" s="5">
        <f>IF(SalesData[[#This Row],[Customers Visited]]=0,0,SalesData[[#This Row],[Test Drives]]/SalesData[[#This Row],[Customers Visited]])</f>
        <v>0.51310861423220977</v>
      </c>
      <c r="AH1577" s="5">
        <f>IF(SalesData[[#This Row],[Customers Visited]]=0,0,SalesData[[#This Row],[Contracts Signed]]/SalesData[[#This Row],[Customers Visited]])</f>
        <v>0.1348314606741573</v>
      </c>
      <c r="AI1577" s="6">
        <f>IF(SalesData[[#This Row],[Contracts Signed]]=0,0,SalesData[[#This Row],[Profit(€)]]/SalesData[[#This Row],[Contracts Signed]])</f>
        <v>16027</v>
      </c>
      <c r="AJ1577" s="5" t="str">
        <f>TRIM(CLEAN(SalesData[[#This Row],[Retailer]]))</f>
        <v>Stuttgart Auto Center</v>
      </c>
    </row>
    <row r="1578" spans="1:36" ht="14.25" hidden="1" x14ac:dyDescent="0.2">
      <c r="A1578" t="s">
        <v>2485</v>
      </c>
      <c r="B1578" s="1">
        <v>46054</v>
      </c>
      <c r="C1578" t="s">
        <v>24</v>
      </c>
      <c r="D1578" t="s">
        <v>41</v>
      </c>
      <c r="E1578" t="s">
        <v>42</v>
      </c>
      <c r="F1578" t="s">
        <v>114</v>
      </c>
      <c r="G1578" t="s">
        <v>115</v>
      </c>
      <c r="H1578" t="s">
        <v>115</v>
      </c>
      <c r="I1578" t="s">
        <v>104</v>
      </c>
      <c r="J1578" t="s">
        <v>105</v>
      </c>
      <c r="K1578" t="s">
        <v>91</v>
      </c>
      <c r="L1578" t="s">
        <v>33</v>
      </c>
      <c r="M1578" t="s">
        <v>47</v>
      </c>
      <c r="N1578" t="s">
        <v>35</v>
      </c>
      <c r="O1578" t="s">
        <v>36</v>
      </c>
      <c r="P1578" t="s">
        <v>37</v>
      </c>
      <c r="Q1578" t="s">
        <v>88</v>
      </c>
      <c r="R1578">
        <v>329</v>
      </c>
      <c r="S1578">
        <v>172</v>
      </c>
      <c r="T1578">
        <v>101</v>
      </c>
      <c r="U1578">
        <v>31</v>
      </c>
      <c r="V1578" t="s">
        <v>2741</v>
      </c>
      <c r="W1578">
        <v>30355</v>
      </c>
      <c r="X1578" t="s">
        <v>1060</v>
      </c>
      <c r="Y1578">
        <v>26400</v>
      </c>
      <c r="Z1578">
        <v>941005</v>
      </c>
      <c r="AA1578">
        <v>122605</v>
      </c>
      <c r="AB1578" t="str">
        <f>(VLOOKUP(SalesData[[#This Row],[Month Number]],Reference!C$5:E$16,2,FALSE))</f>
        <v>Feb</v>
      </c>
      <c r="AC1578">
        <f>MONTH(SalesData[[#This Row],[Date]])</f>
        <v>2</v>
      </c>
      <c r="AD1578">
        <f>Reference!F$4</f>
        <v>2026</v>
      </c>
      <c r="AE1578" t="str">
        <f>IF(OR(SalesData[[#This Row],[Day]]="Saturday",SalesData[[#This Row],[Day]]="Sunday"),"Weekend","Weekday")</f>
        <v>Weekend</v>
      </c>
      <c r="AF1578" s="5">
        <f>IF(SalesData[[#This Row],[Contracts Offered]]=0,0,SalesData[[#This Row],[Contracts Signed]]/SalesData[[#This Row],[Contracts Offered]])</f>
        <v>0.30693069306930693</v>
      </c>
      <c r="AG1578" s="5">
        <f>IF(SalesData[[#This Row],[Customers Visited]]=0,0,SalesData[[#This Row],[Test Drives]]/SalesData[[#This Row],[Customers Visited]])</f>
        <v>0.52279635258358659</v>
      </c>
      <c r="AH1578" s="5">
        <f>IF(SalesData[[#This Row],[Customers Visited]]=0,0,SalesData[[#This Row],[Contracts Signed]]/SalesData[[#This Row],[Customers Visited]])</f>
        <v>9.4224924012158054E-2</v>
      </c>
      <c r="AI1578" s="6">
        <f>IF(SalesData[[#This Row],[Contracts Signed]]=0,0,SalesData[[#This Row],[Profit(€)]]/SalesData[[#This Row],[Contracts Signed]])</f>
        <v>3955</v>
      </c>
      <c r="AJ1578" s="5" t="str">
        <f>TRIM(CLEAN(SalesData[[#This Row],[Retailer]]))</f>
        <v>Elbe Drive</v>
      </c>
    </row>
    <row r="1579" spans="1:36" ht="14.25" hidden="1" x14ac:dyDescent="0.2">
      <c r="A1579" t="s">
        <v>2486</v>
      </c>
      <c r="B1579" s="1">
        <v>46061</v>
      </c>
      <c r="C1579" t="s">
        <v>121</v>
      </c>
      <c r="D1579" t="s">
        <v>41</v>
      </c>
      <c r="E1579" t="s">
        <v>42</v>
      </c>
      <c r="F1579" t="s">
        <v>109</v>
      </c>
      <c r="G1579" t="s">
        <v>110</v>
      </c>
      <c r="H1579" t="s">
        <v>45</v>
      </c>
      <c r="I1579" t="s">
        <v>116</v>
      </c>
      <c r="J1579" t="s">
        <v>117</v>
      </c>
      <c r="K1579" t="s">
        <v>78</v>
      </c>
      <c r="L1579" t="s">
        <v>67</v>
      </c>
      <c r="M1579" t="s">
        <v>87</v>
      </c>
      <c r="N1579" t="s">
        <v>35</v>
      </c>
      <c r="O1579" t="s">
        <v>36</v>
      </c>
      <c r="P1579" t="s">
        <v>37</v>
      </c>
      <c r="Q1579" t="s">
        <v>79</v>
      </c>
      <c r="R1579">
        <v>404</v>
      </c>
      <c r="S1579">
        <v>216</v>
      </c>
      <c r="T1579">
        <v>129</v>
      </c>
      <c r="U1579">
        <v>31</v>
      </c>
      <c r="V1579" t="s">
        <v>2628</v>
      </c>
      <c r="W1579">
        <v>22631</v>
      </c>
      <c r="X1579" t="s">
        <v>325</v>
      </c>
      <c r="Y1579">
        <v>20186</v>
      </c>
      <c r="Z1579">
        <v>701561</v>
      </c>
      <c r="AA1579">
        <v>75795</v>
      </c>
      <c r="AB1579" t="str">
        <f>(VLOOKUP(SalesData[[#This Row],[Month Number]],Reference!C$5:E$16,2,FALSE))</f>
        <v>Feb</v>
      </c>
      <c r="AC1579">
        <f>MONTH(SalesData[[#This Row],[Date]])</f>
        <v>2</v>
      </c>
      <c r="AD1579">
        <f>Reference!F$4</f>
        <v>2026</v>
      </c>
      <c r="AE1579" t="str">
        <f>IF(OR(SalesData[[#This Row],[Day]]="Saturday",SalesData[[#This Row],[Day]]="Sunday"),"Weekend","Weekday")</f>
        <v>Weekend</v>
      </c>
      <c r="AF1579" s="5">
        <f>IF(SalesData[[#This Row],[Contracts Offered]]=0,0,SalesData[[#This Row],[Contracts Signed]]/SalesData[[#This Row],[Contracts Offered]])</f>
        <v>0.24031007751937986</v>
      </c>
      <c r="AG1579" s="5">
        <f>IF(SalesData[[#This Row],[Customers Visited]]=0,0,SalesData[[#This Row],[Test Drives]]/SalesData[[#This Row],[Customers Visited]])</f>
        <v>0.53465346534653468</v>
      </c>
      <c r="AH1579" s="5">
        <f>IF(SalesData[[#This Row],[Customers Visited]]=0,0,SalesData[[#This Row],[Contracts Signed]]/SalesData[[#This Row],[Customers Visited]])</f>
        <v>7.6732673267326731E-2</v>
      </c>
      <c r="AI1579" s="6">
        <f>IF(SalesData[[#This Row],[Contracts Signed]]=0,0,SalesData[[#This Row],[Profit(€)]]/SalesData[[#This Row],[Contracts Signed]])</f>
        <v>2445</v>
      </c>
      <c r="AJ1579" s="5" t="str">
        <f>TRIM(CLEAN(SalesData[[#This Row],[Retailer]]))</f>
        <v>Leipzig Mobility</v>
      </c>
    </row>
    <row r="1580" spans="1:36" ht="14.25" x14ac:dyDescent="0.2">
      <c r="A1580" t="s">
        <v>2487</v>
      </c>
      <c r="B1580" s="1">
        <v>46078</v>
      </c>
      <c r="C1580" t="s">
        <v>53</v>
      </c>
      <c r="D1580" t="s">
        <v>82</v>
      </c>
      <c r="E1580" t="s">
        <v>26</v>
      </c>
      <c r="F1580" t="s">
        <v>127</v>
      </c>
      <c r="G1580" t="s">
        <v>128</v>
      </c>
      <c r="H1580" t="s">
        <v>103</v>
      </c>
      <c r="I1580" t="s">
        <v>30</v>
      </c>
      <c r="J1580" t="s">
        <v>86</v>
      </c>
      <c r="K1580" t="s">
        <v>91</v>
      </c>
      <c r="L1580" t="s">
        <v>33</v>
      </c>
      <c r="M1580" t="s">
        <v>34</v>
      </c>
      <c r="N1580" t="s">
        <v>35</v>
      </c>
      <c r="O1580" t="s">
        <v>70</v>
      </c>
      <c r="P1580" t="s">
        <v>49</v>
      </c>
      <c r="Q1580" t="s">
        <v>240</v>
      </c>
      <c r="R1580">
        <v>146</v>
      </c>
      <c r="S1580">
        <v>80</v>
      </c>
      <c r="T1580">
        <v>62</v>
      </c>
      <c r="U1580">
        <v>21</v>
      </c>
      <c r="V1580" t="s">
        <v>6824</v>
      </c>
      <c r="W1580">
        <v>60062</v>
      </c>
      <c r="X1580" t="s">
        <v>2796</v>
      </c>
      <c r="Y1580">
        <v>45746</v>
      </c>
      <c r="Z1580">
        <v>1261302</v>
      </c>
      <c r="AA1580">
        <v>300636</v>
      </c>
      <c r="AB1580" t="str">
        <f>(VLOOKUP(SalesData[[#This Row],[Month Number]],Reference!C$5:E$16,2,FALSE))</f>
        <v>Feb</v>
      </c>
      <c r="AC1580">
        <f>MONTH(SalesData[[#This Row],[Date]])</f>
        <v>2</v>
      </c>
      <c r="AD1580">
        <f>Reference!F$4</f>
        <v>2026</v>
      </c>
      <c r="AE1580" t="str">
        <f>IF(OR(SalesData[[#This Row],[Day]]="Saturday",SalesData[[#This Row],[Day]]="Sunday"),"Weekend","Weekday")</f>
        <v>Weekday</v>
      </c>
      <c r="AF1580" s="5">
        <f>IF(SalesData[[#This Row],[Contracts Offered]]=0,0,SalesData[[#This Row],[Contracts Signed]]/SalesData[[#This Row],[Contracts Offered]])</f>
        <v>0.33870967741935482</v>
      </c>
      <c r="AG1580" s="5">
        <f>IF(SalesData[[#This Row],[Customers Visited]]=0,0,SalesData[[#This Row],[Test Drives]]/SalesData[[#This Row],[Customers Visited]])</f>
        <v>0.54794520547945202</v>
      </c>
      <c r="AH1580" s="5">
        <f>IF(SalesData[[#This Row],[Customers Visited]]=0,0,SalesData[[#This Row],[Contracts Signed]]/SalesData[[#This Row],[Customers Visited]])</f>
        <v>0.14383561643835616</v>
      </c>
      <c r="AI1580" s="6">
        <f>IF(SalesData[[#This Row],[Contracts Signed]]=0,0,SalesData[[#This Row],[Profit(€)]]/SalesData[[#This Row],[Contracts Signed]])</f>
        <v>14316</v>
      </c>
      <c r="AJ1580" s="5" t="str">
        <f>TRIM(CLEAN(SalesData[[#This Row],[Retailer]]))</f>
        <v>Rhein Auto Group</v>
      </c>
    </row>
    <row r="1581" spans="1:36" ht="14.25" hidden="1" x14ac:dyDescent="0.2">
      <c r="A1581" t="s">
        <v>2488</v>
      </c>
      <c r="B1581" s="1">
        <v>46063</v>
      </c>
      <c r="C1581" t="s">
        <v>121</v>
      </c>
      <c r="D1581" t="s">
        <v>63</v>
      </c>
      <c r="E1581" t="s">
        <v>26</v>
      </c>
      <c r="F1581" t="s">
        <v>27</v>
      </c>
      <c r="G1581" t="s">
        <v>28</v>
      </c>
      <c r="H1581" t="s">
        <v>29</v>
      </c>
      <c r="I1581" t="s">
        <v>104</v>
      </c>
      <c r="J1581" t="s">
        <v>140</v>
      </c>
      <c r="K1581" t="s">
        <v>78</v>
      </c>
      <c r="L1581" t="s">
        <v>46</v>
      </c>
      <c r="M1581" t="s">
        <v>68</v>
      </c>
      <c r="N1581" t="s">
        <v>69</v>
      </c>
      <c r="O1581" t="s">
        <v>36</v>
      </c>
      <c r="P1581" t="s">
        <v>49</v>
      </c>
      <c r="Q1581" t="s">
        <v>88</v>
      </c>
      <c r="R1581">
        <v>274</v>
      </c>
      <c r="S1581">
        <v>117</v>
      </c>
      <c r="T1581">
        <v>68</v>
      </c>
      <c r="U1581">
        <v>14</v>
      </c>
      <c r="V1581" t="s">
        <v>1082</v>
      </c>
      <c r="W1581">
        <v>28752</v>
      </c>
      <c r="X1581" t="s">
        <v>2942</v>
      </c>
      <c r="Y1581">
        <v>26149</v>
      </c>
      <c r="Z1581">
        <v>402528</v>
      </c>
      <c r="AA1581">
        <v>36442</v>
      </c>
      <c r="AB1581" t="str">
        <f>(VLOOKUP(SalesData[[#This Row],[Month Number]],Reference!C$5:E$16,2,FALSE))</f>
        <v>Feb</v>
      </c>
      <c r="AC1581">
        <f>MONTH(SalesData[[#This Row],[Date]])</f>
        <v>2</v>
      </c>
      <c r="AD1581">
        <f>Reference!F$4</f>
        <v>2026</v>
      </c>
      <c r="AE1581" t="str">
        <f>IF(OR(SalesData[[#This Row],[Day]]="Saturday",SalesData[[#This Row],[Day]]="Sunday"),"Weekend","Weekday")</f>
        <v>Weekday</v>
      </c>
      <c r="AF1581" s="5">
        <f>IF(SalesData[[#This Row],[Contracts Offered]]=0,0,SalesData[[#This Row],[Contracts Signed]]/SalesData[[#This Row],[Contracts Offered]])</f>
        <v>0.20588235294117646</v>
      </c>
      <c r="AG1581" s="5">
        <f>IF(SalesData[[#This Row],[Customers Visited]]=0,0,SalesData[[#This Row],[Test Drives]]/SalesData[[#This Row],[Customers Visited]])</f>
        <v>0.42700729927007297</v>
      </c>
      <c r="AH1581" s="5">
        <f>IF(SalesData[[#This Row],[Customers Visited]]=0,0,SalesData[[#This Row],[Contracts Signed]]/SalesData[[#This Row],[Customers Visited]])</f>
        <v>5.1094890510948905E-2</v>
      </c>
      <c r="AI1581" s="6">
        <f>IF(SalesData[[#This Row],[Contracts Signed]]=0,0,SalesData[[#This Row],[Profit(€)]]/SalesData[[#This Row],[Contracts Signed]])</f>
        <v>2603</v>
      </c>
      <c r="AJ1581" s="5" t="str">
        <f>TRIM(CLEAN(SalesData[[#This Row],[Retailer]]))</f>
        <v>Main Auto Hub</v>
      </c>
    </row>
    <row r="1582" spans="1:36" ht="14.25" hidden="1" x14ac:dyDescent="0.2">
      <c r="A1582" t="s">
        <v>2489</v>
      </c>
      <c r="B1582" s="1">
        <v>46056</v>
      </c>
      <c r="C1582" t="s">
        <v>24</v>
      </c>
      <c r="D1582" t="s">
        <v>63</v>
      </c>
      <c r="E1582" t="s">
        <v>26</v>
      </c>
      <c r="F1582" t="s">
        <v>7649</v>
      </c>
      <c r="G1582" t="s">
        <v>55</v>
      </c>
      <c r="H1582" t="s">
        <v>55</v>
      </c>
      <c r="I1582" t="s">
        <v>56</v>
      </c>
      <c r="J1582" t="s">
        <v>97</v>
      </c>
      <c r="K1582" t="s">
        <v>91</v>
      </c>
      <c r="L1582" t="s">
        <v>33</v>
      </c>
      <c r="M1582" t="s">
        <v>68</v>
      </c>
      <c r="N1582" t="s">
        <v>35</v>
      </c>
      <c r="O1582" t="s">
        <v>70</v>
      </c>
      <c r="P1582" t="s">
        <v>37</v>
      </c>
      <c r="Q1582" t="s">
        <v>50</v>
      </c>
      <c r="R1582">
        <v>162</v>
      </c>
      <c r="S1582">
        <v>98</v>
      </c>
      <c r="T1582">
        <v>75</v>
      </c>
      <c r="U1582">
        <v>24</v>
      </c>
      <c r="V1582" t="s">
        <v>6518</v>
      </c>
      <c r="W1582">
        <v>48234</v>
      </c>
      <c r="X1582" t="s">
        <v>2334</v>
      </c>
      <c r="Y1582">
        <v>39185</v>
      </c>
      <c r="Z1582">
        <v>1157616</v>
      </c>
      <c r="AA1582">
        <v>217176</v>
      </c>
      <c r="AB1582" t="str">
        <f>(VLOOKUP(SalesData[[#This Row],[Month Number]],Reference!C$5:E$16,2,FALSE))</f>
        <v>Feb</v>
      </c>
      <c r="AC1582">
        <f>MONTH(SalesData[[#This Row],[Date]])</f>
        <v>2</v>
      </c>
      <c r="AD1582">
        <f>Reference!F$4</f>
        <v>2026</v>
      </c>
      <c r="AE1582" t="str">
        <f>IF(OR(SalesData[[#This Row],[Day]]="Saturday",SalesData[[#This Row],[Day]]="Sunday"),"Weekend","Weekday")</f>
        <v>Weekday</v>
      </c>
      <c r="AF1582" s="5">
        <f>IF(SalesData[[#This Row],[Contracts Offered]]=0,0,SalesData[[#This Row],[Contracts Signed]]/SalesData[[#This Row],[Contracts Offered]])</f>
        <v>0.32</v>
      </c>
      <c r="AG1582" s="5">
        <f>IF(SalesData[[#This Row],[Customers Visited]]=0,0,SalesData[[#This Row],[Test Drives]]/SalesData[[#This Row],[Customers Visited]])</f>
        <v>0.60493827160493829</v>
      </c>
      <c r="AH1582" s="5">
        <f>IF(SalesData[[#This Row],[Customers Visited]]=0,0,SalesData[[#This Row],[Contracts Signed]]/SalesData[[#This Row],[Customers Visited]])</f>
        <v>0.14814814814814814</v>
      </c>
      <c r="AI1582" s="6">
        <f>IF(SalesData[[#This Row],[Contracts Signed]]=0,0,SalesData[[#This Row],[Profit(€)]]/SalesData[[#This Row],[Contracts Signed]])</f>
        <v>9049</v>
      </c>
      <c r="AJ1582" s="5" t="str">
        <f>TRIM(CLEAN(SalesData[[#This Row],[Retailer]]))</f>
        <v>Autohaus Berlin</v>
      </c>
    </row>
    <row r="1583" spans="1:36" ht="14.25" hidden="1" x14ac:dyDescent="0.2">
      <c r="A1583" t="s">
        <v>2490</v>
      </c>
      <c r="B1583" s="1">
        <v>46064</v>
      </c>
      <c r="C1583" t="s">
        <v>121</v>
      </c>
      <c r="D1583" t="s">
        <v>82</v>
      </c>
      <c r="E1583" t="s">
        <v>26</v>
      </c>
      <c r="F1583" t="s">
        <v>74</v>
      </c>
      <c r="G1583" t="s">
        <v>75</v>
      </c>
      <c r="H1583" t="s">
        <v>76</v>
      </c>
      <c r="I1583" t="s">
        <v>64</v>
      </c>
      <c r="J1583" t="s">
        <v>7029</v>
      </c>
      <c r="K1583" t="s">
        <v>78</v>
      </c>
      <c r="L1583" t="s">
        <v>33</v>
      </c>
      <c r="M1583" t="s">
        <v>87</v>
      </c>
      <c r="N1583" t="s">
        <v>48</v>
      </c>
      <c r="O1583" t="s">
        <v>36</v>
      </c>
      <c r="P1583" t="s">
        <v>58</v>
      </c>
      <c r="Q1583" t="s">
        <v>135</v>
      </c>
      <c r="R1583">
        <v>167</v>
      </c>
      <c r="S1583">
        <v>74</v>
      </c>
      <c r="T1583">
        <v>49</v>
      </c>
      <c r="U1583">
        <v>20</v>
      </c>
      <c r="V1583" t="s">
        <v>6509</v>
      </c>
      <c r="W1583">
        <v>59963</v>
      </c>
      <c r="X1583" t="s">
        <v>1002</v>
      </c>
      <c r="Y1583">
        <v>43385</v>
      </c>
      <c r="Z1583">
        <v>1199260</v>
      </c>
      <c r="AA1583">
        <v>331560</v>
      </c>
      <c r="AB1583" t="str">
        <f>(VLOOKUP(SalesData[[#This Row],[Month Number]],Reference!C$5:E$16,2,FALSE))</f>
        <v>Feb</v>
      </c>
      <c r="AC1583">
        <f>MONTH(SalesData[[#This Row],[Date]])</f>
        <v>2</v>
      </c>
      <c r="AD1583">
        <f>Reference!F$4</f>
        <v>2026</v>
      </c>
      <c r="AE1583" t="str">
        <f>IF(OR(SalesData[[#This Row],[Day]]="Saturday",SalesData[[#This Row],[Day]]="Sunday"),"Weekend","Weekday")</f>
        <v>Weekday</v>
      </c>
      <c r="AF1583" s="5">
        <f>IF(SalesData[[#This Row],[Contracts Offered]]=0,0,SalesData[[#This Row],[Contracts Signed]]/SalesData[[#This Row],[Contracts Offered]])</f>
        <v>0.40816326530612246</v>
      </c>
      <c r="AG1583" s="5">
        <f>IF(SalesData[[#This Row],[Customers Visited]]=0,0,SalesData[[#This Row],[Test Drives]]/SalesData[[#This Row],[Customers Visited]])</f>
        <v>0.44311377245508982</v>
      </c>
      <c r="AH1583" s="5">
        <f>IF(SalesData[[#This Row],[Customers Visited]]=0,0,SalesData[[#This Row],[Contracts Signed]]/SalesData[[#This Row],[Customers Visited]])</f>
        <v>0.11976047904191617</v>
      </c>
      <c r="AI1583" s="6">
        <f>IF(SalesData[[#This Row],[Contracts Signed]]=0,0,SalesData[[#This Row],[Profit(€)]]/SalesData[[#This Row],[Contracts Signed]])</f>
        <v>16578</v>
      </c>
      <c r="AJ1583" s="5" t="str">
        <f>TRIM(CLEAN(SalesData[[#This Row],[Retailer]]))</f>
        <v>Stuttgart Auto Center</v>
      </c>
    </row>
    <row r="1584" spans="1:36" ht="14.25" hidden="1" x14ac:dyDescent="0.2">
      <c r="A1584" t="s">
        <v>2491</v>
      </c>
      <c r="B1584" s="1">
        <v>46074</v>
      </c>
      <c r="C1584" t="s">
        <v>62</v>
      </c>
      <c r="D1584" t="s">
        <v>151</v>
      </c>
      <c r="E1584" t="s">
        <v>42</v>
      </c>
      <c r="F1584" t="s">
        <v>94</v>
      </c>
      <c r="G1584" t="s">
        <v>95</v>
      </c>
      <c r="H1584" t="s">
        <v>96</v>
      </c>
      <c r="I1584" t="s">
        <v>104</v>
      </c>
      <c r="J1584" t="s">
        <v>105</v>
      </c>
      <c r="K1584" t="s">
        <v>78</v>
      </c>
      <c r="L1584" t="s">
        <v>33</v>
      </c>
      <c r="M1584" t="s">
        <v>87</v>
      </c>
      <c r="N1584" t="s">
        <v>69</v>
      </c>
      <c r="O1584" t="s">
        <v>36</v>
      </c>
      <c r="P1584" t="s">
        <v>71</v>
      </c>
      <c r="Q1584" t="s">
        <v>118</v>
      </c>
      <c r="R1584">
        <v>301</v>
      </c>
      <c r="S1584">
        <v>148</v>
      </c>
      <c r="T1584">
        <v>104</v>
      </c>
      <c r="U1584">
        <v>30</v>
      </c>
      <c r="V1584" t="s">
        <v>6446</v>
      </c>
      <c r="W1584">
        <v>24776</v>
      </c>
      <c r="X1584" t="s">
        <v>7377</v>
      </c>
      <c r="Y1584">
        <v>22071</v>
      </c>
      <c r="Z1584">
        <v>743280</v>
      </c>
      <c r="AA1584">
        <v>81150</v>
      </c>
      <c r="AB1584" t="str">
        <f>(VLOOKUP(SalesData[[#This Row],[Month Number]],Reference!C$5:E$16,2,FALSE))</f>
        <v>Feb</v>
      </c>
      <c r="AC1584">
        <f>MONTH(SalesData[[#This Row],[Date]])</f>
        <v>2</v>
      </c>
      <c r="AD1584">
        <f>Reference!F$4</f>
        <v>2026</v>
      </c>
      <c r="AE1584" t="str">
        <f>IF(OR(SalesData[[#This Row],[Day]]="Saturday",SalesData[[#This Row],[Day]]="Sunday"),"Weekend","Weekday")</f>
        <v>Weekend</v>
      </c>
      <c r="AF1584" s="5">
        <f>IF(SalesData[[#This Row],[Contracts Offered]]=0,0,SalesData[[#This Row],[Contracts Signed]]/SalesData[[#This Row],[Contracts Offered]])</f>
        <v>0.28846153846153844</v>
      </c>
      <c r="AG1584" s="5">
        <f>IF(SalesData[[#This Row],[Customers Visited]]=0,0,SalesData[[#This Row],[Test Drives]]/SalesData[[#This Row],[Customers Visited]])</f>
        <v>0.49169435215946844</v>
      </c>
      <c r="AH1584" s="5">
        <f>IF(SalesData[[#This Row],[Customers Visited]]=0,0,SalesData[[#This Row],[Contracts Signed]]/SalesData[[#This Row],[Customers Visited]])</f>
        <v>9.9667774086378738E-2</v>
      </c>
      <c r="AI1584" s="6">
        <f>IF(SalesData[[#This Row],[Contracts Signed]]=0,0,SalesData[[#This Row],[Profit(€)]]/SalesData[[#This Row],[Contracts Signed]])</f>
        <v>2705</v>
      </c>
      <c r="AJ1584" s="5" t="str">
        <f>TRIM(CLEAN(SalesData[[#This Row],[Retailer]]))</f>
        <v>Bavaria Motors</v>
      </c>
    </row>
    <row r="1585" spans="1:36" ht="14.25" hidden="1" x14ac:dyDescent="0.2">
      <c r="A1585" t="s">
        <v>2492</v>
      </c>
      <c r="B1585" s="1">
        <v>46074</v>
      </c>
      <c r="C1585" t="s">
        <v>62</v>
      </c>
      <c r="D1585" t="s">
        <v>151</v>
      </c>
      <c r="E1585" t="s">
        <v>42</v>
      </c>
      <c r="F1585" t="s">
        <v>7649</v>
      </c>
      <c r="G1585" t="s">
        <v>55</v>
      </c>
      <c r="H1585" t="s">
        <v>55</v>
      </c>
      <c r="I1585" t="s">
        <v>64</v>
      </c>
      <c r="J1585" t="s">
        <v>111</v>
      </c>
      <c r="K1585" t="s">
        <v>32</v>
      </c>
      <c r="L1585" t="s">
        <v>46</v>
      </c>
      <c r="M1585" t="s">
        <v>47</v>
      </c>
      <c r="N1585" t="s">
        <v>69</v>
      </c>
      <c r="O1585" t="s">
        <v>36</v>
      </c>
      <c r="P1585" t="s">
        <v>71</v>
      </c>
      <c r="Q1585" t="s">
        <v>144</v>
      </c>
      <c r="R1585">
        <v>181</v>
      </c>
      <c r="S1585">
        <v>80</v>
      </c>
      <c r="T1585">
        <v>56</v>
      </c>
      <c r="U1585">
        <v>22</v>
      </c>
      <c r="V1585" t="s">
        <v>6767</v>
      </c>
      <c r="W1585">
        <v>64951</v>
      </c>
      <c r="X1585" t="s">
        <v>443</v>
      </c>
      <c r="Y1585">
        <v>49956</v>
      </c>
      <c r="Z1585">
        <v>1428922</v>
      </c>
      <c r="AA1585">
        <v>329890</v>
      </c>
      <c r="AB1585" t="str">
        <f>(VLOOKUP(SalesData[[#This Row],[Month Number]],Reference!C$5:E$16,2,FALSE))</f>
        <v>Feb</v>
      </c>
      <c r="AC1585">
        <f>MONTH(SalesData[[#This Row],[Date]])</f>
        <v>2</v>
      </c>
      <c r="AD1585">
        <f>Reference!F$4</f>
        <v>2026</v>
      </c>
      <c r="AE1585" t="str">
        <f>IF(OR(SalesData[[#This Row],[Day]]="Saturday",SalesData[[#This Row],[Day]]="Sunday"),"Weekend","Weekday")</f>
        <v>Weekend</v>
      </c>
      <c r="AF1585" s="5">
        <f>IF(SalesData[[#This Row],[Contracts Offered]]=0,0,SalesData[[#This Row],[Contracts Signed]]/SalesData[[#This Row],[Contracts Offered]])</f>
        <v>0.39285714285714285</v>
      </c>
      <c r="AG1585" s="5">
        <f>IF(SalesData[[#This Row],[Customers Visited]]=0,0,SalesData[[#This Row],[Test Drives]]/SalesData[[#This Row],[Customers Visited]])</f>
        <v>0.44198895027624308</v>
      </c>
      <c r="AH1585" s="5">
        <f>IF(SalesData[[#This Row],[Customers Visited]]=0,0,SalesData[[#This Row],[Contracts Signed]]/SalesData[[#This Row],[Customers Visited]])</f>
        <v>0.12154696132596685</v>
      </c>
      <c r="AI1585" s="6">
        <f>IF(SalesData[[#This Row],[Contracts Signed]]=0,0,SalesData[[#This Row],[Profit(€)]]/SalesData[[#This Row],[Contracts Signed]])</f>
        <v>14995</v>
      </c>
      <c r="AJ1585" s="5" t="str">
        <f>TRIM(CLEAN(SalesData[[#This Row],[Retailer]]))</f>
        <v>Autohaus Berlin</v>
      </c>
    </row>
    <row r="1586" spans="1:36" ht="14.25" hidden="1" x14ac:dyDescent="0.2">
      <c r="A1586" t="s">
        <v>2493</v>
      </c>
      <c r="B1586" s="1">
        <v>46056</v>
      </c>
      <c r="C1586" t="s">
        <v>24</v>
      </c>
      <c r="D1586" t="s">
        <v>63</v>
      </c>
      <c r="E1586" t="s">
        <v>26</v>
      </c>
      <c r="F1586" t="s">
        <v>83</v>
      </c>
      <c r="G1586" t="s">
        <v>84</v>
      </c>
      <c r="H1586" t="s">
        <v>85</v>
      </c>
      <c r="I1586" t="s">
        <v>56</v>
      </c>
      <c r="J1586" t="s">
        <v>97</v>
      </c>
      <c r="K1586" t="s">
        <v>32</v>
      </c>
      <c r="L1586" t="s">
        <v>33</v>
      </c>
      <c r="M1586" t="s">
        <v>68</v>
      </c>
      <c r="N1586" t="s">
        <v>35</v>
      </c>
      <c r="O1586" t="s">
        <v>70</v>
      </c>
      <c r="P1586" t="s">
        <v>37</v>
      </c>
      <c r="Q1586" t="s">
        <v>38</v>
      </c>
      <c r="R1586">
        <v>303</v>
      </c>
      <c r="S1586">
        <v>150</v>
      </c>
      <c r="T1586">
        <v>99</v>
      </c>
      <c r="U1586">
        <v>30</v>
      </c>
      <c r="V1586" t="s">
        <v>6410</v>
      </c>
      <c r="W1586">
        <v>40295</v>
      </c>
      <c r="X1586" t="s">
        <v>1199</v>
      </c>
      <c r="Y1586">
        <v>32602</v>
      </c>
      <c r="Z1586">
        <v>1208850</v>
      </c>
      <c r="AA1586">
        <v>230790</v>
      </c>
      <c r="AB1586" t="str">
        <f>(VLOOKUP(SalesData[[#This Row],[Month Number]],Reference!C$5:E$16,2,FALSE))</f>
        <v>Feb</v>
      </c>
      <c r="AC1586">
        <f>MONTH(SalesData[[#This Row],[Date]])</f>
        <v>2</v>
      </c>
      <c r="AD1586">
        <f>Reference!F$4</f>
        <v>2026</v>
      </c>
      <c r="AE1586" t="str">
        <f>IF(OR(SalesData[[#This Row],[Day]]="Saturday",SalesData[[#This Row],[Day]]="Sunday"),"Weekend","Weekday")</f>
        <v>Weekday</v>
      </c>
      <c r="AF1586" s="5">
        <f>IF(SalesData[[#This Row],[Contracts Offered]]=0,0,SalesData[[#This Row],[Contracts Signed]]/SalesData[[#This Row],[Contracts Offered]])</f>
        <v>0.30303030303030304</v>
      </c>
      <c r="AG1586" s="5">
        <f>IF(SalesData[[#This Row],[Customers Visited]]=0,0,SalesData[[#This Row],[Test Drives]]/SalesData[[#This Row],[Customers Visited]])</f>
        <v>0.49504950495049505</v>
      </c>
      <c r="AH1586" s="5">
        <f>IF(SalesData[[#This Row],[Customers Visited]]=0,0,SalesData[[#This Row],[Contracts Signed]]/SalesData[[#This Row],[Customers Visited]])</f>
        <v>9.9009900990099015E-2</v>
      </c>
      <c r="AI1586" s="6">
        <f>IF(SalesData[[#This Row],[Contracts Signed]]=0,0,SalesData[[#This Row],[Profit(€)]]/SalesData[[#This Row],[Contracts Signed]])</f>
        <v>7693</v>
      </c>
      <c r="AJ1586" s="5" t="str">
        <f>TRIM(CLEAN(SalesData[[#This Row],[Retailer]]))</f>
        <v>Hannover Cars</v>
      </c>
    </row>
    <row r="1587" spans="1:36" ht="14.25" hidden="1" x14ac:dyDescent="0.2">
      <c r="A1587" t="s">
        <v>2494</v>
      </c>
      <c r="B1587" s="1">
        <v>46059</v>
      </c>
      <c r="C1587" t="s">
        <v>24</v>
      </c>
      <c r="D1587" t="s">
        <v>54</v>
      </c>
      <c r="E1587" t="s">
        <v>26</v>
      </c>
      <c r="F1587" t="s">
        <v>83</v>
      </c>
      <c r="G1587" t="s">
        <v>84</v>
      </c>
      <c r="H1587" t="s">
        <v>85</v>
      </c>
      <c r="I1587" t="s">
        <v>116</v>
      </c>
      <c r="J1587" t="s">
        <v>203</v>
      </c>
      <c r="K1587" t="s">
        <v>78</v>
      </c>
      <c r="L1587" t="s">
        <v>67</v>
      </c>
      <c r="M1587" t="s">
        <v>68</v>
      </c>
      <c r="N1587" t="s">
        <v>35</v>
      </c>
      <c r="O1587" t="s">
        <v>36</v>
      </c>
      <c r="P1587" t="s">
        <v>37</v>
      </c>
      <c r="Q1587" t="s">
        <v>169</v>
      </c>
      <c r="R1587">
        <v>395</v>
      </c>
      <c r="S1587">
        <v>183</v>
      </c>
      <c r="T1587">
        <v>113</v>
      </c>
      <c r="U1587">
        <v>27</v>
      </c>
      <c r="V1587" t="s">
        <v>405</v>
      </c>
      <c r="W1587">
        <v>25452</v>
      </c>
      <c r="X1587" t="s">
        <v>1156</v>
      </c>
      <c r="Y1587">
        <v>23125</v>
      </c>
      <c r="Z1587">
        <v>687204</v>
      </c>
      <c r="AA1587">
        <v>62829</v>
      </c>
      <c r="AB1587" t="str">
        <f>(VLOOKUP(SalesData[[#This Row],[Month Number]],Reference!C$5:E$16,2,FALSE))</f>
        <v>Feb</v>
      </c>
      <c r="AC1587">
        <f>MONTH(SalesData[[#This Row],[Date]])</f>
        <v>2</v>
      </c>
      <c r="AD1587">
        <f>Reference!F$4</f>
        <v>2026</v>
      </c>
      <c r="AE1587" t="str">
        <f>IF(OR(SalesData[[#This Row],[Day]]="Saturday",SalesData[[#This Row],[Day]]="Sunday"),"Weekend","Weekday")</f>
        <v>Weekday</v>
      </c>
      <c r="AF1587" s="5">
        <f>IF(SalesData[[#This Row],[Contracts Offered]]=0,0,SalesData[[#This Row],[Contracts Signed]]/SalesData[[#This Row],[Contracts Offered]])</f>
        <v>0.23893805309734514</v>
      </c>
      <c r="AG1587" s="5">
        <f>IF(SalesData[[#This Row],[Customers Visited]]=0,0,SalesData[[#This Row],[Test Drives]]/SalesData[[#This Row],[Customers Visited]])</f>
        <v>0.46329113924050636</v>
      </c>
      <c r="AH1587" s="5">
        <f>IF(SalesData[[#This Row],[Customers Visited]]=0,0,SalesData[[#This Row],[Contracts Signed]]/SalesData[[#This Row],[Customers Visited]])</f>
        <v>6.8354430379746839E-2</v>
      </c>
      <c r="AI1587" s="6">
        <f>IF(SalesData[[#This Row],[Contracts Signed]]=0,0,SalesData[[#This Row],[Profit(€)]]/SalesData[[#This Row],[Contracts Signed]])</f>
        <v>2327</v>
      </c>
      <c r="AJ1587" s="5" t="str">
        <f>TRIM(CLEAN(SalesData[[#This Row],[Retailer]]))</f>
        <v>Hannover Cars</v>
      </c>
    </row>
    <row r="1588" spans="1:36" ht="14.25" x14ac:dyDescent="0.2">
      <c r="A1588" t="s">
        <v>2495</v>
      </c>
      <c r="B1588" s="1">
        <v>46071</v>
      </c>
      <c r="C1588" t="s">
        <v>62</v>
      </c>
      <c r="D1588" t="s">
        <v>82</v>
      </c>
      <c r="E1588" t="s">
        <v>26</v>
      </c>
      <c r="F1588" t="s">
        <v>83</v>
      </c>
      <c r="G1588" t="s">
        <v>84</v>
      </c>
      <c r="H1588" t="s">
        <v>85</v>
      </c>
      <c r="I1588" t="s">
        <v>30</v>
      </c>
      <c r="J1588" t="s">
        <v>86</v>
      </c>
      <c r="K1588" t="s">
        <v>78</v>
      </c>
      <c r="L1588" t="s">
        <v>33</v>
      </c>
      <c r="M1588" t="s">
        <v>47</v>
      </c>
      <c r="N1588" t="s">
        <v>35</v>
      </c>
      <c r="O1588" t="s">
        <v>36</v>
      </c>
      <c r="P1588" t="s">
        <v>58</v>
      </c>
      <c r="Q1588" t="s">
        <v>169</v>
      </c>
      <c r="R1588">
        <v>208</v>
      </c>
      <c r="S1588">
        <v>95</v>
      </c>
      <c r="T1588">
        <v>72</v>
      </c>
      <c r="U1588">
        <v>30</v>
      </c>
      <c r="V1588" t="s">
        <v>7457</v>
      </c>
      <c r="W1588">
        <v>63996</v>
      </c>
      <c r="X1588" t="s">
        <v>7436</v>
      </c>
      <c r="Y1588">
        <v>47170</v>
      </c>
      <c r="Z1588">
        <v>1919880</v>
      </c>
      <c r="AA1588">
        <v>504780</v>
      </c>
      <c r="AB1588" t="str">
        <f>(VLOOKUP(SalesData[[#This Row],[Month Number]],Reference!C$5:E$16,2,FALSE))</f>
        <v>Feb</v>
      </c>
      <c r="AC1588">
        <f>MONTH(SalesData[[#This Row],[Date]])</f>
        <v>2</v>
      </c>
      <c r="AD1588">
        <f>Reference!F$4</f>
        <v>2026</v>
      </c>
      <c r="AE1588" t="str">
        <f>IF(OR(SalesData[[#This Row],[Day]]="Saturday",SalesData[[#This Row],[Day]]="Sunday"),"Weekend","Weekday")</f>
        <v>Weekday</v>
      </c>
      <c r="AF1588" s="5">
        <f>IF(SalesData[[#This Row],[Contracts Offered]]=0,0,SalesData[[#This Row],[Contracts Signed]]/SalesData[[#This Row],[Contracts Offered]])</f>
        <v>0.41666666666666669</v>
      </c>
      <c r="AG1588" s="5">
        <f>IF(SalesData[[#This Row],[Customers Visited]]=0,0,SalesData[[#This Row],[Test Drives]]/SalesData[[#This Row],[Customers Visited]])</f>
        <v>0.45673076923076922</v>
      </c>
      <c r="AH1588" s="5">
        <f>IF(SalesData[[#This Row],[Customers Visited]]=0,0,SalesData[[#This Row],[Contracts Signed]]/SalesData[[#This Row],[Customers Visited]])</f>
        <v>0.14423076923076922</v>
      </c>
      <c r="AI1588" s="6">
        <f>IF(SalesData[[#This Row],[Contracts Signed]]=0,0,SalesData[[#This Row],[Profit(€)]]/SalesData[[#This Row],[Contracts Signed]])</f>
        <v>16826</v>
      </c>
      <c r="AJ1588" s="5" t="str">
        <f>TRIM(CLEAN(SalesData[[#This Row],[Retailer]]))</f>
        <v>Hannover Cars</v>
      </c>
    </row>
    <row r="1589" spans="1:36" ht="14.25" hidden="1" x14ac:dyDescent="0.2">
      <c r="A1589" t="s">
        <v>2496</v>
      </c>
      <c r="B1589" s="1">
        <v>46055</v>
      </c>
      <c r="C1589" t="s">
        <v>24</v>
      </c>
      <c r="D1589" t="s">
        <v>25</v>
      </c>
      <c r="E1589" t="s">
        <v>26</v>
      </c>
      <c r="F1589" t="s">
        <v>74</v>
      </c>
      <c r="G1589" t="s">
        <v>75</v>
      </c>
      <c r="H1589" t="s">
        <v>76</v>
      </c>
      <c r="I1589" t="s">
        <v>116</v>
      </c>
      <c r="J1589" t="s">
        <v>117</v>
      </c>
      <c r="K1589" t="s">
        <v>32</v>
      </c>
      <c r="L1589" t="s">
        <v>67</v>
      </c>
      <c r="M1589" t="s">
        <v>34</v>
      </c>
      <c r="N1589" t="s">
        <v>35</v>
      </c>
      <c r="O1589" t="s">
        <v>70</v>
      </c>
      <c r="P1589" t="s">
        <v>58</v>
      </c>
      <c r="Q1589" t="s">
        <v>240</v>
      </c>
      <c r="R1589">
        <v>280</v>
      </c>
      <c r="S1589">
        <v>147</v>
      </c>
      <c r="T1589">
        <v>91</v>
      </c>
      <c r="U1589">
        <v>28</v>
      </c>
      <c r="V1589" t="s">
        <v>367</v>
      </c>
      <c r="W1589">
        <v>25170</v>
      </c>
      <c r="X1589" t="s">
        <v>7129</v>
      </c>
      <c r="Y1589">
        <v>23394</v>
      </c>
      <c r="Z1589">
        <v>704760</v>
      </c>
      <c r="AA1589">
        <v>49728</v>
      </c>
      <c r="AB1589" t="str">
        <f>(VLOOKUP(SalesData[[#This Row],[Month Number]],Reference!C$5:E$16,2,FALSE))</f>
        <v>Feb</v>
      </c>
      <c r="AC1589">
        <f>MONTH(SalesData[[#This Row],[Date]])</f>
        <v>2</v>
      </c>
      <c r="AD1589">
        <f>Reference!F$4</f>
        <v>2026</v>
      </c>
      <c r="AE1589" t="str">
        <f>IF(OR(SalesData[[#This Row],[Day]]="Saturday",SalesData[[#This Row],[Day]]="Sunday"),"Weekend","Weekday")</f>
        <v>Weekday</v>
      </c>
      <c r="AF1589" s="5">
        <f>IF(SalesData[[#This Row],[Contracts Offered]]=0,0,SalesData[[#This Row],[Contracts Signed]]/SalesData[[#This Row],[Contracts Offered]])</f>
        <v>0.30769230769230771</v>
      </c>
      <c r="AG1589" s="5">
        <f>IF(SalesData[[#This Row],[Customers Visited]]=0,0,SalesData[[#This Row],[Test Drives]]/SalesData[[#This Row],[Customers Visited]])</f>
        <v>0.52500000000000002</v>
      </c>
      <c r="AH1589" s="5">
        <f>IF(SalesData[[#This Row],[Customers Visited]]=0,0,SalesData[[#This Row],[Contracts Signed]]/SalesData[[#This Row],[Customers Visited]])</f>
        <v>0.1</v>
      </c>
      <c r="AI1589" s="6">
        <f>IF(SalesData[[#This Row],[Contracts Signed]]=0,0,SalesData[[#This Row],[Profit(€)]]/SalesData[[#This Row],[Contracts Signed]])</f>
        <v>1776</v>
      </c>
      <c r="AJ1589" s="5" t="str">
        <f>TRIM(CLEAN(SalesData[[#This Row],[Retailer]]))</f>
        <v>Stuttgart Auto Center</v>
      </c>
    </row>
    <row r="1590" spans="1:36" ht="14.25" hidden="1" x14ac:dyDescent="0.2">
      <c r="A1590" t="s">
        <v>2498</v>
      </c>
      <c r="B1590" s="1">
        <v>46061</v>
      </c>
      <c r="C1590" t="s">
        <v>121</v>
      </c>
      <c r="D1590" t="s">
        <v>41</v>
      </c>
      <c r="E1590" t="s">
        <v>42</v>
      </c>
      <c r="F1590" t="s">
        <v>27</v>
      </c>
      <c r="G1590" t="s">
        <v>28</v>
      </c>
      <c r="H1590" t="s">
        <v>29</v>
      </c>
      <c r="I1590" t="s">
        <v>64</v>
      </c>
      <c r="J1590" t="s">
        <v>157</v>
      </c>
      <c r="K1590" t="s">
        <v>91</v>
      </c>
      <c r="L1590" t="s">
        <v>33</v>
      </c>
      <c r="M1590" t="s">
        <v>68</v>
      </c>
      <c r="N1590" t="s">
        <v>69</v>
      </c>
      <c r="O1590" t="s">
        <v>70</v>
      </c>
      <c r="P1590" t="s">
        <v>37</v>
      </c>
      <c r="Q1590" t="s">
        <v>158</v>
      </c>
      <c r="R1590">
        <v>235</v>
      </c>
      <c r="S1590">
        <v>112</v>
      </c>
      <c r="T1590">
        <v>86</v>
      </c>
      <c r="U1590">
        <v>26</v>
      </c>
      <c r="V1590" t="s">
        <v>6557</v>
      </c>
      <c r="W1590">
        <v>69658</v>
      </c>
      <c r="X1590" t="s">
        <v>7330</v>
      </c>
      <c r="Y1590">
        <v>54374</v>
      </c>
      <c r="Z1590">
        <v>1811108</v>
      </c>
      <c r="AA1590">
        <v>397384</v>
      </c>
      <c r="AB1590" t="str">
        <f>(VLOOKUP(SalesData[[#This Row],[Month Number]],Reference!C$5:E$16,2,FALSE))</f>
        <v>Feb</v>
      </c>
      <c r="AC1590">
        <f>MONTH(SalesData[[#This Row],[Date]])</f>
        <v>2</v>
      </c>
      <c r="AD1590">
        <f>Reference!F$4</f>
        <v>2026</v>
      </c>
      <c r="AE1590" t="str">
        <f>IF(OR(SalesData[[#This Row],[Day]]="Saturday",SalesData[[#This Row],[Day]]="Sunday"),"Weekend","Weekday")</f>
        <v>Weekend</v>
      </c>
      <c r="AF1590" s="5">
        <f>IF(SalesData[[#This Row],[Contracts Offered]]=0,0,SalesData[[#This Row],[Contracts Signed]]/SalesData[[#This Row],[Contracts Offered]])</f>
        <v>0.30232558139534882</v>
      </c>
      <c r="AG1590" s="5">
        <f>IF(SalesData[[#This Row],[Customers Visited]]=0,0,SalesData[[#This Row],[Test Drives]]/SalesData[[#This Row],[Customers Visited]])</f>
        <v>0.47659574468085109</v>
      </c>
      <c r="AH1590" s="5">
        <f>IF(SalesData[[#This Row],[Customers Visited]]=0,0,SalesData[[#This Row],[Contracts Signed]]/SalesData[[#This Row],[Customers Visited]])</f>
        <v>0.11063829787234042</v>
      </c>
      <c r="AI1590" s="6">
        <f>IF(SalesData[[#This Row],[Contracts Signed]]=0,0,SalesData[[#This Row],[Profit(€)]]/SalesData[[#This Row],[Contracts Signed]])</f>
        <v>15284</v>
      </c>
      <c r="AJ1590" s="5" t="str">
        <f>TRIM(CLEAN(SalesData[[#This Row],[Retailer]]))</f>
        <v>Main Auto Hub</v>
      </c>
    </row>
    <row r="1591" spans="1:36" ht="14.25" hidden="1" x14ac:dyDescent="0.2">
      <c r="A1591" t="s">
        <v>2499</v>
      </c>
      <c r="B1591" s="1">
        <v>46054</v>
      </c>
      <c r="C1591" t="s">
        <v>24</v>
      </c>
      <c r="D1591" t="s">
        <v>41</v>
      </c>
      <c r="E1591" t="s">
        <v>42</v>
      </c>
      <c r="F1591" t="s">
        <v>101</v>
      </c>
      <c r="G1591" t="s">
        <v>102</v>
      </c>
      <c r="H1591" t="s">
        <v>103</v>
      </c>
      <c r="I1591" t="s">
        <v>64</v>
      </c>
      <c r="J1591" t="s">
        <v>65</v>
      </c>
      <c r="K1591" t="s">
        <v>32</v>
      </c>
      <c r="L1591" t="s">
        <v>33</v>
      </c>
      <c r="M1591" t="s">
        <v>87</v>
      </c>
      <c r="N1591" t="s">
        <v>35</v>
      </c>
      <c r="O1591" t="s">
        <v>70</v>
      </c>
      <c r="P1591" t="s">
        <v>71</v>
      </c>
      <c r="Q1591" t="s">
        <v>106</v>
      </c>
      <c r="R1591">
        <v>278</v>
      </c>
      <c r="S1591">
        <v>132</v>
      </c>
      <c r="T1591">
        <v>101</v>
      </c>
      <c r="U1591">
        <v>30</v>
      </c>
      <c r="V1591" t="s">
        <v>6591</v>
      </c>
      <c r="W1591">
        <v>56205</v>
      </c>
      <c r="X1591" t="s">
        <v>2561</v>
      </c>
      <c r="Y1591">
        <v>41636</v>
      </c>
      <c r="Z1591">
        <v>1686150</v>
      </c>
      <c r="AA1591">
        <v>437070</v>
      </c>
      <c r="AB1591" t="str">
        <f>(VLOOKUP(SalesData[[#This Row],[Month Number]],Reference!C$5:E$16,2,FALSE))</f>
        <v>Feb</v>
      </c>
      <c r="AC1591">
        <f>MONTH(SalesData[[#This Row],[Date]])</f>
        <v>2</v>
      </c>
      <c r="AD1591">
        <f>Reference!F$4</f>
        <v>2026</v>
      </c>
      <c r="AE1591" t="str">
        <f>IF(OR(SalesData[[#This Row],[Day]]="Saturday",SalesData[[#This Row],[Day]]="Sunday"),"Weekend","Weekday")</f>
        <v>Weekend</v>
      </c>
      <c r="AF1591" s="5">
        <f>IF(SalesData[[#This Row],[Contracts Offered]]=0,0,SalesData[[#This Row],[Contracts Signed]]/SalesData[[#This Row],[Contracts Offered]])</f>
        <v>0.29702970297029702</v>
      </c>
      <c r="AG1591" s="5">
        <f>IF(SalesData[[#This Row],[Customers Visited]]=0,0,SalesData[[#This Row],[Test Drives]]/SalesData[[#This Row],[Customers Visited]])</f>
        <v>0.47482014388489208</v>
      </c>
      <c r="AH1591" s="5">
        <f>IF(SalesData[[#This Row],[Customers Visited]]=0,0,SalesData[[#This Row],[Contracts Signed]]/SalesData[[#This Row],[Customers Visited]])</f>
        <v>0.1079136690647482</v>
      </c>
      <c r="AI1591" s="6">
        <f>IF(SalesData[[#This Row],[Contracts Signed]]=0,0,SalesData[[#This Row],[Profit(€)]]/SalesData[[#This Row],[Contracts Signed]])</f>
        <v>14569</v>
      </c>
      <c r="AJ1591" s="5" t="str">
        <f>TRIM(CLEAN(SalesData[[#This Row],[Retailer]]))</f>
        <v>Ruhr Auto Plaza</v>
      </c>
    </row>
    <row r="1592" spans="1:36" ht="14.25" hidden="1" x14ac:dyDescent="0.2">
      <c r="A1592" t="s">
        <v>2500</v>
      </c>
      <c r="B1592" s="1">
        <v>46073</v>
      </c>
      <c r="C1592" t="s">
        <v>62</v>
      </c>
      <c r="D1592" t="s">
        <v>54</v>
      </c>
      <c r="E1592" t="s">
        <v>26</v>
      </c>
      <c r="F1592" t="s">
        <v>43</v>
      </c>
      <c r="G1592" t="s">
        <v>44</v>
      </c>
      <c r="H1592" t="s">
        <v>45</v>
      </c>
      <c r="I1592" t="s">
        <v>116</v>
      </c>
      <c r="J1592" t="s">
        <v>7026</v>
      </c>
      <c r="K1592" t="s">
        <v>91</v>
      </c>
      <c r="L1592" t="s">
        <v>46</v>
      </c>
      <c r="M1592" t="s">
        <v>68</v>
      </c>
      <c r="N1592" t="s">
        <v>69</v>
      </c>
      <c r="O1592" t="s">
        <v>36</v>
      </c>
      <c r="P1592" t="s">
        <v>49</v>
      </c>
      <c r="Q1592" t="s">
        <v>240</v>
      </c>
      <c r="R1592">
        <v>406</v>
      </c>
      <c r="S1592">
        <v>185</v>
      </c>
      <c r="T1592">
        <v>125</v>
      </c>
      <c r="U1592">
        <v>26</v>
      </c>
      <c r="V1592" t="s">
        <v>2597</v>
      </c>
      <c r="W1592">
        <v>22098</v>
      </c>
      <c r="X1592" t="s">
        <v>1608</v>
      </c>
      <c r="Y1592">
        <v>19783</v>
      </c>
      <c r="Z1592">
        <v>574548</v>
      </c>
      <c r="AA1592">
        <v>60190</v>
      </c>
      <c r="AB1592" t="str">
        <f>(VLOOKUP(SalesData[[#This Row],[Month Number]],Reference!C$5:E$16,2,FALSE))</f>
        <v>Feb</v>
      </c>
      <c r="AC1592">
        <f>MONTH(SalesData[[#This Row],[Date]])</f>
        <v>2</v>
      </c>
      <c r="AD1592">
        <f>Reference!F$4</f>
        <v>2026</v>
      </c>
      <c r="AE1592" t="str">
        <f>IF(OR(SalesData[[#This Row],[Day]]="Saturday",SalesData[[#This Row],[Day]]="Sunday"),"Weekend","Weekday")</f>
        <v>Weekday</v>
      </c>
      <c r="AF1592" s="5">
        <f>IF(SalesData[[#This Row],[Contracts Offered]]=0,0,SalesData[[#This Row],[Contracts Signed]]/SalesData[[#This Row],[Contracts Offered]])</f>
        <v>0.20799999999999999</v>
      </c>
      <c r="AG1592" s="5">
        <f>IF(SalesData[[#This Row],[Customers Visited]]=0,0,SalesData[[#This Row],[Test Drives]]/SalesData[[#This Row],[Customers Visited]])</f>
        <v>0.45566502463054187</v>
      </c>
      <c r="AH1592" s="5">
        <f>IF(SalesData[[#This Row],[Customers Visited]]=0,0,SalesData[[#This Row],[Contracts Signed]]/SalesData[[#This Row],[Customers Visited]])</f>
        <v>6.4039408866995079E-2</v>
      </c>
      <c r="AI1592" s="6">
        <f>IF(SalesData[[#This Row],[Contracts Signed]]=0,0,SalesData[[#This Row],[Profit(€)]]/SalesData[[#This Row],[Contracts Signed]])</f>
        <v>2315</v>
      </c>
      <c r="AJ1592" s="5" t="str">
        <f>TRIM(CLEAN(SalesData[[#This Row],[Retailer]]))</f>
        <v>Saxon Wheels</v>
      </c>
    </row>
    <row r="1593" spans="1:36" ht="14.25" hidden="1" x14ac:dyDescent="0.2">
      <c r="A1593" t="s">
        <v>2501</v>
      </c>
      <c r="B1593" s="1">
        <v>46080</v>
      </c>
      <c r="C1593" t="s">
        <v>53</v>
      </c>
      <c r="D1593" t="s">
        <v>54</v>
      </c>
      <c r="E1593" t="s">
        <v>26</v>
      </c>
      <c r="F1593" t="s">
        <v>127</v>
      </c>
      <c r="G1593" t="s">
        <v>128</v>
      </c>
      <c r="H1593" t="s">
        <v>103</v>
      </c>
      <c r="I1593" t="s">
        <v>64</v>
      </c>
      <c r="J1593" t="s">
        <v>157</v>
      </c>
      <c r="K1593" t="s">
        <v>78</v>
      </c>
      <c r="L1593" t="s">
        <v>33</v>
      </c>
      <c r="M1593" t="s">
        <v>87</v>
      </c>
      <c r="N1593" t="s">
        <v>48</v>
      </c>
      <c r="O1593" t="s">
        <v>70</v>
      </c>
      <c r="P1593" t="s">
        <v>71</v>
      </c>
      <c r="Q1593" t="s">
        <v>167</v>
      </c>
      <c r="R1593">
        <v>271</v>
      </c>
      <c r="S1593">
        <v>131</v>
      </c>
      <c r="T1593">
        <v>97</v>
      </c>
      <c r="U1593">
        <v>32</v>
      </c>
      <c r="V1593" t="s">
        <v>6380</v>
      </c>
      <c r="W1593">
        <v>62300</v>
      </c>
      <c r="X1593" t="s">
        <v>7373</v>
      </c>
      <c r="Y1593">
        <v>47649</v>
      </c>
      <c r="Z1593">
        <v>1993600</v>
      </c>
      <c r="AA1593">
        <v>468832</v>
      </c>
      <c r="AB1593" t="str">
        <f>(VLOOKUP(SalesData[[#This Row],[Month Number]],Reference!C$5:E$16,2,FALSE))</f>
        <v>Feb</v>
      </c>
      <c r="AC1593">
        <f>MONTH(SalesData[[#This Row],[Date]])</f>
        <v>2</v>
      </c>
      <c r="AD1593">
        <f>Reference!F$4</f>
        <v>2026</v>
      </c>
      <c r="AE1593" t="str">
        <f>IF(OR(SalesData[[#This Row],[Day]]="Saturday",SalesData[[#This Row],[Day]]="Sunday"),"Weekend","Weekday")</f>
        <v>Weekday</v>
      </c>
      <c r="AF1593" s="5">
        <f>IF(SalesData[[#This Row],[Contracts Offered]]=0,0,SalesData[[#This Row],[Contracts Signed]]/SalesData[[#This Row],[Contracts Offered]])</f>
        <v>0.32989690721649484</v>
      </c>
      <c r="AG1593" s="5">
        <f>IF(SalesData[[#This Row],[Customers Visited]]=0,0,SalesData[[#This Row],[Test Drives]]/SalesData[[#This Row],[Customers Visited]])</f>
        <v>0.48339483394833949</v>
      </c>
      <c r="AH1593" s="5">
        <f>IF(SalesData[[#This Row],[Customers Visited]]=0,0,SalesData[[#This Row],[Contracts Signed]]/SalesData[[#This Row],[Customers Visited]])</f>
        <v>0.11808118081180811</v>
      </c>
      <c r="AI1593" s="6">
        <f>IF(SalesData[[#This Row],[Contracts Signed]]=0,0,SalesData[[#This Row],[Profit(€)]]/SalesData[[#This Row],[Contracts Signed]])</f>
        <v>14651</v>
      </c>
      <c r="AJ1593" s="5" t="str">
        <f>TRIM(CLEAN(SalesData[[#This Row],[Retailer]]))</f>
        <v>Rhein Auto Group</v>
      </c>
    </row>
    <row r="1594" spans="1:36" ht="14.25" hidden="1" x14ac:dyDescent="0.2">
      <c r="A1594" t="s">
        <v>2502</v>
      </c>
      <c r="B1594" s="1">
        <v>46068</v>
      </c>
      <c r="C1594" t="s">
        <v>62</v>
      </c>
      <c r="D1594" t="s">
        <v>41</v>
      </c>
      <c r="E1594" t="s">
        <v>42</v>
      </c>
      <c r="F1594" t="s">
        <v>127</v>
      </c>
      <c r="G1594" t="s">
        <v>128</v>
      </c>
      <c r="H1594" t="s">
        <v>103</v>
      </c>
      <c r="I1594" t="s">
        <v>116</v>
      </c>
      <c r="J1594" t="s">
        <v>132</v>
      </c>
      <c r="K1594" t="s">
        <v>78</v>
      </c>
      <c r="L1594" t="s">
        <v>46</v>
      </c>
      <c r="M1594" t="s">
        <v>47</v>
      </c>
      <c r="N1594" t="s">
        <v>35</v>
      </c>
      <c r="O1594" t="s">
        <v>70</v>
      </c>
      <c r="P1594" t="s">
        <v>71</v>
      </c>
      <c r="Q1594" t="s">
        <v>172</v>
      </c>
      <c r="R1594">
        <v>381</v>
      </c>
      <c r="S1594">
        <v>204</v>
      </c>
      <c r="T1594">
        <v>141</v>
      </c>
      <c r="U1594">
        <v>31</v>
      </c>
      <c r="V1594" t="s">
        <v>2827</v>
      </c>
      <c r="W1594">
        <v>25192</v>
      </c>
      <c r="X1594" t="s">
        <v>741</v>
      </c>
      <c r="Y1594">
        <v>22440</v>
      </c>
      <c r="Z1594">
        <v>780952</v>
      </c>
      <c r="AA1594">
        <v>85312</v>
      </c>
      <c r="AB1594" t="str">
        <f>(VLOOKUP(SalesData[[#This Row],[Month Number]],Reference!C$5:E$16,2,FALSE))</f>
        <v>Feb</v>
      </c>
      <c r="AC1594">
        <f>MONTH(SalesData[[#This Row],[Date]])</f>
        <v>2</v>
      </c>
      <c r="AD1594">
        <f>Reference!F$4</f>
        <v>2026</v>
      </c>
      <c r="AE1594" t="str">
        <f>IF(OR(SalesData[[#This Row],[Day]]="Saturday",SalesData[[#This Row],[Day]]="Sunday"),"Weekend","Weekday")</f>
        <v>Weekend</v>
      </c>
      <c r="AF1594" s="5">
        <f>IF(SalesData[[#This Row],[Contracts Offered]]=0,0,SalesData[[#This Row],[Contracts Signed]]/SalesData[[#This Row],[Contracts Offered]])</f>
        <v>0.21985815602836881</v>
      </c>
      <c r="AG1594" s="5">
        <f>IF(SalesData[[#This Row],[Customers Visited]]=0,0,SalesData[[#This Row],[Test Drives]]/SalesData[[#This Row],[Customers Visited]])</f>
        <v>0.53543307086614178</v>
      </c>
      <c r="AH1594" s="5">
        <f>IF(SalesData[[#This Row],[Customers Visited]]=0,0,SalesData[[#This Row],[Contracts Signed]]/SalesData[[#This Row],[Customers Visited]])</f>
        <v>8.1364829396325458E-2</v>
      </c>
      <c r="AI1594" s="6">
        <f>IF(SalesData[[#This Row],[Contracts Signed]]=0,0,SalesData[[#This Row],[Profit(€)]]/SalesData[[#This Row],[Contracts Signed]])</f>
        <v>2752</v>
      </c>
      <c r="AJ1594" s="5" t="str">
        <f>TRIM(CLEAN(SalesData[[#This Row],[Retailer]]))</f>
        <v>Rhein Auto Group</v>
      </c>
    </row>
    <row r="1595" spans="1:36" ht="14.25" hidden="1" x14ac:dyDescent="0.2">
      <c r="A1595" t="s">
        <v>2504</v>
      </c>
      <c r="B1595" s="1">
        <v>46074</v>
      </c>
      <c r="C1595" t="s">
        <v>62</v>
      </c>
      <c r="D1595" t="s">
        <v>151</v>
      </c>
      <c r="E1595" t="s">
        <v>42</v>
      </c>
      <c r="F1595" t="s">
        <v>27</v>
      </c>
      <c r="G1595" t="s">
        <v>28</v>
      </c>
      <c r="H1595" t="s">
        <v>29</v>
      </c>
      <c r="I1595" t="s">
        <v>104</v>
      </c>
      <c r="J1595" t="s">
        <v>140</v>
      </c>
      <c r="K1595" t="s">
        <v>32</v>
      </c>
      <c r="L1595" t="s">
        <v>46</v>
      </c>
      <c r="M1595" t="s">
        <v>47</v>
      </c>
      <c r="N1595" t="s">
        <v>48</v>
      </c>
      <c r="O1595" t="s">
        <v>70</v>
      </c>
      <c r="P1595" t="s">
        <v>71</v>
      </c>
      <c r="Q1595" t="s">
        <v>172</v>
      </c>
      <c r="R1595">
        <v>287</v>
      </c>
      <c r="S1595">
        <v>117</v>
      </c>
      <c r="T1595">
        <v>83</v>
      </c>
      <c r="U1595">
        <v>16</v>
      </c>
      <c r="V1595" t="s">
        <v>1608</v>
      </c>
      <c r="W1595">
        <v>26668</v>
      </c>
      <c r="X1595" t="s">
        <v>2751</v>
      </c>
      <c r="Y1595">
        <v>23016</v>
      </c>
      <c r="Z1595">
        <v>426688</v>
      </c>
      <c r="AA1595">
        <v>58432</v>
      </c>
      <c r="AB1595" t="str">
        <f>(VLOOKUP(SalesData[[#This Row],[Month Number]],Reference!C$5:E$16,2,FALSE))</f>
        <v>Feb</v>
      </c>
      <c r="AC1595">
        <f>MONTH(SalesData[[#This Row],[Date]])</f>
        <v>2</v>
      </c>
      <c r="AD1595">
        <f>Reference!F$4</f>
        <v>2026</v>
      </c>
      <c r="AE1595" t="str">
        <f>IF(OR(SalesData[[#This Row],[Day]]="Saturday",SalesData[[#This Row],[Day]]="Sunday"),"Weekend","Weekday")</f>
        <v>Weekend</v>
      </c>
      <c r="AF1595" s="5">
        <f>IF(SalesData[[#This Row],[Contracts Offered]]=0,0,SalesData[[#This Row],[Contracts Signed]]/SalesData[[#This Row],[Contracts Offered]])</f>
        <v>0.19277108433734941</v>
      </c>
      <c r="AG1595" s="5">
        <f>IF(SalesData[[#This Row],[Customers Visited]]=0,0,SalesData[[#This Row],[Test Drives]]/SalesData[[#This Row],[Customers Visited]])</f>
        <v>0.40766550522648082</v>
      </c>
      <c r="AH1595" s="5">
        <f>IF(SalesData[[#This Row],[Customers Visited]]=0,0,SalesData[[#This Row],[Contracts Signed]]/SalesData[[#This Row],[Customers Visited]])</f>
        <v>5.5749128919860627E-2</v>
      </c>
      <c r="AI1595" s="6">
        <f>IF(SalesData[[#This Row],[Contracts Signed]]=0,0,SalesData[[#This Row],[Profit(€)]]/SalesData[[#This Row],[Contracts Signed]])</f>
        <v>3652</v>
      </c>
      <c r="AJ1595" s="5" t="str">
        <f>TRIM(CLEAN(SalesData[[#This Row],[Retailer]]))</f>
        <v>Main Auto Hub</v>
      </c>
    </row>
    <row r="1596" spans="1:36" ht="14.25" hidden="1" x14ac:dyDescent="0.2">
      <c r="A1596" t="s">
        <v>2506</v>
      </c>
      <c r="B1596" s="1">
        <v>46065</v>
      </c>
      <c r="C1596" t="s">
        <v>121</v>
      </c>
      <c r="D1596" t="s">
        <v>100</v>
      </c>
      <c r="E1596" t="s">
        <v>26</v>
      </c>
      <c r="F1596" t="s">
        <v>114</v>
      </c>
      <c r="G1596" t="s">
        <v>115</v>
      </c>
      <c r="H1596" t="s">
        <v>115</v>
      </c>
      <c r="I1596" t="s">
        <v>116</v>
      </c>
      <c r="J1596" t="s">
        <v>117</v>
      </c>
      <c r="K1596" t="s">
        <v>78</v>
      </c>
      <c r="L1596" t="s">
        <v>67</v>
      </c>
      <c r="M1596" t="s">
        <v>34</v>
      </c>
      <c r="N1596" t="s">
        <v>69</v>
      </c>
      <c r="O1596" t="s">
        <v>70</v>
      </c>
      <c r="P1596" t="s">
        <v>58</v>
      </c>
      <c r="Q1596" t="s">
        <v>167</v>
      </c>
      <c r="R1596">
        <v>290</v>
      </c>
      <c r="S1596">
        <v>142</v>
      </c>
      <c r="T1596">
        <v>93</v>
      </c>
      <c r="U1596">
        <v>26</v>
      </c>
      <c r="V1596" t="s">
        <v>611</v>
      </c>
      <c r="W1596">
        <v>24253</v>
      </c>
      <c r="X1596" t="s">
        <v>4553</v>
      </c>
      <c r="Y1596">
        <v>21618</v>
      </c>
      <c r="Z1596">
        <v>630578</v>
      </c>
      <c r="AA1596">
        <v>68510</v>
      </c>
      <c r="AB1596" t="str">
        <f>(VLOOKUP(SalesData[[#This Row],[Month Number]],Reference!C$5:E$16,2,FALSE))</f>
        <v>Feb</v>
      </c>
      <c r="AC1596">
        <f>MONTH(SalesData[[#This Row],[Date]])</f>
        <v>2</v>
      </c>
      <c r="AD1596">
        <f>Reference!F$4</f>
        <v>2026</v>
      </c>
      <c r="AE1596" t="str">
        <f>IF(OR(SalesData[[#This Row],[Day]]="Saturday",SalesData[[#This Row],[Day]]="Sunday"),"Weekend","Weekday")</f>
        <v>Weekday</v>
      </c>
      <c r="AF1596" s="5">
        <f>IF(SalesData[[#This Row],[Contracts Offered]]=0,0,SalesData[[#This Row],[Contracts Signed]]/SalesData[[#This Row],[Contracts Offered]])</f>
        <v>0.27956989247311825</v>
      </c>
      <c r="AG1596" s="5">
        <f>IF(SalesData[[#This Row],[Customers Visited]]=0,0,SalesData[[#This Row],[Test Drives]]/SalesData[[#This Row],[Customers Visited]])</f>
        <v>0.48965517241379308</v>
      </c>
      <c r="AH1596" s="5">
        <f>IF(SalesData[[#This Row],[Customers Visited]]=0,0,SalesData[[#This Row],[Contracts Signed]]/SalesData[[#This Row],[Customers Visited]])</f>
        <v>8.9655172413793102E-2</v>
      </c>
      <c r="AI1596" s="6">
        <f>IF(SalesData[[#This Row],[Contracts Signed]]=0,0,SalesData[[#This Row],[Profit(€)]]/SalesData[[#This Row],[Contracts Signed]])</f>
        <v>2635</v>
      </c>
      <c r="AJ1596" s="5" t="str">
        <f>TRIM(CLEAN(SalesData[[#This Row],[Retailer]]))</f>
        <v>Elbe Drive</v>
      </c>
    </row>
    <row r="1597" spans="1:36" ht="14.25" hidden="1" x14ac:dyDescent="0.2">
      <c r="A1597" t="s">
        <v>2507</v>
      </c>
      <c r="B1597" s="1">
        <v>46081</v>
      </c>
      <c r="C1597" t="s">
        <v>53</v>
      </c>
      <c r="D1597" t="s">
        <v>151</v>
      </c>
      <c r="E1597" t="s">
        <v>42</v>
      </c>
      <c r="F1597" t="s">
        <v>27</v>
      </c>
      <c r="G1597" t="s">
        <v>28</v>
      </c>
      <c r="H1597" t="s">
        <v>29</v>
      </c>
      <c r="I1597" t="s">
        <v>116</v>
      </c>
      <c r="J1597" t="s">
        <v>117</v>
      </c>
      <c r="K1597" t="s">
        <v>66</v>
      </c>
      <c r="L1597" t="s">
        <v>67</v>
      </c>
      <c r="M1597" t="s">
        <v>47</v>
      </c>
      <c r="N1597" t="s">
        <v>35</v>
      </c>
      <c r="O1597" t="s">
        <v>70</v>
      </c>
      <c r="P1597" t="s">
        <v>37</v>
      </c>
      <c r="Q1597" t="s">
        <v>240</v>
      </c>
      <c r="R1597">
        <v>365</v>
      </c>
      <c r="S1597">
        <v>180</v>
      </c>
      <c r="T1597">
        <v>114</v>
      </c>
      <c r="U1597">
        <v>27</v>
      </c>
      <c r="V1597" t="s">
        <v>597</v>
      </c>
      <c r="W1597">
        <v>26033</v>
      </c>
      <c r="X1597" t="s">
        <v>7125</v>
      </c>
      <c r="Y1597">
        <v>23419</v>
      </c>
      <c r="Z1597">
        <v>702891</v>
      </c>
      <c r="AA1597">
        <v>70578</v>
      </c>
      <c r="AB1597" t="str">
        <f>(VLOOKUP(SalesData[[#This Row],[Month Number]],Reference!C$5:E$16,2,FALSE))</f>
        <v>Feb</v>
      </c>
      <c r="AC1597">
        <f>MONTH(SalesData[[#This Row],[Date]])</f>
        <v>2</v>
      </c>
      <c r="AD1597">
        <f>Reference!F$4</f>
        <v>2026</v>
      </c>
      <c r="AE1597" t="str">
        <f>IF(OR(SalesData[[#This Row],[Day]]="Saturday",SalesData[[#This Row],[Day]]="Sunday"),"Weekend","Weekday")</f>
        <v>Weekend</v>
      </c>
      <c r="AF1597" s="5">
        <f>IF(SalesData[[#This Row],[Contracts Offered]]=0,0,SalesData[[#This Row],[Contracts Signed]]/SalesData[[#This Row],[Contracts Offered]])</f>
        <v>0.23684210526315788</v>
      </c>
      <c r="AG1597" s="5">
        <f>IF(SalesData[[#This Row],[Customers Visited]]=0,0,SalesData[[#This Row],[Test Drives]]/SalesData[[#This Row],[Customers Visited]])</f>
        <v>0.49315068493150682</v>
      </c>
      <c r="AH1597" s="5">
        <f>IF(SalesData[[#This Row],[Customers Visited]]=0,0,SalesData[[#This Row],[Contracts Signed]]/SalesData[[#This Row],[Customers Visited]])</f>
        <v>7.3972602739726029E-2</v>
      </c>
      <c r="AI1597" s="6">
        <f>IF(SalesData[[#This Row],[Contracts Signed]]=0,0,SalesData[[#This Row],[Profit(€)]]/SalesData[[#This Row],[Contracts Signed]])</f>
        <v>2614</v>
      </c>
      <c r="AJ1597" s="5" t="str">
        <f>TRIM(CLEAN(SalesData[[#This Row],[Retailer]]))</f>
        <v>Main Auto Hub</v>
      </c>
    </row>
    <row r="1598" spans="1:36" ht="14.25" hidden="1" x14ac:dyDescent="0.2">
      <c r="A1598" t="s">
        <v>2508</v>
      </c>
      <c r="B1598" s="1">
        <v>46054</v>
      </c>
      <c r="C1598" t="s">
        <v>24</v>
      </c>
      <c r="D1598" t="s">
        <v>41</v>
      </c>
      <c r="E1598" t="s">
        <v>42</v>
      </c>
      <c r="F1598" t="s">
        <v>94</v>
      </c>
      <c r="G1598" t="s">
        <v>95</v>
      </c>
      <c r="H1598" t="s">
        <v>96</v>
      </c>
      <c r="I1598" t="s">
        <v>56</v>
      </c>
      <c r="J1598" t="s">
        <v>137</v>
      </c>
      <c r="K1598" t="s">
        <v>78</v>
      </c>
      <c r="L1598" t="s">
        <v>46</v>
      </c>
      <c r="M1598" t="s">
        <v>47</v>
      </c>
      <c r="N1598" t="s">
        <v>35</v>
      </c>
      <c r="O1598" t="s">
        <v>70</v>
      </c>
      <c r="P1598" t="s">
        <v>37</v>
      </c>
      <c r="Q1598" t="s">
        <v>135</v>
      </c>
      <c r="R1598">
        <v>281</v>
      </c>
      <c r="S1598">
        <v>163</v>
      </c>
      <c r="T1598">
        <v>111</v>
      </c>
      <c r="U1598">
        <v>40</v>
      </c>
      <c r="V1598" t="s">
        <v>6939</v>
      </c>
      <c r="W1598">
        <v>54001</v>
      </c>
      <c r="X1598" t="s">
        <v>7407</v>
      </c>
      <c r="Y1598">
        <v>41092</v>
      </c>
      <c r="Z1598">
        <v>2160040</v>
      </c>
      <c r="AA1598">
        <v>516360</v>
      </c>
      <c r="AB1598" t="str">
        <f>(VLOOKUP(SalesData[[#This Row],[Month Number]],Reference!C$5:E$16,2,FALSE))</f>
        <v>Feb</v>
      </c>
      <c r="AC1598">
        <f>MONTH(SalesData[[#This Row],[Date]])</f>
        <v>2</v>
      </c>
      <c r="AD1598">
        <f>Reference!F$4</f>
        <v>2026</v>
      </c>
      <c r="AE1598" t="str">
        <f>IF(OR(SalesData[[#This Row],[Day]]="Saturday",SalesData[[#This Row],[Day]]="Sunday"),"Weekend","Weekday")</f>
        <v>Weekend</v>
      </c>
      <c r="AF1598" s="5">
        <f>IF(SalesData[[#This Row],[Contracts Offered]]=0,0,SalesData[[#This Row],[Contracts Signed]]/SalesData[[#This Row],[Contracts Offered]])</f>
        <v>0.36036036036036034</v>
      </c>
      <c r="AG1598" s="5">
        <f>IF(SalesData[[#This Row],[Customers Visited]]=0,0,SalesData[[#This Row],[Test Drives]]/SalesData[[#This Row],[Customers Visited]])</f>
        <v>0.58007117437722422</v>
      </c>
      <c r="AH1598" s="5">
        <f>IF(SalesData[[#This Row],[Customers Visited]]=0,0,SalesData[[#This Row],[Contracts Signed]]/SalesData[[#This Row],[Customers Visited]])</f>
        <v>0.14234875444839859</v>
      </c>
      <c r="AI1598" s="6">
        <f>IF(SalesData[[#This Row],[Contracts Signed]]=0,0,SalesData[[#This Row],[Profit(€)]]/SalesData[[#This Row],[Contracts Signed]])</f>
        <v>12909</v>
      </c>
      <c r="AJ1598" s="5" t="str">
        <f>TRIM(CLEAN(SalesData[[#This Row],[Retailer]]))</f>
        <v>Bavaria Motors</v>
      </c>
    </row>
    <row r="1599" spans="1:36" ht="14.25" hidden="1" x14ac:dyDescent="0.2">
      <c r="A1599" t="s">
        <v>2510</v>
      </c>
      <c r="B1599" s="1">
        <v>46071</v>
      </c>
      <c r="C1599" t="s">
        <v>62</v>
      </c>
      <c r="D1599" t="s">
        <v>82</v>
      </c>
      <c r="E1599" t="s">
        <v>26</v>
      </c>
      <c r="F1599" t="s">
        <v>83</v>
      </c>
      <c r="G1599" t="s">
        <v>84</v>
      </c>
      <c r="H1599" t="s">
        <v>85</v>
      </c>
      <c r="I1599" t="s">
        <v>64</v>
      </c>
      <c r="J1599" t="s">
        <v>7029</v>
      </c>
      <c r="K1599" t="s">
        <v>78</v>
      </c>
      <c r="L1599" t="s">
        <v>33</v>
      </c>
      <c r="M1599" t="s">
        <v>34</v>
      </c>
      <c r="N1599" t="s">
        <v>48</v>
      </c>
      <c r="O1599" t="s">
        <v>36</v>
      </c>
      <c r="P1599" t="s">
        <v>71</v>
      </c>
      <c r="Q1599" t="s">
        <v>106</v>
      </c>
      <c r="R1599">
        <v>192</v>
      </c>
      <c r="S1599">
        <v>106</v>
      </c>
      <c r="T1599">
        <v>80</v>
      </c>
      <c r="U1599">
        <v>26</v>
      </c>
      <c r="V1599" t="s">
        <v>6620</v>
      </c>
      <c r="W1599">
        <v>66996</v>
      </c>
      <c r="X1599" t="s">
        <v>7348</v>
      </c>
      <c r="Y1599">
        <v>48283</v>
      </c>
      <c r="Z1599">
        <v>1741896</v>
      </c>
      <c r="AA1599">
        <v>486538</v>
      </c>
      <c r="AB1599" t="str">
        <f>(VLOOKUP(SalesData[[#This Row],[Month Number]],Reference!C$5:E$16,2,FALSE))</f>
        <v>Feb</v>
      </c>
      <c r="AC1599">
        <f>MONTH(SalesData[[#This Row],[Date]])</f>
        <v>2</v>
      </c>
      <c r="AD1599">
        <f>Reference!F$4</f>
        <v>2026</v>
      </c>
      <c r="AE1599" t="str">
        <f>IF(OR(SalesData[[#This Row],[Day]]="Saturday",SalesData[[#This Row],[Day]]="Sunday"),"Weekend","Weekday")</f>
        <v>Weekday</v>
      </c>
      <c r="AF1599" s="5">
        <f>IF(SalesData[[#This Row],[Contracts Offered]]=0,0,SalesData[[#This Row],[Contracts Signed]]/SalesData[[#This Row],[Contracts Offered]])</f>
        <v>0.32500000000000001</v>
      </c>
      <c r="AG1599" s="5">
        <f>IF(SalesData[[#This Row],[Customers Visited]]=0,0,SalesData[[#This Row],[Test Drives]]/SalesData[[#This Row],[Customers Visited]])</f>
        <v>0.55208333333333337</v>
      </c>
      <c r="AH1599" s="5">
        <f>IF(SalesData[[#This Row],[Customers Visited]]=0,0,SalesData[[#This Row],[Contracts Signed]]/SalesData[[#This Row],[Customers Visited]])</f>
        <v>0.13541666666666666</v>
      </c>
      <c r="AI1599" s="6">
        <f>IF(SalesData[[#This Row],[Contracts Signed]]=0,0,SalesData[[#This Row],[Profit(€)]]/SalesData[[#This Row],[Contracts Signed]])</f>
        <v>18713</v>
      </c>
      <c r="AJ1599" s="5" t="str">
        <f>TRIM(CLEAN(SalesData[[#This Row],[Retailer]]))</f>
        <v>Hannover Cars</v>
      </c>
    </row>
    <row r="1600" spans="1:36" ht="14.25" hidden="1" x14ac:dyDescent="0.2">
      <c r="A1600" t="s">
        <v>2511</v>
      </c>
      <c r="B1600" s="1">
        <v>46077</v>
      </c>
      <c r="C1600" t="s">
        <v>53</v>
      </c>
      <c r="D1600" t="s">
        <v>63</v>
      </c>
      <c r="E1600" t="s">
        <v>26</v>
      </c>
      <c r="F1600" t="s">
        <v>43</v>
      </c>
      <c r="G1600" t="s">
        <v>44</v>
      </c>
      <c r="H1600" t="s">
        <v>45</v>
      </c>
      <c r="I1600" t="s">
        <v>104</v>
      </c>
      <c r="J1600" t="s">
        <v>143</v>
      </c>
      <c r="K1600" t="s">
        <v>91</v>
      </c>
      <c r="L1600" t="s">
        <v>67</v>
      </c>
      <c r="M1600" t="s">
        <v>68</v>
      </c>
      <c r="N1600" t="s">
        <v>48</v>
      </c>
      <c r="O1600" t="s">
        <v>36</v>
      </c>
      <c r="P1600" t="s">
        <v>37</v>
      </c>
      <c r="Q1600" t="s">
        <v>152</v>
      </c>
      <c r="R1600">
        <v>440</v>
      </c>
      <c r="S1600">
        <v>231</v>
      </c>
      <c r="T1600">
        <v>148</v>
      </c>
      <c r="U1600">
        <v>28</v>
      </c>
      <c r="V1600" t="s">
        <v>173</v>
      </c>
      <c r="W1600">
        <v>32474</v>
      </c>
      <c r="X1600" t="s">
        <v>1146</v>
      </c>
      <c r="Y1600">
        <v>29422</v>
      </c>
      <c r="Z1600">
        <v>909272</v>
      </c>
      <c r="AA1600">
        <v>85456</v>
      </c>
      <c r="AB1600" t="str">
        <f>(VLOOKUP(SalesData[[#This Row],[Month Number]],Reference!C$5:E$16,2,FALSE))</f>
        <v>Feb</v>
      </c>
      <c r="AC1600">
        <f>MONTH(SalesData[[#This Row],[Date]])</f>
        <v>2</v>
      </c>
      <c r="AD1600">
        <f>Reference!F$4</f>
        <v>2026</v>
      </c>
      <c r="AE1600" t="str">
        <f>IF(OR(SalesData[[#This Row],[Day]]="Saturday",SalesData[[#This Row],[Day]]="Sunday"),"Weekend","Weekday")</f>
        <v>Weekday</v>
      </c>
      <c r="AF1600" s="5">
        <f>IF(SalesData[[#This Row],[Contracts Offered]]=0,0,SalesData[[#This Row],[Contracts Signed]]/SalesData[[#This Row],[Contracts Offered]])</f>
        <v>0.1891891891891892</v>
      </c>
      <c r="AG1600" s="5">
        <f>IF(SalesData[[#This Row],[Customers Visited]]=0,0,SalesData[[#This Row],[Test Drives]]/SalesData[[#This Row],[Customers Visited]])</f>
        <v>0.52500000000000002</v>
      </c>
      <c r="AH1600" s="5">
        <f>IF(SalesData[[#This Row],[Customers Visited]]=0,0,SalesData[[#This Row],[Contracts Signed]]/SalesData[[#This Row],[Customers Visited]])</f>
        <v>6.363636363636363E-2</v>
      </c>
      <c r="AI1600" s="6">
        <f>IF(SalesData[[#This Row],[Contracts Signed]]=0,0,SalesData[[#This Row],[Profit(€)]]/SalesData[[#This Row],[Contracts Signed]])</f>
        <v>3052</v>
      </c>
      <c r="AJ1600" s="5" t="str">
        <f>TRIM(CLEAN(SalesData[[#This Row],[Retailer]]))</f>
        <v>Saxon Wheels</v>
      </c>
    </row>
    <row r="1601" spans="1:36" ht="14.25" x14ac:dyDescent="0.2">
      <c r="A1601" t="s">
        <v>2512</v>
      </c>
      <c r="B1601" s="1">
        <v>46055</v>
      </c>
      <c r="C1601" t="s">
        <v>24</v>
      </c>
      <c r="D1601" t="s">
        <v>25</v>
      </c>
      <c r="E1601" t="s">
        <v>26</v>
      </c>
      <c r="F1601" t="s">
        <v>74</v>
      </c>
      <c r="G1601" t="s">
        <v>75</v>
      </c>
      <c r="H1601" t="s">
        <v>76</v>
      </c>
      <c r="I1601" t="s">
        <v>30</v>
      </c>
      <c r="J1601" t="s">
        <v>7075</v>
      </c>
      <c r="K1601" t="s">
        <v>78</v>
      </c>
      <c r="L1601" t="s">
        <v>33</v>
      </c>
      <c r="M1601" t="s">
        <v>47</v>
      </c>
      <c r="N1601" t="s">
        <v>35</v>
      </c>
      <c r="O1601" t="s">
        <v>70</v>
      </c>
      <c r="P1601" t="s">
        <v>58</v>
      </c>
      <c r="Q1601" t="s">
        <v>118</v>
      </c>
      <c r="R1601">
        <v>247</v>
      </c>
      <c r="S1601">
        <v>145</v>
      </c>
      <c r="T1601">
        <v>99</v>
      </c>
      <c r="U1601">
        <v>45</v>
      </c>
      <c r="V1601" t="s">
        <v>7304</v>
      </c>
      <c r="W1601">
        <v>51481</v>
      </c>
      <c r="X1601" t="s">
        <v>7346</v>
      </c>
      <c r="Y1601">
        <v>36482</v>
      </c>
      <c r="Z1601">
        <v>2316645</v>
      </c>
      <c r="AA1601">
        <v>674955</v>
      </c>
      <c r="AB1601" t="str">
        <f>(VLOOKUP(SalesData[[#This Row],[Month Number]],Reference!C$5:E$16,2,FALSE))</f>
        <v>Feb</v>
      </c>
      <c r="AC1601">
        <f>MONTH(SalesData[[#This Row],[Date]])</f>
        <v>2</v>
      </c>
      <c r="AD1601">
        <f>Reference!F$4</f>
        <v>2026</v>
      </c>
      <c r="AE1601" t="str">
        <f>IF(OR(SalesData[[#This Row],[Day]]="Saturday",SalesData[[#This Row],[Day]]="Sunday"),"Weekend","Weekday")</f>
        <v>Weekday</v>
      </c>
      <c r="AF1601" s="5">
        <f>IF(SalesData[[#This Row],[Contracts Offered]]=0,0,SalesData[[#This Row],[Contracts Signed]]/SalesData[[#This Row],[Contracts Offered]])</f>
        <v>0.45454545454545453</v>
      </c>
      <c r="AG1601" s="5">
        <f>IF(SalesData[[#This Row],[Customers Visited]]=0,0,SalesData[[#This Row],[Test Drives]]/SalesData[[#This Row],[Customers Visited]])</f>
        <v>0.58704453441295545</v>
      </c>
      <c r="AH1601" s="5">
        <f>IF(SalesData[[#This Row],[Customers Visited]]=0,0,SalesData[[#This Row],[Contracts Signed]]/SalesData[[#This Row],[Customers Visited]])</f>
        <v>0.18218623481781376</v>
      </c>
      <c r="AI1601" s="6">
        <f>IF(SalesData[[#This Row],[Contracts Signed]]=0,0,SalesData[[#This Row],[Profit(€)]]/SalesData[[#This Row],[Contracts Signed]])</f>
        <v>14999</v>
      </c>
      <c r="AJ1601" s="5" t="str">
        <f>TRIM(CLEAN(SalesData[[#This Row],[Retailer]]))</f>
        <v>Stuttgart Auto Center</v>
      </c>
    </row>
    <row r="1602" spans="1:36" ht="14.25" hidden="1" x14ac:dyDescent="0.2">
      <c r="A1602" t="s">
        <v>2513</v>
      </c>
      <c r="B1602" s="1">
        <v>46054</v>
      </c>
      <c r="C1602" t="s">
        <v>24</v>
      </c>
      <c r="D1602" t="s">
        <v>41</v>
      </c>
      <c r="E1602" t="s">
        <v>42</v>
      </c>
      <c r="F1602" t="s">
        <v>83</v>
      </c>
      <c r="G1602" t="s">
        <v>84</v>
      </c>
      <c r="H1602" t="s">
        <v>85</v>
      </c>
      <c r="I1602" t="s">
        <v>64</v>
      </c>
      <c r="J1602" t="s">
        <v>65</v>
      </c>
      <c r="K1602" t="s">
        <v>91</v>
      </c>
      <c r="L1602" t="s">
        <v>33</v>
      </c>
      <c r="M1602" t="s">
        <v>87</v>
      </c>
      <c r="N1602" t="s">
        <v>48</v>
      </c>
      <c r="O1602" t="s">
        <v>36</v>
      </c>
      <c r="P1602" t="s">
        <v>71</v>
      </c>
      <c r="Q1602" t="s">
        <v>118</v>
      </c>
      <c r="R1602">
        <v>263</v>
      </c>
      <c r="S1602">
        <v>144</v>
      </c>
      <c r="T1602">
        <v>113</v>
      </c>
      <c r="U1602">
        <v>35</v>
      </c>
      <c r="V1602" t="s">
        <v>6495</v>
      </c>
      <c r="W1602">
        <v>58643</v>
      </c>
      <c r="X1602" t="s">
        <v>7132</v>
      </c>
      <c r="Y1602">
        <v>42575</v>
      </c>
      <c r="Z1602">
        <v>2052505</v>
      </c>
      <c r="AA1602">
        <v>562380</v>
      </c>
      <c r="AB1602" t="str">
        <f>(VLOOKUP(SalesData[[#This Row],[Month Number]],Reference!C$5:E$16,2,FALSE))</f>
        <v>Feb</v>
      </c>
      <c r="AC1602">
        <f>MONTH(SalesData[[#This Row],[Date]])</f>
        <v>2</v>
      </c>
      <c r="AD1602">
        <f>Reference!F$4</f>
        <v>2026</v>
      </c>
      <c r="AE1602" t="str">
        <f>IF(OR(SalesData[[#This Row],[Day]]="Saturday",SalesData[[#This Row],[Day]]="Sunday"),"Weekend","Weekday")</f>
        <v>Weekend</v>
      </c>
      <c r="AF1602" s="5">
        <f>IF(SalesData[[#This Row],[Contracts Offered]]=0,0,SalesData[[#This Row],[Contracts Signed]]/SalesData[[#This Row],[Contracts Offered]])</f>
        <v>0.30973451327433627</v>
      </c>
      <c r="AG1602" s="5">
        <f>IF(SalesData[[#This Row],[Customers Visited]]=0,0,SalesData[[#This Row],[Test Drives]]/SalesData[[#This Row],[Customers Visited]])</f>
        <v>0.54752851711026618</v>
      </c>
      <c r="AH1602" s="5">
        <f>IF(SalesData[[#This Row],[Customers Visited]]=0,0,SalesData[[#This Row],[Contracts Signed]]/SalesData[[#This Row],[Customers Visited]])</f>
        <v>0.13307984790874525</v>
      </c>
      <c r="AI1602" s="6">
        <f>IF(SalesData[[#This Row],[Contracts Signed]]=0,0,SalesData[[#This Row],[Profit(€)]]/SalesData[[#This Row],[Contracts Signed]])</f>
        <v>16068</v>
      </c>
      <c r="AJ1602" s="5" t="str">
        <f>TRIM(CLEAN(SalesData[[#This Row],[Retailer]]))</f>
        <v>Hannover Cars</v>
      </c>
    </row>
    <row r="1603" spans="1:36" ht="14.25" hidden="1" x14ac:dyDescent="0.2">
      <c r="A1603" t="s">
        <v>2514</v>
      </c>
      <c r="B1603" s="1">
        <v>46070</v>
      </c>
      <c r="C1603" t="s">
        <v>62</v>
      </c>
      <c r="D1603" t="s">
        <v>63</v>
      </c>
      <c r="E1603" t="s">
        <v>26</v>
      </c>
      <c r="F1603" t="s">
        <v>114</v>
      </c>
      <c r="G1603" t="s">
        <v>115</v>
      </c>
      <c r="H1603" t="s">
        <v>115</v>
      </c>
      <c r="I1603" t="s">
        <v>116</v>
      </c>
      <c r="J1603" t="s">
        <v>132</v>
      </c>
      <c r="K1603" t="s">
        <v>66</v>
      </c>
      <c r="L1603" t="s">
        <v>46</v>
      </c>
      <c r="M1603" t="s">
        <v>87</v>
      </c>
      <c r="N1603" t="s">
        <v>69</v>
      </c>
      <c r="O1603" t="s">
        <v>36</v>
      </c>
      <c r="P1603" t="s">
        <v>71</v>
      </c>
      <c r="Q1603" t="s">
        <v>59</v>
      </c>
      <c r="R1603">
        <v>224</v>
      </c>
      <c r="S1603">
        <v>121</v>
      </c>
      <c r="T1603">
        <v>71</v>
      </c>
      <c r="U1603">
        <v>22</v>
      </c>
      <c r="V1603" t="s">
        <v>752</v>
      </c>
      <c r="W1603">
        <v>26785</v>
      </c>
      <c r="X1603" t="s">
        <v>7405</v>
      </c>
      <c r="Y1603">
        <v>24569</v>
      </c>
      <c r="Z1603">
        <v>589270</v>
      </c>
      <c r="AA1603">
        <v>48752</v>
      </c>
      <c r="AB1603" t="str">
        <f>(VLOOKUP(SalesData[[#This Row],[Month Number]],Reference!C$5:E$16,2,FALSE))</f>
        <v>Feb</v>
      </c>
      <c r="AC1603">
        <f>MONTH(SalesData[[#This Row],[Date]])</f>
        <v>2</v>
      </c>
      <c r="AD1603">
        <f>Reference!F$4</f>
        <v>2026</v>
      </c>
      <c r="AE1603" t="str">
        <f>IF(OR(SalesData[[#This Row],[Day]]="Saturday",SalesData[[#This Row],[Day]]="Sunday"),"Weekend","Weekday")</f>
        <v>Weekday</v>
      </c>
      <c r="AF1603" s="5">
        <f>IF(SalesData[[#This Row],[Contracts Offered]]=0,0,SalesData[[#This Row],[Contracts Signed]]/SalesData[[#This Row],[Contracts Offered]])</f>
        <v>0.30985915492957744</v>
      </c>
      <c r="AG1603" s="5">
        <f>IF(SalesData[[#This Row],[Customers Visited]]=0,0,SalesData[[#This Row],[Test Drives]]/SalesData[[#This Row],[Customers Visited]])</f>
        <v>0.5401785714285714</v>
      </c>
      <c r="AH1603" s="5">
        <f>IF(SalesData[[#This Row],[Customers Visited]]=0,0,SalesData[[#This Row],[Contracts Signed]]/SalesData[[#This Row],[Customers Visited]])</f>
        <v>9.8214285714285712E-2</v>
      </c>
      <c r="AI1603" s="6">
        <f>IF(SalesData[[#This Row],[Contracts Signed]]=0,0,SalesData[[#This Row],[Profit(€)]]/SalesData[[#This Row],[Contracts Signed]])</f>
        <v>2216</v>
      </c>
      <c r="AJ1603" s="5" t="str">
        <f>TRIM(CLEAN(SalesData[[#This Row],[Retailer]]))</f>
        <v>Elbe Drive</v>
      </c>
    </row>
    <row r="1604" spans="1:36" ht="14.25" hidden="1" x14ac:dyDescent="0.2">
      <c r="A1604" t="s">
        <v>2515</v>
      </c>
      <c r="B1604" s="1">
        <v>46066</v>
      </c>
      <c r="C1604" t="s">
        <v>121</v>
      </c>
      <c r="D1604" t="s">
        <v>54</v>
      </c>
      <c r="E1604" t="s">
        <v>26</v>
      </c>
      <c r="F1604" t="s">
        <v>127</v>
      </c>
      <c r="G1604" t="s">
        <v>128</v>
      </c>
      <c r="H1604" t="s">
        <v>103</v>
      </c>
      <c r="I1604" t="s">
        <v>116</v>
      </c>
      <c r="J1604" t="s">
        <v>203</v>
      </c>
      <c r="K1604" t="s">
        <v>66</v>
      </c>
      <c r="L1604" t="s">
        <v>67</v>
      </c>
      <c r="M1604" t="s">
        <v>47</v>
      </c>
      <c r="N1604" t="s">
        <v>69</v>
      </c>
      <c r="O1604" t="s">
        <v>70</v>
      </c>
      <c r="P1604" t="s">
        <v>49</v>
      </c>
      <c r="Q1604" t="s">
        <v>240</v>
      </c>
      <c r="R1604">
        <v>220</v>
      </c>
      <c r="S1604">
        <v>91</v>
      </c>
      <c r="T1604">
        <v>54</v>
      </c>
      <c r="U1604">
        <v>12</v>
      </c>
      <c r="V1604" t="s">
        <v>4039</v>
      </c>
      <c r="W1604">
        <v>23906</v>
      </c>
      <c r="X1604" t="s">
        <v>979</v>
      </c>
      <c r="Y1604">
        <v>22119</v>
      </c>
      <c r="Z1604">
        <v>286872</v>
      </c>
      <c r="AA1604">
        <v>21444</v>
      </c>
      <c r="AB1604" t="str">
        <f>(VLOOKUP(SalesData[[#This Row],[Month Number]],Reference!C$5:E$16,2,FALSE))</f>
        <v>Feb</v>
      </c>
      <c r="AC1604">
        <f>MONTH(SalesData[[#This Row],[Date]])</f>
        <v>2</v>
      </c>
      <c r="AD1604">
        <f>Reference!F$4</f>
        <v>2026</v>
      </c>
      <c r="AE1604" t="str">
        <f>IF(OR(SalesData[[#This Row],[Day]]="Saturday",SalesData[[#This Row],[Day]]="Sunday"),"Weekend","Weekday")</f>
        <v>Weekday</v>
      </c>
      <c r="AF1604" s="5">
        <f>IF(SalesData[[#This Row],[Contracts Offered]]=0,0,SalesData[[#This Row],[Contracts Signed]]/SalesData[[#This Row],[Contracts Offered]])</f>
        <v>0.22222222222222221</v>
      </c>
      <c r="AG1604" s="5">
        <f>IF(SalesData[[#This Row],[Customers Visited]]=0,0,SalesData[[#This Row],[Test Drives]]/SalesData[[#This Row],[Customers Visited]])</f>
        <v>0.41363636363636364</v>
      </c>
      <c r="AH1604" s="5">
        <f>IF(SalesData[[#This Row],[Customers Visited]]=0,0,SalesData[[#This Row],[Contracts Signed]]/SalesData[[#This Row],[Customers Visited]])</f>
        <v>5.4545454545454543E-2</v>
      </c>
      <c r="AI1604" s="6">
        <f>IF(SalesData[[#This Row],[Contracts Signed]]=0,0,SalesData[[#This Row],[Profit(€)]]/SalesData[[#This Row],[Contracts Signed]])</f>
        <v>1787</v>
      </c>
      <c r="AJ1604" s="5" t="str">
        <f>TRIM(CLEAN(SalesData[[#This Row],[Retailer]]))</f>
        <v>Rhein Auto Group</v>
      </c>
    </row>
    <row r="1605" spans="1:36" ht="14.25" hidden="1" x14ac:dyDescent="0.2">
      <c r="A1605" t="s">
        <v>2517</v>
      </c>
      <c r="B1605" s="1">
        <v>46067</v>
      </c>
      <c r="C1605" t="s">
        <v>121</v>
      </c>
      <c r="D1605" t="s">
        <v>151</v>
      </c>
      <c r="E1605" t="s">
        <v>42</v>
      </c>
      <c r="F1605" t="s">
        <v>83</v>
      </c>
      <c r="G1605" t="s">
        <v>84</v>
      </c>
      <c r="H1605" t="s">
        <v>85</v>
      </c>
      <c r="I1605" t="s">
        <v>116</v>
      </c>
      <c r="J1605" t="s">
        <v>203</v>
      </c>
      <c r="K1605" t="s">
        <v>91</v>
      </c>
      <c r="L1605" t="s">
        <v>67</v>
      </c>
      <c r="M1605" t="s">
        <v>87</v>
      </c>
      <c r="N1605" t="s">
        <v>48</v>
      </c>
      <c r="O1605" t="s">
        <v>36</v>
      </c>
      <c r="P1605" t="s">
        <v>58</v>
      </c>
      <c r="Q1605" t="s">
        <v>88</v>
      </c>
      <c r="R1605">
        <v>415</v>
      </c>
      <c r="S1605">
        <v>170</v>
      </c>
      <c r="T1605">
        <v>99</v>
      </c>
      <c r="U1605">
        <v>35</v>
      </c>
      <c r="V1605" t="s">
        <v>6353</v>
      </c>
      <c r="W1605">
        <v>25200</v>
      </c>
      <c r="X1605" t="s">
        <v>348</v>
      </c>
      <c r="Y1605">
        <v>22822</v>
      </c>
      <c r="Z1605">
        <v>882000</v>
      </c>
      <c r="AA1605">
        <v>83230</v>
      </c>
      <c r="AB1605" t="str">
        <f>(VLOOKUP(SalesData[[#This Row],[Month Number]],Reference!C$5:E$16,2,FALSE))</f>
        <v>Feb</v>
      </c>
      <c r="AC1605">
        <f>MONTH(SalesData[[#This Row],[Date]])</f>
        <v>2</v>
      </c>
      <c r="AD1605">
        <f>Reference!F$4</f>
        <v>2026</v>
      </c>
      <c r="AE1605" t="str">
        <f>IF(OR(SalesData[[#This Row],[Day]]="Saturday",SalesData[[#This Row],[Day]]="Sunday"),"Weekend","Weekday")</f>
        <v>Weekend</v>
      </c>
      <c r="AF1605" s="5">
        <f>IF(SalesData[[#This Row],[Contracts Offered]]=0,0,SalesData[[#This Row],[Contracts Signed]]/SalesData[[#This Row],[Contracts Offered]])</f>
        <v>0.35353535353535354</v>
      </c>
      <c r="AG1605" s="5">
        <f>IF(SalesData[[#This Row],[Customers Visited]]=0,0,SalesData[[#This Row],[Test Drives]]/SalesData[[#This Row],[Customers Visited]])</f>
        <v>0.40963855421686746</v>
      </c>
      <c r="AH1605" s="5">
        <f>IF(SalesData[[#This Row],[Customers Visited]]=0,0,SalesData[[#This Row],[Contracts Signed]]/SalesData[[#This Row],[Customers Visited]])</f>
        <v>8.4337349397590355E-2</v>
      </c>
      <c r="AI1605" s="6">
        <f>IF(SalesData[[#This Row],[Contracts Signed]]=0,0,SalesData[[#This Row],[Profit(€)]]/SalesData[[#This Row],[Contracts Signed]])</f>
        <v>2378</v>
      </c>
      <c r="AJ1605" s="5" t="str">
        <f>TRIM(CLEAN(SalesData[[#This Row],[Retailer]]))</f>
        <v>Hannover Cars</v>
      </c>
    </row>
    <row r="1606" spans="1:36" ht="14.25" hidden="1" x14ac:dyDescent="0.2">
      <c r="A1606" t="s">
        <v>2519</v>
      </c>
      <c r="B1606" s="1">
        <v>46061</v>
      </c>
      <c r="C1606" t="s">
        <v>121</v>
      </c>
      <c r="D1606" t="s">
        <v>41</v>
      </c>
      <c r="E1606" t="s">
        <v>42</v>
      </c>
      <c r="F1606" t="s">
        <v>74</v>
      </c>
      <c r="G1606" t="s">
        <v>75</v>
      </c>
      <c r="H1606" t="s">
        <v>76</v>
      </c>
      <c r="I1606" t="s">
        <v>104</v>
      </c>
      <c r="J1606" t="s">
        <v>143</v>
      </c>
      <c r="K1606" t="s">
        <v>78</v>
      </c>
      <c r="L1606" t="s">
        <v>67</v>
      </c>
      <c r="M1606" t="s">
        <v>87</v>
      </c>
      <c r="N1606" t="s">
        <v>48</v>
      </c>
      <c r="O1606" t="s">
        <v>70</v>
      </c>
      <c r="P1606" t="s">
        <v>37</v>
      </c>
      <c r="Q1606" t="s">
        <v>88</v>
      </c>
      <c r="R1606">
        <v>483</v>
      </c>
      <c r="S1606">
        <v>197</v>
      </c>
      <c r="T1606">
        <v>129</v>
      </c>
      <c r="U1606">
        <v>28</v>
      </c>
      <c r="V1606" t="s">
        <v>452</v>
      </c>
      <c r="W1606">
        <v>27246</v>
      </c>
      <c r="X1606" t="s">
        <v>7458</v>
      </c>
      <c r="Y1606">
        <v>24465</v>
      </c>
      <c r="Z1606">
        <v>762888</v>
      </c>
      <c r="AA1606">
        <v>77868</v>
      </c>
      <c r="AB1606" t="str">
        <f>(VLOOKUP(SalesData[[#This Row],[Month Number]],Reference!C$5:E$16,2,FALSE))</f>
        <v>Feb</v>
      </c>
      <c r="AC1606">
        <f>MONTH(SalesData[[#This Row],[Date]])</f>
        <v>2</v>
      </c>
      <c r="AD1606">
        <f>Reference!F$4</f>
        <v>2026</v>
      </c>
      <c r="AE1606" t="str">
        <f>IF(OR(SalesData[[#This Row],[Day]]="Saturday",SalesData[[#This Row],[Day]]="Sunday"),"Weekend","Weekday")</f>
        <v>Weekend</v>
      </c>
      <c r="AF1606" s="5">
        <f>IF(SalesData[[#This Row],[Contracts Offered]]=0,0,SalesData[[#This Row],[Contracts Signed]]/SalesData[[#This Row],[Contracts Offered]])</f>
        <v>0.21705426356589147</v>
      </c>
      <c r="AG1606" s="5">
        <f>IF(SalesData[[#This Row],[Customers Visited]]=0,0,SalesData[[#This Row],[Test Drives]]/SalesData[[#This Row],[Customers Visited]])</f>
        <v>0.40786749482401657</v>
      </c>
      <c r="AH1606" s="5">
        <f>IF(SalesData[[#This Row],[Customers Visited]]=0,0,SalesData[[#This Row],[Contracts Signed]]/SalesData[[#This Row],[Customers Visited]])</f>
        <v>5.7971014492753624E-2</v>
      </c>
      <c r="AI1606" s="6">
        <f>IF(SalesData[[#This Row],[Contracts Signed]]=0,0,SalesData[[#This Row],[Profit(€)]]/SalesData[[#This Row],[Contracts Signed]])</f>
        <v>2781</v>
      </c>
      <c r="AJ1606" s="5" t="str">
        <f>TRIM(CLEAN(SalesData[[#This Row],[Retailer]]))</f>
        <v>Stuttgart Auto Center</v>
      </c>
    </row>
    <row r="1607" spans="1:36" ht="14.25" hidden="1" x14ac:dyDescent="0.2">
      <c r="A1607" t="s">
        <v>2520</v>
      </c>
      <c r="B1607" s="1">
        <v>46078</v>
      </c>
      <c r="C1607" t="s">
        <v>53</v>
      </c>
      <c r="D1607" t="s">
        <v>82</v>
      </c>
      <c r="E1607" t="s">
        <v>26</v>
      </c>
      <c r="F1607" t="s">
        <v>27</v>
      </c>
      <c r="G1607" t="s">
        <v>28</v>
      </c>
      <c r="H1607" t="s">
        <v>29</v>
      </c>
      <c r="I1607" t="s">
        <v>64</v>
      </c>
      <c r="J1607" t="s">
        <v>111</v>
      </c>
      <c r="K1607" t="s">
        <v>66</v>
      </c>
      <c r="L1607" t="s">
        <v>46</v>
      </c>
      <c r="M1607" t="s">
        <v>47</v>
      </c>
      <c r="N1607" t="s">
        <v>35</v>
      </c>
      <c r="O1607" t="s">
        <v>36</v>
      </c>
      <c r="P1607" t="s">
        <v>58</v>
      </c>
      <c r="Q1607" t="s">
        <v>240</v>
      </c>
      <c r="R1607">
        <v>188</v>
      </c>
      <c r="S1607">
        <v>112</v>
      </c>
      <c r="T1607">
        <v>85</v>
      </c>
      <c r="U1607">
        <v>31</v>
      </c>
      <c r="V1607" t="s">
        <v>6525</v>
      </c>
      <c r="W1607">
        <v>61415</v>
      </c>
      <c r="X1607" t="s">
        <v>1590</v>
      </c>
      <c r="Y1607">
        <v>48082</v>
      </c>
      <c r="Z1607">
        <v>1903865</v>
      </c>
      <c r="AA1607">
        <v>413323</v>
      </c>
      <c r="AB1607" t="str">
        <f>(VLOOKUP(SalesData[[#This Row],[Month Number]],Reference!C$5:E$16,2,FALSE))</f>
        <v>Feb</v>
      </c>
      <c r="AC1607">
        <f>MONTH(SalesData[[#This Row],[Date]])</f>
        <v>2</v>
      </c>
      <c r="AD1607">
        <f>Reference!F$4</f>
        <v>2026</v>
      </c>
      <c r="AE1607" t="str">
        <f>IF(OR(SalesData[[#This Row],[Day]]="Saturday",SalesData[[#This Row],[Day]]="Sunday"),"Weekend","Weekday")</f>
        <v>Weekday</v>
      </c>
      <c r="AF1607" s="5">
        <f>IF(SalesData[[#This Row],[Contracts Offered]]=0,0,SalesData[[#This Row],[Contracts Signed]]/SalesData[[#This Row],[Contracts Offered]])</f>
        <v>0.36470588235294116</v>
      </c>
      <c r="AG1607" s="5">
        <f>IF(SalesData[[#This Row],[Customers Visited]]=0,0,SalesData[[#This Row],[Test Drives]]/SalesData[[#This Row],[Customers Visited]])</f>
        <v>0.5957446808510638</v>
      </c>
      <c r="AH1607" s="5">
        <f>IF(SalesData[[#This Row],[Customers Visited]]=0,0,SalesData[[#This Row],[Contracts Signed]]/SalesData[[#This Row],[Customers Visited]])</f>
        <v>0.16489361702127658</v>
      </c>
      <c r="AI1607" s="6">
        <f>IF(SalesData[[#This Row],[Contracts Signed]]=0,0,SalesData[[#This Row],[Profit(€)]]/SalesData[[#This Row],[Contracts Signed]])</f>
        <v>13333</v>
      </c>
      <c r="AJ1607" s="5" t="str">
        <f>TRIM(CLEAN(SalesData[[#This Row],[Retailer]]))</f>
        <v>Main Auto Hub</v>
      </c>
    </row>
    <row r="1608" spans="1:36" ht="14.25" hidden="1" x14ac:dyDescent="0.2">
      <c r="A1608" t="s">
        <v>2522</v>
      </c>
      <c r="B1608" s="1">
        <v>46054</v>
      </c>
      <c r="C1608" t="s">
        <v>24</v>
      </c>
      <c r="D1608" t="s">
        <v>41</v>
      </c>
      <c r="E1608" t="s">
        <v>42</v>
      </c>
      <c r="F1608" t="s">
        <v>94</v>
      </c>
      <c r="G1608" t="s">
        <v>95</v>
      </c>
      <c r="H1608" t="s">
        <v>96</v>
      </c>
      <c r="I1608" t="s">
        <v>116</v>
      </c>
      <c r="J1608" t="s">
        <v>7090</v>
      </c>
      <c r="K1608" t="s">
        <v>91</v>
      </c>
      <c r="L1608" t="s">
        <v>46</v>
      </c>
      <c r="M1608" t="s">
        <v>87</v>
      </c>
      <c r="N1608" t="s">
        <v>69</v>
      </c>
      <c r="O1608" t="s">
        <v>36</v>
      </c>
      <c r="P1608" t="s">
        <v>71</v>
      </c>
      <c r="Q1608" t="s">
        <v>122</v>
      </c>
      <c r="R1608">
        <v>255</v>
      </c>
      <c r="S1608">
        <v>140</v>
      </c>
      <c r="T1608">
        <v>82</v>
      </c>
      <c r="U1608">
        <v>28</v>
      </c>
      <c r="V1608" t="s">
        <v>6410</v>
      </c>
      <c r="W1608">
        <v>26127</v>
      </c>
      <c r="X1608" t="s">
        <v>913</v>
      </c>
      <c r="Y1608">
        <v>23286</v>
      </c>
      <c r="Z1608">
        <v>731556</v>
      </c>
      <c r="AA1608">
        <v>79548</v>
      </c>
      <c r="AB1608" t="str">
        <f>(VLOOKUP(SalesData[[#This Row],[Month Number]],Reference!C$5:E$16,2,FALSE))</f>
        <v>Feb</v>
      </c>
      <c r="AC1608">
        <f>MONTH(SalesData[[#This Row],[Date]])</f>
        <v>2</v>
      </c>
      <c r="AD1608">
        <f>Reference!F$4</f>
        <v>2026</v>
      </c>
      <c r="AE1608" t="str">
        <f>IF(OR(SalesData[[#This Row],[Day]]="Saturday",SalesData[[#This Row],[Day]]="Sunday"),"Weekend","Weekday")</f>
        <v>Weekend</v>
      </c>
      <c r="AF1608" s="5">
        <f>IF(SalesData[[#This Row],[Contracts Offered]]=0,0,SalesData[[#This Row],[Contracts Signed]]/SalesData[[#This Row],[Contracts Offered]])</f>
        <v>0.34146341463414637</v>
      </c>
      <c r="AG1608" s="5">
        <f>IF(SalesData[[#This Row],[Customers Visited]]=0,0,SalesData[[#This Row],[Test Drives]]/SalesData[[#This Row],[Customers Visited]])</f>
        <v>0.5490196078431373</v>
      </c>
      <c r="AH1608" s="5">
        <f>IF(SalesData[[#This Row],[Customers Visited]]=0,0,SalesData[[#This Row],[Contracts Signed]]/SalesData[[#This Row],[Customers Visited]])</f>
        <v>0.10980392156862745</v>
      </c>
      <c r="AI1608" s="6">
        <f>IF(SalesData[[#This Row],[Contracts Signed]]=0,0,SalesData[[#This Row],[Profit(€)]]/SalesData[[#This Row],[Contracts Signed]])</f>
        <v>2841</v>
      </c>
      <c r="AJ1608" s="5" t="str">
        <f>TRIM(CLEAN(SalesData[[#This Row],[Retailer]]))</f>
        <v>Bavaria Motors</v>
      </c>
    </row>
    <row r="1609" spans="1:36" ht="14.25" x14ac:dyDescent="0.2">
      <c r="A1609" t="s">
        <v>2523</v>
      </c>
      <c r="B1609" s="1">
        <v>46063</v>
      </c>
      <c r="C1609" t="s">
        <v>121</v>
      </c>
      <c r="D1609" t="s">
        <v>63</v>
      </c>
      <c r="E1609" t="s">
        <v>26</v>
      </c>
      <c r="F1609" t="s">
        <v>114</v>
      </c>
      <c r="G1609" t="s">
        <v>115</v>
      </c>
      <c r="H1609" t="s">
        <v>115</v>
      </c>
      <c r="I1609" t="s">
        <v>30</v>
      </c>
      <c r="J1609" t="s">
        <v>188</v>
      </c>
      <c r="K1609" t="s">
        <v>78</v>
      </c>
      <c r="L1609" t="s">
        <v>33</v>
      </c>
      <c r="M1609" t="s">
        <v>68</v>
      </c>
      <c r="N1609" t="s">
        <v>48</v>
      </c>
      <c r="O1609" t="s">
        <v>70</v>
      </c>
      <c r="P1609" t="s">
        <v>71</v>
      </c>
      <c r="Q1609" t="s">
        <v>240</v>
      </c>
      <c r="R1609">
        <v>201</v>
      </c>
      <c r="S1609">
        <v>99</v>
      </c>
      <c r="T1609">
        <v>67</v>
      </c>
      <c r="U1609">
        <v>31</v>
      </c>
      <c r="V1609" t="s">
        <v>7459</v>
      </c>
      <c r="W1609">
        <v>62855</v>
      </c>
      <c r="X1609" t="s">
        <v>7460</v>
      </c>
      <c r="Y1609">
        <v>48045</v>
      </c>
      <c r="Z1609">
        <v>1948505</v>
      </c>
      <c r="AA1609">
        <v>459110</v>
      </c>
      <c r="AB1609" t="str">
        <f>(VLOOKUP(SalesData[[#This Row],[Month Number]],Reference!C$5:E$16,2,FALSE))</f>
        <v>Feb</v>
      </c>
      <c r="AC1609">
        <f>MONTH(SalesData[[#This Row],[Date]])</f>
        <v>2</v>
      </c>
      <c r="AD1609">
        <f>Reference!F$4</f>
        <v>2026</v>
      </c>
      <c r="AE1609" t="str">
        <f>IF(OR(SalesData[[#This Row],[Day]]="Saturday",SalesData[[#This Row],[Day]]="Sunday"),"Weekend","Weekday")</f>
        <v>Weekday</v>
      </c>
      <c r="AF1609" s="5">
        <f>IF(SalesData[[#This Row],[Contracts Offered]]=0,0,SalesData[[#This Row],[Contracts Signed]]/SalesData[[#This Row],[Contracts Offered]])</f>
        <v>0.46268656716417911</v>
      </c>
      <c r="AG1609" s="5">
        <f>IF(SalesData[[#This Row],[Customers Visited]]=0,0,SalesData[[#This Row],[Test Drives]]/SalesData[[#This Row],[Customers Visited]])</f>
        <v>0.4925373134328358</v>
      </c>
      <c r="AH1609" s="5">
        <f>IF(SalesData[[#This Row],[Customers Visited]]=0,0,SalesData[[#This Row],[Contracts Signed]]/SalesData[[#This Row],[Customers Visited]])</f>
        <v>0.15422885572139303</v>
      </c>
      <c r="AI1609" s="6">
        <f>IF(SalesData[[#This Row],[Contracts Signed]]=0,0,SalesData[[#This Row],[Profit(€)]]/SalesData[[#This Row],[Contracts Signed]])</f>
        <v>14810</v>
      </c>
      <c r="AJ1609" s="5" t="str">
        <f>TRIM(CLEAN(SalesData[[#This Row],[Retailer]]))</f>
        <v>Elbe Drive</v>
      </c>
    </row>
    <row r="1610" spans="1:36" ht="14.25" x14ac:dyDescent="0.2">
      <c r="A1610" t="s">
        <v>2525</v>
      </c>
      <c r="B1610" s="1">
        <v>46054</v>
      </c>
      <c r="C1610" t="s">
        <v>24</v>
      </c>
      <c r="D1610" t="s">
        <v>41</v>
      </c>
      <c r="E1610" t="s">
        <v>42</v>
      </c>
      <c r="F1610" t="s">
        <v>74</v>
      </c>
      <c r="G1610" t="s">
        <v>75</v>
      </c>
      <c r="H1610" t="s">
        <v>76</v>
      </c>
      <c r="I1610" t="s">
        <v>30</v>
      </c>
      <c r="J1610" t="s">
        <v>166</v>
      </c>
      <c r="K1610" t="s">
        <v>91</v>
      </c>
      <c r="L1610" t="s">
        <v>46</v>
      </c>
      <c r="M1610" t="s">
        <v>87</v>
      </c>
      <c r="N1610" t="s">
        <v>35</v>
      </c>
      <c r="O1610" t="s">
        <v>70</v>
      </c>
      <c r="P1610" t="s">
        <v>49</v>
      </c>
      <c r="Q1610" t="s">
        <v>240</v>
      </c>
      <c r="R1610">
        <v>245</v>
      </c>
      <c r="S1610">
        <v>120</v>
      </c>
      <c r="T1610">
        <v>88</v>
      </c>
      <c r="U1610">
        <v>33</v>
      </c>
      <c r="V1610" t="s">
        <v>6767</v>
      </c>
      <c r="W1610">
        <v>60565</v>
      </c>
      <c r="X1610" t="s">
        <v>7461</v>
      </c>
      <c r="Y1610">
        <v>46016</v>
      </c>
      <c r="Z1610">
        <v>1998645</v>
      </c>
      <c r="AA1610">
        <v>480117</v>
      </c>
      <c r="AB1610" t="str">
        <f>(VLOOKUP(SalesData[[#This Row],[Month Number]],Reference!C$5:E$16,2,FALSE))</f>
        <v>Feb</v>
      </c>
      <c r="AC1610">
        <f>MONTH(SalesData[[#This Row],[Date]])</f>
        <v>2</v>
      </c>
      <c r="AD1610">
        <f>Reference!F$4</f>
        <v>2026</v>
      </c>
      <c r="AE1610" t="str">
        <f>IF(OR(SalesData[[#This Row],[Day]]="Saturday",SalesData[[#This Row],[Day]]="Sunday"),"Weekend","Weekday")</f>
        <v>Weekend</v>
      </c>
      <c r="AF1610" s="5">
        <f>IF(SalesData[[#This Row],[Contracts Offered]]=0,0,SalesData[[#This Row],[Contracts Signed]]/SalesData[[#This Row],[Contracts Offered]])</f>
        <v>0.375</v>
      </c>
      <c r="AG1610" s="5">
        <f>IF(SalesData[[#This Row],[Customers Visited]]=0,0,SalesData[[#This Row],[Test Drives]]/SalesData[[#This Row],[Customers Visited]])</f>
        <v>0.48979591836734693</v>
      </c>
      <c r="AH1610" s="5">
        <f>IF(SalesData[[#This Row],[Customers Visited]]=0,0,SalesData[[#This Row],[Contracts Signed]]/SalesData[[#This Row],[Customers Visited]])</f>
        <v>0.13469387755102041</v>
      </c>
      <c r="AI1610" s="6">
        <f>IF(SalesData[[#This Row],[Contracts Signed]]=0,0,SalesData[[#This Row],[Profit(€)]]/SalesData[[#This Row],[Contracts Signed]])</f>
        <v>14549</v>
      </c>
      <c r="AJ1610" s="5" t="str">
        <f>TRIM(CLEAN(SalesData[[#This Row],[Retailer]]))</f>
        <v>Stuttgart Auto Center</v>
      </c>
    </row>
    <row r="1611" spans="1:36" ht="14.25" hidden="1" x14ac:dyDescent="0.2">
      <c r="A1611" t="s">
        <v>2526</v>
      </c>
      <c r="B1611" s="1">
        <v>46077</v>
      </c>
      <c r="C1611" t="s">
        <v>53</v>
      </c>
      <c r="D1611" t="s">
        <v>63</v>
      </c>
      <c r="E1611" t="s">
        <v>26</v>
      </c>
      <c r="F1611" t="s">
        <v>114</v>
      </c>
      <c r="G1611" t="s">
        <v>115</v>
      </c>
      <c r="H1611" t="s">
        <v>115</v>
      </c>
      <c r="I1611" t="s">
        <v>56</v>
      </c>
      <c r="J1611" t="s">
        <v>57</v>
      </c>
      <c r="K1611" t="s">
        <v>78</v>
      </c>
      <c r="L1611" t="s">
        <v>46</v>
      </c>
      <c r="M1611" t="s">
        <v>47</v>
      </c>
      <c r="N1611" t="s">
        <v>48</v>
      </c>
      <c r="O1611" t="s">
        <v>36</v>
      </c>
      <c r="P1611" t="s">
        <v>71</v>
      </c>
      <c r="Q1611" t="s">
        <v>129</v>
      </c>
      <c r="R1611">
        <v>172</v>
      </c>
      <c r="S1611">
        <v>106</v>
      </c>
      <c r="T1611">
        <v>77</v>
      </c>
      <c r="U1611">
        <v>27</v>
      </c>
      <c r="V1611" t="s">
        <v>6799</v>
      </c>
      <c r="W1611">
        <v>46070</v>
      </c>
      <c r="X1611" t="s">
        <v>7391</v>
      </c>
      <c r="Y1611">
        <v>36662</v>
      </c>
      <c r="Z1611">
        <v>1243890</v>
      </c>
      <c r="AA1611">
        <v>254016</v>
      </c>
      <c r="AB1611" t="str">
        <f>(VLOOKUP(SalesData[[#This Row],[Month Number]],Reference!C$5:E$16,2,FALSE))</f>
        <v>Feb</v>
      </c>
      <c r="AC1611">
        <f>MONTH(SalesData[[#This Row],[Date]])</f>
        <v>2</v>
      </c>
      <c r="AD1611">
        <f>Reference!F$4</f>
        <v>2026</v>
      </c>
      <c r="AE1611" t="str">
        <f>IF(OR(SalesData[[#This Row],[Day]]="Saturday",SalesData[[#This Row],[Day]]="Sunday"),"Weekend","Weekday")</f>
        <v>Weekday</v>
      </c>
      <c r="AF1611" s="5">
        <f>IF(SalesData[[#This Row],[Contracts Offered]]=0,0,SalesData[[#This Row],[Contracts Signed]]/SalesData[[#This Row],[Contracts Offered]])</f>
        <v>0.35064935064935066</v>
      </c>
      <c r="AG1611" s="5">
        <f>IF(SalesData[[#This Row],[Customers Visited]]=0,0,SalesData[[#This Row],[Test Drives]]/SalesData[[#This Row],[Customers Visited]])</f>
        <v>0.61627906976744184</v>
      </c>
      <c r="AH1611" s="5">
        <f>IF(SalesData[[#This Row],[Customers Visited]]=0,0,SalesData[[#This Row],[Contracts Signed]]/SalesData[[#This Row],[Customers Visited]])</f>
        <v>0.15697674418604651</v>
      </c>
      <c r="AI1611" s="6">
        <f>IF(SalesData[[#This Row],[Contracts Signed]]=0,0,SalesData[[#This Row],[Profit(€)]]/SalesData[[#This Row],[Contracts Signed]])</f>
        <v>9408</v>
      </c>
      <c r="AJ1611" s="5" t="str">
        <f>TRIM(CLEAN(SalesData[[#This Row],[Retailer]]))</f>
        <v>Elbe Drive</v>
      </c>
    </row>
    <row r="1612" spans="1:36" ht="14.25" hidden="1" x14ac:dyDescent="0.2">
      <c r="A1612" t="s">
        <v>2527</v>
      </c>
      <c r="B1612" s="1">
        <v>46076</v>
      </c>
      <c r="C1612" t="s">
        <v>53</v>
      </c>
      <c r="D1612" t="s">
        <v>25</v>
      </c>
      <c r="E1612" t="s">
        <v>26</v>
      </c>
      <c r="F1612" t="s">
        <v>114</v>
      </c>
      <c r="G1612" t="s">
        <v>115</v>
      </c>
      <c r="H1612" t="s">
        <v>115</v>
      </c>
      <c r="I1612" t="s">
        <v>116</v>
      </c>
      <c r="J1612" t="s">
        <v>7026</v>
      </c>
      <c r="K1612" t="s">
        <v>32</v>
      </c>
      <c r="L1612" t="s">
        <v>46</v>
      </c>
      <c r="M1612" t="s">
        <v>87</v>
      </c>
      <c r="N1612" t="s">
        <v>69</v>
      </c>
      <c r="O1612" t="s">
        <v>36</v>
      </c>
      <c r="P1612" t="s">
        <v>58</v>
      </c>
      <c r="Q1612" t="s">
        <v>38</v>
      </c>
      <c r="R1612">
        <v>246</v>
      </c>
      <c r="S1612">
        <v>132</v>
      </c>
      <c r="T1612">
        <v>75</v>
      </c>
      <c r="U1612">
        <v>29</v>
      </c>
      <c r="V1612" t="s">
        <v>6540</v>
      </c>
      <c r="W1612">
        <v>26520</v>
      </c>
      <c r="X1612" t="s">
        <v>3891</v>
      </c>
      <c r="Y1612">
        <v>23692</v>
      </c>
      <c r="Z1612">
        <v>769080</v>
      </c>
      <c r="AA1612">
        <v>82012</v>
      </c>
      <c r="AB1612" t="str">
        <f>(VLOOKUP(SalesData[[#This Row],[Month Number]],Reference!C$5:E$16,2,FALSE))</f>
        <v>Feb</v>
      </c>
      <c r="AC1612">
        <f>MONTH(SalesData[[#This Row],[Date]])</f>
        <v>2</v>
      </c>
      <c r="AD1612">
        <f>Reference!F$4</f>
        <v>2026</v>
      </c>
      <c r="AE1612" t="str">
        <f>IF(OR(SalesData[[#This Row],[Day]]="Saturday",SalesData[[#This Row],[Day]]="Sunday"),"Weekend","Weekday")</f>
        <v>Weekday</v>
      </c>
      <c r="AF1612" s="5">
        <f>IF(SalesData[[#This Row],[Contracts Offered]]=0,0,SalesData[[#This Row],[Contracts Signed]]/SalesData[[#This Row],[Contracts Offered]])</f>
        <v>0.38666666666666666</v>
      </c>
      <c r="AG1612" s="5">
        <f>IF(SalesData[[#This Row],[Customers Visited]]=0,0,SalesData[[#This Row],[Test Drives]]/SalesData[[#This Row],[Customers Visited]])</f>
        <v>0.53658536585365857</v>
      </c>
      <c r="AH1612" s="5">
        <f>IF(SalesData[[#This Row],[Customers Visited]]=0,0,SalesData[[#This Row],[Contracts Signed]]/SalesData[[#This Row],[Customers Visited]])</f>
        <v>0.11788617886178862</v>
      </c>
      <c r="AI1612" s="6">
        <f>IF(SalesData[[#This Row],[Contracts Signed]]=0,0,SalesData[[#This Row],[Profit(€)]]/SalesData[[#This Row],[Contracts Signed]])</f>
        <v>2828</v>
      </c>
      <c r="AJ1612" s="5" t="str">
        <f>TRIM(CLEAN(SalesData[[#This Row],[Retailer]]))</f>
        <v>Elbe Drive</v>
      </c>
    </row>
    <row r="1613" spans="1:36" ht="14.25" x14ac:dyDescent="0.2">
      <c r="A1613" t="s">
        <v>2528</v>
      </c>
      <c r="B1613" s="1">
        <v>46065</v>
      </c>
      <c r="C1613" t="s">
        <v>121</v>
      </c>
      <c r="D1613" t="s">
        <v>100</v>
      </c>
      <c r="E1613" t="s">
        <v>26</v>
      </c>
      <c r="F1613" t="s">
        <v>127</v>
      </c>
      <c r="G1613" t="s">
        <v>128</v>
      </c>
      <c r="H1613" t="s">
        <v>103</v>
      </c>
      <c r="I1613" t="s">
        <v>30</v>
      </c>
      <c r="J1613" t="s">
        <v>166</v>
      </c>
      <c r="K1613" t="s">
        <v>66</v>
      </c>
      <c r="L1613" t="s">
        <v>46</v>
      </c>
      <c r="M1613" t="s">
        <v>34</v>
      </c>
      <c r="N1613" t="s">
        <v>48</v>
      </c>
      <c r="O1613" t="s">
        <v>70</v>
      </c>
      <c r="P1613" t="s">
        <v>71</v>
      </c>
      <c r="Q1613" t="s">
        <v>152</v>
      </c>
      <c r="R1613">
        <v>179</v>
      </c>
      <c r="S1613">
        <v>87</v>
      </c>
      <c r="T1613">
        <v>65</v>
      </c>
      <c r="U1613">
        <v>25</v>
      </c>
      <c r="V1613" t="s">
        <v>7360</v>
      </c>
      <c r="W1613">
        <v>53076</v>
      </c>
      <c r="X1613" t="s">
        <v>7384</v>
      </c>
      <c r="Y1613">
        <v>37175</v>
      </c>
      <c r="Z1613">
        <v>1326900</v>
      </c>
      <c r="AA1613">
        <v>397525</v>
      </c>
      <c r="AB1613" t="str">
        <f>(VLOOKUP(SalesData[[#This Row],[Month Number]],Reference!C$5:E$16,2,FALSE))</f>
        <v>Feb</v>
      </c>
      <c r="AC1613">
        <f>MONTH(SalesData[[#This Row],[Date]])</f>
        <v>2</v>
      </c>
      <c r="AD1613">
        <f>Reference!F$4</f>
        <v>2026</v>
      </c>
      <c r="AE1613" t="str">
        <f>IF(OR(SalesData[[#This Row],[Day]]="Saturday",SalesData[[#This Row],[Day]]="Sunday"),"Weekend","Weekday")</f>
        <v>Weekday</v>
      </c>
      <c r="AF1613" s="5">
        <f>IF(SalesData[[#This Row],[Contracts Offered]]=0,0,SalesData[[#This Row],[Contracts Signed]]/SalesData[[#This Row],[Contracts Offered]])</f>
        <v>0.38461538461538464</v>
      </c>
      <c r="AG1613" s="5">
        <f>IF(SalesData[[#This Row],[Customers Visited]]=0,0,SalesData[[#This Row],[Test Drives]]/SalesData[[#This Row],[Customers Visited]])</f>
        <v>0.48603351955307261</v>
      </c>
      <c r="AH1613" s="5">
        <f>IF(SalesData[[#This Row],[Customers Visited]]=0,0,SalesData[[#This Row],[Contracts Signed]]/SalesData[[#This Row],[Customers Visited]])</f>
        <v>0.13966480446927373</v>
      </c>
      <c r="AI1613" s="6">
        <f>IF(SalesData[[#This Row],[Contracts Signed]]=0,0,SalesData[[#This Row],[Profit(€)]]/SalesData[[#This Row],[Contracts Signed]])</f>
        <v>15901</v>
      </c>
      <c r="AJ1613" s="5" t="str">
        <f>TRIM(CLEAN(SalesData[[#This Row],[Retailer]]))</f>
        <v>Rhein Auto Group</v>
      </c>
    </row>
    <row r="1614" spans="1:36" ht="14.25" hidden="1" x14ac:dyDescent="0.2">
      <c r="A1614" t="s">
        <v>2530</v>
      </c>
      <c r="B1614" s="1">
        <v>46081</v>
      </c>
      <c r="C1614" t="s">
        <v>53</v>
      </c>
      <c r="D1614" t="s">
        <v>151</v>
      </c>
      <c r="E1614" t="s">
        <v>42</v>
      </c>
      <c r="F1614" t="s">
        <v>114</v>
      </c>
      <c r="G1614" t="s">
        <v>115</v>
      </c>
      <c r="H1614" t="s">
        <v>115</v>
      </c>
      <c r="I1614" t="s">
        <v>104</v>
      </c>
      <c r="J1614" t="s">
        <v>7061</v>
      </c>
      <c r="K1614" t="s">
        <v>78</v>
      </c>
      <c r="L1614" t="s">
        <v>46</v>
      </c>
      <c r="M1614" t="s">
        <v>47</v>
      </c>
      <c r="N1614" t="s">
        <v>48</v>
      </c>
      <c r="O1614" t="s">
        <v>36</v>
      </c>
      <c r="P1614" t="s">
        <v>58</v>
      </c>
      <c r="Q1614" t="s">
        <v>189</v>
      </c>
      <c r="R1614">
        <v>323</v>
      </c>
      <c r="S1614">
        <v>143</v>
      </c>
      <c r="T1614">
        <v>85</v>
      </c>
      <c r="U1614">
        <v>25</v>
      </c>
      <c r="V1614" t="s">
        <v>599</v>
      </c>
      <c r="W1614">
        <v>27452</v>
      </c>
      <c r="X1614" t="s">
        <v>754</v>
      </c>
      <c r="Y1614">
        <v>24360</v>
      </c>
      <c r="Z1614">
        <v>686300</v>
      </c>
      <c r="AA1614">
        <v>77300</v>
      </c>
      <c r="AB1614" t="str">
        <f>(VLOOKUP(SalesData[[#This Row],[Month Number]],Reference!C$5:E$16,2,FALSE))</f>
        <v>Feb</v>
      </c>
      <c r="AC1614">
        <f>MONTH(SalesData[[#This Row],[Date]])</f>
        <v>2</v>
      </c>
      <c r="AD1614">
        <f>Reference!F$4</f>
        <v>2026</v>
      </c>
      <c r="AE1614" t="str">
        <f>IF(OR(SalesData[[#This Row],[Day]]="Saturday",SalesData[[#This Row],[Day]]="Sunday"),"Weekend","Weekday")</f>
        <v>Weekend</v>
      </c>
      <c r="AF1614" s="5">
        <f>IF(SalesData[[#This Row],[Contracts Offered]]=0,0,SalesData[[#This Row],[Contracts Signed]]/SalesData[[#This Row],[Contracts Offered]])</f>
        <v>0.29411764705882354</v>
      </c>
      <c r="AG1614" s="5">
        <f>IF(SalesData[[#This Row],[Customers Visited]]=0,0,SalesData[[#This Row],[Test Drives]]/SalesData[[#This Row],[Customers Visited]])</f>
        <v>0.44272445820433437</v>
      </c>
      <c r="AH1614" s="5">
        <f>IF(SalesData[[#This Row],[Customers Visited]]=0,0,SalesData[[#This Row],[Contracts Signed]]/SalesData[[#This Row],[Customers Visited]])</f>
        <v>7.7399380804953566E-2</v>
      </c>
      <c r="AI1614" s="6">
        <f>IF(SalesData[[#This Row],[Contracts Signed]]=0,0,SalesData[[#This Row],[Profit(€)]]/SalesData[[#This Row],[Contracts Signed]])</f>
        <v>3092</v>
      </c>
      <c r="AJ1614" s="5" t="str">
        <f>TRIM(CLEAN(SalesData[[#This Row],[Retailer]]))</f>
        <v>Elbe Drive</v>
      </c>
    </row>
    <row r="1615" spans="1:36" ht="14.25" hidden="1" x14ac:dyDescent="0.2">
      <c r="A1615" t="s">
        <v>2531</v>
      </c>
      <c r="B1615" s="1">
        <v>46065</v>
      </c>
      <c r="C1615" t="s">
        <v>121</v>
      </c>
      <c r="D1615" t="s">
        <v>100</v>
      </c>
      <c r="E1615" t="s">
        <v>26</v>
      </c>
      <c r="F1615" t="s">
        <v>27</v>
      </c>
      <c r="G1615" t="s">
        <v>28</v>
      </c>
      <c r="H1615" t="s">
        <v>29</v>
      </c>
      <c r="I1615" t="s">
        <v>104</v>
      </c>
      <c r="J1615" t="s">
        <v>7061</v>
      </c>
      <c r="K1615" t="s">
        <v>78</v>
      </c>
      <c r="L1615" t="s">
        <v>46</v>
      </c>
      <c r="M1615" t="s">
        <v>47</v>
      </c>
      <c r="N1615" t="s">
        <v>69</v>
      </c>
      <c r="O1615" t="s">
        <v>36</v>
      </c>
      <c r="P1615" t="s">
        <v>49</v>
      </c>
      <c r="Q1615" t="s">
        <v>38</v>
      </c>
      <c r="R1615">
        <v>459</v>
      </c>
      <c r="S1615">
        <v>252</v>
      </c>
      <c r="T1615">
        <v>146</v>
      </c>
      <c r="U1615">
        <v>38</v>
      </c>
      <c r="V1615" t="s">
        <v>3005</v>
      </c>
      <c r="W1615">
        <v>34278</v>
      </c>
      <c r="X1615" t="s">
        <v>2161</v>
      </c>
      <c r="Y1615">
        <v>29699</v>
      </c>
      <c r="Z1615">
        <v>1302564</v>
      </c>
      <c r="AA1615">
        <v>174002</v>
      </c>
      <c r="AB1615" t="str">
        <f>(VLOOKUP(SalesData[[#This Row],[Month Number]],Reference!C$5:E$16,2,FALSE))</f>
        <v>Feb</v>
      </c>
      <c r="AC1615">
        <f>MONTH(SalesData[[#This Row],[Date]])</f>
        <v>2</v>
      </c>
      <c r="AD1615">
        <f>Reference!F$4</f>
        <v>2026</v>
      </c>
      <c r="AE1615" t="str">
        <f>IF(OR(SalesData[[#This Row],[Day]]="Saturday",SalesData[[#This Row],[Day]]="Sunday"),"Weekend","Weekday")</f>
        <v>Weekday</v>
      </c>
      <c r="AF1615" s="5">
        <f>IF(SalesData[[#This Row],[Contracts Offered]]=0,0,SalesData[[#This Row],[Contracts Signed]]/SalesData[[#This Row],[Contracts Offered]])</f>
        <v>0.26027397260273971</v>
      </c>
      <c r="AG1615" s="5">
        <f>IF(SalesData[[#This Row],[Customers Visited]]=0,0,SalesData[[#This Row],[Test Drives]]/SalesData[[#This Row],[Customers Visited]])</f>
        <v>0.5490196078431373</v>
      </c>
      <c r="AH1615" s="5">
        <f>IF(SalesData[[#This Row],[Customers Visited]]=0,0,SalesData[[#This Row],[Contracts Signed]]/SalesData[[#This Row],[Customers Visited]])</f>
        <v>8.2788671023965144E-2</v>
      </c>
      <c r="AI1615" s="6">
        <f>IF(SalesData[[#This Row],[Contracts Signed]]=0,0,SalesData[[#This Row],[Profit(€)]]/SalesData[[#This Row],[Contracts Signed]])</f>
        <v>4579</v>
      </c>
      <c r="AJ1615" s="5" t="str">
        <f>TRIM(CLEAN(SalesData[[#This Row],[Retailer]]))</f>
        <v>Main Auto Hub</v>
      </c>
    </row>
    <row r="1616" spans="1:36" ht="14.25" hidden="1" x14ac:dyDescent="0.2">
      <c r="A1616" t="s">
        <v>2533</v>
      </c>
      <c r="B1616" s="1">
        <v>46071</v>
      </c>
      <c r="C1616" t="s">
        <v>62</v>
      </c>
      <c r="D1616" t="s">
        <v>82</v>
      </c>
      <c r="E1616" t="s">
        <v>26</v>
      </c>
      <c r="F1616" t="s">
        <v>114</v>
      </c>
      <c r="G1616" t="s">
        <v>115</v>
      </c>
      <c r="H1616" t="s">
        <v>115</v>
      </c>
      <c r="I1616" t="s">
        <v>116</v>
      </c>
      <c r="J1616" t="s">
        <v>7026</v>
      </c>
      <c r="K1616" t="s">
        <v>78</v>
      </c>
      <c r="L1616" t="s">
        <v>46</v>
      </c>
      <c r="M1616" t="s">
        <v>87</v>
      </c>
      <c r="N1616" t="s">
        <v>48</v>
      </c>
      <c r="O1616" t="s">
        <v>36</v>
      </c>
      <c r="P1616" t="s">
        <v>49</v>
      </c>
      <c r="Q1616" t="s">
        <v>38</v>
      </c>
      <c r="R1616">
        <v>270</v>
      </c>
      <c r="S1616">
        <v>133</v>
      </c>
      <c r="T1616">
        <v>85</v>
      </c>
      <c r="U1616">
        <v>20</v>
      </c>
      <c r="V1616" t="s">
        <v>1149</v>
      </c>
      <c r="W1616">
        <v>25843</v>
      </c>
      <c r="X1616" t="s">
        <v>7462</v>
      </c>
      <c r="Y1616">
        <v>23344</v>
      </c>
      <c r="Z1616">
        <v>516860</v>
      </c>
      <c r="AA1616">
        <v>49980</v>
      </c>
      <c r="AB1616" t="str">
        <f>(VLOOKUP(SalesData[[#This Row],[Month Number]],Reference!C$5:E$16,2,FALSE))</f>
        <v>Feb</v>
      </c>
      <c r="AC1616">
        <f>MONTH(SalesData[[#This Row],[Date]])</f>
        <v>2</v>
      </c>
      <c r="AD1616">
        <f>Reference!F$4</f>
        <v>2026</v>
      </c>
      <c r="AE1616" t="str">
        <f>IF(OR(SalesData[[#This Row],[Day]]="Saturday",SalesData[[#This Row],[Day]]="Sunday"),"Weekend","Weekday")</f>
        <v>Weekday</v>
      </c>
      <c r="AF1616" s="5">
        <f>IF(SalesData[[#This Row],[Contracts Offered]]=0,0,SalesData[[#This Row],[Contracts Signed]]/SalesData[[#This Row],[Contracts Offered]])</f>
        <v>0.23529411764705882</v>
      </c>
      <c r="AG1616" s="5">
        <f>IF(SalesData[[#This Row],[Customers Visited]]=0,0,SalesData[[#This Row],[Test Drives]]/SalesData[[#This Row],[Customers Visited]])</f>
        <v>0.49259259259259258</v>
      </c>
      <c r="AH1616" s="5">
        <f>IF(SalesData[[#This Row],[Customers Visited]]=0,0,SalesData[[#This Row],[Contracts Signed]]/SalesData[[#This Row],[Customers Visited]])</f>
        <v>7.407407407407407E-2</v>
      </c>
      <c r="AI1616" s="6">
        <f>IF(SalesData[[#This Row],[Contracts Signed]]=0,0,SalesData[[#This Row],[Profit(€)]]/SalesData[[#This Row],[Contracts Signed]])</f>
        <v>2499</v>
      </c>
      <c r="AJ1616" s="5" t="str">
        <f>TRIM(CLEAN(SalesData[[#This Row],[Retailer]]))</f>
        <v>Elbe Drive</v>
      </c>
    </row>
    <row r="1617" spans="1:36" ht="14.25" hidden="1" x14ac:dyDescent="0.2">
      <c r="A1617" t="s">
        <v>2534</v>
      </c>
      <c r="B1617" s="1">
        <v>46072</v>
      </c>
      <c r="C1617" t="s">
        <v>62</v>
      </c>
      <c r="D1617" t="s">
        <v>100</v>
      </c>
      <c r="E1617" t="s">
        <v>26</v>
      </c>
      <c r="F1617" t="s">
        <v>127</v>
      </c>
      <c r="G1617" t="s">
        <v>128</v>
      </c>
      <c r="H1617" t="s">
        <v>103</v>
      </c>
      <c r="I1617" t="s">
        <v>104</v>
      </c>
      <c r="J1617" t="s">
        <v>105</v>
      </c>
      <c r="K1617" t="s">
        <v>32</v>
      </c>
      <c r="L1617" t="s">
        <v>33</v>
      </c>
      <c r="M1617" t="s">
        <v>34</v>
      </c>
      <c r="N1617" t="s">
        <v>69</v>
      </c>
      <c r="O1617" t="s">
        <v>70</v>
      </c>
      <c r="P1617" t="s">
        <v>71</v>
      </c>
      <c r="Q1617" t="s">
        <v>169</v>
      </c>
      <c r="R1617">
        <v>443</v>
      </c>
      <c r="S1617">
        <v>201</v>
      </c>
      <c r="T1617">
        <v>140</v>
      </c>
      <c r="U1617">
        <v>37</v>
      </c>
      <c r="V1617" t="s">
        <v>5583</v>
      </c>
      <c r="W1617">
        <v>31682</v>
      </c>
      <c r="X1617" t="s">
        <v>1424</v>
      </c>
      <c r="Y1617">
        <v>28587</v>
      </c>
      <c r="Z1617">
        <v>1172234</v>
      </c>
      <c r="AA1617">
        <v>114515</v>
      </c>
      <c r="AB1617" t="str">
        <f>(VLOOKUP(SalesData[[#This Row],[Month Number]],Reference!C$5:E$16,2,FALSE))</f>
        <v>Feb</v>
      </c>
      <c r="AC1617">
        <f>MONTH(SalesData[[#This Row],[Date]])</f>
        <v>2</v>
      </c>
      <c r="AD1617">
        <f>Reference!F$4</f>
        <v>2026</v>
      </c>
      <c r="AE1617" t="str">
        <f>IF(OR(SalesData[[#This Row],[Day]]="Saturday",SalesData[[#This Row],[Day]]="Sunday"),"Weekend","Weekday")</f>
        <v>Weekday</v>
      </c>
      <c r="AF1617" s="5">
        <f>IF(SalesData[[#This Row],[Contracts Offered]]=0,0,SalesData[[#This Row],[Contracts Signed]]/SalesData[[#This Row],[Contracts Offered]])</f>
        <v>0.26428571428571429</v>
      </c>
      <c r="AG1617" s="5">
        <f>IF(SalesData[[#This Row],[Customers Visited]]=0,0,SalesData[[#This Row],[Test Drives]]/SalesData[[#This Row],[Customers Visited]])</f>
        <v>0.45372460496613998</v>
      </c>
      <c r="AH1617" s="5">
        <f>IF(SalesData[[#This Row],[Customers Visited]]=0,0,SalesData[[#This Row],[Contracts Signed]]/SalesData[[#This Row],[Customers Visited]])</f>
        <v>8.35214446952596E-2</v>
      </c>
      <c r="AI1617" s="6">
        <f>IF(SalesData[[#This Row],[Contracts Signed]]=0,0,SalesData[[#This Row],[Profit(€)]]/SalesData[[#This Row],[Contracts Signed]])</f>
        <v>3095</v>
      </c>
      <c r="AJ1617" s="5" t="str">
        <f>TRIM(CLEAN(SalesData[[#This Row],[Retailer]]))</f>
        <v>Rhein Auto Group</v>
      </c>
    </row>
    <row r="1618" spans="1:36" ht="14.25" hidden="1" x14ac:dyDescent="0.2">
      <c r="A1618" t="s">
        <v>2536</v>
      </c>
      <c r="B1618" s="1">
        <v>46077</v>
      </c>
      <c r="C1618" t="s">
        <v>53</v>
      </c>
      <c r="D1618" t="s">
        <v>63</v>
      </c>
      <c r="E1618" t="s">
        <v>26</v>
      </c>
      <c r="F1618" t="s">
        <v>7649</v>
      </c>
      <c r="G1618" t="s">
        <v>55</v>
      </c>
      <c r="H1618" t="s">
        <v>55</v>
      </c>
      <c r="I1618" t="s">
        <v>64</v>
      </c>
      <c r="J1618" t="s">
        <v>77</v>
      </c>
      <c r="K1618" t="s">
        <v>78</v>
      </c>
      <c r="L1618" t="s">
        <v>46</v>
      </c>
      <c r="M1618" t="s">
        <v>87</v>
      </c>
      <c r="N1618" t="s">
        <v>48</v>
      </c>
      <c r="O1618" t="s">
        <v>36</v>
      </c>
      <c r="P1618" t="s">
        <v>58</v>
      </c>
      <c r="Q1618" t="s">
        <v>129</v>
      </c>
      <c r="R1618">
        <v>193</v>
      </c>
      <c r="S1618">
        <v>85</v>
      </c>
      <c r="T1618">
        <v>61</v>
      </c>
      <c r="U1618">
        <v>27</v>
      </c>
      <c r="V1618" t="s">
        <v>7463</v>
      </c>
      <c r="W1618">
        <v>61520</v>
      </c>
      <c r="X1618" t="s">
        <v>7424</v>
      </c>
      <c r="Y1618">
        <v>45301</v>
      </c>
      <c r="Z1618">
        <v>1661040</v>
      </c>
      <c r="AA1618">
        <v>437913</v>
      </c>
      <c r="AB1618" t="str">
        <f>(VLOOKUP(SalesData[[#This Row],[Month Number]],Reference!C$5:E$16,2,FALSE))</f>
        <v>Feb</v>
      </c>
      <c r="AC1618">
        <f>MONTH(SalesData[[#This Row],[Date]])</f>
        <v>2</v>
      </c>
      <c r="AD1618">
        <f>Reference!F$4</f>
        <v>2026</v>
      </c>
      <c r="AE1618" t="str">
        <f>IF(OR(SalesData[[#This Row],[Day]]="Saturday",SalesData[[#This Row],[Day]]="Sunday"),"Weekend","Weekday")</f>
        <v>Weekday</v>
      </c>
      <c r="AF1618" s="5">
        <f>IF(SalesData[[#This Row],[Contracts Offered]]=0,0,SalesData[[#This Row],[Contracts Signed]]/SalesData[[#This Row],[Contracts Offered]])</f>
        <v>0.44262295081967212</v>
      </c>
      <c r="AG1618" s="5">
        <f>IF(SalesData[[#This Row],[Customers Visited]]=0,0,SalesData[[#This Row],[Test Drives]]/SalesData[[#This Row],[Customers Visited]])</f>
        <v>0.44041450777202074</v>
      </c>
      <c r="AH1618" s="5">
        <f>IF(SalesData[[#This Row],[Customers Visited]]=0,0,SalesData[[#This Row],[Contracts Signed]]/SalesData[[#This Row],[Customers Visited]])</f>
        <v>0.13989637305699482</v>
      </c>
      <c r="AI1618" s="6">
        <f>IF(SalesData[[#This Row],[Contracts Signed]]=0,0,SalesData[[#This Row],[Profit(€)]]/SalesData[[#This Row],[Contracts Signed]])</f>
        <v>16219</v>
      </c>
      <c r="AJ1618" s="5" t="str">
        <f>TRIM(CLEAN(SalesData[[#This Row],[Retailer]]))</f>
        <v>Autohaus Berlin</v>
      </c>
    </row>
    <row r="1619" spans="1:36" ht="14.25" x14ac:dyDescent="0.2">
      <c r="A1619" t="s">
        <v>2537</v>
      </c>
      <c r="B1619" s="1">
        <v>46054</v>
      </c>
      <c r="C1619" t="s">
        <v>24</v>
      </c>
      <c r="D1619" t="s">
        <v>41</v>
      </c>
      <c r="E1619" t="s">
        <v>42</v>
      </c>
      <c r="F1619" t="s">
        <v>101</v>
      </c>
      <c r="G1619" t="s">
        <v>102</v>
      </c>
      <c r="H1619" t="s">
        <v>103</v>
      </c>
      <c r="I1619" t="s">
        <v>30</v>
      </c>
      <c r="J1619" t="s">
        <v>31</v>
      </c>
      <c r="K1619" t="s">
        <v>32</v>
      </c>
      <c r="L1619" t="s">
        <v>46</v>
      </c>
      <c r="M1619" t="s">
        <v>34</v>
      </c>
      <c r="N1619" t="s">
        <v>48</v>
      </c>
      <c r="O1619" t="s">
        <v>70</v>
      </c>
      <c r="P1619" t="s">
        <v>58</v>
      </c>
      <c r="Q1619" t="s">
        <v>118</v>
      </c>
      <c r="R1619">
        <v>258</v>
      </c>
      <c r="S1619">
        <v>123</v>
      </c>
      <c r="T1619">
        <v>91</v>
      </c>
      <c r="U1619">
        <v>36</v>
      </c>
      <c r="V1619" t="s">
        <v>6419</v>
      </c>
      <c r="W1619">
        <v>64515</v>
      </c>
      <c r="X1619" t="s">
        <v>7107</v>
      </c>
      <c r="Y1619">
        <v>47578</v>
      </c>
      <c r="Z1619">
        <v>2322540</v>
      </c>
      <c r="AA1619">
        <v>609732</v>
      </c>
      <c r="AB1619" t="str">
        <f>(VLOOKUP(SalesData[[#This Row],[Month Number]],Reference!C$5:E$16,2,FALSE))</f>
        <v>Feb</v>
      </c>
      <c r="AC1619">
        <f>MONTH(SalesData[[#This Row],[Date]])</f>
        <v>2</v>
      </c>
      <c r="AD1619">
        <f>Reference!F$4</f>
        <v>2026</v>
      </c>
      <c r="AE1619" t="str">
        <f>IF(OR(SalesData[[#This Row],[Day]]="Saturday",SalesData[[#This Row],[Day]]="Sunday"),"Weekend","Weekday")</f>
        <v>Weekend</v>
      </c>
      <c r="AF1619" s="5">
        <f>IF(SalesData[[#This Row],[Contracts Offered]]=0,0,SalesData[[#This Row],[Contracts Signed]]/SalesData[[#This Row],[Contracts Offered]])</f>
        <v>0.39560439560439559</v>
      </c>
      <c r="AG1619" s="5">
        <f>IF(SalesData[[#This Row],[Customers Visited]]=0,0,SalesData[[#This Row],[Test Drives]]/SalesData[[#This Row],[Customers Visited]])</f>
        <v>0.47674418604651164</v>
      </c>
      <c r="AH1619" s="5">
        <f>IF(SalesData[[#This Row],[Customers Visited]]=0,0,SalesData[[#This Row],[Contracts Signed]]/SalesData[[#This Row],[Customers Visited]])</f>
        <v>0.13953488372093023</v>
      </c>
      <c r="AI1619" s="6">
        <f>IF(SalesData[[#This Row],[Contracts Signed]]=0,0,SalesData[[#This Row],[Profit(€)]]/SalesData[[#This Row],[Contracts Signed]])</f>
        <v>16937</v>
      </c>
      <c r="AJ1619" s="5" t="str">
        <f>TRIM(CLEAN(SalesData[[#This Row],[Retailer]]))</f>
        <v>Ruhr Auto Plaza</v>
      </c>
    </row>
    <row r="1620" spans="1:36" ht="14.25" hidden="1" x14ac:dyDescent="0.2">
      <c r="A1620" t="s">
        <v>2539</v>
      </c>
      <c r="B1620" s="1">
        <v>46063</v>
      </c>
      <c r="C1620" t="s">
        <v>121</v>
      </c>
      <c r="D1620" t="s">
        <v>63</v>
      </c>
      <c r="E1620" t="s">
        <v>26</v>
      </c>
      <c r="F1620" t="s">
        <v>74</v>
      </c>
      <c r="G1620" t="s">
        <v>75</v>
      </c>
      <c r="H1620" t="s">
        <v>76</v>
      </c>
      <c r="I1620" t="s">
        <v>56</v>
      </c>
      <c r="J1620" t="s">
        <v>57</v>
      </c>
      <c r="K1620" t="s">
        <v>78</v>
      </c>
      <c r="L1620" t="s">
        <v>46</v>
      </c>
      <c r="M1620" t="s">
        <v>47</v>
      </c>
      <c r="N1620" t="s">
        <v>35</v>
      </c>
      <c r="O1620" t="s">
        <v>70</v>
      </c>
      <c r="P1620" t="s">
        <v>37</v>
      </c>
      <c r="Q1620" t="s">
        <v>144</v>
      </c>
      <c r="R1620">
        <v>232</v>
      </c>
      <c r="S1620">
        <v>135</v>
      </c>
      <c r="T1620">
        <v>101</v>
      </c>
      <c r="U1620">
        <v>31</v>
      </c>
      <c r="V1620" t="s">
        <v>6371</v>
      </c>
      <c r="W1620">
        <v>54619</v>
      </c>
      <c r="X1620" t="s">
        <v>170</v>
      </c>
      <c r="Y1620">
        <v>41046</v>
      </c>
      <c r="Z1620">
        <v>1693189</v>
      </c>
      <c r="AA1620">
        <v>420763</v>
      </c>
      <c r="AB1620" t="str">
        <f>(VLOOKUP(SalesData[[#This Row],[Month Number]],Reference!C$5:E$16,2,FALSE))</f>
        <v>Feb</v>
      </c>
      <c r="AC1620">
        <f>MONTH(SalesData[[#This Row],[Date]])</f>
        <v>2</v>
      </c>
      <c r="AD1620">
        <f>Reference!F$4</f>
        <v>2026</v>
      </c>
      <c r="AE1620" t="str">
        <f>IF(OR(SalesData[[#This Row],[Day]]="Saturday",SalesData[[#This Row],[Day]]="Sunday"),"Weekend","Weekday")</f>
        <v>Weekday</v>
      </c>
      <c r="AF1620" s="5">
        <f>IF(SalesData[[#This Row],[Contracts Offered]]=0,0,SalesData[[#This Row],[Contracts Signed]]/SalesData[[#This Row],[Contracts Offered]])</f>
        <v>0.30693069306930693</v>
      </c>
      <c r="AG1620" s="5">
        <f>IF(SalesData[[#This Row],[Customers Visited]]=0,0,SalesData[[#This Row],[Test Drives]]/SalesData[[#This Row],[Customers Visited]])</f>
        <v>0.5818965517241379</v>
      </c>
      <c r="AH1620" s="5">
        <f>IF(SalesData[[#This Row],[Customers Visited]]=0,0,SalesData[[#This Row],[Contracts Signed]]/SalesData[[#This Row],[Customers Visited]])</f>
        <v>0.1336206896551724</v>
      </c>
      <c r="AI1620" s="6">
        <f>IF(SalesData[[#This Row],[Contracts Signed]]=0,0,SalesData[[#This Row],[Profit(€)]]/SalesData[[#This Row],[Contracts Signed]])</f>
        <v>13573</v>
      </c>
      <c r="AJ1620" s="5" t="str">
        <f>TRIM(CLEAN(SalesData[[#This Row],[Retailer]]))</f>
        <v>Stuttgart Auto Center</v>
      </c>
    </row>
    <row r="1621" spans="1:36" ht="14.25" x14ac:dyDescent="0.2">
      <c r="A1621" t="s">
        <v>2540</v>
      </c>
      <c r="B1621" s="1">
        <v>46066</v>
      </c>
      <c r="C1621" t="s">
        <v>121</v>
      </c>
      <c r="D1621" t="s">
        <v>54</v>
      </c>
      <c r="E1621" t="s">
        <v>26</v>
      </c>
      <c r="F1621" t="s">
        <v>101</v>
      </c>
      <c r="G1621" t="s">
        <v>102</v>
      </c>
      <c r="H1621" t="s">
        <v>103</v>
      </c>
      <c r="I1621" t="s">
        <v>30</v>
      </c>
      <c r="J1621" t="s">
        <v>166</v>
      </c>
      <c r="K1621" t="s">
        <v>91</v>
      </c>
      <c r="L1621" t="s">
        <v>46</v>
      </c>
      <c r="M1621" t="s">
        <v>87</v>
      </c>
      <c r="N1621" t="s">
        <v>48</v>
      </c>
      <c r="O1621" t="s">
        <v>36</v>
      </c>
      <c r="P1621" t="s">
        <v>71</v>
      </c>
      <c r="Q1621" t="s">
        <v>79</v>
      </c>
      <c r="R1621">
        <v>152</v>
      </c>
      <c r="S1621">
        <v>82</v>
      </c>
      <c r="T1621">
        <v>65</v>
      </c>
      <c r="U1621">
        <v>24</v>
      </c>
      <c r="V1621" t="s">
        <v>6419</v>
      </c>
      <c r="W1621">
        <v>62144</v>
      </c>
      <c r="X1621" t="s">
        <v>2796</v>
      </c>
      <c r="Y1621">
        <v>47861</v>
      </c>
      <c r="Z1621">
        <v>1491456</v>
      </c>
      <c r="AA1621">
        <v>342792</v>
      </c>
      <c r="AB1621" t="str">
        <f>(VLOOKUP(SalesData[[#This Row],[Month Number]],Reference!C$5:E$16,2,FALSE))</f>
        <v>Feb</v>
      </c>
      <c r="AC1621">
        <f>MONTH(SalesData[[#This Row],[Date]])</f>
        <v>2</v>
      </c>
      <c r="AD1621">
        <f>Reference!F$4</f>
        <v>2026</v>
      </c>
      <c r="AE1621" t="str">
        <f>IF(OR(SalesData[[#This Row],[Day]]="Saturday",SalesData[[#This Row],[Day]]="Sunday"),"Weekend","Weekday")</f>
        <v>Weekday</v>
      </c>
      <c r="AF1621" s="5">
        <f>IF(SalesData[[#This Row],[Contracts Offered]]=0,0,SalesData[[#This Row],[Contracts Signed]]/SalesData[[#This Row],[Contracts Offered]])</f>
        <v>0.36923076923076925</v>
      </c>
      <c r="AG1621" s="5">
        <f>IF(SalesData[[#This Row],[Customers Visited]]=0,0,SalesData[[#This Row],[Test Drives]]/SalesData[[#This Row],[Customers Visited]])</f>
        <v>0.53947368421052633</v>
      </c>
      <c r="AH1621" s="5">
        <f>IF(SalesData[[#This Row],[Customers Visited]]=0,0,SalesData[[#This Row],[Contracts Signed]]/SalesData[[#This Row],[Customers Visited]])</f>
        <v>0.15789473684210525</v>
      </c>
      <c r="AI1621" s="6">
        <f>IF(SalesData[[#This Row],[Contracts Signed]]=0,0,SalesData[[#This Row],[Profit(€)]]/SalesData[[#This Row],[Contracts Signed]])</f>
        <v>14283</v>
      </c>
      <c r="AJ1621" s="5" t="str">
        <f>TRIM(CLEAN(SalesData[[#This Row],[Retailer]]))</f>
        <v>Ruhr Auto Plaza</v>
      </c>
    </row>
    <row r="1622" spans="1:36" ht="14.25" hidden="1" x14ac:dyDescent="0.2">
      <c r="A1622" t="s">
        <v>2542</v>
      </c>
      <c r="B1622" s="1">
        <v>46067</v>
      </c>
      <c r="C1622" t="s">
        <v>121</v>
      </c>
      <c r="D1622" t="s">
        <v>151</v>
      </c>
      <c r="E1622" t="s">
        <v>42</v>
      </c>
      <c r="F1622" t="s">
        <v>101</v>
      </c>
      <c r="G1622" t="s">
        <v>102</v>
      </c>
      <c r="H1622" t="s">
        <v>103</v>
      </c>
      <c r="I1622" t="s">
        <v>64</v>
      </c>
      <c r="J1622" t="s">
        <v>157</v>
      </c>
      <c r="K1622" t="s">
        <v>32</v>
      </c>
      <c r="L1622" t="s">
        <v>33</v>
      </c>
      <c r="M1622" t="s">
        <v>87</v>
      </c>
      <c r="N1622" t="s">
        <v>69</v>
      </c>
      <c r="O1622" t="s">
        <v>36</v>
      </c>
      <c r="P1622" t="s">
        <v>58</v>
      </c>
      <c r="Q1622" t="s">
        <v>79</v>
      </c>
      <c r="R1622">
        <v>205</v>
      </c>
      <c r="S1622">
        <v>118</v>
      </c>
      <c r="T1622">
        <v>90</v>
      </c>
      <c r="U1622">
        <v>31</v>
      </c>
      <c r="V1622" t="s">
        <v>6602</v>
      </c>
      <c r="W1622">
        <v>62732</v>
      </c>
      <c r="X1622" t="s">
        <v>7138</v>
      </c>
      <c r="Y1622">
        <v>48871</v>
      </c>
      <c r="Z1622">
        <v>1944692</v>
      </c>
      <c r="AA1622">
        <v>429691</v>
      </c>
      <c r="AB1622" t="str">
        <f>(VLOOKUP(SalesData[[#This Row],[Month Number]],Reference!C$5:E$16,2,FALSE))</f>
        <v>Feb</v>
      </c>
      <c r="AC1622">
        <f>MONTH(SalesData[[#This Row],[Date]])</f>
        <v>2</v>
      </c>
      <c r="AD1622">
        <f>Reference!F$4</f>
        <v>2026</v>
      </c>
      <c r="AE1622" t="str">
        <f>IF(OR(SalesData[[#This Row],[Day]]="Saturday",SalesData[[#This Row],[Day]]="Sunday"),"Weekend","Weekday")</f>
        <v>Weekend</v>
      </c>
      <c r="AF1622" s="5">
        <f>IF(SalesData[[#This Row],[Contracts Offered]]=0,0,SalesData[[#This Row],[Contracts Signed]]/SalesData[[#This Row],[Contracts Offered]])</f>
        <v>0.34444444444444444</v>
      </c>
      <c r="AG1622" s="5">
        <f>IF(SalesData[[#This Row],[Customers Visited]]=0,0,SalesData[[#This Row],[Test Drives]]/SalesData[[#This Row],[Customers Visited]])</f>
        <v>0.57560975609756093</v>
      </c>
      <c r="AH1622" s="5">
        <f>IF(SalesData[[#This Row],[Customers Visited]]=0,0,SalesData[[#This Row],[Contracts Signed]]/SalesData[[#This Row],[Customers Visited]])</f>
        <v>0.15121951219512195</v>
      </c>
      <c r="AI1622" s="6">
        <f>IF(SalesData[[#This Row],[Contracts Signed]]=0,0,SalesData[[#This Row],[Profit(€)]]/SalesData[[#This Row],[Contracts Signed]])</f>
        <v>13861</v>
      </c>
      <c r="AJ1622" s="5" t="str">
        <f>TRIM(CLEAN(SalesData[[#This Row],[Retailer]]))</f>
        <v>Ruhr Auto Plaza</v>
      </c>
    </row>
    <row r="1623" spans="1:36" ht="14.25" hidden="1" x14ac:dyDescent="0.2">
      <c r="A1623" t="s">
        <v>2544</v>
      </c>
      <c r="B1623" s="1">
        <v>46063</v>
      </c>
      <c r="C1623" t="s">
        <v>121</v>
      </c>
      <c r="D1623" t="s">
        <v>63</v>
      </c>
      <c r="E1623" t="s">
        <v>26</v>
      </c>
      <c r="F1623" t="s">
        <v>7649</v>
      </c>
      <c r="G1623" t="s">
        <v>55</v>
      </c>
      <c r="H1623" t="s">
        <v>55</v>
      </c>
      <c r="I1623" t="s">
        <v>116</v>
      </c>
      <c r="J1623" t="s">
        <v>203</v>
      </c>
      <c r="K1623" t="s">
        <v>66</v>
      </c>
      <c r="L1623" t="s">
        <v>67</v>
      </c>
      <c r="M1623" t="s">
        <v>34</v>
      </c>
      <c r="N1623" t="s">
        <v>35</v>
      </c>
      <c r="O1623" t="s">
        <v>70</v>
      </c>
      <c r="P1623" t="s">
        <v>58</v>
      </c>
      <c r="Q1623" t="s">
        <v>135</v>
      </c>
      <c r="R1623">
        <v>358</v>
      </c>
      <c r="S1623">
        <v>182</v>
      </c>
      <c r="T1623">
        <v>122</v>
      </c>
      <c r="U1623">
        <v>33</v>
      </c>
      <c r="V1623" t="s">
        <v>878</v>
      </c>
      <c r="W1623">
        <v>21144</v>
      </c>
      <c r="X1623" t="s">
        <v>3980</v>
      </c>
      <c r="Y1623">
        <v>19274</v>
      </c>
      <c r="Z1623">
        <v>697752</v>
      </c>
      <c r="AA1623">
        <v>61710</v>
      </c>
      <c r="AB1623" t="str">
        <f>(VLOOKUP(SalesData[[#This Row],[Month Number]],Reference!C$5:E$16,2,FALSE))</f>
        <v>Feb</v>
      </c>
      <c r="AC1623">
        <f>MONTH(SalesData[[#This Row],[Date]])</f>
        <v>2</v>
      </c>
      <c r="AD1623">
        <f>Reference!F$4</f>
        <v>2026</v>
      </c>
      <c r="AE1623" t="str">
        <f>IF(OR(SalesData[[#This Row],[Day]]="Saturday",SalesData[[#This Row],[Day]]="Sunday"),"Weekend","Weekday")</f>
        <v>Weekday</v>
      </c>
      <c r="AF1623" s="5">
        <f>IF(SalesData[[#This Row],[Contracts Offered]]=0,0,SalesData[[#This Row],[Contracts Signed]]/SalesData[[#This Row],[Contracts Offered]])</f>
        <v>0.27049180327868855</v>
      </c>
      <c r="AG1623" s="5">
        <f>IF(SalesData[[#This Row],[Customers Visited]]=0,0,SalesData[[#This Row],[Test Drives]]/SalesData[[#This Row],[Customers Visited]])</f>
        <v>0.50837988826815639</v>
      </c>
      <c r="AH1623" s="5">
        <f>IF(SalesData[[#This Row],[Customers Visited]]=0,0,SalesData[[#This Row],[Contracts Signed]]/SalesData[[#This Row],[Customers Visited]])</f>
        <v>9.217877094972067E-2</v>
      </c>
      <c r="AI1623" s="6">
        <f>IF(SalesData[[#This Row],[Contracts Signed]]=0,0,SalesData[[#This Row],[Profit(€)]]/SalesData[[#This Row],[Contracts Signed]])</f>
        <v>1870</v>
      </c>
      <c r="AJ1623" s="5" t="str">
        <f>TRIM(CLEAN(SalesData[[#This Row],[Retailer]]))</f>
        <v>Autohaus Berlin</v>
      </c>
    </row>
    <row r="1624" spans="1:36" ht="14.25" hidden="1" x14ac:dyDescent="0.2">
      <c r="A1624" t="s">
        <v>2545</v>
      </c>
      <c r="B1624" s="1">
        <v>46074</v>
      </c>
      <c r="C1624" t="s">
        <v>62</v>
      </c>
      <c r="D1624" t="s">
        <v>151</v>
      </c>
      <c r="E1624" t="s">
        <v>42</v>
      </c>
      <c r="F1624" t="s">
        <v>127</v>
      </c>
      <c r="G1624" t="s">
        <v>128</v>
      </c>
      <c r="H1624" t="s">
        <v>103</v>
      </c>
      <c r="I1624" t="s">
        <v>64</v>
      </c>
      <c r="J1624" t="s">
        <v>77</v>
      </c>
      <c r="K1624" t="s">
        <v>91</v>
      </c>
      <c r="L1624" t="s">
        <v>46</v>
      </c>
      <c r="M1624" t="s">
        <v>47</v>
      </c>
      <c r="N1624" t="s">
        <v>35</v>
      </c>
      <c r="O1624" t="s">
        <v>70</v>
      </c>
      <c r="P1624" t="s">
        <v>58</v>
      </c>
      <c r="Q1624" t="s">
        <v>167</v>
      </c>
      <c r="R1624">
        <v>170</v>
      </c>
      <c r="S1624">
        <v>98</v>
      </c>
      <c r="T1624">
        <v>66</v>
      </c>
      <c r="U1624">
        <v>26</v>
      </c>
      <c r="V1624" t="s">
        <v>6655</v>
      </c>
      <c r="W1624">
        <v>58430</v>
      </c>
      <c r="X1624" t="s">
        <v>7348</v>
      </c>
      <c r="Y1624">
        <v>43986</v>
      </c>
      <c r="Z1624">
        <v>1519180</v>
      </c>
      <c r="AA1624">
        <v>375544</v>
      </c>
      <c r="AB1624" t="str">
        <f>(VLOOKUP(SalesData[[#This Row],[Month Number]],Reference!C$5:E$16,2,FALSE))</f>
        <v>Feb</v>
      </c>
      <c r="AC1624">
        <f>MONTH(SalesData[[#This Row],[Date]])</f>
        <v>2</v>
      </c>
      <c r="AD1624">
        <f>Reference!F$4</f>
        <v>2026</v>
      </c>
      <c r="AE1624" t="str">
        <f>IF(OR(SalesData[[#This Row],[Day]]="Saturday",SalesData[[#This Row],[Day]]="Sunday"),"Weekend","Weekday")</f>
        <v>Weekend</v>
      </c>
      <c r="AF1624" s="5">
        <f>IF(SalesData[[#This Row],[Contracts Offered]]=0,0,SalesData[[#This Row],[Contracts Signed]]/SalesData[[#This Row],[Contracts Offered]])</f>
        <v>0.39393939393939392</v>
      </c>
      <c r="AG1624" s="5">
        <f>IF(SalesData[[#This Row],[Customers Visited]]=0,0,SalesData[[#This Row],[Test Drives]]/SalesData[[#This Row],[Customers Visited]])</f>
        <v>0.57647058823529407</v>
      </c>
      <c r="AH1624" s="5">
        <f>IF(SalesData[[#This Row],[Customers Visited]]=0,0,SalesData[[#This Row],[Contracts Signed]]/SalesData[[#This Row],[Customers Visited]])</f>
        <v>0.15294117647058825</v>
      </c>
      <c r="AI1624" s="6">
        <f>IF(SalesData[[#This Row],[Contracts Signed]]=0,0,SalesData[[#This Row],[Profit(€)]]/SalesData[[#This Row],[Contracts Signed]])</f>
        <v>14444</v>
      </c>
      <c r="AJ1624" s="5" t="str">
        <f>TRIM(CLEAN(SalesData[[#This Row],[Retailer]]))</f>
        <v>Rhein Auto Group</v>
      </c>
    </row>
    <row r="1625" spans="1:36" ht="14.25" hidden="1" x14ac:dyDescent="0.2">
      <c r="A1625" t="s">
        <v>2546</v>
      </c>
      <c r="B1625" s="1">
        <v>46065</v>
      </c>
      <c r="C1625" t="s">
        <v>121</v>
      </c>
      <c r="D1625" t="s">
        <v>100</v>
      </c>
      <c r="E1625" t="s">
        <v>26</v>
      </c>
      <c r="F1625" t="s">
        <v>114</v>
      </c>
      <c r="G1625" t="s">
        <v>115</v>
      </c>
      <c r="H1625" t="s">
        <v>115</v>
      </c>
      <c r="I1625" t="s">
        <v>116</v>
      </c>
      <c r="J1625" t="s">
        <v>7026</v>
      </c>
      <c r="K1625" t="s">
        <v>32</v>
      </c>
      <c r="L1625" t="s">
        <v>46</v>
      </c>
      <c r="M1625" t="s">
        <v>47</v>
      </c>
      <c r="N1625" t="s">
        <v>48</v>
      </c>
      <c r="O1625" t="s">
        <v>36</v>
      </c>
      <c r="P1625" t="s">
        <v>58</v>
      </c>
      <c r="Q1625" t="s">
        <v>169</v>
      </c>
      <c r="R1625">
        <v>277</v>
      </c>
      <c r="S1625">
        <v>113</v>
      </c>
      <c r="T1625">
        <v>64</v>
      </c>
      <c r="U1625">
        <v>22</v>
      </c>
      <c r="V1625" t="s">
        <v>7464</v>
      </c>
      <c r="W1625">
        <v>20920</v>
      </c>
      <c r="X1625" t="s">
        <v>7357</v>
      </c>
      <c r="Y1625">
        <v>18753</v>
      </c>
      <c r="Z1625">
        <v>460240</v>
      </c>
      <c r="AA1625">
        <v>47674</v>
      </c>
      <c r="AB1625" t="str">
        <f>(VLOOKUP(SalesData[[#This Row],[Month Number]],Reference!C$5:E$16,2,FALSE))</f>
        <v>Feb</v>
      </c>
      <c r="AC1625">
        <f>MONTH(SalesData[[#This Row],[Date]])</f>
        <v>2</v>
      </c>
      <c r="AD1625">
        <f>Reference!F$4</f>
        <v>2026</v>
      </c>
      <c r="AE1625" t="str">
        <f>IF(OR(SalesData[[#This Row],[Day]]="Saturday",SalesData[[#This Row],[Day]]="Sunday"),"Weekend","Weekday")</f>
        <v>Weekday</v>
      </c>
      <c r="AF1625" s="5">
        <f>IF(SalesData[[#This Row],[Contracts Offered]]=0,0,SalesData[[#This Row],[Contracts Signed]]/SalesData[[#This Row],[Contracts Offered]])</f>
        <v>0.34375</v>
      </c>
      <c r="AG1625" s="5">
        <f>IF(SalesData[[#This Row],[Customers Visited]]=0,0,SalesData[[#This Row],[Test Drives]]/SalesData[[#This Row],[Customers Visited]])</f>
        <v>0.40794223826714804</v>
      </c>
      <c r="AH1625" s="5">
        <f>IF(SalesData[[#This Row],[Customers Visited]]=0,0,SalesData[[#This Row],[Contracts Signed]]/SalesData[[#This Row],[Customers Visited]])</f>
        <v>7.9422382671480149E-2</v>
      </c>
      <c r="AI1625" s="6">
        <f>IF(SalesData[[#This Row],[Contracts Signed]]=0,0,SalesData[[#This Row],[Profit(€)]]/SalesData[[#This Row],[Contracts Signed]])</f>
        <v>2167</v>
      </c>
      <c r="AJ1625" s="5" t="str">
        <f>TRIM(CLEAN(SalesData[[#This Row],[Retailer]]))</f>
        <v>Elbe Drive</v>
      </c>
    </row>
    <row r="1626" spans="1:36" ht="14.25" hidden="1" x14ac:dyDescent="0.2">
      <c r="A1626" t="s">
        <v>2547</v>
      </c>
      <c r="B1626" s="1">
        <v>46055</v>
      </c>
      <c r="C1626" t="s">
        <v>24</v>
      </c>
      <c r="D1626" t="s">
        <v>25</v>
      </c>
      <c r="E1626" t="s">
        <v>26</v>
      </c>
      <c r="F1626" t="s">
        <v>83</v>
      </c>
      <c r="G1626" t="s">
        <v>84</v>
      </c>
      <c r="H1626" t="s">
        <v>85</v>
      </c>
      <c r="I1626" t="s">
        <v>64</v>
      </c>
      <c r="J1626" t="s">
        <v>111</v>
      </c>
      <c r="K1626" t="s">
        <v>32</v>
      </c>
      <c r="L1626" t="s">
        <v>46</v>
      </c>
      <c r="M1626" t="s">
        <v>47</v>
      </c>
      <c r="N1626" t="s">
        <v>48</v>
      </c>
      <c r="O1626" t="s">
        <v>70</v>
      </c>
      <c r="P1626" t="s">
        <v>71</v>
      </c>
      <c r="Q1626" t="s">
        <v>129</v>
      </c>
      <c r="R1626">
        <v>185</v>
      </c>
      <c r="S1626">
        <v>108</v>
      </c>
      <c r="T1626">
        <v>74</v>
      </c>
      <c r="U1626">
        <v>29</v>
      </c>
      <c r="V1626" t="s">
        <v>6727</v>
      </c>
      <c r="W1626">
        <v>50388</v>
      </c>
      <c r="X1626" t="s">
        <v>7254</v>
      </c>
      <c r="Y1626">
        <v>37934</v>
      </c>
      <c r="Z1626">
        <v>1461252</v>
      </c>
      <c r="AA1626">
        <v>361166</v>
      </c>
      <c r="AB1626" t="str">
        <f>(VLOOKUP(SalesData[[#This Row],[Month Number]],Reference!C$5:E$16,2,FALSE))</f>
        <v>Feb</v>
      </c>
      <c r="AC1626">
        <f>MONTH(SalesData[[#This Row],[Date]])</f>
        <v>2</v>
      </c>
      <c r="AD1626">
        <f>Reference!F$4</f>
        <v>2026</v>
      </c>
      <c r="AE1626" t="str">
        <f>IF(OR(SalesData[[#This Row],[Day]]="Saturday",SalesData[[#This Row],[Day]]="Sunday"),"Weekend","Weekday")</f>
        <v>Weekday</v>
      </c>
      <c r="AF1626" s="5">
        <f>IF(SalesData[[#This Row],[Contracts Offered]]=0,0,SalesData[[#This Row],[Contracts Signed]]/SalesData[[#This Row],[Contracts Offered]])</f>
        <v>0.39189189189189189</v>
      </c>
      <c r="AG1626" s="5">
        <f>IF(SalesData[[#This Row],[Customers Visited]]=0,0,SalesData[[#This Row],[Test Drives]]/SalesData[[#This Row],[Customers Visited]])</f>
        <v>0.58378378378378382</v>
      </c>
      <c r="AH1626" s="5">
        <f>IF(SalesData[[#This Row],[Customers Visited]]=0,0,SalesData[[#This Row],[Contracts Signed]]/SalesData[[#This Row],[Customers Visited]])</f>
        <v>0.15675675675675677</v>
      </c>
      <c r="AI1626" s="6">
        <f>IF(SalesData[[#This Row],[Contracts Signed]]=0,0,SalesData[[#This Row],[Profit(€)]]/SalesData[[#This Row],[Contracts Signed]])</f>
        <v>12454</v>
      </c>
      <c r="AJ1626" s="5" t="str">
        <f>TRIM(CLEAN(SalesData[[#This Row],[Retailer]]))</f>
        <v>Hannover Cars</v>
      </c>
    </row>
    <row r="1627" spans="1:36" ht="14.25" hidden="1" x14ac:dyDescent="0.2">
      <c r="A1627" t="s">
        <v>2548</v>
      </c>
      <c r="B1627" s="1">
        <v>46069</v>
      </c>
      <c r="C1627" t="s">
        <v>62</v>
      </c>
      <c r="D1627" t="s">
        <v>25</v>
      </c>
      <c r="E1627" t="s">
        <v>26</v>
      </c>
      <c r="F1627" t="s">
        <v>127</v>
      </c>
      <c r="G1627" t="s">
        <v>128</v>
      </c>
      <c r="H1627" t="s">
        <v>103</v>
      </c>
      <c r="I1627" t="s">
        <v>64</v>
      </c>
      <c r="J1627" t="s">
        <v>7029</v>
      </c>
      <c r="K1627" t="s">
        <v>32</v>
      </c>
      <c r="L1627" t="s">
        <v>33</v>
      </c>
      <c r="M1627" t="s">
        <v>68</v>
      </c>
      <c r="N1627" t="s">
        <v>48</v>
      </c>
      <c r="O1627" t="s">
        <v>36</v>
      </c>
      <c r="P1627" t="s">
        <v>58</v>
      </c>
      <c r="Q1627" t="s">
        <v>189</v>
      </c>
      <c r="R1627">
        <v>263</v>
      </c>
      <c r="S1627">
        <v>155</v>
      </c>
      <c r="T1627">
        <v>113</v>
      </c>
      <c r="U1627">
        <v>44</v>
      </c>
      <c r="V1627" t="s">
        <v>6611</v>
      </c>
      <c r="W1627">
        <v>59483</v>
      </c>
      <c r="X1627" t="s">
        <v>7465</v>
      </c>
      <c r="Y1627">
        <v>43298</v>
      </c>
      <c r="Z1627">
        <v>2617252</v>
      </c>
      <c r="AA1627">
        <v>712140</v>
      </c>
      <c r="AB1627" t="str">
        <f>(VLOOKUP(SalesData[[#This Row],[Month Number]],Reference!C$5:E$16,2,FALSE))</f>
        <v>Feb</v>
      </c>
      <c r="AC1627">
        <f>MONTH(SalesData[[#This Row],[Date]])</f>
        <v>2</v>
      </c>
      <c r="AD1627">
        <f>Reference!F$4</f>
        <v>2026</v>
      </c>
      <c r="AE1627" t="str">
        <f>IF(OR(SalesData[[#This Row],[Day]]="Saturday",SalesData[[#This Row],[Day]]="Sunday"),"Weekend","Weekday")</f>
        <v>Weekday</v>
      </c>
      <c r="AF1627" s="5">
        <f>IF(SalesData[[#This Row],[Contracts Offered]]=0,0,SalesData[[#This Row],[Contracts Signed]]/SalesData[[#This Row],[Contracts Offered]])</f>
        <v>0.38938053097345132</v>
      </c>
      <c r="AG1627" s="5">
        <f>IF(SalesData[[#This Row],[Customers Visited]]=0,0,SalesData[[#This Row],[Test Drives]]/SalesData[[#This Row],[Customers Visited]])</f>
        <v>0.58935361216730042</v>
      </c>
      <c r="AH1627" s="5">
        <f>IF(SalesData[[#This Row],[Customers Visited]]=0,0,SalesData[[#This Row],[Contracts Signed]]/SalesData[[#This Row],[Customers Visited]])</f>
        <v>0.16730038022813687</v>
      </c>
      <c r="AI1627" s="6">
        <f>IF(SalesData[[#This Row],[Contracts Signed]]=0,0,SalesData[[#This Row],[Profit(€)]]/SalesData[[#This Row],[Contracts Signed]])</f>
        <v>16185</v>
      </c>
      <c r="AJ1627" s="5" t="str">
        <f>TRIM(CLEAN(SalesData[[#This Row],[Retailer]]))</f>
        <v>Rhein Auto Group</v>
      </c>
    </row>
    <row r="1628" spans="1:36" ht="14.25" hidden="1" x14ac:dyDescent="0.2">
      <c r="A1628" t="s">
        <v>2549</v>
      </c>
      <c r="B1628" s="1">
        <v>46079</v>
      </c>
      <c r="C1628" t="s">
        <v>53</v>
      </c>
      <c r="D1628" t="s">
        <v>100</v>
      </c>
      <c r="E1628" t="s">
        <v>26</v>
      </c>
      <c r="F1628" t="s">
        <v>101</v>
      </c>
      <c r="G1628" t="s">
        <v>102</v>
      </c>
      <c r="H1628" t="s">
        <v>103</v>
      </c>
      <c r="I1628" t="s">
        <v>104</v>
      </c>
      <c r="J1628" t="s">
        <v>143</v>
      </c>
      <c r="K1628" t="s">
        <v>91</v>
      </c>
      <c r="L1628" t="s">
        <v>67</v>
      </c>
      <c r="M1628" t="s">
        <v>68</v>
      </c>
      <c r="N1628" t="s">
        <v>69</v>
      </c>
      <c r="O1628" t="s">
        <v>70</v>
      </c>
      <c r="P1628" t="s">
        <v>37</v>
      </c>
      <c r="Q1628" t="s">
        <v>118</v>
      </c>
      <c r="R1628">
        <v>327</v>
      </c>
      <c r="S1628">
        <v>182</v>
      </c>
      <c r="T1628">
        <v>115</v>
      </c>
      <c r="U1628">
        <v>23</v>
      </c>
      <c r="V1628" t="s">
        <v>2012</v>
      </c>
      <c r="W1628">
        <v>34125</v>
      </c>
      <c r="X1628" t="s">
        <v>658</v>
      </c>
      <c r="Y1628">
        <v>30474</v>
      </c>
      <c r="Z1628">
        <v>784875</v>
      </c>
      <c r="AA1628">
        <v>83973</v>
      </c>
      <c r="AB1628" t="str">
        <f>(VLOOKUP(SalesData[[#This Row],[Month Number]],Reference!C$5:E$16,2,FALSE))</f>
        <v>Feb</v>
      </c>
      <c r="AC1628">
        <f>MONTH(SalesData[[#This Row],[Date]])</f>
        <v>2</v>
      </c>
      <c r="AD1628">
        <f>Reference!F$4</f>
        <v>2026</v>
      </c>
      <c r="AE1628" t="str">
        <f>IF(OR(SalesData[[#This Row],[Day]]="Saturday",SalesData[[#This Row],[Day]]="Sunday"),"Weekend","Weekday")</f>
        <v>Weekday</v>
      </c>
      <c r="AF1628" s="5">
        <f>IF(SalesData[[#This Row],[Contracts Offered]]=0,0,SalesData[[#This Row],[Contracts Signed]]/SalesData[[#This Row],[Contracts Offered]])</f>
        <v>0.2</v>
      </c>
      <c r="AG1628" s="5">
        <f>IF(SalesData[[#This Row],[Customers Visited]]=0,0,SalesData[[#This Row],[Test Drives]]/SalesData[[#This Row],[Customers Visited]])</f>
        <v>0.55657492354740057</v>
      </c>
      <c r="AH1628" s="5">
        <f>IF(SalesData[[#This Row],[Customers Visited]]=0,0,SalesData[[#This Row],[Contracts Signed]]/SalesData[[#This Row],[Customers Visited]])</f>
        <v>7.0336391437308868E-2</v>
      </c>
      <c r="AI1628" s="6">
        <f>IF(SalesData[[#This Row],[Contracts Signed]]=0,0,SalesData[[#This Row],[Profit(€)]]/SalesData[[#This Row],[Contracts Signed]])</f>
        <v>3651</v>
      </c>
      <c r="AJ1628" s="5" t="str">
        <f>TRIM(CLEAN(SalesData[[#This Row],[Retailer]]))</f>
        <v>Ruhr Auto Plaza</v>
      </c>
    </row>
    <row r="1629" spans="1:36" ht="14.25" hidden="1" x14ac:dyDescent="0.2">
      <c r="A1629" t="s">
        <v>2550</v>
      </c>
      <c r="B1629" s="1">
        <v>46054</v>
      </c>
      <c r="C1629" t="s">
        <v>24</v>
      </c>
      <c r="D1629" t="s">
        <v>41</v>
      </c>
      <c r="E1629" t="s">
        <v>42</v>
      </c>
      <c r="F1629" t="s">
        <v>7649</v>
      </c>
      <c r="G1629" t="s">
        <v>55</v>
      </c>
      <c r="H1629" t="s">
        <v>55</v>
      </c>
      <c r="I1629" t="s">
        <v>56</v>
      </c>
      <c r="J1629" t="s">
        <v>97</v>
      </c>
      <c r="K1629" t="s">
        <v>32</v>
      </c>
      <c r="L1629" t="s">
        <v>33</v>
      </c>
      <c r="M1629" t="s">
        <v>87</v>
      </c>
      <c r="N1629" t="s">
        <v>69</v>
      </c>
      <c r="O1629" t="s">
        <v>36</v>
      </c>
      <c r="P1629" t="s">
        <v>58</v>
      </c>
      <c r="Q1629" t="s">
        <v>240</v>
      </c>
      <c r="R1629">
        <v>250</v>
      </c>
      <c r="S1629">
        <v>124</v>
      </c>
      <c r="T1629">
        <v>91</v>
      </c>
      <c r="U1629">
        <v>36</v>
      </c>
      <c r="V1629" t="s">
        <v>6953</v>
      </c>
      <c r="W1629">
        <v>46505</v>
      </c>
      <c r="X1629" t="s">
        <v>944</v>
      </c>
      <c r="Y1629">
        <v>35020</v>
      </c>
      <c r="Z1629">
        <v>1674180</v>
      </c>
      <c r="AA1629">
        <v>413460</v>
      </c>
      <c r="AB1629" t="str">
        <f>(VLOOKUP(SalesData[[#This Row],[Month Number]],Reference!C$5:E$16,2,FALSE))</f>
        <v>Feb</v>
      </c>
      <c r="AC1629">
        <f>MONTH(SalesData[[#This Row],[Date]])</f>
        <v>2</v>
      </c>
      <c r="AD1629">
        <f>Reference!F$4</f>
        <v>2026</v>
      </c>
      <c r="AE1629" t="str">
        <f>IF(OR(SalesData[[#This Row],[Day]]="Saturday",SalesData[[#This Row],[Day]]="Sunday"),"Weekend","Weekday")</f>
        <v>Weekend</v>
      </c>
      <c r="AF1629" s="5">
        <f>IF(SalesData[[#This Row],[Contracts Offered]]=0,0,SalesData[[#This Row],[Contracts Signed]]/SalesData[[#This Row],[Contracts Offered]])</f>
        <v>0.39560439560439559</v>
      </c>
      <c r="AG1629" s="5">
        <f>IF(SalesData[[#This Row],[Customers Visited]]=0,0,SalesData[[#This Row],[Test Drives]]/SalesData[[#This Row],[Customers Visited]])</f>
        <v>0.496</v>
      </c>
      <c r="AH1629" s="5">
        <f>IF(SalesData[[#This Row],[Customers Visited]]=0,0,SalesData[[#This Row],[Contracts Signed]]/SalesData[[#This Row],[Customers Visited]])</f>
        <v>0.14399999999999999</v>
      </c>
      <c r="AI1629" s="6">
        <f>IF(SalesData[[#This Row],[Contracts Signed]]=0,0,SalesData[[#This Row],[Profit(€)]]/SalesData[[#This Row],[Contracts Signed]])</f>
        <v>11485</v>
      </c>
      <c r="AJ1629" s="5" t="str">
        <f>TRIM(CLEAN(SalesData[[#This Row],[Retailer]]))</f>
        <v>Autohaus Berlin</v>
      </c>
    </row>
    <row r="1630" spans="1:36" ht="14.25" hidden="1" x14ac:dyDescent="0.2">
      <c r="A1630" t="s">
        <v>2551</v>
      </c>
      <c r="B1630" s="1">
        <v>46069</v>
      </c>
      <c r="C1630" t="s">
        <v>62</v>
      </c>
      <c r="D1630" t="s">
        <v>25</v>
      </c>
      <c r="E1630" t="s">
        <v>26</v>
      </c>
      <c r="F1630" t="s">
        <v>7649</v>
      </c>
      <c r="G1630" t="s">
        <v>55</v>
      </c>
      <c r="H1630" t="s">
        <v>55</v>
      </c>
      <c r="I1630" t="s">
        <v>116</v>
      </c>
      <c r="J1630" t="s">
        <v>203</v>
      </c>
      <c r="K1630" t="s">
        <v>66</v>
      </c>
      <c r="L1630" t="s">
        <v>67</v>
      </c>
      <c r="M1630" t="s">
        <v>34</v>
      </c>
      <c r="N1630" t="s">
        <v>48</v>
      </c>
      <c r="O1630" t="s">
        <v>36</v>
      </c>
      <c r="P1630" t="s">
        <v>37</v>
      </c>
      <c r="Q1630" t="s">
        <v>172</v>
      </c>
      <c r="R1630">
        <v>416</v>
      </c>
      <c r="S1630">
        <v>170</v>
      </c>
      <c r="T1630">
        <v>116</v>
      </c>
      <c r="U1630">
        <v>25</v>
      </c>
      <c r="V1630" t="s">
        <v>415</v>
      </c>
      <c r="W1630">
        <v>19629</v>
      </c>
      <c r="X1630" t="s">
        <v>155</v>
      </c>
      <c r="Y1630">
        <v>17706</v>
      </c>
      <c r="Z1630">
        <v>490725</v>
      </c>
      <c r="AA1630">
        <v>48075</v>
      </c>
      <c r="AB1630" t="str">
        <f>(VLOOKUP(SalesData[[#This Row],[Month Number]],Reference!C$5:E$16,2,FALSE))</f>
        <v>Feb</v>
      </c>
      <c r="AC1630">
        <f>MONTH(SalesData[[#This Row],[Date]])</f>
        <v>2</v>
      </c>
      <c r="AD1630">
        <f>Reference!F$4</f>
        <v>2026</v>
      </c>
      <c r="AE1630" t="str">
        <f>IF(OR(SalesData[[#This Row],[Day]]="Saturday",SalesData[[#This Row],[Day]]="Sunday"),"Weekend","Weekday")</f>
        <v>Weekday</v>
      </c>
      <c r="AF1630" s="5">
        <f>IF(SalesData[[#This Row],[Contracts Offered]]=0,0,SalesData[[#This Row],[Contracts Signed]]/SalesData[[#This Row],[Contracts Offered]])</f>
        <v>0.21551724137931033</v>
      </c>
      <c r="AG1630" s="5">
        <f>IF(SalesData[[#This Row],[Customers Visited]]=0,0,SalesData[[#This Row],[Test Drives]]/SalesData[[#This Row],[Customers Visited]])</f>
        <v>0.40865384615384615</v>
      </c>
      <c r="AH1630" s="5">
        <f>IF(SalesData[[#This Row],[Customers Visited]]=0,0,SalesData[[#This Row],[Contracts Signed]]/SalesData[[#This Row],[Customers Visited]])</f>
        <v>6.0096153846153848E-2</v>
      </c>
      <c r="AI1630" s="6">
        <f>IF(SalesData[[#This Row],[Contracts Signed]]=0,0,SalesData[[#This Row],[Profit(€)]]/SalesData[[#This Row],[Contracts Signed]])</f>
        <v>1923</v>
      </c>
      <c r="AJ1630" s="5" t="str">
        <f>TRIM(CLEAN(SalesData[[#This Row],[Retailer]]))</f>
        <v>Autohaus Berlin</v>
      </c>
    </row>
    <row r="1631" spans="1:36" ht="14.25" hidden="1" x14ac:dyDescent="0.2">
      <c r="A1631" t="s">
        <v>2552</v>
      </c>
      <c r="B1631" s="1">
        <v>46068</v>
      </c>
      <c r="C1631" t="s">
        <v>62</v>
      </c>
      <c r="D1631" t="s">
        <v>41</v>
      </c>
      <c r="E1631" t="s">
        <v>42</v>
      </c>
      <c r="F1631" t="s">
        <v>114</v>
      </c>
      <c r="G1631" t="s">
        <v>115</v>
      </c>
      <c r="H1631" t="s">
        <v>115</v>
      </c>
      <c r="I1631" t="s">
        <v>116</v>
      </c>
      <c r="J1631" t="s">
        <v>203</v>
      </c>
      <c r="K1631" t="s">
        <v>66</v>
      </c>
      <c r="L1631" t="s">
        <v>67</v>
      </c>
      <c r="M1631" t="s">
        <v>87</v>
      </c>
      <c r="N1631" t="s">
        <v>69</v>
      </c>
      <c r="O1631" t="s">
        <v>70</v>
      </c>
      <c r="P1631" t="s">
        <v>71</v>
      </c>
      <c r="Q1631" t="s">
        <v>118</v>
      </c>
      <c r="R1631">
        <v>425</v>
      </c>
      <c r="S1631">
        <v>228</v>
      </c>
      <c r="T1631">
        <v>151</v>
      </c>
      <c r="U1631">
        <v>36</v>
      </c>
      <c r="V1631" t="s">
        <v>456</v>
      </c>
      <c r="W1631">
        <v>26533</v>
      </c>
      <c r="X1631" t="s">
        <v>1239</v>
      </c>
      <c r="Y1631">
        <v>24003</v>
      </c>
      <c r="Z1631">
        <v>955188</v>
      </c>
      <c r="AA1631">
        <v>91080</v>
      </c>
      <c r="AB1631" t="str">
        <f>(VLOOKUP(SalesData[[#This Row],[Month Number]],Reference!C$5:E$16,2,FALSE))</f>
        <v>Feb</v>
      </c>
      <c r="AC1631">
        <f>MONTH(SalesData[[#This Row],[Date]])</f>
        <v>2</v>
      </c>
      <c r="AD1631">
        <f>Reference!F$4</f>
        <v>2026</v>
      </c>
      <c r="AE1631" t="str">
        <f>IF(OR(SalesData[[#This Row],[Day]]="Saturday",SalesData[[#This Row],[Day]]="Sunday"),"Weekend","Weekday")</f>
        <v>Weekend</v>
      </c>
      <c r="AF1631" s="5">
        <f>IF(SalesData[[#This Row],[Contracts Offered]]=0,0,SalesData[[#This Row],[Contracts Signed]]/SalesData[[#This Row],[Contracts Offered]])</f>
        <v>0.23841059602649006</v>
      </c>
      <c r="AG1631" s="5">
        <f>IF(SalesData[[#This Row],[Customers Visited]]=0,0,SalesData[[#This Row],[Test Drives]]/SalesData[[#This Row],[Customers Visited]])</f>
        <v>0.53647058823529414</v>
      </c>
      <c r="AH1631" s="5">
        <f>IF(SalesData[[#This Row],[Customers Visited]]=0,0,SalesData[[#This Row],[Contracts Signed]]/SalesData[[#This Row],[Customers Visited]])</f>
        <v>8.4705882352941173E-2</v>
      </c>
      <c r="AI1631" s="6">
        <f>IF(SalesData[[#This Row],[Contracts Signed]]=0,0,SalesData[[#This Row],[Profit(€)]]/SalesData[[#This Row],[Contracts Signed]])</f>
        <v>2530</v>
      </c>
      <c r="AJ1631" s="5" t="str">
        <f>TRIM(CLEAN(SalesData[[#This Row],[Retailer]]))</f>
        <v>Elbe Drive</v>
      </c>
    </row>
    <row r="1632" spans="1:36" ht="14.25" hidden="1" x14ac:dyDescent="0.2">
      <c r="A1632" t="s">
        <v>2553</v>
      </c>
      <c r="B1632" s="1">
        <v>46056</v>
      </c>
      <c r="C1632" t="s">
        <v>24</v>
      </c>
      <c r="D1632" t="s">
        <v>63</v>
      </c>
      <c r="E1632" t="s">
        <v>26</v>
      </c>
      <c r="F1632" t="s">
        <v>109</v>
      </c>
      <c r="G1632" t="s">
        <v>110</v>
      </c>
      <c r="H1632" t="s">
        <v>45</v>
      </c>
      <c r="I1632" t="s">
        <v>104</v>
      </c>
      <c r="J1632" t="s">
        <v>7061</v>
      </c>
      <c r="K1632" t="s">
        <v>32</v>
      </c>
      <c r="L1632" t="s">
        <v>46</v>
      </c>
      <c r="M1632" t="s">
        <v>47</v>
      </c>
      <c r="N1632" t="s">
        <v>48</v>
      </c>
      <c r="O1632" t="s">
        <v>70</v>
      </c>
      <c r="P1632" t="s">
        <v>71</v>
      </c>
      <c r="Q1632" t="s">
        <v>88</v>
      </c>
      <c r="R1632">
        <v>285</v>
      </c>
      <c r="S1632">
        <v>141</v>
      </c>
      <c r="T1632">
        <v>89</v>
      </c>
      <c r="U1632">
        <v>22</v>
      </c>
      <c r="V1632" t="s">
        <v>2368</v>
      </c>
      <c r="W1632">
        <v>25336</v>
      </c>
      <c r="X1632" t="s">
        <v>1957</v>
      </c>
      <c r="Y1632">
        <v>22354</v>
      </c>
      <c r="Z1632">
        <v>557392</v>
      </c>
      <c r="AA1632">
        <v>65604</v>
      </c>
      <c r="AB1632" t="str">
        <f>(VLOOKUP(SalesData[[#This Row],[Month Number]],Reference!C$5:E$16,2,FALSE))</f>
        <v>Feb</v>
      </c>
      <c r="AC1632">
        <f>MONTH(SalesData[[#This Row],[Date]])</f>
        <v>2</v>
      </c>
      <c r="AD1632">
        <f>Reference!F$4</f>
        <v>2026</v>
      </c>
      <c r="AE1632" t="str">
        <f>IF(OR(SalesData[[#This Row],[Day]]="Saturday",SalesData[[#This Row],[Day]]="Sunday"),"Weekend","Weekday")</f>
        <v>Weekday</v>
      </c>
      <c r="AF1632" s="5">
        <f>IF(SalesData[[#This Row],[Contracts Offered]]=0,0,SalesData[[#This Row],[Contracts Signed]]/SalesData[[#This Row],[Contracts Offered]])</f>
        <v>0.24719101123595505</v>
      </c>
      <c r="AG1632" s="5">
        <f>IF(SalesData[[#This Row],[Customers Visited]]=0,0,SalesData[[#This Row],[Test Drives]]/SalesData[[#This Row],[Customers Visited]])</f>
        <v>0.49473684210526314</v>
      </c>
      <c r="AH1632" s="5">
        <f>IF(SalesData[[#This Row],[Customers Visited]]=0,0,SalesData[[#This Row],[Contracts Signed]]/SalesData[[#This Row],[Customers Visited]])</f>
        <v>7.7192982456140355E-2</v>
      </c>
      <c r="AI1632" s="6">
        <f>IF(SalesData[[#This Row],[Contracts Signed]]=0,0,SalesData[[#This Row],[Profit(€)]]/SalesData[[#This Row],[Contracts Signed]])</f>
        <v>2982</v>
      </c>
      <c r="AJ1632" s="5" t="str">
        <f>TRIM(CLEAN(SalesData[[#This Row],[Retailer]]))</f>
        <v>Leipzig Mobility</v>
      </c>
    </row>
    <row r="1633" spans="1:36" ht="14.25" x14ac:dyDescent="0.2">
      <c r="A1633" t="s">
        <v>2554</v>
      </c>
      <c r="B1633" s="1">
        <v>46055</v>
      </c>
      <c r="C1633" t="s">
        <v>24</v>
      </c>
      <c r="D1633" t="s">
        <v>25</v>
      </c>
      <c r="E1633" t="s">
        <v>26</v>
      </c>
      <c r="F1633" t="s">
        <v>114</v>
      </c>
      <c r="G1633" t="s">
        <v>115</v>
      </c>
      <c r="H1633" t="s">
        <v>115</v>
      </c>
      <c r="I1633" t="s">
        <v>30</v>
      </c>
      <c r="J1633" t="s">
        <v>7075</v>
      </c>
      <c r="K1633" t="s">
        <v>91</v>
      </c>
      <c r="L1633" t="s">
        <v>33</v>
      </c>
      <c r="M1633" t="s">
        <v>87</v>
      </c>
      <c r="N1633" t="s">
        <v>69</v>
      </c>
      <c r="O1633" t="s">
        <v>70</v>
      </c>
      <c r="P1633" t="s">
        <v>49</v>
      </c>
      <c r="Q1633" t="s">
        <v>122</v>
      </c>
      <c r="R1633">
        <v>216</v>
      </c>
      <c r="S1633">
        <v>106</v>
      </c>
      <c r="T1633">
        <v>82</v>
      </c>
      <c r="U1633">
        <v>28</v>
      </c>
      <c r="V1633" t="s">
        <v>6539</v>
      </c>
      <c r="W1633">
        <v>63893</v>
      </c>
      <c r="X1633" t="s">
        <v>7460</v>
      </c>
      <c r="Y1633">
        <v>45719</v>
      </c>
      <c r="Z1633">
        <v>1789004</v>
      </c>
      <c r="AA1633">
        <v>508872</v>
      </c>
      <c r="AB1633" t="str">
        <f>(VLOOKUP(SalesData[[#This Row],[Month Number]],Reference!C$5:E$16,2,FALSE))</f>
        <v>Feb</v>
      </c>
      <c r="AC1633">
        <f>MONTH(SalesData[[#This Row],[Date]])</f>
        <v>2</v>
      </c>
      <c r="AD1633">
        <f>Reference!F$4</f>
        <v>2026</v>
      </c>
      <c r="AE1633" t="str">
        <f>IF(OR(SalesData[[#This Row],[Day]]="Saturday",SalesData[[#This Row],[Day]]="Sunday"),"Weekend","Weekday")</f>
        <v>Weekday</v>
      </c>
      <c r="AF1633" s="5">
        <f>IF(SalesData[[#This Row],[Contracts Offered]]=0,0,SalesData[[#This Row],[Contracts Signed]]/SalesData[[#This Row],[Contracts Offered]])</f>
        <v>0.34146341463414637</v>
      </c>
      <c r="AG1633" s="5">
        <f>IF(SalesData[[#This Row],[Customers Visited]]=0,0,SalesData[[#This Row],[Test Drives]]/SalesData[[#This Row],[Customers Visited]])</f>
        <v>0.49074074074074076</v>
      </c>
      <c r="AH1633" s="5">
        <f>IF(SalesData[[#This Row],[Customers Visited]]=0,0,SalesData[[#This Row],[Contracts Signed]]/SalesData[[#This Row],[Customers Visited]])</f>
        <v>0.12962962962962962</v>
      </c>
      <c r="AI1633" s="6">
        <f>IF(SalesData[[#This Row],[Contracts Signed]]=0,0,SalesData[[#This Row],[Profit(€)]]/SalesData[[#This Row],[Contracts Signed]])</f>
        <v>18174</v>
      </c>
      <c r="AJ1633" s="5" t="str">
        <f>TRIM(CLEAN(SalesData[[#This Row],[Retailer]]))</f>
        <v>Elbe Drive</v>
      </c>
    </row>
    <row r="1634" spans="1:36" ht="14.25" hidden="1" x14ac:dyDescent="0.2">
      <c r="A1634" t="s">
        <v>2555</v>
      </c>
      <c r="B1634" s="1">
        <v>46073</v>
      </c>
      <c r="C1634" t="s">
        <v>62</v>
      </c>
      <c r="D1634" t="s">
        <v>54</v>
      </c>
      <c r="E1634" t="s">
        <v>26</v>
      </c>
      <c r="F1634" t="s">
        <v>101</v>
      </c>
      <c r="G1634" t="s">
        <v>102</v>
      </c>
      <c r="H1634" t="s">
        <v>103</v>
      </c>
      <c r="I1634" t="s">
        <v>104</v>
      </c>
      <c r="J1634" t="s">
        <v>7061</v>
      </c>
      <c r="K1634" t="s">
        <v>32</v>
      </c>
      <c r="L1634" t="s">
        <v>46</v>
      </c>
      <c r="M1634" t="s">
        <v>68</v>
      </c>
      <c r="N1634" t="s">
        <v>69</v>
      </c>
      <c r="O1634" t="s">
        <v>36</v>
      </c>
      <c r="P1634" t="s">
        <v>58</v>
      </c>
      <c r="Q1634" t="s">
        <v>167</v>
      </c>
      <c r="R1634">
        <v>428</v>
      </c>
      <c r="S1634">
        <v>216</v>
      </c>
      <c r="T1634">
        <v>132</v>
      </c>
      <c r="U1634">
        <v>42</v>
      </c>
      <c r="V1634" t="s">
        <v>1767</v>
      </c>
      <c r="W1634">
        <v>35258</v>
      </c>
      <c r="X1634" t="s">
        <v>1892</v>
      </c>
      <c r="Y1634">
        <v>31212</v>
      </c>
      <c r="Z1634">
        <v>1480836</v>
      </c>
      <c r="AA1634">
        <v>169932</v>
      </c>
      <c r="AB1634" t="str">
        <f>(VLOOKUP(SalesData[[#This Row],[Month Number]],Reference!C$5:E$16,2,FALSE))</f>
        <v>Feb</v>
      </c>
      <c r="AC1634">
        <f>MONTH(SalesData[[#This Row],[Date]])</f>
        <v>2</v>
      </c>
      <c r="AD1634">
        <f>Reference!F$4</f>
        <v>2026</v>
      </c>
      <c r="AE1634" t="str">
        <f>IF(OR(SalesData[[#This Row],[Day]]="Saturday",SalesData[[#This Row],[Day]]="Sunday"),"Weekend","Weekday")</f>
        <v>Weekday</v>
      </c>
      <c r="AF1634" s="5">
        <f>IF(SalesData[[#This Row],[Contracts Offered]]=0,0,SalesData[[#This Row],[Contracts Signed]]/SalesData[[#This Row],[Contracts Offered]])</f>
        <v>0.31818181818181818</v>
      </c>
      <c r="AG1634" s="5">
        <f>IF(SalesData[[#This Row],[Customers Visited]]=0,0,SalesData[[#This Row],[Test Drives]]/SalesData[[#This Row],[Customers Visited]])</f>
        <v>0.50467289719626163</v>
      </c>
      <c r="AH1634" s="5">
        <f>IF(SalesData[[#This Row],[Customers Visited]]=0,0,SalesData[[#This Row],[Contracts Signed]]/SalesData[[#This Row],[Customers Visited]])</f>
        <v>9.8130841121495324E-2</v>
      </c>
      <c r="AI1634" s="6">
        <f>IF(SalesData[[#This Row],[Contracts Signed]]=0,0,SalesData[[#This Row],[Profit(€)]]/SalesData[[#This Row],[Contracts Signed]])</f>
        <v>4046</v>
      </c>
      <c r="AJ1634" s="5" t="str">
        <f>TRIM(CLEAN(SalesData[[#This Row],[Retailer]]))</f>
        <v>Ruhr Auto Plaza</v>
      </c>
    </row>
    <row r="1635" spans="1:36" ht="14.25" hidden="1" x14ac:dyDescent="0.2">
      <c r="A1635" t="s">
        <v>2557</v>
      </c>
      <c r="B1635" s="1">
        <v>46078</v>
      </c>
      <c r="C1635" t="s">
        <v>53</v>
      </c>
      <c r="D1635" t="s">
        <v>82</v>
      </c>
      <c r="E1635" t="s">
        <v>26</v>
      </c>
      <c r="F1635" t="s">
        <v>27</v>
      </c>
      <c r="G1635" t="s">
        <v>28</v>
      </c>
      <c r="H1635" t="s">
        <v>29</v>
      </c>
      <c r="I1635" t="s">
        <v>116</v>
      </c>
      <c r="J1635" t="s">
        <v>132</v>
      </c>
      <c r="K1635" t="s">
        <v>32</v>
      </c>
      <c r="L1635" t="s">
        <v>46</v>
      </c>
      <c r="M1635" t="s">
        <v>34</v>
      </c>
      <c r="N1635" t="s">
        <v>35</v>
      </c>
      <c r="O1635" t="s">
        <v>36</v>
      </c>
      <c r="P1635" t="s">
        <v>71</v>
      </c>
      <c r="Q1635" t="s">
        <v>189</v>
      </c>
      <c r="R1635">
        <v>343</v>
      </c>
      <c r="S1635">
        <v>162</v>
      </c>
      <c r="T1635">
        <v>100</v>
      </c>
      <c r="U1635">
        <v>23</v>
      </c>
      <c r="V1635" t="s">
        <v>2532</v>
      </c>
      <c r="W1635">
        <v>22306</v>
      </c>
      <c r="X1635" t="s">
        <v>7466</v>
      </c>
      <c r="Y1635">
        <v>20368</v>
      </c>
      <c r="Z1635">
        <v>513038</v>
      </c>
      <c r="AA1635">
        <v>44574</v>
      </c>
      <c r="AB1635" t="str">
        <f>(VLOOKUP(SalesData[[#This Row],[Month Number]],Reference!C$5:E$16,2,FALSE))</f>
        <v>Feb</v>
      </c>
      <c r="AC1635">
        <f>MONTH(SalesData[[#This Row],[Date]])</f>
        <v>2</v>
      </c>
      <c r="AD1635">
        <f>Reference!F$4</f>
        <v>2026</v>
      </c>
      <c r="AE1635" t="str">
        <f>IF(OR(SalesData[[#This Row],[Day]]="Saturday",SalesData[[#This Row],[Day]]="Sunday"),"Weekend","Weekday")</f>
        <v>Weekday</v>
      </c>
      <c r="AF1635" s="5">
        <f>IF(SalesData[[#This Row],[Contracts Offered]]=0,0,SalesData[[#This Row],[Contracts Signed]]/SalesData[[#This Row],[Contracts Offered]])</f>
        <v>0.23</v>
      </c>
      <c r="AG1635" s="5">
        <f>IF(SalesData[[#This Row],[Customers Visited]]=0,0,SalesData[[#This Row],[Test Drives]]/SalesData[[#This Row],[Customers Visited]])</f>
        <v>0.47230320699708456</v>
      </c>
      <c r="AH1635" s="5">
        <f>IF(SalesData[[#This Row],[Customers Visited]]=0,0,SalesData[[#This Row],[Contracts Signed]]/SalesData[[#This Row],[Customers Visited]])</f>
        <v>6.7055393586005832E-2</v>
      </c>
      <c r="AI1635" s="6">
        <f>IF(SalesData[[#This Row],[Contracts Signed]]=0,0,SalesData[[#This Row],[Profit(€)]]/SalesData[[#This Row],[Contracts Signed]])</f>
        <v>1938</v>
      </c>
      <c r="AJ1635" s="5" t="str">
        <f>TRIM(CLEAN(SalesData[[#This Row],[Retailer]]))</f>
        <v>Main Auto Hub</v>
      </c>
    </row>
    <row r="1636" spans="1:36" ht="14.25" hidden="1" x14ac:dyDescent="0.2">
      <c r="A1636" t="s">
        <v>2558</v>
      </c>
      <c r="B1636" s="1">
        <v>46064</v>
      </c>
      <c r="C1636" t="s">
        <v>121</v>
      </c>
      <c r="D1636" t="s">
        <v>82</v>
      </c>
      <c r="E1636" t="s">
        <v>26</v>
      </c>
      <c r="F1636" t="s">
        <v>127</v>
      </c>
      <c r="G1636" t="s">
        <v>128</v>
      </c>
      <c r="H1636" t="s">
        <v>103</v>
      </c>
      <c r="I1636" t="s">
        <v>104</v>
      </c>
      <c r="J1636" t="s">
        <v>7061</v>
      </c>
      <c r="K1636" t="s">
        <v>91</v>
      </c>
      <c r="L1636" t="s">
        <v>46</v>
      </c>
      <c r="M1636" t="s">
        <v>68</v>
      </c>
      <c r="N1636" t="s">
        <v>48</v>
      </c>
      <c r="O1636" t="s">
        <v>36</v>
      </c>
      <c r="P1636" t="s">
        <v>58</v>
      </c>
      <c r="Q1636" t="s">
        <v>135</v>
      </c>
      <c r="R1636">
        <v>443</v>
      </c>
      <c r="S1636">
        <v>195</v>
      </c>
      <c r="T1636">
        <v>132</v>
      </c>
      <c r="U1636">
        <v>35</v>
      </c>
      <c r="V1636" t="s">
        <v>2538</v>
      </c>
      <c r="W1636">
        <v>31874</v>
      </c>
      <c r="X1636" t="s">
        <v>506</v>
      </c>
      <c r="Y1636">
        <v>28593</v>
      </c>
      <c r="Z1636">
        <v>1115590</v>
      </c>
      <c r="AA1636">
        <v>114835</v>
      </c>
      <c r="AB1636" t="str">
        <f>(VLOOKUP(SalesData[[#This Row],[Month Number]],Reference!C$5:E$16,2,FALSE))</f>
        <v>Feb</v>
      </c>
      <c r="AC1636">
        <f>MONTH(SalesData[[#This Row],[Date]])</f>
        <v>2</v>
      </c>
      <c r="AD1636">
        <f>Reference!F$4</f>
        <v>2026</v>
      </c>
      <c r="AE1636" t="str">
        <f>IF(OR(SalesData[[#This Row],[Day]]="Saturday",SalesData[[#This Row],[Day]]="Sunday"),"Weekend","Weekday")</f>
        <v>Weekday</v>
      </c>
      <c r="AF1636" s="5">
        <f>IF(SalesData[[#This Row],[Contracts Offered]]=0,0,SalesData[[#This Row],[Contracts Signed]]/SalesData[[#This Row],[Contracts Offered]])</f>
        <v>0.26515151515151514</v>
      </c>
      <c r="AG1636" s="5">
        <f>IF(SalesData[[#This Row],[Customers Visited]]=0,0,SalesData[[#This Row],[Test Drives]]/SalesData[[#This Row],[Customers Visited]])</f>
        <v>0.44018058690744921</v>
      </c>
      <c r="AH1636" s="5">
        <f>IF(SalesData[[#This Row],[Customers Visited]]=0,0,SalesData[[#This Row],[Contracts Signed]]/SalesData[[#This Row],[Customers Visited]])</f>
        <v>7.900677200902935E-2</v>
      </c>
      <c r="AI1636" s="6">
        <f>IF(SalesData[[#This Row],[Contracts Signed]]=0,0,SalesData[[#This Row],[Profit(€)]]/SalesData[[#This Row],[Contracts Signed]])</f>
        <v>3281</v>
      </c>
      <c r="AJ1636" s="5" t="str">
        <f>TRIM(CLEAN(SalesData[[#This Row],[Retailer]]))</f>
        <v>Rhein Auto Group</v>
      </c>
    </row>
    <row r="1637" spans="1:36" ht="14.25" x14ac:dyDescent="0.2">
      <c r="A1637" t="s">
        <v>2559</v>
      </c>
      <c r="B1637" s="1">
        <v>46058</v>
      </c>
      <c r="C1637" t="s">
        <v>24</v>
      </c>
      <c r="D1637" t="s">
        <v>100</v>
      </c>
      <c r="E1637" t="s">
        <v>26</v>
      </c>
      <c r="F1637" t="s">
        <v>7649</v>
      </c>
      <c r="G1637" t="s">
        <v>55</v>
      </c>
      <c r="H1637" t="s">
        <v>55</v>
      </c>
      <c r="I1637" t="s">
        <v>30</v>
      </c>
      <c r="J1637" t="s">
        <v>188</v>
      </c>
      <c r="K1637" t="s">
        <v>32</v>
      </c>
      <c r="L1637" t="s">
        <v>33</v>
      </c>
      <c r="M1637" t="s">
        <v>47</v>
      </c>
      <c r="N1637" t="s">
        <v>35</v>
      </c>
      <c r="O1637" t="s">
        <v>36</v>
      </c>
      <c r="P1637" t="s">
        <v>49</v>
      </c>
      <c r="Q1637" t="s">
        <v>189</v>
      </c>
      <c r="R1637">
        <v>233</v>
      </c>
      <c r="S1637">
        <v>136</v>
      </c>
      <c r="T1637">
        <v>104</v>
      </c>
      <c r="U1637">
        <v>35</v>
      </c>
      <c r="V1637" t="s">
        <v>6599</v>
      </c>
      <c r="W1637">
        <v>67100</v>
      </c>
      <c r="X1637" t="s">
        <v>2061</v>
      </c>
      <c r="Y1637">
        <v>51052</v>
      </c>
      <c r="Z1637">
        <v>2348500</v>
      </c>
      <c r="AA1637">
        <v>561680</v>
      </c>
      <c r="AB1637" t="str">
        <f>(VLOOKUP(SalesData[[#This Row],[Month Number]],Reference!C$5:E$16,2,FALSE))</f>
        <v>Feb</v>
      </c>
      <c r="AC1637">
        <f>MONTH(SalesData[[#This Row],[Date]])</f>
        <v>2</v>
      </c>
      <c r="AD1637">
        <f>Reference!F$4</f>
        <v>2026</v>
      </c>
      <c r="AE1637" t="str">
        <f>IF(OR(SalesData[[#This Row],[Day]]="Saturday",SalesData[[#This Row],[Day]]="Sunday"),"Weekend","Weekday")</f>
        <v>Weekday</v>
      </c>
      <c r="AF1637" s="5">
        <f>IF(SalesData[[#This Row],[Contracts Offered]]=0,0,SalesData[[#This Row],[Contracts Signed]]/SalesData[[#This Row],[Contracts Offered]])</f>
        <v>0.33653846153846156</v>
      </c>
      <c r="AG1637" s="5">
        <f>IF(SalesData[[#This Row],[Customers Visited]]=0,0,SalesData[[#This Row],[Test Drives]]/SalesData[[#This Row],[Customers Visited]])</f>
        <v>0.58369098712446355</v>
      </c>
      <c r="AH1637" s="5">
        <f>IF(SalesData[[#This Row],[Customers Visited]]=0,0,SalesData[[#This Row],[Contracts Signed]]/SalesData[[#This Row],[Customers Visited]])</f>
        <v>0.15021459227467812</v>
      </c>
      <c r="AI1637" s="6">
        <f>IF(SalesData[[#This Row],[Contracts Signed]]=0,0,SalesData[[#This Row],[Profit(€)]]/SalesData[[#This Row],[Contracts Signed]])</f>
        <v>16048</v>
      </c>
      <c r="AJ1637" s="5" t="str">
        <f>TRIM(CLEAN(SalesData[[#This Row],[Retailer]]))</f>
        <v>Autohaus Berlin</v>
      </c>
    </row>
    <row r="1638" spans="1:36" ht="14.25" x14ac:dyDescent="0.2">
      <c r="A1638" t="s">
        <v>2560</v>
      </c>
      <c r="B1638" s="1">
        <v>46066</v>
      </c>
      <c r="C1638" t="s">
        <v>121</v>
      </c>
      <c r="D1638" t="s">
        <v>54</v>
      </c>
      <c r="E1638" t="s">
        <v>26</v>
      </c>
      <c r="F1638" t="s">
        <v>101</v>
      </c>
      <c r="G1638" t="s">
        <v>102</v>
      </c>
      <c r="H1638" t="s">
        <v>103</v>
      </c>
      <c r="I1638" t="s">
        <v>30</v>
      </c>
      <c r="J1638" t="s">
        <v>7075</v>
      </c>
      <c r="K1638" t="s">
        <v>66</v>
      </c>
      <c r="L1638" t="s">
        <v>33</v>
      </c>
      <c r="M1638" t="s">
        <v>47</v>
      </c>
      <c r="N1638" t="s">
        <v>69</v>
      </c>
      <c r="O1638" t="s">
        <v>36</v>
      </c>
      <c r="P1638" t="s">
        <v>71</v>
      </c>
      <c r="Q1638" t="s">
        <v>172</v>
      </c>
      <c r="R1638">
        <v>194</v>
      </c>
      <c r="S1638">
        <v>112</v>
      </c>
      <c r="T1638">
        <v>86</v>
      </c>
      <c r="U1638">
        <v>32</v>
      </c>
      <c r="V1638" t="s">
        <v>6357</v>
      </c>
      <c r="W1638">
        <v>52404</v>
      </c>
      <c r="X1638" t="s">
        <v>1002</v>
      </c>
      <c r="Y1638">
        <v>36959</v>
      </c>
      <c r="Z1638">
        <v>1676928</v>
      </c>
      <c r="AA1638">
        <v>494240</v>
      </c>
      <c r="AB1638" t="str">
        <f>(VLOOKUP(SalesData[[#This Row],[Month Number]],Reference!C$5:E$16,2,FALSE))</f>
        <v>Feb</v>
      </c>
      <c r="AC1638">
        <f>MONTH(SalesData[[#This Row],[Date]])</f>
        <v>2</v>
      </c>
      <c r="AD1638">
        <f>Reference!F$4</f>
        <v>2026</v>
      </c>
      <c r="AE1638" t="str">
        <f>IF(OR(SalesData[[#This Row],[Day]]="Saturday",SalesData[[#This Row],[Day]]="Sunday"),"Weekend","Weekday")</f>
        <v>Weekday</v>
      </c>
      <c r="AF1638" s="5">
        <f>IF(SalesData[[#This Row],[Contracts Offered]]=0,0,SalesData[[#This Row],[Contracts Signed]]/SalesData[[#This Row],[Contracts Offered]])</f>
        <v>0.37209302325581395</v>
      </c>
      <c r="AG1638" s="5">
        <f>IF(SalesData[[#This Row],[Customers Visited]]=0,0,SalesData[[#This Row],[Test Drives]]/SalesData[[#This Row],[Customers Visited]])</f>
        <v>0.57731958762886593</v>
      </c>
      <c r="AH1638" s="5">
        <f>IF(SalesData[[#This Row],[Customers Visited]]=0,0,SalesData[[#This Row],[Contracts Signed]]/SalesData[[#This Row],[Customers Visited]])</f>
        <v>0.16494845360824742</v>
      </c>
      <c r="AI1638" s="6">
        <f>IF(SalesData[[#This Row],[Contracts Signed]]=0,0,SalesData[[#This Row],[Profit(€)]]/SalesData[[#This Row],[Contracts Signed]])</f>
        <v>15445</v>
      </c>
      <c r="AJ1638" s="5" t="str">
        <f>TRIM(CLEAN(SalesData[[#This Row],[Retailer]]))</f>
        <v>Ruhr Auto Plaza</v>
      </c>
    </row>
    <row r="1639" spans="1:36" ht="14.25" x14ac:dyDescent="0.2">
      <c r="A1639" t="s">
        <v>2562</v>
      </c>
      <c r="B1639" s="1">
        <v>46077</v>
      </c>
      <c r="C1639" t="s">
        <v>53</v>
      </c>
      <c r="D1639" t="s">
        <v>63</v>
      </c>
      <c r="E1639" t="s">
        <v>26</v>
      </c>
      <c r="F1639" t="s">
        <v>109</v>
      </c>
      <c r="G1639" t="s">
        <v>110</v>
      </c>
      <c r="H1639" t="s">
        <v>45</v>
      </c>
      <c r="I1639" t="s">
        <v>30</v>
      </c>
      <c r="J1639" t="s">
        <v>166</v>
      </c>
      <c r="K1639" t="s">
        <v>91</v>
      </c>
      <c r="L1639" t="s">
        <v>46</v>
      </c>
      <c r="M1639" t="s">
        <v>68</v>
      </c>
      <c r="N1639" t="s">
        <v>48</v>
      </c>
      <c r="O1639" t="s">
        <v>70</v>
      </c>
      <c r="P1639" t="s">
        <v>71</v>
      </c>
      <c r="Q1639" t="s">
        <v>118</v>
      </c>
      <c r="R1639">
        <v>160</v>
      </c>
      <c r="S1639">
        <v>93</v>
      </c>
      <c r="T1639">
        <v>67</v>
      </c>
      <c r="U1639">
        <v>25</v>
      </c>
      <c r="V1639" t="s">
        <v>6980</v>
      </c>
      <c r="W1639">
        <v>56986</v>
      </c>
      <c r="X1639" t="s">
        <v>7352</v>
      </c>
      <c r="Y1639">
        <v>41722</v>
      </c>
      <c r="Z1639">
        <v>1424650</v>
      </c>
      <c r="AA1639">
        <v>381600</v>
      </c>
      <c r="AB1639" t="str">
        <f>(VLOOKUP(SalesData[[#This Row],[Month Number]],Reference!C$5:E$16,2,FALSE))</f>
        <v>Feb</v>
      </c>
      <c r="AC1639">
        <f>MONTH(SalesData[[#This Row],[Date]])</f>
        <v>2</v>
      </c>
      <c r="AD1639">
        <f>Reference!F$4</f>
        <v>2026</v>
      </c>
      <c r="AE1639" t="str">
        <f>IF(OR(SalesData[[#This Row],[Day]]="Saturday",SalesData[[#This Row],[Day]]="Sunday"),"Weekend","Weekday")</f>
        <v>Weekday</v>
      </c>
      <c r="AF1639" s="5">
        <f>IF(SalesData[[#This Row],[Contracts Offered]]=0,0,SalesData[[#This Row],[Contracts Signed]]/SalesData[[#This Row],[Contracts Offered]])</f>
        <v>0.37313432835820898</v>
      </c>
      <c r="AG1639" s="5">
        <f>IF(SalesData[[#This Row],[Customers Visited]]=0,0,SalesData[[#This Row],[Test Drives]]/SalesData[[#This Row],[Customers Visited]])</f>
        <v>0.58125000000000004</v>
      </c>
      <c r="AH1639" s="5">
        <f>IF(SalesData[[#This Row],[Customers Visited]]=0,0,SalesData[[#This Row],[Contracts Signed]]/SalesData[[#This Row],[Customers Visited]])</f>
        <v>0.15625</v>
      </c>
      <c r="AI1639" s="6">
        <f>IF(SalesData[[#This Row],[Contracts Signed]]=0,0,SalesData[[#This Row],[Profit(€)]]/SalesData[[#This Row],[Contracts Signed]])</f>
        <v>15264</v>
      </c>
      <c r="AJ1639" s="5" t="str">
        <f>TRIM(CLEAN(SalesData[[#This Row],[Retailer]]))</f>
        <v>Leipzig Mobility</v>
      </c>
    </row>
    <row r="1640" spans="1:36" ht="14.25" hidden="1" x14ac:dyDescent="0.2">
      <c r="A1640" t="s">
        <v>2564</v>
      </c>
      <c r="B1640" s="1">
        <v>46061</v>
      </c>
      <c r="C1640" t="s">
        <v>121</v>
      </c>
      <c r="D1640" t="s">
        <v>41</v>
      </c>
      <c r="E1640" t="s">
        <v>42</v>
      </c>
      <c r="F1640" t="s">
        <v>7649</v>
      </c>
      <c r="G1640" t="s">
        <v>55</v>
      </c>
      <c r="H1640" t="s">
        <v>55</v>
      </c>
      <c r="I1640" t="s">
        <v>64</v>
      </c>
      <c r="J1640" t="s">
        <v>7029</v>
      </c>
      <c r="K1640" t="s">
        <v>78</v>
      </c>
      <c r="L1640" t="s">
        <v>33</v>
      </c>
      <c r="M1640" t="s">
        <v>47</v>
      </c>
      <c r="N1640" t="s">
        <v>69</v>
      </c>
      <c r="O1640" t="s">
        <v>36</v>
      </c>
      <c r="P1640" t="s">
        <v>49</v>
      </c>
      <c r="Q1640" t="s">
        <v>106</v>
      </c>
      <c r="R1640">
        <v>153</v>
      </c>
      <c r="S1640">
        <v>91</v>
      </c>
      <c r="T1640">
        <v>62</v>
      </c>
      <c r="U1640">
        <v>22</v>
      </c>
      <c r="V1640" t="s">
        <v>6510</v>
      </c>
      <c r="W1640">
        <v>50782</v>
      </c>
      <c r="X1640" t="s">
        <v>7160</v>
      </c>
      <c r="Y1640">
        <v>36338</v>
      </c>
      <c r="Z1640">
        <v>1117204</v>
      </c>
      <c r="AA1640">
        <v>317768</v>
      </c>
      <c r="AB1640" t="str">
        <f>(VLOOKUP(SalesData[[#This Row],[Month Number]],Reference!C$5:E$16,2,FALSE))</f>
        <v>Feb</v>
      </c>
      <c r="AC1640">
        <f>MONTH(SalesData[[#This Row],[Date]])</f>
        <v>2</v>
      </c>
      <c r="AD1640">
        <f>Reference!F$4</f>
        <v>2026</v>
      </c>
      <c r="AE1640" t="str">
        <f>IF(OR(SalesData[[#This Row],[Day]]="Saturday",SalesData[[#This Row],[Day]]="Sunday"),"Weekend","Weekday")</f>
        <v>Weekend</v>
      </c>
      <c r="AF1640" s="5">
        <f>IF(SalesData[[#This Row],[Contracts Offered]]=0,0,SalesData[[#This Row],[Contracts Signed]]/SalesData[[#This Row],[Contracts Offered]])</f>
        <v>0.35483870967741937</v>
      </c>
      <c r="AG1640" s="5">
        <f>IF(SalesData[[#This Row],[Customers Visited]]=0,0,SalesData[[#This Row],[Test Drives]]/SalesData[[#This Row],[Customers Visited]])</f>
        <v>0.59477124183006536</v>
      </c>
      <c r="AH1640" s="5">
        <f>IF(SalesData[[#This Row],[Customers Visited]]=0,0,SalesData[[#This Row],[Contracts Signed]]/SalesData[[#This Row],[Customers Visited]])</f>
        <v>0.1437908496732026</v>
      </c>
      <c r="AI1640" s="6">
        <f>IF(SalesData[[#This Row],[Contracts Signed]]=0,0,SalesData[[#This Row],[Profit(€)]]/SalesData[[#This Row],[Contracts Signed]])</f>
        <v>14444</v>
      </c>
      <c r="AJ1640" s="5" t="str">
        <f>TRIM(CLEAN(SalesData[[#This Row],[Retailer]]))</f>
        <v>Autohaus Berlin</v>
      </c>
    </row>
    <row r="1641" spans="1:36" ht="14.25" hidden="1" x14ac:dyDescent="0.2">
      <c r="A1641" t="s">
        <v>2565</v>
      </c>
      <c r="B1641" s="1">
        <v>46065</v>
      </c>
      <c r="C1641" t="s">
        <v>121</v>
      </c>
      <c r="D1641" t="s">
        <v>100</v>
      </c>
      <c r="E1641" t="s">
        <v>26</v>
      </c>
      <c r="F1641" t="s">
        <v>83</v>
      </c>
      <c r="G1641" t="s">
        <v>84</v>
      </c>
      <c r="H1641" t="s">
        <v>85</v>
      </c>
      <c r="I1641" t="s">
        <v>116</v>
      </c>
      <c r="J1641" t="s">
        <v>203</v>
      </c>
      <c r="K1641" t="s">
        <v>78</v>
      </c>
      <c r="L1641" t="s">
        <v>67</v>
      </c>
      <c r="M1641" t="s">
        <v>87</v>
      </c>
      <c r="N1641" t="s">
        <v>35</v>
      </c>
      <c r="O1641" t="s">
        <v>36</v>
      </c>
      <c r="P1641" t="s">
        <v>37</v>
      </c>
      <c r="Q1641" t="s">
        <v>106</v>
      </c>
      <c r="R1641">
        <v>429</v>
      </c>
      <c r="S1641">
        <v>203</v>
      </c>
      <c r="T1641">
        <v>139</v>
      </c>
      <c r="U1641">
        <v>28</v>
      </c>
      <c r="V1641" t="s">
        <v>301</v>
      </c>
      <c r="W1641">
        <v>22930</v>
      </c>
      <c r="X1641" t="s">
        <v>5077</v>
      </c>
      <c r="Y1641">
        <v>21321</v>
      </c>
      <c r="Z1641">
        <v>642040</v>
      </c>
      <c r="AA1641">
        <v>45052</v>
      </c>
      <c r="AB1641" t="str">
        <f>(VLOOKUP(SalesData[[#This Row],[Month Number]],Reference!C$5:E$16,2,FALSE))</f>
        <v>Feb</v>
      </c>
      <c r="AC1641">
        <f>MONTH(SalesData[[#This Row],[Date]])</f>
        <v>2</v>
      </c>
      <c r="AD1641">
        <f>Reference!F$4</f>
        <v>2026</v>
      </c>
      <c r="AE1641" t="str">
        <f>IF(OR(SalesData[[#This Row],[Day]]="Saturday",SalesData[[#This Row],[Day]]="Sunday"),"Weekend","Weekday")</f>
        <v>Weekday</v>
      </c>
      <c r="AF1641" s="5">
        <f>IF(SalesData[[#This Row],[Contracts Offered]]=0,0,SalesData[[#This Row],[Contracts Signed]]/SalesData[[#This Row],[Contracts Offered]])</f>
        <v>0.20143884892086331</v>
      </c>
      <c r="AG1641" s="5">
        <f>IF(SalesData[[#This Row],[Customers Visited]]=0,0,SalesData[[#This Row],[Test Drives]]/SalesData[[#This Row],[Customers Visited]])</f>
        <v>0.47319347319347321</v>
      </c>
      <c r="AH1641" s="5">
        <f>IF(SalesData[[#This Row],[Customers Visited]]=0,0,SalesData[[#This Row],[Contracts Signed]]/SalesData[[#This Row],[Customers Visited]])</f>
        <v>6.5268065268065265E-2</v>
      </c>
      <c r="AI1641" s="6">
        <f>IF(SalesData[[#This Row],[Contracts Signed]]=0,0,SalesData[[#This Row],[Profit(€)]]/SalesData[[#This Row],[Contracts Signed]])</f>
        <v>1609</v>
      </c>
      <c r="AJ1641" s="5" t="str">
        <f>TRIM(CLEAN(SalesData[[#This Row],[Retailer]]))</f>
        <v>Hannover Cars</v>
      </c>
    </row>
    <row r="1642" spans="1:36" ht="14.25" hidden="1" x14ac:dyDescent="0.2">
      <c r="A1642" t="s">
        <v>2566</v>
      </c>
      <c r="B1642" s="1">
        <v>46066</v>
      </c>
      <c r="C1642" t="s">
        <v>121</v>
      </c>
      <c r="D1642" t="s">
        <v>54</v>
      </c>
      <c r="E1642" t="s">
        <v>26</v>
      </c>
      <c r="F1642" t="s">
        <v>114</v>
      </c>
      <c r="G1642" t="s">
        <v>115</v>
      </c>
      <c r="H1642" t="s">
        <v>115</v>
      </c>
      <c r="I1642" t="s">
        <v>104</v>
      </c>
      <c r="J1642" t="s">
        <v>7031</v>
      </c>
      <c r="K1642" t="s">
        <v>66</v>
      </c>
      <c r="L1642" t="s">
        <v>46</v>
      </c>
      <c r="M1642" t="s">
        <v>68</v>
      </c>
      <c r="N1642" t="s">
        <v>69</v>
      </c>
      <c r="O1642" t="s">
        <v>70</v>
      </c>
      <c r="P1642" t="s">
        <v>37</v>
      </c>
      <c r="Q1642" t="s">
        <v>118</v>
      </c>
      <c r="R1642">
        <v>399</v>
      </c>
      <c r="S1642">
        <v>181</v>
      </c>
      <c r="T1642">
        <v>114</v>
      </c>
      <c r="U1642">
        <v>24</v>
      </c>
      <c r="V1642" t="s">
        <v>3304</v>
      </c>
      <c r="W1642">
        <v>32780</v>
      </c>
      <c r="X1642" t="s">
        <v>243</v>
      </c>
      <c r="Y1642">
        <v>29436</v>
      </c>
      <c r="Z1642">
        <v>786720</v>
      </c>
      <c r="AA1642">
        <v>80256</v>
      </c>
      <c r="AB1642" t="str">
        <f>(VLOOKUP(SalesData[[#This Row],[Month Number]],Reference!C$5:E$16,2,FALSE))</f>
        <v>Feb</v>
      </c>
      <c r="AC1642">
        <f>MONTH(SalesData[[#This Row],[Date]])</f>
        <v>2</v>
      </c>
      <c r="AD1642">
        <f>Reference!F$4</f>
        <v>2026</v>
      </c>
      <c r="AE1642" t="str">
        <f>IF(OR(SalesData[[#This Row],[Day]]="Saturday",SalesData[[#This Row],[Day]]="Sunday"),"Weekend","Weekday")</f>
        <v>Weekday</v>
      </c>
      <c r="AF1642" s="5">
        <f>IF(SalesData[[#This Row],[Contracts Offered]]=0,0,SalesData[[#This Row],[Contracts Signed]]/SalesData[[#This Row],[Contracts Offered]])</f>
        <v>0.21052631578947367</v>
      </c>
      <c r="AG1642" s="5">
        <f>IF(SalesData[[#This Row],[Customers Visited]]=0,0,SalesData[[#This Row],[Test Drives]]/SalesData[[#This Row],[Customers Visited]])</f>
        <v>0.45363408521303256</v>
      </c>
      <c r="AH1642" s="5">
        <f>IF(SalesData[[#This Row],[Customers Visited]]=0,0,SalesData[[#This Row],[Contracts Signed]]/SalesData[[#This Row],[Customers Visited]])</f>
        <v>6.0150375939849621E-2</v>
      </c>
      <c r="AI1642" s="6">
        <f>IF(SalesData[[#This Row],[Contracts Signed]]=0,0,SalesData[[#This Row],[Profit(€)]]/SalesData[[#This Row],[Contracts Signed]])</f>
        <v>3344</v>
      </c>
      <c r="AJ1642" s="5" t="str">
        <f>TRIM(CLEAN(SalesData[[#This Row],[Retailer]]))</f>
        <v>Elbe Drive</v>
      </c>
    </row>
    <row r="1643" spans="1:36" ht="14.25" hidden="1" x14ac:dyDescent="0.2">
      <c r="A1643" t="s">
        <v>2568</v>
      </c>
      <c r="B1643" s="1">
        <v>46055</v>
      </c>
      <c r="C1643" t="s">
        <v>24</v>
      </c>
      <c r="D1643" t="s">
        <v>25</v>
      </c>
      <c r="E1643" t="s">
        <v>26</v>
      </c>
      <c r="F1643" t="s">
        <v>27</v>
      </c>
      <c r="G1643" t="s">
        <v>28</v>
      </c>
      <c r="H1643" t="s">
        <v>29</v>
      </c>
      <c r="I1643" t="s">
        <v>116</v>
      </c>
      <c r="J1643" t="s">
        <v>7026</v>
      </c>
      <c r="K1643" t="s">
        <v>91</v>
      </c>
      <c r="L1643" t="s">
        <v>46</v>
      </c>
      <c r="M1643" t="s">
        <v>47</v>
      </c>
      <c r="N1643" t="s">
        <v>35</v>
      </c>
      <c r="O1643" t="s">
        <v>36</v>
      </c>
      <c r="P1643" t="s">
        <v>49</v>
      </c>
      <c r="Q1643" t="s">
        <v>38</v>
      </c>
      <c r="R1643">
        <v>351</v>
      </c>
      <c r="S1643">
        <v>187</v>
      </c>
      <c r="T1643">
        <v>126</v>
      </c>
      <c r="U1643">
        <v>30</v>
      </c>
      <c r="V1643" t="s">
        <v>707</v>
      </c>
      <c r="W1643">
        <v>22304</v>
      </c>
      <c r="X1643" t="s">
        <v>3505</v>
      </c>
      <c r="Y1643">
        <v>20501</v>
      </c>
      <c r="Z1643">
        <v>669120</v>
      </c>
      <c r="AA1643">
        <v>54090</v>
      </c>
      <c r="AB1643" t="str">
        <f>(VLOOKUP(SalesData[[#This Row],[Month Number]],Reference!C$5:E$16,2,FALSE))</f>
        <v>Feb</v>
      </c>
      <c r="AC1643">
        <f>MONTH(SalesData[[#This Row],[Date]])</f>
        <v>2</v>
      </c>
      <c r="AD1643">
        <f>Reference!F$4</f>
        <v>2026</v>
      </c>
      <c r="AE1643" t="str">
        <f>IF(OR(SalesData[[#This Row],[Day]]="Saturday",SalesData[[#This Row],[Day]]="Sunday"),"Weekend","Weekday")</f>
        <v>Weekday</v>
      </c>
      <c r="AF1643" s="5">
        <f>IF(SalesData[[#This Row],[Contracts Offered]]=0,0,SalesData[[#This Row],[Contracts Signed]]/SalesData[[#This Row],[Contracts Offered]])</f>
        <v>0.23809523809523808</v>
      </c>
      <c r="AG1643" s="5">
        <f>IF(SalesData[[#This Row],[Customers Visited]]=0,0,SalesData[[#This Row],[Test Drives]]/SalesData[[#This Row],[Customers Visited]])</f>
        <v>0.53276353276353272</v>
      </c>
      <c r="AH1643" s="5">
        <f>IF(SalesData[[#This Row],[Customers Visited]]=0,0,SalesData[[#This Row],[Contracts Signed]]/SalesData[[#This Row],[Customers Visited]])</f>
        <v>8.5470085470085472E-2</v>
      </c>
      <c r="AI1643" s="6">
        <f>IF(SalesData[[#This Row],[Contracts Signed]]=0,0,SalesData[[#This Row],[Profit(€)]]/SalesData[[#This Row],[Contracts Signed]])</f>
        <v>1803</v>
      </c>
      <c r="AJ1643" s="5" t="str">
        <f>TRIM(CLEAN(SalesData[[#This Row],[Retailer]]))</f>
        <v>Main Auto Hub</v>
      </c>
    </row>
    <row r="1644" spans="1:36" ht="14.25" hidden="1" x14ac:dyDescent="0.2">
      <c r="A1644" t="s">
        <v>2569</v>
      </c>
      <c r="B1644" s="1">
        <v>46065</v>
      </c>
      <c r="C1644" t="s">
        <v>121</v>
      </c>
      <c r="D1644" t="s">
        <v>100</v>
      </c>
      <c r="E1644" t="s">
        <v>26</v>
      </c>
      <c r="F1644" t="s">
        <v>101</v>
      </c>
      <c r="G1644" t="s">
        <v>102</v>
      </c>
      <c r="H1644" t="s">
        <v>103</v>
      </c>
      <c r="I1644" t="s">
        <v>116</v>
      </c>
      <c r="J1644" t="s">
        <v>7026</v>
      </c>
      <c r="K1644" t="s">
        <v>91</v>
      </c>
      <c r="L1644" t="s">
        <v>46</v>
      </c>
      <c r="M1644" t="s">
        <v>68</v>
      </c>
      <c r="N1644" t="s">
        <v>48</v>
      </c>
      <c r="O1644" t="s">
        <v>70</v>
      </c>
      <c r="P1644" t="s">
        <v>58</v>
      </c>
      <c r="Q1644" t="s">
        <v>167</v>
      </c>
      <c r="R1644">
        <v>293</v>
      </c>
      <c r="S1644">
        <v>135</v>
      </c>
      <c r="T1644">
        <v>79</v>
      </c>
      <c r="U1644">
        <v>23</v>
      </c>
      <c r="V1644" t="s">
        <v>1998</v>
      </c>
      <c r="W1644">
        <v>22753</v>
      </c>
      <c r="X1644" t="s">
        <v>409</v>
      </c>
      <c r="Y1644">
        <v>21063</v>
      </c>
      <c r="Z1644">
        <v>523319</v>
      </c>
      <c r="AA1644">
        <v>38870</v>
      </c>
      <c r="AB1644" t="str">
        <f>(VLOOKUP(SalesData[[#This Row],[Month Number]],Reference!C$5:E$16,2,FALSE))</f>
        <v>Feb</v>
      </c>
      <c r="AC1644">
        <f>MONTH(SalesData[[#This Row],[Date]])</f>
        <v>2</v>
      </c>
      <c r="AD1644">
        <f>Reference!F$4</f>
        <v>2026</v>
      </c>
      <c r="AE1644" t="str">
        <f>IF(OR(SalesData[[#This Row],[Day]]="Saturday",SalesData[[#This Row],[Day]]="Sunday"),"Weekend","Weekday")</f>
        <v>Weekday</v>
      </c>
      <c r="AF1644" s="5">
        <f>IF(SalesData[[#This Row],[Contracts Offered]]=0,0,SalesData[[#This Row],[Contracts Signed]]/SalesData[[#This Row],[Contracts Offered]])</f>
        <v>0.29113924050632911</v>
      </c>
      <c r="AG1644" s="5">
        <f>IF(SalesData[[#This Row],[Customers Visited]]=0,0,SalesData[[#This Row],[Test Drives]]/SalesData[[#This Row],[Customers Visited]])</f>
        <v>0.46075085324232085</v>
      </c>
      <c r="AH1644" s="5">
        <f>IF(SalesData[[#This Row],[Customers Visited]]=0,0,SalesData[[#This Row],[Contracts Signed]]/SalesData[[#This Row],[Customers Visited]])</f>
        <v>7.8498293515358364E-2</v>
      </c>
      <c r="AI1644" s="6">
        <f>IF(SalesData[[#This Row],[Contracts Signed]]=0,0,SalesData[[#This Row],[Profit(€)]]/SalesData[[#This Row],[Contracts Signed]])</f>
        <v>1690</v>
      </c>
      <c r="AJ1644" s="5" t="str">
        <f>TRIM(CLEAN(SalesData[[#This Row],[Retailer]]))</f>
        <v>Ruhr Auto Plaza</v>
      </c>
    </row>
    <row r="1645" spans="1:36" ht="14.25" hidden="1" x14ac:dyDescent="0.2">
      <c r="A1645" t="s">
        <v>2570</v>
      </c>
      <c r="B1645" s="1">
        <v>46057</v>
      </c>
      <c r="C1645" t="s">
        <v>24</v>
      </c>
      <c r="D1645" t="s">
        <v>82</v>
      </c>
      <c r="E1645" t="s">
        <v>26</v>
      </c>
      <c r="F1645" t="s">
        <v>94</v>
      </c>
      <c r="G1645" t="s">
        <v>95</v>
      </c>
      <c r="H1645" t="s">
        <v>96</v>
      </c>
      <c r="I1645" t="s">
        <v>64</v>
      </c>
      <c r="J1645" t="s">
        <v>111</v>
      </c>
      <c r="K1645" t="s">
        <v>91</v>
      </c>
      <c r="L1645" t="s">
        <v>46</v>
      </c>
      <c r="M1645" t="s">
        <v>47</v>
      </c>
      <c r="N1645" t="s">
        <v>48</v>
      </c>
      <c r="O1645" t="s">
        <v>36</v>
      </c>
      <c r="P1645" t="s">
        <v>58</v>
      </c>
      <c r="Q1645" t="s">
        <v>189</v>
      </c>
      <c r="R1645">
        <v>167</v>
      </c>
      <c r="S1645">
        <v>83</v>
      </c>
      <c r="T1645">
        <v>65</v>
      </c>
      <c r="U1645">
        <v>25</v>
      </c>
      <c r="V1645" t="s">
        <v>7467</v>
      </c>
      <c r="W1645">
        <v>64188</v>
      </c>
      <c r="X1645" t="s">
        <v>7407</v>
      </c>
      <c r="Y1645">
        <v>48707</v>
      </c>
      <c r="Z1645">
        <v>1604700</v>
      </c>
      <c r="AA1645">
        <v>387025</v>
      </c>
      <c r="AB1645" t="str">
        <f>(VLOOKUP(SalesData[[#This Row],[Month Number]],Reference!C$5:E$16,2,FALSE))</f>
        <v>Feb</v>
      </c>
      <c r="AC1645">
        <f>MONTH(SalesData[[#This Row],[Date]])</f>
        <v>2</v>
      </c>
      <c r="AD1645">
        <f>Reference!F$4</f>
        <v>2026</v>
      </c>
      <c r="AE1645" t="str">
        <f>IF(OR(SalesData[[#This Row],[Day]]="Saturday",SalesData[[#This Row],[Day]]="Sunday"),"Weekend","Weekday")</f>
        <v>Weekday</v>
      </c>
      <c r="AF1645" s="5">
        <f>IF(SalesData[[#This Row],[Contracts Offered]]=0,0,SalesData[[#This Row],[Contracts Signed]]/SalesData[[#This Row],[Contracts Offered]])</f>
        <v>0.38461538461538464</v>
      </c>
      <c r="AG1645" s="5">
        <f>IF(SalesData[[#This Row],[Customers Visited]]=0,0,SalesData[[#This Row],[Test Drives]]/SalesData[[#This Row],[Customers Visited]])</f>
        <v>0.49700598802395207</v>
      </c>
      <c r="AH1645" s="5">
        <f>IF(SalesData[[#This Row],[Customers Visited]]=0,0,SalesData[[#This Row],[Contracts Signed]]/SalesData[[#This Row],[Customers Visited]])</f>
        <v>0.1497005988023952</v>
      </c>
      <c r="AI1645" s="6">
        <f>IF(SalesData[[#This Row],[Contracts Signed]]=0,0,SalesData[[#This Row],[Profit(€)]]/SalesData[[#This Row],[Contracts Signed]])</f>
        <v>15481</v>
      </c>
      <c r="AJ1645" s="5" t="str">
        <f>TRIM(CLEAN(SalesData[[#This Row],[Retailer]]))</f>
        <v>Bavaria Motors</v>
      </c>
    </row>
    <row r="1646" spans="1:36" ht="14.25" hidden="1" x14ac:dyDescent="0.2">
      <c r="A1646" t="s">
        <v>2571</v>
      </c>
      <c r="B1646" s="1">
        <v>46058</v>
      </c>
      <c r="C1646" t="s">
        <v>24</v>
      </c>
      <c r="D1646" t="s">
        <v>100</v>
      </c>
      <c r="E1646" t="s">
        <v>26</v>
      </c>
      <c r="F1646" t="s">
        <v>109</v>
      </c>
      <c r="G1646" t="s">
        <v>110</v>
      </c>
      <c r="H1646" t="s">
        <v>45</v>
      </c>
      <c r="I1646" t="s">
        <v>104</v>
      </c>
      <c r="J1646" t="s">
        <v>105</v>
      </c>
      <c r="K1646" t="s">
        <v>78</v>
      </c>
      <c r="L1646" t="s">
        <v>33</v>
      </c>
      <c r="M1646" t="s">
        <v>34</v>
      </c>
      <c r="N1646" t="s">
        <v>69</v>
      </c>
      <c r="O1646" t="s">
        <v>36</v>
      </c>
      <c r="P1646" t="s">
        <v>58</v>
      </c>
      <c r="Q1646" t="s">
        <v>59</v>
      </c>
      <c r="R1646">
        <v>404</v>
      </c>
      <c r="S1646">
        <v>204</v>
      </c>
      <c r="T1646">
        <v>129</v>
      </c>
      <c r="U1646">
        <v>42</v>
      </c>
      <c r="V1646" t="s">
        <v>6353</v>
      </c>
      <c r="W1646">
        <v>28715</v>
      </c>
      <c r="X1646" t="s">
        <v>1042</v>
      </c>
      <c r="Y1646">
        <v>25415</v>
      </c>
      <c r="Z1646">
        <v>1206030</v>
      </c>
      <c r="AA1646">
        <v>138600</v>
      </c>
      <c r="AB1646" t="str">
        <f>(VLOOKUP(SalesData[[#This Row],[Month Number]],Reference!C$5:E$16,2,FALSE))</f>
        <v>Feb</v>
      </c>
      <c r="AC1646">
        <f>MONTH(SalesData[[#This Row],[Date]])</f>
        <v>2</v>
      </c>
      <c r="AD1646">
        <f>Reference!F$4</f>
        <v>2026</v>
      </c>
      <c r="AE1646" t="str">
        <f>IF(OR(SalesData[[#This Row],[Day]]="Saturday",SalesData[[#This Row],[Day]]="Sunday"),"Weekend","Weekday")</f>
        <v>Weekday</v>
      </c>
      <c r="AF1646" s="5">
        <f>IF(SalesData[[#This Row],[Contracts Offered]]=0,0,SalesData[[#This Row],[Contracts Signed]]/SalesData[[#This Row],[Contracts Offered]])</f>
        <v>0.32558139534883723</v>
      </c>
      <c r="AG1646" s="5">
        <f>IF(SalesData[[#This Row],[Customers Visited]]=0,0,SalesData[[#This Row],[Test Drives]]/SalesData[[#This Row],[Customers Visited]])</f>
        <v>0.50495049504950495</v>
      </c>
      <c r="AH1646" s="5">
        <f>IF(SalesData[[#This Row],[Customers Visited]]=0,0,SalesData[[#This Row],[Contracts Signed]]/SalesData[[#This Row],[Customers Visited]])</f>
        <v>0.10396039603960396</v>
      </c>
      <c r="AI1646" s="6">
        <f>IF(SalesData[[#This Row],[Contracts Signed]]=0,0,SalesData[[#This Row],[Profit(€)]]/SalesData[[#This Row],[Contracts Signed]])</f>
        <v>3300</v>
      </c>
      <c r="AJ1646" s="5" t="str">
        <f>TRIM(CLEAN(SalesData[[#This Row],[Retailer]]))</f>
        <v>Leipzig Mobility</v>
      </c>
    </row>
    <row r="1647" spans="1:36" ht="14.25" hidden="1" x14ac:dyDescent="0.2">
      <c r="A1647" t="s">
        <v>2572</v>
      </c>
      <c r="B1647" s="1">
        <v>46067</v>
      </c>
      <c r="C1647" t="s">
        <v>121</v>
      </c>
      <c r="D1647" t="s">
        <v>151</v>
      </c>
      <c r="E1647" t="s">
        <v>42</v>
      </c>
      <c r="F1647" t="s">
        <v>43</v>
      </c>
      <c r="G1647" t="s">
        <v>44</v>
      </c>
      <c r="H1647" t="s">
        <v>45</v>
      </c>
      <c r="I1647" t="s">
        <v>104</v>
      </c>
      <c r="J1647" t="s">
        <v>7031</v>
      </c>
      <c r="K1647" t="s">
        <v>91</v>
      </c>
      <c r="L1647" t="s">
        <v>46</v>
      </c>
      <c r="M1647" t="s">
        <v>68</v>
      </c>
      <c r="N1647" t="s">
        <v>69</v>
      </c>
      <c r="O1647" t="s">
        <v>70</v>
      </c>
      <c r="P1647" t="s">
        <v>71</v>
      </c>
      <c r="Q1647" t="s">
        <v>240</v>
      </c>
      <c r="R1647">
        <v>376</v>
      </c>
      <c r="S1647">
        <v>154</v>
      </c>
      <c r="T1647">
        <v>109</v>
      </c>
      <c r="U1647">
        <v>21</v>
      </c>
      <c r="V1647" t="s">
        <v>1011</v>
      </c>
      <c r="W1647">
        <v>34878</v>
      </c>
      <c r="X1647" t="s">
        <v>5601</v>
      </c>
      <c r="Y1647">
        <v>31331</v>
      </c>
      <c r="Z1647">
        <v>732438</v>
      </c>
      <c r="AA1647">
        <v>74487</v>
      </c>
      <c r="AB1647" t="str">
        <f>(VLOOKUP(SalesData[[#This Row],[Month Number]],Reference!C$5:E$16,2,FALSE))</f>
        <v>Feb</v>
      </c>
      <c r="AC1647">
        <f>MONTH(SalesData[[#This Row],[Date]])</f>
        <v>2</v>
      </c>
      <c r="AD1647">
        <f>Reference!F$4</f>
        <v>2026</v>
      </c>
      <c r="AE1647" t="str">
        <f>IF(OR(SalesData[[#This Row],[Day]]="Saturday",SalesData[[#This Row],[Day]]="Sunday"),"Weekend","Weekday")</f>
        <v>Weekend</v>
      </c>
      <c r="AF1647" s="5">
        <f>IF(SalesData[[#This Row],[Contracts Offered]]=0,0,SalesData[[#This Row],[Contracts Signed]]/SalesData[[#This Row],[Contracts Offered]])</f>
        <v>0.19266055045871561</v>
      </c>
      <c r="AG1647" s="5">
        <f>IF(SalesData[[#This Row],[Customers Visited]]=0,0,SalesData[[#This Row],[Test Drives]]/SalesData[[#This Row],[Customers Visited]])</f>
        <v>0.40957446808510639</v>
      </c>
      <c r="AH1647" s="5">
        <f>IF(SalesData[[#This Row],[Customers Visited]]=0,0,SalesData[[#This Row],[Contracts Signed]]/SalesData[[#This Row],[Customers Visited]])</f>
        <v>5.5851063829787231E-2</v>
      </c>
      <c r="AI1647" s="6">
        <f>IF(SalesData[[#This Row],[Contracts Signed]]=0,0,SalesData[[#This Row],[Profit(€)]]/SalesData[[#This Row],[Contracts Signed]])</f>
        <v>3547</v>
      </c>
      <c r="AJ1647" s="5" t="str">
        <f>TRIM(CLEAN(SalesData[[#This Row],[Retailer]]))</f>
        <v>Saxon Wheels</v>
      </c>
    </row>
    <row r="1648" spans="1:36" ht="14.25" x14ac:dyDescent="0.2">
      <c r="A1648" t="s">
        <v>2573</v>
      </c>
      <c r="B1648" s="1">
        <v>46059</v>
      </c>
      <c r="C1648" t="s">
        <v>24</v>
      </c>
      <c r="D1648" t="s">
        <v>54</v>
      </c>
      <c r="E1648" t="s">
        <v>26</v>
      </c>
      <c r="F1648" t="s">
        <v>127</v>
      </c>
      <c r="G1648" t="s">
        <v>128</v>
      </c>
      <c r="H1648" t="s">
        <v>103</v>
      </c>
      <c r="I1648" t="s">
        <v>30</v>
      </c>
      <c r="J1648" t="s">
        <v>188</v>
      </c>
      <c r="K1648" t="s">
        <v>32</v>
      </c>
      <c r="L1648" t="s">
        <v>33</v>
      </c>
      <c r="M1648" t="s">
        <v>34</v>
      </c>
      <c r="N1648" t="s">
        <v>48</v>
      </c>
      <c r="O1648" t="s">
        <v>70</v>
      </c>
      <c r="P1648" t="s">
        <v>37</v>
      </c>
      <c r="Q1648" t="s">
        <v>38</v>
      </c>
      <c r="R1648">
        <v>231</v>
      </c>
      <c r="S1648">
        <v>136</v>
      </c>
      <c r="T1648">
        <v>93</v>
      </c>
      <c r="U1648">
        <v>33</v>
      </c>
      <c r="V1648" t="s">
        <v>6699</v>
      </c>
      <c r="W1648">
        <v>62139</v>
      </c>
      <c r="X1648" t="s">
        <v>7327</v>
      </c>
      <c r="Y1648">
        <v>48456</v>
      </c>
      <c r="Z1648">
        <v>2050587</v>
      </c>
      <c r="AA1648">
        <v>451539</v>
      </c>
      <c r="AB1648" t="str">
        <f>(VLOOKUP(SalesData[[#This Row],[Month Number]],Reference!C$5:E$16,2,FALSE))</f>
        <v>Feb</v>
      </c>
      <c r="AC1648">
        <f>MONTH(SalesData[[#This Row],[Date]])</f>
        <v>2</v>
      </c>
      <c r="AD1648">
        <f>Reference!F$4</f>
        <v>2026</v>
      </c>
      <c r="AE1648" t="str">
        <f>IF(OR(SalesData[[#This Row],[Day]]="Saturday",SalesData[[#This Row],[Day]]="Sunday"),"Weekend","Weekday")</f>
        <v>Weekday</v>
      </c>
      <c r="AF1648" s="5">
        <f>IF(SalesData[[#This Row],[Contracts Offered]]=0,0,SalesData[[#This Row],[Contracts Signed]]/SalesData[[#This Row],[Contracts Offered]])</f>
        <v>0.35483870967741937</v>
      </c>
      <c r="AG1648" s="5">
        <f>IF(SalesData[[#This Row],[Customers Visited]]=0,0,SalesData[[#This Row],[Test Drives]]/SalesData[[#This Row],[Customers Visited]])</f>
        <v>0.58874458874458879</v>
      </c>
      <c r="AH1648" s="5">
        <f>IF(SalesData[[#This Row],[Customers Visited]]=0,0,SalesData[[#This Row],[Contracts Signed]]/SalesData[[#This Row],[Customers Visited]])</f>
        <v>0.14285714285714285</v>
      </c>
      <c r="AI1648" s="6">
        <f>IF(SalesData[[#This Row],[Contracts Signed]]=0,0,SalesData[[#This Row],[Profit(€)]]/SalesData[[#This Row],[Contracts Signed]])</f>
        <v>13683</v>
      </c>
      <c r="AJ1648" s="5" t="str">
        <f>TRIM(CLEAN(SalesData[[#This Row],[Retailer]]))</f>
        <v>Rhein Auto Group</v>
      </c>
    </row>
    <row r="1649" spans="1:36" ht="14.25" hidden="1" x14ac:dyDescent="0.2">
      <c r="A1649" t="s">
        <v>2574</v>
      </c>
      <c r="B1649" s="1">
        <v>46069</v>
      </c>
      <c r="C1649" t="s">
        <v>62</v>
      </c>
      <c r="D1649" t="s">
        <v>25</v>
      </c>
      <c r="E1649" t="s">
        <v>26</v>
      </c>
      <c r="F1649" t="s">
        <v>114</v>
      </c>
      <c r="G1649" t="s">
        <v>115</v>
      </c>
      <c r="H1649" t="s">
        <v>115</v>
      </c>
      <c r="I1649" t="s">
        <v>116</v>
      </c>
      <c r="J1649" t="s">
        <v>7090</v>
      </c>
      <c r="K1649" t="s">
        <v>78</v>
      </c>
      <c r="L1649" t="s">
        <v>46</v>
      </c>
      <c r="M1649" t="s">
        <v>47</v>
      </c>
      <c r="N1649" t="s">
        <v>35</v>
      </c>
      <c r="O1649" t="s">
        <v>36</v>
      </c>
      <c r="P1649" t="s">
        <v>58</v>
      </c>
      <c r="Q1649" t="s">
        <v>135</v>
      </c>
      <c r="R1649">
        <v>411</v>
      </c>
      <c r="S1649">
        <v>168</v>
      </c>
      <c r="T1649">
        <v>108</v>
      </c>
      <c r="U1649">
        <v>33</v>
      </c>
      <c r="V1649" t="s">
        <v>2931</v>
      </c>
      <c r="W1649">
        <v>23658</v>
      </c>
      <c r="X1649" t="s">
        <v>931</v>
      </c>
      <c r="Y1649">
        <v>21567</v>
      </c>
      <c r="Z1649">
        <v>780714</v>
      </c>
      <c r="AA1649">
        <v>69003</v>
      </c>
      <c r="AB1649" t="str">
        <f>(VLOOKUP(SalesData[[#This Row],[Month Number]],Reference!C$5:E$16,2,FALSE))</f>
        <v>Feb</v>
      </c>
      <c r="AC1649">
        <f>MONTH(SalesData[[#This Row],[Date]])</f>
        <v>2</v>
      </c>
      <c r="AD1649">
        <f>Reference!F$4</f>
        <v>2026</v>
      </c>
      <c r="AE1649" t="str">
        <f>IF(OR(SalesData[[#This Row],[Day]]="Saturday",SalesData[[#This Row],[Day]]="Sunday"),"Weekend","Weekday")</f>
        <v>Weekday</v>
      </c>
      <c r="AF1649" s="5">
        <f>IF(SalesData[[#This Row],[Contracts Offered]]=0,0,SalesData[[#This Row],[Contracts Signed]]/SalesData[[#This Row],[Contracts Offered]])</f>
        <v>0.30555555555555558</v>
      </c>
      <c r="AG1649" s="5">
        <f>IF(SalesData[[#This Row],[Customers Visited]]=0,0,SalesData[[#This Row],[Test Drives]]/SalesData[[#This Row],[Customers Visited]])</f>
        <v>0.40875912408759124</v>
      </c>
      <c r="AH1649" s="5">
        <f>IF(SalesData[[#This Row],[Customers Visited]]=0,0,SalesData[[#This Row],[Contracts Signed]]/SalesData[[#This Row],[Customers Visited]])</f>
        <v>8.0291970802919707E-2</v>
      </c>
      <c r="AI1649" s="6">
        <f>IF(SalesData[[#This Row],[Contracts Signed]]=0,0,SalesData[[#This Row],[Profit(€)]]/SalesData[[#This Row],[Contracts Signed]])</f>
        <v>2091</v>
      </c>
      <c r="AJ1649" s="5" t="str">
        <f>TRIM(CLEAN(SalesData[[#This Row],[Retailer]]))</f>
        <v>Elbe Drive</v>
      </c>
    </row>
    <row r="1650" spans="1:36" ht="14.25" hidden="1" x14ac:dyDescent="0.2">
      <c r="A1650" t="s">
        <v>2575</v>
      </c>
      <c r="B1650" s="1">
        <v>46064</v>
      </c>
      <c r="C1650" t="s">
        <v>121</v>
      </c>
      <c r="D1650" t="s">
        <v>82</v>
      </c>
      <c r="E1650" t="s">
        <v>26</v>
      </c>
      <c r="F1650" t="s">
        <v>74</v>
      </c>
      <c r="G1650" t="s">
        <v>75</v>
      </c>
      <c r="H1650" t="s">
        <v>76</v>
      </c>
      <c r="I1650" t="s">
        <v>64</v>
      </c>
      <c r="J1650" t="s">
        <v>65</v>
      </c>
      <c r="K1650" t="s">
        <v>91</v>
      </c>
      <c r="L1650" t="s">
        <v>33</v>
      </c>
      <c r="M1650" t="s">
        <v>68</v>
      </c>
      <c r="N1650" t="s">
        <v>48</v>
      </c>
      <c r="O1650" t="s">
        <v>70</v>
      </c>
      <c r="P1650" t="s">
        <v>58</v>
      </c>
      <c r="Q1650" t="s">
        <v>50</v>
      </c>
      <c r="R1650">
        <v>152</v>
      </c>
      <c r="S1650">
        <v>71</v>
      </c>
      <c r="T1650">
        <v>54</v>
      </c>
      <c r="U1650">
        <v>19</v>
      </c>
      <c r="V1650" t="s">
        <v>6829</v>
      </c>
      <c r="W1650">
        <v>71133</v>
      </c>
      <c r="X1650" t="s">
        <v>7218</v>
      </c>
      <c r="Y1650">
        <v>52445</v>
      </c>
      <c r="Z1650">
        <v>1351527</v>
      </c>
      <c r="AA1650">
        <v>355072</v>
      </c>
      <c r="AB1650" t="str">
        <f>(VLOOKUP(SalesData[[#This Row],[Month Number]],Reference!C$5:E$16,2,FALSE))</f>
        <v>Feb</v>
      </c>
      <c r="AC1650">
        <f>MONTH(SalesData[[#This Row],[Date]])</f>
        <v>2</v>
      </c>
      <c r="AD1650">
        <f>Reference!F$4</f>
        <v>2026</v>
      </c>
      <c r="AE1650" t="str">
        <f>IF(OR(SalesData[[#This Row],[Day]]="Saturday",SalesData[[#This Row],[Day]]="Sunday"),"Weekend","Weekday")</f>
        <v>Weekday</v>
      </c>
      <c r="AF1650" s="5">
        <f>IF(SalesData[[#This Row],[Contracts Offered]]=0,0,SalesData[[#This Row],[Contracts Signed]]/SalesData[[#This Row],[Contracts Offered]])</f>
        <v>0.35185185185185186</v>
      </c>
      <c r="AG1650" s="5">
        <f>IF(SalesData[[#This Row],[Customers Visited]]=0,0,SalesData[[#This Row],[Test Drives]]/SalesData[[#This Row],[Customers Visited]])</f>
        <v>0.46710526315789475</v>
      </c>
      <c r="AH1650" s="5">
        <f>IF(SalesData[[#This Row],[Customers Visited]]=0,0,SalesData[[#This Row],[Contracts Signed]]/SalesData[[#This Row],[Customers Visited]])</f>
        <v>0.125</v>
      </c>
      <c r="AI1650" s="6">
        <f>IF(SalesData[[#This Row],[Contracts Signed]]=0,0,SalesData[[#This Row],[Profit(€)]]/SalesData[[#This Row],[Contracts Signed]])</f>
        <v>18688</v>
      </c>
      <c r="AJ1650" s="5" t="str">
        <f>TRIM(CLEAN(SalesData[[#This Row],[Retailer]]))</f>
        <v>Stuttgart Auto Center</v>
      </c>
    </row>
    <row r="1651" spans="1:36" ht="14.25" hidden="1" x14ac:dyDescent="0.2">
      <c r="A1651" t="s">
        <v>2577</v>
      </c>
      <c r="B1651" s="1">
        <v>46070</v>
      </c>
      <c r="C1651" t="s">
        <v>62</v>
      </c>
      <c r="D1651" t="s">
        <v>63</v>
      </c>
      <c r="E1651" t="s">
        <v>26</v>
      </c>
      <c r="F1651" t="s">
        <v>7649</v>
      </c>
      <c r="G1651" t="s">
        <v>55</v>
      </c>
      <c r="H1651" t="s">
        <v>55</v>
      </c>
      <c r="I1651" t="s">
        <v>116</v>
      </c>
      <c r="J1651" t="s">
        <v>7026</v>
      </c>
      <c r="K1651" t="s">
        <v>32</v>
      </c>
      <c r="L1651" t="s">
        <v>46</v>
      </c>
      <c r="M1651" t="s">
        <v>47</v>
      </c>
      <c r="N1651" t="s">
        <v>69</v>
      </c>
      <c r="O1651" t="s">
        <v>70</v>
      </c>
      <c r="P1651" t="s">
        <v>58</v>
      </c>
      <c r="Q1651" t="s">
        <v>158</v>
      </c>
      <c r="R1651">
        <v>321</v>
      </c>
      <c r="S1651">
        <v>130</v>
      </c>
      <c r="T1651">
        <v>73</v>
      </c>
      <c r="U1651">
        <v>23</v>
      </c>
      <c r="V1651" t="s">
        <v>3264</v>
      </c>
      <c r="W1651">
        <v>21672</v>
      </c>
      <c r="X1651" t="s">
        <v>953</v>
      </c>
      <c r="Y1651">
        <v>19310</v>
      </c>
      <c r="Z1651">
        <v>498456</v>
      </c>
      <c r="AA1651">
        <v>54326</v>
      </c>
      <c r="AB1651" t="str">
        <f>(VLOOKUP(SalesData[[#This Row],[Month Number]],Reference!C$5:E$16,2,FALSE))</f>
        <v>Feb</v>
      </c>
      <c r="AC1651">
        <f>MONTH(SalesData[[#This Row],[Date]])</f>
        <v>2</v>
      </c>
      <c r="AD1651">
        <f>Reference!F$4</f>
        <v>2026</v>
      </c>
      <c r="AE1651" t="str">
        <f>IF(OR(SalesData[[#This Row],[Day]]="Saturday",SalesData[[#This Row],[Day]]="Sunday"),"Weekend","Weekday")</f>
        <v>Weekday</v>
      </c>
      <c r="AF1651" s="5">
        <f>IF(SalesData[[#This Row],[Contracts Offered]]=0,0,SalesData[[#This Row],[Contracts Signed]]/SalesData[[#This Row],[Contracts Offered]])</f>
        <v>0.31506849315068491</v>
      </c>
      <c r="AG1651" s="5">
        <f>IF(SalesData[[#This Row],[Customers Visited]]=0,0,SalesData[[#This Row],[Test Drives]]/SalesData[[#This Row],[Customers Visited]])</f>
        <v>0.40498442367601245</v>
      </c>
      <c r="AH1651" s="5">
        <f>IF(SalesData[[#This Row],[Customers Visited]]=0,0,SalesData[[#This Row],[Contracts Signed]]/SalesData[[#This Row],[Customers Visited]])</f>
        <v>7.1651090342679122E-2</v>
      </c>
      <c r="AI1651" s="6">
        <f>IF(SalesData[[#This Row],[Contracts Signed]]=0,0,SalesData[[#This Row],[Profit(€)]]/SalesData[[#This Row],[Contracts Signed]])</f>
        <v>2362</v>
      </c>
      <c r="AJ1651" s="5" t="str">
        <f>TRIM(CLEAN(SalesData[[#This Row],[Retailer]]))</f>
        <v>Autohaus Berlin</v>
      </c>
    </row>
    <row r="1652" spans="1:36" ht="14.25" hidden="1" x14ac:dyDescent="0.2">
      <c r="A1652" t="s">
        <v>2578</v>
      </c>
      <c r="B1652" s="1">
        <v>46064</v>
      </c>
      <c r="C1652" t="s">
        <v>121</v>
      </c>
      <c r="D1652" t="s">
        <v>82</v>
      </c>
      <c r="E1652" t="s">
        <v>26</v>
      </c>
      <c r="F1652" t="s">
        <v>101</v>
      </c>
      <c r="G1652" t="s">
        <v>102</v>
      </c>
      <c r="H1652" t="s">
        <v>103</v>
      </c>
      <c r="I1652" t="s">
        <v>104</v>
      </c>
      <c r="J1652" t="s">
        <v>105</v>
      </c>
      <c r="K1652" t="s">
        <v>66</v>
      </c>
      <c r="L1652" t="s">
        <v>33</v>
      </c>
      <c r="M1652" t="s">
        <v>68</v>
      </c>
      <c r="N1652" t="s">
        <v>48</v>
      </c>
      <c r="O1652" t="s">
        <v>36</v>
      </c>
      <c r="P1652" t="s">
        <v>49</v>
      </c>
      <c r="Q1652" t="s">
        <v>118</v>
      </c>
      <c r="R1652">
        <v>288</v>
      </c>
      <c r="S1652">
        <v>121</v>
      </c>
      <c r="T1652">
        <v>74</v>
      </c>
      <c r="U1652">
        <v>18</v>
      </c>
      <c r="V1652" t="s">
        <v>2480</v>
      </c>
      <c r="W1652">
        <v>31822</v>
      </c>
      <c r="X1652" t="s">
        <v>1120</v>
      </c>
      <c r="Y1652">
        <v>27450</v>
      </c>
      <c r="Z1652">
        <v>572796</v>
      </c>
      <c r="AA1652">
        <v>78696</v>
      </c>
      <c r="AB1652" t="str">
        <f>(VLOOKUP(SalesData[[#This Row],[Month Number]],Reference!C$5:E$16,2,FALSE))</f>
        <v>Feb</v>
      </c>
      <c r="AC1652">
        <f>MONTH(SalesData[[#This Row],[Date]])</f>
        <v>2</v>
      </c>
      <c r="AD1652">
        <f>Reference!F$4</f>
        <v>2026</v>
      </c>
      <c r="AE1652" t="str">
        <f>IF(OR(SalesData[[#This Row],[Day]]="Saturday",SalesData[[#This Row],[Day]]="Sunday"),"Weekend","Weekday")</f>
        <v>Weekday</v>
      </c>
      <c r="AF1652" s="5">
        <f>IF(SalesData[[#This Row],[Contracts Offered]]=0,0,SalesData[[#This Row],[Contracts Signed]]/SalesData[[#This Row],[Contracts Offered]])</f>
        <v>0.24324324324324326</v>
      </c>
      <c r="AG1652" s="5">
        <f>IF(SalesData[[#This Row],[Customers Visited]]=0,0,SalesData[[#This Row],[Test Drives]]/SalesData[[#This Row],[Customers Visited]])</f>
        <v>0.4201388888888889</v>
      </c>
      <c r="AH1652" s="5">
        <f>IF(SalesData[[#This Row],[Customers Visited]]=0,0,SalesData[[#This Row],[Contracts Signed]]/SalesData[[#This Row],[Customers Visited]])</f>
        <v>6.25E-2</v>
      </c>
      <c r="AI1652" s="6">
        <f>IF(SalesData[[#This Row],[Contracts Signed]]=0,0,SalesData[[#This Row],[Profit(€)]]/SalesData[[#This Row],[Contracts Signed]])</f>
        <v>4372</v>
      </c>
      <c r="AJ1652" s="5" t="str">
        <f>TRIM(CLEAN(SalesData[[#This Row],[Retailer]]))</f>
        <v>Ruhr Auto Plaza</v>
      </c>
    </row>
    <row r="1653" spans="1:36" ht="14.25" hidden="1" x14ac:dyDescent="0.2">
      <c r="A1653" t="s">
        <v>2579</v>
      </c>
      <c r="B1653" s="1">
        <v>46070</v>
      </c>
      <c r="C1653" t="s">
        <v>62</v>
      </c>
      <c r="D1653" t="s">
        <v>63</v>
      </c>
      <c r="E1653" t="s">
        <v>26</v>
      </c>
      <c r="F1653" t="s">
        <v>74</v>
      </c>
      <c r="G1653" t="s">
        <v>75</v>
      </c>
      <c r="H1653" t="s">
        <v>76</v>
      </c>
      <c r="I1653" t="s">
        <v>116</v>
      </c>
      <c r="J1653" t="s">
        <v>7090</v>
      </c>
      <c r="K1653" t="s">
        <v>78</v>
      </c>
      <c r="L1653" t="s">
        <v>46</v>
      </c>
      <c r="M1653" t="s">
        <v>87</v>
      </c>
      <c r="N1653" t="s">
        <v>48</v>
      </c>
      <c r="O1653" t="s">
        <v>36</v>
      </c>
      <c r="P1653" t="s">
        <v>71</v>
      </c>
      <c r="Q1653" t="s">
        <v>152</v>
      </c>
      <c r="R1653">
        <v>321</v>
      </c>
      <c r="S1653">
        <v>171</v>
      </c>
      <c r="T1653">
        <v>110</v>
      </c>
      <c r="U1653">
        <v>30</v>
      </c>
      <c r="V1653" t="s">
        <v>356</v>
      </c>
      <c r="W1653">
        <v>20288</v>
      </c>
      <c r="X1653" t="s">
        <v>2445</v>
      </c>
      <c r="Y1653">
        <v>18824</v>
      </c>
      <c r="Z1653">
        <v>608640</v>
      </c>
      <c r="AA1653">
        <v>43920</v>
      </c>
      <c r="AB1653" t="str">
        <f>(VLOOKUP(SalesData[[#This Row],[Month Number]],Reference!C$5:E$16,2,FALSE))</f>
        <v>Feb</v>
      </c>
      <c r="AC1653">
        <f>MONTH(SalesData[[#This Row],[Date]])</f>
        <v>2</v>
      </c>
      <c r="AD1653">
        <f>Reference!F$4</f>
        <v>2026</v>
      </c>
      <c r="AE1653" t="str">
        <f>IF(OR(SalesData[[#This Row],[Day]]="Saturday",SalesData[[#This Row],[Day]]="Sunday"),"Weekend","Weekday")</f>
        <v>Weekday</v>
      </c>
      <c r="AF1653" s="5">
        <f>IF(SalesData[[#This Row],[Contracts Offered]]=0,0,SalesData[[#This Row],[Contracts Signed]]/SalesData[[#This Row],[Contracts Offered]])</f>
        <v>0.27272727272727271</v>
      </c>
      <c r="AG1653" s="5">
        <f>IF(SalesData[[#This Row],[Customers Visited]]=0,0,SalesData[[#This Row],[Test Drives]]/SalesData[[#This Row],[Customers Visited]])</f>
        <v>0.53271028037383172</v>
      </c>
      <c r="AH1653" s="5">
        <f>IF(SalesData[[#This Row],[Customers Visited]]=0,0,SalesData[[#This Row],[Contracts Signed]]/SalesData[[#This Row],[Customers Visited]])</f>
        <v>9.3457943925233641E-2</v>
      </c>
      <c r="AI1653" s="6">
        <f>IF(SalesData[[#This Row],[Contracts Signed]]=0,0,SalesData[[#This Row],[Profit(€)]]/SalesData[[#This Row],[Contracts Signed]])</f>
        <v>1464</v>
      </c>
      <c r="AJ1653" s="5" t="str">
        <f>TRIM(CLEAN(SalesData[[#This Row],[Retailer]]))</f>
        <v>Stuttgart Auto Center</v>
      </c>
    </row>
    <row r="1654" spans="1:36" ht="14.25" hidden="1" x14ac:dyDescent="0.2">
      <c r="A1654" t="s">
        <v>2581</v>
      </c>
      <c r="B1654" s="1">
        <v>46061</v>
      </c>
      <c r="C1654" t="s">
        <v>121</v>
      </c>
      <c r="D1654" t="s">
        <v>41</v>
      </c>
      <c r="E1654" t="s">
        <v>42</v>
      </c>
      <c r="F1654" t="s">
        <v>127</v>
      </c>
      <c r="G1654" t="s">
        <v>128</v>
      </c>
      <c r="H1654" t="s">
        <v>103</v>
      </c>
      <c r="I1654" t="s">
        <v>64</v>
      </c>
      <c r="J1654" t="s">
        <v>77</v>
      </c>
      <c r="K1654" t="s">
        <v>78</v>
      </c>
      <c r="L1654" t="s">
        <v>46</v>
      </c>
      <c r="M1654" t="s">
        <v>47</v>
      </c>
      <c r="N1654" t="s">
        <v>69</v>
      </c>
      <c r="O1654" t="s">
        <v>70</v>
      </c>
      <c r="P1654" t="s">
        <v>71</v>
      </c>
      <c r="Q1654" t="s">
        <v>144</v>
      </c>
      <c r="R1654">
        <v>287</v>
      </c>
      <c r="S1654">
        <v>141</v>
      </c>
      <c r="T1654">
        <v>100</v>
      </c>
      <c r="U1654">
        <v>35</v>
      </c>
      <c r="V1654" t="s">
        <v>6701</v>
      </c>
      <c r="W1654">
        <v>69904</v>
      </c>
      <c r="X1654" t="s">
        <v>1754</v>
      </c>
      <c r="Y1654">
        <v>51310</v>
      </c>
      <c r="Z1654">
        <v>2446640</v>
      </c>
      <c r="AA1654">
        <v>650790</v>
      </c>
      <c r="AB1654" t="str">
        <f>(VLOOKUP(SalesData[[#This Row],[Month Number]],Reference!C$5:E$16,2,FALSE))</f>
        <v>Feb</v>
      </c>
      <c r="AC1654">
        <f>MONTH(SalesData[[#This Row],[Date]])</f>
        <v>2</v>
      </c>
      <c r="AD1654">
        <f>Reference!F$4</f>
        <v>2026</v>
      </c>
      <c r="AE1654" t="str">
        <f>IF(OR(SalesData[[#This Row],[Day]]="Saturday",SalesData[[#This Row],[Day]]="Sunday"),"Weekend","Weekday")</f>
        <v>Weekend</v>
      </c>
      <c r="AF1654" s="5">
        <f>IF(SalesData[[#This Row],[Contracts Offered]]=0,0,SalesData[[#This Row],[Contracts Signed]]/SalesData[[#This Row],[Contracts Offered]])</f>
        <v>0.35</v>
      </c>
      <c r="AG1654" s="5">
        <f>IF(SalesData[[#This Row],[Customers Visited]]=0,0,SalesData[[#This Row],[Test Drives]]/SalesData[[#This Row],[Customers Visited]])</f>
        <v>0.49128919860627179</v>
      </c>
      <c r="AH1654" s="5">
        <f>IF(SalesData[[#This Row],[Customers Visited]]=0,0,SalesData[[#This Row],[Contracts Signed]]/SalesData[[#This Row],[Customers Visited]])</f>
        <v>0.12195121951219512</v>
      </c>
      <c r="AI1654" s="6">
        <f>IF(SalesData[[#This Row],[Contracts Signed]]=0,0,SalesData[[#This Row],[Profit(€)]]/SalesData[[#This Row],[Contracts Signed]])</f>
        <v>18594</v>
      </c>
      <c r="AJ1654" s="5" t="str">
        <f>TRIM(CLEAN(SalesData[[#This Row],[Retailer]]))</f>
        <v>Rhein Auto Group</v>
      </c>
    </row>
    <row r="1655" spans="1:36" ht="14.25" hidden="1" x14ac:dyDescent="0.2">
      <c r="A1655" t="s">
        <v>2582</v>
      </c>
      <c r="B1655" s="1">
        <v>46055</v>
      </c>
      <c r="C1655" t="s">
        <v>24</v>
      </c>
      <c r="D1655" t="s">
        <v>25</v>
      </c>
      <c r="E1655" t="s">
        <v>26</v>
      </c>
      <c r="F1655" t="s">
        <v>7649</v>
      </c>
      <c r="G1655" t="s">
        <v>55</v>
      </c>
      <c r="H1655" t="s">
        <v>55</v>
      </c>
      <c r="I1655" t="s">
        <v>64</v>
      </c>
      <c r="J1655" t="s">
        <v>111</v>
      </c>
      <c r="K1655" t="s">
        <v>91</v>
      </c>
      <c r="L1655" t="s">
        <v>46</v>
      </c>
      <c r="M1655" t="s">
        <v>47</v>
      </c>
      <c r="N1655" t="s">
        <v>69</v>
      </c>
      <c r="O1655" t="s">
        <v>70</v>
      </c>
      <c r="P1655" t="s">
        <v>71</v>
      </c>
      <c r="Q1655" t="s">
        <v>129</v>
      </c>
      <c r="R1655">
        <v>268</v>
      </c>
      <c r="S1655">
        <v>154</v>
      </c>
      <c r="T1655">
        <v>117</v>
      </c>
      <c r="U1655">
        <v>40</v>
      </c>
      <c r="V1655" t="s">
        <v>6398</v>
      </c>
      <c r="W1655">
        <v>65161</v>
      </c>
      <c r="X1655" t="s">
        <v>7468</v>
      </c>
      <c r="Y1655">
        <v>47717</v>
      </c>
      <c r="Z1655">
        <v>2606440</v>
      </c>
      <c r="AA1655">
        <v>697760</v>
      </c>
      <c r="AB1655" t="str">
        <f>(VLOOKUP(SalesData[[#This Row],[Month Number]],Reference!C$5:E$16,2,FALSE))</f>
        <v>Feb</v>
      </c>
      <c r="AC1655">
        <f>MONTH(SalesData[[#This Row],[Date]])</f>
        <v>2</v>
      </c>
      <c r="AD1655">
        <f>Reference!F$4</f>
        <v>2026</v>
      </c>
      <c r="AE1655" t="str">
        <f>IF(OR(SalesData[[#This Row],[Day]]="Saturday",SalesData[[#This Row],[Day]]="Sunday"),"Weekend","Weekday")</f>
        <v>Weekday</v>
      </c>
      <c r="AF1655" s="5">
        <f>IF(SalesData[[#This Row],[Contracts Offered]]=0,0,SalesData[[#This Row],[Contracts Signed]]/SalesData[[#This Row],[Contracts Offered]])</f>
        <v>0.34188034188034189</v>
      </c>
      <c r="AG1655" s="5">
        <f>IF(SalesData[[#This Row],[Customers Visited]]=0,0,SalesData[[#This Row],[Test Drives]]/SalesData[[#This Row],[Customers Visited]])</f>
        <v>0.57462686567164178</v>
      </c>
      <c r="AH1655" s="5">
        <f>IF(SalesData[[#This Row],[Customers Visited]]=0,0,SalesData[[#This Row],[Contracts Signed]]/SalesData[[#This Row],[Customers Visited]])</f>
        <v>0.14925373134328357</v>
      </c>
      <c r="AI1655" s="6">
        <f>IF(SalesData[[#This Row],[Contracts Signed]]=0,0,SalesData[[#This Row],[Profit(€)]]/SalesData[[#This Row],[Contracts Signed]])</f>
        <v>17444</v>
      </c>
      <c r="AJ1655" s="5" t="str">
        <f>TRIM(CLEAN(SalesData[[#This Row],[Retailer]]))</f>
        <v>Autohaus Berlin</v>
      </c>
    </row>
    <row r="1656" spans="1:36" ht="14.25" hidden="1" x14ac:dyDescent="0.2">
      <c r="A1656" t="s">
        <v>2584</v>
      </c>
      <c r="B1656" s="1">
        <v>46055</v>
      </c>
      <c r="C1656" t="s">
        <v>24</v>
      </c>
      <c r="D1656" t="s">
        <v>25</v>
      </c>
      <c r="E1656" t="s">
        <v>26</v>
      </c>
      <c r="F1656" t="s">
        <v>127</v>
      </c>
      <c r="G1656" t="s">
        <v>128</v>
      </c>
      <c r="H1656" t="s">
        <v>103</v>
      </c>
      <c r="I1656" t="s">
        <v>56</v>
      </c>
      <c r="J1656" t="s">
        <v>7028</v>
      </c>
      <c r="K1656" t="s">
        <v>91</v>
      </c>
      <c r="L1656" t="s">
        <v>46</v>
      </c>
      <c r="M1656" t="s">
        <v>34</v>
      </c>
      <c r="N1656" t="s">
        <v>48</v>
      </c>
      <c r="O1656" t="s">
        <v>70</v>
      </c>
      <c r="P1656" t="s">
        <v>37</v>
      </c>
      <c r="Q1656" t="s">
        <v>118</v>
      </c>
      <c r="R1656">
        <v>256</v>
      </c>
      <c r="S1656">
        <v>123</v>
      </c>
      <c r="T1656">
        <v>90</v>
      </c>
      <c r="U1656">
        <v>26</v>
      </c>
      <c r="V1656" t="s">
        <v>6424</v>
      </c>
      <c r="W1656">
        <v>47551</v>
      </c>
      <c r="X1656" t="s">
        <v>2261</v>
      </c>
      <c r="Y1656">
        <v>38086</v>
      </c>
      <c r="Z1656">
        <v>1236326</v>
      </c>
      <c r="AA1656">
        <v>246090</v>
      </c>
      <c r="AB1656" t="str">
        <f>(VLOOKUP(SalesData[[#This Row],[Month Number]],Reference!C$5:E$16,2,FALSE))</f>
        <v>Feb</v>
      </c>
      <c r="AC1656">
        <f>MONTH(SalesData[[#This Row],[Date]])</f>
        <v>2</v>
      </c>
      <c r="AD1656">
        <f>Reference!F$4</f>
        <v>2026</v>
      </c>
      <c r="AE1656" t="str">
        <f>IF(OR(SalesData[[#This Row],[Day]]="Saturday",SalesData[[#This Row],[Day]]="Sunday"),"Weekend","Weekday")</f>
        <v>Weekday</v>
      </c>
      <c r="AF1656" s="5">
        <f>IF(SalesData[[#This Row],[Contracts Offered]]=0,0,SalesData[[#This Row],[Contracts Signed]]/SalesData[[#This Row],[Contracts Offered]])</f>
        <v>0.28888888888888886</v>
      </c>
      <c r="AG1656" s="5">
        <f>IF(SalesData[[#This Row],[Customers Visited]]=0,0,SalesData[[#This Row],[Test Drives]]/SalesData[[#This Row],[Customers Visited]])</f>
        <v>0.48046875</v>
      </c>
      <c r="AH1656" s="5">
        <f>IF(SalesData[[#This Row],[Customers Visited]]=0,0,SalesData[[#This Row],[Contracts Signed]]/SalesData[[#This Row],[Customers Visited]])</f>
        <v>0.1015625</v>
      </c>
      <c r="AI1656" s="6">
        <f>IF(SalesData[[#This Row],[Contracts Signed]]=0,0,SalesData[[#This Row],[Profit(€)]]/SalesData[[#This Row],[Contracts Signed]])</f>
        <v>9465</v>
      </c>
      <c r="AJ1656" s="5" t="str">
        <f>TRIM(CLEAN(SalesData[[#This Row],[Retailer]]))</f>
        <v>Rhein Auto Group</v>
      </c>
    </row>
    <row r="1657" spans="1:36" ht="14.25" x14ac:dyDescent="0.2">
      <c r="A1657" t="s">
        <v>2585</v>
      </c>
      <c r="B1657" s="1">
        <v>46056</v>
      </c>
      <c r="C1657" t="s">
        <v>24</v>
      </c>
      <c r="D1657" t="s">
        <v>63</v>
      </c>
      <c r="E1657" t="s">
        <v>26</v>
      </c>
      <c r="F1657" t="s">
        <v>7649</v>
      </c>
      <c r="G1657" t="s">
        <v>55</v>
      </c>
      <c r="H1657" t="s">
        <v>55</v>
      </c>
      <c r="I1657" t="s">
        <v>30</v>
      </c>
      <c r="J1657" t="s">
        <v>188</v>
      </c>
      <c r="K1657" t="s">
        <v>91</v>
      </c>
      <c r="L1657" t="s">
        <v>33</v>
      </c>
      <c r="M1657" t="s">
        <v>34</v>
      </c>
      <c r="N1657" t="s">
        <v>69</v>
      </c>
      <c r="O1657" t="s">
        <v>36</v>
      </c>
      <c r="P1657" t="s">
        <v>71</v>
      </c>
      <c r="Q1657" t="s">
        <v>347</v>
      </c>
      <c r="R1657">
        <v>257</v>
      </c>
      <c r="S1657">
        <v>159</v>
      </c>
      <c r="T1657">
        <v>112</v>
      </c>
      <c r="U1657">
        <v>50</v>
      </c>
      <c r="V1657" t="s">
        <v>7469</v>
      </c>
      <c r="W1657">
        <v>68091</v>
      </c>
      <c r="X1657" t="s">
        <v>1739</v>
      </c>
      <c r="Y1657">
        <v>50419</v>
      </c>
      <c r="Z1657">
        <v>3404550</v>
      </c>
      <c r="AA1657">
        <v>883600</v>
      </c>
      <c r="AB1657" t="str">
        <f>(VLOOKUP(SalesData[[#This Row],[Month Number]],Reference!C$5:E$16,2,FALSE))</f>
        <v>Feb</v>
      </c>
      <c r="AC1657">
        <f>MONTH(SalesData[[#This Row],[Date]])</f>
        <v>2</v>
      </c>
      <c r="AD1657">
        <f>Reference!F$4</f>
        <v>2026</v>
      </c>
      <c r="AE1657" t="str">
        <f>IF(OR(SalesData[[#This Row],[Day]]="Saturday",SalesData[[#This Row],[Day]]="Sunday"),"Weekend","Weekday")</f>
        <v>Weekday</v>
      </c>
      <c r="AF1657" s="5">
        <f>IF(SalesData[[#This Row],[Contracts Offered]]=0,0,SalesData[[#This Row],[Contracts Signed]]/SalesData[[#This Row],[Contracts Offered]])</f>
        <v>0.44642857142857145</v>
      </c>
      <c r="AG1657" s="5">
        <f>IF(SalesData[[#This Row],[Customers Visited]]=0,0,SalesData[[#This Row],[Test Drives]]/SalesData[[#This Row],[Customers Visited]])</f>
        <v>0.61867704280155644</v>
      </c>
      <c r="AH1657" s="5">
        <f>IF(SalesData[[#This Row],[Customers Visited]]=0,0,SalesData[[#This Row],[Contracts Signed]]/SalesData[[#This Row],[Customers Visited]])</f>
        <v>0.19455252918287938</v>
      </c>
      <c r="AI1657" s="6">
        <f>IF(SalesData[[#This Row],[Contracts Signed]]=0,0,SalesData[[#This Row],[Profit(€)]]/SalesData[[#This Row],[Contracts Signed]])</f>
        <v>17672</v>
      </c>
      <c r="AJ1657" s="5" t="str">
        <f>TRIM(CLEAN(SalesData[[#This Row],[Retailer]]))</f>
        <v>Autohaus Berlin</v>
      </c>
    </row>
    <row r="1658" spans="1:36" ht="14.25" x14ac:dyDescent="0.2">
      <c r="A1658" t="s">
        <v>2586</v>
      </c>
      <c r="B1658" s="1">
        <v>46063</v>
      </c>
      <c r="C1658" t="s">
        <v>121</v>
      </c>
      <c r="D1658" t="s">
        <v>63</v>
      </c>
      <c r="E1658" t="s">
        <v>26</v>
      </c>
      <c r="F1658" t="s">
        <v>94</v>
      </c>
      <c r="G1658" t="s">
        <v>95</v>
      </c>
      <c r="H1658" t="s">
        <v>96</v>
      </c>
      <c r="I1658" t="s">
        <v>30</v>
      </c>
      <c r="J1658" t="s">
        <v>86</v>
      </c>
      <c r="K1658" t="s">
        <v>91</v>
      </c>
      <c r="L1658" t="s">
        <v>33</v>
      </c>
      <c r="M1658" t="s">
        <v>34</v>
      </c>
      <c r="N1658" t="s">
        <v>69</v>
      </c>
      <c r="O1658" t="s">
        <v>36</v>
      </c>
      <c r="P1658" t="s">
        <v>58</v>
      </c>
      <c r="Q1658" t="s">
        <v>50</v>
      </c>
      <c r="R1658">
        <v>248</v>
      </c>
      <c r="S1658">
        <v>119</v>
      </c>
      <c r="T1658">
        <v>81</v>
      </c>
      <c r="U1658">
        <v>40</v>
      </c>
      <c r="V1658" t="s">
        <v>7470</v>
      </c>
      <c r="W1658">
        <v>69141</v>
      </c>
      <c r="X1658" t="s">
        <v>7219</v>
      </c>
      <c r="Y1658">
        <v>51981</v>
      </c>
      <c r="Z1658">
        <v>2765640</v>
      </c>
      <c r="AA1658">
        <v>686400</v>
      </c>
      <c r="AB1658" t="str">
        <f>(VLOOKUP(SalesData[[#This Row],[Month Number]],Reference!C$5:E$16,2,FALSE))</f>
        <v>Feb</v>
      </c>
      <c r="AC1658">
        <f>MONTH(SalesData[[#This Row],[Date]])</f>
        <v>2</v>
      </c>
      <c r="AD1658">
        <f>Reference!F$4</f>
        <v>2026</v>
      </c>
      <c r="AE1658" t="str">
        <f>IF(OR(SalesData[[#This Row],[Day]]="Saturday",SalesData[[#This Row],[Day]]="Sunday"),"Weekend","Weekday")</f>
        <v>Weekday</v>
      </c>
      <c r="AF1658" s="5">
        <f>IF(SalesData[[#This Row],[Contracts Offered]]=0,0,SalesData[[#This Row],[Contracts Signed]]/SalesData[[#This Row],[Contracts Offered]])</f>
        <v>0.49382716049382713</v>
      </c>
      <c r="AG1658" s="5">
        <f>IF(SalesData[[#This Row],[Customers Visited]]=0,0,SalesData[[#This Row],[Test Drives]]/SalesData[[#This Row],[Customers Visited]])</f>
        <v>0.47983870967741937</v>
      </c>
      <c r="AH1658" s="5">
        <f>IF(SalesData[[#This Row],[Customers Visited]]=0,0,SalesData[[#This Row],[Contracts Signed]]/SalesData[[#This Row],[Customers Visited]])</f>
        <v>0.16129032258064516</v>
      </c>
      <c r="AI1658" s="6">
        <f>IF(SalesData[[#This Row],[Contracts Signed]]=0,0,SalesData[[#This Row],[Profit(€)]]/SalesData[[#This Row],[Contracts Signed]])</f>
        <v>17160</v>
      </c>
      <c r="AJ1658" s="5" t="str">
        <f>TRIM(CLEAN(SalesData[[#This Row],[Retailer]]))</f>
        <v>Bavaria Motors</v>
      </c>
    </row>
    <row r="1659" spans="1:36" ht="14.25" hidden="1" x14ac:dyDescent="0.2">
      <c r="A1659" t="s">
        <v>2588</v>
      </c>
      <c r="B1659" s="1">
        <v>46073</v>
      </c>
      <c r="C1659" t="s">
        <v>62</v>
      </c>
      <c r="D1659" t="s">
        <v>54</v>
      </c>
      <c r="E1659" t="s">
        <v>26</v>
      </c>
      <c r="F1659" t="s">
        <v>94</v>
      </c>
      <c r="G1659" t="s">
        <v>95</v>
      </c>
      <c r="H1659" t="s">
        <v>96</v>
      </c>
      <c r="I1659" t="s">
        <v>56</v>
      </c>
      <c r="J1659" t="s">
        <v>7028</v>
      </c>
      <c r="K1659" t="s">
        <v>32</v>
      </c>
      <c r="L1659" t="s">
        <v>46</v>
      </c>
      <c r="M1659" t="s">
        <v>68</v>
      </c>
      <c r="N1659" t="s">
        <v>35</v>
      </c>
      <c r="O1659" t="s">
        <v>70</v>
      </c>
      <c r="P1659" t="s">
        <v>58</v>
      </c>
      <c r="Q1659" t="s">
        <v>106</v>
      </c>
      <c r="R1659">
        <v>299</v>
      </c>
      <c r="S1659">
        <v>177</v>
      </c>
      <c r="T1659">
        <v>135</v>
      </c>
      <c r="U1659">
        <v>50</v>
      </c>
      <c r="V1659" t="s">
        <v>7471</v>
      </c>
      <c r="W1659">
        <v>54446</v>
      </c>
      <c r="X1659" t="s">
        <v>7385</v>
      </c>
      <c r="Y1659">
        <v>42154</v>
      </c>
      <c r="Z1659">
        <v>2722300</v>
      </c>
      <c r="AA1659">
        <v>614600</v>
      </c>
      <c r="AB1659" t="str">
        <f>(VLOOKUP(SalesData[[#This Row],[Month Number]],Reference!C$5:E$16,2,FALSE))</f>
        <v>Feb</v>
      </c>
      <c r="AC1659">
        <f>MONTH(SalesData[[#This Row],[Date]])</f>
        <v>2</v>
      </c>
      <c r="AD1659">
        <f>Reference!F$4</f>
        <v>2026</v>
      </c>
      <c r="AE1659" t="str">
        <f>IF(OR(SalesData[[#This Row],[Day]]="Saturday",SalesData[[#This Row],[Day]]="Sunday"),"Weekend","Weekday")</f>
        <v>Weekday</v>
      </c>
      <c r="AF1659" s="5">
        <f>IF(SalesData[[#This Row],[Contracts Offered]]=0,0,SalesData[[#This Row],[Contracts Signed]]/SalesData[[#This Row],[Contracts Offered]])</f>
        <v>0.37037037037037035</v>
      </c>
      <c r="AG1659" s="5">
        <f>IF(SalesData[[#This Row],[Customers Visited]]=0,0,SalesData[[#This Row],[Test Drives]]/SalesData[[#This Row],[Customers Visited]])</f>
        <v>0.59197324414715724</v>
      </c>
      <c r="AH1659" s="5">
        <f>IF(SalesData[[#This Row],[Customers Visited]]=0,0,SalesData[[#This Row],[Contracts Signed]]/SalesData[[#This Row],[Customers Visited]])</f>
        <v>0.16722408026755853</v>
      </c>
      <c r="AI1659" s="6">
        <f>IF(SalesData[[#This Row],[Contracts Signed]]=0,0,SalesData[[#This Row],[Profit(€)]]/SalesData[[#This Row],[Contracts Signed]])</f>
        <v>12292</v>
      </c>
      <c r="AJ1659" s="5" t="str">
        <f>TRIM(CLEAN(SalesData[[#This Row],[Retailer]]))</f>
        <v>Bavaria Motors</v>
      </c>
    </row>
    <row r="1660" spans="1:36" ht="14.25" hidden="1" x14ac:dyDescent="0.2">
      <c r="A1660" t="s">
        <v>2589</v>
      </c>
      <c r="B1660" s="1">
        <v>46074</v>
      </c>
      <c r="C1660" t="s">
        <v>62</v>
      </c>
      <c r="D1660" t="s">
        <v>151</v>
      </c>
      <c r="E1660" t="s">
        <v>42</v>
      </c>
      <c r="F1660" t="s">
        <v>27</v>
      </c>
      <c r="G1660" t="s">
        <v>28</v>
      </c>
      <c r="H1660" t="s">
        <v>29</v>
      </c>
      <c r="I1660" t="s">
        <v>104</v>
      </c>
      <c r="J1660" t="s">
        <v>105</v>
      </c>
      <c r="K1660" t="s">
        <v>66</v>
      </c>
      <c r="L1660" t="s">
        <v>33</v>
      </c>
      <c r="M1660" t="s">
        <v>47</v>
      </c>
      <c r="N1660" t="s">
        <v>48</v>
      </c>
      <c r="O1660" t="s">
        <v>36</v>
      </c>
      <c r="P1660" t="s">
        <v>58</v>
      </c>
      <c r="Q1660" t="s">
        <v>347</v>
      </c>
      <c r="R1660">
        <v>504</v>
      </c>
      <c r="S1660">
        <v>236</v>
      </c>
      <c r="T1660">
        <v>165</v>
      </c>
      <c r="U1660">
        <v>46</v>
      </c>
      <c r="V1660" t="s">
        <v>2768</v>
      </c>
      <c r="W1660">
        <v>28670</v>
      </c>
      <c r="X1660" t="s">
        <v>7231</v>
      </c>
      <c r="Y1660">
        <v>24993</v>
      </c>
      <c r="Z1660">
        <v>1318820</v>
      </c>
      <c r="AA1660">
        <v>169142</v>
      </c>
      <c r="AB1660" t="str">
        <f>(VLOOKUP(SalesData[[#This Row],[Month Number]],Reference!C$5:E$16,2,FALSE))</f>
        <v>Feb</v>
      </c>
      <c r="AC1660">
        <f>MONTH(SalesData[[#This Row],[Date]])</f>
        <v>2</v>
      </c>
      <c r="AD1660">
        <f>Reference!F$4</f>
        <v>2026</v>
      </c>
      <c r="AE1660" t="str">
        <f>IF(OR(SalesData[[#This Row],[Day]]="Saturday",SalesData[[#This Row],[Day]]="Sunday"),"Weekend","Weekday")</f>
        <v>Weekend</v>
      </c>
      <c r="AF1660" s="5">
        <f>IF(SalesData[[#This Row],[Contracts Offered]]=0,0,SalesData[[#This Row],[Contracts Signed]]/SalesData[[#This Row],[Contracts Offered]])</f>
        <v>0.27878787878787881</v>
      </c>
      <c r="AG1660" s="5">
        <f>IF(SalesData[[#This Row],[Customers Visited]]=0,0,SalesData[[#This Row],[Test Drives]]/SalesData[[#This Row],[Customers Visited]])</f>
        <v>0.46825396825396826</v>
      </c>
      <c r="AH1660" s="5">
        <f>IF(SalesData[[#This Row],[Customers Visited]]=0,0,SalesData[[#This Row],[Contracts Signed]]/SalesData[[#This Row],[Customers Visited]])</f>
        <v>9.1269841269841265E-2</v>
      </c>
      <c r="AI1660" s="6">
        <f>IF(SalesData[[#This Row],[Contracts Signed]]=0,0,SalesData[[#This Row],[Profit(€)]]/SalesData[[#This Row],[Contracts Signed]])</f>
        <v>3677</v>
      </c>
      <c r="AJ1660" s="5" t="str">
        <f>TRIM(CLEAN(SalesData[[#This Row],[Retailer]]))</f>
        <v>Main Auto Hub</v>
      </c>
    </row>
    <row r="1661" spans="1:36" ht="14.25" x14ac:dyDescent="0.2">
      <c r="A1661" t="s">
        <v>2591</v>
      </c>
      <c r="B1661" s="1">
        <v>46054</v>
      </c>
      <c r="C1661" t="s">
        <v>24</v>
      </c>
      <c r="D1661" t="s">
        <v>41</v>
      </c>
      <c r="E1661" t="s">
        <v>42</v>
      </c>
      <c r="F1661" t="s">
        <v>101</v>
      </c>
      <c r="G1661" t="s">
        <v>102</v>
      </c>
      <c r="H1661" t="s">
        <v>103</v>
      </c>
      <c r="I1661" t="s">
        <v>30</v>
      </c>
      <c r="J1661" t="s">
        <v>166</v>
      </c>
      <c r="K1661" t="s">
        <v>32</v>
      </c>
      <c r="L1661" t="s">
        <v>46</v>
      </c>
      <c r="M1661" t="s">
        <v>87</v>
      </c>
      <c r="N1661" t="s">
        <v>69</v>
      </c>
      <c r="O1661" t="s">
        <v>36</v>
      </c>
      <c r="P1661" t="s">
        <v>71</v>
      </c>
      <c r="Q1661" t="s">
        <v>204</v>
      </c>
      <c r="R1661">
        <v>145</v>
      </c>
      <c r="S1661">
        <v>88</v>
      </c>
      <c r="T1661">
        <v>69</v>
      </c>
      <c r="U1661">
        <v>23</v>
      </c>
      <c r="V1661" t="s">
        <v>6775</v>
      </c>
      <c r="W1661">
        <v>62721</v>
      </c>
      <c r="X1661" t="s">
        <v>7472</v>
      </c>
      <c r="Y1661">
        <v>45611</v>
      </c>
      <c r="Z1661">
        <v>1442583</v>
      </c>
      <c r="AA1661">
        <v>393530</v>
      </c>
      <c r="AB1661" t="str">
        <f>(VLOOKUP(SalesData[[#This Row],[Month Number]],Reference!C$5:E$16,2,FALSE))</f>
        <v>Feb</v>
      </c>
      <c r="AC1661">
        <f>MONTH(SalesData[[#This Row],[Date]])</f>
        <v>2</v>
      </c>
      <c r="AD1661">
        <f>Reference!F$4</f>
        <v>2026</v>
      </c>
      <c r="AE1661" t="str">
        <f>IF(OR(SalesData[[#This Row],[Day]]="Saturday",SalesData[[#This Row],[Day]]="Sunday"),"Weekend","Weekday")</f>
        <v>Weekend</v>
      </c>
      <c r="AF1661" s="5">
        <f>IF(SalesData[[#This Row],[Contracts Offered]]=0,0,SalesData[[#This Row],[Contracts Signed]]/SalesData[[#This Row],[Contracts Offered]])</f>
        <v>0.33333333333333331</v>
      </c>
      <c r="AG1661" s="5">
        <f>IF(SalesData[[#This Row],[Customers Visited]]=0,0,SalesData[[#This Row],[Test Drives]]/SalesData[[#This Row],[Customers Visited]])</f>
        <v>0.60689655172413792</v>
      </c>
      <c r="AH1661" s="5">
        <f>IF(SalesData[[#This Row],[Customers Visited]]=0,0,SalesData[[#This Row],[Contracts Signed]]/SalesData[[#This Row],[Customers Visited]])</f>
        <v>0.15862068965517243</v>
      </c>
      <c r="AI1661" s="6">
        <f>IF(SalesData[[#This Row],[Contracts Signed]]=0,0,SalesData[[#This Row],[Profit(€)]]/SalesData[[#This Row],[Contracts Signed]])</f>
        <v>17110</v>
      </c>
      <c r="AJ1661" s="5" t="str">
        <f>TRIM(CLEAN(SalesData[[#This Row],[Retailer]]))</f>
        <v>Ruhr Auto Plaza</v>
      </c>
    </row>
    <row r="1662" spans="1:36" ht="14.25" hidden="1" x14ac:dyDescent="0.2">
      <c r="A1662" t="s">
        <v>2592</v>
      </c>
      <c r="B1662" s="1">
        <v>46056</v>
      </c>
      <c r="C1662" t="s">
        <v>24</v>
      </c>
      <c r="D1662" t="s">
        <v>63</v>
      </c>
      <c r="E1662" t="s">
        <v>26</v>
      </c>
      <c r="F1662" t="s">
        <v>27</v>
      </c>
      <c r="G1662" t="s">
        <v>28</v>
      </c>
      <c r="H1662" t="s">
        <v>29</v>
      </c>
      <c r="I1662" t="s">
        <v>116</v>
      </c>
      <c r="J1662" t="s">
        <v>7090</v>
      </c>
      <c r="K1662" t="s">
        <v>66</v>
      </c>
      <c r="L1662" t="s">
        <v>46</v>
      </c>
      <c r="M1662" t="s">
        <v>47</v>
      </c>
      <c r="N1662" t="s">
        <v>69</v>
      </c>
      <c r="O1662" t="s">
        <v>36</v>
      </c>
      <c r="P1662" t="s">
        <v>37</v>
      </c>
      <c r="Q1662" t="s">
        <v>204</v>
      </c>
      <c r="R1662">
        <v>280</v>
      </c>
      <c r="S1662">
        <v>123</v>
      </c>
      <c r="T1662">
        <v>84</v>
      </c>
      <c r="U1662">
        <v>20</v>
      </c>
      <c r="V1662" t="s">
        <v>664</v>
      </c>
      <c r="W1662">
        <v>26173</v>
      </c>
      <c r="X1662" t="s">
        <v>770</v>
      </c>
      <c r="Y1662">
        <v>23546</v>
      </c>
      <c r="Z1662">
        <v>523460</v>
      </c>
      <c r="AA1662">
        <v>52540</v>
      </c>
      <c r="AB1662" t="str">
        <f>(VLOOKUP(SalesData[[#This Row],[Month Number]],Reference!C$5:E$16,2,FALSE))</f>
        <v>Feb</v>
      </c>
      <c r="AC1662">
        <f>MONTH(SalesData[[#This Row],[Date]])</f>
        <v>2</v>
      </c>
      <c r="AD1662">
        <f>Reference!F$4</f>
        <v>2026</v>
      </c>
      <c r="AE1662" t="str">
        <f>IF(OR(SalesData[[#This Row],[Day]]="Saturday",SalesData[[#This Row],[Day]]="Sunday"),"Weekend","Weekday")</f>
        <v>Weekday</v>
      </c>
      <c r="AF1662" s="5">
        <f>IF(SalesData[[#This Row],[Contracts Offered]]=0,0,SalesData[[#This Row],[Contracts Signed]]/SalesData[[#This Row],[Contracts Offered]])</f>
        <v>0.23809523809523808</v>
      </c>
      <c r="AG1662" s="5">
        <f>IF(SalesData[[#This Row],[Customers Visited]]=0,0,SalesData[[#This Row],[Test Drives]]/SalesData[[#This Row],[Customers Visited]])</f>
        <v>0.43928571428571428</v>
      </c>
      <c r="AH1662" s="5">
        <f>IF(SalesData[[#This Row],[Customers Visited]]=0,0,SalesData[[#This Row],[Contracts Signed]]/SalesData[[#This Row],[Customers Visited]])</f>
        <v>7.1428571428571425E-2</v>
      </c>
      <c r="AI1662" s="6">
        <f>IF(SalesData[[#This Row],[Contracts Signed]]=0,0,SalesData[[#This Row],[Profit(€)]]/SalesData[[#This Row],[Contracts Signed]])</f>
        <v>2627</v>
      </c>
      <c r="AJ1662" s="5" t="str">
        <f>TRIM(CLEAN(SalesData[[#This Row],[Retailer]]))</f>
        <v>Main Auto Hub</v>
      </c>
    </row>
    <row r="1663" spans="1:36" ht="14.25" hidden="1" x14ac:dyDescent="0.2">
      <c r="A1663" t="s">
        <v>2593</v>
      </c>
      <c r="B1663" s="1">
        <v>46068</v>
      </c>
      <c r="C1663" t="s">
        <v>62</v>
      </c>
      <c r="D1663" t="s">
        <v>41</v>
      </c>
      <c r="E1663" t="s">
        <v>42</v>
      </c>
      <c r="F1663" t="s">
        <v>114</v>
      </c>
      <c r="G1663" t="s">
        <v>115</v>
      </c>
      <c r="H1663" t="s">
        <v>115</v>
      </c>
      <c r="I1663" t="s">
        <v>104</v>
      </c>
      <c r="J1663" t="s">
        <v>140</v>
      </c>
      <c r="K1663" t="s">
        <v>66</v>
      </c>
      <c r="L1663" t="s">
        <v>46</v>
      </c>
      <c r="M1663" t="s">
        <v>34</v>
      </c>
      <c r="N1663" t="s">
        <v>35</v>
      </c>
      <c r="O1663" t="s">
        <v>36</v>
      </c>
      <c r="P1663" t="s">
        <v>37</v>
      </c>
      <c r="Q1663" t="s">
        <v>59</v>
      </c>
      <c r="R1663">
        <v>459</v>
      </c>
      <c r="S1663">
        <v>202</v>
      </c>
      <c r="T1663">
        <v>137</v>
      </c>
      <c r="U1663">
        <v>31</v>
      </c>
      <c r="V1663" t="s">
        <v>6586</v>
      </c>
      <c r="W1663">
        <v>33585</v>
      </c>
      <c r="X1663" t="s">
        <v>222</v>
      </c>
      <c r="Y1663">
        <v>29446</v>
      </c>
      <c r="Z1663">
        <v>1041135</v>
      </c>
      <c r="AA1663">
        <v>128309</v>
      </c>
      <c r="AB1663" t="str">
        <f>(VLOOKUP(SalesData[[#This Row],[Month Number]],Reference!C$5:E$16,2,FALSE))</f>
        <v>Feb</v>
      </c>
      <c r="AC1663">
        <f>MONTH(SalesData[[#This Row],[Date]])</f>
        <v>2</v>
      </c>
      <c r="AD1663">
        <f>Reference!F$4</f>
        <v>2026</v>
      </c>
      <c r="AE1663" t="str">
        <f>IF(OR(SalesData[[#This Row],[Day]]="Saturday",SalesData[[#This Row],[Day]]="Sunday"),"Weekend","Weekday")</f>
        <v>Weekend</v>
      </c>
      <c r="AF1663" s="5">
        <f>IF(SalesData[[#This Row],[Contracts Offered]]=0,0,SalesData[[#This Row],[Contracts Signed]]/SalesData[[#This Row],[Contracts Offered]])</f>
        <v>0.22627737226277372</v>
      </c>
      <c r="AG1663" s="5">
        <f>IF(SalesData[[#This Row],[Customers Visited]]=0,0,SalesData[[#This Row],[Test Drives]]/SalesData[[#This Row],[Customers Visited]])</f>
        <v>0.44008714596949888</v>
      </c>
      <c r="AH1663" s="5">
        <f>IF(SalesData[[#This Row],[Customers Visited]]=0,0,SalesData[[#This Row],[Contracts Signed]]/SalesData[[#This Row],[Customers Visited]])</f>
        <v>6.7538126361655779E-2</v>
      </c>
      <c r="AI1663" s="6">
        <f>IF(SalesData[[#This Row],[Contracts Signed]]=0,0,SalesData[[#This Row],[Profit(€)]]/SalesData[[#This Row],[Contracts Signed]])</f>
        <v>4139</v>
      </c>
      <c r="AJ1663" s="5" t="str">
        <f>TRIM(CLEAN(SalesData[[#This Row],[Retailer]]))</f>
        <v>Elbe Drive</v>
      </c>
    </row>
    <row r="1664" spans="1:36" ht="14.25" hidden="1" x14ac:dyDescent="0.2">
      <c r="A1664" t="s">
        <v>2594</v>
      </c>
      <c r="B1664" s="1">
        <v>46054</v>
      </c>
      <c r="C1664" t="s">
        <v>24</v>
      </c>
      <c r="D1664" t="s">
        <v>41</v>
      </c>
      <c r="E1664" t="s">
        <v>42</v>
      </c>
      <c r="F1664" t="s">
        <v>127</v>
      </c>
      <c r="G1664" t="s">
        <v>128</v>
      </c>
      <c r="H1664" t="s">
        <v>103</v>
      </c>
      <c r="I1664" t="s">
        <v>104</v>
      </c>
      <c r="J1664" t="s">
        <v>140</v>
      </c>
      <c r="K1664" t="s">
        <v>32</v>
      </c>
      <c r="L1664" t="s">
        <v>46</v>
      </c>
      <c r="M1664" t="s">
        <v>87</v>
      </c>
      <c r="N1664" t="s">
        <v>48</v>
      </c>
      <c r="O1664" t="s">
        <v>36</v>
      </c>
      <c r="P1664" t="s">
        <v>71</v>
      </c>
      <c r="Q1664" t="s">
        <v>167</v>
      </c>
      <c r="R1664">
        <v>270</v>
      </c>
      <c r="S1664">
        <v>129</v>
      </c>
      <c r="T1664">
        <v>84</v>
      </c>
      <c r="U1664">
        <v>25</v>
      </c>
      <c r="V1664" t="s">
        <v>4828</v>
      </c>
      <c r="W1664">
        <v>31591</v>
      </c>
      <c r="X1664" t="s">
        <v>3891</v>
      </c>
      <c r="Y1664">
        <v>27364</v>
      </c>
      <c r="Z1664">
        <v>789775</v>
      </c>
      <c r="AA1664">
        <v>105675</v>
      </c>
      <c r="AB1664" t="str">
        <f>(VLOOKUP(SalesData[[#This Row],[Month Number]],Reference!C$5:E$16,2,FALSE))</f>
        <v>Feb</v>
      </c>
      <c r="AC1664">
        <f>MONTH(SalesData[[#This Row],[Date]])</f>
        <v>2</v>
      </c>
      <c r="AD1664">
        <f>Reference!F$4</f>
        <v>2026</v>
      </c>
      <c r="AE1664" t="str">
        <f>IF(OR(SalesData[[#This Row],[Day]]="Saturday",SalesData[[#This Row],[Day]]="Sunday"),"Weekend","Weekday")</f>
        <v>Weekend</v>
      </c>
      <c r="AF1664" s="5">
        <f>IF(SalesData[[#This Row],[Contracts Offered]]=0,0,SalesData[[#This Row],[Contracts Signed]]/SalesData[[#This Row],[Contracts Offered]])</f>
        <v>0.29761904761904762</v>
      </c>
      <c r="AG1664" s="5">
        <f>IF(SalesData[[#This Row],[Customers Visited]]=0,0,SalesData[[#This Row],[Test Drives]]/SalesData[[#This Row],[Customers Visited]])</f>
        <v>0.4777777777777778</v>
      </c>
      <c r="AH1664" s="5">
        <f>IF(SalesData[[#This Row],[Customers Visited]]=0,0,SalesData[[#This Row],[Contracts Signed]]/SalesData[[#This Row],[Customers Visited]])</f>
        <v>9.2592592592592587E-2</v>
      </c>
      <c r="AI1664" s="6">
        <f>IF(SalesData[[#This Row],[Contracts Signed]]=0,0,SalesData[[#This Row],[Profit(€)]]/SalesData[[#This Row],[Contracts Signed]])</f>
        <v>4227</v>
      </c>
      <c r="AJ1664" s="5" t="str">
        <f>TRIM(CLEAN(SalesData[[#This Row],[Retailer]]))</f>
        <v>Rhein Auto Group</v>
      </c>
    </row>
    <row r="1665" spans="1:36" ht="14.25" hidden="1" x14ac:dyDescent="0.2">
      <c r="A1665" t="s">
        <v>2595</v>
      </c>
      <c r="B1665" s="1">
        <v>46067</v>
      </c>
      <c r="C1665" t="s">
        <v>121</v>
      </c>
      <c r="D1665" t="s">
        <v>151</v>
      </c>
      <c r="E1665" t="s">
        <v>42</v>
      </c>
      <c r="F1665" t="s">
        <v>74</v>
      </c>
      <c r="G1665" t="s">
        <v>75</v>
      </c>
      <c r="H1665" t="s">
        <v>76</v>
      </c>
      <c r="I1665" t="s">
        <v>64</v>
      </c>
      <c r="J1665" t="s">
        <v>157</v>
      </c>
      <c r="K1665" t="s">
        <v>91</v>
      </c>
      <c r="L1665" t="s">
        <v>33</v>
      </c>
      <c r="M1665" t="s">
        <v>34</v>
      </c>
      <c r="N1665" t="s">
        <v>69</v>
      </c>
      <c r="O1665" t="s">
        <v>70</v>
      </c>
      <c r="P1665" t="s">
        <v>49</v>
      </c>
      <c r="Q1665" t="s">
        <v>144</v>
      </c>
      <c r="R1665">
        <v>263</v>
      </c>
      <c r="S1665">
        <v>134</v>
      </c>
      <c r="T1665">
        <v>102</v>
      </c>
      <c r="U1665">
        <v>31</v>
      </c>
      <c r="V1665" t="s">
        <v>6825</v>
      </c>
      <c r="W1665">
        <v>61838</v>
      </c>
      <c r="X1665" t="s">
        <v>7240</v>
      </c>
      <c r="Y1665">
        <v>45511</v>
      </c>
      <c r="Z1665">
        <v>1916978</v>
      </c>
      <c r="AA1665">
        <v>506137</v>
      </c>
      <c r="AB1665" t="str">
        <f>(VLOOKUP(SalesData[[#This Row],[Month Number]],Reference!C$5:E$16,2,FALSE))</f>
        <v>Feb</v>
      </c>
      <c r="AC1665">
        <f>MONTH(SalesData[[#This Row],[Date]])</f>
        <v>2</v>
      </c>
      <c r="AD1665">
        <f>Reference!F$4</f>
        <v>2026</v>
      </c>
      <c r="AE1665" t="str">
        <f>IF(OR(SalesData[[#This Row],[Day]]="Saturday",SalesData[[#This Row],[Day]]="Sunday"),"Weekend","Weekday")</f>
        <v>Weekend</v>
      </c>
      <c r="AF1665" s="5">
        <f>IF(SalesData[[#This Row],[Contracts Offered]]=0,0,SalesData[[#This Row],[Contracts Signed]]/SalesData[[#This Row],[Contracts Offered]])</f>
        <v>0.30392156862745096</v>
      </c>
      <c r="AG1665" s="5">
        <f>IF(SalesData[[#This Row],[Customers Visited]]=0,0,SalesData[[#This Row],[Test Drives]]/SalesData[[#This Row],[Customers Visited]])</f>
        <v>0.50950570342205326</v>
      </c>
      <c r="AH1665" s="5">
        <f>IF(SalesData[[#This Row],[Customers Visited]]=0,0,SalesData[[#This Row],[Contracts Signed]]/SalesData[[#This Row],[Customers Visited]])</f>
        <v>0.11787072243346007</v>
      </c>
      <c r="AI1665" s="6">
        <f>IF(SalesData[[#This Row],[Contracts Signed]]=0,0,SalesData[[#This Row],[Profit(€)]]/SalesData[[#This Row],[Contracts Signed]])</f>
        <v>16327</v>
      </c>
      <c r="AJ1665" s="5" t="str">
        <f>TRIM(CLEAN(SalesData[[#This Row],[Retailer]]))</f>
        <v>Stuttgart Auto Center</v>
      </c>
    </row>
    <row r="1666" spans="1:36" ht="14.25" hidden="1" x14ac:dyDescent="0.2">
      <c r="A1666" t="s">
        <v>2596</v>
      </c>
      <c r="B1666" s="1">
        <v>46059</v>
      </c>
      <c r="C1666" t="s">
        <v>24</v>
      </c>
      <c r="D1666" t="s">
        <v>54</v>
      </c>
      <c r="E1666" t="s">
        <v>26</v>
      </c>
      <c r="F1666" t="s">
        <v>7649</v>
      </c>
      <c r="G1666" t="s">
        <v>55</v>
      </c>
      <c r="H1666" t="s">
        <v>55</v>
      </c>
      <c r="I1666" t="s">
        <v>64</v>
      </c>
      <c r="J1666" t="s">
        <v>7029</v>
      </c>
      <c r="K1666" t="s">
        <v>66</v>
      </c>
      <c r="L1666" t="s">
        <v>33</v>
      </c>
      <c r="M1666" t="s">
        <v>87</v>
      </c>
      <c r="N1666" t="s">
        <v>69</v>
      </c>
      <c r="O1666" t="s">
        <v>36</v>
      </c>
      <c r="P1666" t="s">
        <v>58</v>
      </c>
      <c r="Q1666" t="s">
        <v>88</v>
      </c>
      <c r="R1666">
        <v>159</v>
      </c>
      <c r="S1666">
        <v>85</v>
      </c>
      <c r="T1666">
        <v>64</v>
      </c>
      <c r="U1666">
        <v>26</v>
      </c>
      <c r="V1666" t="s">
        <v>7159</v>
      </c>
      <c r="W1666">
        <v>68264</v>
      </c>
      <c r="X1666" t="s">
        <v>7340</v>
      </c>
      <c r="Y1666">
        <v>51112</v>
      </c>
      <c r="Z1666">
        <v>1774864</v>
      </c>
      <c r="AA1666">
        <v>445952</v>
      </c>
      <c r="AB1666" t="str">
        <f>(VLOOKUP(SalesData[[#This Row],[Month Number]],Reference!C$5:E$16,2,FALSE))</f>
        <v>Feb</v>
      </c>
      <c r="AC1666">
        <f>MONTH(SalesData[[#This Row],[Date]])</f>
        <v>2</v>
      </c>
      <c r="AD1666">
        <f>Reference!F$4</f>
        <v>2026</v>
      </c>
      <c r="AE1666" t="str">
        <f>IF(OR(SalesData[[#This Row],[Day]]="Saturday",SalesData[[#This Row],[Day]]="Sunday"),"Weekend","Weekday")</f>
        <v>Weekday</v>
      </c>
      <c r="AF1666" s="5">
        <f>IF(SalesData[[#This Row],[Contracts Offered]]=0,0,SalesData[[#This Row],[Contracts Signed]]/SalesData[[#This Row],[Contracts Offered]])</f>
        <v>0.40625</v>
      </c>
      <c r="AG1666" s="5">
        <f>IF(SalesData[[#This Row],[Customers Visited]]=0,0,SalesData[[#This Row],[Test Drives]]/SalesData[[#This Row],[Customers Visited]])</f>
        <v>0.53459119496855345</v>
      </c>
      <c r="AH1666" s="5">
        <f>IF(SalesData[[#This Row],[Customers Visited]]=0,0,SalesData[[#This Row],[Contracts Signed]]/SalesData[[#This Row],[Customers Visited]])</f>
        <v>0.16352201257861634</v>
      </c>
      <c r="AI1666" s="6">
        <f>IF(SalesData[[#This Row],[Contracts Signed]]=0,0,SalesData[[#This Row],[Profit(€)]]/SalesData[[#This Row],[Contracts Signed]])</f>
        <v>17152</v>
      </c>
      <c r="AJ1666" s="5" t="str">
        <f>TRIM(CLEAN(SalesData[[#This Row],[Retailer]]))</f>
        <v>Autohaus Berlin</v>
      </c>
    </row>
    <row r="1667" spans="1:36" ht="14.25" x14ac:dyDescent="0.2">
      <c r="A1667" t="s">
        <v>2598</v>
      </c>
      <c r="B1667" s="1">
        <v>46071</v>
      </c>
      <c r="C1667" t="s">
        <v>62</v>
      </c>
      <c r="D1667" t="s">
        <v>82</v>
      </c>
      <c r="E1667" t="s">
        <v>26</v>
      </c>
      <c r="F1667" t="s">
        <v>94</v>
      </c>
      <c r="G1667" t="s">
        <v>95</v>
      </c>
      <c r="H1667" t="s">
        <v>96</v>
      </c>
      <c r="I1667" t="s">
        <v>30</v>
      </c>
      <c r="J1667" t="s">
        <v>7075</v>
      </c>
      <c r="K1667" t="s">
        <v>78</v>
      </c>
      <c r="L1667" t="s">
        <v>33</v>
      </c>
      <c r="M1667" t="s">
        <v>68</v>
      </c>
      <c r="N1667" t="s">
        <v>48</v>
      </c>
      <c r="O1667" t="s">
        <v>36</v>
      </c>
      <c r="P1667" t="s">
        <v>49</v>
      </c>
      <c r="Q1667" t="s">
        <v>79</v>
      </c>
      <c r="R1667">
        <v>269</v>
      </c>
      <c r="S1667">
        <v>158</v>
      </c>
      <c r="T1667">
        <v>115</v>
      </c>
      <c r="U1667">
        <v>44</v>
      </c>
      <c r="V1667" t="s">
        <v>6779</v>
      </c>
      <c r="W1667">
        <v>54757</v>
      </c>
      <c r="X1667" t="s">
        <v>909</v>
      </c>
      <c r="Y1667">
        <v>38471</v>
      </c>
      <c r="Z1667">
        <v>2409308</v>
      </c>
      <c r="AA1667">
        <v>716584</v>
      </c>
      <c r="AB1667" t="str">
        <f>(VLOOKUP(SalesData[[#This Row],[Month Number]],Reference!C$5:E$16,2,FALSE))</f>
        <v>Feb</v>
      </c>
      <c r="AC1667">
        <f>MONTH(SalesData[[#This Row],[Date]])</f>
        <v>2</v>
      </c>
      <c r="AD1667">
        <f>Reference!F$4</f>
        <v>2026</v>
      </c>
      <c r="AE1667" t="str">
        <f>IF(OR(SalesData[[#This Row],[Day]]="Saturday",SalesData[[#This Row],[Day]]="Sunday"),"Weekend","Weekday")</f>
        <v>Weekday</v>
      </c>
      <c r="AF1667" s="5">
        <f>IF(SalesData[[#This Row],[Contracts Offered]]=0,0,SalesData[[#This Row],[Contracts Signed]]/SalesData[[#This Row],[Contracts Offered]])</f>
        <v>0.38260869565217392</v>
      </c>
      <c r="AG1667" s="5">
        <f>IF(SalesData[[#This Row],[Customers Visited]]=0,0,SalesData[[#This Row],[Test Drives]]/SalesData[[#This Row],[Customers Visited]])</f>
        <v>0.58736059479553904</v>
      </c>
      <c r="AH1667" s="5">
        <f>IF(SalesData[[#This Row],[Customers Visited]]=0,0,SalesData[[#This Row],[Contracts Signed]]/SalesData[[#This Row],[Customers Visited]])</f>
        <v>0.16356877323420074</v>
      </c>
      <c r="AI1667" s="6">
        <f>IF(SalesData[[#This Row],[Contracts Signed]]=0,0,SalesData[[#This Row],[Profit(€)]]/SalesData[[#This Row],[Contracts Signed]])</f>
        <v>16286</v>
      </c>
      <c r="AJ1667" s="5" t="str">
        <f>TRIM(CLEAN(SalesData[[#This Row],[Retailer]]))</f>
        <v>Bavaria Motors</v>
      </c>
    </row>
    <row r="1668" spans="1:36" ht="14.25" x14ac:dyDescent="0.2">
      <c r="A1668" t="s">
        <v>2599</v>
      </c>
      <c r="B1668" s="1">
        <v>46076</v>
      </c>
      <c r="C1668" t="s">
        <v>53</v>
      </c>
      <c r="D1668" t="s">
        <v>25</v>
      </c>
      <c r="E1668" t="s">
        <v>26</v>
      </c>
      <c r="F1668" t="s">
        <v>127</v>
      </c>
      <c r="G1668" t="s">
        <v>128</v>
      </c>
      <c r="H1668" t="s">
        <v>103</v>
      </c>
      <c r="I1668" t="s">
        <v>30</v>
      </c>
      <c r="J1668" t="s">
        <v>7075</v>
      </c>
      <c r="K1668" t="s">
        <v>32</v>
      </c>
      <c r="L1668" t="s">
        <v>33</v>
      </c>
      <c r="M1668" t="s">
        <v>34</v>
      </c>
      <c r="N1668" t="s">
        <v>48</v>
      </c>
      <c r="O1668" t="s">
        <v>36</v>
      </c>
      <c r="P1668" t="s">
        <v>71</v>
      </c>
      <c r="Q1668" t="s">
        <v>167</v>
      </c>
      <c r="R1668">
        <v>172</v>
      </c>
      <c r="S1668">
        <v>86</v>
      </c>
      <c r="T1668">
        <v>61</v>
      </c>
      <c r="U1668">
        <v>26</v>
      </c>
      <c r="V1668" t="s">
        <v>7473</v>
      </c>
      <c r="W1668">
        <v>54219</v>
      </c>
      <c r="X1668" t="s">
        <v>1077</v>
      </c>
      <c r="Y1668">
        <v>41972</v>
      </c>
      <c r="Z1668">
        <v>1409694</v>
      </c>
      <c r="AA1668">
        <v>318422</v>
      </c>
      <c r="AB1668" t="str">
        <f>(VLOOKUP(SalesData[[#This Row],[Month Number]],Reference!C$5:E$16,2,FALSE))</f>
        <v>Feb</v>
      </c>
      <c r="AC1668">
        <f>MONTH(SalesData[[#This Row],[Date]])</f>
        <v>2</v>
      </c>
      <c r="AD1668">
        <f>Reference!F$4</f>
        <v>2026</v>
      </c>
      <c r="AE1668" t="str">
        <f>IF(OR(SalesData[[#This Row],[Day]]="Saturday",SalesData[[#This Row],[Day]]="Sunday"),"Weekend","Weekday")</f>
        <v>Weekday</v>
      </c>
      <c r="AF1668" s="5">
        <f>IF(SalesData[[#This Row],[Contracts Offered]]=0,0,SalesData[[#This Row],[Contracts Signed]]/SalesData[[#This Row],[Contracts Offered]])</f>
        <v>0.42622950819672129</v>
      </c>
      <c r="AG1668" s="5">
        <f>IF(SalesData[[#This Row],[Customers Visited]]=0,0,SalesData[[#This Row],[Test Drives]]/SalesData[[#This Row],[Customers Visited]])</f>
        <v>0.5</v>
      </c>
      <c r="AH1668" s="5">
        <f>IF(SalesData[[#This Row],[Customers Visited]]=0,0,SalesData[[#This Row],[Contracts Signed]]/SalesData[[#This Row],[Customers Visited]])</f>
        <v>0.15116279069767441</v>
      </c>
      <c r="AI1668" s="6">
        <f>IF(SalesData[[#This Row],[Contracts Signed]]=0,0,SalesData[[#This Row],[Profit(€)]]/SalesData[[#This Row],[Contracts Signed]])</f>
        <v>12247</v>
      </c>
      <c r="AJ1668" s="5" t="str">
        <f>TRIM(CLEAN(SalesData[[#This Row],[Retailer]]))</f>
        <v>Rhein Auto Group</v>
      </c>
    </row>
    <row r="1669" spans="1:36" ht="14.25" hidden="1" x14ac:dyDescent="0.2">
      <c r="A1669" t="s">
        <v>2600</v>
      </c>
      <c r="B1669" s="1">
        <v>46080</v>
      </c>
      <c r="C1669" t="s">
        <v>53</v>
      </c>
      <c r="D1669" t="s">
        <v>54</v>
      </c>
      <c r="E1669" t="s">
        <v>26</v>
      </c>
      <c r="F1669" t="s">
        <v>43</v>
      </c>
      <c r="G1669" t="s">
        <v>44</v>
      </c>
      <c r="H1669" t="s">
        <v>45</v>
      </c>
      <c r="I1669" t="s">
        <v>64</v>
      </c>
      <c r="J1669" t="s">
        <v>111</v>
      </c>
      <c r="K1669" t="s">
        <v>32</v>
      </c>
      <c r="L1669" t="s">
        <v>46</v>
      </c>
      <c r="M1669" t="s">
        <v>47</v>
      </c>
      <c r="N1669" t="s">
        <v>48</v>
      </c>
      <c r="O1669" t="s">
        <v>70</v>
      </c>
      <c r="P1669" t="s">
        <v>71</v>
      </c>
      <c r="Q1669" t="s">
        <v>144</v>
      </c>
      <c r="R1669">
        <v>237</v>
      </c>
      <c r="S1669">
        <v>138</v>
      </c>
      <c r="T1669">
        <v>109</v>
      </c>
      <c r="U1669">
        <v>31</v>
      </c>
      <c r="V1669" t="s">
        <v>6990</v>
      </c>
      <c r="W1669">
        <v>58453</v>
      </c>
      <c r="X1669" t="s">
        <v>51</v>
      </c>
      <c r="Y1669">
        <v>44911</v>
      </c>
      <c r="Z1669">
        <v>1812043</v>
      </c>
      <c r="AA1669">
        <v>419802</v>
      </c>
      <c r="AB1669" t="str">
        <f>(VLOOKUP(SalesData[[#This Row],[Month Number]],Reference!C$5:E$16,2,FALSE))</f>
        <v>Feb</v>
      </c>
      <c r="AC1669">
        <f>MONTH(SalesData[[#This Row],[Date]])</f>
        <v>2</v>
      </c>
      <c r="AD1669">
        <f>Reference!F$4</f>
        <v>2026</v>
      </c>
      <c r="AE1669" t="str">
        <f>IF(OR(SalesData[[#This Row],[Day]]="Saturday",SalesData[[#This Row],[Day]]="Sunday"),"Weekend","Weekday")</f>
        <v>Weekday</v>
      </c>
      <c r="AF1669" s="5">
        <f>IF(SalesData[[#This Row],[Contracts Offered]]=0,0,SalesData[[#This Row],[Contracts Signed]]/SalesData[[#This Row],[Contracts Offered]])</f>
        <v>0.28440366972477066</v>
      </c>
      <c r="AG1669" s="5">
        <f>IF(SalesData[[#This Row],[Customers Visited]]=0,0,SalesData[[#This Row],[Test Drives]]/SalesData[[#This Row],[Customers Visited]])</f>
        <v>0.58227848101265822</v>
      </c>
      <c r="AH1669" s="5">
        <f>IF(SalesData[[#This Row],[Customers Visited]]=0,0,SalesData[[#This Row],[Contracts Signed]]/SalesData[[#This Row],[Customers Visited]])</f>
        <v>0.13080168776371309</v>
      </c>
      <c r="AI1669" s="6">
        <f>IF(SalesData[[#This Row],[Contracts Signed]]=0,0,SalesData[[#This Row],[Profit(€)]]/SalesData[[#This Row],[Contracts Signed]])</f>
        <v>13542</v>
      </c>
      <c r="AJ1669" s="5" t="str">
        <f>TRIM(CLEAN(SalesData[[#This Row],[Retailer]]))</f>
        <v>Saxon Wheels</v>
      </c>
    </row>
    <row r="1670" spans="1:36" ht="14.25" hidden="1" x14ac:dyDescent="0.2">
      <c r="A1670" t="s">
        <v>2602</v>
      </c>
      <c r="B1670" s="1">
        <v>46071</v>
      </c>
      <c r="C1670" t="s">
        <v>62</v>
      </c>
      <c r="D1670" t="s">
        <v>82</v>
      </c>
      <c r="E1670" t="s">
        <v>26</v>
      </c>
      <c r="F1670" t="s">
        <v>83</v>
      </c>
      <c r="G1670" t="s">
        <v>84</v>
      </c>
      <c r="H1670" t="s">
        <v>85</v>
      </c>
      <c r="I1670" t="s">
        <v>64</v>
      </c>
      <c r="J1670" t="s">
        <v>157</v>
      </c>
      <c r="K1670" t="s">
        <v>91</v>
      </c>
      <c r="L1670" t="s">
        <v>33</v>
      </c>
      <c r="M1670" t="s">
        <v>68</v>
      </c>
      <c r="N1670" t="s">
        <v>35</v>
      </c>
      <c r="O1670" t="s">
        <v>36</v>
      </c>
      <c r="P1670" t="s">
        <v>58</v>
      </c>
      <c r="Q1670" t="s">
        <v>144</v>
      </c>
      <c r="R1670">
        <v>182</v>
      </c>
      <c r="S1670">
        <v>107</v>
      </c>
      <c r="T1670">
        <v>72</v>
      </c>
      <c r="U1670">
        <v>29</v>
      </c>
      <c r="V1670" t="s">
        <v>6921</v>
      </c>
      <c r="W1670">
        <v>52015</v>
      </c>
      <c r="X1670" t="s">
        <v>7343</v>
      </c>
      <c r="Y1670">
        <v>38910</v>
      </c>
      <c r="Z1670">
        <v>1508435</v>
      </c>
      <c r="AA1670">
        <v>380045</v>
      </c>
      <c r="AB1670" t="str">
        <f>(VLOOKUP(SalesData[[#This Row],[Month Number]],Reference!C$5:E$16,2,FALSE))</f>
        <v>Feb</v>
      </c>
      <c r="AC1670">
        <f>MONTH(SalesData[[#This Row],[Date]])</f>
        <v>2</v>
      </c>
      <c r="AD1670">
        <f>Reference!F$4</f>
        <v>2026</v>
      </c>
      <c r="AE1670" t="str">
        <f>IF(OR(SalesData[[#This Row],[Day]]="Saturday",SalesData[[#This Row],[Day]]="Sunday"),"Weekend","Weekday")</f>
        <v>Weekday</v>
      </c>
      <c r="AF1670" s="5">
        <f>IF(SalesData[[#This Row],[Contracts Offered]]=0,0,SalesData[[#This Row],[Contracts Signed]]/SalesData[[#This Row],[Contracts Offered]])</f>
        <v>0.40277777777777779</v>
      </c>
      <c r="AG1670" s="5">
        <f>IF(SalesData[[#This Row],[Customers Visited]]=0,0,SalesData[[#This Row],[Test Drives]]/SalesData[[#This Row],[Customers Visited]])</f>
        <v>0.58791208791208793</v>
      </c>
      <c r="AH1670" s="5">
        <f>IF(SalesData[[#This Row],[Customers Visited]]=0,0,SalesData[[#This Row],[Contracts Signed]]/SalesData[[#This Row],[Customers Visited]])</f>
        <v>0.15934065934065933</v>
      </c>
      <c r="AI1670" s="6">
        <f>IF(SalesData[[#This Row],[Contracts Signed]]=0,0,SalesData[[#This Row],[Profit(€)]]/SalesData[[#This Row],[Contracts Signed]])</f>
        <v>13105</v>
      </c>
      <c r="AJ1670" s="5" t="str">
        <f>TRIM(CLEAN(SalesData[[#This Row],[Retailer]]))</f>
        <v>Hannover Cars</v>
      </c>
    </row>
    <row r="1671" spans="1:36" ht="14.25" hidden="1" x14ac:dyDescent="0.2">
      <c r="A1671" t="s">
        <v>2603</v>
      </c>
      <c r="B1671" s="1">
        <v>46059</v>
      </c>
      <c r="C1671" t="s">
        <v>24</v>
      </c>
      <c r="D1671" t="s">
        <v>54</v>
      </c>
      <c r="E1671" t="s">
        <v>26</v>
      </c>
      <c r="F1671" t="s">
        <v>94</v>
      </c>
      <c r="G1671" t="s">
        <v>95</v>
      </c>
      <c r="H1671" t="s">
        <v>96</v>
      </c>
      <c r="I1671" t="s">
        <v>104</v>
      </c>
      <c r="J1671" t="s">
        <v>140</v>
      </c>
      <c r="K1671" t="s">
        <v>78</v>
      </c>
      <c r="L1671" t="s">
        <v>46</v>
      </c>
      <c r="M1671" t="s">
        <v>47</v>
      </c>
      <c r="N1671" t="s">
        <v>69</v>
      </c>
      <c r="O1671" t="s">
        <v>70</v>
      </c>
      <c r="P1671" t="s">
        <v>71</v>
      </c>
      <c r="Q1671" t="s">
        <v>59</v>
      </c>
      <c r="R1671">
        <v>509</v>
      </c>
      <c r="S1671">
        <v>218</v>
      </c>
      <c r="T1671">
        <v>143</v>
      </c>
      <c r="U1671">
        <v>35</v>
      </c>
      <c r="V1671" t="s">
        <v>1969</v>
      </c>
      <c r="W1671">
        <v>25500</v>
      </c>
      <c r="X1671" t="s">
        <v>4732</v>
      </c>
      <c r="Y1671">
        <v>22282</v>
      </c>
      <c r="Z1671">
        <v>892500</v>
      </c>
      <c r="AA1671">
        <v>112630</v>
      </c>
      <c r="AB1671" t="str">
        <f>(VLOOKUP(SalesData[[#This Row],[Month Number]],Reference!C$5:E$16,2,FALSE))</f>
        <v>Feb</v>
      </c>
      <c r="AC1671">
        <f>MONTH(SalesData[[#This Row],[Date]])</f>
        <v>2</v>
      </c>
      <c r="AD1671">
        <f>Reference!F$4</f>
        <v>2026</v>
      </c>
      <c r="AE1671" t="str">
        <f>IF(OR(SalesData[[#This Row],[Day]]="Saturday",SalesData[[#This Row],[Day]]="Sunday"),"Weekend","Weekday")</f>
        <v>Weekday</v>
      </c>
      <c r="AF1671" s="5">
        <f>IF(SalesData[[#This Row],[Contracts Offered]]=0,0,SalesData[[#This Row],[Contracts Signed]]/SalesData[[#This Row],[Contracts Offered]])</f>
        <v>0.24475524475524477</v>
      </c>
      <c r="AG1671" s="5">
        <f>IF(SalesData[[#This Row],[Customers Visited]]=0,0,SalesData[[#This Row],[Test Drives]]/SalesData[[#This Row],[Customers Visited]])</f>
        <v>0.42829076620825146</v>
      </c>
      <c r="AH1671" s="5">
        <f>IF(SalesData[[#This Row],[Customers Visited]]=0,0,SalesData[[#This Row],[Contracts Signed]]/SalesData[[#This Row],[Customers Visited]])</f>
        <v>6.8762278978389005E-2</v>
      </c>
      <c r="AI1671" s="6">
        <f>IF(SalesData[[#This Row],[Contracts Signed]]=0,0,SalesData[[#This Row],[Profit(€)]]/SalesData[[#This Row],[Contracts Signed]])</f>
        <v>3218</v>
      </c>
      <c r="AJ1671" s="5" t="str">
        <f>TRIM(CLEAN(SalesData[[#This Row],[Retailer]]))</f>
        <v>Bavaria Motors</v>
      </c>
    </row>
    <row r="1672" spans="1:36" ht="14.25" hidden="1" x14ac:dyDescent="0.2">
      <c r="A1672" t="s">
        <v>2605</v>
      </c>
      <c r="B1672" s="1">
        <v>46069</v>
      </c>
      <c r="C1672" t="s">
        <v>62</v>
      </c>
      <c r="D1672" t="s">
        <v>25</v>
      </c>
      <c r="E1672" t="s">
        <v>26</v>
      </c>
      <c r="F1672" t="s">
        <v>94</v>
      </c>
      <c r="G1672" t="s">
        <v>95</v>
      </c>
      <c r="H1672" t="s">
        <v>96</v>
      </c>
      <c r="I1672" t="s">
        <v>116</v>
      </c>
      <c r="J1672" t="s">
        <v>7090</v>
      </c>
      <c r="K1672" t="s">
        <v>66</v>
      </c>
      <c r="L1672" t="s">
        <v>46</v>
      </c>
      <c r="M1672" t="s">
        <v>47</v>
      </c>
      <c r="N1672" t="s">
        <v>69</v>
      </c>
      <c r="O1672" t="s">
        <v>70</v>
      </c>
      <c r="P1672" t="s">
        <v>58</v>
      </c>
      <c r="Q1672" t="s">
        <v>38</v>
      </c>
      <c r="R1672">
        <v>420</v>
      </c>
      <c r="S1672">
        <v>206</v>
      </c>
      <c r="T1672">
        <v>134</v>
      </c>
      <c r="U1672">
        <v>45</v>
      </c>
      <c r="V1672" t="s">
        <v>6409</v>
      </c>
      <c r="W1672">
        <v>23385</v>
      </c>
      <c r="X1672" t="s">
        <v>2521</v>
      </c>
      <c r="Y1672">
        <v>20922</v>
      </c>
      <c r="Z1672">
        <v>1052325</v>
      </c>
      <c r="AA1672">
        <v>110835</v>
      </c>
      <c r="AB1672" t="str">
        <f>(VLOOKUP(SalesData[[#This Row],[Month Number]],Reference!C$5:E$16,2,FALSE))</f>
        <v>Feb</v>
      </c>
      <c r="AC1672">
        <f>MONTH(SalesData[[#This Row],[Date]])</f>
        <v>2</v>
      </c>
      <c r="AD1672">
        <f>Reference!F$4</f>
        <v>2026</v>
      </c>
      <c r="AE1672" t="str">
        <f>IF(OR(SalesData[[#This Row],[Day]]="Saturday",SalesData[[#This Row],[Day]]="Sunday"),"Weekend","Weekday")</f>
        <v>Weekday</v>
      </c>
      <c r="AF1672" s="5">
        <f>IF(SalesData[[#This Row],[Contracts Offered]]=0,0,SalesData[[#This Row],[Contracts Signed]]/SalesData[[#This Row],[Contracts Offered]])</f>
        <v>0.33582089552238809</v>
      </c>
      <c r="AG1672" s="5">
        <f>IF(SalesData[[#This Row],[Customers Visited]]=0,0,SalesData[[#This Row],[Test Drives]]/SalesData[[#This Row],[Customers Visited]])</f>
        <v>0.49047619047619045</v>
      </c>
      <c r="AH1672" s="5">
        <f>IF(SalesData[[#This Row],[Customers Visited]]=0,0,SalesData[[#This Row],[Contracts Signed]]/SalesData[[#This Row],[Customers Visited]])</f>
        <v>0.10714285714285714</v>
      </c>
      <c r="AI1672" s="6">
        <f>IF(SalesData[[#This Row],[Contracts Signed]]=0,0,SalesData[[#This Row],[Profit(€)]]/SalesData[[#This Row],[Contracts Signed]])</f>
        <v>2463</v>
      </c>
      <c r="AJ1672" s="5" t="str">
        <f>TRIM(CLEAN(SalesData[[#This Row],[Retailer]]))</f>
        <v>Bavaria Motors</v>
      </c>
    </row>
    <row r="1673" spans="1:36" ht="14.25" hidden="1" x14ac:dyDescent="0.2">
      <c r="A1673" t="s">
        <v>2606</v>
      </c>
      <c r="B1673" s="1">
        <v>46069</v>
      </c>
      <c r="C1673" t="s">
        <v>62</v>
      </c>
      <c r="D1673" t="s">
        <v>25</v>
      </c>
      <c r="E1673" t="s">
        <v>26</v>
      </c>
      <c r="F1673" t="s">
        <v>94</v>
      </c>
      <c r="G1673" t="s">
        <v>95</v>
      </c>
      <c r="H1673" t="s">
        <v>96</v>
      </c>
      <c r="I1673" t="s">
        <v>116</v>
      </c>
      <c r="J1673" t="s">
        <v>7090</v>
      </c>
      <c r="K1673" t="s">
        <v>91</v>
      </c>
      <c r="L1673" t="s">
        <v>46</v>
      </c>
      <c r="M1673" t="s">
        <v>34</v>
      </c>
      <c r="N1673" t="s">
        <v>48</v>
      </c>
      <c r="O1673" t="s">
        <v>70</v>
      </c>
      <c r="P1673" t="s">
        <v>49</v>
      </c>
      <c r="Q1673" t="s">
        <v>204</v>
      </c>
      <c r="R1673">
        <v>294</v>
      </c>
      <c r="S1673">
        <v>122</v>
      </c>
      <c r="T1673">
        <v>84</v>
      </c>
      <c r="U1673">
        <v>22</v>
      </c>
      <c r="V1673" t="s">
        <v>335</v>
      </c>
      <c r="W1673">
        <v>21118</v>
      </c>
      <c r="X1673" t="s">
        <v>1064</v>
      </c>
      <c r="Y1673">
        <v>18795</v>
      </c>
      <c r="Z1673">
        <v>464596</v>
      </c>
      <c r="AA1673">
        <v>51106</v>
      </c>
      <c r="AB1673" t="str">
        <f>(VLOOKUP(SalesData[[#This Row],[Month Number]],Reference!C$5:E$16,2,FALSE))</f>
        <v>Feb</v>
      </c>
      <c r="AC1673">
        <f>MONTH(SalesData[[#This Row],[Date]])</f>
        <v>2</v>
      </c>
      <c r="AD1673">
        <f>Reference!F$4</f>
        <v>2026</v>
      </c>
      <c r="AE1673" t="str">
        <f>IF(OR(SalesData[[#This Row],[Day]]="Saturday",SalesData[[#This Row],[Day]]="Sunday"),"Weekend","Weekday")</f>
        <v>Weekday</v>
      </c>
      <c r="AF1673" s="5">
        <f>IF(SalesData[[#This Row],[Contracts Offered]]=0,0,SalesData[[#This Row],[Contracts Signed]]/SalesData[[#This Row],[Contracts Offered]])</f>
        <v>0.26190476190476192</v>
      </c>
      <c r="AG1673" s="5">
        <f>IF(SalesData[[#This Row],[Customers Visited]]=0,0,SalesData[[#This Row],[Test Drives]]/SalesData[[#This Row],[Customers Visited]])</f>
        <v>0.41496598639455784</v>
      </c>
      <c r="AH1673" s="5">
        <f>IF(SalesData[[#This Row],[Customers Visited]]=0,0,SalesData[[#This Row],[Contracts Signed]]/SalesData[[#This Row],[Customers Visited]])</f>
        <v>7.4829931972789115E-2</v>
      </c>
      <c r="AI1673" s="6">
        <f>IF(SalesData[[#This Row],[Contracts Signed]]=0,0,SalesData[[#This Row],[Profit(€)]]/SalesData[[#This Row],[Contracts Signed]])</f>
        <v>2323</v>
      </c>
      <c r="AJ1673" s="5" t="str">
        <f>TRIM(CLEAN(SalesData[[#This Row],[Retailer]]))</f>
        <v>Bavaria Motors</v>
      </c>
    </row>
    <row r="1674" spans="1:36" ht="14.25" hidden="1" x14ac:dyDescent="0.2">
      <c r="A1674" t="s">
        <v>2607</v>
      </c>
      <c r="B1674" s="1">
        <v>46081</v>
      </c>
      <c r="C1674" t="s">
        <v>53</v>
      </c>
      <c r="D1674" t="s">
        <v>151</v>
      </c>
      <c r="E1674" t="s">
        <v>42</v>
      </c>
      <c r="F1674" t="s">
        <v>43</v>
      </c>
      <c r="G1674" t="s">
        <v>44</v>
      </c>
      <c r="H1674" t="s">
        <v>45</v>
      </c>
      <c r="I1674" t="s">
        <v>104</v>
      </c>
      <c r="J1674" t="s">
        <v>7061</v>
      </c>
      <c r="K1674" t="s">
        <v>91</v>
      </c>
      <c r="L1674" t="s">
        <v>46</v>
      </c>
      <c r="M1674" t="s">
        <v>34</v>
      </c>
      <c r="N1674" t="s">
        <v>69</v>
      </c>
      <c r="O1674" t="s">
        <v>36</v>
      </c>
      <c r="P1674" t="s">
        <v>71</v>
      </c>
      <c r="Q1674" t="s">
        <v>88</v>
      </c>
      <c r="R1674">
        <v>369</v>
      </c>
      <c r="S1674">
        <v>159</v>
      </c>
      <c r="T1674">
        <v>101</v>
      </c>
      <c r="U1674">
        <v>28</v>
      </c>
      <c r="V1674" t="s">
        <v>852</v>
      </c>
      <c r="W1674">
        <v>25961</v>
      </c>
      <c r="X1674" t="s">
        <v>1052</v>
      </c>
      <c r="Y1674">
        <v>22409</v>
      </c>
      <c r="Z1674">
        <v>726908</v>
      </c>
      <c r="AA1674">
        <v>99456</v>
      </c>
      <c r="AB1674" t="str">
        <f>(VLOOKUP(SalesData[[#This Row],[Month Number]],Reference!C$5:E$16,2,FALSE))</f>
        <v>Feb</v>
      </c>
      <c r="AC1674">
        <f>MONTH(SalesData[[#This Row],[Date]])</f>
        <v>2</v>
      </c>
      <c r="AD1674">
        <f>Reference!F$4</f>
        <v>2026</v>
      </c>
      <c r="AE1674" t="str">
        <f>IF(OR(SalesData[[#This Row],[Day]]="Saturday",SalesData[[#This Row],[Day]]="Sunday"),"Weekend","Weekday")</f>
        <v>Weekend</v>
      </c>
      <c r="AF1674" s="5">
        <f>IF(SalesData[[#This Row],[Contracts Offered]]=0,0,SalesData[[#This Row],[Contracts Signed]]/SalesData[[#This Row],[Contracts Offered]])</f>
        <v>0.27722772277227725</v>
      </c>
      <c r="AG1674" s="5">
        <f>IF(SalesData[[#This Row],[Customers Visited]]=0,0,SalesData[[#This Row],[Test Drives]]/SalesData[[#This Row],[Customers Visited]])</f>
        <v>0.43089430894308944</v>
      </c>
      <c r="AH1674" s="5">
        <f>IF(SalesData[[#This Row],[Customers Visited]]=0,0,SalesData[[#This Row],[Contracts Signed]]/SalesData[[#This Row],[Customers Visited]])</f>
        <v>7.5880758807588072E-2</v>
      </c>
      <c r="AI1674" s="6">
        <f>IF(SalesData[[#This Row],[Contracts Signed]]=0,0,SalesData[[#This Row],[Profit(€)]]/SalesData[[#This Row],[Contracts Signed]])</f>
        <v>3552</v>
      </c>
      <c r="AJ1674" s="5" t="str">
        <f>TRIM(CLEAN(SalesData[[#This Row],[Retailer]]))</f>
        <v>Saxon Wheels</v>
      </c>
    </row>
    <row r="1675" spans="1:36" ht="14.25" hidden="1" x14ac:dyDescent="0.2">
      <c r="A1675" t="s">
        <v>2608</v>
      </c>
      <c r="B1675" s="1">
        <v>46072</v>
      </c>
      <c r="C1675" t="s">
        <v>62</v>
      </c>
      <c r="D1675" t="s">
        <v>100</v>
      </c>
      <c r="E1675" t="s">
        <v>26</v>
      </c>
      <c r="F1675" t="s">
        <v>94</v>
      </c>
      <c r="G1675" t="s">
        <v>95</v>
      </c>
      <c r="H1675" t="s">
        <v>96</v>
      </c>
      <c r="I1675" t="s">
        <v>64</v>
      </c>
      <c r="J1675" t="s">
        <v>7029</v>
      </c>
      <c r="K1675" t="s">
        <v>91</v>
      </c>
      <c r="L1675" t="s">
        <v>33</v>
      </c>
      <c r="M1675" t="s">
        <v>34</v>
      </c>
      <c r="N1675" t="s">
        <v>69</v>
      </c>
      <c r="O1675" t="s">
        <v>70</v>
      </c>
      <c r="P1675" t="s">
        <v>71</v>
      </c>
      <c r="Q1675" t="s">
        <v>59</v>
      </c>
      <c r="R1675">
        <v>283</v>
      </c>
      <c r="S1675">
        <v>149</v>
      </c>
      <c r="T1675">
        <v>100</v>
      </c>
      <c r="U1675">
        <v>39</v>
      </c>
      <c r="V1675" t="s">
        <v>6888</v>
      </c>
      <c r="W1675">
        <v>59529</v>
      </c>
      <c r="X1675" t="s">
        <v>7386</v>
      </c>
      <c r="Y1675">
        <v>42946</v>
      </c>
      <c r="Z1675">
        <v>2321631</v>
      </c>
      <c r="AA1675">
        <v>646737</v>
      </c>
      <c r="AB1675" t="str">
        <f>(VLOOKUP(SalesData[[#This Row],[Month Number]],Reference!C$5:E$16,2,FALSE))</f>
        <v>Feb</v>
      </c>
      <c r="AC1675">
        <f>MONTH(SalesData[[#This Row],[Date]])</f>
        <v>2</v>
      </c>
      <c r="AD1675">
        <f>Reference!F$4</f>
        <v>2026</v>
      </c>
      <c r="AE1675" t="str">
        <f>IF(OR(SalesData[[#This Row],[Day]]="Saturday",SalesData[[#This Row],[Day]]="Sunday"),"Weekend","Weekday")</f>
        <v>Weekday</v>
      </c>
      <c r="AF1675" s="5">
        <f>IF(SalesData[[#This Row],[Contracts Offered]]=0,0,SalesData[[#This Row],[Contracts Signed]]/SalesData[[#This Row],[Contracts Offered]])</f>
        <v>0.39</v>
      </c>
      <c r="AG1675" s="5">
        <f>IF(SalesData[[#This Row],[Customers Visited]]=0,0,SalesData[[#This Row],[Test Drives]]/SalesData[[#This Row],[Customers Visited]])</f>
        <v>0.52650176678445226</v>
      </c>
      <c r="AH1675" s="5">
        <f>IF(SalesData[[#This Row],[Customers Visited]]=0,0,SalesData[[#This Row],[Contracts Signed]]/SalesData[[#This Row],[Customers Visited]])</f>
        <v>0.13780918727915195</v>
      </c>
      <c r="AI1675" s="6">
        <f>IF(SalesData[[#This Row],[Contracts Signed]]=0,0,SalesData[[#This Row],[Profit(€)]]/SalesData[[#This Row],[Contracts Signed]])</f>
        <v>16583</v>
      </c>
      <c r="AJ1675" s="5" t="str">
        <f>TRIM(CLEAN(SalesData[[#This Row],[Retailer]]))</f>
        <v>Bavaria Motors</v>
      </c>
    </row>
    <row r="1676" spans="1:36" ht="14.25" x14ac:dyDescent="0.2">
      <c r="A1676" t="s">
        <v>2610</v>
      </c>
      <c r="B1676" s="1">
        <v>46074</v>
      </c>
      <c r="C1676" t="s">
        <v>62</v>
      </c>
      <c r="D1676" t="s">
        <v>151</v>
      </c>
      <c r="E1676" t="s">
        <v>42</v>
      </c>
      <c r="F1676" t="s">
        <v>109</v>
      </c>
      <c r="G1676" t="s">
        <v>110</v>
      </c>
      <c r="H1676" t="s">
        <v>45</v>
      </c>
      <c r="I1676" t="s">
        <v>30</v>
      </c>
      <c r="J1676" t="s">
        <v>31</v>
      </c>
      <c r="K1676" t="s">
        <v>78</v>
      </c>
      <c r="L1676" t="s">
        <v>46</v>
      </c>
      <c r="M1676" t="s">
        <v>34</v>
      </c>
      <c r="N1676" t="s">
        <v>35</v>
      </c>
      <c r="O1676" t="s">
        <v>70</v>
      </c>
      <c r="P1676" t="s">
        <v>58</v>
      </c>
      <c r="Q1676" t="s">
        <v>204</v>
      </c>
      <c r="R1676">
        <v>254</v>
      </c>
      <c r="S1676">
        <v>115</v>
      </c>
      <c r="T1676">
        <v>92</v>
      </c>
      <c r="U1676">
        <v>31</v>
      </c>
      <c r="V1676" t="s">
        <v>6506</v>
      </c>
      <c r="W1676">
        <v>55427</v>
      </c>
      <c r="X1676" t="s">
        <v>2701</v>
      </c>
      <c r="Y1676">
        <v>39727</v>
      </c>
      <c r="Z1676">
        <v>1718237</v>
      </c>
      <c r="AA1676">
        <v>486700</v>
      </c>
      <c r="AB1676" t="str">
        <f>(VLOOKUP(SalesData[[#This Row],[Month Number]],Reference!C$5:E$16,2,FALSE))</f>
        <v>Feb</v>
      </c>
      <c r="AC1676">
        <f>MONTH(SalesData[[#This Row],[Date]])</f>
        <v>2</v>
      </c>
      <c r="AD1676">
        <f>Reference!F$4</f>
        <v>2026</v>
      </c>
      <c r="AE1676" t="str">
        <f>IF(OR(SalesData[[#This Row],[Day]]="Saturday",SalesData[[#This Row],[Day]]="Sunday"),"Weekend","Weekday")</f>
        <v>Weekend</v>
      </c>
      <c r="AF1676" s="5">
        <f>IF(SalesData[[#This Row],[Contracts Offered]]=0,0,SalesData[[#This Row],[Contracts Signed]]/SalesData[[#This Row],[Contracts Offered]])</f>
        <v>0.33695652173913043</v>
      </c>
      <c r="AG1676" s="5">
        <f>IF(SalesData[[#This Row],[Customers Visited]]=0,0,SalesData[[#This Row],[Test Drives]]/SalesData[[#This Row],[Customers Visited]])</f>
        <v>0.452755905511811</v>
      </c>
      <c r="AH1676" s="5">
        <f>IF(SalesData[[#This Row],[Customers Visited]]=0,0,SalesData[[#This Row],[Contracts Signed]]/SalesData[[#This Row],[Customers Visited]])</f>
        <v>0.12204724409448819</v>
      </c>
      <c r="AI1676" s="6">
        <f>IF(SalesData[[#This Row],[Contracts Signed]]=0,0,SalesData[[#This Row],[Profit(€)]]/SalesData[[#This Row],[Contracts Signed]])</f>
        <v>15700</v>
      </c>
      <c r="AJ1676" s="5" t="str">
        <f>TRIM(CLEAN(SalesData[[#This Row],[Retailer]]))</f>
        <v>Leipzig Mobility</v>
      </c>
    </row>
    <row r="1677" spans="1:36" ht="14.25" x14ac:dyDescent="0.2">
      <c r="A1677" t="s">
        <v>2611</v>
      </c>
      <c r="B1677" s="1">
        <v>46064</v>
      </c>
      <c r="C1677" t="s">
        <v>121</v>
      </c>
      <c r="D1677" t="s">
        <v>82</v>
      </c>
      <c r="E1677" t="s">
        <v>26</v>
      </c>
      <c r="F1677" t="s">
        <v>127</v>
      </c>
      <c r="G1677" t="s">
        <v>128</v>
      </c>
      <c r="H1677" t="s">
        <v>103</v>
      </c>
      <c r="I1677" t="s">
        <v>30</v>
      </c>
      <c r="J1677" t="s">
        <v>7075</v>
      </c>
      <c r="K1677" t="s">
        <v>32</v>
      </c>
      <c r="L1677" t="s">
        <v>33</v>
      </c>
      <c r="M1677" t="s">
        <v>87</v>
      </c>
      <c r="N1677" t="s">
        <v>35</v>
      </c>
      <c r="O1677" t="s">
        <v>36</v>
      </c>
      <c r="P1677" t="s">
        <v>37</v>
      </c>
      <c r="Q1677" t="s">
        <v>144</v>
      </c>
      <c r="R1677">
        <v>237</v>
      </c>
      <c r="S1677">
        <v>134</v>
      </c>
      <c r="T1677">
        <v>104</v>
      </c>
      <c r="U1677">
        <v>34</v>
      </c>
      <c r="V1677" t="s">
        <v>6393</v>
      </c>
      <c r="W1677">
        <v>55078</v>
      </c>
      <c r="X1677" t="s">
        <v>7399</v>
      </c>
      <c r="Y1677">
        <v>41745</v>
      </c>
      <c r="Z1677">
        <v>1872652</v>
      </c>
      <c r="AA1677">
        <v>453322</v>
      </c>
      <c r="AB1677" t="str">
        <f>(VLOOKUP(SalesData[[#This Row],[Month Number]],Reference!C$5:E$16,2,FALSE))</f>
        <v>Feb</v>
      </c>
      <c r="AC1677">
        <f>MONTH(SalesData[[#This Row],[Date]])</f>
        <v>2</v>
      </c>
      <c r="AD1677">
        <f>Reference!F$4</f>
        <v>2026</v>
      </c>
      <c r="AE1677" t="str">
        <f>IF(OR(SalesData[[#This Row],[Day]]="Saturday",SalesData[[#This Row],[Day]]="Sunday"),"Weekend","Weekday")</f>
        <v>Weekday</v>
      </c>
      <c r="AF1677" s="5">
        <f>IF(SalesData[[#This Row],[Contracts Offered]]=0,0,SalesData[[#This Row],[Contracts Signed]]/SalesData[[#This Row],[Contracts Offered]])</f>
        <v>0.32692307692307693</v>
      </c>
      <c r="AG1677" s="5">
        <f>IF(SalesData[[#This Row],[Customers Visited]]=0,0,SalesData[[#This Row],[Test Drives]]/SalesData[[#This Row],[Customers Visited]])</f>
        <v>0.56540084388185652</v>
      </c>
      <c r="AH1677" s="5">
        <f>IF(SalesData[[#This Row],[Customers Visited]]=0,0,SalesData[[#This Row],[Contracts Signed]]/SalesData[[#This Row],[Customers Visited]])</f>
        <v>0.14345991561181434</v>
      </c>
      <c r="AI1677" s="6">
        <f>IF(SalesData[[#This Row],[Contracts Signed]]=0,0,SalesData[[#This Row],[Profit(€)]]/SalesData[[#This Row],[Contracts Signed]])</f>
        <v>13333</v>
      </c>
      <c r="AJ1677" s="5" t="str">
        <f>TRIM(CLEAN(SalesData[[#This Row],[Retailer]]))</f>
        <v>Rhein Auto Group</v>
      </c>
    </row>
    <row r="1678" spans="1:36" ht="14.25" x14ac:dyDescent="0.2">
      <c r="A1678" t="s">
        <v>2612</v>
      </c>
      <c r="B1678" s="1">
        <v>46071</v>
      </c>
      <c r="C1678" t="s">
        <v>62</v>
      </c>
      <c r="D1678" t="s">
        <v>82</v>
      </c>
      <c r="E1678" t="s">
        <v>26</v>
      </c>
      <c r="F1678" t="s">
        <v>43</v>
      </c>
      <c r="G1678" t="s">
        <v>44</v>
      </c>
      <c r="H1678" t="s">
        <v>45</v>
      </c>
      <c r="I1678" t="s">
        <v>30</v>
      </c>
      <c r="J1678" t="s">
        <v>188</v>
      </c>
      <c r="K1678" t="s">
        <v>66</v>
      </c>
      <c r="L1678" t="s">
        <v>33</v>
      </c>
      <c r="M1678" t="s">
        <v>68</v>
      </c>
      <c r="N1678" t="s">
        <v>48</v>
      </c>
      <c r="O1678" t="s">
        <v>70</v>
      </c>
      <c r="P1678" t="s">
        <v>49</v>
      </c>
      <c r="Q1678" t="s">
        <v>135</v>
      </c>
      <c r="R1678">
        <v>177</v>
      </c>
      <c r="S1678">
        <v>98</v>
      </c>
      <c r="T1678">
        <v>69</v>
      </c>
      <c r="U1678">
        <v>25</v>
      </c>
      <c r="V1678" t="s">
        <v>6742</v>
      </c>
      <c r="W1678">
        <v>53109</v>
      </c>
      <c r="X1678" t="s">
        <v>1098</v>
      </c>
      <c r="Y1678">
        <v>39795</v>
      </c>
      <c r="Z1678">
        <v>1327725</v>
      </c>
      <c r="AA1678">
        <v>332850</v>
      </c>
      <c r="AB1678" t="str">
        <f>(VLOOKUP(SalesData[[#This Row],[Month Number]],Reference!C$5:E$16,2,FALSE))</f>
        <v>Feb</v>
      </c>
      <c r="AC1678">
        <f>MONTH(SalesData[[#This Row],[Date]])</f>
        <v>2</v>
      </c>
      <c r="AD1678">
        <f>Reference!F$4</f>
        <v>2026</v>
      </c>
      <c r="AE1678" t="str">
        <f>IF(OR(SalesData[[#This Row],[Day]]="Saturday",SalesData[[#This Row],[Day]]="Sunday"),"Weekend","Weekday")</f>
        <v>Weekday</v>
      </c>
      <c r="AF1678" s="5">
        <f>IF(SalesData[[#This Row],[Contracts Offered]]=0,0,SalesData[[#This Row],[Contracts Signed]]/SalesData[[#This Row],[Contracts Offered]])</f>
        <v>0.36231884057971014</v>
      </c>
      <c r="AG1678" s="5">
        <f>IF(SalesData[[#This Row],[Customers Visited]]=0,0,SalesData[[#This Row],[Test Drives]]/SalesData[[#This Row],[Customers Visited]])</f>
        <v>0.5536723163841808</v>
      </c>
      <c r="AH1678" s="5">
        <f>IF(SalesData[[#This Row],[Customers Visited]]=0,0,SalesData[[#This Row],[Contracts Signed]]/SalesData[[#This Row],[Customers Visited]])</f>
        <v>0.14124293785310735</v>
      </c>
      <c r="AI1678" s="6">
        <f>IF(SalesData[[#This Row],[Contracts Signed]]=0,0,SalesData[[#This Row],[Profit(€)]]/SalesData[[#This Row],[Contracts Signed]])</f>
        <v>13314</v>
      </c>
      <c r="AJ1678" s="5" t="str">
        <f>TRIM(CLEAN(SalesData[[#This Row],[Retailer]]))</f>
        <v>Saxon Wheels</v>
      </c>
    </row>
    <row r="1679" spans="1:36" ht="14.25" hidden="1" x14ac:dyDescent="0.2">
      <c r="A1679" t="s">
        <v>2613</v>
      </c>
      <c r="B1679" s="1">
        <v>46075</v>
      </c>
      <c r="C1679" t="s">
        <v>53</v>
      </c>
      <c r="D1679" t="s">
        <v>41</v>
      </c>
      <c r="E1679" t="s">
        <v>42</v>
      </c>
      <c r="F1679" t="s">
        <v>127</v>
      </c>
      <c r="G1679" t="s">
        <v>128</v>
      </c>
      <c r="H1679" t="s">
        <v>103</v>
      </c>
      <c r="I1679" t="s">
        <v>116</v>
      </c>
      <c r="J1679" t="s">
        <v>132</v>
      </c>
      <c r="K1679" t="s">
        <v>32</v>
      </c>
      <c r="L1679" t="s">
        <v>46</v>
      </c>
      <c r="M1679" t="s">
        <v>34</v>
      </c>
      <c r="N1679" t="s">
        <v>69</v>
      </c>
      <c r="O1679" t="s">
        <v>36</v>
      </c>
      <c r="P1679" t="s">
        <v>37</v>
      </c>
      <c r="Q1679" t="s">
        <v>158</v>
      </c>
      <c r="R1679">
        <v>263</v>
      </c>
      <c r="S1679">
        <v>142</v>
      </c>
      <c r="T1679">
        <v>86</v>
      </c>
      <c r="U1679">
        <v>20</v>
      </c>
      <c r="V1679" t="s">
        <v>927</v>
      </c>
      <c r="W1679">
        <v>24381</v>
      </c>
      <c r="X1679" t="s">
        <v>3596</v>
      </c>
      <c r="Y1679">
        <v>22164</v>
      </c>
      <c r="Z1679">
        <v>487620</v>
      </c>
      <c r="AA1679">
        <v>44340</v>
      </c>
      <c r="AB1679" t="str">
        <f>(VLOOKUP(SalesData[[#This Row],[Month Number]],Reference!C$5:E$16,2,FALSE))</f>
        <v>Feb</v>
      </c>
      <c r="AC1679">
        <f>MONTH(SalesData[[#This Row],[Date]])</f>
        <v>2</v>
      </c>
      <c r="AD1679">
        <f>Reference!F$4</f>
        <v>2026</v>
      </c>
      <c r="AE1679" t="str">
        <f>IF(OR(SalesData[[#This Row],[Day]]="Saturday",SalesData[[#This Row],[Day]]="Sunday"),"Weekend","Weekday")</f>
        <v>Weekend</v>
      </c>
      <c r="AF1679" s="5">
        <f>IF(SalesData[[#This Row],[Contracts Offered]]=0,0,SalesData[[#This Row],[Contracts Signed]]/SalesData[[#This Row],[Contracts Offered]])</f>
        <v>0.23255813953488372</v>
      </c>
      <c r="AG1679" s="5">
        <f>IF(SalesData[[#This Row],[Customers Visited]]=0,0,SalesData[[#This Row],[Test Drives]]/SalesData[[#This Row],[Customers Visited]])</f>
        <v>0.53992395437262353</v>
      </c>
      <c r="AH1679" s="5">
        <f>IF(SalesData[[#This Row],[Customers Visited]]=0,0,SalesData[[#This Row],[Contracts Signed]]/SalesData[[#This Row],[Customers Visited]])</f>
        <v>7.6045627376425853E-2</v>
      </c>
      <c r="AI1679" s="6">
        <f>IF(SalesData[[#This Row],[Contracts Signed]]=0,0,SalesData[[#This Row],[Profit(€)]]/SalesData[[#This Row],[Contracts Signed]])</f>
        <v>2217</v>
      </c>
      <c r="AJ1679" s="5" t="str">
        <f>TRIM(CLEAN(SalesData[[#This Row],[Retailer]]))</f>
        <v>Rhein Auto Group</v>
      </c>
    </row>
    <row r="1680" spans="1:36" ht="14.25" hidden="1" x14ac:dyDescent="0.2">
      <c r="A1680" t="s">
        <v>2615</v>
      </c>
      <c r="B1680" s="1">
        <v>46055</v>
      </c>
      <c r="C1680" t="s">
        <v>24</v>
      </c>
      <c r="D1680" t="s">
        <v>25</v>
      </c>
      <c r="E1680" t="s">
        <v>26</v>
      </c>
      <c r="F1680" t="s">
        <v>83</v>
      </c>
      <c r="G1680" t="s">
        <v>84</v>
      </c>
      <c r="H1680" t="s">
        <v>85</v>
      </c>
      <c r="I1680" t="s">
        <v>116</v>
      </c>
      <c r="J1680" t="s">
        <v>7026</v>
      </c>
      <c r="K1680" t="s">
        <v>78</v>
      </c>
      <c r="L1680" t="s">
        <v>46</v>
      </c>
      <c r="M1680" t="s">
        <v>34</v>
      </c>
      <c r="N1680" t="s">
        <v>35</v>
      </c>
      <c r="O1680" t="s">
        <v>70</v>
      </c>
      <c r="P1680" t="s">
        <v>58</v>
      </c>
      <c r="Q1680" t="s">
        <v>59</v>
      </c>
      <c r="R1680">
        <v>382</v>
      </c>
      <c r="S1680">
        <v>175</v>
      </c>
      <c r="T1680">
        <v>116</v>
      </c>
      <c r="U1680">
        <v>31</v>
      </c>
      <c r="V1680" t="s">
        <v>4445</v>
      </c>
      <c r="W1680">
        <v>22259</v>
      </c>
      <c r="X1680" t="s">
        <v>544</v>
      </c>
      <c r="Y1680">
        <v>20359</v>
      </c>
      <c r="Z1680">
        <v>690029</v>
      </c>
      <c r="AA1680">
        <v>58900</v>
      </c>
      <c r="AB1680" t="str">
        <f>(VLOOKUP(SalesData[[#This Row],[Month Number]],Reference!C$5:E$16,2,FALSE))</f>
        <v>Feb</v>
      </c>
      <c r="AC1680">
        <f>MONTH(SalesData[[#This Row],[Date]])</f>
        <v>2</v>
      </c>
      <c r="AD1680">
        <f>Reference!F$4</f>
        <v>2026</v>
      </c>
      <c r="AE1680" t="str">
        <f>IF(OR(SalesData[[#This Row],[Day]]="Saturday",SalesData[[#This Row],[Day]]="Sunday"),"Weekend","Weekday")</f>
        <v>Weekday</v>
      </c>
      <c r="AF1680" s="5">
        <f>IF(SalesData[[#This Row],[Contracts Offered]]=0,0,SalesData[[#This Row],[Contracts Signed]]/SalesData[[#This Row],[Contracts Offered]])</f>
        <v>0.26724137931034481</v>
      </c>
      <c r="AG1680" s="5">
        <f>IF(SalesData[[#This Row],[Customers Visited]]=0,0,SalesData[[#This Row],[Test Drives]]/SalesData[[#This Row],[Customers Visited]])</f>
        <v>0.45811518324607331</v>
      </c>
      <c r="AH1680" s="5">
        <f>IF(SalesData[[#This Row],[Customers Visited]]=0,0,SalesData[[#This Row],[Contracts Signed]]/SalesData[[#This Row],[Customers Visited]])</f>
        <v>8.1151832460732987E-2</v>
      </c>
      <c r="AI1680" s="6">
        <f>IF(SalesData[[#This Row],[Contracts Signed]]=0,0,SalesData[[#This Row],[Profit(€)]]/SalesData[[#This Row],[Contracts Signed]])</f>
        <v>1900</v>
      </c>
      <c r="AJ1680" s="5" t="str">
        <f>TRIM(CLEAN(SalesData[[#This Row],[Retailer]]))</f>
        <v>Hannover Cars</v>
      </c>
    </row>
    <row r="1681" spans="1:36" ht="14.25" hidden="1" x14ac:dyDescent="0.2">
      <c r="A1681" t="s">
        <v>2616</v>
      </c>
      <c r="B1681" s="1">
        <v>46070</v>
      </c>
      <c r="C1681" t="s">
        <v>62</v>
      </c>
      <c r="D1681" t="s">
        <v>63</v>
      </c>
      <c r="E1681" t="s">
        <v>26</v>
      </c>
      <c r="F1681" t="s">
        <v>43</v>
      </c>
      <c r="G1681" t="s">
        <v>44</v>
      </c>
      <c r="H1681" t="s">
        <v>45</v>
      </c>
      <c r="I1681" t="s">
        <v>56</v>
      </c>
      <c r="J1681" t="s">
        <v>7028</v>
      </c>
      <c r="K1681" t="s">
        <v>32</v>
      </c>
      <c r="L1681" t="s">
        <v>46</v>
      </c>
      <c r="M1681" t="s">
        <v>47</v>
      </c>
      <c r="N1681" t="s">
        <v>48</v>
      </c>
      <c r="O1681" t="s">
        <v>36</v>
      </c>
      <c r="P1681" t="s">
        <v>49</v>
      </c>
      <c r="Q1681" t="s">
        <v>38</v>
      </c>
      <c r="R1681">
        <v>187</v>
      </c>
      <c r="S1681">
        <v>113</v>
      </c>
      <c r="T1681">
        <v>85</v>
      </c>
      <c r="U1681">
        <v>25</v>
      </c>
      <c r="V1681" t="s">
        <v>6603</v>
      </c>
      <c r="W1681">
        <v>46661</v>
      </c>
      <c r="X1681" t="s">
        <v>7144</v>
      </c>
      <c r="Y1681">
        <v>35463</v>
      </c>
      <c r="Z1681">
        <v>1166525</v>
      </c>
      <c r="AA1681">
        <v>279950</v>
      </c>
      <c r="AB1681" t="str">
        <f>(VLOOKUP(SalesData[[#This Row],[Month Number]],Reference!C$5:E$16,2,FALSE))</f>
        <v>Feb</v>
      </c>
      <c r="AC1681">
        <f>MONTH(SalesData[[#This Row],[Date]])</f>
        <v>2</v>
      </c>
      <c r="AD1681">
        <f>Reference!F$4</f>
        <v>2026</v>
      </c>
      <c r="AE1681" t="str">
        <f>IF(OR(SalesData[[#This Row],[Day]]="Saturday",SalesData[[#This Row],[Day]]="Sunday"),"Weekend","Weekday")</f>
        <v>Weekday</v>
      </c>
      <c r="AF1681" s="5">
        <f>IF(SalesData[[#This Row],[Contracts Offered]]=0,0,SalesData[[#This Row],[Contracts Signed]]/SalesData[[#This Row],[Contracts Offered]])</f>
        <v>0.29411764705882354</v>
      </c>
      <c r="AG1681" s="5">
        <f>IF(SalesData[[#This Row],[Customers Visited]]=0,0,SalesData[[#This Row],[Test Drives]]/SalesData[[#This Row],[Customers Visited]])</f>
        <v>0.60427807486631013</v>
      </c>
      <c r="AH1681" s="5">
        <f>IF(SalesData[[#This Row],[Customers Visited]]=0,0,SalesData[[#This Row],[Contracts Signed]]/SalesData[[#This Row],[Customers Visited]])</f>
        <v>0.13368983957219252</v>
      </c>
      <c r="AI1681" s="6">
        <f>IF(SalesData[[#This Row],[Contracts Signed]]=0,0,SalesData[[#This Row],[Profit(€)]]/SalesData[[#This Row],[Contracts Signed]])</f>
        <v>11198</v>
      </c>
      <c r="AJ1681" s="5" t="str">
        <f>TRIM(CLEAN(SalesData[[#This Row],[Retailer]]))</f>
        <v>Saxon Wheels</v>
      </c>
    </row>
    <row r="1682" spans="1:36" ht="14.25" hidden="1" x14ac:dyDescent="0.2">
      <c r="A1682" t="s">
        <v>2617</v>
      </c>
      <c r="B1682" s="1">
        <v>46075</v>
      </c>
      <c r="C1682" t="s">
        <v>53</v>
      </c>
      <c r="D1682" t="s">
        <v>41</v>
      </c>
      <c r="E1682" t="s">
        <v>42</v>
      </c>
      <c r="F1682" t="s">
        <v>109</v>
      </c>
      <c r="G1682" t="s">
        <v>110</v>
      </c>
      <c r="H1682" t="s">
        <v>45</v>
      </c>
      <c r="I1682" t="s">
        <v>104</v>
      </c>
      <c r="J1682" t="s">
        <v>105</v>
      </c>
      <c r="K1682" t="s">
        <v>91</v>
      </c>
      <c r="L1682" t="s">
        <v>33</v>
      </c>
      <c r="M1682" t="s">
        <v>47</v>
      </c>
      <c r="N1682" t="s">
        <v>48</v>
      </c>
      <c r="O1682" t="s">
        <v>70</v>
      </c>
      <c r="P1682" t="s">
        <v>49</v>
      </c>
      <c r="Q1682" t="s">
        <v>169</v>
      </c>
      <c r="R1682">
        <v>445</v>
      </c>
      <c r="S1682">
        <v>228</v>
      </c>
      <c r="T1682">
        <v>139</v>
      </c>
      <c r="U1682">
        <v>28</v>
      </c>
      <c r="V1682" t="s">
        <v>2046</v>
      </c>
      <c r="W1682">
        <v>33004</v>
      </c>
      <c r="X1682" t="s">
        <v>1433</v>
      </c>
      <c r="Y1682">
        <v>28790</v>
      </c>
      <c r="Z1682">
        <v>924112</v>
      </c>
      <c r="AA1682">
        <v>117992</v>
      </c>
      <c r="AB1682" t="str">
        <f>(VLOOKUP(SalesData[[#This Row],[Month Number]],Reference!C$5:E$16,2,FALSE))</f>
        <v>Feb</v>
      </c>
      <c r="AC1682">
        <f>MONTH(SalesData[[#This Row],[Date]])</f>
        <v>2</v>
      </c>
      <c r="AD1682">
        <f>Reference!F$4</f>
        <v>2026</v>
      </c>
      <c r="AE1682" t="str">
        <f>IF(OR(SalesData[[#This Row],[Day]]="Saturday",SalesData[[#This Row],[Day]]="Sunday"),"Weekend","Weekday")</f>
        <v>Weekend</v>
      </c>
      <c r="AF1682" s="5">
        <f>IF(SalesData[[#This Row],[Contracts Offered]]=0,0,SalesData[[#This Row],[Contracts Signed]]/SalesData[[#This Row],[Contracts Offered]])</f>
        <v>0.20143884892086331</v>
      </c>
      <c r="AG1682" s="5">
        <f>IF(SalesData[[#This Row],[Customers Visited]]=0,0,SalesData[[#This Row],[Test Drives]]/SalesData[[#This Row],[Customers Visited]])</f>
        <v>0.51235955056179772</v>
      </c>
      <c r="AH1682" s="5">
        <f>IF(SalesData[[#This Row],[Customers Visited]]=0,0,SalesData[[#This Row],[Contracts Signed]]/SalesData[[#This Row],[Customers Visited]])</f>
        <v>6.2921348314606745E-2</v>
      </c>
      <c r="AI1682" s="6">
        <f>IF(SalesData[[#This Row],[Contracts Signed]]=0,0,SalesData[[#This Row],[Profit(€)]]/SalesData[[#This Row],[Contracts Signed]])</f>
        <v>4214</v>
      </c>
      <c r="AJ1682" s="5" t="str">
        <f>TRIM(CLEAN(SalesData[[#This Row],[Retailer]]))</f>
        <v>Leipzig Mobility</v>
      </c>
    </row>
    <row r="1683" spans="1:36" ht="14.25" hidden="1" x14ac:dyDescent="0.2">
      <c r="A1683" t="s">
        <v>2618</v>
      </c>
      <c r="B1683" s="1">
        <v>46076</v>
      </c>
      <c r="C1683" t="s">
        <v>53</v>
      </c>
      <c r="D1683" t="s">
        <v>25</v>
      </c>
      <c r="E1683" t="s">
        <v>26</v>
      </c>
      <c r="F1683" t="s">
        <v>7649</v>
      </c>
      <c r="G1683" t="s">
        <v>55</v>
      </c>
      <c r="H1683" t="s">
        <v>55</v>
      </c>
      <c r="I1683" t="s">
        <v>104</v>
      </c>
      <c r="J1683" t="s">
        <v>143</v>
      </c>
      <c r="K1683" t="s">
        <v>78</v>
      </c>
      <c r="L1683" t="s">
        <v>67</v>
      </c>
      <c r="M1683" t="s">
        <v>68</v>
      </c>
      <c r="N1683" t="s">
        <v>69</v>
      </c>
      <c r="O1683" t="s">
        <v>36</v>
      </c>
      <c r="P1683" t="s">
        <v>58</v>
      </c>
      <c r="Q1683" t="s">
        <v>144</v>
      </c>
      <c r="R1683">
        <v>447</v>
      </c>
      <c r="S1683">
        <v>218</v>
      </c>
      <c r="T1683">
        <v>153</v>
      </c>
      <c r="U1683">
        <v>45</v>
      </c>
      <c r="V1683" t="s">
        <v>7474</v>
      </c>
      <c r="W1683">
        <v>26303</v>
      </c>
      <c r="X1683" t="s">
        <v>3104</v>
      </c>
      <c r="Y1683">
        <v>23028</v>
      </c>
      <c r="Z1683">
        <v>1183635</v>
      </c>
      <c r="AA1683">
        <v>147375</v>
      </c>
      <c r="AB1683" t="str">
        <f>(VLOOKUP(SalesData[[#This Row],[Month Number]],Reference!C$5:E$16,2,FALSE))</f>
        <v>Feb</v>
      </c>
      <c r="AC1683">
        <f>MONTH(SalesData[[#This Row],[Date]])</f>
        <v>2</v>
      </c>
      <c r="AD1683">
        <f>Reference!F$4</f>
        <v>2026</v>
      </c>
      <c r="AE1683" t="str">
        <f>IF(OR(SalesData[[#This Row],[Day]]="Saturday",SalesData[[#This Row],[Day]]="Sunday"),"Weekend","Weekday")</f>
        <v>Weekday</v>
      </c>
      <c r="AF1683" s="5">
        <f>IF(SalesData[[#This Row],[Contracts Offered]]=0,0,SalesData[[#This Row],[Contracts Signed]]/SalesData[[#This Row],[Contracts Offered]])</f>
        <v>0.29411764705882354</v>
      </c>
      <c r="AG1683" s="5">
        <f>IF(SalesData[[#This Row],[Customers Visited]]=0,0,SalesData[[#This Row],[Test Drives]]/SalesData[[#This Row],[Customers Visited]])</f>
        <v>0.48769574944071586</v>
      </c>
      <c r="AH1683" s="5">
        <f>IF(SalesData[[#This Row],[Customers Visited]]=0,0,SalesData[[#This Row],[Contracts Signed]]/SalesData[[#This Row],[Customers Visited]])</f>
        <v>0.10067114093959731</v>
      </c>
      <c r="AI1683" s="6">
        <f>IF(SalesData[[#This Row],[Contracts Signed]]=0,0,SalesData[[#This Row],[Profit(€)]]/SalesData[[#This Row],[Contracts Signed]])</f>
        <v>3275</v>
      </c>
      <c r="AJ1683" s="5" t="str">
        <f>TRIM(CLEAN(SalesData[[#This Row],[Retailer]]))</f>
        <v>Autohaus Berlin</v>
      </c>
    </row>
    <row r="1684" spans="1:36" ht="14.25" hidden="1" x14ac:dyDescent="0.2">
      <c r="A1684" t="s">
        <v>2619</v>
      </c>
      <c r="B1684" s="1">
        <v>46074</v>
      </c>
      <c r="C1684" t="s">
        <v>62</v>
      </c>
      <c r="D1684" t="s">
        <v>151</v>
      </c>
      <c r="E1684" t="s">
        <v>42</v>
      </c>
      <c r="F1684" t="s">
        <v>101</v>
      </c>
      <c r="G1684" t="s">
        <v>102</v>
      </c>
      <c r="H1684" t="s">
        <v>103</v>
      </c>
      <c r="I1684" t="s">
        <v>116</v>
      </c>
      <c r="J1684" t="s">
        <v>117</v>
      </c>
      <c r="K1684" t="s">
        <v>91</v>
      </c>
      <c r="L1684" t="s">
        <v>67</v>
      </c>
      <c r="M1684" t="s">
        <v>87</v>
      </c>
      <c r="N1684" t="s">
        <v>48</v>
      </c>
      <c r="O1684" t="s">
        <v>70</v>
      </c>
      <c r="P1684" t="s">
        <v>37</v>
      </c>
      <c r="Q1684" t="s">
        <v>169</v>
      </c>
      <c r="R1684">
        <v>301</v>
      </c>
      <c r="S1684">
        <v>153</v>
      </c>
      <c r="T1684">
        <v>89</v>
      </c>
      <c r="U1684">
        <v>17</v>
      </c>
      <c r="V1684" t="s">
        <v>667</v>
      </c>
      <c r="W1684">
        <v>26130</v>
      </c>
      <c r="X1684" t="s">
        <v>1480</v>
      </c>
      <c r="Y1684">
        <v>23365</v>
      </c>
      <c r="Z1684">
        <v>444210</v>
      </c>
      <c r="AA1684">
        <v>47005</v>
      </c>
      <c r="AB1684" t="str">
        <f>(VLOOKUP(SalesData[[#This Row],[Month Number]],Reference!C$5:E$16,2,FALSE))</f>
        <v>Feb</v>
      </c>
      <c r="AC1684">
        <f>MONTH(SalesData[[#This Row],[Date]])</f>
        <v>2</v>
      </c>
      <c r="AD1684">
        <f>Reference!F$4</f>
        <v>2026</v>
      </c>
      <c r="AE1684" t="str">
        <f>IF(OR(SalesData[[#This Row],[Day]]="Saturday",SalesData[[#This Row],[Day]]="Sunday"),"Weekend","Weekday")</f>
        <v>Weekend</v>
      </c>
      <c r="AF1684" s="5">
        <f>IF(SalesData[[#This Row],[Contracts Offered]]=0,0,SalesData[[#This Row],[Contracts Signed]]/SalesData[[#This Row],[Contracts Offered]])</f>
        <v>0.19101123595505617</v>
      </c>
      <c r="AG1684" s="5">
        <f>IF(SalesData[[#This Row],[Customers Visited]]=0,0,SalesData[[#This Row],[Test Drives]]/SalesData[[#This Row],[Customers Visited]])</f>
        <v>0.50830564784053156</v>
      </c>
      <c r="AH1684" s="5">
        <f>IF(SalesData[[#This Row],[Customers Visited]]=0,0,SalesData[[#This Row],[Contracts Signed]]/SalesData[[#This Row],[Customers Visited]])</f>
        <v>5.647840531561462E-2</v>
      </c>
      <c r="AI1684" s="6">
        <f>IF(SalesData[[#This Row],[Contracts Signed]]=0,0,SalesData[[#This Row],[Profit(€)]]/SalesData[[#This Row],[Contracts Signed]])</f>
        <v>2765</v>
      </c>
      <c r="AJ1684" s="5" t="str">
        <f>TRIM(CLEAN(SalesData[[#This Row],[Retailer]]))</f>
        <v>Ruhr Auto Plaza</v>
      </c>
    </row>
    <row r="1685" spans="1:36" ht="14.25" hidden="1" x14ac:dyDescent="0.2">
      <c r="A1685" t="s">
        <v>2620</v>
      </c>
      <c r="B1685" s="1">
        <v>46075</v>
      </c>
      <c r="C1685" t="s">
        <v>53</v>
      </c>
      <c r="D1685" t="s">
        <v>41</v>
      </c>
      <c r="E1685" t="s">
        <v>42</v>
      </c>
      <c r="F1685" t="s">
        <v>94</v>
      </c>
      <c r="G1685" t="s">
        <v>95</v>
      </c>
      <c r="H1685" t="s">
        <v>96</v>
      </c>
      <c r="I1685" t="s">
        <v>116</v>
      </c>
      <c r="J1685" t="s">
        <v>7026</v>
      </c>
      <c r="K1685" t="s">
        <v>78</v>
      </c>
      <c r="L1685" t="s">
        <v>46</v>
      </c>
      <c r="M1685" t="s">
        <v>34</v>
      </c>
      <c r="N1685" t="s">
        <v>35</v>
      </c>
      <c r="O1685" t="s">
        <v>36</v>
      </c>
      <c r="P1685" t="s">
        <v>49</v>
      </c>
      <c r="Q1685" t="s">
        <v>189</v>
      </c>
      <c r="R1685">
        <v>370</v>
      </c>
      <c r="S1685">
        <v>188</v>
      </c>
      <c r="T1685">
        <v>118</v>
      </c>
      <c r="U1685">
        <v>27</v>
      </c>
      <c r="V1685" t="s">
        <v>4912</v>
      </c>
      <c r="W1685">
        <v>20305</v>
      </c>
      <c r="X1685" t="s">
        <v>2248</v>
      </c>
      <c r="Y1685">
        <v>18101</v>
      </c>
      <c r="Z1685">
        <v>548235</v>
      </c>
      <c r="AA1685">
        <v>59508</v>
      </c>
      <c r="AB1685" t="str">
        <f>(VLOOKUP(SalesData[[#This Row],[Month Number]],Reference!C$5:E$16,2,FALSE))</f>
        <v>Feb</v>
      </c>
      <c r="AC1685">
        <f>MONTH(SalesData[[#This Row],[Date]])</f>
        <v>2</v>
      </c>
      <c r="AD1685">
        <f>Reference!F$4</f>
        <v>2026</v>
      </c>
      <c r="AE1685" t="str">
        <f>IF(OR(SalesData[[#This Row],[Day]]="Saturday",SalesData[[#This Row],[Day]]="Sunday"),"Weekend","Weekday")</f>
        <v>Weekend</v>
      </c>
      <c r="AF1685" s="5">
        <f>IF(SalesData[[#This Row],[Contracts Offered]]=0,0,SalesData[[#This Row],[Contracts Signed]]/SalesData[[#This Row],[Contracts Offered]])</f>
        <v>0.2288135593220339</v>
      </c>
      <c r="AG1685" s="5">
        <f>IF(SalesData[[#This Row],[Customers Visited]]=0,0,SalesData[[#This Row],[Test Drives]]/SalesData[[#This Row],[Customers Visited]])</f>
        <v>0.50810810810810814</v>
      </c>
      <c r="AH1685" s="5">
        <f>IF(SalesData[[#This Row],[Customers Visited]]=0,0,SalesData[[#This Row],[Contracts Signed]]/SalesData[[#This Row],[Customers Visited]])</f>
        <v>7.2972972972972977E-2</v>
      </c>
      <c r="AI1685" s="6">
        <f>IF(SalesData[[#This Row],[Contracts Signed]]=0,0,SalesData[[#This Row],[Profit(€)]]/SalesData[[#This Row],[Contracts Signed]])</f>
        <v>2204</v>
      </c>
      <c r="AJ1685" s="5" t="str">
        <f>TRIM(CLEAN(SalesData[[#This Row],[Retailer]]))</f>
        <v>Bavaria Motors</v>
      </c>
    </row>
    <row r="1686" spans="1:36" ht="14.25" hidden="1" x14ac:dyDescent="0.2">
      <c r="A1686" t="s">
        <v>2621</v>
      </c>
      <c r="B1686" s="1">
        <v>46079</v>
      </c>
      <c r="C1686" t="s">
        <v>53</v>
      </c>
      <c r="D1686" t="s">
        <v>100</v>
      </c>
      <c r="E1686" t="s">
        <v>26</v>
      </c>
      <c r="F1686" t="s">
        <v>7649</v>
      </c>
      <c r="G1686" t="s">
        <v>55</v>
      </c>
      <c r="H1686" t="s">
        <v>55</v>
      </c>
      <c r="I1686" t="s">
        <v>116</v>
      </c>
      <c r="J1686" t="s">
        <v>117</v>
      </c>
      <c r="K1686" t="s">
        <v>91</v>
      </c>
      <c r="L1686" t="s">
        <v>67</v>
      </c>
      <c r="M1686" t="s">
        <v>68</v>
      </c>
      <c r="N1686" t="s">
        <v>35</v>
      </c>
      <c r="O1686" t="s">
        <v>70</v>
      </c>
      <c r="P1686" t="s">
        <v>49</v>
      </c>
      <c r="Q1686" t="s">
        <v>347</v>
      </c>
      <c r="R1686">
        <v>276</v>
      </c>
      <c r="S1686">
        <v>109</v>
      </c>
      <c r="T1686">
        <v>72</v>
      </c>
      <c r="U1686">
        <v>17</v>
      </c>
      <c r="V1686" t="s">
        <v>2368</v>
      </c>
      <c r="W1686">
        <v>19359</v>
      </c>
      <c r="X1686" t="s">
        <v>3607</v>
      </c>
      <c r="Y1686">
        <v>17787</v>
      </c>
      <c r="Z1686">
        <v>329103</v>
      </c>
      <c r="AA1686">
        <v>26724</v>
      </c>
      <c r="AB1686" t="str">
        <f>(VLOOKUP(SalesData[[#This Row],[Month Number]],Reference!C$5:E$16,2,FALSE))</f>
        <v>Feb</v>
      </c>
      <c r="AC1686">
        <f>MONTH(SalesData[[#This Row],[Date]])</f>
        <v>2</v>
      </c>
      <c r="AD1686">
        <f>Reference!F$4</f>
        <v>2026</v>
      </c>
      <c r="AE1686" t="str">
        <f>IF(OR(SalesData[[#This Row],[Day]]="Saturday",SalesData[[#This Row],[Day]]="Sunday"),"Weekend","Weekday")</f>
        <v>Weekday</v>
      </c>
      <c r="AF1686" s="5">
        <f>IF(SalesData[[#This Row],[Contracts Offered]]=0,0,SalesData[[#This Row],[Contracts Signed]]/SalesData[[#This Row],[Contracts Offered]])</f>
        <v>0.2361111111111111</v>
      </c>
      <c r="AG1686" s="5">
        <f>IF(SalesData[[#This Row],[Customers Visited]]=0,0,SalesData[[#This Row],[Test Drives]]/SalesData[[#This Row],[Customers Visited]])</f>
        <v>0.39492753623188404</v>
      </c>
      <c r="AH1686" s="5">
        <f>IF(SalesData[[#This Row],[Customers Visited]]=0,0,SalesData[[#This Row],[Contracts Signed]]/SalesData[[#This Row],[Customers Visited]])</f>
        <v>6.1594202898550728E-2</v>
      </c>
      <c r="AI1686" s="6">
        <f>IF(SalesData[[#This Row],[Contracts Signed]]=0,0,SalesData[[#This Row],[Profit(€)]]/SalesData[[#This Row],[Contracts Signed]])</f>
        <v>1572</v>
      </c>
      <c r="AJ1686" s="5" t="str">
        <f>TRIM(CLEAN(SalesData[[#This Row],[Retailer]]))</f>
        <v>Autohaus Berlin</v>
      </c>
    </row>
    <row r="1687" spans="1:36" ht="14.25" hidden="1" x14ac:dyDescent="0.2">
      <c r="A1687" t="s">
        <v>2622</v>
      </c>
      <c r="B1687" s="1">
        <v>46080</v>
      </c>
      <c r="C1687" t="s">
        <v>53</v>
      </c>
      <c r="D1687" t="s">
        <v>54</v>
      </c>
      <c r="E1687" t="s">
        <v>26</v>
      </c>
      <c r="F1687" t="s">
        <v>7649</v>
      </c>
      <c r="G1687" t="s">
        <v>55</v>
      </c>
      <c r="H1687" t="s">
        <v>55</v>
      </c>
      <c r="I1687" t="s">
        <v>116</v>
      </c>
      <c r="J1687" t="s">
        <v>7026</v>
      </c>
      <c r="K1687" t="s">
        <v>91</v>
      </c>
      <c r="L1687" t="s">
        <v>46</v>
      </c>
      <c r="M1687" t="s">
        <v>34</v>
      </c>
      <c r="N1687" t="s">
        <v>48</v>
      </c>
      <c r="O1687" t="s">
        <v>36</v>
      </c>
      <c r="P1687" t="s">
        <v>58</v>
      </c>
      <c r="Q1687" t="s">
        <v>240</v>
      </c>
      <c r="R1687">
        <v>405</v>
      </c>
      <c r="S1687">
        <v>225</v>
      </c>
      <c r="T1687">
        <v>144</v>
      </c>
      <c r="U1687">
        <v>43</v>
      </c>
      <c r="V1687" t="s">
        <v>5090</v>
      </c>
      <c r="W1687">
        <v>24776</v>
      </c>
      <c r="X1687" t="s">
        <v>4069</v>
      </c>
      <c r="Y1687">
        <v>22220</v>
      </c>
      <c r="Z1687">
        <v>1065368</v>
      </c>
      <c r="AA1687">
        <v>109908</v>
      </c>
      <c r="AB1687" t="str">
        <f>(VLOOKUP(SalesData[[#This Row],[Month Number]],Reference!C$5:E$16,2,FALSE))</f>
        <v>Feb</v>
      </c>
      <c r="AC1687">
        <f>MONTH(SalesData[[#This Row],[Date]])</f>
        <v>2</v>
      </c>
      <c r="AD1687">
        <f>Reference!F$4</f>
        <v>2026</v>
      </c>
      <c r="AE1687" t="str">
        <f>IF(OR(SalesData[[#This Row],[Day]]="Saturday",SalesData[[#This Row],[Day]]="Sunday"),"Weekend","Weekday")</f>
        <v>Weekday</v>
      </c>
      <c r="AF1687" s="5">
        <f>IF(SalesData[[#This Row],[Contracts Offered]]=0,0,SalesData[[#This Row],[Contracts Signed]]/SalesData[[#This Row],[Contracts Offered]])</f>
        <v>0.2986111111111111</v>
      </c>
      <c r="AG1687" s="5">
        <f>IF(SalesData[[#This Row],[Customers Visited]]=0,0,SalesData[[#This Row],[Test Drives]]/SalesData[[#This Row],[Customers Visited]])</f>
        <v>0.55555555555555558</v>
      </c>
      <c r="AH1687" s="5">
        <f>IF(SalesData[[#This Row],[Customers Visited]]=0,0,SalesData[[#This Row],[Contracts Signed]]/SalesData[[#This Row],[Customers Visited]])</f>
        <v>0.10617283950617284</v>
      </c>
      <c r="AI1687" s="6">
        <f>IF(SalesData[[#This Row],[Contracts Signed]]=0,0,SalesData[[#This Row],[Profit(€)]]/SalesData[[#This Row],[Contracts Signed]])</f>
        <v>2556</v>
      </c>
      <c r="AJ1687" s="5" t="str">
        <f>TRIM(CLEAN(SalesData[[#This Row],[Retailer]]))</f>
        <v>Autohaus Berlin</v>
      </c>
    </row>
    <row r="1688" spans="1:36" ht="14.25" x14ac:dyDescent="0.2">
      <c r="A1688" t="s">
        <v>2623</v>
      </c>
      <c r="B1688" s="1">
        <v>46075</v>
      </c>
      <c r="C1688" t="s">
        <v>53</v>
      </c>
      <c r="D1688" t="s">
        <v>41</v>
      </c>
      <c r="E1688" t="s">
        <v>42</v>
      </c>
      <c r="F1688" t="s">
        <v>127</v>
      </c>
      <c r="G1688" t="s">
        <v>128</v>
      </c>
      <c r="H1688" t="s">
        <v>103</v>
      </c>
      <c r="I1688" t="s">
        <v>30</v>
      </c>
      <c r="J1688" t="s">
        <v>188</v>
      </c>
      <c r="K1688" t="s">
        <v>91</v>
      </c>
      <c r="L1688" t="s">
        <v>33</v>
      </c>
      <c r="M1688" t="s">
        <v>68</v>
      </c>
      <c r="N1688" t="s">
        <v>35</v>
      </c>
      <c r="O1688" t="s">
        <v>70</v>
      </c>
      <c r="P1688" t="s">
        <v>37</v>
      </c>
      <c r="Q1688" t="s">
        <v>189</v>
      </c>
      <c r="R1688">
        <v>223</v>
      </c>
      <c r="S1688">
        <v>125</v>
      </c>
      <c r="T1688">
        <v>85</v>
      </c>
      <c r="U1688">
        <v>33</v>
      </c>
      <c r="V1688" t="s">
        <v>6480</v>
      </c>
      <c r="W1688">
        <v>67788</v>
      </c>
      <c r="X1688" t="s">
        <v>7109</v>
      </c>
      <c r="Y1688">
        <v>48288</v>
      </c>
      <c r="Z1688">
        <v>2237004</v>
      </c>
      <c r="AA1688">
        <v>643500</v>
      </c>
      <c r="AB1688" t="str">
        <f>(VLOOKUP(SalesData[[#This Row],[Month Number]],Reference!C$5:E$16,2,FALSE))</f>
        <v>Feb</v>
      </c>
      <c r="AC1688">
        <f>MONTH(SalesData[[#This Row],[Date]])</f>
        <v>2</v>
      </c>
      <c r="AD1688">
        <f>Reference!F$4</f>
        <v>2026</v>
      </c>
      <c r="AE1688" t="str">
        <f>IF(OR(SalesData[[#This Row],[Day]]="Saturday",SalesData[[#This Row],[Day]]="Sunday"),"Weekend","Weekday")</f>
        <v>Weekend</v>
      </c>
      <c r="AF1688" s="5">
        <f>IF(SalesData[[#This Row],[Contracts Offered]]=0,0,SalesData[[#This Row],[Contracts Signed]]/SalesData[[#This Row],[Contracts Offered]])</f>
        <v>0.38823529411764707</v>
      </c>
      <c r="AG1688" s="5">
        <f>IF(SalesData[[#This Row],[Customers Visited]]=0,0,SalesData[[#This Row],[Test Drives]]/SalesData[[#This Row],[Customers Visited]])</f>
        <v>0.5605381165919282</v>
      </c>
      <c r="AH1688" s="5">
        <f>IF(SalesData[[#This Row],[Customers Visited]]=0,0,SalesData[[#This Row],[Contracts Signed]]/SalesData[[#This Row],[Customers Visited]])</f>
        <v>0.14798206278026907</v>
      </c>
      <c r="AI1688" s="6">
        <f>IF(SalesData[[#This Row],[Contracts Signed]]=0,0,SalesData[[#This Row],[Profit(€)]]/SalesData[[#This Row],[Contracts Signed]])</f>
        <v>19500</v>
      </c>
      <c r="AJ1688" s="5" t="str">
        <f>TRIM(CLEAN(SalesData[[#This Row],[Retailer]]))</f>
        <v>Rhein Auto Group</v>
      </c>
    </row>
    <row r="1689" spans="1:36" ht="14.25" hidden="1" x14ac:dyDescent="0.2">
      <c r="A1689" t="s">
        <v>2624</v>
      </c>
      <c r="B1689" s="1">
        <v>46059</v>
      </c>
      <c r="C1689" t="s">
        <v>24</v>
      </c>
      <c r="D1689" t="s">
        <v>54</v>
      </c>
      <c r="E1689" t="s">
        <v>26</v>
      </c>
      <c r="F1689" t="s">
        <v>94</v>
      </c>
      <c r="G1689" t="s">
        <v>95</v>
      </c>
      <c r="H1689" t="s">
        <v>96</v>
      </c>
      <c r="I1689" t="s">
        <v>56</v>
      </c>
      <c r="J1689" t="s">
        <v>7028</v>
      </c>
      <c r="K1689" t="s">
        <v>32</v>
      </c>
      <c r="L1689" t="s">
        <v>46</v>
      </c>
      <c r="M1689" t="s">
        <v>34</v>
      </c>
      <c r="N1689" t="s">
        <v>48</v>
      </c>
      <c r="O1689" t="s">
        <v>70</v>
      </c>
      <c r="P1689" t="s">
        <v>37</v>
      </c>
      <c r="Q1689" t="s">
        <v>167</v>
      </c>
      <c r="R1689">
        <v>227</v>
      </c>
      <c r="S1689">
        <v>119</v>
      </c>
      <c r="T1689">
        <v>89</v>
      </c>
      <c r="U1689">
        <v>29</v>
      </c>
      <c r="V1689" t="s">
        <v>6756</v>
      </c>
      <c r="W1689">
        <v>47917</v>
      </c>
      <c r="X1689" t="s">
        <v>7087</v>
      </c>
      <c r="Y1689">
        <v>38128</v>
      </c>
      <c r="Z1689">
        <v>1389593</v>
      </c>
      <c r="AA1689">
        <v>283881</v>
      </c>
      <c r="AB1689" t="str">
        <f>(VLOOKUP(SalesData[[#This Row],[Month Number]],Reference!C$5:E$16,2,FALSE))</f>
        <v>Feb</v>
      </c>
      <c r="AC1689">
        <f>MONTH(SalesData[[#This Row],[Date]])</f>
        <v>2</v>
      </c>
      <c r="AD1689">
        <f>Reference!F$4</f>
        <v>2026</v>
      </c>
      <c r="AE1689" t="str">
        <f>IF(OR(SalesData[[#This Row],[Day]]="Saturday",SalesData[[#This Row],[Day]]="Sunday"),"Weekend","Weekday")</f>
        <v>Weekday</v>
      </c>
      <c r="AF1689" s="5">
        <f>IF(SalesData[[#This Row],[Contracts Offered]]=0,0,SalesData[[#This Row],[Contracts Signed]]/SalesData[[#This Row],[Contracts Offered]])</f>
        <v>0.3258426966292135</v>
      </c>
      <c r="AG1689" s="5">
        <f>IF(SalesData[[#This Row],[Customers Visited]]=0,0,SalesData[[#This Row],[Test Drives]]/SalesData[[#This Row],[Customers Visited]])</f>
        <v>0.52422907488986781</v>
      </c>
      <c r="AH1689" s="5">
        <f>IF(SalesData[[#This Row],[Customers Visited]]=0,0,SalesData[[#This Row],[Contracts Signed]]/SalesData[[#This Row],[Customers Visited]])</f>
        <v>0.1277533039647577</v>
      </c>
      <c r="AI1689" s="6">
        <f>IF(SalesData[[#This Row],[Contracts Signed]]=0,0,SalesData[[#This Row],[Profit(€)]]/SalesData[[#This Row],[Contracts Signed]])</f>
        <v>9789</v>
      </c>
      <c r="AJ1689" s="5" t="str">
        <f>TRIM(CLEAN(SalesData[[#This Row],[Retailer]]))</f>
        <v>Bavaria Motors</v>
      </c>
    </row>
    <row r="1690" spans="1:36" ht="14.25" x14ac:dyDescent="0.2">
      <c r="A1690" t="s">
        <v>2625</v>
      </c>
      <c r="B1690" s="1">
        <v>46072</v>
      </c>
      <c r="C1690" t="s">
        <v>62</v>
      </c>
      <c r="D1690" t="s">
        <v>100</v>
      </c>
      <c r="E1690" t="s">
        <v>26</v>
      </c>
      <c r="F1690" t="s">
        <v>114</v>
      </c>
      <c r="G1690" t="s">
        <v>115</v>
      </c>
      <c r="H1690" t="s">
        <v>115</v>
      </c>
      <c r="I1690" t="s">
        <v>30</v>
      </c>
      <c r="J1690" t="s">
        <v>31</v>
      </c>
      <c r="K1690" t="s">
        <v>91</v>
      </c>
      <c r="L1690" t="s">
        <v>46</v>
      </c>
      <c r="M1690" t="s">
        <v>87</v>
      </c>
      <c r="N1690" t="s">
        <v>69</v>
      </c>
      <c r="O1690" t="s">
        <v>36</v>
      </c>
      <c r="P1690" t="s">
        <v>37</v>
      </c>
      <c r="Q1690" t="s">
        <v>158</v>
      </c>
      <c r="R1690">
        <v>203</v>
      </c>
      <c r="S1690">
        <v>91</v>
      </c>
      <c r="T1690">
        <v>68</v>
      </c>
      <c r="U1690">
        <v>26</v>
      </c>
      <c r="V1690" t="s">
        <v>6357</v>
      </c>
      <c r="W1690">
        <v>61898</v>
      </c>
      <c r="X1690" t="s">
        <v>2701</v>
      </c>
      <c r="Y1690">
        <v>44339</v>
      </c>
      <c r="Z1690">
        <v>1609348</v>
      </c>
      <c r="AA1690">
        <v>456534</v>
      </c>
      <c r="AB1690" t="str">
        <f>(VLOOKUP(SalesData[[#This Row],[Month Number]],Reference!C$5:E$16,2,FALSE))</f>
        <v>Feb</v>
      </c>
      <c r="AC1690">
        <f>MONTH(SalesData[[#This Row],[Date]])</f>
        <v>2</v>
      </c>
      <c r="AD1690">
        <f>Reference!F$4</f>
        <v>2026</v>
      </c>
      <c r="AE1690" t="str">
        <f>IF(OR(SalesData[[#This Row],[Day]]="Saturday",SalesData[[#This Row],[Day]]="Sunday"),"Weekend","Weekday")</f>
        <v>Weekday</v>
      </c>
      <c r="AF1690" s="5">
        <f>IF(SalesData[[#This Row],[Contracts Offered]]=0,0,SalesData[[#This Row],[Contracts Signed]]/SalesData[[#This Row],[Contracts Offered]])</f>
        <v>0.38235294117647056</v>
      </c>
      <c r="AG1690" s="5">
        <f>IF(SalesData[[#This Row],[Customers Visited]]=0,0,SalesData[[#This Row],[Test Drives]]/SalesData[[#This Row],[Customers Visited]])</f>
        <v>0.44827586206896552</v>
      </c>
      <c r="AH1690" s="5">
        <f>IF(SalesData[[#This Row],[Customers Visited]]=0,0,SalesData[[#This Row],[Contracts Signed]]/SalesData[[#This Row],[Customers Visited]])</f>
        <v>0.12807881773399016</v>
      </c>
      <c r="AI1690" s="6">
        <f>IF(SalesData[[#This Row],[Contracts Signed]]=0,0,SalesData[[#This Row],[Profit(€)]]/SalesData[[#This Row],[Contracts Signed]])</f>
        <v>17559</v>
      </c>
      <c r="AJ1690" s="5" t="str">
        <f>TRIM(CLEAN(SalesData[[#This Row],[Retailer]]))</f>
        <v>Elbe Drive</v>
      </c>
    </row>
    <row r="1691" spans="1:36" ht="14.25" hidden="1" x14ac:dyDescent="0.2">
      <c r="A1691" t="s">
        <v>2627</v>
      </c>
      <c r="B1691" s="1">
        <v>46062</v>
      </c>
      <c r="C1691" t="s">
        <v>121</v>
      </c>
      <c r="D1691" t="s">
        <v>25</v>
      </c>
      <c r="E1691" t="s">
        <v>26</v>
      </c>
      <c r="F1691" t="s">
        <v>94</v>
      </c>
      <c r="G1691" t="s">
        <v>95</v>
      </c>
      <c r="H1691" t="s">
        <v>96</v>
      </c>
      <c r="I1691" t="s">
        <v>104</v>
      </c>
      <c r="J1691" t="s">
        <v>7061</v>
      </c>
      <c r="K1691" t="s">
        <v>78</v>
      </c>
      <c r="L1691" t="s">
        <v>46</v>
      </c>
      <c r="M1691" t="s">
        <v>87</v>
      </c>
      <c r="N1691" t="s">
        <v>35</v>
      </c>
      <c r="O1691" t="s">
        <v>70</v>
      </c>
      <c r="P1691" t="s">
        <v>37</v>
      </c>
      <c r="Q1691" t="s">
        <v>167</v>
      </c>
      <c r="R1691">
        <v>481</v>
      </c>
      <c r="S1691">
        <v>217</v>
      </c>
      <c r="T1691">
        <v>126</v>
      </c>
      <c r="U1691">
        <v>35</v>
      </c>
      <c r="V1691" t="s">
        <v>125</v>
      </c>
      <c r="W1691">
        <v>28548</v>
      </c>
      <c r="X1691" t="s">
        <v>3354</v>
      </c>
      <c r="Y1691">
        <v>25566</v>
      </c>
      <c r="Z1691">
        <v>999180</v>
      </c>
      <c r="AA1691">
        <v>104370</v>
      </c>
      <c r="AB1691" t="str">
        <f>(VLOOKUP(SalesData[[#This Row],[Month Number]],Reference!C$5:E$16,2,FALSE))</f>
        <v>Feb</v>
      </c>
      <c r="AC1691">
        <f>MONTH(SalesData[[#This Row],[Date]])</f>
        <v>2</v>
      </c>
      <c r="AD1691">
        <f>Reference!F$4</f>
        <v>2026</v>
      </c>
      <c r="AE1691" t="str">
        <f>IF(OR(SalesData[[#This Row],[Day]]="Saturday",SalesData[[#This Row],[Day]]="Sunday"),"Weekend","Weekday")</f>
        <v>Weekday</v>
      </c>
      <c r="AF1691" s="5">
        <f>IF(SalesData[[#This Row],[Contracts Offered]]=0,0,SalesData[[#This Row],[Contracts Signed]]/SalesData[[#This Row],[Contracts Offered]])</f>
        <v>0.27777777777777779</v>
      </c>
      <c r="AG1691" s="5">
        <f>IF(SalesData[[#This Row],[Customers Visited]]=0,0,SalesData[[#This Row],[Test Drives]]/SalesData[[#This Row],[Customers Visited]])</f>
        <v>0.45114345114345117</v>
      </c>
      <c r="AH1691" s="5">
        <f>IF(SalesData[[#This Row],[Customers Visited]]=0,0,SalesData[[#This Row],[Contracts Signed]]/SalesData[[#This Row],[Customers Visited]])</f>
        <v>7.2765072765072769E-2</v>
      </c>
      <c r="AI1691" s="6">
        <f>IF(SalesData[[#This Row],[Contracts Signed]]=0,0,SalesData[[#This Row],[Profit(€)]]/SalesData[[#This Row],[Contracts Signed]])</f>
        <v>2982</v>
      </c>
      <c r="AJ1691" s="5" t="str">
        <f>TRIM(CLEAN(SalesData[[#This Row],[Retailer]]))</f>
        <v>Bavaria Motors</v>
      </c>
    </row>
    <row r="1692" spans="1:36" ht="14.25" x14ac:dyDescent="0.2">
      <c r="A1692" t="s">
        <v>2629</v>
      </c>
      <c r="B1692" s="1">
        <v>46067</v>
      </c>
      <c r="C1692" t="s">
        <v>121</v>
      </c>
      <c r="D1692" t="s">
        <v>151</v>
      </c>
      <c r="E1692" t="s">
        <v>42</v>
      </c>
      <c r="F1692" t="s">
        <v>127</v>
      </c>
      <c r="G1692" t="s">
        <v>128</v>
      </c>
      <c r="H1692" t="s">
        <v>103</v>
      </c>
      <c r="I1692" t="s">
        <v>30</v>
      </c>
      <c r="J1692" t="s">
        <v>7075</v>
      </c>
      <c r="K1692" t="s">
        <v>32</v>
      </c>
      <c r="L1692" t="s">
        <v>33</v>
      </c>
      <c r="M1692" t="s">
        <v>87</v>
      </c>
      <c r="N1692" t="s">
        <v>35</v>
      </c>
      <c r="O1692" t="s">
        <v>36</v>
      </c>
      <c r="P1692" t="s">
        <v>49</v>
      </c>
      <c r="Q1692" t="s">
        <v>106</v>
      </c>
      <c r="R1692">
        <v>186</v>
      </c>
      <c r="S1692">
        <v>93</v>
      </c>
      <c r="T1692">
        <v>66</v>
      </c>
      <c r="U1692">
        <v>27</v>
      </c>
      <c r="V1692" t="s">
        <v>6953</v>
      </c>
      <c r="W1692">
        <v>63541</v>
      </c>
      <c r="X1692" t="s">
        <v>2261</v>
      </c>
      <c r="Y1692">
        <v>49494</v>
      </c>
      <c r="Z1692">
        <v>1715607</v>
      </c>
      <c r="AA1692">
        <v>379269</v>
      </c>
      <c r="AB1692" t="str">
        <f>(VLOOKUP(SalesData[[#This Row],[Month Number]],Reference!C$5:E$16,2,FALSE))</f>
        <v>Feb</v>
      </c>
      <c r="AC1692">
        <f>MONTH(SalesData[[#This Row],[Date]])</f>
        <v>2</v>
      </c>
      <c r="AD1692">
        <f>Reference!F$4</f>
        <v>2026</v>
      </c>
      <c r="AE1692" t="str">
        <f>IF(OR(SalesData[[#This Row],[Day]]="Saturday",SalesData[[#This Row],[Day]]="Sunday"),"Weekend","Weekday")</f>
        <v>Weekend</v>
      </c>
      <c r="AF1692" s="5">
        <f>IF(SalesData[[#This Row],[Contracts Offered]]=0,0,SalesData[[#This Row],[Contracts Signed]]/SalesData[[#This Row],[Contracts Offered]])</f>
        <v>0.40909090909090912</v>
      </c>
      <c r="AG1692" s="5">
        <f>IF(SalesData[[#This Row],[Customers Visited]]=0,0,SalesData[[#This Row],[Test Drives]]/SalesData[[#This Row],[Customers Visited]])</f>
        <v>0.5</v>
      </c>
      <c r="AH1692" s="5">
        <f>IF(SalesData[[#This Row],[Customers Visited]]=0,0,SalesData[[#This Row],[Contracts Signed]]/SalesData[[#This Row],[Customers Visited]])</f>
        <v>0.14516129032258066</v>
      </c>
      <c r="AI1692" s="6">
        <f>IF(SalesData[[#This Row],[Contracts Signed]]=0,0,SalesData[[#This Row],[Profit(€)]]/SalesData[[#This Row],[Contracts Signed]])</f>
        <v>14047</v>
      </c>
      <c r="AJ1692" s="5" t="str">
        <f>TRIM(CLEAN(SalesData[[#This Row],[Retailer]]))</f>
        <v>Rhein Auto Group</v>
      </c>
    </row>
    <row r="1693" spans="1:36" ht="14.25" hidden="1" x14ac:dyDescent="0.2">
      <c r="A1693" t="s">
        <v>2631</v>
      </c>
      <c r="B1693" s="1">
        <v>46055</v>
      </c>
      <c r="C1693" t="s">
        <v>24</v>
      </c>
      <c r="D1693" t="s">
        <v>25</v>
      </c>
      <c r="E1693" t="s">
        <v>26</v>
      </c>
      <c r="F1693" t="s">
        <v>101</v>
      </c>
      <c r="G1693" t="s">
        <v>102</v>
      </c>
      <c r="H1693" t="s">
        <v>103</v>
      </c>
      <c r="I1693" t="s">
        <v>116</v>
      </c>
      <c r="J1693" t="s">
        <v>117</v>
      </c>
      <c r="K1693" t="s">
        <v>78</v>
      </c>
      <c r="L1693" t="s">
        <v>67</v>
      </c>
      <c r="M1693" t="s">
        <v>68</v>
      </c>
      <c r="N1693" t="s">
        <v>48</v>
      </c>
      <c r="O1693" t="s">
        <v>36</v>
      </c>
      <c r="P1693" t="s">
        <v>58</v>
      </c>
      <c r="Q1693" t="s">
        <v>144</v>
      </c>
      <c r="R1693">
        <v>307</v>
      </c>
      <c r="S1693">
        <v>167</v>
      </c>
      <c r="T1693">
        <v>106</v>
      </c>
      <c r="U1693">
        <v>27</v>
      </c>
      <c r="V1693" t="s">
        <v>4493</v>
      </c>
      <c r="W1693">
        <v>19856</v>
      </c>
      <c r="X1693" t="s">
        <v>2925</v>
      </c>
      <c r="Y1693">
        <v>17698</v>
      </c>
      <c r="Z1693">
        <v>536112</v>
      </c>
      <c r="AA1693">
        <v>58266</v>
      </c>
      <c r="AB1693" t="str">
        <f>(VLOOKUP(SalesData[[#This Row],[Month Number]],Reference!C$5:E$16,2,FALSE))</f>
        <v>Feb</v>
      </c>
      <c r="AC1693">
        <f>MONTH(SalesData[[#This Row],[Date]])</f>
        <v>2</v>
      </c>
      <c r="AD1693">
        <f>Reference!F$4</f>
        <v>2026</v>
      </c>
      <c r="AE1693" t="str">
        <f>IF(OR(SalesData[[#This Row],[Day]]="Saturday",SalesData[[#This Row],[Day]]="Sunday"),"Weekend","Weekday")</f>
        <v>Weekday</v>
      </c>
      <c r="AF1693" s="5">
        <f>IF(SalesData[[#This Row],[Contracts Offered]]=0,0,SalesData[[#This Row],[Contracts Signed]]/SalesData[[#This Row],[Contracts Offered]])</f>
        <v>0.25471698113207547</v>
      </c>
      <c r="AG1693" s="5">
        <f>IF(SalesData[[#This Row],[Customers Visited]]=0,0,SalesData[[#This Row],[Test Drives]]/SalesData[[#This Row],[Customers Visited]])</f>
        <v>0.5439739413680782</v>
      </c>
      <c r="AH1693" s="5">
        <f>IF(SalesData[[#This Row],[Customers Visited]]=0,0,SalesData[[#This Row],[Contracts Signed]]/SalesData[[#This Row],[Customers Visited]])</f>
        <v>8.7947882736156349E-2</v>
      </c>
      <c r="AI1693" s="6">
        <f>IF(SalesData[[#This Row],[Contracts Signed]]=0,0,SalesData[[#This Row],[Profit(€)]]/SalesData[[#This Row],[Contracts Signed]])</f>
        <v>2158</v>
      </c>
      <c r="AJ1693" s="5" t="str">
        <f>TRIM(CLEAN(SalesData[[#This Row],[Retailer]]))</f>
        <v>Ruhr Auto Plaza</v>
      </c>
    </row>
    <row r="1694" spans="1:36" ht="14.25" hidden="1" x14ac:dyDescent="0.2">
      <c r="A1694" t="s">
        <v>2632</v>
      </c>
      <c r="B1694" s="1">
        <v>46075</v>
      </c>
      <c r="C1694" t="s">
        <v>53</v>
      </c>
      <c r="D1694" t="s">
        <v>41</v>
      </c>
      <c r="E1694" t="s">
        <v>42</v>
      </c>
      <c r="F1694" t="s">
        <v>43</v>
      </c>
      <c r="G1694" t="s">
        <v>44</v>
      </c>
      <c r="H1694" t="s">
        <v>45</v>
      </c>
      <c r="I1694" t="s">
        <v>56</v>
      </c>
      <c r="J1694" t="s">
        <v>179</v>
      </c>
      <c r="K1694" t="s">
        <v>91</v>
      </c>
      <c r="L1694" t="s">
        <v>67</v>
      </c>
      <c r="M1694" t="s">
        <v>47</v>
      </c>
      <c r="N1694" t="s">
        <v>69</v>
      </c>
      <c r="O1694" t="s">
        <v>36</v>
      </c>
      <c r="P1694" t="s">
        <v>58</v>
      </c>
      <c r="Q1694" t="s">
        <v>172</v>
      </c>
      <c r="R1694">
        <v>190</v>
      </c>
      <c r="S1694">
        <v>102</v>
      </c>
      <c r="T1694">
        <v>65</v>
      </c>
      <c r="U1694">
        <v>26</v>
      </c>
      <c r="V1694" t="s">
        <v>6517</v>
      </c>
      <c r="W1694">
        <v>52368</v>
      </c>
      <c r="X1694" t="s">
        <v>7093</v>
      </c>
      <c r="Y1694">
        <v>39361</v>
      </c>
      <c r="Z1694">
        <v>1361568</v>
      </c>
      <c r="AA1694">
        <v>338182</v>
      </c>
      <c r="AB1694" t="str">
        <f>(VLOOKUP(SalesData[[#This Row],[Month Number]],Reference!C$5:E$16,2,FALSE))</f>
        <v>Feb</v>
      </c>
      <c r="AC1694">
        <f>MONTH(SalesData[[#This Row],[Date]])</f>
        <v>2</v>
      </c>
      <c r="AD1694">
        <f>Reference!F$4</f>
        <v>2026</v>
      </c>
      <c r="AE1694" t="str">
        <f>IF(OR(SalesData[[#This Row],[Day]]="Saturday",SalesData[[#This Row],[Day]]="Sunday"),"Weekend","Weekday")</f>
        <v>Weekend</v>
      </c>
      <c r="AF1694" s="5">
        <f>IF(SalesData[[#This Row],[Contracts Offered]]=0,0,SalesData[[#This Row],[Contracts Signed]]/SalesData[[#This Row],[Contracts Offered]])</f>
        <v>0.4</v>
      </c>
      <c r="AG1694" s="5">
        <f>IF(SalesData[[#This Row],[Customers Visited]]=0,0,SalesData[[#This Row],[Test Drives]]/SalesData[[#This Row],[Customers Visited]])</f>
        <v>0.5368421052631579</v>
      </c>
      <c r="AH1694" s="5">
        <f>IF(SalesData[[#This Row],[Customers Visited]]=0,0,SalesData[[#This Row],[Contracts Signed]]/SalesData[[#This Row],[Customers Visited]])</f>
        <v>0.1368421052631579</v>
      </c>
      <c r="AI1694" s="6">
        <f>IF(SalesData[[#This Row],[Contracts Signed]]=0,0,SalesData[[#This Row],[Profit(€)]]/SalesData[[#This Row],[Contracts Signed]])</f>
        <v>13007</v>
      </c>
      <c r="AJ1694" s="5" t="str">
        <f>TRIM(CLEAN(SalesData[[#This Row],[Retailer]]))</f>
        <v>Saxon Wheels</v>
      </c>
    </row>
    <row r="1695" spans="1:36" ht="14.25" hidden="1" x14ac:dyDescent="0.2">
      <c r="A1695" t="s">
        <v>2633</v>
      </c>
      <c r="B1695" s="1">
        <v>46060</v>
      </c>
      <c r="C1695" t="s">
        <v>24</v>
      </c>
      <c r="D1695" t="s">
        <v>151</v>
      </c>
      <c r="E1695" t="s">
        <v>42</v>
      </c>
      <c r="F1695" t="s">
        <v>27</v>
      </c>
      <c r="G1695" t="s">
        <v>28</v>
      </c>
      <c r="H1695" t="s">
        <v>29</v>
      </c>
      <c r="I1695" t="s">
        <v>104</v>
      </c>
      <c r="J1695" t="s">
        <v>105</v>
      </c>
      <c r="K1695" t="s">
        <v>66</v>
      </c>
      <c r="L1695" t="s">
        <v>33</v>
      </c>
      <c r="M1695" t="s">
        <v>87</v>
      </c>
      <c r="N1695" t="s">
        <v>48</v>
      </c>
      <c r="O1695" t="s">
        <v>36</v>
      </c>
      <c r="P1695" t="s">
        <v>71</v>
      </c>
      <c r="Q1695" t="s">
        <v>122</v>
      </c>
      <c r="R1695">
        <v>434</v>
      </c>
      <c r="S1695">
        <v>210</v>
      </c>
      <c r="T1695">
        <v>143</v>
      </c>
      <c r="U1695">
        <v>33</v>
      </c>
      <c r="V1695" t="s">
        <v>343</v>
      </c>
      <c r="W1695">
        <v>25324</v>
      </c>
      <c r="X1695" t="s">
        <v>1233</v>
      </c>
      <c r="Y1695">
        <v>22705</v>
      </c>
      <c r="Z1695">
        <v>835692</v>
      </c>
      <c r="AA1695">
        <v>86427</v>
      </c>
      <c r="AB1695" t="str">
        <f>(VLOOKUP(SalesData[[#This Row],[Month Number]],Reference!C$5:E$16,2,FALSE))</f>
        <v>Feb</v>
      </c>
      <c r="AC1695">
        <f>MONTH(SalesData[[#This Row],[Date]])</f>
        <v>2</v>
      </c>
      <c r="AD1695">
        <f>Reference!F$4</f>
        <v>2026</v>
      </c>
      <c r="AE1695" t="str">
        <f>IF(OR(SalesData[[#This Row],[Day]]="Saturday",SalesData[[#This Row],[Day]]="Sunday"),"Weekend","Weekday")</f>
        <v>Weekend</v>
      </c>
      <c r="AF1695" s="5">
        <f>IF(SalesData[[#This Row],[Contracts Offered]]=0,0,SalesData[[#This Row],[Contracts Signed]]/SalesData[[#This Row],[Contracts Offered]])</f>
        <v>0.23076923076923078</v>
      </c>
      <c r="AG1695" s="5">
        <f>IF(SalesData[[#This Row],[Customers Visited]]=0,0,SalesData[[#This Row],[Test Drives]]/SalesData[[#This Row],[Customers Visited]])</f>
        <v>0.4838709677419355</v>
      </c>
      <c r="AH1695" s="5">
        <f>IF(SalesData[[#This Row],[Customers Visited]]=0,0,SalesData[[#This Row],[Contracts Signed]]/SalesData[[#This Row],[Customers Visited]])</f>
        <v>7.6036866359447008E-2</v>
      </c>
      <c r="AI1695" s="6">
        <f>IF(SalesData[[#This Row],[Contracts Signed]]=0,0,SalesData[[#This Row],[Profit(€)]]/SalesData[[#This Row],[Contracts Signed]])</f>
        <v>2619</v>
      </c>
      <c r="AJ1695" s="5" t="str">
        <f>TRIM(CLEAN(SalesData[[#This Row],[Retailer]]))</f>
        <v>Main Auto Hub</v>
      </c>
    </row>
    <row r="1696" spans="1:36" ht="14.25" hidden="1" x14ac:dyDescent="0.2">
      <c r="A1696" t="s">
        <v>2634</v>
      </c>
      <c r="B1696" s="1">
        <v>46059</v>
      </c>
      <c r="C1696" t="s">
        <v>24</v>
      </c>
      <c r="D1696" t="s">
        <v>54</v>
      </c>
      <c r="E1696" t="s">
        <v>26</v>
      </c>
      <c r="F1696" t="s">
        <v>127</v>
      </c>
      <c r="G1696" t="s">
        <v>128</v>
      </c>
      <c r="H1696" t="s">
        <v>103</v>
      </c>
      <c r="I1696" t="s">
        <v>104</v>
      </c>
      <c r="J1696" t="s">
        <v>7031</v>
      </c>
      <c r="K1696" t="s">
        <v>91</v>
      </c>
      <c r="L1696" t="s">
        <v>46</v>
      </c>
      <c r="M1696" t="s">
        <v>87</v>
      </c>
      <c r="N1696" t="s">
        <v>35</v>
      </c>
      <c r="O1696" t="s">
        <v>36</v>
      </c>
      <c r="P1696" t="s">
        <v>71</v>
      </c>
      <c r="Q1696" t="s">
        <v>167</v>
      </c>
      <c r="R1696">
        <v>267</v>
      </c>
      <c r="S1696">
        <v>125</v>
      </c>
      <c r="T1696">
        <v>80</v>
      </c>
      <c r="U1696">
        <v>23</v>
      </c>
      <c r="V1696" t="s">
        <v>1170</v>
      </c>
      <c r="W1696">
        <v>28633</v>
      </c>
      <c r="X1696" t="s">
        <v>1244</v>
      </c>
      <c r="Y1696">
        <v>25882</v>
      </c>
      <c r="Z1696">
        <v>658559</v>
      </c>
      <c r="AA1696">
        <v>63273</v>
      </c>
      <c r="AB1696" t="str">
        <f>(VLOOKUP(SalesData[[#This Row],[Month Number]],Reference!C$5:E$16,2,FALSE))</f>
        <v>Feb</v>
      </c>
      <c r="AC1696">
        <f>MONTH(SalesData[[#This Row],[Date]])</f>
        <v>2</v>
      </c>
      <c r="AD1696">
        <f>Reference!F$4</f>
        <v>2026</v>
      </c>
      <c r="AE1696" t="str">
        <f>IF(OR(SalesData[[#This Row],[Day]]="Saturday",SalesData[[#This Row],[Day]]="Sunday"),"Weekend","Weekday")</f>
        <v>Weekday</v>
      </c>
      <c r="AF1696" s="5">
        <f>IF(SalesData[[#This Row],[Contracts Offered]]=0,0,SalesData[[#This Row],[Contracts Signed]]/SalesData[[#This Row],[Contracts Offered]])</f>
        <v>0.28749999999999998</v>
      </c>
      <c r="AG1696" s="5">
        <f>IF(SalesData[[#This Row],[Customers Visited]]=0,0,SalesData[[#This Row],[Test Drives]]/SalesData[[#This Row],[Customers Visited]])</f>
        <v>0.46816479400749061</v>
      </c>
      <c r="AH1696" s="5">
        <f>IF(SalesData[[#This Row],[Customers Visited]]=0,0,SalesData[[#This Row],[Contracts Signed]]/SalesData[[#This Row],[Customers Visited]])</f>
        <v>8.6142322097378279E-2</v>
      </c>
      <c r="AI1696" s="6">
        <f>IF(SalesData[[#This Row],[Contracts Signed]]=0,0,SalesData[[#This Row],[Profit(€)]]/SalesData[[#This Row],[Contracts Signed]])</f>
        <v>2751</v>
      </c>
      <c r="AJ1696" s="5" t="str">
        <f>TRIM(CLEAN(SalesData[[#This Row],[Retailer]]))</f>
        <v>Rhein Auto Group</v>
      </c>
    </row>
    <row r="1697" spans="1:36" ht="14.25" hidden="1" x14ac:dyDescent="0.2">
      <c r="A1697" t="s">
        <v>2635</v>
      </c>
      <c r="B1697" s="1">
        <v>46070</v>
      </c>
      <c r="C1697" t="s">
        <v>62</v>
      </c>
      <c r="D1697" t="s">
        <v>63</v>
      </c>
      <c r="E1697" t="s">
        <v>26</v>
      </c>
      <c r="F1697" t="s">
        <v>83</v>
      </c>
      <c r="G1697" t="s">
        <v>84</v>
      </c>
      <c r="H1697" t="s">
        <v>85</v>
      </c>
      <c r="I1697" t="s">
        <v>64</v>
      </c>
      <c r="J1697" t="s">
        <v>65</v>
      </c>
      <c r="K1697" t="s">
        <v>66</v>
      </c>
      <c r="L1697" t="s">
        <v>33</v>
      </c>
      <c r="M1697" t="s">
        <v>47</v>
      </c>
      <c r="N1697" t="s">
        <v>69</v>
      </c>
      <c r="O1697" t="s">
        <v>36</v>
      </c>
      <c r="P1697" t="s">
        <v>58</v>
      </c>
      <c r="Q1697" t="s">
        <v>169</v>
      </c>
      <c r="R1697">
        <v>287</v>
      </c>
      <c r="S1697">
        <v>156</v>
      </c>
      <c r="T1697">
        <v>108</v>
      </c>
      <c r="U1697">
        <v>43</v>
      </c>
      <c r="V1697" t="s">
        <v>6385</v>
      </c>
      <c r="W1697">
        <v>69755</v>
      </c>
      <c r="X1697" t="s">
        <v>7193</v>
      </c>
      <c r="Y1697">
        <v>50704</v>
      </c>
      <c r="Z1697">
        <v>2999465</v>
      </c>
      <c r="AA1697">
        <v>819193</v>
      </c>
      <c r="AB1697" t="str">
        <f>(VLOOKUP(SalesData[[#This Row],[Month Number]],Reference!C$5:E$16,2,FALSE))</f>
        <v>Feb</v>
      </c>
      <c r="AC1697">
        <f>MONTH(SalesData[[#This Row],[Date]])</f>
        <v>2</v>
      </c>
      <c r="AD1697">
        <f>Reference!F$4</f>
        <v>2026</v>
      </c>
      <c r="AE1697" t="str">
        <f>IF(OR(SalesData[[#This Row],[Day]]="Saturday",SalesData[[#This Row],[Day]]="Sunday"),"Weekend","Weekday")</f>
        <v>Weekday</v>
      </c>
      <c r="AF1697" s="5">
        <f>IF(SalesData[[#This Row],[Contracts Offered]]=0,0,SalesData[[#This Row],[Contracts Signed]]/SalesData[[#This Row],[Contracts Offered]])</f>
        <v>0.39814814814814814</v>
      </c>
      <c r="AG1697" s="5">
        <f>IF(SalesData[[#This Row],[Customers Visited]]=0,0,SalesData[[#This Row],[Test Drives]]/SalesData[[#This Row],[Customers Visited]])</f>
        <v>0.54355400696864109</v>
      </c>
      <c r="AH1697" s="5">
        <f>IF(SalesData[[#This Row],[Customers Visited]]=0,0,SalesData[[#This Row],[Contracts Signed]]/SalesData[[#This Row],[Customers Visited]])</f>
        <v>0.14982578397212543</v>
      </c>
      <c r="AI1697" s="6">
        <f>IF(SalesData[[#This Row],[Contracts Signed]]=0,0,SalesData[[#This Row],[Profit(€)]]/SalesData[[#This Row],[Contracts Signed]])</f>
        <v>19051</v>
      </c>
      <c r="AJ1697" s="5" t="str">
        <f>TRIM(CLEAN(SalesData[[#This Row],[Retailer]]))</f>
        <v>Hannover Cars</v>
      </c>
    </row>
    <row r="1698" spans="1:36" ht="14.25" hidden="1" x14ac:dyDescent="0.2">
      <c r="A1698" t="s">
        <v>2636</v>
      </c>
      <c r="B1698" s="1">
        <v>46080</v>
      </c>
      <c r="C1698" t="s">
        <v>53</v>
      </c>
      <c r="D1698" t="s">
        <v>54</v>
      </c>
      <c r="E1698" t="s">
        <v>26</v>
      </c>
      <c r="F1698" t="s">
        <v>94</v>
      </c>
      <c r="G1698" t="s">
        <v>95</v>
      </c>
      <c r="H1698" t="s">
        <v>96</v>
      </c>
      <c r="I1698" t="s">
        <v>104</v>
      </c>
      <c r="J1698" t="s">
        <v>7061</v>
      </c>
      <c r="K1698" t="s">
        <v>91</v>
      </c>
      <c r="L1698" t="s">
        <v>46</v>
      </c>
      <c r="M1698" t="s">
        <v>47</v>
      </c>
      <c r="N1698" t="s">
        <v>48</v>
      </c>
      <c r="O1698" t="s">
        <v>36</v>
      </c>
      <c r="P1698" t="s">
        <v>58</v>
      </c>
      <c r="Q1698" t="s">
        <v>118</v>
      </c>
      <c r="R1698">
        <v>308</v>
      </c>
      <c r="S1698">
        <v>150</v>
      </c>
      <c r="T1698">
        <v>102</v>
      </c>
      <c r="U1698">
        <v>30</v>
      </c>
      <c r="V1698" t="s">
        <v>6410</v>
      </c>
      <c r="W1698">
        <v>25439</v>
      </c>
      <c r="X1698" t="s">
        <v>2157</v>
      </c>
      <c r="Y1698">
        <v>22192</v>
      </c>
      <c r="Z1698">
        <v>763170</v>
      </c>
      <c r="AA1698">
        <v>97410</v>
      </c>
      <c r="AB1698" t="str">
        <f>(VLOOKUP(SalesData[[#This Row],[Month Number]],Reference!C$5:E$16,2,FALSE))</f>
        <v>Feb</v>
      </c>
      <c r="AC1698">
        <f>MONTH(SalesData[[#This Row],[Date]])</f>
        <v>2</v>
      </c>
      <c r="AD1698">
        <f>Reference!F$4</f>
        <v>2026</v>
      </c>
      <c r="AE1698" t="str">
        <f>IF(OR(SalesData[[#This Row],[Day]]="Saturday",SalesData[[#This Row],[Day]]="Sunday"),"Weekend","Weekday")</f>
        <v>Weekday</v>
      </c>
      <c r="AF1698" s="5">
        <f>IF(SalesData[[#This Row],[Contracts Offered]]=0,0,SalesData[[#This Row],[Contracts Signed]]/SalesData[[#This Row],[Contracts Offered]])</f>
        <v>0.29411764705882354</v>
      </c>
      <c r="AG1698" s="5">
        <f>IF(SalesData[[#This Row],[Customers Visited]]=0,0,SalesData[[#This Row],[Test Drives]]/SalesData[[#This Row],[Customers Visited]])</f>
        <v>0.48701298701298701</v>
      </c>
      <c r="AH1698" s="5">
        <f>IF(SalesData[[#This Row],[Customers Visited]]=0,0,SalesData[[#This Row],[Contracts Signed]]/SalesData[[#This Row],[Customers Visited]])</f>
        <v>9.7402597402597407E-2</v>
      </c>
      <c r="AI1698" s="6">
        <f>IF(SalesData[[#This Row],[Contracts Signed]]=0,0,SalesData[[#This Row],[Profit(€)]]/SalesData[[#This Row],[Contracts Signed]])</f>
        <v>3247</v>
      </c>
      <c r="AJ1698" s="5" t="str">
        <f>TRIM(CLEAN(SalesData[[#This Row],[Retailer]]))</f>
        <v>Bavaria Motors</v>
      </c>
    </row>
    <row r="1699" spans="1:36" ht="14.25" hidden="1" x14ac:dyDescent="0.2">
      <c r="A1699" t="s">
        <v>2637</v>
      </c>
      <c r="B1699" s="1">
        <v>46071</v>
      </c>
      <c r="C1699" t="s">
        <v>62</v>
      </c>
      <c r="D1699" t="s">
        <v>82</v>
      </c>
      <c r="E1699" t="s">
        <v>26</v>
      </c>
      <c r="F1699" t="s">
        <v>127</v>
      </c>
      <c r="G1699" t="s">
        <v>128</v>
      </c>
      <c r="H1699" t="s">
        <v>103</v>
      </c>
      <c r="I1699" t="s">
        <v>116</v>
      </c>
      <c r="J1699" t="s">
        <v>7026</v>
      </c>
      <c r="K1699" t="s">
        <v>91</v>
      </c>
      <c r="L1699" t="s">
        <v>46</v>
      </c>
      <c r="M1699" t="s">
        <v>47</v>
      </c>
      <c r="N1699" t="s">
        <v>69</v>
      </c>
      <c r="O1699" t="s">
        <v>36</v>
      </c>
      <c r="P1699" t="s">
        <v>71</v>
      </c>
      <c r="Q1699" t="s">
        <v>240</v>
      </c>
      <c r="R1699">
        <v>253</v>
      </c>
      <c r="S1699">
        <v>140</v>
      </c>
      <c r="T1699">
        <v>88</v>
      </c>
      <c r="U1699">
        <v>26</v>
      </c>
      <c r="V1699" t="s">
        <v>1266</v>
      </c>
      <c r="W1699">
        <v>22066</v>
      </c>
      <c r="X1699" t="s">
        <v>3877</v>
      </c>
      <c r="Y1699">
        <v>19742</v>
      </c>
      <c r="Z1699">
        <v>573716</v>
      </c>
      <c r="AA1699">
        <v>60424</v>
      </c>
      <c r="AB1699" t="str">
        <f>(VLOOKUP(SalesData[[#This Row],[Month Number]],Reference!C$5:E$16,2,FALSE))</f>
        <v>Feb</v>
      </c>
      <c r="AC1699">
        <f>MONTH(SalesData[[#This Row],[Date]])</f>
        <v>2</v>
      </c>
      <c r="AD1699">
        <f>Reference!F$4</f>
        <v>2026</v>
      </c>
      <c r="AE1699" t="str">
        <f>IF(OR(SalesData[[#This Row],[Day]]="Saturday",SalesData[[#This Row],[Day]]="Sunday"),"Weekend","Weekday")</f>
        <v>Weekday</v>
      </c>
      <c r="AF1699" s="5">
        <f>IF(SalesData[[#This Row],[Contracts Offered]]=0,0,SalesData[[#This Row],[Contracts Signed]]/SalesData[[#This Row],[Contracts Offered]])</f>
        <v>0.29545454545454547</v>
      </c>
      <c r="AG1699" s="5">
        <f>IF(SalesData[[#This Row],[Customers Visited]]=0,0,SalesData[[#This Row],[Test Drives]]/SalesData[[#This Row],[Customers Visited]])</f>
        <v>0.55335968379446643</v>
      </c>
      <c r="AH1699" s="5">
        <f>IF(SalesData[[#This Row],[Customers Visited]]=0,0,SalesData[[#This Row],[Contracts Signed]]/SalesData[[#This Row],[Customers Visited]])</f>
        <v>0.10276679841897234</v>
      </c>
      <c r="AI1699" s="6">
        <f>IF(SalesData[[#This Row],[Contracts Signed]]=0,0,SalesData[[#This Row],[Profit(€)]]/SalesData[[#This Row],[Contracts Signed]])</f>
        <v>2324</v>
      </c>
      <c r="AJ1699" s="5" t="str">
        <f>TRIM(CLEAN(SalesData[[#This Row],[Retailer]]))</f>
        <v>Rhein Auto Group</v>
      </c>
    </row>
    <row r="1700" spans="1:36" ht="14.25" hidden="1" x14ac:dyDescent="0.2">
      <c r="A1700" t="s">
        <v>2638</v>
      </c>
      <c r="B1700" s="1">
        <v>46063</v>
      </c>
      <c r="C1700" t="s">
        <v>121</v>
      </c>
      <c r="D1700" t="s">
        <v>63</v>
      </c>
      <c r="E1700" t="s">
        <v>26</v>
      </c>
      <c r="F1700" t="s">
        <v>7649</v>
      </c>
      <c r="G1700" t="s">
        <v>55</v>
      </c>
      <c r="H1700" t="s">
        <v>55</v>
      </c>
      <c r="I1700" t="s">
        <v>56</v>
      </c>
      <c r="J1700" t="s">
        <v>137</v>
      </c>
      <c r="K1700" t="s">
        <v>32</v>
      </c>
      <c r="L1700" t="s">
        <v>46</v>
      </c>
      <c r="M1700" t="s">
        <v>47</v>
      </c>
      <c r="N1700" t="s">
        <v>69</v>
      </c>
      <c r="O1700" t="s">
        <v>36</v>
      </c>
      <c r="P1700" t="s">
        <v>71</v>
      </c>
      <c r="Q1700" t="s">
        <v>347</v>
      </c>
      <c r="R1700">
        <v>266</v>
      </c>
      <c r="S1700">
        <v>131</v>
      </c>
      <c r="T1700">
        <v>83</v>
      </c>
      <c r="U1700">
        <v>36</v>
      </c>
      <c r="V1700" t="s">
        <v>6381</v>
      </c>
      <c r="W1700">
        <v>44638</v>
      </c>
      <c r="X1700" t="s">
        <v>7173</v>
      </c>
      <c r="Y1700">
        <v>34760</v>
      </c>
      <c r="Z1700">
        <v>1606968</v>
      </c>
      <c r="AA1700">
        <v>355608</v>
      </c>
      <c r="AB1700" t="str">
        <f>(VLOOKUP(SalesData[[#This Row],[Month Number]],Reference!C$5:E$16,2,FALSE))</f>
        <v>Feb</v>
      </c>
      <c r="AC1700">
        <f>MONTH(SalesData[[#This Row],[Date]])</f>
        <v>2</v>
      </c>
      <c r="AD1700">
        <f>Reference!F$4</f>
        <v>2026</v>
      </c>
      <c r="AE1700" t="str">
        <f>IF(OR(SalesData[[#This Row],[Day]]="Saturday",SalesData[[#This Row],[Day]]="Sunday"),"Weekend","Weekday")</f>
        <v>Weekday</v>
      </c>
      <c r="AF1700" s="5">
        <f>IF(SalesData[[#This Row],[Contracts Offered]]=0,0,SalesData[[#This Row],[Contracts Signed]]/SalesData[[#This Row],[Contracts Offered]])</f>
        <v>0.43373493975903615</v>
      </c>
      <c r="AG1700" s="5">
        <f>IF(SalesData[[#This Row],[Customers Visited]]=0,0,SalesData[[#This Row],[Test Drives]]/SalesData[[#This Row],[Customers Visited]])</f>
        <v>0.4924812030075188</v>
      </c>
      <c r="AH1700" s="5">
        <f>IF(SalesData[[#This Row],[Customers Visited]]=0,0,SalesData[[#This Row],[Contracts Signed]]/SalesData[[#This Row],[Customers Visited]])</f>
        <v>0.13533834586466165</v>
      </c>
      <c r="AI1700" s="6">
        <f>IF(SalesData[[#This Row],[Contracts Signed]]=0,0,SalesData[[#This Row],[Profit(€)]]/SalesData[[#This Row],[Contracts Signed]])</f>
        <v>9878</v>
      </c>
      <c r="AJ1700" s="5" t="str">
        <f>TRIM(CLEAN(SalesData[[#This Row],[Retailer]]))</f>
        <v>Autohaus Berlin</v>
      </c>
    </row>
    <row r="1701" spans="1:36" ht="14.25" hidden="1" x14ac:dyDescent="0.2">
      <c r="A1701" t="s">
        <v>2640</v>
      </c>
      <c r="B1701" s="1">
        <v>46055</v>
      </c>
      <c r="C1701" t="s">
        <v>24</v>
      </c>
      <c r="D1701" t="s">
        <v>25</v>
      </c>
      <c r="E1701" t="s">
        <v>26</v>
      </c>
      <c r="F1701" t="s">
        <v>7649</v>
      </c>
      <c r="G1701" t="s">
        <v>55</v>
      </c>
      <c r="H1701" t="s">
        <v>55</v>
      </c>
      <c r="I1701" t="s">
        <v>116</v>
      </c>
      <c r="J1701" t="s">
        <v>117</v>
      </c>
      <c r="K1701" t="s">
        <v>32</v>
      </c>
      <c r="L1701" t="s">
        <v>67</v>
      </c>
      <c r="M1701" t="s">
        <v>47</v>
      </c>
      <c r="N1701" t="s">
        <v>35</v>
      </c>
      <c r="O1701" t="s">
        <v>70</v>
      </c>
      <c r="P1701" t="s">
        <v>49</v>
      </c>
      <c r="Q1701" t="s">
        <v>172</v>
      </c>
      <c r="R1701">
        <v>339</v>
      </c>
      <c r="S1701">
        <v>138</v>
      </c>
      <c r="T1701">
        <v>96</v>
      </c>
      <c r="U1701">
        <v>23</v>
      </c>
      <c r="V1701" t="s">
        <v>508</v>
      </c>
      <c r="W1701">
        <v>20642</v>
      </c>
      <c r="X1701" t="s">
        <v>2590</v>
      </c>
      <c r="Y1701">
        <v>19129</v>
      </c>
      <c r="Z1701">
        <v>474766</v>
      </c>
      <c r="AA1701">
        <v>34799</v>
      </c>
      <c r="AB1701" t="str">
        <f>(VLOOKUP(SalesData[[#This Row],[Month Number]],Reference!C$5:E$16,2,FALSE))</f>
        <v>Feb</v>
      </c>
      <c r="AC1701">
        <f>MONTH(SalesData[[#This Row],[Date]])</f>
        <v>2</v>
      </c>
      <c r="AD1701">
        <f>Reference!F$4</f>
        <v>2026</v>
      </c>
      <c r="AE1701" t="str">
        <f>IF(OR(SalesData[[#This Row],[Day]]="Saturday",SalesData[[#This Row],[Day]]="Sunday"),"Weekend","Weekday")</f>
        <v>Weekday</v>
      </c>
      <c r="AF1701" s="5">
        <f>IF(SalesData[[#This Row],[Contracts Offered]]=0,0,SalesData[[#This Row],[Contracts Signed]]/SalesData[[#This Row],[Contracts Offered]])</f>
        <v>0.23958333333333334</v>
      </c>
      <c r="AG1701" s="5">
        <f>IF(SalesData[[#This Row],[Customers Visited]]=0,0,SalesData[[#This Row],[Test Drives]]/SalesData[[#This Row],[Customers Visited]])</f>
        <v>0.40707964601769914</v>
      </c>
      <c r="AH1701" s="5">
        <f>IF(SalesData[[#This Row],[Customers Visited]]=0,0,SalesData[[#This Row],[Contracts Signed]]/SalesData[[#This Row],[Customers Visited]])</f>
        <v>6.7846607669616518E-2</v>
      </c>
      <c r="AI1701" s="6">
        <f>IF(SalesData[[#This Row],[Contracts Signed]]=0,0,SalesData[[#This Row],[Profit(€)]]/SalesData[[#This Row],[Contracts Signed]])</f>
        <v>1513</v>
      </c>
      <c r="AJ1701" s="5" t="str">
        <f>TRIM(CLEAN(SalesData[[#This Row],[Retailer]]))</f>
        <v>Autohaus Berlin</v>
      </c>
    </row>
    <row r="1702" spans="1:36" ht="14.25" x14ac:dyDescent="0.2">
      <c r="A1702" t="s">
        <v>2641</v>
      </c>
      <c r="B1702" s="1">
        <v>46077</v>
      </c>
      <c r="C1702" t="s">
        <v>53</v>
      </c>
      <c r="D1702" t="s">
        <v>63</v>
      </c>
      <c r="E1702" t="s">
        <v>26</v>
      </c>
      <c r="F1702" t="s">
        <v>43</v>
      </c>
      <c r="G1702" t="s">
        <v>44</v>
      </c>
      <c r="H1702" t="s">
        <v>45</v>
      </c>
      <c r="I1702" t="s">
        <v>30</v>
      </c>
      <c r="J1702" t="s">
        <v>7075</v>
      </c>
      <c r="K1702" t="s">
        <v>32</v>
      </c>
      <c r="L1702" t="s">
        <v>33</v>
      </c>
      <c r="M1702" t="s">
        <v>34</v>
      </c>
      <c r="N1702" t="s">
        <v>69</v>
      </c>
      <c r="O1702" t="s">
        <v>70</v>
      </c>
      <c r="P1702" t="s">
        <v>37</v>
      </c>
      <c r="Q1702" t="s">
        <v>240</v>
      </c>
      <c r="R1702">
        <v>251</v>
      </c>
      <c r="S1702">
        <v>153</v>
      </c>
      <c r="T1702">
        <v>107</v>
      </c>
      <c r="U1702">
        <v>37</v>
      </c>
      <c r="V1702" t="s">
        <v>6510</v>
      </c>
      <c r="W1702">
        <v>65834</v>
      </c>
      <c r="X1702" t="s">
        <v>7248</v>
      </c>
      <c r="Y1702">
        <v>50492</v>
      </c>
      <c r="Z1702">
        <v>2435858</v>
      </c>
      <c r="AA1702">
        <v>567654</v>
      </c>
      <c r="AB1702" t="str">
        <f>(VLOOKUP(SalesData[[#This Row],[Month Number]],Reference!C$5:E$16,2,FALSE))</f>
        <v>Feb</v>
      </c>
      <c r="AC1702">
        <f>MONTH(SalesData[[#This Row],[Date]])</f>
        <v>2</v>
      </c>
      <c r="AD1702">
        <f>Reference!F$4</f>
        <v>2026</v>
      </c>
      <c r="AE1702" t="str">
        <f>IF(OR(SalesData[[#This Row],[Day]]="Saturday",SalesData[[#This Row],[Day]]="Sunday"),"Weekend","Weekday")</f>
        <v>Weekday</v>
      </c>
      <c r="AF1702" s="5">
        <f>IF(SalesData[[#This Row],[Contracts Offered]]=0,0,SalesData[[#This Row],[Contracts Signed]]/SalesData[[#This Row],[Contracts Offered]])</f>
        <v>0.34579439252336447</v>
      </c>
      <c r="AG1702" s="5">
        <f>IF(SalesData[[#This Row],[Customers Visited]]=0,0,SalesData[[#This Row],[Test Drives]]/SalesData[[#This Row],[Customers Visited]])</f>
        <v>0.60956175298804782</v>
      </c>
      <c r="AH1702" s="5">
        <f>IF(SalesData[[#This Row],[Customers Visited]]=0,0,SalesData[[#This Row],[Contracts Signed]]/SalesData[[#This Row],[Customers Visited]])</f>
        <v>0.14741035856573706</v>
      </c>
      <c r="AI1702" s="6">
        <f>IF(SalesData[[#This Row],[Contracts Signed]]=0,0,SalesData[[#This Row],[Profit(€)]]/SalesData[[#This Row],[Contracts Signed]])</f>
        <v>15342</v>
      </c>
      <c r="AJ1702" s="5" t="str">
        <f>TRIM(CLEAN(SalesData[[#This Row],[Retailer]]))</f>
        <v>Saxon Wheels</v>
      </c>
    </row>
    <row r="1703" spans="1:36" ht="14.25" hidden="1" x14ac:dyDescent="0.2">
      <c r="A1703" t="s">
        <v>2642</v>
      </c>
      <c r="B1703" s="1">
        <v>46080</v>
      </c>
      <c r="C1703" t="s">
        <v>53</v>
      </c>
      <c r="D1703" t="s">
        <v>54</v>
      </c>
      <c r="E1703" t="s">
        <v>26</v>
      </c>
      <c r="F1703" t="s">
        <v>74</v>
      </c>
      <c r="G1703" t="s">
        <v>75</v>
      </c>
      <c r="H1703" t="s">
        <v>76</v>
      </c>
      <c r="I1703" t="s">
        <v>64</v>
      </c>
      <c r="J1703" t="s">
        <v>157</v>
      </c>
      <c r="K1703" t="s">
        <v>32</v>
      </c>
      <c r="L1703" t="s">
        <v>33</v>
      </c>
      <c r="M1703" t="s">
        <v>34</v>
      </c>
      <c r="N1703" t="s">
        <v>69</v>
      </c>
      <c r="O1703" t="s">
        <v>36</v>
      </c>
      <c r="P1703" t="s">
        <v>49</v>
      </c>
      <c r="Q1703" t="s">
        <v>59</v>
      </c>
      <c r="R1703">
        <v>267</v>
      </c>
      <c r="S1703">
        <v>140</v>
      </c>
      <c r="T1703">
        <v>92</v>
      </c>
      <c r="U1703">
        <v>36</v>
      </c>
      <c r="V1703" t="s">
        <v>6889</v>
      </c>
      <c r="W1703">
        <v>63251</v>
      </c>
      <c r="X1703" t="s">
        <v>7165</v>
      </c>
      <c r="Y1703">
        <v>49501</v>
      </c>
      <c r="Z1703">
        <v>2277036</v>
      </c>
      <c r="AA1703">
        <v>495000</v>
      </c>
      <c r="AB1703" t="str">
        <f>(VLOOKUP(SalesData[[#This Row],[Month Number]],Reference!C$5:E$16,2,FALSE))</f>
        <v>Feb</v>
      </c>
      <c r="AC1703">
        <f>MONTH(SalesData[[#This Row],[Date]])</f>
        <v>2</v>
      </c>
      <c r="AD1703">
        <f>Reference!F$4</f>
        <v>2026</v>
      </c>
      <c r="AE1703" t="str">
        <f>IF(OR(SalesData[[#This Row],[Day]]="Saturday",SalesData[[#This Row],[Day]]="Sunday"),"Weekend","Weekday")</f>
        <v>Weekday</v>
      </c>
      <c r="AF1703" s="5">
        <f>IF(SalesData[[#This Row],[Contracts Offered]]=0,0,SalesData[[#This Row],[Contracts Signed]]/SalesData[[#This Row],[Contracts Offered]])</f>
        <v>0.39130434782608697</v>
      </c>
      <c r="AG1703" s="5">
        <f>IF(SalesData[[#This Row],[Customers Visited]]=0,0,SalesData[[#This Row],[Test Drives]]/SalesData[[#This Row],[Customers Visited]])</f>
        <v>0.52434456928838946</v>
      </c>
      <c r="AH1703" s="5">
        <f>IF(SalesData[[#This Row],[Customers Visited]]=0,0,SalesData[[#This Row],[Contracts Signed]]/SalesData[[#This Row],[Customers Visited]])</f>
        <v>0.1348314606741573</v>
      </c>
      <c r="AI1703" s="6">
        <f>IF(SalesData[[#This Row],[Contracts Signed]]=0,0,SalesData[[#This Row],[Profit(€)]]/SalesData[[#This Row],[Contracts Signed]])</f>
        <v>13750</v>
      </c>
      <c r="AJ1703" s="5" t="str">
        <f>TRIM(CLEAN(SalesData[[#This Row],[Retailer]]))</f>
        <v>Stuttgart Auto Center</v>
      </c>
    </row>
    <row r="1704" spans="1:36" ht="14.25" hidden="1" x14ac:dyDescent="0.2">
      <c r="A1704" t="s">
        <v>2643</v>
      </c>
      <c r="B1704" s="1">
        <v>46079</v>
      </c>
      <c r="C1704" t="s">
        <v>53</v>
      </c>
      <c r="D1704" t="s">
        <v>100</v>
      </c>
      <c r="E1704" t="s">
        <v>26</v>
      </c>
      <c r="F1704" t="s">
        <v>101</v>
      </c>
      <c r="G1704" t="s">
        <v>102</v>
      </c>
      <c r="H1704" t="s">
        <v>103</v>
      </c>
      <c r="I1704" t="s">
        <v>116</v>
      </c>
      <c r="J1704" t="s">
        <v>203</v>
      </c>
      <c r="K1704" t="s">
        <v>32</v>
      </c>
      <c r="L1704" t="s">
        <v>67</v>
      </c>
      <c r="M1704" t="s">
        <v>47</v>
      </c>
      <c r="N1704" t="s">
        <v>35</v>
      </c>
      <c r="O1704" t="s">
        <v>36</v>
      </c>
      <c r="P1704" t="s">
        <v>37</v>
      </c>
      <c r="Q1704" t="s">
        <v>79</v>
      </c>
      <c r="R1704">
        <v>366</v>
      </c>
      <c r="S1704">
        <v>162</v>
      </c>
      <c r="T1704">
        <v>96</v>
      </c>
      <c r="U1704">
        <v>21</v>
      </c>
      <c r="V1704" t="s">
        <v>275</v>
      </c>
      <c r="W1704">
        <v>22291</v>
      </c>
      <c r="X1704" t="s">
        <v>506</v>
      </c>
      <c r="Y1704">
        <v>19902</v>
      </c>
      <c r="Z1704">
        <v>468111</v>
      </c>
      <c r="AA1704">
        <v>50169</v>
      </c>
      <c r="AB1704" t="str">
        <f>(VLOOKUP(SalesData[[#This Row],[Month Number]],Reference!C$5:E$16,2,FALSE))</f>
        <v>Feb</v>
      </c>
      <c r="AC1704">
        <f>MONTH(SalesData[[#This Row],[Date]])</f>
        <v>2</v>
      </c>
      <c r="AD1704">
        <f>Reference!F$4</f>
        <v>2026</v>
      </c>
      <c r="AE1704" t="str">
        <f>IF(OR(SalesData[[#This Row],[Day]]="Saturday",SalesData[[#This Row],[Day]]="Sunday"),"Weekend","Weekday")</f>
        <v>Weekday</v>
      </c>
      <c r="AF1704" s="5">
        <f>IF(SalesData[[#This Row],[Contracts Offered]]=0,0,SalesData[[#This Row],[Contracts Signed]]/SalesData[[#This Row],[Contracts Offered]])</f>
        <v>0.21875</v>
      </c>
      <c r="AG1704" s="5">
        <f>IF(SalesData[[#This Row],[Customers Visited]]=0,0,SalesData[[#This Row],[Test Drives]]/SalesData[[#This Row],[Customers Visited]])</f>
        <v>0.44262295081967212</v>
      </c>
      <c r="AH1704" s="5">
        <f>IF(SalesData[[#This Row],[Customers Visited]]=0,0,SalesData[[#This Row],[Contracts Signed]]/SalesData[[#This Row],[Customers Visited]])</f>
        <v>5.737704918032787E-2</v>
      </c>
      <c r="AI1704" s="6">
        <f>IF(SalesData[[#This Row],[Contracts Signed]]=0,0,SalesData[[#This Row],[Profit(€)]]/SalesData[[#This Row],[Contracts Signed]])</f>
        <v>2389</v>
      </c>
      <c r="AJ1704" s="5" t="str">
        <f>TRIM(CLEAN(SalesData[[#This Row],[Retailer]]))</f>
        <v>Ruhr Auto Plaza</v>
      </c>
    </row>
    <row r="1705" spans="1:36" ht="14.25" hidden="1" x14ac:dyDescent="0.2">
      <c r="A1705" t="s">
        <v>2644</v>
      </c>
      <c r="B1705" s="1">
        <v>46067</v>
      </c>
      <c r="C1705" t="s">
        <v>121</v>
      </c>
      <c r="D1705" t="s">
        <v>151</v>
      </c>
      <c r="E1705" t="s">
        <v>42</v>
      </c>
      <c r="F1705" t="s">
        <v>94</v>
      </c>
      <c r="G1705" t="s">
        <v>95</v>
      </c>
      <c r="H1705" t="s">
        <v>96</v>
      </c>
      <c r="I1705" t="s">
        <v>56</v>
      </c>
      <c r="J1705" t="s">
        <v>137</v>
      </c>
      <c r="K1705" t="s">
        <v>78</v>
      </c>
      <c r="L1705" t="s">
        <v>46</v>
      </c>
      <c r="M1705" t="s">
        <v>47</v>
      </c>
      <c r="N1705" t="s">
        <v>35</v>
      </c>
      <c r="O1705" t="s">
        <v>70</v>
      </c>
      <c r="P1705" t="s">
        <v>37</v>
      </c>
      <c r="Q1705" t="s">
        <v>169</v>
      </c>
      <c r="R1705">
        <v>294</v>
      </c>
      <c r="S1705">
        <v>153</v>
      </c>
      <c r="T1705">
        <v>115</v>
      </c>
      <c r="U1705">
        <v>32</v>
      </c>
      <c r="V1705" t="s">
        <v>6952</v>
      </c>
      <c r="W1705">
        <v>49841</v>
      </c>
      <c r="X1705" t="s">
        <v>2299</v>
      </c>
      <c r="Y1705">
        <v>37555</v>
      </c>
      <c r="Z1705">
        <v>1594912</v>
      </c>
      <c r="AA1705">
        <v>393152</v>
      </c>
      <c r="AB1705" t="str">
        <f>(VLOOKUP(SalesData[[#This Row],[Month Number]],Reference!C$5:E$16,2,FALSE))</f>
        <v>Feb</v>
      </c>
      <c r="AC1705">
        <f>MONTH(SalesData[[#This Row],[Date]])</f>
        <v>2</v>
      </c>
      <c r="AD1705">
        <f>Reference!F$4</f>
        <v>2026</v>
      </c>
      <c r="AE1705" t="str">
        <f>IF(OR(SalesData[[#This Row],[Day]]="Saturday",SalesData[[#This Row],[Day]]="Sunday"),"Weekend","Weekday")</f>
        <v>Weekend</v>
      </c>
      <c r="AF1705" s="5">
        <f>IF(SalesData[[#This Row],[Contracts Offered]]=0,0,SalesData[[#This Row],[Contracts Signed]]/SalesData[[#This Row],[Contracts Offered]])</f>
        <v>0.27826086956521739</v>
      </c>
      <c r="AG1705" s="5">
        <f>IF(SalesData[[#This Row],[Customers Visited]]=0,0,SalesData[[#This Row],[Test Drives]]/SalesData[[#This Row],[Customers Visited]])</f>
        <v>0.52040816326530615</v>
      </c>
      <c r="AH1705" s="5">
        <f>IF(SalesData[[#This Row],[Customers Visited]]=0,0,SalesData[[#This Row],[Contracts Signed]]/SalesData[[#This Row],[Customers Visited]])</f>
        <v>0.10884353741496598</v>
      </c>
      <c r="AI1705" s="6">
        <f>IF(SalesData[[#This Row],[Contracts Signed]]=0,0,SalesData[[#This Row],[Profit(€)]]/SalesData[[#This Row],[Contracts Signed]])</f>
        <v>12286</v>
      </c>
      <c r="AJ1705" s="5" t="str">
        <f>TRIM(CLEAN(SalesData[[#This Row],[Retailer]]))</f>
        <v>Bavaria Motors</v>
      </c>
    </row>
    <row r="1706" spans="1:36" ht="14.25" hidden="1" x14ac:dyDescent="0.2">
      <c r="A1706" t="s">
        <v>2645</v>
      </c>
      <c r="B1706" s="1">
        <v>46067</v>
      </c>
      <c r="C1706" t="s">
        <v>121</v>
      </c>
      <c r="D1706" t="s">
        <v>151</v>
      </c>
      <c r="E1706" t="s">
        <v>42</v>
      </c>
      <c r="F1706" t="s">
        <v>74</v>
      </c>
      <c r="G1706" t="s">
        <v>75</v>
      </c>
      <c r="H1706" t="s">
        <v>76</v>
      </c>
      <c r="I1706" t="s">
        <v>64</v>
      </c>
      <c r="J1706" t="s">
        <v>111</v>
      </c>
      <c r="K1706" t="s">
        <v>91</v>
      </c>
      <c r="L1706" t="s">
        <v>46</v>
      </c>
      <c r="M1706" t="s">
        <v>87</v>
      </c>
      <c r="N1706" t="s">
        <v>35</v>
      </c>
      <c r="O1706" t="s">
        <v>36</v>
      </c>
      <c r="P1706" t="s">
        <v>71</v>
      </c>
      <c r="Q1706" t="s">
        <v>118</v>
      </c>
      <c r="R1706">
        <v>275</v>
      </c>
      <c r="S1706">
        <v>141</v>
      </c>
      <c r="T1706">
        <v>104</v>
      </c>
      <c r="U1706">
        <v>34</v>
      </c>
      <c r="V1706" t="s">
        <v>6400</v>
      </c>
      <c r="W1706">
        <v>66295</v>
      </c>
      <c r="X1706" t="s">
        <v>7230</v>
      </c>
      <c r="Y1706">
        <v>49985</v>
      </c>
      <c r="Z1706">
        <v>2254030</v>
      </c>
      <c r="AA1706">
        <v>554540</v>
      </c>
      <c r="AB1706" t="str">
        <f>(VLOOKUP(SalesData[[#This Row],[Month Number]],Reference!C$5:E$16,2,FALSE))</f>
        <v>Feb</v>
      </c>
      <c r="AC1706">
        <f>MONTH(SalesData[[#This Row],[Date]])</f>
        <v>2</v>
      </c>
      <c r="AD1706">
        <f>Reference!F$4</f>
        <v>2026</v>
      </c>
      <c r="AE1706" t="str">
        <f>IF(OR(SalesData[[#This Row],[Day]]="Saturday",SalesData[[#This Row],[Day]]="Sunday"),"Weekend","Weekday")</f>
        <v>Weekend</v>
      </c>
      <c r="AF1706" s="5">
        <f>IF(SalesData[[#This Row],[Contracts Offered]]=0,0,SalesData[[#This Row],[Contracts Signed]]/SalesData[[#This Row],[Contracts Offered]])</f>
        <v>0.32692307692307693</v>
      </c>
      <c r="AG1706" s="5">
        <f>IF(SalesData[[#This Row],[Customers Visited]]=0,0,SalesData[[#This Row],[Test Drives]]/SalesData[[#This Row],[Customers Visited]])</f>
        <v>0.5127272727272727</v>
      </c>
      <c r="AH1706" s="5">
        <f>IF(SalesData[[#This Row],[Customers Visited]]=0,0,SalesData[[#This Row],[Contracts Signed]]/SalesData[[#This Row],[Customers Visited]])</f>
        <v>0.12363636363636364</v>
      </c>
      <c r="AI1706" s="6">
        <f>IF(SalesData[[#This Row],[Contracts Signed]]=0,0,SalesData[[#This Row],[Profit(€)]]/SalesData[[#This Row],[Contracts Signed]])</f>
        <v>16310</v>
      </c>
      <c r="AJ1706" s="5" t="str">
        <f>TRIM(CLEAN(SalesData[[#This Row],[Retailer]]))</f>
        <v>Stuttgart Auto Center</v>
      </c>
    </row>
    <row r="1707" spans="1:36" ht="14.25" hidden="1" x14ac:dyDescent="0.2">
      <c r="A1707" t="s">
        <v>2647</v>
      </c>
      <c r="B1707" s="1">
        <v>46074</v>
      </c>
      <c r="C1707" t="s">
        <v>62</v>
      </c>
      <c r="D1707" t="s">
        <v>151</v>
      </c>
      <c r="E1707" t="s">
        <v>42</v>
      </c>
      <c r="F1707" t="s">
        <v>74</v>
      </c>
      <c r="G1707" t="s">
        <v>75</v>
      </c>
      <c r="H1707" t="s">
        <v>76</v>
      </c>
      <c r="I1707" t="s">
        <v>104</v>
      </c>
      <c r="J1707" t="s">
        <v>7061</v>
      </c>
      <c r="K1707" t="s">
        <v>91</v>
      </c>
      <c r="L1707" t="s">
        <v>46</v>
      </c>
      <c r="M1707" t="s">
        <v>34</v>
      </c>
      <c r="N1707" t="s">
        <v>69</v>
      </c>
      <c r="O1707" t="s">
        <v>70</v>
      </c>
      <c r="P1707" t="s">
        <v>58</v>
      </c>
      <c r="Q1707" t="s">
        <v>50</v>
      </c>
      <c r="R1707">
        <v>277</v>
      </c>
      <c r="S1707">
        <v>118</v>
      </c>
      <c r="T1707">
        <v>82</v>
      </c>
      <c r="U1707">
        <v>22</v>
      </c>
      <c r="V1707" t="s">
        <v>378</v>
      </c>
      <c r="W1707">
        <v>30379</v>
      </c>
      <c r="X1707" t="s">
        <v>1480</v>
      </c>
      <c r="Y1707">
        <v>27467</v>
      </c>
      <c r="Z1707">
        <v>668338</v>
      </c>
      <c r="AA1707">
        <v>64064</v>
      </c>
      <c r="AB1707" t="str">
        <f>(VLOOKUP(SalesData[[#This Row],[Month Number]],Reference!C$5:E$16,2,FALSE))</f>
        <v>Feb</v>
      </c>
      <c r="AC1707">
        <f>MONTH(SalesData[[#This Row],[Date]])</f>
        <v>2</v>
      </c>
      <c r="AD1707">
        <f>Reference!F$4</f>
        <v>2026</v>
      </c>
      <c r="AE1707" t="str">
        <f>IF(OR(SalesData[[#This Row],[Day]]="Saturday",SalesData[[#This Row],[Day]]="Sunday"),"Weekend","Weekday")</f>
        <v>Weekend</v>
      </c>
      <c r="AF1707" s="5">
        <f>IF(SalesData[[#This Row],[Contracts Offered]]=0,0,SalesData[[#This Row],[Contracts Signed]]/SalesData[[#This Row],[Contracts Offered]])</f>
        <v>0.26829268292682928</v>
      </c>
      <c r="AG1707" s="5">
        <f>IF(SalesData[[#This Row],[Customers Visited]]=0,0,SalesData[[#This Row],[Test Drives]]/SalesData[[#This Row],[Customers Visited]])</f>
        <v>0.4259927797833935</v>
      </c>
      <c r="AH1707" s="5">
        <f>IF(SalesData[[#This Row],[Customers Visited]]=0,0,SalesData[[#This Row],[Contracts Signed]]/SalesData[[#This Row],[Customers Visited]])</f>
        <v>7.9422382671480149E-2</v>
      </c>
      <c r="AI1707" s="6">
        <f>IF(SalesData[[#This Row],[Contracts Signed]]=0,0,SalesData[[#This Row],[Profit(€)]]/SalesData[[#This Row],[Contracts Signed]])</f>
        <v>2912</v>
      </c>
      <c r="AJ1707" s="5" t="str">
        <f>TRIM(CLEAN(SalesData[[#This Row],[Retailer]]))</f>
        <v>Stuttgart Auto Center</v>
      </c>
    </row>
    <row r="1708" spans="1:36" ht="14.25" hidden="1" x14ac:dyDescent="0.2">
      <c r="A1708" t="s">
        <v>2648</v>
      </c>
      <c r="B1708" s="1">
        <v>46074</v>
      </c>
      <c r="C1708" t="s">
        <v>62</v>
      </c>
      <c r="D1708" t="s">
        <v>151</v>
      </c>
      <c r="E1708" t="s">
        <v>42</v>
      </c>
      <c r="F1708" t="s">
        <v>127</v>
      </c>
      <c r="G1708" t="s">
        <v>128</v>
      </c>
      <c r="H1708" t="s">
        <v>103</v>
      </c>
      <c r="I1708" t="s">
        <v>56</v>
      </c>
      <c r="J1708" t="s">
        <v>179</v>
      </c>
      <c r="K1708" t="s">
        <v>32</v>
      </c>
      <c r="L1708" t="s">
        <v>67</v>
      </c>
      <c r="M1708" t="s">
        <v>47</v>
      </c>
      <c r="N1708" t="s">
        <v>69</v>
      </c>
      <c r="O1708" t="s">
        <v>70</v>
      </c>
      <c r="P1708" t="s">
        <v>49</v>
      </c>
      <c r="Q1708" t="s">
        <v>38</v>
      </c>
      <c r="R1708">
        <v>245</v>
      </c>
      <c r="S1708">
        <v>154</v>
      </c>
      <c r="T1708">
        <v>108</v>
      </c>
      <c r="U1708">
        <v>33</v>
      </c>
      <c r="V1708" t="s">
        <v>6452</v>
      </c>
      <c r="W1708">
        <v>51890</v>
      </c>
      <c r="X1708" t="s">
        <v>7078</v>
      </c>
      <c r="Y1708">
        <v>41193</v>
      </c>
      <c r="Z1708">
        <v>1712370</v>
      </c>
      <c r="AA1708">
        <v>353001</v>
      </c>
      <c r="AB1708" t="str">
        <f>(VLOOKUP(SalesData[[#This Row],[Month Number]],Reference!C$5:E$16,2,FALSE))</f>
        <v>Feb</v>
      </c>
      <c r="AC1708">
        <f>MONTH(SalesData[[#This Row],[Date]])</f>
        <v>2</v>
      </c>
      <c r="AD1708">
        <f>Reference!F$4</f>
        <v>2026</v>
      </c>
      <c r="AE1708" t="str">
        <f>IF(OR(SalesData[[#This Row],[Day]]="Saturday",SalesData[[#This Row],[Day]]="Sunday"),"Weekend","Weekday")</f>
        <v>Weekend</v>
      </c>
      <c r="AF1708" s="5">
        <f>IF(SalesData[[#This Row],[Contracts Offered]]=0,0,SalesData[[#This Row],[Contracts Signed]]/SalesData[[#This Row],[Contracts Offered]])</f>
        <v>0.30555555555555558</v>
      </c>
      <c r="AG1708" s="5">
        <f>IF(SalesData[[#This Row],[Customers Visited]]=0,0,SalesData[[#This Row],[Test Drives]]/SalesData[[#This Row],[Customers Visited]])</f>
        <v>0.62857142857142856</v>
      </c>
      <c r="AH1708" s="5">
        <f>IF(SalesData[[#This Row],[Customers Visited]]=0,0,SalesData[[#This Row],[Contracts Signed]]/SalesData[[#This Row],[Customers Visited]])</f>
        <v>0.13469387755102041</v>
      </c>
      <c r="AI1708" s="6">
        <f>IF(SalesData[[#This Row],[Contracts Signed]]=0,0,SalesData[[#This Row],[Profit(€)]]/SalesData[[#This Row],[Contracts Signed]])</f>
        <v>10697</v>
      </c>
      <c r="AJ1708" s="5" t="str">
        <f>TRIM(CLEAN(SalesData[[#This Row],[Retailer]]))</f>
        <v>Rhein Auto Group</v>
      </c>
    </row>
    <row r="1709" spans="1:36" ht="14.25" hidden="1" x14ac:dyDescent="0.2">
      <c r="A1709" t="s">
        <v>2649</v>
      </c>
      <c r="B1709" s="1">
        <v>46071</v>
      </c>
      <c r="C1709" t="s">
        <v>62</v>
      </c>
      <c r="D1709" t="s">
        <v>82</v>
      </c>
      <c r="E1709" t="s">
        <v>26</v>
      </c>
      <c r="F1709" t="s">
        <v>94</v>
      </c>
      <c r="G1709" t="s">
        <v>95</v>
      </c>
      <c r="H1709" t="s">
        <v>96</v>
      </c>
      <c r="I1709" t="s">
        <v>56</v>
      </c>
      <c r="J1709" t="s">
        <v>7028</v>
      </c>
      <c r="K1709" t="s">
        <v>78</v>
      </c>
      <c r="L1709" t="s">
        <v>46</v>
      </c>
      <c r="M1709" t="s">
        <v>34</v>
      </c>
      <c r="N1709" t="s">
        <v>69</v>
      </c>
      <c r="O1709" t="s">
        <v>36</v>
      </c>
      <c r="P1709" t="s">
        <v>71</v>
      </c>
      <c r="Q1709" t="s">
        <v>169</v>
      </c>
      <c r="R1709">
        <v>188</v>
      </c>
      <c r="S1709">
        <v>92</v>
      </c>
      <c r="T1709">
        <v>68</v>
      </c>
      <c r="U1709">
        <v>26</v>
      </c>
      <c r="V1709" t="s">
        <v>6896</v>
      </c>
      <c r="W1709">
        <v>49664</v>
      </c>
      <c r="X1709" t="s">
        <v>7177</v>
      </c>
      <c r="Y1709">
        <v>39762</v>
      </c>
      <c r="Z1709">
        <v>1291264</v>
      </c>
      <c r="AA1709">
        <v>257452</v>
      </c>
      <c r="AB1709" t="str">
        <f>(VLOOKUP(SalesData[[#This Row],[Month Number]],Reference!C$5:E$16,2,FALSE))</f>
        <v>Feb</v>
      </c>
      <c r="AC1709">
        <f>MONTH(SalesData[[#This Row],[Date]])</f>
        <v>2</v>
      </c>
      <c r="AD1709">
        <f>Reference!F$4</f>
        <v>2026</v>
      </c>
      <c r="AE1709" t="str">
        <f>IF(OR(SalesData[[#This Row],[Day]]="Saturday",SalesData[[#This Row],[Day]]="Sunday"),"Weekend","Weekday")</f>
        <v>Weekday</v>
      </c>
      <c r="AF1709" s="5">
        <f>IF(SalesData[[#This Row],[Contracts Offered]]=0,0,SalesData[[#This Row],[Contracts Signed]]/SalesData[[#This Row],[Contracts Offered]])</f>
        <v>0.38235294117647056</v>
      </c>
      <c r="AG1709" s="5">
        <f>IF(SalesData[[#This Row],[Customers Visited]]=0,0,SalesData[[#This Row],[Test Drives]]/SalesData[[#This Row],[Customers Visited]])</f>
        <v>0.48936170212765956</v>
      </c>
      <c r="AH1709" s="5">
        <f>IF(SalesData[[#This Row],[Customers Visited]]=0,0,SalesData[[#This Row],[Contracts Signed]]/SalesData[[#This Row],[Customers Visited]])</f>
        <v>0.13829787234042554</v>
      </c>
      <c r="AI1709" s="6">
        <f>IF(SalesData[[#This Row],[Contracts Signed]]=0,0,SalesData[[#This Row],[Profit(€)]]/SalesData[[#This Row],[Contracts Signed]])</f>
        <v>9902</v>
      </c>
      <c r="AJ1709" s="5" t="str">
        <f>TRIM(CLEAN(SalesData[[#This Row],[Retailer]]))</f>
        <v>Bavaria Motors</v>
      </c>
    </row>
    <row r="1710" spans="1:36" ht="14.25" hidden="1" x14ac:dyDescent="0.2">
      <c r="A1710" t="s">
        <v>2650</v>
      </c>
      <c r="B1710" s="1">
        <v>46074</v>
      </c>
      <c r="C1710" t="s">
        <v>62</v>
      </c>
      <c r="D1710" t="s">
        <v>151</v>
      </c>
      <c r="E1710" t="s">
        <v>42</v>
      </c>
      <c r="F1710" t="s">
        <v>27</v>
      </c>
      <c r="G1710" t="s">
        <v>28</v>
      </c>
      <c r="H1710" t="s">
        <v>29</v>
      </c>
      <c r="I1710" t="s">
        <v>116</v>
      </c>
      <c r="J1710" t="s">
        <v>203</v>
      </c>
      <c r="K1710" t="s">
        <v>32</v>
      </c>
      <c r="L1710" t="s">
        <v>67</v>
      </c>
      <c r="M1710" t="s">
        <v>87</v>
      </c>
      <c r="N1710" t="s">
        <v>48</v>
      </c>
      <c r="O1710" t="s">
        <v>36</v>
      </c>
      <c r="P1710" t="s">
        <v>71</v>
      </c>
      <c r="Q1710" t="s">
        <v>189</v>
      </c>
      <c r="R1710">
        <v>277</v>
      </c>
      <c r="S1710">
        <v>111</v>
      </c>
      <c r="T1710">
        <v>63</v>
      </c>
      <c r="U1710">
        <v>16</v>
      </c>
      <c r="V1710" t="s">
        <v>807</v>
      </c>
      <c r="W1710">
        <v>20793</v>
      </c>
      <c r="X1710" t="s">
        <v>7475</v>
      </c>
      <c r="Y1710">
        <v>18857</v>
      </c>
      <c r="Z1710">
        <v>332688</v>
      </c>
      <c r="AA1710">
        <v>30976</v>
      </c>
      <c r="AB1710" t="str">
        <f>(VLOOKUP(SalesData[[#This Row],[Month Number]],Reference!C$5:E$16,2,FALSE))</f>
        <v>Feb</v>
      </c>
      <c r="AC1710">
        <f>MONTH(SalesData[[#This Row],[Date]])</f>
        <v>2</v>
      </c>
      <c r="AD1710">
        <f>Reference!F$4</f>
        <v>2026</v>
      </c>
      <c r="AE1710" t="str">
        <f>IF(OR(SalesData[[#This Row],[Day]]="Saturday",SalesData[[#This Row],[Day]]="Sunday"),"Weekend","Weekday")</f>
        <v>Weekend</v>
      </c>
      <c r="AF1710" s="5">
        <f>IF(SalesData[[#This Row],[Contracts Offered]]=0,0,SalesData[[#This Row],[Contracts Signed]]/SalesData[[#This Row],[Contracts Offered]])</f>
        <v>0.25396825396825395</v>
      </c>
      <c r="AG1710" s="5">
        <f>IF(SalesData[[#This Row],[Customers Visited]]=0,0,SalesData[[#This Row],[Test Drives]]/SalesData[[#This Row],[Customers Visited]])</f>
        <v>0.4007220216606498</v>
      </c>
      <c r="AH1710" s="5">
        <f>IF(SalesData[[#This Row],[Customers Visited]]=0,0,SalesData[[#This Row],[Contracts Signed]]/SalesData[[#This Row],[Customers Visited]])</f>
        <v>5.7761732851985562E-2</v>
      </c>
      <c r="AI1710" s="6">
        <f>IF(SalesData[[#This Row],[Contracts Signed]]=0,0,SalesData[[#This Row],[Profit(€)]]/SalesData[[#This Row],[Contracts Signed]])</f>
        <v>1936</v>
      </c>
      <c r="AJ1710" s="5" t="str">
        <f>TRIM(CLEAN(SalesData[[#This Row],[Retailer]]))</f>
        <v>Main Auto Hub</v>
      </c>
    </row>
    <row r="1711" spans="1:36" ht="14.25" hidden="1" x14ac:dyDescent="0.2">
      <c r="A1711" t="s">
        <v>2651</v>
      </c>
      <c r="B1711" s="1">
        <v>46064</v>
      </c>
      <c r="C1711" t="s">
        <v>121</v>
      </c>
      <c r="D1711" t="s">
        <v>82</v>
      </c>
      <c r="E1711" t="s">
        <v>26</v>
      </c>
      <c r="F1711" t="s">
        <v>27</v>
      </c>
      <c r="G1711" t="s">
        <v>28</v>
      </c>
      <c r="H1711" t="s">
        <v>29</v>
      </c>
      <c r="I1711" t="s">
        <v>104</v>
      </c>
      <c r="J1711" t="s">
        <v>7061</v>
      </c>
      <c r="K1711" t="s">
        <v>91</v>
      </c>
      <c r="L1711" t="s">
        <v>46</v>
      </c>
      <c r="M1711" t="s">
        <v>47</v>
      </c>
      <c r="N1711" t="s">
        <v>69</v>
      </c>
      <c r="O1711" t="s">
        <v>36</v>
      </c>
      <c r="P1711" t="s">
        <v>37</v>
      </c>
      <c r="Q1711" t="s">
        <v>167</v>
      </c>
      <c r="R1711">
        <v>477</v>
      </c>
      <c r="S1711">
        <v>201</v>
      </c>
      <c r="T1711">
        <v>128</v>
      </c>
      <c r="U1711">
        <v>27</v>
      </c>
      <c r="V1711" t="s">
        <v>2235</v>
      </c>
      <c r="W1711">
        <v>26554</v>
      </c>
      <c r="X1711" t="s">
        <v>1953</v>
      </c>
      <c r="Y1711">
        <v>23818</v>
      </c>
      <c r="Z1711">
        <v>716958</v>
      </c>
      <c r="AA1711">
        <v>73872</v>
      </c>
      <c r="AB1711" t="str">
        <f>(VLOOKUP(SalesData[[#This Row],[Month Number]],Reference!C$5:E$16,2,FALSE))</f>
        <v>Feb</v>
      </c>
      <c r="AC1711">
        <f>MONTH(SalesData[[#This Row],[Date]])</f>
        <v>2</v>
      </c>
      <c r="AD1711">
        <f>Reference!F$4</f>
        <v>2026</v>
      </c>
      <c r="AE1711" t="str">
        <f>IF(OR(SalesData[[#This Row],[Day]]="Saturday",SalesData[[#This Row],[Day]]="Sunday"),"Weekend","Weekday")</f>
        <v>Weekday</v>
      </c>
      <c r="AF1711" s="5">
        <f>IF(SalesData[[#This Row],[Contracts Offered]]=0,0,SalesData[[#This Row],[Contracts Signed]]/SalesData[[#This Row],[Contracts Offered]])</f>
        <v>0.2109375</v>
      </c>
      <c r="AG1711" s="5">
        <f>IF(SalesData[[#This Row],[Customers Visited]]=0,0,SalesData[[#This Row],[Test Drives]]/SalesData[[#This Row],[Customers Visited]])</f>
        <v>0.42138364779874216</v>
      </c>
      <c r="AH1711" s="5">
        <f>IF(SalesData[[#This Row],[Customers Visited]]=0,0,SalesData[[#This Row],[Contracts Signed]]/SalesData[[#This Row],[Customers Visited]])</f>
        <v>5.6603773584905662E-2</v>
      </c>
      <c r="AI1711" s="6">
        <f>IF(SalesData[[#This Row],[Contracts Signed]]=0,0,SalesData[[#This Row],[Profit(€)]]/SalesData[[#This Row],[Contracts Signed]])</f>
        <v>2736</v>
      </c>
      <c r="AJ1711" s="5" t="str">
        <f>TRIM(CLEAN(SalesData[[#This Row],[Retailer]]))</f>
        <v>Main Auto Hub</v>
      </c>
    </row>
    <row r="1712" spans="1:36" ht="14.25" hidden="1" x14ac:dyDescent="0.2">
      <c r="A1712" t="s">
        <v>2652</v>
      </c>
      <c r="B1712" s="1">
        <v>46072</v>
      </c>
      <c r="C1712" t="s">
        <v>62</v>
      </c>
      <c r="D1712" t="s">
        <v>100</v>
      </c>
      <c r="E1712" t="s">
        <v>26</v>
      </c>
      <c r="F1712" t="s">
        <v>83</v>
      </c>
      <c r="G1712" t="s">
        <v>84</v>
      </c>
      <c r="H1712" t="s">
        <v>85</v>
      </c>
      <c r="I1712" t="s">
        <v>56</v>
      </c>
      <c r="J1712" t="s">
        <v>179</v>
      </c>
      <c r="K1712" t="s">
        <v>32</v>
      </c>
      <c r="L1712" t="s">
        <v>67</v>
      </c>
      <c r="M1712" t="s">
        <v>87</v>
      </c>
      <c r="N1712" t="s">
        <v>48</v>
      </c>
      <c r="O1712" t="s">
        <v>36</v>
      </c>
      <c r="P1712" t="s">
        <v>71</v>
      </c>
      <c r="Q1712" t="s">
        <v>50</v>
      </c>
      <c r="R1712">
        <v>304</v>
      </c>
      <c r="S1712">
        <v>142</v>
      </c>
      <c r="T1712">
        <v>95</v>
      </c>
      <c r="U1712">
        <v>33</v>
      </c>
      <c r="V1712" t="s">
        <v>7005</v>
      </c>
      <c r="W1712">
        <v>41018</v>
      </c>
      <c r="X1712" t="s">
        <v>7299</v>
      </c>
      <c r="Y1712">
        <v>31275</v>
      </c>
      <c r="Z1712">
        <v>1353594</v>
      </c>
      <c r="AA1712">
        <v>321519</v>
      </c>
      <c r="AB1712" t="str">
        <f>(VLOOKUP(SalesData[[#This Row],[Month Number]],Reference!C$5:E$16,2,FALSE))</f>
        <v>Feb</v>
      </c>
      <c r="AC1712">
        <f>MONTH(SalesData[[#This Row],[Date]])</f>
        <v>2</v>
      </c>
      <c r="AD1712">
        <f>Reference!F$4</f>
        <v>2026</v>
      </c>
      <c r="AE1712" t="str">
        <f>IF(OR(SalesData[[#This Row],[Day]]="Saturday",SalesData[[#This Row],[Day]]="Sunday"),"Weekend","Weekday")</f>
        <v>Weekday</v>
      </c>
      <c r="AF1712" s="5">
        <f>IF(SalesData[[#This Row],[Contracts Offered]]=0,0,SalesData[[#This Row],[Contracts Signed]]/SalesData[[#This Row],[Contracts Offered]])</f>
        <v>0.3473684210526316</v>
      </c>
      <c r="AG1712" s="5">
        <f>IF(SalesData[[#This Row],[Customers Visited]]=0,0,SalesData[[#This Row],[Test Drives]]/SalesData[[#This Row],[Customers Visited]])</f>
        <v>0.46710526315789475</v>
      </c>
      <c r="AH1712" s="5">
        <f>IF(SalesData[[#This Row],[Customers Visited]]=0,0,SalesData[[#This Row],[Contracts Signed]]/SalesData[[#This Row],[Customers Visited]])</f>
        <v>0.10855263157894737</v>
      </c>
      <c r="AI1712" s="6">
        <f>IF(SalesData[[#This Row],[Contracts Signed]]=0,0,SalesData[[#This Row],[Profit(€)]]/SalesData[[#This Row],[Contracts Signed]])</f>
        <v>9743</v>
      </c>
      <c r="AJ1712" s="5" t="str">
        <f>TRIM(CLEAN(SalesData[[#This Row],[Retailer]]))</f>
        <v>Hannover Cars</v>
      </c>
    </row>
    <row r="1713" spans="1:36" ht="14.25" hidden="1" x14ac:dyDescent="0.2">
      <c r="A1713" t="s">
        <v>2653</v>
      </c>
      <c r="B1713" s="1">
        <v>46063</v>
      </c>
      <c r="C1713" t="s">
        <v>121</v>
      </c>
      <c r="D1713" t="s">
        <v>63</v>
      </c>
      <c r="E1713" t="s">
        <v>26</v>
      </c>
      <c r="F1713" t="s">
        <v>109</v>
      </c>
      <c r="G1713" t="s">
        <v>110</v>
      </c>
      <c r="H1713" t="s">
        <v>45</v>
      </c>
      <c r="I1713" t="s">
        <v>116</v>
      </c>
      <c r="J1713" t="s">
        <v>132</v>
      </c>
      <c r="K1713" t="s">
        <v>91</v>
      </c>
      <c r="L1713" t="s">
        <v>46</v>
      </c>
      <c r="M1713" t="s">
        <v>87</v>
      </c>
      <c r="N1713" t="s">
        <v>69</v>
      </c>
      <c r="O1713" t="s">
        <v>36</v>
      </c>
      <c r="P1713" t="s">
        <v>49</v>
      </c>
      <c r="Q1713" t="s">
        <v>88</v>
      </c>
      <c r="R1713">
        <v>246</v>
      </c>
      <c r="S1713">
        <v>101</v>
      </c>
      <c r="T1713">
        <v>59</v>
      </c>
      <c r="U1713">
        <v>16</v>
      </c>
      <c r="V1713" t="s">
        <v>1746</v>
      </c>
      <c r="W1713">
        <v>21957</v>
      </c>
      <c r="X1713" t="s">
        <v>1017</v>
      </c>
      <c r="Y1713">
        <v>19706</v>
      </c>
      <c r="Z1713">
        <v>351312</v>
      </c>
      <c r="AA1713">
        <v>36016</v>
      </c>
      <c r="AB1713" t="str">
        <f>(VLOOKUP(SalesData[[#This Row],[Month Number]],Reference!C$5:E$16,2,FALSE))</f>
        <v>Feb</v>
      </c>
      <c r="AC1713">
        <f>MONTH(SalesData[[#This Row],[Date]])</f>
        <v>2</v>
      </c>
      <c r="AD1713">
        <f>Reference!F$4</f>
        <v>2026</v>
      </c>
      <c r="AE1713" t="str">
        <f>IF(OR(SalesData[[#This Row],[Day]]="Saturday",SalesData[[#This Row],[Day]]="Sunday"),"Weekend","Weekday")</f>
        <v>Weekday</v>
      </c>
      <c r="AF1713" s="5">
        <f>IF(SalesData[[#This Row],[Contracts Offered]]=0,0,SalesData[[#This Row],[Contracts Signed]]/SalesData[[#This Row],[Contracts Offered]])</f>
        <v>0.2711864406779661</v>
      </c>
      <c r="AG1713" s="5">
        <f>IF(SalesData[[#This Row],[Customers Visited]]=0,0,SalesData[[#This Row],[Test Drives]]/SalesData[[#This Row],[Customers Visited]])</f>
        <v>0.41056910569105692</v>
      </c>
      <c r="AH1713" s="5">
        <f>IF(SalesData[[#This Row],[Customers Visited]]=0,0,SalesData[[#This Row],[Contracts Signed]]/SalesData[[#This Row],[Customers Visited]])</f>
        <v>6.5040650406504072E-2</v>
      </c>
      <c r="AI1713" s="6">
        <f>IF(SalesData[[#This Row],[Contracts Signed]]=0,0,SalesData[[#This Row],[Profit(€)]]/SalesData[[#This Row],[Contracts Signed]])</f>
        <v>2251</v>
      </c>
      <c r="AJ1713" s="5" t="str">
        <f>TRIM(CLEAN(SalesData[[#This Row],[Retailer]]))</f>
        <v>Leipzig Mobility</v>
      </c>
    </row>
    <row r="1714" spans="1:36" ht="14.25" hidden="1" x14ac:dyDescent="0.2">
      <c r="A1714" t="s">
        <v>2654</v>
      </c>
      <c r="B1714" s="1">
        <v>46080</v>
      </c>
      <c r="C1714" t="s">
        <v>53</v>
      </c>
      <c r="D1714" t="s">
        <v>54</v>
      </c>
      <c r="E1714" t="s">
        <v>26</v>
      </c>
      <c r="F1714" t="s">
        <v>109</v>
      </c>
      <c r="G1714" t="s">
        <v>110</v>
      </c>
      <c r="H1714" t="s">
        <v>45</v>
      </c>
      <c r="I1714" t="s">
        <v>104</v>
      </c>
      <c r="J1714" t="s">
        <v>140</v>
      </c>
      <c r="K1714" t="s">
        <v>78</v>
      </c>
      <c r="L1714" t="s">
        <v>46</v>
      </c>
      <c r="M1714" t="s">
        <v>34</v>
      </c>
      <c r="N1714" t="s">
        <v>35</v>
      </c>
      <c r="O1714" t="s">
        <v>70</v>
      </c>
      <c r="P1714" t="s">
        <v>37</v>
      </c>
      <c r="Q1714" t="s">
        <v>59</v>
      </c>
      <c r="R1714">
        <v>452</v>
      </c>
      <c r="S1714">
        <v>188</v>
      </c>
      <c r="T1714">
        <v>134</v>
      </c>
      <c r="U1714">
        <v>25</v>
      </c>
      <c r="V1714" t="s">
        <v>4345</v>
      </c>
      <c r="W1714">
        <v>31405</v>
      </c>
      <c r="X1714" t="s">
        <v>3663</v>
      </c>
      <c r="Y1714">
        <v>27522</v>
      </c>
      <c r="Z1714">
        <v>785125</v>
      </c>
      <c r="AA1714">
        <v>97075</v>
      </c>
      <c r="AB1714" t="str">
        <f>(VLOOKUP(SalesData[[#This Row],[Month Number]],Reference!C$5:E$16,2,FALSE))</f>
        <v>Feb</v>
      </c>
      <c r="AC1714">
        <f>MONTH(SalesData[[#This Row],[Date]])</f>
        <v>2</v>
      </c>
      <c r="AD1714">
        <f>Reference!F$4</f>
        <v>2026</v>
      </c>
      <c r="AE1714" t="str">
        <f>IF(OR(SalesData[[#This Row],[Day]]="Saturday",SalesData[[#This Row],[Day]]="Sunday"),"Weekend","Weekday")</f>
        <v>Weekday</v>
      </c>
      <c r="AF1714" s="5">
        <f>IF(SalesData[[#This Row],[Contracts Offered]]=0,0,SalesData[[#This Row],[Contracts Signed]]/SalesData[[#This Row],[Contracts Offered]])</f>
        <v>0.18656716417910449</v>
      </c>
      <c r="AG1714" s="5">
        <f>IF(SalesData[[#This Row],[Customers Visited]]=0,0,SalesData[[#This Row],[Test Drives]]/SalesData[[#This Row],[Customers Visited]])</f>
        <v>0.41592920353982299</v>
      </c>
      <c r="AH1714" s="5">
        <f>IF(SalesData[[#This Row],[Customers Visited]]=0,0,SalesData[[#This Row],[Contracts Signed]]/SalesData[[#This Row],[Customers Visited]])</f>
        <v>5.5309734513274339E-2</v>
      </c>
      <c r="AI1714" s="6">
        <f>IF(SalesData[[#This Row],[Contracts Signed]]=0,0,SalesData[[#This Row],[Profit(€)]]/SalesData[[#This Row],[Contracts Signed]])</f>
        <v>3883</v>
      </c>
      <c r="AJ1714" s="5" t="str">
        <f>TRIM(CLEAN(SalesData[[#This Row],[Retailer]]))</f>
        <v>Leipzig Mobility</v>
      </c>
    </row>
    <row r="1715" spans="1:36" ht="14.25" x14ac:dyDescent="0.2">
      <c r="A1715" t="s">
        <v>2655</v>
      </c>
      <c r="B1715" s="1">
        <v>46072</v>
      </c>
      <c r="C1715" t="s">
        <v>62</v>
      </c>
      <c r="D1715" t="s">
        <v>100</v>
      </c>
      <c r="E1715" t="s">
        <v>26</v>
      </c>
      <c r="F1715" t="s">
        <v>27</v>
      </c>
      <c r="G1715" t="s">
        <v>28</v>
      </c>
      <c r="H1715" t="s">
        <v>29</v>
      </c>
      <c r="I1715" t="s">
        <v>30</v>
      </c>
      <c r="J1715" t="s">
        <v>86</v>
      </c>
      <c r="K1715" t="s">
        <v>66</v>
      </c>
      <c r="L1715" t="s">
        <v>33</v>
      </c>
      <c r="M1715" t="s">
        <v>87</v>
      </c>
      <c r="N1715" t="s">
        <v>69</v>
      </c>
      <c r="O1715" t="s">
        <v>70</v>
      </c>
      <c r="P1715" t="s">
        <v>71</v>
      </c>
      <c r="Q1715" t="s">
        <v>88</v>
      </c>
      <c r="R1715">
        <v>168</v>
      </c>
      <c r="S1715">
        <v>82</v>
      </c>
      <c r="T1715">
        <v>57</v>
      </c>
      <c r="U1715">
        <v>23</v>
      </c>
      <c r="V1715" t="s">
        <v>6422</v>
      </c>
      <c r="W1715">
        <v>64979</v>
      </c>
      <c r="X1715" t="s">
        <v>7126</v>
      </c>
      <c r="Y1715">
        <v>47436</v>
      </c>
      <c r="Z1715">
        <v>1494517</v>
      </c>
      <c r="AA1715">
        <v>403489</v>
      </c>
      <c r="AB1715" t="str">
        <f>(VLOOKUP(SalesData[[#This Row],[Month Number]],Reference!C$5:E$16,2,FALSE))</f>
        <v>Feb</v>
      </c>
      <c r="AC1715">
        <f>MONTH(SalesData[[#This Row],[Date]])</f>
        <v>2</v>
      </c>
      <c r="AD1715">
        <f>Reference!F$4</f>
        <v>2026</v>
      </c>
      <c r="AE1715" t="str">
        <f>IF(OR(SalesData[[#This Row],[Day]]="Saturday",SalesData[[#This Row],[Day]]="Sunday"),"Weekend","Weekday")</f>
        <v>Weekday</v>
      </c>
      <c r="AF1715" s="5">
        <f>IF(SalesData[[#This Row],[Contracts Offered]]=0,0,SalesData[[#This Row],[Contracts Signed]]/SalesData[[#This Row],[Contracts Offered]])</f>
        <v>0.40350877192982454</v>
      </c>
      <c r="AG1715" s="5">
        <f>IF(SalesData[[#This Row],[Customers Visited]]=0,0,SalesData[[#This Row],[Test Drives]]/SalesData[[#This Row],[Customers Visited]])</f>
        <v>0.48809523809523808</v>
      </c>
      <c r="AH1715" s="5">
        <f>IF(SalesData[[#This Row],[Customers Visited]]=0,0,SalesData[[#This Row],[Contracts Signed]]/SalesData[[#This Row],[Customers Visited]])</f>
        <v>0.13690476190476192</v>
      </c>
      <c r="AI1715" s="6">
        <f>IF(SalesData[[#This Row],[Contracts Signed]]=0,0,SalesData[[#This Row],[Profit(€)]]/SalesData[[#This Row],[Contracts Signed]])</f>
        <v>17543</v>
      </c>
      <c r="AJ1715" s="5" t="str">
        <f>TRIM(CLEAN(SalesData[[#This Row],[Retailer]]))</f>
        <v>Main Auto Hub</v>
      </c>
    </row>
    <row r="1716" spans="1:36" ht="14.25" x14ac:dyDescent="0.2">
      <c r="A1716" t="s">
        <v>2656</v>
      </c>
      <c r="B1716" s="1">
        <v>46061</v>
      </c>
      <c r="C1716" t="s">
        <v>121</v>
      </c>
      <c r="D1716" t="s">
        <v>41</v>
      </c>
      <c r="E1716" t="s">
        <v>42</v>
      </c>
      <c r="F1716" t="s">
        <v>74</v>
      </c>
      <c r="G1716" t="s">
        <v>75</v>
      </c>
      <c r="H1716" t="s">
        <v>76</v>
      </c>
      <c r="I1716" t="s">
        <v>30</v>
      </c>
      <c r="J1716" t="s">
        <v>31</v>
      </c>
      <c r="K1716" t="s">
        <v>32</v>
      </c>
      <c r="L1716" t="s">
        <v>46</v>
      </c>
      <c r="M1716" t="s">
        <v>34</v>
      </c>
      <c r="N1716" t="s">
        <v>48</v>
      </c>
      <c r="O1716" t="s">
        <v>36</v>
      </c>
      <c r="P1716" t="s">
        <v>37</v>
      </c>
      <c r="Q1716" t="s">
        <v>144</v>
      </c>
      <c r="R1716">
        <v>238</v>
      </c>
      <c r="S1716">
        <v>142</v>
      </c>
      <c r="T1716">
        <v>98</v>
      </c>
      <c r="U1716">
        <v>40</v>
      </c>
      <c r="V1716" t="s">
        <v>6622</v>
      </c>
      <c r="W1716">
        <v>58831</v>
      </c>
      <c r="X1716" t="s">
        <v>7205</v>
      </c>
      <c r="Y1716">
        <v>43935</v>
      </c>
      <c r="Z1716">
        <v>2353240</v>
      </c>
      <c r="AA1716">
        <v>595840</v>
      </c>
      <c r="AB1716" t="str">
        <f>(VLOOKUP(SalesData[[#This Row],[Month Number]],Reference!C$5:E$16,2,FALSE))</f>
        <v>Feb</v>
      </c>
      <c r="AC1716">
        <f>MONTH(SalesData[[#This Row],[Date]])</f>
        <v>2</v>
      </c>
      <c r="AD1716">
        <f>Reference!F$4</f>
        <v>2026</v>
      </c>
      <c r="AE1716" t="str">
        <f>IF(OR(SalesData[[#This Row],[Day]]="Saturday",SalesData[[#This Row],[Day]]="Sunday"),"Weekend","Weekday")</f>
        <v>Weekend</v>
      </c>
      <c r="AF1716" s="5">
        <f>IF(SalesData[[#This Row],[Contracts Offered]]=0,0,SalesData[[#This Row],[Contracts Signed]]/SalesData[[#This Row],[Contracts Offered]])</f>
        <v>0.40816326530612246</v>
      </c>
      <c r="AG1716" s="5">
        <f>IF(SalesData[[#This Row],[Customers Visited]]=0,0,SalesData[[#This Row],[Test Drives]]/SalesData[[#This Row],[Customers Visited]])</f>
        <v>0.59663865546218486</v>
      </c>
      <c r="AH1716" s="5">
        <f>IF(SalesData[[#This Row],[Customers Visited]]=0,0,SalesData[[#This Row],[Contracts Signed]]/SalesData[[#This Row],[Customers Visited]])</f>
        <v>0.16806722689075632</v>
      </c>
      <c r="AI1716" s="6">
        <f>IF(SalesData[[#This Row],[Contracts Signed]]=0,0,SalesData[[#This Row],[Profit(€)]]/SalesData[[#This Row],[Contracts Signed]])</f>
        <v>14896</v>
      </c>
      <c r="AJ1716" s="5" t="str">
        <f>TRIM(CLEAN(SalesData[[#This Row],[Retailer]]))</f>
        <v>Stuttgart Auto Center</v>
      </c>
    </row>
    <row r="1717" spans="1:36" ht="14.25" hidden="1" x14ac:dyDescent="0.2">
      <c r="A1717" t="s">
        <v>2657</v>
      </c>
      <c r="B1717" s="1">
        <v>46057</v>
      </c>
      <c r="C1717" t="s">
        <v>24</v>
      </c>
      <c r="D1717" t="s">
        <v>82</v>
      </c>
      <c r="E1717" t="s">
        <v>26</v>
      </c>
      <c r="F1717" t="s">
        <v>101</v>
      </c>
      <c r="G1717" t="s">
        <v>102</v>
      </c>
      <c r="H1717" t="s">
        <v>103</v>
      </c>
      <c r="I1717" t="s">
        <v>104</v>
      </c>
      <c r="J1717" t="s">
        <v>143</v>
      </c>
      <c r="K1717" t="s">
        <v>91</v>
      </c>
      <c r="L1717" t="s">
        <v>67</v>
      </c>
      <c r="M1717" t="s">
        <v>47</v>
      </c>
      <c r="N1717" t="s">
        <v>69</v>
      </c>
      <c r="O1717" t="s">
        <v>70</v>
      </c>
      <c r="P1717" t="s">
        <v>71</v>
      </c>
      <c r="Q1717" t="s">
        <v>88</v>
      </c>
      <c r="R1717">
        <v>432</v>
      </c>
      <c r="S1717">
        <v>179</v>
      </c>
      <c r="T1717">
        <v>111</v>
      </c>
      <c r="U1717">
        <v>27</v>
      </c>
      <c r="V1717" t="s">
        <v>3005</v>
      </c>
      <c r="W1717">
        <v>31919</v>
      </c>
      <c r="X1717" t="s">
        <v>5782</v>
      </c>
      <c r="Y1717">
        <v>28094</v>
      </c>
      <c r="Z1717">
        <v>861813</v>
      </c>
      <c r="AA1717">
        <v>103275</v>
      </c>
      <c r="AB1717" t="str">
        <f>(VLOOKUP(SalesData[[#This Row],[Month Number]],Reference!C$5:E$16,2,FALSE))</f>
        <v>Feb</v>
      </c>
      <c r="AC1717">
        <f>MONTH(SalesData[[#This Row],[Date]])</f>
        <v>2</v>
      </c>
      <c r="AD1717">
        <f>Reference!F$4</f>
        <v>2026</v>
      </c>
      <c r="AE1717" t="str">
        <f>IF(OR(SalesData[[#This Row],[Day]]="Saturday",SalesData[[#This Row],[Day]]="Sunday"),"Weekend","Weekday")</f>
        <v>Weekday</v>
      </c>
      <c r="AF1717" s="5">
        <f>IF(SalesData[[#This Row],[Contracts Offered]]=0,0,SalesData[[#This Row],[Contracts Signed]]/SalesData[[#This Row],[Contracts Offered]])</f>
        <v>0.24324324324324326</v>
      </c>
      <c r="AG1717" s="5">
        <f>IF(SalesData[[#This Row],[Customers Visited]]=0,0,SalesData[[#This Row],[Test Drives]]/SalesData[[#This Row],[Customers Visited]])</f>
        <v>0.41435185185185186</v>
      </c>
      <c r="AH1717" s="5">
        <f>IF(SalesData[[#This Row],[Customers Visited]]=0,0,SalesData[[#This Row],[Contracts Signed]]/SalesData[[#This Row],[Customers Visited]])</f>
        <v>6.25E-2</v>
      </c>
      <c r="AI1717" s="6">
        <f>IF(SalesData[[#This Row],[Contracts Signed]]=0,0,SalesData[[#This Row],[Profit(€)]]/SalesData[[#This Row],[Contracts Signed]])</f>
        <v>3825</v>
      </c>
      <c r="AJ1717" s="5" t="str">
        <f>TRIM(CLEAN(SalesData[[#This Row],[Retailer]]))</f>
        <v>Ruhr Auto Plaza</v>
      </c>
    </row>
    <row r="1718" spans="1:36" ht="14.25" x14ac:dyDescent="0.2">
      <c r="A1718" t="s">
        <v>2658</v>
      </c>
      <c r="B1718" s="1">
        <v>46064</v>
      </c>
      <c r="C1718" t="s">
        <v>121</v>
      </c>
      <c r="D1718" t="s">
        <v>82</v>
      </c>
      <c r="E1718" t="s">
        <v>26</v>
      </c>
      <c r="F1718" t="s">
        <v>83</v>
      </c>
      <c r="G1718" t="s">
        <v>84</v>
      </c>
      <c r="H1718" t="s">
        <v>85</v>
      </c>
      <c r="I1718" t="s">
        <v>30</v>
      </c>
      <c r="J1718" t="s">
        <v>188</v>
      </c>
      <c r="K1718" t="s">
        <v>32</v>
      </c>
      <c r="L1718" t="s">
        <v>33</v>
      </c>
      <c r="M1718" t="s">
        <v>34</v>
      </c>
      <c r="N1718" t="s">
        <v>69</v>
      </c>
      <c r="O1718" t="s">
        <v>36</v>
      </c>
      <c r="P1718" t="s">
        <v>37</v>
      </c>
      <c r="Q1718" t="s">
        <v>122</v>
      </c>
      <c r="R1718">
        <v>152</v>
      </c>
      <c r="S1718">
        <v>92</v>
      </c>
      <c r="T1718">
        <v>69</v>
      </c>
      <c r="U1718">
        <v>26</v>
      </c>
      <c r="V1718" t="s">
        <v>6896</v>
      </c>
      <c r="W1718">
        <v>56959</v>
      </c>
      <c r="X1718" t="s">
        <v>7296</v>
      </c>
      <c r="Y1718">
        <v>44200</v>
      </c>
      <c r="Z1718">
        <v>1480934</v>
      </c>
      <c r="AA1718">
        <v>331734</v>
      </c>
      <c r="AB1718" t="str">
        <f>(VLOOKUP(SalesData[[#This Row],[Month Number]],Reference!C$5:E$16,2,FALSE))</f>
        <v>Feb</v>
      </c>
      <c r="AC1718">
        <f>MONTH(SalesData[[#This Row],[Date]])</f>
        <v>2</v>
      </c>
      <c r="AD1718">
        <f>Reference!F$4</f>
        <v>2026</v>
      </c>
      <c r="AE1718" t="str">
        <f>IF(OR(SalesData[[#This Row],[Day]]="Saturday",SalesData[[#This Row],[Day]]="Sunday"),"Weekend","Weekday")</f>
        <v>Weekday</v>
      </c>
      <c r="AF1718" s="5">
        <f>IF(SalesData[[#This Row],[Contracts Offered]]=0,0,SalesData[[#This Row],[Contracts Signed]]/SalesData[[#This Row],[Contracts Offered]])</f>
        <v>0.37681159420289856</v>
      </c>
      <c r="AG1718" s="5">
        <f>IF(SalesData[[#This Row],[Customers Visited]]=0,0,SalesData[[#This Row],[Test Drives]]/SalesData[[#This Row],[Customers Visited]])</f>
        <v>0.60526315789473684</v>
      </c>
      <c r="AH1718" s="5">
        <f>IF(SalesData[[#This Row],[Customers Visited]]=0,0,SalesData[[#This Row],[Contracts Signed]]/SalesData[[#This Row],[Customers Visited]])</f>
        <v>0.17105263157894737</v>
      </c>
      <c r="AI1718" s="6">
        <f>IF(SalesData[[#This Row],[Contracts Signed]]=0,0,SalesData[[#This Row],[Profit(€)]]/SalesData[[#This Row],[Contracts Signed]])</f>
        <v>12759</v>
      </c>
      <c r="AJ1718" s="5" t="str">
        <f>TRIM(CLEAN(SalesData[[#This Row],[Retailer]]))</f>
        <v>Hannover Cars</v>
      </c>
    </row>
    <row r="1719" spans="1:36" ht="14.25" hidden="1" x14ac:dyDescent="0.2">
      <c r="A1719" t="s">
        <v>2659</v>
      </c>
      <c r="B1719" s="1">
        <v>46080</v>
      </c>
      <c r="C1719" t="s">
        <v>53</v>
      </c>
      <c r="D1719" t="s">
        <v>54</v>
      </c>
      <c r="E1719" t="s">
        <v>26</v>
      </c>
      <c r="F1719" t="s">
        <v>94</v>
      </c>
      <c r="G1719" t="s">
        <v>95</v>
      </c>
      <c r="H1719" t="s">
        <v>96</v>
      </c>
      <c r="I1719" t="s">
        <v>116</v>
      </c>
      <c r="J1719" t="s">
        <v>7090</v>
      </c>
      <c r="K1719" t="s">
        <v>32</v>
      </c>
      <c r="L1719" t="s">
        <v>46</v>
      </c>
      <c r="M1719" t="s">
        <v>34</v>
      </c>
      <c r="N1719" t="s">
        <v>35</v>
      </c>
      <c r="O1719" t="s">
        <v>70</v>
      </c>
      <c r="P1719" t="s">
        <v>58</v>
      </c>
      <c r="Q1719" t="s">
        <v>59</v>
      </c>
      <c r="R1719">
        <v>311</v>
      </c>
      <c r="S1719">
        <v>121</v>
      </c>
      <c r="T1719">
        <v>76</v>
      </c>
      <c r="U1719">
        <v>26</v>
      </c>
      <c r="V1719" t="s">
        <v>6670</v>
      </c>
      <c r="W1719">
        <v>24589</v>
      </c>
      <c r="X1719" t="s">
        <v>7443</v>
      </c>
      <c r="Y1719">
        <v>22518</v>
      </c>
      <c r="Z1719">
        <v>639314</v>
      </c>
      <c r="AA1719">
        <v>53846</v>
      </c>
      <c r="AB1719" t="str">
        <f>(VLOOKUP(SalesData[[#This Row],[Month Number]],Reference!C$5:E$16,2,FALSE))</f>
        <v>Feb</v>
      </c>
      <c r="AC1719">
        <f>MONTH(SalesData[[#This Row],[Date]])</f>
        <v>2</v>
      </c>
      <c r="AD1719">
        <f>Reference!F$4</f>
        <v>2026</v>
      </c>
      <c r="AE1719" t="str">
        <f>IF(OR(SalesData[[#This Row],[Day]]="Saturday",SalesData[[#This Row],[Day]]="Sunday"),"Weekend","Weekday")</f>
        <v>Weekday</v>
      </c>
      <c r="AF1719" s="5">
        <f>IF(SalesData[[#This Row],[Contracts Offered]]=0,0,SalesData[[#This Row],[Contracts Signed]]/SalesData[[#This Row],[Contracts Offered]])</f>
        <v>0.34210526315789475</v>
      </c>
      <c r="AG1719" s="5">
        <f>IF(SalesData[[#This Row],[Customers Visited]]=0,0,SalesData[[#This Row],[Test Drives]]/SalesData[[#This Row],[Customers Visited]])</f>
        <v>0.38906752411575563</v>
      </c>
      <c r="AH1719" s="5">
        <f>IF(SalesData[[#This Row],[Customers Visited]]=0,0,SalesData[[#This Row],[Contracts Signed]]/SalesData[[#This Row],[Customers Visited]])</f>
        <v>8.3601286173633438E-2</v>
      </c>
      <c r="AI1719" s="6">
        <f>IF(SalesData[[#This Row],[Contracts Signed]]=0,0,SalesData[[#This Row],[Profit(€)]]/SalesData[[#This Row],[Contracts Signed]])</f>
        <v>2071</v>
      </c>
      <c r="AJ1719" s="5" t="str">
        <f>TRIM(CLEAN(SalesData[[#This Row],[Retailer]]))</f>
        <v>Bavaria Motors</v>
      </c>
    </row>
    <row r="1720" spans="1:36" ht="14.25" hidden="1" x14ac:dyDescent="0.2">
      <c r="A1720" t="s">
        <v>2660</v>
      </c>
      <c r="B1720" s="1">
        <v>46081</v>
      </c>
      <c r="C1720" t="s">
        <v>53</v>
      </c>
      <c r="D1720" t="s">
        <v>151</v>
      </c>
      <c r="E1720" t="s">
        <v>42</v>
      </c>
      <c r="F1720" t="s">
        <v>114</v>
      </c>
      <c r="G1720" t="s">
        <v>115</v>
      </c>
      <c r="H1720" t="s">
        <v>115</v>
      </c>
      <c r="I1720" t="s">
        <v>64</v>
      </c>
      <c r="J1720" t="s">
        <v>7029</v>
      </c>
      <c r="K1720" t="s">
        <v>91</v>
      </c>
      <c r="L1720" t="s">
        <v>33</v>
      </c>
      <c r="M1720" t="s">
        <v>68</v>
      </c>
      <c r="N1720" t="s">
        <v>35</v>
      </c>
      <c r="O1720" t="s">
        <v>36</v>
      </c>
      <c r="P1720" t="s">
        <v>71</v>
      </c>
      <c r="Q1720" t="s">
        <v>240</v>
      </c>
      <c r="R1720">
        <v>216</v>
      </c>
      <c r="S1720">
        <v>125</v>
      </c>
      <c r="T1720">
        <v>93</v>
      </c>
      <c r="U1720">
        <v>35</v>
      </c>
      <c r="V1720" t="s">
        <v>6544</v>
      </c>
      <c r="W1720">
        <v>70622</v>
      </c>
      <c r="X1720" t="s">
        <v>7314</v>
      </c>
      <c r="Y1720">
        <v>54528</v>
      </c>
      <c r="Z1720">
        <v>2471770</v>
      </c>
      <c r="AA1720">
        <v>563290</v>
      </c>
      <c r="AB1720" t="str">
        <f>(VLOOKUP(SalesData[[#This Row],[Month Number]],Reference!C$5:E$16,2,FALSE))</f>
        <v>Feb</v>
      </c>
      <c r="AC1720">
        <f>MONTH(SalesData[[#This Row],[Date]])</f>
        <v>2</v>
      </c>
      <c r="AD1720">
        <f>Reference!F$4</f>
        <v>2026</v>
      </c>
      <c r="AE1720" t="str">
        <f>IF(OR(SalesData[[#This Row],[Day]]="Saturday",SalesData[[#This Row],[Day]]="Sunday"),"Weekend","Weekday")</f>
        <v>Weekend</v>
      </c>
      <c r="AF1720" s="5">
        <f>IF(SalesData[[#This Row],[Contracts Offered]]=0,0,SalesData[[#This Row],[Contracts Signed]]/SalesData[[#This Row],[Contracts Offered]])</f>
        <v>0.37634408602150538</v>
      </c>
      <c r="AG1720" s="5">
        <f>IF(SalesData[[#This Row],[Customers Visited]]=0,0,SalesData[[#This Row],[Test Drives]]/SalesData[[#This Row],[Customers Visited]])</f>
        <v>0.57870370370370372</v>
      </c>
      <c r="AH1720" s="5">
        <f>IF(SalesData[[#This Row],[Customers Visited]]=0,0,SalesData[[#This Row],[Contracts Signed]]/SalesData[[#This Row],[Customers Visited]])</f>
        <v>0.16203703703703703</v>
      </c>
      <c r="AI1720" s="6">
        <f>IF(SalesData[[#This Row],[Contracts Signed]]=0,0,SalesData[[#This Row],[Profit(€)]]/SalesData[[#This Row],[Contracts Signed]])</f>
        <v>16094</v>
      </c>
      <c r="AJ1720" s="5" t="str">
        <f>TRIM(CLEAN(SalesData[[#This Row],[Retailer]]))</f>
        <v>Elbe Drive</v>
      </c>
    </row>
    <row r="1721" spans="1:36" ht="14.25" hidden="1" x14ac:dyDescent="0.2">
      <c r="A1721" t="s">
        <v>2661</v>
      </c>
      <c r="B1721" s="1">
        <v>46054</v>
      </c>
      <c r="C1721" t="s">
        <v>24</v>
      </c>
      <c r="D1721" t="s">
        <v>41</v>
      </c>
      <c r="E1721" t="s">
        <v>42</v>
      </c>
      <c r="F1721" t="s">
        <v>94</v>
      </c>
      <c r="G1721" t="s">
        <v>95</v>
      </c>
      <c r="H1721" t="s">
        <v>96</v>
      </c>
      <c r="I1721" t="s">
        <v>116</v>
      </c>
      <c r="J1721" t="s">
        <v>132</v>
      </c>
      <c r="K1721" t="s">
        <v>91</v>
      </c>
      <c r="L1721" t="s">
        <v>46</v>
      </c>
      <c r="M1721" t="s">
        <v>68</v>
      </c>
      <c r="N1721" t="s">
        <v>48</v>
      </c>
      <c r="O1721" t="s">
        <v>36</v>
      </c>
      <c r="P1721" t="s">
        <v>49</v>
      </c>
      <c r="Q1721" t="s">
        <v>106</v>
      </c>
      <c r="R1721">
        <v>224</v>
      </c>
      <c r="S1721">
        <v>95</v>
      </c>
      <c r="T1721">
        <v>59</v>
      </c>
      <c r="U1721">
        <v>17</v>
      </c>
      <c r="V1721" t="s">
        <v>812</v>
      </c>
      <c r="W1721">
        <v>23690</v>
      </c>
      <c r="X1721" t="s">
        <v>1683</v>
      </c>
      <c r="Y1721">
        <v>21740</v>
      </c>
      <c r="Z1721">
        <v>402730</v>
      </c>
      <c r="AA1721">
        <v>33150</v>
      </c>
      <c r="AB1721" t="str">
        <f>(VLOOKUP(SalesData[[#This Row],[Month Number]],Reference!C$5:E$16,2,FALSE))</f>
        <v>Feb</v>
      </c>
      <c r="AC1721">
        <f>MONTH(SalesData[[#This Row],[Date]])</f>
        <v>2</v>
      </c>
      <c r="AD1721">
        <f>Reference!F$4</f>
        <v>2026</v>
      </c>
      <c r="AE1721" t="str">
        <f>IF(OR(SalesData[[#This Row],[Day]]="Saturday",SalesData[[#This Row],[Day]]="Sunday"),"Weekend","Weekday")</f>
        <v>Weekend</v>
      </c>
      <c r="AF1721" s="5">
        <f>IF(SalesData[[#This Row],[Contracts Offered]]=0,0,SalesData[[#This Row],[Contracts Signed]]/SalesData[[#This Row],[Contracts Offered]])</f>
        <v>0.28813559322033899</v>
      </c>
      <c r="AG1721" s="5">
        <f>IF(SalesData[[#This Row],[Customers Visited]]=0,0,SalesData[[#This Row],[Test Drives]]/SalesData[[#This Row],[Customers Visited]])</f>
        <v>0.42410714285714285</v>
      </c>
      <c r="AH1721" s="5">
        <f>IF(SalesData[[#This Row],[Customers Visited]]=0,0,SalesData[[#This Row],[Contracts Signed]]/SalesData[[#This Row],[Customers Visited]])</f>
        <v>7.5892857142857137E-2</v>
      </c>
      <c r="AI1721" s="6">
        <f>IF(SalesData[[#This Row],[Contracts Signed]]=0,0,SalesData[[#This Row],[Profit(€)]]/SalesData[[#This Row],[Contracts Signed]])</f>
        <v>1950</v>
      </c>
      <c r="AJ1721" s="5" t="str">
        <f>TRIM(CLEAN(SalesData[[#This Row],[Retailer]]))</f>
        <v>Bavaria Motors</v>
      </c>
    </row>
    <row r="1722" spans="1:36" ht="14.25" hidden="1" x14ac:dyDescent="0.2">
      <c r="A1722" t="s">
        <v>2663</v>
      </c>
      <c r="B1722" s="1">
        <v>46061</v>
      </c>
      <c r="C1722" t="s">
        <v>121</v>
      </c>
      <c r="D1722" t="s">
        <v>41</v>
      </c>
      <c r="E1722" t="s">
        <v>42</v>
      </c>
      <c r="F1722" t="s">
        <v>43</v>
      </c>
      <c r="G1722" t="s">
        <v>44</v>
      </c>
      <c r="H1722" t="s">
        <v>45</v>
      </c>
      <c r="I1722" t="s">
        <v>56</v>
      </c>
      <c r="J1722" t="s">
        <v>97</v>
      </c>
      <c r="K1722" t="s">
        <v>91</v>
      </c>
      <c r="L1722" t="s">
        <v>33</v>
      </c>
      <c r="M1722" t="s">
        <v>68</v>
      </c>
      <c r="N1722" t="s">
        <v>48</v>
      </c>
      <c r="O1722" t="s">
        <v>70</v>
      </c>
      <c r="P1722" t="s">
        <v>71</v>
      </c>
      <c r="Q1722" t="s">
        <v>59</v>
      </c>
      <c r="R1722">
        <v>280</v>
      </c>
      <c r="S1722">
        <v>138</v>
      </c>
      <c r="T1722">
        <v>92</v>
      </c>
      <c r="U1722">
        <v>32</v>
      </c>
      <c r="V1722" t="s">
        <v>6568</v>
      </c>
      <c r="W1722">
        <v>47533</v>
      </c>
      <c r="X1722" t="s">
        <v>7072</v>
      </c>
      <c r="Y1722">
        <v>37471</v>
      </c>
      <c r="Z1722">
        <v>1521056</v>
      </c>
      <c r="AA1722">
        <v>321984</v>
      </c>
      <c r="AB1722" t="str">
        <f>(VLOOKUP(SalesData[[#This Row],[Month Number]],Reference!C$5:E$16,2,FALSE))</f>
        <v>Feb</v>
      </c>
      <c r="AC1722">
        <f>MONTH(SalesData[[#This Row],[Date]])</f>
        <v>2</v>
      </c>
      <c r="AD1722">
        <f>Reference!F$4</f>
        <v>2026</v>
      </c>
      <c r="AE1722" t="str">
        <f>IF(OR(SalesData[[#This Row],[Day]]="Saturday",SalesData[[#This Row],[Day]]="Sunday"),"Weekend","Weekday")</f>
        <v>Weekend</v>
      </c>
      <c r="AF1722" s="5">
        <f>IF(SalesData[[#This Row],[Contracts Offered]]=0,0,SalesData[[#This Row],[Contracts Signed]]/SalesData[[#This Row],[Contracts Offered]])</f>
        <v>0.34782608695652173</v>
      </c>
      <c r="AG1722" s="5">
        <f>IF(SalesData[[#This Row],[Customers Visited]]=0,0,SalesData[[#This Row],[Test Drives]]/SalesData[[#This Row],[Customers Visited]])</f>
        <v>0.49285714285714288</v>
      </c>
      <c r="AH1722" s="5">
        <f>IF(SalesData[[#This Row],[Customers Visited]]=0,0,SalesData[[#This Row],[Contracts Signed]]/SalesData[[#This Row],[Customers Visited]])</f>
        <v>0.11428571428571428</v>
      </c>
      <c r="AI1722" s="6">
        <f>IF(SalesData[[#This Row],[Contracts Signed]]=0,0,SalesData[[#This Row],[Profit(€)]]/SalesData[[#This Row],[Contracts Signed]])</f>
        <v>10062</v>
      </c>
      <c r="AJ1722" s="5" t="str">
        <f>TRIM(CLEAN(SalesData[[#This Row],[Retailer]]))</f>
        <v>Saxon Wheels</v>
      </c>
    </row>
    <row r="1723" spans="1:36" ht="14.25" hidden="1" x14ac:dyDescent="0.2">
      <c r="A1723" t="s">
        <v>2664</v>
      </c>
      <c r="B1723" s="1">
        <v>46067</v>
      </c>
      <c r="C1723" t="s">
        <v>121</v>
      </c>
      <c r="D1723" t="s">
        <v>151</v>
      </c>
      <c r="E1723" t="s">
        <v>42</v>
      </c>
      <c r="F1723" t="s">
        <v>27</v>
      </c>
      <c r="G1723" t="s">
        <v>28</v>
      </c>
      <c r="H1723" t="s">
        <v>29</v>
      </c>
      <c r="I1723" t="s">
        <v>56</v>
      </c>
      <c r="J1723" t="s">
        <v>57</v>
      </c>
      <c r="K1723" t="s">
        <v>78</v>
      </c>
      <c r="L1723" t="s">
        <v>46</v>
      </c>
      <c r="M1723" t="s">
        <v>87</v>
      </c>
      <c r="N1723" t="s">
        <v>48</v>
      </c>
      <c r="O1723" t="s">
        <v>36</v>
      </c>
      <c r="P1723" t="s">
        <v>49</v>
      </c>
      <c r="Q1723" t="s">
        <v>172</v>
      </c>
      <c r="R1723">
        <v>197</v>
      </c>
      <c r="S1723">
        <v>107</v>
      </c>
      <c r="T1723">
        <v>69</v>
      </c>
      <c r="U1723">
        <v>20</v>
      </c>
      <c r="V1723" t="s">
        <v>2038</v>
      </c>
      <c r="W1723">
        <v>46448</v>
      </c>
      <c r="X1723" t="s">
        <v>7083</v>
      </c>
      <c r="Y1723">
        <v>37896</v>
      </c>
      <c r="Z1723">
        <v>928960</v>
      </c>
      <c r="AA1723">
        <v>171040</v>
      </c>
      <c r="AB1723" t="str">
        <f>(VLOOKUP(SalesData[[#This Row],[Month Number]],Reference!C$5:E$16,2,FALSE))</f>
        <v>Feb</v>
      </c>
      <c r="AC1723">
        <f>MONTH(SalesData[[#This Row],[Date]])</f>
        <v>2</v>
      </c>
      <c r="AD1723">
        <f>Reference!F$4</f>
        <v>2026</v>
      </c>
      <c r="AE1723" t="str">
        <f>IF(OR(SalesData[[#This Row],[Day]]="Saturday",SalesData[[#This Row],[Day]]="Sunday"),"Weekend","Weekday")</f>
        <v>Weekend</v>
      </c>
      <c r="AF1723" s="5">
        <f>IF(SalesData[[#This Row],[Contracts Offered]]=0,0,SalesData[[#This Row],[Contracts Signed]]/SalesData[[#This Row],[Contracts Offered]])</f>
        <v>0.28985507246376813</v>
      </c>
      <c r="AG1723" s="5">
        <f>IF(SalesData[[#This Row],[Customers Visited]]=0,0,SalesData[[#This Row],[Test Drives]]/SalesData[[#This Row],[Customers Visited]])</f>
        <v>0.54314720812182737</v>
      </c>
      <c r="AH1723" s="5">
        <f>IF(SalesData[[#This Row],[Customers Visited]]=0,0,SalesData[[#This Row],[Contracts Signed]]/SalesData[[#This Row],[Customers Visited]])</f>
        <v>0.10152284263959391</v>
      </c>
      <c r="AI1723" s="6">
        <f>IF(SalesData[[#This Row],[Contracts Signed]]=0,0,SalesData[[#This Row],[Profit(€)]]/SalesData[[#This Row],[Contracts Signed]])</f>
        <v>8552</v>
      </c>
      <c r="AJ1723" s="5" t="str">
        <f>TRIM(CLEAN(SalesData[[#This Row],[Retailer]]))</f>
        <v>Main Auto Hub</v>
      </c>
    </row>
    <row r="1724" spans="1:36" ht="14.25" hidden="1" x14ac:dyDescent="0.2">
      <c r="A1724" t="s">
        <v>2665</v>
      </c>
      <c r="B1724" s="1">
        <v>46068</v>
      </c>
      <c r="C1724" t="s">
        <v>62</v>
      </c>
      <c r="D1724" t="s">
        <v>41</v>
      </c>
      <c r="E1724" t="s">
        <v>42</v>
      </c>
      <c r="F1724" t="s">
        <v>74</v>
      </c>
      <c r="G1724" t="s">
        <v>75</v>
      </c>
      <c r="H1724" t="s">
        <v>76</v>
      </c>
      <c r="I1724" t="s">
        <v>64</v>
      </c>
      <c r="J1724" t="s">
        <v>111</v>
      </c>
      <c r="K1724" t="s">
        <v>32</v>
      </c>
      <c r="L1724" t="s">
        <v>46</v>
      </c>
      <c r="M1724" t="s">
        <v>47</v>
      </c>
      <c r="N1724" t="s">
        <v>69</v>
      </c>
      <c r="O1724" t="s">
        <v>36</v>
      </c>
      <c r="P1724" t="s">
        <v>49</v>
      </c>
      <c r="Q1724" t="s">
        <v>167</v>
      </c>
      <c r="R1724">
        <v>200</v>
      </c>
      <c r="S1724">
        <v>109</v>
      </c>
      <c r="T1724">
        <v>81</v>
      </c>
      <c r="U1724">
        <v>29</v>
      </c>
      <c r="V1724" t="s">
        <v>6687</v>
      </c>
      <c r="W1724">
        <v>49648</v>
      </c>
      <c r="X1724" t="s">
        <v>3045</v>
      </c>
      <c r="Y1724">
        <v>35422</v>
      </c>
      <c r="Z1724">
        <v>1439792</v>
      </c>
      <c r="AA1724">
        <v>412554</v>
      </c>
      <c r="AB1724" t="str">
        <f>(VLOOKUP(SalesData[[#This Row],[Month Number]],Reference!C$5:E$16,2,FALSE))</f>
        <v>Feb</v>
      </c>
      <c r="AC1724">
        <f>MONTH(SalesData[[#This Row],[Date]])</f>
        <v>2</v>
      </c>
      <c r="AD1724">
        <f>Reference!F$4</f>
        <v>2026</v>
      </c>
      <c r="AE1724" t="str">
        <f>IF(OR(SalesData[[#This Row],[Day]]="Saturday",SalesData[[#This Row],[Day]]="Sunday"),"Weekend","Weekday")</f>
        <v>Weekend</v>
      </c>
      <c r="AF1724" s="5">
        <f>IF(SalesData[[#This Row],[Contracts Offered]]=0,0,SalesData[[#This Row],[Contracts Signed]]/SalesData[[#This Row],[Contracts Offered]])</f>
        <v>0.35802469135802467</v>
      </c>
      <c r="AG1724" s="5">
        <f>IF(SalesData[[#This Row],[Customers Visited]]=0,0,SalesData[[#This Row],[Test Drives]]/SalesData[[#This Row],[Customers Visited]])</f>
        <v>0.54500000000000004</v>
      </c>
      <c r="AH1724" s="5">
        <f>IF(SalesData[[#This Row],[Customers Visited]]=0,0,SalesData[[#This Row],[Contracts Signed]]/SalesData[[#This Row],[Customers Visited]])</f>
        <v>0.14499999999999999</v>
      </c>
      <c r="AI1724" s="6">
        <f>IF(SalesData[[#This Row],[Contracts Signed]]=0,0,SalesData[[#This Row],[Profit(€)]]/SalesData[[#This Row],[Contracts Signed]])</f>
        <v>14226</v>
      </c>
      <c r="AJ1724" s="5" t="str">
        <f>TRIM(CLEAN(SalesData[[#This Row],[Retailer]]))</f>
        <v>Stuttgart Auto Center</v>
      </c>
    </row>
    <row r="1725" spans="1:36" ht="14.25" hidden="1" x14ac:dyDescent="0.2">
      <c r="A1725" t="s">
        <v>2666</v>
      </c>
      <c r="B1725" s="1">
        <v>46065</v>
      </c>
      <c r="C1725" t="s">
        <v>121</v>
      </c>
      <c r="D1725" t="s">
        <v>100</v>
      </c>
      <c r="E1725" t="s">
        <v>26</v>
      </c>
      <c r="F1725" t="s">
        <v>43</v>
      </c>
      <c r="G1725" t="s">
        <v>44</v>
      </c>
      <c r="H1725" t="s">
        <v>45</v>
      </c>
      <c r="I1725" t="s">
        <v>116</v>
      </c>
      <c r="J1725" t="s">
        <v>117</v>
      </c>
      <c r="K1725" t="s">
        <v>32</v>
      </c>
      <c r="L1725" t="s">
        <v>67</v>
      </c>
      <c r="M1725" t="s">
        <v>87</v>
      </c>
      <c r="N1725" t="s">
        <v>69</v>
      </c>
      <c r="O1725" t="s">
        <v>36</v>
      </c>
      <c r="P1725" t="s">
        <v>49</v>
      </c>
      <c r="Q1725" t="s">
        <v>240</v>
      </c>
      <c r="R1725">
        <v>389</v>
      </c>
      <c r="S1725">
        <v>194</v>
      </c>
      <c r="T1725">
        <v>109</v>
      </c>
      <c r="U1725">
        <v>24</v>
      </c>
      <c r="V1725" t="s">
        <v>401</v>
      </c>
      <c r="W1725">
        <v>21126</v>
      </c>
      <c r="X1725" t="s">
        <v>4616</v>
      </c>
      <c r="Y1725">
        <v>19620</v>
      </c>
      <c r="Z1725">
        <v>507024</v>
      </c>
      <c r="AA1725">
        <v>36144</v>
      </c>
      <c r="AB1725" t="str">
        <f>(VLOOKUP(SalesData[[#This Row],[Month Number]],Reference!C$5:E$16,2,FALSE))</f>
        <v>Feb</v>
      </c>
      <c r="AC1725">
        <f>MONTH(SalesData[[#This Row],[Date]])</f>
        <v>2</v>
      </c>
      <c r="AD1725">
        <f>Reference!F$4</f>
        <v>2026</v>
      </c>
      <c r="AE1725" t="str">
        <f>IF(OR(SalesData[[#This Row],[Day]]="Saturday",SalesData[[#This Row],[Day]]="Sunday"),"Weekend","Weekday")</f>
        <v>Weekday</v>
      </c>
      <c r="AF1725" s="5">
        <f>IF(SalesData[[#This Row],[Contracts Offered]]=0,0,SalesData[[#This Row],[Contracts Signed]]/SalesData[[#This Row],[Contracts Offered]])</f>
        <v>0.22018348623853212</v>
      </c>
      <c r="AG1725" s="5">
        <f>IF(SalesData[[#This Row],[Customers Visited]]=0,0,SalesData[[#This Row],[Test Drives]]/SalesData[[#This Row],[Customers Visited]])</f>
        <v>0.49871465295629819</v>
      </c>
      <c r="AH1725" s="5">
        <f>IF(SalesData[[#This Row],[Customers Visited]]=0,0,SalesData[[#This Row],[Contracts Signed]]/SalesData[[#This Row],[Customers Visited]])</f>
        <v>6.1696658097686374E-2</v>
      </c>
      <c r="AI1725" s="6">
        <f>IF(SalesData[[#This Row],[Contracts Signed]]=0,0,SalesData[[#This Row],[Profit(€)]]/SalesData[[#This Row],[Contracts Signed]])</f>
        <v>1506</v>
      </c>
      <c r="AJ1725" s="5" t="str">
        <f>TRIM(CLEAN(SalesData[[#This Row],[Retailer]]))</f>
        <v>Saxon Wheels</v>
      </c>
    </row>
    <row r="1726" spans="1:36" ht="14.25" hidden="1" x14ac:dyDescent="0.2">
      <c r="A1726" t="s">
        <v>2668</v>
      </c>
      <c r="B1726" s="1">
        <v>46078</v>
      </c>
      <c r="C1726" t="s">
        <v>53</v>
      </c>
      <c r="D1726" t="s">
        <v>82</v>
      </c>
      <c r="E1726" t="s">
        <v>26</v>
      </c>
      <c r="F1726" t="s">
        <v>43</v>
      </c>
      <c r="G1726" t="s">
        <v>44</v>
      </c>
      <c r="H1726" t="s">
        <v>45</v>
      </c>
      <c r="I1726" t="s">
        <v>56</v>
      </c>
      <c r="J1726" t="s">
        <v>179</v>
      </c>
      <c r="K1726" t="s">
        <v>91</v>
      </c>
      <c r="L1726" t="s">
        <v>67</v>
      </c>
      <c r="M1726" t="s">
        <v>68</v>
      </c>
      <c r="N1726" t="s">
        <v>69</v>
      </c>
      <c r="O1726" t="s">
        <v>70</v>
      </c>
      <c r="P1726" t="s">
        <v>49</v>
      </c>
      <c r="Q1726" t="s">
        <v>122</v>
      </c>
      <c r="R1726">
        <v>230</v>
      </c>
      <c r="S1726">
        <v>115</v>
      </c>
      <c r="T1726">
        <v>78</v>
      </c>
      <c r="U1726">
        <v>24</v>
      </c>
      <c r="V1726" t="s">
        <v>6807</v>
      </c>
      <c r="W1726">
        <v>41269</v>
      </c>
      <c r="X1726" t="s">
        <v>7380</v>
      </c>
      <c r="Y1726">
        <v>31469</v>
      </c>
      <c r="Z1726">
        <v>990456</v>
      </c>
      <c r="AA1726">
        <v>235200</v>
      </c>
      <c r="AB1726" t="str">
        <f>(VLOOKUP(SalesData[[#This Row],[Month Number]],Reference!C$5:E$16,2,FALSE))</f>
        <v>Feb</v>
      </c>
      <c r="AC1726">
        <f>MONTH(SalesData[[#This Row],[Date]])</f>
        <v>2</v>
      </c>
      <c r="AD1726">
        <f>Reference!F$4</f>
        <v>2026</v>
      </c>
      <c r="AE1726" t="str">
        <f>IF(OR(SalesData[[#This Row],[Day]]="Saturday",SalesData[[#This Row],[Day]]="Sunday"),"Weekend","Weekday")</f>
        <v>Weekday</v>
      </c>
      <c r="AF1726" s="5">
        <f>IF(SalesData[[#This Row],[Contracts Offered]]=0,0,SalesData[[#This Row],[Contracts Signed]]/SalesData[[#This Row],[Contracts Offered]])</f>
        <v>0.30769230769230771</v>
      </c>
      <c r="AG1726" s="5">
        <f>IF(SalesData[[#This Row],[Customers Visited]]=0,0,SalesData[[#This Row],[Test Drives]]/SalesData[[#This Row],[Customers Visited]])</f>
        <v>0.5</v>
      </c>
      <c r="AH1726" s="5">
        <f>IF(SalesData[[#This Row],[Customers Visited]]=0,0,SalesData[[#This Row],[Contracts Signed]]/SalesData[[#This Row],[Customers Visited]])</f>
        <v>0.10434782608695652</v>
      </c>
      <c r="AI1726" s="6">
        <f>IF(SalesData[[#This Row],[Contracts Signed]]=0,0,SalesData[[#This Row],[Profit(€)]]/SalesData[[#This Row],[Contracts Signed]])</f>
        <v>9800</v>
      </c>
      <c r="AJ1726" s="5" t="str">
        <f>TRIM(CLEAN(SalesData[[#This Row],[Retailer]]))</f>
        <v>Saxon Wheels</v>
      </c>
    </row>
    <row r="1727" spans="1:36" ht="14.25" hidden="1" x14ac:dyDescent="0.2">
      <c r="A1727" t="s">
        <v>2669</v>
      </c>
      <c r="B1727" s="1">
        <v>46061</v>
      </c>
      <c r="C1727" t="s">
        <v>121</v>
      </c>
      <c r="D1727" t="s">
        <v>41</v>
      </c>
      <c r="E1727" t="s">
        <v>42</v>
      </c>
      <c r="F1727" t="s">
        <v>43</v>
      </c>
      <c r="G1727" t="s">
        <v>44</v>
      </c>
      <c r="H1727" t="s">
        <v>45</v>
      </c>
      <c r="I1727" t="s">
        <v>64</v>
      </c>
      <c r="J1727" t="s">
        <v>157</v>
      </c>
      <c r="K1727" t="s">
        <v>32</v>
      </c>
      <c r="L1727" t="s">
        <v>33</v>
      </c>
      <c r="M1727" t="s">
        <v>87</v>
      </c>
      <c r="N1727" t="s">
        <v>35</v>
      </c>
      <c r="O1727" t="s">
        <v>70</v>
      </c>
      <c r="P1727" t="s">
        <v>49</v>
      </c>
      <c r="Q1727" t="s">
        <v>172</v>
      </c>
      <c r="R1727">
        <v>261</v>
      </c>
      <c r="S1727">
        <v>133</v>
      </c>
      <c r="T1727">
        <v>92</v>
      </c>
      <c r="U1727">
        <v>29</v>
      </c>
      <c r="V1727" t="s">
        <v>6646</v>
      </c>
      <c r="W1727">
        <v>64264</v>
      </c>
      <c r="X1727" t="s">
        <v>7321</v>
      </c>
      <c r="Y1727">
        <v>48732</v>
      </c>
      <c r="Z1727">
        <v>1863656</v>
      </c>
      <c r="AA1727">
        <v>450428</v>
      </c>
      <c r="AB1727" t="str">
        <f>(VLOOKUP(SalesData[[#This Row],[Month Number]],Reference!C$5:E$16,2,FALSE))</f>
        <v>Feb</v>
      </c>
      <c r="AC1727">
        <f>MONTH(SalesData[[#This Row],[Date]])</f>
        <v>2</v>
      </c>
      <c r="AD1727">
        <f>Reference!F$4</f>
        <v>2026</v>
      </c>
      <c r="AE1727" t="str">
        <f>IF(OR(SalesData[[#This Row],[Day]]="Saturday",SalesData[[#This Row],[Day]]="Sunday"),"Weekend","Weekday")</f>
        <v>Weekend</v>
      </c>
      <c r="AF1727" s="5">
        <f>IF(SalesData[[#This Row],[Contracts Offered]]=0,0,SalesData[[#This Row],[Contracts Signed]]/SalesData[[#This Row],[Contracts Offered]])</f>
        <v>0.31521739130434784</v>
      </c>
      <c r="AG1727" s="5">
        <f>IF(SalesData[[#This Row],[Customers Visited]]=0,0,SalesData[[#This Row],[Test Drives]]/SalesData[[#This Row],[Customers Visited]])</f>
        <v>0.50957854406130265</v>
      </c>
      <c r="AH1727" s="5">
        <f>IF(SalesData[[#This Row],[Customers Visited]]=0,0,SalesData[[#This Row],[Contracts Signed]]/SalesData[[#This Row],[Customers Visited]])</f>
        <v>0.1111111111111111</v>
      </c>
      <c r="AI1727" s="6">
        <f>IF(SalesData[[#This Row],[Contracts Signed]]=0,0,SalesData[[#This Row],[Profit(€)]]/SalesData[[#This Row],[Contracts Signed]])</f>
        <v>15532</v>
      </c>
      <c r="AJ1727" s="5" t="str">
        <f>TRIM(CLEAN(SalesData[[#This Row],[Retailer]]))</f>
        <v>Saxon Wheels</v>
      </c>
    </row>
    <row r="1728" spans="1:36" ht="14.25" hidden="1" x14ac:dyDescent="0.2">
      <c r="A1728" t="s">
        <v>2671</v>
      </c>
      <c r="B1728" s="1">
        <v>46081</v>
      </c>
      <c r="C1728" t="s">
        <v>53</v>
      </c>
      <c r="D1728" t="s">
        <v>151</v>
      </c>
      <c r="E1728" t="s">
        <v>42</v>
      </c>
      <c r="F1728" t="s">
        <v>7649</v>
      </c>
      <c r="G1728" t="s">
        <v>55</v>
      </c>
      <c r="H1728" t="s">
        <v>55</v>
      </c>
      <c r="I1728" t="s">
        <v>64</v>
      </c>
      <c r="J1728" t="s">
        <v>7029</v>
      </c>
      <c r="K1728" t="s">
        <v>78</v>
      </c>
      <c r="L1728" t="s">
        <v>33</v>
      </c>
      <c r="M1728" t="s">
        <v>47</v>
      </c>
      <c r="N1728" t="s">
        <v>69</v>
      </c>
      <c r="O1728" t="s">
        <v>70</v>
      </c>
      <c r="P1728" t="s">
        <v>71</v>
      </c>
      <c r="Q1728" t="s">
        <v>152</v>
      </c>
      <c r="R1728">
        <v>193</v>
      </c>
      <c r="S1728">
        <v>105</v>
      </c>
      <c r="T1728">
        <v>72</v>
      </c>
      <c r="U1728">
        <v>29</v>
      </c>
      <c r="V1728" t="s">
        <v>6528</v>
      </c>
      <c r="W1728">
        <v>69331</v>
      </c>
      <c r="X1728" t="s">
        <v>7343</v>
      </c>
      <c r="Y1728">
        <v>54462</v>
      </c>
      <c r="Z1728">
        <v>2010599</v>
      </c>
      <c r="AA1728">
        <v>431201</v>
      </c>
      <c r="AB1728" t="str">
        <f>(VLOOKUP(SalesData[[#This Row],[Month Number]],Reference!C$5:E$16,2,FALSE))</f>
        <v>Feb</v>
      </c>
      <c r="AC1728">
        <f>MONTH(SalesData[[#This Row],[Date]])</f>
        <v>2</v>
      </c>
      <c r="AD1728">
        <f>Reference!F$4</f>
        <v>2026</v>
      </c>
      <c r="AE1728" t="str">
        <f>IF(OR(SalesData[[#This Row],[Day]]="Saturday",SalesData[[#This Row],[Day]]="Sunday"),"Weekend","Weekday")</f>
        <v>Weekend</v>
      </c>
      <c r="AF1728" s="5">
        <f>IF(SalesData[[#This Row],[Contracts Offered]]=0,0,SalesData[[#This Row],[Contracts Signed]]/SalesData[[#This Row],[Contracts Offered]])</f>
        <v>0.40277777777777779</v>
      </c>
      <c r="AG1728" s="5">
        <f>IF(SalesData[[#This Row],[Customers Visited]]=0,0,SalesData[[#This Row],[Test Drives]]/SalesData[[#This Row],[Customers Visited]])</f>
        <v>0.54404145077720212</v>
      </c>
      <c r="AH1728" s="5">
        <f>IF(SalesData[[#This Row],[Customers Visited]]=0,0,SalesData[[#This Row],[Contracts Signed]]/SalesData[[#This Row],[Customers Visited]])</f>
        <v>0.15025906735751296</v>
      </c>
      <c r="AI1728" s="6">
        <f>IF(SalesData[[#This Row],[Contracts Signed]]=0,0,SalesData[[#This Row],[Profit(€)]]/SalesData[[#This Row],[Contracts Signed]])</f>
        <v>14869</v>
      </c>
      <c r="AJ1728" s="5" t="str">
        <f>TRIM(CLEAN(SalesData[[#This Row],[Retailer]]))</f>
        <v>Autohaus Berlin</v>
      </c>
    </row>
    <row r="1729" spans="1:36" ht="14.25" hidden="1" x14ac:dyDescent="0.2">
      <c r="A1729" t="s">
        <v>2672</v>
      </c>
      <c r="B1729" s="1">
        <v>46061</v>
      </c>
      <c r="C1729" t="s">
        <v>121</v>
      </c>
      <c r="D1729" t="s">
        <v>41</v>
      </c>
      <c r="E1729" t="s">
        <v>42</v>
      </c>
      <c r="F1729" t="s">
        <v>109</v>
      </c>
      <c r="G1729" t="s">
        <v>110</v>
      </c>
      <c r="H1729" t="s">
        <v>45</v>
      </c>
      <c r="I1729" t="s">
        <v>64</v>
      </c>
      <c r="J1729" t="s">
        <v>7029</v>
      </c>
      <c r="K1729" t="s">
        <v>32</v>
      </c>
      <c r="L1729" t="s">
        <v>33</v>
      </c>
      <c r="M1729" t="s">
        <v>87</v>
      </c>
      <c r="N1729" t="s">
        <v>69</v>
      </c>
      <c r="O1729" t="s">
        <v>70</v>
      </c>
      <c r="P1729" t="s">
        <v>58</v>
      </c>
      <c r="Q1729" t="s">
        <v>172</v>
      </c>
      <c r="R1729">
        <v>146</v>
      </c>
      <c r="S1729">
        <v>87</v>
      </c>
      <c r="T1729">
        <v>61</v>
      </c>
      <c r="U1729">
        <v>21</v>
      </c>
      <c r="V1729" t="s">
        <v>6659</v>
      </c>
      <c r="W1729">
        <v>58228</v>
      </c>
      <c r="X1729" t="s">
        <v>7182</v>
      </c>
      <c r="Y1729">
        <v>41616</v>
      </c>
      <c r="Z1729">
        <v>1222788</v>
      </c>
      <c r="AA1729">
        <v>348852</v>
      </c>
      <c r="AB1729" t="str">
        <f>(VLOOKUP(SalesData[[#This Row],[Month Number]],Reference!C$5:E$16,2,FALSE))</f>
        <v>Feb</v>
      </c>
      <c r="AC1729">
        <f>MONTH(SalesData[[#This Row],[Date]])</f>
        <v>2</v>
      </c>
      <c r="AD1729">
        <f>Reference!F$4</f>
        <v>2026</v>
      </c>
      <c r="AE1729" t="str">
        <f>IF(OR(SalesData[[#This Row],[Day]]="Saturday",SalesData[[#This Row],[Day]]="Sunday"),"Weekend","Weekday")</f>
        <v>Weekend</v>
      </c>
      <c r="AF1729" s="5">
        <f>IF(SalesData[[#This Row],[Contracts Offered]]=0,0,SalesData[[#This Row],[Contracts Signed]]/SalesData[[#This Row],[Contracts Offered]])</f>
        <v>0.34426229508196721</v>
      </c>
      <c r="AG1729" s="5">
        <f>IF(SalesData[[#This Row],[Customers Visited]]=0,0,SalesData[[#This Row],[Test Drives]]/SalesData[[#This Row],[Customers Visited]])</f>
        <v>0.59589041095890416</v>
      </c>
      <c r="AH1729" s="5">
        <f>IF(SalesData[[#This Row],[Customers Visited]]=0,0,SalesData[[#This Row],[Contracts Signed]]/SalesData[[#This Row],[Customers Visited]])</f>
        <v>0.14383561643835616</v>
      </c>
      <c r="AI1729" s="6">
        <f>IF(SalesData[[#This Row],[Contracts Signed]]=0,0,SalesData[[#This Row],[Profit(€)]]/SalesData[[#This Row],[Contracts Signed]])</f>
        <v>16612</v>
      </c>
      <c r="AJ1729" s="5" t="str">
        <f>TRIM(CLEAN(SalesData[[#This Row],[Retailer]]))</f>
        <v>Leipzig Mobility</v>
      </c>
    </row>
    <row r="1730" spans="1:36" ht="14.25" hidden="1" x14ac:dyDescent="0.2">
      <c r="A1730" t="s">
        <v>2673</v>
      </c>
      <c r="B1730" s="1">
        <v>46057</v>
      </c>
      <c r="C1730" t="s">
        <v>24</v>
      </c>
      <c r="D1730" t="s">
        <v>82</v>
      </c>
      <c r="E1730" t="s">
        <v>26</v>
      </c>
      <c r="F1730" t="s">
        <v>94</v>
      </c>
      <c r="G1730" t="s">
        <v>95</v>
      </c>
      <c r="H1730" t="s">
        <v>96</v>
      </c>
      <c r="I1730" t="s">
        <v>56</v>
      </c>
      <c r="J1730" t="s">
        <v>7028</v>
      </c>
      <c r="K1730" t="s">
        <v>32</v>
      </c>
      <c r="L1730" t="s">
        <v>46</v>
      </c>
      <c r="M1730" t="s">
        <v>87</v>
      </c>
      <c r="N1730" t="s">
        <v>69</v>
      </c>
      <c r="O1730" t="s">
        <v>70</v>
      </c>
      <c r="P1730" t="s">
        <v>49</v>
      </c>
      <c r="Q1730" t="s">
        <v>172</v>
      </c>
      <c r="R1730">
        <v>229</v>
      </c>
      <c r="S1730">
        <v>118</v>
      </c>
      <c r="T1730">
        <v>77</v>
      </c>
      <c r="U1730">
        <v>26</v>
      </c>
      <c r="V1730" t="s">
        <v>6397</v>
      </c>
      <c r="W1730">
        <v>40960</v>
      </c>
      <c r="X1730" t="s">
        <v>7425</v>
      </c>
      <c r="Y1730">
        <v>32658</v>
      </c>
      <c r="Z1730">
        <v>1064960</v>
      </c>
      <c r="AA1730">
        <v>215852</v>
      </c>
      <c r="AB1730" t="str">
        <f>(VLOOKUP(SalesData[[#This Row],[Month Number]],Reference!C$5:E$16,2,FALSE))</f>
        <v>Feb</v>
      </c>
      <c r="AC1730">
        <f>MONTH(SalesData[[#This Row],[Date]])</f>
        <v>2</v>
      </c>
      <c r="AD1730">
        <f>Reference!F$4</f>
        <v>2026</v>
      </c>
      <c r="AE1730" t="str">
        <f>IF(OR(SalesData[[#This Row],[Day]]="Saturday",SalesData[[#This Row],[Day]]="Sunday"),"Weekend","Weekday")</f>
        <v>Weekday</v>
      </c>
      <c r="AF1730" s="5">
        <f>IF(SalesData[[#This Row],[Contracts Offered]]=0,0,SalesData[[#This Row],[Contracts Signed]]/SalesData[[#This Row],[Contracts Offered]])</f>
        <v>0.33766233766233766</v>
      </c>
      <c r="AG1730" s="5">
        <f>IF(SalesData[[#This Row],[Customers Visited]]=0,0,SalesData[[#This Row],[Test Drives]]/SalesData[[#This Row],[Customers Visited]])</f>
        <v>0.51528384279475981</v>
      </c>
      <c r="AH1730" s="5">
        <f>IF(SalesData[[#This Row],[Customers Visited]]=0,0,SalesData[[#This Row],[Contracts Signed]]/SalesData[[#This Row],[Customers Visited]])</f>
        <v>0.11353711790393013</v>
      </c>
      <c r="AI1730" s="6">
        <f>IF(SalesData[[#This Row],[Contracts Signed]]=0,0,SalesData[[#This Row],[Profit(€)]]/SalesData[[#This Row],[Contracts Signed]])</f>
        <v>8302</v>
      </c>
      <c r="AJ1730" s="5" t="str">
        <f>TRIM(CLEAN(SalesData[[#This Row],[Retailer]]))</f>
        <v>Bavaria Motors</v>
      </c>
    </row>
    <row r="1731" spans="1:36" ht="14.25" x14ac:dyDescent="0.2">
      <c r="A1731" t="s">
        <v>2674</v>
      </c>
      <c r="B1731" s="1">
        <v>46066</v>
      </c>
      <c r="C1731" t="s">
        <v>121</v>
      </c>
      <c r="D1731" t="s">
        <v>54</v>
      </c>
      <c r="E1731" t="s">
        <v>26</v>
      </c>
      <c r="F1731" t="s">
        <v>101</v>
      </c>
      <c r="G1731" t="s">
        <v>102</v>
      </c>
      <c r="H1731" t="s">
        <v>103</v>
      </c>
      <c r="I1731" t="s">
        <v>30</v>
      </c>
      <c r="J1731" t="s">
        <v>188</v>
      </c>
      <c r="K1731" t="s">
        <v>91</v>
      </c>
      <c r="L1731" t="s">
        <v>33</v>
      </c>
      <c r="M1731" t="s">
        <v>47</v>
      </c>
      <c r="N1731" t="s">
        <v>69</v>
      </c>
      <c r="O1731" t="s">
        <v>36</v>
      </c>
      <c r="P1731" t="s">
        <v>71</v>
      </c>
      <c r="Q1731" t="s">
        <v>106</v>
      </c>
      <c r="R1731">
        <v>208</v>
      </c>
      <c r="S1731">
        <v>115</v>
      </c>
      <c r="T1731">
        <v>85</v>
      </c>
      <c r="U1731">
        <v>30</v>
      </c>
      <c r="V1731" t="s">
        <v>6360</v>
      </c>
      <c r="W1731">
        <v>53639</v>
      </c>
      <c r="X1731" t="s">
        <v>7410</v>
      </c>
      <c r="Y1731">
        <v>41126</v>
      </c>
      <c r="Z1731">
        <v>1609170</v>
      </c>
      <c r="AA1731">
        <v>375390</v>
      </c>
      <c r="AB1731" t="str">
        <f>(VLOOKUP(SalesData[[#This Row],[Month Number]],Reference!C$5:E$16,2,FALSE))</f>
        <v>Feb</v>
      </c>
      <c r="AC1731">
        <f>MONTH(SalesData[[#This Row],[Date]])</f>
        <v>2</v>
      </c>
      <c r="AD1731">
        <f>Reference!F$4</f>
        <v>2026</v>
      </c>
      <c r="AE1731" t="str">
        <f>IF(OR(SalesData[[#This Row],[Day]]="Saturday",SalesData[[#This Row],[Day]]="Sunday"),"Weekend","Weekday")</f>
        <v>Weekday</v>
      </c>
      <c r="AF1731" s="5">
        <f>IF(SalesData[[#This Row],[Contracts Offered]]=0,0,SalesData[[#This Row],[Contracts Signed]]/SalesData[[#This Row],[Contracts Offered]])</f>
        <v>0.35294117647058826</v>
      </c>
      <c r="AG1731" s="5">
        <f>IF(SalesData[[#This Row],[Customers Visited]]=0,0,SalesData[[#This Row],[Test Drives]]/SalesData[[#This Row],[Customers Visited]])</f>
        <v>0.55288461538461542</v>
      </c>
      <c r="AH1731" s="5">
        <f>IF(SalesData[[#This Row],[Customers Visited]]=0,0,SalesData[[#This Row],[Contracts Signed]]/SalesData[[#This Row],[Customers Visited]])</f>
        <v>0.14423076923076922</v>
      </c>
      <c r="AI1731" s="6">
        <f>IF(SalesData[[#This Row],[Contracts Signed]]=0,0,SalesData[[#This Row],[Profit(€)]]/SalesData[[#This Row],[Contracts Signed]])</f>
        <v>12513</v>
      </c>
      <c r="AJ1731" s="5" t="str">
        <f>TRIM(CLEAN(SalesData[[#This Row],[Retailer]]))</f>
        <v>Ruhr Auto Plaza</v>
      </c>
    </row>
    <row r="1732" spans="1:36" ht="14.25" hidden="1" x14ac:dyDescent="0.2">
      <c r="A1732" t="s">
        <v>2675</v>
      </c>
      <c r="B1732" s="1">
        <v>46071</v>
      </c>
      <c r="C1732" t="s">
        <v>62</v>
      </c>
      <c r="D1732" t="s">
        <v>82</v>
      </c>
      <c r="E1732" t="s">
        <v>26</v>
      </c>
      <c r="F1732" t="s">
        <v>74</v>
      </c>
      <c r="G1732" t="s">
        <v>75</v>
      </c>
      <c r="H1732" t="s">
        <v>76</v>
      </c>
      <c r="I1732" t="s">
        <v>104</v>
      </c>
      <c r="J1732" t="s">
        <v>140</v>
      </c>
      <c r="K1732" t="s">
        <v>78</v>
      </c>
      <c r="L1732" t="s">
        <v>46</v>
      </c>
      <c r="M1732" t="s">
        <v>87</v>
      </c>
      <c r="N1732" t="s">
        <v>35</v>
      </c>
      <c r="O1732" t="s">
        <v>36</v>
      </c>
      <c r="P1732" t="s">
        <v>37</v>
      </c>
      <c r="Q1732" t="s">
        <v>135</v>
      </c>
      <c r="R1732">
        <v>424</v>
      </c>
      <c r="S1732">
        <v>225</v>
      </c>
      <c r="T1732">
        <v>156</v>
      </c>
      <c r="U1732">
        <v>33</v>
      </c>
      <c r="V1732" t="s">
        <v>4665</v>
      </c>
      <c r="W1732">
        <v>26896</v>
      </c>
      <c r="X1732" t="s">
        <v>1911</v>
      </c>
      <c r="Y1732">
        <v>23829</v>
      </c>
      <c r="Z1732">
        <v>887568</v>
      </c>
      <c r="AA1732">
        <v>101211</v>
      </c>
      <c r="AB1732" t="str">
        <f>(VLOOKUP(SalesData[[#This Row],[Month Number]],Reference!C$5:E$16,2,FALSE))</f>
        <v>Feb</v>
      </c>
      <c r="AC1732">
        <f>MONTH(SalesData[[#This Row],[Date]])</f>
        <v>2</v>
      </c>
      <c r="AD1732">
        <f>Reference!F$4</f>
        <v>2026</v>
      </c>
      <c r="AE1732" t="str">
        <f>IF(OR(SalesData[[#This Row],[Day]]="Saturday",SalesData[[#This Row],[Day]]="Sunday"),"Weekend","Weekday")</f>
        <v>Weekday</v>
      </c>
      <c r="AF1732" s="5">
        <f>IF(SalesData[[#This Row],[Contracts Offered]]=0,0,SalesData[[#This Row],[Contracts Signed]]/SalesData[[#This Row],[Contracts Offered]])</f>
        <v>0.21153846153846154</v>
      </c>
      <c r="AG1732" s="5">
        <f>IF(SalesData[[#This Row],[Customers Visited]]=0,0,SalesData[[#This Row],[Test Drives]]/SalesData[[#This Row],[Customers Visited]])</f>
        <v>0.53066037735849059</v>
      </c>
      <c r="AH1732" s="5">
        <f>IF(SalesData[[#This Row],[Customers Visited]]=0,0,SalesData[[#This Row],[Contracts Signed]]/SalesData[[#This Row],[Customers Visited]])</f>
        <v>7.783018867924528E-2</v>
      </c>
      <c r="AI1732" s="6">
        <f>IF(SalesData[[#This Row],[Contracts Signed]]=0,0,SalesData[[#This Row],[Profit(€)]]/SalesData[[#This Row],[Contracts Signed]])</f>
        <v>3067</v>
      </c>
      <c r="AJ1732" s="5" t="str">
        <f>TRIM(CLEAN(SalesData[[#This Row],[Retailer]]))</f>
        <v>Stuttgart Auto Center</v>
      </c>
    </row>
    <row r="1733" spans="1:36" ht="14.25" x14ac:dyDescent="0.2">
      <c r="A1733" t="s">
        <v>2676</v>
      </c>
      <c r="B1733" s="1">
        <v>46081</v>
      </c>
      <c r="C1733" t="s">
        <v>53</v>
      </c>
      <c r="D1733" t="s">
        <v>151</v>
      </c>
      <c r="E1733" t="s">
        <v>42</v>
      </c>
      <c r="F1733" t="s">
        <v>101</v>
      </c>
      <c r="G1733" t="s">
        <v>102</v>
      </c>
      <c r="H1733" t="s">
        <v>103</v>
      </c>
      <c r="I1733" t="s">
        <v>30</v>
      </c>
      <c r="J1733" t="s">
        <v>188</v>
      </c>
      <c r="K1733" t="s">
        <v>66</v>
      </c>
      <c r="L1733" t="s">
        <v>33</v>
      </c>
      <c r="M1733" t="s">
        <v>34</v>
      </c>
      <c r="N1733" t="s">
        <v>48</v>
      </c>
      <c r="O1733" t="s">
        <v>70</v>
      </c>
      <c r="P1733" t="s">
        <v>71</v>
      </c>
      <c r="Q1733" t="s">
        <v>122</v>
      </c>
      <c r="R1733">
        <v>151</v>
      </c>
      <c r="S1733">
        <v>85</v>
      </c>
      <c r="T1733">
        <v>60</v>
      </c>
      <c r="U1733">
        <v>22</v>
      </c>
      <c r="V1733" t="s">
        <v>6816</v>
      </c>
      <c r="W1733">
        <v>63892</v>
      </c>
      <c r="X1733" t="s">
        <v>7195</v>
      </c>
      <c r="Y1733">
        <v>49556</v>
      </c>
      <c r="Z1733">
        <v>1405624</v>
      </c>
      <c r="AA1733">
        <v>315392</v>
      </c>
      <c r="AB1733" t="str">
        <f>(VLOOKUP(SalesData[[#This Row],[Month Number]],Reference!C$5:E$16,2,FALSE))</f>
        <v>Feb</v>
      </c>
      <c r="AC1733">
        <f>MONTH(SalesData[[#This Row],[Date]])</f>
        <v>2</v>
      </c>
      <c r="AD1733">
        <f>Reference!F$4</f>
        <v>2026</v>
      </c>
      <c r="AE1733" t="str">
        <f>IF(OR(SalesData[[#This Row],[Day]]="Saturday",SalesData[[#This Row],[Day]]="Sunday"),"Weekend","Weekday")</f>
        <v>Weekend</v>
      </c>
      <c r="AF1733" s="5">
        <f>IF(SalesData[[#This Row],[Contracts Offered]]=0,0,SalesData[[#This Row],[Contracts Signed]]/SalesData[[#This Row],[Contracts Offered]])</f>
        <v>0.36666666666666664</v>
      </c>
      <c r="AG1733" s="5">
        <f>IF(SalesData[[#This Row],[Customers Visited]]=0,0,SalesData[[#This Row],[Test Drives]]/SalesData[[#This Row],[Customers Visited]])</f>
        <v>0.5629139072847682</v>
      </c>
      <c r="AH1733" s="5">
        <f>IF(SalesData[[#This Row],[Customers Visited]]=0,0,SalesData[[#This Row],[Contracts Signed]]/SalesData[[#This Row],[Customers Visited]])</f>
        <v>0.14569536423841059</v>
      </c>
      <c r="AI1733" s="6">
        <f>IF(SalesData[[#This Row],[Contracts Signed]]=0,0,SalesData[[#This Row],[Profit(€)]]/SalesData[[#This Row],[Contracts Signed]])</f>
        <v>14336</v>
      </c>
      <c r="AJ1733" s="5" t="str">
        <f>TRIM(CLEAN(SalesData[[#This Row],[Retailer]]))</f>
        <v>Ruhr Auto Plaza</v>
      </c>
    </row>
    <row r="1734" spans="1:36" ht="14.25" x14ac:dyDescent="0.2">
      <c r="A1734" t="s">
        <v>2677</v>
      </c>
      <c r="B1734" s="1">
        <v>46071</v>
      </c>
      <c r="C1734" t="s">
        <v>62</v>
      </c>
      <c r="D1734" t="s">
        <v>82</v>
      </c>
      <c r="E1734" t="s">
        <v>26</v>
      </c>
      <c r="F1734" t="s">
        <v>43</v>
      </c>
      <c r="G1734" t="s">
        <v>44</v>
      </c>
      <c r="H1734" t="s">
        <v>45</v>
      </c>
      <c r="I1734" t="s">
        <v>30</v>
      </c>
      <c r="J1734" t="s">
        <v>86</v>
      </c>
      <c r="K1734" t="s">
        <v>91</v>
      </c>
      <c r="L1734" t="s">
        <v>33</v>
      </c>
      <c r="M1734" t="s">
        <v>68</v>
      </c>
      <c r="N1734" t="s">
        <v>69</v>
      </c>
      <c r="O1734" t="s">
        <v>36</v>
      </c>
      <c r="P1734" t="s">
        <v>49</v>
      </c>
      <c r="Q1734" t="s">
        <v>135</v>
      </c>
      <c r="R1734">
        <v>192</v>
      </c>
      <c r="S1734">
        <v>88</v>
      </c>
      <c r="T1734">
        <v>70</v>
      </c>
      <c r="U1734">
        <v>24</v>
      </c>
      <c r="V1734" t="s">
        <v>6483</v>
      </c>
      <c r="W1734">
        <v>66168</v>
      </c>
      <c r="X1734" t="s">
        <v>7217</v>
      </c>
      <c r="Y1734">
        <v>46593</v>
      </c>
      <c r="Z1734">
        <v>1588032</v>
      </c>
      <c r="AA1734">
        <v>469800</v>
      </c>
      <c r="AB1734" t="str">
        <f>(VLOOKUP(SalesData[[#This Row],[Month Number]],Reference!C$5:E$16,2,FALSE))</f>
        <v>Feb</v>
      </c>
      <c r="AC1734">
        <f>MONTH(SalesData[[#This Row],[Date]])</f>
        <v>2</v>
      </c>
      <c r="AD1734">
        <f>Reference!F$4</f>
        <v>2026</v>
      </c>
      <c r="AE1734" t="str">
        <f>IF(OR(SalesData[[#This Row],[Day]]="Saturday",SalesData[[#This Row],[Day]]="Sunday"),"Weekend","Weekday")</f>
        <v>Weekday</v>
      </c>
      <c r="AF1734" s="5">
        <f>IF(SalesData[[#This Row],[Contracts Offered]]=0,0,SalesData[[#This Row],[Contracts Signed]]/SalesData[[#This Row],[Contracts Offered]])</f>
        <v>0.34285714285714286</v>
      </c>
      <c r="AG1734" s="5">
        <f>IF(SalesData[[#This Row],[Customers Visited]]=0,0,SalesData[[#This Row],[Test Drives]]/SalesData[[#This Row],[Customers Visited]])</f>
        <v>0.45833333333333331</v>
      </c>
      <c r="AH1734" s="5">
        <f>IF(SalesData[[#This Row],[Customers Visited]]=0,0,SalesData[[#This Row],[Contracts Signed]]/SalesData[[#This Row],[Customers Visited]])</f>
        <v>0.125</v>
      </c>
      <c r="AI1734" s="6">
        <f>IF(SalesData[[#This Row],[Contracts Signed]]=0,0,SalesData[[#This Row],[Profit(€)]]/SalesData[[#This Row],[Contracts Signed]])</f>
        <v>19575</v>
      </c>
      <c r="AJ1734" s="5" t="str">
        <f>TRIM(CLEAN(SalesData[[#This Row],[Retailer]]))</f>
        <v>Saxon Wheels</v>
      </c>
    </row>
    <row r="1735" spans="1:36" ht="14.25" x14ac:dyDescent="0.2">
      <c r="A1735" t="s">
        <v>2678</v>
      </c>
      <c r="B1735" s="1">
        <v>46080</v>
      </c>
      <c r="C1735" t="s">
        <v>53</v>
      </c>
      <c r="D1735" t="s">
        <v>54</v>
      </c>
      <c r="E1735" t="s">
        <v>26</v>
      </c>
      <c r="F1735" t="s">
        <v>109</v>
      </c>
      <c r="G1735" t="s">
        <v>110</v>
      </c>
      <c r="H1735" t="s">
        <v>45</v>
      </c>
      <c r="I1735" t="s">
        <v>30</v>
      </c>
      <c r="J1735" t="s">
        <v>86</v>
      </c>
      <c r="K1735" t="s">
        <v>78</v>
      </c>
      <c r="L1735" t="s">
        <v>33</v>
      </c>
      <c r="M1735" t="s">
        <v>34</v>
      </c>
      <c r="N1735" t="s">
        <v>69</v>
      </c>
      <c r="O1735" t="s">
        <v>70</v>
      </c>
      <c r="P1735" t="s">
        <v>71</v>
      </c>
      <c r="Q1735" t="s">
        <v>167</v>
      </c>
      <c r="R1735">
        <v>253</v>
      </c>
      <c r="S1735">
        <v>116</v>
      </c>
      <c r="T1735">
        <v>86</v>
      </c>
      <c r="U1735">
        <v>30</v>
      </c>
      <c r="V1735" t="s">
        <v>6787</v>
      </c>
      <c r="W1735">
        <v>64602</v>
      </c>
      <c r="X1735" t="s">
        <v>1325</v>
      </c>
      <c r="Y1735">
        <v>45527</v>
      </c>
      <c r="Z1735">
        <v>1938060</v>
      </c>
      <c r="AA1735">
        <v>572250</v>
      </c>
      <c r="AB1735" t="str">
        <f>(VLOOKUP(SalesData[[#This Row],[Month Number]],Reference!C$5:E$16,2,FALSE))</f>
        <v>Feb</v>
      </c>
      <c r="AC1735">
        <f>MONTH(SalesData[[#This Row],[Date]])</f>
        <v>2</v>
      </c>
      <c r="AD1735">
        <f>Reference!F$4</f>
        <v>2026</v>
      </c>
      <c r="AE1735" t="str">
        <f>IF(OR(SalesData[[#This Row],[Day]]="Saturday",SalesData[[#This Row],[Day]]="Sunday"),"Weekend","Weekday")</f>
        <v>Weekday</v>
      </c>
      <c r="AF1735" s="5">
        <f>IF(SalesData[[#This Row],[Contracts Offered]]=0,0,SalesData[[#This Row],[Contracts Signed]]/SalesData[[#This Row],[Contracts Offered]])</f>
        <v>0.34883720930232559</v>
      </c>
      <c r="AG1735" s="5">
        <f>IF(SalesData[[#This Row],[Customers Visited]]=0,0,SalesData[[#This Row],[Test Drives]]/SalesData[[#This Row],[Customers Visited]])</f>
        <v>0.45849802371541504</v>
      </c>
      <c r="AH1735" s="5">
        <f>IF(SalesData[[#This Row],[Customers Visited]]=0,0,SalesData[[#This Row],[Contracts Signed]]/SalesData[[#This Row],[Customers Visited]])</f>
        <v>0.11857707509881422</v>
      </c>
      <c r="AI1735" s="6">
        <f>IF(SalesData[[#This Row],[Contracts Signed]]=0,0,SalesData[[#This Row],[Profit(€)]]/SalesData[[#This Row],[Contracts Signed]])</f>
        <v>19075</v>
      </c>
      <c r="AJ1735" s="5" t="str">
        <f>TRIM(CLEAN(SalesData[[#This Row],[Retailer]]))</f>
        <v>Leipzig Mobility</v>
      </c>
    </row>
    <row r="1736" spans="1:36" ht="14.25" hidden="1" x14ac:dyDescent="0.2">
      <c r="A1736" t="s">
        <v>2679</v>
      </c>
      <c r="B1736" s="1">
        <v>46070</v>
      </c>
      <c r="C1736" t="s">
        <v>62</v>
      </c>
      <c r="D1736" t="s">
        <v>63</v>
      </c>
      <c r="E1736" t="s">
        <v>26</v>
      </c>
      <c r="F1736" t="s">
        <v>83</v>
      </c>
      <c r="G1736" t="s">
        <v>84</v>
      </c>
      <c r="H1736" t="s">
        <v>85</v>
      </c>
      <c r="I1736" t="s">
        <v>116</v>
      </c>
      <c r="J1736" t="s">
        <v>132</v>
      </c>
      <c r="K1736" t="s">
        <v>32</v>
      </c>
      <c r="L1736" t="s">
        <v>46</v>
      </c>
      <c r="M1736" t="s">
        <v>87</v>
      </c>
      <c r="N1736" t="s">
        <v>69</v>
      </c>
      <c r="O1736" t="s">
        <v>36</v>
      </c>
      <c r="P1736" t="s">
        <v>49</v>
      </c>
      <c r="Q1736" t="s">
        <v>59</v>
      </c>
      <c r="R1736">
        <v>411</v>
      </c>
      <c r="S1736">
        <v>222</v>
      </c>
      <c r="T1736">
        <v>151</v>
      </c>
      <c r="U1736">
        <v>32</v>
      </c>
      <c r="V1736" t="s">
        <v>807</v>
      </c>
      <c r="W1736">
        <v>20680</v>
      </c>
      <c r="X1736" t="s">
        <v>3447</v>
      </c>
      <c r="Y1736">
        <v>18570</v>
      </c>
      <c r="Z1736">
        <v>661760</v>
      </c>
      <c r="AA1736">
        <v>67520</v>
      </c>
      <c r="AB1736" t="str">
        <f>(VLOOKUP(SalesData[[#This Row],[Month Number]],Reference!C$5:E$16,2,FALSE))</f>
        <v>Feb</v>
      </c>
      <c r="AC1736">
        <f>MONTH(SalesData[[#This Row],[Date]])</f>
        <v>2</v>
      </c>
      <c r="AD1736">
        <f>Reference!F$4</f>
        <v>2026</v>
      </c>
      <c r="AE1736" t="str">
        <f>IF(OR(SalesData[[#This Row],[Day]]="Saturday",SalesData[[#This Row],[Day]]="Sunday"),"Weekend","Weekday")</f>
        <v>Weekday</v>
      </c>
      <c r="AF1736" s="5">
        <f>IF(SalesData[[#This Row],[Contracts Offered]]=0,0,SalesData[[#This Row],[Contracts Signed]]/SalesData[[#This Row],[Contracts Offered]])</f>
        <v>0.2119205298013245</v>
      </c>
      <c r="AG1736" s="5">
        <f>IF(SalesData[[#This Row],[Customers Visited]]=0,0,SalesData[[#This Row],[Test Drives]]/SalesData[[#This Row],[Customers Visited]])</f>
        <v>0.54014598540145986</v>
      </c>
      <c r="AH1736" s="5">
        <f>IF(SalesData[[#This Row],[Customers Visited]]=0,0,SalesData[[#This Row],[Contracts Signed]]/SalesData[[#This Row],[Customers Visited]])</f>
        <v>7.785888077858881E-2</v>
      </c>
      <c r="AI1736" s="6">
        <f>IF(SalesData[[#This Row],[Contracts Signed]]=0,0,SalesData[[#This Row],[Profit(€)]]/SalesData[[#This Row],[Contracts Signed]])</f>
        <v>2110</v>
      </c>
      <c r="AJ1736" s="5" t="str">
        <f>TRIM(CLEAN(SalesData[[#This Row],[Retailer]]))</f>
        <v>Hannover Cars</v>
      </c>
    </row>
    <row r="1737" spans="1:36" ht="14.25" hidden="1" x14ac:dyDescent="0.2">
      <c r="A1737" t="s">
        <v>2680</v>
      </c>
      <c r="B1737" s="1">
        <v>46055</v>
      </c>
      <c r="C1737" t="s">
        <v>24</v>
      </c>
      <c r="D1737" t="s">
        <v>25</v>
      </c>
      <c r="E1737" t="s">
        <v>26</v>
      </c>
      <c r="F1737" t="s">
        <v>27</v>
      </c>
      <c r="G1737" t="s">
        <v>28</v>
      </c>
      <c r="H1737" t="s">
        <v>29</v>
      </c>
      <c r="I1737" t="s">
        <v>104</v>
      </c>
      <c r="J1737" t="s">
        <v>140</v>
      </c>
      <c r="K1737" t="s">
        <v>66</v>
      </c>
      <c r="L1737" t="s">
        <v>46</v>
      </c>
      <c r="M1737" t="s">
        <v>87</v>
      </c>
      <c r="N1737" t="s">
        <v>35</v>
      </c>
      <c r="O1737" t="s">
        <v>70</v>
      </c>
      <c r="P1737" t="s">
        <v>49</v>
      </c>
      <c r="Q1737" t="s">
        <v>118</v>
      </c>
      <c r="R1737">
        <v>321</v>
      </c>
      <c r="S1737">
        <v>183</v>
      </c>
      <c r="T1737">
        <v>108</v>
      </c>
      <c r="U1737">
        <v>27</v>
      </c>
      <c r="V1737" t="s">
        <v>405</v>
      </c>
      <c r="W1737">
        <v>25058</v>
      </c>
      <c r="X1737" t="s">
        <v>4334</v>
      </c>
      <c r="Y1737">
        <v>21647</v>
      </c>
      <c r="Z1737">
        <v>676566</v>
      </c>
      <c r="AA1737">
        <v>92097</v>
      </c>
      <c r="AB1737" t="str">
        <f>(VLOOKUP(SalesData[[#This Row],[Month Number]],Reference!C$5:E$16,2,FALSE))</f>
        <v>Feb</v>
      </c>
      <c r="AC1737">
        <f>MONTH(SalesData[[#This Row],[Date]])</f>
        <v>2</v>
      </c>
      <c r="AD1737">
        <f>Reference!F$4</f>
        <v>2026</v>
      </c>
      <c r="AE1737" t="str">
        <f>IF(OR(SalesData[[#This Row],[Day]]="Saturday",SalesData[[#This Row],[Day]]="Sunday"),"Weekend","Weekday")</f>
        <v>Weekday</v>
      </c>
      <c r="AF1737" s="5">
        <f>IF(SalesData[[#This Row],[Contracts Offered]]=0,0,SalesData[[#This Row],[Contracts Signed]]/SalesData[[#This Row],[Contracts Offered]])</f>
        <v>0.25</v>
      </c>
      <c r="AG1737" s="5">
        <f>IF(SalesData[[#This Row],[Customers Visited]]=0,0,SalesData[[#This Row],[Test Drives]]/SalesData[[#This Row],[Customers Visited]])</f>
        <v>0.57009345794392519</v>
      </c>
      <c r="AH1737" s="5">
        <f>IF(SalesData[[#This Row],[Customers Visited]]=0,0,SalesData[[#This Row],[Contracts Signed]]/SalesData[[#This Row],[Customers Visited]])</f>
        <v>8.4112149532710276E-2</v>
      </c>
      <c r="AI1737" s="6">
        <f>IF(SalesData[[#This Row],[Contracts Signed]]=0,0,SalesData[[#This Row],[Profit(€)]]/SalesData[[#This Row],[Contracts Signed]])</f>
        <v>3411</v>
      </c>
      <c r="AJ1737" s="5" t="str">
        <f>TRIM(CLEAN(SalesData[[#This Row],[Retailer]]))</f>
        <v>Main Auto Hub</v>
      </c>
    </row>
    <row r="1738" spans="1:36" ht="14.25" hidden="1" x14ac:dyDescent="0.2">
      <c r="A1738" t="s">
        <v>2681</v>
      </c>
      <c r="B1738" s="1">
        <v>46068</v>
      </c>
      <c r="C1738" t="s">
        <v>62</v>
      </c>
      <c r="D1738" t="s">
        <v>41</v>
      </c>
      <c r="E1738" t="s">
        <v>42</v>
      </c>
      <c r="F1738" t="s">
        <v>83</v>
      </c>
      <c r="G1738" t="s">
        <v>84</v>
      </c>
      <c r="H1738" t="s">
        <v>85</v>
      </c>
      <c r="I1738" t="s">
        <v>64</v>
      </c>
      <c r="J1738" t="s">
        <v>111</v>
      </c>
      <c r="K1738" t="s">
        <v>66</v>
      </c>
      <c r="L1738" t="s">
        <v>46</v>
      </c>
      <c r="M1738" t="s">
        <v>87</v>
      </c>
      <c r="N1738" t="s">
        <v>48</v>
      </c>
      <c r="O1738" t="s">
        <v>36</v>
      </c>
      <c r="P1738" t="s">
        <v>49</v>
      </c>
      <c r="Q1738" t="s">
        <v>172</v>
      </c>
      <c r="R1738">
        <v>222</v>
      </c>
      <c r="S1738">
        <v>100</v>
      </c>
      <c r="T1738">
        <v>77</v>
      </c>
      <c r="U1738">
        <v>22</v>
      </c>
      <c r="V1738" t="s">
        <v>6346</v>
      </c>
      <c r="W1738">
        <v>68638</v>
      </c>
      <c r="X1738" t="s">
        <v>7230</v>
      </c>
      <c r="Y1738">
        <v>50246</v>
      </c>
      <c r="Z1738">
        <v>1510036</v>
      </c>
      <c r="AA1738">
        <v>404624</v>
      </c>
      <c r="AB1738" t="str">
        <f>(VLOOKUP(SalesData[[#This Row],[Month Number]],Reference!C$5:E$16,2,FALSE))</f>
        <v>Feb</v>
      </c>
      <c r="AC1738">
        <f>MONTH(SalesData[[#This Row],[Date]])</f>
        <v>2</v>
      </c>
      <c r="AD1738">
        <f>Reference!F$4</f>
        <v>2026</v>
      </c>
      <c r="AE1738" t="str">
        <f>IF(OR(SalesData[[#This Row],[Day]]="Saturday",SalesData[[#This Row],[Day]]="Sunday"),"Weekend","Weekday")</f>
        <v>Weekend</v>
      </c>
      <c r="AF1738" s="5">
        <f>IF(SalesData[[#This Row],[Contracts Offered]]=0,0,SalesData[[#This Row],[Contracts Signed]]/SalesData[[#This Row],[Contracts Offered]])</f>
        <v>0.2857142857142857</v>
      </c>
      <c r="AG1738" s="5">
        <f>IF(SalesData[[#This Row],[Customers Visited]]=0,0,SalesData[[#This Row],[Test Drives]]/SalesData[[#This Row],[Customers Visited]])</f>
        <v>0.45045045045045046</v>
      </c>
      <c r="AH1738" s="5">
        <f>IF(SalesData[[#This Row],[Customers Visited]]=0,0,SalesData[[#This Row],[Contracts Signed]]/SalesData[[#This Row],[Customers Visited]])</f>
        <v>9.90990990990991E-2</v>
      </c>
      <c r="AI1738" s="6">
        <f>IF(SalesData[[#This Row],[Contracts Signed]]=0,0,SalesData[[#This Row],[Profit(€)]]/SalesData[[#This Row],[Contracts Signed]])</f>
        <v>18392</v>
      </c>
      <c r="AJ1738" s="5" t="str">
        <f>TRIM(CLEAN(SalesData[[#This Row],[Retailer]]))</f>
        <v>Hannover Cars</v>
      </c>
    </row>
    <row r="1739" spans="1:36" ht="14.25" x14ac:dyDescent="0.2">
      <c r="A1739" t="s">
        <v>2682</v>
      </c>
      <c r="B1739" s="1">
        <v>46063</v>
      </c>
      <c r="C1739" t="s">
        <v>121</v>
      </c>
      <c r="D1739" t="s">
        <v>63</v>
      </c>
      <c r="E1739" t="s">
        <v>26</v>
      </c>
      <c r="F1739" t="s">
        <v>43</v>
      </c>
      <c r="G1739" t="s">
        <v>44</v>
      </c>
      <c r="H1739" t="s">
        <v>45</v>
      </c>
      <c r="I1739" t="s">
        <v>30</v>
      </c>
      <c r="J1739" t="s">
        <v>7075</v>
      </c>
      <c r="K1739" t="s">
        <v>91</v>
      </c>
      <c r="L1739" t="s">
        <v>33</v>
      </c>
      <c r="M1739" t="s">
        <v>68</v>
      </c>
      <c r="N1739" t="s">
        <v>48</v>
      </c>
      <c r="O1739" t="s">
        <v>36</v>
      </c>
      <c r="P1739" t="s">
        <v>49</v>
      </c>
      <c r="Q1739" t="s">
        <v>347</v>
      </c>
      <c r="R1739">
        <v>247</v>
      </c>
      <c r="S1739">
        <v>145</v>
      </c>
      <c r="T1739">
        <v>110</v>
      </c>
      <c r="U1739">
        <v>38</v>
      </c>
      <c r="V1739" t="s">
        <v>6993</v>
      </c>
      <c r="W1739">
        <v>54676</v>
      </c>
      <c r="X1739" t="s">
        <v>2728</v>
      </c>
      <c r="Y1739">
        <v>39378</v>
      </c>
      <c r="Z1739">
        <v>2077688</v>
      </c>
      <c r="AA1739">
        <v>581324</v>
      </c>
      <c r="AB1739" t="str">
        <f>(VLOOKUP(SalesData[[#This Row],[Month Number]],Reference!C$5:E$16,2,FALSE))</f>
        <v>Feb</v>
      </c>
      <c r="AC1739">
        <f>MONTH(SalesData[[#This Row],[Date]])</f>
        <v>2</v>
      </c>
      <c r="AD1739">
        <f>Reference!F$4</f>
        <v>2026</v>
      </c>
      <c r="AE1739" t="str">
        <f>IF(OR(SalesData[[#This Row],[Day]]="Saturday",SalesData[[#This Row],[Day]]="Sunday"),"Weekend","Weekday")</f>
        <v>Weekday</v>
      </c>
      <c r="AF1739" s="5">
        <f>IF(SalesData[[#This Row],[Contracts Offered]]=0,0,SalesData[[#This Row],[Contracts Signed]]/SalesData[[#This Row],[Contracts Offered]])</f>
        <v>0.34545454545454546</v>
      </c>
      <c r="AG1739" s="5">
        <f>IF(SalesData[[#This Row],[Customers Visited]]=0,0,SalesData[[#This Row],[Test Drives]]/SalesData[[#This Row],[Customers Visited]])</f>
        <v>0.58704453441295545</v>
      </c>
      <c r="AH1739" s="5">
        <f>IF(SalesData[[#This Row],[Customers Visited]]=0,0,SalesData[[#This Row],[Contracts Signed]]/SalesData[[#This Row],[Customers Visited]])</f>
        <v>0.15384615384615385</v>
      </c>
      <c r="AI1739" s="6">
        <f>IF(SalesData[[#This Row],[Contracts Signed]]=0,0,SalesData[[#This Row],[Profit(€)]]/SalesData[[#This Row],[Contracts Signed]])</f>
        <v>15298</v>
      </c>
      <c r="AJ1739" s="5" t="str">
        <f>TRIM(CLEAN(SalesData[[#This Row],[Retailer]]))</f>
        <v>Saxon Wheels</v>
      </c>
    </row>
    <row r="1740" spans="1:36" ht="14.25" hidden="1" x14ac:dyDescent="0.2">
      <c r="A1740" t="s">
        <v>2683</v>
      </c>
      <c r="B1740" s="1">
        <v>46067</v>
      </c>
      <c r="C1740" t="s">
        <v>121</v>
      </c>
      <c r="D1740" t="s">
        <v>151</v>
      </c>
      <c r="E1740" t="s">
        <v>42</v>
      </c>
      <c r="F1740" t="s">
        <v>43</v>
      </c>
      <c r="G1740" t="s">
        <v>44</v>
      </c>
      <c r="H1740" t="s">
        <v>45</v>
      </c>
      <c r="I1740" t="s">
        <v>116</v>
      </c>
      <c r="J1740" t="s">
        <v>7090</v>
      </c>
      <c r="K1740" t="s">
        <v>32</v>
      </c>
      <c r="L1740" t="s">
        <v>46</v>
      </c>
      <c r="M1740" t="s">
        <v>68</v>
      </c>
      <c r="N1740" t="s">
        <v>69</v>
      </c>
      <c r="O1740" t="s">
        <v>70</v>
      </c>
      <c r="P1740" t="s">
        <v>71</v>
      </c>
      <c r="Q1740" t="s">
        <v>118</v>
      </c>
      <c r="R1740">
        <v>234</v>
      </c>
      <c r="S1740">
        <v>117</v>
      </c>
      <c r="T1740">
        <v>81</v>
      </c>
      <c r="U1740">
        <v>15</v>
      </c>
      <c r="V1740" t="s">
        <v>889</v>
      </c>
      <c r="W1740">
        <v>20552</v>
      </c>
      <c r="X1740" t="s">
        <v>230</v>
      </c>
      <c r="Y1740">
        <v>18819</v>
      </c>
      <c r="Z1740">
        <v>308280</v>
      </c>
      <c r="AA1740">
        <v>25995</v>
      </c>
      <c r="AB1740" t="str">
        <f>(VLOOKUP(SalesData[[#This Row],[Month Number]],Reference!C$5:E$16,2,FALSE))</f>
        <v>Feb</v>
      </c>
      <c r="AC1740">
        <f>MONTH(SalesData[[#This Row],[Date]])</f>
        <v>2</v>
      </c>
      <c r="AD1740">
        <f>Reference!F$4</f>
        <v>2026</v>
      </c>
      <c r="AE1740" t="str">
        <f>IF(OR(SalesData[[#This Row],[Day]]="Saturday",SalesData[[#This Row],[Day]]="Sunday"),"Weekend","Weekday")</f>
        <v>Weekend</v>
      </c>
      <c r="AF1740" s="5">
        <f>IF(SalesData[[#This Row],[Contracts Offered]]=0,0,SalesData[[#This Row],[Contracts Signed]]/SalesData[[#This Row],[Contracts Offered]])</f>
        <v>0.18518518518518517</v>
      </c>
      <c r="AG1740" s="5">
        <f>IF(SalesData[[#This Row],[Customers Visited]]=0,0,SalesData[[#This Row],[Test Drives]]/SalesData[[#This Row],[Customers Visited]])</f>
        <v>0.5</v>
      </c>
      <c r="AH1740" s="5">
        <f>IF(SalesData[[#This Row],[Customers Visited]]=0,0,SalesData[[#This Row],[Contracts Signed]]/SalesData[[#This Row],[Customers Visited]])</f>
        <v>6.4102564102564097E-2</v>
      </c>
      <c r="AI1740" s="6">
        <f>IF(SalesData[[#This Row],[Contracts Signed]]=0,0,SalesData[[#This Row],[Profit(€)]]/SalesData[[#This Row],[Contracts Signed]])</f>
        <v>1733</v>
      </c>
      <c r="AJ1740" s="5" t="str">
        <f>TRIM(CLEAN(SalesData[[#This Row],[Retailer]]))</f>
        <v>Saxon Wheels</v>
      </c>
    </row>
    <row r="1741" spans="1:36" ht="14.25" x14ac:dyDescent="0.2">
      <c r="A1741" t="s">
        <v>2684</v>
      </c>
      <c r="B1741" s="1">
        <v>46055</v>
      </c>
      <c r="C1741" t="s">
        <v>24</v>
      </c>
      <c r="D1741" t="s">
        <v>25</v>
      </c>
      <c r="E1741" t="s">
        <v>26</v>
      </c>
      <c r="F1741" t="s">
        <v>27</v>
      </c>
      <c r="G1741" t="s">
        <v>28</v>
      </c>
      <c r="H1741" t="s">
        <v>29</v>
      </c>
      <c r="I1741" t="s">
        <v>30</v>
      </c>
      <c r="J1741" t="s">
        <v>7075</v>
      </c>
      <c r="K1741" t="s">
        <v>66</v>
      </c>
      <c r="L1741" t="s">
        <v>33</v>
      </c>
      <c r="M1741" t="s">
        <v>87</v>
      </c>
      <c r="N1741" t="s">
        <v>69</v>
      </c>
      <c r="O1741" t="s">
        <v>36</v>
      </c>
      <c r="P1741" t="s">
        <v>49</v>
      </c>
      <c r="Q1741" t="s">
        <v>144</v>
      </c>
      <c r="R1741">
        <v>215</v>
      </c>
      <c r="S1741">
        <v>97</v>
      </c>
      <c r="T1741">
        <v>66</v>
      </c>
      <c r="U1741">
        <v>23</v>
      </c>
      <c r="V1741" t="s">
        <v>6863</v>
      </c>
      <c r="W1741">
        <v>64011</v>
      </c>
      <c r="X1741" t="s">
        <v>7381</v>
      </c>
      <c r="Y1741">
        <v>49808</v>
      </c>
      <c r="Z1741">
        <v>1472253</v>
      </c>
      <c r="AA1741">
        <v>326669</v>
      </c>
      <c r="AB1741" t="str">
        <f>(VLOOKUP(SalesData[[#This Row],[Month Number]],Reference!C$5:E$16,2,FALSE))</f>
        <v>Feb</v>
      </c>
      <c r="AC1741">
        <f>MONTH(SalesData[[#This Row],[Date]])</f>
        <v>2</v>
      </c>
      <c r="AD1741">
        <f>Reference!F$4</f>
        <v>2026</v>
      </c>
      <c r="AE1741" t="str">
        <f>IF(OR(SalesData[[#This Row],[Day]]="Saturday",SalesData[[#This Row],[Day]]="Sunday"),"Weekend","Weekday")</f>
        <v>Weekday</v>
      </c>
      <c r="AF1741" s="5">
        <f>IF(SalesData[[#This Row],[Contracts Offered]]=0,0,SalesData[[#This Row],[Contracts Signed]]/SalesData[[#This Row],[Contracts Offered]])</f>
        <v>0.34848484848484851</v>
      </c>
      <c r="AG1741" s="5">
        <f>IF(SalesData[[#This Row],[Customers Visited]]=0,0,SalesData[[#This Row],[Test Drives]]/SalesData[[#This Row],[Customers Visited]])</f>
        <v>0.4511627906976744</v>
      </c>
      <c r="AH1741" s="5">
        <f>IF(SalesData[[#This Row],[Customers Visited]]=0,0,SalesData[[#This Row],[Contracts Signed]]/SalesData[[#This Row],[Customers Visited]])</f>
        <v>0.10697674418604651</v>
      </c>
      <c r="AI1741" s="6">
        <f>IF(SalesData[[#This Row],[Contracts Signed]]=0,0,SalesData[[#This Row],[Profit(€)]]/SalesData[[#This Row],[Contracts Signed]])</f>
        <v>14203</v>
      </c>
      <c r="AJ1741" s="5" t="str">
        <f>TRIM(CLEAN(SalesData[[#This Row],[Retailer]]))</f>
        <v>Main Auto Hub</v>
      </c>
    </row>
    <row r="1742" spans="1:36" ht="14.25" hidden="1" x14ac:dyDescent="0.2">
      <c r="A1742" t="s">
        <v>2686</v>
      </c>
      <c r="B1742" s="1">
        <v>46071</v>
      </c>
      <c r="C1742" t="s">
        <v>62</v>
      </c>
      <c r="D1742" t="s">
        <v>82</v>
      </c>
      <c r="E1742" t="s">
        <v>26</v>
      </c>
      <c r="F1742" t="s">
        <v>43</v>
      </c>
      <c r="G1742" t="s">
        <v>44</v>
      </c>
      <c r="H1742" t="s">
        <v>45</v>
      </c>
      <c r="I1742" t="s">
        <v>64</v>
      </c>
      <c r="J1742" t="s">
        <v>157</v>
      </c>
      <c r="K1742" t="s">
        <v>66</v>
      </c>
      <c r="L1742" t="s">
        <v>33</v>
      </c>
      <c r="M1742" t="s">
        <v>34</v>
      </c>
      <c r="N1742" t="s">
        <v>48</v>
      </c>
      <c r="O1742" t="s">
        <v>70</v>
      </c>
      <c r="P1742" t="s">
        <v>58</v>
      </c>
      <c r="Q1742" t="s">
        <v>118</v>
      </c>
      <c r="R1742">
        <v>238</v>
      </c>
      <c r="S1742">
        <v>140</v>
      </c>
      <c r="T1742">
        <v>111</v>
      </c>
      <c r="U1742">
        <v>36</v>
      </c>
      <c r="V1742" t="s">
        <v>6889</v>
      </c>
      <c r="W1742">
        <v>56251</v>
      </c>
      <c r="X1742" t="s">
        <v>7354</v>
      </c>
      <c r="Y1742">
        <v>40513</v>
      </c>
      <c r="Z1742">
        <v>2025036</v>
      </c>
      <c r="AA1742">
        <v>566568</v>
      </c>
      <c r="AB1742" t="str">
        <f>(VLOOKUP(SalesData[[#This Row],[Month Number]],Reference!C$5:E$16,2,FALSE))</f>
        <v>Feb</v>
      </c>
      <c r="AC1742">
        <f>MONTH(SalesData[[#This Row],[Date]])</f>
        <v>2</v>
      </c>
      <c r="AD1742">
        <f>Reference!F$4</f>
        <v>2026</v>
      </c>
      <c r="AE1742" t="str">
        <f>IF(OR(SalesData[[#This Row],[Day]]="Saturday",SalesData[[#This Row],[Day]]="Sunday"),"Weekend","Weekday")</f>
        <v>Weekday</v>
      </c>
      <c r="AF1742" s="5">
        <f>IF(SalesData[[#This Row],[Contracts Offered]]=0,0,SalesData[[#This Row],[Contracts Signed]]/SalesData[[#This Row],[Contracts Offered]])</f>
        <v>0.32432432432432434</v>
      </c>
      <c r="AG1742" s="5">
        <f>IF(SalesData[[#This Row],[Customers Visited]]=0,0,SalesData[[#This Row],[Test Drives]]/SalesData[[#This Row],[Customers Visited]])</f>
        <v>0.58823529411764708</v>
      </c>
      <c r="AH1742" s="5">
        <f>IF(SalesData[[#This Row],[Customers Visited]]=0,0,SalesData[[#This Row],[Contracts Signed]]/SalesData[[#This Row],[Customers Visited]])</f>
        <v>0.15126050420168066</v>
      </c>
      <c r="AI1742" s="6">
        <f>IF(SalesData[[#This Row],[Contracts Signed]]=0,0,SalesData[[#This Row],[Profit(€)]]/SalesData[[#This Row],[Contracts Signed]])</f>
        <v>15738</v>
      </c>
      <c r="AJ1742" s="5" t="str">
        <f>TRIM(CLEAN(SalesData[[#This Row],[Retailer]]))</f>
        <v>Saxon Wheels</v>
      </c>
    </row>
    <row r="1743" spans="1:36" ht="14.25" hidden="1" x14ac:dyDescent="0.2">
      <c r="A1743" t="s">
        <v>2687</v>
      </c>
      <c r="B1743" s="1">
        <v>46057</v>
      </c>
      <c r="C1743" t="s">
        <v>24</v>
      </c>
      <c r="D1743" t="s">
        <v>82</v>
      </c>
      <c r="E1743" t="s">
        <v>26</v>
      </c>
      <c r="F1743" t="s">
        <v>7649</v>
      </c>
      <c r="G1743" t="s">
        <v>55</v>
      </c>
      <c r="H1743" t="s">
        <v>55</v>
      </c>
      <c r="I1743" t="s">
        <v>56</v>
      </c>
      <c r="J1743" t="s">
        <v>137</v>
      </c>
      <c r="K1743" t="s">
        <v>66</v>
      </c>
      <c r="L1743" t="s">
        <v>46</v>
      </c>
      <c r="M1743" t="s">
        <v>47</v>
      </c>
      <c r="N1743" t="s">
        <v>35</v>
      </c>
      <c r="O1743" t="s">
        <v>36</v>
      </c>
      <c r="P1743" t="s">
        <v>37</v>
      </c>
      <c r="Q1743" t="s">
        <v>59</v>
      </c>
      <c r="R1743">
        <v>217</v>
      </c>
      <c r="S1743">
        <v>137</v>
      </c>
      <c r="T1743">
        <v>91</v>
      </c>
      <c r="U1743">
        <v>33</v>
      </c>
      <c r="V1743" t="s">
        <v>6496</v>
      </c>
      <c r="W1743">
        <v>40997</v>
      </c>
      <c r="X1743" t="s">
        <v>7279</v>
      </c>
      <c r="Y1743">
        <v>33119</v>
      </c>
      <c r="Z1743">
        <v>1352901</v>
      </c>
      <c r="AA1743">
        <v>259974</v>
      </c>
      <c r="AB1743" t="str">
        <f>(VLOOKUP(SalesData[[#This Row],[Month Number]],Reference!C$5:E$16,2,FALSE))</f>
        <v>Feb</v>
      </c>
      <c r="AC1743">
        <f>MONTH(SalesData[[#This Row],[Date]])</f>
        <v>2</v>
      </c>
      <c r="AD1743">
        <f>Reference!F$4</f>
        <v>2026</v>
      </c>
      <c r="AE1743" t="str">
        <f>IF(OR(SalesData[[#This Row],[Day]]="Saturday",SalesData[[#This Row],[Day]]="Sunday"),"Weekend","Weekday")</f>
        <v>Weekday</v>
      </c>
      <c r="AF1743" s="5">
        <f>IF(SalesData[[#This Row],[Contracts Offered]]=0,0,SalesData[[#This Row],[Contracts Signed]]/SalesData[[#This Row],[Contracts Offered]])</f>
        <v>0.36263736263736263</v>
      </c>
      <c r="AG1743" s="5">
        <f>IF(SalesData[[#This Row],[Customers Visited]]=0,0,SalesData[[#This Row],[Test Drives]]/SalesData[[#This Row],[Customers Visited]])</f>
        <v>0.63133640552995396</v>
      </c>
      <c r="AH1743" s="5">
        <f>IF(SalesData[[#This Row],[Customers Visited]]=0,0,SalesData[[#This Row],[Contracts Signed]]/SalesData[[#This Row],[Customers Visited]])</f>
        <v>0.15207373271889402</v>
      </c>
      <c r="AI1743" s="6">
        <f>IF(SalesData[[#This Row],[Contracts Signed]]=0,0,SalesData[[#This Row],[Profit(€)]]/SalesData[[#This Row],[Contracts Signed]])</f>
        <v>7878</v>
      </c>
      <c r="AJ1743" s="5" t="str">
        <f>TRIM(CLEAN(SalesData[[#This Row],[Retailer]]))</f>
        <v>Autohaus Berlin</v>
      </c>
    </row>
    <row r="1744" spans="1:36" ht="14.25" x14ac:dyDescent="0.2">
      <c r="A1744" t="s">
        <v>2688</v>
      </c>
      <c r="B1744" s="1">
        <v>46057</v>
      </c>
      <c r="C1744" t="s">
        <v>24</v>
      </c>
      <c r="D1744" t="s">
        <v>82</v>
      </c>
      <c r="E1744" t="s">
        <v>26</v>
      </c>
      <c r="F1744" t="s">
        <v>127</v>
      </c>
      <c r="G1744" t="s">
        <v>128</v>
      </c>
      <c r="H1744" t="s">
        <v>103</v>
      </c>
      <c r="I1744" t="s">
        <v>30</v>
      </c>
      <c r="J1744" t="s">
        <v>7075</v>
      </c>
      <c r="K1744" t="s">
        <v>91</v>
      </c>
      <c r="L1744" t="s">
        <v>33</v>
      </c>
      <c r="M1744" t="s">
        <v>34</v>
      </c>
      <c r="N1744" t="s">
        <v>48</v>
      </c>
      <c r="O1744" t="s">
        <v>36</v>
      </c>
      <c r="P1744" t="s">
        <v>49</v>
      </c>
      <c r="Q1744" t="s">
        <v>88</v>
      </c>
      <c r="R1744">
        <v>185</v>
      </c>
      <c r="S1744">
        <v>97</v>
      </c>
      <c r="T1744">
        <v>78</v>
      </c>
      <c r="U1744">
        <v>26</v>
      </c>
      <c r="V1744" t="s">
        <v>6440</v>
      </c>
      <c r="W1744">
        <v>64907</v>
      </c>
      <c r="X1744" t="s">
        <v>7302</v>
      </c>
      <c r="Y1744">
        <v>48432</v>
      </c>
      <c r="Z1744">
        <v>1687582</v>
      </c>
      <c r="AA1744">
        <v>428350</v>
      </c>
      <c r="AB1744" t="str">
        <f>(VLOOKUP(SalesData[[#This Row],[Month Number]],Reference!C$5:E$16,2,FALSE))</f>
        <v>Feb</v>
      </c>
      <c r="AC1744">
        <f>MONTH(SalesData[[#This Row],[Date]])</f>
        <v>2</v>
      </c>
      <c r="AD1744">
        <f>Reference!F$4</f>
        <v>2026</v>
      </c>
      <c r="AE1744" t="str">
        <f>IF(OR(SalesData[[#This Row],[Day]]="Saturday",SalesData[[#This Row],[Day]]="Sunday"),"Weekend","Weekday")</f>
        <v>Weekday</v>
      </c>
      <c r="AF1744" s="5">
        <f>IF(SalesData[[#This Row],[Contracts Offered]]=0,0,SalesData[[#This Row],[Contracts Signed]]/SalesData[[#This Row],[Contracts Offered]])</f>
        <v>0.33333333333333331</v>
      </c>
      <c r="AG1744" s="5">
        <f>IF(SalesData[[#This Row],[Customers Visited]]=0,0,SalesData[[#This Row],[Test Drives]]/SalesData[[#This Row],[Customers Visited]])</f>
        <v>0.5243243243243243</v>
      </c>
      <c r="AH1744" s="5">
        <f>IF(SalesData[[#This Row],[Customers Visited]]=0,0,SalesData[[#This Row],[Contracts Signed]]/SalesData[[#This Row],[Customers Visited]])</f>
        <v>0.14054054054054055</v>
      </c>
      <c r="AI1744" s="6">
        <f>IF(SalesData[[#This Row],[Contracts Signed]]=0,0,SalesData[[#This Row],[Profit(€)]]/SalesData[[#This Row],[Contracts Signed]])</f>
        <v>16475</v>
      </c>
      <c r="AJ1744" s="5" t="str">
        <f>TRIM(CLEAN(SalesData[[#This Row],[Retailer]]))</f>
        <v>Rhein Auto Group</v>
      </c>
    </row>
    <row r="1745" spans="1:36" ht="14.25" x14ac:dyDescent="0.2">
      <c r="A1745" t="s">
        <v>2689</v>
      </c>
      <c r="B1745" s="1">
        <v>46074</v>
      </c>
      <c r="C1745" t="s">
        <v>62</v>
      </c>
      <c r="D1745" t="s">
        <v>151</v>
      </c>
      <c r="E1745" t="s">
        <v>42</v>
      </c>
      <c r="F1745" t="s">
        <v>114</v>
      </c>
      <c r="G1745" t="s">
        <v>115</v>
      </c>
      <c r="H1745" t="s">
        <v>115</v>
      </c>
      <c r="I1745" t="s">
        <v>30</v>
      </c>
      <c r="J1745" t="s">
        <v>86</v>
      </c>
      <c r="K1745" t="s">
        <v>78</v>
      </c>
      <c r="L1745" t="s">
        <v>33</v>
      </c>
      <c r="M1745" t="s">
        <v>47</v>
      </c>
      <c r="N1745" t="s">
        <v>69</v>
      </c>
      <c r="O1745" t="s">
        <v>36</v>
      </c>
      <c r="P1745" t="s">
        <v>49</v>
      </c>
      <c r="Q1745" t="s">
        <v>50</v>
      </c>
      <c r="R1745">
        <v>221</v>
      </c>
      <c r="S1745">
        <v>105</v>
      </c>
      <c r="T1745">
        <v>80</v>
      </c>
      <c r="U1745">
        <v>27</v>
      </c>
      <c r="V1745" t="s">
        <v>6889</v>
      </c>
      <c r="W1745">
        <v>54153</v>
      </c>
      <c r="X1745" t="s">
        <v>7476</v>
      </c>
      <c r="Y1745">
        <v>41827</v>
      </c>
      <c r="Z1745">
        <v>1462131</v>
      </c>
      <c r="AA1745">
        <v>332802</v>
      </c>
      <c r="AB1745" t="str">
        <f>(VLOOKUP(SalesData[[#This Row],[Month Number]],Reference!C$5:E$16,2,FALSE))</f>
        <v>Feb</v>
      </c>
      <c r="AC1745">
        <f>MONTH(SalesData[[#This Row],[Date]])</f>
        <v>2</v>
      </c>
      <c r="AD1745">
        <f>Reference!F$4</f>
        <v>2026</v>
      </c>
      <c r="AE1745" t="str">
        <f>IF(OR(SalesData[[#This Row],[Day]]="Saturday",SalesData[[#This Row],[Day]]="Sunday"),"Weekend","Weekday")</f>
        <v>Weekend</v>
      </c>
      <c r="AF1745" s="5">
        <f>IF(SalesData[[#This Row],[Contracts Offered]]=0,0,SalesData[[#This Row],[Contracts Signed]]/SalesData[[#This Row],[Contracts Offered]])</f>
        <v>0.33750000000000002</v>
      </c>
      <c r="AG1745" s="5">
        <f>IF(SalesData[[#This Row],[Customers Visited]]=0,0,SalesData[[#This Row],[Test Drives]]/SalesData[[#This Row],[Customers Visited]])</f>
        <v>0.47511312217194568</v>
      </c>
      <c r="AH1745" s="5">
        <f>IF(SalesData[[#This Row],[Customers Visited]]=0,0,SalesData[[#This Row],[Contracts Signed]]/SalesData[[#This Row],[Customers Visited]])</f>
        <v>0.12217194570135746</v>
      </c>
      <c r="AI1745" s="6">
        <f>IF(SalesData[[#This Row],[Contracts Signed]]=0,0,SalesData[[#This Row],[Profit(€)]]/SalesData[[#This Row],[Contracts Signed]])</f>
        <v>12326</v>
      </c>
      <c r="AJ1745" s="5" t="str">
        <f>TRIM(CLEAN(SalesData[[#This Row],[Retailer]]))</f>
        <v>Elbe Drive</v>
      </c>
    </row>
    <row r="1746" spans="1:36" ht="14.25" x14ac:dyDescent="0.2">
      <c r="A1746" t="s">
        <v>2690</v>
      </c>
      <c r="B1746" s="1">
        <v>46055</v>
      </c>
      <c r="C1746" t="s">
        <v>24</v>
      </c>
      <c r="D1746" t="s">
        <v>25</v>
      </c>
      <c r="E1746" t="s">
        <v>26</v>
      </c>
      <c r="F1746" t="s">
        <v>43</v>
      </c>
      <c r="G1746" t="s">
        <v>44</v>
      </c>
      <c r="H1746" t="s">
        <v>45</v>
      </c>
      <c r="I1746" t="s">
        <v>30</v>
      </c>
      <c r="J1746" t="s">
        <v>188</v>
      </c>
      <c r="K1746" t="s">
        <v>78</v>
      </c>
      <c r="L1746" t="s">
        <v>33</v>
      </c>
      <c r="M1746" t="s">
        <v>87</v>
      </c>
      <c r="N1746" t="s">
        <v>35</v>
      </c>
      <c r="O1746" t="s">
        <v>36</v>
      </c>
      <c r="P1746" t="s">
        <v>71</v>
      </c>
      <c r="Q1746" t="s">
        <v>204</v>
      </c>
      <c r="R1746">
        <v>215</v>
      </c>
      <c r="S1746">
        <v>123</v>
      </c>
      <c r="T1746">
        <v>86</v>
      </c>
      <c r="U1746">
        <v>33</v>
      </c>
      <c r="V1746" t="s">
        <v>7247</v>
      </c>
      <c r="W1746">
        <v>57438</v>
      </c>
      <c r="X1746" t="s">
        <v>7054</v>
      </c>
      <c r="Y1746">
        <v>43403</v>
      </c>
      <c r="Z1746">
        <v>1895454</v>
      </c>
      <c r="AA1746">
        <v>463155</v>
      </c>
      <c r="AB1746" t="str">
        <f>(VLOOKUP(SalesData[[#This Row],[Month Number]],Reference!C$5:E$16,2,FALSE))</f>
        <v>Feb</v>
      </c>
      <c r="AC1746">
        <f>MONTH(SalesData[[#This Row],[Date]])</f>
        <v>2</v>
      </c>
      <c r="AD1746">
        <f>Reference!F$4</f>
        <v>2026</v>
      </c>
      <c r="AE1746" t="str">
        <f>IF(OR(SalesData[[#This Row],[Day]]="Saturday",SalesData[[#This Row],[Day]]="Sunday"),"Weekend","Weekday")</f>
        <v>Weekday</v>
      </c>
      <c r="AF1746" s="5">
        <f>IF(SalesData[[#This Row],[Contracts Offered]]=0,0,SalesData[[#This Row],[Contracts Signed]]/SalesData[[#This Row],[Contracts Offered]])</f>
        <v>0.38372093023255816</v>
      </c>
      <c r="AG1746" s="5">
        <f>IF(SalesData[[#This Row],[Customers Visited]]=0,0,SalesData[[#This Row],[Test Drives]]/SalesData[[#This Row],[Customers Visited]])</f>
        <v>0.5720930232558139</v>
      </c>
      <c r="AH1746" s="5">
        <f>IF(SalesData[[#This Row],[Customers Visited]]=0,0,SalesData[[#This Row],[Contracts Signed]]/SalesData[[#This Row],[Customers Visited]])</f>
        <v>0.15348837209302327</v>
      </c>
      <c r="AI1746" s="6">
        <f>IF(SalesData[[#This Row],[Contracts Signed]]=0,0,SalesData[[#This Row],[Profit(€)]]/SalesData[[#This Row],[Contracts Signed]])</f>
        <v>14035</v>
      </c>
      <c r="AJ1746" s="5" t="str">
        <f>TRIM(CLEAN(SalesData[[#This Row],[Retailer]]))</f>
        <v>Saxon Wheels</v>
      </c>
    </row>
    <row r="1747" spans="1:36" ht="14.25" hidden="1" x14ac:dyDescent="0.2">
      <c r="A1747" t="s">
        <v>2691</v>
      </c>
      <c r="B1747" s="1">
        <v>46073</v>
      </c>
      <c r="C1747" t="s">
        <v>62</v>
      </c>
      <c r="D1747" t="s">
        <v>54</v>
      </c>
      <c r="E1747" t="s">
        <v>26</v>
      </c>
      <c r="F1747" t="s">
        <v>94</v>
      </c>
      <c r="G1747" t="s">
        <v>95</v>
      </c>
      <c r="H1747" t="s">
        <v>96</v>
      </c>
      <c r="I1747" t="s">
        <v>116</v>
      </c>
      <c r="J1747" t="s">
        <v>203</v>
      </c>
      <c r="K1747" t="s">
        <v>32</v>
      </c>
      <c r="L1747" t="s">
        <v>67</v>
      </c>
      <c r="M1747" t="s">
        <v>87</v>
      </c>
      <c r="N1747" t="s">
        <v>48</v>
      </c>
      <c r="O1747" t="s">
        <v>36</v>
      </c>
      <c r="P1747" t="s">
        <v>49</v>
      </c>
      <c r="Q1747" t="s">
        <v>169</v>
      </c>
      <c r="R1747">
        <v>291</v>
      </c>
      <c r="S1747">
        <v>124</v>
      </c>
      <c r="T1747">
        <v>72</v>
      </c>
      <c r="U1747">
        <v>22</v>
      </c>
      <c r="V1747" t="s">
        <v>1221</v>
      </c>
      <c r="W1747">
        <v>22584</v>
      </c>
      <c r="X1747" t="s">
        <v>3515</v>
      </c>
      <c r="Y1747">
        <v>20536</v>
      </c>
      <c r="Z1747">
        <v>496848</v>
      </c>
      <c r="AA1747">
        <v>45056</v>
      </c>
      <c r="AB1747" t="str">
        <f>(VLOOKUP(SalesData[[#This Row],[Month Number]],Reference!C$5:E$16,2,FALSE))</f>
        <v>Feb</v>
      </c>
      <c r="AC1747">
        <f>MONTH(SalesData[[#This Row],[Date]])</f>
        <v>2</v>
      </c>
      <c r="AD1747">
        <f>Reference!F$4</f>
        <v>2026</v>
      </c>
      <c r="AE1747" t="str">
        <f>IF(OR(SalesData[[#This Row],[Day]]="Saturday",SalesData[[#This Row],[Day]]="Sunday"),"Weekend","Weekday")</f>
        <v>Weekday</v>
      </c>
      <c r="AF1747" s="5">
        <f>IF(SalesData[[#This Row],[Contracts Offered]]=0,0,SalesData[[#This Row],[Contracts Signed]]/SalesData[[#This Row],[Contracts Offered]])</f>
        <v>0.30555555555555558</v>
      </c>
      <c r="AG1747" s="5">
        <f>IF(SalesData[[#This Row],[Customers Visited]]=0,0,SalesData[[#This Row],[Test Drives]]/SalesData[[#This Row],[Customers Visited]])</f>
        <v>0.42611683848797249</v>
      </c>
      <c r="AH1747" s="5">
        <f>IF(SalesData[[#This Row],[Customers Visited]]=0,0,SalesData[[#This Row],[Contracts Signed]]/SalesData[[#This Row],[Customers Visited]])</f>
        <v>7.560137457044673E-2</v>
      </c>
      <c r="AI1747" s="6">
        <f>IF(SalesData[[#This Row],[Contracts Signed]]=0,0,SalesData[[#This Row],[Profit(€)]]/SalesData[[#This Row],[Contracts Signed]])</f>
        <v>2048</v>
      </c>
      <c r="AJ1747" s="5" t="str">
        <f>TRIM(CLEAN(SalesData[[#This Row],[Retailer]]))</f>
        <v>Bavaria Motors</v>
      </c>
    </row>
    <row r="1748" spans="1:36" ht="14.25" hidden="1" x14ac:dyDescent="0.2">
      <c r="A1748" t="s">
        <v>2692</v>
      </c>
      <c r="B1748" s="1">
        <v>46079</v>
      </c>
      <c r="C1748" t="s">
        <v>53</v>
      </c>
      <c r="D1748" t="s">
        <v>100</v>
      </c>
      <c r="E1748" t="s">
        <v>26</v>
      </c>
      <c r="F1748" t="s">
        <v>83</v>
      </c>
      <c r="G1748" t="s">
        <v>84</v>
      </c>
      <c r="H1748" t="s">
        <v>85</v>
      </c>
      <c r="I1748" t="s">
        <v>56</v>
      </c>
      <c r="J1748" t="s">
        <v>179</v>
      </c>
      <c r="K1748" t="s">
        <v>32</v>
      </c>
      <c r="L1748" t="s">
        <v>67</v>
      </c>
      <c r="M1748" t="s">
        <v>47</v>
      </c>
      <c r="N1748" t="s">
        <v>48</v>
      </c>
      <c r="O1748" t="s">
        <v>70</v>
      </c>
      <c r="P1748" t="s">
        <v>49</v>
      </c>
      <c r="Q1748" t="s">
        <v>144</v>
      </c>
      <c r="R1748">
        <v>278</v>
      </c>
      <c r="S1748">
        <v>140</v>
      </c>
      <c r="T1748">
        <v>90</v>
      </c>
      <c r="U1748">
        <v>27</v>
      </c>
      <c r="V1748" t="s">
        <v>3715</v>
      </c>
      <c r="W1748">
        <v>47218</v>
      </c>
      <c r="X1748" t="s">
        <v>7307</v>
      </c>
      <c r="Y1748">
        <v>38568</v>
      </c>
      <c r="Z1748">
        <v>1274886</v>
      </c>
      <c r="AA1748">
        <v>233550</v>
      </c>
      <c r="AB1748" t="str">
        <f>(VLOOKUP(SalesData[[#This Row],[Month Number]],Reference!C$5:E$16,2,FALSE))</f>
        <v>Feb</v>
      </c>
      <c r="AC1748">
        <f>MONTH(SalesData[[#This Row],[Date]])</f>
        <v>2</v>
      </c>
      <c r="AD1748">
        <f>Reference!F$4</f>
        <v>2026</v>
      </c>
      <c r="AE1748" t="str">
        <f>IF(OR(SalesData[[#This Row],[Day]]="Saturday",SalesData[[#This Row],[Day]]="Sunday"),"Weekend","Weekday")</f>
        <v>Weekday</v>
      </c>
      <c r="AF1748" s="5">
        <f>IF(SalesData[[#This Row],[Contracts Offered]]=0,0,SalesData[[#This Row],[Contracts Signed]]/SalesData[[#This Row],[Contracts Offered]])</f>
        <v>0.3</v>
      </c>
      <c r="AG1748" s="5">
        <f>IF(SalesData[[#This Row],[Customers Visited]]=0,0,SalesData[[#This Row],[Test Drives]]/SalesData[[#This Row],[Customers Visited]])</f>
        <v>0.50359712230215825</v>
      </c>
      <c r="AH1748" s="5">
        <f>IF(SalesData[[#This Row],[Customers Visited]]=0,0,SalesData[[#This Row],[Contracts Signed]]/SalesData[[#This Row],[Customers Visited]])</f>
        <v>9.7122302158273388E-2</v>
      </c>
      <c r="AI1748" s="6">
        <f>IF(SalesData[[#This Row],[Contracts Signed]]=0,0,SalesData[[#This Row],[Profit(€)]]/SalesData[[#This Row],[Contracts Signed]])</f>
        <v>8650</v>
      </c>
      <c r="AJ1748" s="5" t="str">
        <f>TRIM(CLEAN(SalesData[[#This Row],[Retailer]]))</f>
        <v>Hannover Cars</v>
      </c>
    </row>
    <row r="1749" spans="1:36" ht="14.25" hidden="1" x14ac:dyDescent="0.2">
      <c r="A1749" t="s">
        <v>2694</v>
      </c>
      <c r="B1749" s="1">
        <v>46063</v>
      </c>
      <c r="C1749" t="s">
        <v>121</v>
      </c>
      <c r="D1749" t="s">
        <v>63</v>
      </c>
      <c r="E1749" t="s">
        <v>26</v>
      </c>
      <c r="F1749" t="s">
        <v>114</v>
      </c>
      <c r="G1749" t="s">
        <v>115</v>
      </c>
      <c r="H1749" t="s">
        <v>115</v>
      </c>
      <c r="I1749" t="s">
        <v>116</v>
      </c>
      <c r="J1749" t="s">
        <v>7026</v>
      </c>
      <c r="K1749" t="s">
        <v>91</v>
      </c>
      <c r="L1749" t="s">
        <v>46</v>
      </c>
      <c r="M1749" t="s">
        <v>34</v>
      </c>
      <c r="N1749" t="s">
        <v>69</v>
      </c>
      <c r="O1749" t="s">
        <v>70</v>
      </c>
      <c r="P1749" t="s">
        <v>37</v>
      </c>
      <c r="Q1749" t="s">
        <v>169</v>
      </c>
      <c r="R1749">
        <v>237</v>
      </c>
      <c r="S1749">
        <v>95</v>
      </c>
      <c r="T1749">
        <v>60</v>
      </c>
      <c r="U1749">
        <v>16</v>
      </c>
      <c r="V1749" t="s">
        <v>2711</v>
      </c>
      <c r="W1749">
        <v>22426</v>
      </c>
      <c r="X1749" t="s">
        <v>3607</v>
      </c>
      <c r="Y1749">
        <v>20616</v>
      </c>
      <c r="Z1749">
        <v>358816</v>
      </c>
      <c r="AA1749">
        <v>28960</v>
      </c>
      <c r="AB1749" t="str">
        <f>(VLOOKUP(SalesData[[#This Row],[Month Number]],Reference!C$5:E$16,2,FALSE))</f>
        <v>Feb</v>
      </c>
      <c r="AC1749">
        <f>MONTH(SalesData[[#This Row],[Date]])</f>
        <v>2</v>
      </c>
      <c r="AD1749">
        <f>Reference!F$4</f>
        <v>2026</v>
      </c>
      <c r="AE1749" t="str">
        <f>IF(OR(SalesData[[#This Row],[Day]]="Saturday",SalesData[[#This Row],[Day]]="Sunday"),"Weekend","Weekday")</f>
        <v>Weekday</v>
      </c>
      <c r="AF1749" s="5">
        <f>IF(SalesData[[#This Row],[Contracts Offered]]=0,0,SalesData[[#This Row],[Contracts Signed]]/SalesData[[#This Row],[Contracts Offered]])</f>
        <v>0.26666666666666666</v>
      </c>
      <c r="AG1749" s="5">
        <f>IF(SalesData[[#This Row],[Customers Visited]]=0,0,SalesData[[#This Row],[Test Drives]]/SalesData[[#This Row],[Customers Visited]])</f>
        <v>0.40084388185654007</v>
      </c>
      <c r="AH1749" s="5">
        <f>IF(SalesData[[#This Row],[Customers Visited]]=0,0,SalesData[[#This Row],[Contracts Signed]]/SalesData[[#This Row],[Customers Visited]])</f>
        <v>6.7510548523206745E-2</v>
      </c>
      <c r="AI1749" s="6">
        <f>IF(SalesData[[#This Row],[Contracts Signed]]=0,0,SalesData[[#This Row],[Profit(€)]]/SalesData[[#This Row],[Contracts Signed]])</f>
        <v>1810</v>
      </c>
      <c r="AJ1749" s="5" t="str">
        <f>TRIM(CLEAN(SalesData[[#This Row],[Retailer]]))</f>
        <v>Elbe Drive</v>
      </c>
    </row>
    <row r="1750" spans="1:36" ht="14.25" hidden="1" x14ac:dyDescent="0.2">
      <c r="A1750" t="s">
        <v>2695</v>
      </c>
      <c r="B1750" s="1">
        <v>46062</v>
      </c>
      <c r="C1750" t="s">
        <v>121</v>
      </c>
      <c r="D1750" t="s">
        <v>25</v>
      </c>
      <c r="E1750" t="s">
        <v>26</v>
      </c>
      <c r="F1750" t="s">
        <v>101</v>
      </c>
      <c r="G1750" t="s">
        <v>102</v>
      </c>
      <c r="H1750" t="s">
        <v>103</v>
      </c>
      <c r="I1750" t="s">
        <v>104</v>
      </c>
      <c r="J1750" t="s">
        <v>140</v>
      </c>
      <c r="K1750" t="s">
        <v>66</v>
      </c>
      <c r="L1750" t="s">
        <v>46</v>
      </c>
      <c r="M1750" t="s">
        <v>87</v>
      </c>
      <c r="N1750" t="s">
        <v>48</v>
      </c>
      <c r="O1750" t="s">
        <v>70</v>
      </c>
      <c r="P1750" t="s">
        <v>71</v>
      </c>
      <c r="Q1750" t="s">
        <v>50</v>
      </c>
      <c r="R1750">
        <v>379</v>
      </c>
      <c r="S1750">
        <v>212</v>
      </c>
      <c r="T1750">
        <v>152</v>
      </c>
      <c r="U1750">
        <v>31</v>
      </c>
      <c r="V1750" t="s">
        <v>1773</v>
      </c>
      <c r="W1750">
        <v>25422</v>
      </c>
      <c r="X1750" t="s">
        <v>919</v>
      </c>
      <c r="Y1750">
        <v>22967</v>
      </c>
      <c r="Z1750">
        <v>788082</v>
      </c>
      <c r="AA1750">
        <v>76105</v>
      </c>
      <c r="AB1750" t="str">
        <f>(VLOOKUP(SalesData[[#This Row],[Month Number]],Reference!C$5:E$16,2,FALSE))</f>
        <v>Feb</v>
      </c>
      <c r="AC1750">
        <f>MONTH(SalesData[[#This Row],[Date]])</f>
        <v>2</v>
      </c>
      <c r="AD1750">
        <f>Reference!F$4</f>
        <v>2026</v>
      </c>
      <c r="AE1750" t="str">
        <f>IF(OR(SalesData[[#This Row],[Day]]="Saturday",SalesData[[#This Row],[Day]]="Sunday"),"Weekend","Weekday")</f>
        <v>Weekday</v>
      </c>
      <c r="AF1750" s="5">
        <f>IF(SalesData[[#This Row],[Contracts Offered]]=0,0,SalesData[[#This Row],[Contracts Signed]]/SalesData[[#This Row],[Contracts Offered]])</f>
        <v>0.20394736842105263</v>
      </c>
      <c r="AG1750" s="5">
        <f>IF(SalesData[[#This Row],[Customers Visited]]=0,0,SalesData[[#This Row],[Test Drives]]/SalesData[[#This Row],[Customers Visited]])</f>
        <v>0.55936675461741425</v>
      </c>
      <c r="AH1750" s="5">
        <f>IF(SalesData[[#This Row],[Customers Visited]]=0,0,SalesData[[#This Row],[Contracts Signed]]/SalesData[[#This Row],[Customers Visited]])</f>
        <v>8.1794195250659632E-2</v>
      </c>
      <c r="AI1750" s="6">
        <f>IF(SalesData[[#This Row],[Contracts Signed]]=0,0,SalesData[[#This Row],[Profit(€)]]/SalesData[[#This Row],[Contracts Signed]])</f>
        <v>2455</v>
      </c>
      <c r="AJ1750" s="5" t="str">
        <f>TRIM(CLEAN(SalesData[[#This Row],[Retailer]]))</f>
        <v>Ruhr Auto Plaza</v>
      </c>
    </row>
    <row r="1751" spans="1:36" ht="14.25" hidden="1" x14ac:dyDescent="0.2">
      <c r="A1751" t="s">
        <v>2696</v>
      </c>
      <c r="B1751" s="1">
        <v>46073</v>
      </c>
      <c r="C1751" t="s">
        <v>62</v>
      </c>
      <c r="D1751" t="s">
        <v>54</v>
      </c>
      <c r="E1751" t="s">
        <v>26</v>
      </c>
      <c r="F1751" t="s">
        <v>94</v>
      </c>
      <c r="G1751" t="s">
        <v>95</v>
      </c>
      <c r="H1751" t="s">
        <v>96</v>
      </c>
      <c r="I1751" t="s">
        <v>104</v>
      </c>
      <c r="J1751" t="s">
        <v>7031</v>
      </c>
      <c r="K1751" t="s">
        <v>32</v>
      </c>
      <c r="L1751" t="s">
        <v>46</v>
      </c>
      <c r="M1751" t="s">
        <v>68</v>
      </c>
      <c r="N1751" t="s">
        <v>35</v>
      </c>
      <c r="O1751" t="s">
        <v>70</v>
      </c>
      <c r="P1751" t="s">
        <v>58</v>
      </c>
      <c r="Q1751" t="s">
        <v>240</v>
      </c>
      <c r="R1751">
        <v>334</v>
      </c>
      <c r="S1751">
        <v>154</v>
      </c>
      <c r="T1751">
        <v>89</v>
      </c>
      <c r="U1751">
        <v>31</v>
      </c>
      <c r="V1751" t="s">
        <v>6488</v>
      </c>
      <c r="W1751">
        <v>30970</v>
      </c>
      <c r="X1751" t="s">
        <v>305</v>
      </c>
      <c r="Y1751">
        <v>27368</v>
      </c>
      <c r="Z1751">
        <v>960070</v>
      </c>
      <c r="AA1751">
        <v>111662</v>
      </c>
      <c r="AB1751" t="str">
        <f>(VLOOKUP(SalesData[[#This Row],[Month Number]],Reference!C$5:E$16,2,FALSE))</f>
        <v>Feb</v>
      </c>
      <c r="AC1751">
        <f>MONTH(SalesData[[#This Row],[Date]])</f>
        <v>2</v>
      </c>
      <c r="AD1751">
        <f>Reference!F$4</f>
        <v>2026</v>
      </c>
      <c r="AE1751" t="str">
        <f>IF(OR(SalesData[[#This Row],[Day]]="Saturday",SalesData[[#This Row],[Day]]="Sunday"),"Weekend","Weekday")</f>
        <v>Weekday</v>
      </c>
      <c r="AF1751" s="5">
        <f>IF(SalesData[[#This Row],[Contracts Offered]]=0,0,SalesData[[#This Row],[Contracts Signed]]/SalesData[[#This Row],[Contracts Offered]])</f>
        <v>0.34831460674157305</v>
      </c>
      <c r="AG1751" s="5">
        <f>IF(SalesData[[#This Row],[Customers Visited]]=0,0,SalesData[[#This Row],[Test Drives]]/SalesData[[#This Row],[Customers Visited]])</f>
        <v>0.46107784431137727</v>
      </c>
      <c r="AH1751" s="5">
        <f>IF(SalesData[[#This Row],[Customers Visited]]=0,0,SalesData[[#This Row],[Contracts Signed]]/SalesData[[#This Row],[Customers Visited]])</f>
        <v>9.2814371257485026E-2</v>
      </c>
      <c r="AI1751" s="6">
        <f>IF(SalesData[[#This Row],[Contracts Signed]]=0,0,SalesData[[#This Row],[Profit(€)]]/SalesData[[#This Row],[Contracts Signed]])</f>
        <v>3602</v>
      </c>
      <c r="AJ1751" s="5" t="str">
        <f>TRIM(CLEAN(SalesData[[#This Row],[Retailer]]))</f>
        <v>Bavaria Motors</v>
      </c>
    </row>
    <row r="1752" spans="1:36" ht="14.25" hidden="1" x14ac:dyDescent="0.2">
      <c r="A1752" t="s">
        <v>2697</v>
      </c>
      <c r="B1752" s="1">
        <v>46070</v>
      </c>
      <c r="C1752" t="s">
        <v>62</v>
      </c>
      <c r="D1752" t="s">
        <v>63</v>
      </c>
      <c r="E1752" t="s">
        <v>26</v>
      </c>
      <c r="F1752" t="s">
        <v>101</v>
      </c>
      <c r="G1752" t="s">
        <v>102</v>
      </c>
      <c r="H1752" t="s">
        <v>103</v>
      </c>
      <c r="I1752" t="s">
        <v>104</v>
      </c>
      <c r="J1752" t="s">
        <v>7061</v>
      </c>
      <c r="K1752" t="s">
        <v>78</v>
      </c>
      <c r="L1752" t="s">
        <v>46</v>
      </c>
      <c r="M1752" t="s">
        <v>34</v>
      </c>
      <c r="N1752" t="s">
        <v>69</v>
      </c>
      <c r="O1752" t="s">
        <v>36</v>
      </c>
      <c r="P1752" t="s">
        <v>49</v>
      </c>
      <c r="Q1752" t="s">
        <v>106</v>
      </c>
      <c r="R1752">
        <v>321</v>
      </c>
      <c r="S1752">
        <v>164</v>
      </c>
      <c r="T1752">
        <v>99</v>
      </c>
      <c r="U1752">
        <v>24</v>
      </c>
      <c r="V1752" t="s">
        <v>1034</v>
      </c>
      <c r="W1752">
        <v>29409</v>
      </c>
      <c r="X1752" t="s">
        <v>3427</v>
      </c>
      <c r="Y1752">
        <v>26049</v>
      </c>
      <c r="Z1752">
        <v>705816</v>
      </c>
      <c r="AA1752">
        <v>80640</v>
      </c>
      <c r="AB1752" t="str">
        <f>(VLOOKUP(SalesData[[#This Row],[Month Number]],Reference!C$5:E$16,2,FALSE))</f>
        <v>Feb</v>
      </c>
      <c r="AC1752">
        <f>MONTH(SalesData[[#This Row],[Date]])</f>
        <v>2</v>
      </c>
      <c r="AD1752">
        <f>Reference!F$4</f>
        <v>2026</v>
      </c>
      <c r="AE1752" t="str">
        <f>IF(OR(SalesData[[#This Row],[Day]]="Saturday",SalesData[[#This Row],[Day]]="Sunday"),"Weekend","Weekday")</f>
        <v>Weekday</v>
      </c>
      <c r="AF1752" s="5">
        <f>IF(SalesData[[#This Row],[Contracts Offered]]=0,0,SalesData[[#This Row],[Contracts Signed]]/SalesData[[#This Row],[Contracts Offered]])</f>
        <v>0.24242424242424243</v>
      </c>
      <c r="AG1752" s="5">
        <f>IF(SalesData[[#This Row],[Customers Visited]]=0,0,SalesData[[#This Row],[Test Drives]]/SalesData[[#This Row],[Customers Visited]])</f>
        <v>0.5109034267912772</v>
      </c>
      <c r="AH1752" s="5">
        <f>IF(SalesData[[#This Row],[Customers Visited]]=0,0,SalesData[[#This Row],[Contracts Signed]]/SalesData[[#This Row],[Customers Visited]])</f>
        <v>7.476635514018691E-2</v>
      </c>
      <c r="AI1752" s="6">
        <f>IF(SalesData[[#This Row],[Contracts Signed]]=0,0,SalesData[[#This Row],[Profit(€)]]/SalesData[[#This Row],[Contracts Signed]])</f>
        <v>3360</v>
      </c>
      <c r="AJ1752" s="5" t="str">
        <f>TRIM(CLEAN(SalesData[[#This Row],[Retailer]]))</f>
        <v>Ruhr Auto Plaza</v>
      </c>
    </row>
    <row r="1753" spans="1:36" ht="14.25" hidden="1" x14ac:dyDescent="0.2">
      <c r="A1753" t="s">
        <v>2698</v>
      </c>
      <c r="B1753" s="1">
        <v>46064</v>
      </c>
      <c r="C1753" t="s">
        <v>121</v>
      </c>
      <c r="D1753" t="s">
        <v>82</v>
      </c>
      <c r="E1753" t="s">
        <v>26</v>
      </c>
      <c r="F1753" t="s">
        <v>27</v>
      </c>
      <c r="G1753" t="s">
        <v>28</v>
      </c>
      <c r="H1753" t="s">
        <v>29</v>
      </c>
      <c r="I1753" t="s">
        <v>116</v>
      </c>
      <c r="J1753" t="s">
        <v>7026</v>
      </c>
      <c r="K1753" t="s">
        <v>78</v>
      </c>
      <c r="L1753" t="s">
        <v>46</v>
      </c>
      <c r="M1753" t="s">
        <v>47</v>
      </c>
      <c r="N1753" t="s">
        <v>48</v>
      </c>
      <c r="O1753" t="s">
        <v>36</v>
      </c>
      <c r="P1753" t="s">
        <v>49</v>
      </c>
      <c r="Q1753" t="s">
        <v>204</v>
      </c>
      <c r="R1753">
        <v>255</v>
      </c>
      <c r="S1753">
        <v>126</v>
      </c>
      <c r="T1753">
        <v>79</v>
      </c>
      <c r="U1753">
        <v>21</v>
      </c>
      <c r="V1753" t="s">
        <v>508</v>
      </c>
      <c r="W1753">
        <v>20555</v>
      </c>
      <c r="X1753" t="s">
        <v>1233</v>
      </c>
      <c r="Y1753">
        <v>18671</v>
      </c>
      <c r="Z1753">
        <v>431655</v>
      </c>
      <c r="AA1753">
        <v>39564</v>
      </c>
      <c r="AB1753" t="str">
        <f>(VLOOKUP(SalesData[[#This Row],[Month Number]],Reference!C$5:E$16,2,FALSE))</f>
        <v>Feb</v>
      </c>
      <c r="AC1753">
        <f>MONTH(SalesData[[#This Row],[Date]])</f>
        <v>2</v>
      </c>
      <c r="AD1753">
        <f>Reference!F$4</f>
        <v>2026</v>
      </c>
      <c r="AE1753" t="str">
        <f>IF(OR(SalesData[[#This Row],[Day]]="Saturday",SalesData[[#This Row],[Day]]="Sunday"),"Weekend","Weekday")</f>
        <v>Weekday</v>
      </c>
      <c r="AF1753" s="5">
        <f>IF(SalesData[[#This Row],[Contracts Offered]]=0,0,SalesData[[#This Row],[Contracts Signed]]/SalesData[[#This Row],[Contracts Offered]])</f>
        <v>0.26582278481012656</v>
      </c>
      <c r="AG1753" s="5">
        <f>IF(SalesData[[#This Row],[Customers Visited]]=0,0,SalesData[[#This Row],[Test Drives]]/SalesData[[#This Row],[Customers Visited]])</f>
        <v>0.49411764705882355</v>
      </c>
      <c r="AH1753" s="5">
        <f>IF(SalesData[[#This Row],[Customers Visited]]=0,0,SalesData[[#This Row],[Contracts Signed]]/SalesData[[#This Row],[Customers Visited]])</f>
        <v>8.2352941176470587E-2</v>
      </c>
      <c r="AI1753" s="6">
        <f>IF(SalesData[[#This Row],[Contracts Signed]]=0,0,SalesData[[#This Row],[Profit(€)]]/SalesData[[#This Row],[Contracts Signed]])</f>
        <v>1884</v>
      </c>
      <c r="AJ1753" s="5" t="str">
        <f>TRIM(CLEAN(SalesData[[#This Row],[Retailer]]))</f>
        <v>Main Auto Hub</v>
      </c>
    </row>
    <row r="1754" spans="1:36" ht="14.25" hidden="1" x14ac:dyDescent="0.2">
      <c r="A1754" t="s">
        <v>2699</v>
      </c>
      <c r="B1754" s="1">
        <v>46075</v>
      </c>
      <c r="C1754" t="s">
        <v>53</v>
      </c>
      <c r="D1754" t="s">
        <v>41</v>
      </c>
      <c r="E1754" t="s">
        <v>42</v>
      </c>
      <c r="F1754" t="s">
        <v>127</v>
      </c>
      <c r="G1754" t="s">
        <v>128</v>
      </c>
      <c r="H1754" t="s">
        <v>103</v>
      </c>
      <c r="I1754" t="s">
        <v>64</v>
      </c>
      <c r="J1754" t="s">
        <v>77</v>
      </c>
      <c r="K1754" t="s">
        <v>91</v>
      </c>
      <c r="L1754" t="s">
        <v>46</v>
      </c>
      <c r="M1754" t="s">
        <v>34</v>
      </c>
      <c r="N1754" t="s">
        <v>69</v>
      </c>
      <c r="O1754" t="s">
        <v>70</v>
      </c>
      <c r="P1754" t="s">
        <v>71</v>
      </c>
      <c r="Q1754" t="s">
        <v>167</v>
      </c>
      <c r="R1754">
        <v>242</v>
      </c>
      <c r="S1754">
        <v>133</v>
      </c>
      <c r="T1754">
        <v>98</v>
      </c>
      <c r="U1754">
        <v>35</v>
      </c>
      <c r="V1754" t="s">
        <v>6471</v>
      </c>
      <c r="W1754">
        <v>62269</v>
      </c>
      <c r="X1754" t="s">
        <v>923</v>
      </c>
      <c r="Y1754">
        <v>45427</v>
      </c>
      <c r="Z1754">
        <v>2179415</v>
      </c>
      <c r="AA1754">
        <v>589470</v>
      </c>
      <c r="AB1754" t="str">
        <f>(VLOOKUP(SalesData[[#This Row],[Month Number]],Reference!C$5:E$16,2,FALSE))</f>
        <v>Feb</v>
      </c>
      <c r="AC1754">
        <f>MONTH(SalesData[[#This Row],[Date]])</f>
        <v>2</v>
      </c>
      <c r="AD1754">
        <f>Reference!F$4</f>
        <v>2026</v>
      </c>
      <c r="AE1754" t="str">
        <f>IF(OR(SalesData[[#This Row],[Day]]="Saturday",SalesData[[#This Row],[Day]]="Sunday"),"Weekend","Weekday")</f>
        <v>Weekend</v>
      </c>
      <c r="AF1754" s="5">
        <f>IF(SalesData[[#This Row],[Contracts Offered]]=0,0,SalesData[[#This Row],[Contracts Signed]]/SalesData[[#This Row],[Contracts Offered]])</f>
        <v>0.35714285714285715</v>
      </c>
      <c r="AG1754" s="5">
        <f>IF(SalesData[[#This Row],[Customers Visited]]=0,0,SalesData[[#This Row],[Test Drives]]/SalesData[[#This Row],[Customers Visited]])</f>
        <v>0.54958677685950408</v>
      </c>
      <c r="AH1754" s="5">
        <f>IF(SalesData[[#This Row],[Customers Visited]]=0,0,SalesData[[#This Row],[Contracts Signed]]/SalesData[[#This Row],[Customers Visited]])</f>
        <v>0.14462809917355371</v>
      </c>
      <c r="AI1754" s="6">
        <f>IF(SalesData[[#This Row],[Contracts Signed]]=0,0,SalesData[[#This Row],[Profit(€)]]/SalesData[[#This Row],[Contracts Signed]])</f>
        <v>16842</v>
      </c>
      <c r="AJ1754" s="5" t="str">
        <f>TRIM(CLEAN(SalesData[[#This Row],[Retailer]]))</f>
        <v>Rhein Auto Group</v>
      </c>
    </row>
    <row r="1755" spans="1:36" ht="14.25" hidden="1" x14ac:dyDescent="0.2">
      <c r="A1755" t="s">
        <v>2700</v>
      </c>
      <c r="B1755" s="1">
        <v>46058</v>
      </c>
      <c r="C1755" t="s">
        <v>24</v>
      </c>
      <c r="D1755" t="s">
        <v>100</v>
      </c>
      <c r="E1755" t="s">
        <v>26</v>
      </c>
      <c r="F1755" t="s">
        <v>43</v>
      </c>
      <c r="G1755" t="s">
        <v>44</v>
      </c>
      <c r="H1755" t="s">
        <v>45</v>
      </c>
      <c r="I1755" t="s">
        <v>104</v>
      </c>
      <c r="J1755" t="s">
        <v>140</v>
      </c>
      <c r="K1755" t="s">
        <v>66</v>
      </c>
      <c r="L1755" t="s">
        <v>46</v>
      </c>
      <c r="M1755" t="s">
        <v>68</v>
      </c>
      <c r="N1755" t="s">
        <v>48</v>
      </c>
      <c r="O1755" t="s">
        <v>70</v>
      </c>
      <c r="P1755" t="s">
        <v>58</v>
      </c>
      <c r="Q1755" t="s">
        <v>88</v>
      </c>
      <c r="R1755">
        <v>424</v>
      </c>
      <c r="S1755">
        <v>212</v>
      </c>
      <c r="T1755">
        <v>142</v>
      </c>
      <c r="U1755">
        <v>42</v>
      </c>
      <c r="V1755" t="s">
        <v>7046</v>
      </c>
      <c r="W1755">
        <v>34250</v>
      </c>
      <c r="X1755" t="s">
        <v>2817</v>
      </c>
      <c r="Y1755">
        <v>31083</v>
      </c>
      <c r="Z1755">
        <v>1438500</v>
      </c>
      <c r="AA1755">
        <v>133014</v>
      </c>
      <c r="AB1755" t="str">
        <f>(VLOOKUP(SalesData[[#This Row],[Month Number]],Reference!C$5:E$16,2,FALSE))</f>
        <v>Feb</v>
      </c>
      <c r="AC1755">
        <f>MONTH(SalesData[[#This Row],[Date]])</f>
        <v>2</v>
      </c>
      <c r="AD1755">
        <f>Reference!F$4</f>
        <v>2026</v>
      </c>
      <c r="AE1755" t="str">
        <f>IF(OR(SalesData[[#This Row],[Day]]="Saturday",SalesData[[#This Row],[Day]]="Sunday"),"Weekend","Weekday")</f>
        <v>Weekday</v>
      </c>
      <c r="AF1755" s="5">
        <f>IF(SalesData[[#This Row],[Contracts Offered]]=0,0,SalesData[[#This Row],[Contracts Signed]]/SalesData[[#This Row],[Contracts Offered]])</f>
        <v>0.29577464788732394</v>
      </c>
      <c r="AG1755" s="5">
        <f>IF(SalesData[[#This Row],[Customers Visited]]=0,0,SalesData[[#This Row],[Test Drives]]/SalesData[[#This Row],[Customers Visited]])</f>
        <v>0.5</v>
      </c>
      <c r="AH1755" s="5">
        <f>IF(SalesData[[#This Row],[Customers Visited]]=0,0,SalesData[[#This Row],[Contracts Signed]]/SalesData[[#This Row],[Customers Visited]])</f>
        <v>9.9056603773584911E-2</v>
      </c>
      <c r="AI1755" s="6">
        <f>IF(SalesData[[#This Row],[Contracts Signed]]=0,0,SalesData[[#This Row],[Profit(€)]]/SalesData[[#This Row],[Contracts Signed]])</f>
        <v>3167</v>
      </c>
      <c r="AJ1755" s="5" t="str">
        <f>TRIM(CLEAN(SalesData[[#This Row],[Retailer]]))</f>
        <v>Saxon Wheels</v>
      </c>
    </row>
    <row r="1756" spans="1:36" ht="14.25" x14ac:dyDescent="0.2">
      <c r="A1756" t="s">
        <v>2702</v>
      </c>
      <c r="B1756" s="1">
        <v>46062</v>
      </c>
      <c r="C1756" t="s">
        <v>121</v>
      </c>
      <c r="D1756" t="s">
        <v>25</v>
      </c>
      <c r="E1756" t="s">
        <v>26</v>
      </c>
      <c r="F1756" t="s">
        <v>74</v>
      </c>
      <c r="G1756" t="s">
        <v>75</v>
      </c>
      <c r="H1756" t="s">
        <v>76</v>
      </c>
      <c r="I1756" t="s">
        <v>30</v>
      </c>
      <c r="J1756" t="s">
        <v>86</v>
      </c>
      <c r="K1756" t="s">
        <v>91</v>
      </c>
      <c r="L1756" t="s">
        <v>33</v>
      </c>
      <c r="M1756" t="s">
        <v>87</v>
      </c>
      <c r="N1756" t="s">
        <v>48</v>
      </c>
      <c r="O1756" t="s">
        <v>36</v>
      </c>
      <c r="P1756" t="s">
        <v>58</v>
      </c>
      <c r="Q1756" t="s">
        <v>79</v>
      </c>
      <c r="R1756">
        <v>278</v>
      </c>
      <c r="S1756">
        <v>153</v>
      </c>
      <c r="T1756">
        <v>125</v>
      </c>
      <c r="U1756">
        <v>51</v>
      </c>
      <c r="V1756" t="s">
        <v>7206</v>
      </c>
      <c r="W1756">
        <v>51661</v>
      </c>
      <c r="X1756" t="s">
        <v>7058</v>
      </c>
      <c r="Y1756">
        <v>39051</v>
      </c>
      <c r="Z1756">
        <v>2634711</v>
      </c>
      <c r="AA1756">
        <v>643110</v>
      </c>
      <c r="AB1756" t="str">
        <f>(VLOOKUP(SalesData[[#This Row],[Month Number]],Reference!C$5:E$16,2,FALSE))</f>
        <v>Feb</v>
      </c>
      <c r="AC1756">
        <f>MONTH(SalesData[[#This Row],[Date]])</f>
        <v>2</v>
      </c>
      <c r="AD1756">
        <f>Reference!F$4</f>
        <v>2026</v>
      </c>
      <c r="AE1756" t="str">
        <f>IF(OR(SalesData[[#This Row],[Day]]="Saturday",SalesData[[#This Row],[Day]]="Sunday"),"Weekend","Weekday")</f>
        <v>Weekday</v>
      </c>
      <c r="AF1756" s="5">
        <f>IF(SalesData[[#This Row],[Contracts Offered]]=0,0,SalesData[[#This Row],[Contracts Signed]]/SalesData[[#This Row],[Contracts Offered]])</f>
        <v>0.40799999999999997</v>
      </c>
      <c r="AG1756" s="5">
        <f>IF(SalesData[[#This Row],[Customers Visited]]=0,0,SalesData[[#This Row],[Test Drives]]/SalesData[[#This Row],[Customers Visited]])</f>
        <v>0.55035971223021585</v>
      </c>
      <c r="AH1756" s="5">
        <f>IF(SalesData[[#This Row],[Customers Visited]]=0,0,SalesData[[#This Row],[Contracts Signed]]/SalesData[[#This Row],[Customers Visited]])</f>
        <v>0.18345323741007194</v>
      </c>
      <c r="AI1756" s="6">
        <f>IF(SalesData[[#This Row],[Contracts Signed]]=0,0,SalesData[[#This Row],[Profit(€)]]/SalesData[[#This Row],[Contracts Signed]])</f>
        <v>12610</v>
      </c>
      <c r="AJ1756" s="5" t="str">
        <f>TRIM(CLEAN(SalesData[[#This Row],[Retailer]]))</f>
        <v>Stuttgart Auto Center</v>
      </c>
    </row>
    <row r="1757" spans="1:36" ht="14.25" hidden="1" x14ac:dyDescent="0.2">
      <c r="A1757" t="s">
        <v>2703</v>
      </c>
      <c r="B1757" s="1">
        <v>46065</v>
      </c>
      <c r="C1757" t="s">
        <v>121</v>
      </c>
      <c r="D1757" t="s">
        <v>100</v>
      </c>
      <c r="E1757" t="s">
        <v>26</v>
      </c>
      <c r="F1757" t="s">
        <v>101</v>
      </c>
      <c r="G1757" t="s">
        <v>102</v>
      </c>
      <c r="H1757" t="s">
        <v>103</v>
      </c>
      <c r="I1757" t="s">
        <v>64</v>
      </c>
      <c r="J1757" t="s">
        <v>77</v>
      </c>
      <c r="K1757" t="s">
        <v>32</v>
      </c>
      <c r="L1757" t="s">
        <v>46</v>
      </c>
      <c r="M1757" t="s">
        <v>87</v>
      </c>
      <c r="N1757" t="s">
        <v>69</v>
      </c>
      <c r="O1757" t="s">
        <v>36</v>
      </c>
      <c r="P1757" t="s">
        <v>49</v>
      </c>
      <c r="Q1757" t="s">
        <v>38</v>
      </c>
      <c r="R1757">
        <v>177</v>
      </c>
      <c r="S1757">
        <v>97</v>
      </c>
      <c r="T1757">
        <v>66</v>
      </c>
      <c r="U1757">
        <v>24</v>
      </c>
      <c r="V1757" t="s">
        <v>6892</v>
      </c>
      <c r="W1757">
        <v>72570</v>
      </c>
      <c r="X1757" t="s">
        <v>7135</v>
      </c>
      <c r="Y1757">
        <v>54761</v>
      </c>
      <c r="Z1757">
        <v>1741680</v>
      </c>
      <c r="AA1757">
        <v>427416</v>
      </c>
      <c r="AB1757" t="str">
        <f>(VLOOKUP(SalesData[[#This Row],[Month Number]],Reference!C$5:E$16,2,FALSE))</f>
        <v>Feb</v>
      </c>
      <c r="AC1757">
        <f>MONTH(SalesData[[#This Row],[Date]])</f>
        <v>2</v>
      </c>
      <c r="AD1757">
        <f>Reference!F$4</f>
        <v>2026</v>
      </c>
      <c r="AE1757" t="str">
        <f>IF(OR(SalesData[[#This Row],[Day]]="Saturday",SalesData[[#This Row],[Day]]="Sunday"),"Weekend","Weekday")</f>
        <v>Weekday</v>
      </c>
      <c r="AF1757" s="5">
        <f>IF(SalesData[[#This Row],[Contracts Offered]]=0,0,SalesData[[#This Row],[Contracts Signed]]/SalesData[[#This Row],[Contracts Offered]])</f>
        <v>0.36363636363636365</v>
      </c>
      <c r="AG1757" s="5">
        <f>IF(SalesData[[#This Row],[Customers Visited]]=0,0,SalesData[[#This Row],[Test Drives]]/SalesData[[#This Row],[Customers Visited]])</f>
        <v>0.54802259887005644</v>
      </c>
      <c r="AH1757" s="5">
        <f>IF(SalesData[[#This Row],[Customers Visited]]=0,0,SalesData[[#This Row],[Contracts Signed]]/SalesData[[#This Row],[Customers Visited]])</f>
        <v>0.13559322033898305</v>
      </c>
      <c r="AI1757" s="6">
        <f>IF(SalesData[[#This Row],[Contracts Signed]]=0,0,SalesData[[#This Row],[Profit(€)]]/SalesData[[#This Row],[Contracts Signed]])</f>
        <v>17809</v>
      </c>
      <c r="AJ1757" s="5" t="str">
        <f>TRIM(CLEAN(SalesData[[#This Row],[Retailer]]))</f>
        <v>Ruhr Auto Plaza</v>
      </c>
    </row>
    <row r="1758" spans="1:36" ht="14.25" hidden="1" x14ac:dyDescent="0.2">
      <c r="A1758" t="s">
        <v>2704</v>
      </c>
      <c r="B1758" s="1">
        <v>46061</v>
      </c>
      <c r="C1758" t="s">
        <v>121</v>
      </c>
      <c r="D1758" t="s">
        <v>41</v>
      </c>
      <c r="E1758" t="s">
        <v>42</v>
      </c>
      <c r="F1758" t="s">
        <v>43</v>
      </c>
      <c r="G1758" t="s">
        <v>44</v>
      </c>
      <c r="H1758" t="s">
        <v>45</v>
      </c>
      <c r="I1758" t="s">
        <v>116</v>
      </c>
      <c r="J1758" t="s">
        <v>203</v>
      </c>
      <c r="K1758" t="s">
        <v>78</v>
      </c>
      <c r="L1758" t="s">
        <v>67</v>
      </c>
      <c r="M1758" t="s">
        <v>47</v>
      </c>
      <c r="N1758" t="s">
        <v>48</v>
      </c>
      <c r="O1758" t="s">
        <v>36</v>
      </c>
      <c r="P1758" t="s">
        <v>71</v>
      </c>
      <c r="Q1758" t="s">
        <v>135</v>
      </c>
      <c r="R1758">
        <v>313</v>
      </c>
      <c r="S1758">
        <v>123</v>
      </c>
      <c r="T1758">
        <v>82</v>
      </c>
      <c r="U1758">
        <v>18</v>
      </c>
      <c r="V1758" t="s">
        <v>1034</v>
      </c>
      <c r="W1758">
        <v>19973</v>
      </c>
      <c r="X1758" t="s">
        <v>4603</v>
      </c>
      <c r="Y1758">
        <v>18149</v>
      </c>
      <c r="Z1758">
        <v>359514</v>
      </c>
      <c r="AA1758">
        <v>32832</v>
      </c>
      <c r="AB1758" t="str">
        <f>(VLOOKUP(SalesData[[#This Row],[Month Number]],Reference!C$5:E$16,2,FALSE))</f>
        <v>Feb</v>
      </c>
      <c r="AC1758">
        <f>MONTH(SalesData[[#This Row],[Date]])</f>
        <v>2</v>
      </c>
      <c r="AD1758">
        <f>Reference!F$4</f>
        <v>2026</v>
      </c>
      <c r="AE1758" t="str">
        <f>IF(OR(SalesData[[#This Row],[Day]]="Saturday",SalesData[[#This Row],[Day]]="Sunday"),"Weekend","Weekday")</f>
        <v>Weekend</v>
      </c>
      <c r="AF1758" s="5">
        <f>IF(SalesData[[#This Row],[Contracts Offered]]=0,0,SalesData[[#This Row],[Contracts Signed]]/SalesData[[#This Row],[Contracts Offered]])</f>
        <v>0.21951219512195122</v>
      </c>
      <c r="AG1758" s="5">
        <f>IF(SalesData[[#This Row],[Customers Visited]]=0,0,SalesData[[#This Row],[Test Drives]]/SalesData[[#This Row],[Customers Visited]])</f>
        <v>0.39297124600638977</v>
      </c>
      <c r="AH1758" s="5">
        <f>IF(SalesData[[#This Row],[Customers Visited]]=0,0,SalesData[[#This Row],[Contracts Signed]]/SalesData[[#This Row],[Customers Visited]])</f>
        <v>5.7507987220447282E-2</v>
      </c>
      <c r="AI1758" s="6">
        <f>IF(SalesData[[#This Row],[Contracts Signed]]=0,0,SalesData[[#This Row],[Profit(€)]]/SalesData[[#This Row],[Contracts Signed]])</f>
        <v>1824</v>
      </c>
      <c r="AJ1758" s="5" t="str">
        <f>TRIM(CLEAN(SalesData[[#This Row],[Retailer]]))</f>
        <v>Saxon Wheels</v>
      </c>
    </row>
    <row r="1759" spans="1:36" ht="14.25" x14ac:dyDescent="0.2">
      <c r="A1759" t="s">
        <v>2705</v>
      </c>
      <c r="B1759" s="1">
        <v>46064</v>
      </c>
      <c r="C1759" t="s">
        <v>121</v>
      </c>
      <c r="D1759" t="s">
        <v>82</v>
      </c>
      <c r="E1759" t="s">
        <v>26</v>
      </c>
      <c r="F1759" t="s">
        <v>127</v>
      </c>
      <c r="G1759" t="s">
        <v>128</v>
      </c>
      <c r="H1759" t="s">
        <v>103</v>
      </c>
      <c r="I1759" t="s">
        <v>30</v>
      </c>
      <c r="J1759" t="s">
        <v>31</v>
      </c>
      <c r="K1759" t="s">
        <v>32</v>
      </c>
      <c r="L1759" t="s">
        <v>46</v>
      </c>
      <c r="M1759" t="s">
        <v>87</v>
      </c>
      <c r="N1759" t="s">
        <v>48</v>
      </c>
      <c r="O1759" t="s">
        <v>36</v>
      </c>
      <c r="P1759" t="s">
        <v>49</v>
      </c>
      <c r="Q1759" t="s">
        <v>172</v>
      </c>
      <c r="R1759">
        <v>145</v>
      </c>
      <c r="S1759">
        <v>85</v>
      </c>
      <c r="T1759">
        <v>67</v>
      </c>
      <c r="U1759">
        <v>24</v>
      </c>
      <c r="V1759" t="s">
        <v>6836</v>
      </c>
      <c r="W1759">
        <v>51386</v>
      </c>
      <c r="X1759" t="s">
        <v>3859</v>
      </c>
      <c r="Y1759">
        <v>35971</v>
      </c>
      <c r="Z1759">
        <v>1233264</v>
      </c>
      <c r="AA1759">
        <v>369960</v>
      </c>
      <c r="AB1759" t="str">
        <f>(VLOOKUP(SalesData[[#This Row],[Month Number]],Reference!C$5:E$16,2,FALSE))</f>
        <v>Feb</v>
      </c>
      <c r="AC1759">
        <f>MONTH(SalesData[[#This Row],[Date]])</f>
        <v>2</v>
      </c>
      <c r="AD1759">
        <f>Reference!F$4</f>
        <v>2026</v>
      </c>
      <c r="AE1759" t="str">
        <f>IF(OR(SalesData[[#This Row],[Day]]="Saturday",SalesData[[#This Row],[Day]]="Sunday"),"Weekend","Weekday")</f>
        <v>Weekday</v>
      </c>
      <c r="AF1759" s="5">
        <f>IF(SalesData[[#This Row],[Contracts Offered]]=0,0,SalesData[[#This Row],[Contracts Signed]]/SalesData[[#This Row],[Contracts Offered]])</f>
        <v>0.35820895522388058</v>
      </c>
      <c r="AG1759" s="5">
        <f>IF(SalesData[[#This Row],[Customers Visited]]=0,0,SalesData[[#This Row],[Test Drives]]/SalesData[[#This Row],[Customers Visited]])</f>
        <v>0.58620689655172409</v>
      </c>
      <c r="AH1759" s="5">
        <f>IF(SalesData[[#This Row],[Customers Visited]]=0,0,SalesData[[#This Row],[Contracts Signed]]/SalesData[[#This Row],[Customers Visited]])</f>
        <v>0.16551724137931034</v>
      </c>
      <c r="AI1759" s="6">
        <f>IF(SalesData[[#This Row],[Contracts Signed]]=0,0,SalesData[[#This Row],[Profit(€)]]/SalesData[[#This Row],[Contracts Signed]])</f>
        <v>15415</v>
      </c>
      <c r="AJ1759" s="5" t="str">
        <f>TRIM(CLEAN(SalesData[[#This Row],[Retailer]]))</f>
        <v>Rhein Auto Group</v>
      </c>
    </row>
    <row r="1760" spans="1:36" ht="14.25" hidden="1" x14ac:dyDescent="0.2">
      <c r="A1760" t="s">
        <v>2707</v>
      </c>
      <c r="B1760" s="1">
        <v>46073</v>
      </c>
      <c r="C1760" t="s">
        <v>62</v>
      </c>
      <c r="D1760" t="s">
        <v>54</v>
      </c>
      <c r="E1760" t="s">
        <v>26</v>
      </c>
      <c r="F1760" t="s">
        <v>7649</v>
      </c>
      <c r="G1760" t="s">
        <v>55</v>
      </c>
      <c r="H1760" t="s">
        <v>55</v>
      </c>
      <c r="I1760" t="s">
        <v>104</v>
      </c>
      <c r="J1760" t="s">
        <v>140</v>
      </c>
      <c r="K1760" t="s">
        <v>78</v>
      </c>
      <c r="L1760" t="s">
        <v>46</v>
      </c>
      <c r="M1760" t="s">
        <v>87</v>
      </c>
      <c r="N1760" t="s">
        <v>48</v>
      </c>
      <c r="O1760" t="s">
        <v>70</v>
      </c>
      <c r="P1760" t="s">
        <v>71</v>
      </c>
      <c r="Q1760" t="s">
        <v>122</v>
      </c>
      <c r="R1760">
        <v>470</v>
      </c>
      <c r="S1760">
        <v>236</v>
      </c>
      <c r="T1760">
        <v>149</v>
      </c>
      <c r="U1760">
        <v>42</v>
      </c>
      <c r="V1760" t="s">
        <v>1771</v>
      </c>
      <c r="W1760">
        <v>28123</v>
      </c>
      <c r="X1760" t="s">
        <v>919</v>
      </c>
      <c r="Y1760">
        <v>25453</v>
      </c>
      <c r="Z1760">
        <v>1181166</v>
      </c>
      <c r="AA1760">
        <v>112140</v>
      </c>
      <c r="AB1760" t="str">
        <f>(VLOOKUP(SalesData[[#This Row],[Month Number]],Reference!C$5:E$16,2,FALSE))</f>
        <v>Feb</v>
      </c>
      <c r="AC1760">
        <f>MONTH(SalesData[[#This Row],[Date]])</f>
        <v>2</v>
      </c>
      <c r="AD1760">
        <f>Reference!F$4</f>
        <v>2026</v>
      </c>
      <c r="AE1760" t="str">
        <f>IF(OR(SalesData[[#This Row],[Day]]="Saturday",SalesData[[#This Row],[Day]]="Sunday"),"Weekend","Weekday")</f>
        <v>Weekday</v>
      </c>
      <c r="AF1760" s="5">
        <f>IF(SalesData[[#This Row],[Contracts Offered]]=0,0,SalesData[[#This Row],[Contracts Signed]]/SalesData[[#This Row],[Contracts Offered]])</f>
        <v>0.28187919463087246</v>
      </c>
      <c r="AG1760" s="5">
        <f>IF(SalesData[[#This Row],[Customers Visited]]=0,0,SalesData[[#This Row],[Test Drives]]/SalesData[[#This Row],[Customers Visited]])</f>
        <v>0.50212765957446803</v>
      </c>
      <c r="AH1760" s="5">
        <f>IF(SalesData[[#This Row],[Customers Visited]]=0,0,SalesData[[#This Row],[Contracts Signed]]/SalesData[[#This Row],[Customers Visited]])</f>
        <v>8.9361702127659579E-2</v>
      </c>
      <c r="AI1760" s="6">
        <f>IF(SalesData[[#This Row],[Contracts Signed]]=0,0,SalesData[[#This Row],[Profit(€)]]/SalesData[[#This Row],[Contracts Signed]])</f>
        <v>2670</v>
      </c>
      <c r="AJ1760" s="5" t="str">
        <f>TRIM(CLEAN(SalesData[[#This Row],[Retailer]]))</f>
        <v>Autohaus Berlin</v>
      </c>
    </row>
    <row r="1761" spans="1:36" ht="14.25" hidden="1" x14ac:dyDescent="0.2">
      <c r="A1761" t="s">
        <v>2709</v>
      </c>
      <c r="B1761" s="1">
        <v>46062</v>
      </c>
      <c r="C1761" t="s">
        <v>121</v>
      </c>
      <c r="D1761" t="s">
        <v>25</v>
      </c>
      <c r="E1761" t="s">
        <v>26</v>
      </c>
      <c r="F1761" t="s">
        <v>83</v>
      </c>
      <c r="G1761" t="s">
        <v>84</v>
      </c>
      <c r="H1761" t="s">
        <v>85</v>
      </c>
      <c r="I1761" t="s">
        <v>64</v>
      </c>
      <c r="J1761" t="s">
        <v>65</v>
      </c>
      <c r="K1761" t="s">
        <v>32</v>
      </c>
      <c r="L1761" t="s">
        <v>33</v>
      </c>
      <c r="M1761" t="s">
        <v>47</v>
      </c>
      <c r="N1761" t="s">
        <v>48</v>
      </c>
      <c r="O1761" t="s">
        <v>36</v>
      </c>
      <c r="P1761" t="s">
        <v>37</v>
      </c>
      <c r="Q1761" t="s">
        <v>50</v>
      </c>
      <c r="R1761">
        <v>211</v>
      </c>
      <c r="S1761">
        <v>103</v>
      </c>
      <c r="T1761">
        <v>81</v>
      </c>
      <c r="U1761">
        <v>27</v>
      </c>
      <c r="V1761" t="s">
        <v>6993</v>
      </c>
      <c r="W1761">
        <v>64021</v>
      </c>
      <c r="X1761" t="s">
        <v>7225</v>
      </c>
      <c r="Y1761">
        <v>48818</v>
      </c>
      <c r="Z1761">
        <v>1728567</v>
      </c>
      <c r="AA1761">
        <v>410481</v>
      </c>
      <c r="AB1761" t="str">
        <f>(VLOOKUP(SalesData[[#This Row],[Month Number]],Reference!C$5:E$16,2,FALSE))</f>
        <v>Feb</v>
      </c>
      <c r="AC1761">
        <f>MONTH(SalesData[[#This Row],[Date]])</f>
        <v>2</v>
      </c>
      <c r="AD1761">
        <f>Reference!F$4</f>
        <v>2026</v>
      </c>
      <c r="AE1761" t="str">
        <f>IF(OR(SalesData[[#This Row],[Day]]="Saturday",SalesData[[#This Row],[Day]]="Sunday"),"Weekend","Weekday")</f>
        <v>Weekday</v>
      </c>
      <c r="AF1761" s="5">
        <f>IF(SalesData[[#This Row],[Contracts Offered]]=0,0,SalesData[[#This Row],[Contracts Signed]]/SalesData[[#This Row],[Contracts Offered]])</f>
        <v>0.33333333333333331</v>
      </c>
      <c r="AG1761" s="5">
        <f>IF(SalesData[[#This Row],[Customers Visited]]=0,0,SalesData[[#This Row],[Test Drives]]/SalesData[[#This Row],[Customers Visited]])</f>
        <v>0.4881516587677725</v>
      </c>
      <c r="AH1761" s="5">
        <f>IF(SalesData[[#This Row],[Customers Visited]]=0,0,SalesData[[#This Row],[Contracts Signed]]/SalesData[[#This Row],[Customers Visited]])</f>
        <v>0.12796208530805686</v>
      </c>
      <c r="AI1761" s="6">
        <f>IF(SalesData[[#This Row],[Contracts Signed]]=0,0,SalesData[[#This Row],[Profit(€)]]/SalesData[[#This Row],[Contracts Signed]])</f>
        <v>15203</v>
      </c>
      <c r="AJ1761" s="5" t="str">
        <f>TRIM(CLEAN(SalesData[[#This Row],[Retailer]]))</f>
        <v>Hannover Cars</v>
      </c>
    </row>
    <row r="1762" spans="1:36" ht="14.25" hidden="1" x14ac:dyDescent="0.2">
      <c r="A1762" t="s">
        <v>2710</v>
      </c>
      <c r="B1762" s="1">
        <v>46077</v>
      </c>
      <c r="C1762" t="s">
        <v>53</v>
      </c>
      <c r="D1762" t="s">
        <v>63</v>
      </c>
      <c r="E1762" t="s">
        <v>26</v>
      </c>
      <c r="F1762" t="s">
        <v>83</v>
      </c>
      <c r="G1762" t="s">
        <v>84</v>
      </c>
      <c r="H1762" t="s">
        <v>85</v>
      </c>
      <c r="I1762" t="s">
        <v>64</v>
      </c>
      <c r="J1762" t="s">
        <v>111</v>
      </c>
      <c r="K1762" t="s">
        <v>91</v>
      </c>
      <c r="L1762" t="s">
        <v>46</v>
      </c>
      <c r="M1762" t="s">
        <v>47</v>
      </c>
      <c r="N1762" t="s">
        <v>35</v>
      </c>
      <c r="O1762" t="s">
        <v>36</v>
      </c>
      <c r="P1762" t="s">
        <v>58</v>
      </c>
      <c r="Q1762" t="s">
        <v>79</v>
      </c>
      <c r="R1762">
        <v>231</v>
      </c>
      <c r="S1762">
        <v>131</v>
      </c>
      <c r="T1762">
        <v>93</v>
      </c>
      <c r="U1762">
        <v>39</v>
      </c>
      <c r="V1762" t="s">
        <v>6794</v>
      </c>
      <c r="W1762">
        <v>60527</v>
      </c>
      <c r="X1762" t="s">
        <v>7394</v>
      </c>
      <c r="Y1762">
        <v>47221</v>
      </c>
      <c r="Z1762">
        <v>2360553</v>
      </c>
      <c r="AA1762">
        <v>518934</v>
      </c>
      <c r="AB1762" t="str">
        <f>(VLOOKUP(SalesData[[#This Row],[Month Number]],Reference!C$5:E$16,2,FALSE))</f>
        <v>Feb</v>
      </c>
      <c r="AC1762">
        <f>MONTH(SalesData[[#This Row],[Date]])</f>
        <v>2</v>
      </c>
      <c r="AD1762">
        <f>Reference!F$4</f>
        <v>2026</v>
      </c>
      <c r="AE1762" t="str">
        <f>IF(OR(SalesData[[#This Row],[Day]]="Saturday",SalesData[[#This Row],[Day]]="Sunday"),"Weekend","Weekday")</f>
        <v>Weekday</v>
      </c>
      <c r="AF1762" s="5">
        <f>IF(SalesData[[#This Row],[Contracts Offered]]=0,0,SalesData[[#This Row],[Contracts Signed]]/SalesData[[#This Row],[Contracts Offered]])</f>
        <v>0.41935483870967744</v>
      </c>
      <c r="AG1762" s="5">
        <f>IF(SalesData[[#This Row],[Customers Visited]]=0,0,SalesData[[#This Row],[Test Drives]]/SalesData[[#This Row],[Customers Visited]])</f>
        <v>0.5670995670995671</v>
      </c>
      <c r="AH1762" s="5">
        <f>IF(SalesData[[#This Row],[Customers Visited]]=0,0,SalesData[[#This Row],[Contracts Signed]]/SalesData[[#This Row],[Customers Visited]])</f>
        <v>0.16883116883116883</v>
      </c>
      <c r="AI1762" s="6">
        <f>IF(SalesData[[#This Row],[Contracts Signed]]=0,0,SalesData[[#This Row],[Profit(€)]]/SalesData[[#This Row],[Contracts Signed]])</f>
        <v>13306</v>
      </c>
      <c r="AJ1762" s="5" t="str">
        <f>TRIM(CLEAN(SalesData[[#This Row],[Retailer]]))</f>
        <v>Hannover Cars</v>
      </c>
    </row>
    <row r="1763" spans="1:36" ht="14.25" hidden="1" x14ac:dyDescent="0.2">
      <c r="A1763" t="s">
        <v>2712</v>
      </c>
      <c r="B1763" s="1">
        <v>46076</v>
      </c>
      <c r="C1763" t="s">
        <v>53</v>
      </c>
      <c r="D1763" t="s">
        <v>25</v>
      </c>
      <c r="E1763" t="s">
        <v>26</v>
      </c>
      <c r="F1763" t="s">
        <v>74</v>
      </c>
      <c r="G1763" t="s">
        <v>75</v>
      </c>
      <c r="H1763" t="s">
        <v>76</v>
      </c>
      <c r="I1763" t="s">
        <v>56</v>
      </c>
      <c r="J1763" t="s">
        <v>7028</v>
      </c>
      <c r="K1763" t="s">
        <v>91</v>
      </c>
      <c r="L1763" t="s">
        <v>46</v>
      </c>
      <c r="M1763" t="s">
        <v>68</v>
      </c>
      <c r="N1763" t="s">
        <v>69</v>
      </c>
      <c r="O1763" t="s">
        <v>70</v>
      </c>
      <c r="P1763" t="s">
        <v>37</v>
      </c>
      <c r="Q1763" t="s">
        <v>204</v>
      </c>
      <c r="R1763">
        <v>212</v>
      </c>
      <c r="S1763">
        <v>125</v>
      </c>
      <c r="T1763">
        <v>89</v>
      </c>
      <c r="U1763">
        <v>25</v>
      </c>
      <c r="V1763" t="s">
        <v>6410</v>
      </c>
      <c r="W1763">
        <v>39846</v>
      </c>
      <c r="X1763" t="s">
        <v>3261</v>
      </c>
      <c r="Y1763">
        <v>30229</v>
      </c>
      <c r="Z1763">
        <v>996150</v>
      </c>
      <c r="AA1763">
        <v>240425</v>
      </c>
      <c r="AB1763" t="str">
        <f>(VLOOKUP(SalesData[[#This Row],[Month Number]],Reference!C$5:E$16,2,FALSE))</f>
        <v>Feb</v>
      </c>
      <c r="AC1763">
        <f>MONTH(SalesData[[#This Row],[Date]])</f>
        <v>2</v>
      </c>
      <c r="AD1763">
        <f>Reference!F$4</f>
        <v>2026</v>
      </c>
      <c r="AE1763" t="str">
        <f>IF(OR(SalesData[[#This Row],[Day]]="Saturday",SalesData[[#This Row],[Day]]="Sunday"),"Weekend","Weekday")</f>
        <v>Weekday</v>
      </c>
      <c r="AF1763" s="5">
        <f>IF(SalesData[[#This Row],[Contracts Offered]]=0,0,SalesData[[#This Row],[Contracts Signed]]/SalesData[[#This Row],[Contracts Offered]])</f>
        <v>0.2808988764044944</v>
      </c>
      <c r="AG1763" s="5">
        <f>IF(SalesData[[#This Row],[Customers Visited]]=0,0,SalesData[[#This Row],[Test Drives]]/SalesData[[#This Row],[Customers Visited]])</f>
        <v>0.589622641509434</v>
      </c>
      <c r="AH1763" s="5">
        <f>IF(SalesData[[#This Row],[Customers Visited]]=0,0,SalesData[[#This Row],[Contracts Signed]]/SalesData[[#This Row],[Customers Visited]])</f>
        <v>0.11792452830188679</v>
      </c>
      <c r="AI1763" s="6">
        <f>IF(SalesData[[#This Row],[Contracts Signed]]=0,0,SalesData[[#This Row],[Profit(€)]]/SalesData[[#This Row],[Contracts Signed]])</f>
        <v>9617</v>
      </c>
      <c r="AJ1763" s="5" t="str">
        <f>TRIM(CLEAN(SalesData[[#This Row],[Retailer]]))</f>
        <v>Stuttgart Auto Center</v>
      </c>
    </row>
    <row r="1764" spans="1:36" ht="14.25" hidden="1" x14ac:dyDescent="0.2">
      <c r="A1764" t="s">
        <v>2714</v>
      </c>
      <c r="B1764" s="1">
        <v>46075</v>
      </c>
      <c r="C1764" t="s">
        <v>53</v>
      </c>
      <c r="D1764" t="s">
        <v>41</v>
      </c>
      <c r="E1764" t="s">
        <v>42</v>
      </c>
      <c r="F1764" t="s">
        <v>7649</v>
      </c>
      <c r="G1764" t="s">
        <v>55</v>
      </c>
      <c r="H1764" t="s">
        <v>55</v>
      </c>
      <c r="I1764" t="s">
        <v>116</v>
      </c>
      <c r="J1764" t="s">
        <v>7026</v>
      </c>
      <c r="K1764" t="s">
        <v>91</v>
      </c>
      <c r="L1764" t="s">
        <v>46</v>
      </c>
      <c r="M1764" t="s">
        <v>68</v>
      </c>
      <c r="N1764" t="s">
        <v>69</v>
      </c>
      <c r="O1764" t="s">
        <v>70</v>
      </c>
      <c r="P1764" t="s">
        <v>58</v>
      </c>
      <c r="Q1764" t="s">
        <v>204</v>
      </c>
      <c r="R1764">
        <v>370</v>
      </c>
      <c r="S1764">
        <v>175</v>
      </c>
      <c r="T1764">
        <v>101</v>
      </c>
      <c r="U1764">
        <v>29</v>
      </c>
      <c r="V1764" t="s">
        <v>1967</v>
      </c>
      <c r="W1764">
        <v>22440</v>
      </c>
      <c r="X1764" t="s">
        <v>1270</v>
      </c>
      <c r="Y1764">
        <v>20033</v>
      </c>
      <c r="Z1764">
        <v>650760</v>
      </c>
      <c r="AA1764">
        <v>69803</v>
      </c>
      <c r="AB1764" t="str">
        <f>(VLOOKUP(SalesData[[#This Row],[Month Number]],Reference!C$5:E$16,2,FALSE))</f>
        <v>Feb</v>
      </c>
      <c r="AC1764">
        <f>MONTH(SalesData[[#This Row],[Date]])</f>
        <v>2</v>
      </c>
      <c r="AD1764">
        <f>Reference!F$4</f>
        <v>2026</v>
      </c>
      <c r="AE1764" t="str">
        <f>IF(OR(SalesData[[#This Row],[Day]]="Saturday",SalesData[[#This Row],[Day]]="Sunday"),"Weekend","Weekday")</f>
        <v>Weekend</v>
      </c>
      <c r="AF1764" s="5">
        <f>IF(SalesData[[#This Row],[Contracts Offered]]=0,0,SalesData[[#This Row],[Contracts Signed]]/SalesData[[#This Row],[Contracts Offered]])</f>
        <v>0.28712871287128711</v>
      </c>
      <c r="AG1764" s="5">
        <f>IF(SalesData[[#This Row],[Customers Visited]]=0,0,SalesData[[#This Row],[Test Drives]]/SalesData[[#This Row],[Customers Visited]])</f>
        <v>0.47297297297297297</v>
      </c>
      <c r="AH1764" s="5">
        <f>IF(SalesData[[#This Row],[Customers Visited]]=0,0,SalesData[[#This Row],[Contracts Signed]]/SalesData[[#This Row],[Customers Visited]])</f>
        <v>7.8378378378378383E-2</v>
      </c>
      <c r="AI1764" s="6">
        <f>IF(SalesData[[#This Row],[Contracts Signed]]=0,0,SalesData[[#This Row],[Profit(€)]]/SalesData[[#This Row],[Contracts Signed]])</f>
        <v>2407</v>
      </c>
      <c r="AJ1764" s="5" t="str">
        <f>TRIM(CLEAN(SalesData[[#This Row],[Retailer]]))</f>
        <v>Autohaus Berlin</v>
      </c>
    </row>
    <row r="1765" spans="1:36" ht="14.25" hidden="1" x14ac:dyDescent="0.2">
      <c r="A1765" t="s">
        <v>2715</v>
      </c>
      <c r="B1765" s="1">
        <v>46078</v>
      </c>
      <c r="C1765" t="s">
        <v>53</v>
      </c>
      <c r="D1765" t="s">
        <v>82</v>
      </c>
      <c r="E1765" t="s">
        <v>26</v>
      </c>
      <c r="F1765" t="s">
        <v>114</v>
      </c>
      <c r="G1765" t="s">
        <v>115</v>
      </c>
      <c r="H1765" t="s">
        <v>115</v>
      </c>
      <c r="I1765" t="s">
        <v>104</v>
      </c>
      <c r="J1765" t="s">
        <v>140</v>
      </c>
      <c r="K1765" t="s">
        <v>32</v>
      </c>
      <c r="L1765" t="s">
        <v>46</v>
      </c>
      <c r="M1765" t="s">
        <v>47</v>
      </c>
      <c r="N1765" t="s">
        <v>48</v>
      </c>
      <c r="O1765" t="s">
        <v>36</v>
      </c>
      <c r="P1765" t="s">
        <v>37</v>
      </c>
      <c r="Q1765" t="s">
        <v>347</v>
      </c>
      <c r="R1765">
        <v>348</v>
      </c>
      <c r="S1765">
        <v>182</v>
      </c>
      <c r="T1765">
        <v>121</v>
      </c>
      <c r="U1765">
        <v>33</v>
      </c>
      <c r="V1765" t="s">
        <v>878</v>
      </c>
      <c r="W1765">
        <v>29069</v>
      </c>
      <c r="X1765" t="s">
        <v>1017</v>
      </c>
      <c r="Y1765">
        <v>25109</v>
      </c>
      <c r="Z1765">
        <v>959277</v>
      </c>
      <c r="AA1765">
        <v>130680</v>
      </c>
      <c r="AB1765" t="str">
        <f>(VLOOKUP(SalesData[[#This Row],[Month Number]],Reference!C$5:E$16,2,FALSE))</f>
        <v>Feb</v>
      </c>
      <c r="AC1765">
        <f>MONTH(SalesData[[#This Row],[Date]])</f>
        <v>2</v>
      </c>
      <c r="AD1765">
        <f>Reference!F$4</f>
        <v>2026</v>
      </c>
      <c r="AE1765" t="str">
        <f>IF(OR(SalesData[[#This Row],[Day]]="Saturday",SalesData[[#This Row],[Day]]="Sunday"),"Weekend","Weekday")</f>
        <v>Weekday</v>
      </c>
      <c r="AF1765" s="5">
        <f>IF(SalesData[[#This Row],[Contracts Offered]]=0,0,SalesData[[#This Row],[Contracts Signed]]/SalesData[[#This Row],[Contracts Offered]])</f>
        <v>0.27272727272727271</v>
      </c>
      <c r="AG1765" s="5">
        <f>IF(SalesData[[#This Row],[Customers Visited]]=0,0,SalesData[[#This Row],[Test Drives]]/SalesData[[#This Row],[Customers Visited]])</f>
        <v>0.52298850574712641</v>
      </c>
      <c r="AH1765" s="5">
        <f>IF(SalesData[[#This Row],[Customers Visited]]=0,0,SalesData[[#This Row],[Contracts Signed]]/SalesData[[#This Row],[Customers Visited]])</f>
        <v>9.4827586206896547E-2</v>
      </c>
      <c r="AI1765" s="6">
        <f>IF(SalesData[[#This Row],[Contracts Signed]]=0,0,SalesData[[#This Row],[Profit(€)]]/SalesData[[#This Row],[Contracts Signed]])</f>
        <v>3960</v>
      </c>
      <c r="AJ1765" s="5" t="str">
        <f>TRIM(CLEAN(SalesData[[#This Row],[Retailer]]))</f>
        <v>Elbe Drive</v>
      </c>
    </row>
    <row r="1766" spans="1:36" ht="14.25" hidden="1" x14ac:dyDescent="0.2">
      <c r="A1766" t="s">
        <v>2716</v>
      </c>
      <c r="B1766" s="1">
        <v>46059</v>
      </c>
      <c r="C1766" t="s">
        <v>24</v>
      </c>
      <c r="D1766" t="s">
        <v>54</v>
      </c>
      <c r="E1766" t="s">
        <v>26</v>
      </c>
      <c r="F1766" t="s">
        <v>101</v>
      </c>
      <c r="G1766" t="s">
        <v>102</v>
      </c>
      <c r="H1766" t="s">
        <v>103</v>
      </c>
      <c r="I1766" t="s">
        <v>56</v>
      </c>
      <c r="J1766" t="s">
        <v>179</v>
      </c>
      <c r="K1766" t="s">
        <v>66</v>
      </c>
      <c r="L1766" t="s">
        <v>67</v>
      </c>
      <c r="M1766" t="s">
        <v>34</v>
      </c>
      <c r="N1766" t="s">
        <v>69</v>
      </c>
      <c r="O1766" t="s">
        <v>70</v>
      </c>
      <c r="P1766" t="s">
        <v>49</v>
      </c>
      <c r="Q1766" t="s">
        <v>38</v>
      </c>
      <c r="R1766">
        <v>233</v>
      </c>
      <c r="S1766">
        <v>125</v>
      </c>
      <c r="T1766">
        <v>92</v>
      </c>
      <c r="U1766">
        <v>27</v>
      </c>
      <c r="V1766" t="s">
        <v>6929</v>
      </c>
      <c r="W1766">
        <v>45223</v>
      </c>
      <c r="X1766" t="s">
        <v>7465</v>
      </c>
      <c r="Y1766">
        <v>36145</v>
      </c>
      <c r="Z1766">
        <v>1221021</v>
      </c>
      <c r="AA1766">
        <v>245106</v>
      </c>
      <c r="AB1766" t="str">
        <f>(VLOOKUP(SalesData[[#This Row],[Month Number]],Reference!C$5:E$16,2,FALSE))</f>
        <v>Feb</v>
      </c>
      <c r="AC1766">
        <f>MONTH(SalesData[[#This Row],[Date]])</f>
        <v>2</v>
      </c>
      <c r="AD1766">
        <f>Reference!F$4</f>
        <v>2026</v>
      </c>
      <c r="AE1766" t="str">
        <f>IF(OR(SalesData[[#This Row],[Day]]="Saturday",SalesData[[#This Row],[Day]]="Sunday"),"Weekend","Weekday")</f>
        <v>Weekday</v>
      </c>
      <c r="AF1766" s="5">
        <f>IF(SalesData[[#This Row],[Contracts Offered]]=0,0,SalesData[[#This Row],[Contracts Signed]]/SalesData[[#This Row],[Contracts Offered]])</f>
        <v>0.29347826086956524</v>
      </c>
      <c r="AG1766" s="5">
        <f>IF(SalesData[[#This Row],[Customers Visited]]=0,0,SalesData[[#This Row],[Test Drives]]/SalesData[[#This Row],[Customers Visited]])</f>
        <v>0.53648068669527893</v>
      </c>
      <c r="AH1766" s="5">
        <f>IF(SalesData[[#This Row],[Customers Visited]]=0,0,SalesData[[#This Row],[Contracts Signed]]/SalesData[[#This Row],[Customers Visited]])</f>
        <v>0.11587982832618025</v>
      </c>
      <c r="AI1766" s="6">
        <f>IF(SalesData[[#This Row],[Contracts Signed]]=0,0,SalesData[[#This Row],[Profit(€)]]/SalesData[[#This Row],[Contracts Signed]])</f>
        <v>9078</v>
      </c>
      <c r="AJ1766" s="5" t="str">
        <f>TRIM(CLEAN(SalesData[[#This Row],[Retailer]]))</f>
        <v>Ruhr Auto Plaza</v>
      </c>
    </row>
    <row r="1767" spans="1:36" ht="14.25" hidden="1" x14ac:dyDescent="0.2">
      <c r="A1767" t="s">
        <v>2718</v>
      </c>
      <c r="B1767" s="1">
        <v>46058</v>
      </c>
      <c r="C1767" t="s">
        <v>24</v>
      </c>
      <c r="D1767" t="s">
        <v>100</v>
      </c>
      <c r="E1767" t="s">
        <v>26</v>
      </c>
      <c r="F1767" t="s">
        <v>27</v>
      </c>
      <c r="G1767" t="s">
        <v>28</v>
      </c>
      <c r="H1767" t="s">
        <v>29</v>
      </c>
      <c r="I1767" t="s">
        <v>64</v>
      </c>
      <c r="J1767" t="s">
        <v>77</v>
      </c>
      <c r="K1767" t="s">
        <v>91</v>
      </c>
      <c r="L1767" t="s">
        <v>46</v>
      </c>
      <c r="M1767" t="s">
        <v>34</v>
      </c>
      <c r="N1767" t="s">
        <v>35</v>
      </c>
      <c r="O1767" t="s">
        <v>36</v>
      </c>
      <c r="P1767" t="s">
        <v>37</v>
      </c>
      <c r="Q1767" t="s">
        <v>167</v>
      </c>
      <c r="R1767">
        <v>211</v>
      </c>
      <c r="S1767">
        <v>124</v>
      </c>
      <c r="T1767">
        <v>86</v>
      </c>
      <c r="U1767">
        <v>32</v>
      </c>
      <c r="V1767" t="s">
        <v>6546</v>
      </c>
      <c r="W1767">
        <v>53682</v>
      </c>
      <c r="X1767" t="s">
        <v>2796</v>
      </c>
      <c r="Y1767">
        <v>40792</v>
      </c>
      <c r="Z1767">
        <v>1717824</v>
      </c>
      <c r="AA1767">
        <v>412480</v>
      </c>
      <c r="AB1767" t="str">
        <f>(VLOOKUP(SalesData[[#This Row],[Month Number]],Reference!C$5:E$16,2,FALSE))</f>
        <v>Feb</v>
      </c>
      <c r="AC1767">
        <f>MONTH(SalesData[[#This Row],[Date]])</f>
        <v>2</v>
      </c>
      <c r="AD1767">
        <f>Reference!F$4</f>
        <v>2026</v>
      </c>
      <c r="AE1767" t="str">
        <f>IF(OR(SalesData[[#This Row],[Day]]="Saturday",SalesData[[#This Row],[Day]]="Sunday"),"Weekend","Weekday")</f>
        <v>Weekday</v>
      </c>
      <c r="AF1767" s="5">
        <f>IF(SalesData[[#This Row],[Contracts Offered]]=0,0,SalesData[[#This Row],[Contracts Signed]]/SalesData[[#This Row],[Contracts Offered]])</f>
        <v>0.37209302325581395</v>
      </c>
      <c r="AG1767" s="5">
        <f>IF(SalesData[[#This Row],[Customers Visited]]=0,0,SalesData[[#This Row],[Test Drives]]/SalesData[[#This Row],[Customers Visited]])</f>
        <v>0.58767772511848337</v>
      </c>
      <c r="AH1767" s="5">
        <f>IF(SalesData[[#This Row],[Customers Visited]]=0,0,SalesData[[#This Row],[Contracts Signed]]/SalesData[[#This Row],[Customers Visited]])</f>
        <v>0.15165876777251186</v>
      </c>
      <c r="AI1767" s="6">
        <f>IF(SalesData[[#This Row],[Contracts Signed]]=0,0,SalesData[[#This Row],[Profit(€)]]/SalesData[[#This Row],[Contracts Signed]])</f>
        <v>12890</v>
      </c>
      <c r="AJ1767" s="5" t="str">
        <f>TRIM(CLEAN(SalesData[[#This Row],[Retailer]]))</f>
        <v>Main Auto Hub</v>
      </c>
    </row>
    <row r="1768" spans="1:36" ht="14.25" hidden="1" x14ac:dyDescent="0.2">
      <c r="A1768" t="s">
        <v>2720</v>
      </c>
      <c r="B1768" s="1">
        <v>46059</v>
      </c>
      <c r="C1768" t="s">
        <v>24</v>
      </c>
      <c r="D1768" t="s">
        <v>54</v>
      </c>
      <c r="E1768" t="s">
        <v>26</v>
      </c>
      <c r="F1768" t="s">
        <v>7649</v>
      </c>
      <c r="G1768" t="s">
        <v>55</v>
      </c>
      <c r="H1768" t="s">
        <v>55</v>
      </c>
      <c r="I1768" t="s">
        <v>104</v>
      </c>
      <c r="J1768" t="s">
        <v>7031</v>
      </c>
      <c r="K1768" t="s">
        <v>32</v>
      </c>
      <c r="L1768" t="s">
        <v>46</v>
      </c>
      <c r="M1768" t="s">
        <v>34</v>
      </c>
      <c r="N1768" t="s">
        <v>69</v>
      </c>
      <c r="O1768" t="s">
        <v>36</v>
      </c>
      <c r="P1768" t="s">
        <v>71</v>
      </c>
      <c r="Q1768" t="s">
        <v>240</v>
      </c>
      <c r="R1768">
        <v>326</v>
      </c>
      <c r="S1768">
        <v>166</v>
      </c>
      <c r="T1768">
        <v>112</v>
      </c>
      <c r="U1768">
        <v>32</v>
      </c>
      <c r="V1768" t="s">
        <v>886</v>
      </c>
      <c r="W1768">
        <v>31031</v>
      </c>
      <c r="X1768" t="s">
        <v>1692</v>
      </c>
      <c r="Y1768">
        <v>27816</v>
      </c>
      <c r="Z1768">
        <v>992992</v>
      </c>
      <c r="AA1768">
        <v>102880</v>
      </c>
      <c r="AB1768" t="str">
        <f>(VLOOKUP(SalesData[[#This Row],[Month Number]],Reference!C$5:E$16,2,FALSE))</f>
        <v>Feb</v>
      </c>
      <c r="AC1768">
        <f>MONTH(SalesData[[#This Row],[Date]])</f>
        <v>2</v>
      </c>
      <c r="AD1768">
        <f>Reference!F$4</f>
        <v>2026</v>
      </c>
      <c r="AE1768" t="str">
        <f>IF(OR(SalesData[[#This Row],[Day]]="Saturday",SalesData[[#This Row],[Day]]="Sunday"),"Weekend","Weekday")</f>
        <v>Weekday</v>
      </c>
      <c r="AF1768" s="5">
        <f>IF(SalesData[[#This Row],[Contracts Offered]]=0,0,SalesData[[#This Row],[Contracts Signed]]/SalesData[[#This Row],[Contracts Offered]])</f>
        <v>0.2857142857142857</v>
      </c>
      <c r="AG1768" s="5">
        <f>IF(SalesData[[#This Row],[Customers Visited]]=0,0,SalesData[[#This Row],[Test Drives]]/SalesData[[#This Row],[Customers Visited]])</f>
        <v>0.50920245398773001</v>
      </c>
      <c r="AH1768" s="5">
        <f>IF(SalesData[[#This Row],[Customers Visited]]=0,0,SalesData[[#This Row],[Contracts Signed]]/SalesData[[#This Row],[Customers Visited]])</f>
        <v>9.815950920245399E-2</v>
      </c>
      <c r="AI1768" s="6">
        <f>IF(SalesData[[#This Row],[Contracts Signed]]=0,0,SalesData[[#This Row],[Profit(€)]]/SalesData[[#This Row],[Contracts Signed]])</f>
        <v>3215</v>
      </c>
      <c r="AJ1768" s="5" t="str">
        <f>TRIM(CLEAN(SalesData[[#This Row],[Retailer]]))</f>
        <v>Autohaus Berlin</v>
      </c>
    </row>
    <row r="1769" spans="1:36" ht="14.25" x14ac:dyDescent="0.2">
      <c r="A1769" t="s">
        <v>2721</v>
      </c>
      <c r="B1769" s="1">
        <v>46055</v>
      </c>
      <c r="C1769" t="s">
        <v>24</v>
      </c>
      <c r="D1769" t="s">
        <v>25</v>
      </c>
      <c r="E1769" t="s">
        <v>26</v>
      </c>
      <c r="F1769" t="s">
        <v>114</v>
      </c>
      <c r="G1769" t="s">
        <v>115</v>
      </c>
      <c r="H1769" t="s">
        <v>115</v>
      </c>
      <c r="I1769" t="s">
        <v>30</v>
      </c>
      <c r="J1769" t="s">
        <v>31</v>
      </c>
      <c r="K1769" t="s">
        <v>91</v>
      </c>
      <c r="L1769" t="s">
        <v>46</v>
      </c>
      <c r="M1769" t="s">
        <v>68</v>
      </c>
      <c r="N1769" t="s">
        <v>48</v>
      </c>
      <c r="O1769" t="s">
        <v>70</v>
      </c>
      <c r="P1769" t="s">
        <v>49</v>
      </c>
      <c r="Q1769" t="s">
        <v>158</v>
      </c>
      <c r="R1769">
        <v>161</v>
      </c>
      <c r="S1769">
        <v>97</v>
      </c>
      <c r="T1769">
        <v>72</v>
      </c>
      <c r="U1769">
        <v>25</v>
      </c>
      <c r="V1769" t="s">
        <v>6838</v>
      </c>
      <c r="W1769">
        <v>67079</v>
      </c>
      <c r="X1769" t="s">
        <v>2667</v>
      </c>
      <c r="Y1769">
        <v>49390</v>
      </c>
      <c r="Z1769">
        <v>1676975</v>
      </c>
      <c r="AA1769">
        <v>442225</v>
      </c>
      <c r="AB1769" t="str">
        <f>(VLOOKUP(SalesData[[#This Row],[Month Number]],Reference!C$5:E$16,2,FALSE))</f>
        <v>Feb</v>
      </c>
      <c r="AC1769">
        <f>MONTH(SalesData[[#This Row],[Date]])</f>
        <v>2</v>
      </c>
      <c r="AD1769">
        <f>Reference!F$4</f>
        <v>2026</v>
      </c>
      <c r="AE1769" t="str">
        <f>IF(OR(SalesData[[#This Row],[Day]]="Saturday",SalesData[[#This Row],[Day]]="Sunday"),"Weekend","Weekday")</f>
        <v>Weekday</v>
      </c>
      <c r="AF1769" s="5">
        <f>IF(SalesData[[#This Row],[Contracts Offered]]=0,0,SalesData[[#This Row],[Contracts Signed]]/SalesData[[#This Row],[Contracts Offered]])</f>
        <v>0.34722222222222221</v>
      </c>
      <c r="AG1769" s="5">
        <f>IF(SalesData[[#This Row],[Customers Visited]]=0,0,SalesData[[#This Row],[Test Drives]]/SalesData[[#This Row],[Customers Visited]])</f>
        <v>0.60248447204968947</v>
      </c>
      <c r="AH1769" s="5">
        <f>IF(SalesData[[#This Row],[Customers Visited]]=0,0,SalesData[[#This Row],[Contracts Signed]]/SalesData[[#This Row],[Customers Visited]])</f>
        <v>0.15527950310559005</v>
      </c>
      <c r="AI1769" s="6">
        <f>IF(SalesData[[#This Row],[Contracts Signed]]=0,0,SalesData[[#This Row],[Profit(€)]]/SalesData[[#This Row],[Contracts Signed]])</f>
        <v>17689</v>
      </c>
      <c r="AJ1769" s="5" t="str">
        <f>TRIM(CLEAN(SalesData[[#This Row],[Retailer]]))</f>
        <v>Elbe Drive</v>
      </c>
    </row>
    <row r="1770" spans="1:36" ht="14.25" hidden="1" x14ac:dyDescent="0.2">
      <c r="A1770" t="s">
        <v>2722</v>
      </c>
      <c r="B1770" s="1">
        <v>46077</v>
      </c>
      <c r="C1770" t="s">
        <v>53</v>
      </c>
      <c r="D1770" t="s">
        <v>63</v>
      </c>
      <c r="E1770" t="s">
        <v>26</v>
      </c>
      <c r="F1770" t="s">
        <v>83</v>
      </c>
      <c r="G1770" t="s">
        <v>84</v>
      </c>
      <c r="H1770" t="s">
        <v>85</v>
      </c>
      <c r="I1770" t="s">
        <v>64</v>
      </c>
      <c r="J1770" t="s">
        <v>157</v>
      </c>
      <c r="K1770" t="s">
        <v>91</v>
      </c>
      <c r="L1770" t="s">
        <v>33</v>
      </c>
      <c r="M1770" t="s">
        <v>68</v>
      </c>
      <c r="N1770" t="s">
        <v>35</v>
      </c>
      <c r="O1770" t="s">
        <v>36</v>
      </c>
      <c r="P1770" t="s">
        <v>71</v>
      </c>
      <c r="Q1770" t="s">
        <v>118</v>
      </c>
      <c r="R1770">
        <v>175</v>
      </c>
      <c r="S1770">
        <v>84</v>
      </c>
      <c r="T1770">
        <v>64</v>
      </c>
      <c r="U1770">
        <v>22</v>
      </c>
      <c r="V1770" t="s">
        <v>6663</v>
      </c>
      <c r="W1770">
        <v>52650</v>
      </c>
      <c r="X1770" t="s">
        <v>7456</v>
      </c>
      <c r="Y1770">
        <v>40840</v>
      </c>
      <c r="Z1770">
        <v>1158300</v>
      </c>
      <c r="AA1770">
        <v>259820</v>
      </c>
      <c r="AB1770" t="str">
        <f>(VLOOKUP(SalesData[[#This Row],[Month Number]],Reference!C$5:E$16,2,FALSE))</f>
        <v>Feb</v>
      </c>
      <c r="AC1770">
        <f>MONTH(SalesData[[#This Row],[Date]])</f>
        <v>2</v>
      </c>
      <c r="AD1770">
        <f>Reference!F$4</f>
        <v>2026</v>
      </c>
      <c r="AE1770" t="str">
        <f>IF(OR(SalesData[[#This Row],[Day]]="Saturday",SalesData[[#This Row],[Day]]="Sunday"),"Weekend","Weekday")</f>
        <v>Weekday</v>
      </c>
      <c r="AF1770" s="5">
        <f>IF(SalesData[[#This Row],[Contracts Offered]]=0,0,SalesData[[#This Row],[Contracts Signed]]/SalesData[[#This Row],[Contracts Offered]])</f>
        <v>0.34375</v>
      </c>
      <c r="AG1770" s="5">
        <f>IF(SalesData[[#This Row],[Customers Visited]]=0,0,SalesData[[#This Row],[Test Drives]]/SalesData[[#This Row],[Customers Visited]])</f>
        <v>0.48</v>
      </c>
      <c r="AH1770" s="5">
        <f>IF(SalesData[[#This Row],[Customers Visited]]=0,0,SalesData[[#This Row],[Contracts Signed]]/SalesData[[#This Row],[Customers Visited]])</f>
        <v>0.12571428571428572</v>
      </c>
      <c r="AI1770" s="6">
        <f>IF(SalesData[[#This Row],[Contracts Signed]]=0,0,SalesData[[#This Row],[Profit(€)]]/SalesData[[#This Row],[Contracts Signed]])</f>
        <v>11810</v>
      </c>
      <c r="AJ1770" s="5" t="str">
        <f>TRIM(CLEAN(SalesData[[#This Row],[Retailer]]))</f>
        <v>Hannover Cars</v>
      </c>
    </row>
    <row r="1771" spans="1:36" ht="14.25" hidden="1" x14ac:dyDescent="0.2">
      <c r="A1771" t="s">
        <v>2723</v>
      </c>
      <c r="B1771" s="1">
        <v>46073</v>
      </c>
      <c r="C1771" t="s">
        <v>62</v>
      </c>
      <c r="D1771" t="s">
        <v>54</v>
      </c>
      <c r="E1771" t="s">
        <v>26</v>
      </c>
      <c r="F1771" t="s">
        <v>83</v>
      </c>
      <c r="G1771" t="s">
        <v>84</v>
      </c>
      <c r="H1771" t="s">
        <v>85</v>
      </c>
      <c r="I1771" t="s">
        <v>116</v>
      </c>
      <c r="J1771" t="s">
        <v>117</v>
      </c>
      <c r="K1771" t="s">
        <v>32</v>
      </c>
      <c r="L1771" t="s">
        <v>67</v>
      </c>
      <c r="M1771" t="s">
        <v>34</v>
      </c>
      <c r="N1771" t="s">
        <v>69</v>
      </c>
      <c r="O1771" t="s">
        <v>36</v>
      </c>
      <c r="P1771" t="s">
        <v>58</v>
      </c>
      <c r="Q1771" t="s">
        <v>144</v>
      </c>
      <c r="R1771">
        <v>249</v>
      </c>
      <c r="S1771">
        <v>111</v>
      </c>
      <c r="T1771">
        <v>68</v>
      </c>
      <c r="U1771">
        <v>19</v>
      </c>
      <c r="V1771" t="s">
        <v>1302</v>
      </c>
      <c r="W1771">
        <v>25080</v>
      </c>
      <c r="X1771" t="s">
        <v>7477</v>
      </c>
      <c r="Y1771">
        <v>23043</v>
      </c>
      <c r="Z1771">
        <v>476520</v>
      </c>
      <c r="AA1771">
        <v>38703</v>
      </c>
      <c r="AB1771" t="str">
        <f>(VLOOKUP(SalesData[[#This Row],[Month Number]],Reference!C$5:E$16,2,FALSE))</f>
        <v>Feb</v>
      </c>
      <c r="AC1771">
        <f>MONTH(SalesData[[#This Row],[Date]])</f>
        <v>2</v>
      </c>
      <c r="AD1771">
        <f>Reference!F$4</f>
        <v>2026</v>
      </c>
      <c r="AE1771" t="str">
        <f>IF(OR(SalesData[[#This Row],[Day]]="Saturday",SalesData[[#This Row],[Day]]="Sunday"),"Weekend","Weekday")</f>
        <v>Weekday</v>
      </c>
      <c r="AF1771" s="5">
        <f>IF(SalesData[[#This Row],[Contracts Offered]]=0,0,SalesData[[#This Row],[Contracts Signed]]/SalesData[[#This Row],[Contracts Offered]])</f>
        <v>0.27941176470588236</v>
      </c>
      <c r="AG1771" s="5">
        <f>IF(SalesData[[#This Row],[Customers Visited]]=0,0,SalesData[[#This Row],[Test Drives]]/SalesData[[#This Row],[Customers Visited]])</f>
        <v>0.44578313253012047</v>
      </c>
      <c r="AH1771" s="5">
        <f>IF(SalesData[[#This Row],[Customers Visited]]=0,0,SalesData[[#This Row],[Contracts Signed]]/SalesData[[#This Row],[Customers Visited]])</f>
        <v>7.6305220883534142E-2</v>
      </c>
      <c r="AI1771" s="6">
        <f>IF(SalesData[[#This Row],[Contracts Signed]]=0,0,SalesData[[#This Row],[Profit(€)]]/SalesData[[#This Row],[Contracts Signed]])</f>
        <v>2037</v>
      </c>
      <c r="AJ1771" s="5" t="str">
        <f>TRIM(CLEAN(SalesData[[#This Row],[Retailer]]))</f>
        <v>Hannover Cars</v>
      </c>
    </row>
    <row r="1772" spans="1:36" ht="14.25" x14ac:dyDescent="0.2">
      <c r="A1772" t="s">
        <v>2724</v>
      </c>
      <c r="B1772" s="1">
        <v>46068</v>
      </c>
      <c r="C1772" t="s">
        <v>62</v>
      </c>
      <c r="D1772" t="s">
        <v>41</v>
      </c>
      <c r="E1772" t="s">
        <v>42</v>
      </c>
      <c r="F1772" t="s">
        <v>83</v>
      </c>
      <c r="G1772" t="s">
        <v>84</v>
      </c>
      <c r="H1772" t="s">
        <v>85</v>
      </c>
      <c r="I1772" t="s">
        <v>30</v>
      </c>
      <c r="J1772" t="s">
        <v>31</v>
      </c>
      <c r="K1772" t="s">
        <v>91</v>
      </c>
      <c r="L1772" t="s">
        <v>46</v>
      </c>
      <c r="M1772" t="s">
        <v>47</v>
      </c>
      <c r="N1772" t="s">
        <v>69</v>
      </c>
      <c r="O1772" t="s">
        <v>70</v>
      </c>
      <c r="P1772" t="s">
        <v>71</v>
      </c>
      <c r="Q1772" t="s">
        <v>152</v>
      </c>
      <c r="R1772">
        <v>248</v>
      </c>
      <c r="S1772">
        <v>127</v>
      </c>
      <c r="T1772">
        <v>98</v>
      </c>
      <c r="U1772">
        <v>34</v>
      </c>
      <c r="V1772" t="s">
        <v>6871</v>
      </c>
      <c r="W1772">
        <v>63589</v>
      </c>
      <c r="X1772" t="s">
        <v>7115</v>
      </c>
      <c r="Y1772">
        <v>49362</v>
      </c>
      <c r="Z1772">
        <v>2162026</v>
      </c>
      <c r="AA1772">
        <v>483718</v>
      </c>
      <c r="AB1772" t="str">
        <f>(VLOOKUP(SalesData[[#This Row],[Month Number]],Reference!C$5:E$16,2,FALSE))</f>
        <v>Feb</v>
      </c>
      <c r="AC1772">
        <f>MONTH(SalesData[[#This Row],[Date]])</f>
        <v>2</v>
      </c>
      <c r="AD1772">
        <f>Reference!F$4</f>
        <v>2026</v>
      </c>
      <c r="AE1772" t="str">
        <f>IF(OR(SalesData[[#This Row],[Day]]="Saturday",SalesData[[#This Row],[Day]]="Sunday"),"Weekend","Weekday")</f>
        <v>Weekend</v>
      </c>
      <c r="AF1772" s="5">
        <f>IF(SalesData[[#This Row],[Contracts Offered]]=0,0,SalesData[[#This Row],[Contracts Signed]]/SalesData[[#This Row],[Contracts Offered]])</f>
        <v>0.34693877551020408</v>
      </c>
      <c r="AG1772" s="5">
        <f>IF(SalesData[[#This Row],[Customers Visited]]=0,0,SalesData[[#This Row],[Test Drives]]/SalesData[[#This Row],[Customers Visited]])</f>
        <v>0.51209677419354838</v>
      </c>
      <c r="AH1772" s="5">
        <f>IF(SalesData[[#This Row],[Customers Visited]]=0,0,SalesData[[#This Row],[Contracts Signed]]/SalesData[[#This Row],[Customers Visited]])</f>
        <v>0.13709677419354838</v>
      </c>
      <c r="AI1772" s="6">
        <f>IF(SalesData[[#This Row],[Contracts Signed]]=0,0,SalesData[[#This Row],[Profit(€)]]/SalesData[[#This Row],[Contracts Signed]])</f>
        <v>14227</v>
      </c>
      <c r="AJ1772" s="5" t="str">
        <f>TRIM(CLEAN(SalesData[[#This Row],[Retailer]]))</f>
        <v>Hannover Cars</v>
      </c>
    </row>
    <row r="1773" spans="1:36" ht="14.25" hidden="1" x14ac:dyDescent="0.2">
      <c r="A1773" t="s">
        <v>2725</v>
      </c>
      <c r="B1773" s="1">
        <v>46075</v>
      </c>
      <c r="C1773" t="s">
        <v>53</v>
      </c>
      <c r="D1773" t="s">
        <v>41</v>
      </c>
      <c r="E1773" t="s">
        <v>42</v>
      </c>
      <c r="F1773" t="s">
        <v>94</v>
      </c>
      <c r="G1773" t="s">
        <v>95</v>
      </c>
      <c r="H1773" t="s">
        <v>96</v>
      </c>
      <c r="I1773" t="s">
        <v>116</v>
      </c>
      <c r="J1773" t="s">
        <v>117</v>
      </c>
      <c r="K1773" t="s">
        <v>91</v>
      </c>
      <c r="L1773" t="s">
        <v>67</v>
      </c>
      <c r="M1773" t="s">
        <v>47</v>
      </c>
      <c r="N1773" t="s">
        <v>35</v>
      </c>
      <c r="O1773" t="s">
        <v>70</v>
      </c>
      <c r="P1773" t="s">
        <v>71</v>
      </c>
      <c r="Q1773" t="s">
        <v>204</v>
      </c>
      <c r="R1773">
        <v>414</v>
      </c>
      <c r="S1773">
        <v>213</v>
      </c>
      <c r="T1773">
        <v>129</v>
      </c>
      <c r="U1773">
        <v>39</v>
      </c>
      <c r="V1773" t="s">
        <v>611</v>
      </c>
      <c r="W1773">
        <v>25492</v>
      </c>
      <c r="X1773" t="s">
        <v>1127</v>
      </c>
      <c r="Y1773">
        <v>23633</v>
      </c>
      <c r="Z1773">
        <v>994188</v>
      </c>
      <c r="AA1773">
        <v>72501</v>
      </c>
      <c r="AB1773" t="str">
        <f>(VLOOKUP(SalesData[[#This Row],[Month Number]],Reference!C$5:E$16,2,FALSE))</f>
        <v>Feb</v>
      </c>
      <c r="AC1773">
        <f>MONTH(SalesData[[#This Row],[Date]])</f>
        <v>2</v>
      </c>
      <c r="AD1773">
        <f>Reference!F$4</f>
        <v>2026</v>
      </c>
      <c r="AE1773" t="str">
        <f>IF(OR(SalesData[[#This Row],[Day]]="Saturday",SalesData[[#This Row],[Day]]="Sunday"),"Weekend","Weekday")</f>
        <v>Weekend</v>
      </c>
      <c r="AF1773" s="5">
        <f>IF(SalesData[[#This Row],[Contracts Offered]]=0,0,SalesData[[#This Row],[Contracts Signed]]/SalesData[[#This Row],[Contracts Offered]])</f>
        <v>0.30232558139534882</v>
      </c>
      <c r="AG1773" s="5">
        <f>IF(SalesData[[#This Row],[Customers Visited]]=0,0,SalesData[[#This Row],[Test Drives]]/SalesData[[#This Row],[Customers Visited]])</f>
        <v>0.51449275362318836</v>
      </c>
      <c r="AH1773" s="5">
        <f>IF(SalesData[[#This Row],[Customers Visited]]=0,0,SalesData[[#This Row],[Contracts Signed]]/SalesData[[#This Row],[Customers Visited]])</f>
        <v>9.420289855072464E-2</v>
      </c>
      <c r="AI1773" s="6">
        <f>IF(SalesData[[#This Row],[Contracts Signed]]=0,0,SalesData[[#This Row],[Profit(€)]]/SalesData[[#This Row],[Contracts Signed]])</f>
        <v>1859</v>
      </c>
      <c r="AJ1773" s="5" t="str">
        <f>TRIM(CLEAN(SalesData[[#This Row],[Retailer]]))</f>
        <v>Bavaria Motors</v>
      </c>
    </row>
    <row r="1774" spans="1:36" ht="14.25" hidden="1" x14ac:dyDescent="0.2">
      <c r="A1774" t="s">
        <v>2726</v>
      </c>
      <c r="B1774" s="1">
        <v>46073</v>
      </c>
      <c r="C1774" t="s">
        <v>62</v>
      </c>
      <c r="D1774" t="s">
        <v>54</v>
      </c>
      <c r="E1774" t="s">
        <v>26</v>
      </c>
      <c r="F1774" t="s">
        <v>114</v>
      </c>
      <c r="G1774" t="s">
        <v>115</v>
      </c>
      <c r="H1774" t="s">
        <v>115</v>
      </c>
      <c r="I1774" t="s">
        <v>104</v>
      </c>
      <c r="J1774" t="s">
        <v>7061</v>
      </c>
      <c r="K1774" t="s">
        <v>91</v>
      </c>
      <c r="L1774" t="s">
        <v>46</v>
      </c>
      <c r="M1774" t="s">
        <v>87</v>
      </c>
      <c r="N1774" t="s">
        <v>48</v>
      </c>
      <c r="O1774" t="s">
        <v>70</v>
      </c>
      <c r="P1774" t="s">
        <v>49</v>
      </c>
      <c r="Q1774" t="s">
        <v>347</v>
      </c>
      <c r="R1774">
        <v>296</v>
      </c>
      <c r="S1774">
        <v>162</v>
      </c>
      <c r="T1774">
        <v>104</v>
      </c>
      <c r="U1774">
        <v>23</v>
      </c>
      <c r="V1774" t="s">
        <v>2532</v>
      </c>
      <c r="W1774">
        <v>30052</v>
      </c>
      <c r="X1774" t="s">
        <v>2543</v>
      </c>
      <c r="Y1774">
        <v>26261</v>
      </c>
      <c r="Z1774">
        <v>691196</v>
      </c>
      <c r="AA1774">
        <v>87193</v>
      </c>
      <c r="AB1774" t="str">
        <f>(VLOOKUP(SalesData[[#This Row],[Month Number]],Reference!C$5:E$16,2,FALSE))</f>
        <v>Feb</v>
      </c>
      <c r="AC1774">
        <f>MONTH(SalesData[[#This Row],[Date]])</f>
        <v>2</v>
      </c>
      <c r="AD1774">
        <f>Reference!F$4</f>
        <v>2026</v>
      </c>
      <c r="AE1774" t="str">
        <f>IF(OR(SalesData[[#This Row],[Day]]="Saturday",SalesData[[#This Row],[Day]]="Sunday"),"Weekend","Weekday")</f>
        <v>Weekday</v>
      </c>
      <c r="AF1774" s="5">
        <f>IF(SalesData[[#This Row],[Contracts Offered]]=0,0,SalesData[[#This Row],[Contracts Signed]]/SalesData[[#This Row],[Contracts Offered]])</f>
        <v>0.22115384615384615</v>
      </c>
      <c r="AG1774" s="5">
        <f>IF(SalesData[[#This Row],[Customers Visited]]=0,0,SalesData[[#This Row],[Test Drives]]/SalesData[[#This Row],[Customers Visited]])</f>
        <v>0.54729729729729726</v>
      </c>
      <c r="AH1774" s="5">
        <f>IF(SalesData[[#This Row],[Customers Visited]]=0,0,SalesData[[#This Row],[Contracts Signed]]/SalesData[[#This Row],[Customers Visited]])</f>
        <v>7.77027027027027E-2</v>
      </c>
      <c r="AI1774" s="6">
        <f>IF(SalesData[[#This Row],[Contracts Signed]]=0,0,SalesData[[#This Row],[Profit(€)]]/SalesData[[#This Row],[Contracts Signed]])</f>
        <v>3791</v>
      </c>
      <c r="AJ1774" s="5" t="str">
        <f>TRIM(CLEAN(SalesData[[#This Row],[Retailer]]))</f>
        <v>Elbe Drive</v>
      </c>
    </row>
    <row r="1775" spans="1:36" ht="14.25" hidden="1" x14ac:dyDescent="0.2">
      <c r="A1775" t="s">
        <v>2727</v>
      </c>
      <c r="B1775" s="1">
        <v>46063</v>
      </c>
      <c r="C1775" t="s">
        <v>121</v>
      </c>
      <c r="D1775" t="s">
        <v>63</v>
      </c>
      <c r="E1775" t="s">
        <v>26</v>
      </c>
      <c r="F1775" t="s">
        <v>114</v>
      </c>
      <c r="G1775" t="s">
        <v>115</v>
      </c>
      <c r="H1775" t="s">
        <v>115</v>
      </c>
      <c r="I1775" t="s">
        <v>64</v>
      </c>
      <c r="J1775" t="s">
        <v>7029</v>
      </c>
      <c r="K1775" t="s">
        <v>32</v>
      </c>
      <c r="L1775" t="s">
        <v>33</v>
      </c>
      <c r="M1775" t="s">
        <v>87</v>
      </c>
      <c r="N1775" t="s">
        <v>48</v>
      </c>
      <c r="O1775" t="s">
        <v>70</v>
      </c>
      <c r="P1775" t="s">
        <v>58</v>
      </c>
      <c r="Q1775" t="s">
        <v>122</v>
      </c>
      <c r="R1775">
        <v>191</v>
      </c>
      <c r="S1775">
        <v>84</v>
      </c>
      <c r="T1775">
        <v>60</v>
      </c>
      <c r="U1775">
        <v>21</v>
      </c>
      <c r="V1775" t="s">
        <v>6403</v>
      </c>
      <c r="W1775">
        <v>54169</v>
      </c>
      <c r="X1775" t="s">
        <v>7300</v>
      </c>
      <c r="Y1775">
        <v>42062</v>
      </c>
      <c r="Z1775">
        <v>1137549</v>
      </c>
      <c r="AA1775">
        <v>254247</v>
      </c>
      <c r="AB1775" t="str">
        <f>(VLOOKUP(SalesData[[#This Row],[Month Number]],Reference!C$5:E$16,2,FALSE))</f>
        <v>Feb</v>
      </c>
      <c r="AC1775">
        <f>MONTH(SalesData[[#This Row],[Date]])</f>
        <v>2</v>
      </c>
      <c r="AD1775">
        <f>Reference!F$4</f>
        <v>2026</v>
      </c>
      <c r="AE1775" t="str">
        <f>IF(OR(SalesData[[#This Row],[Day]]="Saturday",SalesData[[#This Row],[Day]]="Sunday"),"Weekend","Weekday")</f>
        <v>Weekday</v>
      </c>
      <c r="AF1775" s="5">
        <f>IF(SalesData[[#This Row],[Contracts Offered]]=0,0,SalesData[[#This Row],[Contracts Signed]]/SalesData[[#This Row],[Contracts Offered]])</f>
        <v>0.35</v>
      </c>
      <c r="AG1775" s="5">
        <f>IF(SalesData[[#This Row],[Customers Visited]]=0,0,SalesData[[#This Row],[Test Drives]]/SalesData[[#This Row],[Customers Visited]])</f>
        <v>0.43979057591623039</v>
      </c>
      <c r="AH1775" s="5">
        <f>IF(SalesData[[#This Row],[Customers Visited]]=0,0,SalesData[[#This Row],[Contracts Signed]]/SalesData[[#This Row],[Customers Visited]])</f>
        <v>0.1099476439790576</v>
      </c>
      <c r="AI1775" s="6">
        <f>IF(SalesData[[#This Row],[Contracts Signed]]=0,0,SalesData[[#This Row],[Profit(€)]]/SalesData[[#This Row],[Contracts Signed]])</f>
        <v>12107</v>
      </c>
      <c r="AJ1775" s="5" t="str">
        <f>TRIM(CLEAN(SalesData[[#This Row],[Retailer]]))</f>
        <v>Elbe Drive</v>
      </c>
    </row>
    <row r="1776" spans="1:36" ht="14.25" hidden="1" x14ac:dyDescent="0.2">
      <c r="A1776" t="s">
        <v>2729</v>
      </c>
      <c r="B1776" s="1">
        <v>46057</v>
      </c>
      <c r="C1776" t="s">
        <v>24</v>
      </c>
      <c r="D1776" t="s">
        <v>82</v>
      </c>
      <c r="E1776" t="s">
        <v>26</v>
      </c>
      <c r="F1776" t="s">
        <v>83</v>
      </c>
      <c r="G1776" t="s">
        <v>84</v>
      </c>
      <c r="H1776" t="s">
        <v>85</v>
      </c>
      <c r="I1776" t="s">
        <v>104</v>
      </c>
      <c r="J1776" t="s">
        <v>7061</v>
      </c>
      <c r="K1776" t="s">
        <v>91</v>
      </c>
      <c r="L1776" t="s">
        <v>46</v>
      </c>
      <c r="M1776" t="s">
        <v>87</v>
      </c>
      <c r="N1776" t="s">
        <v>35</v>
      </c>
      <c r="O1776" t="s">
        <v>70</v>
      </c>
      <c r="P1776" t="s">
        <v>58</v>
      </c>
      <c r="Q1776" t="s">
        <v>169</v>
      </c>
      <c r="R1776">
        <v>480</v>
      </c>
      <c r="S1776">
        <v>249</v>
      </c>
      <c r="T1776">
        <v>176</v>
      </c>
      <c r="U1776">
        <v>50</v>
      </c>
      <c r="V1776" t="s">
        <v>7478</v>
      </c>
      <c r="W1776">
        <v>32613</v>
      </c>
      <c r="X1776" t="s">
        <v>7156</v>
      </c>
      <c r="Y1776">
        <v>29549</v>
      </c>
      <c r="Z1776">
        <v>1630650</v>
      </c>
      <c r="AA1776">
        <v>153200</v>
      </c>
      <c r="AB1776" t="str">
        <f>(VLOOKUP(SalesData[[#This Row],[Month Number]],Reference!C$5:E$16,2,FALSE))</f>
        <v>Feb</v>
      </c>
      <c r="AC1776">
        <f>MONTH(SalesData[[#This Row],[Date]])</f>
        <v>2</v>
      </c>
      <c r="AD1776">
        <f>Reference!F$4</f>
        <v>2026</v>
      </c>
      <c r="AE1776" t="str">
        <f>IF(OR(SalesData[[#This Row],[Day]]="Saturday",SalesData[[#This Row],[Day]]="Sunday"),"Weekend","Weekday")</f>
        <v>Weekday</v>
      </c>
      <c r="AF1776" s="5">
        <f>IF(SalesData[[#This Row],[Contracts Offered]]=0,0,SalesData[[#This Row],[Contracts Signed]]/SalesData[[#This Row],[Contracts Offered]])</f>
        <v>0.28409090909090912</v>
      </c>
      <c r="AG1776" s="5">
        <f>IF(SalesData[[#This Row],[Customers Visited]]=0,0,SalesData[[#This Row],[Test Drives]]/SalesData[[#This Row],[Customers Visited]])</f>
        <v>0.51875000000000004</v>
      </c>
      <c r="AH1776" s="5">
        <f>IF(SalesData[[#This Row],[Customers Visited]]=0,0,SalesData[[#This Row],[Contracts Signed]]/SalesData[[#This Row],[Customers Visited]])</f>
        <v>0.10416666666666667</v>
      </c>
      <c r="AI1776" s="6">
        <f>IF(SalesData[[#This Row],[Contracts Signed]]=0,0,SalesData[[#This Row],[Profit(€)]]/SalesData[[#This Row],[Contracts Signed]])</f>
        <v>3064</v>
      </c>
      <c r="AJ1776" s="5" t="str">
        <f>TRIM(CLEAN(SalesData[[#This Row],[Retailer]]))</f>
        <v>Hannover Cars</v>
      </c>
    </row>
    <row r="1777" spans="1:36" ht="14.25" hidden="1" x14ac:dyDescent="0.2">
      <c r="A1777" t="s">
        <v>2730</v>
      </c>
      <c r="B1777" s="1">
        <v>46061</v>
      </c>
      <c r="C1777" t="s">
        <v>121</v>
      </c>
      <c r="D1777" t="s">
        <v>41</v>
      </c>
      <c r="E1777" t="s">
        <v>42</v>
      </c>
      <c r="F1777" t="s">
        <v>27</v>
      </c>
      <c r="G1777" t="s">
        <v>28</v>
      </c>
      <c r="H1777" t="s">
        <v>29</v>
      </c>
      <c r="I1777" t="s">
        <v>64</v>
      </c>
      <c r="J1777" t="s">
        <v>111</v>
      </c>
      <c r="K1777" t="s">
        <v>91</v>
      </c>
      <c r="L1777" t="s">
        <v>46</v>
      </c>
      <c r="M1777" t="s">
        <v>87</v>
      </c>
      <c r="N1777" t="s">
        <v>48</v>
      </c>
      <c r="O1777" t="s">
        <v>70</v>
      </c>
      <c r="P1777" t="s">
        <v>71</v>
      </c>
      <c r="Q1777" t="s">
        <v>152</v>
      </c>
      <c r="R1777">
        <v>235</v>
      </c>
      <c r="S1777">
        <v>134</v>
      </c>
      <c r="T1777">
        <v>94</v>
      </c>
      <c r="U1777">
        <v>35</v>
      </c>
      <c r="V1777" t="s">
        <v>6974</v>
      </c>
      <c r="W1777">
        <v>51733</v>
      </c>
      <c r="X1777" t="s">
        <v>7182</v>
      </c>
      <c r="Y1777">
        <v>37192</v>
      </c>
      <c r="Z1777">
        <v>1810655</v>
      </c>
      <c r="AA1777">
        <v>508935</v>
      </c>
      <c r="AB1777" t="str">
        <f>(VLOOKUP(SalesData[[#This Row],[Month Number]],Reference!C$5:E$16,2,FALSE))</f>
        <v>Feb</v>
      </c>
      <c r="AC1777">
        <f>MONTH(SalesData[[#This Row],[Date]])</f>
        <v>2</v>
      </c>
      <c r="AD1777">
        <f>Reference!F$4</f>
        <v>2026</v>
      </c>
      <c r="AE1777" t="str">
        <f>IF(OR(SalesData[[#This Row],[Day]]="Saturday",SalesData[[#This Row],[Day]]="Sunday"),"Weekend","Weekday")</f>
        <v>Weekend</v>
      </c>
      <c r="AF1777" s="5">
        <f>IF(SalesData[[#This Row],[Contracts Offered]]=0,0,SalesData[[#This Row],[Contracts Signed]]/SalesData[[#This Row],[Contracts Offered]])</f>
        <v>0.37234042553191488</v>
      </c>
      <c r="AG1777" s="5">
        <f>IF(SalesData[[#This Row],[Customers Visited]]=0,0,SalesData[[#This Row],[Test Drives]]/SalesData[[#This Row],[Customers Visited]])</f>
        <v>0.57021276595744685</v>
      </c>
      <c r="AH1777" s="5">
        <f>IF(SalesData[[#This Row],[Customers Visited]]=0,0,SalesData[[#This Row],[Contracts Signed]]/SalesData[[#This Row],[Customers Visited]])</f>
        <v>0.14893617021276595</v>
      </c>
      <c r="AI1777" s="6">
        <f>IF(SalesData[[#This Row],[Contracts Signed]]=0,0,SalesData[[#This Row],[Profit(€)]]/SalesData[[#This Row],[Contracts Signed]])</f>
        <v>14541</v>
      </c>
      <c r="AJ1777" s="5" t="str">
        <f>TRIM(CLEAN(SalesData[[#This Row],[Retailer]]))</f>
        <v>Main Auto Hub</v>
      </c>
    </row>
    <row r="1778" spans="1:36" ht="14.25" hidden="1" x14ac:dyDescent="0.2">
      <c r="A1778" t="s">
        <v>2731</v>
      </c>
      <c r="B1778" s="1">
        <v>46075</v>
      </c>
      <c r="C1778" t="s">
        <v>53</v>
      </c>
      <c r="D1778" t="s">
        <v>41</v>
      </c>
      <c r="E1778" t="s">
        <v>42</v>
      </c>
      <c r="F1778" t="s">
        <v>94</v>
      </c>
      <c r="G1778" t="s">
        <v>95</v>
      </c>
      <c r="H1778" t="s">
        <v>96</v>
      </c>
      <c r="I1778" t="s">
        <v>64</v>
      </c>
      <c r="J1778" t="s">
        <v>111</v>
      </c>
      <c r="K1778" t="s">
        <v>32</v>
      </c>
      <c r="L1778" t="s">
        <v>46</v>
      </c>
      <c r="M1778" t="s">
        <v>68</v>
      </c>
      <c r="N1778" t="s">
        <v>48</v>
      </c>
      <c r="O1778" t="s">
        <v>70</v>
      </c>
      <c r="P1778" t="s">
        <v>37</v>
      </c>
      <c r="Q1778" t="s">
        <v>152</v>
      </c>
      <c r="R1778">
        <v>253</v>
      </c>
      <c r="S1778">
        <v>143</v>
      </c>
      <c r="T1778">
        <v>94</v>
      </c>
      <c r="U1778">
        <v>33</v>
      </c>
      <c r="V1778" t="s">
        <v>6386</v>
      </c>
      <c r="W1778">
        <v>69674</v>
      </c>
      <c r="X1778" t="s">
        <v>7415</v>
      </c>
      <c r="Y1778">
        <v>54370</v>
      </c>
      <c r="Z1778">
        <v>2299242</v>
      </c>
      <c r="AA1778">
        <v>505032</v>
      </c>
      <c r="AB1778" t="str">
        <f>(VLOOKUP(SalesData[[#This Row],[Month Number]],Reference!C$5:E$16,2,FALSE))</f>
        <v>Feb</v>
      </c>
      <c r="AC1778">
        <f>MONTH(SalesData[[#This Row],[Date]])</f>
        <v>2</v>
      </c>
      <c r="AD1778">
        <f>Reference!F$4</f>
        <v>2026</v>
      </c>
      <c r="AE1778" t="str">
        <f>IF(OR(SalesData[[#This Row],[Day]]="Saturday",SalesData[[#This Row],[Day]]="Sunday"),"Weekend","Weekday")</f>
        <v>Weekend</v>
      </c>
      <c r="AF1778" s="5">
        <f>IF(SalesData[[#This Row],[Contracts Offered]]=0,0,SalesData[[#This Row],[Contracts Signed]]/SalesData[[#This Row],[Contracts Offered]])</f>
        <v>0.35106382978723405</v>
      </c>
      <c r="AG1778" s="5">
        <f>IF(SalesData[[#This Row],[Customers Visited]]=0,0,SalesData[[#This Row],[Test Drives]]/SalesData[[#This Row],[Customers Visited]])</f>
        <v>0.56521739130434778</v>
      </c>
      <c r="AH1778" s="5">
        <f>IF(SalesData[[#This Row],[Customers Visited]]=0,0,SalesData[[#This Row],[Contracts Signed]]/SalesData[[#This Row],[Customers Visited]])</f>
        <v>0.13043478260869565</v>
      </c>
      <c r="AI1778" s="6">
        <f>IF(SalesData[[#This Row],[Contracts Signed]]=0,0,SalesData[[#This Row],[Profit(€)]]/SalesData[[#This Row],[Contracts Signed]])</f>
        <v>15304</v>
      </c>
      <c r="AJ1778" s="5" t="str">
        <f>TRIM(CLEAN(SalesData[[#This Row],[Retailer]]))</f>
        <v>Bavaria Motors</v>
      </c>
    </row>
    <row r="1779" spans="1:36" ht="14.25" hidden="1" x14ac:dyDescent="0.2">
      <c r="A1779" t="s">
        <v>2733</v>
      </c>
      <c r="B1779" s="1">
        <v>46078</v>
      </c>
      <c r="C1779" t="s">
        <v>53</v>
      </c>
      <c r="D1779" t="s">
        <v>82</v>
      </c>
      <c r="E1779" t="s">
        <v>26</v>
      </c>
      <c r="F1779" t="s">
        <v>74</v>
      </c>
      <c r="G1779" t="s">
        <v>75</v>
      </c>
      <c r="H1779" t="s">
        <v>76</v>
      </c>
      <c r="I1779" t="s">
        <v>56</v>
      </c>
      <c r="J1779" t="s">
        <v>179</v>
      </c>
      <c r="K1779" t="s">
        <v>66</v>
      </c>
      <c r="L1779" t="s">
        <v>67</v>
      </c>
      <c r="M1779" t="s">
        <v>34</v>
      </c>
      <c r="N1779" t="s">
        <v>69</v>
      </c>
      <c r="O1779" t="s">
        <v>70</v>
      </c>
      <c r="P1779" t="s">
        <v>58</v>
      </c>
      <c r="Q1779" t="s">
        <v>79</v>
      </c>
      <c r="R1779">
        <v>298</v>
      </c>
      <c r="S1779">
        <v>141</v>
      </c>
      <c r="T1779">
        <v>106</v>
      </c>
      <c r="U1779">
        <v>33</v>
      </c>
      <c r="V1779" t="s">
        <v>6801</v>
      </c>
      <c r="W1779">
        <v>46215</v>
      </c>
      <c r="X1779" t="s">
        <v>7325</v>
      </c>
      <c r="Y1779">
        <v>37844</v>
      </c>
      <c r="Z1779">
        <v>1525095</v>
      </c>
      <c r="AA1779">
        <v>276243</v>
      </c>
      <c r="AB1779" t="str">
        <f>(VLOOKUP(SalesData[[#This Row],[Month Number]],Reference!C$5:E$16,2,FALSE))</f>
        <v>Feb</v>
      </c>
      <c r="AC1779">
        <f>MONTH(SalesData[[#This Row],[Date]])</f>
        <v>2</v>
      </c>
      <c r="AD1779">
        <f>Reference!F$4</f>
        <v>2026</v>
      </c>
      <c r="AE1779" t="str">
        <f>IF(OR(SalesData[[#This Row],[Day]]="Saturday",SalesData[[#This Row],[Day]]="Sunday"),"Weekend","Weekday")</f>
        <v>Weekday</v>
      </c>
      <c r="AF1779" s="5">
        <f>IF(SalesData[[#This Row],[Contracts Offered]]=0,0,SalesData[[#This Row],[Contracts Signed]]/SalesData[[#This Row],[Contracts Offered]])</f>
        <v>0.31132075471698112</v>
      </c>
      <c r="AG1779" s="5">
        <f>IF(SalesData[[#This Row],[Customers Visited]]=0,0,SalesData[[#This Row],[Test Drives]]/SalesData[[#This Row],[Customers Visited]])</f>
        <v>0.47315436241610737</v>
      </c>
      <c r="AH1779" s="5">
        <f>IF(SalesData[[#This Row],[Customers Visited]]=0,0,SalesData[[#This Row],[Contracts Signed]]/SalesData[[#This Row],[Customers Visited]])</f>
        <v>0.11073825503355705</v>
      </c>
      <c r="AI1779" s="6">
        <f>IF(SalesData[[#This Row],[Contracts Signed]]=0,0,SalesData[[#This Row],[Profit(€)]]/SalesData[[#This Row],[Contracts Signed]])</f>
        <v>8371</v>
      </c>
      <c r="AJ1779" s="5" t="str">
        <f>TRIM(CLEAN(SalesData[[#This Row],[Retailer]]))</f>
        <v>Stuttgart Auto Center</v>
      </c>
    </row>
    <row r="1780" spans="1:36" ht="14.25" hidden="1" x14ac:dyDescent="0.2">
      <c r="A1780" t="s">
        <v>2734</v>
      </c>
      <c r="B1780" s="1">
        <v>46065</v>
      </c>
      <c r="C1780" t="s">
        <v>121</v>
      </c>
      <c r="D1780" t="s">
        <v>100</v>
      </c>
      <c r="E1780" t="s">
        <v>26</v>
      </c>
      <c r="F1780" t="s">
        <v>127</v>
      </c>
      <c r="G1780" t="s">
        <v>128</v>
      </c>
      <c r="H1780" t="s">
        <v>103</v>
      </c>
      <c r="I1780" t="s">
        <v>104</v>
      </c>
      <c r="J1780" t="s">
        <v>143</v>
      </c>
      <c r="K1780" t="s">
        <v>66</v>
      </c>
      <c r="L1780" t="s">
        <v>67</v>
      </c>
      <c r="M1780" t="s">
        <v>87</v>
      </c>
      <c r="N1780" t="s">
        <v>35</v>
      </c>
      <c r="O1780" t="s">
        <v>36</v>
      </c>
      <c r="P1780" t="s">
        <v>71</v>
      </c>
      <c r="Q1780" t="s">
        <v>240</v>
      </c>
      <c r="R1780">
        <v>477</v>
      </c>
      <c r="S1780">
        <v>237</v>
      </c>
      <c r="T1780">
        <v>160</v>
      </c>
      <c r="U1780">
        <v>39</v>
      </c>
      <c r="V1780" t="s">
        <v>618</v>
      </c>
      <c r="W1780">
        <v>28639</v>
      </c>
      <c r="X1780" t="s">
        <v>7142</v>
      </c>
      <c r="Y1780">
        <v>24788</v>
      </c>
      <c r="Z1780">
        <v>1116921</v>
      </c>
      <c r="AA1780">
        <v>150189</v>
      </c>
      <c r="AB1780" t="str">
        <f>(VLOOKUP(SalesData[[#This Row],[Month Number]],Reference!C$5:E$16,2,FALSE))</f>
        <v>Feb</v>
      </c>
      <c r="AC1780">
        <f>MONTH(SalesData[[#This Row],[Date]])</f>
        <v>2</v>
      </c>
      <c r="AD1780">
        <f>Reference!F$4</f>
        <v>2026</v>
      </c>
      <c r="AE1780" t="str">
        <f>IF(OR(SalesData[[#This Row],[Day]]="Saturday",SalesData[[#This Row],[Day]]="Sunday"),"Weekend","Weekday")</f>
        <v>Weekday</v>
      </c>
      <c r="AF1780" s="5">
        <f>IF(SalesData[[#This Row],[Contracts Offered]]=0,0,SalesData[[#This Row],[Contracts Signed]]/SalesData[[#This Row],[Contracts Offered]])</f>
        <v>0.24374999999999999</v>
      </c>
      <c r="AG1780" s="5">
        <f>IF(SalesData[[#This Row],[Customers Visited]]=0,0,SalesData[[#This Row],[Test Drives]]/SalesData[[#This Row],[Customers Visited]])</f>
        <v>0.49685534591194969</v>
      </c>
      <c r="AH1780" s="5">
        <f>IF(SalesData[[#This Row],[Customers Visited]]=0,0,SalesData[[#This Row],[Contracts Signed]]/SalesData[[#This Row],[Customers Visited]])</f>
        <v>8.1761006289308172E-2</v>
      </c>
      <c r="AI1780" s="6">
        <f>IF(SalesData[[#This Row],[Contracts Signed]]=0,0,SalesData[[#This Row],[Profit(€)]]/SalesData[[#This Row],[Contracts Signed]])</f>
        <v>3851</v>
      </c>
      <c r="AJ1780" s="5" t="str">
        <f>TRIM(CLEAN(SalesData[[#This Row],[Retailer]]))</f>
        <v>Rhein Auto Group</v>
      </c>
    </row>
    <row r="1781" spans="1:36" ht="14.25" hidden="1" x14ac:dyDescent="0.2">
      <c r="A1781" t="s">
        <v>2735</v>
      </c>
      <c r="B1781" s="1">
        <v>46067</v>
      </c>
      <c r="C1781" t="s">
        <v>121</v>
      </c>
      <c r="D1781" t="s">
        <v>151</v>
      </c>
      <c r="E1781" t="s">
        <v>42</v>
      </c>
      <c r="F1781" t="s">
        <v>74</v>
      </c>
      <c r="G1781" t="s">
        <v>75</v>
      </c>
      <c r="H1781" t="s">
        <v>76</v>
      </c>
      <c r="I1781" t="s">
        <v>56</v>
      </c>
      <c r="J1781" t="s">
        <v>97</v>
      </c>
      <c r="K1781" t="s">
        <v>78</v>
      </c>
      <c r="L1781" t="s">
        <v>33</v>
      </c>
      <c r="M1781" t="s">
        <v>34</v>
      </c>
      <c r="N1781" t="s">
        <v>35</v>
      </c>
      <c r="O1781" t="s">
        <v>36</v>
      </c>
      <c r="P1781" t="s">
        <v>71</v>
      </c>
      <c r="Q1781" t="s">
        <v>167</v>
      </c>
      <c r="R1781">
        <v>175</v>
      </c>
      <c r="S1781">
        <v>87</v>
      </c>
      <c r="T1781">
        <v>65</v>
      </c>
      <c r="U1781">
        <v>22</v>
      </c>
      <c r="V1781" t="s">
        <v>6739</v>
      </c>
      <c r="W1781">
        <v>44746</v>
      </c>
      <c r="X1781" t="s">
        <v>7339</v>
      </c>
      <c r="Y1781">
        <v>36414</v>
      </c>
      <c r="Z1781">
        <v>984412</v>
      </c>
      <c r="AA1781">
        <v>183304</v>
      </c>
      <c r="AB1781" t="str">
        <f>(VLOOKUP(SalesData[[#This Row],[Month Number]],Reference!C$5:E$16,2,FALSE))</f>
        <v>Feb</v>
      </c>
      <c r="AC1781">
        <f>MONTH(SalesData[[#This Row],[Date]])</f>
        <v>2</v>
      </c>
      <c r="AD1781">
        <f>Reference!F$4</f>
        <v>2026</v>
      </c>
      <c r="AE1781" t="str">
        <f>IF(OR(SalesData[[#This Row],[Day]]="Saturday",SalesData[[#This Row],[Day]]="Sunday"),"Weekend","Weekday")</f>
        <v>Weekend</v>
      </c>
      <c r="AF1781" s="5">
        <f>IF(SalesData[[#This Row],[Contracts Offered]]=0,0,SalesData[[#This Row],[Contracts Signed]]/SalesData[[#This Row],[Contracts Offered]])</f>
        <v>0.33846153846153848</v>
      </c>
      <c r="AG1781" s="5">
        <f>IF(SalesData[[#This Row],[Customers Visited]]=0,0,SalesData[[#This Row],[Test Drives]]/SalesData[[#This Row],[Customers Visited]])</f>
        <v>0.49714285714285716</v>
      </c>
      <c r="AH1781" s="5">
        <f>IF(SalesData[[#This Row],[Customers Visited]]=0,0,SalesData[[#This Row],[Contracts Signed]]/SalesData[[#This Row],[Customers Visited]])</f>
        <v>0.12571428571428572</v>
      </c>
      <c r="AI1781" s="6">
        <f>IF(SalesData[[#This Row],[Contracts Signed]]=0,0,SalesData[[#This Row],[Profit(€)]]/SalesData[[#This Row],[Contracts Signed]])</f>
        <v>8332</v>
      </c>
      <c r="AJ1781" s="5" t="str">
        <f>TRIM(CLEAN(SalesData[[#This Row],[Retailer]]))</f>
        <v>Stuttgart Auto Center</v>
      </c>
    </row>
    <row r="1782" spans="1:36" ht="14.25" hidden="1" x14ac:dyDescent="0.2">
      <c r="A1782" t="s">
        <v>2736</v>
      </c>
      <c r="B1782" s="1">
        <v>46076</v>
      </c>
      <c r="C1782" t="s">
        <v>53</v>
      </c>
      <c r="D1782" t="s">
        <v>25</v>
      </c>
      <c r="E1782" t="s">
        <v>26</v>
      </c>
      <c r="F1782" t="s">
        <v>74</v>
      </c>
      <c r="G1782" t="s">
        <v>75</v>
      </c>
      <c r="H1782" t="s">
        <v>76</v>
      </c>
      <c r="I1782" t="s">
        <v>104</v>
      </c>
      <c r="J1782" t="s">
        <v>7061</v>
      </c>
      <c r="K1782" t="s">
        <v>78</v>
      </c>
      <c r="L1782" t="s">
        <v>46</v>
      </c>
      <c r="M1782" t="s">
        <v>87</v>
      </c>
      <c r="N1782" t="s">
        <v>48</v>
      </c>
      <c r="O1782" t="s">
        <v>36</v>
      </c>
      <c r="P1782" t="s">
        <v>49</v>
      </c>
      <c r="Q1782" t="s">
        <v>79</v>
      </c>
      <c r="R1782">
        <v>468</v>
      </c>
      <c r="S1782">
        <v>269</v>
      </c>
      <c r="T1782">
        <v>193</v>
      </c>
      <c r="U1782">
        <v>36</v>
      </c>
      <c r="V1782" t="s">
        <v>1776</v>
      </c>
      <c r="W1782">
        <v>34341</v>
      </c>
      <c r="X1782" t="s">
        <v>1120</v>
      </c>
      <c r="Y1782">
        <v>30622</v>
      </c>
      <c r="Z1782">
        <v>1236276</v>
      </c>
      <c r="AA1782">
        <v>133884</v>
      </c>
      <c r="AB1782" t="str">
        <f>(VLOOKUP(SalesData[[#This Row],[Month Number]],Reference!C$5:E$16,2,FALSE))</f>
        <v>Feb</v>
      </c>
      <c r="AC1782">
        <f>MONTH(SalesData[[#This Row],[Date]])</f>
        <v>2</v>
      </c>
      <c r="AD1782">
        <f>Reference!F$4</f>
        <v>2026</v>
      </c>
      <c r="AE1782" t="str">
        <f>IF(OR(SalesData[[#This Row],[Day]]="Saturday",SalesData[[#This Row],[Day]]="Sunday"),"Weekend","Weekday")</f>
        <v>Weekday</v>
      </c>
      <c r="AF1782" s="5">
        <f>IF(SalesData[[#This Row],[Contracts Offered]]=0,0,SalesData[[#This Row],[Contracts Signed]]/SalesData[[#This Row],[Contracts Offered]])</f>
        <v>0.18652849740932642</v>
      </c>
      <c r="AG1782" s="5">
        <f>IF(SalesData[[#This Row],[Customers Visited]]=0,0,SalesData[[#This Row],[Test Drives]]/SalesData[[#This Row],[Customers Visited]])</f>
        <v>0.57478632478632474</v>
      </c>
      <c r="AH1782" s="5">
        <f>IF(SalesData[[#This Row],[Customers Visited]]=0,0,SalesData[[#This Row],[Contracts Signed]]/SalesData[[#This Row],[Customers Visited]])</f>
        <v>7.6923076923076927E-2</v>
      </c>
      <c r="AI1782" s="6">
        <f>IF(SalesData[[#This Row],[Contracts Signed]]=0,0,SalesData[[#This Row],[Profit(€)]]/SalesData[[#This Row],[Contracts Signed]])</f>
        <v>3719</v>
      </c>
      <c r="AJ1782" s="5" t="str">
        <f>TRIM(CLEAN(SalesData[[#This Row],[Retailer]]))</f>
        <v>Stuttgart Auto Center</v>
      </c>
    </row>
    <row r="1783" spans="1:36" ht="14.25" hidden="1" x14ac:dyDescent="0.2">
      <c r="A1783" t="s">
        <v>2737</v>
      </c>
      <c r="B1783" s="1">
        <v>46059</v>
      </c>
      <c r="C1783" t="s">
        <v>24</v>
      </c>
      <c r="D1783" t="s">
        <v>54</v>
      </c>
      <c r="E1783" t="s">
        <v>26</v>
      </c>
      <c r="F1783" t="s">
        <v>109</v>
      </c>
      <c r="G1783" t="s">
        <v>110</v>
      </c>
      <c r="H1783" t="s">
        <v>45</v>
      </c>
      <c r="I1783" t="s">
        <v>116</v>
      </c>
      <c r="J1783" t="s">
        <v>132</v>
      </c>
      <c r="K1783" t="s">
        <v>91</v>
      </c>
      <c r="L1783" t="s">
        <v>46</v>
      </c>
      <c r="M1783" t="s">
        <v>87</v>
      </c>
      <c r="N1783" t="s">
        <v>35</v>
      </c>
      <c r="O1783" t="s">
        <v>36</v>
      </c>
      <c r="P1783" t="s">
        <v>37</v>
      </c>
      <c r="Q1783" t="s">
        <v>129</v>
      </c>
      <c r="R1783">
        <v>236</v>
      </c>
      <c r="S1783">
        <v>109</v>
      </c>
      <c r="T1783">
        <v>65</v>
      </c>
      <c r="U1783">
        <v>16</v>
      </c>
      <c r="V1783" t="s">
        <v>3513</v>
      </c>
      <c r="W1783">
        <v>22821</v>
      </c>
      <c r="X1783" t="s">
        <v>2604</v>
      </c>
      <c r="Y1783">
        <v>20341</v>
      </c>
      <c r="Z1783">
        <v>365136</v>
      </c>
      <c r="AA1783">
        <v>39680</v>
      </c>
      <c r="AB1783" t="str">
        <f>(VLOOKUP(SalesData[[#This Row],[Month Number]],Reference!C$5:E$16,2,FALSE))</f>
        <v>Feb</v>
      </c>
      <c r="AC1783">
        <f>MONTH(SalesData[[#This Row],[Date]])</f>
        <v>2</v>
      </c>
      <c r="AD1783">
        <f>Reference!F$4</f>
        <v>2026</v>
      </c>
      <c r="AE1783" t="str">
        <f>IF(OR(SalesData[[#This Row],[Day]]="Saturday",SalesData[[#This Row],[Day]]="Sunday"),"Weekend","Weekday")</f>
        <v>Weekday</v>
      </c>
      <c r="AF1783" s="5">
        <f>IF(SalesData[[#This Row],[Contracts Offered]]=0,0,SalesData[[#This Row],[Contracts Signed]]/SalesData[[#This Row],[Contracts Offered]])</f>
        <v>0.24615384615384617</v>
      </c>
      <c r="AG1783" s="5">
        <f>IF(SalesData[[#This Row],[Customers Visited]]=0,0,SalesData[[#This Row],[Test Drives]]/SalesData[[#This Row],[Customers Visited]])</f>
        <v>0.46186440677966101</v>
      </c>
      <c r="AH1783" s="5">
        <f>IF(SalesData[[#This Row],[Customers Visited]]=0,0,SalesData[[#This Row],[Contracts Signed]]/SalesData[[#This Row],[Customers Visited]])</f>
        <v>6.7796610169491525E-2</v>
      </c>
      <c r="AI1783" s="6">
        <f>IF(SalesData[[#This Row],[Contracts Signed]]=0,0,SalesData[[#This Row],[Profit(€)]]/SalesData[[#This Row],[Contracts Signed]])</f>
        <v>2480</v>
      </c>
      <c r="AJ1783" s="5" t="str">
        <f>TRIM(CLEAN(SalesData[[#This Row],[Retailer]]))</f>
        <v>Leipzig Mobility</v>
      </c>
    </row>
    <row r="1784" spans="1:36" ht="14.25" hidden="1" x14ac:dyDescent="0.2">
      <c r="A1784" t="s">
        <v>2738</v>
      </c>
      <c r="B1784" s="1">
        <v>46074</v>
      </c>
      <c r="C1784" t="s">
        <v>62</v>
      </c>
      <c r="D1784" t="s">
        <v>151</v>
      </c>
      <c r="E1784" t="s">
        <v>42</v>
      </c>
      <c r="F1784" t="s">
        <v>7649</v>
      </c>
      <c r="G1784" t="s">
        <v>55</v>
      </c>
      <c r="H1784" t="s">
        <v>55</v>
      </c>
      <c r="I1784" t="s">
        <v>116</v>
      </c>
      <c r="J1784" t="s">
        <v>203</v>
      </c>
      <c r="K1784" t="s">
        <v>66</v>
      </c>
      <c r="L1784" t="s">
        <v>67</v>
      </c>
      <c r="M1784" t="s">
        <v>68</v>
      </c>
      <c r="N1784" t="s">
        <v>48</v>
      </c>
      <c r="O1784" t="s">
        <v>36</v>
      </c>
      <c r="P1784" t="s">
        <v>37</v>
      </c>
      <c r="Q1784" t="s">
        <v>88</v>
      </c>
      <c r="R1784">
        <v>226</v>
      </c>
      <c r="S1784">
        <v>117</v>
      </c>
      <c r="T1784">
        <v>73</v>
      </c>
      <c r="U1784">
        <v>17</v>
      </c>
      <c r="V1784" t="s">
        <v>180</v>
      </c>
      <c r="W1784">
        <v>20662</v>
      </c>
      <c r="X1784" t="s">
        <v>329</v>
      </c>
      <c r="Y1784">
        <v>18749</v>
      </c>
      <c r="Z1784">
        <v>351254</v>
      </c>
      <c r="AA1784">
        <v>32521</v>
      </c>
      <c r="AB1784" t="str">
        <f>(VLOOKUP(SalesData[[#This Row],[Month Number]],Reference!C$5:E$16,2,FALSE))</f>
        <v>Feb</v>
      </c>
      <c r="AC1784">
        <f>MONTH(SalesData[[#This Row],[Date]])</f>
        <v>2</v>
      </c>
      <c r="AD1784">
        <f>Reference!F$4</f>
        <v>2026</v>
      </c>
      <c r="AE1784" t="str">
        <f>IF(OR(SalesData[[#This Row],[Day]]="Saturday",SalesData[[#This Row],[Day]]="Sunday"),"Weekend","Weekday")</f>
        <v>Weekend</v>
      </c>
      <c r="AF1784" s="5">
        <f>IF(SalesData[[#This Row],[Contracts Offered]]=0,0,SalesData[[#This Row],[Contracts Signed]]/SalesData[[#This Row],[Contracts Offered]])</f>
        <v>0.23287671232876711</v>
      </c>
      <c r="AG1784" s="5">
        <f>IF(SalesData[[#This Row],[Customers Visited]]=0,0,SalesData[[#This Row],[Test Drives]]/SalesData[[#This Row],[Customers Visited]])</f>
        <v>0.51769911504424782</v>
      </c>
      <c r="AH1784" s="5">
        <f>IF(SalesData[[#This Row],[Customers Visited]]=0,0,SalesData[[#This Row],[Contracts Signed]]/SalesData[[#This Row],[Customers Visited]])</f>
        <v>7.5221238938053103E-2</v>
      </c>
      <c r="AI1784" s="6">
        <f>IF(SalesData[[#This Row],[Contracts Signed]]=0,0,SalesData[[#This Row],[Profit(€)]]/SalesData[[#This Row],[Contracts Signed]])</f>
        <v>1913</v>
      </c>
      <c r="AJ1784" s="5" t="str">
        <f>TRIM(CLEAN(SalesData[[#This Row],[Retailer]]))</f>
        <v>Autohaus Berlin</v>
      </c>
    </row>
    <row r="1785" spans="1:36" ht="14.25" hidden="1" x14ac:dyDescent="0.2">
      <c r="A1785" t="s">
        <v>2740</v>
      </c>
      <c r="B1785" s="1">
        <v>46068</v>
      </c>
      <c r="C1785" t="s">
        <v>62</v>
      </c>
      <c r="D1785" t="s">
        <v>41</v>
      </c>
      <c r="E1785" t="s">
        <v>42</v>
      </c>
      <c r="F1785" t="s">
        <v>101</v>
      </c>
      <c r="G1785" t="s">
        <v>102</v>
      </c>
      <c r="H1785" t="s">
        <v>103</v>
      </c>
      <c r="I1785" t="s">
        <v>64</v>
      </c>
      <c r="J1785" t="s">
        <v>111</v>
      </c>
      <c r="K1785" t="s">
        <v>66</v>
      </c>
      <c r="L1785" t="s">
        <v>46</v>
      </c>
      <c r="M1785" t="s">
        <v>87</v>
      </c>
      <c r="N1785" t="s">
        <v>69</v>
      </c>
      <c r="O1785" t="s">
        <v>70</v>
      </c>
      <c r="P1785" t="s">
        <v>37</v>
      </c>
      <c r="Q1785" t="s">
        <v>144</v>
      </c>
      <c r="R1785">
        <v>227</v>
      </c>
      <c r="S1785">
        <v>130</v>
      </c>
      <c r="T1785">
        <v>103</v>
      </c>
      <c r="U1785">
        <v>31</v>
      </c>
      <c r="V1785" t="s">
        <v>6785</v>
      </c>
      <c r="W1785">
        <v>57779</v>
      </c>
      <c r="X1785" t="s">
        <v>7436</v>
      </c>
      <c r="Y1785">
        <v>42799</v>
      </c>
      <c r="Z1785">
        <v>1791149</v>
      </c>
      <c r="AA1785">
        <v>464380</v>
      </c>
      <c r="AB1785" t="str">
        <f>(VLOOKUP(SalesData[[#This Row],[Month Number]],Reference!C$5:E$16,2,FALSE))</f>
        <v>Feb</v>
      </c>
      <c r="AC1785">
        <f>MONTH(SalesData[[#This Row],[Date]])</f>
        <v>2</v>
      </c>
      <c r="AD1785">
        <f>Reference!F$4</f>
        <v>2026</v>
      </c>
      <c r="AE1785" t="str">
        <f>IF(OR(SalesData[[#This Row],[Day]]="Saturday",SalesData[[#This Row],[Day]]="Sunday"),"Weekend","Weekday")</f>
        <v>Weekend</v>
      </c>
      <c r="AF1785" s="5">
        <f>IF(SalesData[[#This Row],[Contracts Offered]]=0,0,SalesData[[#This Row],[Contracts Signed]]/SalesData[[#This Row],[Contracts Offered]])</f>
        <v>0.30097087378640774</v>
      </c>
      <c r="AG1785" s="5">
        <f>IF(SalesData[[#This Row],[Customers Visited]]=0,0,SalesData[[#This Row],[Test Drives]]/SalesData[[#This Row],[Customers Visited]])</f>
        <v>0.57268722466960353</v>
      </c>
      <c r="AH1785" s="5">
        <f>IF(SalesData[[#This Row],[Customers Visited]]=0,0,SalesData[[#This Row],[Contracts Signed]]/SalesData[[#This Row],[Customers Visited]])</f>
        <v>0.13656387665198239</v>
      </c>
      <c r="AI1785" s="6">
        <f>IF(SalesData[[#This Row],[Contracts Signed]]=0,0,SalesData[[#This Row],[Profit(€)]]/SalesData[[#This Row],[Contracts Signed]])</f>
        <v>14980</v>
      </c>
      <c r="AJ1785" s="5" t="str">
        <f>TRIM(CLEAN(SalesData[[#This Row],[Retailer]]))</f>
        <v>Ruhr Auto Plaza</v>
      </c>
    </row>
    <row r="1786" spans="1:36" ht="14.25" hidden="1" x14ac:dyDescent="0.2">
      <c r="A1786" t="s">
        <v>2742</v>
      </c>
      <c r="B1786" s="1">
        <v>46055</v>
      </c>
      <c r="C1786" t="s">
        <v>24</v>
      </c>
      <c r="D1786" t="s">
        <v>25</v>
      </c>
      <c r="E1786" t="s">
        <v>26</v>
      </c>
      <c r="F1786" t="s">
        <v>43</v>
      </c>
      <c r="G1786" t="s">
        <v>44</v>
      </c>
      <c r="H1786" t="s">
        <v>45</v>
      </c>
      <c r="I1786" t="s">
        <v>116</v>
      </c>
      <c r="J1786" t="s">
        <v>7026</v>
      </c>
      <c r="K1786" t="s">
        <v>32</v>
      </c>
      <c r="L1786" t="s">
        <v>46</v>
      </c>
      <c r="M1786" t="s">
        <v>47</v>
      </c>
      <c r="N1786" t="s">
        <v>69</v>
      </c>
      <c r="O1786" t="s">
        <v>36</v>
      </c>
      <c r="P1786" t="s">
        <v>58</v>
      </c>
      <c r="Q1786" t="s">
        <v>135</v>
      </c>
      <c r="R1786">
        <v>295</v>
      </c>
      <c r="S1786">
        <v>116</v>
      </c>
      <c r="T1786">
        <v>76</v>
      </c>
      <c r="U1786">
        <v>24</v>
      </c>
      <c r="V1786" t="s">
        <v>6818</v>
      </c>
      <c r="W1786">
        <v>22450</v>
      </c>
      <c r="X1786" t="s">
        <v>1056</v>
      </c>
      <c r="Y1786">
        <v>20809</v>
      </c>
      <c r="Z1786">
        <v>538800</v>
      </c>
      <c r="AA1786">
        <v>39384</v>
      </c>
      <c r="AB1786" t="str">
        <f>(VLOOKUP(SalesData[[#This Row],[Month Number]],Reference!C$5:E$16,2,FALSE))</f>
        <v>Feb</v>
      </c>
      <c r="AC1786">
        <f>MONTH(SalesData[[#This Row],[Date]])</f>
        <v>2</v>
      </c>
      <c r="AD1786">
        <f>Reference!F$4</f>
        <v>2026</v>
      </c>
      <c r="AE1786" t="str">
        <f>IF(OR(SalesData[[#This Row],[Day]]="Saturday",SalesData[[#This Row],[Day]]="Sunday"),"Weekend","Weekday")</f>
        <v>Weekday</v>
      </c>
      <c r="AF1786" s="5">
        <f>IF(SalesData[[#This Row],[Contracts Offered]]=0,0,SalesData[[#This Row],[Contracts Signed]]/SalesData[[#This Row],[Contracts Offered]])</f>
        <v>0.31578947368421051</v>
      </c>
      <c r="AG1786" s="5">
        <f>IF(SalesData[[#This Row],[Customers Visited]]=0,0,SalesData[[#This Row],[Test Drives]]/SalesData[[#This Row],[Customers Visited]])</f>
        <v>0.39322033898305087</v>
      </c>
      <c r="AH1786" s="5">
        <f>IF(SalesData[[#This Row],[Customers Visited]]=0,0,SalesData[[#This Row],[Contracts Signed]]/SalesData[[#This Row],[Customers Visited]])</f>
        <v>8.1355932203389825E-2</v>
      </c>
      <c r="AI1786" s="6">
        <f>IF(SalesData[[#This Row],[Contracts Signed]]=0,0,SalesData[[#This Row],[Profit(€)]]/SalesData[[#This Row],[Contracts Signed]])</f>
        <v>1641</v>
      </c>
      <c r="AJ1786" s="5" t="str">
        <f>TRIM(CLEAN(SalesData[[#This Row],[Retailer]]))</f>
        <v>Saxon Wheels</v>
      </c>
    </row>
    <row r="1787" spans="1:36" ht="14.25" hidden="1" x14ac:dyDescent="0.2">
      <c r="A1787" t="s">
        <v>2743</v>
      </c>
      <c r="B1787" s="1">
        <v>46063</v>
      </c>
      <c r="C1787" t="s">
        <v>121</v>
      </c>
      <c r="D1787" t="s">
        <v>63</v>
      </c>
      <c r="E1787" t="s">
        <v>26</v>
      </c>
      <c r="F1787" t="s">
        <v>27</v>
      </c>
      <c r="G1787" t="s">
        <v>28</v>
      </c>
      <c r="H1787" t="s">
        <v>29</v>
      </c>
      <c r="I1787" t="s">
        <v>104</v>
      </c>
      <c r="J1787" t="s">
        <v>105</v>
      </c>
      <c r="K1787" t="s">
        <v>32</v>
      </c>
      <c r="L1787" t="s">
        <v>33</v>
      </c>
      <c r="M1787" t="s">
        <v>47</v>
      </c>
      <c r="N1787" t="s">
        <v>69</v>
      </c>
      <c r="O1787" t="s">
        <v>70</v>
      </c>
      <c r="P1787" t="s">
        <v>58</v>
      </c>
      <c r="Q1787" t="s">
        <v>189</v>
      </c>
      <c r="R1787">
        <v>438</v>
      </c>
      <c r="S1787">
        <v>192</v>
      </c>
      <c r="T1787">
        <v>133</v>
      </c>
      <c r="U1787">
        <v>39</v>
      </c>
      <c r="V1787" t="s">
        <v>6854</v>
      </c>
      <c r="W1787">
        <v>26763</v>
      </c>
      <c r="X1787" t="s">
        <v>561</v>
      </c>
      <c r="Y1787">
        <v>23697</v>
      </c>
      <c r="Z1787">
        <v>1043757</v>
      </c>
      <c r="AA1787">
        <v>119574</v>
      </c>
      <c r="AB1787" t="str">
        <f>(VLOOKUP(SalesData[[#This Row],[Month Number]],Reference!C$5:E$16,2,FALSE))</f>
        <v>Feb</v>
      </c>
      <c r="AC1787">
        <f>MONTH(SalesData[[#This Row],[Date]])</f>
        <v>2</v>
      </c>
      <c r="AD1787">
        <f>Reference!F$4</f>
        <v>2026</v>
      </c>
      <c r="AE1787" t="str">
        <f>IF(OR(SalesData[[#This Row],[Day]]="Saturday",SalesData[[#This Row],[Day]]="Sunday"),"Weekend","Weekday")</f>
        <v>Weekday</v>
      </c>
      <c r="AF1787" s="5">
        <f>IF(SalesData[[#This Row],[Contracts Offered]]=0,0,SalesData[[#This Row],[Contracts Signed]]/SalesData[[#This Row],[Contracts Offered]])</f>
        <v>0.2932330827067669</v>
      </c>
      <c r="AG1787" s="5">
        <f>IF(SalesData[[#This Row],[Customers Visited]]=0,0,SalesData[[#This Row],[Test Drives]]/SalesData[[#This Row],[Customers Visited]])</f>
        <v>0.43835616438356162</v>
      </c>
      <c r="AH1787" s="5">
        <f>IF(SalesData[[#This Row],[Customers Visited]]=0,0,SalesData[[#This Row],[Contracts Signed]]/SalesData[[#This Row],[Customers Visited]])</f>
        <v>8.9041095890410954E-2</v>
      </c>
      <c r="AI1787" s="6">
        <f>IF(SalesData[[#This Row],[Contracts Signed]]=0,0,SalesData[[#This Row],[Profit(€)]]/SalesData[[#This Row],[Contracts Signed]])</f>
        <v>3066</v>
      </c>
      <c r="AJ1787" s="5" t="str">
        <f>TRIM(CLEAN(SalesData[[#This Row],[Retailer]]))</f>
        <v>Main Auto Hub</v>
      </c>
    </row>
    <row r="1788" spans="1:36" ht="14.25" hidden="1" x14ac:dyDescent="0.2">
      <c r="A1788" t="s">
        <v>2744</v>
      </c>
      <c r="B1788" s="1">
        <v>46060</v>
      </c>
      <c r="C1788" t="s">
        <v>24</v>
      </c>
      <c r="D1788" t="s">
        <v>151</v>
      </c>
      <c r="E1788" t="s">
        <v>42</v>
      </c>
      <c r="F1788" t="s">
        <v>83</v>
      </c>
      <c r="G1788" t="s">
        <v>84</v>
      </c>
      <c r="H1788" t="s">
        <v>85</v>
      </c>
      <c r="I1788" t="s">
        <v>116</v>
      </c>
      <c r="J1788" t="s">
        <v>203</v>
      </c>
      <c r="K1788" t="s">
        <v>32</v>
      </c>
      <c r="L1788" t="s">
        <v>67</v>
      </c>
      <c r="M1788" t="s">
        <v>47</v>
      </c>
      <c r="N1788" t="s">
        <v>48</v>
      </c>
      <c r="O1788" t="s">
        <v>70</v>
      </c>
      <c r="P1788" t="s">
        <v>71</v>
      </c>
      <c r="Q1788" t="s">
        <v>144</v>
      </c>
      <c r="R1788">
        <v>247</v>
      </c>
      <c r="S1788">
        <v>99</v>
      </c>
      <c r="T1788">
        <v>67</v>
      </c>
      <c r="U1788">
        <v>14</v>
      </c>
      <c r="V1788" t="s">
        <v>1787</v>
      </c>
      <c r="W1788">
        <v>22462</v>
      </c>
      <c r="X1788" t="s">
        <v>2242</v>
      </c>
      <c r="Y1788">
        <v>20138</v>
      </c>
      <c r="Z1788">
        <v>314468</v>
      </c>
      <c r="AA1788">
        <v>32536</v>
      </c>
      <c r="AB1788" t="str">
        <f>(VLOOKUP(SalesData[[#This Row],[Month Number]],Reference!C$5:E$16,2,FALSE))</f>
        <v>Feb</v>
      </c>
      <c r="AC1788">
        <f>MONTH(SalesData[[#This Row],[Date]])</f>
        <v>2</v>
      </c>
      <c r="AD1788">
        <f>Reference!F$4</f>
        <v>2026</v>
      </c>
      <c r="AE1788" t="str">
        <f>IF(OR(SalesData[[#This Row],[Day]]="Saturday",SalesData[[#This Row],[Day]]="Sunday"),"Weekend","Weekday")</f>
        <v>Weekend</v>
      </c>
      <c r="AF1788" s="5">
        <f>IF(SalesData[[#This Row],[Contracts Offered]]=0,0,SalesData[[#This Row],[Contracts Signed]]/SalesData[[#This Row],[Contracts Offered]])</f>
        <v>0.20895522388059701</v>
      </c>
      <c r="AG1788" s="5">
        <f>IF(SalesData[[#This Row],[Customers Visited]]=0,0,SalesData[[#This Row],[Test Drives]]/SalesData[[#This Row],[Customers Visited]])</f>
        <v>0.40080971659919029</v>
      </c>
      <c r="AH1788" s="5">
        <f>IF(SalesData[[#This Row],[Customers Visited]]=0,0,SalesData[[#This Row],[Contracts Signed]]/SalesData[[#This Row],[Customers Visited]])</f>
        <v>5.6680161943319839E-2</v>
      </c>
      <c r="AI1788" s="6">
        <f>IF(SalesData[[#This Row],[Contracts Signed]]=0,0,SalesData[[#This Row],[Profit(€)]]/SalesData[[#This Row],[Contracts Signed]])</f>
        <v>2324</v>
      </c>
      <c r="AJ1788" s="5" t="str">
        <f>TRIM(CLEAN(SalesData[[#This Row],[Retailer]]))</f>
        <v>Hannover Cars</v>
      </c>
    </row>
    <row r="1789" spans="1:36" ht="14.25" hidden="1" x14ac:dyDescent="0.2">
      <c r="A1789" t="s">
        <v>2745</v>
      </c>
      <c r="B1789" s="1">
        <v>46074</v>
      </c>
      <c r="C1789" t="s">
        <v>62</v>
      </c>
      <c r="D1789" t="s">
        <v>151</v>
      </c>
      <c r="E1789" t="s">
        <v>42</v>
      </c>
      <c r="F1789" t="s">
        <v>7649</v>
      </c>
      <c r="G1789" t="s">
        <v>55</v>
      </c>
      <c r="H1789" t="s">
        <v>55</v>
      </c>
      <c r="I1789" t="s">
        <v>116</v>
      </c>
      <c r="J1789" t="s">
        <v>7090</v>
      </c>
      <c r="K1789" t="s">
        <v>32</v>
      </c>
      <c r="L1789" t="s">
        <v>46</v>
      </c>
      <c r="M1789" t="s">
        <v>47</v>
      </c>
      <c r="N1789" t="s">
        <v>69</v>
      </c>
      <c r="O1789" t="s">
        <v>70</v>
      </c>
      <c r="P1789" t="s">
        <v>49</v>
      </c>
      <c r="Q1789" t="s">
        <v>38</v>
      </c>
      <c r="R1789">
        <v>348</v>
      </c>
      <c r="S1789">
        <v>146</v>
      </c>
      <c r="T1789">
        <v>88</v>
      </c>
      <c r="U1789">
        <v>22</v>
      </c>
      <c r="V1789" t="s">
        <v>1004</v>
      </c>
      <c r="W1789">
        <v>23266</v>
      </c>
      <c r="X1789" t="s">
        <v>1211</v>
      </c>
      <c r="Y1789">
        <v>21060</v>
      </c>
      <c r="Z1789">
        <v>511852</v>
      </c>
      <c r="AA1789">
        <v>48532</v>
      </c>
      <c r="AB1789" t="str">
        <f>(VLOOKUP(SalesData[[#This Row],[Month Number]],Reference!C$5:E$16,2,FALSE))</f>
        <v>Feb</v>
      </c>
      <c r="AC1789">
        <f>MONTH(SalesData[[#This Row],[Date]])</f>
        <v>2</v>
      </c>
      <c r="AD1789">
        <f>Reference!F$4</f>
        <v>2026</v>
      </c>
      <c r="AE1789" t="str">
        <f>IF(OR(SalesData[[#This Row],[Day]]="Saturday",SalesData[[#This Row],[Day]]="Sunday"),"Weekend","Weekday")</f>
        <v>Weekend</v>
      </c>
      <c r="AF1789" s="5">
        <f>IF(SalesData[[#This Row],[Contracts Offered]]=0,0,SalesData[[#This Row],[Contracts Signed]]/SalesData[[#This Row],[Contracts Offered]])</f>
        <v>0.25</v>
      </c>
      <c r="AG1789" s="5">
        <f>IF(SalesData[[#This Row],[Customers Visited]]=0,0,SalesData[[#This Row],[Test Drives]]/SalesData[[#This Row],[Customers Visited]])</f>
        <v>0.41954022988505746</v>
      </c>
      <c r="AH1789" s="5">
        <f>IF(SalesData[[#This Row],[Customers Visited]]=0,0,SalesData[[#This Row],[Contracts Signed]]/SalesData[[#This Row],[Customers Visited]])</f>
        <v>6.3218390804597707E-2</v>
      </c>
      <c r="AI1789" s="6">
        <f>IF(SalesData[[#This Row],[Contracts Signed]]=0,0,SalesData[[#This Row],[Profit(€)]]/SalesData[[#This Row],[Contracts Signed]])</f>
        <v>2206</v>
      </c>
      <c r="AJ1789" s="5" t="str">
        <f>TRIM(CLEAN(SalesData[[#This Row],[Retailer]]))</f>
        <v>Autohaus Berlin</v>
      </c>
    </row>
    <row r="1790" spans="1:36" ht="14.25" hidden="1" x14ac:dyDescent="0.2">
      <c r="A1790" t="s">
        <v>2746</v>
      </c>
      <c r="B1790" s="1">
        <v>46070</v>
      </c>
      <c r="C1790" t="s">
        <v>62</v>
      </c>
      <c r="D1790" t="s">
        <v>63</v>
      </c>
      <c r="E1790" t="s">
        <v>26</v>
      </c>
      <c r="F1790" t="s">
        <v>114</v>
      </c>
      <c r="G1790" t="s">
        <v>115</v>
      </c>
      <c r="H1790" t="s">
        <v>115</v>
      </c>
      <c r="I1790" t="s">
        <v>56</v>
      </c>
      <c r="J1790" t="s">
        <v>57</v>
      </c>
      <c r="K1790" t="s">
        <v>91</v>
      </c>
      <c r="L1790" t="s">
        <v>46</v>
      </c>
      <c r="M1790" t="s">
        <v>47</v>
      </c>
      <c r="N1790" t="s">
        <v>35</v>
      </c>
      <c r="O1790" t="s">
        <v>70</v>
      </c>
      <c r="P1790" t="s">
        <v>71</v>
      </c>
      <c r="Q1790" t="s">
        <v>106</v>
      </c>
      <c r="R1790">
        <v>278</v>
      </c>
      <c r="S1790">
        <v>155</v>
      </c>
      <c r="T1790">
        <v>118</v>
      </c>
      <c r="U1790">
        <v>39</v>
      </c>
      <c r="V1790" t="s">
        <v>6890</v>
      </c>
      <c r="W1790">
        <v>47102</v>
      </c>
      <c r="X1790" t="s">
        <v>7126</v>
      </c>
      <c r="Y1790">
        <v>36162</v>
      </c>
      <c r="Z1790">
        <v>1836978</v>
      </c>
      <c r="AA1790">
        <v>426660</v>
      </c>
      <c r="AB1790" t="str">
        <f>(VLOOKUP(SalesData[[#This Row],[Month Number]],Reference!C$5:E$16,2,FALSE))</f>
        <v>Feb</v>
      </c>
      <c r="AC1790">
        <f>MONTH(SalesData[[#This Row],[Date]])</f>
        <v>2</v>
      </c>
      <c r="AD1790">
        <f>Reference!F$4</f>
        <v>2026</v>
      </c>
      <c r="AE1790" t="str">
        <f>IF(OR(SalesData[[#This Row],[Day]]="Saturday",SalesData[[#This Row],[Day]]="Sunday"),"Weekend","Weekday")</f>
        <v>Weekday</v>
      </c>
      <c r="AF1790" s="5">
        <f>IF(SalesData[[#This Row],[Contracts Offered]]=0,0,SalesData[[#This Row],[Contracts Signed]]/SalesData[[#This Row],[Contracts Offered]])</f>
        <v>0.33050847457627119</v>
      </c>
      <c r="AG1790" s="5">
        <f>IF(SalesData[[#This Row],[Customers Visited]]=0,0,SalesData[[#This Row],[Test Drives]]/SalesData[[#This Row],[Customers Visited]])</f>
        <v>0.55755395683453235</v>
      </c>
      <c r="AH1790" s="5">
        <f>IF(SalesData[[#This Row],[Customers Visited]]=0,0,SalesData[[#This Row],[Contracts Signed]]/SalesData[[#This Row],[Customers Visited]])</f>
        <v>0.14028776978417265</v>
      </c>
      <c r="AI1790" s="6">
        <f>IF(SalesData[[#This Row],[Contracts Signed]]=0,0,SalesData[[#This Row],[Profit(€)]]/SalesData[[#This Row],[Contracts Signed]])</f>
        <v>10940</v>
      </c>
      <c r="AJ1790" s="5" t="str">
        <f>TRIM(CLEAN(SalesData[[#This Row],[Retailer]]))</f>
        <v>Elbe Drive</v>
      </c>
    </row>
    <row r="1791" spans="1:36" ht="14.25" x14ac:dyDescent="0.2">
      <c r="A1791" t="s">
        <v>2747</v>
      </c>
      <c r="B1791" s="1">
        <v>46065</v>
      </c>
      <c r="C1791" t="s">
        <v>121</v>
      </c>
      <c r="D1791" t="s">
        <v>100</v>
      </c>
      <c r="E1791" t="s">
        <v>26</v>
      </c>
      <c r="F1791" t="s">
        <v>74</v>
      </c>
      <c r="G1791" t="s">
        <v>75</v>
      </c>
      <c r="H1791" t="s">
        <v>76</v>
      </c>
      <c r="I1791" t="s">
        <v>30</v>
      </c>
      <c r="J1791" t="s">
        <v>31</v>
      </c>
      <c r="K1791" t="s">
        <v>78</v>
      </c>
      <c r="L1791" t="s">
        <v>46</v>
      </c>
      <c r="M1791" t="s">
        <v>47</v>
      </c>
      <c r="N1791" t="s">
        <v>35</v>
      </c>
      <c r="O1791" t="s">
        <v>36</v>
      </c>
      <c r="P1791" t="s">
        <v>71</v>
      </c>
      <c r="Q1791" t="s">
        <v>129</v>
      </c>
      <c r="R1791">
        <v>266</v>
      </c>
      <c r="S1791">
        <v>156</v>
      </c>
      <c r="T1791">
        <v>111</v>
      </c>
      <c r="U1791">
        <v>49</v>
      </c>
      <c r="V1791" t="s">
        <v>7479</v>
      </c>
      <c r="W1791">
        <v>57652</v>
      </c>
      <c r="X1791" t="s">
        <v>254</v>
      </c>
      <c r="Y1791">
        <v>43881</v>
      </c>
      <c r="Z1791">
        <v>2824948</v>
      </c>
      <c r="AA1791">
        <v>674779</v>
      </c>
      <c r="AB1791" t="str">
        <f>(VLOOKUP(SalesData[[#This Row],[Month Number]],Reference!C$5:E$16,2,FALSE))</f>
        <v>Feb</v>
      </c>
      <c r="AC1791">
        <f>MONTH(SalesData[[#This Row],[Date]])</f>
        <v>2</v>
      </c>
      <c r="AD1791">
        <f>Reference!F$4</f>
        <v>2026</v>
      </c>
      <c r="AE1791" t="str">
        <f>IF(OR(SalesData[[#This Row],[Day]]="Saturday",SalesData[[#This Row],[Day]]="Sunday"),"Weekend","Weekday")</f>
        <v>Weekday</v>
      </c>
      <c r="AF1791" s="5">
        <f>IF(SalesData[[#This Row],[Contracts Offered]]=0,0,SalesData[[#This Row],[Contracts Signed]]/SalesData[[#This Row],[Contracts Offered]])</f>
        <v>0.44144144144144143</v>
      </c>
      <c r="AG1791" s="5">
        <f>IF(SalesData[[#This Row],[Customers Visited]]=0,0,SalesData[[#This Row],[Test Drives]]/SalesData[[#This Row],[Customers Visited]])</f>
        <v>0.5864661654135338</v>
      </c>
      <c r="AH1791" s="5">
        <f>IF(SalesData[[#This Row],[Customers Visited]]=0,0,SalesData[[#This Row],[Contracts Signed]]/SalesData[[#This Row],[Customers Visited]])</f>
        <v>0.18421052631578946</v>
      </c>
      <c r="AI1791" s="6">
        <f>IF(SalesData[[#This Row],[Contracts Signed]]=0,0,SalesData[[#This Row],[Profit(€)]]/SalesData[[#This Row],[Contracts Signed]])</f>
        <v>13771</v>
      </c>
      <c r="AJ1791" s="5" t="str">
        <f>TRIM(CLEAN(SalesData[[#This Row],[Retailer]]))</f>
        <v>Stuttgart Auto Center</v>
      </c>
    </row>
    <row r="1792" spans="1:36" ht="14.25" hidden="1" x14ac:dyDescent="0.2">
      <c r="A1792" t="s">
        <v>2748</v>
      </c>
      <c r="B1792" s="1">
        <v>46063</v>
      </c>
      <c r="C1792" t="s">
        <v>121</v>
      </c>
      <c r="D1792" t="s">
        <v>63</v>
      </c>
      <c r="E1792" t="s">
        <v>26</v>
      </c>
      <c r="F1792" t="s">
        <v>101</v>
      </c>
      <c r="G1792" t="s">
        <v>102</v>
      </c>
      <c r="H1792" t="s">
        <v>103</v>
      </c>
      <c r="I1792" t="s">
        <v>104</v>
      </c>
      <c r="J1792" t="s">
        <v>143</v>
      </c>
      <c r="K1792" t="s">
        <v>66</v>
      </c>
      <c r="L1792" t="s">
        <v>67</v>
      </c>
      <c r="M1792" t="s">
        <v>34</v>
      </c>
      <c r="N1792" t="s">
        <v>69</v>
      </c>
      <c r="O1792" t="s">
        <v>70</v>
      </c>
      <c r="P1792" t="s">
        <v>71</v>
      </c>
      <c r="Q1792" t="s">
        <v>38</v>
      </c>
      <c r="R1792">
        <v>423</v>
      </c>
      <c r="S1792">
        <v>195</v>
      </c>
      <c r="T1792">
        <v>125</v>
      </c>
      <c r="U1792">
        <v>32</v>
      </c>
      <c r="V1792" t="s">
        <v>1741</v>
      </c>
      <c r="W1792">
        <v>27798</v>
      </c>
      <c r="X1792" t="s">
        <v>7322</v>
      </c>
      <c r="Y1792">
        <v>25097</v>
      </c>
      <c r="Z1792">
        <v>889536</v>
      </c>
      <c r="AA1792">
        <v>86432</v>
      </c>
      <c r="AB1792" t="str">
        <f>(VLOOKUP(SalesData[[#This Row],[Month Number]],Reference!C$5:E$16,2,FALSE))</f>
        <v>Feb</v>
      </c>
      <c r="AC1792">
        <f>MONTH(SalesData[[#This Row],[Date]])</f>
        <v>2</v>
      </c>
      <c r="AD1792">
        <f>Reference!F$4</f>
        <v>2026</v>
      </c>
      <c r="AE1792" t="str">
        <f>IF(OR(SalesData[[#This Row],[Day]]="Saturday",SalesData[[#This Row],[Day]]="Sunday"),"Weekend","Weekday")</f>
        <v>Weekday</v>
      </c>
      <c r="AF1792" s="5">
        <f>IF(SalesData[[#This Row],[Contracts Offered]]=0,0,SalesData[[#This Row],[Contracts Signed]]/SalesData[[#This Row],[Contracts Offered]])</f>
        <v>0.25600000000000001</v>
      </c>
      <c r="AG1792" s="5">
        <f>IF(SalesData[[#This Row],[Customers Visited]]=0,0,SalesData[[#This Row],[Test Drives]]/SalesData[[#This Row],[Customers Visited]])</f>
        <v>0.46099290780141844</v>
      </c>
      <c r="AH1792" s="5">
        <f>IF(SalesData[[#This Row],[Customers Visited]]=0,0,SalesData[[#This Row],[Contracts Signed]]/SalesData[[#This Row],[Customers Visited]])</f>
        <v>7.5650118203309691E-2</v>
      </c>
      <c r="AI1792" s="6">
        <f>IF(SalesData[[#This Row],[Contracts Signed]]=0,0,SalesData[[#This Row],[Profit(€)]]/SalesData[[#This Row],[Contracts Signed]])</f>
        <v>2701</v>
      </c>
      <c r="AJ1792" s="5" t="str">
        <f>TRIM(CLEAN(SalesData[[#This Row],[Retailer]]))</f>
        <v>Ruhr Auto Plaza</v>
      </c>
    </row>
    <row r="1793" spans="1:36" ht="14.25" hidden="1" x14ac:dyDescent="0.2">
      <c r="A1793" t="s">
        <v>2749</v>
      </c>
      <c r="B1793" s="1">
        <v>46076</v>
      </c>
      <c r="C1793" t="s">
        <v>53</v>
      </c>
      <c r="D1793" t="s">
        <v>25</v>
      </c>
      <c r="E1793" t="s">
        <v>26</v>
      </c>
      <c r="F1793" t="s">
        <v>43</v>
      </c>
      <c r="G1793" t="s">
        <v>44</v>
      </c>
      <c r="H1793" t="s">
        <v>45</v>
      </c>
      <c r="I1793" t="s">
        <v>56</v>
      </c>
      <c r="J1793" t="s">
        <v>137</v>
      </c>
      <c r="K1793" t="s">
        <v>91</v>
      </c>
      <c r="L1793" t="s">
        <v>46</v>
      </c>
      <c r="M1793" t="s">
        <v>47</v>
      </c>
      <c r="N1793" t="s">
        <v>69</v>
      </c>
      <c r="O1793" t="s">
        <v>70</v>
      </c>
      <c r="P1793" t="s">
        <v>71</v>
      </c>
      <c r="Q1793" t="s">
        <v>122</v>
      </c>
      <c r="R1793">
        <v>278</v>
      </c>
      <c r="S1793">
        <v>169</v>
      </c>
      <c r="T1793">
        <v>127</v>
      </c>
      <c r="U1793">
        <v>37</v>
      </c>
      <c r="V1793" t="s">
        <v>6478</v>
      </c>
      <c r="W1793">
        <v>54022</v>
      </c>
      <c r="X1793" t="s">
        <v>826</v>
      </c>
      <c r="Y1793">
        <v>43339</v>
      </c>
      <c r="Z1793">
        <v>1998814</v>
      </c>
      <c r="AA1793">
        <v>395271</v>
      </c>
      <c r="AB1793" t="str">
        <f>(VLOOKUP(SalesData[[#This Row],[Month Number]],Reference!C$5:E$16,2,FALSE))</f>
        <v>Feb</v>
      </c>
      <c r="AC1793">
        <f>MONTH(SalesData[[#This Row],[Date]])</f>
        <v>2</v>
      </c>
      <c r="AD1793">
        <f>Reference!F$4</f>
        <v>2026</v>
      </c>
      <c r="AE1793" t="str">
        <f>IF(OR(SalesData[[#This Row],[Day]]="Saturday",SalesData[[#This Row],[Day]]="Sunday"),"Weekend","Weekday")</f>
        <v>Weekday</v>
      </c>
      <c r="AF1793" s="5">
        <f>IF(SalesData[[#This Row],[Contracts Offered]]=0,0,SalesData[[#This Row],[Contracts Signed]]/SalesData[[#This Row],[Contracts Offered]])</f>
        <v>0.29133858267716534</v>
      </c>
      <c r="AG1793" s="5">
        <f>IF(SalesData[[#This Row],[Customers Visited]]=0,0,SalesData[[#This Row],[Test Drives]]/SalesData[[#This Row],[Customers Visited]])</f>
        <v>0.6079136690647482</v>
      </c>
      <c r="AH1793" s="5">
        <f>IF(SalesData[[#This Row],[Customers Visited]]=0,0,SalesData[[#This Row],[Contracts Signed]]/SalesData[[#This Row],[Customers Visited]])</f>
        <v>0.13309352517985612</v>
      </c>
      <c r="AI1793" s="6">
        <f>IF(SalesData[[#This Row],[Contracts Signed]]=0,0,SalesData[[#This Row],[Profit(€)]]/SalesData[[#This Row],[Contracts Signed]])</f>
        <v>10683</v>
      </c>
      <c r="AJ1793" s="5" t="str">
        <f>TRIM(CLEAN(SalesData[[#This Row],[Retailer]]))</f>
        <v>Saxon Wheels</v>
      </c>
    </row>
    <row r="1794" spans="1:36" ht="14.25" x14ac:dyDescent="0.2">
      <c r="A1794" t="s">
        <v>2750</v>
      </c>
      <c r="B1794" s="1">
        <v>46079</v>
      </c>
      <c r="C1794" t="s">
        <v>53</v>
      </c>
      <c r="D1794" t="s">
        <v>100</v>
      </c>
      <c r="E1794" t="s">
        <v>26</v>
      </c>
      <c r="F1794" t="s">
        <v>114</v>
      </c>
      <c r="G1794" t="s">
        <v>115</v>
      </c>
      <c r="H1794" t="s">
        <v>115</v>
      </c>
      <c r="I1794" t="s">
        <v>30</v>
      </c>
      <c r="J1794" t="s">
        <v>86</v>
      </c>
      <c r="K1794" t="s">
        <v>91</v>
      </c>
      <c r="L1794" t="s">
        <v>33</v>
      </c>
      <c r="M1794" t="s">
        <v>47</v>
      </c>
      <c r="N1794" t="s">
        <v>35</v>
      </c>
      <c r="O1794" t="s">
        <v>36</v>
      </c>
      <c r="P1794" t="s">
        <v>58</v>
      </c>
      <c r="Q1794" t="s">
        <v>152</v>
      </c>
      <c r="R1794">
        <v>170</v>
      </c>
      <c r="S1794">
        <v>95</v>
      </c>
      <c r="T1794">
        <v>69</v>
      </c>
      <c r="U1794">
        <v>30</v>
      </c>
      <c r="V1794" t="s">
        <v>7457</v>
      </c>
      <c r="W1794">
        <v>59157</v>
      </c>
      <c r="X1794" t="s">
        <v>7101</v>
      </c>
      <c r="Y1794">
        <v>44434</v>
      </c>
      <c r="Z1794">
        <v>1774710</v>
      </c>
      <c r="AA1794">
        <v>441690</v>
      </c>
      <c r="AB1794" t="str">
        <f>(VLOOKUP(SalesData[[#This Row],[Month Number]],Reference!C$5:E$16,2,FALSE))</f>
        <v>Feb</v>
      </c>
      <c r="AC1794">
        <f>MONTH(SalesData[[#This Row],[Date]])</f>
        <v>2</v>
      </c>
      <c r="AD1794">
        <f>Reference!F$4</f>
        <v>2026</v>
      </c>
      <c r="AE1794" t="str">
        <f>IF(OR(SalesData[[#This Row],[Day]]="Saturday",SalesData[[#This Row],[Day]]="Sunday"),"Weekend","Weekday")</f>
        <v>Weekday</v>
      </c>
      <c r="AF1794" s="5">
        <f>IF(SalesData[[#This Row],[Contracts Offered]]=0,0,SalesData[[#This Row],[Contracts Signed]]/SalesData[[#This Row],[Contracts Offered]])</f>
        <v>0.43478260869565216</v>
      </c>
      <c r="AG1794" s="5">
        <f>IF(SalesData[[#This Row],[Customers Visited]]=0,0,SalesData[[#This Row],[Test Drives]]/SalesData[[#This Row],[Customers Visited]])</f>
        <v>0.55882352941176472</v>
      </c>
      <c r="AH1794" s="5">
        <f>IF(SalesData[[#This Row],[Customers Visited]]=0,0,SalesData[[#This Row],[Contracts Signed]]/SalesData[[#This Row],[Customers Visited]])</f>
        <v>0.17647058823529413</v>
      </c>
      <c r="AI1794" s="6">
        <f>IF(SalesData[[#This Row],[Contracts Signed]]=0,0,SalesData[[#This Row],[Profit(€)]]/SalesData[[#This Row],[Contracts Signed]])</f>
        <v>14723</v>
      </c>
      <c r="AJ1794" s="5" t="str">
        <f>TRIM(CLEAN(SalesData[[#This Row],[Retailer]]))</f>
        <v>Elbe Drive</v>
      </c>
    </row>
    <row r="1795" spans="1:36" ht="14.25" hidden="1" x14ac:dyDescent="0.2">
      <c r="A1795" t="s">
        <v>2752</v>
      </c>
      <c r="B1795" s="1">
        <v>46063</v>
      </c>
      <c r="C1795" t="s">
        <v>121</v>
      </c>
      <c r="D1795" t="s">
        <v>63</v>
      </c>
      <c r="E1795" t="s">
        <v>26</v>
      </c>
      <c r="F1795" t="s">
        <v>94</v>
      </c>
      <c r="G1795" t="s">
        <v>95</v>
      </c>
      <c r="H1795" t="s">
        <v>96</v>
      </c>
      <c r="I1795" t="s">
        <v>104</v>
      </c>
      <c r="J1795" t="s">
        <v>7031</v>
      </c>
      <c r="K1795" t="s">
        <v>66</v>
      </c>
      <c r="L1795" t="s">
        <v>46</v>
      </c>
      <c r="M1795" t="s">
        <v>87</v>
      </c>
      <c r="N1795" t="s">
        <v>48</v>
      </c>
      <c r="O1795" t="s">
        <v>70</v>
      </c>
      <c r="P1795" t="s">
        <v>37</v>
      </c>
      <c r="Q1795" t="s">
        <v>189</v>
      </c>
      <c r="R1795">
        <v>514</v>
      </c>
      <c r="S1795">
        <v>226</v>
      </c>
      <c r="T1795">
        <v>159</v>
      </c>
      <c r="U1795">
        <v>37</v>
      </c>
      <c r="V1795" t="s">
        <v>3278</v>
      </c>
      <c r="W1795">
        <v>27504</v>
      </c>
      <c r="X1795" t="s">
        <v>781</v>
      </c>
      <c r="Y1795">
        <v>23703</v>
      </c>
      <c r="Z1795">
        <v>1017648</v>
      </c>
      <c r="AA1795">
        <v>140637</v>
      </c>
      <c r="AB1795" t="str">
        <f>(VLOOKUP(SalesData[[#This Row],[Month Number]],Reference!C$5:E$16,2,FALSE))</f>
        <v>Feb</v>
      </c>
      <c r="AC1795">
        <f>MONTH(SalesData[[#This Row],[Date]])</f>
        <v>2</v>
      </c>
      <c r="AD1795">
        <f>Reference!F$4</f>
        <v>2026</v>
      </c>
      <c r="AE1795" t="str">
        <f>IF(OR(SalesData[[#This Row],[Day]]="Saturday",SalesData[[#This Row],[Day]]="Sunday"),"Weekend","Weekday")</f>
        <v>Weekday</v>
      </c>
      <c r="AF1795" s="5">
        <f>IF(SalesData[[#This Row],[Contracts Offered]]=0,0,SalesData[[#This Row],[Contracts Signed]]/SalesData[[#This Row],[Contracts Offered]])</f>
        <v>0.23270440251572327</v>
      </c>
      <c r="AG1795" s="5">
        <f>IF(SalesData[[#This Row],[Customers Visited]]=0,0,SalesData[[#This Row],[Test Drives]]/SalesData[[#This Row],[Customers Visited]])</f>
        <v>0.43968871595330739</v>
      </c>
      <c r="AH1795" s="5">
        <f>IF(SalesData[[#This Row],[Customers Visited]]=0,0,SalesData[[#This Row],[Contracts Signed]]/SalesData[[#This Row],[Customers Visited]])</f>
        <v>7.1984435797665364E-2</v>
      </c>
      <c r="AI1795" s="6">
        <f>IF(SalesData[[#This Row],[Contracts Signed]]=0,0,SalesData[[#This Row],[Profit(€)]]/SalesData[[#This Row],[Contracts Signed]])</f>
        <v>3801</v>
      </c>
      <c r="AJ1795" s="5" t="str">
        <f>TRIM(CLEAN(SalesData[[#This Row],[Retailer]]))</f>
        <v>Bavaria Motors</v>
      </c>
    </row>
    <row r="1796" spans="1:36" ht="14.25" hidden="1" x14ac:dyDescent="0.2">
      <c r="A1796" t="s">
        <v>2753</v>
      </c>
      <c r="B1796" s="1">
        <v>46062</v>
      </c>
      <c r="C1796" t="s">
        <v>121</v>
      </c>
      <c r="D1796" t="s">
        <v>25</v>
      </c>
      <c r="E1796" t="s">
        <v>26</v>
      </c>
      <c r="F1796" t="s">
        <v>127</v>
      </c>
      <c r="G1796" t="s">
        <v>128</v>
      </c>
      <c r="H1796" t="s">
        <v>103</v>
      </c>
      <c r="I1796" t="s">
        <v>64</v>
      </c>
      <c r="J1796" t="s">
        <v>7029</v>
      </c>
      <c r="K1796" t="s">
        <v>91</v>
      </c>
      <c r="L1796" t="s">
        <v>33</v>
      </c>
      <c r="M1796" t="s">
        <v>47</v>
      </c>
      <c r="N1796" t="s">
        <v>35</v>
      </c>
      <c r="O1796" t="s">
        <v>36</v>
      </c>
      <c r="P1796" t="s">
        <v>58</v>
      </c>
      <c r="Q1796" t="s">
        <v>135</v>
      </c>
      <c r="R1796">
        <v>148</v>
      </c>
      <c r="S1796">
        <v>85</v>
      </c>
      <c r="T1796">
        <v>60</v>
      </c>
      <c r="U1796">
        <v>25</v>
      </c>
      <c r="V1796" t="s">
        <v>6966</v>
      </c>
      <c r="W1796">
        <v>52731</v>
      </c>
      <c r="X1796" t="s">
        <v>7042</v>
      </c>
      <c r="Y1796">
        <v>38285</v>
      </c>
      <c r="Z1796">
        <v>1318275</v>
      </c>
      <c r="AA1796">
        <v>361150</v>
      </c>
      <c r="AB1796" t="str">
        <f>(VLOOKUP(SalesData[[#This Row],[Month Number]],Reference!C$5:E$16,2,FALSE))</f>
        <v>Feb</v>
      </c>
      <c r="AC1796">
        <f>MONTH(SalesData[[#This Row],[Date]])</f>
        <v>2</v>
      </c>
      <c r="AD1796">
        <f>Reference!F$4</f>
        <v>2026</v>
      </c>
      <c r="AE1796" t="str">
        <f>IF(OR(SalesData[[#This Row],[Day]]="Saturday",SalesData[[#This Row],[Day]]="Sunday"),"Weekend","Weekday")</f>
        <v>Weekday</v>
      </c>
      <c r="AF1796" s="5">
        <f>IF(SalesData[[#This Row],[Contracts Offered]]=0,0,SalesData[[#This Row],[Contracts Signed]]/SalesData[[#This Row],[Contracts Offered]])</f>
        <v>0.41666666666666669</v>
      </c>
      <c r="AG1796" s="5">
        <f>IF(SalesData[[#This Row],[Customers Visited]]=0,0,SalesData[[#This Row],[Test Drives]]/SalesData[[#This Row],[Customers Visited]])</f>
        <v>0.57432432432432434</v>
      </c>
      <c r="AH1796" s="5">
        <f>IF(SalesData[[#This Row],[Customers Visited]]=0,0,SalesData[[#This Row],[Contracts Signed]]/SalesData[[#This Row],[Customers Visited]])</f>
        <v>0.16891891891891891</v>
      </c>
      <c r="AI1796" s="6">
        <f>IF(SalesData[[#This Row],[Contracts Signed]]=0,0,SalesData[[#This Row],[Profit(€)]]/SalesData[[#This Row],[Contracts Signed]])</f>
        <v>14446</v>
      </c>
      <c r="AJ1796" s="5" t="str">
        <f>TRIM(CLEAN(SalesData[[#This Row],[Retailer]]))</f>
        <v>Rhein Auto Group</v>
      </c>
    </row>
    <row r="1797" spans="1:36" ht="14.25" hidden="1" x14ac:dyDescent="0.2">
      <c r="A1797" t="s">
        <v>2754</v>
      </c>
      <c r="B1797" s="1">
        <v>46056</v>
      </c>
      <c r="C1797" t="s">
        <v>24</v>
      </c>
      <c r="D1797" t="s">
        <v>63</v>
      </c>
      <c r="E1797" t="s">
        <v>26</v>
      </c>
      <c r="F1797" t="s">
        <v>101</v>
      </c>
      <c r="G1797" t="s">
        <v>102</v>
      </c>
      <c r="H1797" t="s">
        <v>103</v>
      </c>
      <c r="I1797" t="s">
        <v>116</v>
      </c>
      <c r="J1797" t="s">
        <v>117</v>
      </c>
      <c r="K1797" t="s">
        <v>78</v>
      </c>
      <c r="L1797" t="s">
        <v>67</v>
      </c>
      <c r="M1797" t="s">
        <v>47</v>
      </c>
      <c r="N1797" t="s">
        <v>69</v>
      </c>
      <c r="O1797" t="s">
        <v>36</v>
      </c>
      <c r="P1797" t="s">
        <v>58</v>
      </c>
      <c r="Q1797" t="s">
        <v>240</v>
      </c>
      <c r="R1797">
        <v>310</v>
      </c>
      <c r="S1797">
        <v>157</v>
      </c>
      <c r="T1797">
        <v>106</v>
      </c>
      <c r="U1797">
        <v>24</v>
      </c>
      <c r="V1797" t="s">
        <v>1628</v>
      </c>
      <c r="W1797">
        <v>23415</v>
      </c>
      <c r="X1797" t="s">
        <v>4392</v>
      </c>
      <c r="Y1797">
        <v>21481</v>
      </c>
      <c r="Z1797">
        <v>561960</v>
      </c>
      <c r="AA1797">
        <v>46416</v>
      </c>
      <c r="AB1797" t="str">
        <f>(VLOOKUP(SalesData[[#This Row],[Month Number]],Reference!C$5:E$16,2,FALSE))</f>
        <v>Feb</v>
      </c>
      <c r="AC1797">
        <f>MONTH(SalesData[[#This Row],[Date]])</f>
        <v>2</v>
      </c>
      <c r="AD1797">
        <f>Reference!F$4</f>
        <v>2026</v>
      </c>
      <c r="AE1797" t="str">
        <f>IF(OR(SalesData[[#This Row],[Day]]="Saturday",SalesData[[#This Row],[Day]]="Sunday"),"Weekend","Weekday")</f>
        <v>Weekday</v>
      </c>
      <c r="AF1797" s="5">
        <f>IF(SalesData[[#This Row],[Contracts Offered]]=0,0,SalesData[[#This Row],[Contracts Signed]]/SalesData[[#This Row],[Contracts Offered]])</f>
        <v>0.22641509433962265</v>
      </c>
      <c r="AG1797" s="5">
        <f>IF(SalesData[[#This Row],[Customers Visited]]=0,0,SalesData[[#This Row],[Test Drives]]/SalesData[[#This Row],[Customers Visited]])</f>
        <v>0.50645161290322582</v>
      </c>
      <c r="AH1797" s="5">
        <f>IF(SalesData[[#This Row],[Customers Visited]]=0,0,SalesData[[#This Row],[Contracts Signed]]/SalesData[[#This Row],[Customers Visited]])</f>
        <v>7.7419354838709681E-2</v>
      </c>
      <c r="AI1797" s="6">
        <f>IF(SalesData[[#This Row],[Contracts Signed]]=0,0,SalesData[[#This Row],[Profit(€)]]/SalesData[[#This Row],[Contracts Signed]])</f>
        <v>1934</v>
      </c>
      <c r="AJ1797" s="5" t="str">
        <f>TRIM(CLEAN(SalesData[[#This Row],[Retailer]]))</f>
        <v>Ruhr Auto Plaza</v>
      </c>
    </row>
    <row r="1798" spans="1:36" ht="14.25" hidden="1" x14ac:dyDescent="0.2">
      <c r="A1798" t="s">
        <v>2755</v>
      </c>
      <c r="B1798" s="1">
        <v>46071</v>
      </c>
      <c r="C1798" t="s">
        <v>62</v>
      </c>
      <c r="D1798" t="s">
        <v>82</v>
      </c>
      <c r="E1798" t="s">
        <v>26</v>
      </c>
      <c r="F1798" t="s">
        <v>101</v>
      </c>
      <c r="G1798" t="s">
        <v>102</v>
      </c>
      <c r="H1798" t="s">
        <v>103</v>
      </c>
      <c r="I1798" t="s">
        <v>56</v>
      </c>
      <c r="J1798" t="s">
        <v>137</v>
      </c>
      <c r="K1798" t="s">
        <v>78</v>
      </c>
      <c r="L1798" t="s">
        <v>46</v>
      </c>
      <c r="M1798" t="s">
        <v>47</v>
      </c>
      <c r="N1798" t="s">
        <v>35</v>
      </c>
      <c r="O1798" t="s">
        <v>36</v>
      </c>
      <c r="P1798" t="s">
        <v>49</v>
      </c>
      <c r="Q1798" t="s">
        <v>204</v>
      </c>
      <c r="R1798">
        <v>165</v>
      </c>
      <c r="S1798">
        <v>87</v>
      </c>
      <c r="T1798">
        <v>59</v>
      </c>
      <c r="U1798">
        <v>16</v>
      </c>
      <c r="V1798" t="s">
        <v>1228</v>
      </c>
      <c r="W1798">
        <v>40569</v>
      </c>
      <c r="X1798" t="s">
        <v>2313</v>
      </c>
      <c r="Y1798">
        <v>32853</v>
      </c>
      <c r="Z1798">
        <v>649104</v>
      </c>
      <c r="AA1798">
        <v>123456</v>
      </c>
      <c r="AB1798" t="str">
        <f>(VLOOKUP(SalesData[[#This Row],[Month Number]],Reference!C$5:E$16,2,FALSE))</f>
        <v>Feb</v>
      </c>
      <c r="AC1798">
        <f>MONTH(SalesData[[#This Row],[Date]])</f>
        <v>2</v>
      </c>
      <c r="AD1798">
        <f>Reference!F$4</f>
        <v>2026</v>
      </c>
      <c r="AE1798" t="str">
        <f>IF(OR(SalesData[[#This Row],[Day]]="Saturday",SalesData[[#This Row],[Day]]="Sunday"),"Weekend","Weekday")</f>
        <v>Weekday</v>
      </c>
      <c r="AF1798" s="5">
        <f>IF(SalesData[[#This Row],[Contracts Offered]]=0,0,SalesData[[#This Row],[Contracts Signed]]/SalesData[[#This Row],[Contracts Offered]])</f>
        <v>0.2711864406779661</v>
      </c>
      <c r="AG1798" s="5">
        <f>IF(SalesData[[#This Row],[Customers Visited]]=0,0,SalesData[[#This Row],[Test Drives]]/SalesData[[#This Row],[Customers Visited]])</f>
        <v>0.52727272727272723</v>
      </c>
      <c r="AH1798" s="5">
        <f>IF(SalesData[[#This Row],[Customers Visited]]=0,0,SalesData[[#This Row],[Contracts Signed]]/SalesData[[#This Row],[Customers Visited]])</f>
        <v>9.696969696969697E-2</v>
      </c>
      <c r="AI1798" s="6">
        <f>IF(SalesData[[#This Row],[Contracts Signed]]=0,0,SalesData[[#This Row],[Profit(€)]]/SalesData[[#This Row],[Contracts Signed]])</f>
        <v>7716</v>
      </c>
      <c r="AJ1798" s="5" t="str">
        <f>TRIM(CLEAN(SalesData[[#This Row],[Retailer]]))</f>
        <v>Ruhr Auto Plaza</v>
      </c>
    </row>
    <row r="1799" spans="1:36" ht="14.25" x14ac:dyDescent="0.2">
      <c r="A1799" t="s">
        <v>2756</v>
      </c>
      <c r="B1799" s="1">
        <v>46070</v>
      </c>
      <c r="C1799" t="s">
        <v>62</v>
      </c>
      <c r="D1799" t="s">
        <v>63</v>
      </c>
      <c r="E1799" t="s">
        <v>26</v>
      </c>
      <c r="F1799" t="s">
        <v>127</v>
      </c>
      <c r="G1799" t="s">
        <v>128</v>
      </c>
      <c r="H1799" t="s">
        <v>103</v>
      </c>
      <c r="I1799" t="s">
        <v>30</v>
      </c>
      <c r="J1799" t="s">
        <v>86</v>
      </c>
      <c r="K1799" t="s">
        <v>66</v>
      </c>
      <c r="L1799" t="s">
        <v>33</v>
      </c>
      <c r="M1799" t="s">
        <v>68</v>
      </c>
      <c r="N1799" t="s">
        <v>48</v>
      </c>
      <c r="O1799" t="s">
        <v>36</v>
      </c>
      <c r="P1799" t="s">
        <v>49</v>
      </c>
      <c r="Q1799" t="s">
        <v>38</v>
      </c>
      <c r="R1799">
        <v>224</v>
      </c>
      <c r="S1799">
        <v>125</v>
      </c>
      <c r="T1799">
        <v>89</v>
      </c>
      <c r="U1799">
        <v>32</v>
      </c>
      <c r="V1799" t="s">
        <v>6660</v>
      </c>
      <c r="W1799">
        <v>52856</v>
      </c>
      <c r="X1799" t="s">
        <v>2887</v>
      </c>
      <c r="Y1799">
        <v>37401</v>
      </c>
      <c r="Z1799">
        <v>1691392</v>
      </c>
      <c r="AA1799">
        <v>494560</v>
      </c>
      <c r="AB1799" t="str">
        <f>(VLOOKUP(SalesData[[#This Row],[Month Number]],Reference!C$5:E$16,2,FALSE))</f>
        <v>Feb</v>
      </c>
      <c r="AC1799">
        <f>MONTH(SalesData[[#This Row],[Date]])</f>
        <v>2</v>
      </c>
      <c r="AD1799">
        <f>Reference!F$4</f>
        <v>2026</v>
      </c>
      <c r="AE1799" t="str">
        <f>IF(OR(SalesData[[#This Row],[Day]]="Saturday",SalesData[[#This Row],[Day]]="Sunday"),"Weekend","Weekday")</f>
        <v>Weekday</v>
      </c>
      <c r="AF1799" s="5">
        <f>IF(SalesData[[#This Row],[Contracts Offered]]=0,0,SalesData[[#This Row],[Contracts Signed]]/SalesData[[#This Row],[Contracts Offered]])</f>
        <v>0.3595505617977528</v>
      </c>
      <c r="AG1799" s="5">
        <f>IF(SalesData[[#This Row],[Customers Visited]]=0,0,SalesData[[#This Row],[Test Drives]]/SalesData[[#This Row],[Customers Visited]])</f>
        <v>0.5580357142857143</v>
      </c>
      <c r="AH1799" s="5">
        <f>IF(SalesData[[#This Row],[Customers Visited]]=0,0,SalesData[[#This Row],[Contracts Signed]]/SalesData[[#This Row],[Customers Visited]])</f>
        <v>0.14285714285714285</v>
      </c>
      <c r="AI1799" s="6">
        <f>IF(SalesData[[#This Row],[Contracts Signed]]=0,0,SalesData[[#This Row],[Profit(€)]]/SalesData[[#This Row],[Contracts Signed]])</f>
        <v>15455</v>
      </c>
      <c r="AJ1799" s="5" t="str">
        <f>TRIM(CLEAN(SalesData[[#This Row],[Retailer]]))</f>
        <v>Rhein Auto Group</v>
      </c>
    </row>
    <row r="1800" spans="1:36" ht="14.25" hidden="1" x14ac:dyDescent="0.2">
      <c r="A1800" t="s">
        <v>2757</v>
      </c>
      <c r="B1800" s="1">
        <v>46075</v>
      </c>
      <c r="C1800" t="s">
        <v>53</v>
      </c>
      <c r="D1800" t="s">
        <v>41</v>
      </c>
      <c r="E1800" t="s">
        <v>42</v>
      </c>
      <c r="F1800" t="s">
        <v>94</v>
      </c>
      <c r="G1800" t="s">
        <v>95</v>
      </c>
      <c r="H1800" t="s">
        <v>96</v>
      </c>
      <c r="I1800" t="s">
        <v>116</v>
      </c>
      <c r="J1800" t="s">
        <v>117</v>
      </c>
      <c r="K1800" t="s">
        <v>32</v>
      </c>
      <c r="L1800" t="s">
        <v>67</v>
      </c>
      <c r="M1800" t="s">
        <v>68</v>
      </c>
      <c r="N1800" t="s">
        <v>69</v>
      </c>
      <c r="O1800" t="s">
        <v>70</v>
      </c>
      <c r="P1800" t="s">
        <v>37</v>
      </c>
      <c r="Q1800" t="s">
        <v>118</v>
      </c>
      <c r="R1800">
        <v>411</v>
      </c>
      <c r="S1800">
        <v>198</v>
      </c>
      <c r="T1800">
        <v>134</v>
      </c>
      <c r="U1800">
        <v>34</v>
      </c>
      <c r="V1800" t="s">
        <v>2323</v>
      </c>
      <c r="W1800">
        <v>25139</v>
      </c>
      <c r="X1800" t="s">
        <v>7134</v>
      </c>
      <c r="Y1800">
        <v>23133</v>
      </c>
      <c r="Z1800">
        <v>854726</v>
      </c>
      <c r="AA1800">
        <v>68204</v>
      </c>
      <c r="AB1800" t="str">
        <f>(VLOOKUP(SalesData[[#This Row],[Month Number]],Reference!C$5:E$16,2,FALSE))</f>
        <v>Feb</v>
      </c>
      <c r="AC1800">
        <f>MONTH(SalesData[[#This Row],[Date]])</f>
        <v>2</v>
      </c>
      <c r="AD1800">
        <f>Reference!F$4</f>
        <v>2026</v>
      </c>
      <c r="AE1800" t="str">
        <f>IF(OR(SalesData[[#This Row],[Day]]="Saturday",SalesData[[#This Row],[Day]]="Sunday"),"Weekend","Weekday")</f>
        <v>Weekend</v>
      </c>
      <c r="AF1800" s="5">
        <f>IF(SalesData[[#This Row],[Contracts Offered]]=0,0,SalesData[[#This Row],[Contracts Signed]]/SalesData[[#This Row],[Contracts Offered]])</f>
        <v>0.2537313432835821</v>
      </c>
      <c r="AG1800" s="5">
        <f>IF(SalesData[[#This Row],[Customers Visited]]=0,0,SalesData[[#This Row],[Test Drives]]/SalesData[[#This Row],[Customers Visited]])</f>
        <v>0.48175182481751827</v>
      </c>
      <c r="AH1800" s="5">
        <f>IF(SalesData[[#This Row],[Customers Visited]]=0,0,SalesData[[#This Row],[Contracts Signed]]/SalesData[[#This Row],[Customers Visited]])</f>
        <v>8.2725060827250604E-2</v>
      </c>
      <c r="AI1800" s="6">
        <f>IF(SalesData[[#This Row],[Contracts Signed]]=0,0,SalesData[[#This Row],[Profit(€)]]/SalesData[[#This Row],[Contracts Signed]])</f>
        <v>2006</v>
      </c>
      <c r="AJ1800" s="5" t="str">
        <f>TRIM(CLEAN(SalesData[[#This Row],[Retailer]]))</f>
        <v>Bavaria Motors</v>
      </c>
    </row>
    <row r="1801" spans="1:36" ht="14.25" hidden="1" x14ac:dyDescent="0.2">
      <c r="A1801" t="s">
        <v>2758</v>
      </c>
      <c r="B1801" s="1">
        <v>46069</v>
      </c>
      <c r="C1801" t="s">
        <v>62</v>
      </c>
      <c r="D1801" t="s">
        <v>25</v>
      </c>
      <c r="E1801" t="s">
        <v>26</v>
      </c>
      <c r="F1801" t="s">
        <v>43</v>
      </c>
      <c r="G1801" t="s">
        <v>44</v>
      </c>
      <c r="H1801" t="s">
        <v>45</v>
      </c>
      <c r="I1801" t="s">
        <v>116</v>
      </c>
      <c r="J1801" t="s">
        <v>203</v>
      </c>
      <c r="K1801" t="s">
        <v>78</v>
      </c>
      <c r="L1801" t="s">
        <v>67</v>
      </c>
      <c r="M1801" t="s">
        <v>68</v>
      </c>
      <c r="N1801" t="s">
        <v>69</v>
      </c>
      <c r="O1801" t="s">
        <v>70</v>
      </c>
      <c r="P1801" t="s">
        <v>49</v>
      </c>
      <c r="Q1801" t="s">
        <v>88</v>
      </c>
      <c r="R1801">
        <v>421</v>
      </c>
      <c r="S1801">
        <v>161</v>
      </c>
      <c r="T1801">
        <v>103</v>
      </c>
      <c r="U1801">
        <v>24</v>
      </c>
      <c r="V1801" t="s">
        <v>2563</v>
      </c>
      <c r="W1801">
        <v>21054</v>
      </c>
      <c r="X1801" t="s">
        <v>6835</v>
      </c>
      <c r="Y1801">
        <v>19416</v>
      </c>
      <c r="Z1801">
        <v>505296</v>
      </c>
      <c r="AA1801">
        <v>39312</v>
      </c>
      <c r="AB1801" t="str">
        <f>(VLOOKUP(SalesData[[#This Row],[Month Number]],Reference!C$5:E$16,2,FALSE))</f>
        <v>Feb</v>
      </c>
      <c r="AC1801">
        <f>MONTH(SalesData[[#This Row],[Date]])</f>
        <v>2</v>
      </c>
      <c r="AD1801">
        <f>Reference!F$4</f>
        <v>2026</v>
      </c>
      <c r="AE1801" t="str">
        <f>IF(OR(SalesData[[#This Row],[Day]]="Saturday",SalesData[[#This Row],[Day]]="Sunday"),"Weekend","Weekday")</f>
        <v>Weekday</v>
      </c>
      <c r="AF1801" s="5">
        <f>IF(SalesData[[#This Row],[Contracts Offered]]=0,0,SalesData[[#This Row],[Contracts Signed]]/SalesData[[#This Row],[Contracts Offered]])</f>
        <v>0.23300970873786409</v>
      </c>
      <c r="AG1801" s="5">
        <f>IF(SalesData[[#This Row],[Customers Visited]]=0,0,SalesData[[#This Row],[Test Drives]]/SalesData[[#This Row],[Customers Visited]])</f>
        <v>0.38242280285035629</v>
      </c>
      <c r="AH1801" s="5">
        <f>IF(SalesData[[#This Row],[Customers Visited]]=0,0,SalesData[[#This Row],[Contracts Signed]]/SalesData[[#This Row],[Customers Visited]])</f>
        <v>5.7007125890736345E-2</v>
      </c>
      <c r="AI1801" s="6">
        <f>IF(SalesData[[#This Row],[Contracts Signed]]=0,0,SalesData[[#This Row],[Profit(€)]]/SalesData[[#This Row],[Contracts Signed]])</f>
        <v>1638</v>
      </c>
      <c r="AJ1801" s="5" t="str">
        <f>TRIM(CLEAN(SalesData[[#This Row],[Retailer]]))</f>
        <v>Saxon Wheels</v>
      </c>
    </row>
    <row r="1802" spans="1:36" ht="14.25" hidden="1" x14ac:dyDescent="0.2">
      <c r="A1802" t="s">
        <v>2759</v>
      </c>
      <c r="B1802" s="1">
        <v>46065</v>
      </c>
      <c r="C1802" t="s">
        <v>121</v>
      </c>
      <c r="D1802" t="s">
        <v>100</v>
      </c>
      <c r="E1802" t="s">
        <v>26</v>
      </c>
      <c r="F1802" t="s">
        <v>43</v>
      </c>
      <c r="G1802" t="s">
        <v>44</v>
      </c>
      <c r="H1802" t="s">
        <v>45</v>
      </c>
      <c r="I1802" t="s">
        <v>56</v>
      </c>
      <c r="J1802" t="s">
        <v>137</v>
      </c>
      <c r="K1802" t="s">
        <v>66</v>
      </c>
      <c r="L1802" t="s">
        <v>46</v>
      </c>
      <c r="M1802" t="s">
        <v>34</v>
      </c>
      <c r="N1802" t="s">
        <v>69</v>
      </c>
      <c r="O1802" t="s">
        <v>36</v>
      </c>
      <c r="P1802" t="s">
        <v>71</v>
      </c>
      <c r="Q1802" t="s">
        <v>88</v>
      </c>
      <c r="R1802">
        <v>178</v>
      </c>
      <c r="S1802">
        <v>97</v>
      </c>
      <c r="T1802">
        <v>73</v>
      </c>
      <c r="U1802">
        <v>22</v>
      </c>
      <c r="V1802" t="s">
        <v>6479</v>
      </c>
      <c r="W1802">
        <v>42706</v>
      </c>
      <c r="X1802" t="s">
        <v>4758</v>
      </c>
      <c r="Y1802">
        <v>34191</v>
      </c>
      <c r="Z1802">
        <v>939532</v>
      </c>
      <c r="AA1802">
        <v>187330</v>
      </c>
      <c r="AB1802" t="str">
        <f>(VLOOKUP(SalesData[[#This Row],[Month Number]],Reference!C$5:E$16,2,FALSE))</f>
        <v>Feb</v>
      </c>
      <c r="AC1802">
        <f>MONTH(SalesData[[#This Row],[Date]])</f>
        <v>2</v>
      </c>
      <c r="AD1802">
        <f>Reference!F$4</f>
        <v>2026</v>
      </c>
      <c r="AE1802" t="str">
        <f>IF(OR(SalesData[[#This Row],[Day]]="Saturday",SalesData[[#This Row],[Day]]="Sunday"),"Weekend","Weekday")</f>
        <v>Weekday</v>
      </c>
      <c r="AF1802" s="5">
        <f>IF(SalesData[[#This Row],[Contracts Offered]]=0,0,SalesData[[#This Row],[Contracts Signed]]/SalesData[[#This Row],[Contracts Offered]])</f>
        <v>0.30136986301369861</v>
      </c>
      <c r="AG1802" s="5">
        <f>IF(SalesData[[#This Row],[Customers Visited]]=0,0,SalesData[[#This Row],[Test Drives]]/SalesData[[#This Row],[Customers Visited]])</f>
        <v>0.5449438202247191</v>
      </c>
      <c r="AH1802" s="5">
        <f>IF(SalesData[[#This Row],[Customers Visited]]=0,0,SalesData[[#This Row],[Contracts Signed]]/SalesData[[#This Row],[Customers Visited]])</f>
        <v>0.12359550561797752</v>
      </c>
      <c r="AI1802" s="6">
        <f>IF(SalesData[[#This Row],[Contracts Signed]]=0,0,SalesData[[#This Row],[Profit(€)]]/SalesData[[#This Row],[Contracts Signed]])</f>
        <v>8515</v>
      </c>
      <c r="AJ1802" s="5" t="str">
        <f>TRIM(CLEAN(SalesData[[#This Row],[Retailer]]))</f>
        <v>Saxon Wheels</v>
      </c>
    </row>
    <row r="1803" spans="1:36" ht="14.25" hidden="1" x14ac:dyDescent="0.2">
      <c r="A1803" t="s">
        <v>2761</v>
      </c>
      <c r="B1803" s="1">
        <v>46068</v>
      </c>
      <c r="C1803" t="s">
        <v>62</v>
      </c>
      <c r="D1803" t="s">
        <v>41</v>
      </c>
      <c r="E1803" t="s">
        <v>42</v>
      </c>
      <c r="F1803" t="s">
        <v>101</v>
      </c>
      <c r="G1803" t="s">
        <v>102</v>
      </c>
      <c r="H1803" t="s">
        <v>103</v>
      </c>
      <c r="I1803" t="s">
        <v>116</v>
      </c>
      <c r="J1803" t="s">
        <v>7090</v>
      </c>
      <c r="K1803" t="s">
        <v>66</v>
      </c>
      <c r="L1803" t="s">
        <v>46</v>
      </c>
      <c r="M1803" t="s">
        <v>68</v>
      </c>
      <c r="N1803" t="s">
        <v>35</v>
      </c>
      <c r="O1803" t="s">
        <v>36</v>
      </c>
      <c r="P1803" t="s">
        <v>37</v>
      </c>
      <c r="Q1803" t="s">
        <v>79</v>
      </c>
      <c r="R1803">
        <v>404</v>
      </c>
      <c r="S1803">
        <v>166</v>
      </c>
      <c r="T1803">
        <v>97</v>
      </c>
      <c r="U1803">
        <v>22</v>
      </c>
      <c r="V1803" t="s">
        <v>3698</v>
      </c>
      <c r="W1803">
        <v>27100</v>
      </c>
      <c r="X1803" t="s">
        <v>2942</v>
      </c>
      <c r="Y1803">
        <v>24690</v>
      </c>
      <c r="Z1803">
        <v>596200</v>
      </c>
      <c r="AA1803">
        <v>53020</v>
      </c>
      <c r="AB1803" t="str">
        <f>(VLOOKUP(SalesData[[#This Row],[Month Number]],Reference!C$5:E$16,2,FALSE))</f>
        <v>Feb</v>
      </c>
      <c r="AC1803">
        <f>MONTH(SalesData[[#This Row],[Date]])</f>
        <v>2</v>
      </c>
      <c r="AD1803">
        <f>Reference!F$4</f>
        <v>2026</v>
      </c>
      <c r="AE1803" t="str">
        <f>IF(OR(SalesData[[#This Row],[Day]]="Saturday",SalesData[[#This Row],[Day]]="Sunday"),"Weekend","Weekday")</f>
        <v>Weekend</v>
      </c>
      <c r="AF1803" s="5">
        <f>IF(SalesData[[#This Row],[Contracts Offered]]=0,0,SalesData[[#This Row],[Contracts Signed]]/SalesData[[#This Row],[Contracts Offered]])</f>
        <v>0.22680412371134021</v>
      </c>
      <c r="AG1803" s="5">
        <f>IF(SalesData[[#This Row],[Customers Visited]]=0,0,SalesData[[#This Row],[Test Drives]]/SalesData[[#This Row],[Customers Visited]])</f>
        <v>0.41089108910891087</v>
      </c>
      <c r="AH1803" s="5">
        <f>IF(SalesData[[#This Row],[Customers Visited]]=0,0,SalesData[[#This Row],[Contracts Signed]]/SalesData[[#This Row],[Customers Visited]])</f>
        <v>5.4455445544554455E-2</v>
      </c>
      <c r="AI1803" s="6">
        <f>IF(SalesData[[#This Row],[Contracts Signed]]=0,0,SalesData[[#This Row],[Profit(€)]]/SalesData[[#This Row],[Contracts Signed]])</f>
        <v>2410</v>
      </c>
      <c r="AJ1803" s="5" t="str">
        <f>TRIM(CLEAN(SalesData[[#This Row],[Retailer]]))</f>
        <v>Ruhr Auto Plaza</v>
      </c>
    </row>
    <row r="1804" spans="1:36" ht="14.25" hidden="1" x14ac:dyDescent="0.2">
      <c r="A1804" t="s">
        <v>2762</v>
      </c>
      <c r="B1804" s="1">
        <v>46078</v>
      </c>
      <c r="C1804" t="s">
        <v>53</v>
      </c>
      <c r="D1804" t="s">
        <v>82</v>
      </c>
      <c r="E1804" t="s">
        <v>26</v>
      </c>
      <c r="F1804" t="s">
        <v>83</v>
      </c>
      <c r="G1804" t="s">
        <v>84</v>
      </c>
      <c r="H1804" t="s">
        <v>85</v>
      </c>
      <c r="I1804" t="s">
        <v>116</v>
      </c>
      <c r="J1804" t="s">
        <v>132</v>
      </c>
      <c r="K1804" t="s">
        <v>78</v>
      </c>
      <c r="L1804" t="s">
        <v>46</v>
      </c>
      <c r="M1804" t="s">
        <v>68</v>
      </c>
      <c r="N1804" t="s">
        <v>48</v>
      </c>
      <c r="O1804" t="s">
        <v>36</v>
      </c>
      <c r="P1804" t="s">
        <v>58</v>
      </c>
      <c r="Q1804" t="s">
        <v>122</v>
      </c>
      <c r="R1804">
        <v>235</v>
      </c>
      <c r="S1804">
        <v>94</v>
      </c>
      <c r="T1804">
        <v>58</v>
      </c>
      <c r="U1804">
        <v>17</v>
      </c>
      <c r="V1804" t="s">
        <v>3779</v>
      </c>
      <c r="W1804">
        <v>21316</v>
      </c>
      <c r="X1804" t="s">
        <v>7480</v>
      </c>
      <c r="Y1804">
        <v>19286</v>
      </c>
      <c r="Z1804">
        <v>362372</v>
      </c>
      <c r="AA1804">
        <v>34510</v>
      </c>
      <c r="AB1804" t="str">
        <f>(VLOOKUP(SalesData[[#This Row],[Month Number]],Reference!C$5:E$16,2,FALSE))</f>
        <v>Feb</v>
      </c>
      <c r="AC1804">
        <f>MONTH(SalesData[[#This Row],[Date]])</f>
        <v>2</v>
      </c>
      <c r="AD1804">
        <f>Reference!F$4</f>
        <v>2026</v>
      </c>
      <c r="AE1804" t="str">
        <f>IF(OR(SalesData[[#This Row],[Day]]="Saturday",SalesData[[#This Row],[Day]]="Sunday"),"Weekend","Weekday")</f>
        <v>Weekday</v>
      </c>
      <c r="AF1804" s="5">
        <f>IF(SalesData[[#This Row],[Contracts Offered]]=0,0,SalesData[[#This Row],[Contracts Signed]]/SalesData[[#This Row],[Contracts Offered]])</f>
        <v>0.29310344827586204</v>
      </c>
      <c r="AG1804" s="5">
        <f>IF(SalesData[[#This Row],[Customers Visited]]=0,0,SalesData[[#This Row],[Test Drives]]/SalesData[[#This Row],[Customers Visited]])</f>
        <v>0.4</v>
      </c>
      <c r="AH1804" s="5">
        <f>IF(SalesData[[#This Row],[Customers Visited]]=0,0,SalesData[[#This Row],[Contracts Signed]]/SalesData[[#This Row],[Customers Visited]])</f>
        <v>7.2340425531914887E-2</v>
      </c>
      <c r="AI1804" s="6">
        <f>IF(SalesData[[#This Row],[Contracts Signed]]=0,0,SalesData[[#This Row],[Profit(€)]]/SalesData[[#This Row],[Contracts Signed]])</f>
        <v>2030</v>
      </c>
      <c r="AJ1804" s="5" t="str">
        <f>TRIM(CLEAN(SalesData[[#This Row],[Retailer]]))</f>
        <v>Hannover Cars</v>
      </c>
    </row>
    <row r="1805" spans="1:36" ht="14.25" hidden="1" x14ac:dyDescent="0.2">
      <c r="A1805" t="s">
        <v>2763</v>
      </c>
      <c r="B1805" s="1">
        <v>46081</v>
      </c>
      <c r="C1805" t="s">
        <v>53</v>
      </c>
      <c r="D1805" t="s">
        <v>151</v>
      </c>
      <c r="E1805" t="s">
        <v>42</v>
      </c>
      <c r="F1805" t="s">
        <v>43</v>
      </c>
      <c r="G1805" t="s">
        <v>44</v>
      </c>
      <c r="H1805" t="s">
        <v>45</v>
      </c>
      <c r="I1805" t="s">
        <v>116</v>
      </c>
      <c r="J1805" t="s">
        <v>7090</v>
      </c>
      <c r="K1805" t="s">
        <v>66</v>
      </c>
      <c r="L1805" t="s">
        <v>46</v>
      </c>
      <c r="M1805" t="s">
        <v>34</v>
      </c>
      <c r="N1805" t="s">
        <v>69</v>
      </c>
      <c r="O1805" t="s">
        <v>36</v>
      </c>
      <c r="P1805" t="s">
        <v>49</v>
      </c>
      <c r="Q1805" t="s">
        <v>106</v>
      </c>
      <c r="R1805">
        <v>273</v>
      </c>
      <c r="S1805">
        <v>137</v>
      </c>
      <c r="T1805">
        <v>77</v>
      </c>
      <c r="U1805">
        <v>16</v>
      </c>
      <c r="V1805" t="s">
        <v>1571</v>
      </c>
      <c r="W1805">
        <v>21607</v>
      </c>
      <c r="X1805" t="s">
        <v>1038</v>
      </c>
      <c r="Y1805">
        <v>19326</v>
      </c>
      <c r="Z1805">
        <v>345712</v>
      </c>
      <c r="AA1805">
        <v>36496</v>
      </c>
      <c r="AB1805" t="str">
        <f>(VLOOKUP(SalesData[[#This Row],[Month Number]],Reference!C$5:E$16,2,FALSE))</f>
        <v>Feb</v>
      </c>
      <c r="AC1805">
        <f>MONTH(SalesData[[#This Row],[Date]])</f>
        <v>2</v>
      </c>
      <c r="AD1805">
        <f>Reference!F$4</f>
        <v>2026</v>
      </c>
      <c r="AE1805" t="str">
        <f>IF(OR(SalesData[[#This Row],[Day]]="Saturday",SalesData[[#This Row],[Day]]="Sunday"),"Weekend","Weekday")</f>
        <v>Weekend</v>
      </c>
      <c r="AF1805" s="5">
        <f>IF(SalesData[[#This Row],[Contracts Offered]]=0,0,SalesData[[#This Row],[Contracts Signed]]/SalesData[[#This Row],[Contracts Offered]])</f>
        <v>0.20779220779220781</v>
      </c>
      <c r="AG1805" s="5">
        <f>IF(SalesData[[#This Row],[Customers Visited]]=0,0,SalesData[[#This Row],[Test Drives]]/SalesData[[#This Row],[Customers Visited]])</f>
        <v>0.50183150183150182</v>
      </c>
      <c r="AH1805" s="5">
        <f>IF(SalesData[[#This Row],[Customers Visited]]=0,0,SalesData[[#This Row],[Contracts Signed]]/SalesData[[#This Row],[Customers Visited]])</f>
        <v>5.8608058608058608E-2</v>
      </c>
      <c r="AI1805" s="6">
        <f>IF(SalesData[[#This Row],[Contracts Signed]]=0,0,SalesData[[#This Row],[Profit(€)]]/SalesData[[#This Row],[Contracts Signed]])</f>
        <v>2281</v>
      </c>
      <c r="AJ1805" s="5" t="str">
        <f>TRIM(CLEAN(SalesData[[#This Row],[Retailer]]))</f>
        <v>Saxon Wheels</v>
      </c>
    </row>
    <row r="1806" spans="1:36" ht="14.25" hidden="1" x14ac:dyDescent="0.2">
      <c r="A1806" t="s">
        <v>2765</v>
      </c>
      <c r="B1806" s="1">
        <v>46056</v>
      </c>
      <c r="C1806" t="s">
        <v>24</v>
      </c>
      <c r="D1806" t="s">
        <v>63</v>
      </c>
      <c r="E1806" t="s">
        <v>26</v>
      </c>
      <c r="F1806" t="s">
        <v>7649</v>
      </c>
      <c r="G1806" t="s">
        <v>55</v>
      </c>
      <c r="H1806" t="s">
        <v>55</v>
      </c>
      <c r="I1806" t="s">
        <v>104</v>
      </c>
      <c r="J1806" t="s">
        <v>143</v>
      </c>
      <c r="K1806" t="s">
        <v>78</v>
      </c>
      <c r="L1806" t="s">
        <v>67</v>
      </c>
      <c r="M1806" t="s">
        <v>68</v>
      </c>
      <c r="N1806" t="s">
        <v>48</v>
      </c>
      <c r="O1806" t="s">
        <v>36</v>
      </c>
      <c r="P1806" t="s">
        <v>37</v>
      </c>
      <c r="Q1806" t="s">
        <v>144</v>
      </c>
      <c r="R1806">
        <v>505</v>
      </c>
      <c r="S1806">
        <v>223</v>
      </c>
      <c r="T1806">
        <v>159</v>
      </c>
      <c r="U1806">
        <v>34</v>
      </c>
      <c r="V1806" t="s">
        <v>704</v>
      </c>
      <c r="W1806">
        <v>29940</v>
      </c>
      <c r="X1806" t="s">
        <v>7481</v>
      </c>
      <c r="Y1806">
        <v>27021</v>
      </c>
      <c r="Z1806">
        <v>1017960</v>
      </c>
      <c r="AA1806">
        <v>99246</v>
      </c>
      <c r="AB1806" t="str">
        <f>(VLOOKUP(SalesData[[#This Row],[Month Number]],Reference!C$5:E$16,2,FALSE))</f>
        <v>Feb</v>
      </c>
      <c r="AC1806">
        <f>MONTH(SalesData[[#This Row],[Date]])</f>
        <v>2</v>
      </c>
      <c r="AD1806">
        <f>Reference!F$4</f>
        <v>2026</v>
      </c>
      <c r="AE1806" t="str">
        <f>IF(OR(SalesData[[#This Row],[Day]]="Saturday",SalesData[[#This Row],[Day]]="Sunday"),"Weekend","Weekday")</f>
        <v>Weekday</v>
      </c>
      <c r="AF1806" s="5">
        <f>IF(SalesData[[#This Row],[Contracts Offered]]=0,0,SalesData[[#This Row],[Contracts Signed]]/SalesData[[#This Row],[Contracts Offered]])</f>
        <v>0.21383647798742139</v>
      </c>
      <c r="AG1806" s="5">
        <f>IF(SalesData[[#This Row],[Customers Visited]]=0,0,SalesData[[#This Row],[Test Drives]]/SalesData[[#This Row],[Customers Visited]])</f>
        <v>0.44158415841584159</v>
      </c>
      <c r="AH1806" s="5">
        <f>IF(SalesData[[#This Row],[Customers Visited]]=0,0,SalesData[[#This Row],[Contracts Signed]]/SalesData[[#This Row],[Customers Visited]])</f>
        <v>6.7326732673267331E-2</v>
      </c>
      <c r="AI1806" s="6">
        <f>IF(SalesData[[#This Row],[Contracts Signed]]=0,0,SalesData[[#This Row],[Profit(€)]]/SalesData[[#This Row],[Contracts Signed]])</f>
        <v>2919</v>
      </c>
      <c r="AJ1806" s="5" t="str">
        <f>TRIM(CLEAN(SalesData[[#This Row],[Retailer]]))</f>
        <v>Autohaus Berlin</v>
      </c>
    </row>
    <row r="1807" spans="1:36" ht="14.25" hidden="1" x14ac:dyDescent="0.2">
      <c r="A1807" t="s">
        <v>2766</v>
      </c>
      <c r="B1807" s="1">
        <v>46061</v>
      </c>
      <c r="C1807" t="s">
        <v>121</v>
      </c>
      <c r="D1807" t="s">
        <v>41</v>
      </c>
      <c r="E1807" t="s">
        <v>42</v>
      </c>
      <c r="F1807" t="s">
        <v>127</v>
      </c>
      <c r="G1807" t="s">
        <v>128</v>
      </c>
      <c r="H1807" t="s">
        <v>103</v>
      </c>
      <c r="I1807" t="s">
        <v>64</v>
      </c>
      <c r="J1807" t="s">
        <v>65</v>
      </c>
      <c r="K1807" t="s">
        <v>66</v>
      </c>
      <c r="L1807" t="s">
        <v>33</v>
      </c>
      <c r="M1807" t="s">
        <v>68</v>
      </c>
      <c r="N1807" t="s">
        <v>69</v>
      </c>
      <c r="O1807" t="s">
        <v>70</v>
      </c>
      <c r="P1807" t="s">
        <v>71</v>
      </c>
      <c r="Q1807" t="s">
        <v>152</v>
      </c>
      <c r="R1807">
        <v>151</v>
      </c>
      <c r="S1807">
        <v>77</v>
      </c>
      <c r="T1807">
        <v>59</v>
      </c>
      <c r="U1807">
        <v>21</v>
      </c>
      <c r="V1807" t="s">
        <v>6483</v>
      </c>
      <c r="W1807">
        <v>55112</v>
      </c>
      <c r="X1807" t="s">
        <v>7333</v>
      </c>
      <c r="Y1807">
        <v>41027</v>
      </c>
      <c r="Z1807">
        <v>1157352</v>
      </c>
      <c r="AA1807">
        <v>295785</v>
      </c>
      <c r="AB1807" t="str">
        <f>(VLOOKUP(SalesData[[#This Row],[Month Number]],Reference!C$5:E$16,2,FALSE))</f>
        <v>Feb</v>
      </c>
      <c r="AC1807">
        <f>MONTH(SalesData[[#This Row],[Date]])</f>
        <v>2</v>
      </c>
      <c r="AD1807">
        <f>Reference!F$4</f>
        <v>2026</v>
      </c>
      <c r="AE1807" t="str">
        <f>IF(OR(SalesData[[#This Row],[Day]]="Saturday",SalesData[[#This Row],[Day]]="Sunday"),"Weekend","Weekday")</f>
        <v>Weekend</v>
      </c>
      <c r="AF1807" s="5">
        <f>IF(SalesData[[#This Row],[Contracts Offered]]=0,0,SalesData[[#This Row],[Contracts Signed]]/SalesData[[#This Row],[Contracts Offered]])</f>
        <v>0.3559322033898305</v>
      </c>
      <c r="AG1807" s="5">
        <f>IF(SalesData[[#This Row],[Customers Visited]]=0,0,SalesData[[#This Row],[Test Drives]]/SalesData[[#This Row],[Customers Visited]])</f>
        <v>0.50993377483443714</v>
      </c>
      <c r="AH1807" s="5">
        <f>IF(SalesData[[#This Row],[Customers Visited]]=0,0,SalesData[[#This Row],[Contracts Signed]]/SalesData[[#This Row],[Customers Visited]])</f>
        <v>0.13907284768211919</v>
      </c>
      <c r="AI1807" s="6">
        <f>IF(SalesData[[#This Row],[Contracts Signed]]=0,0,SalesData[[#This Row],[Profit(€)]]/SalesData[[#This Row],[Contracts Signed]])</f>
        <v>14085</v>
      </c>
      <c r="AJ1807" s="5" t="str">
        <f>TRIM(CLEAN(SalesData[[#This Row],[Retailer]]))</f>
        <v>Rhein Auto Group</v>
      </c>
    </row>
    <row r="1808" spans="1:36" ht="14.25" hidden="1" x14ac:dyDescent="0.2">
      <c r="A1808" t="s">
        <v>2767</v>
      </c>
      <c r="B1808" s="1">
        <v>46066</v>
      </c>
      <c r="C1808" t="s">
        <v>121</v>
      </c>
      <c r="D1808" t="s">
        <v>54</v>
      </c>
      <c r="E1808" t="s">
        <v>26</v>
      </c>
      <c r="F1808" t="s">
        <v>27</v>
      </c>
      <c r="G1808" t="s">
        <v>28</v>
      </c>
      <c r="H1808" t="s">
        <v>29</v>
      </c>
      <c r="I1808" t="s">
        <v>64</v>
      </c>
      <c r="J1808" t="s">
        <v>65</v>
      </c>
      <c r="K1808" t="s">
        <v>91</v>
      </c>
      <c r="L1808" t="s">
        <v>33</v>
      </c>
      <c r="M1808" t="s">
        <v>34</v>
      </c>
      <c r="N1808" t="s">
        <v>35</v>
      </c>
      <c r="O1808" t="s">
        <v>70</v>
      </c>
      <c r="P1808" t="s">
        <v>71</v>
      </c>
      <c r="Q1808" t="s">
        <v>59</v>
      </c>
      <c r="R1808">
        <v>192</v>
      </c>
      <c r="S1808">
        <v>108</v>
      </c>
      <c r="T1808">
        <v>75</v>
      </c>
      <c r="U1808">
        <v>29</v>
      </c>
      <c r="V1808" t="s">
        <v>6727</v>
      </c>
      <c r="W1808">
        <v>69517</v>
      </c>
      <c r="X1808" t="s">
        <v>7347</v>
      </c>
      <c r="Y1808">
        <v>52510</v>
      </c>
      <c r="Z1808">
        <v>2015993</v>
      </c>
      <c r="AA1808">
        <v>493203</v>
      </c>
      <c r="AB1808" t="str">
        <f>(VLOOKUP(SalesData[[#This Row],[Month Number]],Reference!C$5:E$16,2,FALSE))</f>
        <v>Feb</v>
      </c>
      <c r="AC1808">
        <f>MONTH(SalesData[[#This Row],[Date]])</f>
        <v>2</v>
      </c>
      <c r="AD1808">
        <f>Reference!F$4</f>
        <v>2026</v>
      </c>
      <c r="AE1808" t="str">
        <f>IF(OR(SalesData[[#This Row],[Day]]="Saturday",SalesData[[#This Row],[Day]]="Sunday"),"Weekend","Weekday")</f>
        <v>Weekday</v>
      </c>
      <c r="AF1808" s="5">
        <f>IF(SalesData[[#This Row],[Contracts Offered]]=0,0,SalesData[[#This Row],[Contracts Signed]]/SalesData[[#This Row],[Contracts Offered]])</f>
        <v>0.38666666666666666</v>
      </c>
      <c r="AG1808" s="5">
        <f>IF(SalesData[[#This Row],[Customers Visited]]=0,0,SalesData[[#This Row],[Test Drives]]/SalesData[[#This Row],[Customers Visited]])</f>
        <v>0.5625</v>
      </c>
      <c r="AH1808" s="5">
        <f>IF(SalesData[[#This Row],[Customers Visited]]=0,0,SalesData[[#This Row],[Contracts Signed]]/SalesData[[#This Row],[Customers Visited]])</f>
        <v>0.15104166666666666</v>
      </c>
      <c r="AI1808" s="6">
        <f>IF(SalesData[[#This Row],[Contracts Signed]]=0,0,SalesData[[#This Row],[Profit(€)]]/SalesData[[#This Row],[Contracts Signed]])</f>
        <v>17007</v>
      </c>
      <c r="AJ1808" s="5" t="str">
        <f>TRIM(CLEAN(SalesData[[#This Row],[Retailer]]))</f>
        <v>Main Auto Hub</v>
      </c>
    </row>
    <row r="1809" spans="1:36" ht="14.25" hidden="1" x14ac:dyDescent="0.2">
      <c r="A1809" t="s">
        <v>2769</v>
      </c>
      <c r="B1809" s="1">
        <v>46079</v>
      </c>
      <c r="C1809" t="s">
        <v>53</v>
      </c>
      <c r="D1809" t="s">
        <v>100</v>
      </c>
      <c r="E1809" t="s">
        <v>26</v>
      </c>
      <c r="F1809" t="s">
        <v>83</v>
      </c>
      <c r="G1809" t="s">
        <v>84</v>
      </c>
      <c r="H1809" t="s">
        <v>85</v>
      </c>
      <c r="I1809" t="s">
        <v>104</v>
      </c>
      <c r="J1809" t="s">
        <v>7031</v>
      </c>
      <c r="K1809" t="s">
        <v>91</v>
      </c>
      <c r="L1809" t="s">
        <v>46</v>
      </c>
      <c r="M1809" t="s">
        <v>68</v>
      </c>
      <c r="N1809" t="s">
        <v>35</v>
      </c>
      <c r="O1809" t="s">
        <v>36</v>
      </c>
      <c r="P1809" t="s">
        <v>49</v>
      </c>
      <c r="Q1809" t="s">
        <v>38</v>
      </c>
      <c r="R1809">
        <v>351</v>
      </c>
      <c r="S1809">
        <v>196</v>
      </c>
      <c r="T1809">
        <v>133</v>
      </c>
      <c r="U1809">
        <v>28</v>
      </c>
      <c r="V1809" t="s">
        <v>527</v>
      </c>
      <c r="W1809">
        <v>32690</v>
      </c>
      <c r="X1809" t="s">
        <v>341</v>
      </c>
      <c r="Y1809">
        <v>28677</v>
      </c>
      <c r="Z1809">
        <v>915320</v>
      </c>
      <c r="AA1809">
        <v>112364</v>
      </c>
      <c r="AB1809" t="str">
        <f>(VLOOKUP(SalesData[[#This Row],[Month Number]],Reference!C$5:E$16,2,FALSE))</f>
        <v>Feb</v>
      </c>
      <c r="AC1809">
        <f>MONTH(SalesData[[#This Row],[Date]])</f>
        <v>2</v>
      </c>
      <c r="AD1809">
        <f>Reference!F$4</f>
        <v>2026</v>
      </c>
      <c r="AE1809" t="str">
        <f>IF(OR(SalesData[[#This Row],[Day]]="Saturday",SalesData[[#This Row],[Day]]="Sunday"),"Weekend","Weekday")</f>
        <v>Weekday</v>
      </c>
      <c r="AF1809" s="5">
        <f>IF(SalesData[[#This Row],[Contracts Offered]]=0,0,SalesData[[#This Row],[Contracts Signed]]/SalesData[[#This Row],[Contracts Offered]])</f>
        <v>0.21052631578947367</v>
      </c>
      <c r="AG1809" s="5">
        <f>IF(SalesData[[#This Row],[Customers Visited]]=0,0,SalesData[[#This Row],[Test Drives]]/SalesData[[#This Row],[Customers Visited]])</f>
        <v>0.55840455840455838</v>
      </c>
      <c r="AH1809" s="5">
        <f>IF(SalesData[[#This Row],[Customers Visited]]=0,0,SalesData[[#This Row],[Contracts Signed]]/SalesData[[#This Row],[Customers Visited]])</f>
        <v>7.9772079772079771E-2</v>
      </c>
      <c r="AI1809" s="6">
        <f>IF(SalesData[[#This Row],[Contracts Signed]]=0,0,SalesData[[#This Row],[Profit(€)]]/SalesData[[#This Row],[Contracts Signed]])</f>
        <v>4013</v>
      </c>
      <c r="AJ1809" s="5" t="str">
        <f>TRIM(CLEAN(SalesData[[#This Row],[Retailer]]))</f>
        <v>Hannover Cars</v>
      </c>
    </row>
    <row r="1810" spans="1:36" ht="14.25" x14ac:dyDescent="0.2">
      <c r="A1810" t="s">
        <v>2770</v>
      </c>
      <c r="B1810" s="1">
        <v>46058</v>
      </c>
      <c r="C1810" t="s">
        <v>24</v>
      </c>
      <c r="D1810" t="s">
        <v>100</v>
      </c>
      <c r="E1810" t="s">
        <v>26</v>
      </c>
      <c r="F1810" t="s">
        <v>74</v>
      </c>
      <c r="G1810" t="s">
        <v>75</v>
      </c>
      <c r="H1810" t="s">
        <v>76</v>
      </c>
      <c r="I1810" t="s">
        <v>30</v>
      </c>
      <c r="J1810" t="s">
        <v>166</v>
      </c>
      <c r="K1810" t="s">
        <v>91</v>
      </c>
      <c r="L1810" t="s">
        <v>46</v>
      </c>
      <c r="M1810" t="s">
        <v>47</v>
      </c>
      <c r="N1810" t="s">
        <v>48</v>
      </c>
      <c r="O1810" t="s">
        <v>36</v>
      </c>
      <c r="P1810" t="s">
        <v>49</v>
      </c>
      <c r="Q1810" t="s">
        <v>347</v>
      </c>
      <c r="R1810">
        <v>250</v>
      </c>
      <c r="S1810">
        <v>151</v>
      </c>
      <c r="T1810">
        <v>114</v>
      </c>
      <c r="U1810">
        <v>41</v>
      </c>
      <c r="V1810" t="s">
        <v>6637</v>
      </c>
      <c r="W1810">
        <v>57170</v>
      </c>
      <c r="X1810" t="s">
        <v>7316</v>
      </c>
      <c r="Y1810">
        <v>43881</v>
      </c>
      <c r="Z1810">
        <v>2343970</v>
      </c>
      <c r="AA1810">
        <v>544849</v>
      </c>
      <c r="AB1810" t="str">
        <f>(VLOOKUP(SalesData[[#This Row],[Month Number]],Reference!C$5:E$16,2,FALSE))</f>
        <v>Feb</v>
      </c>
      <c r="AC1810">
        <f>MONTH(SalesData[[#This Row],[Date]])</f>
        <v>2</v>
      </c>
      <c r="AD1810">
        <f>Reference!F$4</f>
        <v>2026</v>
      </c>
      <c r="AE1810" t="str">
        <f>IF(OR(SalesData[[#This Row],[Day]]="Saturday",SalesData[[#This Row],[Day]]="Sunday"),"Weekend","Weekday")</f>
        <v>Weekday</v>
      </c>
      <c r="AF1810" s="5">
        <f>IF(SalesData[[#This Row],[Contracts Offered]]=0,0,SalesData[[#This Row],[Contracts Signed]]/SalesData[[#This Row],[Contracts Offered]])</f>
        <v>0.35964912280701755</v>
      </c>
      <c r="AG1810" s="5">
        <f>IF(SalesData[[#This Row],[Customers Visited]]=0,0,SalesData[[#This Row],[Test Drives]]/SalesData[[#This Row],[Customers Visited]])</f>
        <v>0.60399999999999998</v>
      </c>
      <c r="AH1810" s="5">
        <f>IF(SalesData[[#This Row],[Customers Visited]]=0,0,SalesData[[#This Row],[Contracts Signed]]/SalesData[[#This Row],[Customers Visited]])</f>
        <v>0.16400000000000001</v>
      </c>
      <c r="AI1810" s="6">
        <f>IF(SalesData[[#This Row],[Contracts Signed]]=0,0,SalesData[[#This Row],[Profit(€)]]/SalesData[[#This Row],[Contracts Signed]])</f>
        <v>13289</v>
      </c>
      <c r="AJ1810" s="5" t="str">
        <f>TRIM(CLEAN(SalesData[[#This Row],[Retailer]]))</f>
        <v>Stuttgart Auto Center</v>
      </c>
    </row>
    <row r="1811" spans="1:36" ht="14.25" hidden="1" x14ac:dyDescent="0.2">
      <c r="A1811" t="s">
        <v>2771</v>
      </c>
      <c r="B1811" s="1">
        <v>46081</v>
      </c>
      <c r="C1811" t="s">
        <v>53</v>
      </c>
      <c r="D1811" t="s">
        <v>151</v>
      </c>
      <c r="E1811" t="s">
        <v>42</v>
      </c>
      <c r="F1811" t="s">
        <v>109</v>
      </c>
      <c r="G1811" t="s">
        <v>110</v>
      </c>
      <c r="H1811" t="s">
        <v>45</v>
      </c>
      <c r="I1811" t="s">
        <v>116</v>
      </c>
      <c r="J1811" t="s">
        <v>132</v>
      </c>
      <c r="K1811" t="s">
        <v>91</v>
      </c>
      <c r="L1811" t="s">
        <v>46</v>
      </c>
      <c r="M1811" t="s">
        <v>87</v>
      </c>
      <c r="N1811" t="s">
        <v>69</v>
      </c>
      <c r="O1811" t="s">
        <v>70</v>
      </c>
      <c r="P1811" t="s">
        <v>71</v>
      </c>
      <c r="Q1811" t="s">
        <v>158</v>
      </c>
      <c r="R1811">
        <v>366</v>
      </c>
      <c r="S1811">
        <v>156</v>
      </c>
      <c r="T1811">
        <v>103</v>
      </c>
      <c r="U1811">
        <v>22</v>
      </c>
      <c r="V1811" t="s">
        <v>536</v>
      </c>
      <c r="W1811">
        <v>24553</v>
      </c>
      <c r="X1811" t="s">
        <v>1026</v>
      </c>
      <c r="Y1811">
        <v>21877</v>
      </c>
      <c r="Z1811">
        <v>540166</v>
      </c>
      <c r="AA1811">
        <v>58872</v>
      </c>
      <c r="AB1811" t="str">
        <f>(VLOOKUP(SalesData[[#This Row],[Month Number]],Reference!C$5:E$16,2,FALSE))</f>
        <v>Feb</v>
      </c>
      <c r="AC1811">
        <f>MONTH(SalesData[[#This Row],[Date]])</f>
        <v>2</v>
      </c>
      <c r="AD1811">
        <f>Reference!F$4</f>
        <v>2026</v>
      </c>
      <c r="AE1811" t="str">
        <f>IF(OR(SalesData[[#This Row],[Day]]="Saturday",SalesData[[#This Row],[Day]]="Sunday"),"Weekend","Weekday")</f>
        <v>Weekend</v>
      </c>
      <c r="AF1811" s="5">
        <f>IF(SalesData[[#This Row],[Contracts Offered]]=0,0,SalesData[[#This Row],[Contracts Signed]]/SalesData[[#This Row],[Contracts Offered]])</f>
        <v>0.21359223300970873</v>
      </c>
      <c r="AG1811" s="5">
        <f>IF(SalesData[[#This Row],[Customers Visited]]=0,0,SalesData[[#This Row],[Test Drives]]/SalesData[[#This Row],[Customers Visited]])</f>
        <v>0.42622950819672129</v>
      </c>
      <c r="AH1811" s="5">
        <f>IF(SalesData[[#This Row],[Customers Visited]]=0,0,SalesData[[#This Row],[Contracts Signed]]/SalesData[[#This Row],[Customers Visited]])</f>
        <v>6.0109289617486336E-2</v>
      </c>
      <c r="AI1811" s="6">
        <f>IF(SalesData[[#This Row],[Contracts Signed]]=0,0,SalesData[[#This Row],[Profit(€)]]/SalesData[[#This Row],[Contracts Signed]])</f>
        <v>2676</v>
      </c>
      <c r="AJ1811" s="5" t="str">
        <f>TRIM(CLEAN(SalesData[[#This Row],[Retailer]]))</f>
        <v>Leipzig Mobility</v>
      </c>
    </row>
    <row r="1812" spans="1:36" ht="14.25" hidden="1" x14ac:dyDescent="0.2">
      <c r="A1812" t="s">
        <v>2772</v>
      </c>
      <c r="B1812" s="1">
        <v>46076</v>
      </c>
      <c r="C1812" t="s">
        <v>53</v>
      </c>
      <c r="D1812" t="s">
        <v>25</v>
      </c>
      <c r="E1812" t="s">
        <v>26</v>
      </c>
      <c r="F1812" t="s">
        <v>101</v>
      </c>
      <c r="G1812" t="s">
        <v>102</v>
      </c>
      <c r="H1812" t="s">
        <v>103</v>
      </c>
      <c r="I1812" t="s">
        <v>104</v>
      </c>
      <c r="J1812" t="s">
        <v>140</v>
      </c>
      <c r="K1812" t="s">
        <v>32</v>
      </c>
      <c r="L1812" t="s">
        <v>46</v>
      </c>
      <c r="M1812" t="s">
        <v>68</v>
      </c>
      <c r="N1812" t="s">
        <v>35</v>
      </c>
      <c r="O1812" t="s">
        <v>70</v>
      </c>
      <c r="P1812" t="s">
        <v>37</v>
      </c>
      <c r="Q1812" t="s">
        <v>50</v>
      </c>
      <c r="R1812">
        <v>435</v>
      </c>
      <c r="S1812">
        <v>180</v>
      </c>
      <c r="T1812">
        <v>108</v>
      </c>
      <c r="U1812">
        <v>23</v>
      </c>
      <c r="V1812" t="s">
        <v>727</v>
      </c>
      <c r="W1812">
        <v>31362</v>
      </c>
      <c r="X1812" t="s">
        <v>7297</v>
      </c>
      <c r="Y1812">
        <v>27940</v>
      </c>
      <c r="Z1812">
        <v>721326</v>
      </c>
      <c r="AA1812">
        <v>78706</v>
      </c>
      <c r="AB1812" t="str">
        <f>(VLOOKUP(SalesData[[#This Row],[Month Number]],Reference!C$5:E$16,2,FALSE))</f>
        <v>Feb</v>
      </c>
      <c r="AC1812">
        <f>MONTH(SalesData[[#This Row],[Date]])</f>
        <v>2</v>
      </c>
      <c r="AD1812">
        <f>Reference!F$4</f>
        <v>2026</v>
      </c>
      <c r="AE1812" t="str">
        <f>IF(OR(SalesData[[#This Row],[Day]]="Saturday",SalesData[[#This Row],[Day]]="Sunday"),"Weekend","Weekday")</f>
        <v>Weekday</v>
      </c>
      <c r="AF1812" s="5">
        <f>IF(SalesData[[#This Row],[Contracts Offered]]=0,0,SalesData[[#This Row],[Contracts Signed]]/SalesData[[#This Row],[Contracts Offered]])</f>
        <v>0.21296296296296297</v>
      </c>
      <c r="AG1812" s="5">
        <f>IF(SalesData[[#This Row],[Customers Visited]]=0,0,SalesData[[#This Row],[Test Drives]]/SalesData[[#This Row],[Customers Visited]])</f>
        <v>0.41379310344827586</v>
      </c>
      <c r="AH1812" s="5">
        <f>IF(SalesData[[#This Row],[Customers Visited]]=0,0,SalesData[[#This Row],[Contracts Signed]]/SalesData[[#This Row],[Customers Visited]])</f>
        <v>5.2873563218390804E-2</v>
      </c>
      <c r="AI1812" s="6">
        <f>IF(SalesData[[#This Row],[Contracts Signed]]=0,0,SalesData[[#This Row],[Profit(€)]]/SalesData[[#This Row],[Contracts Signed]])</f>
        <v>3422</v>
      </c>
      <c r="AJ1812" s="5" t="str">
        <f>TRIM(CLEAN(SalesData[[#This Row],[Retailer]]))</f>
        <v>Ruhr Auto Plaza</v>
      </c>
    </row>
    <row r="1813" spans="1:36" ht="14.25" x14ac:dyDescent="0.2">
      <c r="A1813" t="s">
        <v>2773</v>
      </c>
      <c r="B1813" s="1">
        <v>46067</v>
      </c>
      <c r="C1813" t="s">
        <v>121</v>
      </c>
      <c r="D1813" t="s">
        <v>151</v>
      </c>
      <c r="E1813" t="s">
        <v>42</v>
      </c>
      <c r="F1813" t="s">
        <v>101</v>
      </c>
      <c r="G1813" t="s">
        <v>102</v>
      </c>
      <c r="H1813" t="s">
        <v>103</v>
      </c>
      <c r="I1813" t="s">
        <v>30</v>
      </c>
      <c r="J1813" t="s">
        <v>86</v>
      </c>
      <c r="K1813" t="s">
        <v>66</v>
      </c>
      <c r="L1813" t="s">
        <v>33</v>
      </c>
      <c r="M1813" t="s">
        <v>47</v>
      </c>
      <c r="N1813" t="s">
        <v>35</v>
      </c>
      <c r="O1813" t="s">
        <v>70</v>
      </c>
      <c r="P1813" t="s">
        <v>58</v>
      </c>
      <c r="Q1813" t="s">
        <v>158</v>
      </c>
      <c r="R1813">
        <v>148</v>
      </c>
      <c r="S1813">
        <v>84</v>
      </c>
      <c r="T1813">
        <v>65</v>
      </c>
      <c r="U1813">
        <v>25</v>
      </c>
      <c r="V1813" t="s">
        <v>7482</v>
      </c>
      <c r="W1813">
        <v>53835</v>
      </c>
      <c r="X1813" t="s">
        <v>80</v>
      </c>
      <c r="Y1813">
        <v>39400</v>
      </c>
      <c r="Z1813">
        <v>1345875</v>
      </c>
      <c r="AA1813">
        <v>360875</v>
      </c>
      <c r="AB1813" t="str">
        <f>(VLOOKUP(SalesData[[#This Row],[Month Number]],Reference!C$5:E$16,2,FALSE))</f>
        <v>Feb</v>
      </c>
      <c r="AC1813">
        <f>MONTH(SalesData[[#This Row],[Date]])</f>
        <v>2</v>
      </c>
      <c r="AD1813">
        <f>Reference!F$4</f>
        <v>2026</v>
      </c>
      <c r="AE1813" t="str">
        <f>IF(OR(SalesData[[#This Row],[Day]]="Saturday",SalesData[[#This Row],[Day]]="Sunday"),"Weekend","Weekday")</f>
        <v>Weekend</v>
      </c>
      <c r="AF1813" s="5">
        <f>IF(SalesData[[#This Row],[Contracts Offered]]=0,0,SalesData[[#This Row],[Contracts Signed]]/SalesData[[#This Row],[Contracts Offered]])</f>
        <v>0.38461538461538464</v>
      </c>
      <c r="AG1813" s="5">
        <f>IF(SalesData[[#This Row],[Customers Visited]]=0,0,SalesData[[#This Row],[Test Drives]]/SalesData[[#This Row],[Customers Visited]])</f>
        <v>0.56756756756756754</v>
      </c>
      <c r="AH1813" s="5">
        <f>IF(SalesData[[#This Row],[Customers Visited]]=0,0,SalesData[[#This Row],[Contracts Signed]]/SalesData[[#This Row],[Customers Visited]])</f>
        <v>0.16891891891891891</v>
      </c>
      <c r="AI1813" s="6">
        <f>IF(SalesData[[#This Row],[Contracts Signed]]=0,0,SalesData[[#This Row],[Profit(€)]]/SalesData[[#This Row],[Contracts Signed]])</f>
        <v>14435</v>
      </c>
      <c r="AJ1813" s="5" t="str">
        <f>TRIM(CLEAN(SalesData[[#This Row],[Retailer]]))</f>
        <v>Ruhr Auto Plaza</v>
      </c>
    </row>
    <row r="1814" spans="1:36" ht="14.25" hidden="1" x14ac:dyDescent="0.2">
      <c r="A1814" t="s">
        <v>2775</v>
      </c>
      <c r="B1814" s="1">
        <v>46063</v>
      </c>
      <c r="C1814" t="s">
        <v>121</v>
      </c>
      <c r="D1814" t="s">
        <v>63</v>
      </c>
      <c r="E1814" t="s">
        <v>26</v>
      </c>
      <c r="F1814" t="s">
        <v>43</v>
      </c>
      <c r="G1814" t="s">
        <v>44</v>
      </c>
      <c r="H1814" t="s">
        <v>45</v>
      </c>
      <c r="I1814" t="s">
        <v>64</v>
      </c>
      <c r="J1814" t="s">
        <v>157</v>
      </c>
      <c r="K1814" t="s">
        <v>32</v>
      </c>
      <c r="L1814" t="s">
        <v>33</v>
      </c>
      <c r="M1814" t="s">
        <v>47</v>
      </c>
      <c r="N1814" t="s">
        <v>48</v>
      </c>
      <c r="O1814" t="s">
        <v>36</v>
      </c>
      <c r="P1814" t="s">
        <v>71</v>
      </c>
      <c r="Q1814" t="s">
        <v>106</v>
      </c>
      <c r="R1814">
        <v>234</v>
      </c>
      <c r="S1814">
        <v>133</v>
      </c>
      <c r="T1814">
        <v>89</v>
      </c>
      <c r="U1814">
        <v>31</v>
      </c>
      <c r="V1814" t="s">
        <v>6553</v>
      </c>
      <c r="W1814">
        <v>72902</v>
      </c>
      <c r="X1814" t="s">
        <v>7258</v>
      </c>
      <c r="Y1814">
        <v>55028</v>
      </c>
      <c r="Z1814">
        <v>2259962</v>
      </c>
      <c r="AA1814">
        <v>554094</v>
      </c>
      <c r="AB1814" t="str">
        <f>(VLOOKUP(SalesData[[#This Row],[Month Number]],Reference!C$5:E$16,2,FALSE))</f>
        <v>Feb</v>
      </c>
      <c r="AC1814">
        <f>MONTH(SalesData[[#This Row],[Date]])</f>
        <v>2</v>
      </c>
      <c r="AD1814">
        <f>Reference!F$4</f>
        <v>2026</v>
      </c>
      <c r="AE1814" t="str">
        <f>IF(OR(SalesData[[#This Row],[Day]]="Saturday",SalesData[[#This Row],[Day]]="Sunday"),"Weekend","Weekday")</f>
        <v>Weekday</v>
      </c>
      <c r="AF1814" s="5">
        <f>IF(SalesData[[#This Row],[Contracts Offered]]=0,0,SalesData[[#This Row],[Contracts Signed]]/SalesData[[#This Row],[Contracts Offered]])</f>
        <v>0.34831460674157305</v>
      </c>
      <c r="AG1814" s="5">
        <f>IF(SalesData[[#This Row],[Customers Visited]]=0,0,SalesData[[#This Row],[Test Drives]]/SalesData[[#This Row],[Customers Visited]])</f>
        <v>0.56837606837606836</v>
      </c>
      <c r="AH1814" s="5">
        <f>IF(SalesData[[#This Row],[Customers Visited]]=0,0,SalesData[[#This Row],[Contracts Signed]]/SalesData[[#This Row],[Customers Visited]])</f>
        <v>0.13247863247863248</v>
      </c>
      <c r="AI1814" s="6">
        <f>IF(SalesData[[#This Row],[Contracts Signed]]=0,0,SalesData[[#This Row],[Profit(€)]]/SalesData[[#This Row],[Contracts Signed]])</f>
        <v>17874</v>
      </c>
      <c r="AJ1814" s="5" t="str">
        <f>TRIM(CLEAN(SalesData[[#This Row],[Retailer]]))</f>
        <v>Saxon Wheels</v>
      </c>
    </row>
    <row r="1815" spans="1:36" ht="14.25" hidden="1" x14ac:dyDescent="0.2">
      <c r="A1815" t="s">
        <v>2776</v>
      </c>
      <c r="B1815" s="1">
        <v>46065</v>
      </c>
      <c r="C1815" t="s">
        <v>121</v>
      </c>
      <c r="D1815" t="s">
        <v>100</v>
      </c>
      <c r="E1815" t="s">
        <v>26</v>
      </c>
      <c r="F1815" t="s">
        <v>7649</v>
      </c>
      <c r="G1815" t="s">
        <v>55</v>
      </c>
      <c r="H1815" t="s">
        <v>55</v>
      </c>
      <c r="I1815" t="s">
        <v>116</v>
      </c>
      <c r="J1815" t="s">
        <v>132</v>
      </c>
      <c r="K1815" t="s">
        <v>91</v>
      </c>
      <c r="L1815" t="s">
        <v>46</v>
      </c>
      <c r="M1815" t="s">
        <v>34</v>
      </c>
      <c r="N1815" t="s">
        <v>35</v>
      </c>
      <c r="O1815" t="s">
        <v>36</v>
      </c>
      <c r="P1815" t="s">
        <v>71</v>
      </c>
      <c r="Q1815" t="s">
        <v>144</v>
      </c>
      <c r="R1815">
        <v>402</v>
      </c>
      <c r="S1815">
        <v>224</v>
      </c>
      <c r="T1815">
        <v>133</v>
      </c>
      <c r="U1815">
        <v>39</v>
      </c>
      <c r="V1815" t="s">
        <v>7015</v>
      </c>
      <c r="W1815">
        <v>21889</v>
      </c>
      <c r="X1815" t="s">
        <v>269</v>
      </c>
      <c r="Y1815">
        <v>20039</v>
      </c>
      <c r="Z1815">
        <v>853671</v>
      </c>
      <c r="AA1815">
        <v>72150</v>
      </c>
      <c r="AB1815" t="str">
        <f>(VLOOKUP(SalesData[[#This Row],[Month Number]],Reference!C$5:E$16,2,FALSE))</f>
        <v>Feb</v>
      </c>
      <c r="AC1815">
        <f>MONTH(SalesData[[#This Row],[Date]])</f>
        <v>2</v>
      </c>
      <c r="AD1815">
        <f>Reference!F$4</f>
        <v>2026</v>
      </c>
      <c r="AE1815" t="str">
        <f>IF(OR(SalesData[[#This Row],[Day]]="Saturday",SalesData[[#This Row],[Day]]="Sunday"),"Weekend","Weekday")</f>
        <v>Weekday</v>
      </c>
      <c r="AF1815" s="5">
        <f>IF(SalesData[[#This Row],[Contracts Offered]]=0,0,SalesData[[#This Row],[Contracts Signed]]/SalesData[[#This Row],[Contracts Offered]])</f>
        <v>0.2932330827067669</v>
      </c>
      <c r="AG1815" s="5">
        <f>IF(SalesData[[#This Row],[Customers Visited]]=0,0,SalesData[[#This Row],[Test Drives]]/SalesData[[#This Row],[Customers Visited]])</f>
        <v>0.55721393034825872</v>
      </c>
      <c r="AH1815" s="5">
        <f>IF(SalesData[[#This Row],[Customers Visited]]=0,0,SalesData[[#This Row],[Contracts Signed]]/SalesData[[#This Row],[Customers Visited]])</f>
        <v>9.7014925373134331E-2</v>
      </c>
      <c r="AI1815" s="6">
        <f>IF(SalesData[[#This Row],[Contracts Signed]]=0,0,SalesData[[#This Row],[Profit(€)]]/SalesData[[#This Row],[Contracts Signed]])</f>
        <v>1850</v>
      </c>
      <c r="AJ1815" s="5" t="str">
        <f>TRIM(CLEAN(SalesData[[#This Row],[Retailer]]))</f>
        <v>Autohaus Berlin</v>
      </c>
    </row>
    <row r="1816" spans="1:36" ht="14.25" x14ac:dyDescent="0.2">
      <c r="A1816" t="s">
        <v>2777</v>
      </c>
      <c r="B1816" s="1">
        <v>46060</v>
      </c>
      <c r="C1816" t="s">
        <v>24</v>
      </c>
      <c r="D1816" t="s">
        <v>151</v>
      </c>
      <c r="E1816" t="s">
        <v>42</v>
      </c>
      <c r="F1816" t="s">
        <v>27</v>
      </c>
      <c r="G1816" t="s">
        <v>28</v>
      </c>
      <c r="H1816" t="s">
        <v>29</v>
      </c>
      <c r="I1816" t="s">
        <v>30</v>
      </c>
      <c r="J1816" t="s">
        <v>7075</v>
      </c>
      <c r="K1816" t="s">
        <v>66</v>
      </c>
      <c r="L1816" t="s">
        <v>33</v>
      </c>
      <c r="M1816" t="s">
        <v>87</v>
      </c>
      <c r="N1816" t="s">
        <v>69</v>
      </c>
      <c r="O1816" t="s">
        <v>36</v>
      </c>
      <c r="P1816" t="s">
        <v>49</v>
      </c>
      <c r="Q1816" t="s">
        <v>59</v>
      </c>
      <c r="R1816">
        <v>154</v>
      </c>
      <c r="S1816">
        <v>88</v>
      </c>
      <c r="T1816">
        <v>69</v>
      </c>
      <c r="U1816">
        <v>23</v>
      </c>
      <c r="V1816" t="s">
        <v>6775</v>
      </c>
      <c r="W1816">
        <v>63859</v>
      </c>
      <c r="X1816" t="s">
        <v>7089</v>
      </c>
      <c r="Y1816">
        <v>47997</v>
      </c>
      <c r="Z1816">
        <v>1468757</v>
      </c>
      <c r="AA1816">
        <v>364826</v>
      </c>
      <c r="AB1816" t="str">
        <f>(VLOOKUP(SalesData[[#This Row],[Month Number]],Reference!C$5:E$16,2,FALSE))</f>
        <v>Feb</v>
      </c>
      <c r="AC1816">
        <f>MONTH(SalesData[[#This Row],[Date]])</f>
        <v>2</v>
      </c>
      <c r="AD1816">
        <f>Reference!F$4</f>
        <v>2026</v>
      </c>
      <c r="AE1816" t="str">
        <f>IF(OR(SalesData[[#This Row],[Day]]="Saturday",SalesData[[#This Row],[Day]]="Sunday"),"Weekend","Weekday")</f>
        <v>Weekend</v>
      </c>
      <c r="AF1816" s="5">
        <f>IF(SalesData[[#This Row],[Contracts Offered]]=0,0,SalesData[[#This Row],[Contracts Signed]]/SalesData[[#This Row],[Contracts Offered]])</f>
        <v>0.33333333333333331</v>
      </c>
      <c r="AG1816" s="5">
        <f>IF(SalesData[[#This Row],[Customers Visited]]=0,0,SalesData[[#This Row],[Test Drives]]/SalesData[[#This Row],[Customers Visited]])</f>
        <v>0.5714285714285714</v>
      </c>
      <c r="AH1816" s="5">
        <f>IF(SalesData[[#This Row],[Customers Visited]]=0,0,SalesData[[#This Row],[Contracts Signed]]/SalesData[[#This Row],[Customers Visited]])</f>
        <v>0.14935064935064934</v>
      </c>
      <c r="AI1816" s="6">
        <f>IF(SalesData[[#This Row],[Contracts Signed]]=0,0,SalesData[[#This Row],[Profit(€)]]/SalesData[[#This Row],[Contracts Signed]])</f>
        <v>15862</v>
      </c>
      <c r="AJ1816" s="5" t="str">
        <f>TRIM(CLEAN(SalesData[[#This Row],[Retailer]]))</f>
        <v>Main Auto Hub</v>
      </c>
    </row>
    <row r="1817" spans="1:36" ht="14.25" hidden="1" x14ac:dyDescent="0.2">
      <c r="A1817" t="s">
        <v>2778</v>
      </c>
      <c r="B1817" s="1">
        <v>46080</v>
      </c>
      <c r="C1817" t="s">
        <v>53</v>
      </c>
      <c r="D1817" t="s">
        <v>54</v>
      </c>
      <c r="E1817" t="s">
        <v>26</v>
      </c>
      <c r="F1817" t="s">
        <v>27</v>
      </c>
      <c r="G1817" t="s">
        <v>28</v>
      </c>
      <c r="H1817" t="s">
        <v>29</v>
      </c>
      <c r="I1817" t="s">
        <v>104</v>
      </c>
      <c r="J1817" t="s">
        <v>143</v>
      </c>
      <c r="K1817" t="s">
        <v>66</v>
      </c>
      <c r="L1817" t="s">
        <v>67</v>
      </c>
      <c r="M1817" t="s">
        <v>87</v>
      </c>
      <c r="N1817" t="s">
        <v>69</v>
      </c>
      <c r="O1817" t="s">
        <v>70</v>
      </c>
      <c r="P1817" t="s">
        <v>58</v>
      </c>
      <c r="Q1817" t="s">
        <v>135</v>
      </c>
      <c r="R1817">
        <v>399</v>
      </c>
      <c r="S1817">
        <v>208</v>
      </c>
      <c r="T1817">
        <v>132</v>
      </c>
      <c r="U1817">
        <v>38</v>
      </c>
      <c r="V1817" t="s">
        <v>2189</v>
      </c>
      <c r="W1817">
        <v>27928</v>
      </c>
      <c r="X1817" t="s">
        <v>2138</v>
      </c>
      <c r="Y1817">
        <v>24391</v>
      </c>
      <c r="Z1817">
        <v>1061264</v>
      </c>
      <c r="AA1817">
        <v>134406</v>
      </c>
      <c r="AB1817" t="str">
        <f>(VLOOKUP(SalesData[[#This Row],[Month Number]],Reference!C$5:E$16,2,FALSE))</f>
        <v>Feb</v>
      </c>
      <c r="AC1817">
        <f>MONTH(SalesData[[#This Row],[Date]])</f>
        <v>2</v>
      </c>
      <c r="AD1817">
        <f>Reference!F$4</f>
        <v>2026</v>
      </c>
      <c r="AE1817" t="str">
        <f>IF(OR(SalesData[[#This Row],[Day]]="Saturday",SalesData[[#This Row],[Day]]="Sunday"),"Weekend","Weekday")</f>
        <v>Weekday</v>
      </c>
      <c r="AF1817" s="5">
        <f>IF(SalesData[[#This Row],[Contracts Offered]]=0,0,SalesData[[#This Row],[Contracts Signed]]/SalesData[[#This Row],[Contracts Offered]])</f>
        <v>0.2878787878787879</v>
      </c>
      <c r="AG1817" s="5">
        <f>IF(SalesData[[#This Row],[Customers Visited]]=0,0,SalesData[[#This Row],[Test Drives]]/SalesData[[#This Row],[Customers Visited]])</f>
        <v>0.52130325814536338</v>
      </c>
      <c r="AH1817" s="5">
        <f>IF(SalesData[[#This Row],[Customers Visited]]=0,0,SalesData[[#This Row],[Contracts Signed]]/SalesData[[#This Row],[Customers Visited]])</f>
        <v>9.5238095238095233E-2</v>
      </c>
      <c r="AI1817" s="6">
        <f>IF(SalesData[[#This Row],[Contracts Signed]]=0,0,SalesData[[#This Row],[Profit(€)]]/SalesData[[#This Row],[Contracts Signed]])</f>
        <v>3537</v>
      </c>
      <c r="AJ1817" s="5" t="str">
        <f>TRIM(CLEAN(SalesData[[#This Row],[Retailer]]))</f>
        <v>Main Auto Hub</v>
      </c>
    </row>
    <row r="1818" spans="1:36" ht="14.25" hidden="1" x14ac:dyDescent="0.2">
      <c r="A1818" t="s">
        <v>2779</v>
      </c>
      <c r="B1818" s="1">
        <v>46066</v>
      </c>
      <c r="C1818" t="s">
        <v>121</v>
      </c>
      <c r="D1818" t="s">
        <v>54</v>
      </c>
      <c r="E1818" t="s">
        <v>26</v>
      </c>
      <c r="F1818" t="s">
        <v>83</v>
      </c>
      <c r="G1818" t="s">
        <v>84</v>
      </c>
      <c r="H1818" t="s">
        <v>85</v>
      </c>
      <c r="I1818" t="s">
        <v>56</v>
      </c>
      <c r="J1818" t="s">
        <v>7028</v>
      </c>
      <c r="K1818" t="s">
        <v>78</v>
      </c>
      <c r="L1818" t="s">
        <v>46</v>
      </c>
      <c r="M1818" t="s">
        <v>68</v>
      </c>
      <c r="N1818" t="s">
        <v>48</v>
      </c>
      <c r="O1818" t="s">
        <v>36</v>
      </c>
      <c r="P1818" t="s">
        <v>37</v>
      </c>
      <c r="Q1818" t="s">
        <v>204</v>
      </c>
      <c r="R1818">
        <v>320</v>
      </c>
      <c r="S1818">
        <v>154</v>
      </c>
      <c r="T1818">
        <v>116</v>
      </c>
      <c r="U1818">
        <v>33</v>
      </c>
      <c r="V1818" t="s">
        <v>6452</v>
      </c>
      <c r="W1818">
        <v>53881</v>
      </c>
      <c r="X1818" t="s">
        <v>7054</v>
      </c>
      <c r="Y1818">
        <v>40672</v>
      </c>
      <c r="Z1818">
        <v>1778073</v>
      </c>
      <c r="AA1818">
        <v>435897</v>
      </c>
      <c r="AB1818" t="str">
        <f>(VLOOKUP(SalesData[[#This Row],[Month Number]],Reference!C$5:E$16,2,FALSE))</f>
        <v>Feb</v>
      </c>
      <c r="AC1818">
        <f>MONTH(SalesData[[#This Row],[Date]])</f>
        <v>2</v>
      </c>
      <c r="AD1818">
        <f>Reference!F$4</f>
        <v>2026</v>
      </c>
      <c r="AE1818" t="str">
        <f>IF(OR(SalesData[[#This Row],[Day]]="Saturday",SalesData[[#This Row],[Day]]="Sunday"),"Weekend","Weekday")</f>
        <v>Weekday</v>
      </c>
      <c r="AF1818" s="5">
        <f>IF(SalesData[[#This Row],[Contracts Offered]]=0,0,SalesData[[#This Row],[Contracts Signed]]/SalesData[[#This Row],[Contracts Offered]])</f>
        <v>0.28448275862068967</v>
      </c>
      <c r="AG1818" s="5">
        <f>IF(SalesData[[#This Row],[Customers Visited]]=0,0,SalesData[[#This Row],[Test Drives]]/SalesData[[#This Row],[Customers Visited]])</f>
        <v>0.48125000000000001</v>
      </c>
      <c r="AH1818" s="5">
        <f>IF(SalesData[[#This Row],[Customers Visited]]=0,0,SalesData[[#This Row],[Contracts Signed]]/SalesData[[#This Row],[Customers Visited]])</f>
        <v>0.10312499999999999</v>
      </c>
      <c r="AI1818" s="6">
        <f>IF(SalesData[[#This Row],[Contracts Signed]]=0,0,SalesData[[#This Row],[Profit(€)]]/SalesData[[#This Row],[Contracts Signed]])</f>
        <v>13209</v>
      </c>
      <c r="AJ1818" s="5" t="str">
        <f>TRIM(CLEAN(SalesData[[#This Row],[Retailer]]))</f>
        <v>Hannover Cars</v>
      </c>
    </row>
    <row r="1819" spans="1:36" ht="14.25" hidden="1" x14ac:dyDescent="0.2">
      <c r="A1819" t="s">
        <v>2780</v>
      </c>
      <c r="B1819" s="1">
        <v>46070</v>
      </c>
      <c r="C1819" t="s">
        <v>62</v>
      </c>
      <c r="D1819" t="s">
        <v>63</v>
      </c>
      <c r="E1819" t="s">
        <v>26</v>
      </c>
      <c r="F1819" t="s">
        <v>127</v>
      </c>
      <c r="G1819" t="s">
        <v>128</v>
      </c>
      <c r="H1819" t="s">
        <v>103</v>
      </c>
      <c r="I1819" t="s">
        <v>56</v>
      </c>
      <c r="J1819" t="s">
        <v>7028</v>
      </c>
      <c r="K1819" t="s">
        <v>78</v>
      </c>
      <c r="L1819" t="s">
        <v>46</v>
      </c>
      <c r="M1819" t="s">
        <v>68</v>
      </c>
      <c r="N1819" t="s">
        <v>35</v>
      </c>
      <c r="O1819" t="s">
        <v>70</v>
      </c>
      <c r="P1819" t="s">
        <v>58</v>
      </c>
      <c r="Q1819" t="s">
        <v>347</v>
      </c>
      <c r="R1819">
        <v>225</v>
      </c>
      <c r="S1819">
        <v>116</v>
      </c>
      <c r="T1819">
        <v>84</v>
      </c>
      <c r="U1819">
        <v>29</v>
      </c>
      <c r="V1819" t="s">
        <v>6403</v>
      </c>
      <c r="W1819">
        <v>49082</v>
      </c>
      <c r="X1819" t="s">
        <v>80</v>
      </c>
      <c r="Y1819">
        <v>37458</v>
      </c>
      <c r="Z1819">
        <v>1423378</v>
      </c>
      <c r="AA1819">
        <v>337096</v>
      </c>
      <c r="AB1819" t="str">
        <f>(VLOOKUP(SalesData[[#This Row],[Month Number]],Reference!C$5:E$16,2,FALSE))</f>
        <v>Feb</v>
      </c>
      <c r="AC1819">
        <f>MONTH(SalesData[[#This Row],[Date]])</f>
        <v>2</v>
      </c>
      <c r="AD1819">
        <f>Reference!F$4</f>
        <v>2026</v>
      </c>
      <c r="AE1819" t="str">
        <f>IF(OR(SalesData[[#This Row],[Day]]="Saturday",SalesData[[#This Row],[Day]]="Sunday"),"Weekend","Weekday")</f>
        <v>Weekday</v>
      </c>
      <c r="AF1819" s="5">
        <f>IF(SalesData[[#This Row],[Contracts Offered]]=0,0,SalesData[[#This Row],[Contracts Signed]]/SalesData[[#This Row],[Contracts Offered]])</f>
        <v>0.34523809523809523</v>
      </c>
      <c r="AG1819" s="5">
        <f>IF(SalesData[[#This Row],[Customers Visited]]=0,0,SalesData[[#This Row],[Test Drives]]/SalesData[[#This Row],[Customers Visited]])</f>
        <v>0.51555555555555554</v>
      </c>
      <c r="AH1819" s="5">
        <f>IF(SalesData[[#This Row],[Customers Visited]]=0,0,SalesData[[#This Row],[Contracts Signed]]/SalesData[[#This Row],[Customers Visited]])</f>
        <v>0.12888888888888889</v>
      </c>
      <c r="AI1819" s="6">
        <f>IF(SalesData[[#This Row],[Contracts Signed]]=0,0,SalesData[[#This Row],[Profit(€)]]/SalesData[[#This Row],[Contracts Signed]])</f>
        <v>11624</v>
      </c>
      <c r="AJ1819" s="5" t="str">
        <f>TRIM(CLEAN(SalesData[[#This Row],[Retailer]]))</f>
        <v>Rhein Auto Group</v>
      </c>
    </row>
    <row r="1820" spans="1:36" ht="14.25" hidden="1" x14ac:dyDescent="0.2">
      <c r="A1820" t="s">
        <v>2781</v>
      </c>
      <c r="B1820" s="1">
        <v>46056</v>
      </c>
      <c r="C1820" t="s">
        <v>24</v>
      </c>
      <c r="D1820" t="s">
        <v>63</v>
      </c>
      <c r="E1820" t="s">
        <v>26</v>
      </c>
      <c r="F1820" t="s">
        <v>74</v>
      </c>
      <c r="G1820" t="s">
        <v>75</v>
      </c>
      <c r="H1820" t="s">
        <v>76</v>
      </c>
      <c r="I1820" t="s">
        <v>56</v>
      </c>
      <c r="J1820" t="s">
        <v>57</v>
      </c>
      <c r="K1820" t="s">
        <v>66</v>
      </c>
      <c r="L1820" t="s">
        <v>46</v>
      </c>
      <c r="M1820" t="s">
        <v>87</v>
      </c>
      <c r="N1820" t="s">
        <v>35</v>
      </c>
      <c r="O1820" t="s">
        <v>70</v>
      </c>
      <c r="P1820" t="s">
        <v>58</v>
      </c>
      <c r="Q1820" t="s">
        <v>169</v>
      </c>
      <c r="R1820">
        <v>285</v>
      </c>
      <c r="S1820">
        <v>159</v>
      </c>
      <c r="T1820">
        <v>106</v>
      </c>
      <c r="U1820">
        <v>38</v>
      </c>
      <c r="V1820" t="s">
        <v>6934</v>
      </c>
      <c r="W1820">
        <v>45763</v>
      </c>
      <c r="X1820" t="s">
        <v>7483</v>
      </c>
      <c r="Y1820">
        <v>34673</v>
      </c>
      <c r="Z1820">
        <v>1738994</v>
      </c>
      <c r="AA1820">
        <v>421420</v>
      </c>
      <c r="AB1820" t="str">
        <f>(VLOOKUP(SalesData[[#This Row],[Month Number]],Reference!C$5:E$16,2,FALSE))</f>
        <v>Feb</v>
      </c>
      <c r="AC1820">
        <f>MONTH(SalesData[[#This Row],[Date]])</f>
        <v>2</v>
      </c>
      <c r="AD1820">
        <f>Reference!F$4</f>
        <v>2026</v>
      </c>
      <c r="AE1820" t="str">
        <f>IF(OR(SalesData[[#This Row],[Day]]="Saturday",SalesData[[#This Row],[Day]]="Sunday"),"Weekend","Weekday")</f>
        <v>Weekday</v>
      </c>
      <c r="AF1820" s="5">
        <f>IF(SalesData[[#This Row],[Contracts Offered]]=0,0,SalesData[[#This Row],[Contracts Signed]]/SalesData[[#This Row],[Contracts Offered]])</f>
        <v>0.35849056603773582</v>
      </c>
      <c r="AG1820" s="5">
        <f>IF(SalesData[[#This Row],[Customers Visited]]=0,0,SalesData[[#This Row],[Test Drives]]/SalesData[[#This Row],[Customers Visited]])</f>
        <v>0.55789473684210522</v>
      </c>
      <c r="AH1820" s="5">
        <f>IF(SalesData[[#This Row],[Customers Visited]]=0,0,SalesData[[#This Row],[Contracts Signed]]/SalesData[[#This Row],[Customers Visited]])</f>
        <v>0.13333333333333333</v>
      </c>
      <c r="AI1820" s="6">
        <f>IF(SalesData[[#This Row],[Contracts Signed]]=0,0,SalesData[[#This Row],[Profit(€)]]/SalesData[[#This Row],[Contracts Signed]])</f>
        <v>11090</v>
      </c>
      <c r="AJ1820" s="5" t="str">
        <f>TRIM(CLEAN(SalesData[[#This Row],[Retailer]]))</f>
        <v>Stuttgart Auto Center</v>
      </c>
    </row>
    <row r="1821" spans="1:36" ht="14.25" hidden="1" x14ac:dyDescent="0.2">
      <c r="A1821" t="s">
        <v>2783</v>
      </c>
      <c r="B1821" s="1">
        <v>46072</v>
      </c>
      <c r="C1821" t="s">
        <v>62</v>
      </c>
      <c r="D1821" t="s">
        <v>100</v>
      </c>
      <c r="E1821" t="s">
        <v>26</v>
      </c>
      <c r="F1821" t="s">
        <v>27</v>
      </c>
      <c r="G1821" t="s">
        <v>28</v>
      </c>
      <c r="H1821" t="s">
        <v>29</v>
      </c>
      <c r="I1821" t="s">
        <v>104</v>
      </c>
      <c r="J1821" t="s">
        <v>140</v>
      </c>
      <c r="K1821" t="s">
        <v>91</v>
      </c>
      <c r="L1821" t="s">
        <v>46</v>
      </c>
      <c r="M1821" t="s">
        <v>87</v>
      </c>
      <c r="N1821" t="s">
        <v>48</v>
      </c>
      <c r="O1821" t="s">
        <v>70</v>
      </c>
      <c r="P1821" t="s">
        <v>49</v>
      </c>
      <c r="Q1821" t="s">
        <v>129</v>
      </c>
      <c r="R1821">
        <v>519</v>
      </c>
      <c r="S1821">
        <v>267</v>
      </c>
      <c r="T1821">
        <v>164</v>
      </c>
      <c r="U1821">
        <v>36</v>
      </c>
      <c r="V1821" t="s">
        <v>2831</v>
      </c>
      <c r="W1821">
        <v>29772</v>
      </c>
      <c r="X1821" t="s">
        <v>4401</v>
      </c>
      <c r="Y1821">
        <v>25695</v>
      </c>
      <c r="Z1821">
        <v>1071792</v>
      </c>
      <c r="AA1821">
        <v>146772</v>
      </c>
      <c r="AB1821" t="str">
        <f>(VLOOKUP(SalesData[[#This Row],[Month Number]],Reference!C$5:E$16,2,FALSE))</f>
        <v>Feb</v>
      </c>
      <c r="AC1821">
        <f>MONTH(SalesData[[#This Row],[Date]])</f>
        <v>2</v>
      </c>
      <c r="AD1821">
        <f>Reference!F$4</f>
        <v>2026</v>
      </c>
      <c r="AE1821" t="str">
        <f>IF(OR(SalesData[[#This Row],[Day]]="Saturday",SalesData[[#This Row],[Day]]="Sunday"),"Weekend","Weekday")</f>
        <v>Weekday</v>
      </c>
      <c r="AF1821" s="5">
        <f>IF(SalesData[[#This Row],[Contracts Offered]]=0,0,SalesData[[#This Row],[Contracts Signed]]/SalesData[[#This Row],[Contracts Offered]])</f>
        <v>0.21951219512195122</v>
      </c>
      <c r="AG1821" s="5">
        <f>IF(SalesData[[#This Row],[Customers Visited]]=0,0,SalesData[[#This Row],[Test Drives]]/SalesData[[#This Row],[Customers Visited]])</f>
        <v>0.51445086705202314</v>
      </c>
      <c r="AH1821" s="5">
        <f>IF(SalesData[[#This Row],[Customers Visited]]=0,0,SalesData[[#This Row],[Contracts Signed]]/SalesData[[#This Row],[Customers Visited]])</f>
        <v>6.9364161849710976E-2</v>
      </c>
      <c r="AI1821" s="6">
        <f>IF(SalesData[[#This Row],[Contracts Signed]]=0,0,SalesData[[#This Row],[Profit(€)]]/SalesData[[#This Row],[Contracts Signed]])</f>
        <v>4077</v>
      </c>
      <c r="AJ1821" s="5" t="str">
        <f>TRIM(CLEAN(SalesData[[#This Row],[Retailer]]))</f>
        <v>Main Auto Hub</v>
      </c>
    </row>
    <row r="1822" spans="1:36" ht="14.25" hidden="1" x14ac:dyDescent="0.2">
      <c r="A1822" t="s">
        <v>2784</v>
      </c>
      <c r="B1822" s="1">
        <v>46054</v>
      </c>
      <c r="C1822" t="s">
        <v>24</v>
      </c>
      <c r="D1822" t="s">
        <v>41</v>
      </c>
      <c r="E1822" t="s">
        <v>42</v>
      </c>
      <c r="F1822" t="s">
        <v>109</v>
      </c>
      <c r="G1822" t="s">
        <v>110</v>
      </c>
      <c r="H1822" t="s">
        <v>45</v>
      </c>
      <c r="I1822" t="s">
        <v>56</v>
      </c>
      <c r="J1822" t="s">
        <v>137</v>
      </c>
      <c r="K1822" t="s">
        <v>66</v>
      </c>
      <c r="L1822" t="s">
        <v>46</v>
      </c>
      <c r="M1822" t="s">
        <v>34</v>
      </c>
      <c r="N1822" t="s">
        <v>48</v>
      </c>
      <c r="O1822" t="s">
        <v>36</v>
      </c>
      <c r="P1822" t="s">
        <v>58</v>
      </c>
      <c r="Q1822" t="s">
        <v>118</v>
      </c>
      <c r="R1822">
        <v>247</v>
      </c>
      <c r="S1822">
        <v>152</v>
      </c>
      <c r="T1822">
        <v>106</v>
      </c>
      <c r="U1822">
        <v>41</v>
      </c>
      <c r="V1822" t="s">
        <v>6417</v>
      </c>
      <c r="W1822">
        <v>48213</v>
      </c>
      <c r="X1822" t="s">
        <v>2107</v>
      </c>
      <c r="Y1822">
        <v>37150</v>
      </c>
      <c r="Z1822">
        <v>1976733</v>
      </c>
      <c r="AA1822">
        <v>453583</v>
      </c>
      <c r="AB1822" t="str">
        <f>(VLOOKUP(SalesData[[#This Row],[Month Number]],Reference!C$5:E$16,2,FALSE))</f>
        <v>Feb</v>
      </c>
      <c r="AC1822">
        <f>MONTH(SalesData[[#This Row],[Date]])</f>
        <v>2</v>
      </c>
      <c r="AD1822">
        <f>Reference!F$4</f>
        <v>2026</v>
      </c>
      <c r="AE1822" t="str">
        <f>IF(OR(SalesData[[#This Row],[Day]]="Saturday",SalesData[[#This Row],[Day]]="Sunday"),"Weekend","Weekday")</f>
        <v>Weekend</v>
      </c>
      <c r="AF1822" s="5">
        <f>IF(SalesData[[#This Row],[Contracts Offered]]=0,0,SalesData[[#This Row],[Contracts Signed]]/SalesData[[#This Row],[Contracts Offered]])</f>
        <v>0.3867924528301887</v>
      </c>
      <c r="AG1822" s="5">
        <f>IF(SalesData[[#This Row],[Customers Visited]]=0,0,SalesData[[#This Row],[Test Drives]]/SalesData[[#This Row],[Customers Visited]])</f>
        <v>0.61538461538461542</v>
      </c>
      <c r="AH1822" s="5">
        <f>IF(SalesData[[#This Row],[Customers Visited]]=0,0,SalesData[[#This Row],[Contracts Signed]]/SalesData[[#This Row],[Customers Visited]])</f>
        <v>0.16599190283400811</v>
      </c>
      <c r="AI1822" s="6">
        <f>IF(SalesData[[#This Row],[Contracts Signed]]=0,0,SalesData[[#This Row],[Profit(€)]]/SalesData[[#This Row],[Contracts Signed]])</f>
        <v>11063</v>
      </c>
      <c r="AJ1822" s="5" t="str">
        <f>TRIM(CLEAN(SalesData[[#This Row],[Retailer]]))</f>
        <v>Leipzig Mobility</v>
      </c>
    </row>
    <row r="1823" spans="1:36" ht="14.25" hidden="1" x14ac:dyDescent="0.2">
      <c r="A1823" t="s">
        <v>2785</v>
      </c>
      <c r="B1823" s="1">
        <v>46076</v>
      </c>
      <c r="C1823" t="s">
        <v>53</v>
      </c>
      <c r="D1823" t="s">
        <v>25</v>
      </c>
      <c r="E1823" t="s">
        <v>26</v>
      </c>
      <c r="F1823" t="s">
        <v>7649</v>
      </c>
      <c r="G1823" t="s">
        <v>55</v>
      </c>
      <c r="H1823" t="s">
        <v>55</v>
      </c>
      <c r="I1823" t="s">
        <v>104</v>
      </c>
      <c r="J1823" t="s">
        <v>143</v>
      </c>
      <c r="K1823" t="s">
        <v>32</v>
      </c>
      <c r="L1823" t="s">
        <v>67</v>
      </c>
      <c r="M1823" t="s">
        <v>47</v>
      </c>
      <c r="N1823" t="s">
        <v>35</v>
      </c>
      <c r="O1823" t="s">
        <v>36</v>
      </c>
      <c r="P1823" t="s">
        <v>71</v>
      </c>
      <c r="Q1823" t="s">
        <v>50</v>
      </c>
      <c r="R1823">
        <v>484</v>
      </c>
      <c r="S1823">
        <v>246</v>
      </c>
      <c r="T1823">
        <v>150</v>
      </c>
      <c r="U1823">
        <v>50</v>
      </c>
      <c r="V1823" t="s">
        <v>6630</v>
      </c>
      <c r="W1823">
        <v>28836</v>
      </c>
      <c r="X1823" t="s">
        <v>1483</v>
      </c>
      <c r="Y1823">
        <v>25128</v>
      </c>
      <c r="Z1823">
        <v>1441800</v>
      </c>
      <c r="AA1823">
        <v>185400</v>
      </c>
      <c r="AB1823" t="str">
        <f>(VLOOKUP(SalesData[[#This Row],[Month Number]],Reference!C$5:E$16,2,FALSE))</f>
        <v>Feb</v>
      </c>
      <c r="AC1823">
        <f>MONTH(SalesData[[#This Row],[Date]])</f>
        <v>2</v>
      </c>
      <c r="AD1823">
        <f>Reference!F$4</f>
        <v>2026</v>
      </c>
      <c r="AE1823" t="str">
        <f>IF(OR(SalesData[[#This Row],[Day]]="Saturday",SalesData[[#This Row],[Day]]="Sunday"),"Weekend","Weekday")</f>
        <v>Weekday</v>
      </c>
      <c r="AF1823" s="5">
        <f>IF(SalesData[[#This Row],[Contracts Offered]]=0,0,SalesData[[#This Row],[Contracts Signed]]/SalesData[[#This Row],[Contracts Offered]])</f>
        <v>0.33333333333333331</v>
      </c>
      <c r="AG1823" s="5">
        <f>IF(SalesData[[#This Row],[Customers Visited]]=0,0,SalesData[[#This Row],[Test Drives]]/SalesData[[#This Row],[Customers Visited]])</f>
        <v>0.50826446280991733</v>
      </c>
      <c r="AH1823" s="5">
        <f>IF(SalesData[[#This Row],[Customers Visited]]=0,0,SalesData[[#This Row],[Contracts Signed]]/SalesData[[#This Row],[Customers Visited]])</f>
        <v>0.10330578512396695</v>
      </c>
      <c r="AI1823" s="6">
        <f>IF(SalesData[[#This Row],[Contracts Signed]]=0,0,SalesData[[#This Row],[Profit(€)]]/SalesData[[#This Row],[Contracts Signed]])</f>
        <v>3708</v>
      </c>
      <c r="AJ1823" s="5" t="str">
        <f>TRIM(CLEAN(SalesData[[#This Row],[Retailer]]))</f>
        <v>Autohaus Berlin</v>
      </c>
    </row>
    <row r="1824" spans="1:36" ht="14.25" hidden="1" x14ac:dyDescent="0.2">
      <c r="A1824" t="s">
        <v>2786</v>
      </c>
      <c r="B1824" s="1">
        <v>46081</v>
      </c>
      <c r="C1824" t="s">
        <v>53</v>
      </c>
      <c r="D1824" t="s">
        <v>151</v>
      </c>
      <c r="E1824" t="s">
        <v>42</v>
      </c>
      <c r="F1824" t="s">
        <v>74</v>
      </c>
      <c r="G1824" t="s">
        <v>75</v>
      </c>
      <c r="H1824" t="s">
        <v>76</v>
      </c>
      <c r="I1824" t="s">
        <v>116</v>
      </c>
      <c r="J1824" t="s">
        <v>117</v>
      </c>
      <c r="K1824" t="s">
        <v>78</v>
      </c>
      <c r="L1824" t="s">
        <v>67</v>
      </c>
      <c r="M1824" t="s">
        <v>68</v>
      </c>
      <c r="N1824" t="s">
        <v>35</v>
      </c>
      <c r="O1824" t="s">
        <v>36</v>
      </c>
      <c r="P1824" t="s">
        <v>71</v>
      </c>
      <c r="Q1824" t="s">
        <v>158</v>
      </c>
      <c r="R1824">
        <v>351</v>
      </c>
      <c r="S1824">
        <v>162</v>
      </c>
      <c r="T1824">
        <v>101</v>
      </c>
      <c r="U1824">
        <v>28</v>
      </c>
      <c r="V1824" t="s">
        <v>502</v>
      </c>
      <c r="W1824">
        <v>23412</v>
      </c>
      <c r="X1824" t="s">
        <v>4093</v>
      </c>
      <c r="Y1824">
        <v>21310</v>
      </c>
      <c r="Z1824">
        <v>655536</v>
      </c>
      <c r="AA1824">
        <v>58856</v>
      </c>
      <c r="AB1824" t="str">
        <f>(VLOOKUP(SalesData[[#This Row],[Month Number]],Reference!C$5:E$16,2,FALSE))</f>
        <v>Feb</v>
      </c>
      <c r="AC1824">
        <f>MONTH(SalesData[[#This Row],[Date]])</f>
        <v>2</v>
      </c>
      <c r="AD1824">
        <f>Reference!F$4</f>
        <v>2026</v>
      </c>
      <c r="AE1824" t="str">
        <f>IF(OR(SalesData[[#This Row],[Day]]="Saturday",SalesData[[#This Row],[Day]]="Sunday"),"Weekend","Weekday")</f>
        <v>Weekend</v>
      </c>
      <c r="AF1824" s="5">
        <f>IF(SalesData[[#This Row],[Contracts Offered]]=0,0,SalesData[[#This Row],[Contracts Signed]]/SalesData[[#This Row],[Contracts Offered]])</f>
        <v>0.27722772277227725</v>
      </c>
      <c r="AG1824" s="5">
        <f>IF(SalesData[[#This Row],[Customers Visited]]=0,0,SalesData[[#This Row],[Test Drives]]/SalesData[[#This Row],[Customers Visited]])</f>
        <v>0.46153846153846156</v>
      </c>
      <c r="AH1824" s="5">
        <f>IF(SalesData[[#This Row],[Customers Visited]]=0,0,SalesData[[#This Row],[Contracts Signed]]/SalesData[[#This Row],[Customers Visited]])</f>
        <v>7.9772079772079771E-2</v>
      </c>
      <c r="AI1824" s="6">
        <f>IF(SalesData[[#This Row],[Contracts Signed]]=0,0,SalesData[[#This Row],[Profit(€)]]/SalesData[[#This Row],[Contracts Signed]])</f>
        <v>2102</v>
      </c>
      <c r="AJ1824" s="5" t="str">
        <f>TRIM(CLEAN(SalesData[[#This Row],[Retailer]]))</f>
        <v>Stuttgart Auto Center</v>
      </c>
    </row>
    <row r="1825" spans="1:36" ht="14.25" hidden="1" x14ac:dyDescent="0.2">
      <c r="A1825" t="s">
        <v>2788</v>
      </c>
      <c r="B1825" s="1">
        <v>46061</v>
      </c>
      <c r="C1825" t="s">
        <v>121</v>
      </c>
      <c r="D1825" t="s">
        <v>41</v>
      </c>
      <c r="E1825" t="s">
        <v>42</v>
      </c>
      <c r="F1825" t="s">
        <v>27</v>
      </c>
      <c r="G1825" t="s">
        <v>28</v>
      </c>
      <c r="H1825" t="s">
        <v>29</v>
      </c>
      <c r="I1825" t="s">
        <v>56</v>
      </c>
      <c r="J1825" t="s">
        <v>7028</v>
      </c>
      <c r="K1825" t="s">
        <v>32</v>
      </c>
      <c r="L1825" t="s">
        <v>46</v>
      </c>
      <c r="M1825" t="s">
        <v>47</v>
      </c>
      <c r="N1825" t="s">
        <v>35</v>
      </c>
      <c r="O1825" t="s">
        <v>70</v>
      </c>
      <c r="P1825" t="s">
        <v>71</v>
      </c>
      <c r="Q1825" t="s">
        <v>135</v>
      </c>
      <c r="R1825">
        <v>160</v>
      </c>
      <c r="S1825">
        <v>94</v>
      </c>
      <c r="T1825">
        <v>65</v>
      </c>
      <c r="U1825">
        <v>22</v>
      </c>
      <c r="V1825" t="s">
        <v>6801</v>
      </c>
      <c r="W1825">
        <v>40260</v>
      </c>
      <c r="X1825" t="s">
        <v>7425</v>
      </c>
      <c r="Y1825">
        <v>30704</v>
      </c>
      <c r="Z1825">
        <v>885720</v>
      </c>
      <c r="AA1825">
        <v>210232</v>
      </c>
      <c r="AB1825" t="str">
        <f>(VLOOKUP(SalesData[[#This Row],[Month Number]],Reference!C$5:E$16,2,FALSE))</f>
        <v>Feb</v>
      </c>
      <c r="AC1825">
        <f>MONTH(SalesData[[#This Row],[Date]])</f>
        <v>2</v>
      </c>
      <c r="AD1825">
        <f>Reference!F$4</f>
        <v>2026</v>
      </c>
      <c r="AE1825" t="str">
        <f>IF(OR(SalesData[[#This Row],[Day]]="Saturday",SalesData[[#This Row],[Day]]="Sunday"),"Weekend","Weekday")</f>
        <v>Weekend</v>
      </c>
      <c r="AF1825" s="5">
        <f>IF(SalesData[[#This Row],[Contracts Offered]]=0,0,SalesData[[#This Row],[Contracts Signed]]/SalesData[[#This Row],[Contracts Offered]])</f>
        <v>0.33846153846153848</v>
      </c>
      <c r="AG1825" s="5">
        <f>IF(SalesData[[#This Row],[Customers Visited]]=0,0,SalesData[[#This Row],[Test Drives]]/SalesData[[#This Row],[Customers Visited]])</f>
        <v>0.58750000000000002</v>
      </c>
      <c r="AH1825" s="5">
        <f>IF(SalesData[[#This Row],[Customers Visited]]=0,0,SalesData[[#This Row],[Contracts Signed]]/SalesData[[#This Row],[Customers Visited]])</f>
        <v>0.13750000000000001</v>
      </c>
      <c r="AI1825" s="6">
        <f>IF(SalesData[[#This Row],[Contracts Signed]]=0,0,SalesData[[#This Row],[Profit(€)]]/SalesData[[#This Row],[Contracts Signed]])</f>
        <v>9556</v>
      </c>
      <c r="AJ1825" s="5" t="str">
        <f>TRIM(CLEAN(SalesData[[#This Row],[Retailer]]))</f>
        <v>Main Auto Hub</v>
      </c>
    </row>
    <row r="1826" spans="1:36" ht="14.25" hidden="1" x14ac:dyDescent="0.2">
      <c r="A1826" t="s">
        <v>2789</v>
      </c>
      <c r="B1826" s="1">
        <v>46078</v>
      </c>
      <c r="C1826" t="s">
        <v>53</v>
      </c>
      <c r="D1826" t="s">
        <v>82</v>
      </c>
      <c r="E1826" t="s">
        <v>26</v>
      </c>
      <c r="F1826" t="s">
        <v>114</v>
      </c>
      <c r="G1826" t="s">
        <v>115</v>
      </c>
      <c r="H1826" t="s">
        <v>115</v>
      </c>
      <c r="I1826" t="s">
        <v>64</v>
      </c>
      <c r="J1826" t="s">
        <v>111</v>
      </c>
      <c r="K1826" t="s">
        <v>32</v>
      </c>
      <c r="L1826" t="s">
        <v>46</v>
      </c>
      <c r="M1826" t="s">
        <v>68</v>
      </c>
      <c r="N1826" t="s">
        <v>48</v>
      </c>
      <c r="O1826" t="s">
        <v>36</v>
      </c>
      <c r="P1826" t="s">
        <v>49</v>
      </c>
      <c r="Q1826" t="s">
        <v>152</v>
      </c>
      <c r="R1826">
        <v>237</v>
      </c>
      <c r="S1826">
        <v>120</v>
      </c>
      <c r="T1826">
        <v>93</v>
      </c>
      <c r="U1826">
        <v>30</v>
      </c>
      <c r="V1826" t="s">
        <v>6403</v>
      </c>
      <c r="W1826">
        <v>67017</v>
      </c>
      <c r="X1826" t="s">
        <v>7240</v>
      </c>
      <c r="Y1826">
        <v>49978</v>
      </c>
      <c r="Z1826">
        <v>2010510</v>
      </c>
      <c r="AA1826">
        <v>511170</v>
      </c>
      <c r="AB1826" t="str">
        <f>(VLOOKUP(SalesData[[#This Row],[Month Number]],Reference!C$5:E$16,2,FALSE))</f>
        <v>Feb</v>
      </c>
      <c r="AC1826">
        <f>MONTH(SalesData[[#This Row],[Date]])</f>
        <v>2</v>
      </c>
      <c r="AD1826">
        <f>Reference!F$4</f>
        <v>2026</v>
      </c>
      <c r="AE1826" t="str">
        <f>IF(OR(SalesData[[#This Row],[Day]]="Saturday",SalesData[[#This Row],[Day]]="Sunday"),"Weekend","Weekday")</f>
        <v>Weekday</v>
      </c>
      <c r="AF1826" s="5">
        <f>IF(SalesData[[#This Row],[Contracts Offered]]=0,0,SalesData[[#This Row],[Contracts Signed]]/SalesData[[#This Row],[Contracts Offered]])</f>
        <v>0.32258064516129031</v>
      </c>
      <c r="AG1826" s="5">
        <f>IF(SalesData[[#This Row],[Customers Visited]]=0,0,SalesData[[#This Row],[Test Drives]]/SalesData[[#This Row],[Customers Visited]])</f>
        <v>0.50632911392405067</v>
      </c>
      <c r="AH1826" s="5">
        <f>IF(SalesData[[#This Row],[Customers Visited]]=0,0,SalesData[[#This Row],[Contracts Signed]]/SalesData[[#This Row],[Customers Visited]])</f>
        <v>0.12658227848101267</v>
      </c>
      <c r="AI1826" s="6">
        <f>IF(SalesData[[#This Row],[Contracts Signed]]=0,0,SalesData[[#This Row],[Profit(€)]]/SalesData[[#This Row],[Contracts Signed]])</f>
        <v>17039</v>
      </c>
      <c r="AJ1826" s="5" t="str">
        <f>TRIM(CLEAN(SalesData[[#This Row],[Retailer]]))</f>
        <v>Elbe Drive</v>
      </c>
    </row>
    <row r="1827" spans="1:36" ht="14.25" hidden="1" x14ac:dyDescent="0.2">
      <c r="A1827" t="s">
        <v>2790</v>
      </c>
      <c r="B1827" s="1">
        <v>46064</v>
      </c>
      <c r="C1827" t="s">
        <v>121</v>
      </c>
      <c r="D1827" t="s">
        <v>82</v>
      </c>
      <c r="E1827" t="s">
        <v>26</v>
      </c>
      <c r="F1827" t="s">
        <v>43</v>
      </c>
      <c r="G1827" t="s">
        <v>44</v>
      </c>
      <c r="H1827" t="s">
        <v>45</v>
      </c>
      <c r="I1827" t="s">
        <v>64</v>
      </c>
      <c r="J1827" t="s">
        <v>157</v>
      </c>
      <c r="K1827" t="s">
        <v>91</v>
      </c>
      <c r="L1827" t="s">
        <v>33</v>
      </c>
      <c r="M1827" t="s">
        <v>47</v>
      </c>
      <c r="N1827" t="s">
        <v>48</v>
      </c>
      <c r="O1827" t="s">
        <v>70</v>
      </c>
      <c r="P1827" t="s">
        <v>71</v>
      </c>
      <c r="Q1827" t="s">
        <v>79</v>
      </c>
      <c r="R1827">
        <v>234</v>
      </c>
      <c r="S1827">
        <v>110</v>
      </c>
      <c r="T1827">
        <v>82</v>
      </c>
      <c r="U1827">
        <v>27</v>
      </c>
      <c r="V1827" t="s">
        <v>6797</v>
      </c>
      <c r="W1827">
        <v>55490</v>
      </c>
      <c r="X1827" t="s">
        <v>7115</v>
      </c>
      <c r="Y1827">
        <v>42262</v>
      </c>
      <c r="Z1827">
        <v>1498230</v>
      </c>
      <c r="AA1827">
        <v>357156</v>
      </c>
      <c r="AB1827" t="str">
        <f>(VLOOKUP(SalesData[[#This Row],[Month Number]],Reference!C$5:E$16,2,FALSE))</f>
        <v>Feb</v>
      </c>
      <c r="AC1827">
        <f>MONTH(SalesData[[#This Row],[Date]])</f>
        <v>2</v>
      </c>
      <c r="AD1827">
        <f>Reference!F$4</f>
        <v>2026</v>
      </c>
      <c r="AE1827" t="str">
        <f>IF(OR(SalesData[[#This Row],[Day]]="Saturday",SalesData[[#This Row],[Day]]="Sunday"),"Weekend","Weekday")</f>
        <v>Weekday</v>
      </c>
      <c r="AF1827" s="5">
        <f>IF(SalesData[[#This Row],[Contracts Offered]]=0,0,SalesData[[#This Row],[Contracts Signed]]/SalesData[[#This Row],[Contracts Offered]])</f>
        <v>0.32926829268292684</v>
      </c>
      <c r="AG1827" s="5">
        <f>IF(SalesData[[#This Row],[Customers Visited]]=0,0,SalesData[[#This Row],[Test Drives]]/SalesData[[#This Row],[Customers Visited]])</f>
        <v>0.47008547008547008</v>
      </c>
      <c r="AH1827" s="5">
        <f>IF(SalesData[[#This Row],[Customers Visited]]=0,0,SalesData[[#This Row],[Contracts Signed]]/SalesData[[#This Row],[Customers Visited]])</f>
        <v>0.11538461538461539</v>
      </c>
      <c r="AI1827" s="6">
        <f>IF(SalesData[[#This Row],[Contracts Signed]]=0,0,SalesData[[#This Row],[Profit(€)]]/SalesData[[#This Row],[Contracts Signed]])</f>
        <v>13228</v>
      </c>
      <c r="AJ1827" s="5" t="str">
        <f>TRIM(CLEAN(SalesData[[#This Row],[Retailer]]))</f>
        <v>Saxon Wheels</v>
      </c>
    </row>
    <row r="1828" spans="1:36" ht="14.25" hidden="1" x14ac:dyDescent="0.2">
      <c r="A1828" t="s">
        <v>2791</v>
      </c>
      <c r="B1828" s="1">
        <v>46063</v>
      </c>
      <c r="C1828" t="s">
        <v>121</v>
      </c>
      <c r="D1828" t="s">
        <v>63</v>
      </c>
      <c r="E1828" t="s">
        <v>26</v>
      </c>
      <c r="F1828" t="s">
        <v>74</v>
      </c>
      <c r="G1828" t="s">
        <v>75</v>
      </c>
      <c r="H1828" t="s">
        <v>76</v>
      </c>
      <c r="I1828" t="s">
        <v>56</v>
      </c>
      <c r="J1828" t="s">
        <v>179</v>
      </c>
      <c r="K1828" t="s">
        <v>66</v>
      </c>
      <c r="L1828" t="s">
        <v>67</v>
      </c>
      <c r="M1828" t="s">
        <v>68</v>
      </c>
      <c r="N1828" t="s">
        <v>48</v>
      </c>
      <c r="O1828" t="s">
        <v>70</v>
      </c>
      <c r="P1828" t="s">
        <v>71</v>
      </c>
      <c r="Q1828" t="s">
        <v>135</v>
      </c>
      <c r="R1828">
        <v>217</v>
      </c>
      <c r="S1828">
        <v>103</v>
      </c>
      <c r="T1828">
        <v>73</v>
      </c>
      <c r="U1828">
        <v>27</v>
      </c>
      <c r="V1828" t="s">
        <v>6993</v>
      </c>
      <c r="W1828">
        <v>47564</v>
      </c>
      <c r="X1828" t="s">
        <v>7054</v>
      </c>
      <c r="Y1828">
        <v>36964</v>
      </c>
      <c r="Z1828">
        <v>1284228</v>
      </c>
      <c r="AA1828">
        <v>286200</v>
      </c>
      <c r="AB1828" t="str">
        <f>(VLOOKUP(SalesData[[#This Row],[Month Number]],Reference!C$5:E$16,2,FALSE))</f>
        <v>Feb</v>
      </c>
      <c r="AC1828">
        <f>MONTH(SalesData[[#This Row],[Date]])</f>
        <v>2</v>
      </c>
      <c r="AD1828">
        <f>Reference!F$4</f>
        <v>2026</v>
      </c>
      <c r="AE1828" t="str">
        <f>IF(OR(SalesData[[#This Row],[Day]]="Saturday",SalesData[[#This Row],[Day]]="Sunday"),"Weekend","Weekday")</f>
        <v>Weekday</v>
      </c>
      <c r="AF1828" s="5">
        <f>IF(SalesData[[#This Row],[Contracts Offered]]=0,0,SalesData[[#This Row],[Contracts Signed]]/SalesData[[#This Row],[Contracts Offered]])</f>
        <v>0.36986301369863012</v>
      </c>
      <c r="AG1828" s="5">
        <f>IF(SalesData[[#This Row],[Customers Visited]]=0,0,SalesData[[#This Row],[Test Drives]]/SalesData[[#This Row],[Customers Visited]])</f>
        <v>0.47465437788018433</v>
      </c>
      <c r="AH1828" s="5">
        <f>IF(SalesData[[#This Row],[Customers Visited]]=0,0,SalesData[[#This Row],[Contracts Signed]]/SalesData[[#This Row],[Customers Visited]])</f>
        <v>0.12442396313364056</v>
      </c>
      <c r="AI1828" s="6">
        <f>IF(SalesData[[#This Row],[Contracts Signed]]=0,0,SalesData[[#This Row],[Profit(€)]]/SalesData[[#This Row],[Contracts Signed]])</f>
        <v>10600</v>
      </c>
      <c r="AJ1828" s="5" t="str">
        <f>TRIM(CLEAN(SalesData[[#This Row],[Retailer]]))</f>
        <v>Stuttgart Auto Center</v>
      </c>
    </row>
    <row r="1829" spans="1:36" ht="14.25" hidden="1" x14ac:dyDescent="0.2">
      <c r="A1829" t="s">
        <v>2792</v>
      </c>
      <c r="B1829" s="1">
        <v>46079</v>
      </c>
      <c r="C1829" t="s">
        <v>53</v>
      </c>
      <c r="D1829" t="s">
        <v>100</v>
      </c>
      <c r="E1829" t="s">
        <v>26</v>
      </c>
      <c r="F1829" t="s">
        <v>114</v>
      </c>
      <c r="G1829" t="s">
        <v>115</v>
      </c>
      <c r="H1829" t="s">
        <v>115</v>
      </c>
      <c r="I1829" t="s">
        <v>116</v>
      </c>
      <c r="J1829" t="s">
        <v>117</v>
      </c>
      <c r="K1829" t="s">
        <v>66</v>
      </c>
      <c r="L1829" t="s">
        <v>67</v>
      </c>
      <c r="M1829" t="s">
        <v>68</v>
      </c>
      <c r="N1829" t="s">
        <v>48</v>
      </c>
      <c r="O1829" t="s">
        <v>70</v>
      </c>
      <c r="P1829" t="s">
        <v>37</v>
      </c>
      <c r="Q1829" t="s">
        <v>50</v>
      </c>
      <c r="R1829">
        <v>340</v>
      </c>
      <c r="S1829">
        <v>186</v>
      </c>
      <c r="T1829">
        <v>107</v>
      </c>
      <c r="U1829">
        <v>33</v>
      </c>
      <c r="V1829" t="s">
        <v>1221</v>
      </c>
      <c r="W1829">
        <v>22771</v>
      </c>
      <c r="X1829" t="s">
        <v>1483</v>
      </c>
      <c r="Y1829">
        <v>20285</v>
      </c>
      <c r="Z1829">
        <v>751443</v>
      </c>
      <c r="AA1829">
        <v>82038</v>
      </c>
      <c r="AB1829" t="str">
        <f>(VLOOKUP(SalesData[[#This Row],[Month Number]],Reference!C$5:E$16,2,FALSE))</f>
        <v>Feb</v>
      </c>
      <c r="AC1829">
        <f>MONTH(SalesData[[#This Row],[Date]])</f>
        <v>2</v>
      </c>
      <c r="AD1829">
        <f>Reference!F$4</f>
        <v>2026</v>
      </c>
      <c r="AE1829" t="str">
        <f>IF(OR(SalesData[[#This Row],[Day]]="Saturday",SalesData[[#This Row],[Day]]="Sunday"),"Weekend","Weekday")</f>
        <v>Weekday</v>
      </c>
      <c r="AF1829" s="5">
        <f>IF(SalesData[[#This Row],[Contracts Offered]]=0,0,SalesData[[#This Row],[Contracts Signed]]/SalesData[[#This Row],[Contracts Offered]])</f>
        <v>0.30841121495327101</v>
      </c>
      <c r="AG1829" s="5">
        <f>IF(SalesData[[#This Row],[Customers Visited]]=0,0,SalesData[[#This Row],[Test Drives]]/SalesData[[#This Row],[Customers Visited]])</f>
        <v>0.54705882352941182</v>
      </c>
      <c r="AH1829" s="5">
        <f>IF(SalesData[[#This Row],[Customers Visited]]=0,0,SalesData[[#This Row],[Contracts Signed]]/SalesData[[#This Row],[Customers Visited]])</f>
        <v>9.7058823529411767E-2</v>
      </c>
      <c r="AI1829" s="6">
        <f>IF(SalesData[[#This Row],[Contracts Signed]]=0,0,SalesData[[#This Row],[Profit(€)]]/SalesData[[#This Row],[Contracts Signed]])</f>
        <v>2486</v>
      </c>
      <c r="AJ1829" s="5" t="str">
        <f>TRIM(CLEAN(SalesData[[#This Row],[Retailer]]))</f>
        <v>Elbe Drive</v>
      </c>
    </row>
    <row r="1830" spans="1:36" ht="14.25" hidden="1" x14ac:dyDescent="0.2">
      <c r="A1830" t="s">
        <v>2793</v>
      </c>
      <c r="B1830" s="1">
        <v>46073</v>
      </c>
      <c r="C1830" t="s">
        <v>62</v>
      </c>
      <c r="D1830" t="s">
        <v>54</v>
      </c>
      <c r="E1830" t="s">
        <v>26</v>
      </c>
      <c r="F1830" t="s">
        <v>127</v>
      </c>
      <c r="G1830" t="s">
        <v>128</v>
      </c>
      <c r="H1830" t="s">
        <v>103</v>
      </c>
      <c r="I1830" t="s">
        <v>56</v>
      </c>
      <c r="J1830" t="s">
        <v>179</v>
      </c>
      <c r="K1830" t="s">
        <v>32</v>
      </c>
      <c r="L1830" t="s">
        <v>67</v>
      </c>
      <c r="M1830" t="s">
        <v>34</v>
      </c>
      <c r="N1830" t="s">
        <v>69</v>
      </c>
      <c r="O1830" t="s">
        <v>70</v>
      </c>
      <c r="P1830" t="s">
        <v>49</v>
      </c>
      <c r="Q1830" t="s">
        <v>106</v>
      </c>
      <c r="R1830">
        <v>278</v>
      </c>
      <c r="S1830">
        <v>128</v>
      </c>
      <c r="T1830">
        <v>91</v>
      </c>
      <c r="U1830">
        <v>28</v>
      </c>
      <c r="V1830" t="s">
        <v>6542</v>
      </c>
      <c r="W1830">
        <v>43534</v>
      </c>
      <c r="X1830" t="s">
        <v>1215</v>
      </c>
      <c r="Y1830">
        <v>34843</v>
      </c>
      <c r="Z1830">
        <v>1218952</v>
      </c>
      <c r="AA1830">
        <v>243348</v>
      </c>
      <c r="AB1830" t="str">
        <f>(VLOOKUP(SalesData[[#This Row],[Month Number]],Reference!C$5:E$16,2,FALSE))</f>
        <v>Feb</v>
      </c>
      <c r="AC1830">
        <f>MONTH(SalesData[[#This Row],[Date]])</f>
        <v>2</v>
      </c>
      <c r="AD1830">
        <f>Reference!F$4</f>
        <v>2026</v>
      </c>
      <c r="AE1830" t="str">
        <f>IF(OR(SalesData[[#This Row],[Day]]="Saturday",SalesData[[#This Row],[Day]]="Sunday"),"Weekend","Weekday")</f>
        <v>Weekday</v>
      </c>
      <c r="AF1830" s="5">
        <f>IF(SalesData[[#This Row],[Contracts Offered]]=0,0,SalesData[[#This Row],[Contracts Signed]]/SalesData[[#This Row],[Contracts Offered]])</f>
        <v>0.30769230769230771</v>
      </c>
      <c r="AG1830" s="5">
        <f>IF(SalesData[[#This Row],[Customers Visited]]=0,0,SalesData[[#This Row],[Test Drives]]/SalesData[[#This Row],[Customers Visited]])</f>
        <v>0.46043165467625902</v>
      </c>
      <c r="AH1830" s="5">
        <f>IF(SalesData[[#This Row],[Customers Visited]]=0,0,SalesData[[#This Row],[Contracts Signed]]/SalesData[[#This Row],[Customers Visited]])</f>
        <v>0.10071942446043165</v>
      </c>
      <c r="AI1830" s="6">
        <f>IF(SalesData[[#This Row],[Contracts Signed]]=0,0,SalesData[[#This Row],[Profit(€)]]/SalesData[[#This Row],[Contracts Signed]])</f>
        <v>8691</v>
      </c>
      <c r="AJ1830" s="5" t="str">
        <f>TRIM(CLEAN(SalesData[[#This Row],[Retailer]]))</f>
        <v>Rhein Auto Group</v>
      </c>
    </row>
    <row r="1831" spans="1:36" ht="14.25" hidden="1" x14ac:dyDescent="0.2">
      <c r="A1831" t="s">
        <v>2794</v>
      </c>
      <c r="B1831" s="1">
        <v>46064</v>
      </c>
      <c r="C1831" t="s">
        <v>121</v>
      </c>
      <c r="D1831" t="s">
        <v>82</v>
      </c>
      <c r="E1831" t="s">
        <v>26</v>
      </c>
      <c r="F1831" t="s">
        <v>114</v>
      </c>
      <c r="G1831" t="s">
        <v>115</v>
      </c>
      <c r="H1831" t="s">
        <v>115</v>
      </c>
      <c r="I1831" t="s">
        <v>56</v>
      </c>
      <c r="J1831" t="s">
        <v>57</v>
      </c>
      <c r="K1831" t="s">
        <v>78</v>
      </c>
      <c r="L1831" t="s">
        <v>46</v>
      </c>
      <c r="M1831" t="s">
        <v>34</v>
      </c>
      <c r="N1831" t="s">
        <v>48</v>
      </c>
      <c r="O1831" t="s">
        <v>70</v>
      </c>
      <c r="P1831" t="s">
        <v>37</v>
      </c>
      <c r="Q1831" t="s">
        <v>122</v>
      </c>
      <c r="R1831">
        <v>236</v>
      </c>
      <c r="S1831">
        <v>115</v>
      </c>
      <c r="T1831">
        <v>89</v>
      </c>
      <c r="U1831">
        <v>25</v>
      </c>
      <c r="V1831" t="s">
        <v>6379</v>
      </c>
      <c r="W1831">
        <v>41547</v>
      </c>
      <c r="X1831" t="s">
        <v>1983</v>
      </c>
      <c r="Y1831">
        <v>34051</v>
      </c>
      <c r="Z1831">
        <v>1038675</v>
      </c>
      <c r="AA1831">
        <v>187400</v>
      </c>
      <c r="AB1831" t="str">
        <f>(VLOOKUP(SalesData[[#This Row],[Month Number]],Reference!C$5:E$16,2,FALSE))</f>
        <v>Feb</v>
      </c>
      <c r="AC1831">
        <f>MONTH(SalesData[[#This Row],[Date]])</f>
        <v>2</v>
      </c>
      <c r="AD1831">
        <f>Reference!F$4</f>
        <v>2026</v>
      </c>
      <c r="AE1831" t="str">
        <f>IF(OR(SalesData[[#This Row],[Day]]="Saturday",SalesData[[#This Row],[Day]]="Sunday"),"Weekend","Weekday")</f>
        <v>Weekday</v>
      </c>
      <c r="AF1831" s="5">
        <f>IF(SalesData[[#This Row],[Contracts Offered]]=0,0,SalesData[[#This Row],[Contracts Signed]]/SalesData[[#This Row],[Contracts Offered]])</f>
        <v>0.2808988764044944</v>
      </c>
      <c r="AG1831" s="5">
        <f>IF(SalesData[[#This Row],[Customers Visited]]=0,0,SalesData[[#This Row],[Test Drives]]/SalesData[[#This Row],[Customers Visited]])</f>
        <v>0.48728813559322032</v>
      </c>
      <c r="AH1831" s="5">
        <f>IF(SalesData[[#This Row],[Customers Visited]]=0,0,SalesData[[#This Row],[Contracts Signed]]/SalesData[[#This Row],[Customers Visited]])</f>
        <v>0.1059322033898305</v>
      </c>
      <c r="AI1831" s="6">
        <f>IF(SalesData[[#This Row],[Contracts Signed]]=0,0,SalesData[[#This Row],[Profit(€)]]/SalesData[[#This Row],[Contracts Signed]])</f>
        <v>7496</v>
      </c>
      <c r="AJ1831" s="5" t="str">
        <f>TRIM(CLEAN(SalesData[[#This Row],[Retailer]]))</f>
        <v>Elbe Drive</v>
      </c>
    </row>
    <row r="1832" spans="1:36" ht="14.25" x14ac:dyDescent="0.2">
      <c r="A1832" t="s">
        <v>2795</v>
      </c>
      <c r="B1832" s="1">
        <v>46065</v>
      </c>
      <c r="C1832" t="s">
        <v>121</v>
      </c>
      <c r="D1832" t="s">
        <v>100</v>
      </c>
      <c r="E1832" t="s">
        <v>26</v>
      </c>
      <c r="F1832" t="s">
        <v>114</v>
      </c>
      <c r="G1832" t="s">
        <v>115</v>
      </c>
      <c r="H1832" t="s">
        <v>115</v>
      </c>
      <c r="I1832" t="s">
        <v>30</v>
      </c>
      <c r="J1832" t="s">
        <v>31</v>
      </c>
      <c r="K1832" t="s">
        <v>78</v>
      </c>
      <c r="L1832" t="s">
        <v>46</v>
      </c>
      <c r="M1832" t="s">
        <v>87</v>
      </c>
      <c r="N1832" t="s">
        <v>48</v>
      </c>
      <c r="O1832" t="s">
        <v>70</v>
      </c>
      <c r="P1832" t="s">
        <v>49</v>
      </c>
      <c r="Q1832" t="s">
        <v>144</v>
      </c>
      <c r="R1832">
        <v>152</v>
      </c>
      <c r="S1832">
        <v>80</v>
      </c>
      <c r="T1832">
        <v>57</v>
      </c>
      <c r="U1832">
        <v>20</v>
      </c>
      <c r="V1832" t="s">
        <v>6403</v>
      </c>
      <c r="W1832">
        <v>63205</v>
      </c>
      <c r="X1832" t="s">
        <v>7148</v>
      </c>
      <c r="Y1832">
        <v>48709</v>
      </c>
      <c r="Z1832">
        <v>1264100</v>
      </c>
      <c r="AA1832">
        <v>289920</v>
      </c>
      <c r="AB1832" t="str">
        <f>(VLOOKUP(SalesData[[#This Row],[Month Number]],Reference!C$5:E$16,2,FALSE))</f>
        <v>Feb</v>
      </c>
      <c r="AC1832">
        <f>MONTH(SalesData[[#This Row],[Date]])</f>
        <v>2</v>
      </c>
      <c r="AD1832">
        <f>Reference!F$4</f>
        <v>2026</v>
      </c>
      <c r="AE1832" t="str">
        <f>IF(OR(SalesData[[#This Row],[Day]]="Saturday",SalesData[[#This Row],[Day]]="Sunday"),"Weekend","Weekday")</f>
        <v>Weekday</v>
      </c>
      <c r="AF1832" s="5">
        <f>IF(SalesData[[#This Row],[Contracts Offered]]=0,0,SalesData[[#This Row],[Contracts Signed]]/SalesData[[#This Row],[Contracts Offered]])</f>
        <v>0.35087719298245612</v>
      </c>
      <c r="AG1832" s="5">
        <f>IF(SalesData[[#This Row],[Customers Visited]]=0,0,SalesData[[#This Row],[Test Drives]]/SalesData[[#This Row],[Customers Visited]])</f>
        <v>0.52631578947368418</v>
      </c>
      <c r="AH1832" s="5">
        <f>IF(SalesData[[#This Row],[Customers Visited]]=0,0,SalesData[[#This Row],[Contracts Signed]]/SalesData[[#This Row],[Customers Visited]])</f>
        <v>0.13157894736842105</v>
      </c>
      <c r="AI1832" s="6">
        <f>IF(SalesData[[#This Row],[Contracts Signed]]=0,0,SalesData[[#This Row],[Profit(€)]]/SalesData[[#This Row],[Contracts Signed]])</f>
        <v>14496</v>
      </c>
      <c r="AJ1832" s="5" t="str">
        <f>TRIM(CLEAN(SalesData[[#This Row],[Retailer]]))</f>
        <v>Elbe Drive</v>
      </c>
    </row>
    <row r="1833" spans="1:36" ht="14.25" x14ac:dyDescent="0.2">
      <c r="A1833" t="s">
        <v>2797</v>
      </c>
      <c r="B1833" s="1">
        <v>46072</v>
      </c>
      <c r="C1833" t="s">
        <v>62</v>
      </c>
      <c r="D1833" t="s">
        <v>100</v>
      </c>
      <c r="E1833" t="s">
        <v>26</v>
      </c>
      <c r="F1833" t="s">
        <v>43</v>
      </c>
      <c r="G1833" t="s">
        <v>44</v>
      </c>
      <c r="H1833" t="s">
        <v>45</v>
      </c>
      <c r="I1833" t="s">
        <v>30</v>
      </c>
      <c r="J1833" t="s">
        <v>86</v>
      </c>
      <c r="K1833" t="s">
        <v>32</v>
      </c>
      <c r="L1833" t="s">
        <v>33</v>
      </c>
      <c r="M1833" t="s">
        <v>47</v>
      </c>
      <c r="N1833" t="s">
        <v>48</v>
      </c>
      <c r="O1833" t="s">
        <v>70</v>
      </c>
      <c r="P1833" t="s">
        <v>71</v>
      </c>
      <c r="Q1833" t="s">
        <v>347</v>
      </c>
      <c r="R1833">
        <v>197</v>
      </c>
      <c r="S1833">
        <v>97</v>
      </c>
      <c r="T1833">
        <v>77</v>
      </c>
      <c r="U1833">
        <v>25</v>
      </c>
      <c r="V1833" t="s">
        <v>6838</v>
      </c>
      <c r="W1833">
        <v>66746</v>
      </c>
      <c r="X1833" t="s">
        <v>609</v>
      </c>
      <c r="Y1833">
        <v>47894</v>
      </c>
      <c r="Z1833">
        <v>1668650</v>
      </c>
      <c r="AA1833">
        <v>471300</v>
      </c>
      <c r="AB1833" t="str">
        <f>(VLOOKUP(SalesData[[#This Row],[Month Number]],Reference!C$5:E$16,2,FALSE))</f>
        <v>Feb</v>
      </c>
      <c r="AC1833">
        <f>MONTH(SalesData[[#This Row],[Date]])</f>
        <v>2</v>
      </c>
      <c r="AD1833">
        <f>Reference!F$4</f>
        <v>2026</v>
      </c>
      <c r="AE1833" t="str">
        <f>IF(OR(SalesData[[#This Row],[Day]]="Saturday",SalesData[[#This Row],[Day]]="Sunday"),"Weekend","Weekday")</f>
        <v>Weekday</v>
      </c>
      <c r="AF1833" s="5">
        <f>IF(SalesData[[#This Row],[Contracts Offered]]=0,0,SalesData[[#This Row],[Contracts Signed]]/SalesData[[#This Row],[Contracts Offered]])</f>
        <v>0.32467532467532467</v>
      </c>
      <c r="AG1833" s="5">
        <f>IF(SalesData[[#This Row],[Customers Visited]]=0,0,SalesData[[#This Row],[Test Drives]]/SalesData[[#This Row],[Customers Visited]])</f>
        <v>0.49238578680203043</v>
      </c>
      <c r="AH1833" s="5">
        <f>IF(SalesData[[#This Row],[Customers Visited]]=0,0,SalesData[[#This Row],[Contracts Signed]]/SalesData[[#This Row],[Customers Visited]])</f>
        <v>0.12690355329949238</v>
      </c>
      <c r="AI1833" s="6">
        <f>IF(SalesData[[#This Row],[Contracts Signed]]=0,0,SalesData[[#This Row],[Profit(€)]]/SalesData[[#This Row],[Contracts Signed]])</f>
        <v>18852</v>
      </c>
      <c r="AJ1833" s="5" t="str">
        <f>TRIM(CLEAN(SalesData[[#This Row],[Retailer]]))</f>
        <v>Saxon Wheels</v>
      </c>
    </row>
    <row r="1834" spans="1:36" ht="14.25" hidden="1" x14ac:dyDescent="0.2">
      <c r="A1834" t="s">
        <v>2798</v>
      </c>
      <c r="B1834" s="1">
        <v>46061</v>
      </c>
      <c r="C1834" t="s">
        <v>121</v>
      </c>
      <c r="D1834" t="s">
        <v>41</v>
      </c>
      <c r="E1834" t="s">
        <v>42</v>
      </c>
      <c r="F1834" t="s">
        <v>83</v>
      </c>
      <c r="G1834" t="s">
        <v>84</v>
      </c>
      <c r="H1834" t="s">
        <v>85</v>
      </c>
      <c r="I1834" t="s">
        <v>104</v>
      </c>
      <c r="J1834" t="s">
        <v>7061</v>
      </c>
      <c r="K1834" t="s">
        <v>91</v>
      </c>
      <c r="L1834" t="s">
        <v>46</v>
      </c>
      <c r="M1834" t="s">
        <v>47</v>
      </c>
      <c r="N1834" t="s">
        <v>69</v>
      </c>
      <c r="O1834" t="s">
        <v>70</v>
      </c>
      <c r="P1834" t="s">
        <v>71</v>
      </c>
      <c r="Q1834" t="s">
        <v>59</v>
      </c>
      <c r="R1834">
        <v>472</v>
      </c>
      <c r="S1834">
        <v>195</v>
      </c>
      <c r="T1834">
        <v>119</v>
      </c>
      <c r="U1834">
        <v>30</v>
      </c>
      <c r="V1834" t="s">
        <v>1109</v>
      </c>
      <c r="W1834">
        <v>31985</v>
      </c>
      <c r="X1834" t="s">
        <v>3707</v>
      </c>
      <c r="Y1834">
        <v>28779</v>
      </c>
      <c r="Z1834">
        <v>959550</v>
      </c>
      <c r="AA1834">
        <v>96180</v>
      </c>
      <c r="AB1834" t="str">
        <f>(VLOOKUP(SalesData[[#This Row],[Month Number]],Reference!C$5:E$16,2,FALSE))</f>
        <v>Feb</v>
      </c>
      <c r="AC1834">
        <f>MONTH(SalesData[[#This Row],[Date]])</f>
        <v>2</v>
      </c>
      <c r="AD1834">
        <f>Reference!F$4</f>
        <v>2026</v>
      </c>
      <c r="AE1834" t="str">
        <f>IF(OR(SalesData[[#This Row],[Day]]="Saturday",SalesData[[#This Row],[Day]]="Sunday"),"Weekend","Weekday")</f>
        <v>Weekend</v>
      </c>
      <c r="AF1834" s="5">
        <f>IF(SalesData[[#This Row],[Contracts Offered]]=0,0,SalesData[[#This Row],[Contracts Signed]]/SalesData[[#This Row],[Contracts Offered]])</f>
        <v>0.25210084033613445</v>
      </c>
      <c r="AG1834" s="5">
        <f>IF(SalesData[[#This Row],[Customers Visited]]=0,0,SalesData[[#This Row],[Test Drives]]/SalesData[[#This Row],[Customers Visited]])</f>
        <v>0.41313559322033899</v>
      </c>
      <c r="AH1834" s="5">
        <f>IF(SalesData[[#This Row],[Customers Visited]]=0,0,SalesData[[#This Row],[Contracts Signed]]/SalesData[[#This Row],[Customers Visited]])</f>
        <v>6.3559322033898302E-2</v>
      </c>
      <c r="AI1834" s="6">
        <f>IF(SalesData[[#This Row],[Contracts Signed]]=0,0,SalesData[[#This Row],[Profit(€)]]/SalesData[[#This Row],[Contracts Signed]])</f>
        <v>3206</v>
      </c>
      <c r="AJ1834" s="5" t="str">
        <f>TRIM(CLEAN(SalesData[[#This Row],[Retailer]]))</f>
        <v>Hannover Cars</v>
      </c>
    </row>
    <row r="1835" spans="1:36" ht="14.25" hidden="1" x14ac:dyDescent="0.2">
      <c r="A1835" t="s">
        <v>2799</v>
      </c>
      <c r="B1835" s="1">
        <v>46063</v>
      </c>
      <c r="C1835" t="s">
        <v>121</v>
      </c>
      <c r="D1835" t="s">
        <v>63</v>
      </c>
      <c r="E1835" t="s">
        <v>26</v>
      </c>
      <c r="F1835" t="s">
        <v>114</v>
      </c>
      <c r="G1835" t="s">
        <v>115</v>
      </c>
      <c r="H1835" t="s">
        <v>115</v>
      </c>
      <c r="I1835" t="s">
        <v>104</v>
      </c>
      <c r="J1835" t="s">
        <v>143</v>
      </c>
      <c r="K1835" t="s">
        <v>78</v>
      </c>
      <c r="L1835" t="s">
        <v>67</v>
      </c>
      <c r="M1835" t="s">
        <v>47</v>
      </c>
      <c r="N1835" t="s">
        <v>69</v>
      </c>
      <c r="O1835" t="s">
        <v>36</v>
      </c>
      <c r="P1835" t="s">
        <v>37</v>
      </c>
      <c r="Q1835" t="s">
        <v>122</v>
      </c>
      <c r="R1835">
        <v>430</v>
      </c>
      <c r="S1835">
        <v>175</v>
      </c>
      <c r="T1835">
        <v>115</v>
      </c>
      <c r="U1835">
        <v>31</v>
      </c>
      <c r="V1835" t="s">
        <v>4445</v>
      </c>
      <c r="W1835">
        <v>25780</v>
      </c>
      <c r="X1835" t="s">
        <v>898</v>
      </c>
      <c r="Y1835">
        <v>23264</v>
      </c>
      <c r="Z1835">
        <v>799180</v>
      </c>
      <c r="AA1835">
        <v>77996</v>
      </c>
      <c r="AB1835" t="str">
        <f>(VLOOKUP(SalesData[[#This Row],[Month Number]],Reference!C$5:E$16,2,FALSE))</f>
        <v>Feb</v>
      </c>
      <c r="AC1835">
        <f>MONTH(SalesData[[#This Row],[Date]])</f>
        <v>2</v>
      </c>
      <c r="AD1835">
        <f>Reference!F$4</f>
        <v>2026</v>
      </c>
      <c r="AE1835" t="str">
        <f>IF(OR(SalesData[[#This Row],[Day]]="Saturday",SalesData[[#This Row],[Day]]="Sunday"),"Weekend","Weekday")</f>
        <v>Weekday</v>
      </c>
      <c r="AF1835" s="5">
        <f>IF(SalesData[[#This Row],[Contracts Offered]]=0,0,SalesData[[#This Row],[Contracts Signed]]/SalesData[[#This Row],[Contracts Offered]])</f>
        <v>0.26956521739130435</v>
      </c>
      <c r="AG1835" s="5">
        <f>IF(SalesData[[#This Row],[Customers Visited]]=0,0,SalesData[[#This Row],[Test Drives]]/SalesData[[#This Row],[Customers Visited]])</f>
        <v>0.40697674418604651</v>
      </c>
      <c r="AH1835" s="5">
        <f>IF(SalesData[[#This Row],[Customers Visited]]=0,0,SalesData[[#This Row],[Contracts Signed]]/SalesData[[#This Row],[Customers Visited]])</f>
        <v>7.2093023255813959E-2</v>
      </c>
      <c r="AI1835" s="6">
        <f>IF(SalesData[[#This Row],[Contracts Signed]]=0,0,SalesData[[#This Row],[Profit(€)]]/SalesData[[#This Row],[Contracts Signed]])</f>
        <v>2516</v>
      </c>
      <c r="AJ1835" s="5" t="str">
        <f>TRIM(CLEAN(SalesData[[#This Row],[Retailer]]))</f>
        <v>Elbe Drive</v>
      </c>
    </row>
    <row r="1836" spans="1:36" ht="14.25" hidden="1" x14ac:dyDescent="0.2">
      <c r="A1836" t="s">
        <v>2800</v>
      </c>
      <c r="B1836" s="1">
        <v>46081</v>
      </c>
      <c r="C1836" t="s">
        <v>53</v>
      </c>
      <c r="D1836" t="s">
        <v>151</v>
      </c>
      <c r="E1836" t="s">
        <v>42</v>
      </c>
      <c r="F1836" t="s">
        <v>83</v>
      </c>
      <c r="G1836" t="s">
        <v>84</v>
      </c>
      <c r="H1836" t="s">
        <v>85</v>
      </c>
      <c r="I1836" t="s">
        <v>56</v>
      </c>
      <c r="J1836" t="s">
        <v>137</v>
      </c>
      <c r="K1836" t="s">
        <v>91</v>
      </c>
      <c r="L1836" t="s">
        <v>46</v>
      </c>
      <c r="M1836" t="s">
        <v>68</v>
      </c>
      <c r="N1836" t="s">
        <v>35</v>
      </c>
      <c r="O1836" t="s">
        <v>70</v>
      </c>
      <c r="P1836" t="s">
        <v>49</v>
      </c>
      <c r="Q1836" t="s">
        <v>144</v>
      </c>
      <c r="R1836">
        <v>285</v>
      </c>
      <c r="S1836">
        <v>163</v>
      </c>
      <c r="T1836">
        <v>125</v>
      </c>
      <c r="U1836">
        <v>31</v>
      </c>
      <c r="V1836" t="s">
        <v>5651</v>
      </c>
      <c r="W1836">
        <v>49811</v>
      </c>
      <c r="X1836" t="s">
        <v>7262</v>
      </c>
      <c r="Y1836">
        <v>38620</v>
      </c>
      <c r="Z1836">
        <v>1544141</v>
      </c>
      <c r="AA1836">
        <v>346921</v>
      </c>
      <c r="AB1836" t="str">
        <f>(VLOOKUP(SalesData[[#This Row],[Month Number]],Reference!C$5:E$16,2,FALSE))</f>
        <v>Feb</v>
      </c>
      <c r="AC1836">
        <f>MONTH(SalesData[[#This Row],[Date]])</f>
        <v>2</v>
      </c>
      <c r="AD1836">
        <f>Reference!F$4</f>
        <v>2026</v>
      </c>
      <c r="AE1836" t="str">
        <f>IF(OR(SalesData[[#This Row],[Day]]="Saturday",SalesData[[#This Row],[Day]]="Sunday"),"Weekend","Weekday")</f>
        <v>Weekend</v>
      </c>
      <c r="AF1836" s="5">
        <f>IF(SalesData[[#This Row],[Contracts Offered]]=0,0,SalesData[[#This Row],[Contracts Signed]]/SalesData[[#This Row],[Contracts Offered]])</f>
        <v>0.248</v>
      </c>
      <c r="AG1836" s="5">
        <f>IF(SalesData[[#This Row],[Customers Visited]]=0,0,SalesData[[#This Row],[Test Drives]]/SalesData[[#This Row],[Customers Visited]])</f>
        <v>0.57192982456140351</v>
      </c>
      <c r="AH1836" s="5">
        <f>IF(SalesData[[#This Row],[Customers Visited]]=0,0,SalesData[[#This Row],[Contracts Signed]]/SalesData[[#This Row],[Customers Visited]])</f>
        <v>0.10877192982456141</v>
      </c>
      <c r="AI1836" s="6">
        <f>IF(SalesData[[#This Row],[Contracts Signed]]=0,0,SalesData[[#This Row],[Profit(€)]]/SalesData[[#This Row],[Contracts Signed]])</f>
        <v>11191</v>
      </c>
      <c r="AJ1836" s="5" t="str">
        <f>TRIM(CLEAN(SalesData[[#This Row],[Retailer]]))</f>
        <v>Hannover Cars</v>
      </c>
    </row>
    <row r="1837" spans="1:36" ht="14.25" hidden="1" x14ac:dyDescent="0.2">
      <c r="A1837" t="s">
        <v>2801</v>
      </c>
      <c r="B1837" s="1">
        <v>46056</v>
      </c>
      <c r="C1837" t="s">
        <v>24</v>
      </c>
      <c r="D1837" t="s">
        <v>63</v>
      </c>
      <c r="E1837" t="s">
        <v>26</v>
      </c>
      <c r="F1837" t="s">
        <v>109</v>
      </c>
      <c r="G1837" t="s">
        <v>110</v>
      </c>
      <c r="H1837" t="s">
        <v>45</v>
      </c>
      <c r="I1837" t="s">
        <v>56</v>
      </c>
      <c r="J1837" t="s">
        <v>137</v>
      </c>
      <c r="K1837" t="s">
        <v>78</v>
      </c>
      <c r="L1837" t="s">
        <v>46</v>
      </c>
      <c r="M1837" t="s">
        <v>47</v>
      </c>
      <c r="N1837" t="s">
        <v>35</v>
      </c>
      <c r="O1837" t="s">
        <v>36</v>
      </c>
      <c r="P1837" t="s">
        <v>49</v>
      </c>
      <c r="Q1837" t="s">
        <v>88</v>
      </c>
      <c r="R1837">
        <v>191</v>
      </c>
      <c r="S1837">
        <v>94</v>
      </c>
      <c r="T1837">
        <v>69</v>
      </c>
      <c r="U1837">
        <v>20</v>
      </c>
      <c r="V1837" t="s">
        <v>7070</v>
      </c>
      <c r="W1837">
        <v>55437</v>
      </c>
      <c r="X1837" t="s">
        <v>7102</v>
      </c>
      <c r="Y1837">
        <v>43985</v>
      </c>
      <c r="Z1837">
        <v>1108740</v>
      </c>
      <c r="AA1837">
        <v>229040</v>
      </c>
      <c r="AB1837" t="str">
        <f>(VLOOKUP(SalesData[[#This Row],[Month Number]],Reference!C$5:E$16,2,FALSE))</f>
        <v>Feb</v>
      </c>
      <c r="AC1837">
        <f>MONTH(SalesData[[#This Row],[Date]])</f>
        <v>2</v>
      </c>
      <c r="AD1837">
        <f>Reference!F$4</f>
        <v>2026</v>
      </c>
      <c r="AE1837" t="str">
        <f>IF(OR(SalesData[[#This Row],[Day]]="Saturday",SalesData[[#This Row],[Day]]="Sunday"),"Weekend","Weekday")</f>
        <v>Weekday</v>
      </c>
      <c r="AF1837" s="5">
        <f>IF(SalesData[[#This Row],[Contracts Offered]]=0,0,SalesData[[#This Row],[Contracts Signed]]/SalesData[[#This Row],[Contracts Offered]])</f>
        <v>0.28985507246376813</v>
      </c>
      <c r="AG1837" s="5">
        <f>IF(SalesData[[#This Row],[Customers Visited]]=0,0,SalesData[[#This Row],[Test Drives]]/SalesData[[#This Row],[Customers Visited]])</f>
        <v>0.49214659685863876</v>
      </c>
      <c r="AH1837" s="5">
        <f>IF(SalesData[[#This Row],[Customers Visited]]=0,0,SalesData[[#This Row],[Contracts Signed]]/SalesData[[#This Row],[Customers Visited]])</f>
        <v>0.10471204188481675</v>
      </c>
      <c r="AI1837" s="6">
        <f>IF(SalesData[[#This Row],[Contracts Signed]]=0,0,SalesData[[#This Row],[Profit(€)]]/SalesData[[#This Row],[Contracts Signed]])</f>
        <v>11452</v>
      </c>
      <c r="AJ1837" s="5" t="str">
        <f>TRIM(CLEAN(SalesData[[#This Row],[Retailer]]))</f>
        <v>Leipzig Mobility</v>
      </c>
    </row>
    <row r="1838" spans="1:36" ht="14.25" hidden="1" x14ac:dyDescent="0.2">
      <c r="A1838" t="s">
        <v>2803</v>
      </c>
      <c r="B1838" s="1">
        <v>46064</v>
      </c>
      <c r="C1838" t="s">
        <v>121</v>
      </c>
      <c r="D1838" t="s">
        <v>82</v>
      </c>
      <c r="E1838" t="s">
        <v>26</v>
      </c>
      <c r="F1838" t="s">
        <v>74</v>
      </c>
      <c r="G1838" t="s">
        <v>75</v>
      </c>
      <c r="H1838" t="s">
        <v>76</v>
      </c>
      <c r="I1838" t="s">
        <v>56</v>
      </c>
      <c r="J1838" t="s">
        <v>97</v>
      </c>
      <c r="K1838" t="s">
        <v>91</v>
      </c>
      <c r="L1838" t="s">
        <v>33</v>
      </c>
      <c r="M1838" t="s">
        <v>87</v>
      </c>
      <c r="N1838" t="s">
        <v>35</v>
      </c>
      <c r="O1838" t="s">
        <v>70</v>
      </c>
      <c r="P1838" t="s">
        <v>71</v>
      </c>
      <c r="Q1838" t="s">
        <v>129</v>
      </c>
      <c r="R1838">
        <v>223</v>
      </c>
      <c r="S1838">
        <v>114</v>
      </c>
      <c r="T1838">
        <v>87</v>
      </c>
      <c r="U1838">
        <v>27</v>
      </c>
      <c r="V1838" t="s">
        <v>6441</v>
      </c>
      <c r="W1838">
        <v>51337</v>
      </c>
      <c r="X1838" t="s">
        <v>2556</v>
      </c>
      <c r="Y1838">
        <v>39602</v>
      </c>
      <c r="Z1838">
        <v>1386099</v>
      </c>
      <c r="AA1838">
        <v>316845</v>
      </c>
      <c r="AB1838" t="str">
        <f>(VLOOKUP(SalesData[[#This Row],[Month Number]],Reference!C$5:E$16,2,FALSE))</f>
        <v>Feb</v>
      </c>
      <c r="AC1838">
        <f>MONTH(SalesData[[#This Row],[Date]])</f>
        <v>2</v>
      </c>
      <c r="AD1838">
        <f>Reference!F$4</f>
        <v>2026</v>
      </c>
      <c r="AE1838" t="str">
        <f>IF(OR(SalesData[[#This Row],[Day]]="Saturday",SalesData[[#This Row],[Day]]="Sunday"),"Weekend","Weekday")</f>
        <v>Weekday</v>
      </c>
      <c r="AF1838" s="5">
        <f>IF(SalesData[[#This Row],[Contracts Offered]]=0,0,SalesData[[#This Row],[Contracts Signed]]/SalesData[[#This Row],[Contracts Offered]])</f>
        <v>0.31034482758620691</v>
      </c>
      <c r="AG1838" s="5">
        <f>IF(SalesData[[#This Row],[Customers Visited]]=0,0,SalesData[[#This Row],[Test Drives]]/SalesData[[#This Row],[Customers Visited]])</f>
        <v>0.5112107623318386</v>
      </c>
      <c r="AH1838" s="5">
        <f>IF(SalesData[[#This Row],[Customers Visited]]=0,0,SalesData[[#This Row],[Contracts Signed]]/SalesData[[#This Row],[Customers Visited]])</f>
        <v>0.1210762331838565</v>
      </c>
      <c r="AI1838" s="6">
        <f>IF(SalesData[[#This Row],[Contracts Signed]]=0,0,SalesData[[#This Row],[Profit(€)]]/SalesData[[#This Row],[Contracts Signed]])</f>
        <v>11735</v>
      </c>
      <c r="AJ1838" s="5" t="str">
        <f>TRIM(CLEAN(SalesData[[#This Row],[Retailer]]))</f>
        <v>Stuttgart Auto Center</v>
      </c>
    </row>
    <row r="1839" spans="1:36" ht="14.25" hidden="1" x14ac:dyDescent="0.2">
      <c r="A1839" t="s">
        <v>2804</v>
      </c>
      <c r="B1839" s="1">
        <v>46070</v>
      </c>
      <c r="C1839" t="s">
        <v>62</v>
      </c>
      <c r="D1839" t="s">
        <v>63</v>
      </c>
      <c r="E1839" t="s">
        <v>26</v>
      </c>
      <c r="F1839" t="s">
        <v>7649</v>
      </c>
      <c r="G1839" t="s">
        <v>55</v>
      </c>
      <c r="H1839" t="s">
        <v>55</v>
      </c>
      <c r="I1839" t="s">
        <v>56</v>
      </c>
      <c r="J1839" t="s">
        <v>7028</v>
      </c>
      <c r="K1839" t="s">
        <v>91</v>
      </c>
      <c r="L1839" t="s">
        <v>46</v>
      </c>
      <c r="M1839" t="s">
        <v>34</v>
      </c>
      <c r="N1839" t="s">
        <v>69</v>
      </c>
      <c r="O1839" t="s">
        <v>70</v>
      </c>
      <c r="P1839" t="s">
        <v>71</v>
      </c>
      <c r="Q1839" t="s">
        <v>240</v>
      </c>
      <c r="R1839">
        <v>205</v>
      </c>
      <c r="S1839">
        <v>107</v>
      </c>
      <c r="T1839">
        <v>82</v>
      </c>
      <c r="U1839">
        <v>24</v>
      </c>
      <c r="V1839" t="s">
        <v>6621</v>
      </c>
      <c r="W1839">
        <v>50574</v>
      </c>
      <c r="X1839" t="s">
        <v>1830</v>
      </c>
      <c r="Y1839">
        <v>40732</v>
      </c>
      <c r="Z1839">
        <v>1213776</v>
      </c>
      <c r="AA1839">
        <v>236208</v>
      </c>
      <c r="AB1839" t="str">
        <f>(VLOOKUP(SalesData[[#This Row],[Month Number]],Reference!C$5:E$16,2,FALSE))</f>
        <v>Feb</v>
      </c>
      <c r="AC1839">
        <f>MONTH(SalesData[[#This Row],[Date]])</f>
        <v>2</v>
      </c>
      <c r="AD1839">
        <f>Reference!F$4</f>
        <v>2026</v>
      </c>
      <c r="AE1839" t="str">
        <f>IF(OR(SalesData[[#This Row],[Day]]="Saturday",SalesData[[#This Row],[Day]]="Sunday"),"Weekend","Weekday")</f>
        <v>Weekday</v>
      </c>
      <c r="AF1839" s="5">
        <f>IF(SalesData[[#This Row],[Contracts Offered]]=0,0,SalesData[[#This Row],[Contracts Signed]]/SalesData[[#This Row],[Contracts Offered]])</f>
        <v>0.29268292682926828</v>
      </c>
      <c r="AG1839" s="5">
        <f>IF(SalesData[[#This Row],[Customers Visited]]=0,0,SalesData[[#This Row],[Test Drives]]/SalesData[[#This Row],[Customers Visited]])</f>
        <v>0.52195121951219514</v>
      </c>
      <c r="AH1839" s="5">
        <f>IF(SalesData[[#This Row],[Customers Visited]]=0,0,SalesData[[#This Row],[Contracts Signed]]/SalesData[[#This Row],[Customers Visited]])</f>
        <v>0.11707317073170732</v>
      </c>
      <c r="AI1839" s="6">
        <f>IF(SalesData[[#This Row],[Contracts Signed]]=0,0,SalesData[[#This Row],[Profit(€)]]/SalesData[[#This Row],[Contracts Signed]])</f>
        <v>9842</v>
      </c>
      <c r="AJ1839" s="5" t="str">
        <f>TRIM(CLEAN(SalesData[[#This Row],[Retailer]]))</f>
        <v>Autohaus Berlin</v>
      </c>
    </row>
    <row r="1840" spans="1:36" ht="14.25" hidden="1" x14ac:dyDescent="0.2">
      <c r="A1840" t="s">
        <v>2806</v>
      </c>
      <c r="B1840" s="1">
        <v>46065</v>
      </c>
      <c r="C1840" t="s">
        <v>121</v>
      </c>
      <c r="D1840" t="s">
        <v>100</v>
      </c>
      <c r="E1840" t="s">
        <v>26</v>
      </c>
      <c r="F1840" t="s">
        <v>101</v>
      </c>
      <c r="G1840" t="s">
        <v>102</v>
      </c>
      <c r="H1840" t="s">
        <v>103</v>
      </c>
      <c r="I1840" t="s">
        <v>116</v>
      </c>
      <c r="J1840" t="s">
        <v>7090</v>
      </c>
      <c r="K1840" t="s">
        <v>66</v>
      </c>
      <c r="L1840" t="s">
        <v>46</v>
      </c>
      <c r="M1840" t="s">
        <v>87</v>
      </c>
      <c r="N1840" t="s">
        <v>69</v>
      </c>
      <c r="O1840" t="s">
        <v>70</v>
      </c>
      <c r="P1840" t="s">
        <v>71</v>
      </c>
      <c r="Q1840" t="s">
        <v>129</v>
      </c>
      <c r="R1840">
        <v>420</v>
      </c>
      <c r="S1840">
        <v>204</v>
      </c>
      <c r="T1840">
        <v>118</v>
      </c>
      <c r="U1840">
        <v>31</v>
      </c>
      <c r="V1840" t="s">
        <v>2827</v>
      </c>
      <c r="W1840">
        <v>26209</v>
      </c>
      <c r="X1840" t="s">
        <v>7484</v>
      </c>
      <c r="Y1840">
        <v>23828</v>
      </c>
      <c r="Z1840">
        <v>812479</v>
      </c>
      <c r="AA1840">
        <v>73811</v>
      </c>
      <c r="AB1840" t="str">
        <f>(VLOOKUP(SalesData[[#This Row],[Month Number]],Reference!C$5:E$16,2,FALSE))</f>
        <v>Feb</v>
      </c>
      <c r="AC1840">
        <f>MONTH(SalesData[[#This Row],[Date]])</f>
        <v>2</v>
      </c>
      <c r="AD1840">
        <f>Reference!F$4</f>
        <v>2026</v>
      </c>
      <c r="AE1840" t="str">
        <f>IF(OR(SalesData[[#This Row],[Day]]="Saturday",SalesData[[#This Row],[Day]]="Sunday"),"Weekend","Weekday")</f>
        <v>Weekday</v>
      </c>
      <c r="AF1840" s="5">
        <f>IF(SalesData[[#This Row],[Contracts Offered]]=0,0,SalesData[[#This Row],[Contracts Signed]]/SalesData[[#This Row],[Contracts Offered]])</f>
        <v>0.26271186440677968</v>
      </c>
      <c r="AG1840" s="5">
        <f>IF(SalesData[[#This Row],[Customers Visited]]=0,0,SalesData[[#This Row],[Test Drives]]/SalesData[[#This Row],[Customers Visited]])</f>
        <v>0.48571428571428571</v>
      </c>
      <c r="AH1840" s="5">
        <f>IF(SalesData[[#This Row],[Customers Visited]]=0,0,SalesData[[#This Row],[Contracts Signed]]/SalesData[[#This Row],[Customers Visited]])</f>
        <v>7.3809523809523811E-2</v>
      </c>
      <c r="AI1840" s="6">
        <f>IF(SalesData[[#This Row],[Contracts Signed]]=0,0,SalesData[[#This Row],[Profit(€)]]/SalesData[[#This Row],[Contracts Signed]])</f>
        <v>2381</v>
      </c>
      <c r="AJ1840" s="5" t="str">
        <f>TRIM(CLEAN(SalesData[[#This Row],[Retailer]]))</f>
        <v>Ruhr Auto Plaza</v>
      </c>
    </row>
    <row r="1841" spans="1:36" ht="14.25" x14ac:dyDescent="0.2">
      <c r="A1841" t="s">
        <v>2807</v>
      </c>
      <c r="B1841" s="1">
        <v>46075</v>
      </c>
      <c r="C1841" t="s">
        <v>53</v>
      </c>
      <c r="D1841" t="s">
        <v>41</v>
      </c>
      <c r="E1841" t="s">
        <v>42</v>
      </c>
      <c r="F1841" t="s">
        <v>27</v>
      </c>
      <c r="G1841" t="s">
        <v>28</v>
      </c>
      <c r="H1841" t="s">
        <v>29</v>
      </c>
      <c r="I1841" t="s">
        <v>30</v>
      </c>
      <c r="J1841" t="s">
        <v>166</v>
      </c>
      <c r="K1841" t="s">
        <v>91</v>
      </c>
      <c r="L1841" t="s">
        <v>46</v>
      </c>
      <c r="M1841" t="s">
        <v>47</v>
      </c>
      <c r="N1841" t="s">
        <v>69</v>
      </c>
      <c r="O1841" t="s">
        <v>36</v>
      </c>
      <c r="P1841" t="s">
        <v>49</v>
      </c>
      <c r="Q1841" t="s">
        <v>38</v>
      </c>
      <c r="R1841">
        <v>258</v>
      </c>
      <c r="S1841">
        <v>151</v>
      </c>
      <c r="T1841">
        <v>108</v>
      </c>
      <c r="U1841">
        <v>41</v>
      </c>
      <c r="V1841" t="s">
        <v>6637</v>
      </c>
      <c r="W1841">
        <v>60869</v>
      </c>
      <c r="X1841" t="s">
        <v>7485</v>
      </c>
      <c r="Y1841">
        <v>46851</v>
      </c>
      <c r="Z1841">
        <v>2495629</v>
      </c>
      <c r="AA1841">
        <v>574738</v>
      </c>
      <c r="AB1841" t="str">
        <f>(VLOOKUP(SalesData[[#This Row],[Month Number]],Reference!C$5:E$16,2,FALSE))</f>
        <v>Feb</v>
      </c>
      <c r="AC1841">
        <f>MONTH(SalesData[[#This Row],[Date]])</f>
        <v>2</v>
      </c>
      <c r="AD1841">
        <f>Reference!F$4</f>
        <v>2026</v>
      </c>
      <c r="AE1841" t="str">
        <f>IF(OR(SalesData[[#This Row],[Day]]="Saturday",SalesData[[#This Row],[Day]]="Sunday"),"Weekend","Weekday")</f>
        <v>Weekend</v>
      </c>
      <c r="AF1841" s="5">
        <f>IF(SalesData[[#This Row],[Contracts Offered]]=0,0,SalesData[[#This Row],[Contracts Signed]]/SalesData[[#This Row],[Contracts Offered]])</f>
        <v>0.37962962962962965</v>
      </c>
      <c r="AG1841" s="5">
        <f>IF(SalesData[[#This Row],[Customers Visited]]=0,0,SalesData[[#This Row],[Test Drives]]/SalesData[[#This Row],[Customers Visited]])</f>
        <v>0.5852713178294574</v>
      </c>
      <c r="AH1841" s="5">
        <f>IF(SalesData[[#This Row],[Customers Visited]]=0,0,SalesData[[#This Row],[Contracts Signed]]/SalesData[[#This Row],[Customers Visited]])</f>
        <v>0.15891472868217055</v>
      </c>
      <c r="AI1841" s="6">
        <f>IF(SalesData[[#This Row],[Contracts Signed]]=0,0,SalesData[[#This Row],[Profit(€)]]/SalesData[[#This Row],[Contracts Signed]])</f>
        <v>14018</v>
      </c>
      <c r="AJ1841" s="5" t="str">
        <f>TRIM(CLEAN(SalesData[[#This Row],[Retailer]]))</f>
        <v>Main Auto Hub</v>
      </c>
    </row>
    <row r="1842" spans="1:36" ht="14.25" hidden="1" x14ac:dyDescent="0.2">
      <c r="A1842" t="s">
        <v>2808</v>
      </c>
      <c r="B1842" s="1">
        <v>46079</v>
      </c>
      <c r="C1842" t="s">
        <v>53</v>
      </c>
      <c r="D1842" t="s">
        <v>100</v>
      </c>
      <c r="E1842" t="s">
        <v>26</v>
      </c>
      <c r="F1842" t="s">
        <v>74</v>
      </c>
      <c r="G1842" t="s">
        <v>75</v>
      </c>
      <c r="H1842" t="s">
        <v>76</v>
      </c>
      <c r="I1842" t="s">
        <v>64</v>
      </c>
      <c r="J1842" t="s">
        <v>157</v>
      </c>
      <c r="K1842" t="s">
        <v>91</v>
      </c>
      <c r="L1842" t="s">
        <v>33</v>
      </c>
      <c r="M1842" t="s">
        <v>34</v>
      </c>
      <c r="N1842" t="s">
        <v>48</v>
      </c>
      <c r="O1842" t="s">
        <v>70</v>
      </c>
      <c r="P1842" t="s">
        <v>71</v>
      </c>
      <c r="Q1842" t="s">
        <v>189</v>
      </c>
      <c r="R1842">
        <v>148</v>
      </c>
      <c r="S1842">
        <v>74</v>
      </c>
      <c r="T1842">
        <v>57</v>
      </c>
      <c r="U1842">
        <v>19</v>
      </c>
      <c r="V1842" t="s">
        <v>6736</v>
      </c>
      <c r="W1842">
        <v>62276</v>
      </c>
      <c r="X1842" t="s">
        <v>7056</v>
      </c>
      <c r="Y1842">
        <v>46699</v>
      </c>
      <c r="Z1842">
        <v>1183244</v>
      </c>
      <c r="AA1842">
        <v>295963</v>
      </c>
      <c r="AB1842" t="str">
        <f>(VLOOKUP(SalesData[[#This Row],[Month Number]],Reference!C$5:E$16,2,FALSE))</f>
        <v>Feb</v>
      </c>
      <c r="AC1842">
        <f>MONTH(SalesData[[#This Row],[Date]])</f>
        <v>2</v>
      </c>
      <c r="AD1842">
        <f>Reference!F$4</f>
        <v>2026</v>
      </c>
      <c r="AE1842" t="str">
        <f>IF(OR(SalesData[[#This Row],[Day]]="Saturday",SalesData[[#This Row],[Day]]="Sunday"),"Weekend","Weekday")</f>
        <v>Weekday</v>
      </c>
      <c r="AF1842" s="5">
        <f>IF(SalesData[[#This Row],[Contracts Offered]]=0,0,SalesData[[#This Row],[Contracts Signed]]/SalesData[[#This Row],[Contracts Offered]])</f>
        <v>0.33333333333333331</v>
      </c>
      <c r="AG1842" s="5">
        <f>IF(SalesData[[#This Row],[Customers Visited]]=0,0,SalesData[[#This Row],[Test Drives]]/SalesData[[#This Row],[Customers Visited]])</f>
        <v>0.5</v>
      </c>
      <c r="AH1842" s="5">
        <f>IF(SalesData[[#This Row],[Customers Visited]]=0,0,SalesData[[#This Row],[Contracts Signed]]/SalesData[[#This Row],[Customers Visited]])</f>
        <v>0.12837837837837837</v>
      </c>
      <c r="AI1842" s="6">
        <f>IF(SalesData[[#This Row],[Contracts Signed]]=0,0,SalesData[[#This Row],[Profit(€)]]/SalesData[[#This Row],[Contracts Signed]])</f>
        <v>15577</v>
      </c>
      <c r="AJ1842" s="5" t="str">
        <f>TRIM(CLEAN(SalesData[[#This Row],[Retailer]]))</f>
        <v>Stuttgart Auto Center</v>
      </c>
    </row>
    <row r="1843" spans="1:36" ht="14.25" hidden="1" x14ac:dyDescent="0.2">
      <c r="A1843" t="s">
        <v>2809</v>
      </c>
      <c r="B1843" s="1">
        <v>46060</v>
      </c>
      <c r="C1843" t="s">
        <v>24</v>
      </c>
      <c r="D1843" t="s">
        <v>151</v>
      </c>
      <c r="E1843" t="s">
        <v>42</v>
      </c>
      <c r="F1843" t="s">
        <v>7649</v>
      </c>
      <c r="G1843" t="s">
        <v>55</v>
      </c>
      <c r="H1843" t="s">
        <v>55</v>
      </c>
      <c r="I1843" t="s">
        <v>104</v>
      </c>
      <c r="J1843" t="s">
        <v>105</v>
      </c>
      <c r="K1843" t="s">
        <v>91</v>
      </c>
      <c r="L1843" t="s">
        <v>33</v>
      </c>
      <c r="M1843" t="s">
        <v>34</v>
      </c>
      <c r="N1843" t="s">
        <v>69</v>
      </c>
      <c r="O1843" t="s">
        <v>36</v>
      </c>
      <c r="P1843" t="s">
        <v>71</v>
      </c>
      <c r="Q1843" t="s">
        <v>189</v>
      </c>
      <c r="R1843">
        <v>390</v>
      </c>
      <c r="S1843">
        <v>166</v>
      </c>
      <c r="T1843">
        <v>101</v>
      </c>
      <c r="U1843">
        <v>32</v>
      </c>
      <c r="V1843" t="s">
        <v>886</v>
      </c>
      <c r="W1843">
        <v>32766</v>
      </c>
      <c r="X1843" t="s">
        <v>7371</v>
      </c>
      <c r="Y1843">
        <v>28260</v>
      </c>
      <c r="Z1843">
        <v>1048512</v>
      </c>
      <c r="AA1843">
        <v>144192</v>
      </c>
      <c r="AB1843" t="str">
        <f>(VLOOKUP(SalesData[[#This Row],[Month Number]],Reference!C$5:E$16,2,FALSE))</f>
        <v>Feb</v>
      </c>
      <c r="AC1843">
        <f>MONTH(SalesData[[#This Row],[Date]])</f>
        <v>2</v>
      </c>
      <c r="AD1843">
        <f>Reference!F$4</f>
        <v>2026</v>
      </c>
      <c r="AE1843" t="str">
        <f>IF(OR(SalesData[[#This Row],[Day]]="Saturday",SalesData[[#This Row],[Day]]="Sunday"),"Weekend","Weekday")</f>
        <v>Weekend</v>
      </c>
      <c r="AF1843" s="5">
        <f>IF(SalesData[[#This Row],[Contracts Offered]]=0,0,SalesData[[#This Row],[Contracts Signed]]/SalesData[[#This Row],[Contracts Offered]])</f>
        <v>0.31683168316831684</v>
      </c>
      <c r="AG1843" s="5">
        <f>IF(SalesData[[#This Row],[Customers Visited]]=0,0,SalesData[[#This Row],[Test Drives]]/SalesData[[#This Row],[Customers Visited]])</f>
        <v>0.42564102564102563</v>
      </c>
      <c r="AH1843" s="5">
        <f>IF(SalesData[[#This Row],[Customers Visited]]=0,0,SalesData[[#This Row],[Contracts Signed]]/SalesData[[#This Row],[Customers Visited]])</f>
        <v>8.2051282051282051E-2</v>
      </c>
      <c r="AI1843" s="6">
        <f>IF(SalesData[[#This Row],[Contracts Signed]]=0,0,SalesData[[#This Row],[Profit(€)]]/SalesData[[#This Row],[Contracts Signed]])</f>
        <v>4506</v>
      </c>
      <c r="AJ1843" s="5" t="str">
        <f>TRIM(CLEAN(SalesData[[#This Row],[Retailer]]))</f>
        <v>Autohaus Berlin</v>
      </c>
    </row>
    <row r="1844" spans="1:36" ht="14.25" hidden="1" x14ac:dyDescent="0.2">
      <c r="A1844" t="s">
        <v>2810</v>
      </c>
      <c r="B1844" s="1">
        <v>46080</v>
      </c>
      <c r="C1844" t="s">
        <v>53</v>
      </c>
      <c r="D1844" t="s">
        <v>54</v>
      </c>
      <c r="E1844" t="s">
        <v>26</v>
      </c>
      <c r="F1844" t="s">
        <v>109</v>
      </c>
      <c r="G1844" t="s">
        <v>110</v>
      </c>
      <c r="H1844" t="s">
        <v>45</v>
      </c>
      <c r="I1844" t="s">
        <v>56</v>
      </c>
      <c r="J1844" t="s">
        <v>7028</v>
      </c>
      <c r="K1844" t="s">
        <v>91</v>
      </c>
      <c r="L1844" t="s">
        <v>46</v>
      </c>
      <c r="M1844" t="s">
        <v>47</v>
      </c>
      <c r="N1844" t="s">
        <v>35</v>
      </c>
      <c r="O1844" t="s">
        <v>36</v>
      </c>
      <c r="P1844" t="s">
        <v>49</v>
      </c>
      <c r="Q1844" t="s">
        <v>158</v>
      </c>
      <c r="R1844">
        <v>288</v>
      </c>
      <c r="S1844">
        <v>147</v>
      </c>
      <c r="T1844">
        <v>104</v>
      </c>
      <c r="U1844">
        <v>30</v>
      </c>
      <c r="V1844" t="s">
        <v>6728</v>
      </c>
      <c r="W1844">
        <v>53589</v>
      </c>
      <c r="X1844" t="s">
        <v>7205</v>
      </c>
      <c r="Y1844">
        <v>42036</v>
      </c>
      <c r="Z1844">
        <v>1607670</v>
      </c>
      <c r="AA1844">
        <v>346590</v>
      </c>
      <c r="AB1844" t="str">
        <f>(VLOOKUP(SalesData[[#This Row],[Month Number]],Reference!C$5:E$16,2,FALSE))</f>
        <v>Feb</v>
      </c>
      <c r="AC1844">
        <f>MONTH(SalesData[[#This Row],[Date]])</f>
        <v>2</v>
      </c>
      <c r="AD1844">
        <f>Reference!F$4</f>
        <v>2026</v>
      </c>
      <c r="AE1844" t="str">
        <f>IF(OR(SalesData[[#This Row],[Day]]="Saturday",SalesData[[#This Row],[Day]]="Sunday"),"Weekend","Weekday")</f>
        <v>Weekday</v>
      </c>
      <c r="AF1844" s="5">
        <f>IF(SalesData[[#This Row],[Contracts Offered]]=0,0,SalesData[[#This Row],[Contracts Signed]]/SalesData[[#This Row],[Contracts Offered]])</f>
        <v>0.28846153846153844</v>
      </c>
      <c r="AG1844" s="5">
        <f>IF(SalesData[[#This Row],[Customers Visited]]=0,0,SalesData[[#This Row],[Test Drives]]/SalesData[[#This Row],[Customers Visited]])</f>
        <v>0.51041666666666663</v>
      </c>
      <c r="AH1844" s="5">
        <f>IF(SalesData[[#This Row],[Customers Visited]]=0,0,SalesData[[#This Row],[Contracts Signed]]/SalesData[[#This Row],[Customers Visited]])</f>
        <v>0.10416666666666667</v>
      </c>
      <c r="AI1844" s="6">
        <f>IF(SalesData[[#This Row],[Contracts Signed]]=0,0,SalesData[[#This Row],[Profit(€)]]/SalesData[[#This Row],[Contracts Signed]])</f>
        <v>11553</v>
      </c>
      <c r="AJ1844" s="5" t="str">
        <f>TRIM(CLEAN(SalesData[[#This Row],[Retailer]]))</f>
        <v>Leipzig Mobility</v>
      </c>
    </row>
    <row r="1845" spans="1:36" ht="14.25" x14ac:dyDescent="0.2">
      <c r="A1845" t="s">
        <v>2811</v>
      </c>
      <c r="B1845" s="1">
        <v>46064</v>
      </c>
      <c r="C1845" t="s">
        <v>121</v>
      </c>
      <c r="D1845" t="s">
        <v>82</v>
      </c>
      <c r="E1845" t="s">
        <v>26</v>
      </c>
      <c r="F1845" t="s">
        <v>43</v>
      </c>
      <c r="G1845" t="s">
        <v>44</v>
      </c>
      <c r="H1845" t="s">
        <v>45</v>
      </c>
      <c r="I1845" t="s">
        <v>30</v>
      </c>
      <c r="J1845" t="s">
        <v>166</v>
      </c>
      <c r="K1845" t="s">
        <v>66</v>
      </c>
      <c r="L1845" t="s">
        <v>46</v>
      </c>
      <c r="M1845" t="s">
        <v>47</v>
      </c>
      <c r="N1845" t="s">
        <v>69</v>
      </c>
      <c r="O1845" t="s">
        <v>36</v>
      </c>
      <c r="P1845" t="s">
        <v>71</v>
      </c>
      <c r="Q1845" t="s">
        <v>189</v>
      </c>
      <c r="R1845">
        <v>181</v>
      </c>
      <c r="S1845">
        <v>85</v>
      </c>
      <c r="T1845">
        <v>68</v>
      </c>
      <c r="U1845">
        <v>24</v>
      </c>
      <c r="V1845" t="s">
        <v>6836</v>
      </c>
      <c r="W1845">
        <v>59955</v>
      </c>
      <c r="X1845" t="s">
        <v>7198</v>
      </c>
      <c r="Y1845">
        <v>45373</v>
      </c>
      <c r="Z1845">
        <v>1438920</v>
      </c>
      <c r="AA1845">
        <v>349968</v>
      </c>
      <c r="AB1845" t="str">
        <f>(VLOOKUP(SalesData[[#This Row],[Month Number]],Reference!C$5:E$16,2,FALSE))</f>
        <v>Feb</v>
      </c>
      <c r="AC1845">
        <f>MONTH(SalesData[[#This Row],[Date]])</f>
        <v>2</v>
      </c>
      <c r="AD1845">
        <f>Reference!F$4</f>
        <v>2026</v>
      </c>
      <c r="AE1845" t="str">
        <f>IF(OR(SalesData[[#This Row],[Day]]="Saturday",SalesData[[#This Row],[Day]]="Sunday"),"Weekend","Weekday")</f>
        <v>Weekday</v>
      </c>
      <c r="AF1845" s="5">
        <f>IF(SalesData[[#This Row],[Contracts Offered]]=0,0,SalesData[[#This Row],[Contracts Signed]]/SalesData[[#This Row],[Contracts Offered]])</f>
        <v>0.35294117647058826</v>
      </c>
      <c r="AG1845" s="5">
        <f>IF(SalesData[[#This Row],[Customers Visited]]=0,0,SalesData[[#This Row],[Test Drives]]/SalesData[[#This Row],[Customers Visited]])</f>
        <v>0.46961325966850831</v>
      </c>
      <c r="AH1845" s="5">
        <f>IF(SalesData[[#This Row],[Customers Visited]]=0,0,SalesData[[#This Row],[Contracts Signed]]/SalesData[[#This Row],[Customers Visited]])</f>
        <v>0.13259668508287292</v>
      </c>
      <c r="AI1845" s="6">
        <f>IF(SalesData[[#This Row],[Contracts Signed]]=0,0,SalesData[[#This Row],[Profit(€)]]/SalesData[[#This Row],[Contracts Signed]])</f>
        <v>14582</v>
      </c>
      <c r="AJ1845" s="5" t="str">
        <f>TRIM(CLEAN(SalesData[[#This Row],[Retailer]]))</f>
        <v>Saxon Wheels</v>
      </c>
    </row>
    <row r="1846" spans="1:36" ht="14.25" x14ac:dyDescent="0.2">
      <c r="A1846" t="s">
        <v>2813</v>
      </c>
      <c r="B1846" s="1">
        <v>46058</v>
      </c>
      <c r="C1846" t="s">
        <v>24</v>
      </c>
      <c r="D1846" t="s">
        <v>100</v>
      </c>
      <c r="E1846" t="s">
        <v>26</v>
      </c>
      <c r="F1846" t="s">
        <v>114</v>
      </c>
      <c r="G1846" t="s">
        <v>115</v>
      </c>
      <c r="H1846" t="s">
        <v>115</v>
      </c>
      <c r="I1846" t="s">
        <v>30</v>
      </c>
      <c r="J1846" t="s">
        <v>188</v>
      </c>
      <c r="K1846" t="s">
        <v>78</v>
      </c>
      <c r="L1846" t="s">
        <v>33</v>
      </c>
      <c r="M1846" t="s">
        <v>47</v>
      </c>
      <c r="N1846" t="s">
        <v>69</v>
      </c>
      <c r="O1846" t="s">
        <v>70</v>
      </c>
      <c r="P1846" t="s">
        <v>71</v>
      </c>
      <c r="Q1846" t="s">
        <v>144</v>
      </c>
      <c r="R1846">
        <v>253</v>
      </c>
      <c r="S1846">
        <v>131</v>
      </c>
      <c r="T1846">
        <v>93</v>
      </c>
      <c r="U1846">
        <v>40</v>
      </c>
      <c r="V1846" t="s">
        <v>7486</v>
      </c>
      <c r="W1846">
        <v>58847</v>
      </c>
      <c r="X1846" t="s">
        <v>1830</v>
      </c>
      <c r="Y1846">
        <v>41512</v>
      </c>
      <c r="Z1846">
        <v>2353880</v>
      </c>
      <c r="AA1846">
        <v>693400</v>
      </c>
      <c r="AB1846" t="str">
        <f>(VLOOKUP(SalesData[[#This Row],[Month Number]],Reference!C$5:E$16,2,FALSE))</f>
        <v>Feb</v>
      </c>
      <c r="AC1846">
        <f>MONTH(SalesData[[#This Row],[Date]])</f>
        <v>2</v>
      </c>
      <c r="AD1846">
        <f>Reference!F$4</f>
        <v>2026</v>
      </c>
      <c r="AE1846" t="str">
        <f>IF(OR(SalesData[[#This Row],[Day]]="Saturday",SalesData[[#This Row],[Day]]="Sunday"),"Weekend","Weekday")</f>
        <v>Weekday</v>
      </c>
      <c r="AF1846" s="5">
        <f>IF(SalesData[[#This Row],[Contracts Offered]]=0,0,SalesData[[#This Row],[Contracts Signed]]/SalesData[[#This Row],[Contracts Offered]])</f>
        <v>0.43010752688172044</v>
      </c>
      <c r="AG1846" s="5">
        <f>IF(SalesData[[#This Row],[Customers Visited]]=0,0,SalesData[[#This Row],[Test Drives]]/SalesData[[#This Row],[Customers Visited]])</f>
        <v>0.51778656126482214</v>
      </c>
      <c r="AH1846" s="5">
        <f>IF(SalesData[[#This Row],[Customers Visited]]=0,0,SalesData[[#This Row],[Contracts Signed]]/SalesData[[#This Row],[Customers Visited]])</f>
        <v>0.15810276679841898</v>
      </c>
      <c r="AI1846" s="6">
        <f>IF(SalesData[[#This Row],[Contracts Signed]]=0,0,SalesData[[#This Row],[Profit(€)]]/SalesData[[#This Row],[Contracts Signed]])</f>
        <v>17335</v>
      </c>
      <c r="AJ1846" s="5" t="str">
        <f>TRIM(CLEAN(SalesData[[#This Row],[Retailer]]))</f>
        <v>Elbe Drive</v>
      </c>
    </row>
    <row r="1847" spans="1:36" ht="14.25" x14ac:dyDescent="0.2">
      <c r="A1847" t="s">
        <v>2814</v>
      </c>
      <c r="B1847" s="1">
        <v>46070</v>
      </c>
      <c r="C1847" t="s">
        <v>62</v>
      </c>
      <c r="D1847" t="s">
        <v>63</v>
      </c>
      <c r="E1847" t="s">
        <v>26</v>
      </c>
      <c r="F1847" t="s">
        <v>127</v>
      </c>
      <c r="G1847" t="s">
        <v>128</v>
      </c>
      <c r="H1847" t="s">
        <v>103</v>
      </c>
      <c r="I1847" t="s">
        <v>30</v>
      </c>
      <c r="J1847" t="s">
        <v>7075</v>
      </c>
      <c r="K1847" t="s">
        <v>32</v>
      </c>
      <c r="L1847" t="s">
        <v>33</v>
      </c>
      <c r="M1847" t="s">
        <v>87</v>
      </c>
      <c r="N1847" t="s">
        <v>69</v>
      </c>
      <c r="O1847" t="s">
        <v>36</v>
      </c>
      <c r="P1847" t="s">
        <v>37</v>
      </c>
      <c r="Q1847" t="s">
        <v>118</v>
      </c>
      <c r="R1847">
        <v>231</v>
      </c>
      <c r="S1847">
        <v>112</v>
      </c>
      <c r="T1847">
        <v>80</v>
      </c>
      <c r="U1847">
        <v>29</v>
      </c>
      <c r="V1847" t="s">
        <v>6527</v>
      </c>
      <c r="W1847">
        <v>58265</v>
      </c>
      <c r="X1847" t="s">
        <v>7121</v>
      </c>
      <c r="Y1847">
        <v>45210</v>
      </c>
      <c r="Z1847">
        <v>1689685</v>
      </c>
      <c r="AA1847">
        <v>378595</v>
      </c>
      <c r="AB1847" t="str">
        <f>(VLOOKUP(SalesData[[#This Row],[Month Number]],Reference!C$5:E$16,2,FALSE))</f>
        <v>Feb</v>
      </c>
      <c r="AC1847">
        <f>MONTH(SalesData[[#This Row],[Date]])</f>
        <v>2</v>
      </c>
      <c r="AD1847">
        <f>Reference!F$4</f>
        <v>2026</v>
      </c>
      <c r="AE1847" t="str">
        <f>IF(OR(SalesData[[#This Row],[Day]]="Saturday",SalesData[[#This Row],[Day]]="Sunday"),"Weekend","Weekday")</f>
        <v>Weekday</v>
      </c>
      <c r="AF1847" s="5">
        <f>IF(SalesData[[#This Row],[Contracts Offered]]=0,0,SalesData[[#This Row],[Contracts Signed]]/SalesData[[#This Row],[Contracts Offered]])</f>
        <v>0.36249999999999999</v>
      </c>
      <c r="AG1847" s="5">
        <f>IF(SalesData[[#This Row],[Customers Visited]]=0,0,SalesData[[#This Row],[Test Drives]]/SalesData[[#This Row],[Customers Visited]])</f>
        <v>0.48484848484848486</v>
      </c>
      <c r="AH1847" s="5">
        <f>IF(SalesData[[#This Row],[Customers Visited]]=0,0,SalesData[[#This Row],[Contracts Signed]]/SalesData[[#This Row],[Customers Visited]])</f>
        <v>0.12554112554112554</v>
      </c>
      <c r="AI1847" s="6">
        <f>IF(SalesData[[#This Row],[Contracts Signed]]=0,0,SalesData[[#This Row],[Profit(€)]]/SalesData[[#This Row],[Contracts Signed]])</f>
        <v>13055</v>
      </c>
      <c r="AJ1847" s="5" t="str">
        <f>TRIM(CLEAN(SalesData[[#This Row],[Retailer]]))</f>
        <v>Rhein Auto Group</v>
      </c>
    </row>
    <row r="1848" spans="1:36" ht="14.25" hidden="1" x14ac:dyDescent="0.2">
      <c r="A1848" t="s">
        <v>2815</v>
      </c>
      <c r="B1848" s="1">
        <v>46067</v>
      </c>
      <c r="C1848" t="s">
        <v>121</v>
      </c>
      <c r="D1848" t="s">
        <v>151</v>
      </c>
      <c r="E1848" t="s">
        <v>42</v>
      </c>
      <c r="F1848" t="s">
        <v>43</v>
      </c>
      <c r="G1848" t="s">
        <v>44</v>
      </c>
      <c r="H1848" t="s">
        <v>45</v>
      </c>
      <c r="I1848" t="s">
        <v>104</v>
      </c>
      <c r="J1848" t="s">
        <v>105</v>
      </c>
      <c r="K1848" t="s">
        <v>91</v>
      </c>
      <c r="L1848" t="s">
        <v>33</v>
      </c>
      <c r="M1848" t="s">
        <v>87</v>
      </c>
      <c r="N1848" t="s">
        <v>35</v>
      </c>
      <c r="O1848" t="s">
        <v>70</v>
      </c>
      <c r="P1848" t="s">
        <v>49</v>
      </c>
      <c r="Q1848" t="s">
        <v>118</v>
      </c>
      <c r="R1848">
        <v>394</v>
      </c>
      <c r="S1848">
        <v>195</v>
      </c>
      <c r="T1848">
        <v>114</v>
      </c>
      <c r="U1848">
        <v>29</v>
      </c>
      <c r="V1848" t="s">
        <v>6595</v>
      </c>
      <c r="W1848">
        <v>28469</v>
      </c>
      <c r="X1848" t="s">
        <v>791</v>
      </c>
      <c r="Y1848">
        <v>24577</v>
      </c>
      <c r="Z1848">
        <v>825601</v>
      </c>
      <c r="AA1848">
        <v>112868</v>
      </c>
      <c r="AB1848" t="str">
        <f>(VLOOKUP(SalesData[[#This Row],[Month Number]],Reference!C$5:E$16,2,FALSE))</f>
        <v>Feb</v>
      </c>
      <c r="AC1848">
        <f>MONTH(SalesData[[#This Row],[Date]])</f>
        <v>2</v>
      </c>
      <c r="AD1848">
        <f>Reference!F$4</f>
        <v>2026</v>
      </c>
      <c r="AE1848" t="str">
        <f>IF(OR(SalesData[[#This Row],[Day]]="Saturday",SalesData[[#This Row],[Day]]="Sunday"),"Weekend","Weekday")</f>
        <v>Weekend</v>
      </c>
      <c r="AF1848" s="5">
        <f>IF(SalesData[[#This Row],[Contracts Offered]]=0,0,SalesData[[#This Row],[Contracts Signed]]/SalesData[[#This Row],[Contracts Offered]])</f>
        <v>0.25438596491228072</v>
      </c>
      <c r="AG1848" s="5">
        <f>IF(SalesData[[#This Row],[Customers Visited]]=0,0,SalesData[[#This Row],[Test Drives]]/SalesData[[#This Row],[Customers Visited]])</f>
        <v>0.49492385786802029</v>
      </c>
      <c r="AH1848" s="5">
        <f>IF(SalesData[[#This Row],[Customers Visited]]=0,0,SalesData[[#This Row],[Contracts Signed]]/SalesData[[#This Row],[Customers Visited]])</f>
        <v>7.3604060913705582E-2</v>
      </c>
      <c r="AI1848" s="6">
        <f>IF(SalesData[[#This Row],[Contracts Signed]]=0,0,SalesData[[#This Row],[Profit(€)]]/SalesData[[#This Row],[Contracts Signed]])</f>
        <v>3892</v>
      </c>
      <c r="AJ1848" s="5" t="str">
        <f>TRIM(CLEAN(SalesData[[#This Row],[Retailer]]))</f>
        <v>Saxon Wheels</v>
      </c>
    </row>
    <row r="1849" spans="1:36" ht="14.25" hidden="1" x14ac:dyDescent="0.2">
      <c r="A1849" t="s">
        <v>2816</v>
      </c>
      <c r="B1849" s="1">
        <v>46079</v>
      </c>
      <c r="C1849" t="s">
        <v>53</v>
      </c>
      <c r="D1849" t="s">
        <v>100</v>
      </c>
      <c r="E1849" t="s">
        <v>26</v>
      </c>
      <c r="F1849" t="s">
        <v>127</v>
      </c>
      <c r="G1849" t="s">
        <v>128</v>
      </c>
      <c r="H1849" t="s">
        <v>103</v>
      </c>
      <c r="I1849" t="s">
        <v>104</v>
      </c>
      <c r="J1849" t="s">
        <v>105</v>
      </c>
      <c r="K1849" t="s">
        <v>78</v>
      </c>
      <c r="L1849" t="s">
        <v>33</v>
      </c>
      <c r="M1849" t="s">
        <v>47</v>
      </c>
      <c r="N1849" t="s">
        <v>35</v>
      </c>
      <c r="O1849" t="s">
        <v>70</v>
      </c>
      <c r="P1849" t="s">
        <v>49</v>
      </c>
      <c r="Q1849" t="s">
        <v>59</v>
      </c>
      <c r="R1849">
        <v>298</v>
      </c>
      <c r="S1849">
        <v>126</v>
      </c>
      <c r="T1849">
        <v>76</v>
      </c>
      <c r="U1849">
        <v>16</v>
      </c>
      <c r="V1849" t="s">
        <v>672</v>
      </c>
      <c r="W1849">
        <v>26319</v>
      </c>
      <c r="X1849" t="s">
        <v>2614</v>
      </c>
      <c r="Y1849">
        <v>22856</v>
      </c>
      <c r="Z1849">
        <v>421104</v>
      </c>
      <c r="AA1849">
        <v>55408</v>
      </c>
      <c r="AB1849" t="str">
        <f>(VLOOKUP(SalesData[[#This Row],[Month Number]],Reference!C$5:E$16,2,FALSE))</f>
        <v>Feb</v>
      </c>
      <c r="AC1849">
        <f>MONTH(SalesData[[#This Row],[Date]])</f>
        <v>2</v>
      </c>
      <c r="AD1849">
        <f>Reference!F$4</f>
        <v>2026</v>
      </c>
      <c r="AE1849" t="str">
        <f>IF(OR(SalesData[[#This Row],[Day]]="Saturday",SalesData[[#This Row],[Day]]="Sunday"),"Weekend","Weekday")</f>
        <v>Weekday</v>
      </c>
      <c r="AF1849" s="5">
        <f>IF(SalesData[[#This Row],[Contracts Offered]]=0,0,SalesData[[#This Row],[Contracts Signed]]/SalesData[[#This Row],[Contracts Offered]])</f>
        <v>0.21052631578947367</v>
      </c>
      <c r="AG1849" s="5">
        <f>IF(SalesData[[#This Row],[Customers Visited]]=0,0,SalesData[[#This Row],[Test Drives]]/SalesData[[#This Row],[Customers Visited]])</f>
        <v>0.42281879194630873</v>
      </c>
      <c r="AH1849" s="5">
        <f>IF(SalesData[[#This Row],[Customers Visited]]=0,0,SalesData[[#This Row],[Contracts Signed]]/SalesData[[#This Row],[Customers Visited]])</f>
        <v>5.3691275167785234E-2</v>
      </c>
      <c r="AI1849" s="6">
        <f>IF(SalesData[[#This Row],[Contracts Signed]]=0,0,SalesData[[#This Row],[Profit(€)]]/SalesData[[#This Row],[Contracts Signed]])</f>
        <v>3463</v>
      </c>
      <c r="AJ1849" s="5" t="str">
        <f>TRIM(CLEAN(SalesData[[#This Row],[Retailer]]))</f>
        <v>Rhein Auto Group</v>
      </c>
    </row>
    <row r="1850" spans="1:36" ht="14.25" hidden="1" x14ac:dyDescent="0.2">
      <c r="A1850" t="s">
        <v>2818</v>
      </c>
      <c r="B1850" s="1">
        <v>46079</v>
      </c>
      <c r="C1850" t="s">
        <v>53</v>
      </c>
      <c r="D1850" t="s">
        <v>100</v>
      </c>
      <c r="E1850" t="s">
        <v>26</v>
      </c>
      <c r="F1850" t="s">
        <v>7649</v>
      </c>
      <c r="G1850" t="s">
        <v>55</v>
      </c>
      <c r="H1850" t="s">
        <v>55</v>
      </c>
      <c r="I1850" t="s">
        <v>116</v>
      </c>
      <c r="J1850" t="s">
        <v>117</v>
      </c>
      <c r="K1850" t="s">
        <v>32</v>
      </c>
      <c r="L1850" t="s">
        <v>67</v>
      </c>
      <c r="M1850" t="s">
        <v>68</v>
      </c>
      <c r="N1850" t="s">
        <v>35</v>
      </c>
      <c r="O1850" t="s">
        <v>36</v>
      </c>
      <c r="P1850" t="s">
        <v>37</v>
      </c>
      <c r="Q1850" t="s">
        <v>240</v>
      </c>
      <c r="R1850">
        <v>430</v>
      </c>
      <c r="S1850">
        <v>189</v>
      </c>
      <c r="T1850">
        <v>109</v>
      </c>
      <c r="U1850">
        <v>31</v>
      </c>
      <c r="V1850" t="s">
        <v>6523</v>
      </c>
      <c r="W1850">
        <v>20624</v>
      </c>
      <c r="X1850" t="s">
        <v>7475</v>
      </c>
      <c r="Y1850">
        <v>18532</v>
      </c>
      <c r="Z1850">
        <v>639344</v>
      </c>
      <c r="AA1850">
        <v>64852</v>
      </c>
      <c r="AB1850" t="str">
        <f>(VLOOKUP(SalesData[[#This Row],[Month Number]],Reference!C$5:E$16,2,FALSE))</f>
        <v>Feb</v>
      </c>
      <c r="AC1850">
        <f>MONTH(SalesData[[#This Row],[Date]])</f>
        <v>2</v>
      </c>
      <c r="AD1850">
        <f>Reference!F$4</f>
        <v>2026</v>
      </c>
      <c r="AE1850" t="str">
        <f>IF(OR(SalesData[[#This Row],[Day]]="Saturday",SalesData[[#This Row],[Day]]="Sunday"),"Weekend","Weekday")</f>
        <v>Weekday</v>
      </c>
      <c r="AF1850" s="5">
        <f>IF(SalesData[[#This Row],[Contracts Offered]]=0,0,SalesData[[#This Row],[Contracts Signed]]/SalesData[[#This Row],[Contracts Offered]])</f>
        <v>0.28440366972477066</v>
      </c>
      <c r="AG1850" s="5">
        <f>IF(SalesData[[#This Row],[Customers Visited]]=0,0,SalesData[[#This Row],[Test Drives]]/SalesData[[#This Row],[Customers Visited]])</f>
        <v>0.43953488372093025</v>
      </c>
      <c r="AH1850" s="5">
        <f>IF(SalesData[[#This Row],[Customers Visited]]=0,0,SalesData[[#This Row],[Contracts Signed]]/SalesData[[#This Row],[Customers Visited]])</f>
        <v>7.2093023255813959E-2</v>
      </c>
      <c r="AI1850" s="6">
        <f>IF(SalesData[[#This Row],[Contracts Signed]]=0,0,SalesData[[#This Row],[Profit(€)]]/SalesData[[#This Row],[Contracts Signed]])</f>
        <v>2092</v>
      </c>
      <c r="AJ1850" s="5" t="str">
        <f>TRIM(CLEAN(SalesData[[#This Row],[Retailer]]))</f>
        <v>Autohaus Berlin</v>
      </c>
    </row>
    <row r="1851" spans="1:36" ht="14.25" hidden="1" x14ac:dyDescent="0.2">
      <c r="A1851" t="s">
        <v>2819</v>
      </c>
      <c r="B1851" s="1">
        <v>46074</v>
      </c>
      <c r="C1851" t="s">
        <v>62</v>
      </c>
      <c r="D1851" t="s">
        <v>151</v>
      </c>
      <c r="E1851" t="s">
        <v>42</v>
      </c>
      <c r="F1851" t="s">
        <v>109</v>
      </c>
      <c r="G1851" t="s">
        <v>110</v>
      </c>
      <c r="H1851" t="s">
        <v>45</v>
      </c>
      <c r="I1851" t="s">
        <v>104</v>
      </c>
      <c r="J1851" t="s">
        <v>140</v>
      </c>
      <c r="K1851" t="s">
        <v>91</v>
      </c>
      <c r="L1851" t="s">
        <v>46</v>
      </c>
      <c r="M1851" t="s">
        <v>47</v>
      </c>
      <c r="N1851" t="s">
        <v>35</v>
      </c>
      <c r="O1851" t="s">
        <v>70</v>
      </c>
      <c r="P1851" t="s">
        <v>49</v>
      </c>
      <c r="Q1851" t="s">
        <v>158</v>
      </c>
      <c r="R1851">
        <v>459</v>
      </c>
      <c r="S1851">
        <v>223</v>
      </c>
      <c r="T1851">
        <v>135</v>
      </c>
      <c r="U1851">
        <v>28</v>
      </c>
      <c r="V1851" t="s">
        <v>4608</v>
      </c>
      <c r="W1851">
        <v>31562</v>
      </c>
      <c r="X1851" t="s">
        <v>2185</v>
      </c>
      <c r="Y1851">
        <v>28717</v>
      </c>
      <c r="Z1851">
        <v>883736</v>
      </c>
      <c r="AA1851">
        <v>79660</v>
      </c>
      <c r="AB1851" t="str">
        <f>(VLOOKUP(SalesData[[#This Row],[Month Number]],Reference!C$5:E$16,2,FALSE))</f>
        <v>Feb</v>
      </c>
      <c r="AC1851">
        <f>MONTH(SalesData[[#This Row],[Date]])</f>
        <v>2</v>
      </c>
      <c r="AD1851">
        <f>Reference!F$4</f>
        <v>2026</v>
      </c>
      <c r="AE1851" t="str">
        <f>IF(OR(SalesData[[#This Row],[Day]]="Saturday",SalesData[[#This Row],[Day]]="Sunday"),"Weekend","Weekday")</f>
        <v>Weekend</v>
      </c>
      <c r="AF1851" s="5">
        <f>IF(SalesData[[#This Row],[Contracts Offered]]=0,0,SalesData[[#This Row],[Contracts Signed]]/SalesData[[#This Row],[Contracts Offered]])</f>
        <v>0.2074074074074074</v>
      </c>
      <c r="AG1851" s="5">
        <f>IF(SalesData[[#This Row],[Customers Visited]]=0,0,SalesData[[#This Row],[Test Drives]]/SalesData[[#This Row],[Customers Visited]])</f>
        <v>0.48583877995642699</v>
      </c>
      <c r="AH1851" s="5">
        <f>IF(SalesData[[#This Row],[Customers Visited]]=0,0,SalesData[[#This Row],[Contracts Signed]]/SalesData[[#This Row],[Customers Visited]])</f>
        <v>6.1002178649237473E-2</v>
      </c>
      <c r="AI1851" s="6">
        <f>IF(SalesData[[#This Row],[Contracts Signed]]=0,0,SalesData[[#This Row],[Profit(€)]]/SalesData[[#This Row],[Contracts Signed]])</f>
        <v>2845</v>
      </c>
      <c r="AJ1851" s="5" t="str">
        <f>TRIM(CLEAN(SalesData[[#This Row],[Retailer]]))</f>
        <v>Leipzig Mobility</v>
      </c>
    </row>
    <row r="1852" spans="1:36" ht="14.25" x14ac:dyDescent="0.2">
      <c r="A1852" t="s">
        <v>2820</v>
      </c>
      <c r="B1852" s="1">
        <v>46059</v>
      </c>
      <c r="C1852" t="s">
        <v>24</v>
      </c>
      <c r="D1852" t="s">
        <v>54</v>
      </c>
      <c r="E1852" t="s">
        <v>26</v>
      </c>
      <c r="F1852" t="s">
        <v>43</v>
      </c>
      <c r="G1852" t="s">
        <v>44</v>
      </c>
      <c r="H1852" t="s">
        <v>45</v>
      </c>
      <c r="I1852" t="s">
        <v>30</v>
      </c>
      <c r="J1852" t="s">
        <v>7075</v>
      </c>
      <c r="K1852" t="s">
        <v>91</v>
      </c>
      <c r="L1852" t="s">
        <v>33</v>
      </c>
      <c r="M1852" t="s">
        <v>87</v>
      </c>
      <c r="N1852" t="s">
        <v>48</v>
      </c>
      <c r="O1852" t="s">
        <v>70</v>
      </c>
      <c r="P1852" t="s">
        <v>58</v>
      </c>
      <c r="Q1852" t="s">
        <v>189</v>
      </c>
      <c r="R1852">
        <v>222</v>
      </c>
      <c r="S1852">
        <v>107</v>
      </c>
      <c r="T1852">
        <v>82</v>
      </c>
      <c r="U1852">
        <v>30</v>
      </c>
      <c r="V1852" t="s">
        <v>6853</v>
      </c>
      <c r="W1852">
        <v>58009</v>
      </c>
      <c r="X1852" t="s">
        <v>7450</v>
      </c>
      <c r="Y1852">
        <v>44249</v>
      </c>
      <c r="Z1852">
        <v>1740270</v>
      </c>
      <c r="AA1852">
        <v>412800</v>
      </c>
      <c r="AB1852" t="str">
        <f>(VLOOKUP(SalesData[[#This Row],[Month Number]],Reference!C$5:E$16,2,FALSE))</f>
        <v>Feb</v>
      </c>
      <c r="AC1852">
        <f>MONTH(SalesData[[#This Row],[Date]])</f>
        <v>2</v>
      </c>
      <c r="AD1852">
        <f>Reference!F$4</f>
        <v>2026</v>
      </c>
      <c r="AE1852" t="str">
        <f>IF(OR(SalesData[[#This Row],[Day]]="Saturday",SalesData[[#This Row],[Day]]="Sunday"),"Weekend","Weekday")</f>
        <v>Weekday</v>
      </c>
      <c r="AF1852" s="5">
        <f>IF(SalesData[[#This Row],[Contracts Offered]]=0,0,SalesData[[#This Row],[Contracts Signed]]/SalesData[[#This Row],[Contracts Offered]])</f>
        <v>0.36585365853658536</v>
      </c>
      <c r="AG1852" s="5">
        <f>IF(SalesData[[#This Row],[Customers Visited]]=0,0,SalesData[[#This Row],[Test Drives]]/SalesData[[#This Row],[Customers Visited]])</f>
        <v>0.481981981981982</v>
      </c>
      <c r="AH1852" s="5">
        <f>IF(SalesData[[#This Row],[Customers Visited]]=0,0,SalesData[[#This Row],[Contracts Signed]]/SalesData[[#This Row],[Customers Visited]])</f>
        <v>0.13513513513513514</v>
      </c>
      <c r="AI1852" s="6">
        <f>IF(SalesData[[#This Row],[Contracts Signed]]=0,0,SalesData[[#This Row],[Profit(€)]]/SalesData[[#This Row],[Contracts Signed]])</f>
        <v>13760</v>
      </c>
      <c r="AJ1852" s="5" t="str">
        <f>TRIM(CLEAN(SalesData[[#This Row],[Retailer]]))</f>
        <v>Saxon Wheels</v>
      </c>
    </row>
    <row r="1853" spans="1:36" ht="14.25" hidden="1" x14ac:dyDescent="0.2">
      <c r="A1853" t="s">
        <v>2821</v>
      </c>
      <c r="B1853" s="1">
        <v>46074</v>
      </c>
      <c r="C1853" t="s">
        <v>62</v>
      </c>
      <c r="D1853" t="s">
        <v>151</v>
      </c>
      <c r="E1853" t="s">
        <v>42</v>
      </c>
      <c r="F1853" t="s">
        <v>127</v>
      </c>
      <c r="G1853" t="s">
        <v>128</v>
      </c>
      <c r="H1853" t="s">
        <v>103</v>
      </c>
      <c r="I1853" t="s">
        <v>64</v>
      </c>
      <c r="J1853" t="s">
        <v>77</v>
      </c>
      <c r="K1853" t="s">
        <v>66</v>
      </c>
      <c r="L1853" t="s">
        <v>46</v>
      </c>
      <c r="M1853" t="s">
        <v>87</v>
      </c>
      <c r="N1853" t="s">
        <v>48</v>
      </c>
      <c r="O1853" t="s">
        <v>70</v>
      </c>
      <c r="P1853" t="s">
        <v>58</v>
      </c>
      <c r="Q1853" t="s">
        <v>122</v>
      </c>
      <c r="R1853">
        <v>244</v>
      </c>
      <c r="S1853">
        <v>109</v>
      </c>
      <c r="T1853">
        <v>75</v>
      </c>
      <c r="U1853">
        <v>29</v>
      </c>
      <c r="V1853" t="s">
        <v>6687</v>
      </c>
      <c r="W1853">
        <v>61271</v>
      </c>
      <c r="X1853" t="s">
        <v>7108</v>
      </c>
      <c r="Y1853">
        <v>47951</v>
      </c>
      <c r="Z1853">
        <v>1776859</v>
      </c>
      <c r="AA1853">
        <v>386280</v>
      </c>
      <c r="AB1853" t="str">
        <f>(VLOOKUP(SalesData[[#This Row],[Month Number]],Reference!C$5:E$16,2,FALSE))</f>
        <v>Feb</v>
      </c>
      <c r="AC1853">
        <f>MONTH(SalesData[[#This Row],[Date]])</f>
        <v>2</v>
      </c>
      <c r="AD1853">
        <f>Reference!F$4</f>
        <v>2026</v>
      </c>
      <c r="AE1853" t="str">
        <f>IF(OR(SalesData[[#This Row],[Day]]="Saturday",SalesData[[#This Row],[Day]]="Sunday"),"Weekend","Weekday")</f>
        <v>Weekend</v>
      </c>
      <c r="AF1853" s="5">
        <f>IF(SalesData[[#This Row],[Contracts Offered]]=0,0,SalesData[[#This Row],[Contracts Signed]]/SalesData[[#This Row],[Contracts Offered]])</f>
        <v>0.38666666666666666</v>
      </c>
      <c r="AG1853" s="5">
        <f>IF(SalesData[[#This Row],[Customers Visited]]=0,0,SalesData[[#This Row],[Test Drives]]/SalesData[[#This Row],[Customers Visited]])</f>
        <v>0.44672131147540983</v>
      </c>
      <c r="AH1853" s="5">
        <f>IF(SalesData[[#This Row],[Customers Visited]]=0,0,SalesData[[#This Row],[Contracts Signed]]/SalesData[[#This Row],[Customers Visited]])</f>
        <v>0.11885245901639344</v>
      </c>
      <c r="AI1853" s="6">
        <f>IF(SalesData[[#This Row],[Contracts Signed]]=0,0,SalesData[[#This Row],[Profit(€)]]/SalesData[[#This Row],[Contracts Signed]])</f>
        <v>13320</v>
      </c>
      <c r="AJ1853" s="5" t="str">
        <f>TRIM(CLEAN(SalesData[[#This Row],[Retailer]]))</f>
        <v>Rhein Auto Group</v>
      </c>
    </row>
    <row r="1854" spans="1:36" ht="14.25" x14ac:dyDescent="0.2">
      <c r="A1854" t="s">
        <v>2822</v>
      </c>
      <c r="B1854" s="1">
        <v>46081</v>
      </c>
      <c r="C1854" t="s">
        <v>53</v>
      </c>
      <c r="D1854" t="s">
        <v>151</v>
      </c>
      <c r="E1854" t="s">
        <v>42</v>
      </c>
      <c r="F1854" t="s">
        <v>74</v>
      </c>
      <c r="G1854" t="s">
        <v>75</v>
      </c>
      <c r="H1854" t="s">
        <v>76</v>
      </c>
      <c r="I1854" t="s">
        <v>30</v>
      </c>
      <c r="J1854" t="s">
        <v>31</v>
      </c>
      <c r="K1854" t="s">
        <v>32</v>
      </c>
      <c r="L1854" t="s">
        <v>46</v>
      </c>
      <c r="M1854" t="s">
        <v>68</v>
      </c>
      <c r="N1854" t="s">
        <v>35</v>
      </c>
      <c r="O1854" t="s">
        <v>36</v>
      </c>
      <c r="P1854" t="s">
        <v>71</v>
      </c>
      <c r="Q1854" t="s">
        <v>189</v>
      </c>
      <c r="R1854">
        <v>258</v>
      </c>
      <c r="S1854">
        <v>138</v>
      </c>
      <c r="T1854">
        <v>101</v>
      </c>
      <c r="U1854">
        <v>41</v>
      </c>
      <c r="V1854" t="s">
        <v>6769</v>
      </c>
      <c r="W1854">
        <v>67547</v>
      </c>
      <c r="X1854" t="s">
        <v>7246</v>
      </c>
      <c r="Y1854">
        <v>50277</v>
      </c>
      <c r="Z1854">
        <v>2769427</v>
      </c>
      <c r="AA1854">
        <v>708070</v>
      </c>
      <c r="AB1854" t="str">
        <f>(VLOOKUP(SalesData[[#This Row],[Month Number]],Reference!C$5:E$16,2,FALSE))</f>
        <v>Feb</v>
      </c>
      <c r="AC1854">
        <f>MONTH(SalesData[[#This Row],[Date]])</f>
        <v>2</v>
      </c>
      <c r="AD1854">
        <f>Reference!F$4</f>
        <v>2026</v>
      </c>
      <c r="AE1854" t="str">
        <f>IF(OR(SalesData[[#This Row],[Day]]="Saturday",SalesData[[#This Row],[Day]]="Sunday"),"Weekend","Weekday")</f>
        <v>Weekend</v>
      </c>
      <c r="AF1854" s="5">
        <f>IF(SalesData[[#This Row],[Contracts Offered]]=0,0,SalesData[[#This Row],[Contracts Signed]]/SalesData[[#This Row],[Contracts Offered]])</f>
        <v>0.40594059405940597</v>
      </c>
      <c r="AG1854" s="5">
        <f>IF(SalesData[[#This Row],[Customers Visited]]=0,0,SalesData[[#This Row],[Test Drives]]/SalesData[[#This Row],[Customers Visited]])</f>
        <v>0.53488372093023251</v>
      </c>
      <c r="AH1854" s="5">
        <f>IF(SalesData[[#This Row],[Customers Visited]]=0,0,SalesData[[#This Row],[Contracts Signed]]/SalesData[[#This Row],[Customers Visited]])</f>
        <v>0.15891472868217055</v>
      </c>
      <c r="AI1854" s="6">
        <f>IF(SalesData[[#This Row],[Contracts Signed]]=0,0,SalesData[[#This Row],[Profit(€)]]/SalesData[[#This Row],[Contracts Signed]])</f>
        <v>17270</v>
      </c>
      <c r="AJ1854" s="5" t="str">
        <f>TRIM(CLEAN(SalesData[[#This Row],[Retailer]]))</f>
        <v>Stuttgart Auto Center</v>
      </c>
    </row>
    <row r="1855" spans="1:36" ht="14.25" hidden="1" x14ac:dyDescent="0.2">
      <c r="A1855" t="s">
        <v>2823</v>
      </c>
      <c r="B1855" s="1">
        <v>46077</v>
      </c>
      <c r="C1855" t="s">
        <v>53</v>
      </c>
      <c r="D1855" t="s">
        <v>63</v>
      </c>
      <c r="E1855" t="s">
        <v>26</v>
      </c>
      <c r="F1855" t="s">
        <v>27</v>
      </c>
      <c r="G1855" t="s">
        <v>28</v>
      </c>
      <c r="H1855" t="s">
        <v>29</v>
      </c>
      <c r="I1855" t="s">
        <v>116</v>
      </c>
      <c r="J1855" t="s">
        <v>7026</v>
      </c>
      <c r="K1855" t="s">
        <v>66</v>
      </c>
      <c r="L1855" t="s">
        <v>46</v>
      </c>
      <c r="M1855" t="s">
        <v>87</v>
      </c>
      <c r="N1855" t="s">
        <v>69</v>
      </c>
      <c r="O1855" t="s">
        <v>70</v>
      </c>
      <c r="P1855" t="s">
        <v>49</v>
      </c>
      <c r="Q1855" t="s">
        <v>152</v>
      </c>
      <c r="R1855">
        <v>246</v>
      </c>
      <c r="S1855">
        <v>130</v>
      </c>
      <c r="T1855">
        <v>90</v>
      </c>
      <c r="U1855">
        <v>14</v>
      </c>
      <c r="V1855" t="s">
        <v>1096</v>
      </c>
      <c r="W1855">
        <v>22121</v>
      </c>
      <c r="X1855" t="s">
        <v>498</v>
      </c>
      <c r="Y1855">
        <v>19964</v>
      </c>
      <c r="Z1855">
        <v>309694</v>
      </c>
      <c r="AA1855">
        <v>30198</v>
      </c>
      <c r="AB1855" t="str">
        <f>(VLOOKUP(SalesData[[#This Row],[Month Number]],Reference!C$5:E$16,2,FALSE))</f>
        <v>Feb</v>
      </c>
      <c r="AC1855">
        <f>MONTH(SalesData[[#This Row],[Date]])</f>
        <v>2</v>
      </c>
      <c r="AD1855">
        <f>Reference!F$4</f>
        <v>2026</v>
      </c>
      <c r="AE1855" t="str">
        <f>IF(OR(SalesData[[#This Row],[Day]]="Saturday",SalesData[[#This Row],[Day]]="Sunday"),"Weekend","Weekday")</f>
        <v>Weekday</v>
      </c>
      <c r="AF1855" s="5">
        <f>IF(SalesData[[#This Row],[Contracts Offered]]=0,0,SalesData[[#This Row],[Contracts Signed]]/SalesData[[#This Row],[Contracts Offered]])</f>
        <v>0.15555555555555556</v>
      </c>
      <c r="AG1855" s="5">
        <f>IF(SalesData[[#This Row],[Customers Visited]]=0,0,SalesData[[#This Row],[Test Drives]]/SalesData[[#This Row],[Customers Visited]])</f>
        <v>0.52845528455284552</v>
      </c>
      <c r="AH1855" s="5">
        <f>IF(SalesData[[#This Row],[Customers Visited]]=0,0,SalesData[[#This Row],[Contracts Signed]]/SalesData[[#This Row],[Customers Visited]])</f>
        <v>5.6910569105691054E-2</v>
      </c>
      <c r="AI1855" s="6">
        <f>IF(SalesData[[#This Row],[Contracts Signed]]=0,0,SalesData[[#This Row],[Profit(€)]]/SalesData[[#This Row],[Contracts Signed]])</f>
        <v>2157</v>
      </c>
      <c r="AJ1855" s="5" t="str">
        <f>TRIM(CLEAN(SalesData[[#This Row],[Retailer]]))</f>
        <v>Main Auto Hub</v>
      </c>
    </row>
    <row r="1856" spans="1:36" ht="14.25" x14ac:dyDescent="0.2">
      <c r="A1856" t="s">
        <v>2824</v>
      </c>
      <c r="B1856" s="1">
        <v>46079</v>
      </c>
      <c r="C1856" t="s">
        <v>53</v>
      </c>
      <c r="D1856" t="s">
        <v>100</v>
      </c>
      <c r="E1856" t="s">
        <v>26</v>
      </c>
      <c r="F1856" t="s">
        <v>43</v>
      </c>
      <c r="G1856" t="s">
        <v>44</v>
      </c>
      <c r="H1856" t="s">
        <v>45</v>
      </c>
      <c r="I1856" t="s">
        <v>30</v>
      </c>
      <c r="J1856" t="s">
        <v>7075</v>
      </c>
      <c r="K1856" t="s">
        <v>66</v>
      </c>
      <c r="L1856" t="s">
        <v>33</v>
      </c>
      <c r="M1856" t="s">
        <v>68</v>
      </c>
      <c r="N1856" t="s">
        <v>69</v>
      </c>
      <c r="O1856" t="s">
        <v>70</v>
      </c>
      <c r="P1856" t="s">
        <v>71</v>
      </c>
      <c r="Q1856" t="s">
        <v>347</v>
      </c>
      <c r="R1856">
        <v>199</v>
      </c>
      <c r="S1856">
        <v>107</v>
      </c>
      <c r="T1856">
        <v>81</v>
      </c>
      <c r="U1856">
        <v>29</v>
      </c>
      <c r="V1856" t="s">
        <v>6921</v>
      </c>
      <c r="W1856">
        <v>51246</v>
      </c>
      <c r="X1856" t="s">
        <v>5488</v>
      </c>
      <c r="Y1856">
        <v>35908</v>
      </c>
      <c r="Z1856">
        <v>1486134</v>
      </c>
      <c r="AA1856">
        <v>444802</v>
      </c>
      <c r="AB1856" t="str">
        <f>(VLOOKUP(SalesData[[#This Row],[Month Number]],Reference!C$5:E$16,2,FALSE))</f>
        <v>Feb</v>
      </c>
      <c r="AC1856">
        <f>MONTH(SalesData[[#This Row],[Date]])</f>
        <v>2</v>
      </c>
      <c r="AD1856">
        <f>Reference!F$4</f>
        <v>2026</v>
      </c>
      <c r="AE1856" t="str">
        <f>IF(OR(SalesData[[#This Row],[Day]]="Saturday",SalesData[[#This Row],[Day]]="Sunday"),"Weekend","Weekday")</f>
        <v>Weekday</v>
      </c>
      <c r="AF1856" s="5">
        <f>IF(SalesData[[#This Row],[Contracts Offered]]=0,0,SalesData[[#This Row],[Contracts Signed]]/SalesData[[#This Row],[Contracts Offered]])</f>
        <v>0.35802469135802467</v>
      </c>
      <c r="AG1856" s="5">
        <f>IF(SalesData[[#This Row],[Customers Visited]]=0,0,SalesData[[#This Row],[Test Drives]]/SalesData[[#This Row],[Customers Visited]])</f>
        <v>0.53768844221105527</v>
      </c>
      <c r="AH1856" s="5">
        <f>IF(SalesData[[#This Row],[Customers Visited]]=0,0,SalesData[[#This Row],[Contracts Signed]]/SalesData[[#This Row],[Customers Visited]])</f>
        <v>0.14572864321608039</v>
      </c>
      <c r="AI1856" s="6">
        <f>IF(SalesData[[#This Row],[Contracts Signed]]=0,0,SalesData[[#This Row],[Profit(€)]]/SalesData[[#This Row],[Contracts Signed]])</f>
        <v>15338</v>
      </c>
      <c r="AJ1856" s="5" t="str">
        <f>TRIM(CLEAN(SalesData[[#This Row],[Retailer]]))</f>
        <v>Saxon Wheels</v>
      </c>
    </row>
    <row r="1857" spans="1:36" ht="14.25" x14ac:dyDescent="0.2">
      <c r="A1857" t="s">
        <v>2826</v>
      </c>
      <c r="B1857" s="1">
        <v>46081</v>
      </c>
      <c r="C1857" t="s">
        <v>53</v>
      </c>
      <c r="D1857" t="s">
        <v>151</v>
      </c>
      <c r="E1857" t="s">
        <v>42</v>
      </c>
      <c r="F1857" t="s">
        <v>109</v>
      </c>
      <c r="G1857" t="s">
        <v>110</v>
      </c>
      <c r="H1857" t="s">
        <v>45</v>
      </c>
      <c r="I1857" t="s">
        <v>30</v>
      </c>
      <c r="J1857" t="s">
        <v>7075</v>
      </c>
      <c r="K1857" t="s">
        <v>91</v>
      </c>
      <c r="L1857" t="s">
        <v>33</v>
      </c>
      <c r="M1857" t="s">
        <v>34</v>
      </c>
      <c r="N1857" t="s">
        <v>48</v>
      </c>
      <c r="O1857" t="s">
        <v>36</v>
      </c>
      <c r="P1857" t="s">
        <v>71</v>
      </c>
      <c r="Q1857" t="s">
        <v>88</v>
      </c>
      <c r="R1857">
        <v>210</v>
      </c>
      <c r="S1857">
        <v>95</v>
      </c>
      <c r="T1857">
        <v>76</v>
      </c>
      <c r="U1857">
        <v>26</v>
      </c>
      <c r="V1857" t="s">
        <v>6559</v>
      </c>
      <c r="W1857">
        <v>57822</v>
      </c>
      <c r="X1857" t="s">
        <v>7453</v>
      </c>
      <c r="Y1857">
        <v>42476</v>
      </c>
      <c r="Z1857">
        <v>1503372</v>
      </c>
      <c r="AA1857">
        <v>398996</v>
      </c>
      <c r="AB1857" t="str">
        <f>(VLOOKUP(SalesData[[#This Row],[Month Number]],Reference!C$5:E$16,2,FALSE))</f>
        <v>Feb</v>
      </c>
      <c r="AC1857">
        <f>MONTH(SalesData[[#This Row],[Date]])</f>
        <v>2</v>
      </c>
      <c r="AD1857">
        <f>Reference!F$4</f>
        <v>2026</v>
      </c>
      <c r="AE1857" t="str">
        <f>IF(OR(SalesData[[#This Row],[Day]]="Saturday",SalesData[[#This Row],[Day]]="Sunday"),"Weekend","Weekday")</f>
        <v>Weekend</v>
      </c>
      <c r="AF1857" s="5">
        <f>IF(SalesData[[#This Row],[Contracts Offered]]=0,0,SalesData[[#This Row],[Contracts Signed]]/SalesData[[#This Row],[Contracts Offered]])</f>
        <v>0.34210526315789475</v>
      </c>
      <c r="AG1857" s="5">
        <f>IF(SalesData[[#This Row],[Customers Visited]]=0,0,SalesData[[#This Row],[Test Drives]]/SalesData[[#This Row],[Customers Visited]])</f>
        <v>0.45238095238095238</v>
      </c>
      <c r="AH1857" s="5">
        <f>IF(SalesData[[#This Row],[Customers Visited]]=0,0,SalesData[[#This Row],[Contracts Signed]]/SalesData[[#This Row],[Customers Visited]])</f>
        <v>0.12380952380952381</v>
      </c>
      <c r="AI1857" s="6">
        <f>IF(SalesData[[#This Row],[Contracts Signed]]=0,0,SalesData[[#This Row],[Profit(€)]]/SalesData[[#This Row],[Contracts Signed]])</f>
        <v>15346</v>
      </c>
      <c r="AJ1857" s="5" t="str">
        <f>TRIM(CLEAN(SalesData[[#This Row],[Retailer]]))</f>
        <v>Leipzig Mobility</v>
      </c>
    </row>
    <row r="1858" spans="1:36" ht="14.25" hidden="1" x14ac:dyDescent="0.2">
      <c r="A1858" t="s">
        <v>2828</v>
      </c>
      <c r="B1858" s="1">
        <v>46073</v>
      </c>
      <c r="C1858" t="s">
        <v>62</v>
      </c>
      <c r="D1858" t="s">
        <v>54</v>
      </c>
      <c r="E1858" t="s">
        <v>26</v>
      </c>
      <c r="F1858" t="s">
        <v>27</v>
      </c>
      <c r="G1858" t="s">
        <v>28</v>
      </c>
      <c r="H1858" t="s">
        <v>29</v>
      </c>
      <c r="I1858" t="s">
        <v>116</v>
      </c>
      <c r="J1858" t="s">
        <v>7026</v>
      </c>
      <c r="K1858" t="s">
        <v>78</v>
      </c>
      <c r="L1858" t="s">
        <v>46</v>
      </c>
      <c r="M1858" t="s">
        <v>47</v>
      </c>
      <c r="N1858" t="s">
        <v>48</v>
      </c>
      <c r="O1858" t="s">
        <v>36</v>
      </c>
      <c r="P1858" t="s">
        <v>49</v>
      </c>
      <c r="Q1858" t="s">
        <v>122</v>
      </c>
      <c r="R1858">
        <v>381</v>
      </c>
      <c r="S1858">
        <v>197</v>
      </c>
      <c r="T1858">
        <v>135</v>
      </c>
      <c r="U1858">
        <v>31</v>
      </c>
      <c r="V1858" t="s">
        <v>1996</v>
      </c>
      <c r="W1858">
        <v>26514</v>
      </c>
      <c r="X1858" t="s">
        <v>7204</v>
      </c>
      <c r="Y1858">
        <v>23601</v>
      </c>
      <c r="Z1858">
        <v>821934</v>
      </c>
      <c r="AA1858">
        <v>90303</v>
      </c>
      <c r="AB1858" t="str">
        <f>(VLOOKUP(SalesData[[#This Row],[Month Number]],Reference!C$5:E$16,2,FALSE))</f>
        <v>Feb</v>
      </c>
      <c r="AC1858">
        <f>MONTH(SalesData[[#This Row],[Date]])</f>
        <v>2</v>
      </c>
      <c r="AD1858">
        <f>Reference!F$4</f>
        <v>2026</v>
      </c>
      <c r="AE1858" t="str">
        <f>IF(OR(SalesData[[#This Row],[Day]]="Saturday",SalesData[[#This Row],[Day]]="Sunday"),"Weekend","Weekday")</f>
        <v>Weekday</v>
      </c>
      <c r="AF1858" s="5">
        <f>IF(SalesData[[#This Row],[Contracts Offered]]=0,0,SalesData[[#This Row],[Contracts Signed]]/SalesData[[#This Row],[Contracts Offered]])</f>
        <v>0.22962962962962963</v>
      </c>
      <c r="AG1858" s="5">
        <f>IF(SalesData[[#This Row],[Customers Visited]]=0,0,SalesData[[#This Row],[Test Drives]]/SalesData[[#This Row],[Customers Visited]])</f>
        <v>0.51706036745406825</v>
      </c>
      <c r="AH1858" s="5">
        <f>IF(SalesData[[#This Row],[Customers Visited]]=0,0,SalesData[[#This Row],[Contracts Signed]]/SalesData[[#This Row],[Customers Visited]])</f>
        <v>8.1364829396325458E-2</v>
      </c>
      <c r="AI1858" s="6">
        <f>IF(SalesData[[#This Row],[Contracts Signed]]=0,0,SalesData[[#This Row],[Profit(€)]]/SalesData[[#This Row],[Contracts Signed]])</f>
        <v>2913</v>
      </c>
      <c r="AJ1858" s="5" t="str">
        <f>TRIM(CLEAN(SalesData[[#This Row],[Retailer]]))</f>
        <v>Main Auto Hub</v>
      </c>
    </row>
    <row r="1859" spans="1:36" ht="14.25" hidden="1" x14ac:dyDescent="0.2">
      <c r="A1859" t="s">
        <v>2830</v>
      </c>
      <c r="B1859" s="1">
        <v>46061</v>
      </c>
      <c r="C1859" t="s">
        <v>121</v>
      </c>
      <c r="D1859" t="s">
        <v>41</v>
      </c>
      <c r="E1859" t="s">
        <v>42</v>
      </c>
      <c r="F1859" t="s">
        <v>114</v>
      </c>
      <c r="G1859" t="s">
        <v>115</v>
      </c>
      <c r="H1859" t="s">
        <v>115</v>
      </c>
      <c r="I1859" t="s">
        <v>116</v>
      </c>
      <c r="J1859" t="s">
        <v>203</v>
      </c>
      <c r="K1859" t="s">
        <v>32</v>
      </c>
      <c r="L1859" t="s">
        <v>67</v>
      </c>
      <c r="M1859" t="s">
        <v>34</v>
      </c>
      <c r="N1859" t="s">
        <v>69</v>
      </c>
      <c r="O1859" t="s">
        <v>36</v>
      </c>
      <c r="P1859" t="s">
        <v>37</v>
      </c>
      <c r="Q1859" t="s">
        <v>169</v>
      </c>
      <c r="R1859">
        <v>305</v>
      </c>
      <c r="S1859">
        <v>141</v>
      </c>
      <c r="T1859">
        <v>82</v>
      </c>
      <c r="U1859">
        <v>21</v>
      </c>
      <c r="V1859" t="s">
        <v>630</v>
      </c>
      <c r="W1859">
        <v>25744</v>
      </c>
      <c r="X1859" t="s">
        <v>791</v>
      </c>
      <c r="Y1859">
        <v>23423</v>
      </c>
      <c r="Z1859">
        <v>540624</v>
      </c>
      <c r="AA1859">
        <v>48741</v>
      </c>
      <c r="AB1859" t="str">
        <f>(VLOOKUP(SalesData[[#This Row],[Month Number]],Reference!C$5:E$16,2,FALSE))</f>
        <v>Feb</v>
      </c>
      <c r="AC1859">
        <f>MONTH(SalesData[[#This Row],[Date]])</f>
        <v>2</v>
      </c>
      <c r="AD1859">
        <f>Reference!F$4</f>
        <v>2026</v>
      </c>
      <c r="AE1859" t="str">
        <f>IF(OR(SalesData[[#This Row],[Day]]="Saturday",SalesData[[#This Row],[Day]]="Sunday"),"Weekend","Weekday")</f>
        <v>Weekend</v>
      </c>
      <c r="AF1859" s="5">
        <f>IF(SalesData[[#This Row],[Contracts Offered]]=0,0,SalesData[[#This Row],[Contracts Signed]]/SalesData[[#This Row],[Contracts Offered]])</f>
        <v>0.25609756097560976</v>
      </c>
      <c r="AG1859" s="5">
        <f>IF(SalesData[[#This Row],[Customers Visited]]=0,0,SalesData[[#This Row],[Test Drives]]/SalesData[[#This Row],[Customers Visited]])</f>
        <v>0.46229508196721314</v>
      </c>
      <c r="AH1859" s="5">
        <f>IF(SalesData[[#This Row],[Customers Visited]]=0,0,SalesData[[#This Row],[Contracts Signed]]/SalesData[[#This Row],[Customers Visited]])</f>
        <v>6.8852459016393447E-2</v>
      </c>
      <c r="AI1859" s="6">
        <f>IF(SalesData[[#This Row],[Contracts Signed]]=0,0,SalesData[[#This Row],[Profit(€)]]/SalesData[[#This Row],[Contracts Signed]])</f>
        <v>2321</v>
      </c>
      <c r="AJ1859" s="5" t="str">
        <f>TRIM(CLEAN(SalesData[[#This Row],[Retailer]]))</f>
        <v>Elbe Drive</v>
      </c>
    </row>
    <row r="1860" spans="1:36" ht="14.25" hidden="1" x14ac:dyDescent="0.2">
      <c r="A1860" t="s">
        <v>2832</v>
      </c>
      <c r="B1860" s="1">
        <v>46076</v>
      </c>
      <c r="C1860" t="s">
        <v>53</v>
      </c>
      <c r="D1860" t="s">
        <v>25</v>
      </c>
      <c r="E1860" t="s">
        <v>26</v>
      </c>
      <c r="F1860" t="s">
        <v>27</v>
      </c>
      <c r="G1860" t="s">
        <v>28</v>
      </c>
      <c r="H1860" t="s">
        <v>29</v>
      </c>
      <c r="I1860" t="s">
        <v>104</v>
      </c>
      <c r="J1860" t="s">
        <v>105</v>
      </c>
      <c r="K1860" t="s">
        <v>32</v>
      </c>
      <c r="L1860" t="s">
        <v>33</v>
      </c>
      <c r="M1860" t="s">
        <v>68</v>
      </c>
      <c r="N1860" t="s">
        <v>69</v>
      </c>
      <c r="O1860" t="s">
        <v>70</v>
      </c>
      <c r="P1860" t="s">
        <v>37</v>
      </c>
      <c r="Q1860" t="s">
        <v>189</v>
      </c>
      <c r="R1860">
        <v>405</v>
      </c>
      <c r="S1860">
        <v>208</v>
      </c>
      <c r="T1860">
        <v>146</v>
      </c>
      <c r="U1860">
        <v>29</v>
      </c>
      <c r="V1860" t="s">
        <v>3607</v>
      </c>
      <c r="W1860">
        <v>32038</v>
      </c>
      <c r="X1860" t="s">
        <v>297</v>
      </c>
      <c r="Y1860">
        <v>28979</v>
      </c>
      <c r="Z1860">
        <v>929102</v>
      </c>
      <c r="AA1860">
        <v>88711</v>
      </c>
      <c r="AB1860" t="str">
        <f>(VLOOKUP(SalesData[[#This Row],[Month Number]],Reference!C$5:E$16,2,FALSE))</f>
        <v>Feb</v>
      </c>
      <c r="AC1860">
        <f>MONTH(SalesData[[#This Row],[Date]])</f>
        <v>2</v>
      </c>
      <c r="AD1860">
        <f>Reference!F$4</f>
        <v>2026</v>
      </c>
      <c r="AE1860" t="str">
        <f>IF(OR(SalesData[[#This Row],[Day]]="Saturday",SalesData[[#This Row],[Day]]="Sunday"),"Weekend","Weekday")</f>
        <v>Weekday</v>
      </c>
      <c r="AF1860" s="5">
        <f>IF(SalesData[[#This Row],[Contracts Offered]]=0,0,SalesData[[#This Row],[Contracts Signed]]/SalesData[[#This Row],[Contracts Offered]])</f>
        <v>0.19863013698630136</v>
      </c>
      <c r="AG1860" s="5">
        <f>IF(SalesData[[#This Row],[Customers Visited]]=0,0,SalesData[[#This Row],[Test Drives]]/SalesData[[#This Row],[Customers Visited]])</f>
        <v>0.51358024691358029</v>
      </c>
      <c r="AH1860" s="5">
        <f>IF(SalesData[[#This Row],[Customers Visited]]=0,0,SalesData[[#This Row],[Contracts Signed]]/SalesData[[#This Row],[Customers Visited]])</f>
        <v>7.160493827160494E-2</v>
      </c>
      <c r="AI1860" s="6">
        <f>IF(SalesData[[#This Row],[Contracts Signed]]=0,0,SalesData[[#This Row],[Profit(€)]]/SalesData[[#This Row],[Contracts Signed]])</f>
        <v>3059</v>
      </c>
      <c r="AJ1860" s="5" t="str">
        <f>TRIM(CLEAN(SalesData[[#This Row],[Retailer]]))</f>
        <v>Main Auto Hub</v>
      </c>
    </row>
    <row r="1861" spans="1:36" ht="14.25" hidden="1" x14ac:dyDescent="0.2">
      <c r="A1861" t="s">
        <v>2833</v>
      </c>
      <c r="B1861" s="1">
        <v>46076</v>
      </c>
      <c r="C1861" t="s">
        <v>53</v>
      </c>
      <c r="D1861" t="s">
        <v>25</v>
      </c>
      <c r="E1861" t="s">
        <v>26</v>
      </c>
      <c r="F1861" t="s">
        <v>27</v>
      </c>
      <c r="G1861" t="s">
        <v>28</v>
      </c>
      <c r="H1861" t="s">
        <v>29</v>
      </c>
      <c r="I1861" t="s">
        <v>116</v>
      </c>
      <c r="J1861" t="s">
        <v>203</v>
      </c>
      <c r="K1861" t="s">
        <v>91</v>
      </c>
      <c r="L1861" t="s">
        <v>67</v>
      </c>
      <c r="M1861" t="s">
        <v>47</v>
      </c>
      <c r="N1861" t="s">
        <v>35</v>
      </c>
      <c r="O1861" t="s">
        <v>36</v>
      </c>
      <c r="P1861" t="s">
        <v>37</v>
      </c>
      <c r="Q1861" t="s">
        <v>204</v>
      </c>
      <c r="R1861">
        <v>342</v>
      </c>
      <c r="S1861">
        <v>143</v>
      </c>
      <c r="T1861">
        <v>90</v>
      </c>
      <c r="U1861">
        <v>24</v>
      </c>
      <c r="V1861" t="s">
        <v>5143</v>
      </c>
      <c r="W1861">
        <v>22125</v>
      </c>
      <c r="X1861" t="s">
        <v>7423</v>
      </c>
      <c r="Y1861">
        <v>20336</v>
      </c>
      <c r="Z1861">
        <v>531000</v>
      </c>
      <c r="AA1861">
        <v>42936</v>
      </c>
      <c r="AB1861" t="str">
        <f>(VLOOKUP(SalesData[[#This Row],[Month Number]],Reference!C$5:E$16,2,FALSE))</f>
        <v>Feb</v>
      </c>
      <c r="AC1861">
        <f>MONTH(SalesData[[#This Row],[Date]])</f>
        <v>2</v>
      </c>
      <c r="AD1861">
        <f>Reference!F$4</f>
        <v>2026</v>
      </c>
      <c r="AE1861" t="str">
        <f>IF(OR(SalesData[[#This Row],[Day]]="Saturday",SalesData[[#This Row],[Day]]="Sunday"),"Weekend","Weekday")</f>
        <v>Weekday</v>
      </c>
      <c r="AF1861" s="5">
        <f>IF(SalesData[[#This Row],[Contracts Offered]]=0,0,SalesData[[#This Row],[Contracts Signed]]/SalesData[[#This Row],[Contracts Offered]])</f>
        <v>0.26666666666666666</v>
      </c>
      <c r="AG1861" s="5">
        <f>IF(SalesData[[#This Row],[Customers Visited]]=0,0,SalesData[[#This Row],[Test Drives]]/SalesData[[#This Row],[Customers Visited]])</f>
        <v>0.41812865497076024</v>
      </c>
      <c r="AH1861" s="5">
        <f>IF(SalesData[[#This Row],[Customers Visited]]=0,0,SalesData[[#This Row],[Contracts Signed]]/SalesData[[#This Row],[Customers Visited]])</f>
        <v>7.0175438596491224E-2</v>
      </c>
      <c r="AI1861" s="6">
        <f>IF(SalesData[[#This Row],[Contracts Signed]]=0,0,SalesData[[#This Row],[Profit(€)]]/SalesData[[#This Row],[Contracts Signed]])</f>
        <v>1789</v>
      </c>
      <c r="AJ1861" s="5" t="str">
        <f>TRIM(CLEAN(SalesData[[#This Row],[Retailer]]))</f>
        <v>Main Auto Hub</v>
      </c>
    </row>
    <row r="1862" spans="1:36" ht="14.25" hidden="1" x14ac:dyDescent="0.2">
      <c r="A1862" t="s">
        <v>2834</v>
      </c>
      <c r="B1862" s="1">
        <v>46073</v>
      </c>
      <c r="C1862" t="s">
        <v>62</v>
      </c>
      <c r="D1862" t="s">
        <v>54</v>
      </c>
      <c r="E1862" t="s">
        <v>26</v>
      </c>
      <c r="F1862" t="s">
        <v>43</v>
      </c>
      <c r="G1862" t="s">
        <v>44</v>
      </c>
      <c r="H1862" t="s">
        <v>45</v>
      </c>
      <c r="I1862" t="s">
        <v>64</v>
      </c>
      <c r="J1862" t="s">
        <v>77</v>
      </c>
      <c r="K1862" t="s">
        <v>66</v>
      </c>
      <c r="L1862" t="s">
        <v>46</v>
      </c>
      <c r="M1862" t="s">
        <v>47</v>
      </c>
      <c r="N1862" t="s">
        <v>35</v>
      </c>
      <c r="O1862" t="s">
        <v>70</v>
      </c>
      <c r="P1862" t="s">
        <v>58</v>
      </c>
      <c r="Q1862" t="s">
        <v>59</v>
      </c>
      <c r="R1862">
        <v>157</v>
      </c>
      <c r="S1862">
        <v>91</v>
      </c>
      <c r="T1862">
        <v>70</v>
      </c>
      <c r="U1862">
        <v>24</v>
      </c>
      <c r="V1862" t="s">
        <v>6581</v>
      </c>
      <c r="W1862">
        <v>65393</v>
      </c>
      <c r="X1862" t="s">
        <v>7083</v>
      </c>
      <c r="Y1862">
        <v>49558</v>
      </c>
      <c r="Z1862">
        <v>1569432</v>
      </c>
      <c r="AA1862">
        <v>380040</v>
      </c>
      <c r="AB1862" t="str">
        <f>(VLOOKUP(SalesData[[#This Row],[Month Number]],Reference!C$5:E$16,2,FALSE))</f>
        <v>Feb</v>
      </c>
      <c r="AC1862">
        <f>MONTH(SalesData[[#This Row],[Date]])</f>
        <v>2</v>
      </c>
      <c r="AD1862">
        <f>Reference!F$4</f>
        <v>2026</v>
      </c>
      <c r="AE1862" t="str">
        <f>IF(OR(SalesData[[#This Row],[Day]]="Saturday",SalesData[[#This Row],[Day]]="Sunday"),"Weekend","Weekday")</f>
        <v>Weekday</v>
      </c>
      <c r="AF1862" s="5">
        <f>IF(SalesData[[#This Row],[Contracts Offered]]=0,0,SalesData[[#This Row],[Contracts Signed]]/SalesData[[#This Row],[Contracts Offered]])</f>
        <v>0.34285714285714286</v>
      </c>
      <c r="AG1862" s="5">
        <f>IF(SalesData[[#This Row],[Customers Visited]]=0,0,SalesData[[#This Row],[Test Drives]]/SalesData[[#This Row],[Customers Visited]])</f>
        <v>0.57961783439490444</v>
      </c>
      <c r="AH1862" s="5">
        <f>IF(SalesData[[#This Row],[Customers Visited]]=0,0,SalesData[[#This Row],[Contracts Signed]]/SalesData[[#This Row],[Customers Visited]])</f>
        <v>0.15286624203821655</v>
      </c>
      <c r="AI1862" s="6">
        <f>IF(SalesData[[#This Row],[Contracts Signed]]=0,0,SalesData[[#This Row],[Profit(€)]]/SalesData[[#This Row],[Contracts Signed]])</f>
        <v>15835</v>
      </c>
      <c r="AJ1862" s="5" t="str">
        <f>TRIM(CLEAN(SalesData[[#This Row],[Retailer]]))</f>
        <v>Saxon Wheels</v>
      </c>
    </row>
    <row r="1863" spans="1:36" ht="14.25" hidden="1" x14ac:dyDescent="0.2">
      <c r="A1863" t="s">
        <v>2835</v>
      </c>
      <c r="B1863" s="1">
        <v>46056</v>
      </c>
      <c r="C1863" t="s">
        <v>24</v>
      </c>
      <c r="D1863" t="s">
        <v>63</v>
      </c>
      <c r="E1863" t="s">
        <v>26</v>
      </c>
      <c r="F1863" t="s">
        <v>127</v>
      </c>
      <c r="G1863" t="s">
        <v>128</v>
      </c>
      <c r="H1863" t="s">
        <v>103</v>
      </c>
      <c r="I1863" t="s">
        <v>104</v>
      </c>
      <c r="J1863" t="s">
        <v>143</v>
      </c>
      <c r="K1863" t="s">
        <v>91</v>
      </c>
      <c r="L1863" t="s">
        <v>67</v>
      </c>
      <c r="M1863" t="s">
        <v>34</v>
      </c>
      <c r="N1863" t="s">
        <v>69</v>
      </c>
      <c r="O1863" t="s">
        <v>70</v>
      </c>
      <c r="P1863" t="s">
        <v>58</v>
      </c>
      <c r="Q1863" t="s">
        <v>240</v>
      </c>
      <c r="R1863">
        <v>360</v>
      </c>
      <c r="S1863">
        <v>190</v>
      </c>
      <c r="T1863">
        <v>132</v>
      </c>
      <c r="U1863">
        <v>31</v>
      </c>
      <c r="V1863" t="s">
        <v>6491</v>
      </c>
      <c r="W1863">
        <v>33326</v>
      </c>
      <c r="X1863" t="s">
        <v>4556</v>
      </c>
      <c r="Y1863">
        <v>29356</v>
      </c>
      <c r="Z1863">
        <v>1033106</v>
      </c>
      <c r="AA1863">
        <v>123070</v>
      </c>
      <c r="AB1863" t="str">
        <f>(VLOOKUP(SalesData[[#This Row],[Month Number]],Reference!C$5:E$16,2,FALSE))</f>
        <v>Feb</v>
      </c>
      <c r="AC1863">
        <f>MONTH(SalesData[[#This Row],[Date]])</f>
        <v>2</v>
      </c>
      <c r="AD1863">
        <f>Reference!F$4</f>
        <v>2026</v>
      </c>
      <c r="AE1863" t="str">
        <f>IF(OR(SalesData[[#This Row],[Day]]="Saturday",SalesData[[#This Row],[Day]]="Sunday"),"Weekend","Weekday")</f>
        <v>Weekday</v>
      </c>
      <c r="AF1863" s="5">
        <f>IF(SalesData[[#This Row],[Contracts Offered]]=0,0,SalesData[[#This Row],[Contracts Signed]]/SalesData[[#This Row],[Contracts Offered]])</f>
        <v>0.23484848484848486</v>
      </c>
      <c r="AG1863" s="5">
        <f>IF(SalesData[[#This Row],[Customers Visited]]=0,0,SalesData[[#This Row],[Test Drives]]/SalesData[[#This Row],[Customers Visited]])</f>
        <v>0.52777777777777779</v>
      </c>
      <c r="AH1863" s="5">
        <f>IF(SalesData[[#This Row],[Customers Visited]]=0,0,SalesData[[#This Row],[Contracts Signed]]/SalesData[[#This Row],[Customers Visited]])</f>
        <v>8.611111111111111E-2</v>
      </c>
      <c r="AI1863" s="6">
        <f>IF(SalesData[[#This Row],[Contracts Signed]]=0,0,SalesData[[#This Row],[Profit(€)]]/SalesData[[#This Row],[Contracts Signed]])</f>
        <v>3970</v>
      </c>
      <c r="AJ1863" s="5" t="str">
        <f>TRIM(CLEAN(SalesData[[#This Row],[Retailer]]))</f>
        <v>Rhein Auto Group</v>
      </c>
    </row>
    <row r="1864" spans="1:36" ht="14.25" hidden="1" x14ac:dyDescent="0.2">
      <c r="A1864" t="s">
        <v>2836</v>
      </c>
      <c r="B1864" s="1">
        <v>46077</v>
      </c>
      <c r="C1864" t="s">
        <v>53</v>
      </c>
      <c r="D1864" t="s">
        <v>63</v>
      </c>
      <c r="E1864" t="s">
        <v>26</v>
      </c>
      <c r="F1864" t="s">
        <v>101</v>
      </c>
      <c r="G1864" t="s">
        <v>102</v>
      </c>
      <c r="H1864" t="s">
        <v>103</v>
      </c>
      <c r="I1864" t="s">
        <v>104</v>
      </c>
      <c r="J1864" t="s">
        <v>143</v>
      </c>
      <c r="K1864" t="s">
        <v>66</v>
      </c>
      <c r="L1864" t="s">
        <v>67</v>
      </c>
      <c r="M1864" t="s">
        <v>34</v>
      </c>
      <c r="N1864" t="s">
        <v>48</v>
      </c>
      <c r="O1864" t="s">
        <v>36</v>
      </c>
      <c r="P1864" t="s">
        <v>71</v>
      </c>
      <c r="Q1864" t="s">
        <v>135</v>
      </c>
      <c r="R1864">
        <v>421</v>
      </c>
      <c r="S1864">
        <v>228</v>
      </c>
      <c r="T1864">
        <v>152</v>
      </c>
      <c r="U1864">
        <v>41</v>
      </c>
      <c r="V1864" t="s">
        <v>2580</v>
      </c>
      <c r="W1864">
        <v>26622</v>
      </c>
      <c r="X1864" t="s">
        <v>7048</v>
      </c>
      <c r="Y1864">
        <v>23535</v>
      </c>
      <c r="Z1864">
        <v>1091502</v>
      </c>
      <c r="AA1864">
        <v>126567</v>
      </c>
      <c r="AB1864" t="str">
        <f>(VLOOKUP(SalesData[[#This Row],[Month Number]],Reference!C$5:E$16,2,FALSE))</f>
        <v>Feb</v>
      </c>
      <c r="AC1864">
        <f>MONTH(SalesData[[#This Row],[Date]])</f>
        <v>2</v>
      </c>
      <c r="AD1864">
        <f>Reference!F$4</f>
        <v>2026</v>
      </c>
      <c r="AE1864" t="str">
        <f>IF(OR(SalesData[[#This Row],[Day]]="Saturday",SalesData[[#This Row],[Day]]="Sunday"),"Weekend","Weekday")</f>
        <v>Weekday</v>
      </c>
      <c r="AF1864" s="5">
        <f>IF(SalesData[[#This Row],[Contracts Offered]]=0,0,SalesData[[#This Row],[Contracts Signed]]/SalesData[[#This Row],[Contracts Offered]])</f>
        <v>0.26973684210526316</v>
      </c>
      <c r="AG1864" s="5">
        <f>IF(SalesData[[#This Row],[Customers Visited]]=0,0,SalesData[[#This Row],[Test Drives]]/SalesData[[#This Row],[Customers Visited]])</f>
        <v>0.54156769596199528</v>
      </c>
      <c r="AH1864" s="5">
        <f>IF(SalesData[[#This Row],[Customers Visited]]=0,0,SalesData[[#This Row],[Contracts Signed]]/SalesData[[#This Row],[Customers Visited]])</f>
        <v>9.7387173396674589E-2</v>
      </c>
      <c r="AI1864" s="6">
        <f>IF(SalesData[[#This Row],[Contracts Signed]]=0,0,SalesData[[#This Row],[Profit(€)]]/SalesData[[#This Row],[Contracts Signed]])</f>
        <v>3087</v>
      </c>
      <c r="AJ1864" s="5" t="str">
        <f>TRIM(CLEAN(SalesData[[#This Row],[Retailer]]))</f>
        <v>Ruhr Auto Plaza</v>
      </c>
    </row>
    <row r="1865" spans="1:36" ht="14.25" hidden="1" x14ac:dyDescent="0.2">
      <c r="A1865" t="s">
        <v>2837</v>
      </c>
      <c r="B1865" s="1">
        <v>46072</v>
      </c>
      <c r="C1865" t="s">
        <v>62</v>
      </c>
      <c r="D1865" t="s">
        <v>100</v>
      </c>
      <c r="E1865" t="s">
        <v>26</v>
      </c>
      <c r="F1865" t="s">
        <v>43</v>
      </c>
      <c r="G1865" t="s">
        <v>44</v>
      </c>
      <c r="H1865" t="s">
        <v>45</v>
      </c>
      <c r="I1865" t="s">
        <v>56</v>
      </c>
      <c r="J1865" t="s">
        <v>179</v>
      </c>
      <c r="K1865" t="s">
        <v>32</v>
      </c>
      <c r="L1865" t="s">
        <v>67</v>
      </c>
      <c r="M1865" t="s">
        <v>87</v>
      </c>
      <c r="N1865" t="s">
        <v>35</v>
      </c>
      <c r="O1865" t="s">
        <v>70</v>
      </c>
      <c r="P1865" t="s">
        <v>71</v>
      </c>
      <c r="Q1865" t="s">
        <v>88</v>
      </c>
      <c r="R1865">
        <v>272</v>
      </c>
      <c r="S1865">
        <v>134</v>
      </c>
      <c r="T1865">
        <v>89</v>
      </c>
      <c r="U1865">
        <v>30</v>
      </c>
      <c r="V1865" t="s">
        <v>6617</v>
      </c>
      <c r="W1865">
        <v>41213</v>
      </c>
      <c r="X1865" t="s">
        <v>2103</v>
      </c>
      <c r="Y1865">
        <v>32047</v>
      </c>
      <c r="Z1865">
        <v>1236390</v>
      </c>
      <c r="AA1865">
        <v>274980</v>
      </c>
      <c r="AB1865" t="str">
        <f>(VLOOKUP(SalesData[[#This Row],[Month Number]],Reference!C$5:E$16,2,FALSE))</f>
        <v>Feb</v>
      </c>
      <c r="AC1865">
        <f>MONTH(SalesData[[#This Row],[Date]])</f>
        <v>2</v>
      </c>
      <c r="AD1865">
        <f>Reference!F$4</f>
        <v>2026</v>
      </c>
      <c r="AE1865" t="str">
        <f>IF(OR(SalesData[[#This Row],[Day]]="Saturday",SalesData[[#This Row],[Day]]="Sunday"),"Weekend","Weekday")</f>
        <v>Weekday</v>
      </c>
      <c r="AF1865" s="5">
        <f>IF(SalesData[[#This Row],[Contracts Offered]]=0,0,SalesData[[#This Row],[Contracts Signed]]/SalesData[[#This Row],[Contracts Offered]])</f>
        <v>0.33707865168539325</v>
      </c>
      <c r="AG1865" s="5">
        <f>IF(SalesData[[#This Row],[Customers Visited]]=0,0,SalesData[[#This Row],[Test Drives]]/SalesData[[#This Row],[Customers Visited]])</f>
        <v>0.49264705882352944</v>
      </c>
      <c r="AH1865" s="5">
        <f>IF(SalesData[[#This Row],[Customers Visited]]=0,0,SalesData[[#This Row],[Contracts Signed]]/SalesData[[#This Row],[Customers Visited]])</f>
        <v>0.11029411764705882</v>
      </c>
      <c r="AI1865" s="6">
        <f>IF(SalesData[[#This Row],[Contracts Signed]]=0,0,SalesData[[#This Row],[Profit(€)]]/SalesData[[#This Row],[Contracts Signed]])</f>
        <v>9166</v>
      </c>
      <c r="AJ1865" s="5" t="str">
        <f>TRIM(CLEAN(SalesData[[#This Row],[Retailer]]))</f>
        <v>Saxon Wheels</v>
      </c>
    </row>
    <row r="1866" spans="1:36" ht="14.25" hidden="1" x14ac:dyDescent="0.2">
      <c r="A1866" t="s">
        <v>2838</v>
      </c>
      <c r="B1866" s="1">
        <v>46081</v>
      </c>
      <c r="C1866" t="s">
        <v>53</v>
      </c>
      <c r="D1866" t="s">
        <v>151</v>
      </c>
      <c r="E1866" t="s">
        <v>42</v>
      </c>
      <c r="F1866" t="s">
        <v>114</v>
      </c>
      <c r="G1866" t="s">
        <v>115</v>
      </c>
      <c r="H1866" t="s">
        <v>115</v>
      </c>
      <c r="I1866" t="s">
        <v>104</v>
      </c>
      <c r="J1866" t="s">
        <v>7031</v>
      </c>
      <c r="K1866" t="s">
        <v>32</v>
      </c>
      <c r="L1866" t="s">
        <v>46</v>
      </c>
      <c r="M1866" t="s">
        <v>68</v>
      </c>
      <c r="N1866" t="s">
        <v>69</v>
      </c>
      <c r="O1866" t="s">
        <v>70</v>
      </c>
      <c r="P1866" t="s">
        <v>49</v>
      </c>
      <c r="Q1866" t="s">
        <v>144</v>
      </c>
      <c r="R1866">
        <v>430</v>
      </c>
      <c r="S1866">
        <v>190</v>
      </c>
      <c r="T1866">
        <v>124</v>
      </c>
      <c r="U1866">
        <v>29</v>
      </c>
      <c r="V1866" t="s">
        <v>2351</v>
      </c>
      <c r="W1866">
        <v>30589</v>
      </c>
      <c r="X1866" t="s">
        <v>2090</v>
      </c>
      <c r="Y1866">
        <v>27280</v>
      </c>
      <c r="Z1866">
        <v>887081</v>
      </c>
      <c r="AA1866">
        <v>95961</v>
      </c>
      <c r="AB1866" t="str">
        <f>(VLOOKUP(SalesData[[#This Row],[Month Number]],Reference!C$5:E$16,2,FALSE))</f>
        <v>Feb</v>
      </c>
      <c r="AC1866">
        <f>MONTH(SalesData[[#This Row],[Date]])</f>
        <v>2</v>
      </c>
      <c r="AD1866">
        <f>Reference!F$4</f>
        <v>2026</v>
      </c>
      <c r="AE1866" t="str">
        <f>IF(OR(SalesData[[#This Row],[Day]]="Saturday",SalesData[[#This Row],[Day]]="Sunday"),"Weekend","Weekday")</f>
        <v>Weekend</v>
      </c>
      <c r="AF1866" s="5">
        <f>IF(SalesData[[#This Row],[Contracts Offered]]=0,0,SalesData[[#This Row],[Contracts Signed]]/SalesData[[#This Row],[Contracts Offered]])</f>
        <v>0.23387096774193547</v>
      </c>
      <c r="AG1866" s="5">
        <f>IF(SalesData[[#This Row],[Customers Visited]]=0,0,SalesData[[#This Row],[Test Drives]]/SalesData[[#This Row],[Customers Visited]])</f>
        <v>0.44186046511627908</v>
      </c>
      <c r="AH1866" s="5">
        <f>IF(SalesData[[#This Row],[Customers Visited]]=0,0,SalesData[[#This Row],[Contracts Signed]]/SalesData[[#This Row],[Customers Visited]])</f>
        <v>6.7441860465116285E-2</v>
      </c>
      <c r="AI1866" s="6">
        <f>IF(SalesData[[#This Row],[Contracts Signed]]=0,0,SalesData[[#This Row],[Profit(€)]]/SalesData[[#This Row],[Contracts Signed]])</f>
        <v>3309</v>
      </c>
      <c r="AJ1866" s="5" t="str">
        <f>TRIM(CLEAN(SalesData[[#This Row],[Retailer]]))</f>
        <v>Elbe Drive</v>
      </c>
    </row>
    <row r="1867" spans="1:36" ht="14.25" x14ac:dyDescent="0.2">
      <c r="A1867" t="s">
        <v>2839</v>
      </c>
      <c r="B1867" s="1">
        <v>46077</v>
      </c>
      <c r="C1867" t="s">
        <v>53</v>
      </c>
      <c r="D1867" t="s">
        <v>63</v>
      </c>
      <c r="E1867" t="s">
        <v>26</v>
      </c>
      <c r="F1867" t="s">
        <v>94</v>
      </c>
      <c r="G1867" t="s">
        <v>95</v>
      </c>
      <c r="H1867" t="s">
        <v>96</v>
      </c>
      <c r="I1867" t="s">
        <v>30</v>
      </c>
      <c r="J1867" t="s">
        <v>7075</v>
      </c>
      <c r="K1867" t="s">
        <v>78</v>
      </c>
      <c r="L1867" t="s">
        <v>33</v>
      </c>
      <c r="M1867" t="s">
        <v>87</v>
      </c>
      <c r="N1867" t="s">
        <v>48</v>
      </c>
      <c r="O1867" t="s">
        <v>36</v>
      </c>
      <c r="P1867" t="s">
        <v>71</v>
      </c>
      <c r="Q1867" t="s">
        <v>240</v>
      </c>
      <c r="R1867">
        <v>208</v>
      </c>
      <c r="S1867">
        <v>126</v>
      </c>
      <c r="T1867">
        <v>98</v>
      </c>
      <c r="U1867">
        <v>41</v>
      </c>
      <c r="V1867" t="s">
        <v>7487</v>
      </c>
      <c r="W1867">
        <v>53372</v>
      </c>
      <c r="X1867" t="s">
        <v>3526</v>
      </c>
      <c r="Y1867">
        <v>38769</v>
      </c>
      <c r="Z1867">
        <v>2188252</v>
      </c>
      <c r="AA1867">
        <v>598723</v>
      </c>
      <c r="AB1867" t="str">
        <f>(VLOOKUP(SalesData[[#This Row],[Month Number]],Reference!C$5:E$16,2,FALSE))</f>
        <v>Feb</v>
      </c>
      <c r="AC1867">
        <f>MONTH(SalesData[[#This Row],[Date]])</f>
        <v>2</v>
      </c>
      <c r="AD1867">
        <f>Reference!F$4</f>
        <v>2026</v>
      </c>
      <c r="AE1867" t="str">
        <f>IF(OR(SalesData[[#This Row],[Day]]="Saturday",SalesData[[#This Row],[Day]]="Sunday"),"Weekend","Weekday")</f>
        <v>Weekday</v>
      </c>
      <c r="AF1867" s="5">
        <f>IF(SalesData[[#This Row],[Contracts Offered]]=0,0,SalesData[[#This Row],[Contracts Signed]]/SalesData[[#This Row],[Contracts Offered]])</f>
        <v>0.41836734693877553</v>
      </c>
      <c r="AG1867" s="5">
        <f>IF(SalesData[[#This Row],[Customers Visited]]=0,0,SalesData[[#This Row],[Test Drives]]/SalesData[[#This Row],[Customers Visited]])</f>
        <v>0.60576923076923073</v>
      </c>
      <c r="AH1867" s="5">
        <f>IF(SalesData[[#This Row],[Customers Visited]]=0,0,SalesData[[#This Row],[Contracts Signed]]/SalesData[[#This Row],[Customers Visited]])</f>
        <v>0.19711538461538461</v>
      </c>
      <c r="AI1867" s="6">
        <f>IF(SalesData[[#This Row],[Contracts Signed]]=0,0,SalesData[[#This Row],[Profit(€)]]/SalesData[[#This Row],[Contracts Signed]])</f>
        <v>14603</v>
      </c>
      <c r="AJ1867" s="5" t="str">
        <f>TRIM(CLEAN(SalesData[[#This Row],[Retailer]]))</f>
        <v>Bavaria Motors</v>
      </c>
    </row>
    <row r="1868" spans="1:36" ht="14.25" hidden="1" x14ac:dyDescent="0.2">
      <c r="A1868" t="s">
        <v>2840</v>
      </c>
      <c r="B1868" s="1">
        <v>46068</v>
      </c>
      <c r="C1868" t="s">
        <v>62</v>
      </c>
      <c r="D1868" t="s">
        <v>41</v>
      </c>
      <c r="E1868" t="s">
        <v>42</v>
      </c>
      <c r="F1868" t="s">
        <v>94</v>
      </c>
      <c r="G1868" t="s">
        <v>95</v>
      </c>
      <c r="H1868" t="s">
        <v>96</v>
      </c>
      <c r="I1868" t="s">
        <v>116</v>
      </c>
      <c r="J1868" t="s">
        <v>7090</v>
      </c>
      <c r="K1868" t="s">
        <v>91</v>
      </c>
      <c r="L1868" t="s">
        <v>46</v>
      </c>
      <c r="M1868" t="s">
        <v>87</v>
      </c>
      <c r="N1868" t="s">
        <v>35</v>
      </c>
      <c r="O1868" t="s">
        <v>36</v>
      </c>
      <c r="P1868" t="s">
        <v>71</v>
      </c>
      <c r="Q1868" t="s">
        <v>38</v>
      </c>
      <c r="R1868">
        <v>386</v>
      </c>
      <c r="S1868">
        <v>214</v>
      </c>
      <c r="T1868">
        <v>140</v>
      </c>
      <c r="U1868">
        <v>41</v>
      </c>
      <c r="V1868" t="s">
        <v>7488</v>
      </c>
      <c r="W1868">
        <v>23401</v>
      </c>
      <c r="X1868" t="s">
        <v>329</v>
      </c>
      <c r="Y1868">
        <v>21576</v>
      </c>
      <c r="Z1868">
        <v>959441</v>
      </c>
      <c r="AA1868">
        <v>74825</v>
      </c>
      <c r="AB1868" t="str">
        <f>(VLOOKUP(SalesData[[#This Row],[Month Number]],Reference!C$5:E$16,2,FALSE))</f>
        <v>Feb</v>
      </c>
      <c r="AC1868">
        <f>MONTH(SalesData[[#This Row],[Date]])</f>
        <v>2</v>
      </c>
      <c r="AD1868">
        <f>Reference!F$4</f>
        <v>2026</v>
      </c>
      <c r="AE1868" t="str">
        <f>IF(OR(SalesData[[#This Row],[Day]]="Saturday",SalesData[[#This Row],[Day]]="Sunday"),"Weekend","Weekday")</f>
        <v>Weekend</v>
      </c>
      <c r="AF1868" s="5">
        <f>IF(SalesData[[#This Row],[Contracts Offered]]=0,0,SalesData[[#This Row],[Contracts Signed]]/SalesData[[#This Row],[Contracts Offered]])</f>
        <v>0.29285714285714287</v>
      </c>
      <c r="AG1868" s="5">
        <f>IF(SalesData[[#This Row],[Customers Visited]]=0,0,SalesData[[#This Row],[Test Drives]]/SalesData[[#This Row],[Customers Visited]])</f>
        <v>0.55440414507772018</v>
      </c>
      <c r="AH1868" s="5">
        <f>IF(SalesData[[#This Row],[Customers Visited]]=0,0,SalesData[[#This Row],[Contracts Signed]]/SalesData[[#This Row],[Customers Visited]])</f>
        <v>0.10621761658031088</v>
      </c>
      <c r="AI1868" s="6">
        <f>IF(SalesData[[#This Row],[Contracts Signed]]=0,0,SalesData[[#This Row],[Profit(€)]]/SalesData[[#This Row],[Contracts Signed]])</f>
        <v>1825</v>
      </c>
      <c r="AJ1868" s="5" t="str">
        <f>TRIM(CLEAN(SalesData[[#This Row],[Retailer]]))</f>
        <v>Bavaria Motors</v>
      </c>
    </row>
    <row r="1869" spans="1:36" ht="14.25" hidden="1" x14ac:dyDescent="0.2">
      <c r="A1869" t="s">
        <v>2841</v>
      </c>
      <c r="B1869" s="1">
        <v>46068</v>
      </c>
      <c r="C1869" t="s">
        <v>62</v>
      </c>
      <c r="D1869" t="s">
        <v>41</v>
      </c>
      <c r="E1869" t="s">
        <v>42</v>
      </c>
      <c r="F1869" t="s">
        <v>94</v>
      </c>
      <c r="G1869" t="s">
        <v>95</v>
      </c>
      <c r="H1869" t="s">
        <v>96</v>
      </c>
      <c r="I1869" t="s">
        <v>104</v>
      </c>
      <c r="J1869" t="s">
        <v>7061</v>
      </c>
      <c r="K1869" t="s">
        <v>66</v>
      </c>
      <c r="L1869" t="s">
        <v>46</v>
      </c>
      <c r="M1869" t="s">
        <v>47</v>
      </c>
      <c r="N1869" t="s">
        <v>35</v>
      </c>
      <c r="O1869" t="s">
        <v>70</v>
      </c>
      <c r="P1869" t="s">
        <v>71</v>
      </c>
      <c r="Q1869" t="s">
        <v>347</v>
      </c>
      <c r="R1869">
        <v>270</v>
      </c>
      <c r="S1869">
        <v>123</v>
      </c>
      <c r="T1869">
        <v>86</v>
      </c>
      <c r="U1869">
        <v>19</v>
      </c>
      <c r="V1869" t="s">
        <v>946</v>
      </c>
      <c r="W1869">
        <v>32303</v>
      </c>
      <c r="X1869" t="s">
        <v>7211</v>
      </c>
      <c r="Y1869">
        <v>29325</v>
      </c>
      <c r="Z1869">
        <v>613757</v>
      </c>
      <c r="AA1869">
        <v>56582</v>
      </c>
      <c r="AB1869" t="str">
        <f>(VLOOKUP(SalesData[[#This Row],[Month Number]],Reference!C$5:E$16,2,FALSE))</f>
        <v>Feb</v>
      </c>
      <c r="AC1869">
        <f>MONTH(SalesData[[#This Row],[Date]])</f>
        <v>2</v>
      </c>
      <c r="AD1869">
        <f>Reference!F$4</f>
        <v>2026</v>
      </c>
      <c r="AE1869" t="str">
        <f>IF(OR(SalesData[[#This Row],[Day]]="Saturday",SalesData[[#This Row],[Day]]="Sunday"),"Weekend","Weekday")</f>
        <v>Weekend</v>
      </c>
      <c r="AF1869" s="5">
        <f>IF(SalesData[[#This Row],[Contracts Offered]]=0,0,SalesData[[#This Row],[Contracts Signed]]/SalesData[[#This Row],[Contracts Offered]])</f>
        <v>0.22093023255813954</v>
      </c>
      <c r="AG1869" s="5">
        <f>IF(SalesData[[#This Row],[Customers Visited]]=0,0,SalesData[[#This Row],[Test Drives]]/SalesData[[#This Row],[Customers Visited]])</f>
        <v>0.45555555555555555</v>
      </c>
      <c r="AH1869" s="5">
        <f>IF(SalesData[[#This Row],[Customers Visited]]=0,0,SalesData[[#This Row],[Contracts Signed]]/SalesData[[#This Row],[Customers Visited]])</f>
        <v>7.0370370370370375E-2</v>
      </c>
      <c r="AI1869" s="6">
        <f>IF(SalesData[[#This Row],[Contracts Signed]]=0,0,SalesData[[#This Row],[Profit(€)]]/SalesData[[#This Row],[Contracts Signed]])</f>
        <v>2978</v>
      </c>
      <c r="AJ1869" s="5" t="str">
        <f>TRIM(CLEAN(SalesData[[#This Row],[Retailer]]))</f>
        <v>Bavaria Motors</v>
      </c>
    </row>
    <row r="1870" spans="1:36" ht="14.25" x14ac:dyDescent="0.2">
      <c r="A1870" t="s">
        <v>2842</v>
      </c>
      <c r="B1870" s="1">
        <v>46056</v>
      </c>
      <c r="C1870" t="s">
        <v>24</v>
      </c>
      <c r="D1870" t="s">
        <v>63</v>
      </c>
      <c r="E1870" t="s">
        <v>26</v>
      </c>
      <c r="F1870" t="s">
        <v>83</v>
      </c>
      <c r="G1870" t="s">
        <v>84</v>
      </c>
      <c r="H1870" t="s">
        <v>85</v>
      </c>
      <c r="I1870" t="s">
        <v>30</v>
      </c>
      <c r="J1870" t="s">
        <v>7075</v>
      </c>
      <c r="K1870" t="s">
        <v>91</v>
      </c>
      <c r="L1870" t="s">
        <v>33</v>
      </c>
      <c r="M1870" t="s">
        <v>34</v>
      </c>
      <c r="N1870" t="s">
        <v>69</v>
      </c>
      <c r="O1870" t="s">
        <v>36</v>
      </c>
      <c r="P1870" t="s">
        <v>58</v>
      </c>
      <c r="Q1870" t="s">
        <v>144</v>
      </c>
      <c r="R1870">
        <v>263</v>
      </c>
      <c r="S1870">
        <v>159</v>
      </c>
      <c r="T1870">
        <v>109</v>
      </c>
      <c r="U1870">
        <v>48</v>
      </c>
      <c r="V1870" t="s">
        <v>7489</v>
      </c>
      <c r="W1870">
        <v>61482</v>
      </c>
      <c r="X1870" t="s">
        <v>7483</v>
      </c>
      <c r="Y1870">
        <v>47748</v>
      </c>
      <c r="Z1870">
        <v>2951136</v>
      </c>
      <c r="AA1870">
        <v>659232</v>
      </c>
      <c r="AB1870" t="str">
        <f>(VLOOKUP(SalesData[[#This Row],[Month Number]],Reference!C$5:E$16,2,FALSE))</f>
        <v>Feb</v>
      </c>
      <c r="AC1870">
        <f>MONTH(SalesData[[#This Row],[Date]])</f>
        <v>2</v>
      </c>
      <c r="AD1870">
        <f>Reference!F$4</f>
        <v>2026</v>
      </c>
      <c r="AE1870" t="str">
        <f>IF(OR(SalesData[[#This Row],[Day]]="Saturday",SalesData[[#This Row],[Day]]="Sunday"),"Weekend","Weekday")</f>
        <v>Weekday</v>
      </c>
      <c r="AF1870" s="5">
        <f>IF(SalesData[[#This Row],[Contracts Offered]]=0,0,SalesData[[#This Row],[Contracts Signed]]/SalesData[[#This Row],[Contracts Offered]])</f>
        <v>0.44036697247706424</v>
      </c>
      <c r="AG1870" s="5">
        <f>IF(SalesData[[#This Row],[Customers Visited]]=0,0,SalesData[[#This Row],[Test Drives]]/SalesData[[#This Row],[Customers Visited]])</f>
        <v>0.6045627376425855</v>
      </c>
      <c r="AH1870" s="5">
        <f>IF(SalesData[[#This Row],[Customers Visited]]=0,0,SalesData[[#This Row],[Contracts Signed]]/SalesData[[#This Row],[Customers Visited]])</f>
        <v>0.18250950570342206</v>
      </c>
      <c r="AI1870" s="6">
        <f>IF(SalesData[[#This Row],[Contracts Signed]]=0,0,SalesData[[#This Row],[Profit(€)]]/SalesData[[#This Row],[Contracts Signed]])</f>
        <v>13734</v>
      </c>
      <c r="AJ1870" s="5" t="str">
        <f>TRIM(CLEAN(SalesData[[#This Row],[Retailer]]))</f>
        <v>Hannover Cars</v>
      </c>
    </row>
    <row r="1871" spans="1:36" ht="14.25" hidden="1" x14ac:dyDescent="0.2">
      <c r="A1871" t="s">
        <v>2843</v>
      </c>
      <c r="B1871" s="1">
        <v>46072</v>
      </c>
      <c r="C1871" t="s">
        <v>62</v>
      </c>
      <c r="D1871" t="s">
        <v>100</v>
      </c>
      <c r="E1871" t="s">
        <v>26</v>
      </c>
      <c r="F1871" t="s">
        <v>83</v>
      </c>
      <c r="G1871" t="s">
        <v>84</v>
      </c>
      <c r="H1871" t="s">
        <v>85</v>
      </c>
      <c r="I1871" t="s">
        <v>64</v>
      </c>
      <c r="J1871" t="s">
        <v>7029</v>
      </c>
      <c r="K1871" t="s">
        <v>66</v>
      </c>
      <c r="L1871" t="s">
        <v>33</v>
      </c>
      <c r="M1871" t="s">
        <v>68</v>
      </c>
      <c r="N1871" t="s">
        <v>69</v>
      </c>
      <c r="O1871" t="s">
        <v>36</v>
      </c>
      <c r="P1871" t="s">
        <v>37</v>
      </c>
      <c r="Q1871" t="s">
        <v>118</v>
      </c>
      <c r="R1871">
        <v>257</v>
      </c>
      <c r="S1871">
        <v>141</v>
      </c>
      <c r="T1871">
        <v>100</v>
      </c>
      <c r="U1871">
        <v>37</v>
      </c>
      <c r="V1871" t="s">
        <v>6901</v>
      </c>
      <c r="W1871">
        <v>55262</v>
      </c>
      <c r="X1871" t="s">
        <v>7065</v>
      </c>
      <c r="Y1871">
        <v>42437</v>
      </c>
      <c r="Z1871">
        <v>2044694</v>
      </c>
      <c r="AA1871">
        <v>474525</v>
      </c>
      <c r="AB1871" t="str">
        <f>(VLOOKUP(SalesData[[#This Row],[Month Number]],Reference!C$5:E$16,2,FALSE))</f>
        <v>Feb</v>
      </c>
      <c r="AC1871">
        <f>MONTH(SalesData[[#This Row],[Date]])</f>
        <v>2</v>
      </c>
      <c r="AD1871">
        <f>Reference!F$4</f>
        <v>2026</v>
      </c>
      <c r="AE1871" t="str">
        <f>IF(OR(SalesData[[#This Row],[Day]]="Saturday",SalesData[[#This Row],[Day]]="Sunday"),"Weekend","Weekday")</f>
        <v>Weekday</v>
      </c>
      <c r="AF1871" s="5">
        <f>IF(SalesData[[#This Row],[Contracts Offered]]=0,0,SalesData[[#This Row],[Contracts Signed]]/SalesData[[#This Row],[Contracts Offered]])</f>
        <v>0.37</v>
      </c>
      <c r="AG1871" s="5">
        <f>IF(SalesData[[#This Row],[Customers Visited]]=0,0,SalesData[[#This Row],[Test Drives]]/SalesData[[#This Row],[Customers Visited]])</f>
        <v>0.54863813229571989</v>
      </c>
      <c r="AH1871" s="5">
        <f>IF(SalesData[[#This Row],[Customers Visited]]=0,0,SalesData[[#This Row],[Contracts Signed]]/SalesData[[#This Row],[Customers Visited]])</f>
        <v>0.14396887159533073</v>
      </c>
      <c r="AI1871" s="6">
        <f>IF(SalesData[[#This Row],[Contracts Signed]]=0,0,SalesData[[#This Row],[Profit(€)]]/SalesData[[#This Row],[Contracts Signed]])</f>
        <v>12825</v>
      </c>
      <c r="AJ1871" s="5" t="str">
        <f>TRIM(CLEAN(SalesData[[#This Row],[Retailer]]))</f>
        <v>Hannover Cars</v>
      </c>
    </row>
    <row r="1872" spans="1:36" ht="14.25" hidden="1" x14ac:dyDescent="0.2">
      <c r="A1872" t="s">
        <v>2844</v>
      </c>
      <c r="B1872" s="1">
        <v>46062</v>
      </c>
      <c r="C1872" t="s">
        <v>121</v>
      </c>
      <c r="D1872" t="s">
        <v>25</v>
      </c>
      <c r="E1872" t="s">
        <v>26</v>
      </c>
      <c r="F1872" t="s">
        <v>43</v>
      </c>
      <c r="G1872" t="s">
        <v>44</v>
      </c>
      <c r="H1872" t="s">
        <v>45</v>
      </c>
      <c r="I1872" t="s">
        <v>64</v>
      </c>
      <c r="J1872" t="s">
        <v>111</v>
      </c>
      <c r="K1872" t="s">
        <v>91</v>
      </c>
      <c r="L1872" t="s">
        <v>46</v>
      </c>
      <c r="M1872" t="s">
        <v>47</v>
      </c>
      <c r="N1872" t="s">
        <v>35</v>
      </c>
      <c r="O1872" t="s">
        <v>70</v>
      </c>
      <c r="P1872" t="s">
        <v>37</v>
      </c>
      <c r="Q1872" t="s">
        <v>144</v>
      </c>
      <c r="R1872">
        <v>275</v>
      </c>
      <c r="S1872">
        <v>160</v>
      </c>
      <c r="T1872">
        <v>118</v>
      </c>
      <c r="U1872">
        <v>36</v>
      </c>
      <c r="V1872" t="s">
        <v>6870</v>
      </c>
      <c r="W1872">
        <v>58426</v>
      </c>
      <c r="X1872" t="s">
        <v>7332</v>
      </c>
      <c r="Y1872">
        <v>42067</v>
      </c>
      <c r="Z1872">
        <v>2103336</v>
      </c>
      <c r="AA1872">
        <v>588924</v>
      </c>
      <c r="AB1872" t="str">
        <f>(VLOOKUP(SalesData[[#This Row],[Month Number]],Reference!C$5:E$16,2,FALSE))</f>
        <v>Feb</v>
      </c>
      <c r="AC1872">
        <f>MONTH(SalesData[[#This Row],[Date]])</f>
        <v>2</v>
      </c>
      <c r="AD1872">
        <f>Reference!F$4</f>
        <v>2026</v>
      </c>
      <c r="AE1872" t="str">
        <f>IF(OR(SalesData[[#This Row],[Day]]="Saturday",SalesData[[#This Row],[Day]]="Sunday"),"Weekend","Weekday")</f>
        <v>Weekday</v>
      </c>
      <c r="AF1872" s="5">
        <f>IF(SalesData[[#This Row],[Contracts Offered]]=0,0,SalesData[[#This Row],[Contracts Signed]]/SalesData[[#This Row],[Contracts Offered]])</f>
        <v>0.30508474576271188</v>
      </c>
      <c r="AG1872" s="5">
        <f>IF(SalesData[[#This Row],[Customers Visited]]=0,0,SalesData[[#This Row],[Test Drives]]/SalesData[[#This Row],[Customers Visited]])</f>
        <v>0.58181818181818179</v>
      </c>
      <c r="AH1872" s="5">
        <f>IF(SalesData[[#This Row],[Customers Visited]]=0,0,SalesData[[#This Row],[Contracts Signed]]/SalesData[[#This Row],[Customers Visited]])</f>
        <v>0.13090909090909092</v>
      </c>
      <c r="AI1872" s="6">
        <f>IF(SalesData[[#This Row],[Contracts Signed]]=0,0,SalesData[[#This Row],[Profit(€)]]/SalesData[[#This Row],[Contracts Signed]])</f>
        <v>16359</v>
      </c>
      <c r="AJ1872" s="5" t="str">
        <f>TRIM(CLEAN(SalesData[[#This Row],[Retailer]]))</f>
        <v>Saxon Wheels</v>
      </c>
    </row>
    <row r="1873" spans="1:36" ht="14.25" hidden="1" x14ac:dyDescent="0.2">
      <c r="A1873" t="s">
        <v>2845</v>
      </c>
      <c r="B1873" s="1">
        <v>46057</v>
      </c>
      <c r="C1873" t="s">
        <v>24</v>
      </c>
      <c r="D1873" t="s">
        <v>82</v>
      </c>
      <c r="E1873" t="s">
        <v>26</v>
      </c>
      <c r="F1873" t="s">
        <v>7649</v>
      </c>
      <c r="G1873" t="s">
        <v>55</v>
      </c>
      <c r="H1873" t="s">
        <v>55</v>
      </c>
      <c r="I1873" t="s">
        <v>64</v>
      </c>
      <c r="J1873" t="s">
        <v>65</v>
      </c>
      <c r="K1873" t="s">
        <v>66</v>
      </c>
      <c r="L1873" t="s">
        <v>33</v>
      </c>
      <c r="M1873" t="s">
        <v>87</v>
      </c>
      <c r="N1873" t="s">
        <v>35</v>
      </c>
      <c r="O1873" t="s">
        <v>36</v>
      </c>
      <c r="P1873" t="s">
        <v>71</v>
      </c>
      <c r="Q1873" t="s">
        <v>169</v>
      </c>
      <c r="R1873">
        <v>239</v>
      </c>
      <c r="S1873">
        <v>142</v>
      </c>
      <c r="T1873">
        <v>101</v>
      </c>
      <c r="U1873">
        <v>37</v>
      </c>
      <c r="V1873" t="s">
        <v>6843</v>
      </c>
      <c r="W1873">
        <v>53590</v>
      </c>
      <c r="X1873" t="s">
        <v>7442</v>
      </c>
      <c r="Y1873">
        <v>40245</v>
      </c>
      <c r="Z1873">
        <v>1982830</v>
      </c>
      <c r="AA1873">
        <v>493765</v>
      </c>
      <c r="AB1873" t="str">
        <f>(VLOOKUP(SalesData[[#This Row],[Month Number]],Reference!C$5:E$16,2,FALSE))</f>
        <v>Feb</v>
      </c>
      <c r="AC1873">
        <f>MONTH(SalesData[[#This Row],[Date]])</f>
        <v>2</v>
      </c>
      <c r="AD1873">
        <f>Reference!F$4</f>
        <v>2026</v>
      </c>
      <c r="AE1873" t="str">
        <f>IF(OR(SalesData[[#This Row],[Day]]="Saturday",SalesData[[#This Row],[Day]]="Sunday"),"Weekend","Weekday")</f>
        <v>Weekday</v>
      </c>
      <c r="AF1873" s="5">
        <f>IF(SalesData[[#This Row],[Contracts Offered]]=0,0,SalesData[[#This Row],[Contracts Signed]]/SalesData[[#This Row],[Contracts Offered]])</f>
        <v>0.36633663366336633</v>
      </c>
      <c r="AG1873" s="5">
        <f>IF(SalesData[[#This Row],[Customers Visited]]=0,0,SalesData[[#This Row],[Test Drives]]/SalesData[[#This Row],[Customers Visited]])</f>
        <v>0.59414225941422594</v>
      </c>
      <c r="AH1873" s="5">
        <f>IF(SalesData[[#This Row],[Customers Visited]]=0,0,SalesData[[#This Row],[Contracts Signed]]/SalesData[[#This Row],[Customers Visited]])</f>
        <v>0.15481171548117154</v>
      </c>
      <c r="AI1873" s="6">
        <f>IF(SalesData[[#This Row],[Contracts Signed]]=0,0,SalesData[[#This Row],[Profit(€)]]/SalesData[[#This Row],[Contracts Signed]])</f>
        <v>13345</v>
      </c>
      <c r="AJ1873" s="5" t="str">
        <f>TRIM(CLEAN(SalesData[[#This Row],[Retailer]]))</f>
        <v>Autohaus Berlin</v>
      </c>
    </row>
    <row r="1874" spans="1:36" ht="14.25" x14ac:dyDescent="0.2">
      <c r="A1874" t="s">
        <v>2846</v>
      </c>
      <c r="B1874" s="1">
        <v>46062</v>
      </c>
      <c r="C1874" t="s">
        <v>121</v>
      </c>
      <c r="D1874" t="s">
        <v>25</v>
      </c>
      <c r="E1874" t="s">
        <v>26</v>
      </c>
      <c r="F1874" t="s">
        <v>7649</v>
      </c>
      <c r="G1874" t="s">
        <v>55</v>
      </c>
      <c r="H1874" t="s">
        <v>55</v>
      </c>
      <c r="I1874" t="s">
        <v>30</v>
      </c>
      <c r="J1874" t="s">
        <v>7075</v>
      </c>
      <c r="K1874" t="s">
        <v>78</v>
      </c>
      <c r="L1874" t="s">
        <v>33</v>
      </c>
      <c r="M1874" t="s">
        <v>87</v>
      </c>
      <c r="N1874" t="s">
        <v>35</v>
      </c>
      <c r="O1874" t="s">
        <v>70</v>
      </c>
      <c r="P1874" t="s">
        <v>49</v>
      </c>
      <c r="Q1874" t="s">
        <v>172</v>
      </c>
      <c r="R1874">
        <v>178</v>
      </c>
      <c r="S1874">
        <v>107</v>
      </c>
      <c r="T1874">
        <v>81</v>
      </c>
      <c r="U1874">
        <v>29</v>
      </c>
      <c r="V1874" t="s">
        <v>6921</v>
      </c>
      <c r="W1874">
        <v>57788</v>
      </c>
      <c r="X1874" t="s">
        <v>7130</v>
      </c>
      <c r="Y1874">
        <v>40500</v>
      </c>
      <c r="Z1874">
        <v>1675852</v>
      </c>
      <c r="AA1874">
        <v>501352</v>
      </c>
      <c r="AB1874" t="str">
        <f>(VLOOKUP(SalesData[[#This Row],[Month Number]],Reference!C$5:E$16,2,FALSE))</f>
        <v>Feb</v>
      </c>
      <c r="AC1874">
        <f>MONTH(SalesData[[#This Row],[Date]])</f>
        <v>2</v>
      </c>
      <c r="AD1874">
        <f>Reference!F$4</f>
        <v>2026</v>
      </c>
      <c r="AE1874" t="str">
        <f>IF(OR(SalesData[[#This Row],[Day]]="Saturday",SalesData[[#This Row],[Day]]="Sunday"),"Weekend","Weekday")</f>
        <v>Weekday</v>
      </c>
      <c r="AF1874" s="5">
        <f>IF(SalesData[[#This Row],[Contracts Offered]]=0,0,SalesData[[#This Row],[Contracts Signed]]/SalesData[[#This Row],[Contracts Offered]])</f>
        <v>0.35802469135802467</v>
      </c>
      <c r="AG1874" s="5">
        <f>IF(SalesData[[#This Row],[Customers Visited]]=0,0,SalesData[[#This Row],[Test Drives]]/SalesData[[#This Row],[Customers Visited]])</f>
        <v>0.601123595505618</v>
      </c>
      <c r="AH1874" s="5">
        <f>IF(SalesData[[#This Row],[Customers Visited]]=0,0,SalesData[[#This Row],[Contracts Signed]]/SalesData[[#This Row],[Customers Visited]])</f>
        <v>0.16292134831460675</v>
      </c>
      <c r="AI1874" s="6">
        <f>IF(SalesData[[#This Row],[Contracts Signed]]=0,0,SalesData[[#This Row],[Profit(€)]]/SalesData[[#This Row],[Contracts Signed]])</f>
        <v>17288</v>
      </c>
      <c r="AJ1874" s="5" t="str">
        <f>TRIM(CLEAN(SalesData[[#This Row],[Retailer]]))</f>
        <v>Autohaus Berlin</v>
      </c>
    </row>
    <row r="1875" spans="1:36" ht="14.25" hidden="1" x14ac:dyDescent="0.2">
      <c r="A1875" t="s">
        <v>2847</v>
      </c>
      <c r="B1875" s="1">
        <v>46063</v>
      </c>
      <c r="C1875" t="s">
        <v>121</v>
      </c>
      <c r="D1875" t="s">
        <v>63</v>
      </c>
      <c r="E1875" t="s">
        <v>26</v>
      </c>
      <c r="F1875" t="s">
        <v>94</v>
      </c>
      <c r="G1875" t="s">
        <v>95</v>
      </c>
      <c r="H1875" t="s">
        <v>96</v>
      </c>
      <c r="I1875" t="s">
        <v>56</v>
      </c>
      <c r="J1875" t="s">
        <v>137</v>
      </c>
      <c r="K1875" t="s">
        <v>32</v>
      </c>
      <c r="L1875" t="s">
        <v>46</v>
      </c>
      <c r="M1875" t="s">
        <v>68</v>
      </c>
      <c r="N1875" t="s">
        <v>35</v>
      </c>
      <c r="O1875" t="s">
        <v>36</v>
      </c>
      <c r="P1875" t="s">
        <v>49</v>
      </c>
      <c r="Q1875" t="s">
        <v>169</v>
      </c>
      <c r="R1875">
        <v>271</v>
      </c>
      <c r="S1875">
        <v>127</v>
      </c>
      <c r="T1875">
        <v>92</v>
      </c>
      <c r="U1875">
        <v>29</v>
      </c>
      <c r="V1875" t="s">
        <v>6711</v>
      </c>
      <c r="W1875">
        <v>52204</v>
      </c>
      <c r="X1875" t="s">
        <v>1286</v>
      </c>
      <c r="Y1875">
        <v>42475</v>
      </c>
      <c r="Z1875">
        <v>1513916</v>
      </c>
      <c r="AA1875">
        <v>282141</v>
      </c>
      <c r="AB1875" t="str">
        <f>(VLOOKUP(SalesData[[#This Row],[Month Number]],Reference!C$5:E$16,2,FALSE))</f>
        <v>Feb</v>
      </c>
      <c r="AC1875">
        <f>MONTH(SalesData[[#This Row],[Date]])</f>
        <v>2</v>
      </c>
      <c r="AD1875">
        <f>Reference!F$4</f>
        <v>2026</v>
      </c>
      <c r="AE1875" t="str">
        <f>IF(OR(SalesData[[#This Row],[Day]]="Saturday",SalesData[[#This Row],[Day]]="Sunday"),"Weekend","Weekday")</f>
        <v>Weekday</v>
      </c>
      <c r="AF1875" s="5">
        <f>IF(SalesData[[#This Row],[Contracts Offered]]=0,0,SalesData[[#This Row],[Contracts Signed]]/SalesData[[#This Row],[Contracts Offered]])</f>
        <v>0.31521739130434784</v>
      </c>
      <c r="AG1875" s="5">
        <f>IF(SalesData[[#This Row],[Customers Visited]]=0,0,SalesData[[#This Row],[Test Drives]]/SalesData[[#This Row],[Customers Visited]])</f>
        <v>0.46863468634686345</v>
      </c>
      <c r="AH1875" s="5">
        <f>IF(SalesData[[#This Row],[Customers Visited]]=0,0,SalesData[[#This Row],[Contracts Signed]]/SalesData[[#This Row],[Customers Visited]])</f>
        <v>0.1070110701107011</v>
      </c>
      <c r="AI1875" s="6">
        <f>IF(SalesData[[#This Row],[Contracts Signed]]=0,0,SalesData[[#This Row],[Profit(€)]]/SalesData[[#This Row],[Contracts Signed]])</f>
        <v>9729</v>
      </c>
      <c r="AJ1875" s="5" t="str">
        <f>TRIM(CLEAN(SalesData[[#This Row],[Retailer]]))</f>
        <v>Bavaria Motors</v>
      </c>
    </row>
    <row r="1876" spans="1:36" ht="14.25" hidden="1" x14ac:dyDescent="0.2">
      <c r="A1876" t="s">
        <v>2848</v>
      </c>
      <c r="B1876" s="1">
        <v>46081</v>
      </c>
      <c r="C1876" t="s">
        <v>53</v>
      </c>
      <c r="D1876" t="s">
        <v>151</v>
      </c>
      <c r="E1876" t="s">
        <v>42</v>
      </c>
      <c r="F1876" t="s">
        <v>94</v>
      </c>
      <c r="G1876" t="s">
        <v>95</v>
      </c>
      <c r="H1876" t="s">
        <v>96</v>
      </c>
      <c r="I1876" t="s">
        <v>56</v>
      </c>
      <c r="J1876" t="s">
        <v>57</v>
      </c>
      <c r="K1876" t="s">
        <v>78</v>
      </c>
      <c r="L1876" t="s">
        <v>46</v>
      </c>
      <c r="M1876" t="s">
        <v>47</v>
      </c>
      <c r="N1876" t="s">
        <v>48</v>
      </c>
      <c r="O1876" t="s">
        <v>70</v>
      </c>
      <c r="P1876" t="s">
        <v>58</v>
      </c>
      <c r="Q1876" t="s">
        <v>158</v>
      </c>
      <c r="R1876">
        <v>269</v>
      </c>
      <c r="S1876">
        <v>141</v>
      </c>
      <c r="T1876">
        <v>95</v>
      </c>
      <c r="U1876">
        <v>38</v>
      </c>
      <c r="V1876" t="s">
        <v>6919</v>
      </c>
      <c r="W1876">
        <v>50901</v>
      </c>
      <c r="X1876" t="s">
        <v>1892</v>
      </c>
      <c r="Y1876">
        <v>40249</v>
      </c>
      <c r="Z1876">
        <v>1934238</v>
      </c>
      <c r="AA1876">
        <v>404776</v>
      </c>
      <c r="AB1876" t="str">
        <f>(VLOOKUP(SalesData[[#This Row],[Month Number]],Reference!C$5:E$16,2,FALSE))</f>
        <v>Feb</v>
      </c>
      <c r="AC1876">
        <f>MONTH(SalesData[[#This Row],[Date]])</f>
        <v>2</v>
      </c>
      <c r="AD1876">
        <f>Reference!F$4</f>
        <v>2026</v>
      </c>
      <c r="AE1876" t="str">
        <f>IF(OR(SalesData[[#This Row],[Day]]="Saturday",SalesData[[#This Row],[Day]]="Sunday"),"Weekend","Weekday")</f>
        <v>Weekend</v>
      </c>
      <c r="AF1876" s="5">
        <f>IF(SalesData[[#This Row],[Contracts Offered]]=0,0,SalesData[[#This Row],[Contracts Signed]]/SalesData[[#This Row],[Contracts Offered]])</f>
        <v>0.4</v>
      </c>
      <c r="AG1876" s="5">
        <f>IF(SalesData[[#This Row],[Customers Visited]]=0,0,SalesData[[#This Row],[Test Drives]]/SalesData[[#This Row],[Customers Visited]])</f>
        <v>0.52416356877323422</v>
      </c>
      <c r="AH1876" s="5">
        <f>IF(SalesData[[#This Row],[Customers Visited]]=0,0,SalesData[[#This Row],[Contracts Signed]]/SalesData[[#This Row],[Customers Visited]])</f>
        <v>0.14126394052044611</v>
      </c>
      <c r="AI1876" s="6">
        <f>IF(SalesData[[#This Row],[Contracts Signed]]=0,0,SalesData[[#This Row],[Profit(€)]]/SalesData[[#This Row],[Contracts Signed]])</f>
        <v>10652</v>
      </c>
      <c r="AJ1876" s="5" t="str">
        <f>TRIM(CLEAN(SalesData[[#This Row],[Retailer]]))</f>
        <v>Bavaria Motors</v>
      </c>
    </row>
    <row r="1877" spans="1:36" ht="14.25" hidden="1" x14ac:dyDescent="0.2">
      <c r="A1877" t="s">
        <v>2849</v>
      </c>
      <c r="B1877" s="1">
        <v>46061</v>
      </c>
      <c r="C1877" t="s">
        <v>121</v>
      </c>
      <c r="D1877" t="s">
        <v>41</v>
      </c>
      <c r="E1877" t="s">
        <v>42</v>
      </c>
      <c r="F1877" t="s">
        <v>83</v>
      </c>
      <c r="G1877" t="s">
        <v>84</v>
      </c>
      <c r="H1877" t="s">
        <v>85</v>
      </c>
      <c r="I1877" t="s">
        <v>56</v>
      </c>
      <c r="J1877" t="s">
        <v>137</v>
      </c>
      <c r="K1877" t="s">
        <v>78</v>
      </c>
      <c r="L1877" t="s">
        <v>46</v>
      </c>
      <c r="M1877" t="s">
        <v>47</v>
      </c>
      <c r="N1877" t="s">
        <v>35</v>
      </c>
      <c r="O1877" t="s">
        <v>36</v>
      </c>
      <c r="P1877" t="s">
        <v>71</v>
      </c>
      <c r="Q1877" t="s">
        <v>152</v>
      </c>
      <c r="R1877">
        <v>294</v>
      </c>
      <c r="S1877">
        <v>141</v>
      </c>
      <c r="T1877">
        <v>108</v>
      </c>
      <c r="U1877">
        <v>34</v>
      </c>
      <c r="V1877" t="s">
        <v>6400</v>
      </c>
      <c r="W1877">
        <v>44907</v>
      </c>
      <c r="X1877" t="s">
        <v>3904</v>
      </c>
      <c r="Y1877">
        <v>36098</v>
      </c>
      <c r="Z1877">
        <v>1526838</v>
      </c>
      <c r="AA1877">
        <v>299506</v>
      </c>
      <c r="AB1877" t="str">
        <f>(VLOOKUP(SalesData[[#This Row],[Month Number]],Reference!C$5:E$16,2,FALSE))</f>
        <v>Feb</v>
      </c>
      <c r="AC1877">
        <f>MONTH(SalesData[[#This Row],[Date]])</f>
        <v>2</v>
      </c>
      <c r="AD1877">
        <f>Reference!F$4</f>
        <v>2026</v>
      </c>
      <c r="AE1877" t="str">
        <f>IF(OR(SalesData[[#This Row],[Day]]="Saturday",SalesData[[#This Row],[Day]]="Sunday"),"Weekend","Weekday")</f>
        <v>Weekend</v>
      </c>
      <c r="AF1877" s="5">
        <f>IF(SalesData[[#This Row],[Contracts Offered]]=0,0,SalesData[[#This Row],[Contracts Signed]]/SalesData[[#This Row],[Contracts Offered]])</f>
        <v>0.31481481481481483</v>
      </c>
      <c r="AG1877" s="5">
        <f>IF(SalesData[[#This Row],[Customers Visited]]=0,0,SalesData[[#This Row],[Test Drives]]/SalesData[[#This Row],[Customers Visited]])</f>
        <v>0.47959183673469385</v>
      </c>
      <c r="AH1877" s="5">
        <f>IF(SalesData[[#This Row],[Customers Visited]]=0,0,SalesData[[#This Row],[Contracts Signed]]/SalesData[[#This Row],[Customers Visited]])</f>
        <v>0.11564625850340136</v>
      </c>
      <c r="AI1877" s="6">
        <f>IF(SalesData[[#This Row],[Contracts Signed]]=0,0,SalesData[[#This Row],[Profit(€)]]/SalesData[[#This Row],[Contracts Signed]])</f>
        <v>8809</v>
      </c>
      <c r="AJ1877" s="5" t="str">
        <f>TRIM(CLEAN(SalesData[[#This Row],[Retailer]]))</f>
        <v>Hannover Cars</v>
      </c>
    </row>
    <row r="1878" spans="1:36" ht="14.25" hidden="1" x14ac:dyDescent="0.2">
      <c r="A1878" t="s">
        <v>2850</v>
      </c>
      <c r="B1878" s="1">
        <v>46056</v>
      </c>
      <c r="C1878" t="s">
        <v>24</v>
      </c>
      <c r="D1878" t="s">
        <v>63</v>
      </c>
      <c r="E1878" t="s">
        <v>26</v>
      </c>
      <c r="F1878" t="s">
        <v>83</v>
      </c>
      <c r="G1878" t="s">
        <v>84</v>
      </c>
      <c r="H1878" t="s">
        <v>85</v>
      </c>
      <c r="I1878" t="s">
        <v>104</v>
      </c>
      <c r="J1878" t="s">
        <v>7061</v>
      </c>
      <c r="K1878" t="s">
        <v>66</v>
      </c>
      <c r="L1878" t="s">
        <v>46</v>
      </c>
      <c r="M1878" t="s">
        <v>87</v>
      </c>
      <c r="N1878" t="s">
        <v>48</v>
      </c>
      <c r="O1878" t="s">
        <v>70</v>
      </c>
      <c r="P1878" t="s">
        <v>71</v>
      </c>
      <c r="Q1878" t="s">
        <v>204</v>
      </c>
      <c r="R1878">
        <v>335</v>
      </c>
      <c r="S1878">
        <v>192</v>
      </c>
      <c r="T1878">
        <v>124</v>
      </c>
      <c r="U1878">
        <v>31</v>
      </c>
      <c r="V1878" t="s">
        <v>3319</v>
      </c>
      <c r="W1878">
        <v>34178</v>
      </c>
      <c r="X1878" t="s">
        <v>294</v>
      </c>
      <c r="Y1878">
        <v>30650</v>
      </c>
      <c r="Z1878">
        <v>1059518</v>
      </c>
      <c r="AA1878">
        <v>109368</v>
      </c>
      <c r="AB1878" t="str">
        <f>(VLOOKUP(SalesData[[#This Row],[Month Number]],Reference!C$5:E$16,2,FALSE))</f>
        <v>Feb</v>
      </c>
      <c r="AC1878">
        <f>MONTH(SalesData[[#This Row],[Date]])</f>
        <v>2</v>
      </c>
      <c r="AD1878">
        <f>Reference!F$4</f>
        <v>2026</v>
      </c>
      <c r="AE1878" t="str">
        <f>IF(OR(SalesData[[#This Row],[Day]]="Saturday",SalesData[[#This Row],[Day]]="Sunday"),"Weekend","Weekday")</f>
        <v>Weekday</v>
      </c>
      <c r="AF1878" s="5">
        <f>IF(SalesData[[#This Row],[Contracts Offered]]=0,0,SalesData[[#This Row],[Contracts Signed]]/SalesData[[#This Row],[Contracts Offered]])</f>
        <v>0.25</v>
      </c>
      <c r="AG1878" s="5">
        <f>IF(SalesData[[#This Row],[Customers Visited]]=0,0,SalesData[[#This Row],[Test Drives]]/SalesData[[#This Row],[Customers Visited]])</f>
        <v>0.57313432835820899</v>
      </c>
      <c r="AH1878" s="5">
        <f>IF(SalesData[[#This Row],[Customers Visited]]=0,0,SalesData[[#This Row],[Contracts Signed]]/SalesData[[#This Row],[Customers Visited]])</f>
        <v>9.2537313432835819E-2</v>
      </c>
      <c r="AI1878" s="6">
        <f>IF(SalesData[[#This Row],[Contracts Signed]]=0,0,SalesData[[#This Row],[Profit(€)]]/SalesData[[#This Row],[Contracts Signed]])</f>
        <v>3528</v>
      </c>
      <c r="AJ1878" s="5" t="str">
        <f>TRIM(CLEAN(SalesData[[#This Row],[Retailer]]))</f>
        <v>Hannover Cars</v>
      </c>
    </row>
    <row r="1879" spans="1:36" ht="14.25" hidden="1" x14ac:dyDescent="0.2">
      <c r="A1879" t="s">
        <v>2851</v>
      </c>
      <c r="B1879" s="1">
        <v>46079</v>
      </c>
      <c r="C1879" t="s">
        <v>53</v>
      </c>
      <c r="D1879" t="s">
        <v>100</v>
      </c>
      <c r="E1879" t="s">
        <v>26</v>
      </c>
      <c r="F1879" t="s">
        <v>127</v>
      </c>
      <c r="G1879" t="s">
        <v>128</v>
      </c>
      <c r="H1879" t="s">
        <v>103</v>
      </c>
      <c r="I1879" t="s">
        <v>64</v>
      </c>
      <c r="J1879" t="s">
        <v>157</v>
      </c>
      <c r="K1879" t="s">
        <v>32</v>
      </c>
      <c r="L1879" t="s">
        <v>33</v>
      </c>
      <c r="M1879" t="s">
        <v>68</v>
      </c>
      <c r="N1879" t="s">
        <v>69</v>
      </c>
      <c r="O1879" t="s">
        <v>70</v>
      </c>
      <c r="P1879" t="s">
        <v>58</v>
      </c>
      <c r="Q1879" t="s">
        <v>59</v>
      </c>
      <c r="R1879">
        <v>210</v>
      </c>
      <c r="S1879">
        <v>111</v>
      </c>
      <c r="T1879">
        <v>77</v>
      </c>
      <c r="U1879">
        <v>29</v>
      </c>
      <c r="V1879" t="s">
        <v>6950</v>
      </c>
      <c r="W1879">
        <v>65487</v>
      </c>
      <c r="X1879" t="s">
        <v>7413</v>
      </c>
      <c r="Y1879">
        <v>49759</v>
      </c>
      <c r="Z1879">
        <v>1899123</v>
      </c>
      <c r="AA1879">
        <v>456112</v>
      </c>
      <c r="AB1879" t="str">
        <f>(VLOOKUP(SalesData[[#This Row],[Month Number]],Reference!C$5:E$16,2,FALSE))</f>
        <v>Feb</v>
      </c>
      <c r="AC1879">
        <f>MONTH(SalesData[[#This Row],[Date]])</f>
        <v>2</v>
      </c>
      <c r="AD1879">
        <f>Reference!F$4</f>
        <v>2026</v>
      </c>
      <c r="AE1879" t="str">
        <f>IF(OR(SalesData[[#This Row],[Day]]="Saturday",SalesData[[#This Row],[Day]]="Sunday"),"Weekend","Weekday")</f>
        <v>Weekday</v>
      </c>
      <c r="AF1879" s="5">
        <f>IF(SalesData[[#This Row],[Contracts Offered]]=0,0,SalesData[[#This Row],[Contracts Signed]]/SalesData[[#This Row],[Contracts Offered]])</f>
        <v>0.37662337662337664</v>
      </c>
      <c r="AG1879" s="5">
        <f>IF(SalesData[[#This Row],[Customers Visited]]=0,0,SalesData[[#This Row],[Test Drives]]/SalesData[[#This Row],[Customers Visited]])</f>
        <v>0.52857142857142858</v>
      </c>
      <c r="AH1879" s="5">
        <f>IF(SalesData[[#This Row],[Customers Visited]]=0,0,SalesData[[#This Row],[Contracts Signed]]/SalesData[[#This Row],[Customers Visited]])</f>
        <v>0.1380952380952381</v>
      </c>
      <c r="AI1879" s="6">
        <f>IF(SalesData[[#This Row],[Contracts Signed]]=0,0,SalesData[[#This Row],[Profit(€)]]/SalesData[[#This Row],[Contracts Signed]])</f>
        <v>15728</v>
      </c>
      <c r="AJ1879" s="5" t="str">
        <f>TRIM(CLEAN(SalesData[[#This Row],[Retailer]]))</f>
        <v>Rhein Auto Group</v>
      </c>
    </row>
    <row r="1880" spans="1:36" ht="14.25" x14ac:dyDescent="0.2">
      <c r="A1880" t="s">
        <v>2853</v>
      </c>
      <c r="B1880" s="1">
        <v>46059</v>
      </c>
      <c r="C1880" t="s">
        <v>24</v>
      </c>
      <c r="D1880" t="s">
        <v>54</v>
      </c>
      <c r="E1880" t="s">
        <v>26</v>
      </c>
      <c r="F1880" t="s">
        <v>94</v>
      </c>
      <c r="G1880" t="s">
        <v>95</v>
      </c>
      <c r="H1880" t="s">
        <v>96</v>
      </c>
      <c r="I1880" t="s">
        <v>30</v>
      </c>
      <c r="J1880" t="s">
        <v>188</v>
      </c>
      <c r="K1880" t="s">
        <v>66</v>
      </c>
      <c r="L1880" t="s">
        <v>33</v>
      </c>
      <c r="M1880" t="s">
        <v>68</v>
      </c>
      <c r="N1880" t="s">
        <v>35</v>
      </c>
      <c r="O1880" t="s">
        <v>36</v>
      </c>
      <c r="P1880" t="s">
        <v>58</v>
      </c>
      <c r="Q1880" t="s">
        <v>158</v>
      </c>
      <c r="R1880">
        <v>197</v>
      </c>
      <c r="S1880">
        <v>118</v>
      </c>
      <c r="T1880">
        <v>93</v>
      </c>
      <c r="U1880">
        <v>40</v>
      </c>
      <c r="V1880" t="s">
        <v>7490</v>
      </c>
      <c r="W1880">
        <v>66584</v>
      </c>
      <c r="X1880" t="s">
        <v>7033</v>
      </c>
      <c r="Y1880">
        <v>49235</v>
      </c>
      <c r="Z1880">
        <v>2663360</v>
      </c>
      <c r="AA1880">
        <v>693960</v>
      </c>
      <c r="AB1880" t="str">
        <f>(VLOOKUP(SalesData[[#This Row],[Month Number]],Reference!C$5:E$16,2,FALSE))</f>
        <v>Feb</v>
      </c>
      <c r="AC1880">
        <f>MONTH(SalesData[[#This Row],[Date]])</f>
        <v>2</v>
      </c>
      <c r="AD1880">
        <f>Reference!F$4</f>
        <v>2026</v>
      </c>
      <c r="AE1880" t="str">
        <f>IF(OR(SalesData[[#This Row],[Day]]="Saturday",SalesData[[#This Row],[Day]]="Sunday"),"Weekend","Weekday")</f>
        <v>Weekday</v>
      </c>
      <c r="AF1880" s="5">
        <f>IF(SalesData[[#This Row],[Contracts Offered]]=0,0,SalesData[[#This Row],[Contracts Signed]]/SalesData[[#This Row],[Contracts Offered]])</f>
        <v>0.43010752688172044</v>
      </c>
      <c r="AG1880" s="5">
        <f>IF(SalesData[[#This Row],[Customers Visited]]=0,0,SalesData[[#This Row],[Test Drives]]/SalesData[[#This Row],[Customers Visited]])</f>
        <v>0.59898477157360408</v>
      </c>
      <c r="AH1880" s="5">
        <f>IF(SalesData[[#This Row],[Customers Visited]]=0,0,SalesData[[#This Row],[Contracts Signed]]/SalesData[[#This Row],[Customers Visited]])</f>
        <v>0.20304568527918782</v>
      </c>
      <c r="AI1880" s="6">
        <f>IF(SalesData[[#This Row],[Contracts Signed]]=0,0,SalesData[[#This Row],[Profit(€)]]/SalesData[[#This Row],[Contracts Signed]])</f>
        <v>17349</v>
      </c>
      <c r="AJ1880" s="5" t="str">
        <f>TRIM(CLEAN(SalesData[[#This Row],[Retailer]]))</f>
        <v>Bavaria Motors</v>
      </c>
    </row>
    <row r="1881" spans="1:36" ht="14.25" hidden="1" x14ac:dyDescent="0.2">
      <c r="A1881" t="s">
        <v>2854</v>
      </c>
      <c r="B1881" s="1">
        <v>46073</v>
      </c>
      <c r="C1881" t="s">
        <v>62</v>
      </c>
      <c r="D1881" t="s">
        <v>54</v>
      </c>
      <c r="E1881" t="s">
        <v>26</v>
      </c>
      <c r="F1881" t="s">
        <v>114</v>
      </c>
      <c r="G1881" t="s">
        <v>115</v>
      </c>
      <c r="H1881" t="s">
        <v>115</v>
      </c>
      <c r="I1881" t="s">
        <v>64</v>
      </c>
      <c r="J1881" t="s">
        <v>111</v>
      </c>
      <c r="K1881" t="s">
        <v>66</v>
      </c>
      <c r="L1881" t="s">
        <v>46</v>
      </c>
      <c r="M1881" t="s">
        <v>47</v>
      </c>
      <c r="N1881" t="s">
        <v>69</v>
      </c>
      <c r="O1881" t="s">
        <v>70</v>
      </c>
      <c r="P1881" t="s">
        <v>58</v>
      </c>
      <c r="Q1881" t="s">
        <v>118</v>
      </c>
      <c r="R1881">
        <v>208</v>
      </c>
      <c r="S1881">
        <v>123</v>
      </c>
      <c r="T1881">
        <v>86</v>
      </c>
      <c r="U1881">
        <v>35</v>
      </c>
      <c r="V1881" t="s">
        <v>6691</v>
      </c>
      <c r="W1881">
        <v>67373</v>
      </c>
      <c r="X1881" t="s">
        <v>698</v>
      </c>
      <c r="Y1881">
        <v>50762</v>
      </c>
      <c r="Z1881">
        <v>2358055</v>
      </c>
      <c r="AA1881">
        <v>581385</v>
      </c>
      <c r="AB1881" t="str">
        <f>(VLOOKUP(SalesData[[#This Row],[Month Number]],Reference!C$5:E$16,2,FALSE))</f>
        <v>Feb</v>
      </c>
      <c r="AC1881">
        <f>MONTH(SalesData[[#This Row],[Date]])</f>
        <v>2</v>
      </c>
      <c r="AD1881">
        <f>Reference!F$4</f>
        <v>2026</v>
      </c>
      <c r="AE1881" t="str">
        <f>IF(OR(SalesData[[#This Row],[Day]]="Saturday",SalesData[[#This Row],[Day]]="Sunday"),"Weekend","Weekday")</f>
        <v>Weekday</v>
      </c>
      <c r="AF1881" s="5">
        <f>IF(SalesData[[#This Row],[Contracts Offered]]=0,0,SalesData[[#This Row],[Contracts Signed]]/SalesData[[#This Row],[Contracts Offered]])</f>
        <v>0.40697674418604651</v>
      </c>
      <c r="AG1881" s="5">
        <f>IF(SalesData[[#This Row],[Customers Visited]]=0,0,SalesData[[#This Row],[Test Drives]]/SalesData[[#This Row],[Customers Visited]])</f>
        <v>0.59134615384615385</v>
      </c>
      <c r="AH1881" s="5">
        <f>IF(SalesData[[#This Row],[Customers Visited]]=0,0,SalesData[[#This Row],[Contracts Signed]]/SalesData[[#This Row],[Customers Visited]])</f>
        <v>0.16826923076923078</v>
      </c>
      <c r="AI1881" s="6">
        <f>IF(SalesData[[#This Row],[Contracts Signed]]=0,0,SalesData[[#This Row],[Profit(€)]]/SalesData[[#This Row],[Contracts Signed]])</f>
        <v>16611</v>
      </c>
      <c r="AJ1881" s="5" t="str">
        <f>TRIM(CLEAN(SalesData[[#This Row],[Retailer]]))</f>
        <v>Elbe Drive</v>
      </c>
    </row>
    <row r="1882" spans="1:36" ht="14.25" hidden="1" x14ac:dyDescent="0.2">
      <c r="A1882" t="s">
        <v>2855</v>
      </c>
      <c r="B1882" s="1">
        <v>46072</v>
      </c>
      <c r="C1882" t="s">
        <v>62</v>
      </c>
      <c r="D1882" t="s">
        <v>100</v>
      </c>
      <c r="E1882" t="s">
        <v>26</v>
      </c>
      <c r="F1882" t="s">
        <v>114</v>
      </c>
      <c r="G1882" t="s">
        <v>115</v>
      </c>
      <c r="H1882" t="s">
        <v>115</v>
      </c>
      <c r="I1882" t="s">
        <v>104</v>
      </c>
      <c r="J1882" t="s">
        <v>143</v>
      </c>
      <c r="K1882" t="s">
        <v>66</v>
      </c>
      <c r="L1882" t="s">
        <v>67</v>
      </c>
      <c r="M1882" t="s">
        <v>47</v>
      </c>
      <c r="N1882" t="s">
        <v>35</v>
      </c>
      <c r="O1882" t="s">
        <v>36</v>
      </c>
      <c r="P1882" t="s">
        <v>58</v>
      </c>
      <c r="Q1882" t="s">
        <v>106</v>
      </c>
      <c r="R1882">
        <v>378</v>
      </c>
      <c r="S1882">
        <v>165</v>
      </c>
      <c r="T1882">
        <v>100</v>
      </c>
      <c r="U1882">
        <v>37</v>
      </c>
      <c r="V1882" t="s">
        <v>6472</v>
      </c>
      <c r="W1882">
        <v>31994</v>
      </c>
      <c r="X1882" t="s">
        <v>303</v>
      </c>
      <c r="Y1882">
        <v>28289</v>
      </c>
      <c r="Z1882">
        <v>1183778</v>
      </c>
      <c r="AA1882">
        <v>137085</v>
      </c>
      <c r="AB1882" t="str">
        <f>(VLOOKUP(SalesData[[#This Row],[Month Number]],Reference!C$5:E$16,2,FALSE))</f>
        <v>Feb</v>
      </c>
      <c r="AC1882">
        <f>MONTH(SalesData[[#This Row],[Date]])</f>
        <v>2</v>
      </c>
      <c r="AD1882">
        <f>Reference!F$4</f>
        <v>2026</v>
      </c>
      <c r="AE1882" t="str">
        <f>IF(OR(SalesData[[#This Row],[Day]]="Saturday",SalesData[[#This Row],[Day]]="Sunday"),"Weekend","Weekday")</f>
        <v>Weekday</v>
      </c>
      <c r="AF1882" s="5">
        <f>IF(SalesData[[#This Row],[Contracts Offered]]=0,0,SalesData[[#This Row],[Contracts Signed]]/SalesData[[#This Row],[Contracts Offered]])</f>
        <v>0.37</v>
      </c>
      <c r="AG1882" s="5">
        <f>IF(SalesData[[#This Row],[Customers Visited]]=0,0,SalesData[[#This Row],[Test Drives]]/SalesData[[#This Row],[Customers Visited]])</f>
        <v>0.43650793650793651</v>
      </c>
      <c r="AH1882" s="5">
        <f>IF(SalesData[[#This Row],[Customers Visited]]=0,0,SalesData[[#This Row],[Contracts Signed]]/SalesData[[#This Row],[Customers Visited]])</f>
        <v>9.7883597883597878E-2</v>
      </c>
      <c r="AI1882" s="6">
        <f>IF(SalesData[[#This Row],[Contracts Signed]]=0,0,SalesData[[#This Row],[Profit(€)]]/SalesData[[#This Row],[Contracts Signed]])</f>
        <v>3705</v>
      </c>
      <c r="AJ1882" s="5" t="str">
        <f>TRIM(CLEAN(SalesData[[#This Row],[Retailer]]))</f>
        <v>Elbe Drive</v>
      </c>
    </row>
    <row r="1883" spans="1:36" ht="14.25" hidden="1" x14ac:dyDescent="0.2">
      <c r="A1883" t="s">
        <v>2857</v>
      </c>
      <c r="B1883" s="1">
        <v>46056</v>
      </c>
      <c r="C1883" t="s">
        <v>24</v>
      </c>
      <c r="D1883" t="s">
        <v>63</v>
      </c>
      <c r="E1883" t="s">
        <v>26</v>
      </c>
      <c r="F1883" t="s">
        <v>109</v>
      </c>
      <c r="G1883" t="s">
        <v>110</v>
      </c>
      <c r="H1883" t="s">
        <v>45</v>
      </c>
      <c r="I1883" t="s">
        <v>116</v>
      </c>
      <c r="J1883" t="s">
        <v>117</v>
      </c>
      <c r="K1883" t="s">
        <v>32</v>
      </c>
      <c r="L1883" t="s">
        <v>67</v>
      </c>
      <c r="M1883" t="s">
        <v>68</v>
      </c>
      <c r="N1883" t="s">
        <v>35</v>
      </c>
      <c r="O1883" t="s">
        <v>36</v>
      </c>
      <c r="P1883" t="s">
        <v>37</v>
      </c>
      <c r="Q1883" t="s">
        <v>158</v>
      </c>
      <c r="R1883">
        <v>274</v>
      </c>
      <c r="S1883">
        <v>109</v>
      </c>
      <c r="T1883">
        <v>70</v>
      </c>
      <c r="U1883">
        <v>13</v>
      </c>
      <c r="V1883" t="s">
        <v>149</v>
      </c>
      <c r="W1883">
        <v>26689</v>
      </c>
      <c r="X1883" t="s">
        <v>1692</v>
      </c>
      <c r="Y1883">
        <v>24742</v>
      </c>
      <c r="Z1883">
        <v>346957</v>
      </c>
      <c r="AA1883">
        <v>25311</v>
      </c>
      <c r="AB1883" t="str">
        <f>(VLOOKUP(SalesData[[#This Row],[Month Number]],Reference!C$5:E$16,2,FALSE))</f>
        <v>Feb</v>
      </c>
      <c r="AC1883">
        <f>MONTH(SalesData[[#This Row],[Date]])</f>
        <v>2</v>
      </c>
      <c r="AD1883">
        <f>Reference!F$4</f>
        <v>2026</v>
      </c>
      <c r="AE1883" t="str">
        <f>IF(OR(SalesData[[#This Row],[Day]]="Saturday",SalesData[[#This Row],[Day]]="Sunday"),"Weekend","Weekday")</f>
        <v>Weekday</v>
      </c>
      <c r="AF1883" s="5">
        <f>IF(SalesData[[#This Row],[Contracts Offered]]=0,0,SalesData[[#This Row],[Contracts Signed]]/SalesData[[#This Row],[Contracts Offered]])</f>
        <v>0.18571428571428572</v>
      </c>
      <c r="AG1883" s="5">
        <f>IF(SalesData[[#This Row],[Customers Visited]]=0,0,SalesData[[#This Row],[Test Drives]]/SalesData[[#This Row],[Customers Visited]])</f>
        <v>0.3978102189781022</v>
      </c>
      <c r="AH1883" s="5">
        <f>IF(SalesData[[#This Row],[Customers Visited]]=0,0,SalesData[[#This Row],[Contracts Signed]]/SalesData[[#This Row],[Customers Visited]])</f>
        <v>4.7445255474452552E-2</v>
      </c>
      <c r="AI1883" s="6">
        <f>IF(SalesData[[#This Row],[Contracts Signed]]=0,0,SalesData[[#This Row],[Profit(€)]]/SalesData[[#This Row],[Contracts Signed]])</f>
        <v>1947</v>
      </c>
      <c r="AJ1883" s="5" t="str">
        <f>TRIM(CLEAN(SalesData[[#This Row],[Retailer]]))</f>
        <v>Leipzig Mobility</v>
      </c>
    </row>
    <row r="1884" spans="1:36" ht="14.25" hidden="1" x14ac:dyDescent="0.2">
      <c r="A1884" t="s">
        <v>2859</v>
      </c>
      <c r="B1884" s="1">
        <v>46056</v>
      </c>
      <c r="C1884" t="s">
        <v>24</v>
      </c>
      <c r="D1884" t="s">
        <v>63</v>
      </c>
      <c r="E1884" t="s">
        <v>26</v>
      </c>
      <c r="F1884" t="s">
        <v>114</v>
      </c>
      <c r="G1884" t="s">
        <v>115</v>
      </c>
      <c r="H1884" t="s">
        <v>115</v>
      </c>
      <c r="I1884" t="s">
        <v>104</v>
      </c>
      <c r="J1884" t="s">
        <v>7031</v>
      </c>
      <c r="K1884" t="s">
        <v>66</v>
      </c>
      <c r="L1884" t="s">
        <v>46</v>
      </c>
      <c r="M1884" t="s">
        <v>68</v>
      </c>
      <c r="N1884" t="s">
        <v>35</v>
      </c>
      <c r="O1884" t="s">
        <v>36</v>
      </c>
      <c r="P1884" t="s">
        <v>37</v>
      </c>
      <c r="Q1884" t="s">
        <v>169</v>
      </c>
      <c r="R1884">
        <v>359</v>
      </c>
      <c r="S1884">
        <v>206</v>
      </c>
      <c r="T1884">
        <v>132</v>
      </c>
      <c r="U1884">
        <v>31</v>
      </c>
      <c r="V1884" t="s">
        <v>1268</v>
      </c>
      <c r="W1884">
        <v>30381</v>
      </c>
      <c r="X1884" t="s">
        <v>4071</v>
      </c>
      <c r="Y1884">
        <v>26491</v>
      </c>
      <c r="Z1884">
        <v>941811</v>
      </c>
      <c r="AA1884">
        <v>120590</v>
      </c>
      <c r="AB1884" t="str">
        <f>(VLOOKUP(SalesData[[#This Row],[Month Number]],Reference!C$5:E$16,2,FALSE))</f>
        <v>Feb</v>
      </c>
      <c r="AC1884">
        <f>MONTH(SalesData[[#This Row],[Date]])</f>
        <v>2</v>
      </c>
      <c r="AD1884">
        <f>Reference!F$4</f>
        <v>2026</v>
      </c>
      <c r="AE1884" t="str">
        <f>IF(OR(SalesData[[#This Row],[Day]]="Saturday",SalesData[[#This Row],[Day]]="Sunday"),"Weekend","Weekday")</f>
        <v>Weekday</v>
      </c>
      <c r="AF1884" s="5">
        <f>IF(SalesData[[#This Row],[Contracts Offered]]=0,0,SalesData[[#This Row],[Contracts Signed]]/SalesData[[#This Row],[Contracts Offered]])</f>
        <v>0.23484848484848486</v>
      </c>
      <c r="AG1884" s="5">
        <f>IF(SalesData[[#This Row],[Customers Visited]]=0,0,SalesData[[#This Row],[Test Drives]]/SalesData[[#This Row],[Customers Visited]])</f>
        <v>0.57381615598885793</v>
      </c>
      <c r="AH1884" s="5">
        <f>IF(SalesData[[#This Row],[Customers Visited]]=0,0,SalesData[[#This Row],[Contracts Signed]]/SalesData[[#This Row],[Customers Visited]])</f>
        <v>8.6350974930362118E-2</v>
      </c>
      <c r="AI1884" s="6">
        <f>IF(SalesData[[#This Row],[Contracts Signed]]=0,0,SalesData[[#This Row],[Profit(€)]]/SalesData[[#This Row],[Contracts Signed]])</f>
        <v>3890</v>
      </c>
      <c r="AJ1884" s="5" t="str">
        <f>TRIM(CLEAN(SalesData[[#This Row],[Retailer]]))</f>
        <v>Elbe Drive</v>
      </c>
    </row>
    <row r="1885" spans="1:36" ht="14.25" x14ac:dyDescent="0.2">
      <c r="A1885" t="s">
        <v>2860</v>
      </c>
      <c r="B1885" s="1">
        <v>46070</v>
      </c>
      <c r="C1885" t="s">
        <v>62</v>
      </c>
      <c r="D1885" t="s">
        <v>63</v>
      </c>
      <c r="E1885" t="s">
        <v>26</v>
      </c>
      <c r="F1885" t="s">
        <v>27</v>
      </c>
      <c r="G1885" t="s">
        <v>28</v>
      </c>
      <c r="H1885" t="s">
        <v>29</v>
      </c>
      <c r="I1885" t="s">
        <v>30</v>
      </c>
      <c r="J1885" t="s">
        <v>31</v>
      </c>
      <c r="K1885" t="s">
        <v>32</v>
      </c>
      <c r="L1885" t="s">
        <v>46</v>
      </c>
      <c r="M1885" t="s">
        <v>68</v>
      </c>
      <c r="N1885" t="s">
        <v>35</v>
      </c>
      <c r="O1885" t="s">
        <v>70</v>
      </c>
      <c r="P1885" t="s">
        <v>37</v>
      </c>
      <c r="Q1885" t="s">
        <v>144</v>
      </c>
      <c r="R1885">
        <v>205</v>
      </c>
      <c r="S1885">
        <v>99</v>
      </c>
      <c r="T1885">
        <v>69</v>
      </c>
      <c r="U1885">
        <v>27</v>
      </c>
      <c r="V1885" t="s">
        <v>6483</v>
      </c>
      <c r="W1885">
        <v>53860</v>
      </c>
      <c r="X1885" t="s">
        <v>7491</v>
      </c>
      <c r="Y1885">
        <v>40973</v>
      </c>
      <c r="Z1885">
        <v>1454220</v>
      </c>
      <c r="AA1885">
        <v>347949</v>
      </c>
      <c r="AB1885" t="str">
        <f>(VLOOKUP(SalesData[[#This Row],[Month Number]],Reference!C$5:E$16,2,FALSE))</f>
        <v>Feb</v>
      </c>
      <c r="AC1885">
        <f>MONTH(SalesData[[#This Row],[Date]])</f>
        <v>2</v>
      </c>
      <c r="AD1885">
        <f>Reference!F$4</f>
        <v>2026</v>
      </c>
      <c r="AE1885" t="str">
        <f>IF(OR(SalesData[[#This Row],[Day]]="Saturday",SalesData[[#This Row],[Day]]="Sunday"),"Weekend","Weekday")</f>
        <v>Weekday</v>
      </c>
      <c r="AF1885" s="5">
        <f>IF(SalesData[[#This Row],[Contracts Offered]]=0,0,SalesData[[#This Row],[Contracts Signed]]/SalesData[[#This Row],[Contracts Offered]])</f>
        <v>0.39130434782608697</v>
      </c>
      <c r="AG1885" s="5">
        <f>IF(SalesData[[#This Row],[Customers Visited]]=0,0,SalesData[[#This Row],[Test Drives]]/SalesData[[#This Row],[Customers Visited]])</f>
        <v>0.48292682926829267</v>
      </c>
      <c r="AH1885" s="5">
        <f>IF(SalesData[[#This Row],[Customers Visited]]=0,0,SalesData[[#This Row],[Contracts Signed]]/SalesData[[#This Row],[Customers Visited]])</f>
        <v>0.13170731707317074</v>
      </c>
      <c r="AI1885" s="6">
        <f>IF(SalesData[[#This Row],[Contracts Signed]]=0,0,SalesData[[#This Row],[Profit(€)]]/SalesData[[#This Row],[Contracts Signed]])</f>
        <v>12887</v>
      </c>
      <c r="AJ1885" s="5" t="str">
        <f>TRIM(CLEAN(SalesData[[#This Row],[Retailer]]))</f>
        <v>Main Auto Hub</v>
      </c>
    </row>
    <row r="1886" spans="1:36" ht="14.25" hidden="1" x14ac:dyDescent="0.2">
      <c r="A1886" t="s">
        <v>2862</v>
      </c>
      <c r="B1886" s="1">
        <v>46077</v>
      </c>
      <c r="C1886" t="s">
        <v>53</v>
      </c>
      <c r="D1886" t="s">
        <v>63</v>
      </c>
      <c r="E1886" t="s">
        <v>26</v>
      </c>
      <c r="F1886" t="s">
        <v>94</v>
      </c>
      <c r="G1886" t="s">
        <v>95</v>
      </c>
      <c r="H1886" t="s">
        <v>96</v>
      </c>
      <c r="I1886" t="s">
        <v>104</v>
      </c>
      <c r="J1886" t="s">
        <v>7061</v>
      </c>
      <c r="K1886" t="s">
        <v>91</v>
      </c>
      <c r="L1886" t="s">
        <v>46</v>
      </c>
      <c r="M1886" t="s">
        <v>34</v>
      </c>
      <c r="N1886" t="s">
        <v>48</v>
      </c>
      <c r="O1886" t="s">
        <v>70</v>
      </c>
      <c r="P1886" t="s">
        <v>49</v>
      </c>
      <c r="Q1886" t="s">
        <v>144</v>
      </c>
      <c r="R1886">
        <v>422</v>
      </c>
      <c r="S1886">
        <v>170</v>
      </c>
      <c r="T1886">
        <v>111</v>
      </c>
      <c r="U1886">
        <v>30</v>
      </c>
      <c r="V1886" t="s">
        <v>859</v>
      </c>
      <c r="W1886">
        <v>34153</v>
      </c>
      <c r="X1886" t="s">
        <v>3756</v>
      </c>
      <c r="Y1886">
        <v>29662</v>
      </c>
      <c r="Z1886">
        <v>1024590</v>
      </c>
      <c r="AA1886">
        <v>134730</v>
      </c>
      <c r="AB1886" t="str">
        <f>(VLOOKUP(SalesData[[#This Row],[Month Number]],Reference!C$5:E$16,2,FALSE))</f>
        <v>Feb</v>
      </c>
      <c r="AC1886">
        <f>MONTH(SalesData[[#This Row],[Date]])</f>
        <v>2</v>
      </c>
      <c r="AD1886">
        <f>Reference!F$4</f>
        <v>2026</v>
      </c>
      <c r="AE1886" t="str">
        <f>IF(OR(SalesData[[#This Row],[Day]]="Saturday",SalesData[[#This Row],[Day]]="Sunday"),"Weekend","Weekday")</f>
        <v>Weekday</v>
      </c>
      <c r="AF1886" s="5">
        <f>IF(SalesData[[#This Row],[Contracts Offered]]=0,0,SalesData[[#This Row],[Contracts Signed]]/SalesData[[#This Row],[Contracts Offered]])</f>
        <v>0.27027027027027029</v>
      </c>
      <c r="AG1886" s="5">
        <f>IF(SalesData[[#This Row],[Customers Visited]]=0,0,SalesData[[#This Row],[Test Drives]]/SalesData[[#This Row],[Customers Visited]])</f>
        <v>0.40284360189573459</v>
      </c>
      <c r="AH1886" s="5">
        <f>IF(SalesData[[#This Row],[Customers Visited]]=0,0,SalesData[[#This Row],[Contracts Signed]]/SalesData[[#This Row],[Customers Visited]])</f>
        <v>7.1090047393364927E-2</v>
      </c>
      <c r="AI1886" s="6">
        <f>IF(SalesData[[#This Row],[Contracts Signed]]=0,0,SalesData[[#This Row],[Profit(€)]]/SalesData[[#This Row],[Contracts Signed]])</f>
        <v>4491</v>
      </c>
      <c r="AJ1886" s="5" t="str">
        <f>TRIM(CLEAN(SalesData[[#This Row],[Retailer]]))</f>
        <v>Bavaria Motors</v>
      </c>
    </row>
    <row r="1887" spans="1:36" ht="14.25" hidden="1" x14ac:dyDescent="0.2">
      <c r="A1887" t="s">
        <v>2863</v>
      </c>
      <c r="B1887" s="1">
        <v>46061</v>
      </c>
      <c r="C1887" t="s">
        <v>121</v>
      </c>
      <c r="D1887" t="s">
        <v>41</v>
      </c>
      <c r="E1887" t="s">
        <v>42</v>
      </c>
      <c r="F1887" t="s">
        <v>127</v>
      </c>
      <c r="G1887" t="s">
        <v>128</v>
      </c>
      <c r="H1887" t="s">
        <v>103</v>
      </c>
      <c r="I1887" t="s">
        <v>56</v>
      </c>
      <c r="J1887" t="s">
        <v>137</v>
      </c>
      <c r="K1887" t="s">
        <v>91</v>
      </c>
      <c r="L1887" t="s">
        <v>46</v>
      </c>
      <c r="M1887" t="s">
        <v>47</v>
      </c>
      <c r="N1887" t="s">
        <v>48</v>
      </c>
      <c r="O1887" t="s">
        <v>70</v>
      </c>
      <c r="P1887" t="s">
        <v>37</v>
      </c>
      <c r="Q1887" t="s">
        <v>38</v>
      </c>
      <c r="R1887">
        <v>216</v>
      </c>
      <c r="S1887">
        <v>130</v>
      </c>
      <c r="T1887">
        <v>89</v>
      </c>
      <c r="U1887">
        <v>28</v>
      </c>
      <c r="V1887" t="s">
        <v>7014</v>
      </c>
      <c r="W1887">
        <v>42131</v>
      </c>
      <c r="X1887" t="s">
        <v>2667</v>
      </c>
      <c r="Y1887">
        <v>31952</v>
      </c>
      <c r="Z1887">
        <v>1179668</v>
      </c>
      <c r="AA1887">
        <v>285012</v>
      </c>
      <c r="AB1887" t="str">
        <f>(VLOOKUP(SalesData[[#This Row],[Month Number]],Reference!C$5:E$16,2,FALSE))</f>
        <v>Feb</v>
      </c>
      <c r="AC1887">
        <f>MONTH(SalesData[[#This Row],[Date]])</f>
        <v>2</v>
      </c>
      <c r="AD1887">
        <f>Reference!F$4</f>
        <v>2026</v>
      </c>
      <c r="AE1887" t="str">
        <f>IF(OR(SalesData[[#This Row],[Day]]="Saturday",SalesData[[#This Row],[Day]]="Sunday"),"Weekend","Weekday")</f>
        <v>Weekend</v>
      </c>
      <c r="AF1887" s="5">
        <f>IF(SalesData[[#This Row],[Contracts Offered]]=0,0,SalesData[[#This Row],[Contracts Signed]]/SalesData[[#This Row],[Contracts Offered]])</f>
        <v>0.3146067415730337</v>
      </c>
      <c r="AG1887" s="5">
        <f>IF(SalesData[[#This Row],[Customers Visited]]=0,0,SalesData[[#This Row],[Test Drives]]/SalesData[[#This Row],[Customers Visited]])</f>
        <v>0.60185185185185186</v>
      </c>
      <c r="AH1887" s="5">
        <f>IF(SalesData[[#This Row],[Customers Visited]]=0,0,SalesData[[#This Row],[Contracts Signed]]/SalesData[[#This Row],[Customers Visited]])</f>
        <v>0.12962962962962962</v>
      </c>
      <c r="AI1887" s="6">
        <f>IF(SalesData[[#This Row],[Contracts Signed]]=0,0,SalesData[[#This Row],[Profit(€)]]/SalesData[[#This Row],[Contracts Signed]])</f>
        <v>10179</v>
      </c>
      <c r="AJ1887" s="5" t="str">
        <f>TRIM(CLEAN(SalesData[[#This Row],[Retailer]]))</f>
        <v>Rhein Auto Group</v>
      </c>
    </row>
    <row r="1888" spans="1:36" ht="14.25" hidden="1" x14ac:dyDescent="0.2">
      <c r="A1888" t="s">
        <v>2864</v>
      </c>
      <c r="B1888" s="1">
        <v>46070</v>
      </c>
      <c r="C1888" t="s">
        <v>62</v>
      </c>
      <c r="D1888" t="s">
        <v>63</v>
      </c>
      <c r="E1888" t="s">
        <v>26</v>
      </c>
      <c r="F1888" t="s">
        <v>109</v>
      </c>
      <c r="G1888" t="s">
        <v>110</v>
      </c>
      <c r="H1888" t="s">
        <v>45</v>
      </c>
      <c r="I1888" t="s">
        <v>56</v>
      </c>
      <c r="J1888" t="s">
        <v>179</v>
      </c>
      <c r="K1888" t="s">
        <v>66</v>
      </c>
      <c r="L1888" t="s">
        <v>67</v>
      </c>
      <c r="M1888" t="s">
        <v>87</v>
      </c>
      <c r="N1888" t="s">
        <v>35</v>
      </c>
      <c r="O1888" t="s">
        <v>36</v>
      </c>
      <c r="P1888" t="s">
        <v>37</v>
      </c>
      <c r="Q1888" t="s">
        <v>152</v>
      </c>
      <c r="R1888">
        <v>301</v>
      </c>
      <c r="S1888">
        <v>191</v>
      </c>
      <c r="T1888">
        <v>148</v>
      </c>
      <c r="U1888">
        <v>43</v>
      </c>
      <c r="V1888" t="s">
        <v>7019</v>
      </c>
      <c r="W1888">
        <v>43735</v>
      </c>
      <c r="X1888" t="s">
        <v>7087</v>
      </c>
      <c r="Y1888">
        <v>34195</v>
      </c>
      <c r="Z1888">
        <v>1880605</v>
      </c>
      <c r="AA1888">
        <v>410220</v>
      </c>
      <c r="AB1888" t="str">
        <f>(VLOOKUP(SalesData[[#This Row],[Month Number]],Reference!C$5:E$16,2,FALSE))</f>
        <v>Feb</v>
      </c>
      <c r="AC1888">
        <f>MONTH(SalesData[[#This Row],[Date]])</f>
        <v>2</v>
      </c>
      <c r="AD1888">
        <f>Reference!F$4</f>
        <v>2026</v>
      </c>
      <c r="AE1888" t="str">
        <f>IF(OR(SalesData[[#This Row],[Day]]="Saturday",SalesData[[#This Row],[Day]]="Sunday"),"Weekend","Weekday")</f>
        <v>Weekday</v>
      </c>
      <c r="AF1888" s="5">
        <f>IF(SalesData[[#This Row],[Contracts Offered]]=0,0,SalesData[[#This Row],[Contracts Signed]]/SalesData[[#This Row],[Contracts Offered]])</f>
        <v>0.29054054054054052</v>
      </c>
      <c r="AG1888" s="5">
        <f>IF(SalesData[[#This Row],[Customers Visited]]=0,0,SalesData[[#This Row],[Test Drives]]/SalesData[[#This Row],[Customers Visited]])</f>
        <v>0.63455149501661134</v>
      </c>
      <c r="AH1888" s="5">
        <f>IF(SalesData[[#This Row],[Customers Visited]]=0,0,SalesData[[#This Row],[Contracts Signed]]/SalesData[[#This Row],[Customers Visited]])</f>
        <v>0.14285714285714285</v>
      </c>
      <c r="AI1888" s="6">
        <f>IF(SalesData[[#This Row],[Contracts Signed]]=0,0,SalesData[[#This Row],[Profit(€)]]/SalesData[[#This Row],[Contracts Signed]])</f>
        <v>9540</v>
      </c>
      <c r="AJ1888" s="5" t="str">
        <f>TRIM(CLEAN(SalesData[[#This Row],[Retailer]]))</f>
        <v>Leipzig Mobility</v>
      </c>
    </row>
    <row r="1889" spans="1:36" ht="14.25" hidden="1" x14ac:dyDescent="0.2">
      <c r="A1889" t="s">
        <v>2865</v>
      </c>
      <c r="B1889" s="1">
        <v>46068</v>
      </c>
      <c r="C1889" t="s">
        <v>62</v>
      </c>
      <c r="D1889" t="s">
        <v>41</v>
      </c>
      <c r="E1889" t="s">
        <v>42</v>
      </c>
      <c r="F1889" t="s">
        <v>101</v>
      </c>
      <c r="G1889" t="s">
        <v>102</v>
      </c>
      <c r="H1889" t="s">
        <v>103</v>
      </c>
      <c r="I1889" t="s">
        <v>104</v>
      </c>
      <c r="J1889" t="s">
        <v>7061</v>
      </c>
      <c r="K1889" t="s">
        <v>66</v>
      </c>
      <c r="L1889" t="s">
        <v>46</v>
      </c>
      <c r="M1889" t="s">
        <v>47</v>
      </c>
      <c r="N1889" t="s">
        <v>69</v>
      </c>
      <c r="O1889" t="s">
        <v>70</v>
      </c>
      <c r="P1889" t="s">
        <v>49</v>
      </c>
      <c r="Q1889" t="s">
        <v>38</v>
      </c>
      <c r="R1889">
        <v>474</v>
      </c>
      <c r="S1889">
        <v>230</v>
      </c>
      <c r="T1889">
        <v>151</v>
      </c>
      <c r="U1889">
        <v>25</v>
      </c>
      <c r="V1889" t="s">
        <v>498</v>
      </c>
      <c r="W1889">
        <v>35312</v>
      </c>
      <c r="X1889" t="s">
        <v>273</v>
      </c>
      <c r="Y1889">
        <v>31190</v>
      </c>
      <c r="Z1889">
        <v>882800</v>
      </c>
      <c r="AA1889">
        <v>103050</v>
      </c>
      <c r="AB1889" t="str">
        <f>(VLOOKUP(SalesData[[#This Row],[Month Number]],Reference!C$5:E$16,2,FALSE))</f>
        <v>Feb</v>
      </c>
      <c r="AC1889">
        <f>MONTH(SalesData[[#This Row],[Date]])</f>
        <v>2</v>
      </c>
      <c r="AD1889">
        <f>Reference!F$4</f>
        <v>2026</v>
      </c>
      <c r="AE1889" t="str">
        <f>IF(OR(SalesData[[#This Row],[Day]]="Saturday",SalesData[[#This Row],[Day]]="Sunday"),"Weekend","Weekday")</f>
        <v>Weekend</v>
      </c>
      <c r="AF1889" s="5">
        <f>IF(SalesData[[#This Row],[Contracts Offered]]=0,0,SalesData[[#This Row],[Contracts Signed]]/SalesData[[#This Row],[Contracts Offered]])</f>
        <v>0.16556291390728478</v>
      </c>
      <c r="AG1889" s="5">
        <f>IF(SalesData[[#This Row],[Customers Visited]]=0,0,SalesData[[#This Row],[Test Drives]]/SalesData[[#This Row],[Customers Visited]])</f>
        <v>0.48523206751054854</v>
      </c>
      <c r="AH1889" s="5">
        <f>IF(SalesData[[#This Row],[Customers Visited]]=0,0,SalesData[[#This Row],[Contracts Signed]]/SalesData[[#This Row],[Customers Visited]])</f>
        <v>5.2742616033755275E-2</v>
      </c>
      <c r="AI1889" s="6">
        <f>IF(SalesData[[#This Row],[Contracts Signed]]=0,0,SalesData[[#This Row],[Profit(€)]]/SalesData[[#This Row],[Contracts Signed]])</f>
        <v>4122</v>
      </c>
      <c r="AJ1889" s="5" t="str">
        <f>TRIM(CLEAN(SalesData[[#This Row],[Retailer]]))</f>
        <v>Ruhr Auto Plaza</v>
      </c>
    </row>
    <row r="1890" spans="1:36" ht="14.25" x14ac:dyDescent="0.2">
      <c r="A1890" t="s">
        <v>2866</v>
      </c>
      <c r="B1890" s="1">
        <v>46060</v>
      </c>
      <c r="C1890" t="s">
        <v>24</v>
      </c>
      <c r="D1890" t="s">
        <v>151</v>
      </c>
      <c r="E1890" t="s">
        <v>42</v>
      </c>
      <c r="F1890" t="s">
        <v>101</v>
      </c>
      <c r="G1890" t="s">
        <v>102</v>
      </c>
      <c r="H1890" t="s">
        <v>103</v>
      </c>
      <c r="I1890" t="s">
        <v>30</v>
      </c>
      <c r="J1890" t="s">
        <v>31</v>
      </c>
      <c r="K1890" t="s">
        <v>32</v>
      </c>
      <c r="L1890" t="s">
        <v>46</v>
      </c>
      <c r="M1890" t="s">
        <v>47</v>
      </c>
      <c r="N1890" t="s">
        <v>69</v>
      </c>
      <c r="O1890" t="s">
        <v>36</v>
      </c>
      <c r="P1890" t="s">
        <v>37</v>
      </c>
      <c r="Q1890" t="s">
        <v>144</v>
      </c>
      <c r="R1890">
        <v>248</v>
      </c>
      <c r="S1890">
        <v>129</v>
      </c>
      <c r="T1890">
        <v>91</v>
      </c>
      <c r="U1890">
        <v>33</v>
      </c>
      <c r="V1890" t="s">
        <v>6469</v>
      </c>
      <c r="W1890">
        <v>51558</v>
      </c>
      <c r="X1890" t="s">
        <v>7180</v>
      </c>
      <c r="Y1890">
        <v>40138</v>
      </c>
      <c r="Z1890">
        <v>1701414</v>
      </c>
      <c r="AA1890">
        <v>376860</v>
      </c>
      <c r="AB1890" t="str">
        <f>(VLOOKUP(SalesData[[#This Row],[Month Number]],Reference!C$5:E$16,2,FALSE))</f>
        <v>Feb</v>
      </c>
      <c r="AC1890">
        <f>MONTH(SalesData[[#This Row],[Date]])</f>
        <v>2</v>
      </c>
      <c r="AD1890">
        <f>Reference!F$4</f>
        <v>2026</v>
      </c>
      <c r="AE1890" t="str">
        <f>IF(OR(SalesData[[#This Row],[Day]]="Saturday",SalesData[[#This Row],[Day]]="Sunday"),"Weekend","Weekday")</f>
        <v>Weekend</v>
      </c>
      <c r="AF1890" s="5">
        <f>IF(SalesData[[#This Row],[Contracts Offered]]=0,0,SalesData[[#This Row],[Contracts Signed]]/SalesData[[#This Row],[Contracts Offered]])</f>
        <v>0.36263736263736263</v>
      </c>
      <c r="AG1890" s="5">
        <f>IF(SalesData[[#This Row],[Customers Visited]]=0,0,SalesData[[#This Row],[Test Drives]]/SalesData[[#This Row],[Customers Visited]])</f>
        <v>0.52016129032258063</v>
      </c>
      <c r="AH1890" s="5">
        <f>IF(SalesData[[#This Row],[Customers Visited]]=0,0,SalesData[[#This Row],[Contracts Signed]]/SalesData[[#This Row],[Customers Visited]])</f>
        <v>0.13306451612903225</v>
      </c>
      <c r="AI1890" s="6">
        <f>IF(SalesData[[#This Row],[Contracts Signed]]=0,0,SalesData[[#This Row],[Profit(€)]]/SalesData[[#This Row],[Contracts Signed]])</f>
        <v>11420</v>
      </c>
      <c r="AJ1890" s="5" t="str">
        <f>TRIM(CLEAN(SalesData[[#This Row],[Retailer]]))</f>
        <v>Ruhr Auto Plaza</v>
      </c>
    </row>
    <row r="1891" spans="1:36" ht="14.25" hidden="1" x14ac:dyDescent="0.2">
      <c r="A1891" t="s">
        <v>2867</v>
      </c>
      <c r="B1891" s="1">
        <v>46058</v>
      </c>
      <c r="C1891" t="s">
        <v>24</v>
      </c>
      <c r="D1891" t="s">
        <v>100</v>
      </c>
      <c r="E1891" t="s">
        <v>26</v>
      </c>
      <c r="F1891" t="s">
        <v>114</v>
      </c>
      <c r="G1891" t="s">
        <v>115</v>
      </c>
      <c r="H1891" t="s">
        <v>115</v>
      </c>
      <c r="I1891" t="s">
        <v>64</v>
      </c>
      <c r="J1891" t="s">
        <v>7029</v>
      </c>
      <c r="K1891" t="s">
        <v>91</v>
      </c>
      <c r="L1891" t="s">
        <v>33</v>
      </c>
      <c r="M1891" t="s">
        <v>34</v>
      </c>
      <c r="N1891" t="s">
        <v>35</v>
      </c>
      <c r="O1891" t="s">
        <v>70</v>
      </c>
      <c r="P1891" t="s">
        <v>58</v>
      </c>
      <c r="Q1891" t="s">
        <v>240</v>
      </c>
      <c r="R1891">
        <v>260</v>
      </c>
      <c r="S1891">
        <v>137</v>
      </c>
      <c r="T1891">
        <v>93</v>
      </c>
      <c r="U1891">
        <v>40</v>
      </c>
      <c r="V1891" t="s">
        <v>6862</v>
      </c>
      <c r="W1891">
        <v>57847</v>
      </c>
      <c r="X1891" t="s">
        <v>7166</v>
      </c>
      <c r="Y1891">
        <v>42073</v>
      </c>
      <c r="Z1891">
        <v>2313880</v>
      </c>
      <c r="AA1891">
        <v>630960</v>
      </c>
      <c r="AB1891" t="str">
        <f>(VLOOKUP(SalesData[[#This Row],[Month Number]],Reference!C$5:E$16,2,FALSE))</f>
        <v>Feb</v>
      </c>
      <c r="AC1891">
        <f>MONTH(SalesData[[#This Row],[Date]])</f>
        <v>2</v>
      </c>
      <c r="AD1891">
        <f>Reference!F$4</f>
        <v>2026</v>
      </c>
      <c r="AE1891" t="str">
        <f>IF(OR(SalesData[[#This Row],[Day]]="Saturday",SalesData[[#This Row],[Day]]="Sunday"),"Weekend","Weekday")</f>
        <v>Weekday</v>
      </c>
      <c r="AF1891" s="5">
        <f>IF(SalesData[[#This Row],[Contracts Offered]]=0,0,SalesData[[#This Row],[Contracts Signed]]/SalesData[[#This Row],[Contracts Offered]])</f>
        <v>0.43010752688172044</v>
      </c>
      <c r="AG1891" s="5">
        <f>IF(SalesData[[#This Row],[Customers Visited]]=0,0,SalesData[[#This Row],[Test Drives]]/SalesData[[#This Row],[Customers Visited]])</f>
        <v>0.52692307692307694</v>
      </c>
      <c r="AH1891" s="5">
        <f>IF(SalesData[[#This Row],[Customers Visited]]=0,0,SalesData[[#This Row],[Contracts Signed]]/SalesData[[#This Row],[Customers Visited]])</f>
        <v>0.15384615384615385</v>
      </c>
      <c r="AI1891" s="6">
        <f>IF(SalesData[[#This Row],[Contracts Signed]]=0,0,SalesData[[#This Row],[Profit(€)]]/SalesData[[#This Row],[Contracts Signed]])</f>
        <v>15774</v>
      </c>
      <c r="AJ1891" s="5" t="str">
        <f>TRIM(CLEAN(SalesData[[#This Row],[Retailer]]))</f>
        <v>Elbe Drive</v>
      </c>
    </row>
    <row r="1892" spans="1:36" ht="14.25" x14ac:dyDescent="0.2">
      <c r="A1892" t="s">
        <v>2868</v>
      </c>
      <c r="B1892" s="1">
        <v>46055</v>
      </c>
      <c r="C1892" t="s">
        <v>24</v>
      </c>
      <c r="D1892" t="s">
        <v>25</v>
      </c>
      <c r="E1892" t="s">
        <v>26</v>
      </c>
      <c r="F1892" t="s">
        <v>114</v>
      </c>
      <c r="G1892" t="s">
        <v>115</v>
      </c>
      <c r="H1892" t="s">
        <v>115</v>
      </c>
      <c r="I1892" t="s">
        <v>30</v>
      </c>
      <c r="J1892" t="s">
        <v>188</v>
      </c>
      <c r="K1892" t="s">
        <v>32</v>
      </c>
      <c r="L1892" t="s">
        <v>33</v>
      </c>
      <c r="M1892" t="s">
        <v>34</v>
      </c>
      <c r="N1892" t="s">
        <v>48</v>
      </c>
      <c r="O1892" t="s">
        <v>70</v>
      </c>
      <c r="P1892" t="s">
        <v>37</v>
      </c>
      <c r="Q1892" t="s">
        <v>172</v>
      </c>
      <c r="R1892">
        <v>257</v>
      </c>
      <c r="S1892">
        <v>119</v>
      </c>
      <c r="T1892">
        <v>94</v>
      </c>
      <c r="U1892">
        <v>33</v>
      </c>
      <c r="V1892" t="s">
        <v>6373</v>
      </c>
      <c r="W1892">
        <v>69731</v>
      </c>
      <c r="X1892" t="s">
        <v>7103</v>
      </c>
      <c r="Y1892">
        <v>50362</v>
      </c>
      <c r="Z1892">
        <v>2301123</v>
      </c>
      <c r="AA1892">
        <v>639177</v>
      </c>
      <c r="AB1892" t="str">
        <f>(VLOOKUP(SalesData[[#This Row],[Month Number]],Reference!C$5:E$16,2,FALSE))</f>
        <v>Feb</v>
      </c>
      <c r="AC1892">
        <f>MONTH(SalesData[[#This Row],[Date]])</f>
        <v>2</v>
      </c>
      <c r="AD1892">
        <f>Reference!F$4</f>
        <v>2026</v>
      </c>
      <c r="AE1892" t="str">
        <f>IF(OR(SalesData[[#This Row],[Day]]="Saturday",SalesData[[#This Row],[Day]]="Sunday"),"Weekend","Weekday")</f>
        <v>Weekday</v>
      </c>
      <c r="AF1892" s="5">
        <f>IF(SalesData[[#This Row],[Contracts Offered]]=0,0,SalesData[[#This Row],[Contracts Signed]]/SalesData[[#This Row],[Contracts Offered]])</f>
        <v>0.35106382978723405</v>
      </c>
      <c r="AG1892" s="5">
        <f>IF(SalesData[[#This Row],[Customers Visited]]=0,0,SalesData[[#This Row],[Test Drives]]/SalesData[[#This Row],[Customers Visited]])</f>
        <v>0.46303501945525294</v>
      </c>
      <c r="AH1892" s="5">
        <f>IF(SalesData[[#This Row],[Customers Visited]]=0,0,SalesData[[#This Row],[Contracts Signed]]/SalesData[[#This Row],[Customers Visited]])</f>
        <v>0.12840466926070038</v>
      </c>
      <c r="AI1892" s="6">
        <f>IF(SalesData[[#This Row],[Contracts Signed]]=0,0,SalesData[[#This Row],[Profit(€)]]/SalesData[[#This Row],[Contracts Signed]])</f>
        <v>19369</v>
      </c>
      <c r="AJ1892" s="5" t="str">
        <f>TRIM(CLEAN(SalesData[[#This Row],[Retailer]]))</f>
        <v>Elbe Drive</v>
      </c>
    </row>
    <row r="1893" spans="1:36" ht="14.25" hidden="1" x14ac:dyDescent="0.2">
      <c r="A1893" t="s">
        <v>2869</v>
      </c>
      <c r="B1893" s="1">
        <v>46067</v>
      </c>
      <c r="C1893" t="s">
        <v>121</v>
      </c>
      <c r="D1893" t="s">
        <v>151</v>
      </c>
      <c r="E1893" t="s">
        <v>42</v>
      </c>
      <c r="F1893" t="s">
        <v>74</v>
      </c>
      <c r="G1893" t="s">
        <v>75</v>
      </c>
      <c r="H1893" t="s">
        <v>76</v>
      </c>
      <c r="I1893" t="s">
        <v>116</v>
      </c>
      <c r="J1893" t="s">
        <v>7090</v>
      </c>
      <c r="K1893" t="s">
        <v>66</v>
      </c>
      <c r="L1893" t="s">
        <v>46</v>
      </c>
      <c r="M1893" t="s">
        <v>68</v>
      </c>
      <c r="N1893" t="s">
        <v>69</v>
      </c>
      <c r="O1893" t="s">
        <v>70</v>
      </c>
      <c r="P1893" t="s">
        <v>71</v>
      </c>
      <c r="Q1893" t="s">
        <v>167</v>
      </c>
      <c r="R1893">
        <v>345</v>
      </c>
      <c r="S1893">
        <v>186</v>
      </c>
      <c r="T1893">
        <v>108</v>
      </c>
      <c r="U1893">
        <v>29</v>
      </c>
      <c r="V1893" t="s">
        <v>4081</v>
      </c>
      <c r="W1893">
        <v>24581</v>
      </c>
      <c r="X1893" t="s">
        <v>636</v>
      </c>
      <c r="Y1893">
        <v>21964</v>
      </c>
      <c r="Z1893">
        <v>712849</v>
      </c>
      <c r="AA1893">
        <v>75893</v>
      </c>
      <c r="AB1893" t="str">
        <f>(VLOOKUP(SalesData[[#This Row],[Month Number]],Reference!C$5:E$16,2,FALSE))</f>
        <v>Feb</v>
      </c>
      <c r="AC1893">
        <f>MONTH(SalesData[[#This Row],[Date]])</f>
        <v>2</v>
      </c>
      <c r="AD1893">
        <f>Reference!F$4</f>
        <v>2026</v>
      </c>
      <c r="AE1893" t="str">
        <f>IF(OR(SalesData[[#This Row],[Day]]="Saturday",SalesData[[#This Row],[Day]]="Sunday"),"Weekend","Weekday")</f>
        <v>Weekend</v>
      </c>
      <c r="AF1893" s="5">
        <f>IF(SalesData[[#This Row],[Contracts Offered]]=0,0,SalesData[[#This Row],[Contracts Signed]]/SalesData[[#This Row],[Contracts Offered]])</f>
        <v>0.26851851851851855</v>
      </c>
      <c r="AG1893" s="5">
        <f>IF(SalesData[[#This Row],[Customers Visited]]=0,0,SalesData[[#This Row],[Test Drives]]/SalesData[[#This Row],[Customers Visited]])</f>
        <v>0.53913043478260869</v>
      </c>
      <c r="AH1893" s="5">
        <f>IF(SalesData[[#This Row],[Customers Visited]]=0,0,SalesData[[#This Row],[Contracts Signed]]/SalesData[[#This Row],[Customers Visited]])</f>
        <v>8.4057971014492749E-2</v>
      </c>
      <c r="AI1893" s="6">
        <f>IF(SalesData[[#This Row],[Contracts Signed]]=0,0,SalesData[[#This Row],[Profit(€)]]/SalesData[[#This Row],[Contracts Signed]])</f>
        <v>2617</v>
      </c>
      <c r="AJ1893" s="5" t="str">
        <f>TRIM(CLEAN(SalesData[[#This Row],[Retailer]]))</f>
        <v>Stuttgart Auto Center</v>
      </c>
    </row>
    <row r="1894" spans="1:36" ht="14.25" hidden="1" x14ac:dyDescent="0.2">
      <c r="A1894" t="s">
        <v>2870</v>
      </c>
      <c r="B1894" s="1">
        <v>46066</v>
      </c>
      <c r="C1894" t="s">
        <v>121</v>
      </c>
      <c r="D1894" t="s">
        <v>54</v>
      </c>
      <c r="E1894" t="s">
        <v>26</v>
      </c>
      <c r="F1894" t="s">
        <v>114</v>
      </c>
      <c r="G1894" t="s">
        <v>115</v>
      </c>
      <c r="H1894" t="s">
        <v>115</v>
      </c>
      <c r="I1894" t="s">
        <v>104</v>
      </c>
      <c r="J1894" t="s">
        <v>7061</v>
      </c>
      <c r="K1894" t="s">
        <v>32</v>
      </c>
      <c r="L1894" t="s">
        <v>46</v>
      </c>
      <c r="M1894" t="s">
        <v>68</v>
      </c>
      <c r="N1894" t="s">
        <v>69</v>
      </c>
      <c r="O1894" t="s">
        <v>36</v>
      </c>
      <c r="P1894" t="s">
        <v>58</v>
      </c>
      <c r="Q1894" t="s">
        <v>240</v>
      </c>
      <c r="R1894">
        <v>456</v>
      </c>
      <c r="S1894">
        <v>230</v>
      </c>
      <c r="T1894">
        <v>151</v>
      </c>
      <c r="U1894">
        <v>43</v>
      </c>
      <c r="V1894" t="s">
        <v>3598</v>
      </c>
      <c r="W1894">
        <v>32875</v>
      </c>
      <c r="X1894" t="s">
        <v>2161</v>
      </c>
      <c r="Y1894">
        <v>28992</v>
      </c>
      <c r="Z1894">
        <v>1413625</v>
      </c>
      <c r="AA1894">
        <v>166969</v>
      </c>
      <c r="AB1894" t="str">
        <f>(VLOOKUP(SalesData[[#This Row],[Month Number]],Reference!C$5:E$16,2,FALSE))</f>
        <v>Feb</v>
      </c>
      <c r="AC1894">
        <f>MONTH(SalesData[[#This Row],[Date]])</f>
        <v>2</v>
      </c>
      <c r="AD1894">
        <f>Reference!F$4</f>
        <v>2026</v>
      </c>
      <c r="AE1894" t="str">
        <f>IF(OR(SalesData[[#This Row],[Day]]="Saturday",SalesData[[#This Row],[Day]]="Sunday"),"Weekend","Weekday")</f>
        <v>Weekday</v>
      </c>
      <c r="AF1894" s="5">
        <f>IF(SalesData[[#This Row],[Contracts Offered]]=0,0,SalesData[[#This Row],[Contracts Signed]]/SalesData[[#This Row],[Contracts Offered]])</f>
        <v>0.28476821192052981</v>
      </c>
      <c r="AG1894" s="5">
        <f>IF(SalesData[[#This Row],[Customers Visited]]=0,0,SalesData[[#This Row],[Test Drives]]/SalesData[[#This Row],[Customers Visited]])</f>
        <v>0.50438596491228072</v>
      </c>
      <c r="AH1894" s="5">
        <f>IF(SalesData[[#This Row],[Customers Visited]]=0,0,SalesData[[#This Row],[Contracts Signed]]/SalesData[[#This Row],[Customers Visited]])</f>
        <v>9.4298245614035089E-2</v>
      </c>
      <c r="AI1894" s="6">
        <f>IF(SalesData[[#This Row],[Contracts Signed]]=0,0,SalesData[[#This Row],[Profit(€)]]/SalesData[[#This Row],[Contracts Signed]])</f>
        <v>3883</v>
      </c>
      <c r="AJ1894" s="5" t="str">
        <f>TRIM(CLEAN(SalesData[[#This Row],[Retailer]]))</f>
        <v>Elbe Drive</v>
      </c>
    </row>
    <row r="1895" spans="1:36" ht="14.25" x14ac:dyDescent="0.2">
      <c r="A1895" t="s">
        <v>2871</v>
      </c>
      <c r="B1895" s="1">
        <v>46056</v>
      </c>
      <c r="C1895" t="s">
        <v>24</v>
      </c>
      <c r="D1895" t="s">
        <v>63</v>
      </c>
      <c r="E1895" t="s">
        <v>26</v>
      </c>
      <c r="F1895" t="s">
        <v>27</v>
      </c>
      <c r="G1895" t="s">
        <v>28</v>
      </c>
      <c r="H1895" t="s">
        <v>29</v>
      </c>
      <c r="I1895" t="s">
        <v>30</v>
      </c>
      <c r="J1895" t="s">
        <v>7075</v>
      </c>
      <c r="K1895" t="s">
        <v>32</v>
      </c>
      <c r="L1895" t="s">
        <v>33</v>
      </c>
      <c r="M1895" t="s">
        <v>34</v>
      </c>
      <c r="N1895" t="s">
        <v>69</v>
      </c>
      <c r="O1895" t="s">
        <v>70</v>
      </c>
      <c r="P1895" t="s">
        <v>58</v>
      </c>
      <c r="Q1895" t="s">
        <v>129</v>
      </c>
      <c r="R1895">
        <v>262</v>
      </c>
      <c r="S1895">
        <v>133</v>
      </c>
      <c r="T1895">
        <v>91</v>
      </c>
      <c r="U1895">
        <v>40</v>
      </c>
      <c r="V1895" t="s">
        <v>7492</v>
      </c>
      <c r="W1895">
        <v>50393</v>
      </c>
      <c r="X1895" t="s">
        <v>4831</v>
      </c>
      <c r="Y1895">
        <v>37122</v>
      </c>
      <c r="Z1895">
        <v>2015720</v>
      </c>
      <c r="AA1895">
        <v>530840</v>
      </c>
      <c r="AB1895" t="str">
        <f>(VLOOKUP(SalesData[[#This Row],[Month Number]],Reference!C$5:E$16,2,FALSE))</f>
        <v>Feb</v>
      </c>
      <c r="AC1895">
        <f>MONTH(SalesData[[#This Row],[Date]])</f>
        <v>2</v>
      </c>
      <c r="AD1895">
        <f>Reference!F$4</f>
        <v>2026</v>
      </c>
      <c r="AE1895" t="str">
        <f>IF(OR(SalesData[[#This Row],[Day]]="Saturday",SalesData[[#This Row],[Day]]="Sunday"),"Weekend","Weekday")</f>
        <v>Weekday</v>
      </c>
      <c r="AF1895" s="5">
        <f>IF(SalesData[[#This Row],[Contracts Offered]]=0,0,SalesData[[#This Row],[Contracts Signed]]/SalesData[[#This Row],[Contracts Offered]])</f>
        <v>0.43956043956043955</v>
      </c>
      <c r="AG1895" s="5">
        <f>IF(SalesData[[#This Row],[Customers Visited]]=0,0,SalesData[[#This Row],[Test Drives]]/SalesData[[#This Row],[Customers Visited]])</f>
        <v>0.50763358778625955</v>
      </c>
      <c r="AH1895" s="5">
        <f>IF(SalesData[[#This Row],[Customers Visited]]=0,0,SalesData[[#This Row],[Contracts Signed]]/SalesData[[#This Row],[Customers Visited]])</f>
        <v>0.15267175572519084</v>
      </c>
      <c r="AI1895" s="6">
        <f>IF(SalesData[[#This Row],[Contracts Signed]]=0,0,SalesData[[#This Row],[Profit(€)]]/SalesData[[#This Row],[Contracts Signed]])</f>
        <v>13271</v>
      </c>
      <c r="AJ1895" s="5" t="str">
        <f>TRIM(CLEAN(SalesData[[#This Row],[Retailer]]))</f>
        <v>Main Auto Hub</v>
      </c>
    </row>
    <row r="1896" spans="1:36" ht="14.25" hidden="1" x14ac:dyDescent="0.2">
      <c r="A1896" t="s">
        <v>2872</v>
      </c>
      <c r="B1896" s="1">
        <v>46075</v>
      </c>
      <c r="C1896" t="s">
        <v>53</v>
      </c>
      <c r="D1896" t="s">
        <v>41</v>
      </c>
      <c r="E1896" t="s">
        <v>42</v>
      </c>
      <c r="F1896" t="s">
        <v>74</v>
      </c>
      <c r="G1896" t="s">
        <v>75</v>
      </c>
      <c r="H1896" t="s">
        <v>76</v>
      </c>
      <c r="I1896" t="s">
        <v>116</v>
      </c>
      <c r="J1896" t="s">
        <v>203</v>
      </c>
      <c r="K1896" t="s">
        <v>78</v>
      </c>
      <c r="L1896" t="s">
        <v>67</v>
      </c>
      <c r="M1896" t="s">
        <v>87</v>
      </c>
      <c r="N1896" t="s">
        <v>48</v>
      </c>
      <c r="O1896" t="s">
        <v>36</v>
      </c>
      <c r="P1896" t="s">
        <v>49</v>
      </c>
      <c r="Q1896" t="s">
        <v>79</v>
      </c>
      <c r="R1896">
        <v>348</v>
      </c>
      <c r="S1896">
        <v>164</v>
      </c>
      <c r="T1896">
        <v>113</v>
      </c>
      <c r="U1896">
        <v>27</v>
      </c>
      <c r="V1896" t="s">
        <v>618</v>
      </c>
      <c r="W1896">
        <v>21314</v>
      </c>
      <c r="X1896" t="s">
        <v>194</v>
      </c>
      <c r="Y1896">
        <v>18973</v>
      </c>
      <c r="Z1896">
        <v>575478</v>
      </c>
      <c r="AA1896">
        <v>63207</v>
      </c>
      <c r="AB1896" t="str">
        <f>(VLOOKUP(SalesData[[#This Row],[Month Number]],Reference!C$5:E$16,2,FALSE))</f>
        <v>Feb</v>
      </c>
      <c r="AC1896">
        <f>MONTH(SalesData[[#This Row],[Date]])</f>
        <v>2</v>
      </c>
      <c r="AD1896">
        <f>Reference!F$4</f>
        <v>2026</v>
      </c>
      <c r="AE1896" t="str">
        <f>IF(OR(SalesData[[#This Row],[Day]]="Saturday",SalesData[[#This Row],[Day]]="Sunday"),"Weekend","Weekday")</f>
        <v>Weekend</v>
      </c>
      <c r="AF1896" s="5">
        <f>IF(SalesData[[#This Row],[Contracts Offered]]=0,0,SalesData[[#This Row],[Contracts Signed]]/SalesData[[#This Row],[Contracts Offered]])</f>
        <v>0.23893805309734514</v>
      </c>
      <c r="AG1896" s="5">
        <f>IF(SalesData[[#This Row],[Customers Visited]]=0,0,SalesData[[#This Row],[Test Drives]]/SalesData[[#This Row],[Customers Visited]])</f>
        <v>0.47126436781609193</v>
      </c>
      <c r="AH1896" s="5">
        <f>IF(SalesData[[#This Row],[Customers Visited]]=0,0,SalesData[[#This Row],[Contracts Signed]]/SalesData[[#This Row],[Customers Visited]])</f>
        <v>7.7586206896551727E-2</v>
      </c>
      <c r="AI1896" s="6">
        <f>IF(SalesData[[#This Row],[Contracts Signed]]=0,0,SalesData[[#This Row],[Profit(€)]]/SalesData[[#This Row],[Contracts Signed]])</f>
        <v>2341</v>
      </c>
      <c r="AJ1896" s="5" t="str">
        <f>TRIM(CLEAN(SalesData[[#This Row],[Retailer]]))</f>
        <v>Stuttgart Auto Center</v>
      </c>
    </row>
    <row r="1897" spans="1:36" ht="14.25" hidden="1" x14ac:dyDescent="0.2">
      <c r="A1897" t="s">
        <v>2873</v>
      </c>
      <c r="B1897" s="1">
        <v>46078</v>
      </c>
      <c r="C1897" t="s">
        <v>53</v>
      </c>
      <c r="D1897" t="s">
        <v>82</v>
      </c>
      <c r="E1897" t="s">
        <v>26</v>
      </c>
      <c r="F1897" t="s">
        <v>7649</v>
      </c>
      <c r="G1897" t="s">
        <v>55</v>
      </c>
      <c r="H1897" t="s">
        <v>55</v>
      </c>
      <c r="I1897" t="s">
        <v>56</v>
      </c>
      <c r="J1897" t="s">
        <v>97</v>
      </c>
      <c r="K1897" t="s">
        <v>78</v>
      </c>
      <c r="L1897" t="s">
        <v>33</v>
      </c>
      <c r="M1897" t="s">
        <v>34</v>
      </c>
      <c r="N1897" t="s">
        <v>35</v>
      </c>
      <c r="O1897" t="s">
        <v>36</v>
      </c>
      <c r="P1897" t="s">
        <v>49</v>
      </c>
      <c r="Q1897" t="s">
        <v>144</v>
      </c>
      <c r="R1897">
        <v>260</v>
      </c>
      <c r="S1897">
        <v>123</v>
      </c>
      <c r="T1897">
        <v>90</v>
      </c>
      <c r="U1897">
        <v>29</v>
      </c>
      <c r="V1897" t="s">
        <v>6463</v>
      </c>
      <c r="W1897">
        <v>52022</v>
      </c>
      <c r="X1897" t="s">
        <v>7316</v>
      </c>
      <c r="Y1897">
        <v>41705</v>
      </c>
      <c r="Z1897">
        <v>1508638</v>
      </c>
      <c r="AA1897">
        <v>299193</v>
      </c>
      <c r="AB1897" t="str">
        <f>(VLOOKUP(SalesData[[#This Row],[Month Number]],Reference!C$5:E$16,2,FALSE))</f>
        <v>Feb</v>
      </c>
      <c r="AC1897">
        <f>MONTH(SalesData[[#This Row],[Date]])</f>
        <v>2</v>
      </c>
      <c r="AD1897">
        <f>Reference!F$4</f>
        <v>2026</v>
      </c>
      <c r="AE1897" t="str">
        <f>IF(OR(SalesData[[#This Row],[Day]]="Saturday",SalesData[[#This Row],[Day]]="Sunday"),"Weekend","Weekday")</f>
        <v>Weekday</v>
      </c>
      <c r="AF1897" s="5">
        <f>IF(SalesData[[#This Row],[Contracts Offered]]=0,0,SalesData[[#This Row],[Contracts Signed]]/SalesData[[#This Row],[Contracts Offered]])</f>
        <v>0.32222222222222224</v>
      </c>
      <c r="AG1897" s="5">
        <f>IF(SalesData[[#This Row],[Customers Visited]]=0,0,SalesData[[#This Row],[Test Drives]]/SalesData[[#This Row],[Customers Visited]])</f>
        <v>0.47307692307692306</v>
      </c>
      <c r="AH1897" s="5">
        <f>IF(SalesData[[#This Row],[Customers Visited]]=0,0,SalesData[[#This Row],[Contracts Signed]]/SalesData[[#This Row],[Customers Visited]])</f>
        <v>0.11153846153846154</v>
      </c>
      <c r="AI1897" s="6">
        <f>IF(SalesData[[#This Row],[Contracts Signed]]=0,0,SalesData[[#This Row],[Profit(€)]]/SalesData[[#This Row],[Contracts Signed]])</f>
        <v>10317</v>
      </c>
      <c r="AJ1897" s="5" t="str">
        <f>TRIM(CLEAN(SalesData[[#This Row],[Retailer]]))</f>
        <v>Autohaus Berlin</v>
      </c>
    </row>
    <row r="1898" spans="1:36" ht="14.25" hidden="1" x14ac:dyDescent="0.2">
      <c r="A1898" t="s">
        <v>2874</v>
      </c>
      <c r="B1898" s="1">
        <v>46073</v>
      </c>
      <c r="C1898" t="s">
        <v>62</v>
      </c>
      <c r="D1898" t="s">
        <v>54</v>
      </c>
      <c r="E1898" t="s">
        <v>26</v>
      </c>
      <c r="F1898" t="s">
        <v>74</v>
      </c>
      <c r="G1898" t="s">
        <v>75</v>
      </c>
      <c r="H1898" t="s">
        <v>76</v>
      </c>
      <c r="I1898" t="s">
        <v>64</v>
      </c>
      <c r="J1898" t="s">
        <v>157</v>
      </c>
      <c r="K1898" t="s">
        <v>91</v>
      </c>
      <c r="L1898" t="s">
        <v>33</v>
      </c>
      <c r="M1898" t="s">
        <v>87</v>
      </c>
      <c r="N1898" t="s">
        <v>69</v>
      </c>
      <c r="O1898" t="s">
        <v>36</v>
      </c>
      <c r="P1898" t="s">
        <v>37</v>
      </c>
      <c r="Q1898" t="s">
        <v>122</v>
      </c>
      <c r="R1898">
        <v>229</v>
      </c>
      <c r="S1898">
        <v>133</v>
      </c>
      <c r="T1898">
        <v>90</v>
      </c>
      <c r="U1898">
        <v>36</v>
      </c>
      <c r="V1898" t="s">
        <v>6881</v>
      </c>
      <c r="W1898">
        <v>68481</v>
      </c>
      <c r="X1898" t="s">
        <v>7214</v>
      </c>
      <c r="Y1898">
        <v>50385</v>
      </c>
      <c r="Z1898">
        <v>2465316</v>
      </c>
      <c r="AA1898">
        <v>651456</v>
      </c>
      <c r="AB1898" t="str">
        <f>(VLOOKUP(SalesData[[#This Row],[Month Number]],Reference!C$5:E$16,2,FALSE))</f>
        <v>Feb</v>
      </c>
      <c r="AC1898">
        <f>MONTH(SalesData[[#This Row],[Date]])</f>
        <v>2</v>
      </c>
      <c r="AD1898">
        <f>Reference!F$4</f>
        <v>2026</v>
      </c>
      <c r="AE1898" t="str">
        <f>IF(OR(SalesData[[#This Row],[Day]]="Saturday",SalesData[[#This Row],[Day]]="Sunday"),"Weekend","Weekday")</f>
        <v>Weekday</v>
      </c>
      <c r="AF1898" s="5">
        <f>IF(SalesData[[#This Row],[Contracts Offered]]=0,0,SalesData[[#This Row],[Contracts Signed]]/SalesData[[#This Row],[Contracts Offered]])</f>
        <v>0.4</v>
      </c>
      <c r="AG1898" s="5">
        <f>IF(SalesData[[#This Row],[Customers Visited]]=0,0,SalesData[[#This Row],[Test Drives]]/SalesData[[#This Row],[Customers Visited]])</f>
        <v>0.58078602620087338</v>
      </c>
      <c r="AH1898" s="5">
        <f>IF(SalesData[[#This Row],[Customers Visited]]=0,0,SalesData[[#This Row],[Contracts Signed]]/SalesData[[#This Row],[Customers Visited]])</f>
        <v>0.15720524017467249</v>
      </c>
      <c r="AI1898" s="6">
        <f>IF(SalesData[[#This Row],[Contracts Signed]]=0,0,SalesData[[#This Row],[Profit(€)]]/SalesData[[#This Row],[Contracts Signed]])</f>
        <v>18096</v>
      </c>
      <c r="AJ1898" s="5" t="str">
        <f>TRIM(CLEAN(SalesData[[#This Row],[Retailer]]))</f>
        <v>Stuttgart Auto Center</v>
      </c>
    </row>
    <row r="1899" spans="1:36" ht="14.25" hidden="1" x14ac:dyDescent="0.2">
      <c r="A1899" t="s">
        <v>2876</v>
      </c>
      <c r="B1899" s="1">
        <v>46080</v>
      </c>
      <c r="C1899" t="s">
        <v>53</v>
      </c>
      <c r="D1899" t="s">
        <v>54</v>
      </c>
      <c r="E1899" t="s">
        <v>26</v>
      </c>
      <c r="F1899" t="s">
        <v>43</v>
      </c>
      <c r="G1899" t="s">
        <v>44</v>
      </c>
      <c r="H1899" t="s">
        <v>45</v>
      </c>
      <c r="I1899" t="s">
        <v>104</v>
      </c>
      <c r="J1899" t="s">
        <v>143</v>
      </c>
      <c r="K1899" t="s">
        <v>91</v>
      </c>
      <c r="L1899" t="s">
        <v>67</v>
      </c>
      <c r="M1899" t="s">
        <v>34</v>
      </c>
      <c r="N1899" t="s">
        <v>48</v>
      </c>
      <c r="O1899" t="s">
        <v>70</v>
      </c>
      <c r="P1899" t="s">
        <v>58</v>
      </c>
      <c r="Q1899" t="s">
        <v>135</v>
      </c>
      <c r="R1899">
        <v>454</v>
      </c>
      <c r="S1899">
        <v>228</v>
      </c>
      <c r="T1899">
        <v>151</v>
      </c>
      <c r="U1899">
        <v>41</v>
      </c>
      <c r="V1899" t="s">
        <v>2580</v>
      </c>
      <c r="W1899">
        <v>31803</v>
      </c>
      <c r="X1899" t="s">
        <v>177</v>
      </c>
      <c r="Y1899">
        <v>28151</v>
      </c>
      <c r="Z1899">
        <v>1303923</v>
      </c>
      <c r="AA1899">
        <v>149732</v>
      </c>
      <c r="AB1899" t="str">
        <f>(VLOOKUP(SalesData[[#This Row],[Month Number]],Reference!C$5:E$16,2,FALSE))</f>
        <v>Feb</v>
      </c>
      <c r="AC1899">
        <f>MONTH(SalesData[[#This Row],[Date]])</f>
        <v>2</v>
      </c>
      <c r="AD1899">
        <f>Reference!F$4</f>
        <v>2026</v>
      </c>
      <c r="AE1899" t="str">
        <f>IF(OR(SalesData[[#This Row],[Day]]="Saturday",SalesData[[#This Row],[Day]]="Sunday"),"Weekend","Weekday")</f>
        <v>Weekday</v>
      </c>
      <c r="AF1899" s="5">
        <f>IF(SalesData[[#This Row],[Contracts Offered]]=0,0,SalesData[[#This Row],[Contracts Signed]]/SalesData[[#This Row],[Contracts Offered]])</f>
        <v>0.27152317880794702</v>
      </c>
      <c r="AG1899" s="5">
        <f>IF(SalesData[[#This Row],[Customers Visited]]=0,0,SalesData[[#This Row],[Test Drives]]/SalesData[[#This Row],[Customers Visited]])</f>
        <v>0.50220264317180618</v>
      </c>
      <c r="AH1899" s="5">
        <f>IF(SalesData[[#This Row],[Customers Visited]]=0,0,SalesData[[#This Row],[Contracts Signed]]/SalesData[[#This Row],[Customers Visited]])</f>
        <v>9.0308370044052858E-2</v>
      </c>
      <c r="AI1899" s="6">
        <f>IF(SalesData[[#This Row],[Contracts Signed]]=0,0,SalesData[[#This Row],[Profit(€)]]/SalesData[[#This Row],[Contracts Signed]])</f>
        <v>3652</v>
      </c>
      <c r="AJ1899" s="5" t="str">
        <f>TRIM(CLEAN(SalesData[[#This Row],[Retailer]]))</f>
        <v>Saxon Wheels</v>
      </c>
    </row>
    <row r="1900" spans="1:36" ht="14.25" hidden="1" x14ac:dyDescent="0.2">
      <c r="A1900" t="s">
        <v>2877</v>
      </c>
      <c r="B1900" s="1">
        <v>46056</v>
      </c>
      <c r="C1900" t="s">
        <v>24</v>
      </c>
      <c r="D1900" t="s">
        <v>63</v>
      </c>
      <c r="E1900" t="s">
        <v>26</v>
      </c>
      <c r="F1900" t="s">
        <v>127</v>
      </c>
      <c r="G1900" t="s">
        <v>128</v>
      </c>
      <c r="H1900" t="s">
        <v>103</v>
      </c>
      <c r="I1900" t="s">
        <v>116</v>
      </c>
      <c r="J1900" t="s">
        <v>203</v>
      </c>
      <c r="K1900" t="s">
        <v>32</v>
      </c>
      <c r="L1900" t="s">
        <v>67</v>
      </c>
      <c r="M1900" t="s">
        <v>34</v>
      </c>
      <c r="N1900" t="s">
        <v>48</v>
      </c>
      <c r="O1900" t="s">
        <v>36</v>
      </c>
      <c r="P1900" t="s">
        <v>37</v>
      </c>
      <c r="Q1900" t="s">
        <v>59</v>
      </c>
      <c r="R1900">
        <v>236</v>
      </c>
      <c r="S1900">
        <v>101</v>
      </c>
      <c r="T1900">
        <v>61</v>
      </c>
      <c r="U1900">
        <v>14</v>
      </c>
      <c r="V1900" t="s">
        <v>4265</v>
      </c>
      <c r="W1900">
        <v>25877</v>
      </c>
      <c r="X1900" t="s">
        <v>3831</v>
      </c>
      <c r="Y1900">
        <v>24036</v>
      </c>
      <c r="Z1900">
        <v>362278</v>
      </c>
      <c r="AA1900">
        <v>25774</v>
      </c>
      <c r="AB1900" t="str">
        <f>(VLOOKUP(SalesData[[#This Row],[Month Number]],Reference!C$5:E$16,2,FALSE))</f>
        <v>Feb</v>
      </c>
      <c r="AC1900">
        <f>MONTH(SalesData[[#This Row],[Date]])</f>
        <v>2</v>
      </c>
      <c r="AD1900">
        <f>Reference!F$4</f>
        <v>2026</v>
      </c>
      <c r="AE1900" t="str">
        <f>IF(OR(SalesData[[#This Row],[Day]]="Saturday",SalesData[[#This Row],[Day]]="Sunday"),"Weekend","Weekday")</f>
        <v>Weekday</v>
      </c>
      <c r="AF1900" s="5">
        <f>IF(SalesData[[#This Row],[Contracts Offered]]=0,0,SalesData[[#This Row],[Contracts Signed]]/SalesData[[#This Row],[Contracts Offered]])</f>
        <v>0.22950819672131148</v>
      </c>
      <c r="AG1900" s="5">
        <f>IF(SalesData[[#This Row],[Customers Visited]]=0,0,SalesData[[#This Row],[Test Drives]]/SalesData[[#This Row],[Customers Visited]])</f>
        <v>0.42796610169491528</v>
      </c>
      <c r="AH1900" s="5">
        <f>IF(SalesData[[#This Row],[Customers Visited]]=0,0,SalesData[[#This Row],[Contracts Signed]]/SalesData[[#This Row],[Customers Visited]])</f>
        <v>5.9322033898305086E-2</v>
      </c>
      <c r="AI1900" s="6">
        <f>IF(SalesData[[#This Row],[Contracts Signed]]=0,0,SalesData[[#This Row],[Profit(€)]]/SalesData[[#This Row],[Contracts Signed]])</f>
        <v>1841</v>
      </c>
      <c r="AJ1900" s="5" t="str">
        <f>TRIM(CLEAN(SalesData[[#This Row],[Retailer]]))</f>
        <v>Rhein Auto Group</v>
      </c>
    </row>
    <row r="1901" spans="1:36" ht="14.25" hidden="1" x14ac:dyDescent="0.2">
      <c r="A1901" t="s">
        <v>2879</v>
      </c>
      <c r="B1901" s="1">
        <v>46076</v>
      </c>
      <c r="C1901" t="s">
        <v>53</v>
      </c>
      <c r="D1901" t="s">
        <v>25</v>
      </c>
      <c r="E1901" t="s">
        <v>26</v>
      </c>
      <c r="F1901" t="s">
        <v>83</v>
      </c>
      <c r="G1901" t="s">
        <v>84</v>
      </c>
      <c r="H1901" t="s">
        <v>85</v>
      </c>
      <c r="I1901" t="s">
        <v>116</v>
      </c>
      <c r="J1901" t="s">
        <v>132</v>
      </c>
      <c r="K1901" t="s">
        <v>66</v>
      </c>
      <c r="L1901" t="s">
        <v>46</v>
      </c>
      <c r="M1901" t="s">
        <v>34</v>
      </c>
      <c r="N1901" t="s">
        <v>48</v>
      </c>
      <c r="O1901" t="s">
        <v>70</v>
      </c>
      <c r="P1901" t="s">
        <v>49</v>
      </c>
      <c r="Q1901" t="s">
        <v>135</v>
      </c>
      <c r="R1901">
        <v>372</v>
      </c>
      <c r="S1901">
        <v>151</v>
      </c>
      <c r="T1901">
        <v>101</v>
      </c>
      <c r="U1901">
        <v>18</v>
      </c>
      <c r="V1901" t="s">
        <v>3542</v>
      </c>
      <c r="W1901">
        <v>21626</v>
      </c>
      <c r="X1901" t="s">
        <v>674</v>
      </c>
      <c r="Y1901">
        <v>19881</v>
      </c>
      <c r="Z1901">
        <v>389268</v>
      </c>
      <c r="AA1901">
        <v>31410</v>
      </c>
      <c r="AB1901" t="str">
        <f>(VLOOKUP(SalesData[[#This Row],[Month Number]],Reference!C$5:E$16,2,FALSE))</f>
        <v>Feb</v>
      </c>
      <c r="AC1901">
        <f>MONTH(SalesData[[#This Row],[Date]])</f>
        <v>2</v>
      </c>
      <c r="AD1901">
        <f>Reference!F$4</f>
        <v>2026</v>
      </c>
      <c r="AE1901" t="str">
        <f>IF(OR(SalesData[[#This Row],[Day]]="Saturday",SalesData[[#This Row],[Day]]="Sunday"),"Weekend","Weekday")</f>
        <v>Weekday</v>
      </c>
      <c r="AF1901" s="5">
        <f>IF(SalesData[[#This Row],[Contracts Offered]]=0,0,SalesData[[#This Row],[Contracts Signed]]/SalesData[[#This Row],[Contracts Offered]])</f>
        <v>0.17821782178217821</v>
      </c>
      <c r="AG1901" s="5">
        <f>IF(SalesData[[#This Row],[Customers Visited]]=0,0,SalesData[[#This Row],[Test Drives]]/SalesData[[#This Row],[Customers Visited]])</f>
        <v>0.40591397849462363</v>
      </c>
      <c r="AH1901" s="5">
        <f>IF(SalesData[[#This Row],[Customers Visited]]=0,0,SalesData[[#This Row],[Contracts Signed]]/SalesData[[#This Row],[Customers Visited]])</f>
        <v>4.8387096774193547E-2</v>
      </c>
      <c r="AI1901" s="6">
        <f>IF(SalesData[[#This Row],[Contracts Signed]]=0,0,SalesData[[#This Row],[Profit(€)]]/SalesData[[#This Row],[Contracts Signed]])</f>
        <v>1745</v>
      </c>
      <c r="AJ1901" s="5" t="str">
        <f>TRIM(CLEAN(SalesData[[#This Row],[Retailer]]))</f>
        <v>Hannover Cars</v>
      </c>
    </row>
    <row r="1902" spans="1:36" ht="14.25" hidden="1" x14ac:dyDescent="0.2">
      <c r="A1902" t="s">
        <v>2880</v>
      </c>
      <c r="B1902" s="1">
        <v>46054</v>
      </c>
      <c r="C1902" t="s">
        <v>24</v>
      </c>
      <c r="D1902" t="s">
        <v>41</v>
      </c>
      <c r="E1902" t="s">
        <v>42</v>
      </c>
      <c r="F1902" t="s">
        <v>7649</v>
      </c>
      <c r="G1902" t="s">
        <v>55</v>
      </c>
      <c r="H1902" t="s">
        <v>55</v>
      </c>
      <c r="I1902" t="s">
        <v>56</v>
      </c>
      <c r="J1902" t="s">
        <v>7028</v>
      </c>
      <c r="K1902" t="s">
        <v>66</v>
      </c>
      <c r="L1902" t="s">
        <v>46</v>
      </c>
      <c r="M1902" t="s">
        <v>68</v>
      </c>
      <c r="N1902" t="s">
        <v>35</v>
      </c>
      <c r="O1902" t="s">
        <v>70</v>
      </c>
      <c r="P1902" t="s">
        <v>37</v>
      </c>
      <c r="Q1902" t="s">
        <v>79</v>
      </c>
      <c r="R1902">
        <v>207</v>
      </c>
      <c r="S1902">
        <v>115</v>
      </c>
      <c r="T1902">
        <v>87</v>
      </c>
      <c r="U1902">
        <v>25</v>
      </c>
      <c r="V1902" t="s">
        <v>6379</v>
      </c>
      <c r="W1902">
        <v>45078</v>
      </c>
      <c r="X1902" t="s">
        <v>488</v>
      </c>
      <c r="Y1902">
        <v>35125</v>
      </c>
      <c r="Z1902">
        <v>1126950</v>
      </c>
      <c r="AA1902">
        <v>248825</v>
      </c>
      <c r="AB1902" t="str">
        <f>(VLOOKUP(SalesData[[#This Row],[Month Number]],Reference!C$5:E$16,2,FALSE))</f>
        <v>Feb</v>
      </c>
      <c r="AC1902">
        <f>MONTH(SalesData[[#This Row],[Date]])</f>
        <v>2</v>
      </c>
      <c r="AD1902">
        <f>Reference!F$4</f>
        <v>2026</v>
      </c>
      <c r="AE1902" t="str">
        <f>IF(OR(SalesData[[#This Row],[Day]]="Saturday",SalesData[[#This Row],[Day]]="Sunday"),"Weekend","Weekday")</f>
        <v>Weekend</v>
      </c>
      <c r="AF1902" s="5">
        <f>IF(SalesData[[#This Row],[Contracts Offered]]=0,0,SalesData[[#This Row],[Contracts Signed]]/SalesData[[#This Row],[Contracts Offered]])</f>
        <v>0.28735632183908044</v>
      </c>
      <c r="AG1902" s="5">
        <f>IF(SalesData[[#This Row],[Customers Visited]]=0,0,SalesData[[#This Row],[Test Drives]]/SalesData[[#This Row],[Customers Visited]])</f>
        <v>0.55555555555555558</v>
      </c>
      <c r="AH1902" s="5">
        <f>IF(SalesData[[#This Row],[Customers Visited]]=0,0,SalesData[[#This Row],[Contracts Signed]]/SalesData[[#This Row],[Customers Visited]])</f>
        <v>0.12077294685990338</v>
      </c>
      <c r="AI1902" s="6">
        <f>IF(SalesData[[#This Row],[Contracts Signed]]=0,0,SalesData[[#This Row],[Profit(€)]]/SalesData[[#This Row],[Contracts Signed]])</f>
        <v>9953</v>
      </c>
      <c r="AJ1902" s="5" t="str">
        <f>TRIM(CLEAN(SalesData[[#This Row],[Retailer]]))</f>
        <v>Autohaus Berlin</v>
      </c>
    </row>
    <row r="1903" spans="1:36" ht="14.25" hidden="1" x14ac:dyDescent="0.2">
      <c r="A1903" t="s">
        <v>2881</v>
      </c>
      <c r="B1903" s="1">
        <v>46069</v>
      </c>
      <c r="C1903" t="s">
        <v>62</v>
      </c>
      <c r="D1903" t="s">
        <v>25</v>
      </c>
      <c r="E1903" t="s">
        <v>26</v>
      </c>
      <c r="F1903" t="s">
        <v>101</v>
      </c>
      <c r="G1903" t="s">
        <v>102</v>
      </c>
      <c r="H1903" t="s">
        <v>103</v>
      </c>
      <c r="I1903" t="s">
        <v>104</v>
      </c>
      <c r="J1903" t="s">
        <v>7031</v>
      </c>
      <c r="K1903" t="s">
        <v>32</v>
      </c>
      <c r="L1903" t="s">
        <v>46</v>
      </c>
      <c r="M1903" t="s">
        <v>47</v>
      </c>
      <c r="N1903" t="s">
        <v>48</v>
      </c>
      <c r="O1903" t="s">
        <v>70</v>
      </c>
      <c r="P1903" t="s">
        <v>37</v>
      </c>
      <c r="Q1903" t="s">
        <v>129</v>
      </c>
      <c r="R1903">
        <v>333</v>
      </c>
      <c r="S1903">
        <v>166</v>
      </c>
      <c r="T1903">
        <v>106</v>
      </c>
      <c r="U1903">
        <v>24</v>
      </c>
      <c r="V1903" t="s">
        <v>1539</v>
      </c>
      <c r="W1903">
        <v>31818</v>
      </c>
      <c r="X1903" t="s">
        <v>1052</v>
      </c>
      <c r="Y1903">
        <v>28938</v>
      </c>
      <c r="Z1903">
        <v>763632</v>
      </c>
      <c r="AA1903">
        <v>69120</v>
      </c>
      <c r="AB1903" t="str">
        <f>(VLOOKUP(SalesData[[#This Row],[Month Number]],Reference!C$5:E$16,2,FALSE))</f>
        <v>Feb</v>
      </c>
      <c r="AC1903">
        <f>MONTH(SalesData[[#This Row],[Date]])</f>
        <v>2</v>
      </c>
      <c r="AD1903">
        <f>Reference!F$4</f>
        <v>2026</v>
      </c>
      <c r="AE1903" t="str">
        <f>IF(OR(SalesData[[#This Row],[Day]]="Saturday",SalesData[[#This Row],[Day]]="Sunday"),"Weekend","Weekday")</f>
        <v>Weekday</v>
      </c>
      <c r="AF1903" s="5">
        <f>IF(SalesData[[#This Row],[Contracts Offered]]=0,0,SalesData[[#This Row],[Contracts Signed]]/SalesData[[#This Row],[Contracts Offered]])</f>
        <v>0.22641509433962265</v>
      </c>
      <c r="AG1903" s="5">
        <f>IF(SalesData[[#This Row],[Customers Visited]]=0,0,SalesData[[#This Row],[Test Drives]]/SalesData[[#This Row],[Customers Visited]])</f>
        <v>0.49849849849849848</v>
      </c>
      <c r="AH1903" s="5">
        <f>IF(SalesData[[#This Row],[Customers Visited]]=0,0,SalesData[[#This Row],[Contracts Signed]]/SalesData[[#This Row],[Customers Visited]])</f>
        <v>7.2072072072072071E-2</v>
      </c>
      <c r="AI1903" s="6">
        <f>IF(SalesData[[#This Row],[Contracts Signed]]=0,0,SalesData[[#This Row],[Profit(€)]]/SalesData[[#This Row],[Contracts Signed]])</f>
        <v>2880</v>
      </c>
      <c r="AJ1903" s="5" t="str">
        <f>TRIM(CLEAN(SalesData[[#This Row],[Retailer]]))</f>
        <v>Ruhr Auto Plaza</v>
      </c>
    </row>
    <row r="1904" spans="1:36" ht="14.25" hidden="1" x14ac:dyDescent="0.2">
      <c r="A1904" t="s">
        <v>2882</v>
      </c>
      <c r="B1904" s="1">
        <v>46078</v>
      </c>
      <c r="C1904" t="s">
        <v>53</v>
      </c>
      <c r="D1904" t="s">
        <v>82</v>
      </c>
      <c r="E1904" t="s">
        <v>26</v>
      </c>
      <c r="F1904" t="s">
        <v>109</v>
      </c>
      <c r="G1904" t="s">
        <v>110</v>
      </c>
      <c r="H1904" t="s">
        <v>45</v>
      </c>
      <c r="I1904" t="s">
        <v>64</v>
      </c>
      <c r="J1904" t="s">
        <v>77</v>
      </c>
      <c r="K1904" t="s">
        <v>78</v>
      </c>
      <c r="L1904" t="s">
        <v>46</v>
      </c>
      <c r="M1904" t="s">
        <v>34</v>
      </c>
      <c r="N1904" t="s">
        <v>35</v>
      </c>
      <c r="O1904" t="s">
        <v>36</v>
      </c>
      <c r="P1904" t="s">
        <v>49</v>
      </c>
      <c r="Q1904" t="s">
        <v>158</v>
      </c>
      <c r="R1904">
        <v>170</v>
      </c>
      <c r="S1904">
        <v>94</v>
      </c>
      <c r="T1904">
        <v>64</v>
      </c>
      <c r="U1904">
        <v>22</v>
      </c>
      <c r="V1904" t="s">
        <v>6801</v>
      </c>
      <c r="W1904">
        <v>72162</v>
      </c>
      <c r="X1904" t="s">
        <v>7493</v>
      </c>
      <c r="Y1904">
        <v>52082</v>
      </c>
      <c r="Z1904">
        <v>1587564</v>
      </c>
      <c r="AA1904">
        <v>441760</v>
      </c>
      <c r="AB1904" t="str">
        <f>(VLOOKUP(SalesData[[#This Row],[Month Number]],Reference!C$5:E$16,2,FALSE))</f>
        <v>Feb</v>
      </c>
      <c r="AC1904">
        <f>MONTH(SalesData[[#This Row],[Date]])</f>
        <v>2</v>
      </c>
      <c r="AD1904">
        <f>Reference!F$4</f>
        <v>2026</v>
      </c>
      <c r="AE1904" t="str">
        <f>IF(OR(SalesData[[#This Row],[Day]]="Saturday",SalesData[[#This Row],[Day]]="Sunday"),"Weekend","Weekday")</f>
        <v>Weekday</v>
      </c>
      <c r="AF1904" s="5">
        <f>IF(SalesData[[#This Row],[Contracts Offered]]=0,0,SalesData[[#This Row],[Contracts Signed]]/SalesData[[#This Row],[Contracts Offered]])</f>
        <v>0.34375</v>
      </c>
      <c r="AG1904" s="5">
        <f>IF(SalesData[[#This Row],[Customers Visited]]=0,0,SalesData[[#This Row],[Test Drives]]/SalesData[[#This Row],[Customers Visited]])</f>
        <v>0.55294117647058827</v>
      </c>
      <c r="AH1904" s="5">
        <f>IF(SalesData[[#This Row],[Customers Visited]]=0,0,SalesData[[#This Row],[Contracts Signed]]/SalesData[[#This Row],[Customers Visited]])</f>
        <v>0.12941176470588237</v>
      </c>
      <c r="AI1904" s="6">
        <f>IF(SalesData[[#This Row],[Contracts Signed]]=0,0,SalesData[[#This Row],[Profit(€)]]/SalesData[[#This Row],[Contracts Signed]])</f>
        <v>20080</v>
      </c>
      <c r="AJ1904" s="5" t="str">
        <f>TRIM(CLEAN(SalesData[[#This Row],[Retailer]]))</f>
        <v>Leipzig Mobility</v>
      </c>
    </row>
    <row r="1905" spans="1:36" ht="14.25" hidden="1" x14ac:dyDescent="0.2">
      <c r="A1905" t="s">
        <v>2884</v>
      </c>
      <c r="B1905" s="1">
        <v>46060</v>
      </c>
      <c r="C1905" t="s">
        <v>24</v>
      </c>
      <c r="D1905" t="s">
        <v>151</v>
      </c>
      <c r="E1905" t="s">
        <v>42</v>
      </c>
      <c r="F1905" t="s">
        <v>109</v>
      </c>
      <c r="G1905" t="s">
        <v>110</v>
      </c>
      <c r="H1905" t="s">
        <v>45</v>
      </c>
      <c r="I1905" t="s">
        <v>56</v>
      </c>
      <c r="J1905" t="s">
        <v>179</v>
      </c>
      <c r="K1905" t="s">
        <v>91</v>
      </c>
      <c r="L1905" t="s">
        <v>67</v>
      </c>
      <c r="M1905" t="s">
        <v>47</v>
      </c>
      <c r="N1905" t="s">
        <v>48</v>
      </c>
      <c r="O1905" t="s">
        <v>36</v>
      </c>
      <c r="P1905" t="s">
        <v>37</v>
      </c>
      <c r="Q1905" t="s">
        <v>144</v>
      </c>
      <c r="R1905">
        <v>313</v>
      </c>
      <c r="S1905">
        <v>169</v>
      </c>
      <c r="T1905">
        <v>118</v>
      </c>
      <c r="U1905">
        <v>34</v>
      </c>
      <c r="V1905" t="s">
        <v>6884</v>
      </c>
      <c r="W1905">
        <v>52654</v>
      </c>
      <c r="X1905" t="s">
        <v>1754</v>
      </c>
      <c r="Y1905">
        <v>41588</v>
      </c>
      <c r="Z1905">
        <v>1790236</v>
      </c>
      <c r="AA1905">
        <v>376244</v>
      </c>
      <c r="AB1905" t="str">
        <f>(VLOOKUP(SalesData[[#This Row],[Month Number]],Reference!C$5:E$16,2,FALSE))</f>
        <v>Feb</v>
      </c>
      <c r="AC1905">
        <f>MONTH(SalesData[[#This Row],[Date]])</f>
        <v>2</v>
      </c>
      <c r="AD1905">
        <f>Reference!F$4</f>
        <v>2026</v>
      </c>
      <c r="AE1905" t="str">
        <f>IF(OR(SalesData[[#This Row],[Day]]="Saturday",SalesData[[#This Row],[Day]]="Sunday"),"Weekend","Weekday")</f>
        <v>Weekend</v>
      </c>
      <c r="AF1905" s="5">
        <f>IF(SalesData[[#This Row],[Contracts Offered]]=0,0,SalesData[[#This Row],[Contracts Signed]]/SalesData[[#This Row],[Contracts Offered]])</f>
        <v>0.28813559322033899</v>
      </c>
      <c r="AG1905" s="5">
        <f>IF(SalesData[[#This Row],[Customers Visited]]=0,0,SalesData[[#This Row],[Test Drives]]/SalesData[[#This Row],[Customers Visited]])</f>
        <v>0.53993610223642174</v>
      </c>
      <c r="AH1905" s="5">
        <f>IF(SalesData[[#This Row],[Customers Visited]]=0,0,SalesData[[#This Row],[Contracts Signed]]/SalesData[[#This Row],[Customers Visited]])</f>
        <v>0.10862619808306709</v>
      </c>
      <c r="AI1905" s="6">
        <f>IF(SalesData[[#This Row],[Contracts Signed]]=0,0,SalesData[[#This Row],[Profit(€)]]/SalesData[[#This Row],[Contracts Signed]])</f>
        <v>11066</v>
      </c>
      <c r="AJ1905" s="5" t="str">
        <f>TRIM(CLEAN(SalesData[[#This Row],[Retailer]]))</f>
        <v>Leipzig Mobility</v>
      </c>
    </row>
    <row r="1906" spans="1:36" ht="14.25" hidden="1" x14ac:dyDescent="0.2">
      <c r="A1906" t="s">
        <v>2885</v>
      </c>
      <c r="B1906" s="1">
        <v>46065</v>
      </c>
      <c r="C1906" t="s">
        <v>121</v>
      </c>
      <c r="D1906" t="s">
        <v>100</v>
      </c>
      <c r="E1906" t="s">
        <v>26</v>
      </c>
      <c r="F1906" t="s">
        <v>43</v>
      </c>
      <c r="G1906" t="s">
        <v>44</v>
      </c>
      <c r="H1906" t="s">
        <v>45</v>
      </c>
      <c r="I1906" t="s">
        <v>104</v>
      </c>
      <c r="J1906" t="s">
        <v>105</v>
      </c>
      <c r="K1906" t="s">
        <v>66</v>
      </c>
      <c r="L1906" t="s">
        <v>33</v>
      </c>
      <c r="M1906" t="s">
        <v>87</v>
      </c>
      <c r="N1906" t="s">
        <v>35</v>
      </c>
      <c r="O1906" t="s">
        <v>70</v>
      </c>
      <c r="P1906" t="s">
        <v>49</v>
      </c>
      <c r="Q1906" t="s">
        <v>50</v>
      </c>
      <c r="R1906">
        <v>411</v>
      </c>
      <c r="S1906">
        <v>183</v>
      </c>
      <c r="T1906">
        <v>127</v>
      </c>
      <c r="U1906">
        <v>22</v>
      </c>
      <c r="V1906" t="s">
        <v>4567</v>
      </c>
      <c r="W1906">
        <v>26807</v>
      </c>
      <c r="X1906" t="s">
        <v>1717</v>
      </c>
      <c r="Y1906">
        <v>23453</v>
      </c>
      <c r="Z1906">
        <v>589754</v>
      </c>
      <c r="AA1906">
        <v>73788</v>
      </c>
      <c r="AB1906" t="str">
        <f>(VLOOKUP(SalesData[[#This Row],[Month Number]],Reference!C$5:E$16,2,FALSE))</f>
        <v>Feb</v>
      </c>
      <c r="AC1906">
        <f>MONTH(SalesData[[#This Row],[Date]])</f>
        <v>2</v>
      </c>
      <c r="AD1906">
        <f>Reference!F$4</f>
        <v>2026</v>
      </c>
      <c r="AE1906" t="str">
        <f>IF(OR(SalesData[[#This Row],[Day]]="Saturday",SalesData[[#This Row],[Day]]="Sunday"),"Weekend","Weekday")</f>
        <v>Weekday</v>
      </c>
      <c r="AF1906" s="5">
        <f>IF(SalesData[[#This Row],[Contracts Offered]]=0,0,SalesData[[#This Row],[Contracts Signed]]/SalesData[[#This Row],[Contracts Offered]])</f>
        <v>0.17322834645669291</v>
      </c>
      <c r="AG1906" s="5">
        <f>IF(SalesData[[#This Row],[Customers Visited]]=0,0,SalesData[[#This Row],[Test Drives]]/SalesData[[#This Row],[Customers Visited]])</f>
        <v>0.44525547445255476</v>
      </c>
      <c r="AH1906" s="5">
        <f>IF(SalesData[[#This Row],[Customers Visited]]=0,0,SalesData[[#This Row],[Contracts Signed]]/SalesData[[#This Row],[Customers Visited]])</f>
        <v>5.3527980535279802E-2</v>
      </c>
      <c r="AI1906" s="6">
        <f>IF(SalesData[[#This Row],[Contracts Signed]]=0,0,SalesData[[#This Row],[Profit(€)]]/SalesData[[#This Row],[Contracts Signed]])</f>
        <v>3354</v>
      </c>
      <c r="AJ1906" s="5" t="str">
        <f>TRIM(CLEAN(SalesData[[#This Row],[Retailer]]))</f>
        <v>Saxon Wheels</v>
      </c>
    </row>
    <row r="1907" spans="1:36" ht="14.25" hidden="1" x14ac:dyDescent="0.2">
      <c r="A1907" t="s">
        <v>2886</v>
      </c>
      <c r="B1907" s="1">
        <v>46078</v>
      </c>
      <c r="C1907" t="s">
        <v>53</v>
      </c>
      <c r="D1907" t="s">
        <v>82</v>
      </c>
      <c r="E1907" t="s">
        <v>26</v>
      </c>
      <c r="F1907" t="s">
        <v>109</v>
      </c>
      <c r="G1907" t="s">
        <v>110</v>
      </c>
      <c r="H1907" t="s">
        <v>45</v>
      </c>
      <c r="I1907" t="s">
        <v>116</v>
      </c>
      <c r="J1907" t="s">
        <v>132</v>
      </c>
      <c r="K1907" t="s">
        <v>66</v>
      </c>
      <c r="L1907" t="s">
        <v>46</v>
      </c>
      <c r="M1907" t="s">
        <v>47</v>
      </c>
      <c r="N1907" t="s">
        <v>35</v>
      </c>
      <c r="O1907" t="s">
        <v>70</v>
      </c>
      <c r="P1907" t="s">
        <v>49</v>
      </c>
      <c r="Q1907" t="s">
        <v>144</v>
      </c>
      <c r="R1907">
        <v>384</v>
      </c>
      <c r="S1907">
        <v>201</v>
      </c>
      <c r="T1907">
        <v>122</v>
      </c>
      <c r="U1907">
        <v>30</v>
      </c>
      <c r="V1907" t="s">
        <v>327</v>
      </c>
      <c r="W1907">
        <v>20062</v>
      </c>
      <c r="X1907" t="s">
        <v>7023</v>
      </c>
      <c r="Y1907">
        <v>18519</v>
      </c>
      <c r="Z1907">
        <v>601860</v>
      </c>
      <c r="AA1907">
        <v>46290</v>
      </c>
      <c r="AB1907" t="str">
        <f>(VLOOKUP(SalesData[[#This Row],[Month Number]],Reference!C$5:E$16,2,FALSE))</f>
        <v>Feb</v>
      </c>
      <c r="AC1907">
        <f>MONTH(SalesData[[#This Row],[Date]])</f>
        <v>2</v>
      </c>
      <c r="AD1907">
        <f>Reference!F$4</f>
        <v>2026</v>
      </c>
      <c r="AE1907" t="str">
        <f>IF(OR(SalesData[[#This Row],[Day]]="Saturday",SalesData[[#This Row],[Day]]="Sunday"),"Weekend","Weekday")</f>
        <v>Weekday</v>
      </c>
      <c r="AF1907" s="5">
        <f>IF(SalesData[[#This Row],[Contracts Offered]]=0,0,SalesData[[#This Row],[Contracts Signed]]/SalesData[[#This Row],[Contracts Offered]])</f>
        <v>0.24590163934426229</v>
      </c>
      <c r="AG1907" s="5">
        <f>IF(SalesData[[#This Row],[Customers Visited]]=0,0,SalesData[[#This Row],[Test Drives]]/SalesData[[#This Row],[Customers Visited]])</f>
        <v>0.5234375</v>
      </c>
      <c r="AH1907" s="5">
        <f>IF(SalesData[[#This Row],[Customers Visited]]=0,0,SalesData[[#This Row],[Contracts Signed]]/SalesData[[#This Row],[Customers Visited]])</f>
        <v>7.8125E-2</v>
      </c>
      <c r="AI1907" s="6">
        <f>IF(SalesData[[#This Row],[Contracts Signed]]=0,0,SalesData[[#This Row],[Profit(€)]]/SalesData[[#This Row],[Contracts Signed]])</f>
        <v>1543</v>
      </c>
      <c r="AJ1907" s="5" t="str">
        <f>TRIM(CLEAN(SalesData[[#This Row],[Retailer]]))</f>
        <v>Leipzig Mobility</v>
      </c>
    </row>
    <row r="1908" spans="1:36" ht="14.25" hidden="1" x14ac:dyDescent="0.2">
      <c r="A1908" t="s">
        <v>2888</v>
      </c>
      <c r="B1908" s="1">
        <v>46058</v>
      </c>
      <c r="C1908" t="s">
        <v>24</v>
      </c>
      <c r="D1908" t="s">
        <v>100</v>
      </c>
      <c r="E1908" t="s">
        <v>26</v>
      </c>
      <c r="F1908" t="s">
        <v>74</v>
      </c>
      <c r="G1908" t="s">
        <v>75</v>
      </c>
      <c r="H1908" t="s">
        <v>76</v>
      </c>
      <c r="I1908" t="s">
        <v>56</v>
      </c>
      <c r="J1908" t="s">
        <v>57</v>
      </c>
      <c r="K1908" t="s">
        <v>78</v>
      </c>
      <c r="L1908" t="s">
        <v>46</v>
      </c>
      <c r="M1908" t="s">
        <v>34</v>
      </c>
      <c r="N1908" t="s">
        <v>48</v>
      </c>
      <c r="O1908" t="s">
        <v>70</v>
      </c>
      <c r="P1908" t="s">
        <v>49</v>
      </c>
      <c r="Q1908" t="s">
        <v>88</v>
      </c>
      <c r="R1908">
        <v>269</v>
      </c>
      <c r="S1908">
        <v>127</v>
      </c>
      <c r="T1908">
        <v>82</v>
      </c>
      <c r="U1908">
        <v>24</v>
      </c>
      <c r="V1908" t="s">
        <v>3816</v>
      </c>
      <c r="W1908">
        <v>49756</v>
      </c>
      <c r="X1908" t="s">
        <v>7494</v>
      </c>
      <c r="Y1908">
        <v>39103</v>
      </c>
      <c r="Z1908">
        <v>1194144</v>
      </c>
      <c r="AA1908">
        <v>255672</v>
      </c>
      <c r="AB1908" t="str">
        <f>(VLOOKUP(SalesData[[#This Row],[Month Number]],Reference!C$5:E$16,2,FALSE))</f>
        <v>Feb</v>
      </c>
      <c r="AC1908">
        <f>MONTH(SalesData[[#This Row],[Date]])</f>
        <v>2</v>
      </c>
      <c r="AD1908">
        <f>Reference!F$4</f>
        <v>2026</v>
      </c>
      <c r="AE1908" t="str">
        <f>IF(OR(SalesData[[#This Row],[Day]]="Saturday",SalesData[[#This Row],[Day]]="Sunday"),"Weekend","Weekday")</f>
        <v>Weekday</v>
      </c>
      <c r="AF1908" s="5">
        <f>IF(SalesData[[#This Row],[Contracts Offered]]=0,0,SalesData[[#This Row],[Contracts Signed]]/SalesData[[#This Row],[Contracts Offered]])</f>
        <v>0.29268292682926828</v>
      </c>
      <c r="AG1908" s="5">
        <f>IF(SalesData[[#This Row],[Customers Visited]]=0,0,SalesData[[#This Row],[Test Drives]]/SalesData[[#This Row],[Customers Visited]])</f>
        <v>0.47211895910780671</v>
      </c>
      <c r="AH1908" s="5">
        <f>IF(SalesData[[#This Row],[Customers Visited]]=0,0,SalesData[[#This Row],[Contracts Signed]]/SalesData[[#This Row],[Customers Visited]])</f>
        <v>8.9219330855018583E-2</v>
      </c>
      <c r="AI1908" s="6">
        <f>IF(SalesData[[#This Row],[Contracts Signed]]=0,0,SalesData[[#This Row],[Profit(€)]]/SalesData[[#This Row],[Contracts Signed]])</f>
        <v>10653</v>
      </c>
      <c r="AJ1908" s="5" t="str">
        <f>TRIM(CLEAN(SalesData[[#This Row],[Retailer]]))</f>
        <v>Stuttgart Auto Center</v>
      </c>
    </row>
    <row r="1909" spans="1:36" ht="14.25" hidden="1" x14ac:dyDescent="0.2">
      <c r="A1909" t="s">
        <v>2889</v>
      </c>
      <c r="B1909" s="1">
        <v>46062</v>
      </c>
      <c r="C1909" t="s">
        <v>121</v>
      </c>
      <c r="D1909" t="s">
        <v>25</v>
      </c>
      <c r="E1909" t="s">
        <v>26</v>
      </c>
      <c r="F1909" t="s">
        <v>101</v>
      </c>
      <c r="G1909" t="s">
        <v>102</v>
      </c>
      <c r="H1909" t="s">
        <v>103</v>
      </c>
      <c r="I1909" t="s">
        <v>104</v>
      </c>
      <c r="J1909" t="s">
        <v>7031</v>
      </c>
      <c r="K1909" t="s">
        <v>91</v>
      </c>
      <c r="L1909" t="s">
        <v>46</v>
      </c>
      <c r="M1909" t="s">
        <v>87</v>
      </c>
      <c r="N1909" t="s">
        <v>48</v>
      </c>
      <c r="O1909" t="s">
        <v>36</v>
      </c>
      <c r="P1909" t="s">
        <v>58</v>
      </c>
      <c r="Q1909" t="s">
        <v>172</v>
      </c>
      <c r="R1909">
        <v>293</v>
      </c>
      <c r="S1909">
        <v>148</v>
      </c>
      <c r="T1909">
        <v>99</v>
      </c>
      <c r="U1909">
        <v>30</v>
      </c>
      <c r="V1909" t="s">
        <v>6446</v>
      </c>
      <c r="W1909">
        <v>31162</v>
      </c>
      <c r="X1909" t="s">
        <v>1184</v>
      </c>
      <c r="Y1909">
        <v>27747</v>
      </c>
      <c r="Z1909">
        <v>934860</v>
      </c>
      <c r="AA1909">
        <v>102450</v>
      </c>
      <c r="AB1909" t="str">
        <f>(VLOOKUP(SalesData[[#This Row],[Month Number]],Reference!C$5:E$16,2,FALSE))</f>
        <v>Feb</v>
      </c>
      <c r="AC1909">
        <f>MONTH(SalesData[[#This Row],[Date]])</f>
        <v>2</v>
      </c>
      <c r="AD1909">
        <f>Reference!F$4</f>
        <v>2026</v>
      </c>
      <c r="AE1909" t="str">
        <f>IF(OR(SalesData[[#This Row],[Day]]="Saturday",SalesData[[#This Row],[Day]]="Sunday"),"Weekend","Weekday")</f>
        <v>Weekday</v>
      </c>
      <c r="AF1909" s="5">
        <f>IF(SalesData[[#This Row],[Contracts Offered]]=0,0,SalesData[[#This Row],[Contracts Signed]]/SalesData[[#This Row],[Contracts Offered]])</f>
        <v>0.30303030303030304</v>
      </c>
      <c r="AG1909" s="5">
        <f>IF(SalesData[[#This Row],[Customers Visited]]=0,0,SalesData[[#This Row],[Test Drives]]/SalesData[[#This Row],[Customers Visited]])</f>
        <v>0.50511945392491464</v>
      </c>
      <c r="AH1909" s="5">
        <f>IF(SalesData[[#This Row],[Customers Visited]]=0,0,SalesData[[#This Row],[Contracts Signed]]/SalesData[[#This Row],[Customers Visited]])</f>
        <v>0.10238907849829351</v>
      </c>
      <c r="AI1909" s="6">
        <f>IF(SalesData[[#This Row],[Contracts Signed]]=0,0,SalesData[[#This Row],[Profit(€)]]/SalesData[[#This Row],[Contracts Signed]])</f>
        <v>3415</v>
      </c>
      <c r="AJ1909" s="5" t="str">
        <f>TRIM(CLEAN(SalesData[[#This Row],[Retailer]]))</f>
        <v>Ruhr Auto Plaza</v>
      </c>
    </row>
    <row r="1910" spans="1:36" ht="14.25" hidden="1" x14ac:dyDescent="0.2">
      <c r="A1910" t="s">
        <v>2891</v>
      </c>
      <c r="B1910" s="1">
        <v>46070</v>
      </c>
      <c r="C1910" t="s">
        <v>62</v>
      </c>
      <c r="D1910" t="s">
        <v>63</v>
      </c>
      <c r="E1910" t="s">
        <v>26</v>
      </c>
      <c r="F1910" t="s">
        <v>27</v>
      </c>
      <c r="G1910" t="s">
        <v>28</v>
      </c>
      <c r="H1910" t="s">
        <v>29</v>
      </c>
      <c r="I1910" t="s">
        <v>56</v>
      </c>
      <c r="J1910" t="s">
        <v>137</v>
      </c>
      <c r="K1910" t="s">
        <v>91</v>
      </c>
      <c r="L1910" t="s">
        <v>46</v>
      </c>
      <c r="M1910" t="s">
        <v>34</v>
      </c>
      <c r="N1910" t="s">
        <v>35</v>
      </c>
      <c r="O1910" t="s">
        <v>36</v>
      </c>
      <c r="P1910" t="s">
        <v>49</v>
      </c>
      <c r="Q1910" t="s">
        <v>106</v>
      </c>
      <c r="R1910">
        <v>194</v>
      </c>
      <c r="S1910">
        <v>119</v>
      </c>
      <c r="T1910">
        <v>90</v>
      </c>
      <c r="U1910">
        <v>27</v>
      </c>
      <c r="V1910" t="s">
        <v>6715</v>
      </c>
      <c r="W1910">
        <v>49326</v>
      </c>
      <c r="X1910" t="s">
        <v>1978</v>
      </c>
      <c r="Y1910">
        <v>37132</v>
      </c>
      <c r="Z1910">
        <v>1331802</v>
      </c>
      <c r="AA1910">
        <v>329238</v>
      </c>
      <c r="AB1910" t="str">
        <f>(VLOOKUP(SalesData[[#This Row],[Month Number]],Reference!C$5:E$16,2,FALSE))</f>
        <v>Feb</v>
      </c>
      <c r="AC1910">
        <f>MONTH(SalesData[[#This Row],[Date]])</f>
        <v>2</v>
      </c>
      <c r="AD1910">
        <f>Reference!F$4</f>
        <v>2026</v>
      </c>
      <c r="AE1910" t="str">
        <f>IF(OR(SalesData[[#This Row],[Day]]="Saturday",SalesData[[#This Row],[Day]]="Sunday"),"Weekend","Weekday")</f>
        <v>Weekday</v>
      </c>
      <c r="AF1910" s="5">
        <f>IF(SalesData[[#This Row],[Contracts Offered]]=0,0,SalesData[[#This Row],[Contracts Signed]]/SalesData[[#This Row],[Contracts Offered]])</f>
        <v>0.3</v>
      </c>
      <c r="AG1910" s="5">
        <f>IF(SalesData[[#This Row],[Customers Visited]]=0,0,SalesData[[#This Row],[Test Drives]]/SalesData[[#This Row],[Customers Visited]])</f>
        <v>0.61340206185567014</v>
      </c>
      <c r="AH1910" s="5">
        <f>IF(SalesData[[#This Row],[Customers Visited]]=0,0,SalesData[[#This Row],[Contracts Signed]]/SalesData[[#This Row],[Customers Visited]])</f>
        <v>0.13917525773195877</v>
      </c>
      <c r="AI1910" s="6">
        <f>IF(SalesData[[#This Row],[Contracts Signed]]=0,0,SalesData[[#This Row],[Profit(€)]]/SalesData[[#This Row],[Contracts Signed]])</f>
        <v>12194</v>
      </c>
      <c r="AJ1910" s="5" t="str">
        <f>TRIM(CLEAN(SalesData[[#This Row],[Retailer]]))</f>
        <v>Main Auto Hub</v>
      </c>
    </row>
    <row r="1911" spans="1:36" ht="14.25" x14ac:dyDescent="0.2">
      <c r="A1911" t="s">
        <v>2893</v>
      </c>
      <c r="B1911" s="1">
        <v>46066</v>
      </c>
      <c r="C1911" t="s">
        <v>121</v>
      </c>
      <c r="D1911" t="s">
        <v>54</v>
      </c>
      <c r="E1911" t="s">
        <v>26</v>
      </c>
      <c r="F1911" t="s">
        <v>43</v>
      </c>
      <c r="G1911" t="s">
        <v>44</v>
      </c>
      <c r="H1911" t="s">
        <v>45</v>
      </c>
      <c r="I1911" t="s">
        <v>30</v>
      </c>
      <c r="J1911" t="s">
        <v>166</v>
      </c>
      <c r="K1911" t="s">
        <v>78</v>
      </c>
      <c r="L1911" t="s">
        <v>46</v>
      </c>
      <c r="M1911" t="s">
        <v>34</v>
      </c>
      <c r="N1911" t="s">
        <v>69</v>
      </c>
      <c r="O1911" t="s">
        <v>70</v>
      </c>
      <c r="P1911" t="s">
        <v>71</v>
      </c>
      <c r="Q1911" t="s">
        <v>172</v>
      </c>
      <c r="R1911">
        <v>261</v>
      </c>
      <c r="S1911">
        <v>123</v>
      </c>
      <c r="T1911">
        <v>94</v>
      </c>
      <c r="U1911">
        <v>33</v>
      </c>
      <c r="V1911" t="s">
        <v>7247</v>
      </c>
      <c r="W1911">
        <v>68218</v>
      </c>
      <c r="X1911" t="s">
        <v>1098</v>
      </c>
      <c r="Y1911">
        <v>50930</v>
      </c>
      <c r="Z1911">
        <v>2251194</v>
      </c>
      <c r="AA1911">
        <v>570504</v>
      </c>
      <c r="AB1911" t="str">
        <f>(VLOOKUP(SalesData[[#This Row],[Month Number]],Reference!C$5:E$16,2,FALSE))</f>
        <v>Feb</v>
      </c>
      <c r="AC1911">
        <f>MONTH(SalesData[[#This Row],[Date]])</f>
        <v>2</v>
      </c>
      <c r="AD1911">
        <f>Reference!F$4</f>
        <v>2026</v>
      </c>
      <c r="AE1911" t="str">
        <f>IF(OR(SalesData[[#This Row],[Day]]="Saturday",SalesData[[#This Row],[Day]]="Sunday"),"Weekend","Weekday")</f>
        <v>Weekday</v>
      </c>
      <c r="AF1911" s="5">
        <f>IF(SalesData[[#This Row],[Contracts Offered]]=0,0,SalesData[[#This Row],[Contracts Signed]]/SalesData[[#This Row],[Contracts Offered]])</f>
        <v>0.35106382978723405</v>
      </c>
      <c r="AG1911" s="5">
        <f>IF(SalesData[[#This Row],[Customers Visited]]=0,0,SalesData[[#This Row],[Test Drives]]/SalesData[[#This Row],[Customers Visited]])</f>
        <v>0.47126436781609193</v>
      </c>
      <c r="AH1911" s="5">
        <f>IF(SalesData[[#This Row],[Customers Visited]]=0,0,SalesData[[#This Row],[Contracts Signed]]/SalesData[[#This Row],[Customers Visited]])</f>
        <v>0.12643678160919541</v>
      </c>
      <c r="AI1911" s="6">
        <f>IF(SalesData[[#This Row],[Contracts Signed]]=0,0,SalesData[[#This Row],[Profit(€)]]/SalesData[[#This Row],[Contracts Signed]])</f>
        <v>17288</v>
      </c>
      <c r="AJ1911" s="5" t="str">
        <f>TRIM(CLEAN(SalesData[[#This Row],[Retailer]]))</f>
        <v>Saxon Wheels</v>
      </c>
    </row>
    <row r="1912" spans="1:36" ht="14.25" hidden="1" x14ac:dyDescent="0.2">
      <c r="A1912" t="s">
        <v>2894</v>
      </c>
      <c r="B1912" s="1">
        <v>46067</v>
      </c>
      <c r="C1912" t="s">
        <v>121</v>
      </c>
      <c r="D1912" t="s">
        <v>151</v>
      </c>
      <c r="E1912" t="s">
        <v>42</v>
      </c>
      <c r="F1912" t="s">
        <v>7649</v>
      </c>
      <c r="G1912" t="s">
        <v>55</v>
      </c>
      <c r="H1912" t="s">
        <v>55</v>
      </c>
      <c r="I1912" t="s">
        <v>56</v>
      </c>
      <c r="J1912" t="s">
        <v>57</v>
      </c>
      <c r="K1912" t="s">
        <v>66</v>
      </c>
      <c r="L1912" t="s">
        <v>46</v>
      </c>
      <c r="M1912" t="s">
        <v>34</v>
      </c>
      <c r="N1912" t="s">
        <v>69</v>
      </c>
      <c r="O1912" t="s">
        <v>36</v>
      </c>
      <c r="P1912" t="s">
        <v>71</v>
      </c>
      <c r="Q1912" t="s">
        <v>158</v>
      </c>
      <c r="R1912">
        <v>234</v>
      </c>
      <c r="S1912">
        <v>134</v>
      </c>
      <c r="T1912">
        <v>98</v>
      </c>
      <c r="U1912">
        <v>32</v>
      </c>
      <c r="V1912" t="s">
        <v>6531</v>
      </c>
      <c r="W1912">
        <v>48154</v>
      </c>
      <c r="X1912" t="s">
        <v>7413</v>
      </c>
      <c r="Y1912">
        <v>38835</v>
      </c>
      <c r="Z1912">
        <v>1540928</v>
      </c>
      <c r="AA1912">
        <v>298208</v>
      </c>
      <c r="AB1912" t="str">
        <f>(VLOOKUP(SalesData[[#This Row],[Month Number]],Reference!C$5:E$16,2,FALSE))</f>
        <v>Feb</v>
      </c>
      <c r="AC1912">
        <f>MONTH(SalesData[[#This Row],[Date]])</f>
        <v>2</v>
      </c>
      <c r="AD1912">
        <f>Reference!F$4</f>
        <v>2026</v>
      </c>
      <c r="AE1912" t="str">
        <f>IF(OR(SalesData[[#This Row],[Day]]="Saturday",SalesData[[#This Row],[Day]]="Sunday"),"Weekend","Weekday")</f>
        <v>Weekend</v>
      </c>
      <c r="AF1912" s="5">
        <f>IF(SalesData[[#This Row],[Contracts Offered]]=0,0,SalesData[[#This Row],[Contracts Signed]]/SalesData[[#This Row],[Contracts Offered]])</f>
        <v>0.32653061224489793</v>
      </c>
      <c r="AG1912" s="5">
        <f>IF(SalesData[[#This Row],[Customers Visited]]=0,0,SalesData[[#This Row],[Test Drives]]/SalesData[[#This Row],[Customers Visited]])</f>
        <v>0.57264957264957261</v>
      </c>
      <c r="AH1912" s="5">
        <f>IF(SalesData[[#This Row],[Customers Visited]]=0,0,SalesData[[#This Row],[Contracts Signed]]/SalesData[[#This Row],[Customers Visited]])</f>
        <v>0.13675213675213677</v>
      </c>
      <c r="AI1912" s="6">
        <f>IF(SalesData[[#This Row],[Contracts Signed]]=0,0,SalesData[[#This Row],[Profit(€)]]/SalesData[[#This Row],[Contracts Signed]])</f>
        <v>9319</v>
      </c>
      <c r="AJ1912" s="5" t="str">
        <f>TRIM(CLEAN(SalesData[[#This Row],[Retailer]]))</f>
        <v>Autohaus Berlin</v>
      </c>
    </row>
    <row r="1913" spans="1:36" ht="14.25" hidden="1" x14ac:dyDescent="0.2">
      <c r="A1913" t="s">
        <v>2895</v>
      </c>
      <c r="B1913" s="1">
        <v>46073</v>
      </c>
      <c r="C1913" t="s">
        <v>62</v>
      </c>
      <c r="D1913" t="s">
        <v>54</v>
      </c>
      <c r="E1913" t="s">
        <v>26</v>
      </c>
      <c r="F1913" t="s">
        <v>94</v>
      </c>
      <c r="G1913" t="s">
        <v>95</v>
      </c>
      <c r="H1913" t="s">
        <v>96</v>
      </c>
      <c r="I1913" t="s">
        <v>64</v>
      </c>
      <c r="J1913" t="s">
        <v>111</v>
      </c>
      <c r="K1913" t="s">
        <v>78</v>
      </c>
      <c r="L1913" t="s">
        <v>46</v>
      </c>
      <c r="M1913" t="s">
        <v>68</v>
      </c>
      <c r="N1913" t="s">
        <v>48</v>
      </c>
      <c r="O1913" t="s">
        <v>70</v>
      </c>
      <c r="P1913" t="s">
        <v>37</v>
      </c>
      <c r="Q1913" t="s">
        <v>144</v>
      </c>
      <c r="R1913">
        <v>234</v>
      </c>
      <c r="S1913">
        <v>117</v>
      </c>
      <c r="T1913">
        <v>78</v>
      </c>
      <c r="U1913">
        <v>31</v>
      </c>
      <c r="V1913" t="s">
        <v>6777</v>
      </c>
      <c r="W1913">
        <v>50749</v>
      </c>
      <c r="X1913" t="s">
        <v>3065</v>
      </c>
      <c r="Y1913">
        <v>39064</v>
      </c>
      <c r="Z1913">
        <v>1573219</v>
      </c>
      <c r="AA1913">
        <v>362235</v>
      </c>
      <c r="AB1913" t="str">
        <f>(VLOOKUP(SalesData[[#This Row],[Month Number]],Reference!C$5:E$16,2,FALSE))</f>
        <v>Feb</v>
      </c>
      <c r="AC1913">
        <f>MONTH(SalesData[[#This Row],[Date]])</f>
        <v>2</v>
      </c>
      <c r="AD1913">
        <f>Reference!F$4</f>
        <v>2026</v>
      </c>
      <c r="AE1913" t="str">
        <f>IF(OR(SalesData[[#This Row],[Day]]="Saturday",SalesData[[#This Row],[Day]]="Sunday"),"Weekend","Weekday")</f>
        <v>Weekday</v>
      </c>
      <c r="AF1913" s="5">
        <f>IF(SalesData[[#This Row],[Contracts Offered]]=0,0,SalesData[[#This Row],[Contracts Signed]]/SalesData[[#This Row],[Contracts Offered]])</f>
        <v>0.39743589743589741</v>
      </c>
      <c r="AG1913" s="5">
        <f>IF(SalesData[[#This Row],[Customers Visited]]=0,0,SalesData[[#This Row],[Test Drives]]/SalesData[[#This Row],[Customers Visited]])</f>
        <v>0.5</v>
      </c>
      <c r="AH1913" s="5">
        <f>IF(SalesData[[#This Row],[Customers Visited]]=0,0,SalesData[[#This Row],[Contracts Signed]]/SalesData[[#This Row],[Customers Visited]])</f>
        <v>0.13247863247863248</v>
      </c>
      <c r="AI1913" s="6">
        <f>IF(SalesData[[#This Row],[Contracts Signed]]=0,0,SalesData[[#This Row],[Profit(€)]]/SalesData[[#This Row],[Contracts Signed]])</f>
        <v>11685</v>
      </c>
      <c r="AJ1913" s="5" t="str">
        <f>TRIM(CLEAN(SalesData[[#This Row],[Retailer]]))</f>
        <v>Bavaria Motors</v>
      </c>
    </row>
    <row r="1914" spans="1:36" ht="14.25" x14ac:dyDescent="0.2">
      <c r="A1914" t="s">
        <v>2896</v>
      </c>
      <c r="B1914" s="1">
        <v>46075</v>
      </c>
      <c r="C1914" t="s">
        <v>53</v>
      </c>
      <c r="D1914" t="s">
        <v>41</v>
      </c>
      <c r="E1914" t="s">
        <v>42</v>
      </c>
      <c r="F1914" t="s">
        <v>74</v>
      </c>
      <c r="G1914" t="s">
        <v>75</v>
      </c>
      <c r="H1914" t="s">
        <v>76</v>
      </c>
      <c r="I1914" t="s">
        <v>30</v>
      </c>
      <c r="J1914" t="s">
        <v>188</v>
      </c>
      <c r="K1914" t="s">
        <v>91</v>
      </c>
      <c r="L1914" t="s">
        <v>33</v>
      </c>
      <c r="M1914" t="s">
        <v>68</v>
      </c>
      <c r="N1914" t="s">
        <v>35</v>
      </c>
      <c r="O1914" t="s">
        <v>36</v>
      </c>
      <c r="P1914" t="s">
        <v>49</v>
      </c>
      <c r="Q1914" t="s">
        <v>167</v>
      </c>
      <c r="R1914">
        <v>194</v>
      </c>
      <c r="S1914">
        <v>103</v>
      </c>
      <c r="T1914">
        <v>72</v>
      </c>
      <c r="U1914">
        <v>26</v>
      </c>
      <c r="V1914" t="s">
        <v>6533</v>
      </c>
      <c r="W1914">
        <v>51479</v>
      </c>
      <c r="X1914" t="s">
        <v>7067</v>
      </c>
      <c r="Y1914">
        <v>39621</v>
      </c>
      <c r="Z1914">
        <v>1338454</v>
      </c>
      <c r="AA1914">
        <v>308308</v>
      </c>
      <c r="AB1914" t="str">
        <f>(VLOOKUP(SalesData[[#This Row],[Month Number]],Reference!C$5:E$16,2,FALSE))</f>
        <v>Feb</v>
      </c>
      <c r="AC1914">
        <f>MONTH(SalesData[[#This Row],[Date]])</f>
        <v>2</v>
      </c>
      <c r="AD1914">
        <f>Reference!F$4</f>
        <v>2026</v>
      </c>
      <c r="AE1914" t="str">
        <f>IF(OR(SalesData[[#This Row],[Day]]="Saturday",SalesData[[#This Row],[Day]]="Sunday"),"Weekend","Weekday")</f>
        <v>Weekend</v>
      </c>
      <c r="AF1914" s="5">
        <f>IF(SalesData[[#This Row],[Contracts Offered]]=0,0,SalesData[[#This Row],[Contracts Signed]]/SalesData[[#This Row],[Contracts Offered]])</f>
        <v>0.3611111111111111</v>
      </c>
      <c r="AG1914" s="5">
        <f>IF(SalesData[[#This Row],[Customers Visited]]=0,0,SalesData[[#This Row],[Test Drives]]/SalesData[[#This Row],[Customers Visited]])</f>
        <v>0.53092783505154639</v>
      </c>
      <c r="AH1914" s="5">
        <f>IF(SalesData[[#This Row],[Customers Visited]]=0,0,SalesData[[#This Row],[Contracts Signed]]/SalesData[[#This Row],[Customers Visited]])</f>
        <v>0.13402061855670103</v>
      </c>
      <c r="AI1914" s="6">
        <f>IF(SalesData[[#This Row],[Contracts Signed]]=0,0,SalesData[[#This Row],[Profit(€)]]/SalesData[[#This Row],[Contracts Signed]])</f>
        <v>11858</v>
      </c>
      <c r="AJ1914" s="5" t="str">
        <f>TRIM(CLEAN(SalesData[[#This Row],[Retailer]]))</f>
        <v>Stuttgart Auto Center</v>
      </c>
    </row>
    <row r="1915" spans="1:36" ht="14.25" hidden="1" x14ac:dyDescent="0.2">
      <c r="A1915" t="s">
        <v>2897</v>
      </c>
      <c r="B1915" s="1">
        <v>46072</v>
      </c>
      <c r="C1915" t="s">
        <v>62</v>
      </c>
      <c r="D1915" t="s">
        <v>100</v>
      </c>
      <c r="E1915" t="s">
        <v>26</v>
      </c>
      <c r="F1915" t="s">
        <v>127</v>
      </c>
      <c r="G1915" t="s">
        <v>128</v>
      </c>
      <c r="H1915" t="s">
        <v>103</v>
      </c>
      <c r="I1915" t="s">
        <v>116</v>
      </c>
      <c r="J1915" t="s">
        <v>7090</v>
      </c>
      <c r="K1915" t="s">
        <v>66</v>
      </c>
      <c r="L1915" t="s">
        <v>46</v>
      </c>
      <c r="M1915" t="s">
        <v>68</v>
      </c>
      <c r="N1915" t="s">
        <v>69</v>
      </c>
      <c r="O1915" t="s">
        <v>70</v>
      </c>
      <c r="P1915" t="s">
        <v>37</v>
      </c>
      <c r="Q1915" t="s">
        <v>204</v>
      </c>
      <c r="R1915">
        <v>346</v>
      </c>
      <c r="S1915">
        <v>176</v>
      </c>
      <c r="T1915">
        <v>98</v>
      </c>
      <c r="U1915">
        <v>28</v>
      </c>
      <c r="V1915" t="s">
        <v>696</v>
      </c>
      <c r="W1915">
        <v>22688</v>
      </c>
      <c r="X1915" t="s">
        <v>209</v>
      </c>
      <c r="Y1915">
        <v>20379</v>
      </c>
      <c r="Z1915">
        <v>635264</v>
      </c>
      <c r="AA1915">
        <v>64652</v>
      </c>
      <c r="AB1915" t="str">
        <f>(VLOOKUP(SalesData[[#This Row],[Month Number]],Reference!C$5:E$16,2,FALSE))</f>
        <v>Feb</v>
      </c>
      <c r="AC1915">
        <f>MONTH(SalesData[[#This Row],[Date]])</f>
        <v>2</v>
      </c>
      <c r="AD1915">
        <f>Reference!F$4</f>
        <v>2026</v>
      </c>
      <c r="AE1915" t="str">
        <f>IF(OR(SalesData[[#This Row],[Day]]="Saturday",SalesData[[#This Row],[Day]]="Sunday"),"Weekend","Weekday")</f>
        <v>Weekday</v>
      </c>
      <c r="AF1915" s="5">
        <f>IF(SalesData[[#This Row],[Contracts Offered]]=0,0,SalesData[[#This Row],[Contracts Signed]]/SalesData[[#This Row],[Contracts Offered]])</f>
        <v>0.2857142857142857</v>
      </c>
      <c r="AG1915" s="5">
        <f>IF(SalesData[[#This Row],[Customers Visited]]=0,0,SalesData[[#This Row],[Test Drives]]/SalesData[[#This Row],[Customers Visited]])</f>
        <v>0.50867052023121384</v>
      </c>
      <c r="AH1915" s="5">
        <f>IF(SalesData[[#This Row],[Customers Visited]]=0,0,SalesData[[#This Row],[Contracts Signed]]/SalesData[[#This Row],[Customers Visited]])</f>
        <v>8.0924855491329481E-2</v>
      </c>
      <c r="AI1915" s="6">
        <f>IF(SalesData[[#This Row],[Contracts Signed]]=0,0,SalesData[[#This Row],[Profit(€)]]/SalesData[[#This Row],[Contracts Signed]])</f>
        <v>2309</v>
      </c>
      <c r="AJ1915" s="5" t="str">
        <f>TRIM(CLEAN(SalesData[[#This Row],[Retailer]]))</f>
        <v>Rhein Auto Group</v>
      </c>
    </row>
    <row r="1916" spans="1:36" ht="14.25" hidden="1" x14ac:dyDescent="0.2">
      <c r="A1916" t="s">
        <v>2898</v>
      </c>
      <c r="B1916" s="1">
        <v>46075</v>
      </c>
      <c r="C1916" t="s">
        <v>53</v>
      </c>
      <c r="D1916" t="s">
        <v>41</v>
      </c>
      <c r="E1916" t="s">
        <v>42</v>
      </c>
      <c r="F1916" t="s">
        <v>127</v>
      </c>
      <c r="G1916" t="s">
        <v>128</v>
      </c>
      <c r="H1916" t="s">
        <v>103</v>
      </c>
      <c r="I1916" t="s">
        <v>64</v>
      </c>
      <c r="J1916" t="s">
        <v>65</v>
      </c>
      <c r="K1916" t="s">
        <v>91</v>
      </c>
      <c r="L1916" t="s">
        <v>33</v>
      </c>
      <c r="M1916" t="s">
        <v>34</v>
      </c>
      <c r="N1916" t="s">
        <v>69</v>
      </c>
      <c r="O1916" t="s">
        <v>36</v>
      </c>
      <c r="P1916" t="s">
        <v>58</v>
      </c>
      <c r="Q1916" t="s">
        <v>167</v>
      </c>
      <c r="R1916">
        <v>194</v>
      </c>
      <c r="S1916">
        <v>105</v>
      </c>
      <c r="T1916">
        <v>70</v>
      </c>
      <c r="U1916">
        <v>30</v>
      </c>
      <c r="V1916" t="s">
        <v>6357</v>
      </c>
      <c r="W1916">
        <v>70169</v>
      </c>
      <c r="X1916" t="s">
        <v>7223</v>
      </c>
      <c r="Y1916">
        <v>52353</v>
      </c>
      <c r="Z1916">
        <v>2105070</v>
      </c>
      <c r="AA1916">
        <v>534480</v>
      </c>
      <c r="AB1916" t="str">
        <f>(VLOOKUP(SalesData[[#This Row],[Month Number]],Reference!C$5:E$16,2,FALSE))</f>
        <v>Feb</v>
      </c>
      <c r="AC1916">
        <f>MONTH(SalesData[[#This Row],[Date]])</f>
        <v>2</v>
      </c>
      <c r="AD1916">
        <f>Reference!F$4</f>
        <v>2026</v>
      </c>
      <c r="AE1916" t="str">
        <f>IF(OR(SalesData[[#This Row],[Day]]="Saturday",SalesData[[#This Row],[Day]]="Sunday"),"Weekend","Weekday")</f>
        <v>Weekend</v>
      </c>
      <c r="AF1916" s="5">
        <f>IF(SalesData[[#This Row],[Contracts Offered]]=0,0,SalesData[[#This Row],[Contracts Signed]]/SalesData[[#This Row],[Contracts Offered]])</f>
        <v>0.42857142857142855</v>
      </c>
      <c r="AG1916" s="5">
        <f>IF(SalesData[[#This Row],[Customers Visited]]=0,0,SalesData[[#This Row],[Test Drives]]/SalesData[[#This Row],[Customers Visited]])</f>
        <v>0.54123711340206182</v>
      </c>
      <c r="AH1916" s="5">
        <f>IF(SalesData[[#This Row],[Customers Visited]]=0,0,SalesData[[#This Row],[Contracts Signed]]/SalesData[[#This Row],[Customers Visited]])</f>
        <v>0.15463917525773196</v>
      </c>
      <c r="AI1916" s="6">
        <f>IF(SalesData[[#This Row],[Contracts Signed]]=0,0,SalesData[[#This Row],[Profit(€)]]/SalesData[[#This Row],[Contracts Signed]])</f>
        <v>17816</v>
      </c>
      <c r="AJ1916" s="5" t="str">
        <f>TRIM(CLEAN(SalesData[[#This Row],[Retailer]]))</f>
        <v>Rhein Auto Group</v>
      </c>
    </row>
    <row r="1917" spans="1:36" ht="14.25" hidden="1" x14ac:dyDescent="0.2">
      <c r="A1917" t="s">
        <v>2899</v>
      </c>
      <c r="B1917" s="1">
        <v>46060</v>
      </c>
      <c r="C1917" t="s">
        <v>24</v>
      </c>
      <c r="D1917" t="s">
        <v>151</v>
      </c>
      <c r="E1917" t="s">
        <v>42</v>
      </c>
      <c r="F1917" t="s">
        <v>74</v>
      </c>
      <c r="G1917" t="s">
        <v>75</v>
      </c>
      <c r="H1917" t="s">
        <v>76</v>
      </c>
      <c r="I1917" t="s">
        <v>116</v>
      </c>
      <c r="J1917" t="s">
        <v>132</v>
      </c>
      <c r="K1917" t="s">
        <v>78</v>
      </c>
      <c r="L1917" t="s">
        <v>46</v>
      </c>
      <c r="M1917" t="s">
        <v>47</v>
      </c>
      <c r="N1917" t="s">
        <v>69</v>
      </c>
      <c r="O1917" t="s">
        <v>36</v>
      </c>
      <c r="P1917" t="s">
        <v>71</v>
      </c>
      <c r="Q1917" t="s">
        <v>118</v>
      </c>
      <c r="R1917">
        <v>348</v>
      </c>
      <c r="S1917">
        <v>140</v>
      </c>
      <c r="T1917">
        <v>90</v>
      </c>
      <c r="U1917">
        <v>25</v>
      </c>
      <c r="V1917" t="s">
        <v>871</v>
      </c>
      <c r="W1917">
        <v>25484</v>
      </c>
      <c r="X1917" t="s">
        <v>243</v>
      </c>
      <c r="Y1917">
        <v>22701</v>
      </c>
      <c r="Z1917">
        <v>637100</v>
      </c>
      <c r="AA1917">
        <v>69575</v>
      </c>
      <c r="AB1917" t="str">
        <f>(VLOOKUP(SalesData[[#This Row],[Month Number]],Reference!C$5:E$16,2,FALSE))</f>
        <v>Feb</v>
      </c>
      <c r="AC1917">
        <f>MONTH(SalesData[[#This Row],[Date]])</f>
        <v>2</v>
      </c>
      <c r="AD1917">
        <f>Reference!F$4</f>
        <v>2026</v>
      </c>
      <c r="AE1917" t="str">
        <f>IF(OR(SalesData[[#This Row],[Day]]="Saturday",SalesData[[#This Row],[Day]]="Sunday"),"Weekend","Weekday")</f>
        <v>Weekend</v>
      </c>
      <c r="AF1917" s="5">
        <f>IF(SalesData[[#This Row],[Contracts Offered]]=0,0,SalesData[[#This Row],[Contracts Signed]]/SalesData[[#This Row],[Contracts Offered]])</f>
        <v>0.27777777777777779</v>
      </c>
      <c r="AG1917" s="5">
        <f>IF(SalesData[[#This Row],[Customers Visited]]=0,0,SalesData[[#This Row],[Test Drives]]/SalesData[[#This Row],[Customers Visited]])</f>
        <v>0.40229885057471265</v>
      </c>
      <c r="AH1917" s="5">
        <f>IF(SalesData[[#This Row],[Customers Visited]]=0,0,SalesData[[#This Row],[Contracts Signed]]/SalesData[[#This Row],[Customers Visited]])</f>
        <v>7.183908045977011E-2</v>
      </c>
      <c r="AI1917" s="6">
        <f>IF(SalesData[[#This Row],[Contracts Signed]]=0,0,SalesData[[#This Row],[Profit(€)]]/SalesData[[#This Row],[Contracts Signed]])</f>
        <v>2783</v>
      </c>
      <c r="AJ1917" s="5" t="str">
        <f>TRIM(CLEAN(SalesData[[#This Row],[Retailer]]))</f>
        <v>Stuttgart Auto Center</v>
      </c>
    </row>
    <row r="1918" spans="1:36" ht="14.25" hidden="1" x14ac:dyDescent="0.2">
      <c r="A1918" t="s">
        <v>2900</v>
      </c>
      <c r="B1918" s="1">
        <v>46064</v>
      </c>
      <c r="C1918" t="s">
        <v>121</v>
      </c>
      <c r="D1918" t="s">
        <v>82</v>
      </c>
      <c r="E1918" t="s">
        <v>26</v>
      </c>
      <c r="F1918" t="s">
        <v>94</v>
      </c>
      <c r="G1918" t="s">
        <v>95</v>
      </c>
      <c r="H1918" t="s">
        <v>96</v>
      </c>
      <c r="I1918" t="s">
        <v>64</v>
      </c>
      <c r="J1918" t="s">
        <v>77</v>
      </c>
      <c r="K1918" t="s">
        <v>91</v>
      </c>
      <c r="L1918" t="s">
        <v>46</v>
      </c>
      <c r="M1918" t="s">
        <v>34</v>
      </c>
      <c r="N1918" t="s">
        <v>69</v>
      </c>
      <c r="O1918" t="s">
        <v>70</v>
      </c>
      <c r="P1918" t="s">
        <v>71</v>
      </c>
      <c r="Q1918" t="s">
        <v>79</v>
      </c>
      <c r="R1918">
        <v>221</v>
      </c>
      <c r="S1918">
        <v>125</v>
      </c>
      <c r="T1918">
        <v>90</v>
      </c>
      <c r="U1918">
        <v>31</v>
      </c>
      <c r="V1918" t="s">
        <v>6910</v>
      </c>
      <c r="W1918">
        <v>62345</v>
      </c>
      <c r="X1918" t="s">
        <v>3904</v>
      </c>
      <c r="Y1918">
        <v>46355</v>
      </c>
      <c r="Z1918">
        <v>1932695</v>
      </c>
      <c r="AA1918">
        <v>495690</v>
      </c>
      <c r="AB1918" t="str">
        <f>(VLOOKUP(SalesData[[#This Row],[Month Number]],Reference!C$5:E$16,2,FALSE))</f>
        <v>Feb</v>
      </c>
      <c r="AC1918">
        <f>MONTH(SalesData[[#This Row],[Date]])</f>
        <v>2</v>
      </c>
      <c r="AD1918">
        <f>Reference!F$4</f>
        <v>2026</v>
      </c>
      <c r="AE1918" t="str">
        <f>IF(OR(SalesData[[#This Row],[Day]]="Saturday",SalesData[[#This Row],[Day]]="Sunday"),"Weekend","Weekday")</f>
        <v>Weekday</v>
      </c>
      <c r="AF1918" s="5">
        <f>IF(SalesData[[#This Row],[Contracts Offered]]=0,0,SalesData[[#This Row],[Contracts Signed]]/SalesData[[#This Row],[Contracts Offered]])</f>
        <v>0.34444444444444444</v>
      </c>
      <c r="AG1918" s="5">
        <f>IF(SalesData[[#This Row],[Customers Visited]]=0,0,SalesData[[#This Row],[Test Drives]]/SalesData[[#This Row],[Customers Visited]])</f>
        <v>0.56561085972850678</v>
      </c>
      <c r="AH1918" s="5">
        <f>IF(SalesData[[#This Row],[Customers Visited]]=0,0,SalesData[[#This Row],[Contracts Signed]]/SalesData[[#This Row],[Customers Visited]])</f>
        <v>0.14027149321266968</v>
      </c>
      <c r="AI1918" s="6">
        <f>IF(SalesData[[#This Row],[Contracts Signed]]=0,0,SalesData[[#This Row],[Profit(€)]]/SalesData[[#This Row],[Contracts Signed]])</f>
        <v>15990</v>
      </c>
      <c r="AJ1918" s="5" t="str">
        <f>TRIM(CLEAN(SalesData[[#This Row],[Retailer]]))</f>
        <v>Bavaria Motors</v>
      </c>
    </row>
    <row r="1919" spans="1:36" ht="14.25" hidden="1" x14ac:dyDescent="0.2">
      <c r="A1919" t="s">
        <v>2901</v>
      </c>
      <c r="B1919" s="1">
        <v>46058</v>
      </c>
      <c r="C1919" t="s">
        <v>24</v>
      </c>
      <c r="D1919" t="s">
        <v>100</v>
      </c>
      <c r="E1919" t="s">
        <v>26</v>
      </c>
      <c r="F1919" t="s">
        <v>127</v>
      </c>
      <c r="G1919" t="s">
        <v>128</v>
      </c>
      <c r="H1919" t="s">
        <v>103</v>
      </c>
      <c r="I1919" t="s">
        <v>56</v>
      </c>
      <c r="J1919" t="s">
        <v>179</v>
      </c>
      <c r="K1919" t="s">
        <v>91</v>
      </c>
      <c r="L1919" t="s">
        <v>67</v>
      </c>
      <c r="M1919" t="s">
        <v>68</v>
      </c>
      <c r="N1919" t="s">
        <v>69</v>
      </c>
      <c r="O1919" t="s">
        <v>36</v>
      </c>
      <c r="P1919" t="s">
        <v>37</v>
      </c>
      <c r="Q1919" t="s">
        <v>129</v>
      </c>
      <c r="R1919">
        <v>288</v>
      </c>
      <c r="S1919">
        <v>162</v>
      </c>
      <c r="T1919">
        <v>109</v>
      </c>
      <c r="U1919">
        <v>34</v>
      </c>
      <c r="V1919" t="s">
        <v>6747</v>
      </c>
      <c r="W1919">
        <v>50969</v>
      </c>
      <c r="X1919" t="s">
        <v>3593</v>
      </c>
      <c r="Y1919">
        <v>41149</v>
      </c>
      <c r="Z1919">
        <v>1732946</v>
      </c>
      <c r="AA1919">
        <v>333880</v>
      </c>
      <c r="AB1919" t="str">
        <f>(VLOOKUP(SalesData[[#This Row],[Month Number]],Reference!C$5:E$16,2,FALSE))</f>
        <v>Feb</v>
      </c>
      <c r="AC1919">
        <f>MONTH(SalesData[[#This Row],[Date]])</f>
        <v>2</v>
      </c>
      <c r="AD1919">
        <f>Reference!F$4</f>
        <v>2026</v>
      </c>
      <c r="AE1919" t="str">
        <f>IF(OR(SalesData[[#This Row],[Day]]="Saturday",SalesData[[#This Row],[Day]]="Sunday"),"Weekend","Weekday")</f>
        <v>Weekday</v>
      </c>
      <c r="AF1919" s="5">
        <f>IF(SalesData[[#This Row],[Contracts Offered]]=0,0,SalesData[[#This Row],[Contracts Signed]]/SalesData[[#This Row],[Contracts Offered]])</f>
        <v>0.31192660550458717</v>
      </c>
      <c r="AG1919" s="5">
        <f>IF(SalesData[[#This Row],[Customers Visited]]=0,0,SalesData[[#This Row],[Test Drives]]/SalesData[[#This Row],[Customers Visited]])</f>
        <v>0.5625</v>
      </c>
      <c r="AH1919" s="5">
        <f>IF(SalesData[[#This Row],[Customers Visited]]=0,0,SalesData[[#This Row],[Contracts Signed]]/SalesData[[#This Row],[Customers Visited]])</f>
        <v>0.11805555555555555</v>
      </c>
      <c r="AI1919" s="6">
        <f>IF(SalesData[[#This Row],[Contracts Signed]]=0,0,SalesData[[#This Row],[Profit(€)]]/SalesData[[#This Row],[Contracts Signed]])</f>
        <v>9820</v>
      </c>
      <c r="AJ1919" s="5" t="str">
        <f>TRIM(CLEAN(SalesData[[#This Row],[Retailer]]))</f>
        <v>Rhein Auto Group</v>
      </c>
    </row>
    <row r="1920" spans="1:36" ht="14.25" hidden="1" x14ac:dyDescent="0.2">
      <c r="A1920" t="s">
        <v>2902</v>
      </c>
      <c r="B1920" s="1">
        <v>46064</v>
      </c>
      <c r="C1920" t="s">
        <v>121</v>
      </c>
      <c r="D1920" t="s">
        <v>82</v>
      </c>
      <c r="E1920" t="s">
        <v>26</v>
      </c>
      <c r="F1920" t="s">
        <v>43</v>
      </c>
      <c r="G1920" t="s">
        <v>44</v>
      </c>
      <c r="H1920" t="s">
        <v>45</v>
      </c>
      <c r="I1920" t="s">
        <v>64</v>
      </c>
      <c r="J1920" t="s">
        <v>7029</v>
      </c>
      <c r="K1920" t="s">
        <v>78</v>
      </c>
      <c r="L1920" t="s">
        <v>33</v>
      </c>
      <c r="M1920" t="s">
        <v>47</v>
      </c>
      <c r="N1920" t="s">
        <v>69</v>
      </c>
      <c r="O1920" t="s">
        <v>36</v>
      </c>
      <c r="P1920" t="s">
        <v>49</v>
      </c>
      <c r="Q1920" t="s">
        <v>129</v>
      </c>
      <c r="R1920">
        <v>197</v>
      </c>
      <c r="S1920">
        <v>108</v>
      </c>
      <c r="T1920">
        <v>79</v>
      </c>
      <c r="U1920">
        <v>27</v>
      </c>
      <c r="V1920" t="s">
        <v>6403</v>
      </c>
      <c r="W1920">
        <v>56737</v>
      </c>
      <c r="X1920" t="s">
        <v>2061</v>
      </c>
      <c r="Y1920">
        <v>44038</v>
      </c>
      <c r="Z1920">
        <v>1531899</v>
      </c>
      <c r="AA1920">
        <v>342873</v>
      </c>
      <c r="AB1920" t="str">
        <f>(VLOOKUP(SalesData[[#This Row],[Month Number]],Reference!C$5:E$16,2,FALSE))</f>
        <v>Feb</v>
      </c>
      <c r="AC1920">
        <f>MONTH(SalesData[[#This Row],[Date]])</f>
        <v>2</v>
      </c>
      <c r="AD1920">
        <f>Reference!F$4</f>
        <v>2026</v>
      </c>
      <c r="AE1920" t="str">
        <f>IF(OR(SalesData[[#This Row],[Day]]="Saturday",SalesData[[#This Row],[Day]]="Sunday"),"Weekend","Weekday")</f>
        <v>Weekday</v>
      </c>
      <c r="AF1920" s="5">
        <f>IF(SalesData[[#This Row],[Contracts Offered]]=0,0,SalesData[[#This Row],[Contracts Signed]]/SalesData[[#This Row],[Contracts Offered]])</f>
        <v>0.34177215189873417</v>
      </c>
      <c r="AG1920" s="5">
        <f>IF(SalesData[[#This Row],[Customers Visited]]=0,0,SalesData[[#This Row],[Test Drives]]/SalesData[[#This Row],[Customers Visited]])</f>
        <v>0.54822335025380708</v>
      </c>
      <c r="AH1920" s="5">
        <f>IF(SalesData[[#This Row],[Customers Visited]]=0,0,SalesData[[#This Row],[Contracts Signed]]/SalesData[[#This Row],[Customers Visited]])</f>
        <v>0.13705583756345177</v>
      </c>
      <c r="AI1920" s="6">
        <f>IF(SalesData[[#This Row],[Contracts Signed]]=0,0,SalesData[[#This Row],[Profit(€)]]/SalesData[[#This Row],[Contracts Signed]])</f>
        <v>12699</v>
      </c>
      <c r="AJ1920" s="5" t="str">
        <f>TRIM(CLEAN(SalesData[[#This Row],[Retailer]]))</f>
        <v>Saxon Wheels</v>
      </c>
    </row>
    <row r="1921" spans="1:36" ht="14.25" hidden="1" x14ac:dyDescent="0.2">
      <c r="A1921" t="s">
        <v>2903</v>
      </c>
      <c r="B1921" s="1">
        <v>46056</v>
      </c>
      <c r="C1921" t="s">
        <v>24</v>
      </c>
      <c r="D1921" t="s">
        <v>63</v>
      </c>
      <c r="E1921" t="s">
        <v>26</v>
      </c>
      <c r="F1921" t="s">
        <v>7649</v>
      </c>
      <c r="G1921" t="s">
        <v>55</v>
      </c>
      <c r="H1921" t="s">
        <v>55</v>
      </c>
      <c r="I1921" t="s">
        <v>116</v>
      </c>
      <c r="J1921" t="s">
        <v>7026</v>
      </c>
      <c r="K1921" t="s">
        <v>32</v>
      </c>
      <c r="L1921" t="s">
        <v>46</v>
      </c>
      <c r="M1921" t="s">
        <v>34</v>
      </c>
      <c r="N1921" t="s">
        <v>35</v>
      </c>
      <c r="O1921" t="s">
        <v>36</v>
      </c>
      <c r="P1921" t="s">
        <v>71</v>
      </c>
      <c r="Q1921" t="s">
        <v>189</v>
      </c>
      <c r="R1921">
        <v>237</v>
      </c>
      <c r="S1921">
        <v>130</v>
      </c>
      <c r="T1921">
        <v>87</v>
      </c>
      <c r="U1921">
        <v>21</v>
      </c>
      <c r="V1921" t="s">
        <v>3319</v>
      </c>
      <c r="W1921">
        <v>23136</v>
      </c>
      <c r="X1921" t="s">
        <v>791</v>
      </c>
      <c r="Y1921">
        <v>20722</v>
      </c>
      <c r="Z1921">
        <v>485856</v>
      </c>
      <c r="AA1921">
        <v>50694</v>
      </c>
      <c r="AB1921" t="str">
        <f>(VLOOKUP(SalesData[[#This Row],[Month Number]],Reference!C$5:E$16,2,FALSE))</f>
        <v>Feb</v>
      </c>
      <c r="AC1921">
        <f>MONTH(SalesData[[#This Row],[Date]])</f>
        <v>2</v>
      </c>
      <c r="AD1921">
        <f>Reference!F$4</f>
        <v>2026</v>
      </c>
      <c r="AE1921" t="str">
        <f>IF(OR(SalesData[[#This Row],[Day]]="Saturday",SalesData[[#This Row],[Day]]="Sunday"),"Weekend","Weekday")</f>
        <v>Weekday</v>
      </c>
      <c r="AF1921" s="5">
        <f>IF(SalesData[[#This Row],[Contracts Offered]]=0,0,SalesData[[#This Row],[Contracts Signed]]/SalesData[[#This Row],[Contracts Offered]])</f>
        <v>0.2413793103448276</v>
      </c>
      <c r="AG1921" s="5">
        <f>IF(SalesData[[#This Row],[Customers Visited]]=0,0,SalesData[[#This Row],[Test Drives]]/SalesData[[#This Row],[Customers Visited]])</f>
        <v>0.54852320675105481</v>
      </c>
      <c r="AH1921" s="5">
        <f>IF(SalesData[[#This Row],[Customers Visited]]=0,0,SalesData[[#This Row],[Contracts Signed]]/SalesData[[#This Row],[Customers Visited]])</f>
        <v>8.8607594936708861E-2</v>
      </c>
      <c r="AI1921" s="6">
        <f>IF(SalesData[[#This Row],[Contracts Signed]]=0,0,SalesData[[#This Row],[Profit(€)]]/SalesData[[#This Row],[Contracts Signed]])</f>
        <v>2414</v>
      </c>
      <c r="AJ1921" s="5" t="str">
        <f>TRIM(CLEAN(SalesData[[#This Row],[Retailer]]))</f>
        <v>Autohaus Berlin</v>
      </c>
    </row>
    <row r="1922" spans="1:36" ht="14.25" hidden="1" x14ac:dyDescent="0.2">
      <c r="A1922" t="s">
        <v>2904</v>
      </c>
      <c r="B1922" s="1">
        <v>46074</v>
      </c>
      <c r="C1922" t="s">
        <v>62</v>
      </c>
      <c r="D1922" t="s">
        <v>151</v>
      </c>
      <c r="E1922" t="s">
        <v>42</v>
      </c>
      <c r="F1922" t="s">
        <v>127</v>
      </c>
      <c r="G1922" t="s">
        <v>128</v>
      </c>
      <c r="H1922" t="s">
        <v>103</v>
      </c>
      <c r="I1922" t="s">
        <v>116</v>
      </c>
      <c r="J1922" t="s">
        <v>132</v>
      </c>
      <c r="K1922" t="s">
        <v>91</v>
      </c>
      <c r="L1922" t="s">
        <v>46</v>
      </c>
      <c r="M1922" t="s">
        <v>34</v>
      </c>
      <c r="N1922" t="s">
        <v>35</v>
      </c>
      <c r="O1922" t="s">
        <v>36</v>
      </c>
      <c r="P1922" t="s">
        <v>71</v>
      </c>
      <c r="Q1922" t="s">
        <v>59</v>
      </c>
      <c r="R1922">
        <v>337</v>
      </c>
      <c r="S1922">
        <v>133</v>
      </c>
      <c r="T1922">
        <v>92</v>
      </c>
      <c r="U1922">
        <v>25</v>
      </c>
      <c r="V1922" t="s">
        <v>2639</v>
      </c>
      <c r="W1922">
        <v>22156</v>
      </c>
      <c r="X1922" t="s">
        <v>303</v>
      </c>
      <c r="Y1922">
        <v>19958</v>
      </c>
      <c r="Z1922">
        <v>553900</v>
      </c>
      <c r="AA1922">
        <v>54950</v>
      </c>
      <c r="AB1922" t="str">
        <f>(VLOOKUP(SalesData[[#This Row],[Month Number]],Reference!C$5:E$16,2,FALSE))</f>
        <v>Feb</v>
      </c>
      <c r="AC1922">
        <f>MONTH(SalesData[[#This Row],[Date]])</f>
        <v>2</v>
      </c>
      <c r="AD1922">
        <f>Reference!F$4</f>
        <v>2026</v>
      </c>
      <c r="AE1922" t="str">
        <f>IF(OR(SalesData[[#This Row],[Day]]="Saturday",SalesData[[#This Row],[Day]]="Sunday"),"Weekend","Weekday")</f>
        <v>Weekend</v>
      </c>
      <c r="AF1922" s="5">
        <f>IF(SalesData[[#This Row],[Contracts Offered]]=0,0,SalesData[[#This Row],[Contracts Signed]]/SalesData[[#This Row],[Contracts Offered]])</f>
        <v>0.27173913043478259</v>
      </c>
      <c r="AG1922" s="5">
        <f>IF(SalesData[[#This Row],[Customers Visited]]=0,0,SalesData[[#This Row],[Test Drives]]/SalesData[[#This Row],[Customers Visited]])</f>
        <v>0.39465875370919884</v>
      </c>
      <c r="AH1922" s="5">
        <f>IF(SalesData[[#This Row],[Customers Visited]]=0,0,SalesData[[#This Row],[Contracts Signed]]/SalesData[[#This Row],[Customers Visited]])</f>
        <v>7.418397626112759E-2</v>
      </c>
      <c r="AI1922" s="6">
        <f>IF(SalesData[[#This Row],[Contracts Signed]]=0,0,SalesData[[#This Row],[Profit(€)]]/SalesData[[#This Row],[Contracts Signed]])</f>
        <v>2198</v>
      </c>
      <c r="AJ1922" s="5" t="str">
        <f>TRIM(CLEAN(SalesData[[#This Row],[Retailer]]))</f>
        <v>Rhein Auto Group</v>
      </c>
    </row>
    <row r="1923" spans="1:36" ht="14.25" hidden="1" x14ac:dyDescent="0.2">
      <c r="A1923" t="s">
        <v>2905</v>
      </c>
      <c r="B1923" s="1">
        <v>46059</v>
      </c>
      <c r="C1923" t="s">
        <v>24</v>
      </c>
      <c r="D1923" t="s">
        <v>54</v>
      </c>
      <c r="E1923" t="s">
        <v>26</v>
      </c>
      <c r="F1923" t="s">
        <v>83</v>
      </c>
      <c r="G1923" t="s">
        <v>84</v>
      </c>
      <c r="H1923" t="s">
        <v>85</v>
      </c>
      <c r="I1923" t="s">
        <v>56</v>
      </c>
      <c r="J1923" t="s">
        <v>137</v>
      </c>
      <c r="K1923" t="s">
        <v>78</v>
      </c>
      <c r="L1923" t="s">
        <v>46</v>
      </c>
      <c r="M1923" t="s">
        <v>47</v>
      </c>
      <c r="N1923" t="s">
        <v>69</v>
      </c>
      <c r="O1923" t="s">
        <v>70</v>
      </c>
      <c r="P1923" t="s">
        <v>49</v>
      </c>
      <c r="Q1923" t="s">
        <v>59</v>
      </c>
      <c r="R1923">
        <v>180</v>
      </c>
      <c r="S1923">
        <v>110</v>
      </c>
      <c r="T1923">
        <v>76</v>
      </c>
      <c r="U1923">
        <v>23</v>
      </c>
      <c r="V1923" t="s">
        <v>6755</v>
      </c>
      <c r="W1923">
        <v>50859</v>
      </c>
      <c r="X1923" t="s">
        <v>196</v>
      </c>
      <c r="Y1923">
        <v>38990</v>
      </c>
      <c r="Z1923">
        <v>1169757</v>
      </c>
      <c r="AA1923">
        <v>272987</v>
      </c>
      <c r="AB1923" t="str">
        <f>(VLOOKUP(SalesData[[#This Row],[Month Number]],Reference!C$5:E$16,2,FALSE))</f>
        <v>Feb</v>
      </c>
      <c r="AC1923">
        <f>MONTH(SalesData[[#This Row],[Date]])</f>
        <v>2</v>
      </c>
      <c r="AD1923">
        <f>Reference!F$4</f>
        <v>2026</v>
      </c>
      <c r="AE1923" t="str">
        <f>IF(OR(SalesData[[#This Row],[Day]]="Saturday",SalesData[[#This Row],[Day]]="Sunday"),"Weekend","Weekday")</f>
        <v>Weekday</v>
      </c>
      <c r="AF1923" s="5">
        <f>IF(SalesData[[#This Row],[Contracts Offered]]=0,0,SalesData[[#This Row],[Contracts Signed]]/SalesData[[#This Row],[Contracts Offered]])</f>
        <v>0.30263157894736842</v>
      </c>
      <c r="AG1923" s="5">
        <f>IF(SalesData[[#This Row],[Customers Visited]]=0,0,SalesData[[#This Row],[Test Drives]]/SalesData[[#This Row],[Customers Visited]])</f>
        <v>0.61111111111111116</v>
      </c>
      <c r="AH1923" s="5">
        <f>IF(SalesData[[#This Row],[Customers Visited]]=0,0,SalesData[[#This Row],[Contracts Signed]]/SalesData[[#This Row],[Customers Visited]])</f>
        <v>0.12777777777777777</v>
      </c>
      <c r="AI1923" s="6">
        <f>IF(SalesData[[#This Row],[Contracts Signed]]=0,0,SalesData[[#This Row],[Profit(€)]]/SalesData[[#This Row],[Contracts Signed]])</f>
        <v>11869</v>
      </c>
      <c r="AJ1923" s="5" t="str">
        <f>TRIM(CLEAN(SalesData[[#This Row],[Retailer]]))</f>
        <v>Hannover Cars</v>
      </c>
    </row>
    <row r="1924" spans="1:36" ht="14.25" hidden="1" x14ac:dyDescent="0.2">
      <c r="A1924" t="s">
        <v>2906</v>
      </c>
      <c r="B1924" s="1">
        <v>46062</v>
      </c>
      <c r="C1924" t="s">
        <v>121</v>
      </c>
      <c r="D1924" t="s">
        <v>25</v>
      </c>
      <c r="E1924" t="s">
        <v>26</v>
      </c>
      <c r="F1924" t="s">
        <v>109</v>
      </c>
      <c r="G1924" t="s">
        <v>110</v>
      </c>
      <c r="H1924" t="s">
        <v>45</v>
      </c>
      <c r="I1924" t="s">
        <v>116</v>
      </c>
      <c r="J1924" t="s">
        <v>7026</v>
      </c>
      <c r="K1924" t="s">
        <v>66</v>
      </c>
      <c r="L1924" t="s">
        <v>46</v>
      </c>
      <c r="M1924" t="s">
        <v>68</v>
      </c>
      <c r="N1924" t="s">
        <v>35</v>
      </c>
      <c r="O1924" t="s">
        <v>70</v>
      </c>
      <c r="P1924" t="s">
        <v>49</v>
      </c>
      <c r="Q1924" t="s">
        <v>347</v>
      </c>
      <c r="R1924">
        <v>350</v>
      </c>
      <c r="S1924">
        <v>192</v>
      </c>
      <c r="T1924">
        <v>132</v>
      </c>
      <c r="U1924">
        <v>22</v>
      </c>
      <c r="V1924" t="s">
        <v>2445</v>
      </c>
      <c r="W1924">
        <v>24970</v>
      </c>
      <c r="X1924" t="s">
        <v>1192</v>
      </c>
      <c r="Y1924">
        <v>22708</v>
      </c>
      <c r="Z1924">
        <v>549340</v>
      </c>
      <c r="AA1924">
        <v>49764</v>
      </c>
      <c r="AB1924" t="str">
        <f>(VLOOKUP(SalesData[[#This Row],[Month Number]],Reference!C$5:E$16,2,FALSE))</f>
        <v>Feb</v>
      </c>
      <c r="AC1924">
        <f>MONTH(SalesData[[#This Row],[Date]])</f>
        <v>2</v>
      </c>
      <c r="AD1924">
        <f>Reference!F$4</f>
        <v>2026</v>
      </c>
      <c r="AE1924" t="str">
        <f>IF(OR(SalesData[[#This Row],[Day]]="Saturday",SalesData[[#This Row],[Day]]="Sunday"),"Weekend","Weekday")</f>
        <v>Weekday</v>
      </c>
      <c r="AF1924" s="5">
        <f>IF(SalesData[[#This Row],[Contracts Offered]]=0,0,SalesData[[#This Row],[Contracts Signed]]/SalesData[[#This Row],[Contracts Offered]])</f>
        <v>0.16666666666666666</v>
      </c>
      <c r="AG1924" s="5">
        <f>IF(SalesData[[#This Row],[Customers Visited]]=0,0,SalesData[[#This Row],[Test Drives]]/SalesData[[#This Row],[Customers Visited]])</f>
        <v>0.5485714285714286</v>
      </c>
      <c r="AH1924" s="5">
        <f>IF(SalesData[[#This Row],[Customers Visited]]=0,0,SalesData[[#This Row],[Contracts Signed]]/SalesData[[#This Row],[Customers Visited]])</f>
        <v>6.2857142857142861E-2</v>
      </c>
      <c r="AI1924" s="6">
        <f>IF(SalesData[[#This Row],[Contracts Signed]]=0,0,SalesData[[#This Row],[Profit(€)]]/SalesData[[#This Row],[Contracts Signed]])</f>
        <v>2262</v>
      </c>
      <c r="AJ1924" s="5" t="str">
        <f>TRIM(CLEAN(SalesData[[#This Row],[Retailer]]))</f>
        <v>Leipzig Mobility</v>
      </c>
    </row>
    <row r="1925" spans="1:36" ht="14.25" hidden="1" x14ac:dyDescent="0.2">
      <c r="A1925" t="s">
        <v>2907</v>
      </c>
      <c r="B1925" s="1">
        <v>46075</v>
      </c>
      <c r="C1925" t="s">
        <v>53</v>
      </c>
      <c r="D1925" t="s">
        <v>41</v>
      </c>
      <c r="E1925" t="s">
        <v>42</v>
      </c>
      <c r="F1925" t="s">
        <v>27</v>
      </c>
      <c r="G1925" t="s">
        <v>28</v>
      </c>
      <c r="H1925" t="s">
        <v>29</v>
      </c>
      <c r="I1925" t="s">
        <v>64</v>
      </c>
      <c r="J1925" t="s">
        <v>65</v>
      </c>
      <c r="K1925" t="s">
        <v>32</v>
      </c>
      <c r="L1925" t="s">
        <v>33</v>
      </c>
      <c r="M1925" t="s">
        <v>68</v>
      </c>
      <c r="N1925" t="s">
        <v>69</v>
      </c>
      <c r="O1925" t="s">
        <v>70</v>
      </c>
      <c r="P1925" t="s">
        <v>71</v>
      </c>
      <c r="Q1925" t="s">
        <v>167</v>
      </c>
      <c r="R1925">
        <v>260</v>
      </c>
      <c r="S1925">
        <v>120</v>
      </c>
      <c r="T1925">
        <v>93</v>
      </c>
      <c r="U1925">
        <v>28</v>
      </c>
      <c r="V1925" t="s">
        <v>6365</v>
      </c>
      <c r="W1925">
        <v>56750</v>
      </c>
      <c r="X1925" t="s">
        <v>7404</v>
      </c>
      <c r="Y1925">
        <v>42812</v>
      </c>
      <c r="Z1925">
        <v>1589000</v>
      </c>
      <c r="AA1925">
        <v>390264</v>
      </c>
      <c r="AB1925" t="str">
        <f>(VLOOKUP(SalesData[[#This Row],[Month Number]],Reference!C$5:E$16,2,FALSE))</f>
        <v>Feb</v>
      </c>
      <c r="AC1925">
        <f>MONTH(SalesData[[#This Row],[Date]])</f>
        <v>2</v>
      </c>
      <c r="AD1925">
        <f>Reference!F$4</f>
        <v>2026</v>
      </c>
      <c r="AE1925" t="str">
        <f>IF(OR(SalesData[[#This Row],[Day]]="Saturday",SalesData[[#This Row],[Day]]="Sunday"),"Weekend","Weekday")</f>
        <v>Weekend</v>
      </c>
      <c r="AF1925" s="5">
        <f>IF(SalesData[[#This Row],[Contracts Offered]]=0,0,SalesData[[#This Row],[Contracts Signed]]/SalesData[[#This Row],[Contracts Offered]])</f>
        <v>0.30107526881720431</v>
      </c>
      <c r="AG1925" s="5">
        <f>IF(SalesData[[#This Row],[Customers Visited]]=0,0,SalesData[[#This Row],[Test Drives]]/SalesData[[#This Row],[Customers Visited]])</f>
        <v>0.46153846153846156</v>
      </c>
      <c r="AH1925" s="5">
        <f>IF(SalesData[[#This Row],[Customers Visited]]=0,0,SalesData[[#This Row],[Contracts Signed]]/SalesData[[#This Row],[Customers Visited]])</f>
        <v>0.1076923076923077</v>
      </c>
      <c r="AI1925" s="6">
        <f>IF(SalesData[[#This Row],[Contracts Signed]]=0,0,SalesData[[#This Row],[Profit(€)]]/SalesData[[#This Row],[Contracts Signed]])</f>
        <v>13938</v>
      </c>
      <c r="AJ1925" s="5" t="str">
        <f>TRIM(CLEAN(SalesData[[#This Row],[Retailer]]))</f>
        <v>Main Auto Hub</v>
      </c>
    </row>
    <row r="1926" spans="1:36" ht="14.25" hidden="1" x14ac:dyDescent="0.2">
      <c r="A1926" t="s">
        <v>2908</v>
      </c>
      <c r="B1926" s="1">
        <v>46060</v>
      </c>
      <c r="C1926" t="s">
        <v>24</v>
      </c>
      <c r="D1926" t="s">
        <v>151</v>
      </c>
      <c r="E1926" t="s">
        <v>42</v>
      </c>
      <c r="F1926" t="s">
        <v>114</v>
      </c>
      <c r="G1926" t="s">
        <v>115</v>
      </c>
      <c r="H1926" t="s">
        <v>115</v>
      </c>
      <c r="I1926" t="s">
        <v>116</v>
      </c>
      <c r="J1926" t="s">
        <v>7026</v>
      </c>
      <c r="K1926" t="s">
        <v>91</v>
      </c>
      <c r="L1926" t="s">
        <v>46</v>
      </c>
      <c r="M1926" t="s">
        <v>34</v>
      </c>
      <c r="N1926" t="s">
        <v>69</v>
      </c>
      <c r="O1926" t="s">
        <v>36</v>
      </c>
      <c r="P1926" t="s">
        <v>37</v>
      </c>
      <c r="Q1926" t="s">
        <v>79</v>
      </c>
      <c r="R1926">
        <v>297</v>
      </c>
      <c r="S1926">
        <v>151</v>
      </c>
      <c r="T1926">
        <v>87</v>
      </c>
      <c r="U1926">
        <v>21</v>
      </c>
      <c r="V1926" t="s">
        <v>161</v>
      </c>
      <c r="W1926">
        <v>21074</v>
      </c>
      <c r="X1926" t="s">
        <v>3200</v>
      </c>
      <c r="Y1926">
        <v>19440</v>
      </c>
      <c r="Z1926">
        <v>442554</v>
      </c>
      <c r="AA1926">
        <v>34314</v>
      </c>
      <c r="AB1926" t="str">
        <f>(VLOOKUP(SalesData[[#This Row],[Month Number]],Reference!C$5:E$16,2,FALSE))</f>
        <v>Feb</v>
      </c>
      <c r="AC1926">
        <f>MONTH(SalesData[[#This Row],[Date]])</f>
        <v>2</v>
      </c>
      <c r="AD1926">
        <f>Reference!F$4</f>
        <v>2026</v>
      </c>
      <c r="AE1926" t="str">
        <f>IF(OR(SalesData[[#This Row],[Day]]="Saturday",SalesData[[#This Row],[Day]]="Sunday"),"Weekend","Weekday")</f>
        <v>Weekend</v>
      </c>
      <c r="AF1926" s="5">
        <f>IF(SalesData[[#This Row],[Contracts Offered]]=0,0,SalesData[[#This Row],[Contracts Signed]]/SalesData[[#This Row],[Contracts Offered]])</f>
        <v>0.2413793103448276</v>
      </c>
      <c r="AG1926" s="5">
        <f>IF(SalesData[[#This Row],[Customers Visited]]=0,0,SalesData[[#This Row],[Test Drives]]/SalesData[[#This Row],[Customers Visited]])</f>
        <v>0.50841750841750843</v>
      </c>
      <c r="AH1926" s="5">
        <f>IF(SalesData[[#This Row],[Customers Visited]]=0,0,SalesData[[#This Row],[Contracts Signed]]/SalesData[[#This Row],[Customers Visited]])</f>
        <v>7.0707070707070704E-2</v>
      </c>
      <c r="AI1926" s="6">
        <f>IF(SalesData[[#This Row],[Contracts Signed]]=0,0,SalesData[[#This Row],[Profit(€)]]/SalesData[[#This Row],[Contracts Signed]])</f>
        <v>1634</v>
      </c>
      <c r="AJ1926" s="5" t="str">
        <f>TRIM(CLEAN(SalesData[[#This Row],[Retailer]]))</f>
        <v>Elbe Drive</v>
      </c>
    </row>
    <row r="1927" spans="1:36" ht="14.25" hidden="1" x14ac:dyDescent="0.2">
      <c r="A1927" t="s">
        <v>2910</v>
      </c>
      <c r="B1927" s="1">
        <v>46068</v>
      </c>
      <c r="C1927" t="s">
        <v>62</v>
      </c>
      <c r="D1927" t="s">
        <v>41</v>
      </c>
      <c r="E1927" t="s">
        <v>42</v>
      </c>
      <c r="F1927" t="s">
        <v>109</v>
      </c>
      <c r="G1927" t="s">
        <v>110</v>
      </c>
      <c r="H1927" t="s">
        <v>45</v>
      </c>
      <c r="I1927" t="s">
        <v>64</v>
      </c>
      <c r="J1927" t="s">
        <v>157</v>
      </c>
      <c r="K1927" t="s">
        <v>78</v>
      </c>
      <c r="L1927" t="s">
        <v>33</v>
      </c>
      <c r="M1927" t="s">
        <v>34</v>
      </c>
      <c r="N1927" t="s">
        <v>35</v>
      </c>
      <c r="O1927" t="s">
        <v>70</v>
      </c>
      <c r="P1927" t="s">
        <v>49</v>
      </c>
      <c r="Q1927" t="s">
        <v>167</v>
      </c>
      <c r="R1927">
        <v>219</v>
      </c>
      <c r="S1927">
        <v>103</v>
      </c>
      <c r="T1927">
        <v>74</v>
      </c>
      <c r="U1927">
        <v>20</v>
      </c>
      <c r="V1927" t="s">
        <v>3532</v>
      </c>
      <c r="W1927">
        <v>69546</v>
      </c>
      <c r="X1927" t="s">
        <v>7177</v>
      </c>
      <c r="Y1927">
        <v>51892</v>
      </c>
      <c r="Z1927">
        <v>1390920</v>
      </c>
      <c r="AA1927">
        <v>353080</v>
      </c>
      <c r="AB1927" t="str">
        <f>(VLOOKUP(SalesData[[#This Row],[Month Number]],Reference!C$5:E$16,2,FALSE))</f>
        <v>Feb</v>
      </c>
      <c r="AC1927">
        <f>MONTH(SalesData[[#This Row],[Date]])</f>
        <v>2</v>
      </c>
      <c r="AD1927">
        <f>Reference!F$4</f>
        <v>2026</v>
      </c>
      <c r="AE1927" t="str">
        <f>IF(OR(SalesData[[#This Row],[Day]]="Saturday",SalesData[[#This Row],[Day]]="Sunday"),"Weekend","Weekday")</f>
        <v>Weekend</v>
      </c>
      <c r="AF1927" s="5">
        <f>IF(SalesData[[#This Row],[Contracts Offered]]=0,0,SalesData[[#This Row],[Contracts Signed]]/SalesData[[#This Row],[Contracts Offered]])</f>
        <v>0.27027027027027029</v>
      </c>
      <c r="AG1927" s="5">
        <f>IF(SalesData[[#This Row],[Customers Visited]]=0,0,SalesData[[#This Row],[Test Drives]]/SalesData[[#This Row],[Customers Visited]])</f>
        <v>0.47031963470319632</v>
      </c>
      <c r="AH1927" s="5">
        <f>IF(SalesData[[#This Row],[Customers Visited]]=0,0,SalesData[[#This Row],[Contracts Signed]]/SalesData[[#This Row],[Customers Visited]])</f>
        <v>9.1324200913242004E-2</v>
      </c>
      <c r="AI1927" s="6">
        <f>IF(SalesData[[#This Row],[Contracts Signed]]=0,0,SalesData[[#This Row],[Profit(€)]]/SalesData[[#This Row],[Contracts Signed]])</f>
        <v>17654</v>
      </c>
      <c r="AJ1927" s="5" t="str">
        <f>TRIM(CLEAN(SalesData[[#This Row],[Retailer]]))</f>
        <v>Leipzig Mobility</v>
      </c>
    </row>
    <row r="1928" spans="1:36" ht="14.25" x14ac:dyDescent="0.2">
      <c r="A1928" t="s">
        <v>2911</v>
      </c>
      <c r="B1928" s="1">
        <v>46055</v>
      </c>
      <c r="C1928" t="s">
        <v>24</v>
      </c>
      <c r="D1928" t="s">
        <v>25</v>
      </c>
      <c r="E1928" t="s">
        <v>26</v>
      </c>
      <c r="F1928" t="s">
        <v>94</v>
      </c>
      <c r="G1928" t="s">
        <v>95</v>
      </c>
      <c r="H1928" t="s">
        <v>96</v>
      </c>
      <c r="I1928" t="s">
        <v>30</v>
      </c>
      <c r="J1928" t="s">
        <v>188</v>
      </c>
      <c r="K1928" t="s">
        <v>78</v>
      </c>
      <c r="L1928" t="s">
        <v>33</v>
      </c>
      <c r="M1928" t="s">
        <v>87</v>
      </c>
      <c r="N1928" t="s">
        <v>48</v>
      </c>
      <c r="O1928" t="s">
        <v>36</v>
      </c>
      <c r="P1928" t="s">
        <v>58</v>
      </c>
      <c r="Q1928" t="s">
        <v>167</v>
      </c>
      <c r="R1928">
        <v>272</v>
      </c>
      <c r="S1928">
        <v>165</v>
      </c>
      <c r="T1928">
        <v>113</v>
      </c>
      <c r="U1928">
        <v>56</v>
      </c>
      <c r="V1928" t="s">
        <v>7495</v>
      </c>
      <c r="W1928">
        <v>58532</v>
      </c>
      <c r="X1928" t="s">
        <v>1489</v>
      </c>
      <c r="Y1928">
        <v>44764</v>
      </c>
      <c r="Z1928">
        <v>3277792</v>
      </c>
      <c r="AA1928">
        <v>771008</v>
      </c>
      <c r="AB1928" t="str">
        <f>(VLOOKUP(SalesData[[#This Row],[Month Number]],Reference!C$5:E$16,2,FALSE))</f>
        <v>Feb</v>
      </c>
      <c r="AC1928">
        <f>MONTH(SalesData[[#This Row],[Date]])</f>
        <v>2</v>
      </c>
      <c r="AD1928">
        <f>Reference!F$4</f>
        <v>2026</v>
      </c>
      <c r="AE1928" t="str">
        <f>IF(OR(SalesData[[#This Row],[Day]]="Saturday",SalesData[[#This Row],[Day]]="Sunday"),"Weekend","Weekday")</f>
        <v>Weekday</v>
      </c>
      <c r="AF1928" s="5">
        <f>IF(SalesData[[#This Row],[Contracts Offered]]=0,0,SalesData[[#This Row],[Contracts Signed]]/SalesData[[#This Row],[Contracts Offered]])</f>
        <v>0.49557522123893805</v>
      </c>
      <c r="AG1928" s="5">
        <f>IF(SalesData[[#This Row],[Customers Visited]]=0,0,SalesData[[#This Row],[Test Drives]]/SalesData[[#This Row],[Customers Visited]])</f>
        <v>0.60661764705882348</v>
      </c>
      <c r="AH1928" s="5">
        <f>IF(SalesData[[#This Row],[Customers Visited]]=0,0,SalesData[[#This Row],[Contracts Signed]]/SalesData[[#This Row],[Customers Visited]])</f>
        <v>0.20588235294117646</v>
      </c>
      <c r="AI1928" s="6">
        <f>IF(SalesData[[#This Row],[Contracts Signed]]=0,0,SalesData[[#This Row],[Profit(€)]]/SalesData[[#This Row],[Contracts Signed]])</f>
        <v>13768</v>
      </c>
      <c r="AJ1928" s="5" t="str">
        <f>TRIM(CLEAN(SalesData[[#This Row],[Retailer]]))</f>
        <v>Bavaria Motors</v>
      </c>
    </row>
    <row r="1929" spans="1:36" ht="14.25" x14ac:dyDescent="0.2">
      <c r="A1929" t="s">
        <v>2912</v>
      </c>
      <c r="B1929" s="1">
        <v>46058</v>
      </c>
      <c r="C1929" t="s">
        <v>24</v>
      </c>
      <c r="D1929" t="s">
        <v>100</v>
      </c>
      <c r="E1929" t="s">
        <v>26</v>
      </c>
      <c r="F1929" t="s">
        <v>83</v>
      </c>
      <c r="G1929" t="s">
        <v>84</v>
      </c>
      <c r="H1929" t="s">
        <v>85</v>
      </c>
      <c r="I1929" t="s">
        <v>30</v>
      </c>
      <c r="J1929" t="s">
        <v>86</v>
      </c>
      <c r="K1929" t="s">
        <v>78</v>
      </c>
      <c r="L1929" t="s">
        <v>33</v>
      </c>
      <c r="M1929" t="s">
        <v>87</v>
      </c>
      <c r="N1929" t="s">
        <v>48</v>
      </c>
      <c r="O1929" t="s">
        <v>36</v>
      </c>
      <c r="P1929" t="s">
        <v>37</v>
      </c>
      <c r="Q1929" t="s">
        <v>172</v>
      </c>
      <c r="R1929">
        <v>212</v>
      </c>
      <c r="S1929">
        <v>106</v>
      </c>
      <c r="T1929">
        <v>77</v>
      </c>
      <c r="U1929">
        <v>28</v>
      </c>
      <c r="V1929" t="s">
        <v>6539</v>
      </c>
      <c r="W1929">
        <v>51627</v>
      </c>
      <c r="X1929" t="s">
        <v>7196</v>
      </c>
      <c r="Y1929">
        <v>36317</v>
      </c>
      <c r="Z1929">
        <v>1445556</v>
      </c>
      <c r="AA1929">
        <v>428680</v>
      </c>
      <c r="AB1929" t="str">
        <f>(VLOOKUP(SalesData[[#This Row],[Month Number]],Reference!C$5:E$16,2,FALSE))</f>
        <v>Feb</v>
      </c>
      <c r="AC1929">
        <f>MONTH(SalesData[[#This Row],[Date]])</f>
        <v>2</v>
      </c>
      <c r="AD1929">
        <f>Reference!F$4</f>
        <v>2026</v>
      </c>
      <c r="AE1929" t="str">
        <f>IF(OR(SalesData[[#This Row],[Day]]="Saturday",SalesData[[#This Row],[Day]]="Sunday"),"Weekend","Weekday")</f>
        <v>Weekday</v>
      </c>
      <c r="AF1929" s="5">
        <f>IF(SalesData[[#This Row],[Contracts Offered]]=0,0,SalesData[[#This Row],[Contracts Signed]]/SalesData[[#This Row],[Contracts Offered]])</f>
        <v>0.36363636363636365</v>
      </c>
      <c r="AG1929" s="5">
        <f>IF(SalesData[[#This Row],[Customers Visited]]=0,0,SalesData[[#This Row],[Test Drives]]/SalesData[[#This Row],[Customers Visited]])</f>
        <v>0.5</v>
      </c>
      <c r="AH1929" s="5">
        <f>IF(SalesData[[#This Row],[Customers Visited]]=0,0,SalesData[[#This Row],[Contracts Signed]]/SalesData[[#This Row],[Customers Visited]])</f>
        <v>0.13207547169811321</v>
      </c>
      <c r="AI1929" s="6">
        <f>IF(SalesData[[#This Row],[Contracts Signed]]=0,0,SalesData[[#This Row],[Profit(€)]]/SalesData[[#This Row],[Contracts Signed]])</f>
        <v>15310</v>
      </c>
      <c r="AJ1929" s="5" t="str">
        <f>TRIM(CLEAN(SalesData[[#This Row],[Retailer]]))</f>
        <v>Hannover Cars</v>
      </c>
    </row>
    <row r="1930" spans="1:36" ht="14.25" x14ac:dyDescent="0.2">
      <c r="A1930" t="s">
        <v>2913</v>
      </c>
      <c r="B1930" s="1">
        <v>46069</v>
      </c>
      <c r="C1930" t="s">
        <v>62</v>
      </c>
      <c r="D1930" t="s">
        <v>25</v>
      </c>
      <c r="E1930" t="s">
        <v>26</v>
      </c>
      <c r="F1930" t="s">
        <v>74</v>
      </c>
      <c r="G1930" t="s">
        <v>75</v>
      </c>
      <c r="H1930" t="s">
        <v>76</v>
      </c>
      <c r="I1930" t="s">
        <v>30</v>
      </c>
      <c r="J1930" t="s">
        <v>86</v>
      </c>
      <c r="K1930" t="s">
        <v>66</v>
      </c>
      <c r="L1930" t="s">
        <v>33</v>
      </c>
      <c r="M1930" t="s">
        <v>34</v>
      </c>
      <c r="N1930" t="s">
        <v>35</v>
      </c>
      <c r="O1930" t="s">
        <v>70</v>
      </c>
      <c r="P1930" t="s">
        <v>58</v>
      </c>
      <c r="Q1930" t="s">
        <v>158</v>
      </c>
      <c r="R1930">
        <v>240</v>
      </c>
      <c r="S1930">
        <v>128</v>
      </c>
      <c r="T1930">
        <v>100</v>
      </c>
      <c r="U1930">
        <v>37</v>
      </c>
      <c r="V1930" t="s">
        <v>6666</v>
      </c>
      <c r="W1930">
        <v>50680</v>
      </c>
      <c r="X1930" t="s">
        <v>7112</v>
      </c>
      <c r="Y1930">
        <v>35672</v>
      </c>
      <c r="Z1930">
        <v>1875160</v>
      </c>
      <c r="AA1930">
        <v>555296</v>
      </c>
      <c r="AB1930" t="str">
        <f>(VLOOKUP(SalesData[[#This Row],[Month Number]],Reference!C$5:E$16,2,FALSE))</f>
        <v>Feb</v>
      </c>
      <c r="AC1930">
        <f>MONTH(SalesData[[#This Row],[Date]])</f>
        <v>2</v>
      </c>
      <c r="AD1930">
        <f>Reference!F$4</f>
        <v>2026</v>
      </c>
      <c r="AE1930" t="str">
        <f>IF(OR(SalesData[[#This Row],[Day]]="Saturday",SalesData[[#This Row],[Day]]="Sunday"),"Weekend","Weekday")</f>
        <v>Weekday</v>
      </c>
      <c r="AF1930" s="5">
        <f>IF(SalesData[[#This Row],[Contracts Offered]]=0,0,SalesData[[#This Row],[Contracts Signed]]/SalesData[[#This Row],[Contracts Offered]])</f>
        <v>0.37</v>
      </c>
      <c r="AG1930" s="5">
        <f>IF(SalesData[[#This Row],[Customers Visited]]=0,0,SalesData[[#This Row],[Test Drives]]/SalesData[[#This Row],[Customers Visited]])</f>
        <v>0.53333333333333333</v>
      </c>
      <c r="AH1930" s="5">
        <f>IF(SalesData[[#This Row],[Customers Visited]]=0,0,SalesData[[#This Row],[Contracts Signed]]/SalesData[[#This Row],[Customers Visited]])</f>
        <v>0.15416666666666667</v>
      </c>
      <c r="AI1930" s="6">
        <f>IF(SalesData[[#This Row],[Contracts Signed]]=0,0,SalesData[[#This Row],[Profit(€)]]/SalesData[[#This Row],[Contracts Signed]])</f>
        <v>15008</v>
      </c>
      <c r="AJ1930" s="5" t="str">
        <f>TRIM(CLEAN(SalesData[[#This Row],[Retailer]]))</f>
        <v>Stuttgart Auto Center</v>
      </c>
    </row>
    <row r="1931" spans="1:36" ht="14.25" hidden="1" x14ac:dyDescent="0.2">
      <c r="A1931" t="s">
        <v>2914</v>
      </c>
      <c r="B1931" s="1">
        <v>46069</v>
      </c>
      <c r="C1931" t="s">
        <v>62</v>
      </c>
      <c r="D1931" t="s">
        <v>25</v>
      </c>
      <c r="E1931" t="s">
        <v>26</v>
      </c>
      <c r="F1931" t="s">
        <v>101</v>
      </c>
      <c r="G1931" t="s">
        <v>102</v>
      </c>
      <c r="H1931" t="s">
        <v>103</v>
      </c>
      <c r="I1931" t="s">
        <v>104</v>
      </c>
      <c r="J1931" t="s">
        <v>143</v>
      </c>
      <c r="K1931" t="s">
        <v>91</v>
      </c>
      <c r="L1931" t="s">
        <v>67</v>
      </c>
      <c r="M1931" t="s">
        <v>87</v>
      </c>
      <c r="N1931" t="s">
        <v>35</v>
      </c>
      <c r="O1931" t="s">
        <v>36</v>
      </c>
      <c r="P1931" t="s">
        <v>49</v>
      </c>
      <c r="Q1931" t="s">
        <v>88</v>
      </c>
      <c r="R1931">
        <v>317</v>
      </c>
      <c r="S1931">
        <v>146</v>
      </c>
      <c r="T1931">
        <v>103</v>
      </c>
      <c r="U1931">
        <v>17</v>
      </c>
      <c r="V1931" t="s">
        <v>2739</v>
      </c>
      <c r="W1931">
        <v>29183</v>
      </c>
      <c r="X1931" t="s">
        <v>7341</v>
      </c>
      <c r="Y1931">
        <v>25891</v>
      </c>
      <c r="Z1931">
        <v>496111</v>
      </c>
      <c r="AA1931">
        <v>55964</v>
      </c>
      <c r="AB1931" t="str">
        <f>(VLOOKUP(SalesData[[#This Row],[Month Number]],Reference!C$5:E$16,2,FALSE))</f>
        <v>Feb</v>
      </c>
      <c r="AC1931">
        <f>MONTH(SalesData[[#This Row],[Date]])</f>
        <v>2</v>
      </c>
      <c r="AD1931">
        <f>Reference!F$4</f>
        <v>2026</v>
      </c>
      <c r="AE1931" t="str">
        <f>IF(OR(SalesData[[#This Row],[Day]]="Saturday",SalesData[[#This Row],[Day]]="Sunday"),"Weekend","Weekday")</f>
        <v>Weekday</v>
      </c>
      <c r="AF1931" s="5">
        <f>IF(SalesData[[#This Row],[Contracts Offered]]=0,0,SalesData[[#This Row],[Contracts Signed]]/SalesData[[#This Row],[Contracts Offered]])</f>
        <v>0.1650485436893204</v>
      </c>
      <c r="AG1931" s="5">
        <f>IF(SalesData[[#This Row],[Customers Visited]]=0,0,SalesData[[#This Row],[Test Drives]]/SalesData[[#This Row],[Customers Visited]])</f>
        <v>0.4605678233438486</v>
      </c>
      <c r="AH1931" s="5">
        <f>IF(SalesData[[#This Row],[Customers Visited]]=0,0,SalesData[[#This Row],[Contracts Signed]]/SalesData[[#This Row],[Customers Visited]])</f>
        <v>5.362776025236593E-2</v>
      </c>
      <c r="AI1931" s="6">
        <f>IF(SalesData[[#This Row],[Contracts Signed]]=0,0,SalesData[[#This Row],[Profit(€)]]/SalesData[[#This Row],[Contracts Signed]])</f>
        <v>3292</v>
      </c>
      <c r="AJ1931" s="5" t="str">
        <f>TRIM(CLEAN(SalesData[[#This Row],[Retailer]]))</f>
        <v>Ruhr Auto Plaza</v>
      </c>
    </row>
    <row r="1932" spans="1:36" ht="14.25" hidden="1" x14ac:dyDescent="0.2">
      <c r="A1932" t="s">
        <v>2915</v>
      </c>
      <c r="B1932" s="1">
        <v>46081</v>
      </c>
      <c r="C1932" t="s">
        <v>53</v>
      </c>
      <c r="D1932" t="s">
        <v>151</v>
      </c>
      <c r="E1932" t="s">
        <v>42</v>
      </c>
      <c r="F1932" t="s">
        <v>43</v>
      </c>
      <c r="G1932" t="s">
        <v>44</v>
      </c>
      <c r="H1932" t="s">
        <v>45</v>
      </c>
      <c r="I1932" t="s">
        <v>64</v>
      </c>
      <c r="J1932" t="s">
        <v>77</v>
      </c>
      <c r="K1932" t="s">
        <v>91</v>
      </c>
      <c r="L1932" t="s">
        <v>46</v>
      </c>
      <c r="M1932" t="s">
        <v>87</v>
      </c>
      <c r="N1932" t="s">
        <v>48</v>
      </c>
      <c r="O1932" t="s">
        <v>70</v>
      </c>
      <c r="P1932" t="s">
        <v>49</v>
      </c>
      <c r="Q1932" t="s">
        <v>118</v>
      </c>
      <c r="R1932">
        <v>211</v>
      </c>
      <c r="S1932">
        <v>108</v>
      </c>
      <c r="T1932">
        <v>78</v>
      </c>
      <c r="U1932">
        <v>22</v>
      </c>
      <c r="V1932" t="s">
        <v>6904</v>
      </c>
      <c r="W1932">
        <v>65235</v>
      </c>
      <c r="X1932" t="s">
        <v>2728</v>
      </c>
      <c r="Y1932">
        <v>46934</v>
      </c>
      <c r="Z1932">
        <v>1435170</v>
      </c>
      <c r="AA1932">
        <v>402622</v>
      </c>
      <c r="AB1932" t="str">
        <f>(VLOOKUP(SalesData[[#This Row],[Month Number]],Reference!C$5:E$16,2,FALSE))</f>
        <v>Feb</v>
      </c>
      <c r="AC1932">
        <f>MONTH(SalesData[[#This Row],[Date]])</f>
        <v>2</v>
      </c>
      <c r="AD1932">
        <f>Reference!F$4</f>
        <v>2026</v>
      </c>
      <c r="AE1932" t="str">
        <f>IF(OR(SalesData[[#This Row],[Day]]="Saturday",SalesData[[#This Row],[Day]]="Sunday"),"Weekend","Weekday")</f>
        <v>Weekend</v>
      </c>
      <c r="AF1932" s="5">
        <f>IF(SalesData[[#This Row],[Contracts Offered]]=0,0,SalesData[[#This Row],[Contracts Signed]]/SalesData[[#This Row],[Contracts Offered]])</f>
        <v>0.28205128205128205</v>
      </c>
      <c r="AG1932" s="5">
        <f>IF(SalesData[[#This Row],[Customers Visited]]=0,0,SalesData[[#This Row],[Test Drives]]/SalesData[[#This Row],[Customers Visited]])</f>
        <v>0.51184834123222744</v>
      </c>
      <c r="AH1932" s="5">
        <f>IF(SalesData[[#This Row],[Customers Visited]]=0,0,SalesData[[#This Row],[Contracts Signed]]/SalesData[[#This Row],[Customers Visited]])</f>
        <v>0.10426540284360189</v>
      </c>
      <c r="AI1932" s="6">
        <f>IF(SalesData[[#This Row],[Contracts Signed]]=0,0,SalesData[[#This Row],[Profit(€)]]/SalesData[[#This Row],[Contracts Signed]])</f>
        <v>18301</v>
      </c>
      <c r="AJ1932" s="5" t="str">
        <f>TRIM(CLEAN(SalesData[[#This Row],[Retailer]]))</f>
        <v>Saxon Wheels</v>
      </c>
    </row>
    <row r="1933" spans="1:36" ht="14.25" x14ac:dyDescent="0.2">
      <c r="A1933" t="s">
        <v>2916</v>
      </c>
      <c r="B1933" s="1">
        <v>46065</v>
      </c>
      <c r="C1933" t="s">
        <v>121</v>
      </c>
      <c r="D1933" t="s">
        <v>100</v>
      </c>
      <c r="E1933" t="s">
        <v>26</v>
      </c>
      <c r="F1933" t="s">
        <v>127</v>
      </c>
      <c r="G1933" t="s">
        <v>128</v>
      </c>
      <c r="H1933" t="s">
        <v>103</v>
      </c>
      <c r="I1933" t="s">
        <v>30</v>
      </c>
      <c r="J1933" t="s">
        <v>31</v>
      </c>
      <c r="K1933" t="s">
        <v>78</v>
      </c>
      <c r="L1933" t="s">
        <v>46</v>
      </c>
      <c r="M1933" t="s">
        <v>47</v>
      </c>
      <c r="N1933" t="s">
        <v>69</v>
      </c>
      <c r="O1933" t="s">
        <v>70</v>
      </c>
      <c r="P1933" t="s">
        <v>58</v>
      </c>
      <c r="Q1933" t="s">
        <v>88</v>
      </c>
      <c r="R1933">
        <v>218</v>
      </c>
      <c r="S1933">
        <v>130</v>
      </c>
      <c r="T1933">
        <v>100</v>
      </c>
      <c r="U1933">
        <v>38</v>
      </c>
      <c r="V1933" t="s">
        <v>6961</v>
      </c>
      <c r="W1933">
        <v>62330</v>
      </c>
      <c r="X1933" t="s">
        <v>7073</v>
      </c>
      <c r="Y1933">
        <v>48224</v>
      </c>
      <c r="Z1933">
        <v>2368540</v>
      </c>
      <c r="AA1933">
        <v>536028</v>
      </c>
      <c r="AB1933" t="str">
        <f>(VLOOKUP(SalesData[[#This Row],[Month Number]],Reference!C$5:E$16,2,FALSE))</f>
        <v>Feb</v>
      </c>
      <c r="AC1933">
        <f>MONTH(SalesData[[#This Row],[Date]])</f>
        <v>2</v>
      </c>
      <c r="AD1933">
        <f>Reference!F$4</f>
        <v>2026</v>
      </c>
      <c r="AE1933" t="str">
        <f>IF(OR(SalesData[[#This Row],[Day]]="Saturday",SalesData[[#This Row],[Day]]="Sunday"),"Weekend","Weekday")</f>
        <v>Weekday</v>
      </c>
      <c r="AF1933" s="5">
        <f>IF(SalesData[[#This Row],[Contracts Offered]]=0,0,SalesData[[#This Row],[Contracts Signed]]/SalesData[[#This Row],[Contracts Offered]])</f>
        <v>0.38</v>
      </c>
      <c r="AG1933" s="5">
        <f>IF(SalesData[[#This Row],[Customers Visited]]=0,0,SalesData[[#This Row],[Test Drives]]/SalesData[[#This Row],[Customers Visited]])</f>
        <v>0.59633027522935778</v>
      </c>
      <c r="AH1933" s="5">
        <f>IF(SalesData[[#This Row],[Customers Visited]]=0,0,SalesData[[#This Row],[Contracts Signed]]/SalesData[[#This Row],[Customers Visited]])</f>
        <v>0.1743119266055046</v>
      </c>
      <c r="AI1933" s="6">
        <f>IF(SalesData[[#This Row],[Contracts Signed]]=0,0,SalesData[[#This Row],[Profit(€)]]/SalesData[[#This Row],[Contracts Signed]])</f>
        <v>14106</v>
      </c>
      <c r="AJ1933" s="5" t="str">
        <f>TRIM(CLEAN(SalesData[[#This Row],[Retailer]]))</f>
        <v>Rhein Auto Group</v>
      </c>
    </row>
    <row r="1934" spans="1:36" ht="14.25" hidden="1" x14ac:dyDescent="0.2">
      <c r="A1934" t="s">
        <v>2917</v>
      </c>
      <c r="B1934" s="1">
        <v>46056</v>
      </c>
      <c r="C1934" t="s">
        <v>24</v>
      </c>
      <c r="D1934" t="s">
        <v>63</v>
      </c>
      <c r="E1934" t="s">
        <v>26</v>
      </c>
      <c r="F1934" t="s">
        <v>109</v>
      </c>
      <c r="G1934" t="s">
        <v>110</v>
      </c>
      <c r="H1934" t="s">
        <v>45</v>
      </c>
      <c r="I1934" t="s">
        <v>104</v>
      </c>
      <c r="J1934" t="s">
        <v>105</v>
      </c>
      <c r="K1934" t="s">
        <v>91</v>
      </c>
      <c r="L1934" t="s">
        <v>33</v>
      </c>
      <c r="M1934" t="s">
        <v>34</v>
      </c>
      <c r="N1934" t="s">
        <v>69</v>
      </c>
      <c r="O1934" t="s">
        <v>36</v>
      </c>
      <c r="P1934" t="s">
        <v>58</v>
      </c>
      <c r="Q1934" t="s">
        <v>88</v>
      </c>
      <c r="R1934">
        <v>273</v>
      </c>
      <c r="S1934">
        <v>139</v>
      </c>
      <c r="T1934">
        <v>97</v>
      </c>
      <c r="U1934">
        <v>27</v>
      </c>
      <c r="V1934" t="s">
        <v>3532</v>
      </c>
      <c r="W1934">
        <v>29406</v>
      </c>
      <c r="X1934" t="s">
        <v>1405</v>
      </c>
      <c r="Y1934">
        <v>26668</v>
      </c>
      <c r="Z1934">
        <v>793962</v>
      </c>
      <c r="AA1934">
        <v>73926</v>
      </c>
      <c r="AB1934" t="str">
        <f>(VLOOKUP(SalesData[[#This Row],[Month Number]],Reference!C$5:E$16,2,FALSE))</f>
        <v>Feb</v>
      </c>
      <c r="AC1934">
        <f>MONTH(SalesData[[#This Row],[Date]])</f>
        <v>2</v>
      </c>
      <c r="AD1934">
        <f>Reference!F$4</f>
        <v>2026</v>
      </c>
      <c r="AE1934" t="str">
        <f>IF(OR(SalesData[[#This Row],[Day]]="Saturday",SalesData[[#This Row],[Day]]="Sunday"),"Weekend","Weekday")</f>
        <v>Weekday</v>
      </c>
      <c r="AF1934" s="5">
        <f>IF(SalesData[[#This Row],[Contracts Offered]]=0,0,SalesData[[#This Row],[Contracts Signed]]/SalesData[[#This Row],[Contracts Offered]])</f>
        <v>0.27835051546391754</v>
      </c>
      <c r="AG1934" s="5">
        <f>IF(SalesData[[#This Row],[Customers Visited]]=0,0,SalesData[[#This Row],[Test Drives]]/SalesData[[#This Row],[Customers Visited]])</f>
        <v>0.50915750915750912</v>
      </c>
      <c r="AH1934" s="5">
        <f>IF(SalesData[[#This Row],[Customers Visited]]=0,0,SalesData[[#This Row],[Contracts Signed]]/SalesData[[#This Row],[Customers Visited]])</f>
        <v>9.8901098901098897E-2</v>
      </c>
      <c r="AI1934" s="6">
        <f>IF(SalesData[[#This Row],[Contracts Signed]]=0,0,SalesData[[#This Row],[Profit(€)]]/SalesData[[#This Row],[Contracts Signed]])</f>
        <v>2738</v>
      </c>
      <c r="AJ1934" s="5" t="str">
        <f>TRIM(CLEAN(SalesData[[#This Row],[Retailer]]))</f>
        <v>Leipzig Mobility</v>
      </c>
    </row>
    <row r="1935" spans="1:36" ht="14.25" x14ac:dyDescent="0.2">
      <c r="A1935" t="s">
        <v>2918</v>
      </c>
      <c r="B1935" s="1">
        <v>46077</v>
      </c>
      <c r="C1935" t="s">
        <v>53</v>
      </c>
      <c r="D1935" t="s">
        <v>63</v>
      </c>
      <c r="E1935" t="s">
        <v>26</v>
      </c>
      <c r="F1935" t="s">
        <v>94</v>
      </c>
      <c r="G1935" t="s">
        <v>95</v>
      </c>
      <c r="H1935" t="s">
        <v>96</v>
      </c>
      <c r="I1935" t="s">
        <v>30</v>
      </c>
      <c r="J1935" t="s">
        <v>7075</v>
      </c>
      <c r="K1935" t="s">
        <v>78</v>
      </c>
      <c r="L1935" t="s">
        <v>33</v>
      </c>
      <c r="M1935" t="s">
        <v>87</v>
      </c>
      <c r="N1935" t="s">
        <v>48</v>
      </c>
      <c r="O1935" t="s">
        <v>70</v>
      </c>
      <c r="P1935" t="s">
        <v>49</v>
      </c>
      <c r="Q1935" t="s">
        <v>172</v>
      </c>
      <c r="R1935">
        <v>212</v>
      </c>
      <c r="S1935">
        <v>111</v>
      </c>
      <c r="T1935">
        <v>84</v>
      </c>
      <c r="U1935">
        <v>33</v>
      </c>
      <c r="V1935" t="s">
        <v>7000</v>
      </c>
      <c r="W1935">
        <v>58733</v>
      </c>
      <c r="X1935" t="s">
        <v>5566</v>
      </c>
      <c r="Y1935">
        <v>42577</v>
      </c>
      <c r="Z1935">
        <v>1938189</v>
      </c>
      <c r="AA1935">
        <v>533148</v>
      </c>
      <c r="AB1935" t="str">
        <f>(VLOOKUP(SalesData[[#This Row],[Month Number]],Reference!C$5:E$16,2,FALSE))</f>
        <v>Feb</v>
      </c>
      <c r="AC1935">
        <f>MONTH(SalesData[[#This Row],[Date]])</f>
        <v>2</v>
      </c>
      <c r="AD1935">
        <f>Reference!F$4</f>
        <v>2026</v>
      </c>
      <c r="AE1935" t="str">
        <f>IF(OR(SalesData[[#This Row],[Day]]="Saturday",SalesData[[#This Row],[Day]]="Sunday"),"Weekend","Weekday")</f>
        <v>Weekday</v>
      </c>
      <c r="AF1935" s="5">
        <f>IF(SalesData[[#This Row],[Contracts Offered]]=0,0,SalesData[[#This Row],[Contracts Signed]]/SalesData[[#This Row],[Contracts Offered]])</f>
        <v>0.39285714285714285</v>
      </c>
      <c r="AG1935" s="5">
        <f>IF(SalesData[[#This Row],[Customers Visited]]=0,0,SalesData[[#This Row],[Test Drives]]/SalesData[[#This Row],[Customers Visited]])</f>
        <v>0.52358490566037741</v>
      </c>
      <c r="AH1935" s="5">
        <f>IF(SalesData[[#This Row],[Customers Visited]]=0,0,SalesData[[#This Row],[Contracts Signed]]/SalesData[[#This Row],[Customers Visited]])</f>
        <v>0.15566037735849056</v>
      </c>
      <c r="AI1935" s="6">
        <f>IF(SalesData[[#This Row],[Contracts Signed]]=0,0,SalesData[[#This Row],[Profit(€)]]/SalesData[[#This Row],[Contracts Signed]])</f>
        <v>16156</v>
      </c>
      <c r="AJ1935" s="5" t="str">
        <f>TRIM(CLEAN(SalesData[[#This Row],[Retailer]]))</f>
        <v>Bavaria Motors</v>
      </c>
    </row>
    <row r="1936" spans="1:36" ht="14.25" hidden="1" x14ac:dyDescent="0.2">
      <c r="A1936" t="s">
        <v>2919</v>
      </c>
      <c r="B1936" s="1">
        <v>46061</v>
      </c>
      <c r="C1936" t="s">
        <v>121</v>
      </c>
      <c r="D1936" t="s">
        <v>41</v>
      </c>
      <c r="E1936" t="s">
        <v>42</v>
      </c>
      <c r="F1936" t="s">
        <v>74</v>
      </c>
      <c r="G1936" t="s">
        <v>75</v>
      </c>
      <c r="H1936" t="s">
        <v>76</v>
      </c>
      <c r="I1936" t="s">
        <v>64</v>
      </c>
      <c r="J1936" t="s">
        <v>65</v>
      </c>
      <c r="K1936" t="s">
        <v>91</v>
      </c>
      <c r="L1936" t="s">
        <v>33</v>
      </c>
      <c r="M1936" t="s">
        <v>47</v>
      </c>
      <c r="N1936" t="s">
        <v>35</v>
      </c>
      <c r="O1936" t="s">
        <v>70</v>
      </c>
      <c r="P1936" t="s">
        <v>71</v>
      </c>
      <c r="Q1936" t="s">
        <v>167</v>
      </c>
      <c r="R1936">
        <v>147</v>
      </c>
      <c r="S1936">
        <v>70</v>
      </c>
      <c r="T1936">
        <v>53</v>
      </c>
      <c r="U1936">
        <v>18</v>
      </c>
      <c r="V1936" t="s">
        <v>6889</v>
      </c>
      <c r="W1936">
        <v>59415</v>
      </c>
      <c r="X1936" t="s">
        <v>7157</v>
      </c>
      <c r="Y1936">
        <v>45440</v>
      </c>
      <c r="Z1936">
        <v>1069470</v>
      </c>
      <c r="AA1936">
        <v>251550</v>
      </c>
      <c r="AB1936" t="str">
        <f>(VLOOKUP(SalesData[[#This Row],[Month Number]],Reference!C$5:E$16,2,FALSE))</f>
        <v>Feb</v>
      </c>
      <c r="AC1936">
        <f>MONTH(SalesData[[#This Row],[Date]])</f>
        <v>2</v>
      </c>
      <c r="AD1936">
        <f>Reference!F$4</f>
        <v>2026</v>
      </c>
      <c r="AE1936" t="str">
        <f>IF(OR(SalesData[[#This Row],[Day]]="Saturday",SalesData[[#This Row],[Day]]="Sunday"),"Weekend","Weekday")</f>
        <v>Weekend</v>
      </c>
      <c r="AF1936" s="5">
        <f>IF(SalesData[[#This Row],[Contracts Offered]]=0,0,SalesData[[#This Row],[Contracts Signed]]/SalesData[[#This Row],[Contracts Offered]])</f>
        <v>0.33962264150943394</v>
      </c>
      <c r="AG1936" s="5">
        <f>IF(SalesData[[#This Row],[Customers Visited]]=0,0,SalesData[[#This Row],[Test Drives]]/SalesData[[#This Row],[Customers Visited]])</f>
        <v>0.47619047619047616</v>
      </c>
      <c r="AH1936" s="5">
        <f>IF(SalesData[[#This Row],[Customers Visited]]=0,0,SalesData[[#This Row],[Contracts Signed]]/SalesData[[#This Row],[Customers Visited]])</f>
        <v>0.12244897959183673</v>
      </c>
      <c r="AI1936" s="6">
        <f>IF(SalesData[[#This Row],[Contracts Signed]]=0,0,SalesData[[#This Row],[Profit(€)]]/SalesData[[#This Row],[Contracts Signed]])</f>
        <v>13975</v>
      </c>
      <c r="AJ1936" s="5" t="str">
        <f>TRIM(CLEAN(SalesData[[#This Row],[Retailer]]))</f>
        <v>Stuttgart Auto Center</v>
      </c>
    </row>
    <row r="1937" spans="1:36" ht="14.25" hidden="1" x14ac:dyDescent="0.2">
      <c r="A1937" t="s">
        <v>2920</v>
      </c>
      <c r="B1937" s="1">
        <v>46062</v>
      </c>
      <c r="C1937" t="s">
        <v>121</v>
      </c>
      <c r="D1937" t="s">
        <v>25</v>
      </c>
      <c r="E1937" t="s">
        <v>26</v>
      </c>
      <c r="F1937" t="s">
        <v>43</v>
      </c>
      <c r="G1937" t="s">
        <v>44</v>
      </c>
      <c r="H1937" t="s">
        <v>45</v>
      </c>
      <c r="I1937" t="s">
        <v>64</v>
      </c>
      <c r="J1937" t="s">
        <v>111</v>
      </c>
      <c r="K1937" t="s">
        <v>32</v>
      </c>
      <c r="L1937" t="s">
        <v>46</v>
      </c>
      <c r="M1937" t="s">
        <v>34</v>
      </c>
      <c r="N1937" t="s">
        <v>35</v>
      </c>
      <c r="O1937" t="s">
        <v>36</v>
      </c>
      <c r="P1937" t="s">
        <v>37</v>
      </c>
      <c r="Q1937" t="s">
        <v>169</v>
      </c>
      <c r="R1937">
        <v>187</v>
      </c>
      <c r="S1937">
        <v>84</v>
      </c>
      <c r="T1937">
        <v>66</v>
      </c>
      <c r="U1937">
        <v>20</v>
      </c>
      <c r="V1937" t="s">
        <v>6383</v>
      </c>
      <c r="W1937">
        <v>52655</v>
      </c>
      <c r="X1937" t="s">
        <v>7176</v>
      </c>
      <c r="Y1937">
        <v>40287</v>
      </c>
      <c r="Z1937">
        <v>1053100</v>
      </c>
      <c r="AA1937">
        <v>247360</v>
      </c>
      <c r="AB1937" t="str">
        <f>(VLOOKUP(SalesData[[#This Row],[Month Number]],Reference!C$5:E$16,2,FALSE))</f>
        <v>Feb</v>
      </c>
      <c r="AC1937">
        <f>MONTH(SalesData[[#This Row],[Date]])</f>
        <v>2</v>
      </c>
      <c r="AD1937">
        <f>Reference!F$4</f>
        <v>2026</v>
      </c>
      <c r="AE1937" t="str">
        <f>IF(OR(SalesData[[#This Row],[Day]]="Saturday",SalesData[[#This Row],[Day]]="Sunday"),"Weekend","Weekday")</f>
        <v>Weekday</v>
      </c>
      <c r="AF1937" s="5">
        <f>IF(SalesData[[#This Row],[Contracts Offered]]=0,0,SalesData[[#This Row],[Contracts Signed]]/SalesData[[#This Row],[Contracts Offered]])</f>
        <v>0.30303030303030304</v>
      </c>
      <c r="AG1937" s="5">
        <f>IF(SalesData[[#This Row],[Customers Visited]]=0,0,SalesData[[#This Row],[Test Drives]]/SalesData[[#This Row],[Customers Visited]])</f>
        <v>0.44919786096256686</v>
      </c>
      <c r="AH1937" s="5">
        <f>IF(SalesData[[#This Row],[Customers Visited]]=0,0,SalesData[[#This Row],[Contracts Signed]]/SalesData[[#This Row],[Customers Visited]])</f>
        <v>0.10695187165775401</v>
      </c>
      <c r="AI1937" s="6">
        <f>IF(SalesData[[#This Row],[Contracts Signed]]=0,0,SalesData[[#This Row],[Profit(€)]]/SalesData[[#This Row],[Contracts Signed]])</f>
        <v>12368</v>
      </c>
      <c r="AJ1937" s="5" t="str">
        <f>TRIM(CLEAN(SalesData[[#This Row],[Retailer]]))</f>
        <v>Saxon Wheels</v>
      </c>
    </row>
    <row r="1938" spans="1:36" ht="14.25" hidden="1" x14ac:dyDescent="0.2">
      <c r="A1938" t="s">
        <v>2921</v>
      </c>
      <c r="B1938" s="1">
        <v>46080</v>
      </c>
      <c r="C1938" t="s">
        <v>53</v>
      </c>
      <c r="D1938" t="s">
        <v>54</v>
      </c>
      <c r="E1938" t="s">
        <v>26</v>
      </c>
      <c r="F1938" t="s">
        <v>7649</v>
      </c>
      <c r="G1938" t="s">
        <v>55</v>
      </c>
      <c r="H1938" t="s">
        <v>55</v>
      </c>
      <c r="I1938" t="s">
        <v>56</v>
      </c>
      <c r="J1938" t="s">
        <v>57</v>
      </c>
      <c r="K1938" t="s">
        <v>66</v>
      </c>
      <c r="L1938" t="s">
        <v>46</v>
      </c>
      <c r="M1938" t="s">
        <v>68</v>
      </c>
      <c r="N1938" t="s">
        <v>69</v>
      </c>
      <c r="O1938" t="s">
        <v>70</v>
      </c>
      <c r="P1938" t="s">
        <v>71</v>
      </c>
      <c r="Q1938" t="s">
        <v>347</v>
      </c>
      <c r="R1938">
        <v>258</v>
      </c>
      <c r="S1938">
        <v>155</v>
      </c>
      <c r="T1938">
        <v>117</v>
      </c>
      <c r="U1938">
        <v>36</v>
      </c>
      <c r="V1938" t="s">
        <v>6733</v>
      </c>
      <c r="W1938">
        <v>51443</v>
      </c>
      <c r="X1938" t="s">
        <v>3042</v>
      </c>
      <c r="Y1938">
        <v>39274</v>
      </c>
      <c r="Z1938">
        <v>1851948</v>
      </c>
      <c r="AA1938">
        <v>438084</v>
      </c>
      <c r="AB1938" t="str">
        <f>(VLOOKUP(SalesData[[#This Row],[Month Number]],Reference!C$5:E$16,2,FALSE))</f>
        <v>Feb</v>
      </c>
      <c r="AC1938">
        <f>MONTH(SalesData[[#This Row],[Date]])</f>
        <v>2</v>
      </c>
      <c r="AD1938">
        <f>Reference!F$4</f>
        <v>2026</v>
      </c>
      <c r="AE1938" t="str">
        <f>IF(OR(SalesData[[#This Row],[Day]]="Saturday",SalesData[[#This Row],[Day]]="Sunday"),"Weekend","Weekday")</f>
        <v>Weekday</v>
      </c>
      <c r="AF1938" s="5">
        <f>IF(SalesData[[#This Row],[Contracts Offered]]=0,0,SalesData[[#This Row],[Contracts Signed]]/SalesData[[#This Row],[Contracts Offered]])</f>
        <v>0.30769230769230771</v>
      </c>
      <c r="AG1938" s="5">
        <f>IF(SalesData[[#This Row],[Customers Visited]]=0,0,SalesData[[#This Row],[Test Drives]]/SalesData[[#This Row],[Customers Visited]])</f>
        <v>0.60077519379844957</v>
      </c>
      <c r="AH1938" s="5">
        <f>IF(SalesData[[#This Row],[Customers Visited]]=0,0,SalesData[[#This Row],[Contracts Signed]]/SalesData[[#This Row],[Customers Visited]])</f>
        <v>0.13953488372093023</v>
      </c>
      <c r="AI1938" s="6">
        <f>IF(SalesData[[#This Row],[Contracts Signed]]=0,0,SalesData[[#This Row],[Profit(€)]]/SalesData[[#This Row],[Contracts Signed]])</f>
        <v>12169</v>
      </c>
      <c r="AJ1938" s="5" t="str">
        <f>TRIM(CLEAN(SalesData[[#This Row],[Retailer]]))</f>
        <v>Autohaus Berlin</v>
      </c>
    </row>
    <row r="1939" spans="1:36" ht="14.25" x14ac:dyDescent="0.2">
      <c r="A1939" t="s">
        <v>2922</v>
      </c>
      <c r="B1939" s="1">
        <v>46071</v>
      </c>
      <c r="C1939" t="s">
        <v>62</v>
      </c>
      <c r="D1939" t="s">
        <v>82</v>
      </c>
      <c r="E1939" t="s">
        <v>26</v>
      </c>
      <c r="F1939" t="s">
        <v>83</v>
      </c>
      <c r="G1939" t="s">
        <v>84</v>
      </c>
      <c r="H1939" t="s">
        <v>85</v>
      </c>
      <c r="I1939" t="s">
        <v>30</v>
      </c>
      <c r="J1939" t="s">
        <v>31</v>
      </c>
      <c r="K1939" t="s">
        <v>78</v>
      </c>
      <c r="L1939" t="s">
        <v>46</v>
      </c>
      <c r="M1939" t="s">
        <v>34</v>
      </c>
      <c r="N1939" t="s">
        <v>35</v>
      </c>
      <c r="O1939" t="s">
        <v>36</v>
      </c>
      <c r="P1939" t="s">
        <v>37</v>
      </c>
      <c r="Q1939" t="s">
        <v>169</v>
      </c>
      <c r="R1939">
        <v>147</v>
      </c>
      <c r="S1939">
        <v>81</v>
      </c>
      <c r="T1939">
        <v>61</v>
      </c>
      <c r="U1939">
        <v>21</v>
      </c>
      <c r="V1939" t="s">
        <v>6604</v>
      </c>
      <c r="W1939">
        <v>57388</v>
      </c>
      <c r="X1939" t="s">
        <v>1764</v>
      </c>
      <c r="Y1939">
        <v>44172</v>
      </c>
      <c r="Z1939">
        <v>1205148</v>
      </c>
      <c r="AA1939">
        <v>277536</v>
      </c>
      <c r="AB1939" t="str">
        <f>(VLOOKUP(SalesData[[#This Row],[Month Number]],Reference!C$5:E$16,2,FALSE))</f>
        <v>Feb</v>
      </c>
      <c r="AC1939">
        <f>MONTH(SalesData[[#This Row],[Date]])</f>
        <v>2</v>
      </c>
      <c r="AD1939">
        <f>Reference!F$4</f>
        <v>2026</v>
      </c>
      <c r="AE1939" t="str">
        <f>IF(OR(SalesData[[#This Row],[Day]]="Saturday",SalesData[[#This Row],[Day]]="Sunday"),"Weekend","Weekday")</f>
        <v>Weekday</v>
      </c>
      <c r="AF1939" s="5">
        <f>IF(SalesData[[#This Row],[Contracts Offered]]=0,0,SalesData[[#This Row],[Contracts Signed]]/SalesData[[#This Row],[Contracts Offered]])</f>
        <v>0.34426229508196721</v>
      </c>
      <c r="AG1939" s="5">
        <f>IF(SalesData[[#This Row],[Customers Visited]]=0,0,SalesData[[#This Row],[Test Drives]]/SalesData[[#This Row],[Customers Visited]])</f>
        <v>0.55102040816326525</v>
      </c>
      <c r="AH1939" s="5">
        <f>IF(SalesData[[#This Row],[Customers Visited]]=0,0,SalesData[[#This Row],[Contracts Signed]]/SalesData[[#This Row],[Customers Visited]])</f>
        <v>0.14285714285714285</v>
      </c>
      <c r="AI1939" s="6">
        <f>IF(SalesData[[#This Row],[Contracts Signed]]=0,0,SalesData[[#This Row],[Profit(€)]]/SalesData[[#This Row],[Contracts Signed]])</f>
        <v>13216</v>
      </c>
      <c r="AJ1939" s="5" t="str">
        <f>TRIM(CLEAN(SalesData[[#This Row],[Retailer]]))</f>
        <v>Hannover Cars</v>
      </c>
    </row>
    <row r="1940" spans="1:36" ht="14.25" hidden="1" x14ac:dyDescent="0.2">
      <c r="A1940" t="s">
        <v>2923</v>
      </c>
      <c r="B1940" s="1">
        <v>46071</v>
      </c>
      <c r="C1940" t="s">
        <v>62</v>
      </c>
      <c r="D1940" t="s">
        <v>82</v>
      </c>
      <c r="E1940" t="s">
        <v>26</v>
      </c>
      <c r="F1940" t="s">
        <v>109</v>
      </c>
      <c r="G1940" t="s">
        <v>110</v>
      </c>
      <c r="H1940" t="s">
        <v>45</v>
      </c>
      <c r="I1940" t="s">
        <v>116</v>
      </c>
      <c r="J1940" t="s">
        <v>203</v>
      </c>
      <c r="K1940" t="s">
        <v>66</v>
      </c>
      <c r="L1940" t="s">
        <v>67</v>
      </c>
      <c r="M1940" t="s">
        <v>87</v>
      </c>
      <c r="N1940" t="s">
        <v>35</v>
      </c>
      <c r="O1940" t="s">
        <v>36</v>
      </c>
      <c r="P1940" t="s">
        <v>71</v>
      </c>
      <c r="Q1940" t="s">
        <v>144</v>
      </c>
      <c r="R1940">
        <v>255</v>
      </c>
      <c r="S1940">
        <v>102</v>
      </c>
      <c r="T1940">
        <v>61</v>
      </c>
      <c r="U1940">
        <v>16</v>
      </c>
      <c r="V1940" t="s">
        <v>1342</v>
      </c>
      <c r="W1940">
        <v>23899</v>
      </c>
      <c r="X1940" t="s">
        <v>446</v>
      </c>
      <c r="Y1940">
        <v>22192</v>
      </c>
      <c r="Z1940">
        <v>382384</v>
      </c>
      <c r="AA1940">
        <v>27312</v>
      </c>
      <c r="AB1940" t="str">
        <f>(VLOOKUP(SalesData[[#This Row],[Month Number]],Reference!C$5:E$16,2,FALSE))</f>
        <v>Feb</v>
      </c>
      <c r="AC1940">
        <f>MONTH(SalesData[[#This Row],[Date]])</f>
        <v>2</v>
      </c>
      <c r="AD1940">
        <f>Reference!F$4</f>
        <v>2026</v>
      </c>
      <c r="AE1940" t="str">
        <f>IF(OR(SalesData[[#This Row],[Day]]="Saturday",SalesData[[#This Row],[Day]]="Sunday"),"Weekend","Weekday")</f>
        <v>Weekday</v>
      </c>
      <c r="AF1940" s="5">
        <f>IF(SalesData[[#This Row],[Contracts Offered]]=0,0,SalesData[[#This Row],[Contracts Signed]]/SalesData[[#This Row],[Contracts Offered]])</f>
        <v>0.26229508196721313</v>
      </c>
      <c r="AG1940" s="5">
        <f>IF(SalesData[[#This Row],[Customers Visited]]=0,0,SalesData[[#This Row],[Test Drives]]/SalesData[[#This Row],[Customers Visited]])</f>
        <v>0.4</v>
      </c>
      <c r="AH1940" s="5">
        <f>IF(SalesData[[#This Row],[Customers Visited]]=0,0,SalesData[[#This Row],[Contracts Signed]]/SalesData[[#This Row],[Customers Visited]])</f>
        <v>6.2745098039215685E-2</v>
      </c>
      <c r="AI1940" s="6">
        <f>IF(SalesData[[#This Row],[Contracts Signed]]=0,0,SalesData[[#This Row],[Profit(€)]]/SalesData[[#This Row],[Contracts Signed]])</f>
        <v>1707</v>
      </c>
      <c r="AJ1940" s="5" t="str">
        <f>TRIM(CLEAN(SalesData[[#This Row],[Retailer]]))</f>
        <v>Leipzig Mobility</v>
      </c>
    </row>
    <row r="1941" spans="1:36" ht="14.25" hidden="1" x14ac:dyDescent="0.2">
      <c r="A1941" t="s">
        <v>2924</v>
      </c>
      <c r="B1941" s="1">
        <v>46073</v>
      </c>
      <c r="C1941" t="s">
        <v>62</v>
      </c>
      <c r="D1941" t="s">
        <v>54</v>
      </c>
      <c r="E1941" t="s">
        <v>26</v>
      </c>
      <c r="F1941" t="s">
        <v>83</v>
      </c>
      <c r="G1941" t="s">
        <v>84</v>
      </c>
      <c r="H1941" t="s">
        <v>85</v>
      </c>
      <c r="I1941" t="s">
        <v>64</v>
      </c>
      <c r="J1941" t="s">
        <v>7029</v>
      </c>
      <c r="K1941" t="s">
        <v>66</v>
      </c>
      <c r="L1941" t="s">
        <v>33</v>
      </c>
      <c r="M1941" t="s">
        <v>47</v>
      </c>
      <c r="N1941" t="s">
        <v>35</v>
      </c>
      <c r="O1941" t="s">
        <v>70</v>
      </c>
      <c r="P1941" t="s">
        <v>58</v>
      </c>
      <c r="Q1941" t="s">
        <v>172</v>
      </c>
      <c r="R1941">
        <v>227</v>
      </c>
      <c r="S1941">
        <v>128</v>
      </c>
      <c r="T1941">
        <v>90</v>
      </c>
      <c r="U1941">
        <v>34</v>
      </c>
      <c r="V1941" t="s">
        <v>6898</v>
      </c>
      <c r="W1941">
        <v>52199</v>
      </c>
      <c r="X1941" t="s">
        <v>7496</v>
      </c>
      <c r="Y1941">
        <v>38526</v>
      </c>
      <c r="Z1941">
        <v>1774766</v>
      </c>
      <c r="AA1941">
        <v>464882</v>
      </c>
      <c r="AB1941" t="str">
        <f>(VLOOKUP(SalesData[[#This Row],[Month Number]],Reference!C$5:E$16,2,FALSE))</f>
        <v>Feb</v>
      </c>
      <c r="AC1941">
        <f>MONTH(SalesData[[#This Row],[Date]])</f>
        <v>2</v>
      </c>
      <c r="AD1941">
        <f>Reference!F$4</f>
        <v>2026</v>
      </c>
      <c r="AE1941" t="str">
        <f>IF(OR(SalesData[[#This Row],[Day]]="Saturday",SalesData[[#This Row],[Day]]="Sunday"),"Weekend","Weekday")</f>
        <v>Weekday</v>
      </c>
      <c r="AF1941" s="5">
        <f>IF(SalesData[[#This Row],[Contracts Offered]]=0,0,SalesData[[#This Row],[Contracts Signed]]/SalesData[[#This Row],[Contracts Offered]])</f>
        <v>0.37777777777777777</v>
      </c>
      <c r="AG1941" s="5">
        <f>IF(SalesData[[#This Row],[Customers Visited]]=0,0,SalesData[[#This Row],[Test Drives]]/SalesData[[#This Row],[Customers Visited]])</f>
        <v>0.56387665198237891</v>
      </c>
      <c r="AH1941" s="5">
        <f>IF(SalesData[[#This Row],[Customers Visited]]=0,0,SalesData[[#This Row],[Contracts Signed]]/SalesData[[#This Row],[Customers Visited]])</f>
        <v>0.14977973568281938</v>
      </c>
      <c r="AI1941" s="6">
        <f>IF(SalesData[[#This Row],[Contracts Signed]]=0,0,SalesData[[#This Row],[Profit(€)]]/SalesData[[#This Row],[Contracts Signed]])</f>
        <v>13673</v>
      </c>
      <c r="AJ1941" s="5" t="str">
        <f>TRIM(CLEAN(SalesData[[#This Row],[Retailer]]))</f>
        <v>Hannover Cars</v>
      </c>
    </row>
    <row r="1942" spans="1:36" ht="14.25" hidden="1" x14ac:dyDescent="0.2">
      <c r="A1942" t="s">
        <v>2926</v>
      </c>
      <c r="B1942" s="1">
        <v>46062</v>
      </c>
      <c r="C1942" t="s">
        <v>121</v>
      </c>
      <c r="D1942" t="s">
        <v>25</v>
      </c>
      <c r="E1942" t="s">
        <v>26</v>
      </c>
      <c r="F1942" t="s">
        <v>94</v>
      </c>
      <c r="G1942" t="s">
        <v>95</v>
      </c>
      <c r="H1942" t="s">
        <v>96</v>
      </c>
      <c r="I1942" t="s">
        <v>116</v>
      </c>
      <c r="J1942" t="s">
        <v>7026</v>
      </c>
      <c r="K1942" t="s">
        <v>66</v>
      </c>
      <c r="L1942" t="s">
        <v>46</v>
      </c>
      <c r="M1942" t="s">
        <v>68</v>
      </c>
      <c r="N1942" t="s">
        <v>35</v>
      </c>
      <c r="O1942" t="s">
        <v>70</v>
      </c>
      <c r="P1942" t="s">
        <v>58</v>
      </c>
      <c r="Q1942" t="s">
        <v>59</v>
      </c>
      <c r="R1942">
        <v>372</v>
      </c>
      <c r="S1942">
        <v>171</v>
      </c>
      <c r="T1942">
        <v>110</v>
      </c>
      <c r="U1942">
        <v>33</v>
      </c>
      <c r="V1942" t="s">
        <v>3307</v>
      </c>
      <c r="W1942">
        <v>23894</v>
      </c>
      <c r="X1942" t="s">
        <v>1297</v>
      </c>
      <c r="Y1942">
        <v>21485</v>
      </c>
      <c r="Z1942">
        <v>788502</v>
      </c>
      <c r="AA1942">
        <v>79497</v>
      </c>
      <c r="AB1942" t="str">
        <f>(VLOOKUP(SalesData[[#This Row],[Month Number]],Reference!C$5:E$16,2,FALSE))</f>
        <v>Feb</v>
      </c>
      <c r="AC1942">
        <f>MONTH(SalesData[[#This Row],[Date]])</f>
        <v>2</v>
      </c>
      <c r="AD1942">
        <f>Reference!F$4</f>
        <v>2026</v>
      </c>
      <c r="AE1942" t="str">
        <f>IF(OR(SalesData[[#This Row],[Day]]="Saturday",SalesData[[#This Row],[Day]]="Sunday"),"Weekend","Weekday")</f>
        <v>Weekday</v>
      </c>
      <c r="AF1942" s="5">
        <f>IF(SalesData[[#This Row],[Contracts Offered]]=0,0,SalesData[[#This Row],[Contracts Signed]]/SalesData[[#This Row],[Contracts Offered]])</f>
        <v>0.3</v>
      </c>
      <c r="AG1942" s="5">
        <f>IF(SalesData[[#This Row],[Customers Visited]]=0,0,SalesData[[#This Row],[Test Drives]]/SalesData[[#This Row],[Customers Visited]])</f>
        <v>0.45967741935483869</v>
      </c>
      <c r="AH1942" s="5">
        <f>IF(SalesData[[#This Row],[Customers Visited]]=0,0,SalesData[[#This Row],[Contracts Signed]]/SalesData[[#This Row],[Customers Visited]])</f>
        <v>8.8709677419354843E-2</v>
      </c>
      <c r="AI1942" s="6">
        <f>IF(SalesData[[#This Row],[Contracts Signed]]=0,0,SalesData[[#This Row],[Profit(€)]]/SalesData[[#This Row],[Contracts Signed]])</f>
        <v>2409</v>
      </c>
      <c r="AJ1942" s="5" t="str">
        <f>TRIM(CLEAN(SalesData[[#This Row],[Retailer]]))</f>
        <v>Bavaria Motors</v>
      </c>
    </row>
    <row r="1943" spans="1:36" ht="14.25" x14ac:dyDescent="0.2">
      <c r="A1943" t="s">
        <v>2927</v>
      </c>
      <c r="B1943" s="1">
        <v>46063</v>
      </c>
      <c r="C1943" t="s">
        <v>121</v>
      </c>
      <c r="D1943" t="s">
        <v>63</v>
      </c>
      <c r="E1943" t="s">
        <v>26</v>
      </c>
      <c r="F1943" t="s">
        <v>114</v>
      </c>
      <c r="G1943" t="s">
        <v>115</v>
      </c>
      <c r="H1943" t="s">
        <v>115</v>
      </c>
      <c r="I1943" t="s">
        <v>30</v>
      </c>
      <c r="J1943" t="s">
        <v>7075</v>
      </c>
      <c r="K1943" t="s">
        <v>32</v>
      </c>
      <c r="L1943" t="s">
        <v>33</v>
      </c>
      <c r="M1943" t="s">
        <v>87</v>
      </c>
      <c r="N1943" t="s">
        <v>48</v>
      </c>
      <c r="O1943" t="s">
        <v>36</v>
      </c>
      <c r="P1943" t="s">
        <v>49</v>
      </c>
      <c r="Q1943" t="s">
        <v>106</v>
      </c>
      <c r="R1943">
        <v>160</v>
      </c>
      <c r="S1943">
        <v>84</v>
      </c>
      <c r="T1943">
        <v>67</v>
      </c>
      <c r="U1943">
        <v>22</v>
      </c>
      <c r="V1943" t="s">
        <v>6663</v>
      </c>
      <c r="W1943">
        <v>50480</v>
      </c>
      <c r="X1943" t="s">
        <v>7133</v>
      </c>
      <c r="Y1943">
        <v>38462</v>
      </c>
      <c r="Z1943">
        <v>1110560</v>
      </c>
      <c r="AA1943">
        <v>264396</v>
      </c>
      <c r="AB1943" t="str">
        <f>(VLOOKUP(SalesData[[#This Row],[Month Number]],Reference!C$5:E$16,2,FALSE))</f>
        <v>Feb</v>
      </c>
      <c r="AC1943">
        <f>MONTH(SalesData[[#This Row],[Date]])</f>
        <v>2</v>
      </c>
      <c r="AD1943">
        <f>Reference!F$4</f>
        <v>2026</v>
      </c>
      <c r="AE1943" t="str">
        <f>IF(OR(SalesData[[#This Row],[Day]]="Saturday",SalesData[[#This Row],[Day]]="Sunday"),"Weekend","Weekday")</f>
        <v>Weekday</v>
      </c>
      <c r="AF1943" s="5">
        <f>IF(SalesData[[#This Row],[Contracts Offered]]=0,0,SalesData[[#This Row],[Contracts Signed]]/SalesData[[#This Row],[Contracts Offered]])</f>
        <v>0.32835820895522388</v>
      </c>
      <c r="AG1943" s="5">
        <f>IF(SalesData[[#This Row],[Customers Visited]]=0,0,SalesData[[#This Row],[Test Drives]]/SalesData[[#This Row],[Customers Visited]])</f>
        <v>0.52500000000000002</v>
      </c>
      <c r="AH1943" s="5">
        <f>IF(SalesData[[#This Row],[Customers Visited]]=0,0,SalesData[[#This Row],[Contracts Signed]]/SalesData[[#This Row],[Customers Visited]])</f>
        <v>0.13750000000000001</v>
      </c>
      <c r="AI1943" s="6">
        <f>IF(SalesData[[#This Row],[Contracts Signed]]=0,0,SalesData[[#This Row],[Profit(€)]]/SalesData[[#This Row],[Contracts Signed]])</f>
        <v>12018</v>
      </c>
      <c r="AJ1943" s="5" t="str">
        <f>TRIM(CLEAN(SalesData[[#This Row],[Retailer]]))</f>
        <v>Elbe Drive</v>
      </c>
    </row>
    <row r="1944" spans="1:36" ht="14.25" x14ac:dyDescent="0.2">
      <c r="A1944" t="s">
        <v>2928</v>
      </c>
      <c r="B1944" s="1">
        <v>46076</v>
      </c>
      <c r="C1944" t="s">
        <v>53</v>
      </c>
      <c r="D1944" t="s">
        <v>25</v>
      </c>
      <c r="E1944" t="s">
        <v>26</v>
      </c>
      <c r="F1944" t="s">
        <v>83</v>
      </c>
      <c r="G1944" t="s">
        <v>84</v>
      </c>
      <c r="H1944" t="s">
        <v>85</v>
      </c>
      <c r="I1944" t="s">
        <v>30</v>
      </c>
      <c r="J1944" t="s">
        <v>7075</v>
      </c>
      <c r="K1944" t="s">
        <v>32</v>
      </c>
      <c r="L1944" t="s">
        <v>33</v>
      </c>
      <c r="M1944" t="s">
        <v>47</v>
      </c>
      <c r="N1944" t="s">
        <v>35</v>
      </c>
      <c r="O1944" t="s">
        <v>36</v>
      </c>
      <c r="P1944" t="s">
        <v>71</v>
      </c>
      <c r="Q1944" t="s">
        <v>189</v>
      </c>
      <c r="R1944">
        <v>188</v>
      </c>
      <c r="S1944">
        <v>103</v>
      </c>
      <c r="T1944">
        <v>78</v>
      </c>
      <c r="U1944">
        <v>30</v>
      </c>
      <c r="V1944" t="s">
        <v>6636</v>
      </c>
      <c r="W1944">
        <v>64852</v>
      </c>
      <c r="X1944" t="s">
        <v>2693</v>
      </c>
      <c r="Y1944">
        <v>49330</v>
      </c>
      <c r="Z1944">
        <v>1945560</v>
      </c>
      <c r="AA1944">
        <v>465660</v>
      </c>
      <c r="AB1944" t="str">
        <f>(VLOOKUP(SalesData[[#This Row],[Month Number]],Reference!C$5:E$16,2,FALSE))</f>
        <v>Feb</v>
      </c>
      <c r="AC1944">
        <f>MONTH(SalesData[[#This Row],[Date]])</f>
        <v>2</v>
      </c>
      <c r="AD1944">
        <f>Reference!F$4</f>
        <v>2026</v>
      </c>
      <c r="AE1944" t="str">
        <f>IF(OR(SalesData[[#This Row],[Day]]="Saturday",SalesData[[#This Row],[Day]]="Sunday"),"Weekend","Weekday")</f>
        <v>Weekday</v>
      </c>
      <c r="AF1944" s="5">
        <f>IF(SalesData[[#This Row],[Contracts Offered]]=0,0,SalesData[[#This Row],[Contracts Signed]]/SalesData[[#This Row],[Contracts Offered]])</f>
        <v>0.38461538461538464</v>
      </c>
      <c r="AG1944" s="5">
        <f>IF(SalesData[[#This Row],[Customers Visited]]=0,0,SalesData[[#This Row],[Test Drives]]/SalesData[[#This Row],[Customers Visited]])</f>
        <v>0.5478723404255319</v>
      </c>
      <c r="AH1944" s="5">
        <f>IF(SalesData[[#This Row],[Customers Visited]]=0,0,SalesData[[#This Row],[Contracts Signed]]/SalesData[[#This Row],[Customers Visited]])</f>
        <v>0.15957446808510639</v>
      </c>
      <c r="AI1944" s="6">
        <f>IF(SalesData[[#This Row],[Contracts Signed]]=0,0,SalesData[[#This Row],[Profit(€)]]/SalesData[[#This Row],[Contracts Signed]])</f>
        <v>15522</v>
      </c>
      <c r="AJ1944" s="5" t="str">
        <f>TRIM(CLEAN(SalesData[[#This Row],[Retailer]]))</f>
        <v>Hannover Cars</v>
      </c>
    </row>
    <row r="1945" spans="1:36" ht="14.25" hidden="1" x14ac:dyDescent="0.2">
      <c r="A1945" t="s">
        <v>2929</v>
      </c>
      <c r="B1945" s="1">
        <v>46055</v>
      </c>
      <c r="C1945" t="s">
        <v>24</v>
      </c>
      <c r="D1945" t="s">
        <v>25</v>
      </c>
      <c r="E1945" t="s">
        <v>26</v>
      </c>
      <c r="F1945" t="s">
        <v>101</v>
      </c>
      <c r="G1945" t="s">
        <v>102</v>
      </c>
      <c r="H1945" t="s">
        <v>103</v>
      </c>
      <c r="I1945" t="s">
        <v>56</v>
      </c>
      <c r="J1945" t="s">
        <v>97</v>
      </c>
      <c r="K1945" t="s">
        <v>78</v>
      </c>
      <c r="L1945" t="s">
        <v>33</v>
      </c>
      <c r="M1945" t="s">
        <v>87</v>
      </c>
      <c r="N1945" t="s">
        <v>69</v>
      </c>
      <c r="O1945" t="s">
        <v>36</v>
      </c>
      <c r="P1945" t="s">
        <v>58</v>
      </c>
      <c r="Q1945" t="s">
        <v>122</v>
      </c>
      <c r="R1945">
        <v>204</v>
      </c>
      <c r="S1945">
        <v>97</v>
      </c>
      <c r="T1945">
        <v>75</v>
      </c>
      <c r="U1945">
        <v>24</v>
      </c>
      <c r="V1945" t="s">
        <v>6892</v>
      </c>
      <c r="W1945">
        <v>53431</v>
      </c>
      <c r="X1945" t="s">
        <v>4006</v>
      </c>
      <c r="Y1945">
        <v>43759</v>
      </c>
      <c r="Z1945">
        <v>1282344</v>
      </c>
      <c r="AA1945">
        <v>232128</v>
      </c>
      <c r="AB1945" t="str">
        <f>(VLOOKUP(SalesData[[#This Row],[Month Number]],Reference!C$5:E$16,2,FALSE))</f>
        <v>Feb</v>
      </c>
      <c r="AC1945">
        <f>MONTH(SalesData[[#This Row],[Date]])</f>
        <v>2</v>
      </c>
      <c r="AD1945">
        <f>Reference!F$4</f>
        <v>2026</v>
      </c>
      <c r="AE1945" t="str">
        <f>IF(OR(SalesData[[#This Row],[Day]]="Saturday",SalesData[[#This Row],[Day]]="Sunday"),"Weekend","Weekday")</f>
        <v>Weekday</v>
      </c>
      <c r="AF1945" s="5">
        <f>IF(SalesData[[#This Row],[Contracts Offered]]=0,0,SalesData[[#This Row],[Contracts Signed]]/SalesData[[#This Row],[Contracts Offered]])</f>
        <v>0.32</v>
      </c>
      <c r="AG1945" s="5">
        <f>IF(SalesData[[#This Row],[Customers Visited]]=0,0,SalesData[[#This Row],[Test Drives]]/SalesData[[#This Row],[Customers Visited]])</f>
        <v>0.47549019607843135</v>
      </c>
      <c r="AH1945" s="5">
        <f>IF(SalesData[[#This Row],[Customers Visited]]=0,0,SalesData[[#This Row],[Contracts Signed]]/SalesData[[#This Row],[Customers Visited]])</f>
        <v>0.11764705882352941</v>
      </c>
      <c r="AI1945" s="6">
        <f>IF(SalesData[[#This Row],[Contracts Signed]]=0,0,SalesData[[#This Row],[Profit(€)]]/SalesData[[#This Row],[Contracts Signed]])</f>
        <v>9672</v>
      </c>
      <c r="AJ1945" s="5" t="str">
        <f>TRIM(CLEAN(SalesData[[#This Row],[Retailer]]))</f>
        <v>Ruhr Auto Plaza</v>
      </c>
    </row>
    <row r="1946" spans="1:36" ht="14.25" hidden="1" x14ac:dyDescent="0.2">
      <c r="A1946" t="s">
        <v>2930</v>
      </c>
      <c r="B1946" s="1">
        <v>46073</v>
      </c>
      <c r="C1946" t="s">
        <v>62</v>
      </c>
      <c r="D1946" t="s">
        <v>54</v>
      </c>
      <c r="E1946" t="s">
        <v>26</v>
      </c>
      <c r="F1946" t="s">
        <v>94</v>
      </c>
      <c r="G1946" t="s">
        <v>95</v>
      </c>
      <c r="H1946" t="s">
        <v>96</v>
      </c>
      <c r="I1946" t="s">
        <v>64</v>
      </c>
      <c r="J1946" t="s">
        <v>157</v>
      </c>
      <c r="K1946" t="s">
        <v>78</v>
      </c>
      <c r="L1946" t="s">
        <v>33</v>
      </c>
      <c r="M1946" t="s">
        <v>47</v>
      </c>
      <c r="N1946" t="s">
        <v>69</v>
      </c>
      <c r="O1946" t="s">
        <v>70</v>
      </c>
      <c r="P1946" t="s">
        <v>71</v>
      </c>
      <c r="Q1946" t="s">
        <v>240</v>
      </c>
      <c r="R1946">
        <v>185</v>
      </c>
      <c r="S1946">
        <v>104</v>
      </c>
      <c r="T1946">
        <v>73</v>
      </c>
      <c r="U1946">
        <v>27</v>
      </c>
      <c r="V1946" t="s">
        <v>6635</v>
      </c>
      <c r="W1946">
        <v>52012</v>
      </c>
      <c r="X1946" t="s">
        <v>307</v>
      </c>
      <c r="Y1946">
        <v>39678</v>
      </c>
      <c r="Z1946">
        <v>1404324</v>
      </c>
      <c r="AA1946">
        <v>333018</v>
      </c>
      <c r="AB1946" t="str">
        <f>(VLOOKUP(SalesData[[#This Row],[Month Number]],Reference!C$5:E$16,2,FALSE))</f>
        <v>Feb</v>
      </c>
      <c r="AC1946">
        <f>MONTH(SalesData[[#This Row],[Date]])</f>
        <v>2</v>
      </c>
      <c r="AD1946">
        <f>Reference!F$4</f>
        <v>2026</v>
      </c>
      <c r="AE1946" t="str">
        <f>IF(OR(SalesData[[#This Row],[Day]]="Saturday",SalesData[[#This Row],[Day]]="Sunday"),"Weekend","Weekday")</f>
        <v>Weekday</v>
      </c>
      <c r="AF1946" s="5">
        <f>IF(SalesData[[#This Row],[Contracts Offered]]=0,0,SalesData[[#This Row],[Contracts Signed]]/SalesData[[#This Row],[Contracts Offered]])</f>
        <v>0.36986301369863012</v>
      </c>
      <c r="AG1946" s="5">
        <f>IF(SalesData[[#This Row],[Customers Visited]]=0,0,SalesData[[#This Row],[Test Drives]]/SalesData[[#This Row],[Customers Visited]])</f>
        <v>0.56216216216216219</v>
      </c>
      <c r="AH1946" s="5">
        <f>IF(SalesData[[#This Row],[Customers Visited]]=0,0,SalesData[[#This Row],[Contracts Signed]]/SalesData[[#This Row],[Customers Visited]])</f>
        <v>0.14594594594594595</v>
      </c>
      <c r="AI1946" s="6">
        <f>IF(SalesData[[#This Row],[Contracts Signed]]=0,0,SalesData[[#This Row],[Profit(€)]]/SalesData[[#This Row],[Contracts Signed]])</f>
        <v>12334</v>
      </c>
      <c r="AJ1946" s="5" t="str">
        <f>TRIM(CLEAN(SalesData[[#This Row],[Retailer]]))</f>
        <v>Bavaria Motors</v>
      </c>
    </row>
    <row r="1947" spans="1:36" ht="14.25" hidden="1" x14ac:dyDescent="0.2">
      <c r="A1947" t="s">
        <v>2932</v>
      </c>
      <c r="B1947" s="1">
        <v>46064</v>
      </c>
      <c r="C1947" t="s">
        <v>121</v>
      </c>
      <c r="D1947" t="s">
        <v>82</v>
      </c>
      <c r="E1947" t="s">
        <v>26</v>
      </c>
      <c r="F1947" t="s">
        <v>27</v>
      </c>
      <c r="G1947" t="s">
        <v>28</v>
      </c>
      <c r="H1947" t="s">
        <v>29</v>
      </c>
      <c r="I1947" t="s">
        <v>56</v>
      </c>
      <c r="J1947" t="s">
        <v>137</v>
      </c>
      <c r="K1947" t="s">
        <v>91</v>
      </c>
      <c r="L1947" t="s">
        <v>46</v>
      </c>
      <c r="M1947" t="s">
        <v>68</v>
      </c>
      <c r="N1947" t="s">
        <v>69</v>
      </c>
      <c r="O1947" t="s">
        <v>36</v>
      </c>
      <c r="P1947" t="s">
        <v>58</v>
      </c>
      <c r="Q1947" t="s">
        <v>135</v>
      </c>
      <c r="R1947">
        <v>241</v>
      </c>
      <c r="S1947">
        <v>146</v>
      </c>
      <c r="T1947">
        <v>110</v>
      </c>
      <c r="U1947">
        <v>40</v>
      </c>
      <c r="V1947" t="s">
        <v>6468</v>
      </c>
      <c r="W1947">
        <v>48352</v>
      </c>
      <c r="X1947" t="s">
        <v>698</v>
      </c>
      <c r="Y1947">
        <v>38064</v>
      </c>
      <c r="Z1947">
        <v>1934080</v>
      </c>
      <c r="AA1947">
        <v>411520</v>
      </c>
      <c r="AB1947" t="str">
        <f>(VLOOKUP(SalesData[[#This Row],[Month Number]],Reference!C$5:E$16,2,FALSE))</f>
        <v>Feb</v>
      </c>
      <c r="AC1947">
        <f>MONTH(SalesData[[#This Row],[Date]])</f>
        <v>2</v>
      </c>
      <c r="AD1947">
        <f>Reference!F$4</f>
        <v>2026</v>
      </c>
      <c r="AE1947" t="str">
        <f>IF(OR(SalesData[[#This Row],[Day]]="Saturday",SalesData[[#This Row],[Day]]="Sunday"),"Weekend","Weekday")</f>
        <v>Weekday</v>
      </c>
      <c r="AF1947" s="5">
        <f>IF(SalesData[[#This Row],[Contracts Offered]]=0,0,SalesData[[#This Row],[Contracts Signed]]/SalesData[[#This Row],[Contracts Offered]])</f>
        <v>0.36363636363636365</v>
      </c>
      <c r="AG1947" s="5">
        <f>IF(SalesData[[#This Row],[Customers Visited]]=0,0,SalesData[[#This Row],[Test Drives]]/SalesData[[#This Row],[Customers Visited]])</f>
        <v>0.60580912863070535</v>
      </c>
      <c r="AH1947" s="5">
        <f>IF(SalesData[[#This Row],[Customers Visited]]=0,0,SalesData[[#This Row],[Contracts Signed]]/SalesData[[#This Row],[Customers Visited]])</f>
        <v>0.16597510373443983</v>
      </c>
      <c r="AI1947" s="6">
        <f>IF(SalesData[[#This Row],[Contracts Signed]]=0,0,SalesData[[#This Row],[Profit(€)]]/SalesData[[#This Row],[Contracts Signed]])</f>
        <v>10288</v>
      </c>
      <c r="AJ1947" s="5" t="str">
        <f>TRIM(CLEAN(SalesData[[#This Row],[Retailer]]))</f>
        <v>Main Auto Hub</v>
      </c>
    </row>
    <row r="1948" spans="1:36" ht="14.25" hidden="1" x14ac:dyDescent="0.2">
      <c r="A1948" t="s">
        <v>2933</v>
      </c>
      <c r="B1948" s="1">
        <v>46057</v>
      </c>
      <c r="C1948" t="s">
        <v>24</v>
      </c>
      <c r="D1948" t="s">
        <v>82</v>
      </c>
      <c r="E1948" t="s">
        <v>26</v>
      </c>
      <c r="F1948" t="s">
        <v>94</v>
      </c>
      <c r="G1948" t="s">
        <v>95</v>
      </c>
      <c r="H1948" t="s">
        <v>96</v>
      </c>
      <c r="I1948" t="s">
        <v>64</v>
      </c>
      <c r="J1948" t="s">
        <v>111</v>
      </c>
      <c r="K1948" t="s">
        <v>66</v>
      </c>
      <c r="L1948" t="s">
        <v>46</v>
      </c>
      <c r="M1948" t="s">
        <v>87</v>
      </c>
      <c r="N1948" t="s">
        <v>35</v>
      </c>
      <c r="O1948" t="s">
        <v>70</v>
      </c>
      <c r="P1948" t="s">
        <v>49</v>
      </c>
      <c r="Q1948" t="s">
        <v>158</v>
      </c>
      <c r="R1948">
        <v>215</v>
      </c>
      <c r="S1948">
        <v>115</v>
      </c>
      <c r="T1948">
        <v>82</v>
      </c>
      <c r="U1948">
        <v>26</v>
      </c>
      <c r="V1948" t="s">
        <v>6791</v>
      </c>
      <c r="W1948">
        <v>53050</v>
      </c>
      <c r="X1948" t="s">
        <v>876</v>
      </c>
      <c r="Y1948">
        <v>38546</v>
      </c>
      <c r="Z1948">
        <v>1379300</v>
      </c>
      <c r="AA1948">
        <v>377104</v>
      </c>
      <c r="AB1948" t="str">
        <f>(VLOOKUP(SalesData[[#This Row],[Month Number]],Reference!C$5:E$16,2,FALSE))</f>
        <v>Feb</v>
      </c>
      <c r="AC1948">
        <f>MONTH(SalesData[[#This Row],[Date]])</f>
        <v>2</v>
      </c>
      <c r="AD1948">
        <f>Reference!F$4</f>
        <v>2026</v>
      </c>
      <c r="AE1948" t="str">
        <f>IF(OR(SalesData[[#This Row],[Day]]="Saturday",SalesData[[#This Row],[Day]]="Sunday"),"Weekend","Weekday")</f>
        <v>Weekday</v>
      </c>
      <c r="AF1948" s="5">
        <f>IF(SalesData[[#This Row],[Contracts Offered]]=0,0,SalesData[[#This Row],[Contracts Signed]]/SalesData[[#This Row],[Contracts Offered]])</f>
        <v>0.31707317073170732</v>
      </c>
      <c r="AG1948" s="5">
        <f>IF(SalesData[[#This Row],[Customers Visited]]=0,0,SalesData[[#This Row],[Test Drives]]/SalesData[[#This Row],[Customers Visited]])</f>
        <v>0.53488372093023251</v>
      </c>
      <c r="AH1948" s="5">
        <f>IF(SalesData[[#This Row],[Customers Visited]]=0,0,SalesData[[#This Row],[Contracts Signed]]/SalesData[[#This Row],[Customers Visited]])</f>
        <v>0.12093023255813953</v>
      </c>
      <c r="AI1948" s="6">
        <f>IF(SalesData[[#This Row],[Contracts Signed]]=0,0,SalesData[[#This Row],[Profit(€)]]/SalesData[[#This Row],[Contracts Signed]])</f>
        <v>14504</v>
      </c>
      <c r="AJ1948" s="5" t="str">
        <f>TRIM(CLEAN(SalesData[[#This Row],[Retailer]]))</f>
        <v>Bavaria Motors</v>
      </c>
    </row>
    <row r="1949" spans="1:36" ht="14.25" hidden="1" x14ac:dyDescent="0.2">
      <c r="A1949" t="s">
        <v>2934</v>
      </c>
      <c r="B1949" s="1">
        <v>46061</v>
      </c>
      <c r="C1949" t="s">
        <v>121</v>
      </c>
      <c r="D1949" t="s">
        <v>41</v>
      </c>
      <c r="E1949" t="s">
        <v>42</v>
      </c>
      <c r="F1949" t="s">
        <v>94</v>
      </c>
      <c r="G1949" t="s">
        <v>95</v>
      </c>
      <c r="H1949" t="s">
        <v>96</v>
      </c>
      <c r="I1949" t="s">
        <v>56</v>
      </c>
      <c r="J1949" t="s">
        <v>97</v>
      </c>
      <c r="K1949" t="s">
        <v>32</v>
      </c>
      <c r="L1949" t="s">
        <v>33</v>
      </c>
      <c r="M1949" t="s">
        <v>34</v>
      </c>
      <c r="N1949" t="s">
        <v>35</v>
      </c>
      <c r="O1949" t="s">
        <v>70</v>
      </c>
      <c r="P1949" t="s">
        <v>71</v>
      </c>
      <c r="Q1949" t="s">
        <v>106</v>
      </c>
      <c r="R1949">
        <v>236</v>
      </c>
      <c r="S1949">
        <v>136</v>
      </c>
      <c r="T1949">
        <v>104</v>
      </c>
      <c r="U1949">
        <v>33</v>
      </c>
      <c r="V1949" t="s">
        <v>6699</v>
      </c>
      <c r="W1949">
        <v>51172</v>
      </c>
      <c r="X1949" t="s">
        <v>7437</v>
      </c>
      <c r="Y1949">
        <v>41887</v>
      </c>
      <c r="Z1949">
        <v>1688676</v>
      </c>
      <c r="AA1949">
        <v>306405</v>
      </c>
      <c r="AB1949" t="str">
        <f>(VLOOKUP(SalesData[[#This Row],[Month Number]],Reference!C$5:E$16,2,FALSE))</f>
        <v>Feb</v>
      </c>
      <c r="AC1949">
        <f>MONTH(SalesData[[#This Row],[Date]])</f>
        <v>2</v>
      </c>
      <c r="AD1949">
        <f>Reference!F$4</f>
        <v>2026</v>
      </c>
      <c r="AE1949" t="str">
        <f>IF(OR(SalesData[[#This Row],[Day]]="Saturday",SalesData[[#This Row],[Day]]="Sunday"),"Weekend","Weekday")</f>
        <v>Weekend</v>
      </c>
      <c r="AF1949" s="5">
        <f>IF(SalesData[[#This Row],[Contracts Offered]]=0,0,SalesData[[#This Row],[Contracts Signed]]/SalesData[[#This Row],[Contracts Offered]])</f>
        <v>0.31730769230769229</v>
      </c>
      <c r="AG1949" s="5">
        <f>IF(SalesData[[#This Row],[Customers Visited]]=0,0,SalesData[[#This Row],[Test Drives]]/SalesData[[#This Row],[Customers Visited]])</f>
        <v>0.57627118644067798</v>
      </c>
      <c r="AH1949" s="5">
        <f>IF(SalesData[[#This Row],[Customers Visited]]=0,0,SalesData[[#This Row],[Contracts Signed]]/SalesData[[#This Row],[Customers Visited]])</f>
        <v>0.13983050847457626</v>
      </c>
      <c r="AI1949" s="6">
        <f>IF(SalesData[[#This Row],[Contracts Signed]]=0,0,SalesData[[#This Row],[Profit(€)]]/SalesData[[#This Row],[Contracts Signed]])</f>
        <v>9285</v>
      </c>
      <c r="AJ1949" s="5" t="str">
        <f>TRIM(CLEAN(SalesData[[#This Row],[Retailer]]))</f>
        <v>Bavaria Motors</v>
      </c>
    </row>
    <row r="1950" spans="1:36" ht="14.25" hidden="1" x14ac:dyDescent="0.2">
      <c r="A1950" t="s">
        <v>2935</v>
      </c>
      <c r="B1950" s="1">
        <v>46077</v>
      </c>
      <c r="C1950" t="s">
        <v>53</v>
      </c>
      <c r="D1950" t="s">
        <v>63</v>
      </c>
      <c r="E1950" t="s">
        <v>26</v>
      </c>
      <c r="F1950" t="s">
        <v>114</v>
      </c>
      <c r="G1950" t="s">
        <v>115</v>
      </c>
      <c r="H1950" t="s">
        <v>115</v>
      </c>
      <c r="I1950" t="s">
        <v>104</v>
      </c>
      <c r="J1950" t="s">
        <v>143</v>
      </c>
      <c r="K1950" t="s">
        <v>91</v>
      </c>
      <c r="L1950" t="s">
        <v>67</v>
      </c>
      <c r="M1950" t="s">
        <v>47</v>
      </c>
      <c r="N1950" t="s">
        <v>35</v>
      </c>
      <c r="O1950" t="s">
        <v>36</v>
      </c>
      <c r="P1950" t="s">
        <v>37</v>
      </c>
      <c r="Q1950" t="s">
        <v>204</v>
      </c>
      <c r="R1950">
        <v>455</v>
      </c>
      <c r="S1950">
        <v>233</v>
      </c>
      <c r="T1950">
        <v>163</v>
      </c>
      <c r="U1950">
        <v>39</v>
      </c>
      <c r="V1950" t="s">
        <v>6986</v>
      </c>
      <c r="W1950">
        <v>27939</v>
      </c>
      <c r="X1950" t="s">
        <v>1943</v>
      </c>
      <c r="Y1950">
        <v>24752</v>
      </c>
      <c r="Z1950">
        <v>1089621</v>
      </c>
      <c r="AA1950">
        <v>124293</v>
      </c>
      <c r="AB1950" t="str">
        <f>(VLOOKUP(SalesData[[#This Row],[Month Number]],Reference!C$5:E$16,2,FALSE))</f>
        <v>Feb</v>
      </c>
      <c r="AC1950">
        <f>MONTH(SalesData[[#This Row],[Date]])</f>
        <v>2</v>
      </c>
      <c r="AD1950">
        <f>Reference!F$4</f>
        <v>2026</v>
      </c>
      <c r="AE1950" t="str">
        <f>IF(OR(SalesData[[#This Row],[Day]]="Saturday",SalesData[[#This Row],[Day]]="Sunday"),"Weekend","Weekday")</f>
        <v>Weekday</v>
      </c>
      <c r="AF1950" s="5">
        <f>IF(SalesData[[#This Row],[Contracts Offered]]=0,0,SalesData[[#This Row],[Contracts Signed]]/SalesData[[#This Row],[Contracts Offered]])</f>
        <v>0.2392638036809816</v>
      </c>
      <c r="AG1950" s="5">
        <f>IF(SalesData[[#This Row],[Customers Visited]]=0,0,SalesData[[#This Row],[Test Drives]]/SalesData[[#This Row],[Customers Visited]])</f>
        <v>0.51208791208791204</v>
      </c>
      <c r="AH1950" s="5">
        <f>IF(SalesData[[#This Row],[Customers Visited]]=0,0,SalesData[[#This Row],[Contracts Signed]]/SalesData[[#This Row],[Customers Visited]])</f>
        <v>8.5714285714285715E-2</v>
      </c>
      <c r="AI1950" s="6">
        <f>IF(SalesData[[#This Row],[Contracts Signed]]=0,0,SalesData[[#This Row],[Profit(€)]]/SalesData[[#This Row],[Contracts Signed]])</f>
        <v>3187</v>
      </c>
      <c r="AJ1950" s="5" t="str">
        <f>TRIM(CLEAN(SalesData[[#This Row],[Retailer]]))</f>
        <v>Elbe Drive</v>
      </c>
    </row>
    <row r="1951" spans="1:36" ht="14.25" x14ac:dyDescent="0.2">
      <c r="A1951" t="s">
        <v>2936</v>
      </c>
      <c r="B1951" s="1">
        <v>46077</v>
      </c>
      <c r="C1951" t="s">
        <v>53</v>
      </c>
      <c r="D1951" t="s">
        <v>63</v>
      </c>
      <c r="E1951" t="s">
        <v>26</v>
      </c>
      <c r="F1951" t="s">
        <v>127</v>
      </c>
      <c r="G1951" t="s">
        <v>128</v>
      </c>
      <c r="H1951" t="s">
        <v>103</v>
      </c>
      <c r="I1951" t="s">
        <v>30</v>
      </c>
      <c r="J1951" t="s">
        <v>7075</v>
      </c>
      <c r="K1951" t="s">
        <v>78</v>
      </c>
      <c r="L1951" t="s">
        <v>33</v>
      </c>
      <c r="M1951" t="s">
        <v>68</v>
      </c>
      <c r="N1951" t="s">
        <v>48</v>
      </c>
      <c r="O1951" t="s">
        <v>70</v>
      </c>
      <c r="P1951" t="s">
        <v>37</v>
      </c>
      <c r="Q1951" t="s">
        <v>118</v>
      </c>
      <c r="R1951">
        <v>261</v>
      </c>
      <c r="S1951">
        <v>146</v>
      </c>
      <c r="T1951">
        <v>113</v>
      </c>
      <c r="U1951">
        <v>37</v>
      </c>
      <c r="V1951" t="s">
        <v>6376</v>
      </c>
      <c r="W1951">
        <v>58263</v>
      </c>
      <c r="X1951" t="s">
        <v>7497</v>
      </c>
      <c r="Y1951">
        <v>43178</v>
      </c>
      <c r="Z1951">
        <v>2155731</v>
      </c>
      <c r="AA1951">
        <v>558145</v>
      </c>
      <c r="AB1951" t="str">
        <f>(VLOOKUP(SalesData[[#This Row],[Month Number]],Reference!C$5:E$16,2,FALSE))</f>
        <v>Feb</v>
      </c>
      <c r="AC1951">
        <f>MONTH(SalesData[[#This Row],[Date]])</f>
        <v>2</v>
      </c>
      <c r="AD1951">
        <f>Reference!F$4</f>
        <v>2026</v>
      </c>
      <c r="AE1951" t="str">
        <f>IF(OR(SalesData[[#This Row],[Day]]="Saturday",SalesData[[#This Row],[Day]]="Sunday"),"Weekend","Weekday")</f>
        <v>Weekday</v>
      </c>
      <c r="AF1951" s="5">
        <f>IF(SalesData[[#This Row],[Contracts Offered]]=0,0,SalesData[[#This Row],[Contracts Signed]]/SalesData[[#This Row],[Contracts Offered]])</f>
        <v>0.32743362831858408</v>
      </c>
      <c r="AG1951" s="5">
        <f>IF(SalesData[[#This Row],[Customers Visited]]=0,0,SalesData[[#This Row],[Test Drives]]/SalesData[[#This Row],[Customers Visited]])</f>
        <v>0.55938697318007657</v>
      </c>
      <c r="AH1951" s="5">
        <f>IF(SalesData[[#This Row],[Customers Visited]]=0,0,SalesData[[#This Row],[Contracts Signed]]/SalesData[[#This Row],[Customers Visited]])</f>
        <v>0.1417624521072797</v>
      </c>
      <c r="AI1951" s="6">
        <f>IF(SalesData[[#This Row],[Contracts Signed]]=0,0,SalesData[[#This Row],[Profit(€)]]/SalesData[[#This Row],[Contracts Signed]])</f>
        <v>15085</v>
      </c>
      <c r="AJ1951" s="5" t="str">
        <f>TRIM(CLEAN(SalesData[[#This Row],[Retailer]]))</f>
        <v>Rhein Auto Group</v>
      </c>
    </row>
    <row r="1952" spans="1:36" ht="14.25" hidden="1" x14ac:dyDescent="0.2">
      <c r="A1952" t="s">
        <v>2937</v>
      </c>
      <c r="B1952" s="1">
        <v>46057</v>
      </c>
      <c r="C1952" t="s">
        <v>24</v>
      </c>
      <c r="D1952" t="s">
        <v>82</v>
      </c>
      <c r="E1952" t="s">
        <v>26</v>
      </c>
      <c r="F1952" t="s">
        <v>83</v>
      </c>
      <c r="G1952" t="s">
        <v>84</v>
      </c>
      <c r="H1952" t="s">
        <v>85</v>
      </c>
      <c r="I1952" t="s">
        <v>64</v>
      </c>
      <c r="J1952" t="s">
        <v>7029</v>
      </c>
      <c r="K1952" t="s">
        <v>66</v>
      </c>
      <c r="L1952" t="s">
        <v>33</v>
      </c>
      <c r="M1952" t="s">
        <v>87</v>
      </c>
      <c r="N1952" t="s">
        <v>69</v>
      </c>
      <c r="O1952" t="s">
        <v>70</v>
      </c>
      <c r="P1952" t="s">
        <v>37</v>
      </c>
      <c r="Q1952" t="s">
        <v>59</v>
      </c>
      <c r="R1952">
        <v>179</v>
      </c>
      <c r="S1952">
        <v>91</v>
      </c>
      <c r="T1952">
        <v>71</v>
      </c>
      <c r="U1952">
        <v>21</v>
      </c>
      <c r="V1952" t="s">
        <v>6386</v>
      </c>
      <c r="W1952">
        <v>68547</v>
      </c>
      <c r="X1952" t="s">
        <v>4990</v>
      </c>
      <c r="Y1952">
        <v>53254</v>
      </c>
      <c r="Z1952">
        <v>1439487</v>
      </c>
      <c r="AA1952">
        <v>321153</v>
      </c>
      <c r="AB1952" t="str">
        <f>(VLOOKUP(SalesData[[#This Row],[Month Number]],Reference!C$5:E$16,2,FALSE))</f>
        <v>Feb</v>
      </c>
      <c r="AC1952">
        <f>MONTH(SalesData[[#This Row],[Date]])</f>
        <v>2</v>
      </c>
      <c r="AD1952">
        <f>Reference!F$4</f>
        <v>2026</v>
      </c>
      <c r="AE1952" t="str">
        <f>IF(OR(SalesData[[#This Row],[Day]]="Saturday",SalesData[[#This Row],[Day]]="Sunday"),"Weekend","Weekday")</f>
        <v>Weekday</v>
      </c>
      <c r="AF1952" s="5">
        <f>IF(SalesData[[#This Row],[Contracts Offered]]=0,0,SalesData[[#This Row],[Contracts Signed]]/SalesData[[#This Row],[Contracts Offered]])</f>
        <v>0.29577464788732394</v>
      </c>
      <c r="AG1952" s="5">
        <f>IF(SalesData[[#This Row],[Customers Visited]]=0,0,SalesData[[#This Row],[Test Drives]]/SalesData[[#This Row],[Customers Visited]])</f>
        <v>0.50837988826815639</v>
      </c>
      <c r="AH1952" s="5">
        <f>IF(SalesData[[#This Row],[Customers Visited]]=0,0,SalesData[[#This Row],[Contracts Signed]]/SalesData[[#This Row],[Customers Visited]])</f>
        <v>0.11731843575418995</v>
      </c>
      <c r="AI1952" s="6">
        <f>IF(SalesData[[#This Row],[Contracts Signed]]=0,0,SalesData[[#This Row],[Profit(€)]]/SalesData[[#This Row],[Contracts Signed]])</f>
        <v>15293</v>
      </c>
      <c r="AJ1952" s="5" t="str">
        <f>TRIM(CLEAN(SalesData[[#This Row],[Retailer]]))</f>
        <v>Hannover Cars</v>
      </c>
    </row>
    <row r="1953" spans="1:36" ht="14.25" hidden="1" x14ac:dyDescent="0.2">
      <c r="A1953" t="s">
        <v>2938</v>
      </c>
      <c r="B1953" s="1">
        <v>46065</v>
      </c>
      <c r="C1953" t="s">
        <v>121</v>
      </c>
      <c r="D1953" t="s">
        <v>100</v>
      </c>
      <c r="E1953" t="s">
        <v>26</v>
      </c>
      <c r="F1953" t="s">
        <v>83</v>
      </c>
      <c r="G1953" t="s">
        <v>84</v>
      </c>
      <c r="H1953" t="s">
        <v>85</v>
      </c>
      <c r="I1953" t="s">
        <v>56</v>
      </c>
      <c r="J1953" t="s">
        <v>7028</v>
      </c>
      <c r="K1953" t="s">
        <v>78</v>
      </c>
      <c r="L1953" t="s">
        <v>46</v>
      </c>
      <c r="M1953" t="s">
        <v>87</v>
      </c>
      <c r="N1953" t="s">
        <v>35</v>
      </c>
      <c r="O1953" t="s">
        <v>36</v>
      </c>
      <c r="P1953" t="s">
        <v>49</v>
      </c>
      <c r="Q1953" t="s">
        <v>347</v>
      </c>
      <c r="R1953">
        <v>167</v>
      </c>
      <c r="S1953">
        <v>90</v>
      </c>
      <c r="T1953">
        <v>67</v>
      </c>
      <c r="U1953">
        <v>19</v>
      </c>
      <c r="V1953" t="s">
        <v>6430</v>
      </c>
      <c r="W1953">
        <v>48259</v>
      </c>
      <c r="X1953" t="s">
        <v>7330</v>
      </c>
      <c r="Y1953">
        <v>37308</v>
      </c>
      <c r="Z1953">
        <v>916921</v>
      </c>
      <c r="AA1953">
        <v>208069</v>
      </c>
      <c r="AB1953" t="str">
        <f>(VLOOKUP(SalesData[[#This Row],[Month Number]],Reference!C$5:E$16,2,FALSE))</f>
        <v>Feb</v>
      </c>
      <c r="AC1953">
        <f>MONTH(SalesData[[#This Row],[Date]])</f>
        <v>2</v>
      </c>
      <c r="AD1953">
        <f>Reference!F$4</f>
        <v>2026</v>
      </c>
      <c r="AE1953" t="str">
        <f>IF(OR(SalesData[[#This Row],[Day]]="Saturday",SalesData[[#This Row],[Day]]="Sunday"),"Weekend","Weekday")</f>
        <v>Weekday</v>
      </c>
      <c r="AF1953" s="5">
        <f>IF(SalesData[[#This Row],[Contracts Offered]]=0,0,SalesData[[#This Row],[Contracts Signed]]/SalesData[[#This Row],[Contracts Offered]])</f>
        <v>0.28358208955223879</v>
      </c>
      <c r="AG1953" s="5">
        <f>IF(SalesData[[#This Row],[Customers Visited]]=0,0,SalesData[[#This Row],[Test Drives]]/SalesData[[#This Row],[Customers Visited]])</f>
        <v>0.53892215568862278</v>
      </c>
      <c r="AH1953" s="5">
        <f>IF(SalesData[[#This Row],[Customers Visited]]=0,0,SalesData[[#This Row],[Contracts Signed]]/SalesData[[#This Row],[Customers Visited]])</f>
        <v>0.11377245508982035</v>
      </c>
      <c r="AI1953" s="6">
        <f>IF(SalesData[[#This Row],[Contracts Signed]]=0,0,SalesData[[#This Row],[Profit(€)]]/SalesData[[#This Row],[Contracts Signed]])</f>
        <v>10951</v>
      </c>
      <c r="AJ1953" s="5" t="str">
        <f>TRIM(CLEAN(SalesData[[#This Row],[Retailer]]))</f>
        <v>Hannover Cars</v>
      </c>
    </row>
    <row r="1954" spans="1:36" ht="14.25" hidden="1" x14ac:dyDescent="0.2">
      <c r="A1954" t="s">
        <v>2939</v>
      </c>
      <c r="B1954" s="1">
        <v>46079</v>
      </c>
      <c r="C1954" t="s">
        <v>53</v>
      </c>
      <c r="D1954" t="s">
        <v>100</v>
      </c>
      <c r="E1954" t="s">
        <v>26</v>
      </c>
      <c r="F1954" t="s">
        <v>43</v>
      </c>
      <c r="G1954" t="s">
        <v>44</v>
      </c>
      <c r="H1954" t="s">
        <v>45</v>
      </c>
      <c r="I1954" t="s">
        <v>56</v>
      </c>
      <c r="J1954" t="s">
        <v>57</v>
      </c>
      <c r="K1954" t="s">
        <v>91</v>
      </c>
      <c r="L1954" t="s">
        <v>46</v>
      </c>
      <c r="M1954" t="s">
        <v>34</v>
      </c>
      <c r="N1954" t="s">
        <v>48</v>
      </c>
      <c r="O1954" t="s">
        <v>36</v>
      </c>
      <c r="P1954" t="s">
        <v>71</v>
      </c>
      <c r="Q1954" t="s">
        <v>167</v>
      </c>
      <c r="R1954">
        <v>179</v>
      </c>
      <c r="S1954">
        <v>98</v>
      </c>
      <c r="T1954">
        <v>70</v>
      </c>
      <c r="U1954">
        <v>23</v>
      </c>
      <c r="V1954" t="s">
        <v>6428</v>
      </c>
      <c r="W1954">
        <v>52748</v>
      </c>
      <c r="X1954" t="s">
        <v>1098</v>
      </c>
      <c r="Y1954">
        <v>42622</v>
      </c>
      <c r="Z1954">
        <v>1213204</v>
      </c>
      <c r="AA1954">
        <v>232898</v>
      </c>
      <c r="AB1954" t="str">
        <f>(VLOOKUP(SalesData[[#This Row],[Month Number]],Reference!C$5:E$16,2,FALSE))</f>
        <v>Feb</v>
      </c>
      <c r="AC1954">
        <f>MONTH(SalesData[[#This Row],[Date]])</f>
        <v>2</v>
      </c>
      <c r="AD1954">
        <f>Reference!F$4</f>
        <v>2026</v>
      </c>
      <c r="AE1954" t="str">
        <f>IF(OR(SalesData[[#This Row],[Day]]="Saturday",SalesData[[#This Row],[Day]]="Sunday"),"Weekend","Weekday")</f>
        <v>Weekday</v>
      </c>
      <c r="AF1954" s="5">
        <f>IF(SalesData[[#This Row],[Contracts Offered]]=0,0,SalesData[[#This Row],[Contracts Signed]]/SalesData[[#This Row],[Contracts Offered]])</f>
        <v>0.32857142857142857</v>
      </c>
      <c r="AG1954" s="5">
        <f>IF(SalesData[[#This Row],[Customers Visited]]=0,0,SalesData[[#This Row],[Test Drives]]/SalesData[[#This Row],[Customers Visited]])</f>
        <v>0.54748603351955305</v>
      </c>
      <c r="AH1954" s="5">
        <f>IF(SalesData[[#This Row],[Customers Visited]]=0,0,SalesData[[#This Row],[Contracts Signed]]/SalesData[[#This Row],[Customers Visited]])</f>
        <v>0.12849162011173185</v>
      </c>
      <c r="AI1954" s="6">
        <f>IF(SalesData[[#This Row],[Contracts Signed]]=0,0,SalesData[[#This Row],[Profit(€)]]/SalesData[[#This Row],[Contracts Signed]])</f>
        <v>10126</v>
      </c>
      <c r="AJ1954" s="5" t="str">
        <f>TRIM(CLEAN(SalesData[[#This Row],[Retailer]]))</f>
        <v>Saxon Wheels</v>
      </c>
    </row>
    <row r="1955" spans="1:36" ht="14.25" hidden="1" x14ac:dyDescent="0.2">
      <c r="A1955" t="s">
        <v>2940</v>
      </c>
      <c r="B1955" s="1">
        <v>46079</v>
      </c>
      <c r="C1955" t="s">
        <v>53</v>
      </c>
      <c r="D1955" t="s">
        <v>100</v>
      </c>
      <c r="E1955" t="s">
        <v>26</v>
      </c>
      <c r="F1955" t="s">
        <v>74</v>
      </c>
      <c r="G1955" t="s">
        <v>75</v>
      </c>
      <c r="H1955" t="s">
        <v>76</v>
      </c>
      <c r="I1955" t="s">
        <v>64</v>
      </c>
      <c r="J1955" t="s">
        <v>7029</v>
      </c>
      <c r="K1955" t="s">
        <v>78</v>
      </c>
      <c r="L1955" t="s">
        <v>33</v>
      </c>
      <c r="M1955" t="s">
        <v>34</v>
      </c>
      <c r="N1955" t="s">
        <v>35</v>
      </c>
      <c r="O1955" t="s">
        <v>36</v>
      </c>
      <c r="P1955" t="s">
        <v>58</v>
      </c>
      <c r="Q1955" t="s">
        <v>122</v>
      </c>
      <c r="R1955">
        <v>197</v>
      </c>
      <c r="S1955">
        <v>89</v>
      </c>
      <c r="T1955">
        <v>59</v>
      </c>
      <c r="U1955">
        <v>26</v>
      </c>
      <c r="V1955" t="s">
        <v>7013</v>
      </c>
      <c r="W1955">
        <v>55736</v>
      </c>
      <c r="X1955" t="s">
        <v>7378</v>
      </c>
      <c r="Y1955">
        <v>43234</v>
      </c>
      <c r="Z1955">
        <v>1449136</v>
      </c>
      <c r="AA1955">
        <v>325052</v>
      </c>
      <c r="AB1955" t="str">
        <f>(VLOOKUP(SalesData[[#This Row],[Month Number]],Reference!C$5:E$16,2,FALSE))</f>
        <v>Feb</v>
      </c>
      <c r="AC1955">
        <f>MONTH(SalesData[[#This Row],[Date]])</f>
        <v>2</v>
      </c>
      <c r="AD1955">
        <f>Reference!F$4</f>
        <v>2026</v>
      </c>
      <c r="AE1955" t="str">
        <f>IF(OR(SalesData[[#This Row],[Day]]="Saturday",SalesData[[#This Row],[Day]]="Sunday"),"Weekend","Weekday")</f>
        <v>Weekday</v>
      </c>
      <c r="AF1955" s="5">
        <f>IF(SalesData[[#This Row],[Contracts Offered]]=0,0,SalesData[[#This Row],[Contracts Signed]]/SalesData[[#This Row],[Contracts Offered]])</f>
        <v>0.44067796610169491</v>
      </c>
      <c r="AG1955" s="5">
        <f>IF(SalesData[[#This Row],[Customers Visited]]=0,0,SalesData[[#This Row],[Test Drives]]/SalesData[[#This Row],[Customers Visited]])</f>
        <v>0.45177664974619292</v>
      </c>
      <c r="AH1955" s="5">
        <f>IF(SalesData[[#This Row],[Customers Visited]]=0,0,SalesData[[#This Row],[Contracts Signed]]/SalesData[[#This Row],[Customers Visited]])</f>
        <v>0.13197969543147209</v>
      </c>
      <c r="AI1955" s="6">
        <f>IF(SalesData[[#This Row],[Contracts Signed]]=0,0,SalesData[[#This Row],[Profit(€)]]/SalesData[[#This Row],[Contracts Signed]])</f>
        <v>12502</v>
      </c>
      <c r="AJ1955" s="5" t="str">
        <f>TRIM(CLEAN(SalesData[[#This Row],[Retailer]]))</f>
        <v>Stuttgart Auto Center</v>
      </c>
    </row>
    <row r="1956" spans="1:36" ht="14.25" hidden="1" x14ac:dyDescent="0.2">
      <c r="A1956" t="s">
        <v>2941</v>
      </c>
      <c r="B1956" s="1">
        <v>46065</v>
      </c>
      <c r="C1956" t="s">
        <v>121</v>
      </c>
      <c r="D1956" t="s">
        <v>100</v>
      </c>
      <c r="E1956" t="s">
        <v>26</v>
      </c>
      <c r="F1956" t="s">
        <v>74</v>
      </c>
      <c r="G1956" t="s">
        <v>75</v>
      </c>
      <c r="H1956" t="s">
        <v>76</v>
      </c>
      <c r="I1956" t="s">
        <v>64</v>
      </c>
      <c r="J1956" t="s">
        <v>65</v>
      </c>
      <c r="K1956" t="s">
        <v>78</v>
      </c>
      <c r="L1956" t="s">
        <v>33</v>
      </c>
      <c r="M1956" t="s">
        <v>34</v>
      </c>
      <c r="N1956" t="s">
        <v>48</v>
      </c>
      <c r="O1956" t="s">
        <v>70</v>
      </c>
      <c r="P1956" t="s">
        <v>58</v>
      </c>
      <c r="Q1956" t="s">
        <v>347</v>
      </c>
      <c r="R1956">
        <v>158</v>
      </c>
      <c r="S1956">
        <v>85</v>
      </c>
      <c r="T1956">
        <v>57</v>
      </c>
      <c r="U1956">
        <v>24</v>
      </c>
      <c r="V1956" t="s">
        <v>6836</v>
      </c>
      <c r="W1956">
        <v>50773</v>
      </c>
      <c r="X1956" t="s">
        <v>7097</v>
      </c>
      <c r="Y1956">
        <v>36525</v>
      </c>
      <c r="Z1956">
        <v>1218552</v>
      </c>
      <c r="AA1956">
        <v>341952</v>
      </c>
      <c r="AB1956" t="str">
        <f>(VLOOKUP(SalesData[[#This Row],[Month Number]],Reference!C$5:E$16,2,FALSE))</f>
        <v>Feb</v>
      </c>
      <c r="AC1956">
        <f>MONTH(SalesData[[#This Row],[Date]])</f>
        <v>2</v>
      </c>
      <c r="AD1956">
        <f>Reference!F$4</f>
        <v>2026</v>
      </c>
      <c r="AE1956" t="str">
        <f>IF(OR(SalesData[[#This Row],[Day]]="Saturday",SalesData[[#This Row],[Day]]="Sunday"),"Weekend","Weekday")</f>
        <v>Weekday</v>
      </c>
      <c r="AF1956" s="5">
        <f>IF(SalesData[[#This Row],[Contracts Offered]]=0,0,SalesData[[#This Row],[Contracts Signed]]/SalesData[[#This Row],[Contracts Offered]])</f>
        <v>0.42105263157894735</v>
      </c>
      <c r="AG1956" s="5">
        <f>IF(SalesData[[#This Row],[Customers Visited]]=0,0,SalesData[[#This Row],[Test Drives]]/SalesData[[#This Row],[Customers Visited]])</f>
        <v>0.53797468354430378</v>
      </c>
      <c r="AH1956" s="5">
        <f>IF(SalesData[[#This Row],[Customers Visited]]=0,0,SalesData[[#This Row],[Contracts Signed]]/SalesData[[#This Row],[Customers Visited]])</f>
        <v>0.15189873417721519</v>
      </c>
      <c r="AI1956" s="6">
        <f>IF(SalesData[[#This Row],[Contracts Signed]]=0,0,SalesData[[#This Row],[Profit(€)]]/SalesData[[#This Row],[Contracts Signed]])</f>
        <v>14248</v>
      </c>
      <c r="AJ1956" s="5" t="str">
        <f>TRIM(CLEAN(SalesData[[#This Row],[Retailer]]))</f>
        <v>Stuttgart Auto Center</v>
      </c>
    </row>
    <row r="1957" spans="1:36" ht="14.25" hidden="1" x14ac:dyDescent="0.2">
      <c r="A1957" t="s">
        <v>2943</v>
      </c>
      <c r="B1957" s="1">
        <v>46061</v>
      </c>
      <c r="C1957" t="s">
        <v>121</v>
      </c>
      <c r="D1957" t="s">
        <v>41</v>
      </c>
      <c r="E1957" t="s">
        <v>42</v>
      </c>
      <c r="F1957" t="s">
        <v>101</v>
      </c>
      <c r="G1957" t="s">
        <v>102</v>
      </c>
      <c r="H1957" t="s">
        <v>103</v>
      </c>
      <c r="I1957" t="s">
        <v>56</v>
      </c>
      <c r="J1957" t="s">
        <v>57</v>
      </c>
      <c r="K1957" t="s">
        <v>66</v>
      </c>
      <c r="L1957" t="s">
        <v>46</v>
      </c>
      <c r="M1957" t="s">
        <v>87</v>
      </c>
      <c r="N1957" t="s">
        <v>35</v>
      </c>
      <c r="O1957" t="s">
        <v>36</v>
      </c>
      <c r="P1957" t="s">
        <v>71</v>
      </c>
      <c r="Q1957" t="s">
        <v>118</v>
      </c>
      <c r="R1957">
        <v>254</v>
      </c>
      <c r="S1957">
        <v>121</v>
      </c>
      <c r="T1957">
        <v>84</v>
      </c>
      <c r="U1957">
        <v>28</v>
      </c>
      <c r="V1957" t="s">
        <v>6358</v>
      </c>
      <c r="W1957">
        <v>42216</v>
      </c>
      <c r="X1957" t="s">
        <v>7093</v>
      </c>
      <c r="Y1957">
        <v>34282</v>
      </c>
      <c r="Z1957">
        <v>1182048</v>
      </c>
      <c r="AA1957">
        <v>222152</v>
      </c>
      <c r="AB1957" t="str">
        <f>(VLOOKUP(SalesData[[#This Row],[Month Number]],Reference!C$5:E$16,2,FALSE))</f>
        <v>Feb</v>
      </c>
      <c r="AC1957">
        <f>MONTH(SalesData[[#This Row],[Date]])</f>
        <v>2</v>
      </c>
      <c r="AD1957">
        <f>Reference!F$4</f>
        <v>2026</v>
      </c>
      <c r="AE1957" t="str">
        <f>IF(OR(SalesData[[#This Row],[Day]]="Saturday",SalesData[[#This Row],[Day]]="Sunday"),"Weekend","Weekday")</f>
        <v>Weekend</v>
      </c>
      <c r="AF1957" s="5">
        <f>IF(SalesData[[#This Row],[Contracts Offered]]=0,0,SalesData[[#This Row],[Contracts Signed]]/SalesData[[#This Row],[Contracts Offered]])</f>
        <v>0.33333333333333331</v>
      </c>
      <c r="AG1957" s="5">
        <f>IF(SalesData[[#This Row],[Customers Visited]]=0,0,SalesData[[#This Row],[Test Drives]]/SalesData[[#This Row],[Customers Visited]])</f>
        <v>0.4763779527559055</v>
      </c>
      <c r="AH1957" s="5">
        <f>IF(SalesData[[#This Row],[Customers Visited]]=0,0,SalesData[[#This Row],[Contracts Signed]]/SalesData[[#This Row],[Customers Visited]])</f>
        <v>0.11023622047244094</v>
      </c>
      <c r="AI1957" s="6">
        <f>IF(SalesData[[#This Row],[Contracts Signed]]=0,0,SalesData[[#This Row],[Profit(€)]]/SalesData[[#This Row],[Contracts Signed]])</f>
        <v>7934</v>
      </c>
      <c r="AJ1957" s="5" t="str">
        <f>TRIM(CLEAN(SalesData[[#This Row],[Retailer]]))</f>
        <v>Ruhr Auto Plaza</v>
      </c>
    </row>
    <row r="1958" spans="1:36" ht="14.25" hidden="1" x14ac:dyDescent="0.2">
      <c r="A1958" t="s">
        <v>2944</v>
      </c>
      <c r="B1958" s="1">
        <v>46055</v>
      </c>
      <c r="C1958" t="s">
        <v>24</v>
      </c>
      <c r="D1958" t="s">
        <v>25</v>
      </c>
      <c r="E1958" t="s">
        <v>26</v>
      </c>
      <c r="F1958" t="s">
        <v>94</v>
      </c>
      <c r="G1958" t="s">
        <v>95</v>
      </c>
      <c r="H1958" t="s">
        <v>96</v>
      </c>
      <c r="I1958" t="s">
        <v>56</v>
      </c>
      <c r="J1958" t="s">
        <v>179</v>
      </c>
      <c r="K1958" t="s">
        <v>32</v>
      </c>
      <c r="L1958" t="s">
        <v>67</v>
      </c>
      <c r="M1958" t="s">
        <v>87</v>
      </c>
      <c r="N1958" t="s">
        <v>69</v>
      </c>
      <c r="O1958" t="s">
        <v>70</v>
      </c>
      <c r="P1958" t="s">
        <v>71</v>
      </c>
      <c r="Q1958" t="s">
        <v>169</v>
      </c>
      <c r="R1958">
        <v>317</v>
      </c>
      <c r="S1958">
        <v>196</v>
      </c>
      <c r="T1958">
        <v>141</v>
      </c>
      <c r="U1958">
        <v>49</v>
      </c>
      <c r="V1958" t="s">
        <v>6403</v>
      </c>
      <c r="W1958">
        <v>51656</v>
      </c>
      <c r="X1958" t="s">
        <v>184</v>
      </c>
      <c r="Y1958">
        <v>41700</v>
      </c>
      <c r="Z1958">
        <v>2531144</v>
      </c>
      <c r="AA1958">
        <v>487844</v>
      </c>
      <c r="AB1958" t="str">
        <f>(VLOOKUP(SalesData[[#This Row],[Month Number]],Reference!C$5:E$16,2,FALSE))</f>
        <v>Feb</v>
      </c>
      <c r="AC1958">
        <f>MONTH(SalesData[[#This Row],[Date]])</f>
        <v>2</v>
      </c>
      <c r="AD1958">
        <f>Reference!F$4</f>
        <v>2026</v>
      </c>
      <c r="AE1958" t="str">
        <f>IF(OR(SalesData[[#This Row],[Day]]="Saturday",SalesData[[#This Row],[Day]]="Sunday"),"Weekend","Weekday")</f>
        <v>Weekday</v>
      </c>
      <c r="AF1958" s="5">
        <f>IF(SalesData[[#This Row],[Contracts Offered]]=0,0,SalesData[[#This Row],[Contracts Signed]]/SalesData[[#This Row],[Contracts Offered]])</f>
        <v>0.3475177304964539</v>
      </c>
      <c r="AG1958" s="5">
        <f>IF(SalesData[[#This Row],[Customers Visited]]=0,0,SalesData[[#This Row],[Test Drives]]/SalesData[[#This Row],[Customers Visited]])</f>
        <v>0.6182965299684543</v>
      </c>
      <c r="AH1958" s="5">
        <f>IF(SalesData[[#This Row],[Customers Visited]]=0,0,SalesData[[#This Row],[Contracts Signed]]/SalesData[[#This Row],[Customers Visited]])</f>
        <v>0.15457413249211358</v>
      </c>
      <c r="AI1958" s="6">
        <f>IF(SalesData[[#This Row],[Contracts Signed]]=0,0,SalesData[[#This Row],[Profit(€)]]/SalesData[[#This Row],[Contracts Signed]])</f>
        <v>9956</v>
      </c>
      <c r="AJ1958" s="5" t="str">
        <f>TRIM(CLEAN(SalesData[[#This Row],[Retailer]]))</f>
        <v>Bavaria Motors</v>
      </c>
    </row>
    <row r="1959" spans="1:36" ht="14.25" hidden="1" x14ac:dyDescent="0.2">
      <c r="A1959" t="s">
        <v>2945</v>
      </c>
      <c r="B1959" s="1">
        <v>46060</v>
      </c>
      <c r="C1959" t="s">
        <v>24</v>
      </c>
      <c r="D1959" t="s">
        <v>151</v>
      </c>
      <c r="E1959" t="s">
        <v>42</v>
      </c>
      <c r="F1959" t="s">
        <v>27</v>
      </c>
      <c r="G1959" t="s">
        <v>28</v>
      </c>
      <c r="H1959" t="s">
        <v>29</v>
      </c>
      <c r="I1959" t="s">
        <v>104</v>
      </c>
      <c r="J1959" t="s">
        <v>143</v>
      </c>
      <c r="K1959" t="s">
        <v>32</v>
      </c>
      <c r="L1959" t="s">
        <v>67</v>
      </c>
      <c r="M1959" t="s">
        <v>87</v>
      </c>
      <c r="N1959" t="s">
        <v>69</v>
      </c>
      <c r="O1959" t="s">
        <v>36</v>
      </c>
      <c r="P1959" t="s">
        <v>71</v>
      </c>
      <c r="Q1959" t="s">
        <v>152</v>
      </c>
      <c r="R1959">
        <v>269</v>
      </c>
      <c r="S1959">
        <v>122</v>
      </c>
      <c r="T1959">
        <v>71</v>
      </c>
      <c r="U1959">
        <v>19</v>
      </c>
      <c r="V1959" t="s">
        <v>252</v>
      </c>
      <c r="W1959">
        <v>30724</v>
      </c>
      <c r="X1959" t="s">
        <v>3447</v>
      </c>
      <c r="Y1959">
        <v>27853</v>
      </c>
      <c r="Z1959">
        <v>583756</v>
      </c>
      <c r="AA1959">
        <v>54549</v>
      </c>
      <c r="AB1959" t="str">
        <f>(VLOOKUP(SalesData[[#This Row],[Month Number]],Reference!C$5:E$16,2,FALSE))</f>
        <v>Feb</v>
      </c>
      <c r="AC1959">
        <f>MONTH(SalesData[[#This Row],[Date]])</f>
        <v>2</v>
      </c>
      <c r="AD1959">
        <f>Reference!F$4</f>
        <v>2026</v>
      </c>
      <c r="AE1959" t="str">
        <f>IF(OR(SalesData[[#This Row],[Day]]="Saturday",SalesData[[#This Row],[Day]]="Sunday"),"Weekend","Weekday")</f>
        <v>Weekend</v>
      </c>
      <c r="AF1959" s="5">
        <f>IF(SalesData[[#This Row],[Contracts Offered]]=0,0,SalesData[[#This Row],[Contracts Signed]]/SalesData[[#This Row],[Contracts Offered]])</f>
        <v>0.26760563380281688</v>
      </c>
      <c r="AG1959" s="5">
        <f>IF(SalesData[[#This Row],[Customers Visited]]=0,0,SalesData[[#This Row],[Test Drives]]/SalesData[[#This Row],[Customers Visited]])</f>
        <v>0.45353159851301117</v>
      </c>
      <c r="AH1959" s="5">
        <f>IF(SalesData[[#This Row],[Customers Visited]]=0,0,SalesData[[#This Row],[Contracts Signed]]/SalesData[[#This Row],[Customers Visited]])</f>
        <v>7.0631970260223054E-2</v>
      </c>
      <c r="AI1959" s="6">
        <f>IF(SalesData[[#This Row],[Contracts Signed]]=0,0,SalesData[[#This Row],[Profit(€)]]/SalesData[[#This Row],[Contracts Signed]])</f>
        <v>2871</v>
      </c>
      <c r="AJ1959" s="5" t="str">
        <f>TRIM(CLEAN(SalesData[[#This Row],[Retailer]]))</f>
        <v>Main Auto Hub</v>
      </c>
    </row>
    <row r="1960" spans="1:36" ht="14.25" hidden="1" x14ac:dyDescent="0.2">
      <c r="A1960" t="s">
        <v>2946</v>
      </c>
      <c r="B1960" s="1">
        <v>46061</v>
      </c>
      <c r="C1960" t="s">
        <v>121</v>
      </c>
      <c r="D1960" t="s">
        <v>41</v>
      </c>
      <c r="E1960" t="s">
        <v>42</v>
      </c>
      <c r="F1960" t="s">
        <v>109</v>
      </c>
      <c r="G1960" t="s">
        <v>110</v>
      </c>
      <c r="H1960" t="s">
        <v>45</v>
      </c>
      <c r="I1960" t="s">
        <v>64</v>
      </c>
      <c r="J1960" t="s">
        <v>77</v>
      </c>
      <c r="K1960" t="s">
        <v>91</v>
      </c>
      <c r="L1960" t="s">
        <v>46</v>
      </c>
      <c r="M1960" t="s">
        <v>68</v>
      </c>
      <c r="N1960" t="s">
        <v>69</v>
      </c>
      <c r="O1960" t="s">
        <v>36</v>
      </c>
      <c r="P1960" t="s">
        <v>49</v>
      </c>
      <c r="Q1960" t="s">
        <v>158</v>
      </c>
      <c r="R1960">
        <v>151</v>
      </c>
      <c r="S1960">
        <v>88</v>
      </c>
      <c r="T1960">
        <v>62</v>
      </c>
      <c r="U1960">
        <v>21</v>
      </c>
      <c r="V1960" t="s">
        <v>6954</v>
      </c>
      <c r="W1960">
        <v>52745</v>
      </c>
      <c r="X1960" t="s">
        <v>7130</v>
      </c>
      <c r="Y1960">
        <v>40327</v>
      </c>
      <c r="Z1960">
        <v>1107645</v>
      </c>
      <c r="AA1960">
        <v>260778</v>
      </c>
      <c r="AB1960" t="str">
        <f>(VLOOKUP(SalesData[[#This Row],[Month Number]],Reference!C$5:E$16,2,FALSE))</f>
        <v>Feb</v>
      </c>
      <c r="AC1960">
        <f>MONTH(SalesData[[#This Row],[Date]])</f>
        <v>2</v>
      </c>
      <c r="AD1960">
        <f>Reference!F$4</f>
        <v>2026</v>
      </c>
      <c r="AE1960" t="str">
        <f>IF(OR(SalesData[[#This Row],[Day]]="Saturday",SalesData[[#This Row],[Day]]="Sunday"),"Weekend","Weekday")</f>
        <v>Weekend</v>
      </c>
      <c r="AF1960" s="5">
        <f>IF(SalesData[[#This Row],[Contracts Offered]]=0,0,SalesData[[#This Row],[Contracts Signed]]/SalesData[[#This Row],[Contracts Offered]])</f>
        <v>0.33870967741935482</v>
      </c>
      <c r="AG1960" s="5">
        <f>IF(SalesData[[#This Row],[Customers Visited]]=0,0,SalesData[[#This Row],[Test Drives]]/SalesData[[#This Row],[Customers Visited]])</f>
        <v>0.58278145695364236</v>
      </c>
      <c r="AH1960" s="5">
        <f>IF(SalesData[[#This Row],[Customers Visited]]=0,0,SalesData[[#This Row],[Contracts Signed]]/SalesData[[#This Row],[Customers Visited]])</f>
        <v>0.13907284768211919</v>
      </c>
      <c r="AI1960" s="6">
        <f>IF(SalesData[[#This Row],[Contracts Signed]]=0,0,SalesData[[#This Row],[Profit(€)]]/SalesData[[#This Row],[Contracts Signed]])</f>
        <v>12418</v>
      </c>
      <c r="AJ1960" s="5" t="str">
        <f>TRIM(CLEAN(SalesData[[#This Row],[Retailer]]))</f>
        <v>Leipzig Mobility</v>
      </c>
    </row>
    <row r="1961" spans="1:36" ht="14.25" hidden="1" x14ac:dyDescent="0.2">
      <c r="A1961" t="s">
        <v>2947</v>
      </c>
      <c r="B1961" s="1">
        <v>46054</v>
      </c>
      <c r="C1961" t="s">
        <v>24</v>
      </c>
      <c r="D1961" t="s">
        <v>41</v>
      </c>
      <c r="E1961" t="s">
        <v>42</v>
      </c>
      <c r="F1961" t="s">
        <v>109</v>
      </c>
      <c r="G1961" t="s">
        <v>110</v>
      </c>
      <c r="H1961" t="s">
        <v>45</v>
      </c>
      <c r="I1961" t="s">
        <v>56</v>
      </c>
      <c r="J1961" t="s">
        <v>57</v>
      </c>
      <c r="K1961" t="s">
        <v>66</v>
      </c>
      <c r="L1961" t="s">
        <v>46</v>
      </c>
      <c r="M1961" t="s">
        <v>47</v>
      </c>
      <c r="N1961" t="s">
        <v>69</v>
      </c>
      <c r="O1961" t="s">
        <v>70</v>
      </c>
      <c r="P1961" t="s">
        <v>49</v>
      </c>
      <c r="Q1961" t="s">
        <v>38</v>
      </c>
      <c r="R1961">
        <v>295</v>
      </c>
      <c r="S1961">
        <v>139</v>
      </c>
      <c r="T1961">
        <v>94</v>
      </c>
      <c r="U1961">
        <v>24</v>
      </c>
      <c r="V1961" t="s">
        <v>531</v>
      </c>
      <c r="W1961">
        <v>41721</v>
      </c>
      <c r="X1961" t="s">
        <v>4948</v>
      </c>
      <c r="Y1961">
        <v>33107</v>
      </c>
      <c r="Z1961">
        <v>1001304</v>
      </c>
      <c r="AA1961">
        <v>206736</v>
      </c>
      <c r="AB1961" t="str">
        <f>(VLOOKUP(SalesData[[#This Row],[Month Number]],Reference!C$5:E$16,2,FALSE))</f>
        <v>Feb</v>
      </c>
      <c r="AC1961">
        <f>MONTH(SalesData[[#This Row],[Date]])</f>
        <v>2</v>
      </c>
      <c r="AD1961">
        <f>Reference!F$4</f>
        <v>2026</v>
      </c>
      <c r="AE1961" t="str">
        <f>IF(OR(SalesData[[#This Row],[Day]]="Saturday",SalesData[[#This Row],[Day]]="Sunday"),"Weekend","Weekday")</f>
        <v>Weekend</v>
      </c>
      <c r="AF1961" s="5">
        <f>IF(SalesData[[#This Row],[Contracts Offered]]=0,0,SalesData[[#This Row],[Contracts Signed]]/SalesData[[#This Row],[Contracts Offered]])</f>
        <v>0.25531914893617019</v>
      </c>
      <c r="AG1961" s="5">
        <f>IF(SalesData[[#This Row],[Customers Visited]]=0,0,SalesData[[#This Row],[Test Drives]]/SalesData[[#This Row],[Customers Visited]])</f>
        <v>0.47118644067796611</v>
      </c>
      <c r="AH1961" s="5">
        <f>IF(SalesData[[#This Row],[Customers Visited]]=0,0,SalesData[[#This Row],[Contracts Signed]]/SalesData[[#This Row],[Customers Visited]])</f>
        <v>8.1355932203389825E-2</v>
      </c>
      <c r="AI1961" s="6">
        <f>IF(SalesData[[#This Row],[Contracts Signed]]=0,0,SalesData[[#This Row],[Profit(€)]]/SalesData[[#This Row],[Contracts Signed]])</f>
        <v>8614</v>
      </c>
      <c r="AJ1961" s="5" t="str">
        <f>TRIM(CLEAN(SalesData[[#This Row],[Retailer]]))</f>
        <v>Leipzig Mobility</v>
      </c>
    </row>
    <row r="1962" spans="1:36" ht="14.25" hidden="1" x14ac:dyDescent="0.2">
      <c r="A1962" t="s">
        <v>2948</v>
      </c>
      <c r="B1962" s="1">
        <v>46073</v>
      </c>
      <c r="C1962" t="s">
        <v>62</v>
      </c>
      <c r="D1962" t="s">
        <v>54</v>
      </c>
      <c r="E1962" t="s">
        <v>26</v>
      </c>
      <c r="F1962" t="s">
        <v>43</v>
      </c>
      <c r="G1962" t="s">
        <v>44</v>
      </c>
      <c r="H1962" t="s">
        <v>45</v>
      </c>
      <c r="I1962" t="s">
        <v>104</v>
      </c>
      <c r="J1962" t="s">
        <v>7061</v>
      </c>
      <c r="K1962" t="s">
        <v>78</v>
      </c>
      <c r="L1962" t="s">
        <v>46</v>
      </c>
      <c r="M1962" t="s">
        <v>87</v>
      </c>
      <c r="N1962" t="s">
        <v>48</v>
      </c>
      <c r="O1962" t="s">
        <v>36</v>
      </c>
      <c r="P1962" t="s">
        <v>58</v>
      </c>
      <c r="Q1962" t="s">
        <v>144</v>
      </c>
      <c r="R1962">
        <v>480</v>
      </c>
      <c r="S1962">
        <v>193</v>
      </c>
      <c r="T1962">
        <v>136</v>
      </c>
      <c r="U1962">
        <v>40</v>
      </c>
      <c r="V1962" t="s">
        <v>7498</v>
      </c>
      <c r="W1962">
        <v>32595</v>
      </c>
      <c r="X1962" t="s">
        <v>4401</v>
      </c>
      <c r="Y1962">
        <v>29123</v>
      </c>
      <c r="Z1962">
        <v>1303800</v>
      </c>
      <c r="AA1962">
        <v>138880</v>
      </c>
      <c r="AB1962" t="str">
        <f>(VLOOKUP(SalesData[[#This Row],[Month Number]],Reference!C$5:E$16,2,FALSE))</f>
        <v>Feb</v>
      </c>
      <c r="AC1962">
        <f>MONTH(SalesData[[#This Row],[Date]])</f>
        <v>2</v>
      </c>
      <c r="AD1962">
        <f>Reference!F$4</f>
        <v>2026</v>
      </c>
      <c r="AE1962" t="str">
        <f>IF(OR(SalesData[[#This Row],[Day]]="Saturday",SalesData[[#This Row],[Day]]="Sunday"),"Weekend","Weekday")</f>
        <v>Weekday</v>
      </c>
      <c r="AF1962" s="5">
        <f>IF(SalesData[[#This Row],[Contracts Offered]]=0,0,SalesData[[#This Row],[Contracts Signed]]/SalesData[[#This Row],[Contracts Offered]])</f>
        <v>0.29411764705882354</v>
      </c>
      <c r="AG1962" s="5">
        <f>IF(SalesData[[#This Row],[Customers Visited]]=0,0,SalesData[[#This Row],[Test Drives]]/SalesData[[#This Row],[Customers Visited]])</f>
        <v>0.40208333333333335</v>
      </c>
      <c r="AH1962" s="5">
        <f>IF(SalesData[[#This Row],[Customers Visited]]=0,0,SalesData[[#This Row],[Contracts Signed]]/SalesData[[#This Row],[Customers Visited]])</f>
        <v>8.3333333333333329E-2</v>
      </c>
      <c r="AI1962" s="6">
        <f>IF(SalesData[[#This Row],[Contracts Signed]]=0,0,SalesData[[#This Row],[Profit(€)]]/SalesData[[#This Row],[Contracts Signed]])</f>
        <v>3472</v>
      </c>
      <c r="AJ1962" s="5" t="str">
        <f>TRIM(CLEAN(SalesData[[#This Row],[Retailer]]))</f>
        <v>Saxon Wheels</v>
      </c>
    </row>
    <row r="1963" spans="1:36" ht="14.25" hidden="1" x14ac:dyDescent="0.2">
      <c r="A1963" t="s">
        <v>2949</v>
      </c>
      <c r="B1963" s="1">
        <v>46065</v>
      </c>
      <c r="C1963" t="s">
        <v>121</v>
      </c>
      <c r="D1963" t="s">
        <v>100</v>
      </c>
      <c r="E1963" t="s">
        <v>26</v>
      </c>
      <c r="F1963" t="s">
        <v>94</v>
      </c>
      <c r="G1963" t="s">
        <v>95</v>
      </c>
      <c r="H1963" t="s">
        <v>96</v>
      </c>
      <c r="I1963" t="s">
        <v>56</v>
      </c>
      <c r="J1963" t="s">
        <v>179</v>
      </c>
      <c r="K1963" t="s">
        <v>32</v>
      </c>
      <c r="L1963" t="s">
        <v>67</v>
      </c>
      <c r="M1963" t="s">
        <v>68</v>
      </c>
      <c r="N1963" t="s">
        <v>48</v>
      </c>
      <c r="O1963" t="s">
        <v>36</v>
      </c>
      <c r="P1963" t="s">
        <v>58</v>
      </c>
      <c r="Q1963" t="s">
        <v>38</v>
      </c>
      <c r="R1963">
        <v>168</v>
      </c>
      <c r="S1963">
        <v>94</v>
      </c>
      <c r="T1963">
        <v>68</v>
      </c>
      <c r="U1963">
        <v>25</v>
      </c>
      <c r="V1963" t="s">
        <v>6985</v>
      </c>
      <c r="W1963">
        <v>43828</v>
      </c>
      <c r="X1963" t="s">
        <v>80</v>
      </c>
      <c r="Y1963">
        <v>34890</v>
      </c>
      <c r="Z1963">
        <v>1095700</v>
      </c>
      <c r="AA1963">
        <v>223450</v>
      </c>
      <c r="AB1963" t="str">
        <f>(VLOOKUP(SalesData[[#This Row],[Month Number]],Reference!C$5:E$16,2,FALSE))</f>
        <v>Feb</v>
      </c>
      <c r="AC1963">
        <f>MONTH(SalesData[[#This Row],[Date]])</f>
        <v>2</v>
      </c>
      <c r="AD1963">
        <f>Reference!F$4</f>
        <v>2026</v>
      </c>
      <c r="AE1963" t="str">
        <f>IF(OR(SalesData[[#This Row],[Day]]="Saturday",SalesData[[#This Row],[Day]]="Sunday"),"Weekend","Weekday")</f>
        <v>Weekday</v>
      </c>
      <c r="AF1963" s="5">
        <f>IF(SalesData[[#This Row],[Contracts Offered]]=0,0,SalesData[[#This Row],[Contracts Signed]]/SalesData[[#This Row],[Contracts Offered]])</f>
        <v>0.36764705882352944</v>
      </c>
      <c r="AG1963" s="5">
        <f>IF(SalesData[[#This Row],[Customers Visited]]=0,0,SalesData[[#This Row],[Test Drives]]/SalesData[[#This Row],[Customers Visited]])</f>
        <v>0.55952380952380953</v>
      </c>
      <c r="AH1963" s="5">
        <f>IF(SalesData[[#This Row],[Customers Visited]]=0,0,SalesData[[#This Row],[Contracts Signed]]/SalesData[[#This Row],[Customers Visited]])</f>
        <v>0.14880952380952381</v>
      </c>
      <c r="AI1963" s="6">
        <f>IF(SalesData[[#This Row],[Contracts Signed]]=0,0,SalesData[[#This Row],[Profit(€)]]/SalesData[[#This Row],[Contracts Signed]])</f>
        <v>8938</v>
      </c>
      <c r="AJ1963" s="5" t="str">
        <f>TRIM(CLEAN(SalesData[[#This Row],[Retailer]]))</f>
        <v>Bavaria Motors</v>
      </c>
    </row>
    <row r="1964" spans="1:36" ht="14.25" hidden="1" x14ac:dyDescent="0.2">
      <c r="A1964" t="s">
        <v>2950</v>
      </c>
      <c r="B1964" s="1">
        <v>46072</v>
      </c>
      <c r="C1964" t="s">
        <v>62</v>
      </c>
      <c r="D1964" t="s">
        <v>100</v>
      </c>
      <c r="E1964" t="s">
        <v>26</v>
      </c>
      <c r="F1964" t="s">
        <v>127</v>
      </c>
      <c r="G1964" t="s">
        <v>128</v>
      </c>
      <c r="H1964" t="s">
        <v>103</v>
      </c>
      <c r="I1964" t="s">
        <v>56</v>
      </c>
      <c r="J1964" t="s">
        <v>179</v>
      </c>
      <c r="K1964" t="s">
        <v>91</v>
      </c>
      <c r="L1964" t="s">
        <v>67</v>
      </c>
      <c r="M1964" t="s">
        <v>68</v>
      </c>
      <c r="N1964" t="s">
        <v>69</v>
      </c>
      <c r="O1964" t="s">
        <v>36</v>
      </c>
      <c r="P1964" t="s">
        <v>58</v>
      </c>
      <c r="Q1964" t="s">
        <v>169</v>
      </c>
      <c r="R1964">
        <v>185</v>
      </c>
      <c r="S1964">
        <v>90</v>
      </c>
      <c r="T1964">
        <v>67</v>
      </c>
      <c r="U1964">
        <v>25</v>
      </c>
      <c r="V1964" t="s">
        <v>6351</v>
      </c>
      <c r="W1964">
        <v>50660</v>
      </c>
      <c r="X1964" t="s">
        <v>7126</v>
      </c>
      <c r="Y1964">
        <v>39405</v>
      </c>
      <c r="Z1964">
        <v>1266500</v>
      </c>
      <c r="AA1964">
        <v>281375</v>
      </c>
      <c r="AB1964" t="str">
        <f>(VLOOKUP(SalesData[[#This Row],[Month Number]],Reference!C$5:E$16,2,FALSE))</f>
        <v>Feb</v>
      </c>
      <c r="AC1964">
        <f>MONTH(SalesData[[#This Row],[Date]])</f>
        <v>2</v>
      </c>
      <c r="AD1964">
        <f>Reference!F$4</f>
        <v>2026</v>
      </c>
      <c r="AE1964" t="str">
        <f>IF(OR(SalesData[[#This Row],[Day]]="Saturday",SalesData[[#This Row],[Day]]="Sunday"),"Weekend","Weekday")</f>
        <v>Weekday</v>
      </c>
      <c r="AF1964" s="5">
        <f>IF(SalesData[[#This Row],[Contracts Offered]]=0,0,SalesData[[#This Row],[Contracts Signed]]/SalesData[[#This Row],[Contracts Offered]])</f>
        <v>0.37313432835820898</v>
      </c>
      <c r="AG1964" s="5">
        <f>IF(SalesData[[#This Row],[Customers Visited]]=0,0,SalesData[[#This Row],[Test Drives]]/SalesData[[#This Row],[Customers Visited]])</f>
        <v>0.48648648648648651</v>
      </c>
      <c r="AH1964" s="5">
        <f>IF(SalesData[[#This Row],[Customers Visited]]=0,0,SalesData[[#This Row],[Contracts Signed]]/SalesData[[#This Row],[Customers Visited]])</f>
        <v>0.13513513513513514</v>
      </c>
      <c r="AI1964" s="6">
        <f>IF(SalesData[[#This Row],[Contracts Signed]]=0,0,SalesData[[#This Row],[Profit(€)]]/SalesData[[#This Row],[Contracts Signed]])</f>
        <v>11255</v>
      </c>
      <c r="AJ1964" s="5" t="str">
        <f>TRIM(CLEAN(SalesData[[#This Row],[Retailer]]))</f>
        <v>Rhein Auto Group</v>
      </c>
    </row>
    <row r="1965" spans="1:36" ht="14.25" hidden="1" x14ac:dyDescent="0.2">
      <c r="A1965" t="s">
        <v>2951</v>
      </c>
      <c r="B1965" s="1">
        <v>46073</v>
      </c>
      <c r="C1965" t="s">
        <v>62</v>
      </c>
      <c r="D1965" t="s">
        <v>54</v>
      </c>
      <c r="E1965" t="s">
        <v>26</v>
      </c>
      <c r="F1965" t="s">
        <v>114</v>
      </c>
      <c r="G1965" t="s">
        <v>115</v>
      </c>
      <c r="H1965" t="s">
        <v>115</v>
      </c>
      <c r="I1965" t="s">
        <v>104</v>
      </c>
      <c r="J1965" t="s">
        <v>143</v>
      </c>
      <c r="K1965" t="s">
        <v>91</v>
      </c>
      <c r="L1965" t="s">
        <v>67</v>
      </c>
      <c r="M1965" t="s">
        <v>34</v>
      </c>
      <c r="N1965" t="s">
        <v>48</v>
      </c>
      <c r="O1965" t="s">
        <v>70</v>
      </c>
      <c r="P1965" t="s">
        <v>71</v>
      </c>
      <c r="Q1965" t="s">
        <v>118</v>
      </c>
      <c r="R1965">
        <v>275</v>
      </c>
      <c r="S1965">
        <v>121</v>
      </c>
      <c r="T1965">
        <v>84</v>
      </c>
      <c r="U1965">
        <v>20</v>
      </c>
      <c r="V1965" t="s">
        <v>4349</v>
      </c>
      <c r="W1965">
        <v>28178</v>
      </c>
      <c r="X1965" t="s">
        <v>1092</v>
      </c>
      <c r="Y1965">
        <v>25432</v>
      </c>
      <c r="Z1965">
        <v>563560</v>
      </c>
      <c r="AA1965">
        <v>54920</v>
      </c>
      <c r="AB1965" t="str">
        <f>(VLOOKUP(SalesData[[#This Row],[Month Number]],Reference!C$5:E$16,2,FALSE))</f>
        <v>Feb</v>
      </c>
      <c r="AC1965">
        <f>MONTH(SalesData[[#This Row],[Date]])</f>
        <v>2</v>
      </c>
      <c r="AD1965">
        <f>Reference!F$4</f>
        <v>2026</v>
      </c>
      <c r="AE1965" t="str">
        <f>IF(OR(SalesData[[#This Row],[Day]]="Saturday",SalesData[[#This Row],[Day]]="Sunday"),"Weekend","Weekday")</f>
        <v>Weekday</v>
      </c>
      <c r="AF1965" s="5">
        <f>IF(SalesData[[#This Row],[Contracts Offered]]=0,0,SalesData[[#This Row],[Contracts Signed]]/SalesData[[#This Row],[Contracts Offered]])</f>
        <v>0.23809523809523808</v>
      </c>
      <c r="AG1965" s="5">
        <f>IF(SalesData[[#This Row],[Customers Visited]]=0,0,SalesData[[#This Row],[Test Drives]]/SalesData[[#This Row],[Customers Visited]])</f>
        <v>0.44</v>
      </c>
      <c r="AH1965" s="5">
        <f>IF(SalesData[[#This Row],[Customers Visited]]=0,0,SalesData[[#This Row],[Contracts Signed]]/SalesData[[#This Row],[Customers Visited]])</f>
        <v>7.2727272727272724E-2</v>
      </c>
      <c r="AI1965" s="6">
        <f>IF(SalesData[[#This Row],[Contracts Signed]]=0,0,SalesData[[#This Row],[Profit(€)]]/SalesData[[#This Row],[Contracts Signed]])</f>
        <v>2746</v>
      </c>
      <c r="AJ1965" s="5" t="str">
        <f>TRIM(CLEAN(SalesData[[#This Row],[Retailer]]))</f>
        <v>Elbe Drive</v>
      </c>
    </row>
    <row r="1966" spans="1:36" ht="14.25" hidden="1" x14ac:dyDescent="0.2">
      <c r="A1966" t="s">
        <v>2952</v>
      </c>
      <c r="B1966" s="1">
        <v>46072</v>
      </c>
      <c r="C1966" t="s">
        <v>62</v>
      </c>
      <c r="D1966" t="s">
        <v>100</v>
      </c>
      <c r="E1966" t="s">
        <v>26</v>
      </c>
      <c r="F1966" t="s">
        <v>27</v>
      </c>
      <c r="G1966" t="s">
        <v>28</v>
      </c>
      <c r="H1966" t="s">
        <v>29</v>
      </c>
      <c r="I1966" t="s">
        <v>56</v>
      </c>
      <c r="J1966" t="s">
        <v>97</v>
      </c>
      <c r="K1966" t="s">
        <v>66</v>
      </c>
      <c r="L1966" t="s">
        <v>33</v>
      </c>
      <c r="M1966" t="s">
        <v>68</v>
      </c>
      <c r="N1966" t="s">
        <v>35</v>
      </c>
      <c r="O1966" t="s">
        <v>36</v>
      </c>
      <c r="P1966" t="s">
        <v>37</v>
      </c>
      <c r="Q1966" t="s">
        <v>135</v>
      </c>
      <c r="R1966">
        <v>263</v>
      </c>
      <c r="S1966">
        <v>166</v>
      </c>
      <c r="T1966">
        <v>126</v>
      </c>
      <c r="U1966">
        <v>38</v>
      </c>
      <c r="V1966" t="s">
        <v>6447</v>
      </c>
      <c r="W1966">
        <v>49479</v>
      </c>
      <c r="X1966" t="s">
        <v>1489</v>
      </c>
      <c r="Y1966">
        <v>39090</v>
      </c>
      <c r="Z1966">
        <v>1880202</v>
      </c>
      <c r="AA1966">
        <v>394782</v>
      </c>
      <c r="AB1966" t="str">
        <f>(VLOOKUP(SalesData[[#This Row],[Month Number]],Reference!C$5:E$16,2,FALSE))</f>
        <v>Feb</v>
      </c>
      <c r="AC1966">
        <f>MONTH(SalesData[[#This Row],[Date]])</f>
        <v>2</v>
      </c>
      <c r="AD1966">
        <f>Reference!F$4</f>
        <v>2026</v>
      </c>
      <c r="AE1966" t="str">
        <f>IF(OR(SalesData[[#This Row],[Day]]="Saturday",SalesData[[#This Row],[Day]]="Sunday"),"Weekend","Weekday")</f>
        <v>Weekday</v>
      </c>
      <c r="AF1966" s="5">
        <f>IF(SalesData[[#This Row],[Contracts Offered]]=0,0,SalesData[[#This Row],[Contracts Signed]]/SalesData[[#This Row],[Contracts Offered]])</f>
        <v>0.30158730158730157</v>
      </c>
      <c r="AG1966" s="5">
        <f>IF(SalesData[[#This Row],[Customers Visited]]=0,0,SalesData[[#This Row],[Test Drives]]/SalesData[[#This Row],[Customers Visited]])</f>
        <v>0.63117870722433456</v>
      </c>
      <c r="AH1966" s="5">
        <f>IF(SalesData[[#This Row],[Customers Visited]]=0,0,SalesData[[#This Row],[Contracts Signed]]/SalesData[[#This Row],[Customers Visited]])</f>
        <v>0.14448669201520911</v>
      </c>
      <c r="AI1966" s="6">
        <f>IF(SalesData[[#This Row],[Contracts Signed]]=0,0,SalesData[[#This Row],[Profit(€)]]/SalesData[[#This Row],[Contracts Signed]])</f>
        <v>10389</v>
      </c>
      <c r="AJ1966" s="5" t="str">
        <f>TRIM(CLEAN(SalesData[[#This Row],[Retailer]]))</f>
        <v>Main Auto Hub</v>
      </c>
    </row>
    <row r="1967" spans="1:36" ht="14.25" x14ac:dyDescent="0.2">
      <c r="A1967" t="s">
        <v>2953</v>
      </c>
      <c r="B1967" s="1">
        <v>46079</v>
      </c>
      <c r="C1967" t="s">
        <v>53</v>
      </c>
      <c r="D1967" t="s">
        <v>100</v>
      </c>
      <c r="E1967" t="s">
        <v>26</v>
      </c>
      <c r="F1967" t="s">
        <v>101</v>
      </c>
      <c r="G1967" t="s">
        <v>102</v>
      </c>
      <c r="H1967" t="s">
        <v>103</v>
      </c>
      <c r="I1967" t="s">
        <v>30</v>
      </c>
      <c r="J1967" t="s">
        <v>31</v>
      </c>
      <c r="K1967" t="s">
        <v>66</v>
      </c>
      <c r="L1967" t="s">
        <v>46</v>
      </c>
      <c r="M1967" t="s">
        <v>47</v>
      </c>
      <c r="N1967" t="s">
        <v>48</v>
      </c>
      <c r="O1967" t="s">
        <v>70</v>
      </c>
      <c r="P1967" t="s">
        <v>49</v>
      </c>
      <c r="Q1967" t="s">
        <v>240</v>
      </c>
      <c r="R1967">
        <v>278</v>
      </c>
      <c r="S1967">
        <v>152</v>
      </c>
      <c r="T1967">
        <v>106</v>
      </c>
      <c r="U1967">
        <v>36</v>
      </c>
      <c r="V1967" t="s">
        <v>6441</v>
      </c>
      <c r="W1967">
        <v>59352</v>
      </c>
      <c r="X1967" t="s">
        <v>7118</v>
      </c>
      <c r="Y1967">
        <v>42645</v>
      </c>
      <c r="Z1967">
        <v>2136672</v>
      </c>
      <c r="AA1967">
        <v>601452</v>
      </c>
      <c r="AB1967" t="str">
        <f>(VLOOKUP(SalesData[[#This Row],[Month Number]],Reference!C$5:E$16,2,FALSE))</f>
        <v>Feb</v>
      </c>
      <c r="AC1967">
        <f>MONTH(SalesData[[#This Row],[Date]])</f>
        <v>2</v>
      </c>
      <c r="AD1967">
        <f>Reference!F$4</f>
        <v>2026</v>
      </c>
      <c r="AE1967" t="str">
        <f>IF(OR(SalesData[[#This Row],[Day]]="Saturday",SalesData[[#This Row],[Day]]="Sunday"),"Weekend","Weekday")</f>
        <v>Weekday</v>
      </c>
      <c r="AF1967" s="5">
        <f>IF(SalesData[[#This Row],[Contracts Offered]]=0,0,SalesData[[#This Row],[Contracts Signed]]/SalesData[[#This Row],[Contracts Offered]])</f>
        <v>0.33962264150943394</v>
      </c>
      <c r="AG1967" s="5">
        <f>IF(SalesData[[#This Row],[Customers Visited]]=0,0,SalesData[[#This Row],[Test Drives]]/SalesData[[#This Row],[Customers Visited]])</f>
        <v>0.5467625899280576</v>
      </c>
      <c r="AH1967" s="5">
        <f>IF(SalesData[[#This Row],[Customers Visited]]=0,0,SalesData[[#This Row],[Contracts Signed]]/SalesData[[#This Row],[Customers Visited]])</f>
        <v>0.12949640287769784</v>
      </c>
      <c r="AI1967" s="6">
        <f>IF(SalesData[[#This Row],[Contracts Signed]]=0,0,SalesData[[#This Row],[Profit(€)]]/SalesData[[#This Row],[Contracts Signed]])</f>
        <v>16707</v>
      </c>
      <c r="AJ1967" s="5" t="str">
        <f>TRIM(CLEAN(SalesData[[#This Row],[Retailer]]))</f>
        <v>Ruhr Auto Plaza</v>
      </c>
    </row>
    <row r="1968" spans="1:36" ht="14.25" x14ac:dyDescent="0.2">
      <c r="A1968" t="s">
        <v>2954</v>
      </c>
      <c r="B1968" s="1">
        <v>46070</v>
      </c>
      <c r="C1968" t="s">
        <v>62</v>
      </c>
      <c r="D1968" t="s">
        <v>63</v>
      </c>
      <c r="E1968" t="s">
        <v>26</v>
      </c>
      <c r="F1968" t="s">
        <v>114</v>
      </c>
      <c r="G1968" t="s">
        <v>115</v>
      </c>
      <c r="H1968" t="s">
        <v>115</v>
      </c>
      <c r="I1968" t="s">
        <v>30</v>
      </c>
      <c r="J1968" t="s">
        <v>31</v>
      </c>
      <c r="K1968" t="s">
        <v>66</v>
      </c>
      <c r="L1968" t="s">
        <v>46</v>
      </c>
      <c r="M1968" t="s">
        <v>68</v>
      </c>
      <c r="N1968" t="s">
        <v>69</v>
      </c>
      <c r="O1968" t="s">
        <v>70</v>
      </c>
      <c r="P1968" t="s">
        <v>37</v>
      </c>
      <c r="Q1968" t="s">
        <v>167</v>
      </c>
      <c r="R1968">
        <v>180</v>
      </c>
      <c r="S1968">
        <v>93</v>
      </c>
      <c r="T1968">
        <v>64</v>
      </c>
      <c r="U1968">
        <v>23</v>
      </c>
      <c r="V1968" t="s">
        <v>6453</v>
      </c>
      <c r="W1968">
        <v>62058</v>
      </c>
      <c r="X1968" t="s">
        <v>7263</v>
      </c>
      <c r="Y1968">
        <v>47640</v>
      </c>
      <c r="Z1968">
        <v>1427334</v>
      </c>
      <c r="AA1968">
        <v>331614</v>
      </c>
      <c r="AB1968" t="str">
        <f>(VLOOKUP(SalesData[[#This Row],[Month Number]],Reference!C$5:E$16,2,FALSE))</f>
        <v>Feb</v>
      </c>
      <c r="AC1968">
        <f>MONTH(SalesData[[#This Row],[Date]])</f>
        <v>2</v>
      </c>
      <c r="AD1968">
        <f>Reference!F$4</f>
        <v>2026</v>
      </c>
      <c r="AE1968" t="str">
        <f>IF(OR(SalesData[[#This Row],[Day]]="Saturday",SalesData[[#This Row],[Day]]="Sunday"),"Weekend","Weekday")</f>
        <v>Weekday</v>
      </c>
      <c r="AF1968" s="5">
        <f>IF(SalesData[[#This Row],[Contracts Offered]]=0,0,SalesData[[#This Row],[Contracts Signed]]/SalesData[[#This Row],[Contracts Offered]])</f>
        <v>0.359375</v>
      </c>
      <c r="AG1968" s="5">
        <f>IF(SalesData[[#This Row],[Customers Visited]]=0,0,SalesData[[#This Row],[Test Drives]]/SalesData[[#This Row],[Customers Visited]])</f>
        <v>0.51666666666666672</v>
      </c>
      <c r="AH1968" s="5">
        <f>IF(SalesData[[#This Row],[Customers Visited]]=0,0,SalesData[[#This Row],[Contracts Signed]]/SalesData[[#This Row],[Customers Visited]])</f>
        <v>0.12777777777777777</v>
      </c>
      <c r="AI1968" s="6">
        <f>IF(SalesData[[#This Row],[Contracts Signed]]=0,0,SalesData[[#This Row],[Profit(€)]]/SalesData[[#This Row],[Contracts Signed]])</f>
        <v>14418</v>
      </c>
      <c r="AJ1968" s="5" t="str">
        <f>TRIM(CLEAN(SalesData[[#This Row],[Retailer]]))</f>
        <v>Elbe Drive</v>
      </c>
    </row>
    <row r="1969" spans="1:36" ht="14.25" hidden="1" x14ac:dyDescent="0.2">
      <c r="A1969" t="s">
        <v>2955</v>
      </c>
      <c r="B1969" s="1">
        <v>46071</v>
      </c>
      <c r="C1969" t="s">
        <v>62</v>
      </c>
      <c r="D1969" t="s">
        <v>82</v>
      </c>
      <c r="E1969" t="s">
        <v>26</v>
      </c>
      <c r="F1969" t="s">
        <v>43</v>
      </c>
      <c r="G1969" t="s">
        <v>44</v>
      </c>
      <c r="H1969" t="s">
        <v>45</v>
      </c>
      <c r="I1969" t="s">
        <v>64</v>
      </c>
      <c r="J1969" t="s">
        <v>7029</v>
      </c>
      <c r="K1969" t="s">
        <v>32</v>
      </c>
      <c r="L1969" t="s">
        <v>33</v>
      </c>
      <c r="M1969" t="s">
        <v>68</v>
      </c>
      <c r="N1969" t="s">
        <v>48</v>
      </c>
      <c r="O1969" t="s">
        <v>70</v>
      </c>
      <c r="P1969" t="s">
        <v>71</v>
      </c>
      <c r="Q1969" t="s">
        <v>189</v>
      </c>
      <c r="R1969">
        <v>219</v>
      </c>
      <c r="S1969">
        <v>122</v>
      </c>
      <c r="T1969">
        <v>80</v>
      </c>
      <c r="U1969">
        <v>27</v>
      </c>
      <c r="V1969" t="s">
        <v>6631</v>
      </c>
      <c r="W1969">
        <v>56617</v>
      </c>
      <c r="X1969" t="s">
        <v>3904</v>
      </c>
      <c r="Y1969">
        <v>42555</v>
      </c>
      <c r="Z1969">
        <v>1528659</v>
      </c>
      <c r="AA1969">
        <v>379674</v>
      </c>
      <c r="AB1969" t="str">
        <f>(VLOOKUP(SalesData[[#This Row],[Month Number]],Reference!C$5:E$16,2,FALSE))</f>
        <v>Feb</v>
      </c>
      <c r="AC1969">
        <f>MONTH(SalesData[[#This Row],[Date]])</f>
        <v>2</v>
      </c>
      <c r="AD1969">
        <f>Reference!F$4</f>
        <v>2026</v>
      </c>
      <c r="AE1969" t="str">
        <f>IF(OR(SalesData[[#This Row],[Day]]="Saturday",SalesData[[#This Row],[Day]]="Sunday"),"Weekend","Weekday")</f>
        <v>Weekday</v>
      </c>
      <c r="AF1969" s="5">
        <f>IF(SalesData[[#This Row],[Contracts Offered]]=0,0,SalesData[[#This Row],[Contracts Signed]]/SalesData[[#This Row],[Contracts Offered]])</f>
        <v>0.33750000000000002</v>
      </c>
      <c r="AG1969" s="5">
        <f>IF(SalesData[[#This Row],[Customers Visited]]=0,0,SalesData[[#This Row],[Test Drives]]/SalesData[[#This Row],[Customers Visited]])</f>
        <v>0.55707762557077622</v>
      </c>
      <c r="AH1969" s="5">
        <f>IF(SalesData[[#This Row],[Customers Visited]]=0,0,SalesData[[#This Row],[Contracts Signed]]/SalesData[[#This Row],[Customers Visited]])</f>
        <v>0.12328767123287671</v>
      </c>
      <c r="AI1969" s="6">
        <f>IF(SalesData[[#This Row],[Contracts Signed]]=0,0,SalesData[[#This Row],[Profit(€)]]/SalesData[[#This Row],[Contracts Signed]])</f>
        <v>14062</v>
      </c>
      <c r="AJ1969" s="5" t="str">
        <f>TRIM(CLEAN(SalesData[[#This Row],[Retailer]]))</f>
        <v>Saxon Wheels</v>
      </c>
    </row>
    <row r="1970" spans="1:36" ht="14.25" hidden="1" x14ac:dyDescent="0.2">
      <c r="A1970" t="s">
        <v>2957</v>
      </c>
      <c r="B1970" s="1">
        <v>46060</v>
      </c>
      <c r="C1970" t="s">
        <v>24</v>
      </c>
      <c r="D1970" t="s">
        <v>151</v>
      </c>
      <c r="E1970" t="s">
        <v>42</v>
      </c>
      <c r="F1970" t="s">
        <v>7649</v>
      </c>
      <c r="G1970" t="s">
        <v>55</v>
      </c>
      <c r="H1970" t="s">
        <v>55</v>
      </c>
      <c r="I1970" t="s">
        <v>116</v>
      </c>
      <c r="J1970" t="s">
        <v>132</v>
      </c>
      <c r="K1970" t="s">
        <v>91</v>
      </c>
      <c r="L1970" t="s">
        <v>46</v>
      </c>
      <c r="M1970" t="s">
        <v>68</v>
      </c>
      <c r="N1970" t="s">
        <v>35</v>
      </c>
      <c r="O1970" t="s">
        <v>70</v>
      </c>
      <c r="P1970" t="s">
        <v>58</v>
      </c>
      <c r="Q1970" t="s">
        <v>79</v>
      </c>
      <c r="R1970">
        <v>259</v>
      </c>
      <c r="S1970">
        <v>125</v>
      </c>
      <c r="T1970">
        <v>77</v>
      </c>
      <c r="U1970">
        <v>24</v>
      </c>
      <c r="V1970" t="s">
        <v>145</v>
      </c>
      <c r="W1970">
        <v>24248</v>
      </c>
      <c r="X1970" t="s">
        <v>519</v>
      </c>
      <c r="Y1970">
        <v>21915</v>
      </c>
      <c r="Z1970">
        <v>581952</v>
      </c>
      <c r="AA1970">
        <v>55992</v>
      </c>
      <c r="AB1970" t="str">
        <f>(VLOOKUP(SalesData[[#This Row],[Month Number]],Reference!C$5:E$16,2,FALSE))</f>
        <v>Feb</v>
      </c>
      <c r="AC1970">
        <f>MONTH(SalesData[[#This Row],[Date]])</f>
        <v>2</v>
      </c>
      <c r="AD1970">
        <f>Reference!F$4</f>
        <v>2026</v>
      </c>
      <c r="AE1970" t="str">
        <f>IF(OR(SalesData[[#This Row],[Day]]="Saturday",SalesData[[#This Row],[Day]]="Sunday"),"Weekend","Weekday")</f>
        <v>Weekend</v>
      </c>
      <c r="AF1970" s="5">
        <f>IF(SalesData[[#This Row],[Contracts Offered]]=0,0,SalesData[[#This Row],[Contracts Signed]]/SalesData[[#This Row],[Contracts Offered]])</f>
        <v>0.31168831168831168</v>
      </c>
      <c r="AG1970" s="5">
        <f>IF(SalesData[[#This Row],[Customers Visited]]=0,0,SalesData[[#This Row],[Test Drives]]/SalesData[[#This Row],[Customers Visited]])</f>
        <v>0.4826254826254826</v>
      </c>
      <c r="AH1970" s="5">
        <f>IF(SalesData[[#This Row],[Customers Visited]]=0,0,SalesData[[#This Row],[Contracts Signed]]/SalesData[[#This Row],[Customers Visited]])</f>
        <v>9.2664092664092659E-2</v>
      </c>
      <c r="AI1970" s="6">
        <f>IF(SalesData[[#This Row],[Contracts Signed]]=0,0,SalesData[[#This Row],[Profit(€)]]/SalesData[[#This Row],[Contracts Signed]])</f>
        <v>2333</v>
      </c>
      <c r="AJ1970" s="5" t="str">
        <f>TRIM(CLEAN(SalesData[[#This Row],[Retailer]]))</f>
        <v>Autohaus Berlin</v>
      </c>
    </row>
    <row r="1971" spans="1:36" ht="14.25" hidden="1" x14ac:dyDescent="0.2">
      <c r="A1971" t="s">
        <v>2959</v>
      </c>
      <c r="B1971" s="1">
        <v>46063</v>
      </c>
      <c r="C1971" t="s">
        <v>121</v>
      </c>
      <c r="D1971" t="s">
        <v>63</v>
      </c>
      <c r="E1971" t="s">
        <v>26</v>
      </c>
      <c r="F1971" t="s">
        <v>27</v>
      </c>
      <c r="G1971" t="s">
        <v>28</v>
      </c>
      <c r="H1971" t="s">
        <v>29</v>
      </c>
      <c r="I1971" t="s">
        <v>64</v>
      </c>
      <c r="J1971" t="s">
        <v>77</v>
      </c>
      <c r="K1971" t="s">
        <v>66</v>
      </c>
      <c r="L1971" t="s">
        <v>46</v>
      </c>
      <c r="M1971" t="s">
        <v>87</v>
      </c>
      <c r="N1971" t="s">
        <v>48</v>
      </c>
      <c r="O1971" t="s">
        <v>70</v>
      </c>
      <c r="P1971" t="s">
        <v>37</v>
      </c>
      <c r="Q1971" t="s">
        <v>167</v>
      </c>
      <c r="R1971">
        <v>219</v>
      </c>
      <c r="S1971">
        <v>102</v>
      </c>
      <c r="T1971">
        <v>72</v>
      </c>
      <c r="U1971">
        <v>25</v>
      </c>
      <c r="V1971" t="s">
        <v>6516</v>
      </c>
      <c r="W1971">
        <v>54394</v>
      </c>
      <c r="X1971" t="s">
        <v>2693</v>
      </c>
      <c r="Y1971">
        <v>42209</v>
      </c>
      <c r="Z1971">
        <v>1359850</v>
      </c>
      <c r="AA1971">
        <v>304625</v>
      </c>
      <c r="AB1971" t="str">
        <f>(VLOOKUP(SalesData[[#This Row],[Month Number]],Reference!C$5:E$16,2,FALSE))</f>
        <v>Feb</v>
      </c>
      <c r="AC1971">
        <f>MONTH(SalesData[[#This Row],[Date]])</f>
        <v>2</v>
      </c>
      <c r="AD1971">
        <f>Reference!F$4</f>
        <v>2026</v>
      </c>
      <c r="AE1971" t="str">
        <f>IF(OR(SalesData[[#This Row],[Day]]="Saturday",SalesData[[#This Row],[Day]]="Sunday"),"Weekend","Weekday")</f>
        <v>Weekday</v>
      </c>
      <c r="AF1971" s="5">
        <f>IF(SalesData[[#This Row],[Contracts Offered]]=0,0,SalesData[[#This Row],[Contracts Signed]]/SalesData[[#This Row],[Contracts Offered]])</f>
        <v>0.34722222222222221</v>
      </c>
      <c r="AG1971" s="5">
        <f>IF(SalesData[[#This Row],[Customers Visited]]=0,0,SalesData[[#This Row],[Test Drives]]/SalesData[[#This Row],[Customers Visited]])</f>
        <v>0.46575342465753422</v>
      </c>
      <c r="AH1971" s="5">
        <f>IF(SalesData[[#This Row],[Customers Visited]]=0,0,SalesData[[#This Row],[Contracts Signed]]/SalesData[[#This Row],[Customers Visited]])</f>
        <v>0.11415525114155251</v>
      </c>
      <c r="AI1971" s="6">
        <f>IF(SalesData[[#This Row],[Contracts Signed]]=0,0,SalesData[[#This Row],[Profit(€)]]/SalesData[[#This Row],[Contracts Signed]])</f>
        <v>12185</v>
      </c>
      <c r="AJ1971" s="5" t="str">
        <f>TRIM(CLEAN(SalesData[[#This Row],[Retailer]]))</f>
        <v>Main Auto Hub</v>
      </c>
    </row>
    <row r="1972" spans="1:36" ht="14.25" hidden="1" x14ac:dyDescent="0.2">
      <c r="A1972" t="s">
        <v>2961</v>
      </c>
      <c r="B1972" s="1">
        <v>46069</v>
      </c>
      <c r="C1972" t="s">
        <v>62</v>
      </c>
      <c r="D1972" t="s">
        <v>25</v>
      </c>
      <c r="E1972" t="s">
        <v>26</v>
      </c>
      <c r="F1972" t="s">
        <v>27</v>
      </c>
      <c r="G1972" t="s">
        <v>28</v>
      </c>
      <c r="H1972" t="s">
        <v>29</v>
      </c>
      <c r="I1972" t="s">
        <v>104</v>
      </c>
      <c r="J1972" t="s">
        <v>140</v>
      </c>
      <c r="K1972" t="s">
        <v>32</v>
      </c>
      <c r="L1972" t="s">
        <v>46</v>
      </c>
      <c r="M1972" t="s">
        <v>34</v>
      </c>
      <c r="N1972" t="s">
        <v>48</v>
      </c>
      <c r="O1972" t="s">
        <v>36</v>
      </c>
      <c r="P1972" t="s">
        <v>71</v>
      </c>
      <c r="Q1972" t="s">
        <v>38</v>
      </c>
      <c r="R1972">
        <v>452</v>
      </c>
      <c r="S1972">
        <v>235</v>
      </c>
      <c r="T1972">
        <v>149</v>
      </c>
      <c r="U1972">
        <v>37</v>
      </c>
      <c r="V1972" t="s">
        <v>1996</v>
      </c>
      <c r="W1972">
        <v>26896</v>
      </c>
      <c r="X1972" t="s">
        <v>7423</v>
      </c>
      <c r="Y1972">
        <v>24174</v>
      </c>
      <c r="Z1972">
        <v>995152</v>
      </c>
      <c r="AA1972">
        <v>100714</v>
      </c>
      <c r="AB1972" t="str">
        <f>(VLOOKUP(SalesData[[#This Row],[Month Number]],Reference!C$5:E$16,2,FALSE))</f>
        <v>Feb</v>
      </c>
      <c r="AC1972">
        <f>MONTH(SalesData[[#This Row],[Date]])</f>
        <v>2</v>
      </c>
      <c r="AD1972">
        <f>Reference!F$4</f>
        <v>2026</v>
      </c>
      <c r="AE1972" t="str">
        <f>IF(OR(SalesData[[#This Row],[Day]]="Saturday",SalesData[[#This Row],[Day]]="Sunday"),"Weekend","Weekday")</f>
        <v>Weekday</v>
      </c>
      <c r="AF1972" s="5">
        <f>IF(SalesData[[#This Row],[Contracts Offered]]=0,0,SalesData[[#This Row],[Contracts Signed]]/SalesData[[#This Row],[Contracts Offered]])</f>
        <v>0.24832214765100671</v>
      </c>
      <c r="AG1972" s="5">
        <f>IF(SalesData[[#This Row],[Customers Visited]]=0,0,SalesData[[#This Row],[Test Drives]]/SalesData[[#This Row],[Customers Visited]])</f>
        <v>0.51991150442477874</v>
      </c>
      <c r="AH1972" s="5">
        <f>IF(SalesData[[#This Row],[Customers Visited]]=0,0,SalesData[[#This Row],[Contracts Signed]]/SalesData[[#This Row],[Customers Visited]])</f>
        <v>8.185840707964602E-2</v>
      </c>
      <c r="AI1972" s="6">
        <f>IF(SalesData[[#This Row],[Contracts Signed]]=0,0,SalesData[[#This Row],[Profit(€)]]/SalesData[[#This Row],[Contracts Signed]])</f>
        <v>2722</v>
      </c>
      <c r="AJ1972" s="5" t="str">
        <f>TRIM(CLEAN(SalesData[[#This Row],[Retailer]]))</f>
        <v>Main Auto Hub</v>
      </c>
    </row>
    <row r="1973" spans="1:36" ht="14.25" hidden="1" x14ac:dyDescent="0.2">
      <c r="A1973" t="s">
        <v>2963</v>
      </c>
      <c r="B1973" s="1">
        <v>46076</v>
      </c>
      <c r="C1973" t="s">
        <v>53</v>
      </c>
      <c r="D1973" t="s">
        <v>25</v>
      </c>
      <c r="E1973" t="s">
        <v>26</v>
      </c>
      <c r="F1973" t="s">
        <v>109</v>
      </c>
      <c r="G1973" t="s">
        <v>110</v>
      </c>
      <c r="H1973" t="s">
        <v>45</v>
      </c>
      <c r="I1973" t="s">
        <v>116</v>
      </c>
      <c r="J1973" t="s">
        <v>7090</v>
      </c>
      <c r="K1973" t="s">
        <v>91</v>
      </c>
      <c r="L1973" t="s">
        <v>46</v>
      </c>
      <c r="M1973" t="s">
        <v>34</v>
      </c>
      <c r="N1973" t="s">
        <v>48</v>
      </c>
      <c r="O1973" t="s">
        <v>70</v>
      </c>
      <c r="P1973" t="s">
        <v>49</v>
      </c>
      <c r="Q1973" t="s">
        <v>122</v>
      </c>
      <c r="R1973">
        <v>226</v>
      </c>
      <c r="S1973">
        <v>125</v>
      </c>
      <c r="T1973">
        <v>80</v>
      </c>
      <c r="U1973">
        <v>15</v>
      </c>
      <c r="V1973" t="s">
        <v>329</v>
      </c>
      <c r="W1973">
        <v>22598</v>
      </c>
      <c r="X1973" t="s">
        <v>804</v>
      </c>
      <c r="Y1973">
        <v>20226</v>
      </c>
      <c r="Z1973">
        <v>338970</v>
      </c>
      <c r="AA1973">
        <v>35580</v>
      </c>
      <c r="AB1973" t="str">
        <f>(VLOOKUP(SalesData[[#This Row],[Month Number]],Reference!C$5:E$16,2,FALSE))</f>
        <v>Feb</v>
      </c>
      <c r="AC1973">
        <f>MONTH(SalesData[[#This Row],[Date]])</f>
        <v>2</v>
      </c>
      <c r="AD1973">
        <f>Reference!F$4</f>
        <v>2026</v>
      </c>
      <c r="AE1973" t="str">
        <f>IF(OR(SalesData[[#This Row],[Day]]="Saturday",SalesData[[#This Row],[Day]]="Sunday"),"Weekend","Weekday")</f>
        <v>Weekday</v>
      </c>
      <c r="AF1973" s="5">
        <f>IF(SalesData[[#This Row],[Contracts Offered]]=0,0,SalesData[[#This Row],[Contracts Signed]]/SalesData[[#This Row],[Contracts Offered]])</f>
        <v>0.1875</v>
      </c>
      <c r="AG1973" s="5">
        <f>IF(SalesData[[#This Row],[Customers Visited]]=0,0,SalesData[[#This Row],[Test Drives]]/SalesData[[#This Row],[Customers Visited]])</f>
        <v>0.55309734513274333</v>
      </c>
      <c r="AH1973" s="5">
        <f>IF(SalesData[[#This Row],[Customers Visited]]=0,0,SalesData[[#This Row],[Contracts Signed]]/SalesData[[#This Row],[Customers Visited]])</f>
        <v>6.637168141592921E-2</v>
      </c>
      <c r="AI1973" s="6">
        <f>IF(SalesData[[#This Row],[Contracts Signed]]=0,0,SalesData[[#This Row],[Profit(€)]]/SalesData[[#This Row],[Contracts Signed]])</f>
        <v>2372</v>
      </c>
      <c r="AJ1973" s="5" t="str">
        <f>TRIM(CLEAN(SalesData[[#This Row],[Retailer]]))</f>
        <v>Leipzig Mobility</v>
      </c>
    </row>
    <row r="1974" spans="1:36" ht="14.25" x14ac:dyDescent="0.2">
      <c r="A1974" t="s">
        <v>2964</v>
      </c>
      <c r="B1974" s="1">
        <v>46073</v>
      </c>
      <c r="C1974" t="s">
        <v>62</v>
      </c>
      <c r="D1974" t="s">
        <v>54</v>
      </c>
      <c r="E1974" t="s">
        <v>26</v>
      </c>
      <c r="F1974" t="s">
        <v>83</v>
      </c>
      <c r="G1974" t="s">
        <v>84</v>
      </c>
      <c r="H1974" t="s">
        <v>85</v>
      </c>
      <c r="I1974" t="s">
        <v>30</v>
      </c>
      <c r="J1974" t="s">
        <v>31</v>
      </c>
      <c r="K1974" t="s">
        <v>32</v>
      </c>
      <c r="L1974" t="s">
        <v>46</v>
      </c>
      <c r="M1974" t="s">
        <v>87</v>
      </c>
      <c r="N1974" t="s">
        <v>69</v>
      </c>
      <c r="O1974" t="s">
        <v>70</v>
      </c>
      <c r="P1974" t="s">
        <v>37</v>
      </c>
      <c r="Q1974" t="s">
        <v>158</v>
      </c>
      <c r="R1974">
        <v>236</v>
      </c>
      <c r="S1974">
        <v>114</v>
      </c>
      <c r="T1974">
        <v>82</v>
      </c>
      <c r="U1974">
        <v>28</v>
      </c>
      <c r="V1974" t="s">
        <v>6590</v>
      </c>
      <c r="W1974">
        <v>50346</v>
      </c>
      <c r="X1974" t="s">
        <v>7073</v>
      </c>
      <c r="Y1974">
        <v>35761</v>
      </c>
      <c r="Z1974">
        <v>1409688</v>
      </c>
      <c r="AA1974">
        <v>408380</v>
      </c>
      <c r="AB1974" t="str">
        <f>(VLOOKUP(SalesData[[#This Row],[Month Number]],Reference!C$5:E$16,2,FALSE))</f>
        <v>Feb</v>
      </c>
      <c r="AC1974">
        <f>MONTH(SalesData[[#This Row],[Date]])</f>
        <v>2</v>
      </c>
      <c r="AD1974">
        <f>Reference!F$4</f>
        <v>2026</v>
      </c>
      <c r="AE1974" t="str">
        <f>IF(OR(SalesData[[#This Row],[Day]]="Saturday",SalesData[[#This Row],[Day]]="Sunday"),"Weekend","Weekday")</f>
        <v>Weekday</v>
      </c>
      <c r="AF1974" s="5">
        <f>IF(SalesData[[#This Row],[Contracts Offered]]=0,0,SalesData[[#This Row],[Contracts Signed]]/SalesData[[#This Row],[Contracts Offered]])</f>
        <v>0.34146341463414637</v>
      </c>
      <c r="AG1974" s="5">
        <f>IF(SalesData[[#This Row],[Customers Visited]]=0,0,SalesData[[#This Row],[Test Drives]]/SalesData[[#This Row],[Customers Visited]])</f>
        <v>0.48305084745762711</v>
      </c>
      <c r="AH1974" s="5">
        <f>IF(SalesData[[#This Row],[Customers Visited]]=0,0,SalesData[[#This Row],[Contracts Signed]]/SalesData[[#This Row],[Customers Visited]])</f>
        <v>0.11864406779661017</v>
      </c>
      <c r="AI1974" s="6">
        <f>IF(SalesData[[#This Row],[Contracts Signed]]=0,0,SalesData[[#This Row],[Profit(€)]]/SalesData[[#This Row],[Contracts Signed]])</f>
        <v>14585</v>
      </c>
      <c r="AJ1974" s="5" t="str">
        <f>TRIM(CLEAN(SalesData[[#This Row],[Retailer]]))</f>
        <v>Hannover Cars</v>
      </c>
    </row>
    <row r="1975" spans="1:36" ht="14.25" hidden="1" x14ac:dyDescent="0.2">
      <c r="A1975" t="s">
        <v>2965</v>
      </c>
      <c r="B1975" s="1">
        <v>46065</v>
      </c>
      <c r="C1975" t="s">
        <v>121</v>
      </c>
      <c r="D1975" t="s">
        <v>100</v>
      </c>
      <c r="E1975" t="s">
        <v>26</v>
      </c>
      <c r="F1975" t="s">
        <v>109</v>
      </c>
      <c r="G1975" t="s">
        <v>110</v>
      </c>
      <c r="H1975" t="s">
        <v>45</v>
      </c>
      <c r="I1975" t="s">
        <v>116</v>
      </c>
      <c r="J1975" t="s">
        <v>203</v>
      </c>
      <c r="K1975" t="s">
        <v>66</v>
      </c>
      <c r="L1975" t="s">
        <v>67</v>
      </c>
      <c r="M1975" t="s">
        <v>68</v>
      </c>
      <c r="N1975" t="s">
        <v>35</v>
      </c>
      <c r="O1975" t="s">
        <v>36</v>
      </c>
      <c r="P1975" t="s">
        <v>37</v>
      </c>
      <c r="Q1975" t="s">
        <v>118</v>
      </c>
      <c r="R1975">
        <v>239</v>
      </c>
      <c r="S1975">
        <v>124</v>
      </c>
      <c r="T1975">
        <v>79</v>
      </c>
      <c r="U1975">
        <v>20</v>
      </c>
      <c r="V1975" t="s">
        <v>125</v>
      </c>
      <c r="W1975">
        <v>26760</v>
      </c>
      <c r="X1975" t="s">
        <v>6112</v>
      </c>
      <c r="Y1975">
        <v>24164</v>
      </c>
      <c r="Z1975">
        <v>535200</v>
      </c>
      <c r="AA1975">
        <v>51920</v>
      </c>
      <c r="AB1975" t="str">
        <f>(VLOOKUP(SalesData[[#This Row],[Month Number]],Reference!C$5:E$16,2,FALSE))</f>
        <v>Feb</v>
      </c>
      <c r="AC1975">
        <f>MONTH(SalesData[[#This Row],[Date]])</f>
        <v>2</v>
      </c>
      <c r="AD1975">
        <f>Reference!F$4</f>
        <v>2026</v>
      </c>
      <c r="AE1975" t="str">
        <f>IF(OR(SalesData[[#This Row],[Day]]="Saturday",SalesData[[#This Row],[Day]]="Sunday"),"Weekend","Weekday")</f>
        <v>Weekday</v>
      </c>
      <c r="AF1975" s="5">
        <f>IF(SalesData[[#This Row],[Contracts Offered]]=0,0,SalesData[[#This Row],[Contracts Signed]]/SalesData[[#This Row],[Contracts Offered]])</f>
        <v>0.25316455696202533</v>
      </c>
      <c r="AG1975" s="5">
        <f>IF(SalesData[[#This Row],[Customers Visited]]=0,0,SalesData[[#This Row],[Test Drives]]/SalesData[[#This Row],[Customers Visited]])</f>
        <v>0.51882845188284521</v>
      </c>
      <c r="AH1975" s="5">
        <f>IF(SalesData[[#This Row],[Customers Visited]]=0,0,SalesData[[#This Row],[Contracts Signed]]/SalesData[[#This Row],[Customers Visited]])</f>
        <v>8.3682008368200833E-2</v>
      </c>
      <c r="AI1975" s="6">
        <f>IF(SalesData[[#This Row],[Contracts Signed]]=0,0,SalesData[[#This Row],[Profit(€)]]/SalesData[[#This Row],[Contracts Signed]])</f>
        <v>2596</v>
      </c>
      <c r="AJ1975" s="5" t="str">
        <f>TRIM(CLEAN(SalesData[[#This Row],[Retailer]]))</f>
        <v>Leipzig Mobility</v>
      </c>
    </row>
    <row r="1976" spans="1:36" ht="14.25" hidden="1" x14ac:dyDescent="0.2">
      <c r="A1976" t="s">
        <v>2966</v>
      </c>
      <c r="B1976" s="1">
        <v>46069</v>
      </c>
      <c r="C1976" t="s">
        <v>62</v>
      </c>
      <c r="D1976" t="s">
        <v>25</v>
      </c>
      <c r="E1976" t="s">
        <v>26</v>
      </c>
      <c r="F1976" t="s">
        <v>83</v>
      </c>
      <c r="G1976" t="s">
        <v>84</v>
      </c>
      <c r="H1976" t="s">
        <v>85</v>
      </c>
      <c r="I1976" t="s">
        <v>56</v>
      </c>
      <c r="J1976" t="s">
        <v>97</v>
      </c>
      <c r="K1976" t="s">
        <v>32</v>
      </c>
      <c r="L1976" t="s">
        <v>33</v>
      </c>
      <c r="M1976" t="s">
        <v>68</v>
      </c>
      <c r="N1976" t="s">
        <v>69</v>
      </c>
      <c r="O1976" t="s">
        <v>70</v>
      </c>
      <c r="P1976" t="s">
        <v>58</v>
      </c>
      <c r="Q1976" t="s">
        <v>79</v>
      </c>
      <c r="R1976">
        <v>167</v>
      </c>
      <c r="S1976">
        <v>99</v>
      </c>
      <c r="T1976">
        <v>70</v>
      </c>
      <c r="U1976">
        <v>23</v>
      </c>
      <c r="V1976" t="s">
        <v>6733</v>
      </c>
      <c r="W1976">
        <v>53660</v>
      </c>
      <c r="X1976" t="s">
        <v>1632</v>
      </c>
      <c r="Y1976">
        <v>43694</v>
      </c>
      <c r="Z1976">
        <v>1234180</v>
      </c>
      <c r="AA1976">
        <v>229218</v>
      </c>
      <c r="AB1976" t="str">
        <f>(VLOOKUP(SalesData[[#This Row],[Month Number]],Reference!C$5:E$16,2,FALSE))</f>
        <v>Feb</v>
      </c>
      <c r="AC1976">
        <f>MONTH(SalesData[[#This Row],[Date]])</f>
        <v>2</v>
      </c>
      <c r="AD1976">
        <f>Reference!F$4</f>
        <v>2026</v>
      </c>
      <c r="AE1976" t="str">
        <f>IF(OR(SalesData[[#This Row],[Day]]="Saturday",SalesData[[#This Row],[Day]]="Sunday"),"Weekend","Weekday")</f>
        <v>Weekday</v>
      </c>
      <c r="AF1976" s="5">
        <f>IF(SalesData[[#This Row],[Contracts Offered]]=0,0,SalesData[[#This Row],[Contracts Signed]]/SalesData[[#This Row],[Contracts Offered]])</f>
        <v>0.32857142857142857</v>
      </c>
      <c r="AG1976" s="5">
        <f>IF(SalesData[[#This Row],[Customers Visited]]=0,0,SalesData[[#This Row],[Test Drives]]/SalesData[[#This Row],[Customers Visited]])</f>
        <v>0.59281437125748504</v>
      </c>
      <c r="AH1976" s="5">
        <f>IF(SalesData[[#This Row],[Customers Visited]]=0,0,SalesData[[#This Row],[Contracts Signed]]/SalesData[[#This Row],[Customers Visited]])</f>
        <v>0.1377245508982036</v>
      </c>
      <c r="AI1976" s="6">
        <f>IF(SalesData[[#This Row],[Contracts Signed]]=0,0,SalesData[[#This Row],[Profit(€)]]/SalesData[[#This Row],[Contracts Signed]])</f>
        <v>9966</v>
      </c>
      <c r="AJ1976" s="5" t="str">
        <f>TRIM(CLEAN(SalesData[[#This Row],[Retailer]]))</f>
        <v>Hannover Cars</v>
      </c>
    </row>
    <row r="1977" spans="1:36" ht="14.25" hidden="1" x14ac:dyDescent="0.2">
      <c r="A1977" t="s">
        <v>2967</v>
      </c>
      <c r="B1977" s="1">
        <v>46074</v>
      </c>
      <c r="C1977" t="s">
        <v>62</v>
      </c>
      <c r="D1977" t="s">
        <v>151</v>
      </c>
      <c r="E1977" t="s">
        <v>42</v>
      </c>
      <c r="F1977" t="s">
        <v>127</v>
      </c>
      <c r="G1977" t="s">
        <v>128</v>
      </c>
      <c r="H1977" t="s">
        <v>103</v>
      </c>
      <c r="I1977" t="s">
        <v>116</v>
      </c>
      <c r="J1977" t="s">
        <v>117</v>
      </c>
      <c r="K1977" t="s">
        <v>66</v>
      </c>
      <c r="L1977" t="s">
        <v>67</v>
      </c>
      <c r="M1977" t="s">
        <v>47</v>
      </c>
      <c r="N1977" t="s">
        <v>48</v>
      </c>
      <c r="O1977" t="s">
        <v>36</v>
      </c>
      <c r="P1977" t="s">
        <v>37</v>
      </c>
      <c r="Q1977" t="s">
        <v>79</v>
      </c>
      <c r="R1977">
        <v>361</v>
      </c>
      <c r="S1977">
        <v>142</v>
      </c>
      <c r="T1977">
        <v>97</v>
      </c>
      <c r="U1977">
        <v>21</v>
      </c>
      <c r="V1977" t="s">
        <v>731</v>
      </c>
      <c r="W1977">
        <v>19430</v>
      </c>
      <c r="X1977" t="s">
        <v>1209</v>
      </c>
      <c r="Y1977">
        <v>17545</v>
      </c>
      <c r="Z1977">
        <v>408030</v>
      </c>
      <c r="AA1977">
        <v>39585</v>
      </c>
      <c r="AB1977" t="str">
        <f>(VLOOKUP(SalesData[[#This Row],[Month Number]],Reference!C$5:E$16,2,FALSE))</f>
        <v>Feb</v>
      </c>
      <c r="AC1977">
        <f>MONTH(SalesData[[#This Row],[Date]])</f>
        <v>2</v>
      </c>
      <c r="AD1977">
        <f>Reference!F$4</f>
        <v>2026</v>
      </c>
      <c r="AE1977" t="str">
        <f>IF(OR(SalesData[[#This Row],[Day]]="Saturday",SalesData[[#This Row],[Day]]="Sunday"),"Weekend","Weekday")</f>
        <v>Weekend</v>
      </c>
      <c r="AF1977" s="5">
        <f>IF(SalesData[[#This Row],[Contracts Offered]]=0,0,SalesData[[#This Row],[Contracts Signed]]/SalesData[[#This Row],[Contracts Offered]])</f>
        <v>0.21649484536082475</v>
      </c>
      <c r="AG1977" s="5">
        <f>IF(SalesData[[#This Row],[Customers Visited]]=0,0,SalesData[[#This Row],[Test Drives]]/SalesData[[#This Row],[Customers Visited]])</f>
        <v>0.39335180055401664</v>
      </c>
      <c r="AH1977" s="5">
        <f>IF(SalesData[[#This Row],[Customers Visited]]=0,0,SalesData[[#This Row],[Contracts Signed]]/SalesData[[#This Row],[Customers Visited]])</f>
        <v>5.817174515235457E-2</v>
      </c>
      <c r="AI1977" s="6">
        <f>IF(SalesData[[#This Row],[Contracts Signed]]=0,0,SalesData[[#This Row],[Profit(€)]]/SalesData[[#This Row],[Contracts Signed]])</f>
        <v>1885</v>
      </c>
      <c r="AJ1977" s="5" t="str">
        <f>TRIM(CLEAN(SalesData[[#This Row],[Retailer]]))</f>
        <v>Rhein Auto Group</v>
      </c>
    </row>
    <row r="1978" spans="1:36" ht="14.25" hidden="1" x14ac:dyDescent="0.2">
      <c r="A1978" t="s">
        <v>2968</v>
      </c>
      <c r="B1978" s="1">
        <v>46078</v>
      </c>
      <c r="C1978" t="s">
        <v>53</v>
      </c>
      <c r="D1978" t="s">
        <v>82</v>
      </c>
      <c r="E1978" t="s">
        <v>26</v>
      </c>
      <c r="F1978" t="s">
        <v>101</v>
      </c>
      <c r="G1978" t="s">
        <v>102</v>
      </c>
      <c r="H1978" t="s">
        <v>103</v>
      </c>
      <c r="I1978" t="s">
        <v>116</v>
      </c>
      <c r="J1978" t="s">
        <v>117</v>
      </c>
      <c r="K1978" t="s">
        <v>32</v>
      </c>
      <c r="L1978" t="s">
        <v>67</v>
      </c>
      <c r="M1978" t="s">
        <v>68</v>
      </c>
      <c r="N1978" t="s">
        <v>69</v>
      </c>
      <c r="O1978" t="s">
        <v>70</v>
      </c>
      <c r="P1978" t="s">
        <v>37</v>
      </c>
      <c r="Q1978" t="s">
        <v>122</v>
      </c>
      <c r="R1978">
        <v>390</v>
      </c>
      <c r="S1978">
        <v>153</v>
      </c>
      <c r="T1978">
        <v>101</v>
      </c>
      <c r="U1978">
        <v>16</v>
      </c>
      <c r="V1978" t="s">
        <v>5435</v>
      </c>
      <c r="W1978">
        <v>22592</v>
      </c>
      <c r="X1978" t="s">
        <v>6615</v>
      </c>
      <c r="Y1978">
        <v>20350</v>
      </c>
      <c r="Z1978">
        <v>361472</v>
      </c>
      <c r="AA1978">
        <v>35872</v>
      </c>
      <c r="AB1978" t="str">
        <f>(VLOOKUP(SalesData[[#This Row],[Month Number]],Reference!C$5:E$16,2,FALSE))</f>
        <v>Feb</v>
      </c>
      <c r="AC1978">
        <f>MONTH(SalesData[[#This Row],[Date]])</f>
        <v>2</v>
      </c>
      <c r="AD1978">
        <f>Reference!F$4</f>
        <v>2026</v>
      </c>
      <c r="AE1978" t="str">
        <f>IF(OR(SalesData[[#This Row],[Day]]="Saturday",SalesData[[#This Row],[Day]]="Sunday"),"Weekend","Weekday")</f>
        <v>Weekday</v>
      </c>
      <c r="AF1978" s="5">
        <f>IF(SalesData[[#This Row],[Contracts Offered]]=0,0,SalesData[[#This Row],[Contracts Signed]]/SalesData[[#This Row],[Contracts Offered]])</f>
        <v>0.15841584158415842</v>
      </c>
      <c r="AG1978" s="5">
        <f>IF(SalesData[[#This Row],[Customers Visited]]=0,0,SalesData[[#This Row],[Test Drives]]/SalesData[[#This Row],[Customers Visited]])</f>
        <v>0.3923076923076923</v>
      </c>
      <c r="AH1978" s="5">
        <f>IF(SalesData[[#This Row],[Customers Visited]]=0,0,SalesData[[#This Row],[Contracts Signed]]/SalesData[[#This Row],[Customers Visited]])</f>
        <v>4.1025641025641026E-2</v>
      </c>
      <c r="AI1978" s="6">
        <f>IF(SalesData[[#This Row],[Contracts Signed]]=0,0,SalesData[[#This Row],[Profit(€)]]/SalesData[[#This Row],[Contracts Signed]])</f>
        <v>2242</v>
      </c>
      <c r="AJ1978" s="5" t="str">
        <f>TRIM(CLEAN(SalesData[[#This Row],[Retailer]]))</f>
        <v>Ruhr Auto Plaza</v>
      </c>
    </row>
    <row r="1979" spans="1:36" ht="14.25" x14ac:dyDescent="0.2">
      <c r="A1979" t="s">
        <v>2969</v>
      </c>
      <c r="B1979" s="1">
        <v>46060</v>
      </c>
      <c r="C1979" t="s">
        <v>24</v>
      </c>
      <c r="D1979" t="s">
        <v>151</v>
      </c>
      <c r="E1979" t="s">
        <v>42</v>
      </c>
      <c r="F1979" t="s">
        <v>114</v>
      </c>
      <c r="G1979" t="s">
        <v>115</v>
      </c>
      <c r="H1979" t="s">
        <v>115</v>
      </c>
      <c r="I1979" t="s">
        <v>30</v>
      </c>
      <c r="J1979" t="s">
        <v>188</v>
      </c>
      <c r="K1979" t="s">
        <v>32</v>
      </c>
      <c r="L1979" t="s">
        <v>33</v>
      </c>
      <c r="M1979" t="s">
        <v>68</v>
      </c>
      <c r="N1979" t="s">
        <v>69</v>
      </c>
      <c r="O1979" t="s">
        <v>36</v>
      </c>
      <c r="P1979" t="s">
        <v>49</v>
      </c>
      <c r="Q1979" t="s">
        <v>38</v>
      </c>
      <c r="R1979">
        <v>171</v>
      </c>
      <c r="S1979">
        <v>104</v>
      </c>
      <c r="T1979">
        <v>84</v>
      </c>
      <c r="U1979">
        <v>30</v>
      </c>
      <c r="V1979" t="s">
        <v>6532</v>
      </c>
      <c r="W1979">
        <v>51678</v>
      </c>
      <c r="X1979" t="s">
        <v>2110</v>
      </c>
      <c r="Y1979">
        <v>38846</v>
      </c>
      <c r="Z1979">
        <v>1550340</v>
      </c>
      <c r="AA1979">
        <v>384960</v>
      </c>
      <c r="AB1979" t="str">
        <f>(VLOOKUP(SalesData[[#This Row],[Month Number]],Reference!C$5:E$16,2,FALSE))</f>
        <v>Feb</v>
      </c>
      <c r="AC1979">
        <f>MONTH(SalesData[[#This Row],[Date]])</f>
        <v>2</v>
      </c>
      <c r="AD1979">
        <f>Reference!F$4</f>
        <v>2026</v>
      </c>
      <c r="AE1979" t="str">
        <f>IF(OR(SalesData[[#This Row],[Day]]="Saturday",SalesData[[#This Row],[Day]]="Sunday"),"Weekend","Weekday")</f>
        <v>Weekend</v>
      </c>
      <c r="AF1979" s="5">
        <f>IF(SalesData[[#This Row],[Contracts Offered]]=0,0,SalesData[[#This Row],[Contracts Signed]]/SalesData[[#This Row],[Contracts Offered]])</f>
        <v>0.35714285714285715</v>
      </c>
      <c r="AG1979" s="5">
        <f>IF(SalesData[[#This Row],[Customers Visited]]=0,0,SalesData[[#This Row],[Test Drives]]/SalesData[[#This Row],[Customers Visited]])</f>
        <v>0.60818713450292394</v>
      </c>
      <c r="AH1979" s="5">
        <f>IF(SalesData[[#This Row],[Customers Visited]]=0,0,SalesData[[#This Row],[Contracts Signed]]/SalesData[[#This Row],[Customers Visited]])</f>
        <v>0.17543859649122806</v>
      </c>
      <c r="AI1979" s="6">
        <f>IF(SalesData[[#This Row],[Contracts Signed]]=0,0,SalesData[[#This Row],[Profit(€)]]/SalesData[[#This Row],[Contracts Signed]])</f>
        <v>12832</v>
      </c>
      <c r="AJ1979" s="5" t="str">
        <f>TRIM(CLEAN(SalesData[[#This Row],[Retailer]]))</f>
        <v>Elbe Drive</v>
      </c>
    </row>
    <row r="1980" spans="1:36" ht="14.25" hidden="1" x14ac:dyDescent="0.2">
      <c r="A1980" t="s">
        <v>2970</v>
      </c>
      <c r="B1980" s="1">
        <v>46071</v>
      </c>
      <c r="C1980" t="s">
        <v>62</v>
      </c>
      <c r="D1980" t="s">
        <v>82</v>
      </c>
      <c r="E1980" t="s">
        <v>26</v>
      </c>
      <c r="F1980" t="s">
        <v>27</v>
      </c>
      <c r="G1980" t="s">
        <v>28</v>
      </c>
      <c r="H1980" t="s">
        <v>29</v>
      </c>
      <c r="I1980" t="s">
        <v>116</v>
      </c>
      <c r="J1980" t="s">
        <v>7026</v>
      </c>
      <c r="K1980" t="s">
        <v>91</v>
      </c>
      <c r="L1980" t="s">
        <v>46</v>
      </c>
      <c r="M1980" t="s">
        <v>47</v>
      </c>
      <c r="N1980" t="s">
        <v>35</v>
      </c>
      <c r="O1980" t="s">
        <v>36</v>
      </c>
      <c r="P1980" t="s">
        <v>71</v>
      </c>
      <c r="Q1980" t="s">
        <v>106</v>
      </c>
      <c r="R1980">
        <v>313</v>
      </c>
      <c r="S1980">
        <v>148</v>
      </c>
      <c r="T1980">
        <v>92</v>
      </c>
      <c r="U1980">
        <v>22</v>
      </c>
      <c r="V1980" t="s">
        <v>1188</v>
      </c>
      <c r="W1980">
        <v>25576</v>
      </c>
      <c r="X1980" t="s">
        <v>854</v>
      </c>
      <c r="Y1980">
        <v>23478</v>
      </c>
      <c r="Z1980">
        <v>562672</v>
      </c>
      <c r="AA1980">
        <v>46156</v>
      </c>
      <c r="AB1980" t="str">
        <f>(VLOOKUP(SalesData[[#This Row],[Month Number]],Reference!C$5:E$16,2,FALSE))</f>
        <v>Feb</v>
      </c>
      <c r="AC1980">
        <f>MONTH(SalesData[[#This Row],[Date]])</f>
        <v>2</v>
      </c>
      <c r="AD1980">
        <f>Reference!F$4</f>
        <v>2026</v>
      </c>
      <c r="AE1980" t="str">
        <f>IF(OR(SalesData[[#This Row],[Day]]="Saturday",SalesData[[#This Row],[Day]]="Sunday"),"Weekend","Weekday")</f>
        <v>Weekday</v>
      </c>
      <c r="AF1980" s="5">
        <f>IF(SalesData[[#This Row],[Contracts Offered]]=0,0,SalesData[[#This Row],[Contracts Signed]]/SalesData[[#This Row],[Contracts Offered]])</f>
        <v>0.2391304347826087</v>
      </c>
      <c r="AG1980" s="5">
        <f>IF(SalesData[[#This Row],[Customers Visited]]=0,0,SalesData[[#This Row],[Test Drives]]/SalesData[[#This Row],[Customers Visited]])</f>
        <v>0.47284345047923321</v>
      </c>
      <c r="AH1980" s="5">
        <f>IF(SalesData[[#This Row],[Customers Visited]]=0,0,SalesData[[#This Row],[Contracts Signed]]/SalesData[[#This Row],[Customers Visited]])</f>
        <v>7.0287539936102233E-2</v>
      </c>
      <c r="AI1980" s="6">
        <f>IF(SalesData[[#This Row],[Contracts Signed]]=0,0,SalesData[[#This Row],[Profit(€)]]/SalesData[[#This Row],[Contracts Signed]])</f>
        <v>2098</v>
      </c>
      <c r="AJ1980" s="5" t="str">
        <f>TRIM(CLEAN(SalesData[[#This Row],[Retailer]]))</f>
        <v>Main Auto Hub</v>
      </c>
    </row>
    <row r="1981" spans="1:36" ht="14.25" hidden="1" x14ac:dyDescent="0.2">
      <c r="A1981" t="s">
        <v>2972</v>
      </c>
      <c r="B1981" s="1">
        <v>46076</v>
      </c>
      <c r="C1981" t="s">
        <v>53</v>
      </c>
      <c r="D1981" t="s">
        <v>25</v>
      </c>
      <c r="E1981" t="s">
        <v>26</v>
      </c>
      <c r="F1981" t="s">
        <v>7649</v>
      </c>
      <c r="G1981" t="s">
        <v>55</v>
      </c>
      <c r="H1981" t="s">
        <v>55</v>
      </c>
      <c r="I1981" t="s">
        <v>104</v>
      </c>
      <c r="J1981" t="s">
        <v>140</v>
      </c>
      <c r="K1981" t="s">
        <v>32</v>
      </c>
      <c r="L1981" t="s">
        <v>46</v>
      </c>
      <c r="M1981" t="s">
        <v>34</v>
      </c>
      <c r="N1981" t="s">
        <v>69</v>
      </c>
      <c r="O1981" t="s">
        <v>70</v>
      </c>
      <c r="P1981" t="s">
        <v>71</v>
      </c>
      <c r="Q1981" t="s">
        <v>129</v>
      </c>
      <c r="R1981">
        <v>455</v>
      </c>
      <c r="S1981">
        <v>192</v>
      </c>
      <c r="T1981">
        <v>127</v>
      </c>
      <c r="U1981">
        <v>32</v>
      </c>
      <c r="V1981" t="s">
        <v>508</v>
      </c>
      <c r="W1981">
        <v>29391</v>
      </c>
      <c r="X1981" t="s">
        <v>2535</v>
      </c>
      <c r="Y1981">
        <v>25855</v>
      </c>
      <c r="Z1981">
        <v>940512</v>
      </c>
      <c r="AA1981">
        <v>113152</v>
      </c>
      <c r="AB1981" t="str">
        <f>(VLOOKUP(SalesData[[#This Row],[Month Number]],Reference!C$5:E$16,2,FALSE))</f>
        <v>Feb</v>
      </c>
      <c r="AC1981">
        <f>MONTH(SalesData[[#This Row],[Date]])</f>
        <v>2</v>
      </c>
      <c r="AD1981">
        <f>Reference!F$4</f>
        <v>2026</v>
      </c>
      <c r="AE1981" t="str">
        <f>IF(OR(SalesData[[#This Row],[Day]]="Saturday",SalesData[[#This Row],[Day]]="Sunday"),"Weekend","Weekday")</f>
        <v>Weekday</v>
      </c>
      <c r="AF1981" s="5">
        <f>IF(SalesData[[#This Row],[Contracts Offered]]=0,0,SalesData[[#This Row],[Contracts Signed]]/SalesData[[#This Row],[Contracts Offered]])</f>
        <v>0.25196850393700787</v>
      </c>
      <c r="AG1981" s="5">
        <f>IF(SalesData[[#This Row],[Customers Visited]]=0,0,SalesData[[#This Row],[Test Drives]]/SalesData[[#This Row],[Customers Visited]])</f>
        <v>0.42197802197802198</v>
      </c>
      <c r="AH1981" s="5">
        <f>IF(SalesData[[#This Row],[Customers Visited]]=0,0,SalesData[[#This Row],[Contracts Signed]]/SalesData[[#This Row],[Customers Visited]])</f>
        <v>7.032967032967033E-2</v>
      </c>
      <c r="AI1981" s="6">
        <f>IF(SalesData[[#This Row],[Contracts Signed]]=0,0,SalesData[[#This Row],[Profit(€)]]/SalesData[[#This Row],[Contracts Signed]])</f>
        <v>3536</v>
      </c>
      <c r="AJ1981" s="5" t="str">
        <f>TRIM(CLEAN(SalesData[[#This Row],[Retailer]]))</f>
        <v>Autohaus Berlin</v>
      </c>
    </row>
    <row r="1982" spans="1:36" ht="14.25" hidden="1" x14ac:dyDescent="0.2">
      <c r="A1982" t="s">
        <v>2973</v>
      </c>
      <c r="B1982" s="1">
        <v>46076</v>
      </c>
      <c r="C1982" t="s">
        <v>53</v>
      </c>
      <c r="D1982" t="s">
        <v>25</v>
      </c>
      <c r="E1982" t="s">
        <v>26</v>
      </c>
      <c r="F1982" t="s">
        <v>27</v>
      </c>
      <c r="G1982" t="s">
        <v>28</v>
      </c>
      <c r="H1982" t="s">
        <v>29</v>
      </c>
      <c r="I1982" t="s">
        <v>56</v>
      </c>
      <c r="J1982" t="s">
        <v>57</v>
      </c>
      <c r="K1982" t="s">
        <v>91</v>
      </c>
      <c r="L1982" t="s">
        <v>46</v>
      </c>
      <c r="M1982" t="s">
        <v>87</v>
      </c>
      <c r="N1982" t="s">
        <v>48</v>
      </c>
      <c r="O1982" t="s">
        <v>36</v>
      </c>
      <c r="P1982" t="s">
        <v>58</v>
      </c>
      <c r="Q1982" t="s">
        <v>135</v>
      </c>
      <c r="R1982">
        <v>294</v>
      </c>
      <c r="S1982">
        <v>139</v>
      </c>
      <c r="T1982">
        <v>108</v>
      </c>
      <c r="U1982">
        <v>33</v>
      </c>
      <c r="V1982" t="s">
        <v>6667</v>
      </c>
      <c r="W1982">
        <v>45704</v>
      </c>
      <c r="X1982" t="s">
        <v>7179</v>
      </c>
      <c r="Y1982">
        <v>35737</v>
      </c>
      <c r="Z1982">
        <v>1508232</v>
      </c>
      <c r="AA1982">
        <v>328911</v>
      </c>
      <c r="AB1982" t="str">
        <f>(VLOOKUP(SalesData[[#This Row],[Month Number]],Reference!C$5:E$16,2,FALSE))</f>
        <v>Feb</v>
      </c>
      <c r="AC1982">
        <f>MONTH(SalesData[[#This Row],[Date]])</f>
        <v>2</v>
      </c>
      <c r="AD1982">
        <f>Reference!F$4</f>
        <v>2026</v>
      </c>
      <c r="AE1982" t="str">
        <f>IF(OR(SalesData[[#This Row],[Day]]="Saturday",SalesData[[#This Row],[Day]]="Sunday"),"Weekend","Weekday")</f>
        <v>Weekday</v>
      </c>
      <c r="AF1982" s="5">
        <f>IF(SalesData[[#This Row],[Contracts Offered]]=0,0,SalesData[[#This Row],[Contracts Signed]]/SalesData[[#This Row],[Contracts Offered]])</f>
        <v>0.30555555555555558</v>
      </c>
      <c r="AG1982" s="5">
        <f>IF(SalesData[[#This Row],[Customers Visited]]=0,0,SalesData[[#This Row],[Test Drives]]/SalesData[[#This Row],[Customers Visited]])</f>
        <v>0.47278911564625853</v>
      </c>
      <c r="AH1982" s="5">
        <f>IF(SalesData[[#This Row],[Customers Visited]]=0,0,SalesData[[#This Row],[Contracts Signed]]/SalesData[[#This Row],[Customers Visited]])</f>
        <v>0.11224489795918367</v>
      </c>
      <c r="AI1982" s="6">
        <f>IF(SalesData[[#This Row],[Contracts Signed]]=0,0,SalesData[[#This Row],[Profit(€)]]/SalesData[[#This Row],[Contracts Signed]])</f>
        <v>9967</v>
      </c>
      <c r="AJ1982" s="5" t="str">
        <f>TRIM(CLEAN(SalesData[[#This Row],[Retailer]]))</f>
        <v>Main Auto Hub</v>
      </c>
    </row>
    <row r="1983" spans="1:36" ht="14.25" hidden="1" x14ac:dyDescent="0.2">
      <c r="A1983" t="s">
        <v>2974</v>
      </c>
      <c r="B1983" s="1">
        <v>46081</v>
      </c>
      <c r="C1983" t="s">
        <v>53</v>
      </c>
      <c r="D1983" t="s">
        <v>151</v>
      </c>
      <c r="E1983" t="s">
        <v>42</v>
      </c>
      <c r="F1983" t="s">
        <v>7649</v>
      </c>
      <c r="G1983" t="s">
        <v>55</v>
      </c>
      <c r="H1983" t="s">
        <v>55</v>
      </c>
      <c r="I1983" t="s">
        <v>56</v>
      </c>
      <c r="J1983" t="s">
        <v>7028</v>
      </c>
      <c r="K1983" t="s">
        <v>32</v>
      </c>
      <c r="L1983" t="s">
        <v>46</v>
      </c>
      <c r="M1983" t="s">
        <v>87</v>
      </c>
      <c r="N1983" t="s">
        <v>69</v>
      </c>
      <c r="O1983" t="s">
        <v>36</v>
      </c>
      <c r="P1983" t="s">
        <v>49</v>
      </c>
      <c r="Q1983" t="s">
        <v>50</v>
      </c>
      <c r="R1983">
        <v>300</v>
      </c>
      <c r="S1983">
        <v>165</v>
      </c>
      <c r="T1983">
        <v>117</v>
      </c>
      <c r="U1983">
        <v>39</v>
      </c>
      <c r="V1983" t="s">
        <v>6902</v>
      </c>
      <c r="W1983">
        <v>40434</v>
      </c>
      <c r="X1983" t="s">
        <v>1263</v>
      </c>
      <c r="Y1983">
        <v>30424</v>
      </c>
      <c r="Z1983">
        <v>1576926</v>
      </c>
      <c r="AA1983">
        <v>390390</v>
      </c>
      <c r="AB1983" t="str">
        <f>(VLOOKUP(SalesData[[#This Row],[Month Number]],Reference!C$5:E$16,2,FALSE))</f>
        <v>Feb</v>
      </c>
      <c r="AC1983">
        <f>MONTH(SalesData[[#This Row],[Date]])</f>
        <v>2</v>
      </c>
      <c r="AD1983">
        <f>Reference!F$4</f>
        <v>2026</v>
      </c>
      <c r="AE1983" t="str">
        <f>IF(OR(SalesData[[#This Row],[Day]]="Saturday",SalesData[[#This Row],[Day]]="Sunday"),"Weekend","Weekday")</f>
        <v>Weekend</v>
      </c>
      <c r="AF1983" s="5">
        <f>IF(SalesData[[#This Row],[Contracts Offered]]=0,0,SalesData[[#This Row],[Contracts Signed]]/SalesData[[#This Row],[Contracts Offered]])</f>
        <v>0.33333333333333331</v>
      </c>
      <c r="AG1983" s="5">
        <f>IF(SalesData[[#This Row],[Customers Visited]]=0,0,SalesData[[#This Row],[Test Drives]]/SalesData[[#This Row],[Customers Visited]])</f>
        <v>0.55000000000000004</v>
      </c>
      <c r="AH1983" s="5">
        <f>IF(SalesData[[#This Row],[Customers Visited]]=0,0,SalesData[[#This Row],[Contracts Signed]]/SalesData[[#This Row],[Customers Visited]])</f>
        <v>0.13</v>
      </c>
      <c r="AI1983" s="6">
        <f>IF(SalesData[[#This Row],[Contracts Signed]]=0,0,SalesData[[#This Row],[Profit(€)]]/SalesData[[#This Row],[Contracts Signed]])</f>
        <v>10010</v>
      </c>
      <c r="AJ1983" s="5" t="str">
        <f>TRIM(CLEAN(SalesData[[#This Row],[Retailer]]))</f>
        <v>Autohaus Berlin</v>
      </c>
    </row>
    <row r="1984" spans="1:36" ht="14.25" x14ac:dyDescent="0.2">
      <c r="A1984" t="s">
        <v>2975</v>
      </c>
      <c r="B1984" s="1">
        <v>46057</v>
      </c>
      <c r="C1984" t="s">
        <v>24</v>
      </c>
      <c r="D1984" t="s">
        <v>82</v>
      </c>
      <c r="E1984" t="s">
        <v>26</v>
      </c>
      <c r="F1984" t="s">
        <v>83</v>
      </c>
      <c r="G1984" t="s">
        <v>84</v>
      </c>
      <c r="H1984" t="s">
        <v>85</v>
      </c>
      <c r="I1984" t="s">
        <v>30</v>
      </c>
      <c r="J1984" t="s">
        <v>188</v>
      </c>
      <c r="K1984" t="s">
        <v>66</v>
      </c>
      <c r="L1984" t="s">
        <v>33</v>
      </c>
      <c r="M1984" t="s">
        <v>47</v>
      </c>
      <c r="N1984" t="s">
        <v>35</v>
      </c>
      <c r="O1984" t="s">
        <v>36</v>
      </c>
      <c r="P1984" t="s">
        <v>37</v>
      </c>
      <c r="Q1984" t="s">
        <v>158</v>
      </c>
      <c r="R1984">
        <v>144</v>
      </c>
      <c r="S1984">
        <v>89</v>
      </c>
      <c r="T1984">
        <v>72</v>
      </c>
      <c r="U1984">
        <v>23</v>
      </c>
      <c r="V1984" t="s">
        <v>6869</v>
      </c>
      <c r="W1984">
        <v>55019</v>
      </c>
      <c r="X1984" t="s">
        <v>5891</v>
      </c>
      <c r="Y1984">
        <v>40925</v>
      </c>
      <c r="Z1984">
        <v>1265437</v>
      </c>
      <c r="AA1984">
        <v>324162</v>
      </c>
      <c r="AB1984" t="str">
        <f>(VLOOKUP(SalesData[[#This Row],[Month Number]],Reference!C$5:E$16,2,FALSE))</f>
        <v>Feb</v>
      </c>
      <c r="AC1984">
        <f>MONTH(SalesData[[#This Row],[Date]])</f>
        <v>2</v>
      </c>
      <c r="AD1984">
        <f>Reference!F$4</f>
        <v>2026</v>
      </c>
      <c r="AE1984" t="str">
        <f>IF(OR(SalesData[[#This Row],[Day]]="Saturday",SalesData[[#This Row],[Day]]="Sunday"),"Weekend","Weekday")</f>
        <v>Weekday</v>
      </c>
      <c r="AF1984" s="5">
        <f>IF(SalesData[[#This Row],[Contracts Offered]]=0,0,SalesData[[#This Row],[Contracts Signed]]/SalesData[[#This Row],[Contracts Offered]])</f>
        <v>0.31944444444444442</v>
      </c>
      <c r="AG1984" s="5">
        <f>IF(SalesData[[#This Row],[Customers Visited]]=0,0,SalesData[[#This Row],[Test Drives]]/SalesData[[#This Row],[Customers Visited]])</f>
        <v>0.61805555555555558</v>
      </c>
      <c r="AH1984" s="5">
        <f>IF(SalesData[[#This Row],[Customers Visited]]=0,0,SalesData[[#This Row],[Contracts Signed]]/SalesData[[#This Row],[Customers Visited]])</f>
        <v>0.15972222222222221</v>
      </c>
      <c r="AI1984" s="6">
        <f>IF(SalesData[[#This Row],[Contracts Signed]]=0,0,SalesData[[#This Row],[Profit(€)]]/SalesData[[#This Row],[Contracts Signed]])</f>
        <v>14094</v>
      </c>
      <c r="AJ1984" s="5" t="str">
        <f>TRIM(CLEAN(SalesData[[#This Row],[Retailer]]))</f>
        <v>Hannover Cars</v>
      </c>
    </row>
    <row r="1985" spans="1:36" ht="14.25" hidden="1" x14ac:dyDescent="0.2">
      <c r="A1985" t="s">
        <v>2976</v>
      </c>
      <c r="B1985" s="1">
        <v>46063</v>
      </c>
      <c r="C1985" t="s">
        <v>121</v>
      </c>
      <c r="D1985" t="s">
        <v>63</v>
      </c>
      <c r="E1985" t="s">
        <v>26</v>
      </c>
      <c r="F1985" t="s">
        <v>43</v>
      </c>
      <c r="G1985" t="s">
        <v>44</v>
      </c>
      <c r="H1985" t="s">
        <v>45</v>
      </c>
      <c r="I1985" t="s">
        <v>104</v>
      </c>
      <c r="J1985" t="s">
        <v>105</v>
      </c>
      <c r="K1985" t="s">
        <v>66</v>
      </c>
      <c r="L1985" t="s">
        <v>33</v>
      </c>
      <c r="M1985" t="s">
        <v>47</v>
      </c>
      <c r="N1985" t="s">
        <v>48</v>
      </c>
      <c r="O1985" t="s">
        <v>36</v>
      </c>
      <c r="P1985" t="s">
        <v>58</v>
      </c>
      <c r="Q1985" t="s">
        <v>106</v>
      </c>
      <c r="R1985">
        <v>377</v>
      </c>
      <c r="S1985">
        <v>194</v>
      </c>
      <c r="T1985">
        <v>130</v>
      </c>
      <c r="U1985">
        <v>31</v>
      </c>
      <c r="V1985" t="s">
        <v>2003</v>
      </c>
      <c r="W1985">
        <v>31670</v>
      </c>
      <c r="X1985" t="s">
        <v>1892</v>
      </c>
      <c r="Y1985">
        <v>27617</v>
      </c>
      <c r="Z1985">
        <v>981770</v>
      </c>
      <c r="AA1985">
        <v>125643</v>
      </c>
      <c r="AB1985" t="str">
        <f>(VLOOKUP(SalesData[[#This Row],[Month Number]],Reference!C$5:E$16,2,FALSE))</f>
        <v>Feb</v>
      </c>
      <c r="AC1985">
        <f>MONTH(SalesData[[#This Row],[Date]])</f>
        <v>2</v>
      </c>
      <c r="AD1985">
        <f>Reference!F$4</f>
        <v>2026</v>
      </c>
      <c r="AE1985" t="str">
        <f>IF(OR(SalesData[[#This Row],[Day]]="Saturday",SalesData[[#This Row],[Day]]="Sunday"),"Weekend","Weekday")</f>
        <v>Weekday</v>
      </c>
      <c r="AF1985" s="5">
        <f>IF(SalesData[[#This Row],[Contracts Offered]]=0,0,SalesData[[#This Row],[Contracts Signed]]/SalesData[[#This Row],[Contracts Offered]])</f>
        <v>0.23846153846153847</v>
      </c>
      <c r="AG1985" s="5">
        <f>IF(SalesData[[#This Row],[Customers Visited]]=0,0,SalesData[[#This Row],[Test Drives]]/SalesData[[#This Row],[Customers Visited]])</f>
        <v>0.51458885941644561</v>
      </c>
      <c r="AH1985" s="5">
        <f>IF(SalesData[[#This Row],[Customers Visited]]=0,0,SalesData[[#This Row],[Contracts Signed]]/SalesData[[#This Row],[Customers Visited]])</f>
        <v>8.2228116710875335E-2</v>
      </c>
      <c r="AI1985" s="6">
        <f>IF(SalesData[[#This Row],[Contracts Signed]]=0,0,SalesData[[#This Row],[Profit(€)]]/SalesData[[#This Row],[Contracts Signed]])</f>
        <v>4053</v>
      </c>
      <c r="AJ1985" s="5" t="str">
        <f>TRIM(CLEAN(SalesData[[#This Row],[Retailer]]))</f>
        <v>Saxon Wheels</v>
      </c>
    </row>
    <row r="1986" spans="1:36" ht="14.25" hidden="1" x14ac:dyDescent="0.2">
      <c r="A1986" t="s">
        <v>2977</v>
      </c>
      <c r="B1986" s="1">
        <v>46065</v>
      </c>
      <c r="C1986" t="s">
        <v>121</v>
      </c>
      <c r="D1986" t="s">
        <v>100</v>
      </c>
      <c r="E1986" t="s">
        <v>26</v>
      </c>
      <c r="F1986" t="s">
        <v>7649</v>
      </c>
      <c r="G1986" t="s">
        <v>55</v>
      </c>
      <c r="H1986" t="s">
        <v>55</v>
      </c>
      <c r="I1986" t="s">
        <v>56</v>
      </c>
      <c r="J1986" t="s">
        <v>97</v>
      </c>
      <c r="K1986" t="s">
        <v>66</v>
      </c>
      <c r="L1986" t="s">
        <v>33</v>
      </c>
      <c r="M1986" t="s">
        <v>34</v>
      </c>
      <c r="N1986" t="s">
        <v>69</v>
      </c>
      <c r="O1986" t="s">
        <v>36</v>
      </c>
      <c r="P1986" t="s">
        <v>71</v>
      </c>
      <c r="Q1986" t="s">
        <v>118</v>
      </c>
      <c r="R1986">
        <v>248</v>
      </c>
      <c r="S1986">
        <v>120</v>
      </c>
      <c r="T1986">
        <v>82</v>
      </c>
      <c r="U1986">
        <v>28</v>
      </c>
      <c r="V1986" t="s">
        <v>6365</v>
      </c>
      <c r="W1986">
        <v>43766</v>
      </c>
      <c r="X1986" t="s">
        <v>1293</v>
      </c>
      <c r="Y1986">
        <v>33313</v>
      </c>
      <c r="Z1986">
        <v>1225448</v>
      </c>
      <c r="AA1986">
        <v>292684</v>
      </c>
      <c r="AB1986" t="str">
        <f>(VLOOKUP(SalesData[[#This Row],[Month Number]],Reference!C$5:E$16,2,FALSE))</f>
        <v>Feb</v>
      </c>
      <c r="AC1986">
        <f>MONTH(SalesData[[#This Row],[Date]])</f>
        <v>2</v>
      </c>
      <c r="AD1986">
        <f>Reference!F$4</f>
        <v>2026</v>
      </c>
      <c r="AE1986" t="str">
        <f>IF(OR(SalesData[[#This Row],[Day]]="Saturday",SalesData[[#This Row],[Day]]="Sunday"),"Weekend","Weekday")</f>
        <v>Weekday</v>
      </c>
      <c r="AF1986" s="5">
        <f>IF(SalesData[[#This Row],[Contracts Offered]]=0,0,SalesData[[#This Row],[Contracts Signed]]/SalesData[[#This Row],[Contracts Offered]])</f>
        <v>0.34146341463414637</v>
      </c>
      <c r="AG1986" s="5">
        <f>IF(SalesData[[#This Row],[Customers Visited]]=0,0,SalesData[[#This Row],[Test Drives]]/SalesData[[#This Row],[Customers Visited]])</f>
        <v>0.4838709677419355</v>
      </c>
      <c r="AH1986" s="5">
        <f>IF(SalesData[[#This Row],[Customers Visited]]=0,0,SalesData[[#This Row],[Contracts Signed]]/SalesData[[#This Row],[Customers Visited]])</f>
        <v>0.11290322580645161</v>
      </c>
      <c r="AI1986" s="6">
        <f>IF(SalesData[[#This Row],[Contracts Signed]]=0,0,SalesData[[#This Row],[Profit(€)]]/SalesData[[#This Row],[Contracts Signed]])</f>
        <v>10453</v>
      </c>
      <c r="AJ1986" s="5" t="str">
        <f>TRIM(CLEAN(SalesData[[#This Row],[Retailer]]))</f>
        <v>Autohaus Berlin</v>
      </c>
    </row>
    <row r="1987" spans="1:36" ht="14.25" hidden="1" x14ac:dyDescent="0.2">
      <c r="A1987" t="s">
        <v>2978</v>
      </c>
      <c r="B1987" s="1">
        <v>46078</v>
      </c>
      <c r="C1987" t="s">
        <v>53</v>
      </c>
      <c r="D1987" t="s">
        <v>82</v>
      </c>
      <c r="E1987" t="s">
        <v>26</v>
      </c>
      <c r="F1987" t="s">
        <v>7649</v>
      </c>
      <c r="G1987" t="s">
        <v>55</v>
      </c>
      <c r="H1987" t="s">
        <v>55</v>
      </c>
      <c r="I1987" t="s">
        <v>56</v>
      </c>
      <c r="J1987" t="s">
        <v>7028</v>
      </c>
      <c r="K1987" t="s">
        <v>78</v>
      </c>
      <c r="L1987" t="s">
        <v>46</v>
      </c>
      <c r="M1987" t="s">
        <v>47</v>
      </c>
      <c r="N1987" t="s">
        <v>69</v>
      </c>
      <c r="O1987" t="s">
        <v>36</v>
      </c>
      <c r="P1987" t="s">
        <v>71</v>
      </c>
      <c r="Q1987" t="s">
        <v>204</v>
      </c>
      <c r="R1987">
        <v>196</v>
      </c>
      <c r="S1987">
        <v>113</v>
      </c>
      <c r="T1987">
        <v>77</v>
      </c>
      <c r="U1987">
        <v>29</v>
      </c>
      <c r="V1987" t="s">
        <v>6668</v>
      </c>
      <c r="W1987">
        <v>48540</v>
      </c>
      <c r="X1987" t="s">
        <v>1351</v>
      </c>
      <c r="Y1987">
        <v>38966</v>
      </c>
      <c r="Z1987">
        <v>1407660</v>
      </c>
      <c r="AA1987">
        <v>277646</v>
      </c>
      <c r="AB1987" t="str">
        <f>(VLOOKUP(SalesData[[#This Row],[Month Number]],Reference!C$5:E$16,2,FALSE))</f>
        <v>Feb</v>
      </c>
      <c r="AC1987">
        <f>MONTH(SalesData[[#This Row],[Date]])</f>
        <v>2</v>
      </c>
      <c r="AD1987">
        <f>Reference!F$4</f>
        <v>2026</v>
      </c>
      <c r="AE1987" t="str">
        <f>IF(OR(SalesData[[#This Row],[Day]]="Saturday",SalesData[[#This Row],[Day]]="Sunday"),"Weekend","Weekday")</f>
        <v>Weekday</v>
      </c>
      <c r="AF1987" s="5">
        <f>IF(SalesData[[#This Row],[Contracts Offered]]=0,0,SalesData[[#This Row],[Contracts Signed]]/SalesData[[#This Row],[Contracts Offered]])</f>
        <v>0.37662337662337664</v>
      </c>
      <c r="AG1987" s="5">
        <f>IF(SalesData[[#This Row],[Customers Visited]]=0,0,SalesData[[#This Row],[Test Drives]]/SalesData[[#This Row],[Customers Visited]])</f>
        <v>0.57653061224489799</v>
      </c>
      <c r="AH1987" s="5">
        <f>IF(SalesData[[#This Row],[Customers Visited]]=0,0,SalesData[[#This Row],[Contracts Signed]]/SalesData[[#This Row],[Customers Visited]])</f>
        <v>0.14795918367346939</v>
      </c>
      <c r="AI1987" s="6">
        <f>IF(SalesData[[#This Row],[Contracts Signed]]=0,0,SalesData[[#This Row],[Profit(€)]]/SalesData[[#This Row],[Contracts Signed]])</f>
        <v>9574</v>
      </c>
      <c r="AJ1987" s="5" t="str">
        <f>TRIM(CLEAN(SalesData[[#This Row],[Retailer]]))</f>
        <v>Autohaus Berlin</v>
      </c>
    </row>
    <row r="1988" spans="1:36" ht="14.25" hidden="1" x14ac:dyDescent="0.2">
      <c r="A1988" t="s">
        <v>2979</v>
      </c>
      <c r="B1988" s="1">
        <v>46080</v>
      </c>
      <c r="C1988" t="s">
        <v>53</v>
      </c>
      <c r="D1988" t="s">
        <v>54</v>
      </c>
      <c r="E1988" t="s">
        <v>26</v>
      </c>
      <c r="F1988" t="s">
        <v>74</v>
      </c>
      <c r="G1988" t="s">
        <v>75</v>
      </c>
      <c r="H1988" t="s">
        <v>76</v>
      </c>
      <c r="I1988" t="s">
        <v>56</v>
      </c>
      <c r="J1988" t="s">
        <v>97</v>
      </c>
      <c r="K1988" t="s">
        <v>78</v>
      </c>
      <c r="L1988" t="s">
        <v>33</v>
      </c>
      <c r="M1988" t="s">
        <v>68</v>
      </c>
      <c r="N1988" t="s">
        <v>48</v>
      </c>
      <c r="O1988" t="s">
        <v>36</v>
      </c>
      <c r="P1988" t="s">
        <v>58</v>
      </c>
      <c r="Q1988" t="s">
        <v>38</v>
      </c>
      <c r="R1988">
        <v>281</v>
      </c>
      <c r="S1988">
        <v>156</v>
      </c>
      <c r="T1988">
        <v>116</v>
      </c>
      <c r="U1988">
        <v>40</v>
      </c>
      <c r="V1988" t="s">
        <v>6405</v>
      </c>
      <c r="W1988">
        <v>46277</v>
      </c>
      <c r="X1988" t="s">
        <v>7372</v>
      </c>
      <c r="Y1988">
        <v>35392</v>
      </c>
      <c r="Z1988">
        <v>1851080</v>
      </c>
      <c r="AA1988">
        <v>435400</v>
      </c>
      <c r="AB1988" t="str">
        <f>(VLOOKUP(SalesData[[#This Row],[Month Number]],Reference!C$5:E$16,2,FALSE))</f>
        <v>Feb</v>
      </c>
      <c r="AC1988">
        <f>MONTH(SalesData[[#This Row],[Date]])</f>
        <v>2</v>
      </c>
      <c r="AD1988">
        <f>Reference!F$4</f>
        <v>2026</v>
      </c>
      <c r="AE1988" t="str">
        <f>IF(OR(SalesData[[#This Row],[Day]]="Saturday",SalesData[[#This Row],[Day]]="Sunday"),"Weekend","Weekday")</f>
        <v>Weekday</v>
      </c>
      <c r="AF1988" s="5">
        <f>IF(SalesData[[#This Row],[Contracts Offered]]=0,0,SalesData[[#This Row],[Contracts Signed]]/SalesData[[#This Row],[Contracts Offered]])</f>
        <v>0.34482758620689657</v>
      </c>
      <c r="AG1988" s="5">
        <f>IF(SalesData[[#This Row],[Customers Visited]]=0,0,SalesData[[#This Row],[Test Drives]]/SalesData[[#This Row],[Customers Visited]])</f>
        <v>0.55516014234875444</v>
      </c>
      <c r="AH1988" s="5">
        <f>IF(SalesData[[#This Row],[Customers Visited]]=0,0,SalesData[[#This Row],[Contracts Signed]]/SalesData[[#This Row],[Customers Visited]])</f>
        <v>0.14234875444839859</v>
      </c>
      <c r="AI1988" s="6">
        <f>IF(SalesData[[#This Row],[Contracts Signed]]=0,0,SalesData[[#This Row],[Profit(€)]]/SalesData[[#This Row],[Contracts Signed]])</f>
        <v>10885</v>
      </c>
      <c r="AJ1988" s="5" t="str">
        <f>TRIM(CLEAN(SalesData[[#This Row],[Retailer]]))</f>
        <v>Stuttgart Auto Center</v>
      </c>
    </row>
    <row r="1989" spans="1:36" ht="14.25" hidden="1" x14ac:dyDescent="0.2">
      <c r="A1989" t="s">
        <v>2980</v>
      </c>
      <c r="B1989" s="1">
        <v>46077</v>
      </c>
      <c r="C1989" t="s">
        <v>53</v>
      </c>
      <c r="D1989" t="s">
        <v>63</v>
      </c>
      <c r="E1989" t="s">
        <v>26</v>
      </c>
      <c r="F1989" t="s">
        <v>74</v>
      </c>
      <c r="G1989" t="s">
        <v>75</v>
      </c>
      <c r="H1989" t="s">
        <v>76</v>
      </c>
      <c r="I1989" t="s">
        <v>64</v>
      </c>
      <c r="J1989" t="s">
        <v>77</v>
      </c>
      <c r="K1989" t="s">
        <v>66</v>
      </c>
      <c r="L1989" t="s">
        <v>46</v>
      </c>
      <c r="M1989" t="s">
        <v>47</v>
      </c>
      <c r="N1989" t="s">
        <v>48</v>
      </c>
      <c r="O1989" t="s">
        <v>70</v>
      </c>
      <c r="P1989" t="s">
        <v>37</v>
      </c>
      <c r="Q1989" t="s">
        <v>169</v>
      </c>
      <c r="R1989">
        <v>264</v>
      </c>
      <c r="S1989">
        <v>150</v>
      </c>
      <c r="T1989">
        <v>115</v>
      </c>
      <c r="U1989">
        <v>35</v>
      </c>
      <c r="V1989" t="s">
        <v>6365</v>
      </c>
      <c r="W1989">
        <v>55524</v>
      </c>
      <c r="X1989" t="s">
        <v>7074</v>
      </c>
      <c r="Y1989">
        <v>42614</v>
      </c>
      <c r="Z1989">
        <v>1943340</v>
      </c>
      <c r="AA1989">
        <v>451850</v>
      </c>
      <c r="AB1989" t="str">
        <f>(VLOOKUP(SalesData[[#This Row],[Month Number]],Reference!C$5:E$16,2,FALSE))</f>
        <v>Feb</v>
      </c>
      <c r="AC1989">
        <f>MONTH(SalesData[[#This Row],[Date]])</f>
        <v>2</v>
      </c>
      <c r="AD1989">
        <f>Reference!F$4</f>
        <v>2026</v>
      </c>
      <c r="AE1989" t="str">
        <f>IF(OR(SalesData[[#This Row],[Day]]="Saturday",SalesData[[#This Row],[Day]]="Sunday"),"Weekend","Weekday")</f>
        <v>Weekday</v>
      </c>
      <c r="AF1989" s="5">
        <f>IF(SalesData[[#This Row],[Contracts Offered]]=0,0,SalesData[[#This Row],[Contracts Signed]]/SalesData[[#This Row],[Contracts Offered]])</f>
        <v>0.30434782608695654</v>
      </c>
      <c r="AG1989" s="5">
        <f>IF(SalesData[[#This Row],[Customers Visited]]=0,0,SalesData[[#This Row],[Test Drives]]/SalesData[[#This Row],[Customers Visited]])</f>
        <v>0.56818181818181823</v>
      </c>
      <c r="AH1989" s="5">
        <f>IF(SalesData[[#This Row],[Customers Visited]]=0,0,SalesData[[#This Row],[Contracts Signed]]/SalesData[[#This Row],[Customers Visited]])</f>
        <v>0.13257575757575757</v>
      </c>
      <c r="AI1989" s="6">
        <f>IF(SalesData[[#This Row],[Contracts Signed]]=0,0,SalesData[[#This Row],[Profit(€)]]/SalesData[[#This Row],[Contracts Signed]])</f>
        <v>12910</v>
      </c>
      <c r="AJ1989" s="5" t="str">
        <f>TRIM(CLEAN(SalesData[[#This Row],[Retailer]]))</f>
        <v>Stuttgart Auto Center</v>
      </c>
    </row>
    <row r="1990" spans="1:36" ht="14.25" hidden="1" x14ac:dyDescent="0.2">
      <c r="A1990" t="s">
        <v>2981</v>
      </c>
      <c r="B1990" s="1">
        <v>46063</v>
      </c>
      <c r="C1990" t="s">
        <v>121</v>
      </c>
      <c r="D1990" t="s">
        <v>63</v>
      </c>
      <c r="E1990" t="s">
        <v>26</v>
      </c>
      <c r="F1990" t="s">
        <v>43</v>
      </c>
      <c r="G1990" t="s">
        <v>44</v>
      </c>
      <c r="H1990" t="s">
        <v>45</v>
      </c>
      <c r="I1990" t="s">
        <v>116</v>
      </c>
      <c r="J1990" t="s">
        <v>117</v>
      </c>
      <c r="K1990" t="s">
        <v>32</v>
      </c>
      <c r="L1990" t="s">
        <v>67</v>
      </c>
      <c r="M1990" t="s">
        <v>47</v>
      </c>
      <c r="N1990" t="s">
        <v>69</v>
      </c>
      <c r="O1990" t="s">
        <v>36</v>
      </c>
      <c r="P1990" t="s">
        <v>37</v>
      </c>
      <c r="Q1990" t="s">
        <v>38</v>
      </c>
      <c r="R1990">
        <v>375</v>
      </c>
      <c r="S1990">
        <v>160</v>
      </c>
      <c r="T1990">
        <v>94</v>
      </c>
      <c r="U1990">
        <v>20</v>
      </c>
      <c r="V1990" t="s">
        <v>265</v>
      </c>
      <c r="W1990">
        <v>22315</v>
      </c>
      <c r="X1990" t="s">
        <v>341</v>
      </c>
      <c r="Y1990">
        <v>20584</v>
      </c>
      <c r="Z1990">
        <v>446300</v>
      </c>
      <c r="AA1990">
        <v>34620</v>
      </c>
      <c r="AB1990" t="str">
        <f>(VLOOKUP(SalesData[[#This Row],[Month Number]],Reference!C$5:E$16,2,FALSE))</f>
        <v>Feb</v>
      </c>
      <c r="AC1990">
        <f>MONTH(SalesData[[#This Row],[Date]])</f>
        <v>2</v>
      </c>
      <c r="AD1990">
        <f>Reference!F$4</f>
        <v>2026</v>
      </c>
      <c r="AE1990" t="str">
        <f>IF(OR(SalesData[[#This Row],[Day]]="Saturday",SalesData[[#This Row],[Day]]="Sunday"),"Weekend","Weekday")</f>
        <v>Weekday</v>
      </c>
      <c r="AF1990" s="5">
        <f>IF(SalesData[[#This Row],[Contracts Offered]]=0,0,SalesData[[#This Row],[Contracts Signed]]/SalesData[[#This Row],[Contracts Offered]])</f>
        <v>0.21276595744680851</v>
      </c>
      <c r="AG1990" s="5">
        <f>IF(SalesData[[#This Row],[Customers Visited]]=0,0,SalesData[[#This Row],[Test Drives]]/SalesData[[#This Row],[Customers Visited]])</f>
        <v>0.42666666666666669</v>
      </c>
      <c r="AH1990" s="5">
        <f>IF(SalesData[[#This Row],[Customers Visited]]=0,0,SalesData[[#This Row],[Contracts Signed]]/SalesData[[#This Row],[Customers Visited]])</f>
        <v>5.3333333333333337E-2</v>
      </c>
      <c r="AI1990" s="6">
        <f>IF(SalesData[[#This Row],[Contracts Signed]]=0,0,SalesData[[#This Row],[Profit(€)]]/SalesData[[#This Row],[Contracts Signed]])</f>
        <v>1731</v>
      </c>
      <c r="AJ1990" s="5" t="str">
        <f>TRIM(CLEAN(SalesData[[#This Row],[Retailer]]))</f>
        <v>Saxon Wheels</v>
      </c>
    </row>
    <row r="1991" spans="1:36" ht="14.25" hidden="1" x14ac:dyDescent="0.2">
      <c r="A1991" t="s">
        <v>2982</v>
      </c>
      <c r="B1991" s="1">
        <v>46079</v>
      </c>
      <c r="C1991" t="s">
        <v>53</v>
      </c>
      <c r="D1991" t="s">
        <v>100</v>
      </c>
      <c r="E1991" t="s">
        <v>26</v>
      </c>
      <c r="F1991" t="s">
        <v>83</v>
      </c>
      <c r="G1991" t="s">
        <v>84</v>
      </c>
      <c r="H1991" t="s">
        <v>85</v>
      </c>
      <c r="I1991" t="s">
        <v>56</v>
      </c>
      <c r="J1991" t="s">
        <v>97</v>
      </c>
      <c r="K1991" t="s">
        <v>78</v>
      </c>
      <c r="L1991" t="s">
        <v>33</v>
      </c>
      <c r="M1991" t="s">
        <v>34</v>
      </c>
      <c r="N1991" t="s">
        <v>69</v>
      </c>
      <c r="O1991" t="s">
        <v>36</v>
      </c>
      <c r="P1991" t="s">
        <v>37</v>
      </c>
      <c r="Q1991" t="s">
        <v>79</v>
      </c>
      <c r="R1991">
        <v>217</v>
      </c>
      <c r="S1991">
        <v>111</v>
      </c>
      <c r="T1991">
        <v>75</v>
      </c>
      <c r="U1991">
        <v>23</v>
      </c>
      <c r="V1991" t="s">
        <v>6355</v>
      </c>
      <c r="W1991">
        <v>40294</v>
      </c>
      <c r="X1991" t="s">
        <v>3065</v>
      </c>
      <c r="Y1991">
        <v>32195</v>
      </c>
      <c r="Z1991">
        <v>926762</v>
      </c>
      <c r="AA1991">
        <v>186277</v>
      </c>
      <c r="AB1991" t="str">
        <f>(VLOOKUP(SalesData[[#This Row],[Month Number]],Reference!C$5:E$16,2,FALSE))</f>
        <v>Feb</v>
      </c>
      <c r="AC1991">
        <f>MONTH(SalesData[[#This Row],[Date]])</f>
        <v>2</v>
      </c>
      <c r="AD1991">
        <f>Reference!F$4</f>
        <v>2026</v>
      </c>
      <c r="AE1991" t="str">
        <f>IF(OR(SalesData[[#This Row],[Day]]="Saturday",SalesData[[#This Row],[Day]]="Sunday"),"Weekend","Weekday")</f>
        <v>Weekday</v>
      </c>
      <c r="AF1991" s="5">
        <f>IF(SalesData[[#This Row],[Contracts Offered]]=0,0,SalesData[[#This Row],[Contracts Signed]]/SalesData[[#This Row],[Contracts Offered]])</f>
        <v>0.30666666666666664</v>
      </c>
      <c r="AG1991" s="5">
        <f>IF(SalesData[[#This Row],[Customers Visited]]=0,0,SalesData[[#This Row],[Test Drives]]/SalesData[[#This Row],[Customers Visited]])</f>
        <v>0.51152073732718895</v>
      </c>
      <c r="AH1991" s="5">
        <f>IF(SalesData[[#This Row],[Customers Visited]]=0,0,SalesData[[#This Row],[Contracts Signed]]/SalesData[[#This Row],[Customers Visited]])</f>
        <v>0.10599078341013825</v>
      </c>
      <c r="AI1991" s="6">
        <f>IF(SalesData[[#This Row],[Contracts Signed]]=0,0,SalesData[[#This Row],[Profit(€)]]/SalesData[[#This Row],[Contracts Signed]])</f>
        <v>8099</v>
      </c>
      <c r="AJ1991" s="5" t="str">
        <f>TRIM(CLEAN(SalesData[[#This Row],[Retailer]]))</f>
        <v>Hannover Cars</v>
      </c>
    </row>
    <row r="1992" spans="1:36" ht="14.25" hidden="1" x14ac:dyDescent="0.2">
      <c r="A1992" t="s">
        <v>2983</v>
      </c>
      <c r="B1992" s="1">
        <v>46054</v>
      </c>
      <c r="C1992" t="s">
        <v>24</v>
      </c>
      <c r="D1992" t="s">
        <v>41</v>
      </c>
      <c r="E1992" t="s">
        <v>42</v>
      </c>
      <c r="F1992" t="s">
        <v>94</v>
      </c>
      <c r="G1992" t="s">
        <v>95</v>
      </c>
      <c r="H1992" t="s">
        <v>96</v>
      </c>
      <c r="I1992" t="s">
        <v>56</v>
      </c>
      <c r="J1992" t="s">
        <v>137</v>
      </c>
      <c r="K1992" t="s">
        <v>66</v>
      </c>
      <c r="L1992" t="s">
        <v>46</v>
      </c>
      <c r="M1992" t="s">
        <v>34</v>
      </c>
      <c r="N1992" t="s">
        <v>69</v>
      </c>
      <c r="O1992" t="s">
        <v>70</v>
      </c>
      <c r="P1992" t="s">
        <v>37</v>
      </c>
      <c r="Q1992" t="s">
        <v>240</v>
      </c>
      <c r="R1992">
        <v>319</v>
      </c>
      <c r="S1992">
        <v>164</v>
      </c>
      <c r="T1992">
        <v>122</v>
      </c>
      <c r="U1992">
        <v>34</v>
      </c>
      <c r="V1992" t="s">
        <v>7498</v>
      </c>
      <c r="W1992">
        <v>41130</v>
      </c>
      <c r="X1992" t="s">
        <v>7340</v>
      </c>
      <c r="Y1992">
        <v>33429</v>
      </c>
      <c r="Z1992">
        <v>1398420</v>
      </c>
      <c r="AA1992">
        <v>261834</v>
      </c>
      <c r="AB1992" t="str">
        <f>(VLOOKUP(SalesData[[#This Row],[Month Number]],Reference!C$5:E$16,2,FALSE))</f>
        <v>Feb</v>
      </c>
      <c r="AC1992">
        <f>MONTH(SalesData[[#This Row],[Date]])</f>
        <v>2</v>
      </c>
      <c r="AD1992">
        <f>Reference!F$4</f>
        <v>2026</v>
      </c>
      <c r="AE1992" t="str">
        <f>IF(OR(SalesData[[#This Row],[Day]]="Saturday",SalesData[[#This Row],[Day]]="Sunday"),"Weekend","Weekday")</f>
        <v>Weekend</v>
      </c>
      <c r="AF1992" s="5">
        <f>IF(SalesData[[#This Row],[Contracts Offered]]=0,0,SalesData[[#This Row],[Contracts Signed]]/SalesData[[#This Row],[Contracts Offered]])</f>
        <v>0.27868852459016391</v>
      </c>
      <c r="AG1992" s="5">
        <f>IF(SalesData[[#This Row],[Customers Visited]]=0,0,SalesData[[#This Row],[Test Drives]]/SalesData[[#This Row],[Customers Visited]])</f>
        <v>0.51410658307210033</v>
      </c>
      <c r="AH1992" s="5">
        <f>IF(SalesData[[#This Row],[Customers Visited]]=0,0,SalesData[[#This Row],[Contracts Signed]]/SalesData[[#This Row],[Customers Visited]])</f>
        <v>0.10658307210031348</v>
      </c>
      <c r="AI1992" s="6">
        <f>IF(SalesData[[#This Row],[Contracts Signed]]=0,0,SalesData[[#This Row],[Profit(€)]]/SalesData[[#This Row],[Contracts Signed]])</f>
        <v>7701</v>
      </c>
      <c r="AJ1992" s="5" t="str">
        <f>TRIM(CLEAN(SalesData[[#This Row],[Retailer]]))</f>
        <v>Bavaria Motors</v>
      </c>
    </row>
    <row r="1993" spans="1:36" ht="14.25" hidden="1" x14ac:dyDescent="0.2">
      <c r="A1993" t="s">
        <v>2984</v>
      </c>
      <c r="B1993" s="1">
        <v>46077</v>
      </c>
      <c r="C1993" t="s">
        <v>53</v>
      </c>
      <c r="D1993" t="s">
        <v>63</v>
      </c>
      <c r="E1993" t="s">
        <v>26</v>
      </c>
      <c r="F1993" t="s">
        <v>94</v>
      </c>
      <c r="G1993" t="s">
        <v>95</v>
      </c>
      <c r="H1993" t="s">
        <v>96</v>
      </c>
      <c r="I1993" t="s">
        <v>104</v>
      </c>
      <c r="J1993" t="s">
        <v>105</v>
      </c>
      <c r="K1993" t="s">
        <v>66</v>
      </c>
      <c r="L1993" t="s">
        <v>33</v>
      </c>
      <c r="M1993" t="s">
        <v>68</v>
      </c>
      <c r="N1993" t="s">
        <v>35</v>
      </c>
      <c r="O1993" t="s">
        <v>70</v>
      </c>
      <c r="P1993" t="s">
        <v>37</v>
      </c>
      <c r="Q1993" t="s">
        <v>118</v>
      </c>
      <c r="R1993">
        <v>465</v>
      </c>
      <c r="S1993">
        <v>193</v>
      </c>
      <c r="T1993">
        <v>114</v>
      </c>
      <c r="U1993">
        <v>36</v>
      </c>
      <c r="V1993" t="s">
        <v>4670</v>
      </c>
      <c r="W1993">
        <v>31106</v>
      </c>
      <c r="X1993" t="s">
        <v>3389</v>
      </c>
      <c r="Y1993">
        <v>27951</v>
      </c>
      <c r="Z1993">
        <v>1119816</v>
      </c>
      <c r="AA1993">
        <v>113580</v>
      </c>
      <c r="AB1993" t="str">
        <f>(VLOOKUP(SalesData[[#This Row],[Month Number]],Reference!C$5:E$16,2,FALSE))</f>
        <v>Feb</v>
      </c>
      <c r="AC1993">
        <f>MONTH(SalesData[[#This Row],[Date]])</f>
        <v>2</v>
      </c>
      <c r="AD1993">
        <f>Reference!F$4</f>
        <v>2026</v>
      </c>
      <c r="AE1993" t="str">
        <f>IF(OR(SalesData[[#This Row],[Day]]="Saturday",SalesData[[#This Row],[Day]]="Sunday"),"Weekend","Weekday")</f>
        <v>Weekday</v>
      </c>
      <c r="AF1993" s="5">
        <f>IF(SalesData[[#This Row],[Contracts Offered]]=0,0,SalesData[[#This Row],[Contracts Signed]]/SalesData[[#This Row],[Contracts Offered]])</f>
        <v>0.31578947368421051</v>
      </c>
      <c r="AG1993" s="5">
        <f>IF(SalesData[[#This Row],[Customers Visited]]=0,0,SalesData[[#This Row],[Test Drives]]/SalesData[[#This Row],[Customers Visited]])</f>
        <v>0.4150537634408602</v>
      </c>
      <c r="AH1993" s="5">
        <f>IF(SalesData[[#This Row],[Customers Visited]]=0,0,SalesData[[#This Row],[Contracts Signed]]/SalesData[[#This Row],[Customers Visited]])</f>
        <v>7.7419354838709681E-2</v>
      </c>
      <c r="AI1993" s="6">
        <f>IF(SalesData[[#This Row],[Contracts Signed]]=0,0,SalesData[[#This Row],[Profit(€)]]/SalesData[[#This Row],[Contracts Signed]])</f>
        <v>3155</v>
      </c>
      <c r="AJ1993" s="5" t="str">
        <f>TRIM(CLEAN(SalesData[[#This Row],[Retailer]]))</f>
        <v>Bavaria Motors</v>
      </c>
    </row>
    <row r="1994" spans="1:36" ht="14.25" hidden="1" x14ac:dyDescent="0.2">
      <c r="A1994" t="s">
        <v>2985</v>
      </c>
      <c r="B1994" s="1">
        <v>46065</v>
      </c>
      <c r="C1994" t="s">
        <v>121</v>
      </c>
      <c r="D1994" t="s">
        <v>100</v>
      </c>
      <c r="E1994" t="s">
        <v>26</v>
      </c>
      <c r="F1994" t="s">
        <v>83</v>
      </c>
      <c r="G1994" t="s">
        <v>84</v>
      </c>
      <c r="H1994" t="s">
        <v>85</v>
      </c>
      <c r="I1994" t="s">
        <v>64</v>
      </c>
      <c r="J1994" t="s">
        <v>77</v>
      </c>
      <c r="K1994" t="s">
        <v>91</v>
      </c>
      <c r="L1994" t="s">
        <v>46</v>
      </c>
      <c r="M1994" t="s">
        <v>34</v>
      </c>
      <c r="N1994" t="s">
        <v>48</v>
      </c>
      <c r="O1994" t="s">
        <v>70</v>
      </c>
      <c r="P1994" t="s">
        <v>49</v>
      </c>
      <c r="Q1994" t="s">
        <v>152</v>
      </c>
      <c r="R1994">
        <v>267</v>
      </c>
      <c r="S1994">
        <v>136</v>
      </c>
      <c r="T1994">
        <v>103</v>
      </c>
      <c r="U1994">
        <v>29</v>
      </c>
      <c r="V1994" t="s">
        <v>7215</v>
      </c>
      <c r="W1994">
        <v>59591</v>
      </c>
      <c r="X1994" t="s">
        <v>4006</v>
      </c>
      <c r="Y1994">
        <v>42851</v>
      </c>
      <c r="Z1994">
        <v>1728139</v>
      </c>
      <c r="AA1994">
        <v>485460</v>
      </c>
      <c r="AB1994" t="str">
        <f>(VLOOKUP(SalesData[[#This Row],[Month Number]],Reference!C$5:E$16,2,FALSE))</f>
        <v>Feb</v>
      </c>
      <c r="AC1994">
        <f>MONTH(SalesData[[#This Row],[Date]])</f>
        <v>2</v>
      </c>
      <c r="AD1994">
        <f>Reference!F$4</f>
        <v>2026</v>
      </c>
      <c r="AE1994" t="str">
        <f>IF(OR(SalesData[[#This Row],[Day]]="Saturday",SalesData[[#This Row],[Day]]="Sunday"),"Weekend","Weekday")</f>
        <v>Weekday</v>
      </c>
      <c r="AF1994" s="5">
        <f>IF(SalesData[[#This Row],[Contracts Offered]]=0,0,SalesData[[#This Row],[Contracts Signed]]/SalesData[[#This Row],[Contracts Offered]])</f>
        <v>0.28155339805825241</v>
      </c>
      <c r="AG1994" s="5">
        <f>IF(SalesData[[#This Row],[Customers Visited]]=0,0,SalesData[[#This Row],[Test Drives]]/SalesData[[#This Row],[Customers Visited]])</f>
        <v>0.50936329588014984</v>
      </c>
      <c r="AH1994" s="5">
        <f>IF(SalesData[[#This Row],[Customers Visited]]=0,0,SalesData[[#This Row],[Contracts Signed]]/SalesData[[#This Row],[Customers Visited]])</f>
        <v>0.10861423220973783</v>
      </c>
      <c r="AI1994" s="6">
        <f>IF(SalesData[[#This Row],[Contracts Signed]]=0,0,SalesData[[#This Row],[Profit(€)]]/SalesData[[#This Row],[Contracts Signed]])</f>
        <v>16740</v>
      </c>
      <c r="AJ1994" s="5" t="str">
        <f>TRIM(CLEAN(SalesData[[#This Row],[Retailer]]))</f>
        <v>Hannover Cars</v>
      </c>
    </row>
    <row r="1995" spans="1:36" ht="14.25" hidden="1" x14ac:dyDescent="0.2">
      <c r="A1995" t="s">
        <v>2986</v>
      </c>
      <c r="B1995" s="1">
        <v>46069</v>
      </c>
      <c r="C1995" t="s">
        <v>62</v>
      </c>
      <c r="D1995" t="s">
        <v>25</v>
      </c>
      <c r="E1995" t="s">
        <v>26</v>
      </c>
      <c r="F1995" t="s">
        <v>43</v>
      </c>
      <c r="G1995" t="s">
        <v>44</v>
      </c>
      <c r="H1995" t="s">
        <v>45</v>
      </c>
      <c r="I1995" t="s">
        <v>116</v>
      </c>
      <c r="J1995" t="s">
        <v>7026</v>
      </c>
      <c r="K1995" t="s">
        <v>78</v>
      </c>
      <c r="L1995" t="s">
        <v>46</v>
      </c>
      <c r="M1995" t="s">
        <v>68</v>
      </c>
      <c r="N1995" t="s">
        <v>35</v>
      </c>
      <c r="O1995" t="s">
        <v>70</v>
      </c>
      <c r="P1995" t="s">
        <v>37</v>
      </c>
      <c r="Q1995" t="s">
        <v>189</v>
      </c>
      <c r="R1995">
        <v>376</v>
      </c>
      <c r="S1995">
        <v>165</v>
      </c>
      <c r="T1995">
        <v>93</v>
      </c>
      <c r="U1995">
        <v>26</v>
      </c>
      <c r="V1995" t="s">
        <v>1327</v>
      </c>
      <c r="W1995">
        <v>26565</v>
      </c>
      <c r="X1995" t="s">
        <v>3596</v>
      </c>
      <c r="Y1995">
        <v>23717</v>
      </c>
      <c r="Z1995">
        <v>690690</v>
      </c>
      <c r="AA1995">
        <v>74048</v>
      </c>
      <c r="AB1995" t="str">
        <f>(VLOOKUP(SalesData[[#This Row],[Month Number]],Reference!C$5:E$16,2,FALSE))</f>
        <v>Feb</v>
      </c>
      <c r="AC1995">
        <f>MONTH(SalesData[[#This Row],[Date]])</f>
        <v>2</v>
      </c>
      <c r="AD1995">
        <f>Reference!F$4</f>
        <v>2026</v>
      </c>
      <c r="AE1995" t="str">
        <f>IF(OR(SalesData[[#This Row],[Day]]="Saturday",SalesData[[#This Row],[Day]]="Sunday"),"Weekend","Weekday")</f>
        <v>Weekday</v>
      </c>
      <c r="AF1995" s="5">
        <f>IF(SalesData[[#This Row],[Contracts Offered]]=0,0,SalesData[[#This Row],[Contracts Signed]]/SalesData[[#This Row],[Contracts Offered]])</f>
        <v>0.27956989247311825</v>
      </c>
      <c r="AG1995" s="5">
        <f>IF(SalesData[[#This Row],[Customers Visited]]=0,0,SalesData[[#This Row],[Test Drives]]/SalesData[[#This Row],[Customers Visited]])</f>
        <v>0.43882978723404253</v>
      </c>
      <c r="AH1995" s="5">
        <f>IF(SalesData[[#This Row],[Customers Visited]]=0,0,SalesData[[#This Row],[Contracts Signed]]/SalesData[[#This Row],[Customers Visited]])</f>
        <v>6.9148936170212769E-2</v>
      </c>
      <c r="AI1995" s="6">
        <f>IF(SalesData[[#This Row],[Contracts Signed]]=0,0,SalesData[[#This Row],[Profit(€)]]/SalesData[[#This Row],[Contracts Signed]])</f>
        <v>2848</v>
      </c>
      <c r="AJ1995" s="5" t="str">
        <f>TRIM(CLEAN(SalesData[[#This Row],[Retailer]]))</f>
        <v>Saxon Wheels</v>
      </c>
    </row>
    <row r="1996" spans="1:36" ht="14.25" x14ac:dyDescent="0.2">
      <c r="A1996" t="s">
        <v>2988</v>
      </c>
      <c r="B1996" s="1">
        <v>46076</v>
      </c>
      <c r="C1996" t="s">
        <v>53</v>
      </c>
      <c r="D1996" t="s">
        <v>25</v>
      </c>
      <c r="E1996" t="s">
        <v>26</v>
      </c>
      <c r="F1996" t="s">
        <v>94</v>
      </c>
      <c r="G1996" t="s">
        <v>95</v>
      </c>
      <c r="H1996" t="s">
        <v>96</v>
      </c>
      <c r="I1996" t="s">
        <v>30</v>
      </c>
      <c r="J1996" t="s">
        <v>31</v>
      </c>
      <c r="K1996" t="s">
        <v>66</v>
      </c>
      <c r="L1996" t="s">
        <v>46</v>
      </c>
      <c r="M1996" t="s">
        <v>34</v>
      </c>
      <c r="N1996" t="s">
        <v>48</v>
      </c>
      <c r="O1996" t="s">
        <v>70</v>
      </c>
      <c r="P1996" t="s">
        <v>37</v>
      </c>
      <c r="Q1996" t="s">
        <v>118</v>
      </c>
      <c r="R1996">
        <v>206</v>
      </c>
      <c r="S1996">
        <v>123</v>
      </c>
      <c r="T1996">
        <v>97</v>
      </c>
      <c r="U1996">
        <v>36</v>
      </c>
      <c r="V1996" t="s">
        <v>6419</v>
      </c>
      <c r="W1996">
        <v>57536</v>
      </c>
      <c r="X1996" t="s">
        <v>7217</v>
      </c>
      <c r="Y1996">
        <v>41734</v>
      </c>
      <c r="Z1996">
        <v>2071296</v>
      </c>
      <c r="AA1996">
        <v>568872</v>
      </c>
      <c r="AB1996" t="str">
        <f>(VLOOKUP(SalesData[[#This Row],[Month Number]],Reference!C$5:E$16,2,FALSE))</f>
        <v>Feb</v>
      </c>
      <c r="AC1996">
        <f>MONTH(SalesData[[#This Row],[Date]])</f>
        <v>2</v>
      </c>
      <c r="AD1996">
        <f>Reference!F$4</f>
        <v>2026</v>
      </c>
      <c r="AE1996" t="str">
        <f>IF(OR(SalesData[[#This Row],[Day]]="Saturday",SalesData[[#This Row],[Day]]="Sunday"),"Weekend","Weekday")</f>
        <v>Weekday</v>
      </c>
      <c r="AF1996" s="5">
        <f>IF(SalesData[[#This Row],[Contracts Offered]]=0,0,SalesData[[#This Row],[Contracts Signed]]/SalesData[[#This Row],[Contracts Offered]])</f>
        <v>0.37113402061855671</v>
      </c>
      <c r="AG1996" s="5">
        <f>IF(SalesData[[#This Row],[Customers Visited]]=0,0,SalesData[[#This Row],[Test Drives]]/SalesData[[#This Row],[Customers Visited]])</f>
        <v>0.59708737864077666</v>
      </c>
      <c r="AH1996" s="5">
        <f>IF(SalesData[[#This Row],[Customers Visited]]=0,0,SalesData[[#This Row],[Contracts Signed]]/SalesData[[#This Row],[Customers Visited]])</f>
        <v>0.17475728155339806</v>
      </c>
      <c r="AI1996" s="6">
        <f>IF(SalesData[[#This Row],[Contracts Signed]]=0,0,SalesData[[#This Row],[Profit(€)]]/SalesData[[#This Row],[Contracts Signed]])</f>
        <v>15802</v>
      </c>
      <c r="AJ1996" s="5" t="str">
        <f>TRIM(CLEAN(SalesData[[#This Row],[Retailer]]))</f>
        <v>Bavaria Motors</v>
      </c>
    </row>
    <row r="1997" spans="1:36" ht="14.25" hidden="1" x14ac:dyDescent="0.2">
      <c r="A1997" t="s">
        <v>2989</v>
      </c>
      <c r="B1997" s="1">
        <v>46071</v>
      </c>
      <c r="C1997" t="s">
        <v>62</v>
      </c>
      <c r="D1997" t="s">
        <v>82</v>
      </c>
      <c r="E1997" t="s">
        <v>26</v>
      </c>
      <c r="F1997" t="s">
        <v>7649</v>
      </c>
      <c r="G1997" t="s">
        <v>55</v>
      </c>
      <c r="H1997" t="s">
        <v>55</v>
      </c>
      <c r="I1997" t="s">
        <v>64</v>
      </c>
      <c r="J1997" t="s">
        <v>157</v>
      </c>
      <c r="K1997" t="s">
        <v>66</v>
      </c>
      <c r="L1997" t="s">
        <v>33</v>
      </c>
      <c r="M1997" t="s">
        <v>34</v>
      </c>
      <c r="N1997" t="s">
        <v>48</v>
      </c>
      <c r="O1997" t="s">
        <v>36</v>
      </c>
      <c r="P1997" t="s">
        <v>58</v>
      </c>
      <c r="Q1997" t="s">
        <v>172</v>
      </c>
      <c r="R1997">
        <v>259</v>
      </c>
      <c r="S1997">
        <v>143</v>
      </c>
      <c r="T1997">
        <v>94</v>
      </c>
      <c r="U1997">
        <v>46</v>
      </c>
      <c r="V1997" t="s">
        <v>7499</v>
      </c>
      <c r="W1997">
        <v>56726</v>
      </c>
      <c r="X1997" t="s">
        <v>7041</v>
      </c>
      <c r="Y1997">
        <v>43122</v>
      </c>
      <c r="Z1997">
        <v>2609396</v>
      </c>
      <c r="AA1997">
        <v>625784</v>
      </c>
      <c r="AB1997" t="str">
        <f>(VLOOKUP(SalesData[[#This Row],[Month Number]],Reference!C$5:E$16,2,FALSE))</f>
        <v>Feb</v>
      </c>
      <c r="AC1997">
        <f>MONTH(SalesData[[#This Row],[Date]])</f>
        <v>2</v>
      </c>
      <c r="AD1997">
        <f>Reference!F$4</f>
        <v>2026</v>
      </c>
      <c r="AE1997" t="str">
        <f>IF(OR(SalesData[[#This Row],[Day]]="Saturday",SalesData[[#This Row],[Day]]="Sunday"),"Weekend","Weekday")</f>
        <v>Weekday</v>
      </c>
      <c r="AF1997" s="5">
        <f>IF(SalesData[[#This Row],[Contracts Offered]]=0,0,SalesData[[#This Row],[Contracts Signed]]/SalesData[[#This Row],[Contracts Offered]])</f>
        <v>0.48936170212765956</v>
      </c>
      <c r="AG1997" s="5">
        <f>IF(SalesData[[#This Row],[Customers Visited]]=0,0,SalesData[[#This Row],[Test Drives]]/SalesData[[#This Row],[Customers Visited]])</f>
        <v>0.55212355212355213</v>
      </c>
      <c r="AH1997" s="5">
        <f>IF(SalesData[[#This Row],[Customers Visited]]=0,0,SalesData[[#This Row],[Contracts Signed]]/SalesData[[#This Row],[Customers Visited]])</f>
        <v>0.17760617760617761</v>
      </c>
      <c r="AI1997" s="6">
        <f>IF(SalesData[[#This Row],[Contracts Signed]]=0,0,SalesData[[#This Row],[Profit(€)]]/SalesData[[#This Row],[Contracts Signed]])</f>
        <v>13604</v>
      </c>
      <c r="AJ1997" s="5" t="str">
        <f>TRIM(CLEAN(SalesData[[#This Row],[Retailer]]))</f>
        <v>Autohaus Berlin</v>
      </c>
    </row>
    <row r="1998" spans="1:36" ht="14.25" hidden="1" x14ac:dyDescent="0.2">
      <c r="A1998" t="s">
        <v>2990</v>
      </c>
      <c r="B1998" s="1">
        <v>46054</v>
      </c>
      <c r="C1998" t="s">
        <v>24</v>
      </c>
      <c r="D1998" t="s">
        <v>41</v>
      </c>
      <c r="E1998" t="s">
        <v>42</v>
      </c>
      <c r="F1998" t="s">
        <v>27</v>
      </c>
      <c r="G1998" t="s">
        <v>28</v>
      </c>
      <c r="H1998" t="s">
        <v>29</v>
      </c>
      <c r="I1998" t="s">
        <v>104</v>
      </c>
      <c r="J1998" t="s">
        <v>7061</v>
      </c>
      <c r="K1998" t="s">
        <v>32</v>
      </c>
      <c r="L1998" t="s">
        <v>46</v>
      </c>
      <c r="M1998" t="s">
        <v>68</v>
      </c>
      <c r="N1998" t="s">
        <v>69</v>
      </c>
      <c r="O1998" t="s">
        <v>36</v>
      </c>
      <c r="P1998" t="s">
        <v>71</v>
      </c>
      <c r="Q1998" t="s">
        <v>144</v>
      </c>
      <c r="R1998">
        <v>436</v>
      </c>
      <c r="S1998">
        <v>235</v>
      </c>
      <c r="T1998">
        <v>151</v>
      </c>
      <c r="U1998">
        <v>36</v>
      </c>
      <c r="V1998" t="s">
        <v>2114</v>
      </c>
      <c r="W1998">
        <v>26568</v>
      </c>
      <c r="X1998" t="s">
        <v>303</v>
      </c>
      <c r="Y1998">
        <v>23229</v>
      </c>
      <c r="Z1998">
        <v>956448</v>
      </c>
      <c r="AA1998">
        <v>120204</v>
      </c>
      <c r="AB1998" t="str">
        <f>(VLOOKUP(SalesData[[#This Row],[Month Number]],Reference!C$5:E$16,2,FALSE))</f>
        <v>Feb</v>
      </c>
      <c r="AC1998">
        <f>MONTH(SalesData[[#This Row],[Date]])</f>
        <v>2</v>
      </c>
      <c r="AD1998">
        <f>Reference!F$4</f>
        <v>2026</v>
      </c>
      <c r="AE1998" t="str">
        <f>IF(OR(SalesData[[#This Row],[Day]]="Saturday",SalesData[[#This Row],[Day]]="Sunday"),"Weekend","Weekday")</f>
        <v>Weekend</v>
      </c>
      <c r="AF1998" s="5">
        <f>IF(SalesData[[#This Row],[Contracts Offered]]=0,0,SalesData[[#This Row],[Contracts Signed]]/SalesData[[#This Row],[Contracts Offered]])</f>
        <v>0.23841059602649006</v>
      </c>
      <c r="AG1998" s="5">
        <f>IF(SalesData[[#This Row],[Customers Visited]]=0,0,SalesData[[#This Row],[Test Drives]]/SalesData[[#This Row],[Customers Visited]])</f>
        <v>0.53899082568807344</v>
      </c>
      <c r="AH1998" s="5">
        <f>IF(SalesData[[#This Row],[Customers Visited]]=0,0,SalesData[[#This Row],[Contracts Signed]]/SalesData[[#This Row],[Customers Visited]])</f>
        <v>8.2568807339449546E-2</v>
      </c>
      <c r="AI1998" s="6">
        <f>IF(SalesData[[#This Row],[Contracts Signed]]=0,0,SalesData[[#This Row],[Profit(€)]]/SalesData[[#This Row],[Contracts Signed]])</f>
        <v>3339</v>
      </c>
      <c r="AJ1998" s="5" t="str">
        <f>TRIM(CLEAN(SalesData[[#This Row],[Retailer]]))</f>
        <v>Main Auto Hub</v>
      </c>
    </row>
    <row r="1999" spans="1:36" ht="14.25" hidden="1" x14ac:dyDescent="0.2">
      <c r="A1999" t="s">
        <v>2991</v>
      </c>
      <c r="B1999" s="1">
        <v>46073</v>
      </c>
      <c r="C1999" t="s">
        <v>62</v>
      </c>
      <c r="D1999" t="s">
        <v>54</v>
      </c>
      <c r="E1999" t="s">
        <v>26</v>
      </c>
      <c r="F1999" t="s">
        <v>101</v>
      </c>
      <c r="G1999" t="s">
        <v>102</v>
      </c>
      <c r="H1999" t="s">
        <v>103</v>
      </c>
      <c r="I1999" t="s">
        <v>64</v>
      </c>
      <c r="J1999" t="s">
        <v>157</v>
      </c>
      <c r="K1999" t="s">
        <v>91</v>
      </c>
      <c r="L1999" t="s">
        <v>33</v>
      </c>
      <c r="M1999" t="s">
        <v>47</v>
      </c>
      <c r="N1999" t="s">
        <v>48</v>
      </c>
      <c r="O1999" t="s">
        <v>36</v>
      </c>
      <c r="P1999" t="s">
        <v>37</v>
      </c>
      <c r="Q1999" t="s">
        <v>38</v>
      </c>
      <c r="R1999">
        <v>289</v>
      </c>
      <c r="S1999">
        <v>136</v>
      </c>
      <c r="T1999">
        <v>90</v>
      </c>
      <c r="U1999">
        <v>33</v>
      </c>
      <c r="V1999" t="s">
        <v>6699</v>
      </c>
      <c r="W1999">
        <v>62081</v>
      </c>
      <c r="X1999" t="s">
        <v>7394</v>
      </c>
      <c r="Y1999">
        <v>47004</v>
      </c>
      <c r="Z1999">
        <v>2048673</v>
      </c>
      <c r="AA1999">
        <v>497541</v>
      </c>
      <c r="AB1999" t="str">
        <f>(VLOOKUP(SalesData[[#This Row],[Month Number]],Reference!C$5:E$16,2,FALSE))</f>
        <v>Feb</v>
      </c>
      <c r="AC1999">
        <f>MONTH(SalesData[[#This Row],[Date]])</f>
        <v>2</v>
      </c>
      <c r="AD1999">
        <f>Reference!F$4</f>
        <v>2026</v>
      </c>
      <c r="AE1999" t="str">
        <f>IF(OR(SalesData[[#This Row],[Day]]="Saturday",SalesData[[#This Row],[Day]]="Sunday"),"Weekend","Weekday")</f>
        <v>Weekday</v>
      </c>
      <c r="AF1999" s="5">
        <f>IF(SalesData[[#This Row],[Contracts Offered]]=0,0,SalesData[[#This Row],[Contracts Signed]]/SalesData[[#This Row],[Contracts Offered]])</f>
        <v>0.36666666666666664</v>
      </c>
      <c r="AG1999" s="5">
        <f>IF(SalesData[[#This Row],[Customers Visited]]=0,0,SalesData[[#This Row],[Test Drives]]/SalesData[[#This Row],[Customers Visited]])</f>
        <v>0.47058823529411764</v>
      </c>
      <c r="AH1999" s="5">
        <f>IF(SalesData[[#This Row],[Customers Visited]]=0,0,SalesData[[#This Row],[Contracts Signed]]/SalesData[[#This Row],[Customers Visited]])</f>
        <v>0.11418685121107267</v>
      </c>
      <c r="AI1999" s="6">
        <f>IF(SalesData[[#This Row],[Contracts Signed]]=0,0,SalesData[[#This Row],[Profit(€)]]/SalesData[[#This Row],[Contracts Signed]])</f>
        <v>15077</v>
      </c>
      <c r="AJ1999" s="5" t="str">
        <f>TRIM(CLEAN(SalesData[[#This Row],[Retailer]]))</f>
        <v>Ruhr Auto Plaza</v>
      </c>
    </row>
    <row r="2000" spans="1:36" ht="14.25" x14ac:dyDescent="0.2">
      <c r="A2000" t="s">
        <v>2992</v>
      </c>
      <c r="B2000" s="1">
        <v>46055</v>
      </c>
      <c r="C2000" t="s">
        <v>24</v>
      </c>
      <c r="D2000" t="s">
        <v>25</v>
      </c>
      <c r="E2000" t="s">
        <v>26</v>
      </c>
      <c r="F2000" t="s">
        <v>101</v>
      </c>
      <c r="G2000" t="s">
        <v>102</v>
      </c>
      <c r="H2000" t="s">
        <v>103</v>
      </c>
      <c r="I2000" t="s">
        <v>30</v>
      </c>
      <c r="J2000" t="s">
        <v>31</v>
      </c>
      <c r="K2000" t="s">
        <v>32</v>
      </c>
      <c r="L2000" t="s">
        <v>46</v>
      </c>
      <c r="M2000" t="s">
        <v>47</v>
      </c>
      <c r="N2000" t="s">
        <v>48</v>
      </c>
      <c r="O2000" t="s">
        <v>70</v>
      </c>
      <c r="P2000" t="s">
        <v>37</v>
      </c>
      <c r="Q2000" t="s">
        <v>50</v>
      </c>
      <c r="R2000">
        <v>251</v>
      </c>
      <c r="S2000">
        <v>128</v>
      </c>
      <c r="T2000">
        <v>95</v>
      </c>
      <c r="U2000">
        <v>32</v>
      </c>
      <c r="V2000" t="s">
        <v>6403</v>
      </c>
      <c r="W2000">
        <v>64961</v>
      </c>
      <c r="X2000" t="s">
        <v>7103</v>
      </c>
      <c r="Y2000">
        <v>48132</v>
      </c>
      <c r="Z2000">
        <v>2078752</v>
      </c>
      <c r="AA2000">
        <v>538528</v>
      </c>
      <c r="AB2000" t="str">
        <f>(VLOOKUP(SalesData[[#This Row],[Month Number]],Reference!C$5:E$16,2,FALSE))</f>
        <v>Feb</v>
      </c>
      <c r="AC2000">
        <f>MONTH(SalesData[[#This Row],[Date]])</f>
        <v>2</v>
      </c>
      <c r="AD2000">
        <f>Reference!F$4</f>
        <v>2026</v>
      </c>
      <c r="AE2000" t="str">
        <f>IF(OR(SalesData[[#This Row],[Day]]="Saturday",SalesData[[#This Row],[Day]]="Sunday"),"Weekend","Weekday")</f>
        <v>Weekday</v>
      </c>
      <c r="AF2000" s="5">
        <f>IF(SalesData[[#This Row],[Contracts Offered]]=0,0,SalesData[[#This Row],[Contracts Signed]]/SalesData[[#This Row],[Contracts Offered]])</f>
        <v>0.33684210526315789</v>
      </c>
      <c r="AG2000" s="5">
        <f>IF(SalesData[[#This Row],[Customers Visited]]=0,0,SalesData[[#This Row],[Test Drives]]/SalesData[[#This Row],[Customers Visited]])</f>
        <v>0.50996015936254979</v>
      </c>
      <c r="AH2000" s="5">
        <f>IF(SalesData[[#This Row],[Customers Visited]]=0,0,SalesData[[#This Row],[Contracts Signed]]/SalesData[[#This Row],[Customers Visited]])</f>
        <v>0.12749003984063745</v>
      </c>
      <c r="AI2000" s="6">
        <f>IF(SalesData[[#This Row],[Contracts Signed]]=0,0,SalesData[[#This Row],[Profit(€)]]/SalesData[[#This Row],[Contracts Signed]])</f>
        <v>16829</v>
      </c>
      <c r="AJ2000" s="5" t="str">
        <f>TRIM(CLEAN(SalesData[[#This Row],[Retailer]]))</f>
        <v>Ruhr Auto Plaza</v>
      </c>
    </row>
    <row r="2001" spans="1:36" ht="14.25" x14ac:dyDescent="0.2">
      <c r="A2001" t="s">
        <v>2993</v>
      </c>
      <c r="B2001" s="1">
        <v>46071</v>
      </c>
      <c r="C2001" t="s">
        <v>62</v>
      </c>
      <c r="D2001" t="s">
        <v>82</v>
      </c>
      <c r="E2001" t="s">
        <v>26</v>
      </c>
      <c r="F2001" t="s">
        <v>83</v>
      </c>
      <c r="G2001" t="s">
        <v>84</v>
      </c>
      <c r="H2001" t="s">
        <v>85</v>
      </c>
      <c r="I2001" t="s">
        <v>30</v>
      </c>
      <c r="J2001" t="s">
        <v>166</v>
      </c>
      <c r="K2001" t="s">
        <v>32</v>
      </c>
      <c r="L2001" t="s">
        <v>46</v>
      </c>
      <c r="M2001" t="s">
        <v>68</v>
      </c>
      <c r="N2001" t="s">
        <v>48</v>
      </c>
      <c r="O2001" t="s">
        <v>70</v>
      </c>
      <c r="P2001" t="s">
        <v>58</v>
      </c>
      <c r="Q2001" t="s">
        <v>144</v>
      </c>
      <c r="R2001">
        <v>209</v>
      </c>
      <c r="S2001">
        <v>117</v>
      </c>
      <c r="T2001">
        <v>88</v>
      </c>
      <c r="U2001">
        <v>34</v>
      </c>
      <c r="V2001" t="s">
        <v>6580</v>
      </c>
      <c r="W2001">
        <v>61662</v>
      </c>
      <c r="X2001" t="s">
        <v>7450</v>
      </c>
      <c r="Y2001">
        <v>44162</v>
      </c>
      <c r="Z2001">
        <v>2096508</v>
      </c>
      <c r="AA2001">
        <v>595000</v>
      </c>
      <c r="AB2001" t="str">
        <f>(VLOOKUP(SalesData[[#This Row],[Month Number]],Reference!C$5:E$16,2,FALSE))</f>
        <v>Feb</v>
      </c>
      <c r="AC2001">
        <f>MONTH(SalesData[[#This Row],[Date]])</f>
        <v>2</v>
      </c>
      <c r="AD2001">
        <f>Reference!F$4</f>
        <v>2026</v>
      </c>
      <c r="AE2001" t="str">
        <f>IF(OR(SalesData[[#This Row],[Day]]="Saturday",SalesData[[#This Row],[Day]]="Sunday"),"Weekend","Weekday")</f>
        <v>Weekday</v>
      </c>
      <c r="AF2001" s="5">
        <f>IF(SalesData[[#This Row],[Contracts Offered]]=0,0,SalesData[[#This Row],[Contracts Signed]]/SalesData[[#This Row],[Contracts Offered]])</f>
        <v>0.38636363636363635</v>
      </c>
      <c r="AG2001" s="5">
        <f>IF(SalesData[[#This Row],[Customers Visited]]=0,0,SalesData[[#This Row],[Test Drives]]/SalesData[[#This Row],[Customers Visited]])</f>
        <v>0.55980861244019142</v>
      </c>
      <c r="AH2001" s="5">
        <f>IF(SalesData[[#This Row],[Customers Visited]]=0,0,SalesData[[#This Row],[Contracts Signed]]/SalesData[[#This Row],[Customers Visited]])</f>
        <v>0.16267942583732056</v>
      </c>
      <c r="AI2001" s="6">
        <f>IF(SalesData[[#This Row],[Contracts Signed]]=0,0,SalesData[[#This Row],[Profit(€)]]/SalesData[[#This Row],[Contracts Signed]])</f>
        <v>17500</v>
      </c>
      <c r="AJ2001" s="5" t="str">
        <f>TRIM(CLEAN(SalesData[[#This Row],[Retailer]]))</f>
        <v>Hannover Cars</v>
      </c>
    </row>
    <row r="2002" spans="1:36" ht="14.25" hidden="1" x14ac:dyDescent="0.2">
      <c r="A2002" t="s">
        <v>2995</v>
      </c>
      <c r="B2002" s="1">
        <v>46070</v>
      </c>
      <c r="C2002" t="s">
        <v>62</v>
      </c>
      <c r="D2002" t="s">
        <v>63</v>
      </c>
      <c r="E2002" t="s">
        <v>26</v>
      </c>
      <c r="F2002" t="s">
        <v>127</v>
      </c>
      <c r="G2002" t="s">
        <v>128</v>
      </c>
      <c r="H2002" t="s">
        <v>103</v>
      </c>
      <c r="I2002" t="s">
        <v>64</v>
      </c>
      <c r="J2002" t="s">
        <v>157</v>
      </c>
      <c r="K2002" t="s">
        <v>91</v>
      </c>
      <c r="L2002" t="s">
        <v>33</v>
      </c>
      <c r="M2002" t="s">
        <v>68</v>
      </c>
      <c r="N2002" t="s">
        <v>35</v>
      </c>
      <c r="O2002" t="s">
        <v>36</v>
      </c>
      <c r="P2002" t="s">
        <v>49</v>
      </c>
      <c r="Q2002" t="s">
        <v>59</v>
      </c>
      <c r="R2002">
        <v>254</v>
      </c>
      <c r="S2002">
        <v>139</v>
      </c>
      <c r="T2002">
        <v>107</v>
      </c>
      <c r="U2002">
        <v>31</v>
      </c>
      <c r="V2002" t="s">
        <v>6455</v>
      </c>
      <c r="W2002">
        <v>56210</v>
      </c>
      <c r="X2002" t="s">
        <v>7302</v>
      </c>
      <c r="Y2002">
        <v>41724</v>
      </c>
      <c r="Z2002">
        <v>1742510</v>
      </c>
      <c r="AA2002">
        <v>449066</v>
      </c>
      <c r="AB2002" t="str">
        <f>(VLOOKUP(SalesData[[#This Row],[Month Number]],Reference!C$5:E$16,2,FALSE))</f>
        <v>Feb</v>
      </c>
      <c r="AC2002">
        <f>MONTH(SalesData[[#This Row],[Date]])</f>
        <v>2</v>
      </c>
      <c r="AD2002">
        <f>Reference!F$4</f>
        <v>2026</v>
      </c>
      <c r="AE2002" t="str">
        <f>IF(OR(SalesData[[#This Row],[Day]]="Saturday",SalesData[[#This Row],[Day]]="Sunday"),"Weekend","Weekday")</f>
        <v>Weekday</v>
      </c>
      <c r="AF2002" s="5">
        <f>IF(SalesData[[#This Row],[Contracts Offered]]=0,0,SalesData[[#This Row],[Contracts Signed]]/SalesData[[#This Row],[Contracts Offered]])</f>
        <v>0.28971962616822428</v>
      </c>
      <c r="AG2002" s="5">
        <f>IF(SalesData[[#This Row],[Customers Visited]]=0,0,SalesData[[#This Row],[Test Drives]]/SalesData[[#This Row],[Customers Visited]])</f>
        <v>0.547244094488189</v>
      </c>
      <c r="AH2002" s="5">
        <f>IF(SalesData[[#This Row],[Customers Visited]]=0,0,SalesData[[#This Row],[Contracts Signed]]/SalesData[[#This Row],[Customers Visited]])</f>
        <v>0.12204724409448819</v>
      </c>
      <c r="AI2002" s="6">
        <f>IF(SalesData[[#This Row],[Contracts Signed]]=0,0,SalesData[[#This Row],[Profit(€)]]/SalesData[[#This Row],[Contracts Signed]])</f>
        <v>14486</v>
      </c>
      <c r="AJ2002" s="5" t="str">
        <f>TRIM(CLEAN(SalesData[[#This Row],[Retailer]]))</f>
        <v>Rhein Auto Group</v>
      </c>
    </row>
    <row r="2003" spans="1:36" ht="14.25" x14ac:dyDescent="0.2">
      <c r="A2003" t="s">
        <v>2996</v>
      </c>
      <c r="B2003" s="1">
        <v>46059</v>
      </c>
      <c r="C2003" t="s">
        <v>24</v>
      </c>
      <c r="D2003" t="s">
        <v>54</v>
      </c>
      <c r="E2003" t="s">
        <v>26</v>
      </c>
      <c r="F2003" t="s">
        <v>7649</v>
      </c>
      <c r="G2003" t="s">
        <v>55</v>
      </c>
      <c r="H2003" t="s">
        <v>55</v>
      </c>
      <c r="I2003" t="s">
        <v>30</v>
      </c>
      <c r="J2003" t="s">
        <v>7075</v>
      </c>
      <c r="K2003" t="s">
        <v>32</v>
      </c>
      <c r="L2003" t="s">
        <v>33</v>
      </c>
      <c r="M2003" t="s">
        <v>34</v>
      </c>
      <c r="N2003" t="s">
        <v>35</v>
      </c>
      <c r="O2003" t="s">
        <v>70</v>
      </c>
      <c r="P2003" t="s">
        <v>58</v>
      </c>
      <c r="Q2003" t="s">
        <v>152</v>
      </c>
      <c r="R2003">
        <v>173</v>
      </c>
      <c r="S2003">
        <v>101</v>
      </c>
      <c r="T2003">
        <v>70</v>
      </c>
      <c r="U2003">
        <v>30</v>
      </c>
      <c r="V2003" t="s">
        <v>7500</v>
      </c>
      <c r="W2003">
        <v>65562</v>
      </c>
      <c r="X2003" t="s">
        <v>92</v>
      </c>
      <c r="Y2003">
        <v>49342</v>
      </c>
      <c r="Z2003">
        <v>1966860</v>
      </c>
      <c r="AA2003">
        <v>486600</v>
      </c>
      <c r="AB2003" t="str">
        <f>(VLOOKUP(SalesData[[#This Row],[Month Number]],Reference!C$5:E$16,2,FALSE))</f>
        <v>Feb</v>
      </c>
      <c r="AC2003">
        <f>MONTH(SalesData[[#This Row],[Date]])</f>
        <v>2</v>
      </c>
      <c r="AD2003">
        <f>Reference!F$4</f>
        <v>2026</v>
      </c>
      <c r="AE2003" t="str">
        <f>IF(OR(SalesData[[#This Row],[Day]]="Saturday",SalesData[[#This Row],[Day]]="Sunday"),"Weekend","Weekday")</f>
        <v>Weekday</v>
      </c>
      <c r="AF2003" s="5">
        <f>IF(SalesData[[#This Row],[Contracts Offered]]=0,0,SalesData[[#This Row],[Contracts Signed]]/SalesData[[#This Row],[Contracts Offered]])</f>
        <v>0.42857142857142855</v>
      </c>
      <c r="AG2003" s="5">
        <f>IF(SalesData[[#This Row],[Customers Visited]]=0,0,SalesData[[#This Row],[Test Drives]]/SalesData[[#This Row],[Customers Visited]])</f>
        <v>0.58381502890173409</v>
      </c>
      <c r="AH2003" s="5">
        <f>IF(SalesData[[#This Row],[Customers Visited]]=0,0,SalesData[[#This Row],[Contracts Signed]]/SalesData[[#This Row],[Customers Visited]])</f>
        <v>0.17341040462427745</v>
      </c>
      <c r="AI2003" s="6">
        <f>IF(SalesData[[#This Row],[Contracts Signed]]=0,0,SalesData[[#This Row],[Profit(€)]]/SalesData[[#This Row],[Contracts Signed]])</f>
        <v>16220</v>
      </c>
      <c r="AJ2003" s="5" t="str">
        <f>TRIM(CLEAN(SalesData[[#This Row],[Retailer]]))</f>
        <v>Autohaus Berlin</v>
      </c>
    </row>
    <row r="2004" spans="1:36" ht="14.25" hidden="1" x14ac:dyDescent="0.2">
      <c r="A2004" t="s">
        <v>2998</v>
      </c>
      <c r="B2004" s="1">
        <v>46076</v>
      </c>
      <c r="C2004" t="s">
        <v>53</v>
      </c>
      <c r="D2004" t="s">
        <v>25</v>
      </c>
      <c r="E2004" t="s">
        <v>26</v>
      </c>
      <c r="F2004" t="s">
        <v>127</v>
      </c>
      <c r="G2004" t="s">
        <v>128</v>
      </c>
      <c r="H2004" t="s">
        <v>103</v>
      </c>
      <c r="I2004" t="s">
        <v>116</v>
      </c>
      <c r="J2004" t="s">
        <v>203</v>
      </c>
      <c r="K2004" t="s">
        <v>91</v>
      </c>
      <c r="L2004" t="s">
        <v>67</v>
      </c>
      <c r="M2004" t="s">
        <v>87</v>
      </c>
      <c r="N2004" t="s">
        <v>35</v>
      </c>
      <c r="O2004" t="s">
        <v>36</v>
      </c>
      <c r="P2004" t="s">
        <v>37</v>
      </c>
      <c r="Q2004" t="s">
        <v>152</v>
      </c>
      <c r="R2004">
        <v>318</v>
      </c>
      <c r="S2004">
        <v>152</v>
      </c>
      <c r="T2004">
        <v>94</v>
      </c>
      <c r="U2004">
        <v>28</v>
      </c>
      <c r="V2004" t="s">
        <v>247</v>
      </c>
      <c r="W2004">
        <v>26492</v>
      </c>
      <c r="X2004" t="s">
        <v>1743</v>
      </c>
      <c r="Y2004">
        <v>23837</v>
      </c>
      <c r="Z2004">
        <v>741776</v>
      </c>
      <c r="AA2004">
        <v>74340</v>
      </c>
      <c r="AB2004" t="str">
        <f>(VLOOKUP(SalesData[[#This Row],[Month Number]],Reference!C$5:E$16,2,FALSE))</f>
        <v>Feb</v>
      </c>
      <c r="AC2004">
        <f>MONTH(SalesData[[#This Row],[Date]])</f>
        <v>2</v>
      </c>
      <c r="AD2004">
        <f>Reference!F$4</f>
        <v>2026</v>
      </c>
      <c r="AE2004" t="str">
        <f>IF(OR(SalesData[[#This Row],[Day]]="Saturday",SalesData[[#This Row],[Day]]="Sunday"),"Weekend","Weekday")</f>
        <v>Weekday</v>
      </c>
      <c r="AF2004" s="5">
        <f>IF(SalesData[[#This Row],[Contracts Offered]]=0,0,SalesData[[#This Row],[Contracts Signed]]/SalesData[[#This Row],[Contracts Offered]])</f>
        <v>0.2978723404255319</v>
      </c>
      <c r="AG2004" s="5">
        <f>IF(SalesData[[#This Row],[Customers Visited]]=0,0,SalesData[[#This Row],[Test Drives]]/SalesData[[#This Row],[Customers Visited]])</f>
        <v>0.4779874213836478</v>
      </c>
      <c r="AH2004" s="5">
        <f>IF(SalesData[[#This Row],[Customers Visited]]=0,0,SalesData[[#This Row],[Contracts Signed]]/SalesData[[#This Row],[Customers Visited]])</f>
        <v>8.8050314465408799E-2</v>
      </c>
      <c r="AI2004" s="6">
        <f>IF(SalesData[[#This Row],[Contracts Signed]]=0,0,SalesData[[#This Row],[Profit(€)]]/SalesData[[#This Row],[Contracts Signed]])</f>
        <v>2655</v>
      </c>
      <c r="AJ2004" s="5" t="str">
        <f>TRIM(CLEAN(SalesData[[#This Row],[Retailer]]))</f>
        <v>Rhein Auto Group</v>
      </c>
    </row>
    <row r="2005" spans="1:36" ht="14.25" hidden="1" x14ac:dyDescent="0.2">
      <c r="A2005" t="s">
        <v>2999</v>
      </c>
      <c r="B2005" s="1">
        <v>46071</v>
      </c>
      <c r="C2005" t="s">
        <v>62</v>
      </c>
      <c r="D2005" t="s">
        <v>82</v>
      </c>
      <c r="E2005" t="s">
        <v>26</v>
      </c>
      <c r="F2005" t="s">
        <v>109</v>
      </c>
      <c r="G2005" t="s">
        <v>110</v>
      </c>
      <c r="H2005" t="s">
        <v>45</v>
      </c>
      <c r="I2005" t="s">
        <v>116</v>
      </c>
      <c r="J2005" t="s">
        <v>132</v>
      </c>
      <c r="K2005" t="s">
        <v>91</v>
      </c>
      <c r="L2005" t="s">
        <v>46</v>
      </c>
      <c r="M2005" t="s">
        <v>87</v>
      </c>
      <c r="N2005" t="s">
        <v>69</v>
      </c>
      <c r="O2005" t="s">
        <v>36</v>
      </c>
      <c r="P2005" t="s">
        <v>58</v>
      </c>
      <c r="Q2005" t="s">
        <v>169</v>
      </c>
      <c r="R2005">
        <v>421</v>
      </c>
      <c r="S2005">
        <v>161</v>
      </c>
      <c r="T2005">
        <v>106</v>
      </c>
      <c r="U2005">
        <v>32</v>
      </c>
      <c r="V2005" t="s">
        <v>1865</v>
      </c>
      <c r="W2005">
        <v>27004</v>
      </c>
      <c r="X2005" t="s">
        <v>563</v>
      </c>
      <c r="Y2005">
        <v>24448</v>
      </c>
      <c r="Z2005">
        <v>864128</v>
      </c>
      <c r="AA2005">
        <v>81792</v>
      </c>
      <c r="AB2005" t="str">
        <f>(VLOOKUP(SalesData[[#This Row],[Month Number]],Reference!C$5:E$16,2,FALSE))</f>
        <v>Feb</v>
      </c>
      <c r="AC2005">
        <f>MONTH(SalesData[[#This Row],[Date]])</f>
        <v>2</v>
      </c>
      <c r="AD2005">
        <f>Reference!F$4</f>
        <v>2026</v>
      </c>
      <c r="AE2005" t="str">
        <f>IF(OR(SalesData[[#This Row],[Day]]="Saturday",SalesData[[#This Row],[Day]]="Sunday"),"Weekend","Weekday")</f>
        <v>Weekday</v>
      </c>
      <c r="AF2005" s="5">
        <f>IF(SalesData[[#This Row],[Contracts Offered]]=0,0,SalesData[[#This Row],[Contracts Signed]]/SalesData[[#This Row],[Contracts Offered]])</f>
        <v>0.30188679245283018</v>
      </c>
      <c r="AG2005" s="5">
        <f>IF(SalesData[[#This Row],[Customers Visited]]=0,0,SalesData[[#This Row],[Test Drives]]/SalesData[[#This Row],[Customers Visited]])</f>
        <v>0.38242280285035629</v>
      </c>
      <c r="AH2005" s="5">
        <f>IF(SalesData[[#This Row],[Customers Visited]]=0,0,SalesData[[#This Row],[Contracts Signed]]/SalesData[[#This Row],[Customers Visited]])</f>
        <v>7.6009501187648459E-2</v>
      </c>
      <c r="AI2005" s="6">
        <f>IF(SalesData[[#This Row],[Contracts Signed]]=0,0,SalesData[[#This Row],[Profit(€)]]/SalesData[[#This Row],[Contracts Signed]])</f>
        <v>2556</v>
      </c>
      <c r="AJ2005" s="5" t="str">
        <f>TRIM(CLEAN(SalesData[[#This Row],[Retailer]]))</f>
        <v>Leipzig Mobility</v>
      </c>
    </row>
    <row r="2006" spans="1:36" ht="14.25" hidden="1" x14ac:dyDescent="0.2">
      <c r="A2006" t="s">
        <v>3000</v>
      </c>
      <c r="B2006" s="1">
        <v>46070</v>
      </c>
      <c r="C2006" t="s">
        <v>62</v>
      </c>
      <c r="D2006" t="s">
        <v>63</v>
      </c>
      <c r="E2006" t="s">
        <v>26</v>
      </c>
      <c r="F2006" t="s">
        <v>109</v>
      </c>
      <c r="G2006" t="s">
        <v>110</v>
      </c>
      <c r="H2006" t="s">
        <v>45</v>
      </c>
      <c r="I2006" t="s">
        <v>64</v>
      </c>
      <c r="J2006" t="s">
        <v>7029</v>
      </c>
      <c r="K2006" t="s">
        <v>32</v>
      </c>
      <c r="L2006" t="s">
        <v>33</v>
      </c>
      <c r="M2006" t="s">
        <v>47</v>
      </c>
      <c r="N2006" t="s">
        <v>69</v>
      </c>
      <c r="O2006" t="s">
        <v>36</v>
      </c>
      <c r="P2006" t="s">
        <v>71</v>
      </c>
      <c r="Q2006" t="s">
        <v>106</v>
      </c>
      <c r="R2006">
        <v>259</v>
      </c>
      <c r="S2006">
        <v>125</v>
      </c>
      <c r="T2006">
        <v>83</v>
      </c>
      <c r="U2006">
        <v>30</v>
      </c>
      <c r="V2006" t="s">
        <v>6629</v>
      </c>
      <c r="W2006">
        <v>56917</v>
      </c>
      <c r="X2006" t="s">
        <v>7087</v>
      </c>
      <c r="Y2006">
        <v>43038</v>
      </c>
      <c r="Z2006">
        <v>1707510</v>
      </c>
      <c r="AA2006">
        <v>416370</v>
      </c>
      <c r="AB2006" t="str">
        <f>(VLOOKUP(SalesData[[#This Row],[Month Number]],Reference!C$5:E$16,2,FALSE))</f>
        <v>Feb</v>
      </c>
      <c r="AC2006">
        <f>MONTH(SalesData[[#This Row],[Date]])</f>
        <v>2</v>
      </c>
      <c r="AD2006">
        <f>Reference!F$4</f>
        <v>2026</v>
      </c>
      <c r="AE2006" t="str">
        <f>IF(OR(SalesData[[#This Row],[Day]]="Saturday",SalesData[[#This Row],[Day]]="Sunday"),"Weekend","Weekday")</f>
        <v>Weekday</v>
      </c>
      <c r="AF2006" s="5">
        <f>IF(SalesData[[#This Row],[Contracts Offered]]=0,0,SalesData[[#This Row],[Contracts Signed]]/SalesData[[#This Row],[Contracts Offered]])</f>
        <v>0.36144578313253012</v>
      </c>
      <c r="AG2006" s="5">
        <f>IF(SalesData[[#This Row],[Customers Visited]]=0,0,SalesData[[#This Row],[Test Drives]]/SalesData[[#This Row],[Customers Visited]])</f>
        <v>0.4826254826254826</v>
      </c>
      <c r="AH2006" s="5">
        <f>IF(SalesData[[#This Row],[Customers Visited]]=0,0,SalesData[[#This Row],[Contracts Signed]]/SalesData[[#This Row],[Customers Visited]])</f>
        <v>0.11583011583011583</v>
      </c>
      <c r="AI2006" s="6">
        <f>IF(SalesData[[#This Row],[Contracts Signed]]=0,0,SalesData[[#This Row],[Profit(€)]]/SalesData[[#This Row],[Contracts Signed]])</f>
        <v>13879</v>
      </c>
      <c r="AJ2006" s="5" t="str">
        <f>TRIM(CLEAN(SalesData[[#This Row],[Retailer]]))</f>
        <v>Leipzig Mobility</v>
      </c>
    </row>
    <row r="2007" spans="1:36" ht="14.25" hidden="1" x14ac:dyDescent="0.2">
      <c r="A2007" t="s">
        <v>3001</v>
      </c>
      <c r="B2007" s="1">
        <v>46060</v>
      </c>
      <c r="C2007" t="s">
        <v>24</v>
      </c>
      <c r="D2007" t="s">
        <v>151</v>
      </c>
      <c r="E2007" t="s">
        <v>42</v>
      </c>
      <c r="F2007" t="s">
        <v>114</v>
      </c>
      <c r="G2007" t="s">
        <v>115</v>
      </c>
      <c r="H2007" t="s">
        <v>115</v>
      </c>
      <c r="I2007" t="s">
        <v>64</v>
      </c>
      <c r="J2007" t="s">
        <v>65</v>
      </c>
      <c r="K2007" t="s">
        <v>66</v>
      </c>
      <c r="L2007" t="s">
        <v>33</v>
      </c>
      <c r="M2007" t="s">
        <v>34</v>
      </c>
      <c r="N2007" t="s">
        <v>35</v>
      </c>
      <c r="O2007" t="s">
        <v>70</v>
      </c>
      <c r="P2007" t="s">
        <v>37</v>
      </c>
      <c r="Q2007" t="s">
        <v>88</v>
      </c>
      <c r="R2007">
        <v>148</v>
      </c>
      <c r="S2007">
        <v>71</v>
      </c>
      <c r="T2007">
        <v>54</v>
      </c>
      <c r="U2007">
        <v>18</v>
      </c>
      <c r="V2007" t="s">
        <v>6368</v>
      </c>
      <c r="W2007">
        <v>58408</v>
      </c>
      <c r="X2007" t="s">
        <v>7353</v>
      </c>
      <c r="Y2007">
        <v>43889</v>
      </c>
      <c r="Z2007">
        <v>1051344</v>
      </c>
      <c r="AA2007">
        <v>261342</v>
      </c>
      <c r="AB2007" t="str">
        <f>(VLOOKUP(SalesData[[#This Row],[Month Number]],Reference!C$5:E$16,2,FALSE))</f>
        <v>Feb</v>
      </c>
      <c r="AC2007">
        <f>MONTH(SalesData[[#This Row],[Date]])</f>
        <v>2</v>
      </c>
      <c r="AD2007">
        <f>Reference!F$4</f>
        <v>2026</v>
      </c>
      <c r="AE2007" t="str">
        <f>IF(OR(SalesData[[#This Row],[Day]]="Saturday",SalesData[[#This Row],[Day]]="Sunday"),"Weekend","Weekday")</f>
        <v>Weekend</v>
      </c>
      <c r="AF2007" s="5">
        <f>IF(SalesData[[#This Row],[Contracts Offered]]=0,0,SalesData[[#This Row],[Contracts Signed]]/SalesData[[#This Row],[Contracts Offered]])</f>
        <v>0.33333333333333331</v>
      </c>
      <c r="AG2007" s="5">
        <f>IF(SalesData[[#This Row],[Customers Visited]]=0,0,SalesData[[#This Row],[Test Drives]]/SalesData[[#This Row],[Customers Visited]])</f>
        <v>0.47972972972972971</v>
      </c>
      <c r="AH2007" s="5">
        <f>IF(SalesData[[#This Row],[Customers Visited]]=0,0,SalesData[[#This Row],[Contracts Signed]]/SalesData[[#This Row],[Customers Visited]])</f>
        <v>0.12162162162162163</v>
      </c>
      <c r="AI2007" s="6">
        <f>IF(SalesData[[#This Row],[Contracts Signed]]=0,0,SalesData[[#This Row],[Profit(€)]]/SalesData[[#This Row],[Contracts Signed]])</f>
        <v>14519</v>
      </c>
      <c r="AJ2007" s="5" t="str">
        <f>TRIM(CLEAN(SalesData[[#This Row],[Retailer]]))</f>
        <v>Elbe Drive</v>
      </c>
    </row>
    <row r="2008" spans="1:36" ht="14.25" hidden="1" x14ac:dyDescent="0.2">
      <c r="A2008" t="s">
        <v>3002</v>
      </c>
      <c r="B2008" s="1">
        <v>46054</v>
      </c>
      <c r="C2008" t="s">
        <v>24</v>
      </c>
      <c r="D2008" t="s">
        <v>41</v>
      </c>
      <c r="E2008" t="s">
        <v>42</v>
      </c>
      <c r="F2008" t="s">
        <v>43</v>
      </c>
      <c r="G2008" t="s">
        <v>44</v>
      </c>
      <c r="H2008" t="s">
        <v>45</v>
      </c>
      <c r="I2008" t="s">
        <v>116</v>
      </c>
      <c r="J2008" t="s">
        <v>203</v>
      </c>
      <c r="K2008" t="s">
        <v>91</v>
      </c>
      <c r="L2008" t="s">
        <v>67</v>
      </c>
      <c r="M2008" t="s">
        <v>34</v>
      </c>
      <c r="N2008" t="s">
        <v>69</v>
      </c>
      <c r="O2008" t="s">
        <v>36</v>
      </c>
      <c r="P2008" t="s">
        <v>37</v>
      </c>
      <c r="Q2008" t="s">
        <v>135</v>
      </c>
      <c r="R2008">
        <v>319</v>
      </c>
      <c r="S2008">
        <v>135</v>
      </c>
      <c r="T2008">
        <v>79</v>
      </c>
      <c r="U2008">
        <v>22</v>
      </c>
      <c r="V2008" t="s">
        <v>2305</v>
      </c>
      <c r="W2008">
        <v>26368</v>
      </c>
      <c r="X2008" t="s">
        <v>2211</v>
      </c>
      <c r="Y2008">
        <v>24061</v>
      </c>
      <c r="Z2008">
        <v>580096</v>
      </c>
      <c r="AA2008">
        <v>50754</v>
      </c>
      <c r="AB2008" t="str">
        <f>(VLOOKUP(SalesData[[#This Row],[Month Number]],Reference!C$5:E$16,2,FALSE))</f>
        <v>Feb</v>
      </c>
      <c r="AC2008">
        <f>MONTH(SalesData[[#This Row],[Date]])</f>
        <v>2</v>
      </c>
      <c r="AD2008">
        <f>Reference!F$4</f>
        <v>2026</v>
      </c>
      <c r="AE2008" t="str">
        <f>IF(OR(SalesData[[#This Row],[Day]]="Saturday",SalesData[[#This Row],[Day]]="Sunday"),"Weekend","Weekday")</f>
        <v>Weekend</v>
      </c>
      <c r="AF2008" s="5">
        <f>IF(SalesData[[#This Row],[Contracts Offered]]=0,0,SalesData[[#This Row],[Contracts Signed]]/SalesData[[#This Row],[Contracts Offered]])</f>
        <v>0.27848101265822783</v>
      </c>
      <c r="AG2008" s="5">
        <f>IF(SalesData[[#This Row],[Customers Visited]]=0,0,SalesData[[#This Row],[Test Drives]]/SalesData[[#This Row],[Customers Visited]])</f>
        <v>0.42319749216300939</v>
      </c>
      <c r="AH2008" s="5">
        <f>IF(SalesData[[#This Row],[Customers Visited]]=0,0,SalesData[[#This Row],[Contracts Signed]]/SalesData[[#This Row],[Customers Visited]])</f>
        <v>6.8965517241379309E-2</v>
      </c>
      <c r="AI2008" s="6">
        <f>IF(SalesData[[#This Row],[Contracts Signed]]=0,0,SalesData[[#This Row],[Profit(€)]]/SalesData[[#This Row],[Contracts Signed]])</f>
        <v>2307</v>
      </c>
      <c r="AJ2008" s="5" t="str">
        <f>TRIM(CLEAN(SalesData[[#This Row],[Retailer]]))</f>
        <v>Saxon Wheels</v>
      </c>
    </row>
    <row r="2009" spans="1:36" ht="14.25" hidden="1" x14ac:dyDescent="0.2">
      <c r="A2009" t="s">
        <v>3003</v>
      </c>
      <c r="B2009" s="1">
        <v>46078</v>
      </c>
      <c r="C2009" t="s">
        <v>53</v>
      </c>
      <c r="D2009" t="s">
        <v>82</v>
      </c>
      <c r="E2009" t="s">
        <v>26</v>
      </c>
      <c r="F2009" t="s">
        <v>114</v>
      </c>
      <c r="G2009" t="s">
        <v>115</v>
      </c>
      <c r="H2009" t="s">
        <v>115</v>
      </c>
      <c r="I2009" t="s">
        <v>64</v>
      </c>
      <c r="J2009" t="s">
        <v>65</v>
      </c>
      <c r="K2009" t="s">
        <v>32</v>
      </c>
      <c r="L2009" t="s">
        <v>33</v>
      </c>
      <c r="M2009" t="s">
        <v>68</v>
      </c>
      <c r="N2009" t="s">
        <v>35</v>
      </c>
      <c r="O2009" t="s">
        <v>70</v>
      </c>
      <c r="P2009" t="s">
        <v>49</v>
      </c>
      <c r="Q2009" t="s">
        <v>167</v>
      </c>
      <c r="R2009">
        <v>166</v>
      </c>
      <c r="S2009">
        <v>96</v>
      </c>
      <c r="T2009">
        <v>66</v>
      </c>
      <c r="U2009">
        <v>21</v>
      </c>
      <c r="V2009" t="s">
        <v>6542</v>
      </c>
      <c r="W2009">
        <v>67324</v>
      </c>
      <c r="X2009" t="s">
        <v>7262</v>
      </c>
      <c r="Y2009">
        <v>53050</v>
      </c>
      <c r="Z2009">
        <v>1413804</v>
      </c>
      <c r="AA2009">
        <v>299754</v>
      </c>
      <c r="AB2009" t="str">
        <f>(VLOOKUP(SalesData[[#This Row],[Month Number]],Reference!C$5:E$16,2,FALSE))</f>
        <v>Feb</v>
      </c>
      <c r="AC2009">
        <f>MONTH(SalesData[[#This Row],[Date]])</f>
        <v>2</v>
      </c>
      <c r="AD2009">
        <f>Reference!F$4</f>
        <v>2026</v>
      </c>
      <c r="AE2009" t="str">
        <f>IF(OR(SalesData[[#This Row],[Day]]="Saturday",SalesData[[#This Row],[Day]]="Sunday"),"Weekend","Weekday")</f>
        <v>Weekday</v>
      </c>
      <c r="AF2009" s="5">
        <f>IF(SalesData[[#This Row],[Contracts Offered]]=0,0,SalesData[[#This Row],[Contracts Signed]]/SalesData[[#This Row],[Contracts Offered]])</f>
        <v>0.31818181818181818</v>
      </c>
      <c r="AG2009" s="5">
        <f>IF(SalesData[[#This Row],[Customers Visited]]=0,0,SalesData[[#This Row],[Test Drives]]/SalesData[[#This Row],[Customers Visited]])</f>
        <v>0.57831325301204817</v>
      </c>
      <c r="AH2009" s="5">
        <f>IF(SalesData[[#This Row],[Customers Visited]]=0,0,SalesData[[#This Row],[Contracts Signed]]/SalesData[[#This Row],[Customers Visited]])</f>
        <v>0.12650602409638553</v>
      </c>
      <c r="AI2009" s="6">
        <f>IF(SalesData[[#This Row],[Contracts Signed]]=0,0,SalesData[[#This Row],[Profit(€)]]/SalesData[[#This Row],[Contracts Signed]])</f>
        <v>14274</v>
      </c>
      <c r="AJ2009" s="5" t="str">
        <f>TRIM(CLEAN(SalesData[[#This Row],[Retailer]]))</f>
        <v>Elbe Drive</v>
      </c>
    </row>
    <row r="2010" spans="1:36" ht="14.25" x14ac:dyDescent="0.2">
      <c r="A2010" t="s">
        <v>3004</v>
      </c>
      <c r="B2010" s="1">
        <v>46071</v>
      </c>
      <c r="C2010" t="s">
        <v>62</v>
      </c>
      <c r="D2010" t="s">
        <v>82</v>
      </c>
      <c r="E2010" t="s">
        <v>26</v>
      </c>
      <c r="F2010" t="s">
        <v>74</v>
      </c>
      <c r="G2010" t="s">
        <v>75</v>
      </c>
      <c r="H2010" t="s">
        <v>76</v>
      </c>
      <c r="I2010" t="s">
        <v>30</v>
      </c>
      <c r="J2010" t="s">
        <v>86</v>
      </c>
      <c r="K2010" t="s">
        <v>32</v>
      </c>
      <c r="L2010" t="s">
        <v>33</v>
      </c>
      <c r="M2010" t="s">
        <v>34</v>
      </c>
      <c r="N2010" t="s">
        <v>48</v>
      </c>
      <c r="O2010" t="s">
        <v>36</v>
      </c>
      <c r="P2010" t="s">
        <v>58</v>
      </c>
      <c r="Q2010" t="s">
        <v>135</v>
      </c>
      <c r="R2010">
        <v>267</v>
      </c>
      <c r="S2010">
        <v>150</v>
      </c>
      <c r="T2010">
        <v>117</v>
      </c>
      <c r="U2010">
        <v>48</v>
      </c>
      <c r="V2010" t="s">
        <v>7382</v>
      </c>
      <c r="W2010">
        <v>66371</v>
      </c>
      <c r="X2010" t="s">
        <v>92</v>
      </c>
      <c r="Y2010">
        <v>47081</v>
      </c>
      <c r="Z2010">
        <v>3185808</v>
      </c>
      <c r="AA2010">
        <v>925920</v>
      </c>
      <c r="AB2010" t="str">
        <f>(VLOOKUP(SalesData[[#This Row],[Month Number]],Reference!C$5:E$16,2,FALSE))</f>
        <v>Feb</v>
      </c>
      <c r="AC2010">
        <f>MONTH(SalesData[[#This Row],[Date]])</f>
        <v>2</v>
      </c>
      <c r="AD2010">
        <f>Reference!F$4</f>
        <v>2026</v>
      </c>
      <c r="AE2010" t="str">
        <f>IF(OR(SalesData[[#This Row],[Day]]="Saturday",SalesData[[#This Row],[Day]]="Sunday"),"Weekend","Weekday")</f>
        <v>Weekday</v>
      </c>
      <c r="AF2010" s="5">
        <f>IF(SalesData[[#This Row],[Contracts Offered]]=0,0,SalesData[[#This Row],[Contracts Signed]]/SalesData[[#This Row],[Contracts Offered]])</f>
        <v>0.41025641025641024</v>
      </c>
      <c r="AG2010" s="5">
        <f>IF(SalesData[[#This Row],[Customers Visited]]=0,0,SalesData[[#This Row],[Test Drives]]/SalesData[[#This Row],[Customers Visited]])</f>
        <v>0.5617977528089888</v>
      </c>
      <c r="AH2010" s="5">
        <f>IF(SalesData[[#This Row],[Customers Visited]]=0,0,SalesData[[#This Row],[Contracts Signed]]/SalesData[[#This Row],[Customers Visited]])</f>
        <v>0.1797752808988764</v>
      </c>
      <c r="AI2010" s="6">
        <f>IF(SalesData[[#This Row],[Contracts Signed]]=0,0,SalesData[[#This Row],[Profit(€)]]/SalesData[[#This Row],[Contracts Signed]])</f>
        <v>19290</v>
      </c>
      <c r="AJ2010" s="5" t="str">
        <f>TRIM(CLEAN(SalesData[[#This Row],[Retailer]]))</f>
        <v>Stuttgart Auto Center</v>
      </c>
    </row>
    <row r="2011" spans="1:36" ht="14.25" hidden="1" x14ac:dyDescent="0.2">
      <c r="A2011" t="s">
        <v>3006</v>
      </c>
      <c r="B2011" s="1">
        <v>46064</v>
      </c>
      <c r="C2011" t="s">
        <v>121</v>
      </c>
      <c r="D2011" t="s">
        <v>82</v>
      </c>
      <c r="E2011" t="s">
        <v>26</v>
      </c>
      <c r="F2011" t="s">
        <v>101</v>
      </c>
      <c r="G2011" t="s">
        <v>102</v>
      </c>
      <c r="H2011" t="s">
        <v>103</v>
      </c>
      <c r="I2011" t="s">
        <v>64</v>
      </c>
      <c r="J2011" t="s">
        <v>111</v>
      </c>
      <c r="K2011" t="s">
        <v>32</v>
      </c>
      <c r="L2011" t="s">
        <v>46</v>
      </c>
      <c r="M2011" t="s">
        <v>68</v>
      </c>
      <c r="N2011" t="s">
        <v>35</v>
      </c>
      <c r="O2011" t="s">
        <v>70</v>
      </c>
      <c r="P2011" t="s">
        <v>58</v>
      </c>
      <c r="Q2011" t="s">
        <v>347</v>
      </c>
      <c r="R2011">
        <v>182</v>
      </c>
      <c r="S2011">
        <v>94</v>
      </c>
      <c r="T2011">
        <v>64</v>
      </c>
      <c r="U2011">
        <v>22</v>
      </c>
      <c r="V2011" t="s">
        <v>6801</v>
      </c>
      <c r="W2011">
        <v>51232</v>
      </c>
      <c r="X2011" t="s">
        <v>3526</v>
      </c>
      <c r="Y2011">
        <v>38389</v>
      </c>
      <c r="Z2011">
        <v>1127104</v>
      </c>
      <c r="AA2011">
        <v>282546</v>
      </c>
      <c r="AB2011" t="str">
        <f>(VLOOKUP(SalesData[[#This Row],[Month Number]],Reference!C$5:E$16,2,FALSE))</f>
        <v>Feb</v>
      </c>
      <c r="AC2011">
        <f>MONTH(SalesData[[#This Row],[Date]])</f>
        <v>2</v>
      </c>
      <c r="AD2011">
        <f>Reference!F$4</f>
        <v>2026</v>
      </c>
      <c r="AE2011" t="str">
        <f>IF(OR(SalesData[[#This Row],[Day]]="Saturday",SalesData[[#This Row],[Day]]="Sunday"),"Weekend","Weekday")</f>
        <v>Weekday</v>
      </c>
      <c r="AF2011" s="5">
        <f>IF(SalesData[[#This Row],[Contracts Offered]]=0,0,SalesData[[#This Row],[Contracts Signed]]/SalesData[[#This Row],[Contracts Offered]])</f>
        <v>0.34375</v>
      </c>
      <c r="AG2011" s="5">
        <f>IF(SalesData[[#This Row],[Customers Visited]]=0,0,SalesData[[#This Row],[Test Drives]]/SalesData[[#This Row],[Customers Visited]])</f>
        <v>0.51648351648351654</v>
      </c>
      <c r="AH2011" s="5">
        <f>IF(SalesData[[#This Row],[Customers Visited]]=0,0,SalesData[[#This Row],[Contracts Signed]]/SalesData[[#This Row],[Customers Visited]])</f>
        <v>0.12087912087912088</v>
      </c>
      <c r="AI2011" s="6">
        <f>IF(SalesData[[#This Row],[Contracts Signed]]=0,0,SalesData[[#This Row],[Profit(€)]]/SalesData[[#This Row],[Contracts Signed]])</f>
        <v>12843</v>
      </c>
      <c r="AJ2011" s="5" t="str">
        <f>TRIM(CLEAN(SalesData[[#This Row],[Retailer]]))</f>
        <v>Ruhr Auto Plaza</v>
      </c>
    </row>
    <row r="2012" spans="1:36" ht="14.25" hidden="1" x14ac:dyDescent="0.2">
      <c r="A2012" t="s">
        <v>3007</v>
      </c>
      <c r="B2012" s="1">
        <v>46074</v>
      </c>
      <c r="C2012" t="s">
        <v>62</v>
      </c>
      <c r="D2012" t="s">
        <v>151</v>
      </c>
      <c r="E2012" t="s">
        <v>42</v>
      </c>
      <c r="F2012" t="s">
        <v>43</v>
      </c>
      <c r="G2012" t="s">
        <v>44</v>
      </c>
      <c r="H2012" t="s">
        <v>45</v>
      </c>
      <c r="I2012" t="s">
        <v>104</v>
      </c>
      <c r="J2012" t="s">
        <v>105</v>
      </c>
      <c r="K2012" t="s">
        <v>78</v>
      </c>
      <c r="L2012" t="s">
        <v>33</v>
      </c>
      <c r="M2012" t="s">
        <v>34</v>
      </c>
      <c r="N2012" t="s">
        <v>35</v>
      </c>
      <c r="O2012" t="s">
        <v>70</v>
      </c>
      <c r="P2012" t="s">
        <v>49</v>
      </c>
      <c r="Q2012" t="s">
        <v>189</v>
      </c>
      <c r="R2012">
        <v>348</v>
      </c>
      <c r="S2012">
        <v>150</v>
      </c>
      <c r="T2012">
        <v>100</v>
      </c>
      <c r="U2012">
        <v>19</v>
      </c>
      <c r="V2012" t="s">
        <v>6995</v>
      </c>
      <c r="W2012">
        <v>28641</v>
      </c>
      <c r="X2012" t="s">
        <v>2035</v>
      </c>
      <c r="Y2012">
        <v>25448</v>
      </c>
      <c r="Z2012">
        <v>544179</v>
      </c>
      <c r="AA2012">
        <v>60667</v>
      </c>
      <c r="AB2012" t="str">
        <f>(VLOOKUP(SalesData[[#This Row],[Month Number]],Reference!C$5:E$16,2,FALSE))</f>
        <v>Feb</v>
      </c>
      <c r="AC2012">
        <f>MONTH(SalesData[[#This Row],[Date]])</f>
        <v>2</v>
      </c>
      <c r="AD2012">
        <f>Reference!F$4</f>
        <v>2026</v>
      </c>
      <c r="AE2012" t="str">
        <f>IF(OR(SalesData[[#This Row],[Day]]="Saturday",SalesData[[#This Row],[Day]]="Sunday"),"Weekend","Weekday")</f>
        <v>Weekend</v>
      </c>
      <c r="AF2012" s="5">
        <f>IF(SalesData[[#This Row],[Contracts Offered]]=0,0,SalesData[[#This Row],[Contracts Signed]]/SalesData[[#This Row],[Contracts Offered]])</f>
        <v>0.19</v>
      </c>
      <c r="AG2012" s="5">
        <f>IF(SalesData[[#This Row],[Customers Visited]]=0,0,SalesData[[#This Row],[Test Drives]]/SalesData[[#This Row],[Customers Visited]])</f>
        <v>0.43103448275862066</v>
      </c>
      <c r="AH2012" s="5">
        <f>IF(SalesData[[#This Row],[Customers Visited]]=0,0,SalesData[[#This Row],[Contracts Signed]]/SalesData[[#This Row],[Customers Visited]])</f>
        <v>5.459770114942529E-2</v>
      </c>
      <c r="AI2012" s="6">
        <f>IF(SalesData[[#This Row],[Contracts Signed]]=0,0,SalesData[[#This Row],[Profit(€)]]/SalesData[[#This Row],[Contracts Signed]])</f>
        <v>3193</v>
      </c>
      <c r="AJ2012" s="5" t="str">
        <f>TRIM(CLEAN(SalesData[[#This Row],[Retailer]]))</f>
        <v>Saxon Wheels</v>
      </c>
    </row>
    <row r="2013" spans="1:36" ht="14.25" hidden="1" x14ac:dyDescent="0.2">
      <c r="A2013" t="s">
        <v>3008</v>
      </c>
      <c r="B2013" s="1">
        <v>46081</v>
      </c>
      <c r="C2013" t="s">
        <v>53</v>
      </c>
      <c r="D2013" t="s">
        <v>151</v>
      </c>
      <c r="E2013" t="s">
        <v>42</v>
      </c>
      <c r="F2013" t="s">
        <v>94</v>
      </c>
      <c r="G2013" t="s">
        <v>95</v>
      </c>
      <c r="H2013" t="s">
        <v>96</v>
      </c>
      <c r="I2013" t="s">
        <v>104</v>
      </c>
      <c r="J2013" t="s">
        <v>143</v>
      </c>
      <c r="K2013" t="s">
        <v>66</v>
      </c>
      <c r="L2013" t="s">
        <v>67</v>
      </c>
      <c r="M2013" t="s">
        <v>68</v>
      </c>
      <c r="N2013" t="s">
        <v>35</v>
      </c>
      <c r="O2013" t="s">
        <v>36</v>
      </c>
      <c r="P2013" t="s">
        <v>58</v>
      </c>
      <c r="Q2013" t="s">
        <v>144</v>
      </c>
      <c r="R2013">
        <v>380</v>
      </c>
      <c r="S2013">
        <v>176</v>
      </c>
      <c r="T2013">
        <v>112</v>
      </c>
      <c r="U2013">
        <v>39</v>
      </c>
      <c r="V2013" t="s">
        <v>6804</v>
      </c>
      <c r="W2013">
        <v>33050</v>
      </c>
      <c r="X2013" t="s">
        <v>241</v>
      </c>
      <c r="Y2013">
        <v>28770</v>
      </c>
      <c r="Z2013">
        <v>1288950</v>
      </c>
      <c r="AA2013">
        <v>166920</v>
      </c>
      <c r="AB2013" t="str">
        <f>(VLOOKUP(SalesData[[#This Row],[Month Number]],Reference!C$5:E$16,2,FALSE))</f>
        <v>Feb</v>
      </c>
      <c r="AC2013">
        <f>MONTH(SalesData[[#This Row],[Date]])</f>
        <v>2</v>
      </c>
      <c r="AD2013">
        <f>Reference!F$4</f>
        <v>2026</v>
      </c>
      <c r="AE2013" t="str">
        <f>IF(OR(SalesData[[#This Row],[Day]]="Saturday",SalesData[[#This Row],[Day]]="Sunday"),"Weekend","Weekday")</f>
        <v>Weekend</v>
      </c>
      <c r="AF2013" s="5">
        <f>IF(SalesData[[#This Row],[Contracts Offered]]=0,0,SalesData[[#This Row],[Contracts Signed]]/SalesData[[#This Row],[Contracts Offered]])</f>
        <v>0.3482142857142857</v>
      </c>
      <c r="AG2013" s="5">
        <f>IF(SalesData[[#This Row],[Customers Visited]]=0,0,SalesData[[#This Row],[Test Drives]]/SalesData[[#This Row],[Customers Visited]])</f>
        <v>0.4631578947368421</v>
      </c>
      <c r="AH2013" s="5">
        <f>IF(SalesData[[#This Row],[Customers Visited]]=0,0,SalesData[[#This Row],[Contracts Signed]]/SalesData[[#This Row],[Customers Visited]])</f>
        <v>0.10263157894736842</v>
      </c>
      <c r="AI2013" s="6">
        <f>IF(SalesData[[#This Row],[Contracts Signed]]=0,0,SalesData[[#This Row],[Profit(€)]]/SalesData[[#This Row],[Contracts Signed]])</f>
        <v>4280</v>
      </c>
      <c r="AJ2013" s="5" t="str">
        <f>TRIM(CLEAN(SalesData[[#This Row],[Retailer]]))</f>
        <v>Bavaria Motors</v>
      </c>
    </row>
    <row r="2014" spans="1:36" ht="14.25" hidden="1" x14ac:dyDescent="0.2">
      <c r="A2014" t="s">
        <v>3009</v>
      </c>
      <c r="B2014" s="1">
        <v>46066</v>
      </c>
      <c r="C2014" t="s">
        <v>121</v>
      </c>
      <c r="D2014" t="s">
        <v>54</v>
      </c>
      <c r="E2014" t="s">
        <v>26</v>
      </c>
      <c r="F2014" t="s">
        <v>27</v>
      </c>
      <c r="G2014" t="s">
        <v>28</v>
      </c>
      <c r="H2014" t="s">
        <v>29</v>
      </c>
      <c r="I2014" t="s">
        <v>56</v>
      </c>
      <c r="J2014" t="s">
        <v>7028</v>
      </c>
      <c r="K2014" t="s">
        <v>91</v>
      </c>
      <c r="L2014" t="s">
        <v>46</v>
      </c>
      <c r="M2014" t="s">
        <v>87</v>
      </c>
      <c r="N2014" t="s">
        <v>35</v>
      </c>
      <c r="O2014" t="s">
        <v>70</v>
      </c>
      <c r="P2014" t="s">
        <v>71</v>
      </c>
      <c r="Q2014" t="s">
        <v>88</v>
      </c>
      <c r="R2014">
        <v>212</v>
      </c>
      <c r="S2014">
        <v>122</v>
      </c>
      <c r="T2014">
        <v>85</v>
      </c>
      <c r="U2014">
        <v>27</v>
      </c>
      <c r="V2014" t="s">
        <v>6631</v>
      </c>
      <c r="W2014">
        <v>53662</v>
      </c>
      <c r="X2014" t="s">
        <v>944</v>
      </c>
      <c r="Y2014">
        <v>42697</v>
      </c>
      <c r="Z2014">
        <v>1448874</v>
      </c>
      <c r="AA2014">
        <v>296055</v>
      </c>
      <c r="AB2014" t="str">
        <f>(VLOOKUP(SalesData[[#This Row],[Month Number]],Reference!C$5:E$16,2,FALSE))</f>
        <v>Feb</v>
      </c>
      <c r="AC2014">
        <f>MONTH(SalesData[[#This Row],[Date]])</f>
        <v>2</v>
      </c>
      <c r="AD2014">
        <f>Reference!F$4</f>
        <v>2026</v>
      </c>
      <c r="AE2014" t="str">
        <f>IF(OR(SalesData[[#This Row],[Day]]="Saturday",SalesData[[#This Row],[Day]]="Sunday"),"Weekend","Weekday")</f>
        <v>Weekday</v>
      </c>
      <c r="AF2014" s="5">
        <f>IF(SalesData[[#This Row],[Contracts Offered]]=0,0,SalesData[[#This Row],[Contracts Signed]]/SalesData[[#This Row],[Contracts Offered]])</f>
        <v>0.31764705882352939</v>
      </c>
      <c r="AG2014" s="5">
        <f>IF(SalesData[[#This Row],[Customers Visited]]=0,0,SalesData[[#This Row],[Test Drives]]/SalesData[[#This Row],[Customers Visited]])</f>
        <v>0.57547169811320753</v>
      </c>
      <c r="AH2014" s="5">
        <f>IF(SalesData[[#This Row],[Customers Visited]]=0,0,SalesData[[#This Row],[Contracts Signed]]/SalesData[[#This Row],[Customers Visited]])</f>
        <v>0.12735849056603774</v>
      </c>
      <c r="AI2014" s="6">
        <f>IF(SalesData[[#This Row],[Contracts Signed]]=0,0,SalesData[[#This Row],[Profit(€)]]/SalesData[[#This Row],[Contracts Signed]])</f>
        <v>10965</v>
      </c>
      <c r="AJ2014" s="5" t="str">
        <f>TRIM(CLEAN(SalesData[[#This Row],[Retailer]]))</f>
        <v>Main Auto Hub</v>
      </c>
    </row>
    <row r="2015" spans="1:36" ht="14.25" hidden="1" x14ac:dyDescent="0.2">
      <c r="A2015" t="s">
        <v>3010</v>
      </c>
      <c r="B2015" s="1">
        <v>46059</v>
      </c>
      <c r="C2015" t="s">
        <v>24</v>
      </c>
      <c r="D2015" t="s">
        <v>54</v>
      </c>
      <c r="E2015" t="s">
        <v>26</v>
      </c>
      <c r="F2015" t="s">
        <v>83</v>
      </c>
      <c r="G2015" t="s">
        <v>84</v>
      </c>
      <c r="H2015" t="s">
        <v>85</v>
      </c>
      <c r="I2015" t="s">
        <v>104</v>
      </c>
      <c r="J2015" t="s">
        <v>140</v>
      </c>
      <c r="K2015" t="s">
        <v>32</v>
      </c>
      <c r="L2015" t="s">
        <v>46</v>
      </c>
      <c r="M2015" t="s">
        <v>34</v>
      </c>
      <c r="N2015" t="s">
        <v>69</v>
      </c>
      <c r="O2015" t="s">
        <v>70</v>
      </c>
      <c r="P2015" t="s">
        <v>49</v>
      </c>
      <c r="Q2015" t="s">
        <v>38</v>
      </c>
      <c r="R2015">
        <v>280</v>
      </c>
      <c r="S2015">
        <v>119</v>
      </c>
      <c r="T2015">
        <v>74</v>
      </c>
      <c r="U2015">
        <v>18</v>
      </c>
      <c r="V2015" t="s">
        <v>2601</v>
      </c>
      <c r="W2015">
        <v>26706</v>
      </c>
      <c r="X2015" t="s">
        <v>72</v>
      </c>
      <c r="Y2015">
        <v>24106</v>
      </c>
      <c r="Z2015">
        <v>480708</v>
      </c>
      <c r="AA2015">
        <v>46800</v>
      </c>
      <c r="AB2015" t="str">
        <f>(VLOOKUP(SalesData[[#This Row],[Month Number]],Reference!C$5:E$16,2,FALSE))</f>
        <v>Feb</v>
      </c>
      <c r="AC2015">
        <f>MONTH(SalesData[[#This Row],[Date]])</f>
        <v>2</v>
      </c>
      <c r="AD2015">
        <f>Reference!F$4</f>
        <v>2026</v>
      </c>
      <c r="AE2015" t="str">
        <f>IF(OR(SalesData[[#This Row],[Day]]="Saturday",SalesData[[#This Row],[Day]]="Sunday"),"Weekend","Weekday")</f>
        <v>Weekday</v>
      </c>
      <c r="AF2015" s="5">
        <f>IF(SalesData[[#This Row],[Contracts Offered]]=0,0,SalesData[[#This Row],[Contracts Signed]]/SalesData[[#This Row],[Contracts Offered]])</f>
        <v>0.24324324324324326</v>
      </c>
      <c r="AG2015" s="5">
        <f>IF(SalesData[[#This Row],[Customers Visited]]=0,0,SalesData[[#This Row],[Test Drives]]/SalesData[[#This Row],[Customers Visited]])</f>
        <v>0.42499999999999999</v>
      </c>
      <c r="AH2015" s="5">
        <f>IF(SalesData[[#This Row],[Customers Visited]]=0,0,SalesData[[#This Row],[Contracts Signed]]/SalesData[[#This Row],[Customers Visited]])</f>
        <v>6.4285714285714279E-2</v>
      </c>
      <c r="AI2015" s="6">
        <f>IF(SalesData[[#This Row],[Contracts Signed]]=0,0,SalesData[[#This Row],[Profit(€)]]/SalesData[[#This Row],[Contracts Signed]])</f>
        <v>2600</v>
      </c>
      <c r="AJ2015" s="5" t="str">
        <f>TRIM(CLEAN(SalesData[[#This Row],[Retailer]]))</f>
        <v>Hannover Cars</v>
      </c>
    </row>
    <row r="2016" spans="1:36" ht="14.25" hidden="1" x14ac:dyDescent="0.2">
      <c r="A2016" t="s">
        <v>3011</v>
      </c>
      <c r="B2016" s="1">
        <v>46060</v>
      </c>
      <c r="C2016" t="s">
        <v>24</v>
      </c>
      <c r="D2016" t="s">
        <v>151</v>
      </c>
      <c r="E2016" t="s">
        <v>42</v>
      </c>
      <c r="F2016" t="s">
        <v>94</v>
      </c>
      <c r="G2016" t="s">
        <v>95</v>
      </c>
      <c r="H2016" t="s">
        <v>96</v>
      </c>
      <c r="I2016" t="s">
        <v>56</v>
      </c>
      <c r="J2016" t="s">
        <v>7028</v>
      </c>
      <c r="K2016" t="s">
        <v>66</v>
      </c>
      <c r="L2016" t="s">
        <v>46</v>
      </c>
      <c r="M2016" t="s">
        <v>87</v>
      </c>
      <c r="N2016" t="s">
        <v>48</v>
      </c>
      <c r="O2016" t="s">
        <v>70</v>
      </c>
      <c r="P2016" t="s">
        <v>58</v>
      </c>
      <c r="Q2016" t="s">
        <v>144</v>
      </c>
      <c r="R2016">
        <v>238</v>
      </c>
      <c r="S2016">
        <v>132</v>
      </c>
      <c r="T2016">
        <v>101</v>
      </c>
      <c r="U2016">
        <v>33</v>
      </c>
      <c r="V2016" t="s">
        <v>6403</v>
      </c>
      <c r="W2016">
        <v>54074</v>
      </c>
      <c r="X2016" t="s">
        <v>361</v>
      </c>
      <c r="Y2016">
        <v>43413</v>
      </c>
      <c r="Z2016">
        <v>1784442</v>
      </c>
      <c r="AA2016">
        <v>351813</v>
      </c>
      <c r="AB2016" t="str">
        <f>(VLOOKUP(SalesData[[#This Row],[Month Number]],Reference!C$5:E$16,2,FALSE))</f>
        <v>Feb</v>
      </c>
      <c r="AC2016">
        <f>MONTH(SalesData[[#This Row],[Date]])</f>
        <v>2</v>
      </c>
      <c r="AD2016">
        <f>Reference!F$4</f>
        <v>2026</v>
      </c>
      <c r="AE2016" t="str">
        <f>IF(OR(SalesData[[#This Row],[Day]]="Saturday",SalesData[[#This Row],[Day]]="Sunday"),"Weekend","Weekday")</f>
        <v>Weekend</v>
      </c>
      <c r="AF2016" s="5">
        <f>IF(SalesData[[#This Row],[Contracts Offered]]=0,0,SalesData[[#This Row],[Contracts Signed]]/SalesData[[#This Row],[Contracts Offered]])</f>
        <v>0.32673267326732675</v>
      </c>
      <c r="AG2016" s="5">
        <f>IF(SalesData[[#This Row],[Customers Visited]]=0,0,SalesData[[#This Row],[Test Drives]]/SalesData[[#This Row],[Customers Visited]])</f>
        <v>0.55462184873949583</v>
      </c>
      <c r="AH2016" s="5">
        <f>IF(SalesData[[#This Row],[Customers Visited]]=0,0,SalesData[[#This Row],[Contracts Signed]]/SalesData[[#This Row],[Customers Visited]])</f>
        <v>0.13865546218487396</v>
      </c>
      <c r="AI2016" s="6">
        <f>IF(SalesData[[#This Row],[Contracts Signed]]=0,0,SalesData[[#This Row],[Profit(€)]]/SalesData[[#This Row],[Contracts Signed]])</f>
        <v>10661</v>
      </c>
      <c r="AJ2016" s="5" t="str">
        <f>TRIM(CLEAN(SalesData[[#This Row],[Retailer]]))</f>
        <v>Bavaria Motors</v>
      </c>
    </row>
    <row r="2017" spans="1:36" ht="14.25" hidden="1" x14ac:dyDescent="0.2">
      <c r="A2017" t="s">
        <v>3012</v>
      </c>
      <c r="B2017" s="1">
        <v>46059</v>
      </c>
      <c r="C2017" t="s">
        <v>24</v>
      </c>
      <c r="D2017" t="s">
        <v>54</v>
      </c>
      <c r="E2017" t="s">
        <v>26</v>
      </c>
      <c r="F2017" t="s">
        <v>74</v>
      </c>
      <c r="G2017" t="s">
        <v>75</v>
      </c>
      <c r="H2017" t="s">
        <v>76</v>
      </c>
      <c r="I2017" t="s">
        <v>64</v>
      </c>
      <c r="J2017" t="s">
        <v>157</v>
      </c>
      <c r="K2017" t="s">
        <v>32</v>
      </c>
      <c r="L2017" t="s">
        <v>33</v>
      </c>
      <c r="M2017" t="s">
        <v>47</v>
      </c>
      <c r="N2017" t="s">
        <v>69</v>
      </c>
      <c r="O2017" t="s">
        <v>36</v>
      </c>
      <c r="P2017" t="s">
        <v>58</v>
      </c>
      <c r="Q2017" t="s">
        <v>129</v>
      </c>
      <c r="R2017">
        <v>203</v>
      </c>
      <c r="S2017">
        <v>96</v>
      </c>
      <c r="T2017">
        <v>73</v>
      </c>
      <c r="U2017">
        <v>28</v>
      </c>
      <c r="V2017" t="s">
        <v>6395</v>
      </c>
      <c r="W2017">
        <v>54206</v>
      </c>
      <c r="X2017" t="s">
        <v>7199</v>
      </c>
      <c r="Y2017">
        <v>40547</v>
      </c>
      <c r="Z2017">
        <v>1517768</v>
      </c>
      <c r="AA2017">
        <v>382452</v>
      </c>
      <c r="AB2017" t="str">
        <f>(VLOOKUP(SalesData[[#This Row],[Month Number]],Reference!C$5:E$16,2,FALSE))</f>
        <v>Feb</v>
      </c>
      <c r="AC2017">
        <f>MONTH(SalesData[[#This Row],[Date]])</f>
        <v>2</v>
      </c>
      <c r="AD2017">
        <f>Reference!F$4</f>
        <v>2026</v>
      </c>
      <c r="AE2017" t="str">
        <f>IF(OR(SalesData[[#This Row],[Day]]="Saturday",SalesData[[#This Row],[Day]]="Sunday"),"Weekend","Weekday")</f>
        <v>Weekday</v>
      </c>
      <c r="AF2017" s="5">
        <f>IF(SalesData[[#This Row],[Contracts Offered]]=0,0,SalesData[[#This Row],[Contracts Signed]]/SalesData[[#This Row],[Contracts Offered]])</f>
        <v>0.38356164383561642</v>
      </c>
      <c r="AG2017" s="5">
        <f>IF(SalesData[[#This Row],[Customers Visited]]=0,0,SalesData[[#This Row],[Test Drives]]/SalesData[[#This Row],[Customers Visited]])</f>
        <v>0.47290640394088668</v>
      </c>
      <c r="AH2017" s="5">
        <f>IF(SalesData[[#This Row],[Customers Visited]]=0,0,SalesData[[#This Row],[Contracts Signed]]/SalesData[[#This Row],[Customers Visited]])</f>
        <v>0.13793103448275862</v>
      </c>
      <c r="AI2017" s="6">
        <f>IF(SalesData[[#This Row],[Contracts Signed]]=0,0,SalesData[[#This Row],[Profit(€)]]/SalesData[[#This Row],[Contracts Signed]])</f>
        <v>13659</v>
      </c>
      <c r="AJ2017" s="5" t="str">
        <f>TRIM(CLEAN(SalesData[[#This Row],[Retailer]]))</f>
        <v>Stuttgart Auto Center</v>
      </c>
    </row>
    <row r="2018" spans="1:36" ht="14.25" hidden="1" x14ac:dyDescent="0.2">
      <c r="A2018" t="s">
        <v>3013</v>
      </c>
      <c r="B2018" s="1">
        <v>46066</v>
      </c>
      <c r="C2018" t="s">
        <v>121</v>
      </c>
      <c r="D2018" t="s">
        <v>54</v>
      </c>
      <c r="E2018" t="s">
        <v>26</v>
      </c>
      <c r="F2018" t="s">
        <v>114</v>
      </c>
      <c r="G2018" t="s">
        <v>115</v>
      </c>
      <c r="H2018" t="s">
        <v>115</v>
      </c>
      <c r="I2018" t="s">
        <v>64</v>
      </c>
      <c r="J2018" t="s">
        <v>157</v>
      </c>
      <c r="K2018" t="s">
        <v>91</v>
      </c>
      <c r="L2018" t="s">
        <v>33</v>
      </c>
      <c r="M2018" t="s">
        <v>68</v>
      </c>
      <c r="N2018" t="s">
        <v>69</v>
      </c>
      <c r="O2018" t="s">
        <v>70</v>
      </c>
      <c r="P2018" t="s">
        <v>37</v>
      </c>
      <c r="Q2018" t="s">
        <v>158</v>
      </c>
      <c r="R2018">
        <v>188</v>
      </c>
      <c r="S2018">
        <v>106</v>
      </c>
      <c r="T2018">
        <v>79</v>
      </c>
      <c r="U2018">
        <v>24</v>
      </c>
      <c r="V2018" t="s">
        <v>6564</v>
      </c>
      <c r="W2018">
        <v>67077</v>
      </c>
      <c r="X2018" t="s">
        <v>2852</v>
      </c>
      <c r="Y2018">
        <v>51448</v>
      </c>
      <c r="Z2018">
        <v>1609848</v>
      </c>
      <c r="AA2018">
        <v>375096</v>
      </c>
      <c r="AB2018" t="str">
        <f>(VLOOKUP(SalesData[[#This Row],[Month Number]],Reference!C$5:E$16,2,FALSE))</f>
        <v>Feb</v>
      </c>
      <c r="AC2018">
        <f>MONTH(SalesData[[#This Row],[Date]])</f>
        <v>2</v>
      </c>
      <c r="AD2018">
        <f>Reference!F$4</f>
        <v>2026</v>
      </c>
      <c r="AE2018" t="str">
        <f>IF(OR(SalesData[[#This Row],[Day]]="Saturday",SalesData[[#This Row],[Day]]="Sunday"),"Weekend","Weekday")</f>
        <v>Weekday</v>
      </c>
      <c r="AF2018" s="5">
        <f>IF(SalesData[[#This Row],[Contracts Offered]]=0,0,SalesData[[#This Row],[Contracts Signed]]/SalesData[[#This Row],[Contracts Offered]])</f>
        <v>0.30379746835443039</v>
      </c>
      <c r="AG2018" s="5">
        <f>IF(SalesData[[#This Row],[Customers Visited]]=0,0,SalesData[[#This Row],[Test Drives]]/SalesData[[#This Row],[Customers Visited]])</f>
        <v>0.56382978723404253</v>
      </c>
      <c r="AH2018" s="5">
        <f>IF(SalesData[[#This Row],[Customers Visited]]=0,0,SalesData[[#This Row],[Contracts Signed]]/SalesData[[#This Row],[Customers Visited]])</f>
        <v>0.1276595744680851</v>
      </c>
      <c r="AI2018" s="6">
        <f>IF(SalesData[[#This Row],[Contracts Signed]]=0,0,SalesData[[#This Row],[Profit(€)]]/SalesData[[#This Row],[Contracts Signed]])</f>
        <v>15629</v>
      </c>
      <c r="AJ2018" s="5" t="str">
        <f>TRIM(CLEAN(SalesData[[#This Row],[Retailer]]))</f>
        <v>Elbe Drive</v>
      </c>
    </row>
    <row r="2019" spans="1:36" ht="14.25" hidden="1" x14ac:dyDescent="0.2">
      <c r="A2019" t="s">
        <v>3015</v>
      </c>
      <c r="B2019" s="1">
        <v>46072</v>
      </c>
      <c r="C2019" t="s">
        <v>62</v>
      </c>
      <c r="D2019" t="s">
        <v>100</v>
      </c>
      <c r="E2019" t="s">
        <v>26</v>
      </c>
      <c r="F2019" t="s">
        <v>83</v>
      </c>
      <c r="G2019" t="s">
        <v>84</v>
      </c>
      <c r="H2019" t="s">
        <v>85</v>
      </c>
      <c r="I2019" t="s">
        <v>64</v>
      </c>
      <c r="J2019" t="s">
        <v>157</v>
      </c>
      <c r="K2019" t="s">
        <v>66</v>
      </c>
      <c r="L2019" t="s">
        <v>33</v>
      </c>
      <c r="M2019" t="s">
        <v>68</v>
      </c>
      <c r="N2019" t="s">
        <v>35</v>
      </c>
      <c r="O2019" t="s">
        <v>36</v>
      </c>
      <c r="P2019" t="s">
        <v>49</v>
      </c>
      <c r="Q2019" t="s">
        <v>167</v>
      </c>
      <c r="R2019">
        <v>223</v>
      </c>
      <c r="S2019">
        <v>110</v>
      </c>
      <c r="T2019">
        <v>87</v>
      </c>
      <c r="U2019">
        <v>24</v>
      </c>
      <c r="V2019" t="s">
        <v>6872</v>
      </c>
      <c r="W2019">
        <v>60672</v>
      </c>
      <c r="X2019" t="s">
        <v>7270</v>
      </c>
      <c r="Y2019">
        <v>46008</v>
      </c>
      <c r="Z2019">
        <v>1456128</v>
      </c>
      <c r="AA2019">
        <v>351936</v>
      </c>
      <c r="AB2019" t="str">
        <f>(VLOOKUP(SalesData[[#This Row],[Month Number]],Reference!C$5:E$16,2,FALSE))</f>
        <v>Feb</v>
      </c>
      <c r="AC2019">
        <f>MONTH(SalesData[[#This Row],[Date]])</f>
        <v>2</v>
      </c>
      <c r="AD2019">
        <f>Reference!F$4</f>
        <v>2026</v>
      </c>
      <c r="AE2019" t="str">
        <f>IF(OR(SalesData[[#This Row],[Day]]="Saturday",SalesData[[#This Row],[Day]]="Sunday"),"Weekend","Weekday")</f>
        <v>Weekday</v>
      </c>
      <c r="AF2019" s="5">
        <f>IF(SalesData[[#This Row],[Contracts Offered]]=0,0,SalesData[[#This Row],[Contracts Signed]]/SalesData[[#This Row],[Contracts Offered]])</f>
        <v>0.27586206896551724</v>
      </c>
      <c r="AG2019" s="5">
        <f>IF(SalesData[[#This Row],[Customers Visited]]=0,0,SalesData[[#This Row],[Test Drives]]/SalesData[[#This Row],[Customers Visited]])</f>
        <v>0.49327354260089684</v>
      </c>
      <c r="AH2019" s="5">
        <f>IF(SalesData[[#This Row],[Customers Visited]]=0,0,SalesData[[#This Row],[Contracts Signed]]/SalesData[[#This Row],[Customers Visited]])</f>
        <v>0.10762331838565023</v>
      </c>
      <c r="AI2019" s="6">
        <f>IF(SalesData[[#This Row],[Contracts Signed]]=0,0,SalesData[[#This Row],[Profit(€)]]/SalesData[[#This Row],[Contracts Signed]])</f>
        <v>14664</v>
      </c>
      <c r="AJ2019" s="5" t="str">
        <f>TRIM(CLEAN(SalesData[[#This Row],[Retailer]]))</f>
        <v>Hannover Cars</v>
      </c>
    </row>
    <row r="2020" spans="1:36" ht="14.25" x14ac:dyDescent="0.2">
      <c r="A2020" t="s">
        <v>3016</v>
      </c>
      <c r="B2020" s="1">
        <v>46066</v>
      </c>
      <c r="C2020" t="s">
        <v>121</v>
      </c>
      <c r="D2020" t="s">
        <v>54</v>
      </c>
      <c r="E2020" t="s">
        <v>26</v>
      </c>
      <c r="F2020" t="s">
        <v>27</v>
      </c>
      <c r="G2020" t="s">
        <v>28</v>
      </c>
      <c r="H2020" t="s">
        <v>29</v>
      </c>
      <c r="I2020" t="s">
        <v>30</v>
      </c>
      <c r="J2020" t="s">
        <v>166</v>
      </c>
      <c r="K2020" t="s">
        <v>91</v>
      </c>
      <c r="L2020" t="s">
        <v>46</v>
      </c>
      <c r="M2020" t="s">
        <v>47</v>
      </c>
      <c r="N2020" t="s">
        <v>69</v>
      </c>
      <c r="O2020" t="s">
        <v>36</v>
      </c>
      <c r="P2020" t="s">
        <v>37</v>
      </c>
      <c r="Q2020" t="s">
        <v>129</v>
      </c>
      <c r="R2020">
        <v>192</v>
      </c>
      <c r="S2020">
        <v>96</v>
      </c>
      <c r="T2020">
        <v>68</v>
      </c>
      <c r="U2020">
        <v>24</v>
      </c>
      <c r="V2020" t="s">
        <v>6403</v>
      </c>
      <c r="W2020">
        <v>61866</v>
      </c>
      <c r="X2020" t="s">
        <v>7373</v>
      </c>
      <c r="Y2020">
        <v>46143</v>
      </c>
      <c r="Z2020">
        <v>1484784</v>
      </c>
      <c r="AA2020">
        <v>377352</v>
      </c>
      <c r="AB2020" t="str">
        <f>(VLOOKUP(SalesData[[#This Row],[Month Number]],Reference!C$5:E$16,2,FALSE))</f>
        <v>Feb</v>
      </c>
      <c r="AC2020">
        <f>MONTH(SalesData[[#This Row],[Date]])</f>
        <v>2</v>
      </c>
      <c r="AD2020">
        <f>Reference!F$4</f>
        <v>2026</v>
      </c>
      <c r="AE2020" t="str">
        <f>IF(OR(SalesData[[#This Row],[Day]]="Saturday",SalesData[[#This Row],[Day]]="Sunday"),"Weekend","Weekday")</f>
        <v>Weekday</v>
      </c>
      <c r="AF2020" s="5">
        <f>IF(SalesData[[#This Row],[Contracts Offered]]=0,0,SalesData[[#This Row],[Contracts Signed]]/SalesData[[#This Row],[Contracts Offered]])</f>
        <v>0.35294117647058826</v>
      </c>
      <c r="AG2020" s="5">
        <f>IF(SalesData[[#This Row],[Customers Visited]]=0,0,SalesData[[#This Row],[Test Drives]]/SalesData[[#This Row],[Customers Visited]])</f>
        <v>0.5</v>
      </c>
      <c r="AH2020" s="5">
        <f>IF(SalesData[[#This Row],[Customers Visited]]=0,0,SalesData[[#This Row],[Contracts Signed]]/SalesData[[#This Row],[Customers Visited]])</f>
        <v>0.125</v>
      </c>
      <c r="AI2020" s="6">
        <f>IF(SalesData[[#This Row],[Contracts Signed]]=0,0,SalesData[[#This Row],[Profit(€)]]/SalesData[[#This Row],[Contracts Signed]])</f>
        <v>15723</v>
      </c>
      <c r="AJ2020" s="5" t="str">
        <f>TRIM(CLEAN(SalesData[[#This Row],[Retailer]]))</f>
        <v>Main Auto Hub</v>
      </c>
    </row>
    <row r="2021" spans="1:36" ht="14.25" x14ac:dyDescent="0.2">
      <c r="A2021" t="s">
        <v>3017</v>
      </c>
      <c r="B2021" s="1">
        <v>46057</v>
      </c>
      <c r="C2021" t="s">
        <v>24</v>
      </c>
      <c r="D2021" t="s">
        <v>82</v>
      </c>
      <c r="E2021" t="s">
        <v>26</v>
      </c>
      <c r="F2021" t="s">
        <v>127</v>
      </c>
      <c r="G2021" t="s">
        <v>128</v>
      </c>
      <c r="H2021" t="s">
        <v>103</v>
      </c>
      <c r="I2021" t="s">
        <v>30</v>
      </c>
      <c r="J2021" t="s">
        <v>188</v>
      </c>
      <c r="K2021" t="s">
        <v>91</v>
      </c>
      <c r="L2021" t="s">
        <v>33</v>
      </c>
      <c r="M2021" t="s">
        <v>87</v>
      </c>
      <c r="N2021" t="s">
        <v>69</v>
      </c>
      <c r="O2021" t="s">
        <v>36</v>
      </c>
      <c r="P2021" t="s">
        <v>49</v>
      </c>
      <c r="Q2021" t="s">
        <v>204</v>
      </c>
      <c r="R2021">
        <v>277</v>
      </c>
      <c r="S2021">
        <v>153</v>
      </c>
      <c r="T2021">
        <v>113</v>
      </c>
      <c r="U2021">
        <v>39</v>
      </c>
      <c r="V2021" t="s">
        <v>6517</v>
      </c>
      <c r="W2021">
        <v>51080</v>
      </c>
      <c r="X2021" t="s">
        <v>4831</v>
      </c>
      <c r="Y2021">
        <v>35991</v>
      </c>
      <c r="Z2021">
        <v>1992120</v>
      </c>
      <c r="AA2021">
        <v>588471</v>
      </c>
      <c r="AB2021" t="str">
        <f>(VLOOKUP(SalesData[[#This Row],[Month Number]],Reference!C$5:E$16,2,FALSE))</f>
        <v>Feb</v>
      </c>
      <c r="AC2021">
        <f>MONTH(SalesData[[#This Row],[Date]])</f>
        <v>2</v>
      </c>
      <c r="AD2021">
        <f>Reference!F$4</f>
        <v>2026</v>
      </c>
      <c r="AE2021" t="str">
        <f>IF(OR(SalesData[[#This Row],[Day]]="Saturday",SalesData[[#This Row],[Day]]="Sunday"),"Weekend","Weekday")</f>
        <v>Weekday</v>
      </c>
      <c r="AF2021" s="5">
        <f>IF(SalesData[[#This Row],[Contracts Offered]]=0,0,SalesData[[#This Row],[Contracts Signed]]/SalesData[[#This Row],[Contracts Offered]])</f>
        <v>0.34513274336283184</v>
      </c>
      <c r="AG2021" s="5">
        <f>IF(SalesData[[#This Row],[Customers Visited]]=0,0,SalesData[[#This Row],[Test Drives]]/SalesData[[#This Row],[Customers Visited]])</f>
        <v>0.55234657039711188</v>
      </c>
      <c r="AH2021" s="5">
        <f>IF(SalesData[[#This Row],[Customers Visited]]=0,0,SalesData[[#This Row],[Contracts Signed]]/SalesData[[#This Row],[Customers Visited]])</f>
        <v>0.1407942238267148</v>
      </c>
      <c r="AI2021" s="6">
        <f>IF(SalesData[[#This Row],[Contracts Signed]]=0,0,SalesData[[#This Row],[Profit(€)]]/SalesData[[#This Row],[Contracts Signed]])</f>
        <v>15089</v>
      </c>
      <c r="AJ2021" s="5" t="str">
        <f>TRIM(CLEAN(SalesData[[#This Row],[Retailer]]))</f>
        <v>Rhein Auto Group</v>
      </c>
    </row>
    <row r="2022" spans="1:36" ht="14.25" x14ac:dyDescent="0.2">
      <c r="A2022" t="s">
        <v>3018</v>
      </c>
      <c r="B2022" s="1">
        <v>46079</v>
      </c>
      <c r="C2022" t="s">
        <v>53</v>
      </c>
      <c r="D2022" t="s">
        <v>100</v>
      </c>
      <c r="E2022" t="s">
        <v>26</v>
      </c>
      <c r="F2022" t="s">
        <v>109</v>
      </c>
      <c r="G2022" t="s">
        <v>110</v>
      </c>
      <c r="H2022" t="s">
        <v>45</v>
      </c>
      <c r="I2022" t="s">
        <v>30</v>
      </c>
      <c r="J2022" t="s">
        <v>31</v>
      </c>
      <c r="K2022" t="s">
        <v>91</v>
      </c>
      <c r="L2022" t="s">
        <v>46</v>
      </c>
      <c r="M2022" t="s">
        <v>87</v>
      </c>
      <c r="N2022" t="s">
        <v>69</v>
      </c>
      <c r="O2022" t="s">
        <v>70</v>
      </c>
      <c r="P2022" t="s">
        <v>58</v>
      </c>
      <c r="Q2022" t="s">
        <v>152</v>
      </c>
      <c r="R2022">
        <v>212</v>
      </c>
      <c r="S2022">
        <v>99</v>
      </c>
      <c r="T2022">
        <v>71</v>
      </c>
      <c r="U2022">
        <v>30</v>
      </c>
      <c r="V2022" t="s">
        <v>7181</v>
      </c>
      <c r="W2022">
        <v>65019</v>
      </c>
      <c r="X2022" t="s">
        <v>7483</v>
      </c>
      <c r="Y2022">
        <v>45926</v>
      </c>
      <c r="Z2022">
        <v>1950570</v>
      </c>
      <c r="AA2022">
        <v>572790</v>
      </c>
      <c r="AB2022" t="str">
        <f>(VLOOKUP(SalesData[[#This Row],[Month Number]],Reference!C$5:E$16,2,FALSE))</f>
        <v>Feb</v>
      </c>
      <c r="AC2022">
        <f>MONTH(SalesData[[#This Row],[Date]])</f>
        <v>2</v>
      </c>
      <c r="AD2022">
        <f>Reference!F$4</f>
        <v>2026</v>
      </c>
      <c r="AE2022" t="str">
        <f>IF(OR(SalesData[[#This Row],[Day]]="Saturday",SalesData[[#This Row],[Day]]="Sunday"),"Weekend","Weekday")</f>
        <v>Weekday</v>
      </c>
      <c r="AF2022" s="5">
        <f>IF(SalesData[[#This Row],[Contracts Offered]]=0,0,SalesData[[#This Row],[Contracts Signed]]/SalesData[[#This Row],[Contracts Offered]])</f>
        <v>0.42253521126760563</v>
      </c>
      <c r="AG2022" s="5">
        <f>IF(SalesData[[#This Row],[Customers Visited]]=0,0,SalesData[[#This Row],[Test Drives]]/SalesData[[#This Row],[Customers Visited]])</f>
        <v>0.46698113207547171</v>
      </c>
      <c r="AH2022" s="5">
        <f>IF(SalesData[[#This Row],[Customers Visited]]=0,0,SalesData[[#This Row],[Contracts Signed]]/SalesData[[#This Row],[Customers Visited]])</f>
        <v>0.14150943396226415</v>
      </c>
      <c r="AI2022" s="6">
        <f>IF(SalesData[[#This Row],[Contracts Signed]]=0,0,SalesData[[#This Row],[Profit(€)]]/SalesData[[#This Row],[Contracts Signed]])</f>
        <v>19093</v>
      </c>
      <c r="AJ2022" s="5" t="str">
        <f>TRIM(CLEAN(SalesData[[#This Row],[Retailer]]))</f>
        <v>Leipzig Mobility</v>
      </c>
    </row>
    <row r="2023" spans="1:36" ht="14.25" x14ac:dyDescent="0.2">
      <c r="A2023" t="s">
        <v>3019</v>
      </c>
      <c r="B2023" s="1">
        <v>46073</v>
      </c>
      <c r="C2023" t="s">
        <v>62</v>
      </c>
      <c r="D2023" t="s">
        <v>54</v>
      </c>
      <c r="E2023" t="s">
        <v>26</v>
      </c>
      <c r="F2023" t="s">
        <v>74</v>
      </c>
      <c r="G2023" t="s">
        <v>75</v>
      </c>
      <c r="H2023" t="s">
        <v>76</v>
      </c>
      <c r="I2023" t="s">
        <v>30</v>
      </c>
      <c r="J2023" t="s">
        <v>166</v>
      </c>
      <c r="K2023" t="s">
        <v>91</v>
      </c>
      <c r="L2023" t="s">
        <v>46</v>
      </c>
      <c r="M2023" t="s">
        <v>87</v>
      </c>
      <c r="N2023" t="s">
        <v>69</v>
      </c>
      <c r="O2023" t="s">
        <v>36</v>
      </c>
      <c r="P2023" t="s">
        <v>49</v>
      </c>
      <c r="Q2023" t="s">
        <v>59</v>
      </c>
      <c r="R2023">
        <v>195</v>
      </c>
      <c r="S2023">
        <v>108</v>
      </c>
      <c r="T2023">
        <v>79</v>
      </c>
      <c r="U2023">
        <v>31</v>
      </c>
      <c r="V2023" t="s">
        <v>6511</v>
      </c>
      <c r="W2023">
        <v>57657</v>
      </c>
      <c r="X2023" t="s">
        <v>698</v>
      </c>
      <c r="Y2023">
        <v>42244</v>
      </c>
      <c r="Z2023">
        <v>1787367</v>
      </c>
      <c r="AA2023">
        <v>477803</v>
      </c>
      <c r="AB2023" t="str">
        <f>(VLOOKUP(SalesData[[#This Row],[Month Number]],Reference!C$5:E$16,2,FALSE))</f>
        <v>Feb</v>
      </c>
      <c r="AC2023">
        <f>MONTH(SalesData[[#This Row],[Date]])</f>
        <v>2</v>
      </c>
      <c r="AD2023">
        <f>Reference!F$4</f>
        <v>2026</v>
      </c>
      <c r="AE2023" t="str">
        <f>IF(OR(SalesData[[#This Row],[Day]]="Saturday",SalesData[[#This Row],[Day]]="Sunday"),"Weekend","Weekday")</f>
        <v>Weekday</v>
      </c>
      <c r="AF2023" s="5">
        <f>IF(SalesData[[#This Row],[Contracts Offered]]=0,0,SalesData[[#This Row],[Contracts Signed]]/SalesData[[#This Row],[Contracts Offered]])</f>
        <v>0.39240506329113922</v>
      </c>
      <c r="AG2023" s="5">
        <f>IF(SalesData[[#This Row],[Customers Visited]]=0,0,SalesData[[#This Row],[Test Drives]]/SalesData[[#This Row],[Customers Visited]])</f>
        <v>0.55384615384615388</v>
      </c>
      <c r="AH2023" s="5">
        <f>IF(SalesData[[#This Row],[Customers Visited]]=0,0,SalesData[[#This Row],[Contracts Signed]]/SalesData[[#This Row],[Customers Visited]])</f>
        <v>0.15897435897435896</v>
      </c>
      <c r="AI2023" s="6">
        <f>IF(SalesData[[#This Row],[Contracts Signed]]=0,0,SalesData[[#This Row],[Profit(€)]]/SalesData[[#This Row],[Contracts Signed]])</f>
        <v>15413</v>
      </c>
      <c r="AJ2023" s="5" t="str">
        <f>TRIM(CLEAN(SalesData[[#This Row],[Retailer]]))</f>
        <v>Stuttgart Auto Center</v>
      </c>
    </row>
    <row r="2024" spans="1:36" ht="14.25" hidden="1" x14ac:dyDescent="0.2">
      <c r="A2024" t="s">
        <v>3020</v>
      </c>
      <c r="B2024" s="1">
        <v>46075</v>
      </c>
      <c r="C2024" t="s">
        <v>53</v>
      </c>
      <c r="D2024" t="s">
        <v>41</v>
      </c>
      <c r="E2024" t="s">
        <v>42</v>
      </c>
      <c r="F2024" t="s">
        <v>74</v>
      </c>
      <c r="G2024" t="s">
        <v>75</v>
      </c>
      <c r="H2024" t="s">
        <v>76</v>
      </c>
      <c r="I2024" t="s">
        <v>56</v>
      </c>
      <c r="J2024" t="s">
        <v>179</v>
      </c>
      <c r="K2024" t="s">
        <v>66</v>
      </c>
      <c r="L2024" t="s">
        <v>67</v>
      </c>
      <c r="M2024" t="s">
        <v>34</v>
      </c>
      <c r="N2024" t="s">
        <v>48</v>
      </c>
      <c r="O2024" t="s">
        <v>36</v>
      </c>
      <c r="P2024" t="s">
        <v>58</v>
      </c>
      <c r="Q2024" t="s">
        <v>38</v>
      </c>
      <c r="R2024">
        <v>215</v>
      </c>
      <c r="S2024">
        <v>130</v>
      </c>
      <c r="T2024">
        <v>83</v>
      </c>
      <c r="U2024">
        <v>31</v>
      </c>
      <c r="V2024" t="s">
        <v>6785</v>
      </c>
      <c r="W2024">
        <v>53052</v>
      </c>
      <c r="X2024" t="s">
        <v>2299</v>
      </c>
      <c r="Y2024">
        <v>40709</v>
      </c>
      <c r="Z2024">
        <v>1644612</v>
      </c>
      <c r="AA2024">
        <v>382633</v>
      </c>
      <c r="AB2024" t="str">
        <f>(VLOOKUP(SalesData[[#This Row],[Month Number]],Reference!C$5:E$16,2,FALSE))</f>
        <v>Feb</v>
      </c>
      <c r="AC2024">
        <f>MONTH(SalesData[[#This Row],[Date]])</f>
        <v>2</v>
      </c>
      <c r="AD2024">
        <f>Reference!F$4</f>
        <v>2026</v>
      </c>
      <c r="AE2024" t="str">
        <f>IF(OR(SalesData[[#This Row],[Day]]="Saturday",SalesData[[#This Row],[Day]]="Sunday"),"Weekend","Weekday")</f>
        <v>Weekend</v>
      </c>
      <c r="AF2024" s="5">
        <f>IF(SalesData[[#This Row],[Contracts Offered]]=0,0,SalesData[[#This Row],[Contracts Signed]]/SalesData[[#This Row],[Contracts Offered]])</f>
        <v>0.37349397590361444</v>
      </c>
      <c r="AG2024" s="5">
        <f>IF(SalesData[[#This Row],[Customers Visited]]=0,0,SalesData[[#This Row],[Test Drives]]/SalesData[[#This Row],[Customers Visited]])</f>
        <v>0.60465116279069764</v>
      </c>
      <c r="AH2024" s="5">
        <f>IF(SalesData[[#This Row],[Customers Visited]]=0,0,SalesData[[#This Row],[Contracts Signed]]/SalesData[[#This Row],[Customers Visited]])</f>
        <v>0.14418604651162792</v>
      </c>
      <c r="AI2024" s="6">
        <f>IF(SalesData[[#This Row],[Contracts Signed]]=0,0,SalesData[[#This Row],[Profit(€)]]/SalesData[[#This Row],[Contracts Signed]])</f>
        <v>12343</v>
      </c>
      <c r="AJ2024" s="5" t="str">
        <f>TRIM(CLEAN(SalesData[[#This Row],[Retailer]]))</f>
        <v>Stuttgart Auto Center</v>
      </c>
    </row>
    <row r="2025" spans="1:36" ht="14.25" hidden="1" x14ac:dyDescent="0.2">
      <c r="A2025" t="s">
        <v>3022</v>
      </c>
      <c r="B2025" s="1">
        <v>46066</v>
      </c>
      <c r="C2025" t="s">
        <v>121</v>
      </c>
      <c r="D2025" t="s">
        <v>54</v>
      </c>
      <c r="E2025" t="s">
        <v>26</v>
      </c>
      <c r="F2025" t="s">
        <v>43</v>
      </c>
      <c r="G2025" t="s">
        <v>44</v>
      </c>
      <c r="H2025" t="s">
        <v>45</v>
      </c>
      <c r="I2025" t="s">
        <v>56</v>
      </c>
      <c r="J2025" t="s">
        <v>7028</v>
      </c>
      <c r="K2025" t="s">
        <v>78</v>
      </c>
      <c r="L2025" t="s">
        <v>46</v>
      </c>
      <c r="M2025" t="s">
        <v>47</v>
      </c>
      <c r="N2025" t="s">
        <v>48</v>
      </c>
      <c r="O2025" t="s">
        <v>36</v>
      </c>
      <c r="P2025" t="s">
        <v>71</v>
      </c>
      <c r="Q2025" t="s">
        <v>88</v>
      </c>
      <c r="R2025">
        <v>188</v>
      </c>
      <c r="S2025">
        <v>95</v>
      </c>
      <c r="T2025">
        <v>72</v>
      </c>
      <c r="U2025">
        <v>22</v>
      </c>
      <c r="V2025" t="s">
        <v>6658</v>
      </c>
      <c r="W2025">
        <v>53754</v>
      </c>
      <c r="X2025" t="s">
        <v>7285</v>
      </c>
      <c r="Y2025">
        <v>40560</v>
      </c>
      <c r="Z2025">
        <v>1182588</v>
      </c>
      <c r="AA2025">
        <v>290268</v>
      </c>
      <c r="AB2025" t="str">
        <f>(VLOOKUP(SalesData[[#This Row],[Month Number]],Reference!C$5:E$16,2,FALSE))</f>
        <v>Feb</v>
      </c>
      <c r="AC2025">
        <f>MONTH(SalesData[[#This Row],[Date]])</f>
        <v>2</v>
      </c>
      <c r="AD2025">
        <f>Reference!F$4</f>
        <v>2026</v>
      </c>
      <c r="AE2025" t="str">
        <f>IF(OR(SalesData[[#This Row],[Day]]="Saturday",SalesData[[#This Row],[Day]]="Sunday"),"Weekend","Weekday")</f>
        <v>Weekday</v>
      </c>
      <c r="AF2025" s="5">
        <f>IF(SalesData[[#This Row],[Contracts Offered]]=0,0,SalesData[[#This Row],[Contracts Signed]]/SalesData[[#This Row],[Contracts Offered]])</f>
        <v>0.30555555555555558</v>
      </c>
      <c r="AG2025" s="5">
        <f>IF(SalesData[[#This Row],[Customers Visited]]=0,0,SalesData[[#This Row],[Test Drives]]/SalesData[[#This Row],[Customers Visited]])</f>
        <v>0.50531914893617025</v>
      </c>
      <c r="AH2025" s="5">
        <f>IF(SalesData[[#This Row],[Customers Visited]]=0,0,SalesData[[#This Row],[Contracts Signed]]/SalesData[[#This Row],[Customers Visited]])</f>
        <v>0.11702127659574468</v>
      </c>
      <c r="AI2025" s="6">
        <f>IF(SalesData[[#This Row],[Contracts Signed]]=0,0,SalesData[[#This Row],[Profit(€)]]/SalesData[[#This Row],[Contracts Signed]])</f>
        <v>13194</v>
      </c>
      <c r="AJ2025" s="5" t="str">
        <f>TRIM(CLEAN(SalesData[[#This Row],[Retailer]]))</f>
        <v>Saxon Wheels</v>
      </c>
    </row>
    <row r="2026" spans="1:36" ht="14.25" hidden="1" x14ac:dyDescent="0.2">
      <c r="A2026" t="s">
        <v>3023</v>
      </c>
      <c r="B2026" s="1">
        <v>46054</v>
      </c>
      <c r="C2026" t="s">
        <v>24</v>
      </c>
      <c r="D2026" t="s">
        <v>41</v>
      </c>
      <c r="E2026" t="s">
        <v>42</v>
      </c>
      <c r="F2026" t="s">
        <v>127</v>
      </c>
      <c r="G2026" t="s">
        <v>128</v>
      </c>
      <c r="H2026" t="s">
        <v>103</v>
      </c>
      <c r="I2026" t="s">
        <v>116</v>
      </c>
      <c r="J2026" t="s">
        <v>7090</v>
      </c>
      <c r="K2026" t="s">
        <v>66</v>
      </c>
      <c r="L2026" t="s">
        <v>46</v>
      </c>
      <c r="M2026" t="s">
        <v>87</v>
      </c>
      <c r="N2026" t="s">
        <v>35</v>
      </c>
      <c r="O2026" t="s">
        <v>36</v>
      </c>
      <c r="P2026" t="s">
        <v>58</v>
      </c>
      <c r="Q2026" t="s">
        <v>88</v>
      </c>
      <c r="R2026">
        <v>409</v>
      </c>
      <c r="S2026">
        <v>201</v>
      </c>
      <c r="T2026">
        <v>134</v>
      </c>
      <c r="U2026">
        <v>37</v>
      </c>
      <c r="V2026" t="s">
        <v>5583</v>
      </c>
      <c r="W2026">
        <v>24429</v>
      </c>
      <c r="X2026" t="s">
        <v>222</v>
      </c>
      <c r="Y2026">
        <v>22567</v>
      </c>
      <c r="Z2026">
        <v>903873</v>
      </c>
      <c r="AA2026">
        <v>68894</v>
      </c>
      <c r="AB2026" t="str">
        <f>(VLOOKUP(SalesData[[#This Row],[Month Number]],Reference!C$5:E$16,2,FALSE))</f>
        <v>Feb</v>
      </c>
      <c r="AC2026">
        <f>MONTH(SalesData[[#This Row],[Date]])</f>
        <v>2</v>
      </c>
      <c r="AD2026">
        <f>Reference!F$4</f>
        <v>2026</v>
      </c>
      <c r="AE2026" t="str">
        <f>IF(OR(SalesData[[#This Row],[Day]]="Saturday",SalesData[[#This Row],[Day]]="Sunday"),"Weekend","Weekday")</f>
        <v>Weekend</v>
      </c>
      <c r="AF2026" s="5">
        <f>IF(SalesData[[#This Row],[Contracts Offered]]=0,0,SalesData[[#This Row],[Contracts Signed]]/SalesData[[#This Row],[Contracts Offered]])</f>
        <v>0.27611940298507465</v>
      </c>
      <c r="AG2026" s="5">
        <f>IF(SalesData[[#This Row],[Customers Visited]]=0,0,SalesData[[#This Row],[Test Drives]]/SalesData[[#This Row],[Customers Visited]])</f>
        <v>0.49144254278728605</v>
      </c>
      <c r="AH2026" s="5">
        <f>IF(SalesData[[#This Row],[Customers Visited]]=0,0,SalesData[[#This Row],[Contracts Signed]]/SalesData[[#This Row],[Customers Visited]])</f>
        <v>9.0464547677261614E-2</v>
      </c>
      <c r="AI2026" s="6">
        <f>IF(SalesData[[#This Row],[Contracts Signed]]=0,0,SalesData[[#This Row],[Profit(€)]]/SalesData[[#This Row],[Contracts Signed]])</f>
        <v>1862</v>
      </c>
      <c r="AJ2026" s="5" t="str">
        <f>TRIM(CLEAN(SalesData[[#This Row],[Retailer]]))</f>
        <v>Rhein Auto Group</v>
      </c>
    </row>
    <row r="2027" spans="1:36" ht="14.25" hidden="1" x14ac:dyDescent="0.2">
      <c r="A2027" t="s">
        <v>3024</v>
      </c>
      <c r="B2027" s="1">
        <v>46056</v>
      </c>
      <c r="C2027" t="s">
        <v>24</v>
      </c>
      <c r="D2027" t="s">
        <v>63</v>
      </c>
      <c r="E2027" t="s">
        <v>26</v>
      </c>
      <c r="F2027" t="s">
        <v>114</v>
      </c>
      <c r="G2027" t="s">
        <v>115</v>
      </c>
      <c r="H2027" t="s">
        <v>115</v>
      </c>
      <c r="I2027" t="s">
        <v>116</v>
      </c>
      <c r="J2027" t="s">
        <v>7090</v>
      </c>
      <c r="K2027" t="s">
        <v>66</v>
      </c>
      <c r="L2027" t="s">
        <v>46</v>
      </c>
      <c r="M2027" t="s">
        <v>34</v>
      </c>
      <c r="N2027" t="s">
        <v>35</v>
      </c>
      <c r="O2027" t="s">
        <v>70</v>
      </c>
      <c r="P2027" t="s">
        <v>49</v>
      </c>
      <c r="Q2027" t="s">
        <v>204</v>
      </c>
      <c r="R2027">
        <v>284</v>
      </c>
      <c r="S2027">
        <v>137</v>
      </c>
      <c r="T2027">
        <v>87</v>
      </c>
      <c r="U2027">
        <v>19</v>
      </c>
      <c r="V2027" t="s">
        <v>779</v>
      </c>
      <c r="W2027">
        <v>26134</v>
      </c>
      <c r="X2027" t="s">
        <v>4384</v>
      </c>
      <c r="Y2027">
        <v>23695</v>
      </c>
      <c r="Z2027">
        <v>496546</v>
      </c>
      <c r="AA2027">
        <v>46341</v>
      </c>
      <c r="AB2027" t="str">
        <f>(VLOOKUP(SalesData[[#This Row],[Month Number]],Reference!C$5:E$16,2,FALSE))</f>
        <v>Feb</v>
      </c>
      <c r="AC2027">
        <f>MONTH(SalesData[[#This Row],[Date]])</f>
        <v>2</v>
      </c>
      <c r="AD2027">
        <f>Reference!F$4</f>
        <v>2026</v>
      </c>
      <c r="AE2027" t="str">
        <f>IF(OR(SalesData[[#This Row],[Day]]="Saturday",SalesData[[#This Row],[Day]]="Sunday"),"Weekend","Weekday")</f>
        <v>Weekday</v>
      </c>
      <c r="AF2027" s="5">
        <f>IF(SalesData[[#This Row],[Contracts Offered]]=0,0,SalesData[[#This Row],[Contracts Signed]]/SalesData[[#This Row],[Contracts Offered]])</f>
        <v>0.21839080459770116</v>
      </c>
      <c r="AG2027" s="5">
        <f>IF(SalesData[[#This Row],[Customers Visited]]=0,0,SalesData[[#This Row],[Test Drives]]/SalesData[[#This Row],[Customers Visited]])</f>
        <v>0.48239436619718312</v>
      </c>
      <c r="AH2027" s="5">
        <f>IF(SalesData[[#This Row],[Customers Visited]]=0,0,SalesData[[#This Row],[Contracts Signed]]/SalesData[[#This Row],[Customers Visited]])</f>
        <v>6.6901408450704219E-2</v>
      </c>
      <c r="AI2027" s="6">
        <f>IF(SalesData[[#This Row],[Contracts Signed]]=0,0,SalesData[[#This Row],[Profit(€)]]/SalesData[[#This Row],[Contracts Signed]])</f>
        <v>2439</v>
      </c>
      <c r="AJ2027" s="5" t="str">
        <f>TRIM(CLEAN(SalesData[[#This Row],[Retailer]]))</f>
        <v>Elbe Drive</v>
      </c>
    </row>
    <row r="2028" spans="1:36" ht="14.25" hidden="1" x14ac:dyDescent="0.2">
      <c r="A2028" t="s">
        <v>3026</v>
      </c>
      <c r="B2028" s="1">
        <v>46068</v>
      </c>
      <c r="C2028" t="s">
        <v>62</v>
      </c>
      <c r="D2028" t="s">
        <v>41</v>
      </c>
      <c r="E2028" t="s">
        <v>42</v>
      </c>
      <c r="F2028" t="s">
        <v>83</v>
      </c>
      <c r="G2028" t="s">
        <v>84</v>
      </c>
      <c r="H2028" t="s">
        <v>85</v>
      </c>
      <c r="I2028" t="s">
        <v>56</v>
      </c>
      <c r="J2028" t="s">
        <v>7028</v>
      </c>
      <c r="K2028" t="s">
        <v>78</v>
      </c>
      <c r="L2028" t="s">
        <v>46</v>
      </c>
      <c r="M2028" t="s">
        <v>34</v>
      </c>
      <c r="N2028" t="s">
        <v>69</v>
      </c>
      <c r="O2028" t="s">
        <v>36</v>
      </c>
      <c r="P2028" t="s">
        <v>58</v>
      </c>
      <c r="Q2028" t="s">
        <v>38</v>
      </c>
      <c r="R2028">
        <v>308</v>
      </c>
      <c r="S2028">
        <v>178</v>
      </c>
      <c r="T2028">
        <v>127</v>
      </c>
      <c r="U2028">
        <v>46</v>
      </c>
      <c r="V2028" t="s">
        <v>6869</v>
      </c>
      <c r="W2028">
        <v>55856</v>
      </c>
      <c r="X2028" t="s">
        <v>7385</v>
      </c>
      <c r="Y2028">
        <v>43619</v>
      </c>
      <c r="Z2028">
        <v>2569376</v>
      </c>
      <c r="AA2028">
        <v>562902</v>
      </c>
      <c r="AB2028" t="str">
        <f>(VLOOKUP(SalesData[[#This Row],[Month Number]],Reference!C$5:E$16,2,FALSE))</f>
        <v>Feb</v>
      </c>
      <c r="AC2028">
        <f>MONTH(SalesData[[#This Row],[Date]])</f>
        <v>2</v>
      </c>
      <c r="AD2028">
        <f>Reference!F$4</f>
        <v>2026</v>
      </c>
      <c r="AE2028" t="str">
        <f>IF(OR(SalesData[[#This Row],[Day]]="Saturday",SalesData[[#This Row],[Day]]="Sunday"),"Weekend","Weekday")</f>
        <v>Weekend</v>
      </c>
      <c r="AF2028" s="5">
        <f>IF(SalesData[[#This Row],[Contracts Offered]]=0,0,SalesData[[#This Row],[Contracts Signed]]/SalesData[[#This Row],[Contracts Offered]])</f>
        <v>0.36220472440944884</v>
      </c>
      <c r="AG2028" s="5">
        <f>IF(SalesData[[#This Row],[Customers Visited]]=0,0,SalesData[[#This Row],[Test Drives]]/SalesData[[#This Row],[Customers Visited]])</f>
        <v>0.57792207792207795</v>
      </c>
      <c r="AH2028" s="5">
        <f>IF(SalesData[[#This Row],[Customers Visited]]=0,0,SalesData[[#This Row],[Contracts Signed]]/SalesData[[#This Row],[Customers Visited]])</f>
        <v>0.14935064935064934</v>
      </c>
      <c r="AI2028" s="6">
        <f>IF(SalesData[[#This Row],[Contracts Signed]]=0,0,SalesData[[#This Row],[Profit(€)]]/SalesData[[#This Row],[Contracts Signed]])</f>
        <v>12237</v>
      </c>
      <c r="AJ2028" s="5" t="str">
        <f>TRIM(CLEAN(SalesData[[#This Row],[Retailer]]))</f>
        <v>Hannover Cars</v>
      </c>
    </row>
    <row r="2029" spans="1:36" ht="14.25" hidden="1" x14ac:dyDescent="0.2">
      <c r="A2029" t="s">
        <v>3027</v>
      </c>
      <c r="B2029" s="1">
        <v>46064</v>
      </c>
      <c r="C2029" t="s">
        <v>121</v>
      </c>
      <c r="D2029" t="s">
        <v>82</v>
      </c>
      <c r="E2029" t="s">
        <v>26</v>
      </c>
      <c r="F2029" t="s">
        <v>7649</v>
      </c>
      <c r="G2029" t="s">
        <v>55</v>
      </c>
      <c r="H2029" t="s">
        <v>55</v>
      </c>
      <c r="I2029" t="s">
        <v>116</v>
      </c>
      <c r="J2029" t="s">
        <v>132</v>
      </c>
      <c r="K2029" t="s">
        <v>91</v>
      </c>
      <c r="L2029" t="s">
        <v>46</v>
      </c>
      <c r="M2029" t="s">
        <v>68</v>
      </c>
      <c r="N2029" t="s">
        <v>48</v>
      </c>
      <c r="O2029" t="s">
        <v>70</v>
      </c>
      <c r="P2029" t="s">
        <v>37</v>
      </c>
      <c r="Q2029" t="s">
        <v>347</v>
      </c>
      <c r="R2029">
        <v>347</v>
      </c>
      <c r="S2029">
        <v>165</v>
      </c>
      <c r="T2029">
        <v>107</v>
      </c>
      <c r="U2029">
        <v>30</v>
      </c>
      <c r="V2029" t="s">
        <v>752</v>
      </c>
      <c r="W2029">
        <v>21466</v>
      </c>
      <c r="X2029" t="s">
        <v>390</v>
      </c>
      <c r="Y2029">
        <v>19740</v>
      </c>
      <c r="Z2029">
        <v>643980</v>
      </c>
      <c r="AA2029">
        <v>51780</v>
      </c>
      <c r="AB2029" t="str">
        <f>(VLOOKUP(SalesData[[#This Row],[Month Number]],Reference!C$5:E$16,2,FALSE))</f>
        <v>Feb</v>
      </c>
      <c r="AC2029">
        <f>MONTH(SalesData[[#This Row],[Date]])</f>
        <v>2</v>
      </c>
      <c r="AD2029">
        <f>Reference!F$4</f>
        <v>2026</v>
      </c>
      <c r="AE2029" t="str">
        <f>IF(OR(SalesData[[#This Row],[Day]]="Saturday",SalesData[[#This Row],[Day]]="Sunday"),"Weekend","Weekday")</f>
        <v>Weekday</v>
      </c>
      <c r="AF2029" s="5">
        <f>IF(SalesData[[#This Row],[Contracts Offered]]=0,0,SalesData[[#This Row],[Contracts Signed]]/SalesData[[#This Row],[Contracts Offered]])</f>
        <v>0.28037383177570091</v>
      </c>
      <c r="AG2029" s="5">
        <f>IF(SalesData[[#This Row],[Customers Visited]]=0,0,SalesData[[#This Row],[Test Drives]]/SalesData[[#This Row],[Customers Visited]])</f>
        <v>0.47550432276657062</v>
      </c>
      <c r="AH2029" s="5">
        <f>IF(SalesData[[#This Row],[Customers Visited]]=0,0,SalesData[[#This Row],[Contracts Signed]]/SalesData[[#This Row],[Customers Visited]])</f>
        <v>8.645533141210375E-2</v>
      </c>
      <c r="AI2029" s="6">
        <f>IF(SalesData[[#This Row],[Contracts Signed]]=0,0,SalesData[[#This Row],[Profit(€)]]/SalesData[[#This Row],[Contracts Signed]])</f>
        <v>1726</v>
      </c>
      <c r="AJ2029" s="5" t="str">
        <f>TRIM(CLEAN(SalesData[[#This Row],[Retailer]]))</f>
        <v>Autohaus Berlin</v>
      </c>
    </row>
    <row r="2030" spans="1:36" ht="14.25" hidden="1" x14ac:dyDescent="0.2">
      <c r="A2030" t="s">
        <v>3028</v>
      </c>
      <c r="B2030" s="1">
        <v>46067</v>
      </c>
      <c r="C2030" t="s">
        <v>121</v>
      </c>
      <c r="D2030" t="s">
        <v>151</v>
      </c>
      <c r="E2030" t="s">
        <v>42</v>
      </c>
      <c r="F2030" t="s">
        <v>109</v>
      </c>
      <c r="G2030" t="s">
        <v>110</v>
      </c>
      <c r="H2030" t="s">
        <v>45</v>
      </c>
      <c r="I2030" t="s">
        <v>116</v>
      </c>
      <c r="J2030" t="s">
        <v>117</v>
      </c>
      <c r="K2030" t="s">
        <v>66</v>
      </c>
      <c r="L2030" t="s">
        <v>67</v>
      </c>
      <c r="M2030" t="s">
        <v>34</v>
      </c>
      <c r="N2030" t="s">
        <v>35</v>
      </c>
      <c r="O2030" t="s">
        <v>36</v>
      </c>
      <c r="P2030" t="s">
        <v>58</v>
      </c>
      <c r="Q2030" t="s">
        <v>50</v>
      </c>
      <c r="R2030">
        <v>323</v>
      </c>
      <c r="S2030">
        <v>143</v>
      </c>
      <c r="T2030">
        <v>81</v>
      </c>
      <c r="U2030">
        <v>24</v>
      </c>
      <c r="V2030" t="s">
        <v>5143</v>
      </c>
      <c r="W2030">
        <v>23969</v>
      </c>
      <c r="X2030" t="s">
        <v>1644</v>
      </c>
      <c r="Y2030">
        <v>22247</v>
      </c>
      <c r="Z2030">
        <v>575256</v>
      </c>
      <c r="AA2030">
        <v>41328</v>
      </c>
      <c r="AB2030" t="str">
        <f>(VLOOKUP(SalesData[[#This Row],[Month Number]],Reference!C$5:E$16,2,FALSE))</f>
        <v>Feb</v>
      </c>
      <c r="AC2030">
        <f>MONTH(SalesData[[#This Row],[Date]])</f>
        <v>2</v>
      </c>
      <c r="AD2030">
        <f>Reference!F$4</f>
        <v>2026</v>
      </c>
      <c r="AE2030" t="str">
        <f>IF(OR(SalesData[[#This Row],[Day]]="Saturday",SalesData[[#This Row],[Day]]="Sunday"),"Weekend","Weekday")</f>
        <v>Weekend</v>
      </c>
      <c r="AF2030" s="5">
        <f>IF(SalesData[[#This Row],[Contracts Offered]]=0,0,SalesData[[#This Row],[Contracts Signed]]/SalesData[[#This Row],[Contracts Offered]])</f>
        <v>0.29629629629629628</v>
      </c>
      <c r="AG2030" s="5">
        <f>IF(SalesData[[#This Row],[Customers Visited]]=0,0,SalesData[[#This Row],[Test Drives]]/SalesData[[#This Row],[Customers Visited]])</f>
        <v>0.44272445820433437</v>
      </c>
      <c r="AH2030" s="5">
        <f>IF(SalesData[[#This Row],[Customers Visited]]=0,0,SalesData[[#This Row],[Contracts Signed]]/SalesData[[#This Row],[Customers Visited]])</f>
        <v>7.4303405572755415E-2</v>
      </c>
      <c r="AI2030" s="6">
        <f>IF(SalesData[[#This Row],[Contracts Signed]]=0,0,SalesData[[#This Row],[Profit(€)]]/SalesData[[#This Row],[Contracts Signed]])</f>
        <v>1722</v>
      </c>
      <c r="AJ2030" s="5" t="str">
        <f>TRIM(CLEAN(SalesData[[#This Row],[Retailer]]))</f>
        <v>Leipzig Mobility</v>
      </c>
    </row>
    <row r="2031" spans="1:36" ht="14.25" hidden="1" x14ac:dyDescent="0.2">
      <c r="A2031" t="s">
        <v>3029</v>
      </c>
      <c r="B2031" s="1">
        <v>46056</v>
      </c>
      <c r="C2031" t="s">
        <v>24</v>
      </c>
      <c r="D2031" t="s">
        <v>63</v>
      </c>
      <c r="E2031" t="s">
        <v>26</v>
      </c>
      <c r="F2031" t="s">
        <v>74</v>
      </c>
      <c r="G2031" t="s">
        <v>75</v>
      </c>
      <c r="H2031" t="s">
        <v>76</v>
      </c>
      <c r="I2031" t="s">
        <v>56</v>
      </c>
      <c r="J2031" t="s">
        <v>179</v>
      </c>
      <c r="K2031" t="s">
        <v>78</v>
      </c>
      <c r="L2031" t="s">
        <v>67</v>
      </c>
      <c r="M2031" t="s">
        <v>34</v>
      </c>
      <c r="N2031" t="s">
        <v>69</v>
      </c>
      <c r="O2031" t="s">
        <v>36</v>
      </c>
      <c r="P2031" t="s">
        <v>37</v>
      </c>
      <c r="Q2031" t="s">
        <v>158</v>
      </c>
      <c r="R2031">
        <v>235</v>
      </c>
      <c r="S2031">
        <v>127</v>
      </c>
      <c r="T2031">
        <v>94</v>
      </c>
      <c r="U2031">
        <v>30</v>
      </c>
      <c r="V2031" t="s">
        <v>6466</v>
      </c>
      <c r="W2031">
        <v>45763</v>
      </c>
      <c r="X2031" t="s">
        <v>7157</v>
      </c>
      <c r="Y2031">
        <v>35568</v>
      </c>
      <c r="Z2031">
        <v>1372890</v>
      </c>
      <c r="AA2031">
        <v>305850</v>
      </c>
      <c r="AB2031" t="str">
        <f>(VLOOKUP(SalesData[[#This Row],[Month Number]],Reference!C$5:E$16,2,FALSE))</f>
        <v>Feb</v>
      </c>
      <c r="AC2031">
        <f>MONTH(SalesData[[#This Row],[Date]])</f>
        <v>2</v>
      </c>
      <c r="AD2031">
        <f>Reference!F$4</f>
        <v>2026</v>
      </c>
      <c r="AE2031" t="str">
        <f>IF(OR(SalesData[[#This Row],[Day]]="Saturday",SalesData[[#This Row],[Day]]="Sunday"),"Weekend","Weekday")</f>
        <v>Weekday</v>
      </c>
      <c r="AF2031" s="5">
        <f>IF(SalesData[[#This Row],[Contracts Offered]]=0,0,SalesData[[#This Row],[Contracts Signed]]/SalesData[[#This Row],[Contracts Offered]])</f>
        <v>0.31914893617021278</v>
      </c>
      <c r="AG2031" s="5">
        <f>IF(SalesData[[#This Row],[Customers Visited]]=0,0,SalesData[[#This Row],[Test Drives]]/SalesData[[#This Row],[Customers Visited]])</f>
        <v>0.54042553191489362</v>
      </c>
      <c r="AH2031" s="5">
        <f>IF(SalesData[[#This Row],[Customers Visited]]=0,0,SalesData[[#This Row],[Contracts Signed]]/SalesData[[#This Row],[Customers Visited]])</f>
        <v>0.1276595744680851</v>
      </c>
      <c r="AI2031" s="6">
        <f>IF(SalesData[[#This Row],[Contracts Signed]]=0,0,SalesData[[#This Row],[Profit(€)]]/SalesData[[#This Row],[Contracts Signed]])</f>
        <v>10195</v>
      </c>
      <c r="AJ2031" s="5" t="str">
        <f>TRIM(CLEAN(SalesData[[#This Row],[Retailer]]))</f>
        <v>Stuttgart Auto Center</v>
      </c>
    </row>
    <row r="2032" spans="1:36" ht="14.25" hidden="1" x14ac:dyDescent="0.2">
      <c r="A2032" t="s">
        <v>3030</v>
      </c>
      <c r="B2032" s="1">
        <v>46054</v>
      </c>
      <c r="C2032" t="s">
        <v>24</v>
      </c>
      <c r="D2032" t="s">
        <v>41</v>
      </c>
      <c r="E2032" t="s">
        <v>42</v>
      </c>
      <c r="F2032" t="s">
        <v>43</v>
      </c>
      <c r="G2032" t="s">
        <v>44</v>
      </c>
      <c r="H2032" t="s">
        <v>45</v>
      </c>
      <c r="I2032" t="s">
        <v>64</v>
      </c>
      <c r="J2032" t="s">
        <v>111</v>
      </c>
      <c r="K2032" t="s">
        <v>66</v>
      </c>
      <c r="L2032" t="s">
        <v>46</v>
      </c>
      <c r="M2032" t="s">
        <v>87</v>
      </c>
      <c r="N2032" t="s">
        <v>35</v>
      </c>
      <c r="O2032" t="s">
        <v>70</v>
      </c>
      <c r="P2032" t="s">
        <v>37</v>
      </c>
      <c r="Q2032" t="s">
        <v>106</v>
      </c>
      <c r="R2032">
        <v>218</v>
      </c>
      <c r="S2032">
        <v>103</v>
      </c>
      <c r="T2032">
        <v>79</v>
      </c>
      <c r="U2032">
        <v>23</v>
      </c>
      <c r="V2032" t="s">
        <v>6642</v>
      </c>
      <c r="W2032">
        <v>60665</v>
      </c>
      <c r="X2032" t="s">
        <v>2251</v>
      </c>
      <c r="Y2032">
        <v>43337</v>
      </c>
      <c r="Z2032">
        <v>1395295</v>
      </c>
      <c r="AA2032">
        <v>398544</v>
      </c>
      <c r="AB2032" t="str">
        <f>(VLOOKUP(SalesData[[#This Row],[Month Number]],Reference!C$5:E$16,2,FALSE))</f>
        <v>Feb</v>
      </c>
      <c r="AC2032">
        <f>MONTH(SalesData[[#This Row],[Date]])</f>
        <v>2</v>
      </c>
      <c r="AD2032">
        <f>Reference!F$4</f>
        <v>2026</v>
      </c>
      <c r="AE2032" t="str">
        <f>IF(OR(SalesData[[#This Row],[Day]]="Saturday",SalesData[[#This Row],[Day]]="Sunday"),"Weekend","Weekday")</f>
        <v>Weekend</v>
      </c>
      <c r="AF2032" s="5">
        <f>IF(SalesData[[#This Row],[Contracts Offered]]=0,0,SalesData[[#This Row],[Contracts Signed]]/SalesData[[#This Row],[Contracts Offered]])</f>
        <v>0.29113924050632911</v>
      </c>
      <c r="AG2032" s="5">
        <f>IF(SalesData[[#This Row],[Customers Visited]]=0,0,SalesData[[#This Row],[Test Drives]]/SalesData[[#This Row],[Customers Visited]])</f>
        <v>0.47247706422018348</v>
      </c>
      <c r="AH2032" s="5">
        <f>IF(SalesData[[#This Row],[Customers Visited]]=0,0,SalesData[[#This Row],[Contracts Signed]]/SalesData[[#This Row],[Customers Visited]])</f>
        <v>0.10550458715596331</v>
      </c>
      <c r="AI2032" s="6">
        <f>IF(SalesData[[#This Row],[Contracts Signed]]=0,0,SalesData[[#This Row],[Profit(€)]]/SalesData[[#This Row],[Contracts Signed]])</f>
        <v>17328</v>
      </c>
      <c r="AJ2032" s="5" t="str">
        <f>TRIM(CLEAN(SalesData[[#This Row],[Retailer]]))</f>
        <v>Saxon Wheels</v>
      </c>
    </row>
    <row r="2033" spans="1:36" ht="14.25" hidden="1" x14ac:dyDescent="0.2">
      <c r="A2033" t="s">
        <v>3031</v>
      </c>
      <c r="B2033" s="1">
        <v>46067</v>
      </c>
      <c r="C2033" t="s">
        <v>121</v>
      </c>
      <c r="D2033" t="s">
        <v>151</v>
      </c>
      <c r="E2033" t="s">
        <v>42</v>
      </c>
      <c r="F2033" t="s">
        <v>127</v>
      </c>
      <c r="G2033" t="s">
        <v>128</v>
      </c>
      <c r="H2033" t="s">
        <v>103</v>
      </c>
      <c r="I2033" t="s">
        <v>116</v>
      </c>
      <c r="J2033" t="s">
        <v>203</v>
      </c>
      <c r="K2033" t="s">
        <v>91</v>
      </c>
      <c r="L2033" t="s">
        <v>67</v>
      </c>
      <c r="M2033" t="s">
        <v>47</v>
      </c>
      <c r="N2033" t="s">
        <v>48</v>
      </c>
      <c r="O2033" t="s">
        <v>36</v>
      </c>
      <c r="P2033" t="s">
        <v>58</v>
      </c>
      <c r="Q2033" t="s">
        <v>106</v>
      </c>
      <c r="R2033">
        <v>363</v>
      </c>
      <c r="S2033">
        <v>200</v>
      </c>
      <c r="T2033">
        <v>135</v>
      </c>
      <c r="U2033">
        <v>42</v>
      </c>
      <c r="V2033" t="s">
        <v>6790</v>
      </c>
      <c r="W2033">
        <v>20727</v>
      </c>
      <c r="X2033" t="s">
        <v>7458</v>
      </c>
      <c r="Y2033">
        <v>18835</v>
      </c>
      <c r="Z2033">
        <v>870534</v>
      </c>
      <c r="AA2033">
        <v>79464</v>
      </c>
      <c r="AB2033" t="str">
        <f>(VLOOKUP(SalesData[[#This Row],[Month Number]],Reference!C$5:E$16,2,FALSE))</f>
        <v>Feb</v>
      </c>
      <c r="AC2033">
        <f>MONTH(SalesData[[#This Row],[Date]])</f>
        <v>2</v>
      </c>
      <c r="AD2033">
        <f>Reference!F$4</f>
        <v>2026</v>
      </c>
      <c r="AE2033" t="str">
        <f>IF(OR(SalesData[[#This Row],[Day]]="Saturday",SalesData[[#This Row],[Day]]="Sunday"),"Weekend","Weekday")</f>
        <v>Weekend</v>
      </c>
      <c r="AF2033" s="5">
        <f>IF(SalesData[[#This Row],[Contracts Offered]]=0,0,SalesData[[#This Row],[Contracts Signed]]/SalesData[[#This Row],[Contracts Offered]])</f>
        <v>0.31111111111111112</v>
      </c>
      <c r="AG2033" s="5">
        <f>IF(SalesData[[#This Row],[Customers Visited]]=0,0,SalesData[[#This Row],[Test Drives]]/SalesData[[#This Row],[Customers Visited]])</f>
        <v>0.55096418732782371</v>
      </c>
      <c r="AH2033" s="5">
        <f>IF(SalesData[[#This Row],[Customers Visited]]=0,0,SalesData[[#This Row],[Contracts Signed]]/SalesData[[#This Row],[Customers Visited]])</f>
        <v>0.11570247933884298</v>
      </c>
      <c r="AI2033" s="6">
        <f>IF(SalesData[[#This Row],[Contracts Signed]]=0,0,SalesData[[#This Row],[Profit(€)]]/SalesData[[#This Row],[Contracts Signed]])</f>
        <v>1892</v>
      </c>
      <c r="AJ2033" s="5" t="str">
        <f>TRIM(CLEAN(SalesData[[#This Row],[Retailer]]))</f>
        <v>Rhein Auto Group</v>
      </c>
    </row>
    <row r="2034" spans="1:36" ht="14.25" hidden="1" x14ac:dyDescent="0.2">
      <c r="A2034" t="s">
        <v>3032</v>
      </c>
      <c r="B2034" s="1">
        <v>46059</v>
      </c>
      <c r="C2034" t="s">
        <v>24</v>
      </c>
      <c r="D2034" t="s">
        <v>54</v>
      </c>
      <c r="E2034" t="s">
        <v>26</v>
      </c>
      <c r="F2034" t="s">
        <v>101</v>
      </c>
      <c r="G2034" t="s">
        <v>102</v>
      </c>
      <c r="H2034" t="s">
        <v>103</v>
      </c>
      <c r="I2034" t="s">
        <v>104</v>
      </c>
      <c r="J2034" t="s">
        <v>105</v>
      </c>
      <c r="K2034" t="s">
        <v>66</v>
      </c>
      <c r="L2034" t="s">
        <v>33</v>
      </c>
      <c r="M2034" t="s">
        <v>68</v>
      </c>
      <c r="N2034" t="s">
        <v>48</v>
      </c>
      <c r="O2034" t="s">
        <v>70</v>
      </c>
      <c r="P2034" t="s">
        <v>49</v>
      </c>
      <c r="Q2034" t="s">
        <v>167</v>
      </c>
      <c r="R2034">
        <v>473</v>
      </c>
      <c r="S2034">
        <v>273</v>
      </c>
      <c r="T2034">
        <v>173</v>
      </c>
      <c r="U2034">
        <v>40</v>
      </c>
      <c r="V2034" t="s">
        <v>1207</v>
      </c>
      <c r="W2034">
        <v>30534</v>
      </c>
      <c r="X2034" t="s">
        <v>1701</v>
      </c>
      <c r="Y2034">
        <v>26556</v>
      </c>
      <c r="Z2034">
        <v>1221360</v>
      </c>
      <c r="AA2034">
        <v>159120</v>
      </c>
      <c r="AB2034" t="str">
        <f>(VLOOKUP(SalesData[[#This Row],[Month Number]],Reference!C$5:E$16,2,FALSE))</f>
        <v>Feb</v>
      </c>
      <c r="AC2034">
        <f>MONTH(SalesData[[#This Row],[Date]])</f>
        <v>2</v>
      </c>
      <c r="AD2034">
        <f>Reference!F$4</f>
        <v>2026</v>
      </c>
      <c r="AE2034" t="str">
        <f>IF(OR(SalesData[[#This Row],[Day]]="Saturday",SalesData[[#This Row],[Day]]="Sunday"),"Weekend","Weekday")</f>
        <v>Weekday</v>
      </c>
      <c r="AF2034" s="5">
        <f>IF(SalesData[[#This Row],[Contracts Offered]]=0,0,SalesData[[#This Row],[Contracts Signed]]/SalesData[[#This Row],[Contracts Offered]])</f>
        <v>0.23121387283236994</v>
      </c>
      <c r="AG2034" s="5">
        <f>IF(SalesData[[#This Row],[Customers Visited]]=0,0,SalesData[[#This Row],[Test Drives]]/SalesData[[#This Row],[Customers Visited]])</f>
        <v>0.57716701902748413</v>
      </c>
      <c r="AH2034" s="5">
        <f>IF(SalesData[[#This Row],[Customers Visited]]=0,0,SalesData[[#This Row],[Contracts Signed]]/SalesData[[#This Row],[Customers Visited]])</f>
        <v>8.4566596194503171E-2</v>
      </c>
      <c r="AI2034" s="6">
        <f>IF(SalesData[[#This Row],[Contracts Signed]]=0,0,SalesData[[#This Row],[Profit(€)]]/SalesData[[#This Row],[Contracts Signed]])</f>
        <v>3978</v>
      </c>
      <c r="AJ2034" s="5" t="str">
        <f>TRIM(CLEAN(SalesData[[#This Row],[Retailer]]))</f>
        <v>Ruhr Auto Plaza</v>
      </c>
    </row>
    <row r="2035" spans="1:36" ht="14.25" hidden="1" x14ac:dyDescent="0.2">
      <c r="A2035" t="s">
        <v>3033</v>
      </c>
      <c r="B2035" s="1">
        <v>46068</v>
      </c>
      <c r="C2035" t="s">
        <v>62</v>
      </c>
      <c r="D2035" t="s">
        <v>41</v>
      </c>
      <c r="E2035" t="s">
        <v>42</v>
      </c>
      <c r="F2035" t="s">
        <v>127</v>
      </c>
      <c r="G2035" t="s">
        <v>128</v>
      </c>
      <c r="H2035" t="s">
        <v>103</v>
      </c>
      <c r="I2035" t="s">
        <v>104</v>
      </c>
      <c r="J2035" t="s">
        <v>140</v>
      </c>
      <c r="K2035" t="s">
        <v>78</v>
      </c>
      <c r="L2035" t="s">
        <v>46</v>
      </c>
      <c r="M2035" t="s">
        <v>68</v>
      </c>
      <c r="N2035" t="s">
        <v>35</v>
      </c>
      <c r="O2035" t="s">
        <v>70</v>
      </c>
      <c r="P2035" t="s">
        <v>58</v>
      </c>
      <c r="Q2035" t="s">
        <v>135</v>
      </c>
      <c r="R2035">
        <v>407</v>
      </c>
      <c r="S2035">
        <v>179</v>
      </c>
      <c r="T2035">
        <v>118</v>
      </c>
      <c r="U2035">
        <v>32</v>
      </c>
      <c r="V2035" t="s">
        <v>2232</v>
      </c>
      <c r="W2035">
        <v>28292</v>
      </c>
      <c r="X2035" t="s">
        <v>2685</v>
      </c>
      <c r="Y2035">
        <v>24671</v>
      </c>
      <c r="Z2035">
        <v>905344</v>
      </c>
      <c r="AA2035">
        <v>115872</v>
      </c>
      <c r="AB2035" t="str">
        <f>(VLOOKUP(SalesData[[#This Row],[Month Number]],Reference!C$5:E$16,2,FALSE))</f>
        <v>Feb</v>
      </c>
      <c r="AC2035">
        <f>MONTH(SalesData[[#This Row],[Date]])</f>
        <v>2</v>
      </c>
      <c r="AD2035">
        <f>Reference!F$4</f>
        <v>2026</v>
      </c>
      <c r="AE2035" t="str">
        <f>IF(OR(SalesData[[#This Row],[Day]]="Saturday",SalesData[[#This Row],[Day]]="Sunday"),"Weekend","Weekday")</f>
        <v>Weekend</v>
      </c>
      <c r="AF2035" s="5">
        <f>IF(SalesData[[#This Row],[Contracts Offered]]=0,0,SalesData[[#This Row],[Contracts Signed]]/SalesData[[#This Row],[Contracts Offered]])</f>
        <v>0.2711864406779661</v>
      </c>
      <c r="AG2035" s="5">
        <f>IF(SalesData[[#This Row],[Customers Visited]]=0,0,SalesData[[#This Row],[Test Drives]]/SalesData[[#This Row],[Customers Visited]])</f>
        <v>0.43980343980343978</v>
      </c>
      <c r="AH2035" s="5">
        <f>IF(SalesData[[#This Row],[Customers Visited]]=0,0,SalesData[[#This Row],[Contracts Signed]]/SalesData[[#This Row],[Customers Visited]])</f>
        <v>7.8624078624078622E-2</v>
      </c>
      <c r="AI2035" s="6">
        <f>IF(SalesData[[#This Row],[Contracts Signed]]=0,0,SalesData[[#This Row],[Profit(€)]]/SalesData[[#This Row],[Contracts Signed]])</f>
        <v>3621</v>
      </c>
      <c r="AJ2035" s="5" t="str">
        <f>TRIM(CLEAN(SalesData[[#This Row],[Retailer]]))</f>
        <v>Rhein Auto Group</v>
      </c>
    </row>
    <row r="2036" spans="1:36" ht="14.25" x14ac:dyDescent="0.2">
      <c r="A2036" t="s">
        <v>3034</v>
      </c>
      <c r="B2036" s="1">
        <v>46076</v>
      </c>
      <c r="C2036" t="s">
        <v>53</v>
      </c>
      <c r="D2036" t="s">
        <v>25</v>
      </c>
      <c r="E2036" t="s">
        <v>26</v>
      </c>
      <c r="F2036" t="s">
        <v>109</v>
      </c>
      <c r="G2036" t="s">
        <v>110</v>
      </c>
      <c r="H2036" t="s">
        <v>45</v>
      </c>
      <c r="I2036" t="s">
        <v>30</v>
      </c>
      <c r="J2036" t="s">
        <v>188</v>
      </c>
      <c r="K2036" t="s">
        <v>32</v>
      </c>
      <c r="L2036" t="s">
        <v>33</v>
      </c>
      <c r="M2036" t="s">
        <v>47</v>
      </c>
      <c r="N2036" t="s">
        <v>69</v>
      </c>
      <c r="O2036" t="s">
        <v>70</v>
      </c>
      <c r="P2036" t="s">
        <v>58</v>
      </c>
      <c r="Q2036" t="s">
        <v>122</v>
      </c>
      <c r="R2036">
        <v>246</v>
      </c>
      <c r="S2036">
        <v>130</v>
      </c>
      <c r="T2036">
        <v>94</v>
      </c>
      <c r="U2036">
        <v>39</v>
      </c>
      <c r="V2036" t="s">
        <v>7100</v>
      </c>
      <c r="W2036">
        <v>67497</v>
      </c>
      <c r="X2036" t="s">
        <v>7501</v>
      </c>
      <c r="Y2036">
        <v>49765</v>
      </c>
      <c r="Z2036">
        <v>2632383</v>
      </c>
      <c r="AA2036">
        <v>691548</v>
      </c>
      <c r="AB2036" t="str">
        <f>(VLOOKUP(SalesData[[#This Row],[Month Number]],Reference!C$5:E$16,2,FALSE))</f>
        <v>Feb</v>
      </c>
      <c r="AC2036">
        <f>MONTH(SalesData[[#This Row],[Date]])</f>
        <v>2</v>
      </c>
      <c r="AD2036">
        <f>Reference!F$4</f>
        <v>2026</v>
      </c>
      <c r="AE2036" t="str">
        <f>IF(OR(SalesData[[#This Row],[Day]]="Saturday",SalesData[[#This Row],[Day]]="Sunday"),"Weekend","Weekday")</f>
        <v>Weekday</v>
      </c>
      <c r="AF2036" s="5">
        <f>IF(SalesData[[#This Row],[Contracts Offered]]=0,0,SalesData[[#This Row],[Contracts Signed]]/SalesData[[#This Row],[Contracts Offered]])</f>
        <v>0.41489361702127658</v>
      </c>
      <c r="AG2036" s="5">
        <f>IF(SalesData[[#This Row],[Customers Visited]]=0,0,SalesData[[#This Row],[Test Drives]]/SalesData[[#This Row],[Customers Visited]])</f>
        <v>0.52845528455284552</v>
      </c>
      <c r="AH2036" s="5">
        <f>IF(SalesData[[#This Row],[Customers Visited]]=0,0,SalesData[[#This Row],[Contracts Signed]]/SalesData[[#This Row],[Customers Visited]])</f>
        <v>0.15853658536585366</v>
      </c>
      <c r="AI2036" s="6">
        <f>IF(SalesData[[#This Row],[Contracts Signed]]=0,0,SalesData[[#This Row],[Profit(€)]]/SalesData[[#This Row],[Contracts Signed]])</f>
        <v>17732</v>
      </c>
      <c r="AJ2036" s="5" t="str">
        <f>TRIM(CLEAN(SalesData[[#This Row],[Retailer]]))</f>
        <v>Leipzig Mobility</v>
      </c>
    </row>
    <row r="2037" spans="1:36" ht="14.25" hidden="1" x14ac:dyDescent="0.2">
      <c r="A2037" t="s">
        <v>3036</v>
      </c>
      <c r="B2037" s="1">
        <v>46065</v>
      </c>
      <c r="C2037" t="s">
        <v>121</v>
      </c>
      <c r="D2037" t="s">
        <v>100</v>
      </c>
      <c r="E2037" t="s">
        <v>26</v>
      </c>
      <c r="F2037" t="s">
        <v>27</v>
      </c>
      <c r="G2037" t="s">
        <v>28</v>
      </c>
      <c r="H2037" t="s">
        <v>29</v>
      </c>
      <c r="I2037" t="s">
        <v>56</v>
      </c>
      <c r="J2037" t="s">
        <v>137</v>
      </c>
      <c r="K2037" t="s">
        <v>91</v>
      </c>
      <c r="L2037" t="s">
        <v>46</v>
      </c>
      <c r="M2037" t="s">
        <v>47</v>
      </c>
      <c r="N2037" t="s">
        <v>48</v>
      </c>
      <c r="O2037" t="s">
        <v>36</v>
      </c>
      <c r="P2037" t="s">
        <v>58</v>
      </c>
      <c r="Q2037" t="s">
        <v>204</v>
      </c>
      <c r="R2037">
        <v>190</v>
      </c>
      <c r="S2037">
        <v>102</v>
      </c>
      <c r="T2037">
        <v>75</v>
      </c>
      <c r="U2037">
        <v>24</v>
      </c>
      <c r="V2037" t="s">
        <v>6439</v>
      </c>
      <c r="W2037">
        <v>52043</v>
      </c>
      <c r="X2037" t="s">
        <v>7468</v>
      </c>
      <c r="Y2037">
        <v>42345</v>
      </c>
      <c r="Z2037">
        <v>1249032</v>
      </c>
      <c r="AA2037">
        <v>232752</v>
      </c>
      <c r="AB2037" t="str">
        <f>(VLOOKUP(SalesData[[#This Row],[Month Number]],Reference!C$5:E$16,2,FALSE))</f>
        <v>Feb</v>
      </c>
      <c r="AC2037">
        <f>MONTH(SalesData[[#This Row],[Date]])</f>
        <v>2</v>
      </c>
      <c r="AD2037">
        <f>Reference!F$4</f>
        <v>2026</v>
      </c>
      <c r="AE2037" t="str">
        <f>IF(OR(SalesData[[#This Row],[Day]]="Saturday",SalesData[[#This Row],[Day]]="Sunday"),"Weekend","Weekday")</f>
        <v>Weekday</v>
      </c>
      <c r="AF2037" s="5">
        <f>IF(SalesData[[#This Row],[Contracts Offered]]=0,0,SalesData[[#This Row],[Contracts Signed]]/SalesData[[#This Row],[Contracts Offered]])</f>
        <v>0.32</v>
      </c>
      <c r="AG2037" s="5">
        <f>IF(SalesData[[#This Row],[Customers Visited]]=0,0,SalesData[[#This Row],[Test Drives]]/SalesData[[#This Row],[Customers Visited]])</f>
        <v>0.5368421052631579</v>
      </c>
      <c r="AH2037" s="5">
        <f>IF(SalesData[[#This Row],[Customers Visited]]=0,0,SalesData[[#This Row],[Contracts Signed]]/SalesData[[#This Row],[Customers Visited]])</f>
        <v>0.12631578947368421</v>
      </c>
      <c r="AI2037" s="6">
        <f>IF(SalesData[[#This Row],[Contracts Signed]]=0,0,SalesData[[#This Row],[Profit(€)]]/SalesData[[#This Row],[Contracts Signed]])</f>
        <v>9698</v>
      </c>
      <c r="AJ2037" s="5" t="str">
        <f>TRIM(CLEAN(SalesData[[#This Row],[Retailer]]))</f>
        <v>Main Auto Hub</v>
      </c>
    </row>
    <row r="2038" spans="1:36" ht="14.25" hidden="1" x14ac:dyDescent="0.2">
      <c r="A2038" t="s">
        <v>3037</v>
      </c>
      <c r="B2038" s="1">
        <v>46072</v>
      </c>
      <c r="C2038" t="s">
        <v>62</v>
      </c>
      <c r="D2038" t="s">
        <v>100</v>
      </c>
      <c r="E2038" t="s">
        <v>26</v>
      </c>
      <c r="F2038" t="s">
        <v>109</v>
      </c>
      <c r="G2038" t="s">
        <v>110</v>
      </c>
      <c r="H2038" t="s">
        <v>45</v>
      </c>
      <c r="I2038" t="s">
        <v>116</v>
      </c>
      <c r="J2038" t="s">
        <v>117</v>
      </c>
      <c r="K2038" t="s">
        <v>78</v>
      </c>
      <c r="L2038" t="s">
        <v>67</v>
      </c>
      <c r="M2038" t="s">
        <v>87</v>
      </c>
      <c r="N2038" t="s">
        <v>69</v>
      </c>
      <c r="O2038" t="s">
        <v>70</v>
      </c>
      <c r="P2038" t="s">
        <v>49</v>
      </c>
      <c r="Q2038" t="s">
        <v>79</v>
      </c>
      <c r="R2038">
        <v>250</v>
      </c>
      <c r="S2038">
        <v>138</v>
      </c>
      <c r="T2038">
        <v>94</v>
      </c>
      <c r="U2038">
        <v>18</v>
      </c>
      <c r="V2038" t="s">
        <v>1278</v>
      </c>
      <c r="W2038">
        <v>22926</v>
      </c>
      <c r="X2038" t="s">
        <v>506</v>
      </c>
      <c r="Y2038">
        <v>20681</v>
      </c>
      <c r="Z2038">
        <v>412668</v>
      </c>
      <c r="AA2038">
        <v>40410</v>
      </c>
      <c r="AB2038" t="str">
        <f>(VLOOKUP(SalesData[[#This Row],[Month Number]],Reference!C$5:E$16,2,FALSE))</f>
        <v>Feb</v>
      </c>
      <c r="AC2038">
        <f>MONTH(SalesData[[#This Row],[Date]])</f>
        <v>2</v>
      </c>
      <c r="AD2038">
        <f>Reference!F$4</f>
        <v>2026</v>
      </c>
      <c r="AE2038" t="str">
        <f>IF(OR(SalesData[[#This Row],[Day]]="Saturday",SalesData[[#This Row],[Day]]="Sunday"),"Weekend","Weekday")</f>
        <v>Weekday</v>
      </c>
      <c r="AF2038" s="5">
        <f>IF(SalesData[[#This Row],[Contracts Offered]]=0,0,SalesData[[#This Row],[Contracts Signed]]/SalesData[[#This Row],[Contracts Offered]])</f>
        <v>0.19148936170212766</v>
      </c>
      <c r="AG2038" s="5">
        <f>IF(SalesData[[#This Row],[Customers Visited]]=0,0,SalesData[[#This Row],[Test Drives]]/SalesData[[#This Row],[Customers Visited]])</f>
        <v>0.55200000000000005</v>
      </c>
      <c r="AH2038" s="5">
        <f>IF(SalesData[[#This Row],[Customers Visited]]=0,0,SalesData[[#This Row],[Contracts Signed]]/SalesData[[#This Row],[Customers Visited]])</f>
        <v>7.1999999999999995E-2</v>
      </c>
      <c r="AI2038" s="6">
        <f>IF(SalesData[[#This Row],[Contracts Signed]]=0,0,SalesData[[#This Row],[Profit(€)]]/SalesData[[#This Row],[Contracts Signed]])</f>
        <v>2245</v>
      </c>
      <c r="AJ2038" s="5" t="str">
        <f>TRIM(CLEAN(SalesData[[#This Row],[Retailer]]))</f>
        <v>Leipzig Mobility</v>
      </c>
    </row>
    <row r="2039" spans="1:36" ht="14.25" hidden="1" x14ac:dyDescent="0.2">
      <c r="A2039" t="s">
        <v>3039</v>
      </c>
      <c r="B2039" s="1">
        <v>46080</v>
      </c>
      <c r="C2039" t="s">
        <v>53</v>
      </c>
      <c r="D2039" t="s">
        <v>54</v>
      </c>
      <c r="E2039" t="s">
        <v>26</v>
      </c>
      <c r="F2039" t="s">
        <v>7649</v>
      </c>
      <c r="G2039" t="s">
        <v>55</v>
      </c>
      <c r="H2039" t="s">
        <v>55</v>
      </c>
      <c r="I2039" t="s">
        <v>116</v>
      </c>
      <c r="J2039" t="s">
        <v>7090</v>
      </c>
      <c r="K2039" t="s">
        <v>32</v>
      </c>
      <c r="L2039" t="s">
        <v>46</v>
      </c>
      <c r="M2039" t="s">
        <v>68</v>
      </c>
      <c r="N2039" t="s">
        <v>35</v>
      </c>
      <c r="O2039" t="s">
        <v>36</v>
      </c>
      <c r="P2039" t="s">
        <v>37</v>
      </c>
      <c r="Q2039" t="s">
        <v>172</v>
      </c>
      <c r="R2039">
        <v>288</v>
      </c>
      <c r="S2039">
        <v>159</v>
      </c>
      <c r="T2039">
        <v>98</v>
      </c>
      <c r="U2039">
        <v>26</v>
      </c>
      <c r="V2039" t="s">
        <v>2087</v>
      </c>
      <c r="W2039">
        <v>26176</v>
      </c>
      <c r="X2039" t="s">
        <v>7484</v>
      </c>
      <c r="Y2039">
        <v>24243</v>
      </c>
      <c r="Z2039">
        <v>680576</v>
      </c>
      <c r="AA2039">
        <v>50258</v>
      </c>
      <c r="AB2039" t="str">
        <f>(VLOOKUP(SalesData[[#This Row],[Month Number]],Reference!C$5:E$16,2,FALSE))</f>
        <v>Feb</v>
      </c>
      <c r="AC2039">
        <f>MONTH(SalesData[[#This Row],[Date]])</f>
        <v>2</v>
      </c>
      <c r="AD2039">
        <f>Reference!F$4</f>
        <v>2026</v>
      </c>
      <c r="AE2039" t="str">
        <f>IF(OR(SalesData[[#This Row],[Day]]="Saturday",SalesData[[#This Row],[Day]]="Sunday"),"Weekend","Weekday")</f>
        <v>Weekday</v>
      </c>
      <c r="AF2039" s="5">
        <f>IF(SalesData[[#This Row],[Contracts Offered]]=0,0,SalesData[[#This Row],[Contracts Signed]]/SalesData[[#This Row],[Contracts Offered]])</f>
        <v>0.26530612244897961</v>
      </c>
      <c r="AG2039" s="5">
        <f>IF(SalesData[[#This Row],[Customers Visited]]=0,0,SalesData[[#This Row],[Test Drives]]/SalesData[[#This Row],[Customers Visited]])</f>
        <v>0.55208333333333337</v>
      </c>
      <c r="AH2039" s="5">
        <f>IF(SalesData[[#This Row],[Customers Visited]]=0,0,SalesData[[#This Row],[Contracts Signed]]/SalesData[[#This Row],[Customers Visited]])</f>
        <v>9.0277777777777776E-2</v>
      </c>
      <c r="AI2039" s="6">
        <f>IF(SalesData[[#This Row],[Contracts Signed]]=0,0,SalesData[[#This Row],[Profit(€)]]/SalesData[[#This Row],[Contracts Signed]])</f>
        <v>1933</v>
      </c>
      <c r="AJ2039" s="5" t="str">
        <f>TRIM(CLEAN(SalesData[[#This Row],[Retailer]]))</f>
        <v>Autohaus Berlin</v>
      </c>
    </row>
    <row r="2040" spans="1:36" ht="14.25" hidden="1" x14ac:dyDescent="0.2">
      <c r="A2040" t="s">
        <v>3040</v>
      </c>
      <c r="B2040" s="1">
        <v>46069</v>
      </c>
      <c r="C2040" t="s">
        <v>62</v>
      </c>
      <c r="D2040" t="s">
        <v>25</v>
      </c>
      <c r="E2040" t="s">
        <v>26</v>
      </c>
      <c r="F2040" t="s">
        <v>114</v>
      </c>
      <c r="G2040" t="s">
        <v>115</v>
      </c>
      <c r="H2040" t="s">
        <v>115</v>
      </c>
      <c r="I2040" t="s">
        <v>116</v>
      </c>
      <c r="J2040" t="s">
        <v>117</v>
      </c>
      <c r="K2040" t="s">
        <v>78</v>
      </c>
      <c r="L2040" t="s">
        <v>67</v>
      </c>
      <c r="M2040" t="s">
        <v>87</v>
      </c>
      <c r="N2040" t="s">
        <v>48</v>
      </c>
      <c r="O2040" t="s">
        <v>70</v>
      </c>
      <c r="P2040" t="s">
        <v>71</v>
      </c>
      <c r="Q2040" t="s">
        <v>129</v>
      </c>
      <c r="R2040">
        <v>387</v>
      </c>
      <c r="S2040">
        <v>213</v>
      </c>
      <c r="T2040">
        <v>128</v>
      </c>
      <c r="U2040">
        <v>36</v>
      </c>
      <c r="V2040" t="s">
        <v>4622</v>
      </c>
      <c r="W2040">
        <v>25604</v>
      </c>
      <c r="X2040" t="s">
        <v>421</v>
      </c>
      <c r="Y2040">
        <v>23755</v>
      </c>
      <c r="Z2040">
        <v>921744</v>
      </c>
      <c r="AA2040">
        <v>66564</v>
      </c>
      <c r="AB2040" t="str">
        <f>(VLOOKUP(SalesData[[#This Row],[Month Number]],Reference!C$5:E$16,2,FALSE))</f>
        <v>Feb</v>
      </c>
      <c r="AC2040">
        <f>MONTH(SalesData[[#This Row],[Date]])</f>
        <v>2</v>
      </c>
      <c r="AD2040">
        <f>Reference!F$4</f>
        <v>2026</v>
      </c>
      <c r="AE2040" t="str">
        <f>IF(OR(SalesData[[#This Row],[Day]]="Saturday",SalesData[[#This Row],[Day]]="Sunday"),"Weekend","Weekday")</f>
        <v>Weekday</v>
      </c>
      <c r="AF2040" s="5">
        <f>IF(SalesData[[#This Row],[Contracts Offered]]=0,0,SalesData[[#This Row],[Contracts Signed]]/SalesData[[#This Row],[Contracts Offered]])</f>
        <v>0.28125</v>
      </c>
      <c r="AG2040" s="5">
        <f>IF(SalesData[[#This Row],[Customers Visited]]=0,0,SalesData[[#This Row],[Test Drives]]/SalesData[[#This Row],[Customers Visited]])</f>
        <v>0.55038759689922478</v>
      </c>
      <c r="AH2040" s="5">
        <f>IF(SalesData[[#This Row],[Customers Visited]]=0,0,SalesData[[#This Row],[Contracts Signed]]/SalesData[[#This Row],[Customers Visited]])</f>
        <v>9.3023255813953487E-2</v>
      </c>
      <c r="AI2040" s="6">
        <f>IF(SalesData[[#This Row],[Contracts Signed]]=0,0,SalesData[[#This Row],[Profit(€)]]/SalesData[[#This Row],[Contracts Signed]])</f>
        <v>1849</v>
      </c>
      <c r="AJ2040" s="5" t="str">
        <f>TRIM(CLEAN(SalesData[[#This Row],[Retailer]]))</f>
        <v>Elbe Drive</v>
      </c>
    </row>
    <row r="2041" spans="1:36" ht="14.25" hidden="1" x14ac:dyDescent="0.2">
      <c r="A2041" t="s">
        <v>3041</v>
      </c>
      <c r="B2041" s="1">
        <v>46074</v>
      </c>
      <c r="C2041" t="s">
        <v>62</v>
      </c>
      <c r="D2041" t="s">
        <v>151</v>
      </c>
      <c r="E2041" t="s">
        <v>42</v>
      </c>
      <c r="F2041" t="s">
        <v>114</v>
      </c>
      <c r="G2041" t="s">
        <v>115</v>
      </c>
      <c r="H2041" t="s">
        <v>115</v>
      </c>
      <c r="I2041" t="s">
        <v>116</v>
      </c>
      <c r="J2041" t="s">
        <v>203</v>
      </c>
      <c r="K2041" t="s">
        <v>91</v>
      </c>
      <c r="L2041" t="s">
        <v>67</v>
      </c>
      <c r="M2041" t="s">
        <v>47</v>
      </c>
      <c r="N2041" t="s">
        <v>35</v>
      </c>
      <c r="O2041" t="s">
        <v>36</v>
      </c>
      <c r="P2041" t="s">
        <v>58</v>
      </c>
      <c r="Q2041" t="s">
        <v>129</v>
      </c>
      <c r="R2041">
        <v>390</v>
      </c>
      <c r="S2041">
        <v>175</v>
      </c>
      <c r="T2041">
        <v>122</v>
      </c>
      <c r="U2041">
        <v>34</v>
      </c>
      <c r="V2041" t="s">
        <v>3843</v>
      </c>
      <c r="W2041">
        <v>21921</v>
      </c>
      <c r="X2041" t="s">
        <v>3099</v>
      </c>
      <c r="Y2041">
        <v>19950</v>
      </c>
      <c r="Z2041">
        <v>745314</v>
      </c>
      <c r="AA2041">
        <v>67014</v>
      </c>
      <c r="AB2041" t="str">
        <f>(VLOOKUP(SalesData[[#This Row],[Month Number]],Reference!C$5:E$16,2,FALSE))</f>
        <v>Feb</v>
      </c>
      <c r="AC2041">
        <f>MONTH(SalesData[[#This Row],[Date]])</f>
        <v>2</v>
      </c>
      <c r="AD2041">
        <f>Reference!F$4</f>
        <v>2026</v>
      </c>
      <c r="AE2041" t="str">
        <f>IF(OR(SalesData[[#This Row],[Day]]="Saturday",SalesData[[#This Row],[Day]]="Sunday"),"Weekend","Weekday")</f>
        <v>Weekend</v>
      </c>
      <c r="AF2041" s="5">
        <f>IF(SalesData[[#This Row],[Contracts Offered]]=0,0,SalesData[[#This Row],[Contracts Signed]]/SalesData[[#This Row],[Contracts Offered]])</f>
        <v>0.27868852459016391</v>
      </c>
      <c r="AG2041" s="5">
        <f>IF(SalesData[[#This Row],[Customers Visited]]=0,0,SalesData[[#This Row],[Test Drives]]/SalesData[[#This Row],[Customers Visited]])</f>
        <v>0.44871794871794873</v>
      </c>
      <c r="AH2041" s="5">
        <f>IF(SalesData[[#This Row],[Customers Visited]]=0,0,SalesData[[#This Row],[Contracts Signed]]/SalesData[[#This Row],[Customers Visited]])</f>
        <v>8.7179487179487175E-2</v>
      </c>
      <c r="AI2041" s="6">
        <f>IF(SalesData[[#This Row],[Contracts Signed]]=0,0,SalesData[[#This Row],[Profit(€)]]/SalesData[[#This Row],[Contracts Signed]])</f>
        <v>1971</v>
      </c>
      <c r="AJ2041" s="5" t="str">
        <f>TRIM(CLEAN(SalesData[[#This Row],[Retailer]]))</f>
        <v>Elbe Drive</v>
      </c>
    </row>
    <row r="2042" spans="1:36" ht="14.25" x14ac:dyDescent="0.2">
      <c r="A2042" t="s">
        <v>3043</v>
      </c>
      <c r="B2042" s="1">
        <v>46063</v>
      </c>
      <c r="C2042" t="s">
        <v>121</v>
      </c>
      <c r="D2042" t="s">
        <v>63</v>
      </c>
      <c r="E2042" t="s">
        <v>26</v>
      </c>
      <c r="F2042" t="s">
        <v>74</v>
      </c>
      <c r="G2042" t="s">
        <v>75</v>
      </c>
      <c r="H2042" t="s">
        <v>76</v>
      </c>
      <c r="I2042" t="s">
        <v>30</v>
      </c>
      <c r="J2042" t="s">
        <v>7075</v>
      </c>
      <c r="K2042" t="s">
        <v>91</v>
      </c>
      <c r="L2042" t="s">
        <v>33</v>
      </c>
      <c r="M2042" t="s">
        <v>47</v>
      </c>
      <c r="N2042" t="s">
        <v>69</v>
      </c>
      <c r="O2042" t="s">
        <v>36</v>
      </c>
      <c r="P2042" t="s">
        <v>37</v>
      </c>
      <c r="Q2042" t="s">
        <v>189</v>
      </c>
      <c r="R2042">
        <v>195</v>
      </c>
      <c r="S2042">
        <v>95</v>
      </c>
      <c r="T2042">
        <v>74</v>
      </c>
      <c r="U2042">
        <v>26</v>
      </c>
      <c r="V2042" t="s">
        <v>6559</v>
      </c>
      <c r="W2042">
        <v>66059</v>
      </c>
      <c r="X2042" t="s">
        <v>7124</v>
      </c>
      <c r="Y2042">
        <v>49993</v>
      </c>
      <c r="Z2042">
        <v>1717534</v>
      </c>
      <c r="AA2042">
        <v>417716</v>
      </c>
      <c r="AB2042" t="str">
        <f>(VLOOKUP(SalesData[[#This Row],[Month Number]],Reference!C$5:E$16,2,FALSE))</f>
        <v>Feb</v>
      </c>
      <c r="AC2042">
        <f>MONTH(SalesData[[#This Row],[Date]])</f>
        <v>2</v>
      </c>
      <c r="AD2042">
        <f>Reference!F$4</f>
        <v>2026</v>
      </c>
      <c r="AE2042" t="str">
        <f>IF(OR(SalesData[[#This Row],[Day]]="Saturday",SalesData[[#This Row],[Day]]="Sunday"),"Weekend","Weekday")</f>
        <v>Weekday</v>
      </c>
      <c r="AF2042" s="5">
        <f>IF(SalesData[[#This Row],[Contracts Offered]]=0,0,SalesData[[#This Row],[Contracts Signed]]/SalesData[[#This Row],[Contracts Offered]])</f>
        <v>0.35135135135135137</v>
      </c>
      <c r="AG2042" s="5">
        <f>IF(SalesData[[#This Row],[Customers Visited]]=0,0,SalesData[[#This Row],[Test Drives]]/SalesData[[#This Row],[Customers Visited]])</f>
        <v>0.48717948717948717</v>
      </c>
      <c r="AH2042" s="5">
        <f>IF(SalesData[[#This Row],[Customers Visited]]=0,0,SalesData[[#This Row],[Contracts Signed]]/SalesData[[#This Row],[Customers Visited]])</f>
        <v>0.13333333333333333</v>
      </c>
      <c r="AI2042" s="6">
        <f>IF(SalesData[[#This Row],[Contracts Signed]]=0,0,SalesData[[#This Row],[Profit(€)]]/SalesData[[#This Row],[Contracts Signed]])</f>
        <v>16066</v>
      </c>
      <c r="AJ2042" s="5" t="str">
        <f>TRIM(CLEAN(SalesData[[#This Row],[Retailer]]))</f>
        <v>Stuttgart Auto Center</v>
      </c>
    </row>
    <row r="2043" spans="1:36" ht="14.25" hidden="1" x14ac:dyDescent="0.2">
      <c r="A2043" t="s">
        <v>3044</v>
      </c>
      <c r="B2043" s="1">
        <v>46066</v>
      </c>
      <c r="C2043" t="s">
        <v>121</v>
      </c>
      <c r="D2043" t="s">
        <v>54</v>
      </c>
      <c r="E2043" t="s">
        <v>26</v>
      </c>
      <c r="F2043" t="s">
        <v>7649</v>
      </c>
      <c r="G2043" t="s">
        <v>55</v>
      </c>
      <c r="H2043" t="s">
        <v>55</v>
      </c>
      <c r="I2043" t="s">
        <v>56</v>
      </c>
      <c r="J2043" t="s">
        <v>179</v>
      </c>
      <c r="K2043" t="s">
        <v>32</v>
      </c>
      <c r="L2043" t="s">
        <v>67</v>
      </c>
      <c r="M2043" t="s">
        <v>68</v>
      </c>
      <c r="N2043" t="s">
        <v>69</v>
      </c>
      <c r="O2043" t="s">
        <v>36</v>
      </c>
      <c r="P2043" t="s">
        <v>71</v>
      </c>
      <c r="Q2043" t="s">
        <v>144</v>
      </c>
      <c r="R2043">
        <v>289</v>
      </c>
      <c r="S2043">
        <v>167</v>
      </c>
      <c r="T2043">
        <v>110</v>
      </c>
      <c r="U2043">
        <v>43</v>
      </c>
      <c r="V2043" t="s">
        <v>6984</v>
      </c>
      <c r="W2043">
        <v>52334</v>
      </c>
      <c r="X2043" t="s">
        <v>7231</v>
      </c>
      <c r="Y2043">
        <v>42137</v>
      </c>
      <c r="Z2043">
        <v>2250362</v>
      </c>
      <c r="AA2043">
        <v>438471</v>
      </c>
      <c r="AB2043" t="str">
        <f>(VLOOKUP(SalesData[[#This Row],[Month Number]],Reference!C$5:E$16,2,FALSE))</f>
        <v>Feb</v>
      </c>
      <c r="AC2043">
        <f>MONTH(SalesData[[#This Row],[Date]])</f>
        <v>2</v>
      </c>
      <c r="AD2043">
        <f>Reference!F$4</f>
        <v>2026</v>
      </c>
      <c r="AE2043" t="str">
        <f>IF(OR(SalesData[[#This Row],[Day]]="Saturday",SalesData[[#This Row],[Day]]="Sunday"),"Weekend","Weekday")</f>
        <v>Weekday</v>
      </c>
      <c r="AF2043" s="5">
        <f>IF(SalesData[[#This Row],[Contracts Offered]]=0,0,SalesData[[#This Row],[Contracts Signed]]/SalesData[[#This Row],[Contracts Offered]])</f>
        <v>0.39090909090909093</v>
      </c>
      <c r="AG2043" s="5">
        <f>IF(SalesData[[#This Row],[Customers Visited]]=0,0,SalesData[[#This Row],[Test Drives]]/SalesData[[#This Row],[Customers Visited]])</f>
        <v>0.57785467128027679</v>
      </c>
      <c r="AH2043" s="5">
        <f>IF(SalesData[[#This Row],[Customers Visited]]=0,0,SalesData[[#This Row],[Contracts Signed]]/SalesData[[#This Row],[Customers Visited]])</f>
        <v>0.14878892733564014</v>
      </c>
      <c r="AI2043" s="6">
        <f>IF(SalesData[[#This Row],[Contracts Signed]]=0,0,SalesData[[#This Row],[Profit(€)]]/SalesData[[#This Row],[Contracts Signed]])</f>
        <v>10197</v>
      </c>
      <c r="AJ2043" s="5" t="str">
        <f>TRIM(CLEAN(SalesData[[#This Row],[Retailer]]))</f>
        <v>Autohaus Berlin</v>
      </c>
    </row>
    <row r="2044" spans="1:36" ht="14.25" hidden="1" x14ac:dyDescent="0.2">
      <c r="A2044" t="s">
        <v>3046</v>
      </c>
      <c r="B2044" s="1">
        <v>46059</v>
      </c>
      <c r="C2044" t="s">
        <v>24</v>
      </c>
      <c r="D2044" t="s">
        <v>54</v>
      </c>
      <c r="E2044" t="s">
        <v>26</v>
      </c>
      <c r="F2044" t="s">
        <v>27</v>
      </c>
      <c r="G2044" t="s">
        <v>28</v>
      </c>
      <c r="H2044" t="s">
        <v>29</v>
      </c>
      <c r="I2044" t="s">
        <v>56</v>
      </c>
      <c r="J2044" t="s">
        <v>137</v>
      </c>
      <c r="K2044" t="s">
        <v>91</v>
      </c>
      <c r="L2044" t="s">
        <v>46</v>
      </c>
      <c r="M2044" t="s">
        <v>47</v>
      </c>
      <c r="N2044" t="s">
        <v>35</v>
      </c>
      <c r="O2044" t="s">
        <v>36</v>
      </c>
      <c r="P2044" t="s">
        <v>37</v>
      </c>
      <c r="Q2044" t="s">
        <v>59</v>
      </c>
      <c r="R2044">
        <v>271</v>
      </c>
      <c r="S2044">
        <v>155</v>
      </c>
      <c r="T2044">
        <v>107</v>
      </c>
      <c r="U2044">
        <v>31</v>
      </c>
      <c r="V2044" t="s">
        <v>6410</v>
      </c>
      <c r="W2044">
        <v>41733</v>
      </c>
      <c r="X2044" t="s">
        <v>5566</v>
      </c>
      <c r="Y2044">
        <v>33792</v>
      </c>
      <c r="Z2044">
        <v>1293723</v>
      </c>
      <c r="AA2044">
        <v>246171</v>
      </c>
      <c r="AB2044" t="str">
        <f>(VLOOKUP(SalesData[[#This Row],[Month Number]],Reference!C$5:E$16,2,FALSE))</f>
        <v>Feb</v>
      </c>
      <c r="AC2044">
        <f>MONTH(SalesData[[#This Row],[Date]])</f>
        <v>2</v>
      </c>
      <c r="AD2044">
        <f>Reference!F$4</f>
        <v>2026</v>
      </c>
      <c r="AE2044" t="str">
        <f>IF(OR(SalesData[[#This Row],[Day]]="Saturday",SalesData[[#This Row],[Day]]="Sunday"),"Weekend","Weekday")</f>
        <v>Weekday</v>
      </c>
      <c r="AF2044" s="5">
        <f>IF(SalesData[[#This Row],[Contracts Offered]]=0,0,SalesData[[#This Row],[Contracts Signed]]/SalesData[[#This Row],[Contracts Offered]])</f>
        <v>0.28971962616822428</v>
      </c>
      <c r="AG2044" s="5">
        <f>IF(SalesData[[#This Row],[Customers Visited]]=0,0,SalesData[[#This Row],[Test Drives]]/SalesData[[#This Row],[Customers Visited]])</f>
        <v>0.5719557195571956</v>
      </c>
      <c r="AH2044" s="5">
        <f>IF(SalesData[[#This Row],[Customers Visited]]=0,0,SalesData[[#This Row],[Contracts Signed]]/SalesData[[#This Row],[Customers Visited]])</f>
        <v>0.11439114391143912</v>
      </c>
      <c r="AI2044" s="6">
        <f>IF(SalesData[[#This Row],[Contracts Signed]]=0,0,SalesData[[#This Row],[Profit(€)]]/SalesData[[#This Row],[Contracts Signed]])</f>
        <v>7941</v>
      </c>
      <c r="AJ2044" s="5" t="str">
        <f>TRIM(CLEAN(SalesData[[#This Row],[Retailer]]))</f>
        <v>Main Auto Hub</v>
      </c>
    </row>
    <row r="2045" spans="1:36" ht="14.25" hidden="1" x14ac:dyDescent="0.2">
      <c r="A2045" t="s">
        <v>3047</v>
      </c>
      <c r="B2045" s="1">
        <v>46061</v>
      </c>
      <c r="C2045" t="s">
        <v>121</v>
      </c>
      <c r="D2045" t="s">
        <v>41</v>
      </c>
      <c r="E2045" t="s">
        <v>42</v>
      </c>
      <c r="F2045" t="s">
        <v>27</v>
      </c>
      <c r="G2045" t="s">
        <v>28</v>
      </c>
      <c r="H2045" t="s">
        <v>29</v>
      </c>
      <c r="I2045" t="s">
        <v>56</v>
      </c>
      <c r="J2045" t="s">
        <v>137</v>
      </c>
      <c r="K2045" t="s">
        <v>78</v>
      </c>
      <c r="L2045" t="s">
        <v>46</v>
      </c>
      <c r="M2045" t="s">
        <v>87</v>
      </c>
      <c r="N2045" t="s">
        <v>48</v>
      </c>
      <c r="O2045" t="s">
        <v>70</v>
      </c>
      <c r="P2045" t="s">
        <v>37</v>
      </c>
      <c r="Q2045" t="s">
        <v>118</v>
      </c>
      <c r="R2045">
        <v>266</v>
      </c>
      <c r="S2045">
        <v>155</v>
      </c>
      <c r="T2045">
        <v>104</v>
      </c>
      <c r="U2045">
        <v>34</v>
      </c>
      <c r="V2045" t="s">
        <v>6776</v>
      </c>
      <c r="W2045">
        <v>39959</v>
      </c>
      <c r="X2045" t="s">
        <v>1978</v>
      </c>
      <c r="Y2045">
        <v>30624</v>
      </c>
      <c r="Z2045">
        <v>1358606</v>
      </c>
      <c r="AA2045">
        <v>317390</v>
      </c>
      <c r="AB2045" t="str">
        <f>(VLOOKUP(SalesData[[#This Row],[Month Number]],Reference!C$5:E$16,2,FALSE))</f>
        <v>Feb</v>
      </c>
      <c r="AC2045">
        <f>MONTH(SalesData[[#This Row],[Date]])</f>
        <v>2</v>
      </c>
      <c r="AD2045">
        <f>Reference!F$4</f>
        <v>2026</v>
      </c>
      <c r="AE2045" t="str">
        <f>IF(OR(SalesData[[#This Row],[Day]]="Saturday",SalesData[[#This Row],[Day]]="Sunday"),"Weekend","Weekday")</f>
        <v>Weekend</v>
      </c>
      <c r="AF2045" s="5">
        <f>IF(SalesData[[#This Row],[Contracts Offered]]=0,0,SalesData[[#This Row],[Contracts Signed]]/SalesData[[#This Row],[Contracts Offered]])</f>
        <v>0.32692307692307693</v>
      </c>
      <c r="AG2045" s="5">
        <f>IF(SalesData[[#This Row],[Customers Visited]]=0,0,SalesData[[#This Row],[Test Drives]]/SalesData[[#This Row],[Customers Visited]])</f>
        <v>0.58270676691729328</v>
      </c>
      <c r="AH2045" s="5">
        <f>IF(SalesData[[#This Row],[Customers Visited]]=0,0,SalesData[[#This Row],[Contracts Signed]]/SalesData[[#This Row],[Customers Visited]])</f>
        <v>0.12781954887218044</v>
      </c>
      <c r="AI2045" s="6">
        <f>IF(SalesData[[#This Row],[Contracts Signed]]=0,0,SalesData[[#This Row],[Profit(€)]]/SalesData[[#This Row],[Contracts Signed]])</f>
        <v>9335</v>
      </c>
      <c r="AJ2045" s="5" t="str">
        <f>TRIM(CLEAN(SalesData[[#This Row],[Retailer]]))</f>
        <v>Main Auto Hub</v>
      </c>
    </row>
    <row r="2046" spans="1:36" ht="14.25" hidden="1" x14ac:dyDescent="0.2">
      <c r="A2046" t="s">
        <v>3048</v>
      </c>
      <c r="B2046" s="1">
        <v>46062</v>
      </c>
      <c r="C2046" t="s">
        <v>121</v>
      </c>
      <c r="D2046" t="s">
        <v>25</v>
      </c>
      <c r="E2046" t="s">
        <v>26</v>
      </c>
      <c r="F2046" t="s">
        <v>83</v>
      </c>
      <c r="G2046" t="s">
        <v>84</v>
      </c>
      <c r="H2046" t="s">
        <v>85</v>
      </c>
      <c r="I2046" t="s">
        <v>56</v>
      </c>
      <c r="J2046" t="s">
        <v>97</v>
      </c>
      <c r="K2046" t="s">
        <v>66</v>
      </c>
      <c r="L2046" t="s">
        <v>33</v>
      </c>
      <c r="M2046" t="s">
        <v>34</v>
      </c>
      <c r="N2046" t="s">
        <v>35</v>
      </c>
      <c r="O2046" t="s">
        <v>36</v>
      </c>
      <c r="P2046" t="s">
        <v>37</v>
      </c>
      <c r="Q2046" t="s">
        <v>347</v>
      </c>
      <c r="R2046">
        <v>273</v>
      </c>
      <c r="S2046">
        <v>129</v>
      </c>
      <c r="T2046">
        <v>85</v>
      </c>
      <c r="U2046">
        <v>30</v>
      </c>
      <c r="V2046" t="s">
        <v>6726</v>
      </c>
      <c r="W2046">
        <v>50998</v>
      </c>
      <c r="X2046" t="s">
        <v>5094</v>
      </c>
      <c r="Y2046">
        <v>41560</v>
      </c>
      <c r="Z2046">
        <v>1529940</v>
      </c>
      <c r="AA2046">
        <v>283140</v>
      </c>
      <c r="AB2046" t="str">
        <f>(VLOOKUP(SalesData[[#This Row],[Month Number]],Reference!C$5:E$16,2,FALSE))</f>
        <v>Feb</v>
      </c>
      <c r="AC2046">
        <f>MONTH(SalesData[[#This Row],[Date]])</f>
        <v>2</v>
      </c>
      <c r="AD2046">
        <f>Reference!F$4</f>
        <v>2026</v>
      </c>
      <c r="AE2046" t="str">
        <f>IF(OR(SalesData[[#This Row],[Day]]="Saturday",SalesData[[#This Row],[Day]]="Sunday"),"Weekend","Weekday")</f>
        <v>Weekday</v>
      </c>
      <c r="AF2046" s="5">
        <f>IF(SalesData[[#This Row],[Contracts Offered]]=0,0,SalesData[[#This Row],[Contracts Signed]]/SalesData[[#This Row],[Contracts Offered]])</f>
        <v>0.35294117647058826</v>
      </c>
      <c r="AG2046" s="5">
        <f>IF(SalesData[[#This Row],[Customers Visited]]=0,0,SalesData[[#This Row],[Test Drives]]/SalesData[[#This Row],[Customers Visited]])</f>
        <v>0.47252747252747251</v>
      </c>
      <c r="AH2046" s="5">
        <f>IF(SalesData[[#This Row],[Customers Visited]]=0,0,SalesData[[#This Row],[Contracts Signed]]/SalesData[[#This Row],[Customers Visited]])</f>
        <v>0.10989010989010989</v>
      </c>
      <c r="AI2046" s="6">
        <f>IF(SalesData[[#This Row],[Contracts Signed]]=0,0,SalesData[[#This Row],[Profit(€)]]/SalesData[[#This Row],[Contracts Signed]])</f>
        <v>9438</v>
      </c>
      <c r="AJ2046" s="5" t="str">
        <f>TRIM(CLEAN(SalesData[[#This Row],[Retailer]]))</f>
        <v>Hannover Cars</v>
      </c>
    </row>
    <row r="2047" spans="1:36" ht="14.25" hidden="1" x14ac:dyDescent="0.2">
      <c r="A2047" t="s">
        <v>3049</v>
      </c>
      <c r="B2047" s="1">
        <v>46056</v>
      </c>
      <c r="C2047" t="s">
        <v>24</v>
      </c>
      <c r="D2047" t="s">
        <v>63</v>
      </c>
      <c r="E2047" t="s">
        <v>26</v>
      </c>
      <c r="F2047" t="s">
        <v>109</v>
      </c>
      <c r="G2047" t="s">
        <v>110</v>
      </c>
      <c r="H2047" t="s">
        <v>45</v>
      </c>
      <c r="I2047" t="s">
        <v>56</v>
      </c>
      <c r="J2047" t="s">
        <v>137</v>
      </c>
      <c r="K2047" t="s">
        <v>66</v>
      </c>
      <c r="L2047" t="s">
        <v>46</v>
      </c>
      <c r="M2047" t="s">
        <v>47</v>
      </c>
      <c r="N2047" t="s">
        <v>69</v>
      </c>
      <c r="O2047" t="s">
        <v>36</v>
      </c>
      <c r="P2047" t="s">
        <v>37</v>
      </c>
      <c r="Q2047" t="s">
        <v>172</v>
      </c>
      <c r="R2047">
        <v>249</v>
      </c>
      <c r="S2047">
        <v>138</v>
      </c>
      <c r="T2047">
        <v>104</v>
      </c>
      <c r="U2047">
        <v>30</v>
      </c>
      <c r="V2047" t="s">
        <v>6379</v>
      </c>
      <c r="W2047">
        <v>51001</v>
      </c>
      <c r="X2047" t="s">
        <v>3065</v>
      </c>
      <c r="Y2047">
        <v>39341</v>
      </c>
      <c r="Z2047">
        <v>1530030</v>
      </c>
      <c r="AA2047">
        <v>349800</v>
      </c>
      <c r="AB2047" t="str">
        <f>(VLOOKUP(SalesData[[#This Row],[Month Number]],Reference!C$5:E$16,2,FALSE))</f>
        <v>Feb</v>
      </c>
      <c r="AC2047">
        <f>MONTH(SalesData[[#This Row],[Date]])</f>
        <v>2</v>
      </c>
      <c r="AD2047">
        <f>Reference!F$4</f>
        <v>2026</v>
      </c>
      <c r="AE2047" t="str">
        <f>IF(OR(SalesData[[#This Row],[Day]]="Saturday",SalesData[[#This Row],[Day]]="Sunday"),"Weekend","Weekday")</f>
        <v>Weekday</v>
      </c>
      <c r="AF2047" s="5">
        <f>IF(SalesData[[#This Row],[Contracts Offered]]=0,0,SalesData[[#This Row],[Contracts Signed]]/SalesData[[#This Row],[Contracts Offered]])</f>
        <v>0.28846153846153844</v>
      </c>
      <c r="AG2047" s="5">
        <f>IF(SalesData[[#This Row],[Customers Visited]]=0,0,SalesData[[#This Row],[Test Drives]]/SalesData[[#This Row],[Customers Visited]])</f>
        <v>0.55421686746987953</v>
      </c>
      <c r="AH2047" s="5">
        <f>IF(SalesData[[#This Row],[Customers Visited]]=0,0,SalesData[[#This Row],[Contracts Signed]]/SalesData[[#This Row],[Customers Visited]])</f>
        <v>0.12048192771084337</v>
      </c>
      <c r="AI2047" s="6">
        <f>IF(SalesData[[#This Row],[Contracts Signed]]=0,0,SalesData[[#This Row],[Profit(€)]]/SalesData[[#This Row],[Contracts Signed]])</f>
        <v>11660</v>
      </c>
      <c r="AJ2047" s="5" t="str">
        <f>TRIM(CLEAN(SalesData[[#This Row],[Retailer]]))</f>
        <v>Leipzig Mobility</v>
      </c>
    </row>
    <row r="2048" spans="1:36" ht="14.25" hidden="1" x14ac:dyDescent="0.2">
      <c r="A2048" t="s">
        <v>3050</v>
      </c>
      <c r="B2048" s="1">
        <v>46060</v>
      </c>
      <c r="C2048" t="s">
        <v>24</v>
      </c>
      <c r="D2048" t="s">
        <v>151</v>
      </c>
      <c r="E2048" t="s">
        <v>42</v>
      </c>
      <c r="F2048" t="s">
        <v>109</v>
      </c>
      <c r="G2048" t="s">
        <v>110</v>
      </c>
      <c r="H2048" t="s">
        <v>45</v>
      </c>
      <c r="I2048" t="s">
        <v>56</v>
      </c>
      <c r="J2048" t="s">
        <v>97</v>
      </c>
      <c r="K2048" t="s">
        <v>32</v>
      </c>
      <c r="L2048" t="s">
        <v>33</v>
      </c>
      <c r="M2048" t="s">
        <v>68</v>
      </c>
      <c r="N2048" t="s">
        <v>48</v>
      </c>
      <c r="O2048" t="s">
        <v>70</v>
      </c>
      <c r="P2048" t="s">
        <v>37</v>
      </c>
      <c r="Q2048" t="s">
        <v>79</v>
      </c>
      <c r="R2048">
        <v>201</v>
      </c>
      <c r="S2048">
        <v>127</v>
      </c>
      <c r="T2048">
        <v>91</v>
      </c>
      <c r="U2048">
        <v>26</v>
      </c>
      <c r="V2048" t="s">
        <v>6913</v>
      </c>
      <c r="W2048">
        <v>39833</v>
      </c>
      <c r="X2048" t="s">
        <v>2334</v>
      </c>
      <c r="Y2048">
        <v>31627</v>
      </c>
      <c r="Z2048">
        <v>1035658</v>
      </c>
      <c r="AA2048">
        <v>213356</v>
      </c>
      <c r="AB2048" t="str">
        <f>(VLOOKUP(SalesData[[#This Row],[Month Number]],Reference!C$5:E$16,2,FALSE))</f>
        <v>Feb</v>
      </c>
      <c r="AC2048">
        <f>MONTH(SalesData[[#This Row],[Date]])</f>
        <v>2</v>
      </c>
      <c r="AD2048">
        <f>Reference!F$4</f>
        <v>2026</v>
      </c>
      <c r="AE2048" t="str">
        <f>IF(OR(SalesData[[#This Row],[Day]]="Saturday",SalesData[[#This Row],[Day]]="Sunday"),"Weekend","Weekday")</f>
        <v>Weekend</v>
      </c>
      <c r="AF2048" s="5">
        <f>IF(SalesData[[#This Row],[Contracts Offered]]=0,0,SalesData[[#This Row],[Contracts Signed]]/SalesData[[#This Row],[Contracts Offered]])</f>
        <v>0.2857142857142857</v>
      </c>
      <c r="AG2048" s="5">
        <f>IF(SalesData[[#This Row],[Customers Visited]]=0,0,SalesData[[#This Row],[Test Drives]]/SalesData[[#This Row],[Customers Visited]])</f>
        <v>0.63184079601990051</v>
      </c>
      <c r="AH2048" s="5">
        <f>IF(SalesData[[#This Row],[Customers Visited]]=0,0,SalesData[[#This Row],[Contracts Signed]]/SalesData[[#This Row],[Customers Visited]])</f>
        <v>0.12935323383084577</v>
      </c>
      <c r="AI2048" s="6">
        <f>IF(SalesData[[#This Row],[Contracts Signed]]=0,0,SalesData[[#This Row],[Profit(€)]]/SalesData[[#This Row],[Contracts Signed]])</f>
        <v>8206</v>
      </c>
      <c r="AJ2048" s="5" t="str">
        <f>TRIM(CLEAN(SalesData[[#This Row],[Retailer]]))</f>
        <v>Leipzig Mobility</v>
      </c>
    </row>
    <row r="2049" spans="1:36" ht="14.25" hidden="1" x14ac:dyDescent="0.2">
      <c r="A2049" t="s">
        <v>3051</v>
      </c>
      <c r="B2049" s="1">
        <v>46062</v>
      </c>
      <c r="C2049" t="s">
        <v>121</v>
      </c>
      <c r="D2049" t="s">
        <v>25</v>
      </c>
      <c r="E2049" t="s">
        <v>26</v>
      </c>
      <c r="F2049" t="s">
        <v>74</v>
      </c>
      <c r="G2049" t="s">
        <v>75</v>
      </c>
      <c r="H2049" t="s">
        <v>76</v>
      </c>
      <c r="I2049" t="s">
        <v>104</v>
      </c>
      <c r="J2049" t="s">
        <v>7031</v>
      </c>
      <c r="K2049" t="s">
        <v>91</v>
      </c>
      <c r="L2049" t="s">
        <v>46</v>
      </c>
      <c r="M2049" t="s">
        <v>47</v>
      </c>
      <c r="N2049" t="s">
        <v>69</v>
      </c>
      <c r="O2049" t="s">
        <v>36</v>
      </c>
      <c r="P2049" t="s">
        <v>71</v>
      </c>
      <c r="Q2049" t="s">
        <v>189</v>
      </c>
      <c r="R2049">
        <v>275</v>
      </c>
      <c r="S2049">
        <v>111</v>
      </c>
      <c r="T2049">
        <v>79</v>
      </c>
      <c r="U2049">
        <v>21</v>
      </c>
      <c r="V2049" t="s">
        <v>375</v>
      </c>
      <c r="W2049">
        <v>29248</v>
      </c>
      <c r="X2049" t="s">
        <v>7376</v>
      </c>
      <c r="Y2049">
        <v>25393</v>
      </c>
      <c r="Z2049">
        <v>614208</v>
      </c>
      <c r="AA2049">
        <v>80955</v>
      </c>
      <c r="AB2049" t="str">
        <f>(VLOOKUP(SalesData[[#This Row],[Month Number]],Reference!C$5:E$16,2,FALSE))</f>
        <v>Feb</v>
      </c>
      <c r="AC2049">
        <f>MONTH(SalesData[[#This Row],[Date]])</f>
        <v>2</v>
      </c>
      <c r="AD2049">
        <f>Reference!F$4</f>
        <v>2026</v>
      </c>
      <c r="AE2049" t="str">
        <f>IF(OR(SalesData[[#This Row],[Day]]="Saturday",SalesData[[#This Row],[Day]]="Sunday"),"Weekend","Weekday")</f>
        <v>Weekday</v>
      </c>
      <c r="AF2049" s="5">
        <f>IF(SalesData[[#This Row],[Contracts Offered]]=0,0,SalesData[[#This Row],[Contracts Signed]]/SalesData[[#This Row],[Contracts Offered]])</f>
        <v>0.26582278481012656</v>
      </c>
      <c r="AG2049" s="5">
        <f>IF(SalesData[[#This Row],[Customers Visited]]=0,0,SalesData[[#This Row],[Test Drives]]/SalesData[[#This Row],[Customers Visited]])</f>
        <v>0.40363636363636363</v>
      </c>
      <c r="AH2049" s="5">
        <f>IF(SalesData[[#This Row],[Customers Visited]]=0,0,SalesData[[#This Row],[Contracts Signed]]/SalesData[[#This Row],[Customers Visited]])</f>
        <v>7.636363636363637E-2</v>
      </c>
      <c r="AI2049" s="6">
        <f>IF(SalesData[[#This Row],[Contracts Signed]]=0,0,SalesData[[#This Row],[Profit(€)]]/SalesData[[#This Row],[Contracts Signed]])</f>
        <v>3855</v>
      </c>
      <c r="AJ2049" s="5" t="str">
        <f>TRIM(CLEAN(SalesData[[#This Row],[Retailer]]))</f>
        <v>Stuttgart Auto Center</v>
      </c>
    </row>
    <row r="2050" spans="1:36" ht="14.25" hidden="1" x14ac:dyDescent="0.2">
      <c r="A2050" t="s">
        <v>3052</v>
      </c>
      <c r="B2050" s="1">
        <v>46056</v>
      </c>
      <c r="C2050" t="s">
        <v>24</v>
      </c>
      <c r="D2050" t="s">
        <v>63</v>
      </c>
      <c r="E2050" t="s">
        <v>26</v>
      </c>
      <c r="F2050" t="s">
        <v>109</v>
      </c>
      <c r="G2050" t="s">
        <v>110</v>
      </c>
      <c r="H2050" t="s">
        <v>45</v>
      </c>
      <c r="I2050" t="s">
        <v>116</v>
      </c>
      <c r="J2050" t="s">
        <v>132</v>
      </c>
      <c r="K2050" t="s">
        <v>66</v>
      </c>
      <c r="L2050" t="s">
        <v>46</v>
      </c>
      <c r="M2050" t="s">
        <v>68</v>
      </c>
      <c r="N2050" t="s">
        <v>48</v>
      </c>
      <c r="O2050" t="s">
        <v>70</v>
      </c>
      <c r="P2050" t="s">
        <v>71</v>
      </c>
      <c r="Q2050" t="s">
        <v>152</v>
      </c>
      <c r="R2050">
        <v>249</v>
      </c>
      <c r="S2050">
        <v>98</v>
      </c>
      <c r="T2050">
        <v>68</v>
      </c>
      <c r="U2050">
        <v>15</v>
      </c>
      <c r="V2050" t="s">
        <v>1711</v>
      </c>
      <c r="W2050">
        <v>22541</v>
      </c>
      <c r="X2050" t="s">
        <v>3101</v>
      </c>
      <c r="Y2050">
        <v>20906</v>
      </c>
      <c r="Z2050">
        <v>338115</v>
      </c>
      <c r="AA2050">
        <v>24525</v>
      </c>
      <c r="AB2050" t="str">
        <f>(VLOOKUP(SalesData[[#This Row],[Month Number]],Reference!C$5:E$16,2,FALSE))</f>
        <v>Feb</v>
      </c>
      <c r="AC2050">
        <f>MONTH(SalesData[[#This Row],[Date]])</f>
        <v>2</v>
      </c>
      <c r="AD2050">
        <f>Reference!F$4</f>
        <v>2026</v>
      </c>
      <c r="AE2050" t="str">
        <f>IF(OR(SalesData[[#This Row],[Day]]="Saturday",SalesData[[#This Row],[Day]]="Sunday"),"Weekend","Weekday")</f>
        <v>Weekday</v>
      </c>
      <c r="AF2050" s="5">
        <f>IF(SalesData[[#This Row],[Contracts Offered]]=0,0,SalesData[[#This Row],[Contracts Signed]]/SalesData[[#This Row],[Contracts Offered]])</f>
        <v>0.22058823529411764</v>
      </c>
      <c r="AG2050" s="5">
        <f>IF(SalesData[[#This Row],[Customers Visited]]=0,0,SalesData[[#This Row],[Test Drives]]/SalesData[[#This Row],[Customers Visited]])</f>
        <v>0.39357429718875503</v>
      </c>
      <c r="AH2050" s="5">
        <f>IF(SalesData[[#This Row],[Customers Visited]]=0,0,SalesData[[#This Row],[Contracts Signed]]/SalesData[[#This Row],[Customers Visited]])</f>
        <v>6.0240963855421686E-2</v>
      </c>
      <c r="AI2050" s="6">
        <f>IF(SalesData[[#This Row],[Contracts Signed]]=0,0,SalesData[[#This Row],[Profit(€)]]/SalesData[[#This Row],[Contracts Signed]])</f>
        <v>1635</v>
      </c>
      <c r="AJ2050" s="5" t="str">
        <f>TRIM(CLEAN(SalesData[[#This Row],[Retailer]]))</f>
        <v>Leipzig Mobility</v>
      </c>
    </row>
    <row r="2051" spans="1:36" ht="14.25" hidden="1" x14ac:dyDescent="0.2">
      <c r="A2051" t="s">
        <v>3053</v>
      </c>
      <c r="B2051" s="1">
        <v>46062</v>
      </c>
      <c r="C2051" t="s">
        <v>121</v>
      </c>
      <c r="D2051" t="s">
        <v>25</v>
      </c>
      <c r="E2051" t="s">
        <v>26</v>
      </c>
      <c r="F2051" t="s">
        <v>43</v>
      </c>
      <c r="G2051" t="s">
        <v>44</v>
      </c>
      <c r="H2051" t="s">
        <v>45</v>
      </c>
      <c r="I2051" t="s">
        <v>116</v>
      </c>
      <c r="J2051" t="s">
        <v>7026</v>
      </c>
      <c r="K2051" t="s">
        <v>78</v>
      </c>
      <c r="L2051" t="s">
        <v>46</v>
      </c>
      <c r="M2051" t="s">
        <v>68</v>
      </c>
      <c r="N2051" t="s">
        <v>35</v>
      </c>
      <c r="O2051" t="s">
        <v>70</v>
      </c>
      <c r="P2051" t="s">
        <v>71</v>
      </c>
      <c r="Q2051" t="s">
        <v>122</v>
      </c>
      <c r="R2051">
        <v>261</v>
      </c>
      <c r="S2051">
        <v>109</v>
      </c>
      <c r="T2051">
        <v>65</v>
      </c>
      <c r="U2051">
        <v>14</v>
      </c>
      <c r="V2051" t="s">
        <v>1644</v>
      </c>
      <c r="W2051">
        <v>19001</v>
      </c>
      <c r="X2051" t="s">
        <v>3257</v>
      </c>
      <c r="Y2051">
        <v>17408</v>
      </c>
      <c r="Z2051">
        <v>266014</v>
      </c>
      <c r="AA2051">
        <v>22302</v>
      </c>
      <c r="AB2051" t="str">
        <f>(VLOOKUP(SalesData[[#This Row],[Month Number]],Reference!C$5:E$16,2,FALSE))</f>
        <v>Feb</v>
      </c>
      <c r="AC2051">
        <f>MONTH(SalesData[[#This Row],[Date]])</f>
        <v>2</v>
      </c>
      <c r="AD2051">
        <f>Reference!F$4</f>
        <v>2026</v>
      </c>
      <c r="AE2051" t="str">
        <f>IF(OR(SalesData[[#This Row],[Day]]="Saturday",SalesData[[#This Row],[Day]]="Sunday"),"Weekend","Weekday")</f>
        <v>Weekday</v>
      </c>
      <c r="AF2051" s="5">
        <f>IF(SalesData[[#This Row],[Contracts Offered]]=0,0,SalesData[[#This Row],[Contracts Signed]]/SalesData[[#This Row],[Contracts Offered]])</f>
        <v>0.2153846153846154</v>
      </c>
      <c r="AG2051" s="5">
        <f>IF(SalesData[[#This Row],[Customers Visited]]=0,0,SalesData[[#This Row],[Test Drives]]/SalesData[[#This Row],[Customers Visited]])</f>
        <v>0.41762452107279696</v>
      </c>
      <c r="AH2051" s="5">
        <f>IF(SalesData[[#This Row],[Customers Visited]]=0,0,SalesData[[#This Row],[Contracts Signed]]/SalesData[[#This Row],[Customers Visited]])</f>
        <v>5.3639846743295021E-2</v>
      </c>
      <c r="AI2051" s="6">
        <f>IF(SalesData[[#This Row],[Contracts Signed]]=0,0,SalesData[[#This Row],[Profit(€)]]/SalesData[[#This Row],[Contracts Signed]])</f>
        <v>1593</v>
      </c>
      <c r="AJ2051" s="5" t="str">
        <f>TRIM(CLEAN(SalesData[[#This Row],[Retailer]]))</f>
        <v>Saxon Wheels</v>
      </c>
    </row>
    <row r="2052" spans="1:36" ht="14.25" hidden="1" x14ac:dyDescent="0.2">
      <c r="A2052" t="s">
        <v>3054</v>
      </c>
      <c r="B2052" s="1">
        <v>46080</v>
      </c>
      <c r="C2052" t="s">
        <v>53</v>
      </c>
      <c r="D2052" t="s">
        <v>54</v>
      </c>
      <c r="E2052" t="s">
        <v>26</v>
      </c>
      <c r="F2052" t="s">
        <v>43</v>
      </c>
      <c r="G2052" t="s">
        <v>44</v>
      </c>
      <c r="H2052" t="s">
        <v>45</v>
      </c>
      <c r="I2052" t="s">
        <v>64</v>
      </c>
      <c r="J2052" t="s">
        <v>77</v>
      </c>
      <c r="K2052" t="s">
        <v>78</v>
      </c>
      <c r="L2052" t="s">
        <v>46</v>
      </c>
      <c r="M2052" t="s">
        <v>87</v>
      </c>
      <c r="N2052" t="s">
        <v>35</v>
      </c>
      <c r="O2052" t="s">
        <v>70</v>
      </c>
      <c r="P2052" t="s">
        <v>37</v>
      </c>
      <c r="Q2052" t="s">
        <v>106</v>
      </c>
      <c r="R2052">
        <v>263</v>
      </c>
      <c r="S2052">
        <v>127</v>
      </c>
      <c r="T2052">
        <v>95</v>
      </c>
      <c r="U2052">
        <v>30</v>
      </c>
      <c r="V2052" t="s">
        <v>6466</v>
      </c>
      <c r="W2052">
        <v>56464</v>
      </c>
      <c r="X2052" t="s">
        <v>7102</v>
      </c>
      <c r="Y2052">
        <v>40264</v>
      </c>
      <c r="Z2052">
        <v>1693920</v>
      </c>
      <c r="AA2052">
        <v>486000</v>
      </c>
      <c r="AB2052" t="str">
        <f>(VLOOKUP(SalesData[[#This Row],[Month Number]],Reference!C$5:E$16,2,FALSE))</f>
        <v>Feb</v>
      </c>
      <c r="AC2052">
        <f>MONTH(SalesData[[#This Row],[Date]])</f>
        <v>2</v>
      </c>
      <c r="AD2052">
        <f>Reference!F$4</f>
        <v>2026</v>
      </c>
      <c r="AE2052" t="str">
        <f>IF(OR(SalesData[[#This Row],[Day]]="Saturday",SalesData[[#This Row],[Day]]="Sunday"),"Weekend","Weekday")</f>
        <v>Weekday</v>
      </c>
      <c r="AF2052" s="5">
        <f>IF(SalesData[[#This Row],[Contracts Offered]]=0,0,SalesData[[#This Row],[Contracts Signed]]/SalesData[[#This Row],[Contracts Offered]])</f>
        <v>0.31578947368421051</v>
      </c>
      <c r="AG2052" s="5">
        <f>IF(SalesData[[#This Row],[Customers Visited]]=0,0,SalesData[[#This Row],[Test Drives]]/SalesData[[#This Row],[Customers Visited]])</f>
        <v>0.4828897338403042</v>
      </c>
      <c r="AH2052" s="5">
        <f>IF(SalesData[[#This Row],[Customers Visited]]=0,0,SalesData[[#This Row],[Contracts Signed]]/SalesData[[#This Row],[Customers Visited]])</f>
        <v>0.11406844106463879</v>
      </c>
      <c r="AI2052" s="6">
        <f>IF(SalesData[[#This Row],[Contracts Signed]]=0,0,SalesData[[#This Row],[Profit(€)]]/SalesData[[#This Row],[Contracts Signed]])</f>
        <v>16200</v>
      </c>
      <c r="AJ2052" s="5" t="str">
        <f>TRIM(CLEAN(SalesData[[#This Row],[Retailer]]))</f>
        <v>Saxon Wheels</v>
      </c>
    </row>
    <row r="2053" spans="1:36" ht="14.25" hidden="1" x14ac:dyDescent="0.2">
      <c r="A2053" t="s">
        <v>3055</v>
      </c>
      <c r="B2053" s="1">
        <v>46075</v>
      </c>
      <c r="C2053" t="s">
        <v>53</v>
      </c>
      <c r="D2053" t="s">
        <v>41</v>
      </c>
      <c r="E2053" t="s">
        <v>42</v>
      </c>
      <c r="F2053" t="s">
        <v>109</v>
      </c>
      <c r="G2053" t="s">
        <v>110</v>
      </c>
      <c r="H2053" t="s">
        <v>45</v>
      </c>
      <c r="I2053" t="s">
        <v>56</v>
      </c>
      <c r="J2053" t="s">
        <v>7028</v>
      </c>
      <c r="K2053" t="s">
        <v>66</v>
      </c>
      <c r="L2053" t="s">
        <v>46</v>
      </c>
      <c r="M2053" t="s">
        <v>68</v>
      </c>
      <c r="N2053" t="s">
        <v>35</v>
      </c>
      <c r="O2053" t="s">
        <v>36</v>
      </c>
      <c r="P2053" t="s">
        <v>71</v>
      </c>
      <c r="Q2053" t="s">
        <v>144</v>
      </c>
      <c r="R2053">
        <v>287</v>
      </c>
      <c r="S2053">
        <v>133</v>
      </c>
      <c r="T2053">
        <v>87</v>
      </c>
      <c r="U2053">
        <v>32</v>
      </c>
      <c r="V2053" t="s">
        <v>6594</v>
      </c>
      <c r="W2053">
        <v>43370</v>
      </c>
      <c r="X2053" t="s">
        <v>2299</v>
      </c>
      <c r="Y2053">
        <v>33436</v>
      </c>
      <c r="Z2053">
        <v>1387840</v>
      </c>
      <c r="AA2053">
        <v>317888</v>
      </c>
      <c r="AB2053" t="str">
        <f>(VLOOKUP(SalesData[[#This Row],[Month Number]],Reference!C$5:E$16,2,FALSE))</f>
        <v>Feb</v>
      </c>
      <c r="AC2053">
        <f>MONTH(SalesData[[#This Row],[Date]])</f>
        <v>2</v>
      </c>
      <c r="AD2053">
        <f>Reference!F$4</f>
        <v>2026</v>
      </c>
      <c r="AE2053" t="str">
        <f>IF(OR(SalesData[[#This Row],[Day]]="Saturday",SalesData[[#This Row],[Day]]="Sunday"),"Weekend","Weekday")</f>
        <v>Weekend</v>
      </c>
      <c r="AF2053" s="5">
        <f>IF(SalesData[[#This Row],[Contracts Offered]]=0,0,SalesData[[#This Row],[Contracts Signed]]/SalesData[[#This Row],[Contracts Offered]])</f>
        <v>0.36781609195402298</v>
      </c>
      <c r="AG2053" s="5">
        <f>IF(SalesData[[#This Row],[Customers Visited]]=0,0,SalesData[[#This Row],[Test Drives]]/SalesData[[#This Row],[Customers Visited]])</f>
        <v>0.46341463414634149</v>
      </c>
      <c r="AH2053" s="5">
        <f>IF(SalesData[[#This Row],[Customers Visited]]=0,0,SalesData[[#This Row],[Contracts Signed]]/SalesData[[#This Row],[Customers Visited]])</f>
        <v>0.11149825783972125</v>
      </c>
      <c r="AI2053" s="6">
        <f>IF(SalesData[[#This Row],[Contracts Signed]]=0,0,SalesData[[#This Row],[Profit(€)]]/SalesData[[#This Row],[Contracts Signed]])</f>
        <v>9934</v>
      </c>
      <c r="AJ2053" s="5" t="str">
        <f>TRIM(CLEAN(SalesData[[#This Row],[Retailer]]))</f>
        <v>Leipzig Mobility</v>
      </c>
    </row>
    <row r="2054" spans="1:36" ht="14.25" hidden="1" x14ac:dyDescent="0.2">
      <c r="A2054" t="s">
        <v>3056</v>
      </c>
      <c r="B2054" s="1">
        <v>46061</v>
      </c>
      <c r="C2054" t="s">
        <v>121</v>
      </c>
      <c r="D2054" t="s">
        <v>41</v>
      </c>
      <c r="E2054" t="s">
        <v>42</v>
      </c>
      <c r="F2054" t="s">
        <v>94</v>
      </c>
      <c r="G2054" t="s">
        <v>95</v>
      </c>
      <c r="H2054" t="s">
        <v>96</v>
      </c>
      <c r="I2054" t="s">
        <v>64</v>
      </c>
      <c r="J2054" t="s">
        <v>65</v>
      </c>
      <c r="K2054" t="s">
        <v>91</v>
      </c>
      <c r="L2054" t="s">
        <v>33</v>
      </c>
      <c r="M2054" t="s">
        <v>87</v>
      </c>
      <c r="N2054" t="s">
        <v>35</v>
      </c>
      <c r="O2054" t="s">
        <v>70</v>
      </c>
      <c r="P2054" t="s">
        <v>49</v>
      </c>
      <c r="Q2054" t="s">
        <v>106</v>
      </c>
      <c r="R2054">
        <v>190</v>
      </c>
      <c r="S2054">
        <v>93</v>
      </c>
      <c r="T2054">
        <v>68</v>
      </c>
      <c r="U2054">
        <v>23</v>
      </c>
      <c r="V2054" t="s">
        <v>6453</v>
      </c>
      <c r="W2054">
        <v>60941</v>
      </c>
      <c r="X2054" t="s">
        <v>7347</v>
      </c>
      <c r="Y2054">
        <v>43923</v>
      </c>
      <c r="Z2054">
        <v>1401643</v>
      </c>
      <c r="AA2054">
        <v>391414</v>
      </c>
      <c r="AB2054" t="str">
        <f>(VLOOKUP(SalesData[[#This Row],[Month Number]],Reference!C$5:E$16,2,FALSE))</f>
        <v>Feb</v>
      </c>
      <c r="AC2054">
        <f>MONTH(SalesData[[#This Row],[Date]])</f>
        <v>2</v>
      </c>
      <c r="AD2054">
        <f>Reference!F$4</f>
        <v>2026</v>
      </c>
      <c r="AE2054" t="str">
        <f>IF(OR(SalesData[[#This Row],[Day]]="Saturday",SalesData[[#This Row],[Day]]="Sunday"),"Weekend","Weekday")</f>
        <v>Weekend</v>
      </c>
      <c r="AF2054" s="5">
        <f>IF(SalesData[[#This Row],[Contracts Offered]]=0,0,SalesData[[#This Row],[Contracts Signed]]/SalesData[[#This Row],[Contracts Offered]])</f>
        <v>0.33823529411764708</v>
      </c>
      <c r="AG2054" s="5">
        <f>IF(SalesData[[#This Row],[Customers Visited]]=0,0,SalesData[[#This Row],[Test Drives]]/SalesData[[#This Row],[Customers Visited]])</f>
        <v>0.48947368421052634</v>
      </c>
      <c r="AH2054" s="5">
        <f>IF(SalesData[[#This Row],[Customers Visited]]=0,0,SalesData[[#This Row],[Contracts Signed]]/SalesData[[#This Row],[Customers Visited]])</f>
        <v>0.12105263157894737</v>
      </c>
      <c r="AI2054" s="6">
        <f>IF(SalesData[[#This Row],[Contracts Signed]]=0,0,SalesData[[#This Row],[Profit(€)]]/SalesData[[#This Row],[Contracts Signed]])</f>
        <v>17018</v>
      </c>
      <c r="AJ2054" s="5" t="str">
        <f>TRIM(CLEAN(SalesData[[#This Row],[Retailer]]))</f>
        <v>Bavaria Motors</v>
      </c>
    </row>
    <row r="2055" spans="1:36" ht="14.25" hidden="1" x14ac:dyDescent="0.2">
      <c r="A2055" t="s">
        <v>3057</v>
      </c>
      <c r="B2055" s="1">
        <v>46070</v>
      </c>
      <c r="C2055" t="s">
        <v>62</v>
      </c>
      <c r="D2055" t="s">
        <v>63</v>
      </c>
      <c r="E2055" t="s">
        <v>26</v>
      </c>
      <c r="F2055" t="s">
        <v>83</v>
      </c>
      <c r="G2055" t="s">
        <v>84</v>
      </c>
      <c r="H2055" t="s">
        <v>85</v>
      </c>
      <c r="I2055" t="s">
        <v>56</v>
      </c>
      <c r="J2055" t="s">
        <v>179</v>
      </c>
      <c r="K2055" t="s">
        <v>32</v>
      </c>
      <c r="L2055" t="s">
        <v>67</v>
      </c>
      <c r="M2055" t="s">
        <v>47</v>
      </c>
      <c r="N2055" t="s">
        <v>69</v>
      </c>
      <c r="O2055" t="s">
        <v>36</v>
      </c>
      <c r="P2055" t="s">
        <v>49</v>
      </c>
      <c r="Q2055" t="s">
        <v>204</v>
      </c>
      <c r="R2055">
        <v>315</v>
      </c>
      <c r="S2055">
        <v>185</v>
      </c>
      <c r="T2055">
        <v>143</v>
      </c>
      <c r="U2055">
        <v>37</v>
      </c>
      <c r="V2055" t="s">
        <v>6410</v>
      </c>
      <c r="W2055">
        <v>47182</v>
      </c>
      <c r="X2055" t="s">
        <v>3025</v>
      </c>
      <c r="Y2055">
        <v>37299</v>
      </c>
      <c r="Z2055">
        <v>1745734</v>
      </c>
      <c r="AA2055">
        <v>365671</v>
      </c>
      <c r="AB2055" t="str">
        <f>(VLOOKUP(SalesData[[#This Row],[Month Number]],Reference!C$5:E$16,2,FALSE))</f>
        <v>Feb</v>
      </c>
      <c r="AC2055">
        <f>MONTH(SalesData[[#This Row],[Date]])</f>
        <v>2</v>
      </c>
      <c r="AD2055">
        <f>Reference!F$4</f>
        <v>2026</v>
      </c>
      <c r="AE2055" t="str">
        <f>IF(OR(SalesData[[#This Row],[Day]]="Saturday",SalesData[[#This Row],[Day]]="Sunday"),"Weekend","Weekday")</f>
        <v>Weekday</v>
      </c>
      <c r="AF2055" s="5">
        <f>IF(SalesData[[#This Row],[Contracts Offered]]=0,0,SalesData[[#This Row],[Contracts Signed]]/SalesData[[#This Row],[Contracts Offered]])</f>
        <v>0.25874125874125875</v>
      </c>
      <c r="AG2055" s="5">
        <f>IF(SalesData[[#This Row],[Customers Visited]]=0,0,SalesData[[#This Row],[Test Drives]]/SalesData[[#This Row],[Customers Visited]])</f>
        <v>0.58730158730158732</v>
      </c>
      <c r="AH2055" s="5">
        <f>IF(SalesData[[#This Row],[Customers Visited]]=0,0,SalesData[[#This Row],[Contracts Signed]]/SalesData[[#This Row],[Customers Visited]])</f>
        <v>0.11746031746031746</v>
      </c>
      <c r="AI2055" s="6">
        <f>IF(SalesData[[#This Row],[Contracts Signed]]=0,0,SalesData[[#This Row],[Profit(€)]]/SalesData[[#This Row],[Contracts Signed]])</f>
        <v>9883</v>
      </c>
      <c r="AJ2055" s="5" t="str">
        <f>TRIM(CLEAN(SalesData[[#This Row],[Retailer]]))</f>
        <v>Hannover Cars</v>
      </c>
    </row>
    <row r="2056" spans="1:36" ht="14.25" hidden="1" x14ac:dyDescent="0.2">
      <c r="A2056" t="s">
        <v>3058</v>
      </c>
      <c r="B2056" s="1">
        <v>46068</v>
      </c>
      <c r="C2056" t="s">
        <v>62</v>
      </c>
      <c r="D2056" t="s">
        <v>41</v>
      </c>
      <c r="E2056" t="s">
        <v>42</v>
      </c>
      <c r="F2056" t="s">
        <v>83</v>
      </c>
      <c r="G2056" t="s">
        <v>84</v>
      </c>
      <c r="H2056" t="s">
        <v>85</v>
      </c>
      <c r="I2056" t="s">
        <v>116</v>
      </c>
      <c r="J2056" t="s">
        <v>132</v>
      </c>
      <c r="K2056" t="s">
        <v>78</v>
      </c>
      <c r="L2056" t="s">
        <v>46</v>
      </c>
      <c r="M2056" t="s">
        <v>47</v>
      </c>
      <c r="N2056" t="s">
        <v>48</v>
      </c>
      <c r="O2056" t="s">
        <v>36</v>
      </c>
      <c r="P2056" t="s">
        <v>49</v>
      </c>
      <c r="Q2056" t="s">
        <v>172</v>
      </c>
      <c r="R2056">
        <v>242</v>
      </c>
      <c r="S2056">
        <v>101</v>
      </c>
      <c r="T2056">
        <v>68</v>
      </c>
      <c r="U2056">
        <v>14</v>
      </c>
      <c r="V2056" t="s">
        <v>4265</v>
      </c>
      <c r="W2056">
        <v>21278</v>
      </c>
      <c r="X2056" t="s">
        <v>4608</v>
      </c>
      <c r="Y2056">
        <v>19454</v>
      </c>
      <c r="Z2056">
        <v>297892</v>
      </c>
      <c r="AA2056">
        <v>25536</v>
      </c>
      <c r="AB2056" t="str">
        <f>(VLOOKUP(SalesData[[#This Row],[Month Number]],Reference!C$5:E$16,2,FALSE))</f>
        <v>Feb</v>
      </c>
      <c r="AC2056">
        <f>MONTH(SalesData[[#This Row],[Date]])</f>
        <v>2</v>
      </c>
      <c r="AD2056">
        <f>Reference!F$4</f>
        <v>2026</v>
      </c>
      <c r="AE2056" t="str">
        <f>IF(OR(SalesData[[#This Row],[Day]]="Saturday",SalesData[[#This Row],[Day]]="Sunday"),"Weekend","Weekday")</f>
        <v>Weekend</v>
      </c>
      <c r="AF2056" s="5">
        <f>IF(SalesData[[#This Row],[Contracts Offered]]=0,0,SalesData[[#This Row],[Contracts Signed]]/SalesData[[#This Row],[Contracts Offered]])</f>
        <v>0.20588235294117646</v>
      </c>
      <c r="AG2056" s="5">
        <f>IF(SalesData[[#This Row],[Customers Visited]]=0,0,SalesData[[#This Row],[Test Drives]]/SalesData[[#This Row],[Customers Visited]])</f>
        <v>0.41735537190082644</v>
      </c>
      <c r="AH2056" s="5">
        <f>IF(SalesData[[#This Row],[Customers Visited]]=0,0,SalesData[[#This Row],[Contracts Signed]]/SalesData[[#This Row],[Customers Visited]])</f>
        <v>5.7851239669421489E-2</v>
      </c>
      <c r="AI2056" s="6">
        <f>IF(SalesData[[#This Row],[Contracts Signed]]=0,0,SalesData[[#This Row],[Profit(€)]]/SalesData[[#This Row],[Contracts Signed]])</f>
        <v>1824</v>
      </c>
      <c r="AJ2056" s="5" t="str">
        <f>TRIM(CLEAN(SalesData[[#This Row],[Retailer]]))</f>
        <v>Hannover Cars</v>
      </c>
    </row>
    <row r="2057" spans="1:36" ht="14.25" x14ac:dyDescent="0.2">
      <c r="A2057" t="s">
        <v>3059</v>
      </c>
      <c r="B2057" s="1">
        <v>46074</v>
      </c>
      <c r="C2057" t="s">
        <v>62</v>
      </c>
      <c r="D2057" t="s">
        <v>151</v>
      </c>
      <c r="E2057" t="s">
        <v>42</v>
      </c>
      <c r="F2057" t="s">
        <v>43</v>
      </c>
      <c r="G2057" t="s">
        <v>44</v>
      </c>
      <c r="H2057" t="s">
        <v>45</v>
      </c>
      <c r="I2057" t="s">
        <v>30</v>
      </c>
      <c r="J2057" t="s">
        <v>86</v>
      </c>
      <c r="K2057" t="s">
        <v>66</v>
      </c>
      <c r="L2057" t="s">
        <v>33</v>
      </c>
      <c r="M2057" t="s">
        <v>34</v>
      </c>
      <c r="N2057" t="s">
        <v>35</v>
      </c>
      <c r="O2057" t="s">
        <v>36</v>
      </c>
      <c r="P2057" t="s">
        <v>37</v>
      </c>
      <c r="Q2057" t="s">
        <v>158</v>
      </c>
      <c r="R2057">
        <v>220</v>
      </c>
      <c r="S2057">
        <v>111</v>
      </c>
      <c r="T2057">
        <v>84</v>
      </c>
      <c r="U2057">
        <v>31</v>
      </c>
      <c r="V2057" t="s">
        <v>6653</v>
      </c>
      <c r="W2057">
        <v>63470</v>
      </c>
      <c r="X2057" t="s">
        <v>7333</v>
      </c>
      <c r="Y2057">
        <v>49345</v>
      </c>
      <c r="Z2057">
        <v>1967570</v>
      </c>
      <c r="AA2057">
        <v>437875</v>
      </c>
      <c r="AB2057" t="str">
        <f>(VLOOKUP(SalesData[[#This Row],[Month Number]],Reference!C$5:E$16,2,FALSE))</f>
        <v>Feb</v>
      </c>
      <c r="AC2057">
        <f>MONTH(SalesData[[#This Row],[Date]])</f>
        <v>2</v>
      </c>
      <c r="AD2057">
        <f>Reference!F$4</f>
        <v>2026</v>
      </c>
      <c r="AE2057" t="str">
        <f>IF(OR(SalesData[[#This Row],[Day]]="Saturday",SalesData[[#This Row],[Day]]="Sunday"),"Weekend","Weekday")</f>
        <v>Weekend</v>
      </c>
      <c r="AF2057" s="5">
        <f>IF(SalesData[[#This Row],[Contracts Offered]]=0,0,SalesData[[#This Row],[Contracts Signed]]/SalesData[[#This Row],[Contracts Offered]])</f>
        <v>0.36904761904761907</v>
      </c>
      <c r="AG2057" s="5">
        <f>IF(SalesData[[#This Row],[Customers Visited]]=0,0,SalesData[[#This Row],[Test Drives]]/SalesData[[#This Row],[Customers Visited]])</f>
        <v>0.50454545454545452</v>
      </c>
      <c r="AH2057" s="5">
        <f>IF(SalesData[[#This Row],[Customers Visited]]=0,0,SalesData[[#This Row],[Contracts Signed]]/SalesData[[#This Row],[Customers Visited]])</f>
        <v>0.1409090909090909</v>
      </c>
      <c r="AI2057" s="6">
        <f>IF(SalesData[[#This Row],[Contracts Signed]]=0,0,SalesData[[#This Row],[Profit(€)]]/SalesData[[#This Row],[Contracts Signed]])</f>
        <v>14125</v>
      </c>
      <c r="AJ2057" s="5" t="str">
        <f>TRIM(CLEAN(SalesData[[#This Row],[Retailer]]))</f>
        <v>Saxon Wheels</v>
      </c>
    </row>
    <row r="2058" spans="1:36" ht="14.25" hidden="1" x14ac:dyDescent="0.2">
      <c r="A2058" t="s">
        <v>3060</v>
      </c>
      <c r="B2058" s="1">
        <v>46060</v>
      </c>
      <c r="C2058" t="s">
        <v>24</v>
      </c>
      <c r="D2058" t="s">
        <v>151</v>
      </c>
      <c r="E2058" t="s">
        <v>42</v>
      </c>
      <c r="F2058" t="s">
        <v>101</v>
      </c>
      <c r="G2058" t="s">
        <v>102</v>
      </c>
      <c r="H2058" t="s">
        <v>103</v>
      </c>
      <c r="I2058" t="s">
        <v>116</v>
      </c>
      <c r="J2058" t="s">
        <v>7026</v>
      </c>
      <c r="K2058" t="s">
        <v>32</v>
      </c>
      <c r="L2058" t="s">
        <v>46</v>
      </c>
      <c r="M2058" t="s">
        <v>34</v>
      </c>
      <c r="N2058" t="s">
        <v>35</v>
      </c>
      <c r="O2058" t="s">
        <v>70</v>
      </c>
      <c r="P2058" t="s">
        <v>71</v>
      </c>
      <c r="Q2058" t="s">
        <v>118</v>
      </c>
      <c r="R2058">
        <v>347</v>
      </c>
      <c r="S2058">
        <v>146</v>
      </c>
      <c r="T2058">
        <v>85</v>
      </c>
      <c r="U2058">
        <v>20</v>
      </c>
      <c r="V2058" t="s">
        <v>2883</v>
      </c>
      <c r="W2058">
        <v>25601</v>
      </c>
      <c r="X2058" t="s">
        <v>1416</v>
      </c>
      <c r="Y2058">
        <v>23092</v>
      </c>
      <c r="Z2058">
        <v>512020</v>
      </c>
      <c r="AA2058">
        <v>50180</v>
      </c>
      <c r="AB2058" t="str">
        <f>(VLOOKUP(SalesData[[#This Row],[Month Number]],Reference!C$5:E$16,2,FALSE))</f>
        <v>Feb</v>
      </c>
      <c r="AC2058">
        <f>MONTH(SalesData[[#This Row],[Date]])</f>
        <v>2</v>
      </c>
      <c r="AD2058">
        <f>Reference!F$4</f>
        <v>2026</v>
      </c>
      <c r="AE2058" t="str">
        <f>IF(OR(SalesData[[#This Row],[Day]]="Saturday",SalesData[[#This Row],[Day]]="Sunday"),"Weekend","Weekday")</f>
        <v>Weekend</v>
      </c>
      <c r="AF2058" s="5">
        <f>IF(SalesData[[#This Row],[Contracts Offered]]=0,0,SalesData[[#This Row],[Contracts Signed]]/SalesData[[#This Row],[Contracts Offered]])</f>
        <v>0.23529411764705882</v>
      </c>
      <c r="AG2058" s="5">
        <f>IF(SalesData[[#This Row],[Customers Visited]]=0,0,SalesData[[#This Row],[Test Drives]]/SalesData[[#This Row],[Customers Visited]])</f>
        <v>0.4207492795389049</v>
      </c>
      <c r="AH2058" s="5">
        <f>IF(SalesData[[#This Row],[Customers Visited]]=0,0,SalesData[[#This Row],[Contracts Signed]]/SalesData[[#This Row],[Customers Visited]])</f>
        <v>5.7636887608069162E-2</v>
      </c>
      <c r="AI2058" s="6">
        <f>IF(SalesData[[#This Row],[Contracts Signed]]=0,0,SalesData[[#This Row],[Profit(€)]]/SalesData[[#This Row],[Contracts Signed]])</f>
        <v>2509</v>
      </c>
      <c r="AJ2058" s="5" t="str">
        <f>TRIM(CLEAN(SalesData[[#This Row],[Retailer]]))</f>
        <v>Ruhr Auto Plaza</v>
      </c>
    </row>
    <row r="2059" spans="1:36" ht="14.25" hidden="1" x14ac:dyDescent="0.2">
      <c r="A2059" t="s">
        <v>3062</v>
      </c>
      <c r="B2059" s="1">
        <v>46067</v>
      </c>
      <c r="C2059" t="s">
        <v>121</v>
      </c>
      <c r="D2059" t="s">
        <v>151</v>
      </c>
      <c r="E2059" t="s">
        <v>42</v>
      </c>
      <c r="F2059" t="s">
        <v>27</v>
      </c>
      <c r="G2059" t="s">
        <v>28</v>
      </c>
      <c r="H2059" t="s">
        <v>29</v>
      </c>
      <c r="I2059" t="s">
        <v>64</v>
      </c>
      <c r="J2059" t="s">
        <v>7029</v>
      </c>
      <c r="K2059" t="s">
        <v>32</v>
      </c>
      <c r="L2059" t="s">
        <v>33</v>
      </c>
      <c r="M2059" t="s">
        <v>68</v>
      </c>
      <c r="N2059" t="s">
        <v>48</v>
      </c>
      <c r="O2059" t="s">
        <v>70</v>
      </c>
      <c r="P2059" t="s">
        <v>37</v>
      </c>
      <c r="Q2059" t="s">
        <v>118</v>
      </c>
      <c r="R2059">
        <v>195</v>
      </c>
      <c r="S2059">
        <v>103</v>
      </c>
      <c r="T2059">
        <v>82</v>
      </c>
      <c r="U2059">
        <v>22</v>
      </c>
      <c r="V2059" t="s">
        <v>6956</v>
      </c>
      <c r="W2059">
        <v>62388</v>
      </c>
      <c r="X2059" t="s">
        <v>7216</v>
      </c>
      <c r="Y2059">
        <v>48942</v>
      </c>
      <c r="Z2059">
        <v>1372536</v>
      </c>
      <c r="AA2059">
        <v>295812</v>
      </c>
      <c r="AB2059" t="str">
        <f>(VLOOKUP(SalesData[[#This Row],[Month Number]],Reference!C$5:E$16,2,FALSE))</f>
        <v>Feb</v>
      </c>
      <c r="AC2059">
        <f>MONTH(SalesData[[#This Row],[Date]])</f>
        <v>2</v>
      </c>
      <c r="AD2059">
        <f>Reference!F$4</f>
        <v>2026</v>
      </c>
      <c r="AE2059" t="str">
        <f>IF(OR(SalesData[[#This Row],[Day]]="Saturday",SalesData[[#This Row],[Day]]="Sunday"),"Weekend","Weekday")</f>
        <v>Weekend</v>
      </c>
      <c r="AF2059" s="5">
        <f>IF(SalesData[[#This Row],[Contracts Offered]]=0,0,SalesData[[#This Row],[Contracts Signed]]/SalesData[[#This Row],[Contracts Offered]])</f>
        <v>0.26829268292682928</v>
      </c>
      <c r="AG2059" s="5">
        <f>IF(SalesData[[#This Row],[Customers Visited]]=0,0,SalesData[[#This Row],[Test Drives]]/SalesData[[#This Row],[Customers Visited]])</f>
        <v>0.52820512820512822</v>
      </c>
      <c r="AH2059" s="5">
        <f>IF(SalesData[[#This Row],[Customers Visited]]=0,0,SalesData[[#This Row],[Contracts Signed]]/SalesData[[#This Row],[Customers Visited]])</f>
        <v>0.11282051282051282</v>
      </c>
      <c r="AI2059" s="6">
        <f>IF(SalesData[[#This Row],[Contracts Signed]]=0,0,SalesData[[#This Row],[Profit(€)]]/SalesData[[#This Row],[Contracts Signed]])</f>
        <v>13446</v>
      </c>
      <c r="AJ2059" s="5" t="str">
        <f>TRIM(CLEAN(SalesData[[#This Row],[Retailer]]))</f>
        <v>Main Auto Hub</v>
      </c>
    </row>
    <row r="2060" spans="1:36" ht="14.25" x14ac:dyDescent="0.2">
      <c r="A2060" t="s">
        <v>3063</v>
      </c>
      <c r="B2060" s="1">
        <v>46076</v>
      </c>
      <c r="C2060" t="s">
        <v>53</v>
      </c>
      <c r="D2060" t="s">
        <v>25</v>
      </c>
      <c r="E2060" t="s">
        <v>26</v>
      </c>
      <c r="F2060" t="s">
        <v>127</v>
      </c>
      <c r="G2060" t="s">
        <v>128</v>
      </c>
      <c r="H2060" t="s">
        <v>103</v>
      </c>
      <c r="I2060" t="s">
        <v>30</v>
      </c>
      <c r="J2060" t="s">
        <v>86</v>
      </c>
      <c r="K2060" t="s">
        <v>32</v>
      </c>
      <c r="L2060" t="s">
        <v>33</v>
      </c>
      <c r="M2060" t="s">
        <v>47</v>
      </c>
      <c r="N2060" t="s">
        <v>69</v>
      </c>
      <c r="O2060" t="s">
        <v>36</v>
      </c>
      <c r="P2060" t="s">
        <v>58</v>
      </c>
      <c r="Q2060" t="s">
        <v>106</v>
      </c>
      <c r="R2060">
        <v>169</v>
      </c>
      <c r="S2060">
        <v>79</v>
      </c>
      <c r="T2060">
        <v>59</v>
      </c>
      <c r="U2060">
        <v>26</v>
      </c>
      <c r="V2060" t="s">
        <v>7502</v>
      </c>
      <c r="W2060">
        <v>68564</v>
      </c>
      <c r="X2060" t="s">
        <v>7229</v>
      </c>
      <c r="Y2060">
        <v>51874</v>
      </c>
      <c r="Z2060">
        <v>1782664</v>
      </c>
      <c r="AA2060">
        <v>433940</v>
      </c>
      <c r="AB2060" t="str">
        <f>(VLOOKUP(SalesData[[#This Row],[Month Number]],Reference!C$5:E$16,2,FALSE))</f>
        <v>Feb</v>
      </c>
      <c r="AC2060">
        <f>MONTH(SalesData[[#This Row],[Date]])</f>
        <v>2</v>
      </c>
      <c r="AD2060">
        <f>Reference!F$4</f>
        <v>2026</v>
      </c>
      <c r="AE2060" t="str">
        <f>IF(OR(SalesData[[#This Row],[Day]]="Saturday",SalesData[[#This Row],[Day]]="Sunday"),"Weekend","Weekday")</f>
        <v>Weekday</v>
      </c>
      <c r="AF2060" s="5">
        <f>IF(SalesData[[#This Row],[Contracts Offered]]=0,0,SalesData[[#This Row],[Contracts Signed]]/SalesData[[#This Row],[Contracts Offered]])</f>
        <v>0.44067796610169491</v>
      </c>
      <c r="AG2060" s="5">
        <f>IF(SalesData[[#This Row],[Customers Visited]]=0,0,SalesData[[#This Row],[Test Drives]]/SalesData[[#This Row],[Customers Visited]])</f>
        <v>0.46745562130177515</v>
      </c>
      <c r="AH2060" s="5">
        <f>IF(SalesData[[#This Row],[Customers Visited]]=0,0,SalesData[[#This Row],[Contracts Signed]]/SalesData[[#This Row],[Customers Visited]])</f>
        <v>0.15384615384615385</v>
      </c>
      <c r="AI2060" s="6">
        <f>IF(SalesData[[#This Row],[Contracts Signed]]=0,0,SalesData[[#This Row],[Profit(€)]]/SalesData[[#This Row],[Contracts Signed]])</f>
        <v>16690</v>
      </c>
      <c r="AJ2060" s="5" t="str">
        <f>TRIM(CLEAN(SalesData[[#This Row],[Retailer]]))</f>
        <v>Rhein Auto Group</v>
      </c>
    </row>
    <row r="2061" spans="1:36" ht="14.25" hidden="1" x14ac:dyDescent="0.2">
      <c r="A2061" t="s">
        <v>3064</v>
      </c>
      <c r="B2061" s="1">
        <v>46073</v>
      </c>
      <c r="C2061" t="s">
        <v>62</v>
      </c>
      <c r="D2061" t="s">
        <v>54</v>
      </c>
      <c r="E2061" t="s">
        <v>26</v>
      </c>
      <c r="F2061" t="s">
        <v>74</v>
      </c>
      <c r="G2061" t="s">
        <v>75</v>
      </c>
      <c r="H2061" t="s">
        <v>76</v>
      </c>
      <c r="I2061" t="s">
        <v>56</v>
      </c>
      <c r="J2061" t="s">
        <v>57</v>
      </c>
      <c r="K2061" t="s">
        <v>66</v>
      </c>
      <c r="L2061" t="s">
        <v>46</v>
      </c>
      <c r="M2061" t="s">
        <v>47</v>
      </c>
      <c r="N2061" t="s">
        <v>35</v>
      </c>
      <c r="O2061" t="s">
        <v>70</v>
      </c>
      <c r="P2061" t="s">
        <v>71</v>
      </c>
      <c r="Q2061" t="s">
        <v>135</v>
      </c>
      <c r="R2061">
        <v>293</v>
      </c>
      <c r="S2061">
        <v>179</v>
      </c>
      <c r="T2061">
        <v>121</v>
      </c>
      <c r="U2061">
        <v>40</v>
      </c>
      <c r="V2061" t="s">
        <v>6744</v>
      </c>
      <c r="W2061">
        <v>52593</v>
      </c>
      <c r="X2061" t="s">
        <v>2216</v>
      </c>
      <c r="Y2061">
        <v>41203</v>
      </c>
      <c r="Z2061">
        <v>2103720</v>
      </c>
      <c r="AA2061">
        <v>455600</v>
      </c>
      <c r="AB2061" t="str">
        <f>(VLOOKUP(SalesData[[#This Row],[Month Number]],Reference!C$5:E$16,2,FALSE))</f>
        <v>Feb</v>
      </c>
      <c r="AC2061">
        <f>MONTH(SalesData[[#This Row],[Date]])</f>
        <v>2</v>
      </c>
      <c r="AD2061">
        <f>Reference!F$4</f>
        <v>2026</v>
      </c>
      <c r="AE2061" t="str">
        <f>IF(OR(SalesData[[#This Row],[Day]]="Saturday",SalesData[[#This Row],[Day]]="Sunday"),"Weekend","Weekday")</f>
        <v>Weekday</v>
      </c>
      <c r="AF2061" s="5">
        <f>IF(SalesData[[#This Row],[Contracts Offered]]=0,0,SalesData[[#This Row],[Contracts Signed]]/SalesData[[#This Row],[Contracts Offered]])</f>
        <v>0.33057851239669422</v>
      </c>
      <c r="AG2061" s="5">
        <f>IF(SalesData[[#This Row],[Customers Visited]]=0,0,SalesData[[#This Row],[Test Drives]]/SalesData[[#This Row],[Customers Visited]])</f>
        <v>0.61092150170648463</v>
      </c>
      <c r="AH2061" s="5">
        <f>IF(SalesData[[#This Row],[Customers Visited]]=0,0,SalesData[[#This Row],[Contracts Signed]]/SalesData[[#This Row],[Customers Visited]])</f>
        <v>0.13651877133105803</v>
      </c>
      <c r="AI2061" s="6">
        <f>IF(SalesData[[#This Row],[Contracts Signed]]=0,0,SalesData[[#This Row],[Profit(€)]]/SalesData[[#This Row],[Contracts Signed]])</f>
        <v>11390</v>
      </c>
      <c r="AJ2061" s="5" t="str">
        <f>TRIM(CLEAN(SalesData[[#This Row],[Retailer]]))</f>
        <v>Stuttgart Auto Center</v>
      </c>
    </row>
    <row r="2062" spans="1:36" ht="14.25" hidden="1" x14ac:dyDescent="0.2">
      <c r="A2062" t="s">
        <v>3066</v>
      </c>
      <c r="B2062" s="1">
        <v>46080</v>
      </c>
      <c r="C2062" t="s">
        <v>53</v>
      </c>
      <c r="D2062" t="s">
        <v>54</v>
      </c>
      <c r="E2062" t="s">
        <v>26</v>
      </c>
      <c r="F2062" t="s">
        <v>127</v>
      </c>
      <c r="G2062" t="s">
        <v>128</v>
      </c>
      <c r="H2062" t="s">
        <v>103</v>
      </c>
      <c r="I2062" t="s">
        <v>64</v>
      </c>
      <c r="J2062" t="s">
        <v>7029</v>
      </c>
      <c r="K2062" t="s">
        <v>32</v>
      </c>
      <c r="L2062" t="s">
        <v>33</v>
      </c>
      <c r="M2062" t="s">
        <v>34</v>
      </c>
      <c r="N2062" t="s">
        <v>69</v>
      </c>
      <c r="O2062" t="s">
        <v>70</v>
      </c>
      <c r="P2062" t="s">
        <v>58</v>
      </c>
      <c r="Q2062" t="s">
        <v>169</v>
      </c>
      <c r="R2062">
        <v>175</v>
      </c>
      <c r="S2062">
        <v>88</v>
      </c>
      <c r="T2062">
        <v>69</v>
      </c>
      <c r="U2062">
        <v>25</v>
      </c>
      <c r="V2062" t="s">
        <v>7088</v>
      </c>
      <c r="W2062">
        <v>69227</v>
      </c>
      <c r="X2062" t="s">
        <v>7275</v>
      </c>
      <c r="Y2062">
        <v>51287</v>
      </c>
      <c r="Z2062">
        <v>1730675</v>
      </c>
      <c r="AA2062">
        <v>448500</v>
      </c>
      <c r="AB2062" t="str">
        <f>(VLOOKUP(SalesData[[#This Row],[Month Number]],Reference!C$5:E$16,2,FALSE))</f>
        <v>Feb</v>
      </c>
      <c r="AC2062">
        <f>MONTH(SalesData[[#This Row],[Date]])</f>
        <v>2</v>
      </c>
      <c r="AD2062">
        <f>Reference!F$4</f>
        <v>2026</v>
      </c>
      <c r="AE2062" t="str">
        <f>IF(OR(SalesData[[#This Row],[Day]]="Saturday",SalesData[[#This Row],[Day]]="Sunday"),"Weekend","Weekday")</f>
        <v>Weekday</v>
      </c>
      <c r="AF2062" s="5">
        <f>IF(SalesData[[#This Row],[Contracts Offered]]=0,0,SalesData[[#This Row],[Contracts Signed]]/SalesData[[#This Row],[Contracts Offered]])</f>
        <v>0.36231884057971014</v>
      </c>
      <c r="AG2062" s="5">
        <f>IF(SalesData[[#This Row],[Customers Visited]]=0,0,SalesData[[#This Row],[Test Drives]]/SalesData[[#This Row],[Customers Visited]])</f>
        <v>0.50285714285714289</v>
      </c>
      <c r="AH2062" s="5">
        <f>IF(SalesData[[#This Row],[Customers Visited]]=0,0,SalesData[[#This Row],[Contracts Signed]]/SalesData[[#This Row],[Customers Visited]])</f>
        <v>0.14285714285714285</v>
      </c>
      <c r="AI2062" s="6">
        <f>IF(SalesData[[#This Row],[Contracts Signed]]=0,0,SalesData[[#This Row],[Profit(€)]]/SalesData[[#This Row],[Contracts Signed]])</f>
        <v>17940</v>
      </c>
      <c r="AJ2062" s="5" t="str">
        <f>TRIM(CLEAN(SalesData[[#This Row],[Retailer]]))</f>
        <v>Rhein Auto Group</v>
      </c>
    </row>
    <row r="2063" spans="1:36" ht="14.25" hidden="1" x14ac:dyDescent="0.2">
      <c r="A2063" t="s">
        <v>3067</v>
      </c>
      <c r="B2063" s="1">
        <v>46078</v>
      </c>
      <c r="C2063" t="s">
        <v>53</v>
      </c>
      <c r="D2063" t="s">
        <v>82</v>
      </c>
      <c r="E2063" t="s">
        <v>26</v>
      </c>
      <c r="F2063" t="s">
        <v>7649</v>
      </c>
      <c r="G2063" t="s">
        <v>55</v>
      </c>
      <c r="H2063" t="s">
        <v>55</v>
      </c>
      <c r="I2063" t="s">
        <v>104</v>
      </c>
      <c r="J2063" t="s">
        <v>7031</v>
      </c>
      <c r="K2063" t="s">
        <v>66</v>
      </c>
      <c r="L2063" t="s">
        <v>46</v>
      </c>
      <c r="M2063" t="s">
        <v>68</v>
      </c>
      <c r="N2063" t="s">
        <v>48</v>
      </c>
      <c r="O2063" t="s">
        <v>36</v>
      </c>
      <c r="P2063" t="s">
        <v>58</v>
      </c>
      <c r="Q2063" t="s">
        <v>152</v>
      </c>
      <c r="R2063">
        <v>305</v>
      </c>
      <c r="S2063">
        <v>154</v>
      </c>
      <c r="T2063">
        <v>93</v>
      </c>
      <c r="U2063">
        <v>34</v>
      </c>
      <c r="V2063" t="s">
        <v>6408</v>
      </c>
      <c r="W2063">
        <v>31312</v>
      </c>
      <c r="X2063" t="s">
        <v>2161</v>
      </c>
      <c r="Y2063">
        <v>28411</v>
      </c>
      <c r="Z2063">
        <v>1064608</v>
      </c>
      <c r="AA2063">
        <v>98634</v>
      </c>
      <c r="AB2063" t="str">
        <f>(VLOOKUP(SalesData[[#This Row],[Month Number]],Reference!C$5:E$16,2,FALSE))</f>
        <v>Feb</v>
      </c>
      <c r="AC2063">
        <f>MONTH(SalesData[[#This Row],[Date]])</f>
        <v>2</v>
      </c>
      <c r="AD2063">
        <f>Reference!F$4</f>
        <v>2026</v>
      </c>
      <c r="AE2063" t="str">
        <f>IF(OR(SalesData[[#This Row],[Day]]="Saturday",SalesData[[#This Row],[Day]]="Sunday"),"Weekend","Weekday")</f>
        <v>Weekday</v>
      </c>
      <c r="AF2063" s="5">
        <f>IF(SalesData[[#This Row],[Contracts Offered]]=0,0,SalesData[[#This Row],[Contracts Signed]]/SalesData[[#This Row],[Contracts Offered]])</f>
        <v>0.36559139784946237</v>
      </c>
      <c r="AG2063" s="5">
        <f>IF(SalesData[[#This Row],[Customers Visited]]=0,0,SalesData[[#This Row],[Test Drives]]/SalesData[[#This Row],[Customers Visited]])</f>
        <v>0.5049180327868853</v>
      </c>
      <c r="AH2063" s="5">
        <f>IF(SalesData[[#This Row],[Customers Visited]]=0,0,SalesData[[#This Row],[Contracts Signed]]/SalesData[[#This Row],[Customers Visited]])</f>
        <v>0.11147540983606558</v>
      </c>
      <c r="AI2063" s="6">
        <f>IF(SalesData[[#This Row],[Contracts Signed]]=0,0,SalesData[[#This Row],[Profit(€)]]/SalesData[[#This Row],[Contracts Signed]])</f>
        <v>2901</v>
      </c>
      <c r="AJ2063" s="5" t="str">
        <f>TRIM(CLEAN(SalesData[[#This Row],[Retailer]]))</f>
        <v>Autohaus Berlin</v>
      </c>
    </row>
    <row r="2064" spans="1:36" ht="14.25" x14ac:dyDescent="0.2">
      <c r="A2064" t="s">
        <v>3068</v>
      </c>
      <c r="B2064" s="1">
        <v>46074</v>
      </c>
      <c r="C2064" t="s">
        <v>62</v>
      </c>
      <c r="D2064" t="s">
        <v>151</v>
      </c>
      <c r="E2064" t="s">
        <v>42</v>
      </c>
      <c r="F2064" t="s">
        <v>127</v>
      </c>
      <c r="G2064" t="s">
        <v>128</v>
      </c>
      <c r="H2064" t="s">
        <v>103</v>
      </c>
      <c r="I2064" t="s">
        <v>30</v>
      </c>
      <c r="J2064" t="s">
        <v>86</v>
      </c>
      <c r="K2064" t="s">
        <v>78</v>
      </c>
      <c r="L2064" t="s">
        <v>33</v>
      </c>
      <c r="M2064" t="s">
        <v>47</v>
      </c>
      <c r="N2064" t="s">
        <v>35</v>
      </c>
      <c r="O2064" t="s">
        <v>70</v>
      </c>
      <c r="P2064" t="s">
        <v>37</v>
      </c>
      <c r="Q2064" t="s">
        <v>50</v>
      </c>
      <c r="R2064">
        <v>278</v>
      </c>
      <c r="S2064">
        <v>130</v>
      </c>
      <c r="T2064">
        <v>93</v>
      </c>
      <c r="U2064">
        <v>36</v>
      </c>
      <c r="V2064" t="s">
        <v>6359</v>
      </c>
      <c r="W2064">
        <v>56071</v>
      </c>
      <c r="X2064" t="s">
        <v>7113</v>
      </c>
      <c r="Y2064">
        <v>41741</v>
      </c>
      <c r="Z2064">
        <v>2018556</v>
      </c>
      <c r="AA2064">
        <v>515880</v>
      </c>
      <c r="AB2064" t="str">
        <f>(VLOOKUP(SalesData[[#This Row],[Month Number]],Reference!C$5:E$16,2,FALSE))</f>
        <v>Feb</v>
      </c>
      <c r="AC2064">
        <f>MONTH(SalesData[[#This Row],[Date]])</f>
        <v>2</v>
      </c>
      <c r="AD2064">
        <f>Reference!F$4</f>
        <v>2026</v>
      </c>
      <c r="AE2064" t="str">
        <f>IF(OR(SalesData[[#This Row],[Day]]="Saturday",SalesData[[#This Row],[Day]]="Sunday"),"Weekend","Weekday")</f>
        <v>Weekend</v>
      </c>
      <c r="AF2064" s="5">
        <f>IF(SalesData[[#This Row],[Contracts Offered]]=0,0,SalesData[[#This Row],[Contracts Signed]]/SalesData[[#This Row],[Contracts Offered]])</f>
        <v>0.38709677419354838</v>
      </c>
      <c r="AG2064" s="5">
        <f>IF(SalesData[[#This Row],[Customers Visited]]=0,0,SalesData[[#This Row],[Test Drives]]/SalesData[[#This Row],[Customers Visited]])</f>
        <v>0.46762589928057552</v>
      </c>
      <c r="AH2064" s="5">
        <f>IF(SalesData[[#This Row],[Customers Visited]]=0,0,SalesData[[#This Row],[Contracts Signed]]/SalesData[[#This Row],[Customers Visited]])</f>
        <v>0.12949640287769784</v>
      </c>
      <c r="AI2064" s="6">
        <f>IF(SalesData[[#This Row],[Contracts Signed]]=0,0,SalesData[[#This Row],[Profit(€)]]/SalesData[[#This Row],[Contracts Signed]])</f>
        <v>14330</v>
      </c>
      <c r="AJ2064" s="5" t="str">
        <f>TRIM(CLEAN(SalesData[[#This Row],[Retailer]]))</f>
        <v>Rhein Auto Group</v>
      </c>
    </row>
    <row r="2065" spans="1:36" ht="14.25" hidden="1" x14ac:dyDescent="0.2">
      <c r="A2065" t="s">
        <v>3070</v>
      </c>
      <c r="B2065" s="1">
        <v>46059</v>
      </c>
      <c r="C2065" t="s">
        <v>24</v>
      </c>
      <c r="D2065" t="s">
        <v>54</v>
      </c>
      <c r="E2065" t="s">
        <v>26</v>
      </c>
      <c r="F2065" t="s">
        <v>94</v>
      </c>
      <c r="G2065" t="s">
        <v>95</v>
      </c>
      <c r="H2065" t="s">
        <v>96</v>
      </c>
      <c r="I2065" t="s">
        <v>64</v>
      </c>
      <c r="J2065" t="s">
        <v>157</v>
      </c>
      <c r="K2065" t="s">
        <v>32</v>
      </c>
      <c r="L2065" t="s">
        <v>33</v>
      </c>
      <c r="M2065" t="s">
        <v>87</v>
      </c>
      <c r="N2065" t="s">
        <v>69</v>
      </c>
      <c r="O2065" t="s">
        <v>36</v>
      </c>
      <c r="P2065" t="s">
        <v>58</v>
      </c>
      <c r="Q2065" t="s">
        <v>167</v>
      </c>
      <c r="R2065">
        <v>198</v>
      </c>
      <c r="S2065">
        <v>87</v>
      </c>
      <c r="T2065">
        <v>66</v>
      </c>
      <c r="U2065">
        <v>28</v>
      </c>
      <c r="V2065" t="s">
        <v>7503</v>
      </c>
      <c r="W2065">
        <v>50804</v>
      </c>
      <c r="X2065" t="s">
        <v>439</v>
      </c>
      <c r="Y2065">
        <v>37135</v>
      </c>
      <c r="Z2065">
        <v>1422512</v>
      </c>
      <c r="AA2065">
        <v>382732</v>
      </c>
      <c r="AB2065" t="str">
        <f>(VLOOKUP(SalesData[[#This Row],[Month Number]],Reference!C$5:E$16,2,FALSE))</f>
        <v>Feb</v>
      </c>
      <c r="AC2065">
        <f>MONTH(SalesData[[#This Row],[Date]])</f>
        <v>2</v>
      </c>
      <c r="AD2065">
        <f>Reference!F$4</f>
        <v>2026</v>
      </c>
      <c r="AE2065" t="str">
        <f>IF(OR(SalesData[[#This Row],[Day]]="Saturday",SalesData[[#This Row],[Day]]="Sunday"),"Weekend","Weekday")</f>
        <v>Weekday</v>
      </c>
      <c r="AF2065" s="5">
        <f>IF(SalesData[[#This Row],[Contracts Offered]]=0,0,SalesData[[#This Row],[Contracts Signed]]/SalesData[[#This Row],[Contracts Offered]])</f>
        <v>0.42424242424242425</v>
      </c>
      <c r="AG2065" s="5">
        <f>IF(SalesData[[#This Row],[Customers Visited]]=0,0,SalesData[[#This Row],[Test Drives]]/SalesData[[#This Row],[Customers Visited]])</f>
        <v>0.43939393939393939</v>
      </c>
      <c r="AH2065" s="5">
        <f>IF(SalesData[[#This Row],[Customers Visited]]=0,0,SalesData[[#This Row],[Contracts Signed]]/SalesData[[#This Row],[Customers Visited]])</f>
        <v>0.14141414141414141</v>
      </c>
      <c r="AI2065" s="6">
        <f>IF(SalesData[[#This Row],[Contracts Signed]]=0,0,SalesData[[#This Row],[Profit(€)]]/SalesData[[#This Row],[Contracts Signed]])</f>
        <v>13669</v>
      </c>
      <c r="AJ2065" s="5" t="str">
        <f>TRIM(CLEAN(SalesData[[#This Row],[Retailer]]))</f>
        <v>Bavaria Motors</v>
      </c>
    </row>
    <row r="2066" spans="1:36" ht="14.25" hidden="1" x14ac:dyDescent="0.2">
      <c r="A2066" t="s">
        <v>3071</v>
      </c>
      <c r="B2066" s="1">
        <v>46062</v>
      </c>
      <c r="C2066" t="s">
        <v>121</v>
      </c>
      <c r="D2066" t="s">
        <v>25</v>
      </c>
      <c r="E2066" t="s">
        <v>26</v>
      </c>
      <c r="F2066" t="s">
        <v>27</v>
      </c>
      <c r="G2066" t="s">
        <v>28</v>
      </c>
      <c r="H2066" t="s">
        <v>29</v>
      </c>
      <c r="I2066" t="s">
        <v>104</v>
      </c>
      <c r="J2066" t="s">
        <v>105</v>
      </c>
      <c r="K2066" t="s">
        <v>78</v>
      </c>
      <c r="L2066" t="s">
        <v>33</v>
      </c>
      <c r="M2066" t="s">
        <v>68</v>
      </c>
      <c r="N2066" t="s">
        <v>69</v>
      </c>
      <c r="O2066" t="s">
        <v>70</v>
      </c>
      <c r="P2066" t="s">
        <v>37</v>
      </c>
      <c r="Q2066" t="s">
        <v>204</v>
      </c>
      <c r="R2066">
        <v>504</v>
      </c>
      <c r="S2066">
        <v>287</v>
      </c>
      <c r="T2066">
        <v>191</v>
      </c>
      <c r="U2066">
        <v>33</v>
      </c>
      <c r="V2066" t="s">
        <v>5545</v>
      </c>
      <c r="W2066">
        <v>32349</v>
      </c>
      <c r="X2066" t="s">
        <v>3163</v>
      </c>
      <c r="Y2066">
        <v>29216</v>
      </c>
      <c r="Z2066">
        <v>1067517</v>
      </c>
      <c r="AA2066">
        <v>103389</v>
      </c>
      <c r="AB2066" t="str">
        <f>(VLOOKUP(SalesData[[#This Row],[Month Number]],Reference!C$5:E$16,2,FALSE))</f>
        <v>Feb</v>
      </c>
      <c r="AC2066">
        <f>MONTH(SalesData[[#This Row],[Date]])</f>
        <v>2</v>
      </c>
      <c r="AD2066">
        <f>Reference!F$4</f>
        <v>2026</v>
      </c>
      <c r="AE2066" t="str">
        <f>IF(OR(SalesData[[#This Row],[Day]]="Saturday",SalesData[[#This Row],[Day]]="Sunday"),"Weekend","Weekday")</f>
        <v>Weekday</v>
      </c>
      <c r="AF2066" s="5">
        <f>IF(SalesData[[#This Row],[Contracts Offered]]=0,0,SalesData[[#This Row],[Contracts Signed]]/SalesData[[#This Row],[Contracts Offered]])</f>
        <v>0.17277486910994763</v>
      </c>
      <c r="AG2066" s="5">
        <f>IF(SalesData[[#This Row],[Customers Visited]]=0,0,SalesData[[#This Row],[Test Drives]]/SalesData[[#This Row],[Customers Visited]])</f>
        <v>0.56944444444444442</v>
      </c>
      <c r="AH2066" s="5">
        <f>IF(SalesData[[#This Row],[Customers Visited]]=0,0,SalesData[[#This Row],[Contracts Signed]]/SalesData[[#This Row],[Customers Visited]])</f>
        <v>6.5476190476190479E-2</v>
      </c>
      <c r="AI2066" s="6">
        <f>IF(SalesData[[#This Row],[Contracts Signed]]=0,0,SalesData[[#This Row],[Profit(€)]]/SalesData[[#This Row],[Contracts Signed]])</f>
        <v>3133</v>
      </c>
      <c r="AJ2066" s="5" t="str">
        <f>TRIM(CLEAN(SalesData[[#This Row],[Retailer]]))</f>
        <v>Main Auto Hub</v>
      </c>
    </row>
    <row r="2067" spans="1:36" ht="14.25" hidden="1" x14ac:dyDescent="0.2">
      <c r="A2067" t="s">
        <v>3073</v>
      </c>
      <c r="B2067" s="1">
        <v>46080</v>
      </c>
      <c r="C2067" t="s">
        <v>53</v>
      </c>
      <c r="D2067" t="s">
        <v>54</v>
      </c>
      <c r="E2067" t="s">
        <v>26</v>
      </c>
      <c r="F2067" t="s">
        <v>7649</v>
      </c>
      <c r="G2067" t="s">
        <v>55</v>
      </c>
      <c r="H2067" t="s">
        <v>55</v>
      </c>
      <c r="I2067" t="s">
        <v>104</v>
      </c>
      <c r="J2067" t="s">
        <v>7031</v>
      </c>
      <c r="K2067" t="s">
        <v>66</v>
      </c>
      <c r="L2067" t="s">
        <v>46</v>
      </c>
      <c r="M2067" t="s">
        <v>47</v>
      </c>
      <c r="N2067" t="s">
        <v>69</v>
      </c>
      <c r="O2067" t="s">
        <v>70</v>
      </c>
      <c r="P2067" t="s">
        <v>58</v>
      </c>
      <c r="Q2067" t="s">
        <v>172</v>
      </c>
      <c r="R2067">
        <v>260</v>
      </c>
      <c r="S2067">
        <v>117</v>
      </c>
      <c r="T2067">
        <v>70</v>
      </c>
      <c r="U2067">
        <v>23</v>
      </c>
      <c r="V2067" t="s">
        <v>6895</v>
      </c>
      <c r="W2067">
        <v>26172</v>
      </c>
      <c r="X2067" t="s">
        <v>3180</v>
      </c>
      <c r="Y2067">
        <v>23410</v>
      </c>
      <c r="Z2067">
        <v>601956</v>
      </c>
      <c r="AA2067">
        <v>63526</v>
      </c>
      <c r="AB2067" t="str">
        <f>(VLOOKUP(SalesData[[#This Row],[Month Number]],Reference!C$5:E$16,2,FALSE))</f>
        <v>Feb</v>
      </c>
      <c r="AC2067">
        <f>MONTH(SalesData[[#This Row],[Date]])</f>
        <v>2</v>
      </c>
      <c r="AD2067">
        <f>Reference!F$4</f>
        <v>2026</v>
      </c>
      <c r="AE2067" t="str">
        <f>IF(OR(SalesData[[#This Row],[Day]]="Saturday",SalesData[[#This Row],[Day]]="Sunday"),"Weekend","Weekday")</f>
        <v>Weekday</v>
      </c>
      <c r="AF2067" s="5">
        <f>IF(SalesData[[#This Row],[Contracts Offered]]=0,0,SalesData[[#This Row],[Contracts Signed]]/SalesData[[#This Row],[Contracts Offered]])</f>
        <v>0.32857142857142857</v>
      </c>
      <c r="AG2067" s="5">
        <f>IF(SalesData[[#This Row],[Customers Visited]]=0,0,SalesData[[#This Row],[Test Drives]]/SalesData[[#This Row],[Customers Visited]])</f>
        <v>0.45</v>
      </c>
      <c r="AH2067" s="5">
        <f>IF(SalesData[[#This Row],[Customers Visited]]=0,0,SalesData[[#This Row],[Contracts Signed]]/SalesData[[#This Row],[Customers Visited]])</f>
        <v>8.8461538461538466E-2</v>
      </c>
      <c r="AI2067" s="6">
        <f>IF(SalesData[[#This Row],[Contracts Signed]]=0,0,SalesData[[#This Row],[Profit(€)]]/SalesData[[#This Row],[Contracts Signed]])</f>
        <v>2762</v>
      </c>
      <c r="AJ2067" s="5" t="str">
        <f>TRIM(CLEAN(SalesData[[#This Row],[Retailer]]))</f>
        <v>Autohaus Berlin</v>
      </c>
    </row>
    <row r="2068" spans="1:36" ht="14.25" hidden="1" x14ac:dyDescent="0.2">
      <c r="A2068" t="s">
        <v>3074</v>
      </c>
      <c r="B2068" s="1">
        <v>46078</v>
      </c>
      <c r="C2068" t="s">
        <v>53</v>
      </c>
      <c r="D2068" t="s">
        <v>82</v>
      </c>
      <c r="E2068" t="s">
        <v>26</v>
      </c>
      <c r="F2068" t="s">
        <v>83</v>
      </c>
      <c r="G2068" t="s">
        <v>84</v>
      </c>
      <c r="H2068" t="s">
        <v>85</v>
      </c>
      <c r="I2068" t="s">
        <v>104</v>
      </c>
      <c r="J2068" t="s">
        <v>7061</v>
      </c>
      <c r="K2068" t="s">
        <v>78</v>
      </c>
      <c r="L2068" t="s">
        <v>46</v>
      </c>
      <c r="M2068" t="s">
        <v>47</v>
      </c>
      <c r="N2068" t="s">
        <v>48</v>
      </c>
      <c r="O2068" t="s">
        <v>36</v>
      </c>
      <c r="P2068" t="s">
        <v>58</v>
      </c>
      <c r="Q2068" t="s">
        <v>129</v>
      </c>
      <c r="R2068">
        <v>402</v>
      </c>
      <c r="S2068">
        <v>187</v>
      </c>
      <c r="T2068">
        <v>116</v>
      </c>
      <c r="U2068">
        <v>37</v>
      </c>
      <c r="V2068" t="s">
        <v>517</v>
      </c>
      <c r="W2068">
        <v>31544</v>
      </c>
      <c r="X2068" t="s">
        <v>1248</v>
      </c>
      <c r="Y2068">
        <v>27374</v>
      </c>
      <c r="Z2068">
        <v>1167128</v>
      </c>
      <c r="AA2068">
        <v>154290</v>
      </c>
      <c r="AB2068" t="str">
        <f>(VLOOKUP(SalesData[[#This Row],[Month Number]],Reference!C$5:E$16,2,FALSE))</f>
        <v>Feb</v>
      </c>
      <c r="AC2068">
        <f>MONTH(SalesData[[#This Row],[Date]])</f>
        <v>2</v>
      </c>
      <c r="AD2068">
        <f>Reference!F$4</f>
        <v>2026</v>
      </c>
      <c r="AE2068" t="str">
        <f>IF(OR(SalesData[[#This Row],[Day]]="Saturday",SalesData[[#This Row],[Day]]="Sunday"),"Weekend","Weekday")</f>
        <v>Weekday</v>
      </c>
      <c r="AF2068" s="5">
        <f>IF(SalesData[[#This Row],[Contracts Offered]]=0,0,SalesData[[#This Row],[Contracts Signed]]/SalesData[[#This Row],[Contracts Offered]])</f>
        <v>0.31896551724137934</v>
      </c>
      <c r="AG2068" s="5">
        <f>IF(SalesData[[#This Row],[Customers Visited]]=0,0,SalesData[[#This Row],[Test Drives]]/SalesData[[#This Row],[Customers Visited]])</f>
        <v>0.46517412935323382</v>
      </c>
      <c r="AH2068" s="5">
        <f>IF(SalesData[[#This Row],[Customers Visited]]=0,0,SalesData[[#This Row],[Contracts Signed]]/SalesData[[#This Row],[Customers Visited]])</f>
        <v>9.2039800995024873E-2</v>
      </c>
      <c r="AI2068" s="6">
        <f>IF(SalesData[[#This Row],[Contracts Signed]]=0,0,SalesData[[#This Row],[Profit(€)]]/SalesData[[#This Row],[Contracts Signed]])</f>
        <v>4170</v>
      </c>
      <c r="AJ2068" s="5" t="str">
        <f>TRIM(CLEAN(SalesData[[#This Row],[Retailer]]))</f>
        <v>Hannover Cars</v>
      </c>
    </row>
    <row r="2069" spans="1:36" ht="14.25" hidden="1" x14ac:dyDescent="0.2">
      <c r="A2069" t="s">
        <v>3075</v>
      </c>
      <c r="B2069" s="1">
        <v>46063</v>
      </c>
      <c r="C2069" t="s">
        <v>121</v>
      </c>
      <c r="D2069" t="s">
        <v>63</v>
      </c>
      <c r="E2069" t="s">
        <v>26</v>
      </c>
      <c r="F2069" t="s">
        <v>109</v>
      </c>
      <c r="G2069" t="s">
        <v>110</v>
      </c>
      <c r="H2069" t="s">
        <v>45</v>
      </c>
      <c r="I2069" t="s">
        <v>64</v>
      </c>
      <c r="J2069" t="s">
        <v>111</v>
      </c>
      <c r="K2069" t="s">
        <v>78</v>
      </c>
      <c r="L2069" t="s">
        <v>46</v>
      </c>
      <c r="M2069" t="s">
        <v>47</v>
      </c>
      <c r="N2069" t="s">
        <v>35</v>
      </c>
      <c r="O2069" t="s">
        <v>70</v>
      </c>
      <c r="P2069" t="s">
        <v>49</v>
      </c>
      <c r="Q2069" t="s">
        <v>347</v>
      </c>
      <c r="R2069">
        <v>289</v>
      </c>
      <c r="S2069">
        <v>131</v>
      </c>
      <c r="T2069">
        <v>101</v>
      </c>
      <c r="U2069">
        <v>29</v>
      </c>
      <c r="V2069" t="s">
        <v>6962</v>
      </c>
      <c r="W2069">
        <v>63446</v>
      </c>
      <c r="X2069" t="s">
        <v>7054</v>
      </c>
      <c r="Y2069">
        <v>47345</v>
      </c>
      <c r="Z2069">
        <v>1839934</v>
      </c>
      <c r="AA2069">
        <v>466929</v>
      </c>
      <c r="AB2069" t="str">
        <f>(VLOOKUP(SalesData[[#This Row],[Month Number]],Reference!C$5:E$16,2,FALSE))</f>
        <v>Feb</v>
      </c>
      <c r="AC2069">
        <f>MONTH(SalesData[[#This Row],[Date]])</f>
        <v>2</v>
      </c>
      <c r="AD2069">
        <f>Reference!F$4</f>
        <v>2026</v>
      </c>
      <c r="AE2069" t="str">
        <f>IF(OR(SalesData[[#This Row],[Day]]="Saturday",SalesData[[#This Row],[Day]]="Sunday"),"Weekend","Weekday")</f>
        <v>Weekday</v>
      </c>
      <c r="AF2069" s="5">
        <f>IF(SalesData[[#This Row],[Contracts Offered]]=0,0,SalesData[[#This Row],[Contracts Signed]]/SalesData[[#This Row],[Contracts Offered]])</f>
        <v>0.28712871287128711</v>
      </c>
      <c r="AG2069" s="5">
        <f>IF(SalesData[[#This Row],[Customers Visited]]=0,0,SalesData[[#This Row],[Test Drives]]/SalesData[[#This Row],[Customers Visited]])</f>
        <v>0.45328719723183392</v>
      </c>
      <c r="AH2069" s="5">
        <f>IF(SalesData[[#This Row],[Customers Visited]]=0,0,SalesData[[#This Row],[Contracts Signed]]/SalesData[[#This Row],[Customers Visited]])</f>
        <v>0.10034602076124567</v>
      </c>
      <c r="AI2069" s="6">
        <f>IF(SalesData[[#This Row],[Contracts Signed]]=0,0,SalesData[[#This Row],[Profit(€)]]/SalesData[[#This Row],[Contracts Signed]])</f>
        <v>16101</v>
      </c>
      <c r="AJ2069" s="5" t="str">
        <f>TRIM(CLEAN(SalesData[[#This Row],[Retailer]]))</f>
        <v>Leipzig Mobility</v>
      </c>
    </row>
    <row r="2070" spans="1:36" ht="14.25" hidden="1" x14ac:dyDescent="0.2">
      <c r="A2070" t="s">
        <v>3076</v>
      </c>
      <c r="B2070" s="1">
        <v>46073</v>
      </c>
      <c r="C2070" t="s">
        <v>62</v>
      </c>
      <c r="D2070" t="s">
        <v>54</v>
      </c>
      <c r="E2070" t="s">
        <v>26</v>
      </c>
      <c r="F2070" t="s">
        <v>43</v>
      </c>
      <c r="G2070" t="s">
        <v>44</v>
      </c>
      <c r="H2070" t="s">
        <v>45</v>
      </c>
      <c r="I2070" t="s">
        <v>104</v>
      </c>
      <c r="J2070" t="s">
        <v>105</v>
      </c>
      <c r="K2070" t="s">
        <v>66</v>
      </c>
      <c r="L2070" t="s">
        <v>33</v>
      </c>
      <c r="M2070" t="s">
        <v>68</v>
      </c>
      <c r="N2070" t="s">
        <v>48</v>
      </c>
      <c r="O2070" t="s">
        <v>70</v>
      </c>
      <c r="P2070" t="s">
        <v>49</v>
      </c>
      <c r="Q2070" t="s">
        <v>118</v>
      </c>
      <c r="R2070">
        <v>275</v>
      </c>
      <c r="S2070">
        <v>146</v>
      </c>
      <c r="T2070">
        <v>102</v>
      </c>
      <c r="U2070">
        <v>18</v>
      </c>
      <c r="V2070" t="s">
        <v>646</v>
      </c>
      <c r="W2070">
        <v>33295</v>
      </c>
      <c r="X2070" t="s">
        <v>7249</v>
      </c>
      <c r="Y2070">
        <v>29785</v>
      </c>
      <c r="Z2070">
        <v>599310</v>
      </c>
      <c r="AA2070">
        <v>63180</v>
      </c>
      <c r="AB2070" t="str">
        <f>(VLOOKUP(SalesData[[#This Row],[Month Number]],Reference!C$5:E$16,2,FALSE))</f>
        <v>Feb</v>
      </c>
      <c r="AC2070">
        <f>MONTH(SalesData[[#This Row],[Date]])</f>
        <v>2</v>
      </c>
      <c r="AD2070">
        <f>Reference!F$4</f>
        <v>2026</v>
      </c>
      <c r="AE2070" t="str">
        <f>IF(OR(SalesData[[#This Row],[Day]]="Saturday",SalesData[[#This Row],[Day]]="Sunday"),"Weekend","Weekday")</f>
        <v>Weekday</v>
      </c>
      <c r="AF2070" s="5">
        <f>IF(SalesData[[#This Row],[Contracts Offered]]=0,0,SalesData[[#This Row],[Contracts Signed]]/SalesData[[#This Row],[Contracts Offered]])</f>
        <v>0.17647058823529413</v>
      </c>
      <c r="AG2070" s="5">
        <f>IF(SalesData[[#This Row],[Customers Visited]]=0,0,SalesData[[#This Row],[Test Drives]]/SalesData[[#This Row],[Customers Visited]])</f>
        <v>0.53090909090909089</v>
      </c>
      <c r="AH2070" s="5">
        <f>IF(SalesData[[#This Row],[Customers Visited]]=0,0,SalesData[[#This Row],[Contracts Signed]]/SalesData[[#This Row],[Customers Visited]])</f>
        <v>6.545454545454546E-2</v>
      </c>
      <c r="AI2070" s="6">
        <f>IF(SalesData[[#This Row],[Contracts Signed]]=0,0,SalesData[[#This Row],[Profit(€)]]/SalesData[[#This Row],[Contracts Signed]])</f>
        <v>3510</v>
      </c>
      <c r="AJ2070" s="5" t="str">
        <f>TRIM(CLEAN(SalesData[[#This Row],[Retailer]]))</f>
        <v>Saxon Wheels</v>
      </c>
    </row>
    <row r="2071" spans="1:36" ht="14.25" hidden="1" x14ac:dyDescent="0.2">
      <c r="A2071" t="s">
        <v>3077</v>
      </c>
      <c r="B2071" s="1">
        <v>46055</v>
      </c>
      <c r="C2071" t="s">
        <v>24</v>
      </c>
      <c r="D2071" t="s">
        <v>25</v>
      </c>
      <c r="E2071" t="s">
        <v>26</v>
      </c>
      <c r="F2071" t="s">
        <v>43</v>
      </c>
      <c r="G2071" t="s">
        <v>44</v>
      </c>
      <c r="H2071" t="s">
        <v>45</v>
      </c>
      <c r="I2071" t="s">
        <v>64</v>
      </c>
      <c r="J2071" t="s">
        <v>77</v>
      </c>
      <c r="K2071" t="s">
        <v>32</v>
      </c>
      <c r="L2071" t="s">
        <v>46</v>
      </c>
      <c r="M2071" t="s">
        <v>68</v>
      </c>
      <c r="N2071" t="s">
        <v>48</v>
      </c>
      <c r="O2071" t="s">
        <v>70</v>
      </c>
      <c r="P2071" t="s">
        <v>49</v>
      </c>
      <c r="Q2071" t="s">
        <v>167</v>
      </c>
      <c r="R2071">
        <v>168</v>
      </c>
      <c r="S2071">
        <v>82</v>
      </c>
      <c r="T2071">
        <v>62</v>
      </c>
      <c r="U2071">
        <v>18</v>
      </c>
      <c r="V2071" t="s">
        <v>6382</v>
      </c>
      <c r="W2071">
        <v>50754</v>
      </c>
      <c r="X2071" t="s">
        <v>678</v>
      </c>
      <c r="Y2071">
        <v>36136</v>
      </c>
      <c r="Z2071">
        <v>913572</v>
      </c>
      <c r="AA2071">
        <v>263124</v>
      </c>
      <c r="AB2071" t="str">
        <f>(VLOOKUP(SalesData[[#This Row],[Month Number]],Reference!C$5:E$16,2,FALSE))</f>
        <v>Feb</v>
      </c>
      <c r="AC2071">
        <f>MONTH(SalesData[[#This Row],[Date]])</f>
        <v>2</v>
      </c>
      <c r="AD2071">
        <f>Reference!F$4</f>
        <v>2026</v>
      </c>
      <c r="AE2071" t="str">
        <f>IF(OR(SalesData[[#This Row],[Day]]="Saturday",SalesData[[#This Row],[Day]]="Sunday"),"Weekend","Weekday")</f>
        <v>Weekday</v>
      </c>
      <c r="AF2071" s="5">
        <f>IF(SalesData[[#This Row],[Contracts Offered]]=0,0,SalesData[[#This Row],[Contracts Signed]]/SalesData[[#This Row],[Contracts Offered]])</f>
        <v>0.29032258064516131</v>
      </c>
      <c r="AG2071" s="5">
        <f>IF(SalesData[[#This Row],[Customers Visited]]=0,0,SalesData[[#This Row],[Test Drives]]/SalesData[[#This Row],[Customers Visited]])</f>
        <v>0.48809523809523808</v>
      </c>
      <c r="AH2071" s="5">
        <f>IF(SalesData[[#This Row],[Customers Visited]]=0,0,SalesData[[#This Row],[Contracts Signed]]/SalesData[[#This Row],[Customers Visited]])</f>
        <v>0.10714285714285714</v>
      </c>
      <c r="AI2071" s="6">
        <f>IF(SalesData[[#This Row],[Contracts Signed]]=0,0,SalesData[[#This Row],[Profit(€)]]/SalesData[[#This Row],[Contracts Signed]])</f>
        <v>14618</v>
      </c>
      <c r="AJ2071" s="5" t="str">
        <f>TRIM(CLEAN(SalesData[[#This Row],[Retailer]]))</f>
        <v>Saxon Wheels</v>
      </c>
    </row>
    <row r="2072" spans="1:36" ht="14.25" hidden="1" x14ac:dyDescent="0.2">
      <c r="A2072" t="s">
        <v>3078</v>
      </c>
      <c r="B2072" s="1">
        <v>46081</v>
      </c>
      <c r="C2072" t="s">
        <v>53</v>
      </c>
      <c r="D2072" t="s">
        <v>151</v>
      </c>
      <c r="E2072" t="s">
        <v>42</v>
      </c>
      <c r="F2072" t="s">
        <v>43</v>
      </c>
      <c r="G2072" t="s">
        <v>44</v>
      </c>
      <c r="H2072" t="s">
        <v>45</v>
      </c>
      <c r="I2072" t="s">
        <v>116</v>
      </c>
      <c r="J2072" t="s">
        <v>132</v>
      </c>
      <c r="K2072" t="s">
        <v>32</v>
      </c>
      <c r="L2072" t="s">
        <v>46</v>
      </c>
      <c r="M2072" t="s">
        <v>34</v>
      </c>
      <c r="N2072" t="s">
        <v>48</v>
      </c>
      <c r="O2072" t="s">
        <v>70</v>
      </c>
      <c r="P2072" t="s">
        <v>71</v>
      </c>
      <c r="Q2072" t="s">
        <v>79</v>
      </c>
      <c r="R2072">
        <v>343</v>
      </c>
      <c r="S2072">
        <v>131</v>
      </c>
      <c r="T2072">
        <v>75</v>
      </c>
      <c r="U2072">
        <v>20</v>
      </c>
      <c r="V2072" t="s">
        <v>1257</v>
      </c>
      <c r="W2072">
        <v>23620</v>
      </c>
      <c r="X2072" t="s">
        <v>1505</v>
      </c>
      <c r="Y2072">
        <v>21149</v>
      </c>
      <c r="Z2072">
        <v>472400</v>
      </c>
      <c r="AA2072">
        <v>49420</v>
      </c>
      <c r="AB2072" t="str">
        <f>(VLOOKUP(SalesData[[#This Row],[Month Number]],Reference!C$5:E$16,2,FALSE))</f>
        <v>Feb</v>
      </c>
      <c r="AC2072">
        <f>MONTH(SalesData[[#This Row],[Date]])</f>
        <v>2</v>
      </c>
      <c r="AD2072">
        <f>Reference!F$4</f>
        <v>2026</v>
      </c>
      <c r="AE2072" t="str">
        <f>IF(OR(SalesData[[#This Row],[Day]]="Saturday",SalesData[[#This Row],[Day]]="Sunday"),"Weekend","Weekday")</f>
        <v>Weekend</v>
      </c>
      <c r="AF2072" s="5">
        <f>IF(SalesData[[#This Row],[Contracts Offered]]=0,0,SalesData[[#This Row],[Contracts Signed]]/SalesData[[#This Row],[Contracts Offered]])</f>
        <v>0.26666666666666666</v>
      </c>
      <c r="AG2072" s="5">
        <f>IF(SalesData[[#This Row],[Customers Visited]]=0,0,SalesData[[#This Row],[Test Drives]]/SalesData[[#This Row],[Customers Visited]])</f>
        <v>0.38192419825072887</v>
      </c>
      <c r="AH2072" s="5">
        <f>IF(SalesData[[#This Row],[Customers Visited]]=0,0,SalesData[[#This Row],[Contracts Signed]]/SalesData[[#This Row],[Customers Visited]])</f>
        <v>5.8309037900874633E-2</v>
      </c>
      <c r="AI2072" s="6">
        <f>IF(SalesData[[#This Row],[Contracts Signed]]=0,0,SalesData[[#This Row],[Profit(€)]]/SalesData[[#This Row],[Contracts Signed]])</f>
        <v>2471</v>
      </c>
      <c r="AJ2072" s="5" t="str">
        <f>TRIM(CLEAN(SalesData[[#This Row],[Retailer]]))</f>
        <v>Saxon Wheels</v>
      </c>
    </row>
    <row r="2073" spans="1:36" ht="14.25" x14ac:dyDescent="0.2">
      <c r="A2073" t="s">
        <v>3079</v>
      </c>
      <c r="B2073" s="1">
        <v>46077</v>
      </c>
      <c r="C2073" t="s">
        <v>53</v>
      </c>
      <c r="D2073" t="s">
        <v>63</v>
      </c>
      <c r="E2073" t="s">
        <v>26</v>
      </c>
      <c r="F2073" t="s">
        <v>74</v>
      </c>
      <c r="G2073" t="s">
        <v>75</v>
      </c>
      <c r="H2073" t="s">
        <v>76</v>
      </c>
      <c r="I2073" t="s">
        <v>30</v>
      </c>
      <c r="J2073" t="s">
        <v>166</v>
      </c>
      <c r="K2073" t="s">
        <v>91</v>
      </c>
      <c r="L2073" t="s">
        <v>46</v>
      </c>
      <c r="M2073" t="s">
        <v>87</v>
      </c>
      <c r="N2073" t="s">
        <v>48</v>
      </c>
      <c r="O2073" t="s">
        <v>70</v>
      </c>
      <c r="P2073" t="s">
        <v>49</v>
      </c>
      <c r="Q2073" t="s">
        <v>50</v>
      </c>
      <c r="R2073">
        <v>195</v>
      </c>
      <c r="S2073">
        <v>95</v>
      </c>
      <c r="T2073">
        <v>66</v>
      </c>
      <c r="U2073">
        <v>24</v>
      </c>
      <c r="V2073" t="s">
        <v>6868</v>
      </c>
      <c r="W2073">
        <v>57962</v>
      </c>
      <c r="X2073" t="s">
        <v>7059</v>
      </c>
      <c r="Y2073">
        <v>40930</v>
      </c>
      <c r="Z2073">
        <v>1391088</v>
      </c>
      <c r="AA2073">
        <v>408768</v>
      </c>
      <c r="AB2073" t="str">
        <f>(VLOOKUP(SalesData[[#This Row],[Month Number]],Reference!C$5:E$16,2,FALSE))</f>
        <v>Feb</v>
      </c>
      <c r="AC2073">
        <f>MONTH(SalesData[[#This Row],[Date]])</f>
        <v>2</v>
      </c>
      <c r="AD2073">
        <f>Reference!F$4</f>
        <v>2026</v>
      </c>
      <c r="AE2073" t="str">
        <f>IF(OR(SalesData[[#This Row],[Day]]="Saturday",SalesData[[#This Row],[Day]]="Sunday"),"Weekend","Weekday")</f>
        <v>Weekday</v>
      </c>
      <c r="AF2073" s="5">
        <f>IF(SalesData[[#This Row],[Contracts Offered]]=0,0,SalesData[[#This Row],[Contracts Signed]]/SalesData[[#This Row],[Contracts Offered]])</f>
        <v>0.36363636363636365</v>
      </c>
      <c r="AG2073" s="5">
        <f>IF(SalesData[[#This Row],[Customers Visited]]=0,0,SalesData[[#This Row],[Test Drives]]/SalesData[[#This Row],[Customers Visited]])</f>
        <v>0.48717948717948717</v>
      </c>
      <c r="AH2073" s="5">
        <f>IF(SalesData[[#This Row],[Customers Visited]]=0,0,SalesData[[#This Row],[Contracts Signed]]/SalesData[[#This Row],[Customers Visited]])</f>
        <v>0.12307692307692308</v>
      </c>
      <c r="AI2073" s="6">
        <f>IF(SalesData[[#This Row],[Contracts Signed]]=0,0,SalesData[[#This Row],[Profit(€)]]/SalesData[[#This Row],[Contracts Signed]])</f>
        <v>17032</v>
      </c>
      <c r="AJ2073" s="5" t="str">
        <f>TRIM(CLEAN(SalesData[[#This Row],[Retailer]]))</f>
        <v>Stuttgart Auto Center</v>
      </c>
    </row>
    <row r="2074" spans="1:36" ht="14.25" hidden="1" x14ac:dyDescent="0.2">
      <c r="A2074" t="s">
        <v>3080</v>
      </c>
      <c r="B2074" s="1">
        <v>46061</v>
      </c>
      <c r="C2074" t="s">
        <v>121</v>
      </c>
      <c r="D2074" t="s">
        <v>41</v>
      </c>
      <c r="E2074" t="s">
        <v>42</v>
      </c>
      <c r="F2074" t="s">
        <v>109</v>
      </c>
      <c r="G2074" t="s">
        <v>110</v>
      </c>
      <c r="H2074" t="s">
        <v>45</v>
      </c>
      <c r="I2074" t="s">
        <v>104</v>
      </c>
      <c r="J2074" t="s">
        <v>143</v>
      </c>
      <c r="K2074" t="s">
        <v>91</v>
      </c>
      <c r="L2074" t="s">
        <v>67</v>
      </c>
      <c r="M2074" t="s">
        <v>68</v>
      </c>
      <c r="N2074" t="s">
        <v>69</v>
      </c>
      <c r="O2074" t="s">
        <v>70</v>
      </c>
      <c r="P2074" t="s">
        <v>37</v>
      </c>
      <c r="Q2074" t="s">
        <v>240</v>
      </c>
      <c r="R2074">
        <v>366</v>
      </c>
      <c r="S2074">
        <v>206</v>
      </c>
      <c r="T2074">
        <v>122</v>
      </c>
      <c r="U2074">
        <v>29</v>
      </c>
      <c r="V2074" t="s">
        <v>927</v>
      </c>
      <c r="W2074">
        <v>31251</v>
      </c>
      <c r="X2074" t="s">
        <v>1405</v>
      </c>
      <c r="Y2074">
        <v>27664</v>
      </c>
      <c r="Z2074">
        <v>906279</v>
      </c>
      <c r="AA2074">
        <v>104023</v>
      </c>
      <c r="AB2074" t="str">
        <f>(VLOOKUP(SalesData[[#This Row],[Month Number]],Reference!C$5:E$16,2,FALSE))</f>
        <v>Feb</v>
      </c>
      <c r="AC2074">
        <f>MONTH(SalesData[[#This Row],[Date]])</f>
        <v>2</v>
      </c>
      <c r="AD2074">
        <f>Reference!F$4</f>
        <v>2026</v>
      </c>
      <c r="AE2074" t="str">
        <f>IF(OR(SalesData[[#This Row],[Day]]="Saturday",SalesData[[#This Row],[Day]]="Sunday"),"Weekend","Weekday")</f>
        <v>Weekend</v>
      </c>
      <c r="AF2074" s="5">
        <f>IF(SalesData[[#This Row],[Contracts Offered]]=0,0,SalesData[[#This Row],[Contracts Signed]]/SalesData[[#This Row],[Contracts Offered]])</f>
        <v>0.23770491803278687</v>
      </c>
      <c r="AG2074" s="5">
        <f>IF(SalesData[[#This Row],[Customers Visited]]=0,0,SalesData[[#This Row],[Test Drives]]/SalesData[[#This Row],[Customers Visited]])</f>
        <v>0.56284153005464477</v>
      </c>
      <c r="AH2074" s="5">
        <f>IF(SalesData[[#This Row],[Customers Visited]]=0,0,SalesData[[#This Row],[Contracts Signed]]/SalesData[[#This Row],[Customers Visited]])</f>
        <v>7.9234972677595633E-2</v>
      </c>
      <c r="AI2074" s="6">
        <f>IF(SalesData[[#This Row],[Contracts Signed]]=0,0,SalesData[[#This Row],[Profit(€)]]/SalesData[[#This Row],[Contracts Signed]])</f>
        <v>3587</v>
      </c>
      <c r="AJ2074" s="5" t="str">
        <f>TRIM(CLEAN(SalesData[[#This Row],[Retailer]]))</f>
        <v>Leipzig Mobility</v>
      </c>
    </row>
    <row r="2075" spans="1:36" ht="14.25" hidden="1" x14ac:dyDescent="0.2">
      <c r="A2075" t="s">
        <v>3081</v>
      </c>
      <c r="B2075" s="1">
        <v>46063</v>
      </c>
      <c r="C2075" t="s">
        <v>121</v>
      </c>
      <c r="D2075" t="s">
        <v>63</v>
      </c>
      <c r="E2075" t="s">
        <v>26</v>
      </c>
      <c r="F2075" t="s">
        <v>101</v>
      </c>
      <c r="G2075" t="s">
        <v>102</v>
      </c>
      <c r="H2075" t="s">
        <v>103</v>
      </c>
      <c r="I2075" t="s">
        <v>104</v>
      </c>
      <c r="J2075" t="s">
        <v>105</v>
      </c>
      <c r="K2075" t="s">
        <v>78</v>
      </c>
      <c r="L2075" t="s">
        <v>33</v>
      </c>
      <c r="M2075" t="s">
        <v>68</v>
      </c>
      <c r="N2075" t="s">
        <v>69</v>
      </c>
      <c r="O2075" t="s">
        <v>36</v>
      </c>
      <c r="P2075" t="s">
        <v>37</v>
      </c>
      <c r="Q2075" t="s">
        <v>135</v>
      </c>
      <c r="R2075">
        <v>367</v>
      </c>
      <c r="S2075">
        <v>160</v>
      </c>
      <c r="T2075">
        <v>100</v>
      </c>
      <c r="U2075">
        <v>26</v>
      </c>
      <c r="V2075" t="s">
        <v>542</v>
      </c>
      <c r="W2075">
        <v>29408</v>
      </c>
      <c r="X2075" t="s">
        <v>7504</v>
      </c>
      <c r="Y2075">
        <v>25313</v>
      </c>
      <c r="Z2075">
        <v>764608</v>
      </c>
      <c r="AA2075">
        <v>106470</v>
      </c>
      <c r="AB2075" t="str">
        <f>(VLOOKUP(SalesData[[#This Row],[Month Number]],Reference!C$5:E$16,2,FALSE))</f>
        <v>Feb</v>
      </c>
      <c r="AC2075">
        <f>MONTH(SalesData[[#This Row],[Date]])</f>
        <v>2</v>
      </c>
      <c r="AD2075">
        <f>Reference!F$4</f>
        <v>2026</v>
      </c>
      <c r="AE2075" t="str">
        <f>IF(OR(SalesData[[#This Row],[Day]]="Saturday",SalesData[[#This Row],[Day]]="Sunday"),"Weekend","Weekday")</f>
        <v>Weekday</v>
      </c>
      <c r="AF2075" s="5">
        <f>IF(SalesData[[#This Row],[Contracts Offered]]=0,0,SalesData[[#This Row],[Contracts Signed]]/SalesData[[#This Row],[Contracts Offered]])</f>
        <v>0.26</v>
      </c>
      <c r="AG2075" s="5">
        <f>IF(SalesData[[#This Row],[Customers Visited]]=0,0,SalesData[[#This Row],[Test Drives]]/SalesData[[#This Row],[Customers Visited]])</f>
        <v>0.43596730245231607</v>
      </c>
      <c r="AH2075" s="5">
        <f>IF(SalesData[[#This Row],[Customers Visited]]=0,0,SalesData[[#This Row],[Contracts Signed]]/SalesData[[#This Row],[Customers Visited]])</f>
        <v>7.0844686648501368E-2</v>
      </c>
      <c r="AI2075" s="6">
        <f>IF(SalesData[[#This Row],[Contracts Signed]]=0,0,SalesData[[#This Row],[Profit(€)]]/SalesData[[#This Row],[Contracts Signed]])</f>
        <v>4095</v>
      </c>
      <c r="AJ2075" s="5" t="str">
        <f>TRIM(CLEAN(SalesData[[#This Row],[Retailer]]))</f>
        <v>Ruhr Auto Plaza</v>
      </c>
    </row>
    <row r="2076" spans="1:36" ht="14.25" hidden="1" x14ac:dyDescent="0.2">
      <c r="A2076" t="s">
        <v>3083</v>
      </c>
      <c r="B2076" s="1">
        <v>46069</v>
      </c>
      <c r="C2076" t="s">
        <v>62</v>
      </c>
      <c r="D2076" t="s">
        <v>25</v>
      </c>
      <c r="E2076" t="s">
        <v>26</v>
      </c>
      <c r="F2076" t="s">
        <v>127</v>
      </c>
      <c r="G2076" t="s">
        <v>128</v>
      </c>
      <c r="H2076" t="s">
        <v>103</v>
      </c>
      <c r="I2076" t="s">
        <v>104</v>
      </c>
      <c r="J2076" t="s">
        <v>143</v>
      </c>
      <c r="K2076" t="s">
        <v>66</v>
      </c>
      <c r="L2076" t="s">
        <v>67</v>
      </c>
      <c r="M2076" t="s">
        <v>87</v>
      </c>
      <c r="N2076" t="s">
        <v>69</v>
      </c>
      <c r="O2076" t="s">
        <v>36</v>
      </c>
      <c r="P2076" t="s">
        <v>58</v>
      </c>
      <c r="Q2076" t="s">
        <v>50</v>
      </c>
      <c r="R2076">
        <v>352</v>
      </c>
      <c r="S2076">
        <v>174</v>
      </c>
      <c r="T2076">
        <v>107</v>
      </c>
      <c r="U2076">
        <v>35</v>
      </c>
      <c r="V2076" t="s">
        <v>6991</v>
      </c>
      <c r="W2076">
        <v>34317</v>
      </c>
      <c r="X2076" t="s">
        <v>2713</v>
      </c>
      <c r="Y2076">
        <v>29836</v>
      </c>
      <c r="Z2076">
        <v>1201095</v>
      </c>
      <c r="AA2076">
        <v>156835</v>
      </c>
      <c r="AB2076" t="str">
        <f>(VLOOKUP(SalesData[[#This Row],[Month Number]],Reference!C$5:E$16,2,FALSE))</f>
        <v>Feb</v>
      </c>
      <c r="AC2076">
        <f>MONTH(SalesData[[#This Row],[Date]])</f>
        <v>2</v>
      </c>
      <c r="AD2076">
        <f>Reference!F$4</f>
        <v>2026</v>
      </c>
      <c r="AE2076" t="str">
        <f>IF(OR(SalesData[[#This Row],[Day]]="Saturday",SalesData[[#This Row],[Day]]="Sunday"),"Weekend","Weekday")</f>
        <v>Weekday</v>
      </c>
      <c r="AF2076" s="5">
        <f>IF(SalesData[[#This Row],[Contracts Offered]]=0,0,SalesData[[#This Row],[Contracts Signed]]/SalesData[[#This Row],[Contracts Offered]])</f>
        <v>0.32710280373831774</v>
      </c>
      <c r="AG2076" s="5">
        <f>IF(SalesData[[#This Row],[Customers Visited]]=0,0,SalesData[[#This Row],[Test Drives]]/SalesData[[#This Row],[Customers Visited]])</f>
        <v>0.49431818181818182</v>
      </c>
      <c r="AH2076" s="5">
        <f>IF(SalesData[[#This Row],[Customers Visited]]=0,0,SalesData[[#This Row],[Contracts Signed]]/SalesData[[#This Row],[Customers Visited]])</f>
        <v>9.9431818181818177E-2</v>
      </c>
      <c r="AI2076" s="6">
        <f>IF(SalesData[[#This Row],[Contracts Signed]]=0,0,SalesData[[#This Row],[Profit(€)]]/SalesData[[#This Row],[Contracts Signed]])</f>
        <v>4481</v>
      </c>
      <c r="AJ2076" s="5" t="str">
        <f>TRIM(CLEAN(SalesData[[#This Row],[Retailer]]))</f>
        <v>Rhein Auto Group</v>
      </c>
    </row>
    <row r="2077" spans="1:36" ht="14.25" hidden="1" x14ac:dyDescent="0.2">
      <c r="A2077" t="s">
        <v>3084</v>
      </c>
      <c r="B2077" s="1">
        <v>46063</v>
      </c>
      <c r="C2077" t="s">
        <v>121</v>
      </c>
      <c r="D2077" t="s">
        <v>63</v>
      </c>
      <c r="E2077" t="s">
        <v>26</v>
      </c>
      <c r="F2077" t="s">
        <v>101</v>
      </c>
      <c r="G2077" t="s">
        <v>102</v>
      </c>
      <c r="H2077" t="s">
        <v>103</v>
      </c>
      <c r="I2077" t="s">
        <v>104</v>
      </c>
      <c r="J2077" t="s">
        <v>7031</v>
      </c>
      <c r="K2077" t="s">
        <v>91</v>
      </c>
      <c r="L2077" t="s">
        <v>46</v>
      </c>
      <c r="M2077" t="s">
        <v>34</v>
      </c>
      <c r="N2077" t="s">
        <v>69</v>
      </c>
      <c r="O2077" t="s">
        <v>36</v>
      </c>
      <c r="P2077" t="s">
        <v>37</v>
      </c>
      <c r="Q2077" t="s">
        <v>129</v>
      </c>
      <c r="R2077">
        <v>265</v>
      </c>
      <c r="S2077">
        <v>133</v>
      </c>
      <c r="T2077">
        <v>83</v>
      </c>
      <c r="U2077">
        <v>20</v>
      </c>
      <c r="V2077" t="s">
        <v>1149</v>
      </c>
      <c r="W2077">
        <v>30680</v>
      </c>
      <c r="X2077" t="s">
        <v>2393</v>
      </c>
      <c r="Y2077">
        <v>26390</v>
      </c>
      <c r="Z2077">
        <v>613600</v>
      </c>
      <c r="AA2077">
        <v>85800</v>
      </c>
      <c r="AB2077" t="str">
        <f>(VLOOKUP(SalesData[[#This Row],[Month Number]],Reference!C$5:E$16,2,FALSE))</f>
        <v>Feb</v>
      </c>
      <c r="AC2077">
        <f>MONTH(SalesData[[#This Row],[Date]])</f>
        <v>2</v>
      </c>
      <c r="AD2077">
        <f>Reference!F$4</f>
        <v>2026</v>
      </c>
      <c r="AE2077" t="str">
        <f>IF(OR(SalesData[[#This Row],[Day]]="Saturday",SalesData[[#This Row],[Day]]="Sunday"),"Weekend","Weekday")</f>
        <v>Weekday</v>
      </c>
      <c r="AF2077" s="5">
        <f>IF(SalesData[[#This Row],[Contracts Offered]]=0,0,SalesData[[#This Row],[Contracts Signed]]/SalesData[[#This Row],[Contracts Offered]])</f>
        <v>0.24096385542168675</v>
      </c>
      <c r="AG2077" s="5">
        <f>IF(SalesData[[#This Row],[Customers Visited]]=0,0,SalesData[[#This Row],[Test Drives]]/SalesData[[#This Row],[Customers Visited]])</f>
        <v>0.50188679245283019</v>
      </c>
      <c r="AH2077" s="5">
        <f>IF(SalesData[[#This Row],[Customers Visited]]=0,0,SalesData[[#This Row],[Contracts Signed]]/SalesData[[#This Row],[Customers Visited]])</f>
        <v>7.5471698113207544E-2</v>
      </c>
      <c r="AI2077" s="6">
        <f>IF(SalesData[[#This Row],[Contracts Signed]]=0,0,SalesData[[#This Row],[Profit(€)]]/SalesData[[#This Row],[Contracts Signed]])</f>
        <v>4290</v>
      </c>
      <c r="AJ2077" s="5" t="str">
        <f>TRIM(CLEAN(SalesData[[#This Row],[Retailer]]))</f>
        <v>Ruhr Auto Plaza</v>
      </c>
    </row>
    <row r="2078" spans="1:36" ht="14.25" hidden="1" x14ac:dyDescent="0.2">
      <c r="A2078" t="s">
        <v>3086</v>
      </c>
      <c r="B2078" s="1">
        <v>46057</v>
      </c>
      <c r="C2078" t="s">
        <v>24</v>
      </c>
      <c r="D2078" t="s">
        <v>82</v>
      </c>
      <c r="E2078" t="s">
        <v>26</v>
      </c>
      <c r="F2078" t="s">
        <v>83</v>
      </c>
      <c r="G2078" t="s">
        <v>84</v>
      </c>
      <c r="H2078" t="s">
        <v>85</v>
      </c>
      <c r="I2078" t="s">
        <v>64</v>
      </c>
      <c r="J2078" t="s">
        <v>77</v>
      </c>
      <c r="K2078" t="s">
        <v>32</v>
      </c>
      <c r="L2078" t="s">
        <v>46</v>
      </c>
      <c r="M2078" t="s">
        <v>34</v>
      </c>
      <c r="N2078" t="s">
        <v>69</v>
      </c>
      <c r="O2078" t="s">
        <v>70</v>
      </c>
      <c r="P2078" t="s">
        <v>58</v>
      </c>
      <c r="Q2078" t="s">
        <v>169</v>
      </c>
      <c r="R2078">
        <v>265</v>
      </c>
      <c r="S2078">
        <v>130</v>
      </c>
      <c r="T2078">
        <v>103</v>
      </c>
      <c r="U2078">
        <v>36</v>
      </c>
      <c r="V2078" t="s">
        <v>6359</v>
      </c>
      <c r="W2078">
        <v>58589</v>
      </c>
      <c r="X2078" t="s">
        <v>3704</v>
      </c>
      <c r="Y2078">
        <v>42867</v>
      </c>
      <c r="Z2078">
        <v>2109204</v>
      </c>
      <c r="AA2078">
        <v>565992</v>
      </c>
      <c r="AB2078" t="str">
        <f>(VLOOKUP(SalesData[[#This Row],[Month Number]],Reference!C$5:E$16,2,FALSE))</f>
        <v>Feb</v>
      </c>
      <c r="AC2078">
        <f>MONTH(SalesData[[#This Row],[Date]])</f>
        <v>2</v>
      </c>
      <c r="AD2078">
        <f>Reference!F$4</f>
        <v>2026</v>
      </c>
      <c r="AE2078" t="str">
        <f>IF(OR(SalesData[[#This Row],[Day]]="Saturday",SalesData[[#This Row],[Day]]="Sunday"),"Weekend","Weekday")</f>
        <v>Weekday</v>
      </c>
      <c r="AF2078" s="5">
        <f>IF(SalesData[[#This Row],[Contracts Offered]]=0,0,SalesData[[#This Row],[Contracts Signed]]/SalesData[[#This Row],[Contracts Offered]])</f>
        <v>0.34951456310679613</v>
      </c>
      <c r="AG2078" s="5">
        <f>IF(SalesData[[#This Row],[Customers Visited]]=0,0,SalesData[[#This Row],[Test Drives]]/SalesData[[#This Row],[Customers Visited]])</f>
        <v>0.49056603773584906</v>
      </c>
      <c r="AH2078" s="5">
        <f>IF(SalesData[[#This Row],[Customers Visited]]=0,0,SalesData[[#This Row],[Contracts Signed]]/SalesData[[#This Row],[Customers Visited]])</f>
        <v>0.13584905660377358</v>
      </c>
      <c r="AI2078" s="6">
        <f>IF(SalesData[[#This Row],[Contracts Signed]]=0,0,SalesData[[#This Row],[Profit(€)]]/SalesData[[#This Row],[Contracts Signed]])</f>
        <v>15722</v>
      </c>
      <c r="AJ2078" s="5" t="str">
        <f>TRIM(CLEAN(SalesData[[#This Row],[Retailer]]))</f>
        <v>Hannover Cars</v>
      </c>
    </row>
    <row r="2079" spans="1:36" ht="14.25" x14ac:dyDescent="0.2">
      <c r="A2079" t="s">
        <v>3087</v>
      </c>
      <c r="B2079" s="1">
        <v>46057</v>
      </c>
      <c r="C2079" t="s">
        <v>24</v>
      </c>
      <c r="D2079" t="s">
        <v>82</v>
      </c>
      <c r="E2079" t="s">
        <v>26</v>
      </c>
      <c r="F2079" t="s">
        <v>114</v>
      </c>
      <c r="G2079" t="s">
        <v>115</v>
      </c>
      <c r="H2079" t="s">
        <v>115</v>
      </c>
      <c r="I2079" t="s">
        <v>30</v>
      </c>
      <c r="J2079" t="s">
        <v>188</v>
      </c>
      <c r="K2079" t="s">
        <v>91</v>
      </c>
      <c r="L2079" t="s">
        <v>33</v>
      </c>
      <c r="M2079" t="s">
        <v>47</v>
      </c>
      <c r="N2079" t="s">
        <v>48</v>
      </c>
      <c r="O2079" t="s">
        <v>70</v>
      </c>
      <c r="P2079" t="s">
        <v>49</v>
      </c>
      <c r="Q2079" t="s">
        <v>144</v>
      </c>
      <c r="R2079">
        <v>208</v>
      </c>
      <c r="S2079">
        <v>115</v>
      </c>
      <c r="T2079">
        <v>83</v>
      </c>
      <c r="U2079">
        <v>31</v>
      </c>
      <c r="V2079" t="s">
        <v>6506</v>
      </c>
      <c r="W2079">
        <v>56015</v>
      </c>
      <c r="X2079" t="s">
        <v>7170</v>
      </c>
      <c r="Y2079">
        <v>43192</v>
      </c>
      <c r="Z2079">
        <v>1736465</v>
      </c>
      <c r="AA2079">
        <v>397513</v>
      </c>
      <c r="AB2079" t="str">
        <f>(VLOOKUP(SalesData[[#This Row],[Month Number]],Reference!C$5:E$16,2,FALSE))</f>
        <v>Feb</v>
      </c>
      <c r="AC2079">
        <f>MONTH(SalesData[[#This Row],[Date]])</f>
        <v>2</v>
      </c>
      <c r="AD2079">
        <f>Reference!F$4</f>
        <v>2026</v>
      </c>
      <c r="AE2079" t="str">
        <f>IF(OR(SalesData[[#This Row],[Day]]="Saturday",SalesData[[#This Row],[Day]]="Sunday"),"Weekend","Weekday")</f>
        <v>Weekday</v>
      </c>
      <c r="AF2079" s="5">
        <f>IF(SalesData[[#This Row],[Contracts Offered]]=0,0,SalesData[[#This Row],[Contracts Signed]]/SalesData[[#This Row],[Contracts Offered]])</f>
        <v>0.37349397590361444</v>
      </c>
      <c r="AG2079" s="5">
        <f>IF(SalesData[[#This Row],[Customers Visited]]=0,0,SalesData[[#This Row],[Test Drives]]/SalesData[[#This Row],[Customers Visited]])</f>
        <v>0.55288461538461542</v>
      </c>
      <c r="AH2079" s="5">
        <f>IF(SalesData[[#This Row],[Customers Visited]]=0,0,SalesData[[#This Row],[Contracts Signed]]/SalesData[[#This Row],[Customers Visited]])</f>
        <v>0.14903846153846154</v>
      </c>
      <c r="AI2079" s="6">
        <f>IF(SalesData[[#This Row],[Contracts Signed]]=0,0,SalesData[[#This Row],[Profit(€)]]/SalesData[[#This Row],[Contracts Signed]])</f>
        <v>12823</v>
      </c>
      <c r="AJ2079" s="5" t="str">
        <f>TRIM(CLEAN(SalesData[[#This Row],[Retailer]]))</f>
        <v>Elbe Drive</v>
      </c>
    </row>
    <row r="2080" spans="1:36" ht="14.25" hidden="1" x14ac:dyDescent="0.2">
      <c r="A2080" t="s">
        <v>3088</v>
      </c>
      <c r="B2080" s="1">
        <v>46071</v>
      </c>
      <c r="C2080" t="s">
        <v>62</v>
      </c>
      <c r="D2080" t="s">
        <v>82</v>
      </c>
      <c r="E2080" t="s">
        <v>26</v>
      </c>
      <c r="F2080" t="s">
        <v>109</v>
      </c>
      <c r="G2080" t="s">
        <v>110</v>
      </c>
      <c r="H2080" t="s">
        <v>45</v>
      </c>
      <c r="I2080" t="s">
        <v>116</v>
      </c>
      <c r="J2080" t="s">
        <v>7090</v>
      </c>
      <c r="K2080" t="s">
        <v>91</v>
      </c>
      <c r="L2080" t="s">
        <v>46</v>
      </c>
      <c r="M2080" t="s">
        <v>47</v>
      </c>
      <c r="N2080" t="s">
        <v>69</v>
      </c>
      <c r="O2080" t="s">
        <v>70</v>
      </c>
      <c r="P2080" t="s">
        <v>37</v>
      </c>
      <c r="Q2080" t="s">
        <v>158</v>
      </c>
      <c r="R2080">
        <v>359</v>
      </c>
      <c r="S2080">
        <v>146</v>
      </c>
      <c r="T2080">
        <v>95</v>
      </c>
      <c r="U2080">
        <v>22</v>
      </c>
      <c r="V2080" t="s">
        <v>1004</v>
      </c>
      <c r="W2080">
        <v>22215</v>
      </c>
      <c r="X2080" t="s">
        <v>658</v>
      </c>
      <c r="Y2080">
        <v>20203</v>
      </c>
      <c r="Z2080">
        <v>488730</v>
      </c>
      <c r="AA2080">
        <v>44264</v>
      </c>
      <c r="AB2080" t="str">
        <f>(VLOOKUP(SalesData[[#This Row],[Month Number]],Reference!C$5:E$16,2,FALSE))</f>
        <v>Feb</v>
      </c>
      <c r="AC2080">
        <f>MONTH(SalesData[[#This Row],[Date]])</f>
        <v>2</v>
      </c>
      <c r="AD2080">
        <f>Reference!F$4</f>
        <v>2026</v>
      </c>
      <c r="AE2080" t="str">
        <f>IF(OR(SalesData[[#This Row],[Day]]="Saturday",SalesData[[#This Row],[Day]]="Sunday"),"Weekend","Weekday")</f>
        <v>Weekday</v>
      </c>
      <c r="AF2080" s="5">
        <f>IF(SalesData[[#This Row],[Contracts Offered]]=0,0,SalesData[[#This Row],[Contracts Signed]]/SalesData[[#This Row],[Contracts Offered]])</f>
        <v>0.23157894736842105</v>
      </c>
      <c r="AG2080" s="5">
        <f>IF(SalesData[[#This Row],[Customers Visited]]=0,0,SalesData[[#This Row],[Test Drives]]/SalesData[[#This Row],[Customers Visited]])</f>
        <v>0.40668523676880225</v>
      </c>
      <c r="AH2080" s="5">
        <f>IF(SalesData[[#This Row],[Customers Visited]]=0,0,SalesData[[#This Row],[Contracts Signed]]/SalesData[[#This Row],[Customers Visited]])</f>
        <v>6.1281337047353758E-2</v>
      </c>
      <c r="AI2080" s="6">
        <f>IF(SalesData[[#This Row],[Contracts Signed]]=0,0,SalesData[[#This Row],[Profit(€)]]/SalesData[[#This Row],[Contracts Signed]])</f>
        <v>2012</v>
      </c>
      <c r="AJ2080" s="5" t="str">
        <f>TRIM(CLEAN(SalesData[[#This Row],[Retailer]]))</f>
        <v>Leipzig Mobility</v>
      </c>
    </row>
    <row r="2081" spans="1:36" ht="14.25" hidden="1" x14ac:dyDescent="0.2">
      <c r="A2081" t="s">
        <v>3089</v>
      </c>
      <c r="B2081" s="1">
        <v>46078</v>
      </c>
      <c r="C2081" t="s">
        <v>53</v>
      </c>
      <c r="D2081" t="s">
        <v>82</v>
      </c>
      <c r="E2081" t="s">
        <v>26</v>
      </c>
      <c r="F2081" t="s">
        <v>7649</v>
      </c>
      <c r="G2081" t="s">
        <v>55</v>
      </c>
      <c r="H2081" t="s">
        <v>55</v>
      </c>
      <c r="I2081" t="s">
        <v>116</v>
      </c>
      <c r="J2081" t="s">
        <v>7026</v>
      </c>
      <c r="K2081" t="s">
        <v>78</v>
      </c>
      <c r="L2081" t="s">
        <v>46</v>
      </c>
      <c r="M2081" t="s">
        <v>47</v>
      </c>
      <c r="N2081" t="s">
        <v>69</v>
      </c>
      <c r="O2081" t="s">
        <v>36</v>
      </c>
      <c r="P2081" t="s">
        <v>58</v>
      </c>
      <c r="Q2081" t="s">
        <v>38</v>
      </c>
      <c r="R2081">
        <v>237</v>
      </c>
      <c r="S2081">
        <v>132</v>
      </c>
      <c r="T2081">
        <v>77</v>
      </c>
      <c r="U2081">
        <v>27</v>
      </c>
      <c r="V2081" t="s">
        <v>6914</v>
      </c>
      <c r="W2081">
        <v>23669</v>
      </c>
      <c r="X2081" t="s">
        <v>5435</v>
      </c>
      <c r="Y2081">
        <v>21743</v>
      </c>
      <c r="Z2081">
        <v>639063</v>
      </c>
      <c r="AA2081">
        <v>52002</v>
      </c>
      <c r="AB2081" t="str">
        <f>(VLOOKUP(SalesData[[#This Row],[Month Number]],Reference!C$5:E$16,2,FALSE))</f>
        <v>Feb</v>
      </c>
      <c r="AC2081">
        <f>MONTH(SalesData[[#This Row],[Date]])</f>
        <v>2</v>
      </c>
      <c r="AD2081">
        <f>Reference!F$4</f>
        <v>2026</v>
      </c>
      <c r="AE2081" t="str">
        <f>IF(OR(SalesData[[#This Row],[Day]]="Saturday",SalesData[[#This Row],[Day]]="Sunday"),"Weekend","Weekday")</f>
        <v>Weekday</v>
      </c>
      <c r="AF2081" s="5">
        <f>IF(SalesData[[#This Row],[Contracts Offered]]=0,0,SalesData[[#This Row],[Contracts Signed]]/SalesData[[#This Row],[Contracts Offered]])</f>
        <v>0.35064935064935066</v>
      </c>
      <c r="AG2081" s="5">
        <f>IF(SalesData[[#This Row],[Customers Visited]]=0,0,SalesData[[#This Row],[Test Drives]]/SalesData[[#This Row],[Customers Visited]])</f>
        <v>0.55696202531645567</v>
      </c>
      <c r="AH2081" s="5">
        <f>IF(SalesData[[#This Row],[Customers Visited]]=0,0,SalesData[[#This Row],[Contracts Signed]]/SalesData[[#This Row],[Customers Visited]])</f>
        <v>0.11392405063291139</v>
      </c>
      <c r="AI2081" s="6">
        <f>IF(SalesData[[#This Row],[Contracts Signed]]=0,0,SalesData[[#This Row],[Profit(€)]]/SalesData[[#This Row],[Contracts Signed]])</f>
        <v>1926</v>
      </c>
      <c r="AJ2081" s="5" t="str">
        <f>TRIM(CLEAN(SalesData[[#This Row],[Retailer]]))</f>
        <v>Autohaus Berlin</v>
      </c>
    </row>
    <row r="2082" spans="1:36" ht="14.25" hidden="1" x14ac:dyDescent="0.2">
      <c r="A2082" t="s">
        <v>3090</v>
      </c>
      <c r="B2082" s="1">
        <v>46062</v>
      </c>
      <c r="C2082" t="s">
        <v>121</v>
      </c>
      <c r="D2082" t="s">
        <v>25</v>
      </c>
      <c r="E2082" t="s">
        <v>26</v>
      </c>
      <c r="F2082" t="s">
        <v>94</v>
      </c>
      <c r="G2082" t="s">
        <v>95</v>
      </c>
      <c r="H2082" t="s">
        <v>96</v>
      </c>
      <c r="I2082" t="s">
        <v>116</v>
      </c>
      <c r="J2082" t="s">
        <v>7090</v>
      </c>
      <c r="K2082" t="s">
        <v>32</v>
      </c>
      <c r="L2082" t="s">
        <v>46</v>
      </c>
      <c r="M2082" t="s">
        <v>34</v>
      </c>
      <c r="N2082" t="s">
        <v>35</v>
      </c>
      <c r="O2082" t="s">
        <v>70</v>
      </c>
      <c r="P2082" t="s">
        <v>49</v>
      </c>
      <c r="Q2082" t="s">
        <v>167</v>
      </c>
      <c r="R2082">
        <v>304</v>
      </c>
      <c r="S2082">
        <v>115</v>
      </c>
      <c r="T2082">
        <v>74</v>
      </c>
      <c r="U2082">
        <v>17</v>
      </c>
      <c r="V2082" t="s">
        <v>3153</v>
      </c>
      <c r="W2082">
        <v>23170</v>
      </c>
      <c r="X2082" t="s">
        <v>1559</v>
      </c>
      <c r="Y2082">
        <v>21440</v>
      </c>
      <c r="Z2082">
        <v>393890</v>
      </c>
      <c r="AA2082">
        <v>29410</v>
      </c>
      <c r="AB2082" t="str">
        <f>(VLOOKUP(SalesData[[#This Row],[Month Number]],Reference!C$5:E$16,2,FALSE))</f>
        <v>Feb</v>
      </c>
      <c r="AC2082">
        <f>MONTH(SalesData[[#This Row],[Date]])</f>
        <v>2</v>
      </c>
      <c r="AD2082">
        <f>Reference!F$4</f>
        <v>2026</v>
      </c>
      <c r="AE2082" t="str">
        <f>IF(OR(SalesData[[#This Row],[Day]]="Saturday",SalesData[[#This Row],[Day]]="Sunday"),"Weekend","Weekday")</f>
        <v>Weekday</v>
      </c>
      <c r="AF2082" s="5">
        <f>IF(SalesData[[#This Row],[Contracts Offered]]=0,0,SalesData[[#This Row],[Contracts Signed]]/SalesData[[#This Row],[Contracts Offered]])</f>
        <v>0.22972972972972974</v>
      </c>
      <c r="AG2082" s="5">
        <f>IF(SalesData[[#This Row],[Customers Visited]]=0,0,SalesData[[#This Row],[Test Drives]]/SalesData[[#This Row],[Customers Visited]])</f>
        <v>0.37828947368421051</v>
      </c>
      <c r="AH2082" s="5">
        <f>IF(SalesData[[#This Row],[Customers Visited]]=0,0,SalesData[[#This Row],[Contracts Signed]]/SalesData[[#This Row],[Customers Visited]])</f>
        <v>5.5921052631578948E-2</v>
      </c>
      <c r="AI2082" s="6">
        <f>IF(SalesData[[#This Row],[Contracts Signed]]=0,0,SalesData[[#This Row],[Profit(€)]]/SalesData[[#This Row],[Contracts Signed]])</f>
        <v>1730</v>
      </c>
      <c r="AJ2082" s="5" t="str">
        <f>TRIM(CLEAN(SalesData[[#This Row],[Retailer]]))</f>
        <v>Bavaria Motors</v>
      </c>
    </row>
    <row r="2083" spans="1:36" ht="14.25" x14ac:dyDescent="0.2">
      <c r="A2083" t="s">
        <v>3091</v>
      </c>
      <c r="B2083" s="1">
        <v>46059</v>
      </c>
      <c r="C2083" t="s">
        <v>24</v>
      </c>
      <c r="D2083" t="s">
        <v>54</v>
      </c>
      <c r="E2083" t="s">
        <v>26</v>
      </c>
      <c r="F2083" t="s">
        <v>83</v>
      </c>
      <c r="G2083" t="s">
        <v>84</v>
      </c>
      <c r="H2083" t="s">
        <v>85</v>
      </c>
      <c r="I2083" t="s">
        <v>30</v>
      </c>
      <c r="J2083" t="s">
        <v>86</v>
      </c>
      <c r="K2083" t="s">
        <v>66</v>
      </c>
      <c r="L2083" t="s">
        <v>33</v>
      </c>
      <c r="M2083" t="s">
        <v>47</v>
      </c>
      <c r="N2083" t="s">
        <v>48</v>
      </c>
      <c r="O2083" t="s">
        <v>36</v>
      </c>
      <c r="P2083" t="s">
        <v>58</v>
      </c>
      <c r="Q2083" t="s">
        <v>144</v>
      </c>
      <c r="R2083">
        <v>168</v>
      </c>
      <c r="S2083">
        <v>82</v>
      </c>
      <c r="T2083">
        <v>62</v>
      </c>
      <c r="U2083">
        <v>27</v>
      </c>
      <c r="V2083" t="s">
        <v>7505</v>
      </c>
      <c r="W2083">
        <v>51813</v>
      </c>
      <c r="X2083" t="s">
        <v>7284</v>
      </c>
      <c r="Y2083">
        <v>38239</v>
      </c>
      <c r="Z2083">
        <v>1398951</v>
      </c>
      <c r="AA2083">
        <v>366498</v>
      </c>
      <c r="AB2083" t="str">
        <f>(VLOOKUP(SalesData[[#This Row],[Month Number]],Reference!C$5:E$16,2,FALSE))</f>
        <v>Feb</v>
      </c>
      <c r="AC2083">
        <f>MONTH(SalesData[[#This Row],[Date]])</f>
        <v>2</v>
      </c>
      <c r="AD2083">
        <f>Reference!F$4</f>
        <v>2026</v>
      </c>
      <c r="AE2083" t="str">
        <f>IF(OR(SalesData[[#This Row],[Day]]="Saturday",SalesData[[#This Row],[Day]]="Sunday"),"Weekend","Weekday")</f>
        <v>Weekday</v>
      </c>
      <c r="AF2083" s="5">
        <f>IF(SalesData[[#This Row],[Contracts Offered]]=0,0,SalesData[[#This Row],[Contracts Signed]]/SalesData[[#This Row],[Contracts Offered]])</f>
        <v>0.43548387096774194</v>
      </c>
      <c r="AG2083" s="5">
        <f>IF(SalesData[[#This Row],[Customers Visited]]=0,0,SalesData[[#This Row],[Test Drives]]/SalesData[[#This Row],[Customers Visited]])</f>
        <v>0.48809523809523808</v>
      </c>
      <c r="AH2083" s="5">
        <f>IF(SalesData[[#This Row],[Customers Visited]]=0,0,SalesData[[#This Row],[Contracts Signed]]/SalesData[[#This Row],[Customers Visited]])</f>
        <v>0.16071428571428573</v>
      </c>
      <c r="AI2083" s="6">
        <f>IF(SalesData[[#This Row],[Contracts Signed]]=0,0,SalesData[[#This Row],[Profit(€)]]/SalesData[[#This Row],[Contracts Signed]])</f>
        <v>13574</v>
      </c>
      <c r="AJ2083" s="5" t="str">
        <f>TRIM(CLEAN(SalesData[[#This Row],[Retailer]]))</f>
        <v>Hannover Cars</v>
      </c>
    </row>
    <row r="2084" spans="1:36" ht="14.25" hidden="1" x14ac:dyDescent="0.2">
      <c r="A2084" t="s">
        <v>3092</v>
      </c>
      <c r="B2084" s="1">
        <v>46059</v>
      </c>
      <c r="C2084" t="s">
        <v>24</v>
      </c>
      <c r="D2084" t="s">
        <v>54</v>
      </c>
      <c r="E2084" t="s">
        <v>26</v>
      </c>
      <c r="F2084" t="s">
        <v>94</v>
      </c>
      <c r="G2084" t="s">
        <v>95</v>
      </c>
      <c r="H2084" t="s">
        <v>96</v>
      </c>
      <c r="I2084" t="s">
        <v>56</v>
      </c>
      <c r="J2084" t="s">
        <v>7028</v>
      </c>
      <c r="K2084" t="s">
        <v>91</v>
      </c>
      <c r="L2084" t="s">
        <v>46</v>
      </c>
      <c r="M2084" t="s">
        <v>87</v>
      </c>
      <c r="N2084" t="s">
        <v>69</v>
      </c>
      <c r="O2084" t="s">
        <v>36</v>
      </c>
      <c r="P2084" t="s">
        <v>58</v>
      </c>
      <c r="Q2084" t="s">
        <v>167</v>
      </c>
      <c r="R2084">
        <v>270</v>
      </c>
      <c r="S2084">
        <v>127</v>
      </c>
      <c r="T2084">
        <v>89</v>
      </c>
      <c r="U2084">
        <v>33</v>
      </c>
      <c r="V2084" t="s">
        <v>6792</v>
      </c>
      <c r="W2084">
        <v>53627</v>
      </c>
      <c r="X2084" t="s">
        <v>2796</v>
      </c>
      <c r="Y2084">
        <v>41967</v>
      </c>
      <c r="Z2084">
        <v>1769691</v>
      </c>
      <c r="AA2084">
        <v>384780</v>
      </c>
      <c r="AB2084" t="str">
        <f>(VLOOKUP(SalesData[[#This Row],[Month Number]],Reference!C$5:E$16,2,FALSE))</f>
        <v>Feb</v>
      </c>
      <c r="AC2084">
        <f>MONTH(SalesData[[#This Row],[Date]])</f>
        <v>2</v>
      </c>
      <c r="AD2084">
        <f>Reference!F$4</f>
        <v>2026</v>
      </c>
      <c r="AE2084" t="str">
        <f>IF(OR(SalesData[[#This Row],[Day]]="Saturday",SalesData[[#This Row],[Day]]="Sunday"),"Weekend","Weekday")</f>
        <v>Weekday</v>
      </c>
      <c r="AF2084" s="5">
        <f>IF(SalesData[[#This Row],[Contracts Offered]]=0,0,SalesData[[#This Row],[Contracts Signed]]/SalesData[[#This Row],[Contracts Offered]])</f>
        <v>0.3707865168539326</v>
      </c>
      <c r="AG2084" s="5">
        <f>IF(SalesData[[#This Row],[Customers Visited]]=0,0,SalesData[[#This Row],[Test Drives]]/SalesData[[#This Row],[Customers Visited]])</f>
        <v>0.47037037037037038</v>
      </c>
      <c r="AH2084" s="5">
        <f>IF(SalesData[[#This Row],[Customers Visited]]=0,0,SalesData[[#This Row],[Contracts Signed]]/SalesData[[#This Row],[Customers Visited]])</f>
        <v>0.12222222222222222</v>
      </c>
      <c r="AI2084" s="6">
        <f>IF(SalesData[[#This Row],[Contracts Signed]]=0,0,SalesData[[#This Row],[Profit(€)]]/SalesData[[#This Row],[Contracts Signed]])</f>
        <v>11660</v>
      </c>
      <c r="AJ2084" s="5" t="str">
        <f>TRIM(CLEAN(SalesData[[#This Row],[Retailer]]))</f>
        <v>Bavaria Motors</v>
      </c>
    </row>
    <row r="2085" spans="1:36" ht="14.25" hidden="1" x14ac:dyDescent="0.2">
      <c r="A2085" t="s">
        <v>3093</v>
      </c>
      <c r="B2085" s="1">
        <v>46075</v>
      </c>
      <c r="C2085" t="s">
        <v>53</v>
      </c>
      <c r="D2085" t="s">
        <v>41</v>
      </c>
      <c r="E2085" t="s">
        <v>42</v>
      </c>
      <c r="F2085" t="s">
        <v>74</v>
      </c>
      <c r="G2085" t="s">
        <v>75</v>
      </c>
      <c r="H2085" t="s">
        <v>76</v>
      </c>
      <c r="I2085" t="s">
        <v>116</v>
      </c>
      <c r="J2085" t="s">
        <v>7026</v>
      </c>
      <c r="K2085" t="s">
        <v>78</v>
      </c>
      <c r="L2085" t="s">
        <v>46</v>
      </c>
      <c r="M2085" t="s">
        <v>87</v>
      </c>
      <c r="N2085" t="s">
        <v>48</v>
      </c>
      <c r="O2085" t="s">
        <v>36</v>
      </c>
      <c r="P2085" t="s">
        <v>71</v>
      </c>
      <c r="Q2085" t="s">
        <v>79</v>
      </c>
      <c r="R2085">
        <v>273</v>
      </c>
      <c r="S2085">
        <v>131</v>
      </c>
      <c r="T2085">
        <v>75</v>
      </c>
      <c r="U2085">
        <v>25</v>
      </c>
      <c r="V2085" t="s">
        <v>4318</v>
      </c>
      <c r="W2085">
        <v>21007</v>
      </c>
      <c r="X2085" t="s">
        <v>72</v>
      </c>
      <c r="Y2085">
        <v>18787</v>
      </c>
      <c r="Z2085">
        <v>525175</v>
      </c>
      <c r="AA2085">
        <v>55500</v>
      </c>
      <c r="AB2085" t="str">
        <f>(VLOOKUP(SalesData[[#This Row],[Month Number]],Reference!C$5:E$16,2,FALSE))</f>
        <v>Feb</v>
      </c>
      <c r="AC2085">
        <f>MONTH(SalesData[[#This Row],[Date]])</f>
        <v>2</v>
      </c>
      <c r="AD2085">
        <f>Reference!F$4</f>
        <v>2026</v>
      </c>
      <c r="AE2085" t="str">
        <f>IF(OR(SalesData[[#This Row],[Day]]="Saturday",SalesData[[#This Row],[Day]]="Sunday"),"Weekend","Weekday")</f>
        <v>Weekend</v>
      </c>
      <c r="AF2085" s="5">
        <f>IF(SalesData[[#This Row],[Contracts Offered]]=0,0,SalesData[[#This Row],[Contracts Signed]]/SalesData[[#This Row],[Contracts Offered]])</f>
        <v>0.33333333333333331</v>
      </c>
      <c r="AG2085" s="5">
        <f>IF(SalesData[[#This Row],[Customers Visited]]=0,0,SalesData[[#This Row],[Test Drives]]/SalesData[[#This Row],[Customers Visited]])</f>
        <v>0.47985347985347987</v>
      </c>
      <c r="AH2085" s="5">
        <f>IF(SalesData[[#This Row],[Customers Visited]]=0,0,SalesData[[#This Row],[Contracts Signed]]/SalesData[[#This Row],[Customers Visited]])</f>
        <v>9.1575091575091569E-2</v>
      </c>
      <c r="AI2085" s="6">
        <f>IF(SalesData[[#This Row],[Contracts Signed]]=0,0,SalesData[[#This Row],[Profit(€)]]/SalesData[[#This Row],[Contracts Signed]])</f>
        <v>2220</v>
      </c>
      <c r="AJ2085" s="5" t="str">
        <f>TRIM(CLEAN(SalesData[[#This Row],[Retailer]]))</f>
        <v>Stuttgart Auto Center</v>
      </c>
    </row>
    <row r="2086" spans="1:36" ht="14.25" hidden="1" x14ac:dyDescent="0.2">
      <c r="A2086" t="s">
        <v>3094</v>
      </c>
      <c r="B2086" s="1">
        <v>46066</v>
      </c>
      <c r="C2086" t="s">
        <v>121</v>
      </c>
      <c r="D2086" t="s">
        <v>54</v>
      </c>
      <c r="E2086" t="s">
        <v>26</v>
      </c>
      <c r="F2086" t="s">
        <v>27</v>
      </c>
      <c r="G2086" t="s">
        <v>28</v>
      </c>
      <c r="H2086" t="s">
        <v>29</v>
      </c>
      <c r="I2086" t="s">
        <v>64</v>
      </c>
      <c r="J2086" t="s">
        <v>77</v>
      </c>
      <c r="K2086" t="s">
        <v>91</v>
      </c>
      <c r="L2086" t="s">
        <v>46</v>
      </c>
      <c r="M2086" t="s">
        <v>34</v>
      </c>
      <c r="N2086" t="s">
        <v>35</v>
      </c>
      <c r="O2086" t="s">
        <v>70</v>
      </c>
      <c r="P2086" t="s">
        <v>37</v>
      </c>
      <c r="Q2086" t="s">
        <v>106</v>
      </c>
      <c r="R2086">
        <v>155</v>
      </c>
      <c r="S2086">
        <v>90</v>
      </c>
      <c r="T2086">
        <v>67</v>
      </c>
      <c r="U2086">
        <v>20</v>
      </c>
      <c r="V2086" t="s">
        <v>6433</v>
      </c>
      <c r="W2086">
        <v>66509</v>
      </c>
      <c r="X2086" t="s">
        <v>7266</v>
      </c>
      <c r="Y2086">
        <v>51162</v>
      </c>
      <c r="Z2086">
        <v>1330180</v>
      </c>
      <c r="AA2086">
        <v>306940</v>
      </c>
      <c r="AB2086" t="str">
        <f>(VLOOKUP(SalesData[[#This Row],[Month Number]],Reference!C$5:E$16,2,FALSE))</f>
        <v>Feb</v>
      </c>
      <c r="AC2086">
        <f>MONTH(SalesData[[#This Row],[Date]])</f>
        <v>2</v>
      </c>
      <c r="AD2086">
        <f>Reference!F$4</f>
        <v>2026</v>
      </c>
      <c r="AE2086" t="str">
        <f>IF(OR(SalesData[[#This Row],[Day]]="Saturday",SalesData[[#This Row],[Day]]="Sunday"),"Weekend","Weekday")</f>
        <v>Weekday</v>
      </c>
      <c r="AF2086" s="5">
        <f>IF(SalesData[[#This Row],[Contracts Offered]]=0,0,SalesData[[#This Row],[Contracts Signed]]/SalesData[[#This Row],[Contracts Offered]])</f>
        <v>0.29850746268656714</v>
      </c>
      <c r="AG2086" s="5">
        <f>IF(SalesData[[#This Row],[Customers Visited]]=0,0,SalesData[[#This Row],[Test Drives]]/SalesData[[#This Row],[Customers Visited]])</f>
        <v>0.58064516129032262</v>
      </c>
      <c r="AH2086" s="5">
        <f>IF(SalesData[[#This Row],[Customers Visited]]=0,0,SalesData[[#This Row],[Contracts Signed]]/SalesData[[#This Row],[Customers Visited]])</f>
        <v>0.12903225806451613</v>
      </c>
      <c r="AI2086" s="6">
        <f>IF(SalesData[[#This Row],[Contracts Signed]]=0,0,SalesData[[#This Row],[Profit(€)]]/SalesData[[#This Row],[Contracts Signed]])</f>
        <v>15347</v>
      </c>
      <c r="AJ2086" s="5" t="str">
        <f>TRIM(CLEAN(SalesData[[#This Row],[Retailer]]))</f>
        <v>Main Auto Hub</v>
      </c>
    </row>
    <row r="2087" spans="1:36" ht="14.25" hidden="1" x14ac:dyDescent="0.2">
      <c r="A2087" t="s">
        <v>3095</v>
      </c>
      <c r="B2087" s="1">
        <v>46055</v>
      </c>
      <c r="C2087" t="s">
        <v>24</v>
      </c>
      <c r="D2087" t="s">
        <v>25</v>
      </c>
      <c r="E2087" t="s">
        <v>26</v>
      </c>
      <c r="F2087" t="s">
        <v>7649</v>
      </c>
      <c r="G2087" t="s">
        <v>55</v>
      </c>
      <c r="H2087" t="s">
        <v>55</v>
      </c>
      <c r="I2087" t="s">
        <v>64</v>
      </c>
      <c r="J2087" t="s">
        <v>7029</v>
      </c>
      <c r="K2087" t="s">
        <v>66</v>
      </c>
      <c r="L2087" t="s">
        <v>33</v>
      </c>
      <c r="M2087" t="s">
        <v>47</v>
      </c>
      <c r="N2087" t="s">
        <v>35</v>
      </c>
      <c r="O2087" t="s">
        <v>70</v>
      </c>
      <c r="P2087" t="s">
        <v>71</v>
      </c>
      <c r="Q2087" t="s">
        <v>129</v>
      </c>
      <c r="R2087">
        <v>226</v>
      </c>
      <c r="S2087">
        <v>125</v>
      </c>
      <c r="T2087">
        <v>99</v>
      </c>
      <c r="U2087">
        <v>35</v>
      </c>
      <c r="V2087" t="s">
        <v>6544</v>
      </c>
      <c r="W2087">
        <v>69806</v>
      </c>
      <c r="X2087" t="s">
        <v>7183</v>
      </c>
      <c r="Y2087">
        <v>52866</v>
      </c>
      <c r="Z2087">
        <v>2443210</v>
      </c>
      <c r="AA2087">
        <v>592900</v>
      </c>
      <c r="AB2087" t="str">
        <f>(VLOOKUP(SalesData[[#This Row],[Month Number]],Reference!C$5:E$16,2,FALSE))</f>
        <v>Feb</v>
      </c>
      <c r="AC2087">
        <f>MONTH(SalesData[[#This Row],[Date]])</f>
        <v>2</v>
      </c>
      <c r="AD2087">
        <f>Reference!F$4</f>
        <v>2026</v>
      </c>
      <c r="AE2087" t="str">
        <f>IF(OR(SalesData[[#This Row],[Day]]="Saturday",SalesData[[#This Row],[Day]]="Sunday"),"Weekend","Weekday")</f>
        <v>Weekday</v>
      </c>
      <c r="AF2087" s="5">
        <f>IF(SalesData[[#This Row],[Contracts Offered]]=0,0,SalesData[[#This Row],[Contracts Signed]]/SalesData[[#This Row],[Contracts Offered]])</f>
        <v>0.35353535353535354</v>
      </c>
      <c r="AG2087" s="5">
        <f>IF(SalesData[[#This Row],[Customers Visited]]=0,0,SalesData[[#This Row],[Test Drives]]/SalesData[[#This Row],[Customers Visited]])</f>
        <v>0.55309734513274333</v>
      </c>
      <c r="AH2087" s="5">
        <f>IF(SalesData[[#This Row],[Customers Visited]]=0,0,SalesData[[#This Row],[Contracts Signed]]/SalesData[[#This Row],[Customers Visited]])</f>
        <v>0.15486725663716813</v>
      </c>
      <c r="AI2087" s="6">
        <f>IF(SalesData[[#This Row],[Contracts Signed]]=0,0,SalesData[[#This Row],[Profit(€)]]/SalesData[[#This Row],[Contracts Signed]])</f>
        <v>16940</v>
      </c>
      <c r="AJ2087" s="5" t="str">
        <f>TRIM(CLEAN(SalesData[[#This Row],[Retailer]]))</f>
        <v>Autohaus Berlin</v>
      </c>
    </row>
    <row r="2088" spans="1:36" ht="14.25" x14ac:dyDescent="0.2">
      <c r="A2088" t="s">
        <v>3097</v>
      </c>
      <c r="B2088" s="1">
        <v>46065</v>
      </c>
      <c r="C2088" t="s">
        <v>121</v>
      </c>
      <c r="D2088" t="s">
        <v>100</v>
      </c>
      <c r="E2088" t="s">
        <v>26</v>
      </c>
      <c r="F2088" t="s">
        <v>101</v>
      </c>
      <c r="G2088" t="s">
        <v>102</v>
      </c>
      <c r="H2088" t="s">
        <v>103</v>
      </c>
      <c r="I2088" t="s">
        <v>30</v>
      </c>
      <c r="J2088" t="s">
        <v>86</v>
      </c>
      <c r="K2088" t="s">
        <v>66</v>
      </c>
      <c r="L2088" t="s">
        <v>33</v>
      </c>
      <c r="M2088" t="s">
        <v>87</v>
      </c>
      <c r="N2088" t="s">
        <v>69</v>
      </c>
      <c r="O2088" t="s">
        <v>36</v>
      </c>
      <c r="P2088" t="s">
        <v>49</v>
      </c>
      <c r="Q2088" t="s">
        <v>152</v>
      </c>
      <c r="R2088">
        <v>172</v>
      </c>
      <c r="S2088">
        <v>83</v>
      </c>
      <c r="T2088">
        <v>67</v>
      </c>
      <c r="U2088">
        <v>21</v>
      </c>
      <c r="V2088" t="s">
        <v>6706</v>
      </c>
      <c r="W2088">
        <v>58350</v>
      </c>
      <c r="X2088" t="s">
        <v>107</v>
      </c>
      <c r="Y2088">
        <v>42515</v>
      </c>
      <c r="Z2088">
        <v>1225350</v>
      </c>
      <c r="AA2088">
        <v>332535</v>
      </c>
      <c r="AB2088" t="str">
        <f>(VLOOKUP(SalesData[[#This Row],[Month Number]],Reference!C$5:E$16,2,FALSE))</f>
        <v>Feb</v>
      </c>
      <c r="AC2088">
        <f>MONTH(SalesData[[#This Row],[Date]])</f>
        <v>2</v>
      </c>
      <c r="AD2088">
        <f>Reference!F$4</f>
        <v>2026</v>
      </c>
      <c r="AE2088" t="str">
        <f>IF(OR(SalesData[[#This Row],[Day]]="Saturday",SalesData[[#This Row],[Day]]="Sunday"),"Weekend","Weekday")</f>
        <v>Weekday</v>
      </c>
      <c r="AF2088" s="5">
        <f>IF(SalesData[[#This Row],[Contracts Offered]]=0,0,SalesData[[#This Row],[Contracts Signed]]/SalesData[[#This Row],[Contracts Offered]])</f>
        <v>0.31343283582089554</v>
      </c>
      <c r="AG2088" s="5">
        <f>IF(SalesData[[#This Row],[Customers Visited]]=0,0,SalesData[[#This Row],[Test Drives]]/SalesData[[#This Row],[Customers Visited]])</f>
        <v>0.48255813953488375</v>
      </c>
      <c r="AH2088" s="5">
        <f>IF(SalesData[[#This Row],[Customers Visited]]=0,0,SalesData[[#This Row],[Contracts Signed]]/SalesData[[#This Row],[Customers Visited]])</f>
        <v>0.12209302325581395</v>
      </c>
      <c r="AI2088" s="6">
        <f>IF(SalesData[[#This Row],[Contracts Signed]]=0,0,SalesData[[#This Row],[Profit(€)]]/SalesData[[#This Row],[Contracts Signed]])</f>
        <v>15835</v>
      </c>
      <c r="AJ2088" s="5" t="str">
        <f>TRIM(CLEAN(SalesData[[#This Row],[Retailer]]))</f>
        <v>Ruhr Auto Plaza</v>
      </c>
    </row>
    <row r="2089" spans="1:36" ht="14.25" hidden="1" x14ac:dyDescent="0.2">
      <c r="A2089" t="s">
        <v>3098</v>
      </c>
      <c r="B2089" s="1">
        <v>46069</v>
      </c>
      <c r="C2089" t="s">
        <v>62</v>
      </c>
      <c r="D2089" t="s">
        <v>25</v>
      </c>
      <c r="E2089" t="s">
        <v>26</v>
      </c>
      <c r="F2089" t="s">
        <v>27</v>
      </c>
      <c r="G2089" t="s">
        <v>28</v>
      </c>
      <c r="H2089" t="s">
        <v>29</v>
      </c>
      <c r="I2089" t="s">
        <v>116</v>
      </c>
      <c r="J2089" t="s">
        <v>7090</v>
      </c>
      <c r="K2089" t="s">
        <v>66</v>
      </c>
      <c r="L2089" t="s">
        <v>46</v>
      </c>
      <c r="M2089" t="s">
        <v>47</v>
      </c>
      <c r="N2089" t="s">
        <v>69</v>
      </c>
      <c r="O2089" t="s">
        <v>36</v>
      </c>
      <c r="P2089" t="s">
        <v>49</v>
      </c>
      <c r="Q2089" t="s">
        <v>88</v>
      </c>
      <c r="R2089">
        <v>382</v>
      </c>
      <c r="S2089">
        <v>165</v>
      </c>
      <c r="T2089">
        <v>101</v>
      </c>
      <c r="U2089">
        <v>25</v>
      </c>
      <c r="V2089" t="s">
        <v>592</v>
      </c>
      <c r="W2089">
        <v>20070</v>
      </c>
      <c r="X2089" t="s">
        <v>674</v>
      </c>
      <c r="Y2089">
        <v>18339</v>
      </c>
      <c r="Z2089">
        <v>501750</v>
      </c>
      <c r="AA2089">
        <v>43275</v>
      </c>
      <c r="AB2089" t="str">
        <f>(VLOOKUP(SalesData[[#This Row],[Month Number]],Reference!C$5:E$16,2,FALSE))</f>
        <v>Feb</v>
      </c>
      <c r="AC2089">
        <f>MONTH(SalesData[[#This Row],[Date]])</f>
        <v>2</v>
      </c>
      <c r="AD2089">
        <f>Reference!F$4</f>
        <v>2026</v>
      </c>
      <c r="AE2089" t="str">
        <f>IF(OR(SalesData[[#This Row],[Day]]="Saturday",SalesData[[#This Row],[Day]]="Sunday"),"Weekend","Weekday")</f>
        <v>Weekday</v>
      </c>
      <c r="AF2089" s="5">
        <f>IF(SalesData[[#This Row],[Contracts Offered]]=0,0,SalesData[[#This Row],[Contracts Signed]]/SalesData[[#This Row],[Contracts Offered]])</f>
        <v>0.24752475247524752</v>
      </c>
      <c r="AG2089" s="5">
        <f>IF(SalesData[[#This Row],[Customers Visited]]=0,0,SalesData[[#This Row],[Test Drives]]/SalesData[[#This Row],[Customers Visited]])</f>
        <v>0.43193717277486909</v>
      </c>
      <c r="AH2089" s="5">
        <f>IF(SalesData[[#This Row],[Customers Visited]]=0,0,SalesData[[#This Row],[Contracts Signed]]/SalesData[[#This Row],[Customers Visited]])</f>
        <v>6.5445026178010471E-2</v>
      </c>
      <c r="AI2089" s="6">
        <f>IF(SalesData[[#This Row],[Contracts Signed]]=0,0,SalesData[[#This Row],[Profit(€)]]/SalesData[[#This Row],[Contracts Signed]])</f>
        <v>1731</v>
      </c>
      <c r="AJ2089" s="5" t="str">
        <f>TRIM(CLEAN(SalesData[[#This Row],[Retailer]]))</f>
        <v>Main Auto Hub</v>
      </c>
    </row>
    <row r="2090" spans="1:36" ht="14.25" hidden="1" x14ac:dyDescent="0.2">
      <c r="A2090" t="s">
        <v>3100</v>
      </c>
      <c r="B2090" s="1">
        <v>46074</v>
      </c>
      <c r="C2090" t="s">
        <v>62</v>
      </c>
      <c r="D2090" t="s">
        <v>151</v>
      </c>
      <c r="E2090" t="s">
        <v>42</v>
      </c>
      <c r="F2090" t="s">
        <v>83</v>
      </c>
      <c r="G2090" t="s">
        <v>84</v>
      </c>
      <c r="H2090" t="s">
        <v>85</v>
      </c>
      <c r="I2090" t="s">
        <v>104</v>
      </c>
      <c r="J2090" t="s">
        <v>143</v>
      </c>
      <c r="K2090" t="s">
        <v>32</v>
      </c>
      <c r="L2090" t="s">
        <v>67</v>
      </c>
      <c r="M2090" t="s">
        <v>47</v>
      </c>
      <c r="N2090" t="s">
        <v>69</v>
      </c>
      <c r="O2090" t="s">
        <v>70</v>
      </c>
      <c r="P2090" t="s">
        <v>37</v>
      </c>
      <c r="Q2090" t="s">
        <v>144</v>
      </c>
      <c r="R2090">
        <v>358</v>
      </c>
      <c r="S2090">
        <v>193</v>
      </c>
      <c r="T2090">
        <v>121</v>
      </c>
      <c r="U2090">
        <v>28</v>
      </c>
      <c r="V2090" t="s">
        <v>7017</v>
      </c>
      <c r="W2090">
        <v>30667</v>
      </c>
      <c r="X2090" t="s">
        <v>228</v>
      </c>
      <c r="Y2090">
        <v>26819</v>
      </c>
      <c r="Z2090">
        <v>858676</v>
      </c>
      <c r="AA2090">
        <v>107744</v>
      </c>
      <c r="AB2090" t="str">
        <f>(VLOOKUP(SalesData[[#This Row],[Month Number]],Reference!C$5:E$16,2,FALSE))</f>
        <v>Feb</v>
      </c>
      <c r="AC2090">
        <f>MONTH(SalesData[[#This Row],[Date]])</f>
        <v>2</v>
      </c>
      <c r="AD2090">
        <f>Reference!F$4</f>
        <v>2026</v>
      </c>
      <c r="AE2090" t="str">
        <f>IF(OR(SalesData[[#This Row],[Day]]="Saturday",SalesData[[#This Row],[Day]]="Sunday"),"Weekend","Weekday")</f>
        <v>Weekend</v>
      </c>
      <c r="AF2090" s="5">
        <f>IF(SalesData[[#This Row],[Contracts Offered]]=0,0,SalesData[[#This Row],[Contracts Signed]]/SalesData[[#This Row],[Contracts Offered]])</f>
        <v>0.23140495867768596</v>
      </c>
      <c r="AG2090" s="5">
        <f>IF(SalesData[[#This Row],[Customers Visited]]=0,0,SalesData[[#This Row],[Test Drives]]/SalesData[[#This Row],[Customers Visited]])</f>
        <v>0.53910614525139666</v>
      </c>
      <c r="AH2090" s="5">
        <f>IF(SalesData[[#This Row],[Customers Visited]]=0,0,SalesData[[#This Row],[Contracts Signed]]/SalesData[[#This Row],[Customers Visited]])</f>
        <v>7.8212290502793297E-2</v>
      </c>
      <c r="AI2090" s="6">
        <f>IF(SalesData[[#This Row],[Contracts Signed]]=0,0,SalesData[[#This Row],[Profit(€)]]/SalesData[[#This Row],[Contracts Signed]])</f>
        <v>3848</v>
      </c>
      <c r="AJ2090" s="5" t="str">
        <f>TRIM(CLEAN(SalesData[[#This Row],[Retailer]]))</f>
        <v>Hannover Cars</v>
      </c>
    </row>
    <row r="2091" spans="1:36" ht="14.25" hidden="1" x14ac:dyDescent="0.2">
      <c r="A2091" t="s">
        <v>3102</v>
      </c>
      <c r="B2091" s="1">
        <v>46071</v>
      </c>
      <c r="C2091" t="s">
        <v>62</v>
      </c>
      <c r="D2091" t="s">
        <v>82</v>
      </c>
      <c r="E2091" t="s">
        <v>26</v>
      </c>
      <c r="F2091" t="s">
        <v>83</v>
      </c>
      <c r="G2091" t="s">
        <v>84</v>
      </c>
      <c r="H2091" t="s">
        <v>85</v>
      </c>
      <c r="I2091" t="s">
        <v>116</v>
      </c>
      <c r="J2091" t="s">
        <v>203</v>
      </c>
      <c r="K2091" t="s">
        <v>66</v>
      </c>
      <c r="L2091" t="s">
        <v>67</v>
      </c>
      <c r="M2091" t="s">
        <v>47</v>
      </c>
      <c r="N2091" t="s">
        <v>35</v>
      </c>
      <c r="O2091" t="s">
        <v>36</v>
      </c>
      <c r="P2091" t="s">
        <v>58</v>
      </c>
      <c r="Q2091" t="s">
        <v>79</v>
      </c>
      <c r="R2091">
        <v>373</v>
      </c>
      <c r="S2091">
        <v>182</v>
      </c>
      <c r="T2091">
        <v>115</v>
      </c>
      <c r="U2091">
        <v>34</v>
      </c>
      <c r="V2091" t="s">
        <v>1388</v>
      </c>
      <c r="W2091">
        <v>20435</v>
      </c>
      <c r="X2091" t="s">
        <v>5452</v>
      </c>
      <c r="Y2091">
        <v>18996</v>
      </c>
      <c r="Z2091">
        <v>694790</v>
      </c>
      <c r="AA2091">
        <v>48926</v>
      </c>
      <c r="AB2091" t="str">
        <f>(VLOOKUP(SalesData[[#This Row],[Month Number]],Reference!C$5:E$16,2,FALSE))</f>
        <v>Feb</v>
      </c>
      <c r="AC2091">
        <f>MONTH(SalesData[[#This Row],[Date]])</f>
        <v>2</v>
      </c>
      <c r="AD2091">
        <f>Reference!F$4</f>
        <v>2026</v>
      </c>
      <c r="AE2091" t="str">
        <f>IF(OR(SalesData[[#This Row],[Day]]="Saturday",SalesData[[#This Row],[Day]]="Sunday"),"Weekend","Weekday")</f>
        <v>Weekday</v>
      </c>
      <c r="AF2091" s="5">
        <f>IF(SalesData[[#This Row],[Contracts Offered]]=0,0,SalesData[[#This Row],[Contracts Signed]]/SalesData[[#This Row],[Contracts Offered]])</f>
        <v>0.29565217391304349</v>
      </c>
      <c r="AG2091" s="5">
        <f>IF(SalesData[[#This Row],[Customers Visited]]=0,0,SalesData[[#This Row],[Test Drives]]/SalesData[[#This Row],[Customers Visited]])</f>
        <v>0.48793565683646112</v>
      </c>
      <c r="AH2091" s="5">
        <f>IF(SalesData[[#This Row],[Customers Visited]]=0,0,SalesData[[#This Row],[Contracts Signed]]/SalesData[[#This Row],[Customers Visited]])</f>
        <v>9.1152815013404831E-2</v>
      </c>
      <c r="AI2091" s="6">
        <f>IF(SalesData[[#This Row],[Contracts Signed]]=0,0,SalesData[[#This Row],[Profit(€)]]/SalesData[[#This Row],[Contracts Signed]])</f>
        <v>1439</v>
      </c>
      <c r="AJ2091" s="5" t="str">
        <f>TRIM(CLEAN(SalesData[[#This Row],[Retailer]]))</f>
        <v>Hannover Cars</v>
      </c>
    </row>
    <row r="2092" spans="1:36" ht="14.25" x14ac:dyDescent="0.2">
      <c r="A2092" t="s">
        <v>3103</v>
      </c>
      <c r="B2092" s="1">
        <v>46060</v>
      </c>
      <c r="C2092" t="s">
        <v>24</v>
      </c>
      <c r="D2092" t="s">
        <v>151</v>
      </c>
      <c r="E2092" t="s">
        <v>42</v>
      </c>
      <c r="F2092" t="s">
        <v>83</v>
      </c>
      <c r="G2092" t="s">
        <v>84</v>
      </c>
      <c r="H2092" t="s">
        <v>85</v>
      </c>
      <c r="I2092" t="s">
        <v>30</v>
      </c>
      <c r="J2092" t="s">
        <v>166</v>
      </c>
      <c r="K2092" t="s">
        <v>66</v>
      </c>
      <c r="L2092" t="s">
        <v>46</v>
      </c>
      <c r="M2092" t="s">
        <v>68</v>
      </c>
      <c r="N2092" t="s">
        <v>48</v>
      </c>
      <c r="O2092" t="s">
        <v>36</v>
      </c>
      <c r="P2092" t="s">
        <v>49</v>
      </c>
      <c r="Q2092" t="s">
        <v>347</v>
      </c>
      <c r="R2092">
        <v>263</v>
      </c>
      <c r="S2092">
        <v>157</v>
      </c>
      <c r="T2092">
        <v>119</v>
      </c>
      <c r="U2092">
        <v>40</v>
      </c>
      <c r="V2092" t="s">
        <v>6613</v>
      </c>
      <c r="W2092">
        <v>50396</v>
      </c>
      <c r="X2092" t="s">
        <v>7176</v>
      </c>
      <c r="Y2092">
        <v>37806</v>
      </c>
      <c r="Z2092">
        <v>2015840</v>
      </c>
      <c r="AA2092">
        <v>503600</v>
      </c>
      <c r="AB2092" t="str">
        <f>(VLOOKUP(SalesData[[#This Row],[Month Number]],Reference!C$5:E$16,2,FALSE))</f>
        <v>Feb</v>
      </c>
      <c r="AC2092">
        <f>MONTH(SalesData[[#This Row],[Date]])</f>
        <v>2</v>
      </c>
      <c r="AD2092">
        <f>Reference!F$4</f>
        <v>2026</v>
      </c>
      <c r="AE2092" t="str">
        <f>IF(OR(SalesData[[#This Row],[Day]]="Saturday",SalesData[[#This Row],[Day]]="Sunday"),"Weekend","Weekday")</f>
        <v>Weekend</v>
      </c>
      <c r="AF2092" s="5">
        <f>IF(SalesData[[#This Row],[Contracts Offered]]=0,0,SalesData[[#This Row],[Contracts Signed]]/SalesData[[#This Row],[Contracts Offered]])</f>
        <v>0.33613445378151263</v>
      </c>
      <c r="AG2092" s="5">
        <f>IF(SalesData[[#This Row],[Customers Visited]]=0,0,SalesData[[#This Row],[Test Drives]]/SalesData[[#This Row],[Customers Visited]])</f>
        <v>0.59695817490494296</v>
      </c>
      <c r="AH2092" s="5">
        <f>IF(SalesData[[#This Row],[Customers Visited]]=0,0,SalesData[[#This Row],[Contracts Signed]]/SalesData[[#This Row],[Customers Visited]])</f>
        <v>0.15209125475285171</v>
      </c>
      <c r="AI2092" s="6">
        <f>IF(SalesData[[#This Row],[Contracts Signed]]=0,0,SalesData[[#This Row],[Profit(€)]]/SalesData[[#This Row],[Contracts Signed]])</f>
        <v>12590</v>
      </c>
      <c r="AJ2092" s="5" t="str">
        <f>TRIM(CLEAN(SalesData[[#This Row],[Retailer]]))</f>
        <v>Hannover Cars</v>
      </c>
    </row>
    <row r="2093" spans="1:36" ht="14.25" hidden="1" x14ac:dyDescent="0.2">
      <c r="A2093" t="s">
        <v>3105</v>
      </c>
      <c r="B2093" s="1">
        <v>46058</v>
      </c>
      <c r="C2093" t="s">
        <v>24</v>
      </c>
      <c r="D2093" t="s">
        <v>100</v>
      </c>
      <c r="E2093" t="s">
        <v>26</v>
      </c>
      <c r="F2093" t="s">
        <v>127</v>
      </c>
      <c r="G2093" t="s">
        <v>128</v>
      </c>
      <c r="H2093" t="s">
        <v>103</v>
      </c>
      <c r="I2093" t="s">
        <v>56</v>
      </c>
      <c r="J2093" t="s">
        <v>57</v>
      </c>
      <c r="K2093" t="s">
        <v>78</v>
      </c>
      <c r="L2093" t="s">
        <v>46</v>
      </c>
      <c r="M2093" t="s">
        <v>47</v>
      </c>
      <c r="N2093" t="s">
        <v>35</v>
      </c>
      <c r="O2093" t="s">
        <v>70</v>
      </c>
      <c r="P2093" t="s">
        <v>37</v>
      </c>
      <c r="Q2093" t="s">
        <v>144</v>
      </c>
      <c r="R2093">
        <v>174</v>
      </c>
      <c r="S2093">
        <v>110</v>
      </c>
      <c r="T2093">
        <v>73</v>
      </c>
      <c r="U2093">
        <v>25</v>
      </c>
      <c r="V2093" t="s">
        <v>6591</v>
      </c>
      <c r="W2093">
        <v>46554</v>
      </c>
      <c r="X2093" t="s">
        <v>361</v>
      </c>
      <c r="Y2093">
        <v>36590</v>
      </c>
      <c r="Z2093">
        <v>1163850</v>
      </c>
      <c r="AA2093">
        <v>249100</v>
      </c>
      <c r="AB2093" t="str">
        <f>(VLOOKUP(SalesData[[#This Row],[Month Number]],Reference!C$5:E$16,2,FALSE))</f>
        <v>Feb</v>
      </c>
      <c r="AC2093">
        <f>MONTH(SalesData[[#This Row],[Date]])</f>
        <v>2</v>
      </c>
      <c r="AD2093">
        <f>Reference!F$4</f>
        <v>2026</v>
      </c>
      <c r="AE2093" t="str">
        <f>IF(OR(SalesData[[#This Row],[Day]]="Saturday",SalesData[[#This Row],[Day]]="Sunday"),"Weekend","Weekday")</f>
        <v>Weekday</v>
      </c>
      <c r="AF2093" s="5">
        <f>IF(SalesData[[#This Row],[Contracts Offered]]=0,0,SalesData[[#This Row],[Contracts Signed]]/SalesData[[#This Row],[Contracts Offered]])</f>
        <v>0.34246575342465752</v>
      </c>
      <c r="AG2093" s="5">
        <f>IF(SalesData[[#This Row],[Customers Visited]]=0,0,SalesData[[#This Row],[Test Drives]]/SalesData[[#This Row],[Customers Visited]])</f>
        <v>0.63218390804597702</v>
      </c>
      <c r="AH2093" s="5">
        <f>IF(SalesData[[#This Row],[Customers Visited]]=0,0,SalesData[[#This Row],[Contracts Signed]]/SalesData[[#This Row],[Customers Visited]])</f>
        <v>0.14367816091954022</v>
      </c>
      <c r="AI2093" s="6">
        <f>IF(SalesData[[#This Row],[Contracts Signed]]=0,0,SalesData[[#This Row],[Profit(€)]]/SalesData[[#This Row],[Contracts Signed]])</f>
        <v>9964</v>
      </c>
      <c r="AJ2093" s="5" t="str">
        <f>TRIM(CLEAN(SalesData[[#This Row],[Retailer]]))</f>
        <v>Rhein Auto Group</v>
      </c>
    </row>
    <row r="2094" spans="1:36" ht="14.25" hidden="1" x14ac:dyDescent="0.2">
      <c r="A2094" t="s">
        <v>3106</v>
      </c>
      <c r="B2094" s="1">
        <v>46054</v>
      </c>
      <c r="C2094" t="s">
        <v>24</v>
      </c>
      <c r="D2094" t="s">
        <v>41</v>
      </c>
      <c r="E2094" t="s">
        <v>42</v>
      </c>
      <c r="F2094" t="s">
        <v>7649</v>
      </c>
      <c r="G2094" t="s">
        <v>55</v>
      </c>
      <c r="H2094" t="s">
        <v>55</v>
      </c>
      <c r="I2094" t="s">
        <v>116</v>
      </c>
      <c r="J2094" t="s">
        <v>132</v>
      </c>
      <c r="K2094" t="s">
        <v>66</v>
      </c>
      <c r="L2094" t="s">
        <v>46</v>
      </c>
      <c r="M2094" t="s">
        <v>87</v>
      </c>
      <c r="N2094" t="s">
        <v>69</v>
      </c>
      <c r="O2094" t="s">
        <v>36</v>
      </c>
      <c r="P2094" t="s">
        <v>58</v>
      </c>
      <c r="Q2094" t="s">
        <v>347</v>
      </c>
      <c r="R2094">
        <v>245</v>
      </c>
      <c r="S2094">
        <v>124</v>
      </c>
      <c r="T2094">
        <v>79</v>
      </c>
      <c r="U2094">
        <v>22</v>
      </c>
      <c r="V2094" t="s">
        <v>1221</v>
      </c>
      <c r="W2094">
        <v>20831</v>
      </c>
      <c r="X2094" t="s">
        <v>1276</v>
      </c>
      <c r="Y2094">
        <v>18595</v>
      </c>
      <c r="Z2094">
        <v>458282</v>
      </c>
      <c r="AA2094">
        <v>49192</v>
      </c>
      <c r="AB2094" t="str">
        <f>(VLOOKUP(SalesData[[#This Row],[Month Number]],Reference!C$5:E$16,2,FALSE))</f>
        <v>Feb</v>
      </c>
      <c r="AC2094">
        <f>MONTH(SalesData[[#This Row],[Date]])</f>
        <v>2</v>
      </c>
      <c r="AD2094">
        <f>Reference!F$4</f>
        <v>2026</v>
      </c>
      <c r="AE2094" t="str">
        <f>IF(OR(SalesData[[#This Row],[Day]]="Saturday",SalesData[[#This Row],[Day]]="Sunday"),"Weekend","Weekday")</f>
        <v>Weekend</v>
      </c>
      <c r="AF2094" s="5">
        <f>IF(SalesData[[#This Row],[Contracts Offered]]=0,0,SalesData[[#This Row],[Contracts Signed]]/SalesData[[#This Row],[Contracts Offered]])</f>
        <v>0.27848101265822783</v>
      </c>
      <c r="AG2094" s="5">
        <f>IF(SalesData[[#This Row],[Customers Visited]]=0,0,SalesData[[#This Row],[Test Drives]]/SalesData[[#This Row],[Customers Visited]])</f>
        <v>0.5061224489795918</v>
      </c>
      <c r="AH2094" s="5">
        <f>IF(SalesData[[#This Row],[Customers Visited]]=0,0,SalesData[[#This Row],[Contracts Signed]]/SalesData[[#This Row],[Customers Visited]])</f>
        <v>8.9795918367346933E-2</v>
      </c>
      <c r="AI2094" s="6">
        <f>IF(SalesData[[#This Row],[Contracts Signed]]=0,0,SalesData[[#This Row],[Profit(€)]]/SalesData[[#This Row],[Contracts Signed]])</f>
        <v>2236</v>
      </c>
      <c r="AJ2094" s="5" t="str">
        <f>TRIM(CLEAN(SalesData[[#This Row],[Retailer]]))</f>
        <v>Autohaus Berlin</v>
      </c>
    </row>
    <row r="2095" spans="1:36" ht="14.25" hidden="1" x14ac:dyDescent="0.2">
      <c r="A2095" t="s">
        <v>3107</v>
      </c>
      <c r="B2095" s="1">
        <v>46060</v>
      </c>
      <c r="C2095" t="s">
        <v>24</v>
      </c>
      <c r="D2095" t="s">
        <v>151</v>
      </c>
      <c r="E2095" t="s">
        <v>42</v>
      </c>
      <c r="F2095" t="s">
        <v>43</v>
      </c>
      <c r="G2095" t="s">
        <v>44</v>
      </c>
      <c r="H2095" t="s">
        <v>45</v>
      </c>
      <c r="I2095" t="s">
        <v>64</v>
      </c>
      <c r="J2095" t="s">
        <v>65</v>
      </c>
      <c r="K2095" t="s">
        <v>91</v>
      </c>
      <c r="L2095" t="s">
        <v>33</v>
      </c>
      <c r="M2095" t="s">
        <v>47</v>
      </c>
      <c r="N2095" t="s">
        <v>48</v>
      </c>
      <c r="O2095" t="s">
        <v>36</v>
      </c>
      <c r="P2095" t="s">
        <v>37</v>
      </c>
      <c r="Q2095" t="s">
        <v>88</v>
      </c>
      <c r="R2095">
        <v>282</v>
      </c>
      <c r="S2095">
        <v>161</v>
      </c>
      <c r="T2095">
        <v>122</v>
      </c>
      <c r="U2095">
        <v>40</v>
      </c>
      <c r="V2095" t="s">
        <v>6638</v>
      </c>
      <c r="W2095">
        <v>57496</v>
      </c>
      <c r="X2095" t="s">
        <v>7178</v>
      </c>
      <c r="Y2095">
        <v>41847</v>
      </c>
      <c r="Z2095">
        <v>2299840</v>
      </c>
      <c r="AA2095">
        <v>625960</v>
      </c>
      <c r="AB2095" t="str">
        <f>(VLOOKUP(SalesData[[#This Row],[Month Number]],Reference!C$5:E$16,2,FALSE))</f>
        <v>Feb</v>
      </c>
      <c r="AC2095">
        <f>MONTH(SalesData[[#This Row],[Date]])</f>
        <v>2</v>
      </c>
      <c r="AD2095">
        <f>Reference!F$4</f>
        <v>2026</v>
      </c>
      <c r="AE2095" t="str">
        <f>IF(OR(SalesData[[#This Row],[Day]]="Saturday",SalesData[[#This Row],[Day]]="Sunday"),"Weekend","Weekday")</f>
        <v>Weekend</v>
      </c>
      <c r="AF2095" s="5">
        <f>IF(SalesData[[#This Row],[Contracts Offered]]=0,0,SalesData[[#This Row],[Contracts Signed]]/SalesData[[#This Row],[Contracts Offered]])</f>
        <v>0.32786885245901637</v>
      </c>
      <c r="AG2095" s="5">
        <f>IF(SalesData[[#This Row],[Customers Visited]]=0,0,SalesData[[#This Row],[Test Drives]]/SalesData[[#This Row],[Customers Visited]])</f>
        <v>0.57092198581560283</v>
      </c>
      <c r="AH2095" s="5">
        <f>IF(SalesData[[#This Row],[Customers Visited]]=0,0,SalesData[[#This Row],[Contracts Signed]]/SalesData[[#This Row],[Customers Visited]])</f>
        <v>0.14184397163120568</v>
      </c>
      <c r="AI2095" s="6">
        <f>IF(SalesData[[#This Row],[Contracts Signed]]=0,0,SalesData[[#This Row],[Profit(€)]]/SalesData[[#This Row],[Contracts Signed]])</f>
        <v>15649</v>
      </c>
      <c r="AJ2095" s="5" t="str">
        <f>TRIM(CLEAN(SalesData[[#This Row],[Retailer]]))</f>
        <v>Saxon Wheels</v>
      </c>
    </row>
    <row r="2096" spans="1:36" ht="14.25" hidden="1" x14ac:dyDescent="0.2">
      <c r="A2096" t="s">
        <v>3108</v>
      </c>
      <c r="B2096" s="1">
        <v>46060</v>
      </c>
      <c r="C2096" t="s">
        <v>24</v>
      </c>
      <c r="D2096" t="s">
        <v>151</v>
      </c>
      <c r="E2096" t="s">
        <v>42</v>
      </c>
      <c r="F2096" t="s">
        <v>7649</v>
      </c>
      <c r="G2096" t="s">
        <v>55</v>
      </c>
      <c r="H2096" t="s">
        <v>55</v>
      </c>
      <c r="I2096" t="s">
        <v>56</v>
      </c>
      <c r="J2096" t="s">
        <v>97</v>
      </c>
      <c r="K2096" t="s">
        <v>78</v>
      </c>
      <c r="L2096" t="s">
        <v>33</v>
      </c>
      <c r="M2096" t="s">
        <v>34</v>
      </c>
      <c r="N2096" t="s">
        <v>48</v>
      </c>
      <c r="O2096" t="s">
        <v>70</v>
      </c>
      <c r="P2096" t="s">
        <v>49</v>
      </c>
      <c r="Q2096" t="s">
        <v>88</v>
      </c>
      <c r="R2096">
        <v>236</v>
      </c>
      <c r="S2096">
        <v>121</v>
      </c>
      <c r="T2096">
        <v>88</v>
      </c>
      <c r="U2096">
        <v>25</v>
      </c>
      <c r="V2096" t="s">
        <v>6997</v>
      </c>
      <c r="W2096">
        <v>53921</v>
      </c>
      <c r="X2096" t="s">
        <v>2103</v>
      </c>
      <c r="Y2096">
        <v>41507</v>
      </c>
      <c r="Z2096">
        <v>1348025</v>
      </c>
      <c r="AA2096">
        <v>310350</v>
      </c>
      <c r="AB2096" t="str">
        <f>(VLOOKUP(SalesData[[#This Row],[Month Number]],Reference!C$5:E$16,2,FALSE))</f>
        <v>Feb</v>
      </c>
      <c r="AC2096">
        <f>MONTH(SalesData[[#This Row],[Date]])</f>
        <v>2</v>
      </c>
      <c r="AD2096">
        <f>Reference!F$4</f>
        <v>2026</v>
      </c>
      <c r="AE2096" t="str">
        <f>IF(OR(SalesData[[#This Row],[Day]]="Saturday",SalesData[[#This Row],[Day]]="Sunday"),"Weekend","Weekday")</f>
        <v>Weekend</v>
      </c>
      <c r="AF2096" s="5">
        <f>IF(SalesData[[#This Row],[Contracts Offered]]=0,0,SalesData[[#This Row],[Contracts Signed]]/SalesData[[#This Row],[Contracts Offered]])</f>
        <v>0.28409090909090912</v>
      </c>
      <c r="AG2096" s="5">
        <f>IF(SalesData[[#This Row],[Customers Visited]]=0,0,SalesData[[#This Row],[Test Drives]]/SalesData[[#This Row],[Customers Visited]])</f>
        <v>0.51271186440677963</v>
      </c>
      <c r="AH2096" s="5">
        <f>IF(SalesData[[#This Row],[Customers Visited]]=0,0,SalesData[[#This Row],[Contracts Signed]]/SalesData[[#This Row],[Customers Visited]])</f>
        <v>0.1059322033898305</v>
      </c>
      <c r="AI2096" s="6">
        <f>IF(SalesData[[#This Row],[Contracts Signed]]=0,0,SalesData[[#This Row],[Profit(€)]]/SalesData[[#This Row],[Contracts Signed]])</f>
        <v>12414</v>
      </c>
      <c r="AJ2096" s="5" t="str">
        <f>TRIM(CLEAN(SalesData[[#This Row],[Retailer]]))</f>
        <v>Autohaus Berlin</v>
      </c>
    </row>
    <row r="2097" spans="1:36" ht="14.25" hidden="1" x14ac:dyDescent="0.2">
      <c r="A2097" t="s">
        <v>3109</v>
      </c>
      <c r="B2097" s="1">
        <v>46070</v>
      </c>
      <c r="C2097" t="s">
        <v>62</v>
      </c>
      <c r="D2097" t="s">
        <v>63</v>
      </c>
      <c r="E2097" t="s">
        <v>26</v>
      </c>
      <c r="F2097" t="s">
        <v>101</v>
      </c>
      <c r="G2097" t="s">
        <v>102</v>
      </c>
      <c r="H2097" t="s">
        <v>103</v>
      </c>
      <c r="I2097" t="s">
        <v>56</v>
      </c>
      <c r="J2097" t="s">
        <v>57</v>
      </c>
      <c r="K2097" t="s">
        <v>32</v>
      </c>
      <c r="L2097" t="s">
        <v>46</v>
      </c>
      <c r="M2097" t="s">
        <v>68</v>
      </c>
      <c r="N2097" t="s">
        <v>69</v>
      </c>
      <c r="O2097" t="s">
        <v>36</v>
      </c>
      <c r="P2097" t="s">
        <v>37</v>
      </c>
      <c r="Q2097" t="s">
        <v>172</v>
      </c>
      <c r="R2097">
        <v>304</v>
      </c>
      <c r="S2097">
        <v>153</v>
      </c>
      <c r="T2097">
        <v>116</v>
      </c>
      <c r="U2097">
        <v>32</v>
      </c>
      <c r="V2097" t="s">
        <v>6952</v>
      </c>
      <c r="W2097">
        <v>40831</v>
      </c>
      <c r="X2097" t="s">
        <v>7171</v>
      </c>
      <c r="Y2097">
        <v>32311</v>
      </c>
      <c r="Z2097">
        <v>1306592</v>
      </c>
      <c r="AA2097">
        <v>272640</v>
      </c>
      <c r="AB2097" t="str">
        <f>(VLOOKUP(SalesData[[#This Row],[Month Number]],Reference!C$5:E$16,2,FALSE))</f>
        <v>Feb</v>
      </c>
      <c r="AC2097">
        <f>MONTH(SalesData[[#This Row],[Date]])</f>
        <v>2</v>
      </c>
      <c r="AD2097">
        <f>Reference!F$4</f>
        <v>2026</v>
      </c>
      <c r="AE2097" t="str">
        <f>IF(OR(SalesData[[#This Row],[Day]]="Saturday",SalesData[[#This Row],[Day]]="Sunday"),"Weekend","Weekday")</f>
        <v>Weekday</v>
      </c>
      <c r="AF2097" s="5">
        <f>IF(SalesData[[#This Row],[Contracts Offered]]=0,0,SalesData[[#This Row],[Contracts Signed]]/SalesData[[#This Row],[Contracts Offered]])</f>
        <v>0.27586206896551724</v>
      </c>
      <c r="AG2097" s="5">
        <f>IF(SalesData[[#This Row],[Customers Visited]]=0,0,SalesData[[#This Row],[Test Drives]]/SalesData[[#This Row],[Customers Visited]])</f>
        <v>0.50328947368421051</v>
      </c>
      <c r="AH2097" s="5">
        <f>IF(SalesData[[#This Row],[Customers Visited]]=0,0,SalesData[[#This Row],[Contracts Signed]]/SalesData[[#This Row],[Customers Visited]])</f>
        <v>0.10526315789473684</v>
      </c>
      <c r="AI2097" s="6">
        <f>IF(SalesData[[#This Row],[Contracts Signed]]=0,0,SalesData[[#This Row],[Profit(€)]]/SalesData[[#This Row],[Contracts Signed]])</f>
        <v>8520</v>
      </c>
      <c r="AJ2097" s="5" t="str">
        <f>TRIM(CLEAN(SalesData[[#This Row],[Retailer]]))</f>
        <v>Ruhr Auto Plaza</v>
      </c>
    </row>
    <row r="2098" spans="1:36" ht="14.25" hidden="1" x14ac:dyDescent="0.2">
      <c r="A2098" t="s">
        <v>3111</v>
      </c>
      <c r="B2098" s="1">
        <v>46064</v>
      </c>
      <c r="C2098" t="s">
        <v>121</v>
      </c>
      <c r="D2098" t="s">
        <v>82</v>
      </c>
      <c r="E2098" t="s">
        <v>26</v>
      </c>
      <c r="F2098" t="s">
        <v>43</v>
      </c>
      <c r="G2098" t="s">
        <v>44</v>
      </c>
      <c r="H2098" t="s">
        <v>45</v>
      </c>
      <c r="I2098" t="s">
        <v>64</v>
      </c>
      <c r="J2098" t="s">
        <v>77</v>
      </c>
      <c r="K2098" t="s">
        <v>66</v>
      </c>
      <c r="L2098" t="s">
        <v>46</v>
      </c>
      <c r="M2098" t="s">
        <v>47</v>
      </c>
      <c r="N2098" t="s">
        <v>69</v>
      </c>
      <c r="O2098" t="s">
        <v>70</v>
      </c>
      <c r="P2098" t="s">
        <v>49</v>
      </c>
      <c r="Q2098" t="s">
        <v>79</v>
      </c>
      <c r="R2098">
        <v>266</v>
      </c>
      <c r="S2098">
        <v>145</v>
      </c>
      <c r="T2098">
        <v>106</v>
      </c>
      <c r="U2098">
        <v>31</v>
      </c>
      <c r="V2098" t="s">
        <v>6716</v>
      </c>
      <c r="W2098">
        <v>62883</v>
      </c>
      <c r="X2098" t="s">
        <v>7078</v>
      </c>
      <c r="Y2098">
        <v>48761</v>
      </c>
      <c r="Z2098">
        <v>1949373</v>
      </c>
      <c r="AA2098">
        <v>437782</v>
      </c>
      <c r="AB2098" t="str">
        <f>(VLOOKUP(SalesData[[#This Row],[Month Number]],Reference!C$5:E$16,2,FALSE))</f>
        <v>Feb</v>
      </c>
      <c r="AC2098">
        <f>MONTH(SalesData[[#This Row],[Date]])</f>
        <v>2</v>
      </c>
      <c r="AD2098">
        <f>Reference!F$4</f>
        <v>2026</v>
      </c>
      <c r="AE2098" t="str">
        <f>IF(OR(SalesData[[#This Row],[Day]]="Saturday",SalesData[[#This Row],[Day]]="Sunday"),"Weekend","Weekday")</f>
        <v>Weekday</v>
      </c>
      <c r="AF2098" s="5">
        <f>IF(SalesData[[#This Row],[Contracts Offered]]=0,0,SalesData[[#This Row],[Contracts Signed]]/SalesData[[#This Row],[Contracts Offered]])</f>
        <v>0.29245283018867924</v>
      </c>
      <c r="AG2098" s="5">
        <f>IF(SalesData[[#This Row],[Customers Visited]]=0,0,SalesData[[#This Row],[Test Drives]]/SalesData[[#This Row],[Customers Visited]])</f>
        <v>0.54511278195488722</v>
      </c>
      <c r="AH2098" s="5">
        <f>IF(SalesData[[#This Row],[Customers Visited]]=0,0,SalesData[[#This Row],[Contracts Signed]]/SalesData[[#This Row],[Customers Visited]])</f>
        <v>0.11654135338345864</v>
      </c>
      <c r="AI2098" s="6">
        <f>IF(SalesData[[#This Row],[Contracts Signed]]=0,0,SalesData[[#This Row],[Profit(€)]]/SalesData[[#This Row],[Contracts Signed]])</f>
        <v>14122</v>
      </c>
      <c r="AJ2098" s="5" t="str">
        <f>TRIM(CLEAN(SalesData[[#This Row],[Retailer]]))</f>
        <v>Saxon Wheels</v>
      </c>
    </row>
    <row r="2099" spans="1:36" ht="14.25" hidden="1" x14ac:dyDescent="0.2">
      <c r="A2099" t="s">
        <v>3112</v>
      </c>
      <c r="B2099" s="1">
        <v>46068</v>
      </c>
      <c r="C2099" t="s">
        <v>62</v>
      </c>
      <c r="D2099" t="s">
        <v>41</v>
      </c>
      <c r="E2099" t="s">
        <v>42</v>
      </c>
      <c r="F2099" t="s">
        <v>27</v>
      </c>
      <c r="G2099" t="s">
        <v>28</v>
      </c>
      <c r="H2099" t="s">
        <v>29</v>
      </c>
      <c r="I2099" t="s">
        <v>56</v>
      </c>
      <c r="J2099" t="s">
        <v>7028</v>
      </c>
      <c r="K2099" t="s">
        <v>66</v>
      </c>
      <c r="L2099" t="s">
        <v>46</v>
      </c>
      <c r="M2099" t="s">
        <v>87</v>
      </c>
      <c r="N2099" t="s">
        <v>35</v>
      </c>
      <c r="O2099" t="s">
        <v>36</v>
      </c>
      <c r="P2099" t="s">
        <v>37</v>
      </c>
      <c r="Q2099" t="s">
        <v>79</v>
      </c>
      <c r="R2099">
        <v>238</v>
      </c>
      <c r="S2099">
        <v>130</v>
      </c>
      <c r="T2099">
        <v>92</v>
      </c>
      <c r="U2099">
        <v>28</v>
      </c>
      <c r="V2099" t="s">
        <v>7014</v>
      </c>
      <c r="W2099">
        <v>47319</v>
      </c>
      <c r="X2099" t="s">
        <v>3104</v>
      </c>
      <c r="Y2099">
        <v>38338</v>
      </c>
      <c r="Z2099">
        <v>1324932</v>
      </c>
      <c r="AA2099">
        <v>251468</v>
      </c>
      <c r="AB2099" t="str">
        <f>(VLOOKUP(SalesData[[#This Row],[Month Number]],Reference!C$5:E$16,2,FALSE))</f>
        <v>Feb</v>
      </c>
      <c r="AC2099">
        <f>MONTH(SalesData[[#This Row],[Date]])</f>
        <v>2</v>
      </c>
      <c r="AD2099">
        <f>Reference!F$4</f>
        <v>2026</v>
      </c>
      <c r="AE2099" t="str">
        <f>IF(OR(SalesData[[#This Row],[Day]]="Saturday",SalesData[[#This Row],[Day]]="Sunday"),"Weekend","Weekday")</f>
        <v>Weekend</v>
      </c>
      <c r="AF2099" s="5">
        <f>IF(SalesData[[#This Row],[Contracts Offered]]=0,0,SalesData[[#This Row],[Contracts Signed]]/SalesData[[#This Row],[Contracts Offered]])</f>
        <v>0.30434782608695654</v>
      </c>
      <c r="AG2099" s="5">
        <f>IF(SalesData[[#This Row],[Customers Visited]]=0,0,SalesData[[#This Row],[Test Drives]]/SalesData[[#This Row],[Customers Visited]])</f>
        <v>0.54621848739495793</v>
      </c>
      <c r="AH2099" s="5">
        <f>IF(SalesData[[#This Row],[Customers Visited]]=0,0,SalesData[[#This Row],[Contracts Signed]]/SalesData[[#This Row],[Customers Visited]])</f>
        <v>0.11764705882352941</v>
      </c>
      <c r="AI2099" s="6">
        <f>IF(SalesData[[#This Row],[Contracts Signed]]=0,0,SalesData[[#This Row],[Profit(€)]]/SalesData[[#This Row],[Contracts Signed]])</f>
        <v>8981</v>
      </c>
      <c r="AJ2099" s="5" t="str">
        <f>TRIM(CLEAN(SalesData[[#This Row],[Retailer]]))</f>
        <v>Main Auto Hub</v>
      </c>
    </row>
    <row r="2100" spans="1:36" ht="14.25" hidden="1" x14ac:dyDescent="0.2">
      <c r="A2100" t="s">
        <v>3114</v>
      </c>
      <c r="B2100" s="1">
        <v>46057</v>
      </c>
      <c r="C2100" t="s">
        <v>24</v>
      </c>
      <c r="D2100" t="s">
        <v>82</v>
      </c>
      <c r="E2100" t="s">
        <v>26</v>
      </c>
      <c r="F2100" t="s">
        <v>7649</v>
      </c>
      <c r="G2100" t="s">
        <v>55</v>
      </c>
      <c r="H2100" t="s">
        <v>55</v>
      </c>
      <c r="I2100" t="s">
        <v>116</v>
      </c>
      <c r="J2100" t="s">
        <v>117</v>
      </c>
      <c r="K2100" t="s">
        <v>91</v>
      </c>
      <c r="L2100" t="s">
        <v>67</v>
      </c>
      <c r="M2100" t="s">
        <v>87</v>
      </c>
      <c r="N2100" t="s">
        <v>69</v>
      </c>
      <c r="O2100" t="s">
        <v>70</v>
      </c>
      <c r="P2100" t="s">
        <v>37</v>
      </c>
      <c r="Q2100" t="s">
        <v>135</v>
      </c>
      <c r="R2100">
        <v>382</v>
      </c>
      <c r="S2100">
        <v>177</v>
      </c>
      <c r="T2100">
        <v>120</v>
      </c>
      <c r="U2100">
        <v>27</v>
      </c>
      <c r="V2100" t="s">
        <v>704</v>
      </c>
      <c r="W2100">
        <v>24146</v>
      </c>
      <c r="X2100" t="s">
        <v>1369</v>
      </c>
      <c r="Y2100">
        <v>21996</v>
      </c>
      <c r="Z2100">
        <v>651942</v>
      </c>
      <c r="AA2100">
        <v>58050</v>
      </c>
      <c r="AB2100" t="str">
        <f>(VLOOKUP(SalesData[[#This Row],[Month Number]],Reference!C$5:E$16,2,FALSE))</f>
        <v>Feb</v>
      </c>
      <c r="AC2100">
        <f>MONTH(SalesData[[#This Row],[Date]])</f>
        <v>2</v>
      </c>
      <c r="AD2100">
        <f>Reference!F$4</f>
        <v>2026</v>
      </c>
      <c r="AE2100" t="str">
        <f>IF(OR(SalesData[[#This Row],[Day]]="Saturday",SalesData[[#This Row],[Day]]="Sunday"),"Weekend","Weekday")</f>
        <v>Weekday</v>
      </c>
      <c r="AF2100" s="5">
        <f>IF(SalesData[[#This Row],[Contracts Offered]]=0,0,SalesData[[#This Row],[Contracts Signed]]/SalesData[[#This Row],[Contracts Offered]])</f>
        <v>0.22500000000000001</v>
      </c>
      <c r="AG2100" s="5">
        <f>IF(SalesData[[#This Row],[Customers Visited]]=0,0,SalesData[[#This Row],[Test Drives]]/SalesData[[#This Row],[Customers Visited]])</f>
        <v>0.46335078534031415</v>
      </c>
      <c r="AH2100" s="5">
        <f>IF(SalesData[[#This Row],[Customers Visited]]=0,0,SalesData[[#This Row],[Contracts Signed]]/SalesData[[#This Row],[Customers Visited]])</f>
        <v>7.0680628272251314E-2</v>
      </c>
      <c r="AI2100" s="6">
        <f>IF(SalesData[[#This Row],[Contracts Signed]]=0,0,SalesData[[#This Row],[Profit(€)]]/SalesData[[#This Row],[Contracts Signed]])</f>
        <v>2150</v>
      </c>
      <c r="AJ2100" s="5" t="str">
        <f>TRIM(CLEAN(SalesData[[#This Row],[Retailer]]))</f>
        <v>Autohaus Berlin</v>
      </c>
    </row>
    <row r="2101" spans="1:36" ht="14.25" hidden="1" x14ac:dyDescent="0.2">
      <c r="A2101" t="s">
        <v>3116</v>
      </c>
      <c r="B2101" s="1">
        <v>46066</v>
      </c>
      <c r="C2101" t="s">
        <v>121</v>
      </c>
      <c r="D2101" t="s">
        <v>54</v>
      </c>
      <c r="E2101" t="s">
        <v>26</v>
      </c>
      <c r="F2101" t="s">
        <v>74</v>
      </c>
      <c r="G2101" t="s">
        <v>75</v>
      </c>
      <c r="H2101" t="s">
        <v>76</v>
      </c>
      <c r="I2101" t="s">
        <v>104</v>
      </c>
      <c r="J2101" t="s">
        <v>105</v>
      </c>
      <c r="K2101" t="s">
        <v>32</v>
      </c>
      <c r="L2101" t="s">
        <v>33</v>
      </c>
      <c r="M2101" t="s">
        <v>47</v>
      </c>
      <c r="N2101" t="s">
        <v>69</v>
      </c>
      <c r="O2101" t="s">
        <v>70</v>
      </c>
      <c r="P2101" t="s">
        <v>71</v>
      </c>
      <c r="Q2101" t="s">
        <v>189</v>
      </c>
      <c r="R2101">
        <v>357</v>
      </c>
      <c r="S2101">
        <v>192</v>
      </c>
      <c r="T2101">
        <v>116</v>
      </c>
      <c r="U2101">
        <v>28</v>
      </c>
      <c r="V2101" t="s">
        <v>661</v>
      </c>
      <c r="W2101">
        <v>30668</v>
      </c>
      <c r="X2101" t="s">
        <v>830</v>
      </c>
      <c r="Y2101">
        <v>27459</v>
      </c>
      <c r="Z2101">
        <v>858704</v>
      </c>
      <c r="AA2101">
        <v>89852</v>
      </c>
      <c r="AB2101" t="str">
        <f>(VLOOKUP(SalesData[[#This Row],[Month Number]],Reference!C$5:E$16,2,FALSE))</f>
        <v>Feb</v>
      </c>
      <c r="AC2101">
        <f>MONTH(SalesData[[#This Row],[Date]])</f>
        <v>2</v>
      </c>
      <c r="AD2101">
        <f>Reference!F$4</f>
        <v>2026</v>
      </c>
      <c r="AE2101" t="str">
        <f>IF(OR(SalesData[[#This Row],[Day]]="Saturday",SalesData[[#This Row],[Day]]="Sunday"),"Weekend","Weekday")</f>
        <v>Weekday</v>
      </c>
      <c r="AF2101" s="5">
        <f>IF(SalesData[[#This Row],[Contracts Offered]]=0,0,SalesData[[#This Row],[Contracts Signed]]/SalesData[[#This Row],[Contracts Offered]])</f>
        <v>0.2413793103448276</v>
      </c>
      <c r="AG2101" s="5">
        <f>IF(SalesData[[#This Row],[Customers Visited]]=0,0,SalesData[[#This Row],[Test Drives]]/SalesData[[#This Row],[Customers Visited]])</f>
        <v>0.53781512605042014</v>
      </c>
      <c r="AH2101" s="5">
        <f>IF(SalesData[[#This Row],[Customers Visited]]=0,0,SalesData[[#This Row],[Contracts Signed]]/SalesData[[#This Row],[Customers Visited]])</f>
        <v>7.8431372549019607E-2</v>
      </c>
      <c r="AI2101" s="6">
        <f>IF(SalesData[[#This Row],[Contracts Signed]]=0,0,SalesData[[#This Row],[Profit(€)]]/SalesData[[#This Row],[Contracts Signed]])</f>
        <v>3209</v>
      </c>
      <c r="AJ2101" s="5" t="str">
        <f>TRIM(CLEAN(SalesData[[#This Row],[Retailer]]))</f>
        <v>Stuttgart Auto Center</v>
      </c>
    </row>
    <row r="2102" spans="1:36" ht="14.25" hidden="1" x14ac:dyDescent="0.2">
      <c r="A2102" t="s">
        <v>3117</v>
      </c>
      <c r="B2102" s="1">
        <v>46072</v>
      </c>
      <c r="C2102" t="s">
        <v>62</v>
      </c>
      <c r="D2102" t="s">
        <v>100</v>
      </c>
      <c r="E2102" t="s">
        <v>26</v>
      </c>
      <c r="F2102" t="s">
        <v>127</v>
      </c>
      <c r="G2102" t="s">
        <v>128</v>
      </c>
      <c r="H2102" t="s">
        <v>103</v>
      </c>
      <c r="I2102" t="s">
        <v>56</v>
      </c>
      <c r="J2102" t="s">
        <v>137</v>
      </c>
      <c r="K2102" t="s">
        <v>66</v>
      </c>
      <c r="L2102" t="s">
        <v>46</v>
      </c>
      <c r="M2102" t="s">
        <v>47</v>
      </c>
      <c r="N2102" t="s">
        <v>69</v>
      </c>
      <c r="O2102" t="s">
        <v>70</v>
      </c>
      <c r="P2102" t="s">
        <v>49</v>
      </c>
      <c r="Q2102" t="s">
        <v>129</v>
      </c>
      <c r="R2102">
        <v>203</v>
      </c>
      <c r="S2102">
        <v>117</v>
      </c>
      <c r="T2102">
        <v>80</v>
      </c>
      <c r="U2102">
        <v>24</v>
      </c>
      <c r="V2102" t="s">
        <v>6690</v>
      </c>
      <c r="W2102">
        <v>41232</v>
      </c>
      <c r="X2102" t="s">
        <v>500</v>
      </c>
      <c r="Y2102">
        <v>31173</v>
      </c>
      <c r="Z2102">
        <v>989568</v>
      </c>
      <c r="AA2102">
        <v>241416</v>
      </c>
      <c r="AB2102" t="str">
        <f>(VLOOKUP(SalesData[[#This Row],[Month Number]],Reference!C$5:E$16,2,FALSE))</f>
        <v>Feb</v>
      </c>
      <c r="AC2102">
        <f>MONTH(SalesData[[#This Row],[Date]])</f>
        <v>2</v>
      </c>
      <c r="AD2102">
        <f>Reference!F$4</f>
        <v>2026</v>
      </c>
      <c r="AE2102" t="str">
        <f>IF(OR(SalesData[[#This Row],[Day]]="Saturday",SalesData[[#This Row],[Day]]="Sunday"),"Weekend","Weekday")</f>
        <v>Weekday</v>
      </c>
      <c r="AF2102" s="5">
        <f>IF(SalesData[[#This Row],[Contracts Offered]]=0,0,SalesData[[#This Row],[Contracts Signed]]/SalesData[[#This Row],[Contracts Offered]])</f>
        <v>0.3</v>
      </c>
      <c r="AG2102" s="5">
        <f>IF(SalesData[[#This Row],[Customers Visited]]=0,0,SalesData[[#This Row],[Test Drives]]/SalesData[[#This Row],[Customers Visited]])</f>
        <v>0.57635467980295563</v>
      </c>
      <c r="AH2102" s="5">
        <f>IF(SalesData[[#This Row],[Customers Visited]]=0,0,SalesData[[#This Row],[Contracts Signed]]/SalesData[[#This Row],[Customers Visited]])</f>
        <v>0.11822660098522167</v>
      </c>
      <c r="AI2102" s="6">
        <f>IF(SalesData[[#This Row],[Contracts Signed]]=0,0,SalesData[[#This Row],[Profit(€)]]/SalesData[[#This Row],[Contracts Signed]])</f>
        <v>10059</v>
      </c>
      <c r="AJ2102" s="5" t="str">
        <f>TRIM(CLEAN(SalesData[[#This Row],[Retailer]]))</f>
        <v>Rhein Auto Group</v>
      </c>
    </row>
    <row r="2103" spans="1:36" ht="14.25" hidden="1" x14ac:dyDescent="0.2">
      <c r="A2103" t="s">
        <v>3118</v>
      </c>
      <c r="B2103" s="1">
        <v>46075</v>
      </c>
      <c r="C2103" t="s">
        <v>53</v>
      </c>
      <c r="D2103" t="s">
        <v>41</v>
      </c>
      <c r="E2103" t="s">
        <v>42</v>
      </c>
      <c r="F2103" t="s">
        <v>114</v>
      </c>
      <c r="G2103" t="s">
        <v>115</v>
      </c>
      <c r="H2103" t="s">
        <v>115</v>
      </c>
      <c r="I2103" t="s">
        <v>116</v>
      </c>
      <c r="J2103" t="s">
        <v>7090</v>
      </c>
      <c r="K2103" t="s">
        <v>78</v>
      </c>
      <c r="L2103" t="s">
        <v>46</v>
      </c>
      <c r="M2103" t="s">
        <v>47</v>
      </c>
      <c r="N2103" t="s">
        <v>48</v>
      </c>
      <c r="O2103" t="s">
        <v>36</v>
      </c>
      <c r="P2103" t="s">
        <v>49</v>
      </c>
      <c r="Q2103" t="s">
        <v>38</v>
      </c>
      <c r="R2103">
        <v>292</v>
      </c>
      <c r="S2103">
        <v>155</v>
      </c>
      <c r="T2103">
        <v>103</v>
      </c>
      <c r="U2103">
        <v>24</v>
      </c>
      <c r="V2103" t="s">
        <v>98</v>
      </c>
      <c r="W2103">
        <v>21359</v>
      </c>
      <c r="X2103" t="s">
        <v>155</v>
      </c>
      <c r="Y2103">
        <v>19253</v>
      </c>
      <c r="Z2103">
        <v>512616</v>
      </c>
      <c r="AA2103">
        <v>50544</v>
      </c>
      <c r="AB2103" t="str">
        <f>(VLOOKUP(SalesData[[#This Row],[Month Number]],Reference!C$5:E$16,2,FALSE))</f>
        <v>Feb</v>
      </c>
      <c r="AC2103">
        <f>MONTH(SalesData[[#This Row],[Date]])</f>
        <v>2</v>
      </c>
      <c r="AD2103">
        <f>Reference!F$4</f>
        <v>2026</v>
      </c>
      <c r="AE2103" t="str">
        <f>IF(OR(SalesData[[#This Row],[Day]]="Saturday",SalesData[[#This Row],[Day]]="Sunday"),"Weekend","Weekday")</f>
        <v>Weekend</v>
      </c>
      <c r="AF2103" s="5">
        <f>IF(SalesData[[#This Row],[Contracts Offered]]=0,0,SalesData[[#This Row],[Contracts Signed]]/SalesData[[#This Row],[Contracts Offered]])</f>
        <v>0.23300970873786409</v>
      </c>
      <c r="AG2103" s="5">
        <f>IF(SalesData[[#This Row],[Customers Visited]]=0,0,SalesData[[#This Row],[Test Drives]]/SalesData[[#This Row],[Customers Visited]])</f>
        <v>0.53082191780821919</v>
      </c>
      <c r="AH2103" s="5">
        <f>IF(SalesData[[#This Row],[Customers Visited]]=0,0,SalesData[[#This Row],[Contracts Signed]]/SalesData[[#This Row],[Customers Visited]])</f>
        <v>8.2191780821917804E-2</v>
      </c>
      <c r="AI2103" s="6">
        <f>IF(SalesData[[#This Row],[Contracts Signed]]=0,0,SalesData[[#This Row],[Profit(€)]]/SalesData[[#This Row],[Contracts Signed]])</f>
        <v>2106</v>
      </c>
      <c r="AJ2103" s="5" t="str">
        <f>TRIM(CLEAN(SalesData[[#This Row],[Retailer]]))</f>
        <v>Elbe Drive</v>
      </c>
    </row>
    <row r="2104" spans="1:36" ht="14.25" x14ac:dyDescent="0.2">
      <c r="A2104" t="s">
        <v>3119</v>
      </c>
      <c r="B2104" s="1">
        <v>46056</v>
      </c>
      <c r="C2104" t="s">
        <v>24</v>
      </c>
      <c r="D2104" t="s">
        <v>63</v>
      </c>
      <c r="E2104" t="s">
        <v>26</v>
      </c>
      <c r="F2104" t="s">
        <v>94</v>
      </c>
      <c r="G2104" t="s">
        <v>95</v>
      </c>
      <c r="H2104" t="s">
        <v>96</v>
      </c>
      <c r="I2104" t="s">
        <v>30</v>
      </c>
      <c r="J2104" t="s">
        <v>7075</v>
      </c>
      <c r="K2104" t="s">
        <v>66</v>
      </c>
      <c r="L2104" t="s">
        <v>33</v>
      </c>
      <c r="M2104" t="s">
        <v>47</v>
      </c>
      <c r="N2104" t="s">
        <v>35</v>
      </c>
      <c r="O2104" t="s">
        <v>70</v>
      </c>
      <c r="P2104" t="s">
        <v>37</v>
      </c>
      <c r="Q2104" t="s">
        <v>135</v>
      </c>
      <c r="R2104">
        <v>233</v>
      </c>
      <c r="S2104">
        <v>133</v>
      </c>
      <c r="T2104">
        <v>100</v>
      </c>
      <c r="U2104">
        <v>37</v>
      </c>
      <c r="V2104" t="s">
        <v>7306</v>
      </c>
      <c r="W2104">
        <v>62768</v>
      </c>
      <c r="X2104" t="s">
        <v>7114</v>
      </c>
      <c r="Y2104">
        <v>47936</v>
      </c>
      <c r="Z2104">
        <v>2322416</v>
      </c>
      <c r="AA2104">
        <v>548784</v>
      </c>
      <c r="AB2104" t="str">
        <f>(VLOOKUP(SalesData[[#This Row],[Month Number]],Reference!C$5:E$16,2,FALSE))</f>
        <v>Feb</v>
      </c>
      <c r="AC2104">
        <f>MONTH(SalesData[[#This Row],[Date]])</f>
        <v>2</v>
      </c>
      <c r="AD2104">
        <f>Reference!F$4</f>
        <v>2026</v>
      </c>
      <c r="AE2104" t="str">
        <f>IF(OR(SalesData[[#This Row],[Day]]="Saturday",SalesData[[#This Row],[Day]]="Sunday"),"Weekend","Weekday")</f>
        <v>Weekday</v>
      </c>
      <c r="AF2104" s="5">
        <f>IF(SalesData[[#This Row],[Contracts Offered]]=0,0,SalesData[[#This Row],[Contracts Signed]]/SalesData[[#This Row],[Contracts Offered]])</f>
        <v>0.37</v>
      </c>
      <c r="AG2104" s="5">
        <f>IF(SalesData[[#This Row],[Customers Visited]]=0,0,SalesData[[#This Row],[Test Drives]]/SalesData[[#This Row],[Customers Visited]])</f>
        <v>0.57081545064377681</v>
      </c>
      <c r="AH2104" s="5">
        <f>IF(SalesData[[#This Row],[Customers Visited]]=0,0,SalesData[[#This Row],[Contracts Signed]]/SalesData[[#This Row],[Customers Visited]])</f>
        <v>0.15879828326180256</v>
      </c>
      <c r="AI2104" s="6">
        <f>IF(SalesData[[#This Row],[Contracts Signed]]=0,0,SalesData[[#This Row],[Profit(€)]]/SalesData[[#This Row],[Contracts Signed]])</f>
        <v>14832</v>
      </c>
      <c r="AJ2104" s="5" t="str">
        <f>TRIM(CLEAN(SalesData[[#This Row],[Retailer]]))</f>
        <v>Bavaria Motors</v>
      </c>
    </row>
    <row r="2105" spans="1:36" ht="14.25" hidden="1" x14ac:dyDescent="0.2">
      <c r="A2105" t="s">
        <v>3121</v>
      </c>
      <c r="B2105" s="1">
        <v>46077</v>
      </c>
      <c r="C2105" t="s">
        <v>53</v>
      </c>
      <c r="D2105" t="s">
        <v>63</v>
      </c>
      <c r="E2105" t="s">
        <v>26</v>
      </c>
      <c r="F2105" t="s">
        <v>74</v>
      </c>
      <c r="G2105" t="s">
        <v>75</v>
      </c>
      <c r="H2105" t="s">
        <v>76</v>
      </c>
      <c r="I2105" t="s">
        <v>56</v>
      </c>
      <c r="J2105" t="s">
        <v>137</v>
      </c>
      <c r="K2105" t="s">
        <v>91</v>
      </c>
      <c r="L2105" t="s">
        <v>46</v>
      </c>
      <c r="M2105" t="s">
        <v>47</v>
      </c>
      <c r="N2105" t="s">
        <v>69</v>
      </c>
      <c r="O2105" t="s">
        <v>36</v>
      </c>
      <c r="P2105" t="s">
        <v>71</v>
      </c>
      <c r="Q2105" t="s">
        <v>129</v>
      </c>
      <c r="R2105">
        <v>249</v>
      </c>
      <c r="S2105">
        <v>117</v>
      </c>
      <c r="T2105">
        <v>90</v>
      </c>
      <c r="U2105">
        <v>31</v>
      </c>
      <c r="V2105" t="s">
        <v>6777</v>
      </c>
      <c r="W2105">
        <v>45652</v>
      </c>
      <c r="X2105" t="s">
        <v>638</v>
      </c>
      <c r="Y2105">
        <v>36707</v>
      </c>
      <c r="Z2105">
        <v>1415212</v>
      </c>
      <c r="AA2105">
        <v>277295</v>
      </c>
      <c r="AB2105" t="str">
        <f>(VLOOKUP(SalesData[[#This Row],[Month Number]],Reference!C$5:E$16,2,FALSE))</f>
        <v>Feb</v>
      </c>
      <c r="AC2105">
        <f>MONTH(SalesData[[#This Row],[Date]])</f>
        <v>2</v>
      </c>
      <c r="AD2105">
        <f>Reference!F$4</f>
        <v>2026</v>
      </c>
      <c r="AE2105" t="str">
        <f>IF(OR(SalesData[[#This Row],[Day]]="Saturday",SalesData[[#This Row],[Day]]="Sunday"),"Weekend","Weekday")</f>
        <v>Weekday</v>
      </c>
      <c r="AF2105" s="5">
        <f>IF(SalesData[[#This Row],[Contracts Offered]]=0,0,SalesData[[#This Row],[Contracts Signed]]/SalesData[[#This Row],[Contracts Offered]])</f>
        <v>0.34444444444444444</v>
      </c>
      <c r="AG2105" s="5">
        <f>IF(SalesData[[#This Row],[Customers Visited]]=0,0,SalesData[[#This Row],[Test Drives]]/SalesData[[#This Row],[Customers Visited]])</f>
        <v>0.46987951807228917</v>
      </c>
      <c r="AH2105" s="5">
        <f>IF(SalesData[[#This Row],[Customers Visited]]=0,0,SalesData[[#This Row],[Contracts Signed]]/SalesData[[#This Row],[Customers Visited]])</f>
        <v>0.12449799196787148</v>
      </c>
      <c r="AI2105" s="6">
        <f>IF(SalesData[[#This Row],[Contracts Signed]]=0,0,SalesData[[#This Row],[Profit(€)]]/SalesData[[#This Row],[Contracts Signed]])</f>
        <v>8945</v>
      </c>
      <c r="AJ2105" s="5" t="str">
        <f>TRIM(CLEAN(SalesData[[#This Row],[Retailer]]))</f>
        <v>Stuttgart Auto Center</v>
      </c>
    </row>
    <row r="2106" spans="1:36" ht="14.25" hidden="1" x14ac:dyDescent="0.2">
      <c r="A2106" t="s">
        <v>3123</v>
      </c>
      <c r="B2106" s="1">
        <v>46069</v>
      </c>
      <c r="C2106" t="s">
        <v>62</v>
      </c>
      <c r="D2106" t="s">
        <v>25</v>
      </c>
      <c r="E2106" t="s">
        <v>26</v>
      </c>
      <c r="F2106" t="s">
        <v>127</v>
      </c>
      <c r="G2106" t="s">
        <v>128</v>
      </c>
      <c r="H2106" t="s">
        <v>103</v>
      </c>
      <c r="I2106" t="s">
        <v>116</v>
      </c>
      <c r="J2106" t="s">
        <v>7090</v>
      </c>
      <c r="K2106" t="s">
        <v>66</v>
      </c>
      <c r="L2106" t="s">
        <v>46</v>
      </c>
      <c r="M2106" t="s">
        <v>47</v>
      </c>
      <c r="N2106" t="s">
        <v>69</v>
      </c>
      <c r="O2106" t="s">
        <v>36</v>
      </c>
      <c r="P2106" t="s">
        <v>71</v>
      </c>
      <c r="Q2106" t="s">
        <v>189</v>
      </c>
      <c r="R2106">
        <v>397</v>
      </c>
      <c r="S2106">
        <v>195</v>
      </c>
      <c r="T2106">
        <v>115</v>
      </c>
      <c r="U2106">
        <v>33</v>
      </c>
      <c r="V2106" t="s">
        <v>656</v>
      </c>
      <c r="W2106">
        <v>22345</v>
      </c>
      <c r="X2106" t="s">
        <v>1418</v>
      </c>
      <c r="Y2106">
        <v>20695</v>
      </c>
      <c r="Z2106">
        <v>737385</v>
      </c>
      <c r="AA2106">
        <v>54450</v>
      </c>
      <c r="AB2106" t="str">
        <f>(VLOOKUP(SalesData[[#This Row],[Month Number]],Reference!C$5:E$16,2,FALSE))</f>
        <v>Feb</v>
      </c>
      <c r="AC2106">
        <f>MONTH(SalesData[[#This Row],[Date]])</f>
        <v>2</v>
      </c>
      <c r="AD2106">
        <f>Reference!F$4</f>
        <v>2026</v>
      </c>
      <c r="AE2106" t="str">
        <f>IF(OR(SalesData[[#This Row],[Day]]="Saturday",SalesData[[#This Row],[Day]]="Sunday"),"Weekend","Weekday")</f>
        <v>Weekday</v>
      </c>
      <c r="AF2106" s="5">
        <f>IF(SalesData[[#This Row],[Contracts Offered]]=0,0,SalesData[[#This Row],[Contracts Signed]]/SalesData[[#This Row],[Contracts Offered]])</f>
        <v>0.28695652173913044</v>
      </c>
      <c r="AG2106" s="5">
        <f>IF(SalesData[[#This Row],[Customers Visited]]=0,0,SalesData[[#This Row],[Test Drives]]/SalesData[[#This Row],[Customers Visited]])</f>
        <v>0.49118387909319899</v>
      </c>
      <c r="AH2106" s="5">
        <f>IF(SalesData[[#This Row],[Customers Visited]]=0,0,SalesData[[#This Row],[Contracts Signed]]/SalesData[[#This Row],[Customers Visited]])</f>
        <v>8.3123425692695208E-2</v>
      </c>
      <c r="AI2106" s="6">
        <f>IF(SalesData[[#This Row],[Contracts Signed]]=0,0,SalesData[[#This Row],[Profit(€)]]/SalesData[[#This Row],[Contracts Signed]])</f>
        <v>1650</v>
      </c>
      <c r="AJ2106" s="5" t="str">
        <f>TRIM(CLEAN(SalesData[[#This Row],[Retailer]]))</f>
        <v>Rhein Auto Group</v>
      </c>
    </row>
    <row r="2107" spans="1:36" ht="14.25" hidden="1" x14ac:dyDescent="0.2">
      <c r="A2107" t="s">
        <v>3124</v>
      </c>
      <c r="B2107" s="1">
        <v>46054</v>
      </c>
      <c r="C2107" t="s">
        <v>24</v>
      </c>
      <c r="D2107" t="s">
        <v>41</v>
      </c>
      <c r="E2107" t="s">
        <v>42</v>
      </c>
      <c r="F2107" t="s">
        <v>109</v>
      </c>
      <c r="G2107" t="s">
        <v>110</v>
      </c>
      <c r="H2107" t="s">
        <v>45</v>
      </c>
      <c r="I2107" t="s">
        <v>56</v>
      </c>
      <c r="J2107" t="s">
        <v>137</v>
      </c>
      <c r="K2107" t="s">
        <v>66</v>
      </c>
      <c r="L2107" t="s">
        <v>46</v>
      </c>
      <c r="M2107" t="s">
        <v>87</v>
      </c>
      <c r="N2107" t="s">
        <v>69</v>
      </c>
      <c r="O2107" t="s">
        <v>36</v>
      </c>
      <c r="P2107" t="s">
        <v>58</v>
      </c>
      <c r="Q2107" t="s">
        <v>79</v>
      </c>
      <c r="R2107">
        <v>187</v>
      </c>
      <c r="S2107">
        <v>97</v>
      </c>
      <c r="T2107">
        <v>64</v>
      </c>
      <c r="U2107">
        <v>22</v>
      </c>
      <c r="V2107" t="s">
        <v>6479</v>
      </c>
      <c r="W2107">
        <v>45257</v>
      </c>
      <c r="X2107" t="s">
        <v>7270</v>
      </c>
      <c r="Y2107">
        <v>36654</v>
      </c>
      <c r="Z2107">
        <v>995654</v>
      </c>
      <c r="AA2107">
        <v>189266</v>
      </c>
      <c r="AB2107" t="str">
        <f>(VLOOKUP(SalesData[[#This Row],[Month Number]],Reference!C$5:E$16,2,FALSE))</f>
        <v>Feb</v>
      </c>
      <c r="AC2107">
        <f>MONTH(SalesData[[#This Row],[Date]])</f>
        <v>2</v>
      </c>
      <c r="AD2107">
        <f>Reference!F$4</f>
        <v>2026</v>
      </c>
      <c r="AE2107" t="str">
        <f>IF(OR(SalesData[[#This Row],[Day]]="Saturday",SalesData[[#This Row],[Day]]="Sunday"),"Weekend","Weekday")</f>
        <v>Weekend</v>
      </c>
      <c r="AF2107" s="5">
        <f>IF(SalesData[[#This Row],[Contracts Offered]]=0,0,SalesData[[#This Row],[Contracts Signed]]/SalesData[[#This Row],[Contracts Offered]])</f>
        <v>0.34375</v>
      </c>
      <c r="AG2107" s="5">
        <f>IF(SalesData[[#This Row],[Customers Visited]]=0,0,SalesData[[#This Row],[Test Drives]]/SalesData[[#This Row],[Customers Visited]])</f>
        <v>0.51871657754010692</v>
      </c>
      <c r="AH2107" s="5">
        <f>IF(SalesData[[#This Row],[Customers Visited]]=0,0,SalesData[[#This Row],[Contracts Signed]]/SalesData[[#This Row],[Customers Visited]])</f>
        <v>0.11764705882352941</v>
      </c>
      <c r="AI2107" s="6">
        <f>IF(SalesData[[#This Row],[Contracts Signed]]=0,0,SalesData[[#This Row],[Profit(€)]]/SalesData[[#This Row],[Contracts Signed]])</f>
        <v>8603</v>
      </c>
      <c r="AJ2107" s="5" t="str">
        <f>TRIM(CLEAN(SalesData[[#This Row],[Retailer]]))</f>
        <v>Leipzig Mobility</v>
      </c>
    </row>
    <row r="2108" spans="1:36" ht="14.25" hidden="1" x14ac:dyDescent="0.2">
      <c r="A2108" t="s">
        <v>3125</v>
      </c>
      <c r="B2108" s="1">
        <v>46071</v>
      </c>
      <c r="C2108" t="s">
        <v>62</v>
      </c>
      <c r="D2108" t="s">
        <v>82</v>
      </c>
      <c r="E2108" t="s">
        <v>26</v>
      </c>
      <c r="F2108" t="s">
        <v>43</v>
      </c>
      <c r="G2108" t="s">
        <v>44</v>
      </c>
      <c r="H2108" t="s">
        <v>45</v>
      </c>
      <c r="I2108" t="s">
        <v>104</v>
      </c>
      <c r="J2108" t="s">
        <v>143</v>
      </c>
      <c r="K2108" t="s">
        <v>78</v>
      </c>
      <c r="L2108" t="s">
        <v>67</v>
      </c>
      <c r="M2108" t="s">
        <v>34</v>
      </c>
      <c r="N2108" t="s">
        <v>35</v>
      </c>
      <c r="O2108" t="s">
        <v>36</v>
      </c>
      <c r="P2108" t="s">
        <v>71</v>
      </c>
      <c r="Q2108" t="s">
        <v>38</v>
      </c>
      <c r="R2108">
        <v>457</v>
      </c>
      <c r="S2108">
        <v>264</v>
      </c>
      <c r="T2108">
        <v>165</v>
      </c>
      <c r="U2108">
        <v>48</v>
      </c>
      <c r="V2108" t="s">
        <v>752</v>
      </c>
      <c r="W2108">
        <v>33966</v>
      </c>
      <c r="X2108" t="s">
        <v>3629</v>
      </c>
      <c r="Y2108">
        <v>29885</v>
      </c>
      <c r="Z2108">
        <v>1630368</v>
      </c>
      <c r="AA2108">
        <v>195888</v>
      </c>
      <c r="AB2108" t="str">
        <f>(VLOOKUP(SalesData[[#This Row],[Month Number]],Reference!C$5:E$16,2,FALSE))</f>
        <v>Feb</v>
      </c>
      <c r="AC2108">
        <f>MONTH(SalesData[[#This Row],[Date]])</f>
        <v>2</v>
      </c>
      <c r="AD2108">
        <f>Reference!F$4</f>
        <v>2026</v>
      </c>
      <c r="AE2108" t="str">
        <f>IF(OR(SalesData[[#This Row],[Day]]="Saturday",SalesData[[#This Row],[Day]]="Sunday"),"Weekend","Weekday")</f>
        <v>Weekday</v>
      </c>
      <c r="AF2108" s="5">
        <f>IF(SalesData[[#This Row],[Contracts Offered]]=0,0,SalesData[[#This Row],[Contracts Signed]]/SalesData[[#This Row],[Contracts Offered]])</f>
        <v>0.29090909090909089</v>
      </c>
      <c r="AG2108" s="5">
        <f>IF(SalesData[[#This Row],[Customers Visited]]=0,0,SalesData[[#This Row],[Test Drives]]/SalesData[[#This Row],[Customers Visited]])</f>
        <v>0.57768052516411383</v>
      </c>
      <c r="AH2108" s="5">
        <f>IF(SalesData[[#This Row],[Customers Visited]]=0,0,SalesData[[#This Row],[Contracts Signed]]/SalesData[[#This Row],[Customers Visited]])</f>
        <v>0.10503282275711159</v>
      </c>
      <c r="AI2108" s="6">
        <f>IF(SalesData[[#This Row],[Contracts Signed]]=0,0,SalesData[[#This Row],[Profit(€)]]/SalesData[[#This Row],[Contracts Signed]])</f>
        <v>4081</v>
      </c>
      <c r="AJ2108" s="5" t="str">
        <f>TRIM(CLEAN(SalesData[[#This Row],[Retailer]]))</f>
        <v>Saxon Wheels</v>
      </c>
    </row>
    <row r="2109" spans="1:36" ht="14.25" x14ac:dyDescent="0.2">
      <c r="A2109" t="s">
        <v>3126</v>
      </c>
      <c r="B2109" s="1">
        <v>46068</v>
      </c>
      <c r="C2109" t="s">
        <v>62</v>
      </c>
      <c r="D2109" t="s">
        <v>41</v>
      </c>
      <c r="E2109" t="s">
        <v>42</v>
      </c>
      <c r="F2109" t="s">
        <v>27</v>
      </c>
      <c r="G2109" t="s">
        <v>28</v>
      </c>
      <c r="H2109" t="s">
        <v>29</v>
      </c>
      <c r="I2109" t="s">
        <v>30</v>
      </c>
      <c r="J2109" t="s">
        <v>7075</v>
      </c>
      <c r="K2109" t="s">
        <v>91</v>
      </c>
      <c r="L2109" t="s">
        <v>33</v>
      </c>
      <c r="M2109" t="s">
        <v>68</v>
      </c>
      <c r="N2109" t="s">
        <v>69</v>
      </c>
      <c r="O2109" t="s">
        <v>70</v>
      </c>
      <c r="P2109" t="s">
        <v>49</v>
      </c>
      <c r="Q2109" t="s">
        <v>88</v>
      </c>
      <c r="R2109">
        <v>269</v>
      </c>
      <c r="S2109">
        <v>144</v>
      </c>
      <c r="T2109">
        <v>109</v>
      </c>
      <c r="U2109">
        <v>38</v>
      </c>
      <c r="V2109" t="s">
        <v>6784</v>
      </c>
      <c r="W2109">
        <v>63511</v>
      </c>
      <c r="X2109" t="s">
        <v>7346</v>
      </c>
      <c r="Y2109">
        <v>49092</v>
      </c>
      <c r="Z2109">
        <v>2413418</v>
      </c>
      <c r="AA2109">
        <v>547922</v>
      </c>
      <c r="AB2109" t="str">
        <f>(VLOOKUP(SalesData[[#This Row],[Month Number]],Reference!C$5:E$16,2,FALSE))</f>
        <v>Feb</v>
      </c>
      <c r="AC2109">
        <f>MONTH(SalesData[[#This Row],[Date]])</f>
        <v>2</v>
      </c>
      <c r="AD2109">
        <f>Reference!F$4</f>
        <v>2026</v>
      </c>
      <c r="AE2109" t="str">
        <f>IF(OR(SalesData[[#This Row],[Day]]="Saturday",SalesData[[#This Row],[Day]]="Sunday"),"Weekend","Weekday")</f>
        <v>Weekend</v>
      </c>
      <c r="AF2109" s="5">
        <f>IF(SalesData[[#This Row],[Contracts Offered]]=0,0,SalesData[[#This Row],[Contracts Signed]]/SalesData[[#This Row],[Contracts Offered]])</f>
        <v>0.34862385321100919</v>
      </c>
      <c r="AG2109" s="5">
        <f>IF(SalesData[[#This Row],[Customers Visited]]=0,0,SalesData[[#This Row],[Test Drives]]/SalesData[[#This Row],[Customers Visited]])</f>
        <v>0.53531598513011147</v>
      </c>
      <c r="AH2109" s="5">
        <f>IF(SalesData[[#This Row],[Customers Visited]]=0,0,SalesData[[#This Row],[Contracts Signed]]/SalesData[[#This Row],[Customers Visited]])</f>
        <v>0.14126394052044611</v>
      </c>
      <c r="AI2109" s="6">
        <f>IF(SalesData[[#This Row],[Contracts Signed]]=0,0,SalesData[[#This Row],[Profit(€)]]/SalesData[[#This Row],[Contracts Signed]])</f>
        <v>14419</v>
      </c>
      <c r="AJ2109" s="5" t="str">
        <f>TRIM(CLEAN(SalesData[[#This Row],[Retailer]]))</f>
        <v>Main Auto Hub</v>
      </c>
    </row>
    <row r="2110" spans="1:36" ht="14.25" hidden="1" x14ac:dyDescent="0.2">
      <c r="A2110" t="s">
        <v>3127</v>
      </c>
      <c r="B2110" s="1">
        <v>46070</v>
      </c>
      <c r="C2110" t="s">
        <v>62</v>
      </c>
      <c r="D2110" t="s">
        <v>63</v>
      </c>
      <c r="E2110" t="s">
        <v>26</v>
      </c>
      <c r="F2110" t="s">
        <v>94</v>
      </c>
      <c r="G2110" t="s">
        <v>95</v>
      </c>
      <c r="H2110" t="s">
        <v>96</v>
      </c>
      <c r="I2110" t="s">
        <v>116</v>
      </c>
      <c r="J2110" t="s">
        <v>117</v>
      </c>
      <c r="K2110" t="s">
        <v>32</v>
      </c>
      <c r="L2110" t="s">
        <v>67</v>
      </c>
      <c r="M2110" t="s">
        <v>68</v>
      </c>
      <c r="N2110" t="s">
        <v>35</v>
      </c>
      <c r="O2110" t="s">
        <v>70</v>
      </c>
      <c r="P2110" t="s">
        <v>37</v>
      </c>
      <c r="Q2110" t="s">
        <v>240</v>
      </c>
      <c r="R2110">
        <v>325</v>
      </c>
      <c r="S2110">
        <v>141</v>
      </c>
      <c r="T2110">
        <v>97</v>
      </c>
      <c r="U2110">
        <v>21</v>
      </c>
      <c r="V2110" t="s">
        <v>630</v>
      </c>
      <c r="W2110">
        <v>24071</v>
      </c>
      <c r="X2110" t="s">
        <v>1310</v>
      </c>
      <c r="Y2110">
        <v>22129</v>
      </c>
      <c r="Z2110">
        <v>505491</v>
      </c>
      <c r="AA2110">
        <v>40782</v>
      </c>
      <c r="AB2110" t="str">
        <f>(VLOOKUP(SalesData[[#This Row],[Month Number]],Reference!C$5:E$16,2,FALSE))</f>
        <v>Feb</v>
      </c>
      <c r="AC2110">
        <f>MONTH(SalesData[[#This Row],[Date]])</f>
        <v>2</v>
      </c>
      <c r="AD2110">
        <f>Reference!F$4</f>
        <v>2026</v>
      </c>
      <c r="AE2110" t="str">
        <f>IF(OR(SalesData[[#This Row],[Day]]="Saturday",SalesData[[#This Row],[Day]]="Sunday"),"Weekend","Weekday")</f>
        <v>Weekday</v>
      </c>
      <c r="AF2110" s="5">
        <f>IF(SalesData[[#This Row],[Contracts Offered]]=0,0,SalesData[[#This Row],[Contracts Signed]]/SalesData[[#This Row],[Contracts Offered]])</f>
        <v>0.21649484536082475</v>
      </c>
      <c r="AG2110" s="5">
        <f>IF(SalesData[[#This Row],[Customers Visited]]=0,0,SalesData[[#This Row],[Test Drives]]/SalesData[[#This Row],[Customers Visited]])</f>
        <v>0.43384615384615383</v>
      </c>
      <c r="AH2110" s="5">
        <f>IF(SalesData[[#This Row],[Customers Visited]]=0,0,SalesData[[#This Row],[Contracts Signed]]/SalesData[[#This Row],[Customers Visited]])</f>
        <v>6.4615384615384616E-2</v>
      </c>
      <c r="AI2110" s="6">
        <f>IF(SalesData[[#This Row],[Contracts Signed]]=0,0,SalesData[[#This Row],[Profit(€)]]/SalesData[[#This Row],[Contracts Signed]])</f>
        <v>1942</v>
      </c>
      <c r="AJ2110" s="5" t="str">
        <f>TRIM(CLEAN(SalesData[[#This Row],[Retailer]]))</f>
        <v>Bavaria Motors</v>
      </c>
    </row>
    <row r="2111" spans="1:36" ht="14.25" hidden="1" x14ac:dyDescent="0.2">
      <c r="A2111" t="s">
        <v>3129</v>
      </c>
      <c r="B2111" s="1">
        <v>46061</v>
      </c>
      <c r="C2111" t="s">
        <v>121</v>
      </c>
      <c r="D2111" t="s">
        <v>41</v>
      </c>
      <c r="E2111" t="s">
        <v>42</v>
      </c>
      <c r="F2111" t="s">
        <v>7649</v>
      </c>
      <c r="G2111" t="s">
        <v>55</v>
      </c>
      <c r="H2111" t="s">
        <v>55</v>
      </c>
      <c r="I2111" t="s">
        <v>116</v>
      </c>
      <c r="J2111" t="s">
        <v>203</v>
      </c>
      <c r="K2111" t="s">
        <v>91</v>
      </c>
      <c r="L2111" t="s">
        <v>67</v>
      </c>
      <c r="M2111" t="s">
        <v>87</v>
      </c>
      <c r="N2111" t="s">
        <v>48</v>
      </c>
      <c r="O2111" t="s">
        <v>70</v>
      </c>
      <c r="P2111" t="s">
        <v>71</v>
      </c>
      <c r="Q2111" t="s">
        <v>38</v>
      </c>
      <c r="R2111">
        <v>319</v>
      </c>
      <c r="S2111">
        <v>137</v>
      </c>
      <c r="T2111">
        <v>93</v>
      </c>
      <c r="U2111">
        <v>26</v>
      </c>
      <c r="V2111" t="s">
        <v>3442</v>
      </c>
      <c r="W2111">
        <v>20267</v>
      </c>
      <c r="X2111" t="s">
        <v>898</v>
      </c>
      <c r="Y2111">
        <v>18810</v>
      </c>
      <c r="Z2111">
        <v>526942</v>
      </c>
      <c r="AA2111">
        <v>37882</v>
      </c>
      <c r="AB2111" t="str">
        <f>(VLOOKUP(SalesData[[#This Row],[Month Number]],Reference!C$5:E$16,2,FALSE))</f>
        <v>Feb</v>
      </c>
      <c r="AC2111">
        <f>MONTH(SalesData[[#This Row],[Date]])</f>
        <v>2</v>
      </c>
      <c r="AD2111">
        <f>Reference!F$4</f>
        <v>2026</v>
      </c>
      <c r="AE2111" t="str">
        <f>IF(OR(SalesData[[#This Row],[Day]]="Saturday",SalesData[[#This Row],[Day]]="Sunday"),"Weekend","Weekday")</f>
        <v>Weekend</v>
      </c>
      <c r="AF2111" s="5">
        <f>IF(SalesData[[#This Row],[Contracts Offered]]=0,0,SalesData[[#This Row],[Contracts Signed]]/SalesData[[#This Row],[Contracts Offered]])</f>
        <v>0.27956989247311825</v>
      </c>
      <c r="AG2111" s="5">
        <f>IF(SalesData[[#This Row],[Customers Visited]]=0,0,SalesData[[#This Row],[Test Drives]]/SalesData[[#This Row],[Customers Visited]])</f>
        <v>0.42946708463949845</v>
      </c>
      <c r="AH2111" s="5">
        <f>IF(SalesData[[#This Row],[Customers Visited]]=0,0,SalesData[[#This Row],[Contracts Signed]]/SalesData[[#This Row],[Customers Visited]])</f>
        <v>8.1504702194357362E-2</v>
      </c>
      <c r="AI2111" s="6">
        <f>IF(SalesData[[#This Row],[Contracts Signed]]=0,0,SalesData[[#This Row],[Profit(€)]]/SalesData[[#This Row],[Contracts Signed]])</f>
        <v>1457</v>
      </c>
      <c r="AJ2111" s="5" t="str">
        <f>TRIM(CLEAN(SalesData[[#This Row],[Retailer]]))</f>
        <v>Autohaus Berlin</v>
      </c>
    </row>
    <row r="2112" spans="1:36" ht="14.25" x14ac:dyDescent="0.2">
      <c r="A2112" t="s">
        <v>3130</v>
      </c>
      <c r="B2112" s="1">
        <v>46061</v>
      </c>
      <c r="C2112" t="s">
        <v>121</v>
      </c>
      <c r="D2112" t="s">
        <v>41</v>
      </c>
      <c r="E2112" t="s">
        <v>42</v>
      </c>
      <c r="F2112" t="s">
        <v>83</v>
      </c>
      <c r="G2112" t="s">
        <v>84</v>
      </c>
      <c r="H2112" t="s">
        <v>85</v>
      </c>
      <c r="I2112" t="s">
        <v>30</v>
      </c>
      <c r="J2112" t="s">
        <v>7075</v>
      </c>
      <c r="K2112" t="s">
        <v>78</v>
      </c>
      <c r="L2112" t="s">
        <v>33</v>
      </c>
      <c r="M2112" t="s">
        <v>87</v>
      </c>
      <c r="N2112" t="s">
        <v>48</v>
      </c>
      <c r="O2112" t="s">
        <v>36</v>
      </c>
      <c r="P2112" t="s">
        <v>37</v>
      </c>
      <c r="Q2112" t="s">
        <v>135</v>
      </c>
      <c r="R2112">
        <v>174</v>
      </c>
      <c r="S2112">
        <v>103</v>
      </c>
      <c r="T2112">
        <v>80</v>
      </c>
      <c r="U2112">
        <v>25</v>
      </c>
      <c r="V2112" t="s">
        <v>6462</v>
      </c>
      <c r="W2112">
        <v>52142</v>
      </c>
      <c r="X2112" t="s">
        <v>5891</v>
      </c>
      <c r="Y2112">
        <v>37303</v>
      </c>
      <c r="Z2112">
        <v>1303550</v>
      </c>
      <c r="AA2112">
        <v>370975</v>
      </c>
      <c r="AB2112" t="str">
        <f>(VLOOKUP(SalesData[[#This Row],[Month Number]],Reference!C$5:E$16,2,FALSE))</f>
        <v>Feb</v>
      </c>
      <c r="AC2112">
        <f>MONTH(SalesData[[#This Row],[Date]])</f>
        <v>2</v>
      </c>
      <c r="AD2112">
        <f>Reference!F$4</f>
        <v>2026</v>
      </c>
      <c r="AE2112" t="str">
        <f>IF(OR(SalesData[[#This Row],[Day]]="Saturday",SalesData[[#This Row],[Day]]="Sunday"),"Weekend","Weekday")</f>
        <v>Weekend</v>
      </c>
      <c r="AF2112" s="5">
        <f>IF(SalesData[[#This Row],[Contracts Offered]]=0,0,SalesData[[#This Row],[Contracts Signed]]/SalesData[[#This Row],[Contracts Offered]])</f>
        <v>0.3125</v>
      </c>
      <c r="AG2112" s="5">
        <f>IF(SalesData[[#This Row],[Customers Visited]]=0,0,SalesData[[#This Row],[Test Drives]]/SalesData[[#This Row],[Customers Visited]])</f>
        <v>0.59195402298850575</v>
      </c>
      <c r="AH2112" s="5">
        <f>IF(SalesData[[#This Row],[Customers Visited]]=0,0,SalesData[[#This Row],[Contracts Signed]]/SalesData[[#This Row],[Customers Visited]])</f>
        <v>0.14367816091954022</v>
      </c>
      <c r="AI2112" s="6">
        <f>IF(SalesData[[#This Row],[Contracts Signed]]=0,0,SalesData[[#This Row],[Profit(€)]]/SalesData[[#This Row],[Contracts Signed]])</f>
        <v>14839</v>
      </c>
      <c r="AJ2112" s="5" t="str">
        <f>TRIM(CLEAN(SalesData[[#This Row],[Retailer]]))</f>
        <v>Hannover Cars</v>
      </c>
    </row>
    <row r="2113" spans="1:36" ht="14.25" x14ac:dyDescent="0.2">
      <c r="A2113" t="s">
        <v>3131</v>
      </c>
      <c r="B2113" s="1">
        <v>46072</v>
      </c>
      <c r="C2113" t="s">
        <v>62</v>
      </c>
      <c r="D2113" t="s">
        <v>100</v>
      </c>
      <c r="E2113" t="s">
        <v>26</v>
      </c>
      <c r="F2113" t="s">
        <v>43</v>
      </c>
      <c r="G2113" t="s">
        <v>44</v>
      </c>
      <c r="H2113" t="s">
        <v>45</v>
      </c>
      <c r="I2113" t="s">
        <v>30</v>
      </c>
      <c r="J2113" t="s">
        <v>166</v>
      </c>
      <c r="K2113" t="s">
        <v>66</v>
      </c>
      <c r="L2113" t="s">
        <v>46</v>
      </c>
      <c r="M2113" t="s">
        <v>68</v>
      </c>
      <c r="N2113" t="s">
        <v>69</v>
      </c>
      <c r="O2113" t="s">
        <v>70</v>
      </c>
      <c r="P2113" t="s">
        <v>58</v>
      </c>
      <c r="Q2113" t="s">
        <v>88</v>
      </c>
      <c r="R2113">
        <v>258</v>
      </c>
      <c r="S2113">
        <v>149</v>
      </c>
      <c r="T2113">
        <v>105</v>
      </c>
      <c r="U2113">
        <v>43</v>
      </c>
      <c r="V2113" t="s">
        <v>7506</v>
      </c>
      <c r="W2113">
        <v>57621</v>
      </c>
      <c r="X2113" t="s">
        <v>3045</v>
      </c>
      <c r="Y2113">
        <v>43213</v>
      </c>
      <c r="Z2113">
        <v>2477703</v>
      </c>
      <c r="AA2113">
        <v>619544</v>
      </c>
      <c r="AB2113" t="str">
        <f>(VLOOKUP(SalesData[[#This Row],[Month Number]],Reference!C$5:E$16,2,FALSE))</f>
        <v>Feb</v>
      </c>
      <c r="AC2113">
        <f>MONTH(SalesData[[#This Row],[Date]])</f>
        <v>2</v>
      </c>
      <c r="AD2113">
        <f>Reference!F$4</f>
        <v>2026</v>
      </c>
      <c r="AE2113" t="str">
        <f>IF(OR(SalesData[[#This Row],[Day]]="Saturday",SalesData[[#This Row],[Day]]="Sunday"),"Weekend","Weekday")</f>
        <v>Weekday</v>
      </c>
      <c r="AF2113" s="5">
        <f>IF(SalesData[[#This Row],[Contracts Offered]]=0,0,SalesData[[#This Row],[Contracts Signed]]/SalesData[[#This Row],[Contracts Offered]])</f>
        <v>0.40952380952380951</v>
      </c>
      <c r="AG2113" s="5">
        <f>IF(SalesData[[#This Row],[Customers Visited]]=0,0,SalesData[[#This Row],[Test Drives]]/SalesData[[#This Row],[Customers Visited]])</f>
        <v>0.57751937984496127</v>
      </c>
      <c r="AH2113" s="5">
        <f>IF(SalesData[[#This Row],[Customers Visited]]=0,0,SalesData[[#This Row],[Contracts Signed]]/SalesData[[#This Row],[Customers Visited]])</f>
        <v>0.16666666666666666</v>
      </c>
      <c r="AI2113" s="6">
        <f>IF(SalesData[[#This Row],[Contracts Signed]]=0,0,SalesData[[#This Row],[Profit(€)]]/SalesData[[#This Row],[Contracts Signed]])</f>
        <v>14408</v>
      </c>
      <c r="AJ2113" s="5" t="str">
        <f>TRIM(CLEAN(SalesData[[#This Row],[Retailer]]))</f>
        <v>Saxon Wheels</v>
      </c>
    </row>
    <row r="2114" spans="1:36" ht="14.25" hidden="1" x14ac:dyDescent="0.2">
      <c r="A2114" t="s">
        <v>3132</v>
      </c>
      <c r="B2114" s="1">
        <v>46061</v>
      </c>
      <c r="C2114" t="s">
        <v>121</v>
      </c>
      <c r="D2114" t="s">
        <v>41</v>
      </c>
      <c r="E2114" t="s">
        <v>42</v>
      </c>
      <c r="F2114" t="s">
        <v>43</v>
      </c>
      <c r="G2114" t="s">
        <v>44</v>
      </c>
      <c r="H2114" t="s">
        <v>45</v>
      </c>
      <c r="I2114" t="s">
        <v>116</v>
      </c>
      <c r="J2114" t="s">
        <v>132</v>
      </c>
      <c r="K2114" t="s">
        <v>91</v>
      </c>
      <c r="L2114" t="s">
        <v>46</v>
      </c>
      <c r="M2114" t="s">
        <v>47</v>
      </c>
      <c r="N2114" t="s">
        <v>69</v>
      </c>
      <c r="O2114" t="s">
        <v>36</v>
      </c>
      <c r="P2114" t="s">
        <v>49</v>
      </c>
      <c r="Q2114" t="s">
        <v>88</v>
      </c>
      <c r="R2114">
        <v>374</v>
      </c>
      <c r="S2114">
        <v>206</v>
      </c>
      <c r="T2114">
        <v>138</v>
      </c>
      <c r="U2114">
        <v>30</v>
      </c>
      <c r="V2114" t="s">
        <v>3559</v>
      </c>
      <c r="W2114">
        <v>22421</v>
      </c>
      <c r="X2114" t="s">
        <v>303</v>
      </c>
      <c r="Y2114">
        <v>20385</v>
      </c>
      <c r="Z2114">
        <v>672630</v>
      </c>
      <c r="AA2114">
        <v>61080</v>
      </c>
      <c r="AB2114" t="str">
        <f>(VLOOKUP(SalesData[[#This Row],[Month Number]],Reference!C$5:E$16,2,FALSE))</f>
        <v>Feb</v>
      </c>
      <c r="AC2114">
        <f>MONTH(SalesData[[#This Row],[Date]])</f>
        <v>2</v>
      </c>
      <c r="AD2114">
        <f>Reference!F$4</f>
        <v>2026</v>
      </c>
      <c r="AE2114" t="str">
        <f>IF(OR(SalesData[[#This Row],[Day]]="Saturday",SalesData[[#This Row],[Day]]="Sunday"),"Weekend","Weekday")</f>
        <v>Weekend</v>
      </c>
      <c r="AF2114" s="5">
        <f>IF(SalesData[[#This Row],[Contracts Offered]]=0,0,SalesData[[#This Row],[Contracts Signed]]/SalesData[[#This Row],[Contracts Offered]])</f>
        <v>0.21739130434782608</v>
      </c>
      <c r="AG2114" s="5">
        <f>IF(SalesData[[#This Row],[Customers Visited]]=0,0,SalesData[[#This Row],[Test Drives]]/SalesData[[#This Row],[Customers Visited]])</f>
        <v>0.55080213903743314</v>
      </c>
      <c r="AH2114" s="5">
        <f>IF(SalesData[[#This Row],[Customers Visited]]=0,0,SalesData[[#This Row],[Contracts Signed]]/SalesData[[#This Row],[Customers Visited]])</f>
        <v>8.0213903743315509E-2</v>
      </c>
      <c r="AI2114" s="6">
        <f>IF(SalesData[[#This Row],[Contracts Signed]]=0,0,SalesData[[#This Row],[Profit(€)]]/SalesData[[#This Row],[Contracts Signed]])</f>
        <v>2036</v>
      </c>
      <c r="AJ2114" s="5" t="str">
        <f>TRIM(CLEAN(SalesData[[#This Row],[Retailer]]))</f>
        <v>Saxon Wheels</v>
      </c>
    </row>
    <row r="2115" spans="1:36" ht="14.25" hidden="1" x14ac:dyDescent="0.2">
      <c r="A2115" t="s">
        <v>3133</v>
      </c>
      <c r="B2115" s="1">
        <v>46074</v>
      </c>
      <c r="C2115" t="s">
        <v>62</v>
      </c>
      <c r="D2115" t="s">
        <v>151</v>
      </c>
      <c r="E2115" t="s">
        <v>42</v>
      </c>
      <c r="F2115" t="s">
        <v>94</v>
      </c>
      <c r="G2115" t="s">
        <v>95</v>
      </c>
      <c r="H2115" t="s">
        <v>96</v>
      </c>
      <c r="I2115" t="s">
        <v>104</v>
      </c>
      <c r="J2115" t="s">
        <v>140</v>
      </c>
      <c r="K2115" t="s">
        <v>78</v>
      </c>
      <c r="L2115" t="s">
        <v>46</v>
      </c>
      <c r="M2115" t="s">
        <v>68</v>
      </c>
      <c r="N2115" t="s">
        <v>69</v>
      </c>
      <c r="O2115" t="s">
        <v>36</v>
      </c>
      <c r="P2115" t="s">
        <v>49</v>
      </c>
      <c r="Q2115" t="s">
        <v>158</v>
      </c>
      <c r="R2115">
        <v>333</v>
      </c>
      <c r="S2115">
        <v>150</v>
      </c>
      <c r="T2115">
        <v>103</v>
      </c>
      <c r="U2115">
        <v>22</v>
      </c>
      <c r="V2115" t="s">
        <v>4665</v>
      </c>
      <c r="W2115">
        <v>28841</v>
      </c>
      <c r="X2115" t="s">
        <v>303</v>
      </c>
      <c r="Y2115">
        <v>26014</v>
      </c>
      <c r="Z2115">
        <v>634502</v>
      </c>
      <c r="AA2115">
        <v>62194</v>
      </c>
      <c r="AB2115" t="str">
        <f>(VLOOKUP(SalesData[[#This Row],[Month Number]],Reference!C$5:E$16,2,FALSE))</f>
        <v>Feb</v>
      </c>
      <c r="AC2115">
        <f>MONTH(SalesData[[#This Row],[Date]])</f>
        <v>2</v>
      </c>
      <c r="AD2115">
        <f>Reference!F$4</f>
        <v>2026</v>
      </c>
      <c r="AE2115" t="str">
        <f>IF(OR(SalesData[[#This Row],[Day]]="Saturday",SalesData[[#This Row],[Day]]="Sunday"),"Weekend","Weekday")</f>
        <v>Weekend</v>
      </c>
      <c r="AF2115" s="5">
        <f>IF(SalesData[[#This Row],[Contracts Offered]]=0,0,SalesData[[#This Row],[Contracts Signed]]/SalesData[[#This Row],[Contracts Offered]])</f>
        <v>0.21359223300970873</v>
      </c>
      <c r="AG2115" s="5">
        <f>IF(SalesData[[#This Row],[Customers Visited]]=0,0,SalesData[[#This Row],[Test Drives]]/SalesData[[#This Row],[Customers Visited]])</f>
        <v>0.45045045045045046</v>
      </c>
      <c r="AH2115" s="5">
        <f>IF(SalesData[[#This Row],[Customers Visited]]=0,0,SalesData[[#This Row],[Contracts Signed]]/SalesData[[#This Row],[Customers Visited]])</f>
        <v>6.6066066066066062E-2</v>
      </c>
      <c r="AI2115" s="6">
        <f>IF(SalesData[[#This Row],[Contracts Signed]]=0,0,SalesData[[#This Row],[Profit(€)]]/SalesData[[#This Row],[Contracts Signed]])</f>
        <v>2827</v>
      </c>
      <c r="AJ2115" s="5" t="str">
        <f>TRIM(CLEAN(SalesData[[#This Row],[Retailer]]))</f>
        <v>Bavaria Motors</v>
      </c>
    </row>
    <row r="2116" spans="1:36" ht="14.25" hidden="1" x14ac:dyDescent="0.2">
      <c r="A2116" t="s">
        <v>3134</v>
      </c>
      <c r="B2116" s="1">
        <v>46066</v>
      </c>
      <c r="C2116" t="s">
        <v>121</v>
      </c>
      <c r="D2116" t="s">
        <v>54</v>
      </c>
      <c r="E2116" t="s">
        <v>26</v>
      </c>
      <c r="F2116" t="s">
        <v>109</v>
      </c>
      <c r="G2116" t="s">
        <v>110</v>
      </c>
      <c r="H2116" t="s">
        <v>45</v>
      </c>
      <c r="I2116" t="s">
        <v>116</v>
      </c>
      <c r="J2116" t="s">
        <v>7026</v>
      </c>
      <c r="K2116" t="s">
        <v>66</v>
      </c>
      <c r="L2116" t="s">
        <v>46</v>
      </c>
      <c r="M2116" t="s">
        <v>68</v>
      </c>
      <c r="N2116" t="s">
        <v>69</v>
      </c>
      <c r="O2116" t="s">
        <v>70</v>
      </c>
      <c r="P2116" t="s">
        <v>37</v>
      </c>
      <c r="Q2116" t="s">
        <v>38</v>
      </c>
      <c r="R2116">
        <v>261</v>
      </c>
      <c r="S2116">
        <v>130</v>
      </c>
      <c r="T2116">
        <v>80</v>
      </c>
      <c r="U2116">
        <v>20</v>
      </c>
      <c r="V2116" t="s">
        <v>1109</v>
      </c>
      <c r="W2116">
        <v>24835</v>
      </c>
      <c r="X2116" t="s">
        <v>1270</v>
      </c>
      <c r="Y2116">
        <v>22983</v>
      </c>
      <c r="Z2116">
        <v>496700</v>
      </c>
      <c r="AA2116">
        <v>37040</v>
      </c>
      <c r="AB2116" t="str">
        <f>(VLOOKUP(SalesData[[#This Row],[Month Number]],Reference!C$5:E$16,2,FALSE))</f>
        <v>Feb</v>
      </c>
      <c r="AC2116">
        <f>MONTH(SalesData[[#This Row],[Date]])</f>
        <v>2</v>
      </c>
      <c r="AD2116">
        <f>Reference!F$4</f>
        <v>2026</v>
      </c>
      <c r="AE2116" t="str">
        <f>IF(OR(SalesData[[#This Row],[Day]]="Saturday",SalesData[[#This Row],[Day]]="Sunday"),"Weekend","Weekday")</f>
        <v>Weekday</v>
      </c>
      <c r="AF2116" s="5">
        <f>IF(SalesData[[#This Row],[Contracts Offered]]=0,0,SalesData[[#This Row],[Contracts Signed]]/SalesData[[#This Row],[Contracts Offered]])</f>
        <v>0.25</v>
      </c>
      <c r="AG2116" s="5">
        <f>IF(SalesData[[#This Row],[Customers Visited]]=0,0,SalesData[[#This Row],[Test Drives]]/SalesData[[#This Row],[Customers Visited]])</f>
        <v>0.49808429118773945</v>
      </c>
      <c r="AH2116" s="5">
        <f>IF(SalesData[[#This Row],[Customers Visited]]=0,0,SalesData[[#This Row],[Contracts Signed]]/SalesData[[#This Row],[Customers Visited]])</f>
        <v>7.662835249042145E-2</v>
      </c>
      <c r="AI2116" s="6">
        <f>IF(SalesData[[#This Row],[Contracts Signed]]=0,0,SalesData[[#This Row],[Profit(€)]]/SalesData[[#This Row],[Contracts Signed]])</f>
        <v>1852</v>
      </c>
      <c r="AJ2116" s="5" t="str">
        <f>TRIM(CLEAN(SalesData[[#This Row],[Retailer]]))</f>
        <v>Leipzig Mobility</v>
      </c>
    </row>
    <row r="2117" spans="1:36" ht="14.25" hidden="1" x14ac:dyDescent="0.2">
      <c r="A2117" t="s">
        <v>3136</v>
      </c>
      <c r="B2117" s="1">
        <v>46079</v>
      </c>
      <c r="C2117" t="s">
        <v>53</v>
      </c>
      <c r="D2117" t="s">
        <v>100</v>
      </c>
      <c r="E2117" t="s">
        <v>26</v>
      </c>
      <c r="F2117" t="s">
        <v>7649</v>
      </c>
      <c r="G2117" t="s">
        <v>55</v>
      </c>
      <c r="H2117" t="s">
        <v>55</v>
      </c>
      <c r="I2117" t="s">
        <v>64</v>
      </c>
      <c r="J2117" t="s">
        <v>77</v>
      </c>
      <c r="K2117" t="s">
        <v>91</v>
      </c>
      <c r="L2117" t="s">
        <v>46</v>
      </c>
      <c r="M2117" t="s">
        <v>47</v>
      </c>
      <c r="N2117" t="s">
        <v>69</v>
      </c>
      <c r="O2117" t="s">
        <v>36</v>
      </c>
      <c r="P2117" t="s">
        <v>58</v>
      </c>
      <c r="Q2117" t="s">
        <v>79</v>
      </c>
      <c r="R2117">
        <v>242</v>
      </c>
      <c r="S2117">
        <v>112</v>
      </c>
      <c r="T2117">
        <v>89</v>
      </c>
      <c r="U2117">
        <v>32</v>
      </c>
      <c r="V2117" t="s">
        <v>6357</v>
      </c>
      <c r="W2117">
        <v>69563</v>
      </c>
      <c r="X2117" t="s">
        <v>7166</v>
      </c>
      <c r="Y2117">
        <v>54489</v>
      </c>
      <c r="Z2117">
        <v>2226016</v>
      </c>
      <c r="AA2117">
        <v>482368</v>
      </c>
      <c r="AB2117" t="str">
        <f>(VLOOKUP(SalesData[[#This Row],[Month Number]],Reference!C$5:E$16,2,FALSE))</f>
        <v>Feb</v>
      </c>
      <c r="AC2117">
        <f>MONTH(SalesData[[#This Row],[Date]])</f>
        <v>2</v>
      </c>
      <c r="AD2117">
        <f>Reference!F$4</f>
        <v>2026</v>
      </c>
      <c r="AE2117" t="str">
        <f>IF(OR(SalesData[[#This Row],[Day]]="Saturday",SalesData[[#This Row],[Day]]="Sunday"),"Weekend","Weekday")</f>
        <v>Weekday</v>
      </c>
      <c r="AF2117" s="5">
        <f>IF(SalesData[[#This Row],[Contracts Offered]]=0,0,SalesData[[#This Row],[Contracts Signed]]/SalesData[[#This Row],[Contracts Offered]])</f>
        <v>0.3595505617977528</v>
      </c>
      <c r="AG2117" s="5">
        <f>IF(SalesData[[#This Row],[Customers Visited]]=0,0,SalesData[[#This Row],[Test Drives]]/SalesData[[#This Row],[Customers Visited]])</f>
        <v>0.46280991735537191</v>
      </c>
      <c r="AH2117" s="5">
        <f>IF(SalesData[[#This Row],[Customers Visited]]=0,0,SalesData[[#This Row],[Contracts Signed]]/SalesData[[#This Row],[Customers Visited]])</f>
        <v>0.13223140495867769</v>
      </c>
      <c r="AI2117" s="6">
        <f>IF(SalesData[[#This Row],[Contracts Signed]]=0,0,SalesData[[#This Row],[Profit(€)]]/SalesData[[#This Row],[Contracts Signed]])</f>
        <v>15074</v>
      </c>
      <c r="AJ2117" s="5" t="str">
        <f>TRIM(CLEAN(SalesData[[#This Row],[Retailer]]))</f>
        <v>Autohaus Berlin</v>
      </c>
    </row>
    <row r="2118" spans="1:36" ht="14.25" hidden="1" x14ac:dyDescent="0.2">
      <c r="A2118" t="s">
        <v>3137</v>
      </c>
      <c r="B2118" s="1">
        <v>46069</v>
      </c>
      <c r="C2118" t="s">
        <v>62</v>
      </c>
      <c r="D2118" t="s">
        <v>25</v>
      </c>
      <c r="E2118" t="s">
        <v>26</v>
      </c>
      <c r="F2118" t="s">
        <v>7649</v>
      </c>
      <c r="G2118" t="s">
        <v>55</v>
      </c>
      <c r="H2118" t="s">
        <v>55</v>
      </c>
      <c r="I2118" t="s">
        <v>64</v>
      </c>
      <c r="J2118" t="s">
        <v>157</v>
      </c>
      <c r="K2118" t="s">
        <v>78</v>
      </c>
      <c r="L2118" t="s">
        <v>33</v>
      </c>
      <c r="M2118" t="s">
        <v>34</v>
      </c>
      <c r="N2118" t="s">
        <v>35</v>
      </c>
      <c r="O2118" t="s">
        <v>70</v>
      </c>
      <c r="P2118" t="s">
        <v>37</v>
      </c>
      <c r="Q2118" t="s">
        <v>189</v>
      </c>
      <c r="R2118">
        <v>156</v>
      </c>
      <c r="S2118">
        <v>69</v>
      </c>
      <c r="T2118">
        <v>51</v>
      </c>
      <c r="U2118">
        <v>18</v>
      </c>
      <c r="V2118" t="s">
        <v>6360</v>
      </c>
      <c r="W2118">
        <v>58867</v>
      </c>
      <c r="X2118" t="s">
        <v>7393</v>
      </c>
      <c r="Y2118">
        <v>44423</v>
      </c>
      <c r="Z2118">
        <v>1059606</v>
      </c>
      <c r="AA2118">
        <v>259992</v>
      </c>
      <c r="AB2118" t="str">
        <f>(VLOOKUP(SalesData[[#This Row],[Month Number]],Reference!C$5:E$16,2,FALSE))</f>
        <v>Feb</v>
      </c>
      <c r="AC2118">
        <f>MONTH(SalesData[[#This Row],[Date]])</f>
        <v>2</v>
      </c>
      <c r="AD2118">
        <f>Reference!F$4</f>
        <v>2026</v>
      </c>
      <c r="AE2118" t="str">
        <f>IF(OR(SalesData[[#This Row],[Day]]="Saturday",SalesData[[#This Row],[Day]]="Sunday"),"Weekend","Weekday")</f>
        <v>Weekday</v>
      </c>
      <c r="AF2118" s="5">
        <f>IF(SalesData[[#This Row],[Contracts Offered]]=0,0,SalesData[[#This Row],[Contracts Signed]]/SalesData[[#This Row],[Contracts Offered]])</f>
        <v>0.35294117647058826</v>
      </c>
      <c r="AG2118" s="5">
        <f>IF(SalesData[[#This Row],[Customers Visited]]=0,0,SalesData[[#This Row],[Test Drives]]/SalesData[[#This Row],[Customers Visited]])</f>
        <v>0.44230769230769229</v>
      </c>
      <c r="AH2118" s="5">
        <f>IF(SalesData[[#This Row],[Customers Visited]]=0,0,SalesData[[#This Row],[Contracts Signed]]/SalesData[[#This Row],[Customers Visited]])</f>
        <v>0.11538461538461539</v>
      </c>
      <c r="AI2118" s="6">
        <f>IF(SalesData[[#This Row],[Contracts Signed]]=0,0,SalesData[[#This Row],[Profit(€)]]/SalesData[[#This Row],[Contracts Signed]])</f>
        <v>14444</v>
      </c>
      <c r="AJ2118" s="5" t="str">
        <f>TRIM(CLEAN(SalesData[[#This Row],[Retailer]]))</f>
        <v>Autohaus Berlin</v>
      </c>
    </row>
    <row r="2119" spans="1:36" ht="14.25" hidden="1" x14ac:dyDescent="0.2">
      <c r="A2119" t="s">
        <v>3138</v>
      </c>
      <c r="B2119" s="1">
        <v>46076</v>
      </c>
      <c r="C2119" t="s">
        <v>53</v>
      </c>
      <c r="D2119" t="s">
        <v>25</v>
      </c>
      <c r="E2119" t="s">
        <v>26</v>
      </c>
      <c r="F2119" t="s">
        <v>27</v>
      </c>
      <c r="G2119" t="s">
        <v>28</v>
      </c>
      <c r="H2119" t="s">
        <v>29</v>
      </c>
      <c r="I2119" t="s">
        <v>116</v>
      </c>
      <c r="J2119" t="s">
        <v>132</v>
      </c>
      <c r="K2119" t="s">
        <v>78</v>
      </c>
      <c r="L2119" t="s">
        <v>46</v>
      </c>
      <c r="M2119" t="s">
        <v>34</v>
      </c>
      <c r="N2119" t="s">
        <v>69</v>
      </c>
      <c r="O2119" t="s">
        <v>70</v>
      </c>
      <c r="P2119" t="s">
        <v>49</v>
      </c>
      <c r="Q2119" t="s">
        <v>144</v>
      </c>
      <c r="R2119">
        <v>240</v>
      </c>
      <c r="S2119">
        <v>120</v>
      </c>
      <c r="T2119">
        <v>73</v>
      </c>
      <c r="U2119">
        <v>18</v>
      </c>
      <c r="V2119" t="s">
        <v>597</v>
      </c>
      <c r="W2119">
        <v>27133</v>
      </c>
      <c r="X2119" t="s">
        <v>1424</v>
      </c>
      <c r="Y2119">
        <v>24794</v>
      </c>
      <c r="Z2119">
        <v>488394</v>
      </c>
      <c r="AA2119">
        <v>42102</v>
      </c>
      <c r="AB2119" t="str">
        <f>(VLOOKUP(SalesData[[#This Row],[Month Number]],Reference!C$5:E$16,2,FALSE))</f>
        <v>Feb</v>
      </c>
      <c r="AC2119">
        <f>MONTH(SalesData[[#This Row],[Date]])</f>
        <v>2</v>
      </c>
      <c r="AD2119">
        <f>Reference!F$4</f>
        <v>2026</v>
      </c>
      <c r="AE2119" t="str">
        <f>IF(OR(SalesData[[#This Row],[Day]]="Saturday",SalesData[[#This Row],[Day]]="Sunday"),"Weekend","Weekday")</f>
        <v>Weekday</v>
      </c>
      <c r="AF2119" s="5">
        <f>IF(SalesData[[#This Row],[Contracts Offered]]=0,0,SalesData[[#This Row],[Contracts Signed]]/SalesData[[#This Row],[Contracts Offered]])</f>
        <v>0.24657534246575341</v>
      </c>
      <c r="AG2119" s="5">
        <f>IF(SalesData[[#This Row],[Customers Visited]]=0,0,SalesData[[#This Row],[Test Drives]]/SalesData[[#This Row],[Customers Visited]])</f>
        <v>0.5</v>
      </c>
      <c r="AH2119" s="5">
        <f>IF(SalesData[[#This Row],[Customers Visited]]=0,0,SalesData[[#This Row],[Contracts Signed]]/SalesData[[#This Row],[Customers Visited]])</f>
        <v>7.4999999999999997E-2</v>
      </c>
      <c r="AI2119" s="6">
        <f>IF(SalesData[[#This Row],[Contracts Signed]]=0,0,SalesData[[#This Row],[Profit(€)]]/SalesData[[#This Row],[Contracts Signed]])</f>
        <v>2339</v>
      </c>
      <c r="AJ2119" s="5" t="str">
        <f>TRIM(CLEAN(SalesData[[#This Row],[Retailer]]))</f>
        <v>Main Auto Hub</v>
      </c>
    </row>
    <row r="2120" spans="1:36" ht="14.25" hidden="1" x14ac:dyDescent="0.2">
      <c r="A2120" t="s">
        <v>3139</v>
      </c>
      <c r="B2120" s="1">
        <v>46072</v>
      </c>
      <c r="C2120" t="s">
        <v>62</v>
      </c>
      <c r="D2120" t="s">
        <v>100</v>
      </c>
      <c r="E2120" t="s">
        <v>26</v>
      </c>
      <c r="F2120" t="s">
        <v>43</v>
      </c>
      <c r="G2120" t="s">
        <v>44</v>
      </c>
      <c r="H2120" t="s">
        <v>45</v>
      </c>
      <c r="I2120" t="s">
        <v>56</v>
      </c>
      <c r="J2120" t="s">
        <v>57</v>
      </c>
      <c r="K2120" t="s">
        <v>91</v>
      </c>
      <c r="L2120" t="s">
        <v>46</v>
      </c>
      <c r="M2120" t="s">
        <v>34</v>
      </c>
      <c r="N2120" t="s">
        <v>35</v>
      </c>
      <c r="O2120" t="s">
        <v>36</v>
      </c>
      <c r="P2120" t="s">
        <v>49</v>
      </c>
      <c r="Q2120" t="s">
        <v>172</v>
      </c>
      <c r="R2120">
        <v>192</v>
      </c>
      <c r="S2120">
        <v>122</v>
      </c>
      <c r="T2120">
        <v>92</v>
      </c>
      <c r="U2120">
        <v>23</v>
      </c>
      <c r="V2120" t="s">
        <v>1468</v>
      </c>
      <c r="W2120">
        <v>39404</v>
      </c>
      <c r="X2120" t="s">
        <v>226</v>
      </c>
      <c r="Y2120">
        <v>30058</v>
      </c>
      <c r="Z2120">
        <v>906292</v>
      </c>
      <c r="AA2120">
        <v>214958</v>
      </c>
      <c r="AB2120" t="str">
        <f>(VLOOKUP(SalesData[[#This Row],[Month Number]],Reference!C$5:E$16,2,FALSE))</f>
        <v>Feb</v>
      </c>
      <c r="AC2120">
        <f>MONTH(SalesData[[#This Row],[Date]])</f>
        <v>2</v>
      </c>
      <c r="AD2120">
        <f>Reference!F$4</f>
        <v>2026</v>
      </c>
      <c r="AE2120" t="str">
        <f>IF(OR(SalesData[[#This Row],[Day]]="Saturday",SalesData[[#This Row],[Day]]="Sunday"),"Weekend","Weekday")</f>
        <v>Weekday</v>
      </c>
      <c r="AF2120" s="5">
        <f>IF(SalesData[[#This Row],[Contracts Offered]]=0,0,SalesData[[#This Row],[Contracts Signed]]/SalesData[[#This Row],[Contracts Offered]])</f>
        <v>0.25</v>
      </c>
      <c r="AG2120" s="5">
        <f>IF(SalesData[[#This Row],[Customers Visited]]=0,0,SalesData[[#This Row],[Test Drives]]/SalesData[[#This Row],[Customers Visited]])</f>
        <v>0.63541666666666663</v>
      </c>
      <c r="AH2120" s="5">
        <f>IF(SalesData[[#This Row],[Customers Visited]]=0,0,SalesData[[#This Row],[Contracts Signed]]/SalesData[[#This Row],[Customers Visited]])</f>
        <v>0.11979166666666667</v>
      </c>
      <c r="AI2120" s="6">
        <f>IF(SalesData[[#This Row],[Contracts Signed]]=0,0,SalesData[[#This Row],[Profit(€)]]/SalesData[[#This Row],[Contracts Signed]])</f>
        <v>9346</v>
      </c>
      <c r="AJ2120" s="5" t="str">
        <f>TRIM(CLEAN(SalesData[[#This Row],[Retailer]]))</f>
        <v>Saxon Wheels</v>
      </c>
    </row>
    <row r="2121" spans="1:36" ht="14.25" hidden="1" x14ac:dyDescent="0.2">
      <c r="A2121" t="s">
        <v>3140</v>
      </c>
      <c r="B2121" s="1">
        <v>46063</v>
      </c>
      <c r="C2121" t="s">
        <v>121</v>
      </c>
      <c r="D2121" t="s">
        <v>63</v>
      </c>
      <c r="E2121" t="s">
        <v>26</v>
      </c>
      <c r="F2121" t="s">
        <v>74</v>
      </c>
      <c r="G2121" t="s">
        <v>75</v>
      </c>
      <c r="H2121" t="s">
        <v>76</v>
      </c>
      <c r="I2121" t="s">
        <v>104</v>
      </c>
      <c r="J2121" t="s">
        <v>7031</v>
      </c>
      <c r="K2121" t="s">
        <v>91</v>
      </c>
      <c r="L2121" t="s">
        <v>46</v>
      </c>
      <c r="M2121" t="s">
        <v>87</v>
      </c>
      <c r="N2121" t="s">
        <v>48</v>
      </c>
      <c r="O2121" t="s">
        <v>70</v>
      </c>
      <c r="P2121" t="s">
        <v>58</v>
      </c>
      <c r="Q2121" t="s">
        <v>169</v>
      </c>
      <c r="R2121">
        <v>278</v>
      </c>
      <c r="S2121">
        <v>135</v>
      </c>
      <c r="T2121">
        <v>84</v>
      </c>
      <c r="U2121">
        <v>24</v>
      </c>
      <c r="V2121" t="s">
        <v>716</v>
      </c>
      <c r="W2121">
        <v>33572</v>
      </c>
      <c r="X2121" t="s">
        <v>2211</v>
      </c>
      <c r="Y2121">
        <v>30545</v>
      </c>
      <c r="Z2121">
        <v>805728</v>
      </c>
      <c r="AA2121">
        <v>72648</v>
      </c>
      <c r="AB2121" t="str">
        <f>(VLOOKUP(SalesData[[#This Row],[Month Number]],Reference!C$5:E$16,2,FALSE))</f>
        <v>Feb</v>
      </c>
      <c r="AC2121">
        <f>MONTH(SalesData[[#This Row],[Date]])</f>
        <v>2</v>
      </c>
      <c r="AD2121">
        <f>Reference!F$4</f>
        <v>2026</v>
      </c>
      <c r="AE2121" t="str">
        <f>IF(OR(SalesData[[#This Row],[Day]]="Saturday",SalesData[[#This Row],[Day]]="Sunday"),"Weekend","Weekday")</f>
        <v>Weekday</v>
      </c>
      <c r="AF2121" s="5">
        <f>IF(SalesData[[#This Row],[Contracts Offered]]=0,0,SalesData[[#This Row],[Contracts Signed]]/SalesData[[#This Row],[Contracts Offered]])</f>
        <v>0.2857142857142857</v>
      </c>
      <c r="AG2121" s="5">
        <f>IF(SalesData[[#This Row],[Customers Visited]]=0,0,SalesData[[#This Row],[Test Drives]]/SalesData[[#This Row],[Customers Visited]])</f>
        <v>0.48561151079136688</v>
      </c>
      <c r="AH2121" s="5">
        <f>IF(SalesData[[#This Row],[Customers Visited]]=0,0,SalesData[[#This Row],[Contracts Signed]]/SalesData[[#This Row],[Customers Visited]])</f>
        <v>8.6330935251798566E-2</v>
      </c>
      <c r="AI2121" s="6">
        <f>IF(SalesData[[#This Row],[Contracts Signed]]=0,0,SalesData[[#This Row],[Profit(€)]]/SalesData[[#This Row],[Contracts Signed]])</f>
        <v>3027</v>
      </c>
      <c r="AJ2121" s="5" t="str">
        <f>TRIM(CLEAN(SalesData[[#This Row],[Retailer]]))</f>
        <v>Stuttgart Auto Center</v>
      </c>
    </row>
    <row r="2122" spans="1:36" ht="14.25" hidden="1" x14ac:dyDescent="0.2">
      <c r="A2122" t="s">
        <v>3141</v>
      </c>
      <c r="B2122" s="1">
        <v>46057</v>
      </c>
      <c r="C2122" t="s">
        <v>24</v>
      </c>
      <c r="D2122" t="s">
        <v>82</v>
      </c>
      <c r="E2122" t="s">
        <v>26</v>
      </c>
      <c r="F2122" t="s">
        <v>74</v>
      </c>
      <c r="G2122" t="s">
        <v>75</v>
      </c>
      <c r="H2122" t="s">
        <v>76</v>
      </c>
      <c r="I2122" t="s">
        <v>104</v>
      </c>
      <c r="J2122" t="s">
        <v>143</v>
      </c>
      <c r="K2122" t="s">
        <v>66</v>
      </c>
      <c r="L2122" t="s">
        <v>67</v>
      </c>
      <c r="M2122" t="s">
        <v>47</v>
      </c>
      <c r="N2122" t="s">
        <v>48</v>
      </c>
      <c r="O2122" t="s">
        <v>70</v>
      </c>
      <c r="P2122" t="s">
        <v>58</v>
      </c>
      <c r="Q2122" t="s">
        <v>189</v>
      </c>
      <c r="R2122">
        <v>446</v>
      </c>
      <c r="S2122">
        <v>246</v>
      </c>
      <c r="T2122">
        <v>172</v>
      </c>
      <c r="U2122">
        <v>49</v>
      </c>
      <c r="V2122" t="s">
        <v>7507</v>
      </c>
      <c r="W2122">
        <v>27948</v>
      </c>
      <c r="X2122" t="s">
        <v>7504</v>
      </c>
      <c r="Y2122">
        <v>25414</v>
      </c>
      <c r="Z2122">
        <v>1369452</v>
      </c>
      <c r="AA2122">
        <v>124166</v>
      </c>
      <c r="AB2122" t="str">
        <f>(VLOOKUP(SalesData[[#This Row],[Month Number]],Reference!C$5:E$16,2,FALSE))</f>
        <v>Feb</v>
      </c>
      <c r="AC2122">
        <f>MONTH(SalesData[[#This Row],[Date]])</f>
        <v>2</v>
      </c>
      <c r="AD2122">
        <f>Reference!F$4</f>
        <v>2026</v>
      </c>
      <c r="AE2122" t="str">
        <f>IF(OR(SalesData[[#This Row],[Day]]="Saturday",SalesData[[#This Row],[Day]]="Sunday"),"Weekend","Weekday")</f>
        <v>Weekday</v>
      </c>
      <c r="AF2122" s="5">
        <f>IF(SalesData[[#This Row],[Contracts Offered]]=0,0,SalesData[[#This Row],[Contracts Signed]]/SalesData[[#This Row],[Contracts Offered]])</f>
        <v>0.28488372093023256</v>
      </c>
      <c r="AG2122" s="5">
        <f>IF(SalesData[[#This Row],[Customers Visited]]=0,0,SalesData[[#This Row],[Test Drives]]/SalesData[[#This Row],[Customers Visited]])</f>
        <v>0.55156950672645744</v>
      </c>
      <c r="AH2122" s="5">
        <f>IF(SalesData[[#This Row],[Customers Visited]]=0,0,SalesData[[#This Row],[Contracts Signed]]/SalesData[[#This Row],[Customers Visited]])</f>
        <v>0.10986547085201794</v>
      </c>
      <c r="AI2122" s="6">
        <f>IF(SalesData[[#This Row],[Contracts Signed]]=0,0,SalesData[[#This Row],[Profit(€)]]/SalesData[[#This Row],[Contracts Signed]])</f>
        <v>2534</v>
      </c>
      <c r="AJ2122" s="5" t="str">
        <f>TRIM(CLEAN(SalesData[[#This Row],[Retailer]]))</f>
        <v>Stuttgart Auto Center</v>
      </c>
    </row>
    <row r="2123" spans="1:36" ht="14.25" hidden="1" x14ac:dyDescent="0.2">
      <c r="A2123" t="s">
        <v>3142</v>
      </c>
      <c r="B2123" s="1">
        <v>46060</v>
      </c>
      <c r="C2123" t="s">
        <v>24</v>
      </c>
      <c r="D2123" t="s">
        <v>151</v>
      </c>
      <c r="E2123" t="s">
        <v>42</v>
      </c>
      <c r="F2123" t="s">
        <v>43</v>
      </c>
      <c r="G2123" t="s">
        <v>44</v>
      </c>
      <c r="H2123" t="s">
        <v>45</v>
      </c>
      <c r="I2123" t="s">
        <v>104</v>
      </c>
      <c r="J2123" t="s">
        <v>143</v>
      </c>
      <c r="K2123" t="s">
        <v>32</v>
      </c>
      <c r="L2123" t="s">
        <v>67</v>
      </c>
      <c r="M2123" t="s">
        <v>68</v>
      </c>
      <c r="N2123" t="s">
        <v>69</v>
      </c>
      <c r="O2123" t="s">
        <v>36</v>
      </c>
      <c r="P2123" t="s">
        <v>71</v>
      </c>
      <c r="Q2123" t="s">
        <v>38</v>
      </c>
      <c r="R2123">
        <v>420</v>
      </c>
      <c r="S2123">
        <v>173</v>
      </c>
      <c r="T2123">
        <v>115</v>
      </c>
      <c r="U2123">
        <v>25</v>
      </c>
      <c r="V2123" t="s">
        <v>6839</v>
      </c>
      <c r="W2123">
        <v>33257</v>
      </c>
      <c r="X2123" t="s">
        <v>1473</v>
      </c>
      <c r="Y2123">
        <v>28821</v>
      </c>
      <c r="Z2123">
        <v>831425</v>
      </c>
      <c r="AA2123">
        <v>110900</v>
      </c>
      <c r="AB2123" t="str">
        <f>(VLOOKUP(SalesData[[#This Row],[Month Number]],Reference!C$5:E$16,2,FALSE))</f>
        <v>Feb</v>
      </c>
      <c r="AC2123">
        <f>MONTH(SalesData[[#This Row],[Date]])</f>
        <v>2</v>
      </c>
      <c r="AD2123">
        <f>Reference!F$4</f>
        <v>2026</v>
      </c>
      <c r="AE2123" t="str">
        <f>IF(OR(SalesData[[#This Row],[Day]]="Saturday",SalesData[[#This Row],[Day]]="Sunday"),"Weekend","Weekday")</f>
        <v>Weekend</v>
      </c>
      <c r="AF2123" s="5">
        <f>IF(SalesData[[#This Row],[Contracts Offered]]=0,0,SalesData[[#This Row],[Contracts Signed]]/SalesData[[#This Row],[Contracts Offered]])</f>
        <v>0.21739130434782608</v>
      </c>
      <c r="AG2123" s="5">
        <f>IF(SalesData[[#This Row],[Customers Visited]]=0,0,SalesData[[#This Row],[Test Drives]]/SalesData[[#This Row],[Customers Visited]])</f>
        <v>0.41190476190476188</v>
      </c>
      <c r="AH2123" s="5">
        <f>IF(SalesData[[#This Row],[Customers Visited]]=0,0,SalesData[[#This Row],[Contracts Signed]]/SalesData[[#This Row],[Customers Visited]])</f>
        <v>5.9523809523809521E-2</v>
      </c>
      <c r="AI2123" s="6">
        <f>IF(SalesData[[#This Row],[Contracts Signed]]=0,0,SalesData[[#This Row],[Profit(€)]]/SalesData[[#This Row],[Contracts Signed]])</f>
        <v>4436</v>
      </c>
      <c r="AJ2123" s="5" t="str">
        <f>TRIM(CLEAN(SalesData[[#This Row],[Retailer]]))</f>
        <v>Saxon Wheels</v>
      </c>
    </row>
    <row r="2124" spans="1:36" ht="14.25" hidden="1" x14ac:dyDescent="0.2">
      <c r="A2124" t="s">
        <v>3143</v>
      </c>
      <c r="B2124" s="1">
        <v>46072</v>
      </c>
      <c r="C2124" t="s">
        <v>62</v>
      </c>
      <c r="D2124" t="s">
        <v>100</v>
      </c>
      <c r="E2124" t="s">
        <v>26</v>
      </c>
      <c r="F2124" t="s">
        <v>27</v>
      </c>
      <c r="G2124" t="s">
        <v>28</v>
      </c>
      <c r="H2124" t="s">
        <v>29</v>
      </c>
      <c r="I2124" t="s">
        <v>104</v>
      </c>
      <c r="J2124" t="s">
        <v>7031</v>
      </c>
      <c r="K2124" t="s">
        <v>66</v>
      </c>
      <c r="L2124" t="s">
        <v>46</v>
      </c>
      <c r="M2124" t="s">
        <v>87</v>
      </c>
      <c r="N2124" t="s">
        <v>69</v>
      </c>
      <c r="O2124" t="s">
        <v>70</v>
      </c>
      <c r="P2124" t="s">
        <v>37</v>
      </c>
      <c r="Q2124" t="s">
        <v>129</v>
      </c>
      <c r="R2124">
        <v>298</v>
      </c>
      <c r="S2124">
        <v>134</v>
      </c>
      <c r="T2124">
        <v>94</v>
      </c>
      <c r="U2124">
        <v>15</v>
      </c>
      <c r="V2124" t="s">
        <v>748</v>
      </c>
      <c r="W2124">
        <v>33699</v>
      </c>
      <c r="X2124" t="s">
        <v>2157</v>
      </c>
      <c r="Y2124">
        <v>29326</v>
      </c>
      <c r="Z2124">
        <v>505485</v>
      </c>
      <c r="AA2124">
        <v>65595</v>
      </c>
      <c r="AB2124" t="str">
        <f>(VLOOKUP(SalesData[[#This Row],[Month Number]],Reference!C$5:E$16,2,FALSE))</f>
        <v>Feb</v>
      </c>
      <c r="AC2124">
        <f>MONTH(SalesData[[#This Row],[Date]])</f>
        <v>2</v>
      </c>
      <c r="AD2124">
        <f>Reference!F$4</f>
        <v>2026</v>
      </c>
      <c r="AE2124" t="str">
        <f>IF(OR(SalesData[[#This Row],[Day]]="Saturday",SalesData[[#This Row],[Day]]="Sunday"),"Weekend","Weekday")</f>
        <v>Weekday</v>
      </c>
      <c r="AF2124" s="5">
        <f>IF(SalesData[[#This Row],[Contracts Offered]]=0,0,SalesData[[#This Row],[Contracts Signed]]/SalesData[[#This Row],[Contracts Offered]])</f>
        <v>0.15957446808510639</v>
      </c>
      <c r="AG2124" s="5">
        <f>IF(SalesData[[#This Row],[Customers Visited]]=0,0,SalesData[[#This Row],[Test Drives]]/SalesData[[#This Row],[Customers Visited]])</f>
        <v>0.44966442953020136</v>
      </c>
      <c r="AH2124" s="5">
        <f>IF(SalesData[[#This Row],[Customers Visited]]=0,0,SalesData[[#This Row],[Contracts Signed]]/SalesData[[#This Row],[Customers Visited]])</f>
        <v>5.0335570469798654E-2</v>
      </c>
      <c r="AI2124" s="6">
        <f>IF(SalesData[[#This Row],[Contracts Signed]]=0,0,SalesData[[#This Row],[Profit(€)]]/SalesData[[#This Row],[Contracts Signed]])</f>
        <v>4373</v>
      </c>
      <c r="AJ2124" s="5" t="str">
        <f>TRIM(CLEAN(SalesData[[#This Row],[Retailer]]))</f>
        <v>Main Auto Hub</v>
      </c>
    </row>
    <row r="2125" spans="1:36" ht="14.25" hidden="1" x14ac:dyDescent="0.2">
      <c r="A2125" t="s">
        <v>3144</v>
      </c>
      <c r="B2125" s="1">
        <v>46066</v>
      </c>
      <c r="C2125" t="s">
        <v>121</v>
      </c>
      <c r="D2125" t="s">
        <v>54</v>
      </c>
      <c r="E2125" t="s">
        <v>26</v>
      </c>
      <c r="F2125" t="s">
        <v>94</v>
      </c>
      <c r="G2125" t="s">
        <v>95</v>
      </c>
      <c r="H2125" t="s">
        <v>96</v>
      </c>
      <c r="I2125" t="s">
        <v>116</v>
      </c>
      <c r="J2125" t="s">
        <v>117</v>
      </c>
      <c r="K2125" t="s">
        <v>66</v>
      </c>
      <c r="L2125" t="s">
        <v>67</v>
      </c>
      <c r="M2125" t="s">
        <v>87</v>
      </c>
      <c r="N2125" t="s">
        <v>69</v>
      </c>
      <c r="O2125" t="s">
        <v>70</v>
      </c>
      <c r="P2125" t="s">
        <v>37</v>
      </c>
      <c r="Q2125" t="s">
        <v>240</v>
      </c>
      <c r="R2125">
        <v>234</v>
      </c>
      <c r="S2125">
        <v>112</v>
      </c>
      <c r="T2125">
        <v>71</v>
      </c>
      <c r="U2125">
        <v>18</v>
      </c>
      <c r="V2125" t="s">
        <v>214</v>
      </c>
      <c r="W2125">
        <v>21373</v>
      </c>
      <c r="X2125" t="s">
        <v>2751</v>
      </c>
      <c r="Y2125">
        <v>19819</v>
      </c>
      <c r="Z2125">
        <v>384714</v>
      </c>
      <c r="AA2125">
        <v>27972</v>
      </c>
      <c r="AB2125" t="str">
        <f>(VLOOKUP(SalesData[[#This Row],[Month Number]],Reference!C$5:E$16,2,FALSE))</f>
        <v>Feb</v>
      </c>
      <c r="AC2125">
        <f>MONTH(SalesData[[#This Row],[Date]])</f>
        <v>2</v>
      </c>
      <c r="AD2125">
        <f>Reference!F$4</f>
        <v>2026</v>
      </c>
      <c r="AE2125" t="str">
        <f>IF(OR(SalesData[[#This Row],[Day]]="Saturday",SalesData[[#This Row],[Day]]="Sunday"),"Weekend","Weekday")</f>
        <v>Weekday</v>
      </c>
      <c r="AF2125" s="5">
        <f>IF(SalesData[[#This Row],[Contracts Offered]]=0,0,SalesData[[#This Row],[Contracts Signed]]/SalesData[[#This Row],[Contracts Offered]])</f>
        <v>0.25352112676056338</v>
      </c>
      <c r="AG2125" s="5">
        <f>IF(SalesData[[#This Row],[Customers Visited]]=0,0,SalesData[[#This Row],[Test Drives]]/SalesData[[#This Row],[Customers Visited]])</f>
        <v>0.47863247863247865</v>
      </c>
      <c r="AH2125" s="5">
        <f>IF(SalesData[[#This Row],[Customers Visited]]=0,0,SalesData[[#This Row],[Contracts Signed]]/SalesData[[#This Row],[Customers Visited]])</f>
        <v>7.6923076923076927E-2</v>
      </c>
      <c r="AI2125" s="6">
        <f>IF(SalesData[[#This Row],[Contracts Signed]]=0,0,SalesData[[#This Row],[Profit(€)]]/SalesData[[#This Row],[Contracts Signed]])</f>
        <v>1554</v>
      </c>
      <c r="AJ2125" s="5" t="str">
        <f>TRIM(CLEAN(SalesData[[#This Row],[Retailer]]))</f>
        <v>Bavaria Motors</v>
      </c>
    </row>
    <row r="2126" spans="1:36" ht="14.25" hidden="1" x14ac:dyDescent="0.2">
      <c r="A2126" t="s">
        <v>3145</v>
      </c>
      <c r="B2126" s="1">
        <v>46054</v>
      </c>
      <c r="C2126" t="s">
        <v>24</v>
      </c>
      <c r="D2126" t="s">
        <v>41</v>
      </c>
      <c r="E2126" t="s">
        <v>42</v>
      </c>
      <c r="F2126" t="s">
        <v>127</v>
      </c>
      <c r="G2126" t="s">
        <v>128</v>
      </c>
      <c r="H2126" t="s">
        <v>103</v>
      </c>
      <c r="I2126" t="s">
        <v>56</v>
      </c>
      <c r="J2126" t="s">
        <v>179</v>
      </c>
      <c r="K2126" t="s">
        <v>78</v>
      </c>
      <c r="L2126" t="s">
        <v>67</v>
      </c>
      <c r="M2126" t="s">
        <v>87</v>
      </c>
      <c r="N2126" t="s">
        <v>69</v>
      </c>
      <c r="O2126" t="s">
        <v>70</v>
      </c>
      <c r="P2126" t="s">
        <v>37</v>
      </c>
      <c r="Q2126" t="s">
        <v>38</v>
      </c>
      <c r="R2126">
        <v>315</v>
      </c>
      <c r="S2126">
        <v>181</v>
      </c>
      <c r="T2126">
        <v>136</v>
      </c>
      <c r="U2126">
        <v>35</v>
      </c>
      <c r="V2126" t="s">
        <v>4932</v>
      </c>
      <c r="W2126">
        <v>44034</v>
      </c>
      <c r="X2126" t="s">
        <v>3061</v>
      </c>
      <c r="Y2126">
        <v>33859</v>
      </c>
      <c r="Z2126">
        <v>1541190</v>
      </c>
      <c r="AA2126">
        <v>356125</v>
      </c>
      <c r="AB2126" t="str">
        <f>(VLOOKUP(SalesData[[#This Row],[Month Number]],Reference!C$5:E$16,2,FALSE))</f>
        <v>Feb</v>
      </c>
      <c r="AC2126">
        <f>MONTH(SalesData[[#This Row],[Date]])</f>
        <v>2</v>
      </c>
      <c r="AD2126">
        <f>Reference!F$4</f>
        <v>2026</v>
      </c>
      <c r="AE2126" t="str">
        <f>IF(OR(SalesData[[#This Row],[Day]]="Saturday",SalesData[[#This Row],[Day]]="Sunday"),"Weekend","Weekday")</f>
        <v>Weekend</v>
      </c>
      <c r="AF2126" s="5">
        <f>IF(SalesData[[#This Row],[Contracts Offered]]=0,0,SalesData[[#This Row],[Contracts Signed]]/SalesData[[#This Row],[Contracts Offered]])</f>
        <v>0.25735294117647056</v>
      </c>
      <c r="AG2126" s="5">
        <f>IF(SalesData[[#This Row],[Customers Visited]]=0,0,SalesData[[#This Row],[Test Drives]]/SalesData[[#This Row],[Customers Visited]])</f>
        <v>0.57460317460317456</v>
      </c>
      <c r="AH2126" s="5">
        <f>IF(SalesData[[#This Row],[Customers Visited]]=0,0,SalesData[[#This Row],[Contracts Signed]]/SalesData[[#This Row],[Customers Visited]])</f>
        <v>0.1111111111111111</v>
      </c>
      <c r="AI2126" s="6">
        <f>IF(SalesData[[#This Row],[Contracts Signed]]=0,0,SalesData[[#This Row],[Profit(€)]]/SalesData[[#This Row],[Contracts Signed]])</f>
        <v>10175</v>
      </c>
      <c r="AJ2126" s="5" t="str">
        <f>TRIM(CLEAN(SalesData[[#This Row],[Retailer]]))</f>
        <v>Rhein Auto Group</v>
      </c>
    </row>
    <row r="2127" spans="1:36" ht="14.25" hidden="1" x14ac:dyDescent="0.2">
      <c r="A2127" t="s">
        <v>3146</v>
      </c>
      <c r="B2127" s="1">
        <v>46071</v>
      </c>
      <c r="C2127" t="s">
        <v>62</v>
      </c>
      <c r="D2127" t="s">
        <v>82</v>
      </c>
      <c r="E2127" t="s">
        <v>26</v>
      </c>
      <c r="F2127" t="s">
        <v>114</v>
      </c>
      <c r="G2127" t="s">
        <v>115</v>
      </c>
      <c r="H2127" t="s">
        <v>115</v>
      </c>
      <c r="I2127" t="s">
        <v>116</v>
      </c>
      <c r="J2127" t="s">
        <v>7026</v>
      </c>
      <c r="K2127" t="s">
        <v>78</v>
      </c>
      <c r="L2127" t="s">
        <v>46</v>
      </c>
      <c r="M2127" t="s">
        <v>34</v>
      </c>
      <c r="N2127" t="s">
        <v>35</v>
      </c>
      <c r="O2127" t="s">
        <v>70</v>
      </c>
      <c r="P2127" t="s">
        <v>37</v>
      </c>
      <c r="Q2127" t="s">
        <v>79</v>
      </c>
      <c r="R2127">
        <v>226</v>
      </c>
      <c r="S2127">
        <v>94</v>
      </c>
      <c r="T2127">
        <v>53</v>
      </c>
      <c r="U2127">
        <v>15</v>
      </c>
      <c r="V2127" t="s">
        <v>626</v>
      </c>
      <c r="W2127">
        <v>27063</v>
      </c>
      <c r="X2127" t="s">
        <v>1381</v>
      </c>
      <c r="Y2127">
        <v>24900</v>
      </c>
      <c r="Z2127">
        <v>405945</v>
      </c>
      <c r="AA2127">
        <v>32445</v>
      </c>
      <c r="AB2127" t="str">
        <f>(VLOOKUP(SalesData[[#This Row],[Month Number]],Reference!C$5:E$16,2,FALSE))</f>
        <v>Feb</v>
      </c>
      <c r="AC2127">
        <f>MONTH(SalesData[[#This Row],[Date]])</f>
        <v>2</v>
      </c>
      <c r="AD2127">
        <f>Reference!F$4</f>
        <v>2026</v>
      </c>
      <c r="AE2127" t="str">
        <f>IF(OR(SalesData[[#This Row],[Day]]="Saturday",SalesData[[#This Row],[Day]]="Sunday"),"Weekend","Weekday")</f>
        <v>Weekday</v>
      </c>
      <c r="AF2127" s="5">
        <f>IF(SalesData[[#This Row],[Contracts Offered]]=0,0,SalesData[[#This Row],[Contracts Signed]]/SalesData[[#This Row],[Contracts Offered]])</f>
        <v>0.28301886792452829</v>
      </c>
      <c r="AG2127" s="5">
        <f>IF(SalesData[[#This Row],[Customers Visited]]=0,0,SalesData[[#This Row],[Test Drives]]/SalesData[[#This Row],[Customers Visited]])</f>
        <v>0.41592920353982299</v>
      </c>
      <c r="AH2127" s="5">
        <f>IF(SalesData[[#This Row],[Customers Visited]]=0,0,SalesData[[#This Row],[Contracts Signed]]/SalesData[[#This Row],[Customers Visited]])</f>
        <v>6.637168141592921E-2</v>
      </c>
      <c r="AI2127" s="6">
        <f>IF(SalesData[[#This Row],[Contracts Signed]]=0,0,SalesData[[#This Row],[Profit(€)]]/SalesData[[#This Row],[Contracts Signed]])</f>
        <v>2163</v>
      </c>
      <c r="AJ2127" s="5" t="str">
        <f>TRIM(CLEAN(SalesData[[#This Row],[Retailer]]))</f>
        <v>Elbe Drive</v>
      </c>
    </row>
    <row r="2128" spans="1:36" ht="14.25" hidden="1" x14ac:dyDescent="0.2">
      <c r="A2128" t="s">
        <v>3147</v>
      </c>
      <c r="B2128" s="1">
        <v>46069</v>
      </c>
      <c r="C2128" t="s">
        <v>62</v>
      </c>
      <c r="D2128" t="s">
        <v>25</v>
      </c>
      <c r="E2128" t="s">
        <v>26</v>
      </c>
      <c r="F2128" t="s">
        <v>109</v>
      </c>
      <c r="G2128" t="s">
        <v>110</v>
      </c>
      <c r="H2128" t="s">
        <v>45</v>
      </c>
      <c r="I2128" t="s">
        <v>116</v>
      </c>
      <c r="J2128" t="s">
        <v>132</v>
      </c>
      <c r="K2128" t="s">
        <v>66</v>
      </c>
      <c r="L2128" t="s">
        <v>46</v>
      </c>
      <c r="M2128" t="s">
        <v>68</v>
      </c>
      <c r="N2128" t="s">
        <v>69</v>
      </c>
      <c r="O2128" t="s">
        <v>36</v>
      </c>
      <c r="P2128" t="s">
        <v>37</v>
      </c>
      <c r="Q2128" t="s">
        <v>204</v>
      </c>
      <c r="R2128">
        <v>240</v>
      </c>
      <c r="S2128">
        <v>107</v>
      </c>
      <c r="T2128">
        <v>67</v>
      </c>
      <c r="U2128">
        <v>13</v>
      </c>
      <c r="V2128" t="s">
        <v>1000</v>
      </c>
      <c r="W2128">
        <v>23364</v>
      </c>
      <c r="X2128" t="s">
        <v>3439</v>
      </c>
      <c r="Y2128">
        <v>20903</v>
      </c>
      <c r="Z2128">
        <v>303732</v>
      </c>
      <c r="AA2128">
        <v>31993</v>
      </c>
      <c r="AB2128" t="str">
        <f>(VLOOKUP(SalesData[[#This Row],[Month Number]],Reference!C$5:E$16,2,FALSE))</f>
        <v>Feb</v>
      </c>
      <c r="AC2128">
        <f>MONTH(SalesData[[#This Row],[Date]])</f>
        <v>2</v>
      </c>
      <c r="AD2128">
        <f>Reference!F$4</f>
        <v>2026</v>
      </c>
      <c r="AE2128" t="str">
        <f>IF(OR(SalesData[[#This Row],[Day]]="Saturday",SalesData[[#This Row],[Day]]="Sunday"),"Weekend","Weekday")</f>
        <v>Weekday</v>
      </c>
      <c r="AF2128" s="5">
        <f>IF(SalesData[[#This Row],[Contracts Offered]]=0,0,SalesData[[#This Row],[Contracts Signed]]/SalesData[[#This Row],[Contracts Offered]])</f>
        <v>0.19402985074626866</v>
      </c>
      <c r="AG2128" s="5">
        <f>IF(SalesData[[#This Row],[Customers Visited]]=0,0,SalesData[[#This Row],[Test Drives]]/SalesData[[#This Row],[Customers Visited]])</f>
        <v>0.44583333333333336</v>
      </c>
      <c r="AH2128" s="5">
        <f>IF(SalesData[[#This Row],[Customers Visited]]=0,0,SalesData[[#This Row],[Contracts Signed]]/SalesData[[#This Row],[Customers Visited]])</f>
        <v>5.4166666666666669E-2</v>
      </c>
      <c r="AI2128" s="6">
        <f>IF(SalesData[[#This Row],[Contracts Signed]]=0,0,SalesData[[#This Row],[Profit(€)]]/SalesData[[#This Row],[Contracts Signed]])</f>
        <v>2461</v>
      </c>
      <c r="AJ2128" s="5" t="str">
        <f>TRIM(CLEAN(SalesData[[#This Row],[Retailer]]))</f>
        <v>Leipzig Mobility</v>
      </c>
    </row>
    <row r="2129" spans="1:36" ht="14.25" x14ac:dyDescent="0.2">
      <c r="A2129" t="s">
        <v>3148</v>
      </c>
      <c r="B2129" s="1">
        <v>46074</v>
      </c>
      <c r="C2129" t="s">
        <v>62</v>
      </c>
      <c r="D2129" t="s">
        <v>151</v>
      </c>
      <c r="E2129" t="s">
        <v>42</v>
      </c>
      <c r="F2129" t="s">
        <v>7649</v>
      </c>
      <c r="G2129" t="s">
        <v>55</v>
      </c>
      <c r="H2129" t="s">
        <v>55</v>
      </c>
      <c r="I2129" t="s">
        <v>30</v>
      </c>
      <c r="J2129" t="s">
        <v>7075</v>
      </c>
      <c r="K2129" t="s">
        <v>32</v>
      </c>
      <c r="L2129" t="s">
        <v>33</v>
      </c>
      <c r="M2129" t="s">
        <v>87</v>
      </c>
      <c r="N2129" t="s">
        <v>69</v>
      </c>
      <c r="O2129" t="s">
        <v>36</v>
      </c>
      <c r="P2129" t="s">
        <v>49</v>
      </c>
      <c r="Q2129" t="s">
        <v>106</v>
      </c>
      <c r="R2129">
        <v>201</v>
      </c>
      <c r="S2129">
        <v>115</v>
      </c>
      <c r="T2129">
        <v>81</v>
      </c>
      <c r="U2129">
        <v>32</v>
      </c>
      <c r="V2129" t="s">
        <v>6761</v>
      </c>
      <c r="W2129">
        <v>67264</v>
      </c>
      <c r="X2129" t="s">
        <v>7227</v>
      </c>
      <c r="Y2129">
        <v>51250</v>
      </c>
      <c r="Z2129">
        <v>2152448</v>
      </c>
      <c r="AA2129">
        <v>512448</v>
      </c>
      <c r="AB2129" t="str">
        <f>(VLOOKUP(SalesData[[#This Row],[Month Number]],Reference!C$5:E$16,2,FALSE))</f>
        <v>Feb</v>
      </c>
      <c r="AC2129">
        <f>MONTH(SalesData[[#This Row],[Date]])</f>
        <v>2</v>
      </c>
      <c r="AD2129">
        <f>Reference!F$4</f>
        <v>2026</v>
      </c>
      <c r="AE2129" t="str">
        <f>IF(OR(SalesData[[#This Row],[Day]]="Saturday",SalesData[[#This Row],[Day]]="Sunday"),"Weekend","Weekday")</f>
        <v>Weekend</v>
      </c>
      <c r="AF2129" s="5">
        <f>IF(SalesData[[#This Row],[Contracts Offered]]=0,0,SalesData[[#This Row],[Contracts Signed]]/SalesData[[#This Row],[Contracts Offered]])</f>
        <v>0.39506172839506171</v>
      </c>
      <c r="AG2129" s="5">
        <f>IF(SalesData[[#This Row],[Customers Visited]]=0,0,SalesData[[#This Row],[Test Drives]]/SalesData[[#This Row],[Customers Visited]])</f>
        <v>0.57213930348258701</v>
      </c>
      <c r="AH2129" s="5">
        <f>IF(SalesData[[#This Row],[Customers Visited]]=0,0,SalesData[[#This Row],[Contracts Signed]]/SalesData[[#This Row],[Customers Visited]])</f>
        <v>0.15920398009950248</v>
      </c>
      <c r="AI2129" s="6">
        <f>IF(SalesData[[#This Row],[Contracts Signed]]=0,0,SalesData[[#This Row],[Profit(€)]]/SalesData[[#This Row],[Contracts Signed]])</f>
        <v>16014</v>
      </c>
      <c r="AJ2129" s="5" t="str">
        <f>TRIM(CLEAN(SalesData[[#This Row],[Retailer]]))</f>
        <v>Autohaus Berlin</v>
      </c>
    </row>
    <row r="2130" spans="1:36" ht="14.25" hidden="1" x14ac:dyDescent="0.2">
      <c r="A2130" t="s">
        <v>3149</v>
      </c>
      <c r="B2130" s="1">
        <v>46069</v>
      </c>
      <c r="C2130" t="s">
        <v>62</v>
      </c>
      <c r="D2130" t="s">
        <v>25</v>
      </c>
      <c r="E2130" t="s">
        <v>26</v>
      </c>
      <c r="F2130" t="s">
        <v>43</v>
      </c>
      <c r="G2130" t="s">
        <v>44</v>
      </c>
      <c r="H2130" t="s">
        <v>45</v>
      </c>
      <c r="I2130" t="s">
        <v>56</v>
      </c>
      <c r="J2130" t="s">
        <v>97</v>
      </c>
      <c r="K2130" t="s">
        <v>32</v>
      </c>
      <c r="L2130" t="s">
        <v>33</v>
      </c>
      <c r="M2130" t="s">
        <v>34</v>
      </c>
      <c r="N2130" t="s">
        <v>69</v>
      </c>
      <c r="O2130" t="s">
        <v>70</v>
      </c>
      <c r="P2130" t="s">
        <v>58</v>
      </c>
      <c r="Q2130" t="s">
        <v>106</v>
      </c>
      <c r="R2130">
        <v>251</v>
      </c>
      <c r="S2130">
        <v>145</v>
      </c>
      <c r="T2130">
        <v>93</v>
      </c>
      <c r="U2130">
        <v>37</v>
      </c>
      <c r="V2130" t="s">
        <v>6524</v>
      </c>
      <c r="W2130">
        <v>46791</v>
      </c>
      <c r="X2130" t="s">
        <v>3065</v>
      </c>
      <c r="Y2130">
        <v>36349</v>
      </c>
      <c r="Z2130">
        <v>1731267</v>
      </c>
      <c r="AA2130">
        <v>386354</v>
      </c>
      <c r="AB2130" t="str">
        <f>(VLOOKUP(SalesData[[#This Row],[Month Number]],Reference!C$5:E$16,2,FALSE))</f>
        <v>Feb</v>
      </c>
      <c r="AC2130">
        <f>MONTH(SalesData[[#This Row],[Date]])</f>
        <v>2</v>
      </c>
      <c r="AD2130">
        <f>Reference!F$4</f>
        <v>2026</v>
      </c>
      <c r="AE2130" t="str">
        <f>IF(OR(SalesData[[#This Row],[Day]]="Saturday",SalesData[[#This Row],[Day]]="Sunday"),"Weekend","Weekday")</f>
        <v>Weekday</v>
      </c>
      <c r="AF2130" s="5">
        <f>IF(SalesData[[#This Row],[Contracts Offered]]=0,0,SalesData[[#This Row],[Contracts Signed]]/SalesData[[#This Row],[Contracts Offered]])</f>
        <v>0.39784946236559138</v>
      </c>
      <c r="AG2130" s="5">
        <f>IF(SalesData[[#This Row],[Customers Visited]]=0,0,SalesData[[#This Row],[Test Drives]]/SalesData[[#This Row],[Customers Visited]])</f>
        <v>0.57768924302788849</v>
      </c>
      <c r="AH2130" s="5">
        <f>IF(SalesData[[#This Row],[Customers Visited]]=0,0,SalesData[[#This Row],[Contracts Signed]]/SalesData[[#This Row],[Customers Visited]])</f>
        <v>0.14741035856573706</v>
      </c>
      <c r="AI2130" s="6">
        <f>IF(SalesData[[#This Row],[Contracts Signed]]=0,0,SalesData[[#This Row],[Profit(€)]]/SalesData[[#This Row],[Contracts Signed]])</f>
        <v>10442</v>
      </c>
      <c r="AJ2130" s="5" t="str">
        <f>TRIM(CLEAN(SalesData[[#This Row],[Retailer]]))</f>
        <v>Saxon Wheels</v>
      </c>
    </row>
    <row r="2131" spans="1:36" ht="14.25" hidden="1" x14ac:dyDescent="0.2">
      <c r="A2131" t="s">
        <v>3150</v>
      </c>
      <c r="B2131" s="1">
        <v>46062</v>
      </c>
      <c r="C2131" t="s">
        <v>121</v>
      </c>
      <c r="D2131" t="s">
        <v>25</v>
      </c>
      <c r="E2131" t="s">
        <v>26</v>
      </c>
      <c r="F2131" t="s">
        <v>94</v>
      </c>
      <c r="G2131" t="s">
        <v>95</v>
      </c>
      <c r="H2131" t="s">
        <v>96</v>
      </c>
      <c r="I2131" t="s">
        <v>64</v>
      </c>
      <c r="J2131" t="s">
        <v>7029</v>
      </c>
      <c r="K2131" t="s">
        <v>78</v>
      </c>
      <c r="L2131" t="s">
        <v>33</v>
      </c>
      <c r="M2131" t="s">
        <v>68</v>
      </c>
      <c r="N2131" t="s">
        <v>48</v>
      </c>
      <c r="O2131" t="s">
        <v>70</v>
      </c>
      <c r="P2131" t="s">
        <v>49</v>
      </c>
      <c r="Q2131" t="s">
        <v>152</v>
      </c>
      <c r="R2131">
        <v>200</v>
      </c>
      <c r="S2131">
        <v>90</v>
      </c>
      <c r="T2131">
        <v>64</v>
      </c>
      <c r="U2131">
        <v>21</v>
      </c>
      <c r="V2131" t="s">
        <v>6365</v>
      </c>
      <c r="W2131">
        <v>67982</v>
      </c>
      <c r="X2131" t="s">
        <v>7508</v>
      </c>
      <c r="Y2131">
        <v>52911</v>
      </c>
      <c r="Z2131">
        <v>1427622</v>
      </c>
      <c r="AA2131">
        <v>316491</v>
      </c>
      <c r="AB2131" t="str">
        <f>(VLOOKUP(SalesData[[#This Row],[Month Number]],Reference!C$5:E$16,2,FALSE))</f>
        <v>Feb</v>
      </c>
      <c r="AC2131">
        <f>MONTH(SalesData[[#This Row],[Date]])</f>
        <v>2</v>
      </c>
      <c r="AD2131">
        <f>Reference!F$4</f>
        <v>2026</v>
      </c>
      <c r="AE2131" t="str">
        <f>IF(OR(SalesData[[#This Row],[Day]]="Saturday",SalesData[[#This Row],[Day]]="Sunday"),"Weekend","Weekday")</f>
        <v>Weekday</v>
      </c>
      <c r="AF2131" s="5">
        <f>IF(SalesData[[#This Row],[Contracts Offered]]=0,0,SalesData[[#This Row],[Contracts Signed]]/SalesData[[#This Row],[Contracts Offered]])</f>
        <v>0.328125</v>
      </c>
      <c r="AG2131" s="5">
        <f>IF(SalesData[[#This Row],[Customers Visited]]=0,0,SalesData[[#This Row],[Test Drives]]/SalesData[[#This Row],[Customers Visited]])</f>
        <v>0.45</v>
      </c>
      <c r="AH2131" s="5">
        <f>IF(SalesData[[#This Row],[Customers Visited]]=0,0,SalesData[[#This Row],[Contracts Signed]]/SalesData[[#This Row],[Customers Visited]])</f>
        <v>0.105</v>
      </c>
      <c r="AI2131" s="6">
        <f>IF(SalesData[[#This Row],[Contracts Signed]]=0,0,SalesData[[#This Row],[Profit(€)]]/SalesData[[#This Row],[Contracts Signed]])</f>
        <v>15071</v>
      </c>
      <c r="AJ2131" s="5" t="str">
        <f>TRIM(CLEAN(SalesData[[#This Row],[Retailer]]))</f>
        <v>Bavaria Motors</v>
      </c>
    </row>
    <row r="2132" spans="1:36" ht="14.25" hidden="1" x14ac:dyDescent="0.2">
      <c r="A2132" t="s">
        <v>3151</v>
      </c>
      <c r="B2132" s="1">
        <v>46075</v>
      </c>
      <c r="C2132" t="s">
        <v>53</v>
      </c>
      <c r="D2132" t="s">
        <v>41</v>
      </c>
      <c r="E2132" t="s">
        <v>42</v>
      </c>
      <c r="F2132" t="s">
        <v>7649</v>
      </c>
      <c r="G2132" t="s">
        <v>55</v>
      </c>
      <c r="H2132" t="s">
        <v>55</v>
      </c>
      <c r="I2132" t="s">
        <v>104</v>
      </c>
      <c r="J2132" t="s">
        <v>7031</v>
      </c>
      <c r="K2132" t="s">
        <v>32</v>
      </c>
      <c r="L2132" t="s">
        <v>46</v>
      </c>
      <c r="M2132" t="s">
        <v>34</v>
      </c>
      <c r="N2132" t="s">
        <v>69</v>
      </c>
      <c r="O2132" t="s">
        <v>70</v>
      </c>
      <c r="P2132" t="s">
        <v>71</v>
      </c>
      <c r="Q2132" t="s">
        <v>240</v>
      </c>
      <c r="R2132">
        <v>301</v>
      </c>
      <c r="S2132">
        <v>151</v>
      </c>
      <c r="T2132">
        <v>101</v>
      </c>
      <c r="U2132">
        <v>29</v>
      </c>
      <c r="V2132" t="s">
        <v>1685</v>
      </c>
      <c r="W2132">
        <v>32909</v>
      </c>
      <c r="X2132" t="s">
        <v>2427</v>
      </c>
      <c r="Y2132">
        <v>29083</v>
      </c>
      <c r="Z2132">
        <v>954361</v>
      </c>
      <c r="AA2132">
        <v>110954</v>
      </c>
      <c r="AB2132" t="str">
        <f>(VLOOKUP(SalesData[[#This Row],[Month Number]],Reference!C$5:E$16,2,FALSE))</f>
        <v>Feb</v>
      </c>
      <c r="AC2132">
        <f>MONTH(SalesData[[#This Row],[Date]])</f>
        <v>2</v>
      </c>
      <c r="AD2132">
        <f>Reference!F$4</f>
        <v>2026</v>
      </c>
      <c r="AE2132" t="str">
        <f>IF(OR(SalesData[[#This Row],[Day]]="Saturday",SalesData[[#This Row],[Day]]="Sunday"),"Weekend","Weekday")</f>
        <v>Weekend</v>
      </c>
      <c r="AF2132" s="5">
        <f>IF(SalesData[[#This Row],[Contracts Offered]]=0,0,SalesData[[#This Row],[Contracts Signed]]/SalesData[[#This Row],[Contracts Offered]])</f>
        <v>0.28712871287128711</v>
      </c>
      <c r="AG2132" s="5">
        <f>IF(SalesData[[#This Row],[Customers Visited]]=0,0,SalesData[[#This Row],[Test Drives]]/SalesData[[#This Row],[Customers Visited]])</f>
        <v>0.50166112956810627</v>
      </c>
      <c r="AH2132" s="5">
        <f>IF(SalesData[[#This Row],[Customers Visited]]=0,0,SalesData[[#This Row],[Contracts Signed]]/SalesData[[#This Row],[Customers Visited]])</f>
        <v>9.634551495016612E-2</v>
      </c>
      <c r="AI2132" s="6">
        <f>IF(SalesData[[#This Row],[Contracts Signed]]=0,0,SalesData[[#This Row],[Profit(€)]]/SalesData[[#This Row],[Contracts Signed]])</f>
        <v>3826</v>
      </c>
      <c r="AJ2132" s="5" t="str">
        <f>TRIM(CLEAN(SalesData[[#This Row],[Retailer]]))</f>
        <v>Autohaus Berlin</v>
      </c>
    </row>
    <row r="2133" spans="1:36" ht="14.25" hidden="1" x14ac:dyDescent="0.2">
      <c r="A2133" t="s">
        <v>3152</v>
      </c>
      <c r="B2133" s="1">
        <v>46064</v>
      </c>
      <c r="C2133" t="s">
        <v>121</v>
      </c>
      <c r="D2133" t="s">
        <v>82</v>
      </c>
      <c r="E2133" t="s">
        <v>26</v>
      </c>
      <c r="F2133" t="s">
        <v>27</v>
      </c>
      <c r="G2133" t="s">
        <v>28</v>
      </c>
      <c r="H2133" t="s">
        <v>29</v>
      </c>
      <c r="I2133" t="s">
        <v>116</v>
      </c>
      <c r="J2133" t="s">
        <v>117</v>
      </c>
      <c r="K2133" t="s">
        <v>66</v>
      </c>
      <c r="L2133" t="s">
        <v>67</v>
      </c>
      <c r="M2133" t="s">
        <v>87</v>
      </c>
      <c r="N2133" t="s">
        <v>35</v>
      </c>
      <c r="O2133" t="s">
        <v>36</v>
      </c>
      <c r="P2133" t="s">
        <v>58</v>
      </c>
      <c r="Q2133" t="s">
        <v>144</v>
      </c>
      <c r="R2133">
        <v>226</v>
      </c>
      <c r="S2133">
        <v>105</v>
      </c>
      <c r="T2133">
        <v>68</v>
      </c>
      <c r="U2133">
        <v>19</v>
      </c>
      <c r="V2133" t="s">
        <v>743</v>
      </c>
      <c r="W2133">
        <v>22544</v>
      </c>
      <c r="X2133" t="s">
        <v>981</v>
      </c>
      <c r="Y2133">
        <v>20651</v>
      </c>
      <c r="Z2133">
        <v>428336</v>
      </c>
      <c r="AA2133">
        <v>35967</v>
      </c>
      <c r="AB2133" t="str">
        <f>(VLOOKUP(SalesData[[#This Row],[Month Number]],Reference!C$5:E$16,2,FALSE))</f>
        <v>Feb</v>
      </c>
      <c r="AC2133">
        <f>MONTH(SalesData[[#This Row],[Date]])</f>
        <v>2</v>
      </c>
      <c r="AD2133">
        <f>Reference!F$4</f>
        <v>2026</v>
      </c>
      <c r="AE2133" t="str">
        <f>IF(OR(SalesData[[#This Row],[Day]]="Saturday",SalesData[[#This Row],[Day]]="Sunday"),"Weekend","Weekday")</f>
        <v>Weekday</v>
      </c>
      <c r="AF2133" s="5">
        <f>IF(SalesData[[#This Row],[Contracts Offered]]=0,0,SalesData[[#This Row],[Contracts Signed]]/SalesData[[#This Row],[Contracts Offered]])</f>
        <v>0.27941176470588236</v>
      </c>
      <c r="AG2133" s="5">
        <f>IF(SalesData[[#This Row],[Customers Visited]]=0,0,SalesData[[#This Row],[Test Drives]]/SalesData[[#This Row],[Customers Visited]])</f>
        <v>0.46460176991150443</v>
      </c>
      <c r="AH2133" s="5">
        <f>IF(SalesData[[#This Row],[Customers Visited]]=0,0,SalesData[[#This Row],[Contracts Signed]]/SalesData[[#This Row],[Customers Visited]])</f>
        <v>8.4070796460176997E-2</v>
      </c>
      <c r="AI2133" s="6">
        <f>IF(SalesData[[#This Row],[Contracts Signed]]=0,0,SalesData[[#This Row],[Profit(€)]]/SalesData[[#This Row],[Contracts Signed]])</f>
        <v>1893</v>
      </c>
      <c r="AJ2133" s="5" t="str">
        <f>TRIM(CLEAN(SalesData[[#This Row],[Retailer]]))</f>
        <v>Main Auto Hub</v>
      </c>
    </row>
    <row r="2134" spans="1:36" ht="14.25" hidden="1" x14ac:dyDescent="0.2">
      <c r="A2134" t="s">
        <v>3154</v>
      </c>
      <c r="B2134" s="1">
        <v>46066</v>
      </c>
      <c r="C2134" t="s">
        <v>121</v>
      </c>
      <c r="D2134" t="s">
        <v>54</v>
      </c>
      <c r="E2134" t="s">
        <v>26</v>
      </c>
      <c r="F2134" t="s">
        <v>27</v>
      </c>
      <c r="G2134" t="s">
        <v>28</v>
      </c>
      <c r="H2134" t="s">
        <v>29</v>
      </c>
      <c r="I2134" t="s">
        <v>116</v>
      </c>
      <c r="J2134" t="s">
        <v>7026</v>
      </c>
      <c r="K2134" t="s">
        <v>32</v>
      </c>
      <c r="L2134" t="s">
        <v>46</v>
      </c>
      <c r="M2134" t="s">
        <v>34</v>
      </c>
      <c r="N2134" t="s">
        <v>69</v>
      </c>
      <c r="O2134" t="s">
        <v>36</v>
      </c>
      <c r="P2134" t="s">
        <v>71</v>
      </c>
      <c r="Q2134" t="s">
        <v>167</v>
      </c>
      <c r="R2134">
        <v>408</v>
      </c>
      <c r="S2134">
        <v>164</v>
      </c>
      <c r="T2134">
        <v>96</v>
      </c>
      <c r="U2134">
        <v>28</v>
      </c>
      <c r="V2134" t="s">
        <v>962</v>
      </c>
      <c r="W2134">
        <v>25075</v>
      </c>
      <c r="X2134" t="s">
        <v>305</v>
      </c>
      <c r="Y2134">
        <v>22473</v>
      </c>
      <c r="Z2134">
        <v>702100</v>
      </c>
      <c r="AA2134">
        <v>72856</v>
      </c>
      <c r="AB2134" t="str">
        <f>(VLOOKUP(SalesData[[#This Row],[Month Number]],Reference!C$5:E$16,2,FALSE))</f>
        <v>Feb</v>
      </c>
      <c r="AC2134">
        <f>MONTH(SalesData[[#This Row],[Date]])</f>
        <v>2</v>
      </c>
      <c r="AD2134">
        <f>Reference!F$4</f>
        <v>2026</v>
      </c>
      <c r="AE2134" t="str">
        <f>IF(OR(SalesData[[#This Row],[Day]]="Saturday",SalesData[[#This Row],[Day]]="Sunday"),"Weekend","Weekday")</f>
        <v>Weekday</v>
      </c>
      <c r="AF2134" s="5">
        <f>IF(SalesData[[#This Row],[Contracts Offered]]=0,0,SalesData[[#This Row],[Contracts Signed]]/SalesData[[#This Row],[Contracts Offered]])</f>
        <v>0.29166666666666669</v>
      </c>
      <c r="AG2134" s="5">
        <f>IF(SalesData[[#This Row],[Customers Visited]]=0,0,SalesData[[#This Row],[Test Drives]]/SalesData[[#This Row],[Customers Visited]])</f>
        <v>0.40196078431372551</v>
      </c>
      <c r="AH2134" s="5">
        <f>IF(SalesData[[#This Row],[Customers Visited]]=0,0,SalesData[[#This Row],[Contracts Signed]]/SalesData[[#This Row],[Customers Visited]])</f>
        <v>6.8627450980392163E-2</v>
      </c>
      <c r="AI2134" s="6">
        <f>IF(SalesData[[#This Row],[Contracts Signed]]=0,0,SalesData[[#This Row],[Profit(€)]]/SalesData[[#This Row],[Contracts Signed]])</f>
        <v>2602</v>
      </c>
      <c r="AJ2134" s="5" t="str">
        <f>TRIM(CLEAN(SalesData[[#This Row],[Retailer]]))</f>
        <v>Main Auto Hub</v>
      </c>
    </row>
    <row r="2135" spans="1:36" ht="14.25" hidden="1" x14ac:dyDescent="0.2">
      <c r="A2135" t="s">
        <v>3155</v>
      </c>
      <c r="B2135" s="1">
        <v>46078</v>
      </c>
      <c r="C2135" t="s">
        <v>53</v>
      </c>
      <c r="D2135" t="s">
        <v>82</v>
      </c>
      <c r="E2135" t="s">
        <v>26</v>
      </c>
      <c r="F2135" t="s">
        <v>7649</v>
      </c>
      <c r="G2135" t="s">
        <v>55</v>
      </c>
      <c r="H2135" t="s">
        <v>55</v>
      </c>
      <c r="I2135" t="s">
        <v>64</v>
      </c>
      <c r="J2135" t="s">
        <v>7029</v>
      </c>
      <c r="K2135" t="s">
        <v>91</v>
      </c>
      <c r="L2135" t="s">
        <v>33</v>
      </c>
      <c r="M2135" t="s">
        <v>68</v>
      </c>
      <c r="N2135" t="s">
        <v>35</v>
      </c>
      <c r="O2135" t="s">
        <v>36</v>
      </c>
      <c r="P2135" t="s">
        <v>58</v>
      </c>
      <c r="Q2135" t="s">
        <v>59</v>
      </c>
      <c r="R2135">
        <v>212</v>
      </c>
      <c r="S2135">
        <v>111</v>
      </c>
      <c r="T2135">
        <v>73</v>
      </c>
      <c r="U2135">
        <v>31</v>
      </c>
      <c r="V2135" t="s">
        <v>6653</v>
      </c>
      <c r="W2135">
        <v>66896</v>
      </c>
      <c r="X2135" t="s">
        <v>2061</v>
      </c>
      <c r="Y2135">
        <v>47635</v>
      </c>
      <c r="Z2135">
        <v>2073776</v>
      </c>
      <c r="AA2135">
        <v>597091</v>
      </c>
      <c r="AB2135" t="str">
        <f>(VLOOKUP(SalesData[[#This Row],[Month Number]],Reference!C$5:E$16,2,FALSE))</f>
        <v>Feb</v>
      </c>
      <c r="AC2135">
        <f>MONTH(SalesData[[#This Row],[Date]])</f>
        <v>2</v>
      </c>
      <c r="AD2135">
        <f>Reference!F$4</f>
        <v>2026</v>
      </c>
      <c r="AE2135" t="str">
        <f>IF(OR(SalesData[[#This Row],[Day]]="Saturday",SalesData[[#This Row],[Day]]="Sunday"),"Weekend","Weekday")</f>
        <v>Weekday</v>
      </c>
      <c r="AF2135" s="5">
        <f>IF(SalesData[[#This Row],[Contracts Offered]]=0,0,SalesData[[#This Row],[Contracts Signed]]/SalesData[[#This Row],[Contracts Offered]])</f>
        <v>0.42465753424657532</v>
      </c>
      <c r="AG2135" s="5">
        <f>IF(SalesData[[#This Row],[Customers Visited]]=0,0,SalesData[[#This Row],[Test Drives]]/SalesData[[#This Row],[Customers Visited]])</f>
        <v>0.52358490566037741</v>
      </c>
      <c r="AH2135" s="5">
        <f>IF(SalesData[[#This Row],[Customers Visited]]=0,0,SalesData[[#This Row],[Contracts Signed]]/SalesData[[#This Row],[Customers Visited]])</f>
        <v>0.14622641509433962</v>
      </c>
      <c r="AI2135" s="6">
        <f>IF(SalesData[[#This Row],[Contracts Signed]]=0,0,SalesData[[#This Row],[Profit(€)]]/SalesData[[#This Row],[Contracts Signed]])</f>
        <v>19261</v>
      </c>
      <c r="AJ2135" s="5" t="str">
        <f>TRIM(CLEAN(SalesData[[#This Row],[Retailer]]))</f>
        <v>Autohaus Berlin</v>
      </c>
    </row>
    <row r="2136" spans="1:36" ht="14.25" x14ac:dyDescent="0.2">
      <c r="A2136" t="s">
        <v>3156</v>
      </c>
      <c r="B2136" s="1">
        <v>46076</v>
      </c>
      <c r="C2136" t="s">
        <v>53</v>
      </c>
      <c r="D2136" t="s">
        <v>25</v>
      </c>
      <c r="E2136" t="s">
        <v>26</v>
      </c>
      <c r="F2136" t="s">
        <v>43</v>
      </c>
      <c r="G2136" t="s">
        <v>44</v>
      </c>
      <c r="H2136" t="s">
        <v>45</v>
      </c>
      <c r="I2136" t="s">
        <v>30</v>
      </c>
      <c r="J2136" t="s">
        <v>188</v>
      </c>
      <c r="K2136" t="s">
        <v>32</v>
      </c>
      <c r="L2136" t="s">
        <v>33</v>
      </c>
      <c r="M2136" t="s">
        <v>34</v>
      </c>
      <c r="N2136" t="s">
        <v>69</v>
      </c>
      <c r="O2136" t="s">
        <v>36</v>
      </c>
      <c r="P2136" t="s">
        <v>58</v>
      </c>
      <c r="Q2136" t="s">
        <v>347</v>
      </c>
      <c r="R2136">
        <v>236</v>
      </c>
      <c r="S2136">
        <v>117</v>
      </c>
      <c r="T2136">
        <v>89</v>
      </c>
      <c r="U2136">
        <v>33</v>
      </c>
      <c r="V2136" t="s">
        <v>6501</v>
      </c>
      <c r="W2136">
        <v>54793</v>
      </c>
      <c r="X2136" t="s">
        <v>7219</v>
      </c>
      <c r="Y2136">
        <v>41744</v>
      </c>
      <c r="Z2136">
        <v>1808169</v>
      </c>
      <c r="AA2136">
        <v>430617</v>
      </c>
      <c r="AB2136" t="str">
        <f>(VLOOKUP(SalesData[[#This Row],[Month Number]],Reference!C$5:E$16,2,FALSE))</f>
        <v>Feb</v>
      </c>
      <c r="AC2136">
        <f>MONTH(SalesData[[#This Row],[Date]])</f>
        <v>2</v>
      </c>
      <c r="AD2136">
        <f>Reference!F$4</f>
        <v>2026</v>
      </c>
      <c r="AE2136" t="str">
        <f>IF(OR(SalesData[[#This Row],[Day]]="Saturday",SalesData[[#This Row],[Day]]="Sunday"),"Weekend","Weekday")</f>
        <v>Weekday</v>
      </c>
      <c r="AF2136" s="5">
        <f>IF(SalesData[[#This Row],[Contracts Offered]]=0,0,SalesData[[#This Row],[Contracts Signed]]/SalesData[[#This Row],[Contracts Offered]])</f>
        <v>0.3707865168539326</v>
      </c>
      <c r="AG2136" s="5">
        <f>IF(SalesData[[#This Row],[Customers Visited]]=0,0,SalesData[[#This Row],[Test Drives]]/SalesData[[#This Row],[Customers Visited]])</f>
        <v>0.49576271186440679</v>
      </c>
      <c r="AH2136" s="5">
        <f>IF(SalesData[[#This Row],[Customers Visited]]=0,0,SalesData[[#This Row],[Contracts Signed]]/SalesData[[#This Row],[Customers Visited]])</f>
        <v>0.13983050847457626</v>
      </c>
      <c r="AI2136" s="6">
        <f>IF(SalesData[[#This Row],[Contracts Signed]]=0,0,SalesData[[#This Row],[Profit(€)]]/SalesData[[#This Row],[Contracts Signed]])</f>
        <v>13049</v>
      </c>
      <c r="AJ2136" s="5" t="str">
        <f>TRIM(CLEAN(SalesData[[#This Row],[Retailer]]))</f>
        <v>Saxon Wheels</v>
      </c>
    </row>
    <row r="2137" spans="1:36" ht="14.25" hidden="1" x14ac:dyDescent="0.2">
      <c r="A2137" t="s">
        <v>3157</v>
      </c>
      <c r="B2137" s="1">
        <v>46079</v>
      </c>
      <c r="C2137" t="s">
        <v>53</v>
      </c>
      <c r="D2137" t="s">
        <v>100</v>
      </c>
      <c r="E2137" t="s">
        <v>26</v>
      </c>
      <c r="F2137" t="s">
        <v>7649</v>
      </c>
      <c r="G2137" t="s">
        <v>55</v>
      </c>
      <c r="H2137" t="s">
        <v>55</v>
      </c>
      <c r="I2137" t="s">
        <v>64</v>
      </c>
      <c r="J2137" t="s">
        <v>157</v>
      </c>
      <c r="K2137" t="s">
        <v>78</v>
      </c>
      <c r="L2137" t="s">
        <v>33</v>
      </c>
      <c r="M2137" t="s">
        <v>87</v>
      </c>
      <c r="N2137" t="s">
        <v>69</v>
      </c>
      <c r="O2137" t="s">
        <v>70</v>
      </c>
      <c r="P2137" t="s">
        <v>37</v>
      </c>
      <c r="Q2137" t="s">
        <v>152</v>
      </c>
      <c r="R2137">
        <v>223</v>
      </c>
      <c r="S2137">
        <v>115</v>
      </c>
      <c r="T2137">
        <v>87</v>
      </c>
      <c r="U2137">
        <v>27</v>
      </c>
      <c r="V2137" t="s">
        <v>6683</v>
      </c>
      <c r="W2137">
        <v>69128</v>
      </c>
      <c r="X2137" t="s">
        <v>7326</v>
      </c>
      <c r="Y2137">
        <v>51365</v>
      </c>
      <c r="Z2137">
        <v>1866456</v>
      </c>
      <c r="AA2137">
        <v>479601</v>
      </c>
      <c r="AB2137" t="str">
        <f>(VLOOKUP(SalesData[[#This Row],[Month Number]],Reference!C$5:E$16,2,FALSE))</f>
        <v>Feb</v>
      </c>
      <c r="AC2137">
        <f>MONTH(SalesData[[#This Row],[Date]])</f>
        <v>2</v>
      </c>
      <c r="AD2137">
        <f>Reference!F$4</f>
        <v>2026</v>
      </c>
      <c r="AE2137" t="str">
        <f>IF(OR(SalesData[[#This Row],[Day]]="Saturday",SalesData[[#This Row],[Day]]="Sunday"),"Weekend","Weekday")</f>
        <v>Weekday</v>
      </c>
      <c r="AF2137" s="5">
        <f>IF(SalesData[[#This Row],[Contracts Offered]]=0,0,SalesData[[#This Row],[Contracts Signed]]/SalesData[[#This Row],[Contracts Offered]])</f>
        <v>0.31034482758620691</v>
      </c>
      <c r="AG2137" s="5">
        <f>IF(SalesData[[#This Row],[Customers Visited]]=0,0,SalesData[[#This Row],[Test Drives]]/SalesData[[#This Row],[Customers Visited]])</f>
        <v>0.51569506726457404</v>
      </c>
      <c r="AH2137" s="5">
        <f>IF(SalesData[[#This Row],[Customers Visited]]=0,0,SalesData[[#This Row],[Contracts Signed]]/SalesData[[#This Row],[Customers Visited]])</f>
        <v>0.1210762331838565</v>
      </c>
      <c r="AI2137" s="6">
        <f>IF(SalesData[[#This Row],[Contracts Signed]]=0,0,SalesData[[#This Row],[Profit(€)]]/SalesData[[#This Row],[Contracts Signed]])</f>
        <v>17763</v>
      </c>
      <c r="AJ2137" s="5" t="str">
        <f>TRIM(CLEAN(SalesData[[#This Row],[Retailer]]))</f>
        <v>Autohaus Berlin</v>
      </c>
    </row>
    <row r="2138" spans="1:36" ht="14.25" hidden="1" x14ac:dyDescent="0.2">
      <c r="A2138" t="s">
        <v>3158</v>
      </c>
      <c r="B2138" s="1">
        <v>46061</v>
      </c>
      <c r="C2138" t="s">
        <v>121</v>
      </c>
      <c r="D2138" t="s">
        <v>41</v>
      </c>
      <c r="E2138" t="s">
        <v>42</v>
      </c>
      <c r="F2138" t="s">
        <v>27</v>
      </c>
      <c r="G2138" t="s">
        <v>28</v>
      </c>
      <c r="H2138" t="s">
        <v>29</v>
      </c>
      <c r="I2138" t="s">
        <v>104</v>
      </c>
      <c r="J2138" t="s">
        <v>140</v>
      </c>
      <c r="K2138" t="s">
        <v>91</v>
      </c>
      <c r="L2138" t="s">
        <v>46</v>
      </c>
      <c r="M2138" t="s">
        <v>47</v>
      </c>
      <c r="N2138" t="s">
        <v>35</v>
      </c>
      <c r="O2138" t="s">
        <v>36</v>
      </c>
      <c r="P2138" t="s">
        <v>71</v>
      </c>
      <c r="Q2138" t="s">
        <v>172</v>
      </c>
      <c r="R2138">
        <v>459</v>
      </c>
      <c r="S2138">
        <v>218</v>
      </c>
      <c r="T2138">
        <v>136</v>
      </c>
      <c r="U2138">
        <v>32</v>
      </c>
      <c r="V2138" t="s">
        <v>3513</v>
      </c>
      <c r="W2138">
        <v>33323</v>
      </c>
      <c r="X2138" t="s">
        <v>1272</v>
      </c>
      <c r="Y2138">
        <v>29723</v>
      </c>
      <c r="Z2138">
        <v>1066336</v>
      </c>
      <c r="AA2138">
        <v>115200</v>
      </c>
      <c r="AB2138" t="str">
        <f>(VLOOKUP(SalesData[[#This Row],[Month Number]],Reference!C$5:E$16,2,FALSE))</f>
        <v>Feb</v>
      </c>
      <c r="AC2138">
        <f>MONTH(SalesData[[#This Row],[Date]])</f>
        <v>2</v>
      </c>
      <c r="AD2138">
        <f>Reference!F$4</f>
        <v>2026</v>
      </c>
      <c r="AE2138" t="str">
        <f>IF(OR(SalesData[[#This Row],[Day]]="Saturday",SalesData[[#This Row],[Day]]="Sunday"),"Weekend","Weekday")</f>
        <v>Weekend</v>
      </c>
      <c r="AF2138" s="5">
        <f>IF(SalesData[[#This Row],[Contracts Offered]]=0,0,SalesData[[#This Row],[Contracts Signed]]/SalesData[[#This Row],[Contracts Offered]])</f>
        <v>0.23529411764705882</v>
      </c>
      <c r="AG2138" s="5">
        <f>IF(SalesData[[#This Row],[Customers Visited]]=0,0,SalesData[[#This Row],[Test Drives]]/SalesData[[#This Row],[Customers Visited]])</f>
        <v>0.47494553376906318</v>
      </c>
      <c r="AH2138" s="5">
        <f>IF(SalesData[[#This Row],[Customers Visited]]=0,0,SalesData[[#This Row],[Contracts Signed]]/SalesData[[#This Row],[Customers Visited]])</f>
        <v>6.9716775599128547E-2</v>
      </c>
      <c r="AI2138" s="6">
        <f>IF(SalesData[[#This Row],[Contracts Signed]]=0,0,SalesData[[#This Row],[Profit(€)]]/SalesData[[#This Row],[Contracts Signed]])</f>
        <v>3600</v>
      </c>
      <c r="AJ2138" s="5" t="str">
        <f>TRIM(CLEAN(SalesData[[#This Row],[Retailer]]))</f>
        <v>Main Auto Hub</v>
      </c>
    </row>
    <row r="2139" spans="1:36" ht="14.25" hidden="1" x14ac:dyDescent="0.2">
      <c r="A2139" t="s">
        <v>3159</v>
      </c>
      <c r="B2139" s="1">
        <v>46061</v>
      </c>
      <c r="C2139" t="s">
        <v>121</v>
      </c>
      <c r="D2139" t="s">
        <v>41</v>
      </c>
      <c r="E2139" t="s">
        <v>42</v>
      </c>
      <c r="F2139" t="s">
        <v>27</v>
      </c>
      <c r="G2139" t="s">
        <v>28</v>
      </c>
      <c r="H2139" t="s">
        <v>29</v>
      </c>
      <c r="I2139" t="s">
        <v>56</v>
      </c>
      <c r="J2139" t="s">
        <v>179</v>
      </c>
      <c r="K2139" t="s">
        <v>91</v>
      </c>
      <c r="L2139" t="s">
        <v>67</v>
      </c>
      <c r="M2139" t="s">
        <v>34</v>
      </c>
      <c r="N2139" t="s">
        <v>35</v>
      </c>
      <c r="O2139" t="s">
        <v>70</v>
      </c>
      <c r="P2139" t="s">
        <v>58</v>
      </c>
      <c r="Q2139" t="s">
        <v>88</v>
      </c>
      <c r="R2139">
        <v>278</v>
      </c>
      <c r="S2139">
        <v>165</v>
      </c>
      <c r="T2139">
        <v>108</v>
      </c>
      <c r="U2139">
        <v>41</v>
      </c>
      <c r="V2139" t="s">
        <v>6588</v>
      </c>
      <c r="W2139">
        <v>48114</v>
      </c>
      <c r="X2139" t="s">
        <v>4696</v>
      </c>
      <c r="Y2139">
        <v>36353</v>
      </c>
      <c r="Z2139">
        <v>1972674</v>
      </c>
      <c r="AA2139">
        <v>482201</v>
      </c>
      <c r="AB2139" t="str">
        <f>(VLOOKUP(SalesData[[#This Row],[Month Number]],Reference!C$5:E$16,2,FALSE))</f>
        <v>Feb</v>
      </c>
      <c r="AC2139">
        <f>MONTH(SalesData[[#This Row],[Date]])</f>
        <v>2</v>
      </c>
      <c r="AD2139">
        <f>Reference!F$4</f>
        <v>2026</v>
      </c>
      <c r="AE2139" t="str">
        <f>IF(OR(SalesData[[#This Row],[Day]]="Saturday",SalesData[[#This Row],[Day]]="Sunday"),"Weekend","Weekday")</f>
        <v>Weekend</v>
      </c>
      <c r="AF2139" s="5">
        <f>IF(SalesData[[#This Row],[Contracts Offered]]=0,0,SalesData[[#This Row],[Contracts Signed]]/SalesData[[#This Row],[Contracts Offered]])</f>
        <v>0.37962962962962965</v>
      </c>
      <c r="AG2139" s="5">
        <f>IF(SalesData[[#This Row],[Customers Visited]]=0,0,SalesData[[#This Row],[Test Drives]]/SalesData[[#This Row],[Customers Visited]])</f>
        <v>0.59352517985611508</v>
      </c>
      <c r="AH2139" s="5">
        <f>IF(SalesData[[#This Row],[Customers Visited]]=0,0,SalesData[[#This Row],[Contracts Signed]]/SalesData[[#This Row],[Customers Visited]])</f>
        <v>0.14748201438848921</v>
      </c>
      <c r="AI2139" s="6">
        <f>IF(SalesData[[#This Row],[Contracts Signed]]=0,0,SalesData[[#This Row],[Profit(€)]]/SalesData[[#This Row],[Contracts Signed]])</f>
        <v>11761</v>
      </c>
      <c r="AJ2139" s="5" t="str">
        <f>TRIM(CLEAN(SalesData[[#This Row],[Retailer]]))</f>
        <v>Main Auto Hub</v>
      </c>
    </row>
    <row r="2140" spans="1:36" ht="14.25" x14ac:dyDescent="0.2">
      <c r="A2140" t="s">
        <v>3160</v>
      </c>
      <c r="B2140" s="1">
        <v>46079</v>
      </c>
      <c r="C2140" t="s">
        <v>53</v>
      </c>
      <c r="D2140" t="s">
        <v>100</v>
      </c>
      <c r="E2140" t="s">
        <v>26</v>
      </c>
      <c r="F2140" t="s">
        <v>114</v>
      </c>
      <c r="G2140" t="s">
        <v>115</v>
      </c>
      <c r="H2140" t="s">
        <v>115</v>
      </c>
      <c r="I2140" t="s">
        <v>30</v>
      </c>
      <c r="J2140" t="s">
        <v>166</v>
      </c>
      <c r="K2140" t="s">
        <v>66</v>
      </c>
      <c r="L2140" t="s">
        <v>46</v>
      </c>
      <c r="M2140" t="s">
        <v>87</v>
      </c>
      <c r="N2140" t="s">
        <v>48</v>
      </c>
      <c r="O2140" t="s">
        <v>36</v>
      </c>
      <c r="P2140" t="s">
        <v>49</v>
      </c>
      <c r="Q2140" t="s">
        <v>135</v>
      </c>
      <c r="R2140">
        <v>183</v>
      </c>
      <c r="S2140">
        <v>87</v>
      </c>
      <c r="T2140">
        <v>63</v>
      </c>
      <c r="U2140">
        <v>25</v>
      </c>
      <c r="V2140" t="s">
        <v>7360</v>
      </c>
      <c r="W2140">
        <v>59308</v>
      </c>
      <c r="X2140" t="s">
        <v>1325</v>
      </c>
      <c r="Y2140">
        <v>44519</v>
      </c>
      <c r="Z2140">
        <v>1482700</v>
      </c>
      <c r="AA2140">
        <v>369725</v>
      </c>
      <c r="AB2140" t="str">
        <f>(VLOOKUP(SalesData[[#This Row],[Month Number]],Reference!C$5:E$16,2,FALSE))</f>
        <v>Feb</v>
      </c>
      <c r="AC2140">
        <f>MONTH(SalesData[[#This Row],[Date]])</f>
        <v>2</v>
      </c>
      <c r="AD2140">
        <f>Reference!F$4</f>
        <v>2026</v>
      </c>
      <c r="AE2140" t="str">
        <f>IF(OR(SalesData[[#This Row],[Day]]="Saturday",SalesData[[#This Row],[Day]]="Sunday"),"Weekend","Weekday")</f>
        <v>Weekday</v>
      </c>
      <c r="AF2140" s="5">
        <f>IF(SalesData[[#This Row],[Contracts Offered]]=0,0,SalesData[[#This Row],[Contracts Signed]]/SalesData[[#This Row],[Contracts Offered]])</f>
        <v>0.3968253968253968</v>
      </c>
      <c r="AG2140" s="5">
        <f>IF(SalesData[[#This Row],[Customers Visited]]=0,0,SalesData[[#This Row],[Test Drives]]/SalesData[[#This Row],[Customers Visited]])</f>
        <v>0.47540983606557374</v>
      </c>
      <c r="AH2140" s="5">
        <f>IF(SalesData[[#This Row],[Customers Visited]]=0,0,SalesData[[#This Row],[Contracts Signed]]/SalesData[[#This Row],[Customers Visited]])</f>
        <v>0.13661202185792351</v>
      </c>
      <c r="AI2140" s="6">
        <f>IF(SalesData[[#This Row],[Contracts Signed]]=0,0,SalesData[[#This Row],[Profit(€)]]/SalesData[[#This Row],[Contracts Signed]])</f>
        <v>14789</v>
      </c>
      <c r="AJ2140" s="5" t="str">
        <f>TRIM(CLEAN(SalesData[[#This Row],[Retailer]]))</f>
        <v>Elbe Drive</v>
      </c>
    </row>
    <row r="2141" spans="1:36" ht="14.25" x14ac:dyDescent="0.2">
      <c r="A2141" t="s">
        <v>3161</v>
      </c>
      <c r="B2141" s="1">
        <v>46066</v>
      </c>
      <c r="C2141" t="s">
        <v>121</v>
      </c>
      <c r="D2141" t="s">
        <v>54</v>
      </c>
      <c r="E2141" t="s">
        <v>26</v>
      </c>
      <c r="F2141" t="s">
        <v>101</v>
      </c>
      <c r="G2141" t="s">
        <v>102</v>
      </c>
      <c r="H2141" t="s">
        <v>103</v>
      </c>
      <c r="I2141" t="s">
        <v>30</v>
      </c>
      <c r="J2141" t="s">
        <v>188</v>
      </c>
      <c r="K2141" t="s">
        <v>78</v>
      </c>
      <c r="L2141" t="s">
        <v>33</v>
      </c>
      <c r="M2141" t="s">
        <v>47</v>
      </c>
      <c r="N2141" t="s">
        <v>48</v>
      </c>
      <c r="O2141" t="s">
        <v>70</v>
      </c>
      <c r="P2141" t="s">
        <v>49</v>
      </c>
      <c r="Q2141" t="s">
        <v>240</v>
      </c>
      <c r="R2141">
        <v>244</v>
      </c>
      <c r="S2141">
        <v>119</v>
      </c>
      <c r="T2141">
        <v>92</v>
      </c>
      <c r="U2141">
        <v>31</v>
      </c>
      <c r="V2141" t="s">
        <v>6499</v>
      </c>
      <c r="W2141">
        <v>64953</v>
      </c>
      <c r="X2141" t="s">
        <v>7387</v>
      </c>
      <c r="Y2141">
        <v>47635</v>
      </c>
      <c r="Z2141">
        <v>2013543</v>
      </c>
      <c r="AA2141">
        <v>536858</v>
      </c>
      <c r="AB2141" t="str">
        <f>(VLOOKUP(SalesData[[#This Row],[Month Number]],Reference!C$5:E$16,2,FALSE))</f>
        <v>Feb</v>
      </c>
      <c r="AC2141">
        <f>MONTH(SalesData[[#This Row],[Date]])</f>
        <v>2</v>
      </c>
      <c r="AD2141">
        <f>Reference!F$4</f>
        <v>2026</v>
      </c>
      <c r="AE2141" t="str">
        <f>IF(OR(SalesData[[#This Row],[Day]]="Saturday",SalesData[[#This Row],[Day]]="Sunday"),"Weekend","Weekday")</f>
        <v>Weekday</v>
      </c>
      <c r="AF2141" s="5">
        <f>IF(SalesData[[#This Row],[Contracts Offered]]=0,0,SalesData[[#This Row],[Contracts Signed]]/SalesData[[#This Row],[Contracts Offered]])</f>
        <v>0.33695652173913043</v>
      </c>
      <c r="AG2141" s="5">
        <f>IF(SalesData[[#This Row],[Customers Visited]]=0,0,SalesData[[#This Row],[Test Drives]]/SalesData[[#This Row],[Customers Visited]])</f>
        <v>0.48770491803278687</v>
      </c>
      <c r="AH2141" s="5">
        <f>IF(SalesData[[#This Row],[Customers Visited]]=0,0,SalesData[[#This Row],[Contracts Signed]]/SalesData[[#This Row],[Customers Visited]])</f>
        <v>0.12704918032786885</v>
      </c>
      <c r="AI2141" s="6">
        <f>IF(SalesData[[#This Row],[Contracts Signed]]=0,0,SalesData[[#This Row],[Profit(€)]]/SalesData[[#This Row],[Contracts Signed]])</f>
        <v>17318</v>
      </c>
      <c r="AJ2141" s="5" t="str">
        <f>TRIM(CLEAN(SalesData[[#This Row],[Retailer]]))</f>
        <v>Ruhr Auto Plaza</v>
      </c>
    </row>
    <row r="2142" spans="1:36" ht="14.25" hidden="1" x14ac:dyDescent="0.2">
      <c r="A2142" t="s">
        <v>3162</v>
      </c>
      <c r="B2142" s="1">
        <v>46078</v>
      </c>
      <c r="C2142" t="s">
        <v>53</v>
      </c>
      <c r="D2142" t="s">
        <v>82</v>
      </c>
      <c r="E2142" t="s">
        <v>26</v>
      </c>
      <c r="F2142" t="s">
        <v>27</v>
      </c>
      <c r="G2142" t="s">
        <v>28</v>
      </c>
      <c r="H2142" t="s">
        <v>29</v>
      </c>
      <c r="I2142" t="s">
        <v>116</v>
      </c>
      <c r="J2142" t="s">
        <v>7090</v>
      </c>
      <c r="K2142" t="s">
        <v>66</v>
      </c>
      <c r="L2142" t="s">
        <v>46</v>
      </c>
      <c r="M2142" t="s">
        <v>87</v>
      </c>
      <c r="N2142" t="s">
        <v>69</v>
      </c>
      <c r="O2142" t="s">
        <v>70</v>
      </c>
      <c r="P2142" t="s">
        <v>71</v>
      </c>
      <c r="Q2142" t="s">
        <v>204</v>
      </c>
      <c r="R2142">
        <v>349</v>
      </c>
      <c r="S2142">
        <v>181</v>
      </c>
      <c r="T2142">
        <v>104</v>
      </c>
      <c r="U2142">
        <v>28</v>
      </c>
      <c r="V2142" t="s">
        <v>1284</v>
      </c>
      <c r="W2142">
        <v>24698</v>
      </c>
      <c r="X2142" t="s">
        <v>4008</v>
      </c>
      <c r="Y2142">
        <v>22839</v>
      </c>
      <c r="Z2142">
        <v>691544</v>
      </c>
      <c r="AA2142">
        <v>52052</v>
      </c>
      <c r="AB2142" t="str">
        <f>(VLOOKUP(SalesData[[#This Row],[Month Number]],Reference!C$5:E$16,2,FALSE))</f>
        <v>Feb</v>
      </c>
      <c r="AC2142">
        <f>MONTH(SalesData[[#This Row],[Date]])</f>
        <v>2</v>
      </c>
      <c r="AD2142">
        <f>Reference!F$4</f>
        <v>2026</v>
      </c>
      <c r="AE2142" t="str">
        <f>IF(OR(SalesData[[#This Row],[Day]]="Saturday",SalesData[[#This Row],[Day]]="Sunday"),"Weekend","Weekday")</f>
        <v>Weekday</v>
      </c>
      <c r="AF2142" s="5">
        <f>IF(SalesData[[#This Row],[Contracts Offered]]=0,0,SalesData[[#This Row],[Contracts Signed]]/SalesData[[#This Row],[Contracts Offered]])</f>
        <v>0.26923076923076922</v>
      </c>
      <c r="AG2142" s="5">
        <f>IF(SalesData[[#This Row],[Customers Visited]]=0,0,SalesData[[#This Row],[Test Drives]]/SalesData[[#This Row],[Customers Visited]])</f>
        <v>0.51862464183381085</v>
      </c>
      <c r="AH2142" s="5">
        <f>IF(SalesData[[#This Row],[Customers Visited]]=0,0,SalesData[[#This Row],[Contracts Signed]]/SalesData[[#This Row],[Customers Visited]])</f>
        <v>8.0229226361031525E-2</v>
      </c>
      <c r="AI2142" s="6">
        <f>IF(SalesData[[#This Row],[Contracts Signed]]=0,0,SalesData[[#This Row],[Profit(€)]]/SalesData[[#This Row],[Contracts Signed]])</f>
        <v>1859</v>
      </c>
      <c r="AJ2142" s="5" t="str">
        <f>TRIM(CLEAN(SalesData[[#This Row],[Retailer]]))</f>
        <v>Main Auto Hub</v>
      </c>
    </row>
    <row r="2143" spans="1:36" ht="14.25" hidden="1" x14ac:dyDescent="0.2">
      <c r="A2143" t="s">
        <v>3164</v>
      </c>
      <c r="B2143" s="1">
        <v>46079</v>
      </c>
      <c r="C2143" t="s">
        <v>53</v>
      </c>
      <c r="D2143" t="s">
        <v>100</v>
      </c>
      <c r="E2143" t="s">
        <v>26</v>
      </c>
      <c r="F2143" t="s">
        <v>127</v>
      </c>
      <c r="G2143" t="s">
        <v>128</v>
      </c>
      <c r="H2143" t="s">
        <v>103</v>
      </c>
      <c r="I2143" t="s">
        <v>116</v>
      </c>
      <c r="J2143" t="s">
        <v>203</v>
      </c>
      <c r="K2143" t="s">
        <v>91</v>
      </c>
      <c r="L2143" t="s">
        <v>67</v>
      </c>
      <c r="M2143" t="s">
        <v>34</v>
      </c>
      <c r="N2143" t="s">
        <v>48</v>
      </c>
      <c r="O2143" t="s">
        <v>70</v>
      </c>
      <c r="P2143" t="s">
        <v>58</v>
      </c>
      <c r="Q2143" t="s">
        <v>172</v>
      </c>
      <c r="R2143">
        <v>364</v>
      </c>
      <c r="S2143">
        <v>172</v>
      </c>
      <c r="T2143">
        <v>112</v>
      </c>
      <c r="U2143">
        <v>34</v>
      </c>
      <c r="V2143" t="s">
        <v>403</v>
      </c>
      <c r="W2143">
        <v>25685</v>
      </c>
      <c r="X2143" t="s">
        <v>3447</v>
      </c>
      <c r="Y2143">
        <v>22923</v>
      </c>
      <c r="Z2143">
        <v>873290</v>
      </c>
      <c r="AA2143">
        <v>93908</v>
      </c>
      <c r="AB2143" t="str">
        <f>(VLOOKUP(SalesData[[#This Row],[Month Number]],Reference!C$5:E$16,2,FALSE))</f>
        <v>Feb</v>
      </c>
      <c r="AC2143">
        <f>MONTH(SalesData[[#This Row],[Date]])</f>
        <v>2</v>
      </c>
      <c r="AD2143">
        <f>Reference!F$4</f>
        <v>2026</v>
      </c>
      <c r="AE2143" t="str">
        <f>IF(OR(SalesData[[#This Row],[Day]]="Saturday",SalesData[[#This Row],[Day]]="Sunday"),"Weekend","Weekday")</f>
        <v>Weekday</v>
      </c>
      <c r="AF2143" s="5">
        <f>IF(SalesData[[#This Row],[Contracts Offered]]=0,0,SalesData[[#This Row],[Contracts Signed]]/SalesData[[#This Row],[Contracts Offered]])</f>
        <v>0.30357142857142855</v>
      </c>
      <c r="AG2143" s="5">
        <f>IF(SalesData[[#This Row],[Customers Visited]]=0,0,SalesData[[#This Row],[Test Drives]]/SalesData[[#This Row],[Customers Visited]])</f>
        <v>0.47252747252747251</v>
      </c>
      <c r="AH2143" s="5">
        <f>IF(SalesData[[#This Row],[Customers Visited]]=0,0,SalesData[[#This Row],[Contracts Signed]]/SalesData[[#This Row],[Customers Visited]])</f>
        <v>9.3406593406593408E-2</v>
      </c>
      <c r="AI2143" s="6">
        <f>IF(SalesData[[#This Row],[Contracts Signed]]=0,0,SalesData[[#This Row],[Profit(€)]]/SalesData[[#This Row],[Contracts Signed]])</f>
        <v>2762</v>
      </c>
      <c r="AJ2143" s="5" t="str">
        <f>TRIM(CLEAN(SalesData[[#This Row],[Retailer]]))</f>
        <v>Rhein Auto Group</v>
      </c>
    </row>
    <row r="2144" spans="1:36" ht="14.25" hidden="1" x14ac:dyDescent="0.2">
      <c r="A2144" t="s">
        <v>3165</v>
      </c>
      <c r="B2144" s="1">
        <v>46066</v>
      </c>
      <c r="C2144" t="s">
        <v>121</v>
      </c>
      <c r="D2144" t="s">
        <v>54</v>
      </c>
      <c r="E2144" t="s">
        <v>26</v>
      </c>
      <c r="F2144" t="s">
        <v>94</v>
      </c>
      <c r="G2144" t="s">
        <v>95</v>
      </c>
      <c r="H2144" t="s">
        <v>96</v>
      </c>
      <c r="I2144" t="s">
        <v>104</v>
      </c>
      <c r="J2144" t="s">
        <v>140</v>
      </c>
      <c r="K2144" t="s">
        <v>91</v>
      </c>
      <c r="L2144" t="s">
        <v>46</v>
      </c>
      <c r="M2144" t="s">
        <v>47</v>
      </c>
      <c r="N2144" t="s">
        <v>48</v>
      </c>
      <c r="O2144" t="s">
        <v>70</v>
      </c>
      <c r="P2144" t="s">
        <v>58</v>
      </c>
      <c r="Q2144" t="s">
        <v>189</v>
      </c>
      <c r="R2144">
        <v>501</v>
      </c>
      <c r="S2144">
        <v>283</v>
      </c>
      <c r="T2144">
        <v>169</v>
      </c>
      <c r="U2144">
        <v>54</v>
      </c>
      <c r="V2144" t="s">
        <v>4318</v>
      </c>
      <c r="W2144">
        <v>25776</v>
      </c>
      <c r="X2144" t="s">
        <v>7345</v>
      </c>
      <c r="Y2144">
        <v>22929</v>
      </c>
      <c r="Z2144">
        <v>1391904</v>
      </c>
      <c r="AA2144">
        <v>153738</v>
      </c>
      <c r="AB2144" t="str">
        <f>(VLOOKUP(SalesData[[#This Row],[Month Number]],Reference!C$5:E$16,2,FALSE))</f>
        <v>Feb</v>
      </c>
      <c r="AC2144">
        <f>MONTH(SalesData[[#This Row],[Date]])</f>
        <v>2</v>
      </c>
      <c r="AD2144">
        <f>Reference!F$4</f>
        <v>2026</v>
      </c>
      <c r="AE2144" t="str">
        <f>IF(OR(SalesData[[#This Row],[Day]]="Saturday",SalesData[[#This Row],[Day]]="Sunday"),"Weekend","Weekday")</f>
        <v>Weekday</v>
      </c>
      <c r="AF2144" s="5">
        <f>IF(SalesData[[#This Row],[Contracts Offered]]=0,0,SalesData[[#This Row],[Contracts Signed]]/SalesData[[#This Row],[Contracts Offered]])</f>
        <v>0.31952662721893493</v>
      </c>
      <c r="AG2144" s="5">
        <f>IF(SalesData[[#This Row],[Customers Visited]]=0,0,SalesData[[#This Row],[Test Drives]]/SalesData[[#This Row],[Customers Visited]])</f>
        <v>0.56487025948103797</v>
      </c>
      <c r="AH2144" s="5">
        <f>IF(SalesData[[#This Row],[Customers Visited]]=0,0,SalesData[[#This Row],[Contracts Signed]]/SalesData[[#This Row],[Customers Visited]])</f>
        <v>0.10778443113772455</v>
      </c>
      <c r="AI2144" s="6">
        <f>IF(SalesData[[#This Row],[Contracts Signed]]=0,0,SalesData[[#This Row],[Profit(€)]]/SalesData[[#This Row],[Contracts Signed]])</f>
        <v>2847</v>
      </c>
      <c r="AJ2144" s="5" t="str">
        <f>TRIM(CLEAN(SalesData[[#This Row],[Retailer]]))</f>
        <v>Bavaria Motors</v>
      </c>
    </row>
    <row r="2145" spans="1:36" ht="14.25" x14ac:dyDescent="0.2">
      <c r="A2145" t="s">
        <v>3166</v>
      </c>
      <c r="B2145" s="1">
        <v>46058</v>
      </c>
      <c r="C2145" t="s">
        <v>24</v>
      </c>
      <c r="D2145" t="s">
        <v>100</v>
      </c>
      <c r="E2145" t="s">
        <v>26</v>
      </c>
      <c r="F2145" t="s">
        <v>127</v>
      </c>
      <c r="G2145" t="s">
        <v>128</v>
      </c>
      <c r="H2145" t="s">
        <v>103</v>
      </c>
      <c r="I2145" t="s">
        <v>30</v>
      </c>
      <c r="J2145" t="s">
        <v>31</v>
      </c>
      <c r="K2145" t="s">
        <v>78</v>
      </c>
      <c r="L2145" t="s">
        <v>46</v>
      </c>
      <c r="M2145" t="s">
        <v>68</v>
      </c>
      <c r="N2145" t="s">
        <v>48</v>
      </c>
      <c r="O2145" t="s">
        <v>36</v>
      </c>
      <c r="P2145" t="s">
        <v>37</v>
      </c>
      <c r="Q2145" t="s">
        <v>240</v>
      </c>
      <c r="R2145">
        <v>184</v>
      </c>
      <c r="S2145">
        <v>104</v>
      </c>
      <c r="T2145">
        <v>84</v>
      </c>
      <c r="U2145">
        <v>27</v>
      </c>
      <c r="V2145" t="s">
        <v>6635</v>
      </c>
      <c r="W2145">
        <v>59027</v>
      </c>
      <c r="X2145" t="s">
        <v>7183</v>
      </c>
      <c r="Y2145">
        <v>42073</v>
      </c>
      <c r="Z2145">
        <v>1593729</v>
      </c>
      <c r="AA2145">
        <v>457758</v>
      </c>
      <c r="AB2145" t="str">
        <f>(VLOOKUP(SalesData[[#This Row],[Month Number]],Reference!C$5:E$16,2,FALSE))</f>
        <v>Feb</v>
      </c>
      <c r="AC2145">
        <f>MONTH(SalesData[[#This Row],[Date]])</f>
        <v>2</v>
      </c>
      <c r="AD2145">
        <f>Reference!F$4</f>
        <v>2026</v>
      </c>
      <c r="AE2145" t="str">
        <f>IF(OR(SalesData[[#This Row],[Day]]="Saturday",SalesData[[#This Row],[Day]]="Sunday"),"Weekend","Weekday")</f>
        <v>Weekday</v>
      </c>
      <c r="AF2145" s="5">
        <f>IF(SalesData[[#This Row],[Contracts Offered]]=0,0,SalesData[[#This Row],[Contracts Signed]]/SalesData[[#This Row],[Contracts Offered]])</f>
        <v>0.32142857142857145</v>
      </c>
      <c r="AG2145" s="5">
        <f>IF(SalesData[[#This Row],[Customers Visited]]=0,0,SalesData[[#This Row],[Test Drives]]/SalesData[[#This Row],[Customers Visited]])</f>
        <v>0.56521739130434778</v>
      </c>
      <c r="AH2145" s="5">
        <f>IF(SalesData[[#This Row],[Customers Visited]]=0,0,SalesData[[#This Row],[Contracts Signed]]/SalesData[[#This Row],[Customers Visited]])</f>
        <v>0.14673913043478262</v>
      </c>
      <c r="AI2145" s="6">
        <f>IF(SalesData[[#This Row],[Contracts Signed]]=0,0,SalesData[[#This Row],[Profit(€)]]/SalesData[[#This Row],[Contracts Signed]])</f>
        <v>16954</v>
      </c>
      <c r="AJ2145" s="5" t="str">
        <f>TRIM(CLEAN(SalesData[[#This Row],[Retailer]]))</f>
        <v>Rhein Auto Group</v>
      </c>
    </row>
    <row r="2146" spans="1:36" ht="14.25" hidden="1" x14ac:dyDescent="0.2">
      <c r="A2146" t="s">
        <v>3167</v>
      </c>
      <c r="B2146" s="1">
        <v>46081</v>
      </c>
      <c r="C2146" t="s">
        <v>53</v>
      </c>
      <c r="D2146" t="s">
        <v>151</v>
      </c>
      <c r="E2146" t="s">
        <v>42</v>
      </c>
      <c r="F2146" t="s">
        <v>74</v>
      </c>
      <c r="G2146" t="s">
        <v>75</v>
      </c>
      <c r="H2146" t="s">
        <v>76</v>
      </c>
      <c r="I2146" t="s">
        <v>56</v>
      </c>
      <c r="J2146" t="s">
        <v>179</v>
      </c>
      <c r="K2146" t="s">
        <v>78</v>
      </c>
      <c r="L2146" t="s">
        <v>67</v>
      </c>
      <c r="M2146" t="s">
        <v>47</v>
      </c>
      <c r="N2146" t="s">
        <v>48</v>
      </c>
      <c r="O2146" t="s">
        <v>36</v>
      </c>
      <c r="P2146" t="s">
        <v>49</v>
      </c>
      <c r="Q2146" t="s">
        <v>347</v>
      </c>
      <c r="R2146">
        <v>283</v>
      </c>
      <c r="S2146">
        <v>138</v>
      </c>
      <c r="T2146">
        <v>104</v>
      </c>
      <c r="U2146">
        <v>32</v>
      </c>
      <c r="V2146" t="s">
        <v>6568</v>
      </c>
      <c r="W2146">
        <v>50258</v>
      </c>
      <c r="X2146" t="s">
        <v>861</v>
      </c>
      <c r="Y2146">
        <v>39903</v>
      </c>
      <c r="Z2146">
        <v>1608256</v>
      </c>
      <c r="AA2146">
        <v>331360</v>
      </c>
      <c r="AB2146" t="str">
        <f>(VLOOKUP(SalesData[[#This Row],[Month Number]],Reference!C$5:E$16,2,FALSE))</f>
        <v>Feb</v>
      </c>
      <c r="AC2146">
        <f>MONTH(SalesData[[#This Row],[Date]])</f>
        <v>2</v>
      </c>
      <c r="AD2146">
        <f>Reference!F$4</f>
        <v>2026</v>
      </c>
      <c r="AE2146" t="str">
        <f>IF(OR(SalesData[[#This Row],[Day]]="Saturday",SalesData[[#This Row],[Day]]="Sunday"),"Weekend","Weekday")</f>
        <v>Weekend</v>
      </c>
      <c r="AF2146" s="5">
        <f>IF(SalesData[[#This Row],[Contracts Offered]]=0,0,SalesData[[#This Row],[Contracts Signed]]/SalesData[[#This Row],[Contracts Offered]])</f>
        <v>0.30769230769230771</v>
      </c>
      <c r="AG2146" s="5">
        <f>IF(SalesData[[#This Row],[Customers Visited]]=0,0,SalesData[[#This Row],[Test Drives]]/SalesData[[#This Row],[Customers Visited]])</f>
        <v>0.48763250883392228</v>
      </c>
      <c r="AH2146" s="5">
        <f>IF(SalesData[[#This Row],[Customers Visited]]=0,0,SalesData[[#This Row],[Contracts Signed]]/SalesData[[#This Row],[Customers Visited]])</f>
        <v>0.11307420494699646</v>
      </c>
      <c r="AI2146" s="6">
        <f>IF(SalesData[[#This Row],[Contracts Signed]]=0,0,SalesData[[#This Row],[Profit(€)]]/SalesData[[#This Row],[Contracts Signed]])</f>
        <v>10355</v>
      </c>
      <c r="AJ2146" s="5" t="str">
        <f>TRIM(CLEAN(SalesData[[#This Row],[Retailer]]))</f>
        <v>Stuttgart Auto Center</v>
      </c>
    </row>
    <row r="2147" spans="1:36" ht="14.25" hidden="1" x14ac:dyDescent="0.2">
      <c r="A2147" t="s">
        <v>3168</v>
      </c>
      <c r="B2147" s="1">
        <v>46066</v>
      </c>
      <c r="C2147" t="s">
        <v>121</v>
      </c>
      <c r="D2147" t="s">
        <v>54</v>
      </c>
      <c r="E2147" t="s">
        <v>26</v>
      </c>
      <c r="F2147" t="s">
        <v>27</v>
      </c>
      <c r="G2147" t="s">
        <v>28</v>
      </c>
      <c r="H2147" t="s">
        <v>29</v>
      </c>
      <c r="I2147" t="s">
        <v>104</v>
      </c>
      <c r="J2147" t="s">
        <v>140</v>
      </c>
      <c r="K2147" t="s">
        <v>91</v>
      </c>
      <c r="L2147" t="s">
        <v>46</v>
      </c>
      <c r="M2147" t="s">
        <v>68</v>
      </c>
      <c r="N2147" t="s">
        <v>35</v>
      </c>
      <c r="O2147" t="s">
        <v>70</v>
      </c>
      <c r="P2147" t="s">
        <v>71</v>
      </c>
      <c r="Q2147" t="s">
        <v>135</v>
      </c>
      <c r="R2147">
        <v>441</v>
      </c>
      <c r="S2147">
        <v>232</v>
      </c>
      <c r="T2147">
        <v>139</v>
      </c>
      <c r="U2147">
        <v>40</v>
      </c>
      <c r="V2147" t="s">
        <v>1447</v>
      </c>
      <c r="W2147">
        <v>32971</v>
      </c>
      <c r="X2147" t="s">
        <v>1199</v>
      </c>
      <c r="Y2147">
        <v>29894</v>
      </c>
      <c r="Z2147">
        <v>1318840</v>
      </c>
      <c r="AA2147">
        <v>123080</v>
      </c>
      <c r="AB2147" t="str">
        <f>(VLOOKUP(SalesData[[#This Row],[Month Number]],Reference!C$5:E$16,2,FALSE))</f>
        <v>Feb</v>
      </c>
      <c r="AC2147">
        <f>MONTH(SalesData[[#This Row],[Date]])</f>
        <v>2</v>
      </c>
      <c r="AD2147">
        <f>Reference!F$4</f>
        <v>2026</v>
      </c>
      <c r="AE2147" t="str">
        <f>IF(OR(SalesData[[#This Row],[Day]]="Saturday",SalesData[[#This Row],[Day]]="Sunday"),"Weekend","Weekday")</f>
        <v>Weekday</v>
      </c>
      <c r="AF2147" s="5">
        <f>IF(SalesData[[#This Row],[Contracts Offered]]=0,0,SalesData[[#This Row],[Contracts Signed]]/SalesData[[#This Row],[Contracts Offered]])</f>
        <v>0.28776978417266186</v>
      </c>
      <c r="AG2147" s="5">
        <f>IF(SalesData[[#This Row],[Customers Visited]]=0,0,SalesData[[#This Row],[Test Drives]]/SalesData[[#This Row],[Customers Visited]])</f>
        <v>0.52607709750566889</v>
      </c>
      <c r="AH2147" s="5">
        <f>IF(SalesData[[#This Row],[Customers Visited]]=0,0,SalesData[[#This Row],[Contracts Signed]]/SalesData[[#This Row],[Customers Visited]])</f>
        <v>9.0702947845804988E-2</v>
      </c>
      <c r="AI2147" s="6">
        <f>IF(SalesData[[#This Row],[Contracts Signed]]=0,0,SalesData[[#This Row],[Profit(€)]]/SalesData[[#This Row],[Contracts Signed]])</f>
        <v>3077</v>
      </c>
      <c r="AJ2147" s="5" t="str">
        <f>TRIM(CLEAN(SalesData[[#This Row],[Retailer]]))</f>
        <v>Main Auto Hub</v>
      </c>
    </row>
    <row r="2148" spans="1:36" ht="14.25" hidden="1" x14ac:dyDescent="0.2">
      <c r="A2148" t="s">
        <v>3169</v>
      </c>
      <c r="B2148" s="1">
        <v>46080</v>
      </c>
      <c r="C2148" t="s">
        <v>53</v>
      </c>
      <c r="D2148" t="s">
        <v>54</v>
      </c>
      <c r="E2148" t="s">
        <v>26</v>
      </c>
      <c r="F2148" t="s">
        <v>94</v>
      </c>
      <c r="G2148" t="s">
        <v>95</v>
      </c>
      <c r="H2148" t="s">
        <v>96</v>
      </c>
      <c r="I2148" t="s">
        <v>116</v>
      </c>
      <c r="J2148" t="s">
        <v>132</v>
      </c>
      <c r="K2148" t="s">
        <v>32</v>
      </c>
      <c r="L2148" t="s">
        <v>46</v>
      </c>
      <c r="M2148" t="s">
        <v>34</v>
      </c>
      <c r="N2148" t="s">
        <v>48</v>
      </c>
      <c r="O2148" t="s">
        <v>70</v>
      </c>
      <c r="P2148" t="s">
        <v>58</v>
      </c>
      <c r="Q2148" t="s">
        <v>240</v>
      </c>
      <c r="R2148">
        <v>394</v>
      </c>
      <c r="S2148">
        <v>162</v>
      </c>
      <c r="T2148">
        <v>100</v>
      </c>
      <c r="U2148">
        <v>31</v>
      </c>
      <c r="V2148" t="s">
        <v>164</v>
      </c>
      <c r="W2148">
        <v>25255</v>
      </c>
      <c r="X2148" t="s">
        <v>979</v>
      </c>
      <c r="Y2148">
        <v>23052</v>
      </c>
      <c r="Z2148">
        <v>782905</v>
      </c>
      <c r="AA2148">
        <v>68293</v>
      </c>
      <c r="AB2148" t="str">
        <f>(VLOOKUP(SalesData[[#This Row],[Month Number]],Reference!C$5:E$16,2,FALSE))</f>
        <v>Feb</v>
      </c>
      <c r="AC2148">
        <f>MONTH(SalesData[[#This Row],[Date]])</f>
        <v>2</v>
      </c>
      <c r="AD2148">
        <f>Reference!F$4</f>
        <v>2026</v>
      </c>
      <c r="AE2148" t="str">
        <f>IF(OR(SalesData[[#This Row],[Day]]="Saturday",SalesData[[#This Row],[Day]]="Sunday"),"Weekend","Weekday")</f>
        <v>Weekday</v>
      </c>
      <c r="AF2148" s="5">
        <f>IF(SalesData[[#This Row],[Contracts Offered]]=0,0,SalesData[[#This Row],[Contracts Signed]]/SalesData[[#This Row],[Contracts Offered]])</f>
        <v>0.31</v>
      </c>
      <c r="AG2148" s="5">
        <f>IF(SalesData[[#This Row],[Customers Visited]]=0,0,SalesData[[#This Row],[Test Drives]]/SalesData[[#This Row],[Customers Visited]])</f>
        <v>0.41116751269035534</v>
      </c>
      <c r="AH2148" s="5">
        <f>IF(SalesData[[#This Row],[Customers Visited]]=0,0,SalesData[[#This Row],[Contracts Signed]]/SalesData[[#This Row],[Customers Visited]])</f>
        <v>7.8680203045685279E-2</v>
      </c>
      <c r="AI2148" s="6">
        <f>IF(SalesData[[#This Row],[Contracts Signed]]=0,0,SalesData[[#This Row],[Profit(€)]]/SalesData[[#This Row],[Contracts Signed]])</f>
        <v>2203</v>
      </c>
      <c r="AJ2148" s="5" t="str">
        <f>TRIM(CLEAN(SalesData[[#This Row],[Retailer]]))</f>
        <v>Bavaria Motors</v>
      </c>
    </row>
    <row r="2149" spans="1:36" ht="14.25" hidden="1" x14ac:dyDescent="0.2">
      <c r="A2149" t="s">
        <v>3170</v>
      </c>
      <c r="B2149" s="1">
        <v>46065</v>
      </c>
      <c r="C2149" t="s">
        <v>121</v>
      </c>
      <c r="D2149" t="s">
        <v>100</v>
      </c>
      <c r="E2149" t="s">
        <v>26</v>
      </c>
      <c r="F2149" t="s">
        <v>83</v>
      </c>
      <c r="G2149" t="s">
        <v>84</v>
      </c>
      <c r="H2149" t="s">
        <v>85</v>
      </c>
      <c r="I2149" t="s">
        <v>116</v>
      </c>
      <c r="J2149" t="s">
        <v>132</v>
      </c>
      <c r="K2149" t="s">
        <v>78</v>
      </c>
      <c r="L2149" t="s">
        <v>46</v>
      </c>
      <c r="M2149" t="s">
        <v>87</v>
      </c>
      <c r="N2149" t="s">
        <v>69</v>
      </c>
      <c r="O2149" t="s">
        <v>70</v>
      </c>
      <c r="P2149" t="s">
        <v>58</v>
      </c>
      <c r="Q2149" t="s">
        <v>144</v>
      </c>
      <c r="R2149">
        <v>371</v>
      </c>
      <c r="S2149">
        <v>198</v>
      </c>
      <c r="T2149">
        <v>119</v>
      </c>
      <c r="U2149">
        <v>35</v>
      </c>
      <c r="V2149" t="s">
        <v>968</v>
      </c>
      <c r="W2149">
        <v>25242</v>
      </c>
      <c r="X2149" t="s">
        <v>7509</v>
      </c>
      <c r="Y2149">
        <v>23332</v>
      </c>
      <c r="Z2149">
        <v>883470</v>
      </c>
      <c r="AA2149">
        <v>66850</v>
      </c>
      <c r="AB2149" t="str">
        <f>(VLOOKUP(SalesData[[#This Row],[Month Number]],Reference!C$5:E$16,2,FALSE))</f>
        <v>Feb</v>
      </c>
      <c r="AC2149">
        <f>MONTH(SalesData[[#This Row],[Date]])</f>
        <v>2</v>
      </c>
      <c r="AD2149">
        <f>Reference!F$4</f>
        <v>2026</v>
      </c>
      <c r="AE2149" t="str">
        <f>IF(OR(SalesData[[#This Row],[Day]]="Saturday",SalesData[[#This Row],[Day]]="Sunday"),"Weekend","Weekday")</f>
        <v>Weekday</v>
      </c>
      <c r="AF2149" s="5">
        <f>IF(SalesData[[#This Row],[Contracts Offered]]=0,0,SalesData[[#This Row],[Contracts Signed]]/SalesData[[#This Row],[Contracts Offered]])</f>
        <v>0.29411764705882354</v>
      </c>
      <c r="AG2149" s="5">
        <f>IF(SalesData[[#This Row],[Customers Visited]]=0,0,SalesData[[#This Row],[Test Drives]]/SalesData[[#This Row],[Customers Visited]])</f>
        <v>0.53369272237196763</v>
      </c>
      <c r="AH2149" s="5">
        <f>IF(SalesData[[#This Row],[Customers Visited]]=0,0,SalesData[[#This Row],[Contracts Signed]]/SalesData[[#This Row],[Customers Visited]])</f>
        <v>9.4339622641509441E-2</v>
      </c>
      <c r="AI2149" s="6">
        <f>IF(SalesData[[#This Row],[Contracts Signed]]=0,0,SalesData[[#This Row],[Profit(€)]]/SalesData[[#This Row],[Contracts Signed]])</f>
        <v>1910</v>
      </c>
      <c r="AJ2149" s="5" t="str">
        <f>TRIM(CLEAN(SalesData[[#This Row],[Retailer]]))</f>
        <v>Hannover Cars</v>
      </c>
    </row>
    <row r="2150" spans="1:36" ht="14.25" x14ac:dyDescent="0.2">
      <c r="A2150" t="s">
        <v>3171</v>
      </c>
      <c r="B2150" s="1">
        <v>46062</v>
      </c>
      <c r="C2150" t="s">
        <v>121</v>
      </c>
      <c r="D2150" t="s">
        <v>25</v>
      </c>
      <c r="E2150" t="s">
        <v>26</v>
      </c>
      <c r="F2150" t="s">
        <v>74</v>
      </c>
      <c r="G2150" t="s">
        <v>75</v>
      </c>
      <c r="H2150" t="s">
        <v>76</v>
      </c>
      <c r="I2150" t="s">
        <v>30</v>
      </c>
      <c r="J2150" t="s">
        <v>166</v>
      </c>
      <c r="K2150" t="s">
        <v>32</v>
      </c>
      <c r="L2150" t="s">
        <v>46</v>
      </c>
      <c r="M2150" t="s">
        <v>47</v>
      </c>
      <c r="N2150" t="s">
        <v>48</v>
      </c>
      <c r="O2150" t="s">
        <v>36</v>
      </c>
      <c r="P2150" t="s">
        <v>71</v>
      </c>
      <c r="Q2150" t="s">
        <v>167</v>
      </c>
      <c r="R2150">
        <v>275</v>
      </c>
      <c r="S2150">
        <v>158</v>
      </c>
      <c r="T2150">
        <v>127</v>
      </c>
      <c r="U2150">
        <v>45</v>
      </c>
      <c r="V2150" t="s">
        <v>6354</v>
      </c>
      <c r="W2150">
        <v>49954</v>
      </c>
      <c r="X2150" t="s">
        <v>7262</v>
      </c>
      <c r="Y2150">
        <v>37532</v>
      </c>
      <c r="Z2150">
        <v>2247930</v>
      </c>
      <c r="AA2150">
        <v>558990</v>
      </c>
      <c r="AB2150" t="str">
        <f>(VLOOKUP(SalesData[[#This Row],[Month Number]],Reference!C$5:E$16,2,FALSE))</f>
        <v>Feb</v>
      </c>
      <c r="AC2150">
        <f>MONTH(SalesData[[#This Row],[Date]])</f>
        <v>2</v>
      </c>
      <c r="AD2150">
        <f>Reference!F$4</f>
        <v>2026</v>
      </c>
      <c r="AE2150" t="str">
        <f>IF(OR(SalesData[[#This Row],[Day]]="Saturday",SalesData[[#This Row],[Day]]="Sunday"),"Weekend","Weekday")</f>
        <v>Weekday</v>
      </c>
      <c r="AF2150" s="5">
        <f>IF(SalesData[[#This Row],[Contracts Offered]]=0,0,SalesData[[#This Row],[Contracts Signed]]/SalesData[[#This Row],[Contracts Offered]])</f>
        <v>0.3543307086614173</v>
      </c>
      <c r="AG2150" s="5">
        <f>IF(SalesData[[#This Row],[Customers Visited]]=0,0,SalesData[[#This Row],[Test Drives]]/SalesData[[#This Row],[Customers Visited]])</f>
        <v>0.57454545454545458</v>
      </c>
      <c r="AH2150" s="5">
        <f>IF(SalesData[[#This Row],[Customers Visited]]=0,0,SalesData[[#This Row],[Contracts Signed]]/SalesData[[#This Row],[Customers Visited]])</f>
        <v>0.16363636363636364</v>
      </c>
      <c r="AI2150" s="6">
        <f>IF(SalesData[[#This Row],[Contracts Signed]]=0,0,SalesData[[#This Row],[Profit(€)]]/SalesData[[#This Row],[Contracts Signed]])</f>
        <v>12422</v>
      </c>
      <c r="AJ2150" s="5" t="str">
        <f>TRIM(CLEAN(SalesData[[#This Row],[Retailer]]))</f>
        <v>Stuttgart Auto Center</v>
      </c>
    </row>
    <row r="2151" spans="1:36" ht="14.25" hidden="1" x14ac:dyDescent="0.2">
      <c r="A2151" t="s">
        <v>3172</v>
      </c>
      <c r="B2151" s="1">
        <v>46064</v>
      </c>
      <c r="C2151" t="s">
        <v>121</v>
      </c>
      <c r="D2151" t="s">
        <v>82</v>
      </c>
      <c r="E2151" t="s">
        <v>26</v>
      </c>
      <c r="F2151" t="s">
        <v>114</v>
      </c>
      <c r="G2151" t="s">
        <v>115</v>
      </c>
      <c r="H2151" t="s">
        <v>115</v>
      </c>
      <c r="I2151" t="s">
        <v>64</v>
      </c>
      <c r="J2151" t="s">
        <v>157</v>
      </c>
      <c r="K2151" t="s">
        <v>91</v>
      </c>
      <c r="L2151" t="s">
        <v>33</v>
      </c>
      <c r="M2151" t="s">
        <v>47</v>
      </c>
      <c r="N2151" t="s">
        <v>35</v>
      </c>
      <c r="O2151" t="s">
        <v>36</v>
      </c>
      <c r="P2151" t="s">
        <v>58</v>
      </c>
      <c r="Q2151" t="s">
        <v>118</v>
      </c>
      <c r="R2151">
        <v>252</v>
      </c>
      <c r="S2151">
        <v>149</v>
      </c>
      <c r="T2151">
        <v>111</v>
      </c>
      <c r="U2151">
        <v>46</v>
      </c>
      <c r="V2151" t="s">
        <v>7510</v>
      </c>
      <c r="W2151">
        <v>65835</v>
      </c>
      <c r="X2151" t="s">
        <v>7511</v>
      </c>
      <c r="Y2151">
        <v>50540</v>
      </c>
      <c r="Z2151">
        <v>3028410</v>
      </c>
      <c r="AA2151">
        <v>703570</v>
      </c>
      <c r="AB2151" t="str">
        <f>(VLOOKUP(SalesData[[#This Row],[Month Number]],Reference!C$5:E$16,2,FALSE))</f>
        <v>Feb</v>
      </c>
      <c r="AC2151">
        <f>MONTH(SalesData[[#This Row],[Date]])</f>
        <v>2</v>
      </c>
      <c r="AD2151">
        <f>Reference!F$4</f>
        <v>2026</v>
      </c>
      <c r="AE2151" t="str">
        <f>IF(OR(SalesData[[#This Row],[Day]]="Saturday",SalesData[[#This Row],[Day]]="Sunday"),"Weekend","Weekday")</f>
        <v>Weekday</v>
      </c>
      <c r="AF2151" s="5">
        <f>IF(SalesData[[#This Row],[Contracts Offered]]=0,0,SalesData[[#This Row],[Contracts Signed]]/SalesData[[#This Row],[Contracts Offered]])</f>
        <v>0.4144144144144144</v>
      </c>
      <c r="AG2151" s="5">
        <f>IF(SalesData[[#This Row],[Customers Visited]]=0,0,SalesData[[#This Row],[Test Drives]]/SalesData[[#This Row],[Customers Visited]])</f>
        <v>0.59126984126984128</v>
      </c>
      <c r="AH2151" s="5">
        <f>IF(SalesData[[#This Row],[Customers Visited]]=0,0,SalesData[[#This Row],[Contracts Signed]]/SalesData[[#This Row],[Customers Visited]])</f>
        <v>0.18253968253968253</v>
      </c>
      <c r="AI2151" s="6">
        <f>IF(SalesData[[#This Row],[Contracts Signed]]=0,0,SalesData[[#This Row],[Profit(€)]]/SalesData[[#This Row],[Contracts Signed]])</f>
        <v>15295</v>
      </c>
      <c r="AJ2151" s="5" t="str">
        <f>TRIM(CLEAN(SalesData[[#This Row],[Retailer]]))</f>
        <v>Elbe Drive</v>
      </c>
    </row>
    <row r="2152" spans="1:36" ht="14.25" x14ac:dyDescent="0.2">
      <c r="A2152" t="s">
        <v>3173</v>
      </c>
      <c r="B2152" s="1">
        <v>46074</v>
      </c>
      <c r="C2152" t="s">
        <v>62</v>
      </c>
      <c r="D2152" t="s">
        <v>151</v>
      </c>
      <c r="E2152" t="s">
        <v>42</v>
      </c>
      <c r="F2152" t="s">
        <v>83</v>
      </c>
      <c r="G2152" t="s">
        <v>84</v>
      </c>
      <c r="H2152" t="s">
        <v>85</v>
      </c>
      <c r="I2152" t="s">
        <v>30</v>
      </c>
      <c r="J2152" t="s">
        <v>7075</v>
      </c>
      <c r="K2152" t="s">
        <v>66</v>
      </c>
      <c r="L2152" t="s">
        <v>33</v>
      </c>
      <c r="M2152" t="s">
        <v>47</v>
      </c>
      <c r="N2152" t="s">
        <v>48</v>
      </c>
      <c r="O2152" t="s">
        <v>70</v>
      </c>
      <c r="P2152" t="s">
        <v>58</v>
      </c>
      <c r="Q2152" t="s">
        <v>88</v>
      </c>
      <c r="R2152">
        <v>158</v>
      </c>
      <c r="S2152">
        <v>84</v>
      </c>
      <c r="T2152">
        <v>59</v>
      </c>
      <c r="U2152">
        <v>22</v>
      </c>
      <c r="V2152" t="s">
        <v>6663</v>
      </c>
      <c r="W2152">
        <v>66232</v>
      </c>
      <c r="X2152" t="s">
        <v>2110</v>
      </c>
      <c r="Y2152">
        <v>50062</v>
      </c>
      <c r="Z2152">
        <v>1457104</v>
      </c>
      <c r="AA2152">
        <v>355740</v>
      </c>
      <c r="AB2152" t="str">
        <f>(VLOOKUP(SalesData[[#This Row],[Month Number]],Reference!C$5:E$16,2,FALSE))</f>
        <v>Feb</v>
      </c>
      <c r="AC2152">
        <f>MONTH(SalesData[[#This Row],[Date]])</f>
        <v>2</v>
      </c>
      <c r="AD2152">
        <f>Reference!F$4</f>
        <v>2026</v>
      </c>
      <c r="AE2152" t="str">
        <f>IF(OR(SalesData[[#This Row],[Day]]="Saturday",SalesData[[#This Row],[Day]]="Sunday"),"Weekend","Weekday")</f>
        <v>Weekend</v>
      </c>
      <c r="AF2152" s="5">
        <f>IF(SalesData[[#This Row],[Contracts Offered]]=0,0,SalesData[[#This Row],[Contracts Signed]]/SalesData[[#This Row],[Contracts Offered]])</f>
        <v>0.3728813559322034</v>
      </c>
      <c r="AG2152" s="5">
        <f>IF(SalesData[[#This Row],[Customers Visited]]=0,0,SalesData[[#This Row],[Test Drives]]/SalesData[[#This Row],[Customers Visited]])</f>
        <v>0.53164556962025311</v>
      </c>
      <c r="AH2152" s="5">
        <f>IF(SalesData[[#This Row],[Customers Visited]]=0,0,SalesData[[#This Row],[Contracts Signed]]/SalesData[[#This Row],[Customers Visited]])</f>
        <v>0.13924050632911392</v>
      </c>
      <c r="AI2152" s="6">
        <f>IF(SalesData[[#This Row],[Contracts Signed]]=0,0,SalesData[[#This Row],[Profit(€)]]/SalesData[[#This Row],[Contracts Signed]])</f>
        <v>16170</v>
      </c>
      <c r="AJ2152" s="5" t="str">
        <f>TRIM(CLEAN(SalesData[[#This Row],[Retailer]]))</f>
        <v>Hannover Cars</v>
      </c>
    </row>
    <row r="2153" spans="1:36" ht="14.25" hidden="1" x14ac:dyDescent="0.2">
      <c r="A2153" t="s">
        <v>3174</v>
      </c>
      <c r="B2153" s="1">
        <v>46079</v>
      </c>
      <c r="C2153" t="s">
        <v>53</v>
      </c>
      <c r="D2153" t="s">
        <v>100</v>
      </c>
      <c r="E2153" t="s">
        <v>26</v>
      </c>
      <c r="F2153" t="s">
        <v>109</v>
      </c>
      <c r="G2153" t="s">
        <v>110</v>
      </c>
      <c r="H2153" t="s">
        <v>45</v>
      </c>
      <c r="I2153" t="s">
        <v>56</v>
      </c>
      <c r="J2153" t="s">
        <v>137</v>
      </c>
      <c r="K2153" t="s">
        <v>78</v>
      </c>
      <c r="L2153" t="s">
        <v>46</v>
      </c>
      <c r="M2153" t="s">
        <v>34</v>
      </c>
      <c r="N2153" t="s">
        <v>48</v>
      </c>
      <c r="O2153" t="s">
        <v>70</v>
      </c>
      <c r="P2153" t="s">
        <v>49</v>
      </c>
      <c r="Q2153" t="s">
        <v>144</v>
      </c>
      <c r="R2153">
        <v>236</v>
      </c>
      <c r="S2153">
        <v>112</v>
      </c>
      <c r="T2153">
        <v>76</v>
      </c>
      <c r="U2153">
        <v>24</v>
      </c>
      <c r="V2153" t="s">
        <v>6452</v>
      </c>
      <c r="W2153">
        <v>44317</v>
      </c>
      <c r="X2153" t="s">
        <v>2129</v>
      </c>
      <c r="Y2153">
        <v>33961</v>
      </c>
      <c r="Z2153">
        <v>1063608</v>
      </c>
      <c r="AA2153">
        <v>248544</v>
      </c>
      <c r="AB2153" t="str">
        <f>(VLOOKUP(SalesData[[#This Row],[Month Number]],Reference!C$5:E$16,2,FALSE))</f>
        <v>Feb</v>
      </c>
      <c r="AC2153">
        <f>MONTH(SalesData[[#This Row],[Date]])</f>
        <v>2</v>
      </c>
      <c r="AD2153">
        <f>Reference!F$4</f>
        <v>2026</v>
      </c>
      <c r="AE2153" t="str">
        <f>IF(OR(SalesData[[#This Row],[Day]]="Saturday",SalesData[[#This Row],[Day]]="Sunday"),"Weekend","Weekday")</f>
        <v>Weekday</v>
      </c>
      <c r="AF2153" s="5">
        <f>IF(SalesData[[#This Row],[Contracts Offered]]=0,0,SalesData[[#This Row],[Contracts Signed]]/SalesData[[#This Row],[Contracts Offered]])</f>
        <v>0.31578947368421051</v>
      </c>
      <c r="AG2153" s="5">
        <f>IF(SalesData[[#This Row],[Customers Visited]]=0,0,SalesData[[#This Row],[Test Drives]]/SalesData[[#This Row],[Customers Visited]])</f>
        <v>0.47457627118644069</v>
      </c>
      <c r="AH2153" s="5">
        <f>IF(SalesData[[#This Row],[Customers Visited]]=0,0,SalesData[[#This Row],[Contracts Signed]]/SalesData[[#This Row],[Customers Visited]])</f>
        <v>0.10169491525423729</v>
      </c>
      <c r="AI2153" s="6">
        <f>IF(SalesData[[#This Row],[Contracts Signed]]=0,0,SalesData[[#This Row],[Profit(€)]]/SalesData[[#This Row],[Contracts Signed]])</f>
        <v>10356</v>
      </c>
      <c r="AJ2153" s="5" t="str">
        <f>TRIM(CLEAN(SalesData[[#This Row],[Retailer]]))</f>
        <v>Leipzig Mobility</v>
      </c>
    </row>
    <row r="2154" spans="1:36" ht="14.25" hidden="1" x14ac:dyDescent="0.2">
      <c r="A2154" t="s">
        <v>3175</v>
      </c>
      <c r="B2154" s="1">
        <v>46079</v>
      </c>
      <c r="C2154" t="s">
        <v>53</v>
      </c>
      <c r="D2154" t="s">
        <v>100</v>
      </c>
      <c r="E2154" t="s">
        <v>26</v>
      </c>
      <c r="F2154" t="s">
        <v>7649</v>
      </c>
      <c r="G2154" t="s">
        <v>55</v>
      </c>
      <c r="H2154" t="s">
        <v>55</v>
      </c>
      <c r="I2154" t="s">
        <v>104</v>
      </c>
      <c r="J2154" t="s">
        <v>105</v>
      </c>
      <c r="K2154" t="s">
        <v>66</v>
      </c>
      <c r="L2154" t="s">
        <v>33</v>
      </c>
      <c r="M2154" t="s">
        <v>68</v>
      </c>
      <c r="N2154" t="s">
        <v>48</v>
      </c>
      <c r="O2154" t="s">
        <v>70</v>
      </c>
      <c r="P2154" t="s">
        <v>49</v>
      </c>
      <c r="Q2154" t="s">
        <v>347</v>
      </c>
      <c r="R2154">
        <v>297</v>
      </c>
      <c r="S2154">
        <v>157</v>
      </c>
      <c r="T2154">
        <v>91</v>
      </c>
      <c r="U2154">
        <v>20</v>
      </c>
      <c r="V2154" t="s">
        <v>6704</v>
      </c>
      <c r="W2154">
        <v>30289</v>
      </c>
      <c r="X2154" t="s">
        <v>540</v>
      </c>
      <c r="Y2154">
        <v>27557</v>
      </c>
      <c r="Z2154">
        <v>605780</v>
      </c>
      <c r="AA2154">
        <v>54640</v>
      </c>
      <c r="AB2154" t="str">
        <f>(VLOOKUP(SalesData[[#This Row],[Month Number]],Reference!C$5:E$16,2,FALSE))</f>
        <v>Feb</v>
      </c>
      <c r="AC2154">
        <f>MONTH(SalesData[[#This Row],[Date]])</f>
        <v>2</v>
      </c>
      <c r="AD2154">
        <f>Reference!F$4</f>
        <v>2026</v>
      </c>
      <c r="AE2154" t="str">
        <f>IF(OR(SalesData[[#This Row],[Day]]="Saturday",SalesData[[#This Row],[Day]]="Sunday"),"Weekend","Weekday")</f>
        <v>Weekday</v>
      </c>
      <c r="AF2154" s="5">
        <f>IF(SalesData[[#This Row],[Contracts Offered]]=0,0,SalesData[[#This Row],[Contracts Signed]]/SalesData[[#This Row],[Contracts Offered]])</f>
        <v>0.21978021978021978</v>
      </c>
      <c r="AG2154" s="5">
        <f>IF(SalesData[[#This Row],[Customers Visited]]=0,0,SalesData[[#This Row],[Test Drives]]/SalesData[[#This Row],[Customers Visited]])</f>
        <v>0.52861952861952866</v>
      </c>
      <c r="AH2154" s="5">
        <f>IF(SalesData[[#This Row],[Customers Visited]]=0,0,SalesData[[#This Row],[Contracts Signed]]/SalesData[[#This Row],[Customers Visited]])</f>
        <v>6.7340067340067339E-2</v>
      </c>
      <c r="AI2154" s="6">
        <f>IF(SalesData[[#This Row],[Contracts Signed]]=0,0,SalesData[[#This Row],[Profit(€)]]/SalesData[[#This Row],[Contracts Signed]])</f>
        <v>2732</v>
      </c>
      <c r="AJ2154" s="5" t="str">
        <f>TRIM(CLEAN(SalesData[[#This Row],[Retailer]]))</f>
        <v>Autohaus Berlin</v>
      </c>
    </row>
    <row r="2155" spans="1:36" ht="14.25" hidden="1" x14ac:dyDescent="0.2">
      <c r="A2155" t="s">
        <v>3176</v>
      </c>
      <c r="B2155" s="1">
        <v>46067</v>
      </c>
      <c r="C2155" t="s">
        <v>121</v>
      </c>
      <c r="D2155" t="s">
        <v>151</v>
      </c>
      <c r="E2155" t="s">
        <v>42</v>
      </c>
      <c r="F2155" t="s">
        <v>94</v>
      </c>
      <c r="G2155" t="s">
        <v>95</v>
      </c>
      <c r="H2155" t="s">
        <v>96</v>
      </c>
      <c r="I2155" t="s">
        <v>104</v>
      </c>
      <c r="J2155" t="s">
        <v>140</v>
      </c>
      <c r="K2155" t="s">
        <v>32</v>
      </c>
      <c r="L2155" t="s">
        <v>46</v>
      </c>
      <c r="M2155" t="s">
        <v>68</v>
      </c>
      <c r="N2155" t="s">
        <v>35</v>
      </c>
      <c r="O2155" t="s">
        <v>70</v>
      </c>
      <c r="P2155" t="s">
        <v>58</v>
      </c>
      <c r="Q2155" t="s">
        <v>204</v>
      </c>
      <c r="R2155">
        <v>330</v>
      </c>
      <c r="S2155">
        <v>145</v>
      </c>
      <c r="T2155">
        <v>97</v>
      </c>
      <c r="U2155">
        <v>32</v>
      </c>
      <c r="V2155" t="s">
        <v>6493</v>
      </c>
      <c r="W2155">
        <v>25650</v>
      </c>
      <c r="X2155" t="s">
        <v>2242</v>
      </c>
      <c r="Y2155">
        <v>22240</v>
      </c>
      <c r="Z2155">
        <v>820800</v>
      </c>
      <c r="AA2155">
        <v>109120</v>
      </c>
      <c r="AB2155" t="str">
        <f>(VLOOKUP(SalesData[[#This Row],[Month Number]],Reference!C$5:E$16,2,FALSE))</f>
        <v>Feb</v>
      </c>
      <c r="AC2155">
        <f>MONTH(SalesData[[#This Row],[Date]])</f>
        <v>2</v>
      </c>
      <c r="AD2155">
        <f>Reference!F$4</f>
        <v>2026</v>
      </c>
      <c r="AE2155" t="str">
        <f>IF(OR(SalesData[[#This Row],[Day]]="Saturday",SalesData[[#This Row],[Day]]="Sunday"),"Weekend","Weekday")</f>
        <v>Weekend</v>
      </c>
      <c r="AF2155" s="5">
        <f>IF(SalesData[[#This Row],[Contracts Offered]]=0,0,SalesData[[#This Row],[Contracts Signed]]/SalesData[[#This Row],[Contracts Offered]])</f>
        <v>0.32989690721649484</v>
      </c>
      <c r="AG2155" s="5">
        <f>IF(SalesData[[#This Row],[Customers Visited]]=0,0,SalesData[[#This Row],[Test Drives]]/SalesData[[#This Row],[Customers Visited]])</f>
        <v>0.43939393939393939</v>
      </c>
      <c r="AH2155" s="5">
        <f>IF(SalesData[[#This Row],[Customers Visited]]=0,0,SalesData[[#This Row],[Contracts Signed]]/SalesData[[#This Row],[Customers Visited]])</f>
        <v>9.696969696969697E-2</v>
      </c>
      <c r="AI2155" s="6">
        <f>IF(SalesData[[#This Row],[Contracts Signed]]=0,0,SalesData[[#This Row],[Profit(€)]]/SalesData[[#This Row],[Contracts Signed]])</f>
        <v>3410</v>
      </c>
      <c r="AJ2155" s="5" t="str">
        <f>TRIM(CLEAN(SalesData[[#This Row],[Retailer]]))</f>
        <v>Bavaria Motors</v>
      </c>
    </row>
    <row r="2156" spans="1:36" ht="14.25" x14ac:dyDescent="0.2">
      <c r="A2156" t="s">
        <v>3177</v>
      </c>
      <c r="B2156" s="1">
        <v>46056</v>
      </c>
      <c r="C2156" t="s">
        <v>24</v>
      </c>
      <c r="D2156" t="s">
        <v>63</v>
      </c>
      <c r="E2156" t="s">
        <v>26</v>
      </c>
      <c r="F2156" t="s">
        <v>27</v>
      </c>
      <c r="G2156" t="s">
        <v>28</v>
      </c>
      <c r="H2156" t="s">
        <v>29</v>
      </c>
      <c r="I2156" t="s">
        <v>30</v>
      </c>
      <c r="J2156" t="s">
        <v>7075</v>
      </c>
      <c r="K2156" t="s">
        <v>66</v>
      </c>
      <c r="L2156" t="s">
        <v>33</v>
      </c>
      <c r="M2156" t="s">
        <v>68</v>
      </c>
      <c r="N2156" t="s">
        <v>69</v>
      </c>
      <c r="O2156" t="s">
        <v>36</v>
      </c>
      <c r="P2156" t="s">
        <v>71</v>
      </c>
      <c r="Q2156" t="s">
        <v>59</v>
      </c>
      <c r="R2156">
        <v>187</v>
      </c>
      <c r="S2156">
        <v>91</v>
      </c>
      <c r="T2156">
        <v>70</v>
      </c>
      <c r="U2156">
        <v>28</v>
      </c>
      <c r="V2156" t="s">
        <v>7429</v>
      </c>
      <c r="W2156">
        <v>52645</v>
      </c>
      <c r="X2156" t="s">
        <v>7121</v>
      </c>
      <c r="Y2156">
        <v>40663</v>
      </c>
      <c r="Z2156">
        <v>1474060</v>
      </c>
      <c r="AA2156">
        <v>335496</v>
      </c>
      <c r="AB2156" t="str">
        <f>(VLOOKUP(SalesData[[#This Row],[Month Number]],Reference!C$5:E$16,2,FALSE))</f>
        <v>Feb</v>
      </c>
      <c r="AC2156">
        <f>MONTH(SalesData[[#This Row],[Date]])</f>
        <v>2</v>
      </c>
      <c r="AD2156">
        <f>Reference!F$4</f>
        <v>2026</v>
      </c>
      <c r="AE2156" t="str">
        <f>IF(OR(SalesData[[#This Row],[Day]]="Saturday",SalesData[[#This Row],[Day]]="Sunday"),"Weekend","Weekday")</f>
        <v>Weekday</v>
      </c>
      <c r="AF2156" s="5">
        <f>IF(SalesData[[#This Row],[Contracts Offered]]=0,0,SalesData[[#This Row],[Contracts Signed]]/SalesData[[#This Row],[Contracts Offered]])</f>
        <v>0.4</v>
      </c>
      <c r="AG2156" s="5">
        <f>IF(SalesData[[#This Row],[Customers Visited]]=0,0,SalesData[[#This Row],[Test Drives]]/SalesData[[#This Row],[Customers Visited]])</f>
        <v>0.48663101604278075</v>
      </c>
      <c r="AH2156" s="5">
        <f>IF(SalesData[[#This Row],[Customers Visited]]=0,0,SalesData[[#This Row],[Contracts Signed]]/SalesData[[#This Row],[Customers Visited]])</f>
        <v>0.1497326203208556</v>
      </c>
      <c r="AI2156" s="6">
        <f>IF(SalesData[[#This Row],[Contracts Signed]]=0,0,SalesData[[#This Row],[Profit(€)]]/SalesData[[#This Row],[Contracts Signed]])</f>
        <v>11982</v>
      </c>
      <c r="AJ2156" s="5" t="str">
        <f>TRIM(CLEAN(SalesData[[#This Row],[Retailer]]))</f>
        <v>Main Auto Hub</v>
      </c>
    </row>
    <row r="2157" spans="1:36" ht="14.25" x14ac:dyDescent="0.2">
      <c r="A2157" t="s">
        <v>3178</v>
      </c>
      <c r="B2157" s="1">
        <v>46072</v>
      </c>
      <c r="C2157" t="s">
        <v>62</v>
      </c>
      <c r="D2157" t="s">
        <v>100</v>
      </c>
      <c r="E2157" t="s">
        <v>26</v>
      </c>
      <c r="F2157" t="s">
        <v>127</v>
      </c>
      <c r="G2157" t="s">
        <v>128</v>
      </c>
      <c r="H2157" t="s">
        <v>103</v>
      </c>
      <c r="I2157" t="s">
        <v>30</v>
      </c>
      <c r="J2157" t="s">
        <v>188</v>
      </c>
      <c r="K2157" t="s">
        <v>66</v>
      </c>
      <c r="L2157" t="s">
        <v>33</v>
      </c>
      <c r="M2157" t="s">
        <v>34</v>
      </c>
      <c r="N2157" t="s">
        <v>69</v>
      </c>
      <c r="O2157" t="s">
        <v>70</v>
      </c>
      <c r="P2157" t="s">
        <v>37</v>
      </c>
      <c r="Q2157" t="s">
        <v>135</v>
      </c>
      <c r="R2157">
        <v>176</v>
      </c>
      <c r="S2157">
        <v>83</v>
      </c>
      <c r="T2157">
        <v>58</v>
      </c>
      <c r="U2157">
        <v>23</v>
      </c>
      <c r="V2157" t="s">
        <v>6708</v>
      </c>
      <c r="W2157">
        <v>59756</v>
      </c>
      <c r="X2157" t="s">
        <v>7175</v>
      </c>
      <c r="Y2157">
        <v>44117</v>
      </c>
      <c r="Z2157">
        <v>1374388</v>
      </c>
      <c r="AA2157">
        <v>359697</v>
      </c>
      <c r="AB2157" t="str">
        <f>(VLOOKUP(SalesData[[#This Row],[Month Number]],Reference!C$5:E$16,2,FALSE))</f>
        <v>Feb</v>
      </c>
      <c r="AC2157">
        <f>MONTH(SalesData[[#This Row],[Date]])</f>
        <v>2</v>
      </c>
      <c r="AD2157">
        <f>Reference!F$4</f>
        <v>2026</v>
      </c>
      <c r="AE2157" t="str">
        <f>IF(OR(SalesData[[#This Row],[Day]]="Saturday",SalesData[[#This Row],[Day]]="Sunday"),"Weekend","Weekday")</f>
        <v>Weekday</v>
      </c>
      <c r="AF2157" s="5">
        <f>IF(SalesData[[#This Row],[Contracts Offered]]=0,0,SalesData[[#This Row],[Contracts Signed]]/SalesData[[#This Row],[Contracts Offered]])</f>
        <v>0.39655172413793105</v>
      </c>
      <c r="AG2157" s="5">
        <f>IF(SalesData[[#This Row],[Customers Visited]]=0,0,SalesData[[#This Row],[Test Drives]]/SalesData[[#This Row],[Customers Visited]])</f>
        <v>0.47159090909090912</v>
      </c>
      <c r="AH2157" s="5">
        <f>IF(SalesData[[#This Row],[Customers Visited]]=0,0,SalesData[[#This Row],[Contracts Signed]]/SalesData[[#This Row],[Customers Visited]])</f>
        <v>0.13068181818181818</v>
      </c>
      <c r="AI2157" s="6">
        <f>IF(SalesData[[#This Row],[Contracts Signed]]=0,0,SalesData[[#This Row],[Profit(€)]]/SalesData[[#This Row],[Contracts Signed]])</f>
        <v>15639</v>
      </c>
      <c r="AJ2157" s="5" t="str">
        <f>TRIM(CLEAN(SalesData[[#This Row],[Retailer]]))</f>
        <v>Rhein Auto Group</v>
      </c>
    </row>
    <row r="2158" spans="1:36" ht="14.25" hidden="1" x14ac:dyDescent="0.2">
      <c r="A2158" t="s">
        <v>3179</v>
      </c>
      <c r="B2158" s="1">
        <v>46064</v>
      </c>
      <c r="C2158" t="s">
        <v>121</v>
      </c>
      <c r="D2158" t="s">
        <v>82</v>
      </c>
      <c r="E2158" t="s">
        <v>26</v>
      </c>
      <c r="F2158" t="s">
        <v>74</v>
      </c>
      <c r="G2158" t="s">
        <v>75</v>
      </c>
      <c r="H2158" t="s">
        <v>76</v>
      </c>
      <c r="I2158" t="s">
        <v>64</v>
      </c>
      <c r="J2158" t="s">
        <v>65</v>
      </c>
      <c r="K2158" t="s">
        <v>32</v>
      </c>
      <c r="L2158" t="s">
        <v>33</v>
      </c>
      <c r="M2158" t="s">
        <v>47</v>
      </c>
      <c r="N2158" t="s">
        <v>69</v>
      </c>
      <c r="O2158" t="s">
        <v>70</v>
      </c>
      <c r="P2158" t="s">
        <v>49</v>
      </c>
      <c r="Q2158" t="s">
        <v>79</v>
      </c>
      <c r="R2158">
        <v>237</v>
      </c>
      <c r="S2158">
        <v>132</v>
      </c>
      <c r="T2158">
        <v>91</v>
      </c>
      <c r="U2158">
        <v>32</v>
      </c>
      <c r="V2158" t="s">
        <v>6429</v>
      </c>
      <c r="W2158">
        <v>54079</v>
      </c>
      <c r="X2158" t="s">
        <v>7347</v>
      </c>
      <c r="Y2158">
        <v>41185</v>
      </c>
      <c r="Z2158">
        <v>1730528</v>
      </c>
      <c r="AA2158">
        <v>412608</v>
      </c>
      <c r="AB2158" t="str">
        <f>(VLOOKUP(SalesData[[#This Row],[Month Number]],Reference!C$5:E$16,2,FALSE))</f>
        <v>Feb</v>
      </c>
      <c r="AC2158">
        <f>MONTH(SalesData[[#This Row],[Date]])</f>
        <v>2</v>
      </c>
      <c r="AD2158">
        <f>Reference!F$4</f>
        <v>2026</v>
      </c>
      <c r="AE2158" t="str">
        <f>IF(OR(SalesData[[#This Row],[Day]]="Saturday",SalesData[[#This Row],[Day]]="Sunday"),"Weekend","Weekday")</f>
        <v>Weekday</v>
      </c>
      <c r="AF2158" s="5">
        <f>IF(SalesData[[#This Row],[Contracts Offered]]=0,0,SalesData[[#This Row],[Contracts Signed]]/SalesData[[#This Row],[Contracts Offered]])</f>
        <v>0.35164835164835168</v>
      </c>
      <c r="AG2158" s="5">
        <f>IF(SalesData[[#This Row],[Customers Visited]]=0,0,SalesData[[#This Row],[Test Drives]]/SalesData[[#This Row],[Customers Visited]])</f>
        <v>0.55696202531645567</v>
      </c>
      <c r="AH2158" s="5">
        <f>IF(SalesData[[#This Row],[Customers Visited]]=0,0,SalesData[[#This Row],[Contracts Signed]]/SalesData[[#This Row],[Customers Visited]])</f>
        <v>0.13502109704641349</v>
      </c>
      <c r="AI2158" s="6">
        <f>IF(SalesData[[#This Row],[Contracts Signed]]=0,0,SalesData[[#This Row],[Profit(€)]]/SalesData[[#This Row],[Contracts Signed]])</f>
        <v>12894</v>
      </c>
      <c r="AJ2158" s="5" t="str">
        <f>TRIM(CLEAN(SalesData[[#This Row],[Retailer]]))</f>
        <v>Stuttgart Auto Center</v>
      </c>
    </row>
    <row r="2159" spans="1:36" ht="14.25" hidden="1" x14ac:dyDescent="0.2">
      <c r="A2159" t="s">
        <v>3181</v>
      </c>
      <c r="B2159" s="1">
        <v>46081</v>
      </c>
      <c r="C2159" t="s">
        <v>53</v>
      </c>
      <c r="D2159" t="s">
        <v>151</v>
      </c>
      <c r="E2159" t="s">
        <v>42</v>
      </c>
      <c r="F2159" t="s">
        <v>83</v>
      </c>
      <c r="G2159" t="s">
        <v>84</v>
      </c>
      <c r="H2159" t="s">
        <v>85</v>
      </c>
      <c r="I2159" t="s">
        <v>116</v>
      </c>
      <c r="J2159" t="s">
        <v>7090</v>
      </c>
      <c r="K2159" t="s">
        <v>78</v>
      </c>
      <c r="L2159" t="s">
        <v>46</v>
      </c>
      <c r="M2159" t="s">
        <v>47</v>
      </c>
      <c r="N2159" t="s">
        <v>35</v>
      </c>
      <c r="O2159" t="s">
        <v>70</v>
      </c>
      <c r="P2159" t="s">
        <v>49</v>
      </c>
      <c r="Q2159" t="s">
        <v>135</v>
      </c>
      <c r="R2159">
        <v>238</v>
      </c>
      <c r="S2159">
        <v>131</v>
      </c>
      <c r="T2159">
        <v>85</v>
      </c>
      <c r="U2159">
        <v>20</v>
      </c>
      <c r="V2159" t="s">
        <v>1257</v>
      </c>
      <c r="W2159">
        <v>22261</v>
      </c>
      <c r="X2159" t="s">
        <v>279</v>
      </c>
      <c r="Y2159">
        <v>20153</v>
      </c>
      <c r="Z2159">
        <v>445220</v>
      </c>
      <c r="AA2159">
        <v>42160</v>
      </c>
      <c r="AB2159" t="str">
        <f>(VLOOKUP(SalesData[[#This Row],[Month Number]],Reference!C$5:E$16,2,FALSE))</f>
        <v>Feb</v>
      </c>
      <c r="AC2159">
        <f>MONTH(SalesData[[#This Row],[Date]])</f>
        <v>2</v>
      </c>
      <c r="AD2159">
        <f>Reference!F$4</f>
        <v>2026</v>
      </c>
      <c r="AE2159" t="str">
        <f>IF(OR(SalesData[[#This Row],[Day]]="Saturday",SalesData[[#This Row],[Day]]="Sunday"),"Weekend","Weekday")</f>
        <v>Weekend</v>
      </c>
      <c r="AF2159" s="5">
        <f>IF(SalesData[[#This Row],[Contracts Offered]]=0,0,SalesData[[#This Row],[Contracts Signed]]/SalesData[[#This Row],[Contracts Offered]])</f>
        <v>0.23529411764705882</v>
      </c>
      <c r="AG2159" s="5">
        <f>IF(SalesData[[#This Row],[Customers Visited]]=0,0,SalesData[[#This Row],[Test Drives]]/SalesData[[#This Row],[Customers Visited]])</f>
        <v>0.55042016806722693</v>
      </c>
      <c r="AH2159" s="5">
        <f>IF(SalesData[[#This Row],[Customers Visited]]=0,0,SalesData[[#This Row],[Contracts Signed]]/SalesData[[#This Row],[Customers Visited]])</f>
        <v>8.4033613445378158E-2</v>
      </c>
      <c r="AI2159" s="6">
        <f>IF(SalesData[[#This Row],[Contracts Signed]]=0,0,SalesData[[#This Row],[Profit(€)]]/SalesData[[#This Row],[Contracts Signed]])</f>
        <v>2108</v>
      </c>
      <c r="AJ2159" s="5" t="str">
        <f>TRIM(CLEAN(SalesData[[#This Row],[Retailer]]))</f>
        <v>Hannover Cars</v>
      </c>
    </row>
    <row r="2160" spans="1:36" ht="14.25" hidden="1" x14ac:dyDescent="0.2">
      <c r="A2160" t="s">
        <v>3182</v>
      </c>
      <c r="B2160" s="1">
        <v>46078</v>
      </c>
      <c r="C2160" t="s">
        <v>53</v>
      </c>
      <c r="D2160" t="s">
        <v>82</v>
      </c>
      <c r="E2160" t="s">
        <v>26</v>
      </c>
      <c r="F2160" t="s">
        <v>27</v>
      </c>
      <c r="G2160" t="s">
        <v>28</v>
      </c>
      <c r="H2160" t="s">
        <v>29</v>
      </c>
      <c r="I2160" t="s">
        <v>116</v>
      </c>
      <c r="J2160" t="s">
        <v>117</v>
      </c>
      <c r="K2160" t="s">
        <v>32</v>
      </c>
      <c r="L2160" t="s">
        <v>67</v>
      </c>
      <c r="M2160" t="s">
        <v>87</v>
      </c>
      <c r="N2160" t="s">
        <v>35</v>
      </c>
      <c r="O2160" t="s">
        <v>36</v>
      </c>
      <c r="P2160" t="s">
        <v>58</v>
      </c>
      <c r="Q2160" t="s">
        <v>144</v>
      </c>
      <c r="R2160">
        <v>331</v>
      </c>
      <c r="S2160">
        <v>172</v>
      </c>
      <c r="T2160">
        <v>112</v>
      </c>
      <c r="U2160">
        <v>34</v>
      </c>
      <c r="V2160" t="s">
        <v>403</v>
      </c>
      <c r="W2160">
        <v>19750</v>
      </c>
      <c r="X2160" t="s">
        <v>7145</v>
      </c>
      <c r="Y2160">
        <v>17918</v>
      </c>
      <c r="Z2160">
        <v>671500</v>
      </c>
      <c r="AA2160">
        <v>62288</v>
      </c>
      <c r="AB2160" t="str">
        <f>(VLOOKUP(SalesData[[#This Row],[Month Number]],Reference!C$5:E$16,2,FALSE))</f>
        <v>Feb</v>
      </c>
      <c r="AC2160">
        <f>MONTH(SalesData[[#This Row],[Date]])</f>
        <v>2</v>
      </c>
      <c r="AD2160">
        <f>Reference!F$4</f>
        <v>2026</v>
      </c>
      <c r="AE2160" t="str">
        <f>IF(OR(SalesData[[#This Row],[Day]]="Saturday",SalesData[[#This Row],[Day]]="Sunday"),"Weekend","Weekday")</f>
        <v>Weekday</v>
      </c>
      <c r="AF2160" s="5">
        <f>IF(SalesData[[#This Row],[Contracts Offered]]=0,0,SalesData[[#This Row],[Contracts Signed]]/SalesData[[#This Row],[Contracts Offered]])</f>
        <v>0.30357142857142855</v>
      </c>
      <c r="AG2160" s="5">
        <f>IF(SalesData[[#This Row],[Customers Visited]]=0,0,SalesData[[#This Row],[Test Drives]]/SalesData[[#This Row],[Customers Visited]])</f>
        <v>0.51963746223564955</v>
      </c>
      <c r="AH2160" s="5">
        <f>IF(SalesData[[#This Row],[Customers Visited]]=0,0,SalesData[[#This Row],[Contracts Signed]]/SalesData[[#This Row],[Customers Visited]])</f>
        <v>0.1027190332326284</v>
      </c>
      <c r="AI2160" s="6">
        <f>IF(SalesData[[#This Row],[Contracts Signed]]=0,0,SalesData[[#This Row],[Profit(€)]]/SalesData[[#This Row],[Contracts Signed]])</f>
        <v>1832</v>
      </c>
      <c r="AJ2160" s="5" t="str">
        <f>TRIM(CLEAN(SalesData[[#This Row],[Retailer]]))</f>
        <v>Main Auto Hub</v>
      </c>
    </row>
    <row r="2161" spans="1:36" ht="14.25" hidden="1" x14ac:dyDescent="0.2">
      <c r="A2161" t="s">
        <v>3183</v>
      </c>
      <c r="B2161" s="1">
        <v>46074</v>
      </c>
      <c r="C2161" t="s">
        <v>62</v>
      </c>
      <c r="D2161" t="s">
        <v>151</v>
      </c>
      <c r="E2161" t="s">
        <v>42</v>
      </c>
      <c r="F2161" t="s">
        <v>127</v>
      </c>
      <c r="G2161" t="s">
        <v>128</v>
      </c>
      <c r="H2161" t="s">
        <v>103</v>
      </c>
      <c r="I2161" t="s">
        <v>64</v>
      </c>
      <c r="J2161" t="s">
        <v>65</v>
      </c>
      <c r="K2161" t="s">
        <v>32</v>
      </c>
      <c r="L2161" t="s">
        <v>33</v>
      </c>
      <c r="M2161" t="s">
        <v>47</v>
      </c>
      <c r="N2161" t="s">
        <v>48</v>
      </c>
      <c r="O2161" t="s">
        <v>36</v>
      </c>
      <c r="P2161" t="s">
        <v>58</v>
      </c>
      <c r="Q2161" t="s">
        <v>135</v>
      </c>
      <c r="R2161">
        <v>287</v>
      </c>
      <c r="S2161">
        <v>163</v>
      </c>
      <c r="T2161">
        <v>125</v>
      </c>
      <c r="U2161">
        <v>43</v>
      </c>
      <c r="V2161" t="s">
        <v>7512</v>
      </c>
      <c r="W2161">
        <v>54623</v>
      </c>
      <c r="X2161" t="s">
        <v>7072</v>
      </c>
      <c r="Y2161">
        <v>39590</v>
      </c>
      <c r="Z2161">
        <v>2348789</v>
      </c>
      <c r="AA2161">
        <v>646419</v>
      </c>
      <c r="AB2161" t="str">
        <f>(VLOOKUP(SalesData[[#This Row],[Month Number]],Reference!C$5:E$16,2,FALSE))</f>
        <v>Feb</v>
      </c>
      <c r="AC2161">
        <f>MONTH(SalesData[[#This Row],[Date]])</f>
        <v>2</v>
      </c>
      <c r="AD2161">
        <f>Reference!F$4</f>
        <v>2026</v>
      </c>
      <c r="AE2161" t="str">
        <f>IF(OR(SalesData[[#This Row],[Day]]="Saturday",SalesData[[#This Row],[Day]]="Sunday"),"Weekend","Weekday")</f>
        <v>Weekend</v>
      </c>
      <c r="AF2161" s="5">
        <f>IF(SalesData[[#This Row],[Contracts Offered]]=0,0,SalesData[[#This Row],[Contracts Signed]]/SalesData[[#This Row],[Contracts Offered]])</f>
        <v>0.34399999999999997</v>
      </c>
      <c r="AG2161" s="5">
        <f>IF(SalesData[[#This Row],[Customers Visited]]=0,0,SalesData[[#This Row],[Test Drives]]/SalesData[[#This Row],[Customers Visited]])</f>
        <v>0.56794425087108014</v>
      </c>
      <c r="AH2161" s="5">
        <f>IF(SalesData[[#This Row],[Customers Visited]]=0,0,SalesData[[#This Row],[Contracts Signed]]/SalesData[[#This Row],[Customers Visited]])</f>
        <v>0.14982578397212543</v>
      </c>
      <c r="AI2161" s="6">
        <f>IF(SalesData[[#This Row],[Contracts Signed]]=0,0,SalesData[[#This Row],[Profit(€)]]/SalesData[[#This Row],[Contracts Signed]])</f>
        <v>15033</v>
      </c>
      <c r="AJ2161" s="5" t="str">
        <f>TRIM(CLEAN(SalesData[[#This Row],[Retailer]]))</f>
        <v>Rhein Auto Group</v>
      </c>
    </row>
    <row r="2162" spans="1:36" ht="14.25" hidden="1" x14ac:dyDescent="0.2">
      <c r="A2162" t="s">
        <v>3185</v>
      </c>
      <c r="B2162" s="1">
        <v>46068</v>
      </c>
      <c r="C2162" t="s">
        <v>62</v>
      </c>
      <c r="D2162" t="s">
        <v>41</v>
      </c>
      <c r="E2162" t="s">
        <v>42</v>
      </c>
      <c r="F2162" t="s">
        <v>94</v>
      </c>
      <c r="G2162" t="s">
        <v>95</v>
      </c>
      <c r="H2162" t="s">
        <v>96</v>
      </c>
      <c r="I2162" t="s">
        <v>116</v>
      </c>
      <c r="J2162" t="s">
        <v>203</v>
      </c>
      <c r="K2162" t="s">
        <v>78</v>
      </c>
      <c r="L2162" t="s">
        <v>67</v>
      </c>
      <c r="M2162" t="s">
        <v>47</v>
      </c>
      <c r="N2162" t="s">
        <v>48</v>
      </c>
      <c r="O2162" t="s">
        <v>70</v>
      </c>
      <c r="P2162" t="s">
        <v>37</v>
      </c>
      <c r="Q2162" t="s">
        <v>240</v>
      </c>
      <c r="R2162">
        <v>417</v>
      </c>
      <c r="S2162">
        <v>169</v>
      </c>
      <c r="T2162">
        <v>116</v>
      </c>
      <c r="U2162">
        <v>26</v>
      </c>
      <c r="V2162" t="s">
        <v>1109</v>
      </c>
      <c r="W2162">
        <v>27812</v>
      </c>
      <c r="X2162" t="s">
        <v>1424</v>
      </c>
      <c r="Y2162">
        <v>25493</v>
      </c>
      <c r="Z2162">
        <v>723112</v>
      </c>
      <c r="AA2162">
        <v>60294</v>
      </c>
      <c r="AB2162" t="str">
        <f>(VLOOKUP(SalesData[[#This Row],[Month Number]],Reference!C$5:E$16,2,FALSE))</f>
        <v>Feb</v>
      </c>
      <c r="AC2162">
        <f>MONTH(SalesData[[#This Row],[Date]])</f>
        <v>2</v>
      </c>
      <c r="AD2162">
        <f>Reference!F$4</f>
        <v>2026</v>
      </c>
      <c r="AE2162" t="str">
        <f>IF(OR(SalesData[[#This Row],[Day]]="Saturday",SalesData[[#This Row],[Day]]="Sunday"),"Weekend","Weekday")</f>
        <v>Weekend</v>
      </c>
      <c r="AF2162" s="5">
        <f>IF(SalesData[[#This Row],[Contracts Offered]]=0,0,SalesData[[#This Row],[Contracts Signed]]/SalesData[[#This Row],[Contracts Offered]])</f>
        <v>0.22413793103448276</v>
      </c>
      <c r="AG2162" s="5">
        <f>IF(SalesData[[#This Row],[Customers Visited]]=0,0,SalesData[[#This Row],[Test Drives]]/SalesData[[#This Row],[Customers Visited]])</f>
        <v>0.40527577937649878</v>
      </c>
      <c r="AH2162" s="5">
        <f>IF(SalesData[[#This Row],[Customers Visited]]=0,0,SalesData[[#This Row],[Contracts Signed]]/SalesData[[#This Row],[Customers Visited]])</f>
        <v>6.235011990407674E-2</v>
      </c>
      <c r="AI2162" s="6">
        <f>IF(SalesData[[#This Row],[Contracts Signed]]=0,0,SalesData[[#This Row],[Profit(€)]]/SalesData[[#This Row],[Contracts Signed]])</f>
        <v>2319</v>
      </c>
      <c r="AJ2162" s="5" t="str">
        <f>TRIM(CLEAN(SalesData[[#This Row],[Retailer]]))</f>
        <v>Bavaria Motors</v>
      </c>
    </row>
    <row r="2163" spans="1:36" ht="14.25" hidden="1" x14ac:dyDescent="0.2">
      <c r="A2163" t="s">
        <v>3186</v>
      </c>
      <c r="B2163" s="1">
        <v>46060</v>
      </c>
      <c r="C2163" t="s">
        <v>24</v>
      </c>
      <c r="D2163" t="s">
        <v>151</v>
      </c>
      <c r="E2163" t="s">
        <v>42</v>
      </c>
      <c r="F2163" t="s">
        <v>127</v>
      </c>
      <c r="G2163" t="s">
        <v>128</v>
      </c>
      <c r="H2163" t="s">
        <v>103</v>
      </c>
      <c r="I2163" t="s">
        <v>104</v>
      </c>
      <c r="J2163" t="s">
        <v>7061</v>
      </c>
      <c r="K2163" t="s">
        <v>91</v>
      </c>
      <c r="L2163" t="s">
        <v>46</v>
      </c>
      <c r="M2163" t="s">
        <v>68</v>
      </c>
      <c r="N2163" t="s">
        <v>69</v>
      </c>
      <c r="O2163" t="s">
        <v>36</v>
      </c>
      <c r="P2163" t="s">
        <v>71</v>
      </c>
      <c r="Q2163" t="s">
        <v>172</v>
      </c>
      <c r="R2163">
        <v>293</v>
      </c>
      <c r="S2163">
        <v>118</v>
      </c>
      <c r="T2163">
        <v>77</v>
      </c>
      <c r="U2163">
        <v>22</v>
      </c>
      <c r="V2163" t="s">
        <v>378</v>
      </c>
      <c r="W2163">
        <v>34727</v>
      </c>
      <c r="X2163" t="s">
        <v>7513</v>
      </c>
      <c r="Y2163">
        <v>30899</v>
      </c>
      <c r="Z2163">
        <v>763994</v>
      </c>
      <c r="AA2163">
        <v>84216</v>
      </c>
      <c r="AB2163" t="str">
        <f>(VLOOKUP(SalesData[[#This Row],[Month Number]],Reference!C$5:E$16,2,FALSE))</f>
        <v>Feb</v>
      </c>
      <c r="AC2163">
        <f>MONTH(SalesData[[#This Row],[Date]])</f>
        <v>2</v>
      </c>
      <c r="AD2163">
        <f>Reference!F$4</f>
        <v>2026</v>
      </c>
      <c r="AE2163" t="str">
        <f>IF(OR(SalesData[[#This Row],[Day]]="Saturday",SalesData[[#This Row],[Day]]="Sunday"),"Weekend","Weekday")</f>
        <v>Weekend</v>
      </c>
      <c r="AF2163" s="5">
        <f>IF(SalesData[[#This Row],[Contracts Offered]]=0,0,SalesData[[#This Row],[Contracts Signed]]/SalesData[[#This Row],[Contracts Offered]])</f>
        <v>0.2857142857142857</v>
      </c>
      <c r="AG2163" s="5">
        <f>IF(SalesData[[#This Row],[Customers Visited]]=0,0,SalesData[[#This Row],[Test Drives]]/SalesData[[#This Row],[Customers Visited]])</f>
        <v>0.40273037542662116</v>
      </c>
      <c r="AH2163" s="5">
        <f>IF(SalesData[[#This Row],[Customers Visited]]=0,0,SalesData[[#This Row],[Contracts Signed]]/SalesData[[#This Row],[Customers Visited]])</f>
        <v>7.5085324232081918E-2</v>
      </c>
      <c r="AI2163" s="6">
        <f>IF(SalesData[[#This Row],[Contracts Signed]]=0,0,SalesData[[#This Row],[Profit(€)]]/SalesData[[#This Row],[Contracts Signed]])</f>
        <v>3828</v>
      </c>
      <c r="AJ2163" s="5" t="str">
        <f>TRIM(CLEAN(SalesData[[#This Row],[Retailer]]))</f>
        <v>Rhein Auto Group</v>
      </c>
    </row>
    <row r="2164" spans="1:36" ht="14.25" x14ac:dyDescent="0.2">
      <c r="A2164" t="s">
        <v>3187</v>
      </c>
      <c r="B2164" s="1">
        <v>46061</v>
      </c>
      <c r="C2164" t="s">
        <v>121</v>
      </c>
      <c r="D2164" t="s">
        <v>41</v>
      </c>
      <c r="E2164" t="s">
        <v>42</v>
      </c>
      <c r="F2164" t="s">
        <v>7649</v>
      </c>
      <c r="G2164" t="s">
        <v>55</v>
      </c>
      <c r="H2164" t="s">
        <v>55</v>
      </c>
      <c r="I2164" t="s">
        <v>30</v>
      </c>
      <c r="J2164" t="s">
        <v>188</v>
      </c>
      <c r="K2164" t="s">
        <v>32</v>
      </c>
      <c r="L2164" t="s">
        <v>33</v>
      </c>
      <c r="M2164" t="s">
        <v>68</v>
      </c>
      <c r="N2164" t="s">
        <v>35</v>
      </c>
      <c r="O2164" t="s">
        <v>70</v>
      </c>
      <c r="P2164" t="s">
        <v>71</v>
      </c>
      <c r="Q2164" t="s">
        <v>38</v>
      </c>
      <c r="R2164">
        <v>226</v>
      </c>
      <c r="S2164">
        <v>137</v>
      </c>
      <c r="T2164">
        <v>98</v>
      </c>
      <c r="U2164">
        <v>38</v>
      </c>
      <c r="V2164" t="s">
        <v>6918</v>
      </c>
      <c r="W2164">
        <v>65137</v>
      </c>
      <c r="X2164" t="s">
        <v>7177</v>
      </c>
      <c r="Y2164">
        <v>50732</v>
      </c>
      <c r="Z2164">
        <v>2475206</v>
      </c>
      <c r="AA2164">
        <v>547390</v>
      </c>
      <c r="AB2164" t="str">
        <f>(VLOOKUP(SalesData[[#This Row],[Month Number]],Reference!C$5:E$16,2,FALSE))</f>
        <v>Feb</v>
      </c>
      <c r="AC2164">
        <f>MONTH(SalesData[[#This Row],[Date]])</f>
        <v>2</v>
      </c>
      <c r="AD2164">
        <f>Reference!F$4</f>
        <v>2026</v>
      </c>
      <c r="AE2164" t="str">
        <f>IF(OR(SalesData[[#This Row],[Day]]="Saturday",SalesData[[#This Row],[Day]]="Sunday"),"Weekend","Weekday")</f>
        <v>Weekend</v>
      </c>
      <c r="AF2164" s="5">
        <f>IF(SalesData[[#This Row],[Contracts Offered]]=0,0,SalesData[[#This Row],[Contracts Signed]]/SalesData[[#This Row],[Contracts Offered]])</f>
        <v>0.38775510204081631</v>
      </c>
      <c r="AG2164" s="5">
        <f>IF(SalesData[[#This Row],[Customers Visited]]=0,0,SalesData[[#This Row],[Test Drives]]/SalesData[[#This Row],[Customers Visited]])</f>
        <v>0.60619469026548678</v>
      </c>
      <c r="AH2164" s="5">
        <f>IF(SalesData[[#This Row],[Customers Visited]]=0,0,SalesData[[#This Row],[Contracts Signed]]/SalesData[[#This Row],[Customers Visited]])</f>
        <v>0.16814159292035399</v>
      </c>
      <c r="AI2164" s="6">
        <f>IF(SalesData[[#This Row],[Contracts Signed]]=0,0,SalesData[[#This Row],[Profit(€)]]/SalesData[[#This Row],[Contracts Signed]])</f>
        <v>14405</v>
      </c>
      <c r="AJ2164" s="5" t="str">
        <f>TRIM(CLEAN(SalesData[[#This Row],[Retailer]]))</f>
        <v>Autohaus Berlin</v>
      </c>
    </row>
    <row r="2165" spans="1:36" ht="14.25" hidden="1" x14ac:dyDescent="0.2">
      <c r="A2165" t="s">
        <v>3188</v>
      </c>
      <c r="B2165" s="1">
        <v>46070</v>
      </c>
      <c r="C2165" t="s">
        <v>62</v>
      </c>
      <c r="D2165" t="s">
        <v>63</v>
      </c>
      <c r="E2165" t="s">
        <v>26</v>
      </c>
      <c r="F2165" t="s">
        <v>7649</v>
      </c>
      <c r="G2165" t="s">
        <v>55</v>
      </c>
      <c r="H2165" t="s">
        <v>55</v>
      </c>
      <c r="I2165" t="s">
        <v>56</v>
      </c>
      <c r="J2165" t="s">
        <v>7028</v>
      </c>
      <c r="K2165" t="s">
        <v>32</v>
      </c>
      <c r="L2165" t="s">
        <v>46</v>
      </c>
      <c r="M2165" t="s">
        <v>34</v>
      </c>
      <c r="N2165" t="s">
        <v>48</v>
      </c>
      <c r="O2165" t="s">
        <v>70</v>
      </c>
      <c r="P2165" t="s">
        <v>49</v>
      </c>
      <c r="Q2165" t="s">
        <v>38</v>
      </c>
      <c r="R2165">
        <v>272</v>
      </c>
      <c r="S2165">
        <v>155</v>
      </c>
      <c r="T2165">
        <v>108</v>
      </c>
      <c r="U2165">
        <v>32</v>
      </c>
      <c r="V2165" t="s">
        <v>6937</v>
      </c>
      <c r="W2165">
        <v>49956</v>
      </c>
      <c r="X2165" t="s">
        <v>7465</v>
      </c>
      <c r="Y2165">
        <v>40685</v>
      </c>
      <c r="Z2165">
        <v>1598592</v>
      </c>
      <c r="AA2165">
        <v>296672</v>
      </c>
      <c r="AB2165" t="str">
        <f>(VLOOKUP(SalesData[[#This Row],[Month Number]],Reference!C$5:E$16,2,FALSE))</f>
        <v>Feb</v>
      </c>
      <c r="AC2165">
        <f>MONTH(SalesData[[#This Row],[Date]])</f>
        <v>2</v>
      </c>
      <c r="AD2165">
        <f>Reference!F$4</f>
        <v>2026</v>
      </c>
      <c r="AE2165" t="str">
        <f>IF(OR(SalesData[[#This Row],[Day]]="Saturday",SalesData[[#This Row],[Day]]="Sunday"),"Weekend","Weekday")</f>
        <v>Weekday</v>
      </c>
      <c r="AF2165" s="5">
        <f>IF(SalesData[[#This Row],[Contracts Offered]]=0,0,SalesData[[#This Row],[Contracts Signed]]/SalesData[[#This Row],[Contracts Offered]])</f>
        <v>0.29629629629629628</v>
      </c>
      <c r="AG2165" s="5">
        <f>IF(SalesData[[#This Row],[Customers Visited]]=0,0,SalesData[[#This Row],[Test Drives]]/SalesData[[#This Row],[Customers Visited]])</f>
        <v>0.56985294117647056</v>
      </c>
      <c r="AH2165" s="5">
        <f>IF(SalesData[[#This Row],[Customers Visited]]=0,0,SalesData[[#This Row],[Contracts Signed]]/SalesData[[#This Row],[Customers Visited]])</f>
        <v>0.11764705882352941</v>
      </c>
      <c r="AI2165" s="6">
        <f>IF(SalesData[[#This Row],[Contracts Signed]]=0,0,SalesData[[#This Row],[Profit(€)]]/SalesData[[#This Row],[Contracts Signed]])</f>
        <v>9271</v>
      </c>
      <c r="AJ2165" s="5" t="str">
        <f>TRIM(CLEAN(SalesData[[#This Row],[Retailer]]))</f>
        <v>Autohaus Berlin</v>
      </c>
    </row>
    <row r="2166" spans="1:36" ht="14.25" x14ac:dyDescent="0.2">
      <c r="A2166" t="s">
        <v>3189</v>
      </c>
      <c r="B2166" s="1">
        <v>46059</v>
      </c>
      <c r="C2166" t="s">
        <v>24</v>
      </c>
      <c r="D2166" t="s">
        <v>54</v>
      </c>
      <c r="E2166" t="s">
        <v>26</v>
      </c>
      <c r="F2166" t="s">
        <v>94</v>
      </c>
      <c r="G2166" t="s">
        <v>95</v>
      </c>
      <c r="H2166" t="s">
        <v>96</v>
      </c>
      <c r="I2166" t="s">
        <v>30</v>
      </c>
      <c r="J2166" t="s">
        <v>166</v>
      </c>
      <c r="K2166" t="s">
        <v>66</v>
      </c>
      <c r="L2166" t="s">
        <v>46</v>
      </c>
      <c r="M2166" t="s">
        <v>34</v>
      </c>
      <c r="N2166" t="s">
        <v>35</v>
      </c>
      <c r="O2166" t="s">
        <v>70</v>
      </c>
      <c r="P2166" t="s">
        <v>49</v>
      </c>
      <c r="Q2166" t="s">
        <v>50</v>
      </c>
      <c r="R2166">
        <v>178</v>
      </c>
      <c r="S2166">
        <v>93</v>
      </c>
      <c r="T2166">
        <v>71</v>
      </c>
      <c r="U2166">
        <v>25</v>
      </c>
      <c r="V2166" t="s">
        <v>6980</v>
      </c>
      <c r="W2166">
        <v>52551</v>
      </c>
      <c r="X2166" t="s">
        <v>7091</v>
      </c>
      <c r="Y2166">
        <v>37881</v>
      </c>
      <c r="Z2166">
        <v>1313775</v>
      </c>
      <c r="AA2166">
        <v>366750</v>
      </c>
      <c r="AB2166" t="str">
        <f>(VLOOKUP(SalesData[[#This Row],[Month Number]],Reference!C$5:E$16,2,FALSE))</f>
        <v>Feb</v>
      </c>
      <c r="AC2166">
        <f>MONTH(SalesData[[#This Row],[Date]])</f>
        <v>2</v>
      </c>
      <c r="AD2166">
        <f>Reference!F$4</f>
        <v>2026</v>
      </c>
      <c r="AE2166" t="str">
        <f>IF(OR(SalesData[[#This Row],[Day]]="Saturday",SalesData[[#This Row],[Day]]="Sunday"),"Weekend","Weekday")</f>
        <v>Weekday</v>
      </c>
      <c r="AF2166" s="5">
        <f>IF(SalesData[[#This Row],[Contracts Offered]]=0,0,SalesData[[#This Row],[Contracts Signed]]/SalesData[[#This Row],[Contracts Offered]])</f>
        <v>0.352112676056338</v>
      </c>
      <c r="AG2166" s="5">
        <f>IF(SalesData[[#This Row],[Customers Visited]]=0,0,SalesData[[#This Row],[Test Drives]]/SalesData[[#This Row],[Customers Visited]])</f>
        <v>0.52247191011235961</v>
      </c>
      <c r="AH2166" s="5">
        <f>IF(SalesData[[#This Row],[Customers Visited]]=0,0,SalesData[[#This Row],[Contracts Signed]]/SalesData[[#This Row],[Customers Visited]])</f>
        <v>0.1404494382022472</v>
      </c>
      <c r="AI2166" s="6">
        <f>IF(SalesData[[#This Row],[Contracts Signed]]=0,0,SalesData[[#This Row],[Profit(€)]]/SalesData[[#This Row],[Contracts Signed]])</f>
        <v>14670</v>
      </c>
      <c r="AJ2166" s="5" t="str">
        <f>TRIM(CLEAN(SalesData[[#This Row],[Retailer]]))</f>
        <v>Bavaria Motors</v>
      </c>
    </row>
    <row r="2167" spans="1:36" ht="14.25" hidden="1" x14ac:dyDescent="0.2">
      <c r="A2167" t="s">
        <v>3190</v>
      </c>
      <c r="B2167" s="1">
        <v>46079</v>
      </c>
      <c r="C2167" t="s">
        <v>53</v>
      </c>
      <c r="D2167" t="s">
        <v>100</v>
      </c>
      <c r="E2167" t="s">
        <v>26</v>
      </c>
      <c r="F2167" t="s">
        <v>94</v>
      </c>
      <c r="G2167" t="s">
        <v>95</v>
      </c>
      <c r="H2167" t="s">
        <v>96</v>
      </c>
      <c r="I2167" t="s">
        <v>116</v>
      </c>
      <c r="J2167" t="s">
        <v>7026</v>
      </c>
      <c r="K2167" t="s">
        <v>78</v>
      </c>
      <c r="L2167" t="s">
        <v>46</v>
      </c>
      <c r="M2167" t="s">
        <v>68</v>
      </c>
      <c r="N2167" t="s">
        <v>48</v>
      </c>
      <c r="O2167" t="s">
        <v>36</v>
      </c>
      <c r="P2167" t="s">
        <v>49</v>
      </c>
      <c r="Q2167" t="s">
        <v>144</v>
      </c>
      <c r="R2167">
        <v>309</v>
      </c>
      <c r="S2167">
        <v>143</v>
      </c>
      <c r="T2167">
        <v>92</v>
      </c>
      <c r="U2167">
        <v>27</v>
      </c>
      <c r="V2167" t="s">
        <v>2505</v>
      </c>
      <c r="W2167">
        <v>21613</v>
      </c>
      <c r="X2167" t="s">
        <v>3707</v>
      </c>
      <c r="Y2167">
        <v>20022</v>
      </c>
      <c r="Z2167">
        <v>583551</v>
      </c>
      <c r="AA2167">
        <v>42957</v>
      </c>
      <c r="AB2167" t="str">
        <f>(VLOOKUP(SalesData[[#This Row],[Month Number]],Reference!C$5:E$16,2,FALSE))</f>
        <v>Feb</v>
      </c>
      <c r="AC2167">
        <f>MONTH(SalesData[[#This Row],[Date]])</f>
        <v>2</v>
      </c>
      <c r="AD2167">
        <f>Reference!F$4</f>
        <v>2026</v>
      </c>
      <c r="AE2167" t="str">
        <f>IF(OR(SalesData[[#This Row],[Day]]="Saturday",SalesData[[#This Row],[Day]]="Sunday"),"Weekend","Weekday")</f>
        <v>Weekday</v>
      </c>
      <c r="AF2167" s="5">
        <f>IF(SalesData[[#This Row],[Contracts Offered]]=0,0,SalesData[[#This Row],[Contracts Signed]]/SalesData[[#This Row],[Contracts Offered]])</f>
        <v>0.29347826086956524</v>
      </c>
      <c r="AG2167" s="5">
        <f>IF(SalesData[[#This Row],[Customers Visited]]=0,0,SalesData[[#This Row],[Test Drives]]/SalesData[[#This Row],[Customers Visited]])</f>
        <v>0.4627831715210356</v>
      </c>
      <c r="AH2167" s="5">
        <f>IF(SalesData[[#This Row],[Customers Visited]]=0,0,SalesData[[#This Row],[Contracts Signed]]/SalesData[[#This Row],[Customers Visited]])</f>
        <v>8.7378640776699032E-2</v>
      </c>
      <c r="AI2167" s="6">
        <f>IF(SalesData[[#This Row],[Contracts Signed]]=0,0,SalesData[[#This Row],[Profit(€)]]/SalesData[[#This Row],[Contracts Signed]])</f>
        <v>1591</v>
      </c>
      <c r="AJ2167" s="5" t="str">
        <f>TRIM(CLEAN(SalesData[[#This Row],[Retailer]]))</f>
        <v>Bavaria Motors</v>
      </c>
    </row>
    <row r="2168" spans="1:36" ht="14.25" x14ac:dyDescent="0.2">
      <c r="A2168" t="s">
        <v>3191</v>
      </c>
      <c r="B2168" s="1">
        <v>46061</v>
      </c>
      <c r="C2168" t="s">
        <v>121</v>
      </c>
      <c r="D2168" t="s">
        <v>41</v>
      </c>
      <c r="E2168" t="s">
        <v>42</v>
      </c>
      <c r="F2168" t="s">
        <v>94</v>
      </c>
      <c r="G2168" t="s">
        <v>95</v>
      </c>
      <c r="H2168" t="s">
        <v>96</v>
      </c>
      <c r="I2168" t="s">
        <v>30</v>
      </c>
      <c r="J2168" t="s">
        <v>7075</v>
      </c>
      <c r="K2168" t="s">
        <v>66</v>
      </c>
      <c r="L2168" t="s">
        <v>33</v>
      </c>
      <c r="M2168" t="s">
        <v>47</v>
      </c>
      <c r="N2168" t="s">
        <v>48</v>
      </c>
      <c r="O2168" t="s">
        <v>70</v>
      </c>
      <c r="P2168" t="s">
        <v>58</v>
      </c>
      <c r="Q2168" t="s">
        <v>158</v>
      </c>
      <c r="R2168">
        <v>243</v>
      </c>
      <c r="S2168">
        <v>126</v>
      </c>
      <c r="T2168">
        <v>94</v>
      </c>
      <c r="U2168">
        <v>39</v>
      </c>
      <c r="V2168" t="s">
        <v>7514</v>
      </c>
      <c r="W2168">
        <v>57781</v>
      </c>
      <c r="X2168" t="s">
        <v>7056</v>
      </c>
      <c r="Y2168">
        <v>42578</v>
      </c>
      <c r="Z2168">
        <v>2253459</v>
      </c>
      <c r="AA2168">
        <v>592917</v>
      </c>
      <c r="AB2168" t="str">
        <f>(VLOOKUP(SalesData[[#This Row],[Month Number]],Reference!C$5:E$16,2,FALSE))</f>
        <v>Feb</v>
      </c>
      <c r="AC2168">
        <f>MONTH(SalesData[[#This Row],[Date]])</f>
        <v>2</v>
      </c>
      <c r="AD2168">
        <f>Reference!F$4</f>
        <v>2026</v>
      </c>
      <c r="AE2168" t="str">
        <f>IF(OR(SalesData[[#This Row],[Day]]="Saturday",SalesData[[#This Row],[Day]]="Sunday"),"Weekend","Weekday")</f>
        <v>Weekend</v>
      </c>
      <c r="AF2168" s="5">
        <f>IF(SalesData[[#This Row],[Contracts Offered]]=0,0,SalesData[[#This Row],[Contracts Signed]]/SalesData[[#This Row],[Contracts Offered]])</f>
        <v>0.41489361702127658</v>
      </c>
      <c r="AG2168" s="5">
        <f>IF(SalesData[[#This Row],[Customers Visited]]=0,0,SalesData[[#This Row],[Test Drives]]/SalesData[[#This Row],[Customers Visited]])</f>
        <v>0.51851851851851849</v>
      </c>
      <c r="AH2168" s="5">
        <f>IF(SalesData[[#This Row],[Customers Visited]]=0,0,SalesData[[#This Row],[Contracts Signed]]/SalesData[[#This Row],[Customers Visited]])</f>
        <v>0.16049382716049382</v>
      </c>
      <c r="AI2168" s="6">
        <f>IF(SalesData[[#This Row],[Contracts Signed]]=0,0,SalesData[[#This Row],[Profit(€)]]/SalesData[[#This Row],[Contracts Signed]])</f>
        <v>15203</v>
      </c>
      <c r="AJ2168" s="5" t="str">
        <f>TRIM(CLEAN(SalesData[[#This Row],[Retailer]]))</f>
        <v>Bavaria Motors</v>
      </c>
    </row>
    <row r="2169" spans="1:36" ht="14.25" x14ac:dyDescent="0.2">
      <c r="A2169" t="s">
        <v>3192</v>
      </c>
      <c r="B2169" s="1">
        <v>46071</v>
      </c>
      <c r="C2169" t="s">
        <v>62</v>
      </c>
      <c r="D2169" t="s">
        <v>82</v>
      </c>
      <c r="E2169" t="s">
        <v>26</v>
      </c>
      <c r="F2169" t="s">
        <v>109</v>
      </c>
      <c r="G2169" t="s">
        <v>110</v>
      </c>
      <c r="H2169" t="s">
        <v>45</v>
      </c>
      <c r="I2169" t="s">
        <v>30</v>
      </c>
      <c r="J2169" t="s">
        <v>31</v>
      </c>
      <c r="K2169" t="s">
        <v>78</v>
      </c>
      <c r="L2169" t="s">
        <v>46</v>
      </c>
      <c r="M2169" t="s">
        <v>34</v>
      </c>
      <c r="N2169" t="s">
        <v>35</v>
      </c>
      <c r="O2169" t="s">
        <v>36</v>
      </c>
      <c r="P2169" t="s">
        <v>37</v>
      </c>
      <c r="Q2169" t="s">
        <v>152</v>
      </c>
      <c r="R2169">
        <v>190</v>
      </c>
      <c r="S2169">
        <v>99</v>
      </c>
      <c r="T2169">
        <v>78</v>
      </c>
      <c r="U2169">
        <v>24</v>
      </c>
      <c r="V2169" t="s">
        <v>6429</v>
      </c>
      <c r="W2169">
        <v>65303</v>
      </c>
      <c r="X2169" t="s">
        <v>7252</v>
      </c>
      <c r="Y2169">
        <v>48179</v>
      </c>
      <c r="Z2169">
        <v>1567272</v>
      </c>
      <c r="AA2169">
        <v>410976</v>
      </c>
      <c r="AB2169" t="str">
        <f>(VLOOKUP(SalesData[[#This Row],[Month Number]],Reference!C$5:E$16,2,FALSE))</f>
        <v>Feb</v>
      </c>
      <c r="AC2169">
        <f>MONTH(SalesData[[#This Row],[Date]])</f>
        <v>2</v>
      </c>
      <c r="AD2169">
        <f>Reference!F$4</f>
        <v>2026</v>
      </c>
      <c r="AE2169" t="str">
        <f>IF(OR(SalesData[[#This Row],[Day]]="Saturday",SalesData[[#This Row],[Day]]="Sunday"),"Weekend","Weekday")</f>
        <v>Weekday</v>
      </c>
      <c r="AF2169" s="5">
        <f>IF(SalesData[[#This Row],[Contracts Offered]]=0,0,SalesData[[#This Row],[Contracts Signed]]/SalesData[[#This Row],[Contracts Offered]])</f>
        <v>0.30769230769230771</v>
      </c>
      <c r="AG2169" s="5">
        <f>IF(SalesData[[#This Row],[Customers Visited]]=0,0,SalesData[[#This Row],[Test Drives]]/SalesData[[#This Row],[Customers Visited]])</f>
        <v>0.52105263157894732</v>
      </c>
      <c r="AH2169" s="5">
        <f>IF(SalesData[[#This Row],[Customers Visited]]=0,0,SalesData[[#This Row],[Contracts Signed]]/SalesData[[#This Row],[Customers Visited]])</f>
        <v>0.12631578947368421</v>
      </c>
      <c r="AI2169" s="6">
        <f>IF(SalesData[[#This Row],[Contracts Signed]]=0,0,SalesData[[#This Row],[Profit(€)]]/SalesData[[#This Row],[Contracts Signed]])</f>
        <v>17124</v>
      </c>
      <c r="AJ2169" s="5" t="str">
        <f>TRIM(CLEAN(SalesData[[#This Row],[Retailer]]))</f>
        <v>Leipzig Mobility</v>
      </c>
    </row>
    <row r="2170" spans="1:36" ht="14.25" hidden="1" x14ac:dyDescent="0.2">
      <c r="A2170" t="s">
        <v>3193</v>
      </c>
      <c r="B2170" s="1">
        <v>46072</v>
      </c>
      <c r="C2170" t="s">
        <v>62</v>
      </c>
      <c r="D2170" t="s">
        <v>100</v>
      </c>
      <c r="E2170" t="s">
        <v>26</v>
      </c>
      <c r="F2170" t="s">
        <v>74</v>
      </c>
      <c r="G2170" t="s">
        <v>75</v>
      </c>
      <c r="H2170" t="s">
        <v>76</v>
      </c>
      <c r="I2170" t="s">
        <v>104</v>
      </c>
      <c r="J2170" t="s">
        <v>7031</v>
      </c>
      <c r="K2170" t="s">
        <v>91</v>
      </c>
      <c r="L2170" t="s">
        <v>46</v>
      </c>
      <c r="M2170" t="s">
        <v>87</v>
      </c>
      <c r="N2170" t="s">
        <v>35</v>
      </c>
      <c r="O2170" t="s">
        <v>70</v>
      </c>
      <c r="P2170" t="s">
        <v>37</v>
      </c>
      <c r="Q2170" t="s">
        <v>38</v>
      </c>
      <c r="R2170">
        <v>403</v>
      </c>
      <c r="S2170">
        <v>225</v>
      </c>
      <c r="T2170">
        <v>138</v>
      </c>
      <c r="U2170">
        <v>38</v>
      </c>
      <c r="V2170" t="s">
        <v>1586</v>
      </c>
      <c r="W2170">
        <v>31975</v>
      </c>
      <c r="X2170" t="s">
        <v>3061</v>
      </c>
      <c r="Y2170">
        <v>27711</v>
      </c>
      <c r="Z2170">
        <v>1215050</v>
      </c>
      <c r="AA2170">
        <v>162032</v>
      </c>
      <c r="AB2170" t="str">
        <f>(VLOOKUP(SalesData[[#This Row],[Month Number]],Reference!C$5:E$16,2,FALSE))</f>
        <v>Feb</v>
      </c>
      <c r="AC2170">
        <f>MONTH(SalesData[[#This Row],[Date]])</f>
        <v>2</v>
      </c>
      <c r="AD2170">
        <f>Reference!F$4</f>
        <v>2026</v>
      </c>
      <c r="AE2170" t="str">
        <f>IF(OR(SalesData[[#This Row],[Day]]="Saturday",SalesData[[#This Row],[Day]]="Sunday"),"Weekend","Weekday")</f>
        <v>Weekday</v>
      </c>
      <c r="AF2170" s="5">
        <f>IF(SalesData[[#This Row],[Contracts Offered]]=0,0,SalesData[[#This Row],[Contracts Signed]]/SalesData[[#This Row],[Contracts Offered]])</f>
        <v>0.27536231884057971</v>
      </c>
      <c r="AG2170" s="5">
        <f>IF(SalesData[[#This Row],[Customers Visited]]=0,0,SalesData[[#This Row],[Test Drives]]/SalesData[[#This Row],[Customers Visited]])</f>
        <v>0.55831265508684869</v>
      </c>
      <c r="AH2170" s="5">
        <f>IF(SalesData[[#This Row],[Customers Visited]]=0,0,SalesData[[#This Row],[Contracts Signed]]/SalesData[[#This Row],[Customers Visited]])</f>
        <v>9.4292803970223327E-2</v>
      </c>
      <c r="AI2170" s="6">
        <f>IF(SalesData[[#This Row],[Contracts Signed]]=0,0,SalesData[[#This Row],[Profit(€)]]/SalesData[[#This Row],[Contracts Signed]])</f>
        <v>4264</v>
      </c>
      <c r="AJ2170" s="5" t="str">
        <f>TRIM(CLEAN(SalesData[[#This Row],[Retailer]]))</f>
        <v>Stuttgart Auto Center</v>
      </c>
    </row>
    <row r="2171" spans="1:36" ht="14.25" hidden="1" x14ac:dyDescent="0.2">
      <c r="A2171" t="s">
        <v>3195</v>
      </c>
      <c r="B2171" s="1">
        <v>46060</v>
      </c>
      <c r="C2171" t="s">
        <v>24</v>
      </c>
      <c r="D2171" t="s">
        <v>151</v>
      </c>
      <c r="E2171" t="s">
        <v>42</v>
      </c>
      <c r="F2171" t="s">
        <v>43</v>
      </c>
      <c r="G2171" t="s">
        <v>44</v>
      </c>
      <c r="H2171" t="s">
        <v>45</v>
      </c>
      <c r="I2171" t="s">
        <v>104</v>
      </c>
      <c r="J2171" t="s">
        <v>105</v>
      </c>
      <c r="K2171" t="s">
        <v>78</v>
      </c>
      <c r="L2171" t="s">
        <v>33</v>
      </c>
      <c r="M2171" t="s">
        <v>87</v>
      </c>
      <c r="N2171" t="s">
        <v>48</v>
      </c>
      <c r="O2171" t="s">
        <v>70</v>
      </c>
      <c r="P2171" t="s">
        <v>37</v>
      </c>
      <c r="Q2171" t="s">
        <v>122</v>
      </c>
      <c r="R2171">
        <v>494</v>
      </c>
      <c r="S2171">
        <v>218</v>
      </c>
      <c r="T2171">
        <v>133</v>
      </c>
      <c r="U2171">
        <v>24</v>
      </c>
      <c r="V2171" t="s">
        <v>155</v>
      </c>
      <c r="W2171">
        <v>34440</v>
      </c>
      <c r="X2171" t="s">
        <v>1217</v>
      </c>
      <c r="Y2171">
        <v>30368</v>
      </c>
      <c r="Z2171">
        <v>826560</v>
      </c>
      <c r="AA2171">
        <v>97728</v>
      </c>
      <c r="AB2171" t="str">
        <f>(VLOOKUP(SalesData[[#This Row],[Month Number]],Reference!C$5:E$16,2,FALSE))</f>
        <v>Feb</v>
      </c>
      <c r="AC2171">
        <f>MONTH(SalesData[[#This Row],[Date]])</f>
        <v>2</v>
      </c>
      <c r="AD2171">
        <f>Reference!F$4</f>
        <v>2026</v>
      </c>
      <c r="AE2171" t="str">
        <f>IF(OR(SalesData[[#This Row],[Day]]="Saturday",SalesData[[#This Row],[Day]]="Sunday"),"Weekend","Weekday")</f>
        <v>Weekend</v>
      </c>
      <c r="AF2171" s="5">
        <f>IF(SalesData[[#This Row],[Contracts Offered]]=0,0,SalesData[[#This Row],[Contracts Signed]]/SalesData[[#This Row],[Contracts Offered]])</f>
        <v>0.18045112781954886</v>
      </c>
      <c r="AG2171" s="5">
        <f>IF(SalesData[[#This Row],[Customers Visited]]=0,0,SalesData[[#This Row],[Test Drives]]/SalesData[[#This Row],[Customers Visited]])</f>
        <v>0.44129554655870445</v>
      </c>
      <c r="AH2171" s="5">
        <f>IF(SalesData[[#This Row],[Customers Visited]]=0,0,SalesData[[#This Row],[Contracts Signed]]/SalesData[[#This Row],[Customers Visited]])</f>
        <v>4.8582995951417005E-2</v>
      </c>
      <c r="AI2171" s="6">
        <f>IF(SalesData[[#This Row],[Contracts Signed]]=0,0,SalesData[[#This Row],[Profit(€)]]/SalesData[[#This Row],[Contracts Signed]])</f>
        <v>4072</v>
      </c>
      <c r="AJ2171" s="5" t="str">
        <f>TRIM(CLEAN(SalesData[[#This Row],[Retailer]]))</f>
        <v>Saxon Wheels</v>
      </c>
    </row>
    <row r="2172" spans="1:36" ht="14.25" hidden="1" x14ac:dyDescent="0.2">
      <c r="A2172" t="s">
        <v>3196</v>
      </c>
      <c r="B2172" s="1">
        <v>46071</v>
      </c>
      <c r="C2172" t="s">
        <v>62</v>
      </c>
      <c r="D2172" t="s">
        <v>82</v>
      </c>
      <c r="E2172" t="s">
        <v>26</v>
      </c>
      <c r="F2172" t="s">
        <v>94</v>
      </c>
      <c r="G2172" t="s">
        <v>95</v>
      </c>
      <c r="H2172" t="s">
        <v>96</v>
      </c>
      <c r="I2172" t="s">
        <v>64</v>
      </c>
      <c r="J2172" t="s">
        <v>111</v>
      </c>
      <c r="K2172" t="s">
        <v>78</v>
      </c>
      <c r="L2172" t="s">
        <v>46</v>
      </c>
      <c r="M2172" t="s">
        <v>47</v>
      </c>
      <c r="N2172" t="s">
        <v>35</v>
      </c>
      <c r="O2172" t="s">
        <v>36</v>
      </c>
      <c r="P2172" t="s">
        <v>37</v>
      </c>
      <c r="Q2172" t="s">
        <v>122</v>
      </c>
      <c r="R2172">
        <v>214</v>
      </c>
      <c r="S2172">
        <v>110</v>
      </c>
      <c r="T2172">
        <v>81</v>
      </c>
      <c r="U2172">
        <v>28</v>
      </c>
      <c r="V2172" t="s">
        <v>6709</v>
      </c>
      <c r="W2172">
        <v>49836</v>
      </c>
      <c r="X2172" t="s">
        <v>7179</v>
      </c>
      <c r="Y2172">
        <v>35543</v>
      </c>
      <c r="Z2172">
        <v>1395408</v>
      </c>
      <c r="AA2172">
        <v>400204</v>
      </c>
      <c r="AB2172" t="str">
        <f>(VLOOKUP(SalesData[[#This Row],[Month Number]],Reference!C$5:E$16,2,FALSE))</f>
        <v>Feb</v>
      </c>
      <c r="AC2172">
        <f>MONTH(SalesData[[#This Row],[Date]])</f>
        <v>2</v>
      </c>
      <c r="AD2172">
        <f>Reference!F$4</f>
        <v>2026</v>
      </c>
      <c r="AE2172" t="str">
        <f>IF(OR(SalesData[[#This Row],[Day]]="Saturday",SalesData[[#This Row],[Day]]="Sunday"),"Weekend","Weekday")</f>
        <v>Weekday</v>
      </c>
      <c r="AF2172" s="5">
        <f>IF(SalesData[[#This Row],[Contracts Offered]]=0,0,SalesData[[#This Row],[Contracts Signed]]/SalesData[[#This Row],[Contracts Offered]])</f>
        <v>0.34567901234567899</v>
      </c>
      <c r="AG2172" s="5">
        <f>IF(SalesData[[#This Row],[Customers Visited]]=0,0,SalesData[[#This Row],[Test Drives]]/SalesData[[#This Row],[Customers Visited]])</f>
        <v>0.51401869158878499</v>
      </c>
      <c r="AH2172" s="5">
        <f>IF(SalesData[[#This Row],[Customers Visited]]=0,0,SalesData[[#This Row],[Contracts Signed]]/SalesData[[#This Row],[Customers Visited]])</f>
        <v>0.13084112149532709</v>
      </c>
      <c r="AI2172" s="6">
        <f>IF(SalesData[[#This Row],[Contracts Signed]]=0,0,SalesData[[#This Row],[Profit(€)]]/SalesData[[#This Row],[Contracts Signed]])</f>
        <v>14293</v>
      </c>
      <c r="AJ2172" s="5" t="str">
        <f>TRIM(CLEAN(SalesData[[#This Row],[Retailer]]))</f>
        <v>Bavaria Motors</v>
      </c>
    </row>
    <row r="2173" spans="1:36" ht="14.25" hidden="1" x14ac:dyDescent="0.2">
      <c r="A2173" t="s">
        <v>3198</v>
      </c>
      <c r="B2173" s="1">
        <v>46072</v>
      </c>
      <c r="C2173" t="s">
        <v>62</v>
      </c>
      <c r="D2173" t="s">
        <v>100</v>
      </c>
      <c r="E2173" t="s">
        <v>26</v>
      </c>
      <c r="F2173" t="s">
        <v>127</v>
      </c>
      <c r="G2173" t="s">
        <v>128</v>
      </c>
      <c r="H2173" t="s">
        <v>103</v>
      </c>
      <c r="I2173" t="s">
        <v>116</v>
      </c>
      <c r="J2173" t="s">
        <v>117</v>
      </c>
      <c r="K2173" t="s">
        <v>66</v>
      </c>
      <c r="L2173" t="s">
        <v>67</v>
      </c>
      <c r="M2173" t="s">
        <v>68</v>
      </c>
      <c r="N2173" t="s">
        <v>69</v>
      </c>
      <c r="O2173" t="s">
        <v>36</v>
      </c>
      <c r="P2173" t="s">
        <v>37</v>
      </c>
      <c r="Q2173" t="s">
        <v>50</v>
      </c>
      <c r="R2173">
        <v>371</v>
      </c>
      <c r="S2173">
        <v>207</v>
      </c>
      <c r="T2173">
        <v>122</v>
      </c>
      <c r="U2173">
        <v>37</v>
      </c>
      <c r="V2173" t="s">
        <v>7515</v>
      </c>
      <c r="W2173">
        <v>23957</v>
      </c>
      <c r="X2173" t="s">
        <v>3082</v>
      </c>
      <c r="Y2173">
        <v>22134</v>
      </c>
      <c r="Z2173">
        <v>886409</v>
      </c>
      <c r="AA2173">
        <v>67451</v>
      </c>
      <c r="AB2173" t="str">
        <f>(VLOOKUP(SalesData[[#This Row],[Month Number]],Reference!C$5:E$16,2,FALSE))</f>
        <v>Feb</v>
      </c>
      <c r="AC2173">
        <f>MONTH(SalesData[[#This Row],[Date]])</f>
        <v>2</v>
      </c>
      <c r="AD2173">
        <f>Reference!F$4</f>
        <v>2026</v>
      </c>
      <c r="AE2173" t="str">
        <f>IF(OR(SalesData[[#This Row],[Day]]="Saturday",SalesData[[#This Row],[Day]]="Sunday"),"Weekend","Weekday")</f>
        <v>Weekday</v>
      </c>
      <c r="AF2173" s="5">
        <f>IF(SalesData[[#This Row],[Contracts Offered]]=0,0,SalesData[[#This Row],[Contracts Signed]]/SalesData[[#This Row],[Contracts Offered]])</f>
        <v>0.30327868852459017</v>
      </c>
      <c r="AG2173" s="5">
        <f>IF(SalesData[[#This Row],[Customers Visited]]=0,0,SalesData[[#This Row],[Test Drives]]/SalesData[[#This Row],[Customers Visited]])</f>
        <v>0.55795148247978432</v>
      </c>
      <c r="AH2173" s="5">
        <f>IF(SalesData[[#This Row],[Customers Visited]]=0,0,SalesData[[#This Row],[Contracts Signed]]/SalesData[[#This Row],[Customers Visited]])</f>
        <v>9.9730458221024262E-2</v>
      </c>
      <c r="AI2173" s="6">
        <f>IF(SalesData[[#This Row],[Contracts Signed]]=0,0,SalesData[[#This Row],[Profit(€)]]/SalesData[[#This Row],[Contracts Signed]])</f>
        <v>1823</v>
      </c>
      <c r="AJ2173" s="5" t="str">
        <f>TRIM(CLEAN(SalesData[[#This Row],[Retailer]]))</f>
        <v>Rhein Auto Group</v>
      </c>
    </row>
    <row r="2174" spans="1:36" ht="14.25" hidden="1" x14ac:dyDescent="0.2">
      <c r="A2174" t="s">
        <v>3199</v>
      </c>
      <c r="B2174" s="1">
        <v>46057</v>
      </c>
      <c r="C2174" t="s">
        <v>24</v>
      </c>
      <c r="D2174" t="s">
        <v>82</v>
      </c>
      <c r="E2174" t="s">
        <v>26</v>
      </c>
      <c r="F2174" t="s">
        <v>27</v>
      </c>
      <c r="G2174" t="s">
        <v>28</v>
      </c>
      <c r="H2174" t="s">
        <v>29</v>
      </c>
      <c r="I2174" t="s">
        <v>116</v>
      </c>
      <c r="J2174" t="s">
        <v>117</v>
      </c>
      <c r="K2174" t="s">
        <v>32</v>
      </c>
      <c r="L2174" t="s">
        <v>67</v>
      </c>
      <c r="M2174" t="s">
        <v>34</v>
      </c>
      <c r="N2174" t="s">
        <v>69</v>
      </c>
      <c r="O2174" t="s">
        <v>70</v>
      </c>
      <c r="P2174" t="s">
        <v>58</v>
      </c>
      <c r="Q2174" t="s">
        <v>79</v>
      </c>
      <c r="R2174">
        <v>226</v>
      </c>
      <c r="S2174">
        <v>92</v>
      </c>
      <c r="T2174">
        <v>59</v>
      </c>
      <c r="U2174">
        <v>18</v>
      </c>
      <c r="V2174" t="s">
        <v>2567</v>
      </c>
      <c r="W2174">
        <v>20199</v>
      </c>
      <c r="X2174" t="s">
        <v>4069</v>
      </c>
      <c r="Y2174">
        <v>18611</v>
      </c>
      <c r="Z2174">
        <v>363582</v>
      </c>
      <c r="AA2174">
        <v>28584</v>
      </c>
      <c r="AB2174" t="str">
        <f>(VLOOKUP(SalesData[[#This Row],[Month Number]],Reference!C$5:E$16,2,FALSE))</f>
        <v>Feb</v>
      </c>
      <c r="AC2174">
        <f>MONTH(SalesData[[#This Row],[Date]])</f>
        <v>2</v>
      </c>
      <c r="AD2174">
        <f>Reference!F$4</f>
        <v>2026</v>
      </c>
      <c r="AE2174" t="str">
        <f>IF(OR(SalesData[[#This Row],[Day]]="Saturday",SalesData[[#This Row],[Day]]="Sunday"),"Weekend","Weekday")</f>
        <v>Weekday</v>
      </c>
      <c r="AF2174" s="5">
        <f>IF(SalesData[[#This Row],[Contracts Offered]]=0,0,SalesData[[#This Row],[Contracts Signed]]/SalesData[[#This Row],[Contracts Offered]])</f>
        <v>0.30508474576271188</v>
      </c>
      <c r="AG2174" s="5">
        <f>IF(SalesData[[#This Row],[Customers Visited]]=0,0,SalesData[[#This Row],[Test Drives]]/SalesData[[#This Row],[Customers Visited]])</f>
        <v>0.40707964601769914</v>
      </c>
      <c r="AH2174" s="5">
        <f>IF(SalesData[[#This Row],[Customers Visited]]=0,0,SalesData[[#This Row],[Contracts Signed]]/SalesData[[#This Row],[Customers Visited]])</f>
        <v>7.9646017699115043E-2</v>
      </c>
      <c r="AI2174" s="6">
        <f>IF(SalesData[[#This Row],[Contracts Signed]]=0,0,SalesData[[#This Row],[Profit(€)]]/SalesData[[#This Row],[Contracts Signed]])</f>
        <v>1588</v>
      </c>
      <c r="AJ2174" s="5" t="str">
        <f>TRIM(CLEAN(SalesData[[#This Row],[Retailer]]))</f>
        <v>Main Auto Hub</v>
      </c>
    </row>
    <row r="2175" spans="1:36" ht="14.25" x14ac:dyDescent="0.2">
      <c r="A2175" t="s">
        <v>3201</v>
      </c>
      <c r="B2175" s="1">
        <v>46074</v>
      </c>
      <c r="C2175" t="s">
        <v>62</v>
      </c>
      <c r="D2175" t="s">
        <v>151</v>
      </c>
      <c r="E2175" t="s">
        <v>42</v>
      </c>
      <c r="F2175" t="s">
        <v>109</v>
      </c>
      <c r="G2175" t="s">
        <v>110</v>
      </c>
      <c r="H2175" t="s">
        <v>45</v>
      </c>
      <c r="I2175" t="s">
        <v>30</v>
      </c>
      <c r="J2175" t="s">
        <v>188</v>
      </c>
      <c r="K2175" t="s">
        <v>91</v>
      </c>
      <c r="L2175" t="s">
        <v>33</v>
      </c>
      <c r="M2175" t="s">
        <v>68</v>
      </c>
      <c r="N2175" t="s">
        <v>69</v>
      </c>
      <c r="O2175" t="s">
        <v>36</v>
      </c>
      <c r="P2175" t="s">
        <v>58</v>
      </c>
      <c r="Q2175" t="s">
        <v>240</v>
      </c>
      <c r="R2175">
        <v>221</v>
      </c>
      <c r="S2175">
        <v>113</v>
      </c>
      <c r="T2175">
        <v>76</v>
      </c>
      <c r="U2175">
        <v>36</v>
      </c>
      <c r="V2175" t="s">
        <v>7516</v>
      </c>
      <c r="W2175">
        <v>61168</v>
      </c>
      <c r="X2175" t="s">
        <v>7137</v>
      </c>
      <c r="Y2175">
        <v>44668</v>
      </c>
      <c r="Z2175">
        <v>2202048</v>
      </c>
      <c r="AA2175">
        <v>594000</v>
      </c>
      <c r="AB2175" t="str">
        <f>(VLOOKUP(SalesData[[#This Row],[Month Number]],Reference!C$5:E$16,2,FALSE))</f>
        <v>Feb</v>
      </c>
      <c r="AC2175">
        <f>MONTH(SalesData[[#This Row],[Date]])</f>
        <v>2</v>
      </c>
      <c r="AD2175">
        <f>Reference!F$4</f>
        <v>2026</v>
      </c>
      <c r="AE2175" t="str">
        <f>IF(OR(SalesData[[#This Row],[Day]]="Saturday",SalesData[[#This Row],[Day]]="Sunday"),"Weekend","Weekday")</f>
        <v>Weekend</v>
      </c>
      <c r="AF2175" s="5">
        <f>IF(SalesData[[#This Row],[Contracts Offered]]=0,0,SalesData[[#This Row],[Contracts Signed]]/SalesData[[#This Row],[Contracts Offered]])</f>
        <v>0.47368421052631576</v>
      </c>
      <c r="AG2175" s="5">
        <f>IF(SalesData[[#This Row],[Customers Visited]]=0,0,SalesData[[#This Row],[Test Drives]]/SalesData[[#This Row],[Customers Visited]])</f>
        <v>0.5113122171945701</v>
      </c>
      <c r="AH2175" s="5">
        <f>IF(SalesData[[#This Row],[Customers Visited]]=0,0,SalesData[[#This Row],[Contracts Signed]]/SalesData[[#This Row],[Customers Visited]])</f>
        <v>0.16289592760180996</v>
      </c>
      <c r="AI2175" s="6">
        <f>IF(SalesData[[#This Row],[Contracts Signed]]=0,0,SalesData[[#This Row],[Profit(€)]]/SalesData[[#This Row],[Contracts Signed]])</f>
        <v>16500</v>
      </c>
      <c r="AJ2175" s="5" t="str">
        <f>TRIM(CLEAN(SalesData[[#This Row],[Retailer]]))</f>
        <v>Leipzig Mobility</v>
      </c>
    </row>
    <row r="2176" spans="1:36" ht="14.25" x14ac:dyDescent="0.2">
      <c r="A2176" t="s">
        <v>3202</v>
      </c>
      <c r="B2176" s="1">
        <v>46063</v>
      </c>
      <c r="C2176" t="s">
        <v>121</v>
      </c>
      <c r="D2176" t="s">
        <v>63</v>
      </c>
      <c r="E2176" t="s">
        <v>26</v>
      </c>
      <c r="F2176" t="s">
        <v>7649</v>
      </c>
      <c r="G2176" t="s">
        <v>55</v>
      </c>
      <c r="H2176" t="s">
        <v>55</v>
      </c>
      <c r="I2176" t="s">
        <v>30</v>
      </c>
      <c r="J2176" t="s">
        <v>188</v>
      </c>
      <c r="K2176" t="s">
        <v>91</v>
      </c>
      <c r="L2176" t="s">
        <v>33</v>
      </c>
      <c r="M2176" t="s">
        <v>68</v>
      </c>
      <c r="N2176" t="s">
        <v>48</v>
      </c>
      <c r="O2176" t="s">
        <v>70</v>
      </c>
      <c r="P2176" t="s">
        <v>71</v>
      </c>
      <c r="Q2176" t="s">
        <v>347</v>
      </c>
      <c r="R2176">
        <v>179</v>
      </c>
      <c r="S2176">
        <v>89</v>
      </c>
      <c r="T2176">
        <v>67</v>
      </c>
      <c r="U2176">
        <v>26</v>
      </c>
      <c r="V2176" t="s">
        <v>7013</v>
      </c>
      <c r="W2176">
        <v>56808</v>
      </c>
      <c r="X2176" t="s">
        <v>7030</v>
      </c>
      <c r="Y2176">
        <v>40716</v>
      </c>
      <c r="Z2176">
        <v>1477008</v>
      </c>
      <c r="AA2176">
        <v>418392</v>
      </c>
      <c r="AB2176" t="str">
        <f>(VLOOKUP(SalesData[[#This Row],[Month Number]],Reference!C$5:E$16,2,FALSE))</f>
        <v>Feb</v>
      </c>
      <c r="AC2176">
        <f>MONTH(SalesData[[#This Row],[Date]])</f>
        <v>2</v>
      </c>
      <c r="AD2176">
        <f>Reference!F$4</f>
        <v>2026</v>
      </c>
      <c r="AE2176" t="str">
        <f>IF(OR(SalesData[[#This Row],[Day]]="Saturday",SalesData[[#This Row],[Day]]="Sunday"),"Weekend","Weekday")</f>
        <v>Weekday</v>
      </c>
      <c r="AF2176" s="5">
        <f>IF(SalesData[[#This Row],[Contracts Offered]]=0,0,SalesData[[#This Row],[Contracts Signed]]/SalesData[[#This Row],[Contracts Offered]])</f>
        <v>0.38805970149253732</v>
      </c>
      <c r="AG2176" s="5">
        <f>IF(SalesData[[#This Row],[Customers Visited]]=0,0,SalesData[[#This Row],[Test Drives]]/SalesData[[#This Row],[Customers Visited]])</f>
        <v>0.4972067039106145</v>
      </c>
      <c r="AH2176" s="5">
        <f>IF(SalesData[[#This Row],[Customers Visited]]=0,0,SalesData[[#This Row],[Contracts Signed]]/SalesData[[#This Row],[Customers Visited]])</f>
        <v>0.14525139664804471</v>
      </c>
      <c r="AI2176" s="6">
        <f>IF(SalesData[[#This Row],[Contracts Signed]]=0,0,SalesData[[#This Row],[Profit(€)]]/SalesData[[#This Row],[Contracts Signed]])</f>
        <v>16092</v>
      </c>
      <c r="AJ2176" s="5" t="str">
        <f>TRIM(CLEAN(SalesData[[#This Row],[Retailer]]))</f>
        <v>Autohaus Berlin</v>
      </c>
    </row>
    <row r="2177" spans="1:36" ht="14.25" hidden="1" x14ac:dyDescent="0.2">
      <c r="A2177" t="s">
        <v>3203</v>
      </c>
      <c r="B2177" s="1">
        <v>46071</v>
      </c>
      <c r="C2177" t="s">
        <v>62</v>
      </c>
      <c r="D2177" t="s">
        <v>82</v>
      </c>
      <c r="E2177" t="s">
        <v>26</v>
      </c>
      <c r="F2177" t="s">
        <v>43</v>
      </c>
      <c r="G2177" t="s">
        <v>44</v>
      </c>
      <c r="H2177" t="s">
        <v>45</v>
      </c>
      <c r="I2177" t="s">
        <v>104</v>
      </c>
      <c r="J2177" t="s">
        <v>105</v>
      </c>
      <c r="K2177" t="s">
        <v>91</v>
      </c>
      <c r="L2177" t="s">
        <v>33</v>
      </c>
      <c r="M2177" t="s">
        <v>34</v>
      </c>
      <c r="N2177" t="s">
        <v>48</v>
      </c>
      <c r="O2177" t="s">
        <v>70</v>
      </c>
      <c r="P2177" t="s">
        <v>49</v>
      </c>
      <c r="Q2177" t="s">
        <v>106</v>
      </c>
      <c r="R2177">
        <v>388</v>
      </c>
      <c r="S2177">
        <v>198</v>
      </c>
      <c r="T2177">
        <v>127</v>
      </c>
      <c r="U2177">
        <v>27</v>
      </c>
      <c r="V2177" t="s">
        <v>1011</v>
      </c>
      <c r="W2177">
        <v>27691</v>
      </c>
      <c r="X2177" t="s">
        <v>281</v>
      </c>
      <c r="Y2177">
        <v>23896</v>
      </c>
      <c r="Z2177">
        <v>747657</v>
      </c>
      <c r="AA2177">
        <v>102465</v>
      </c>
      <c r="AB2177" t="str">
        <f>(VLOOKUP(SalesData[[#This Row],[Month Number]],Reference!C$5:E$16,2,FALSE))</f>
        <v>Feb</v>
      </c>
      <c r="AC2177">
        <f>MONTH(SalesData[[#This Row],[Date]])</f>
        <v>2</v>
      </c>
      <c r="AD2177">
        <f>Reference!F$4</f>
        <v>2026</v>
      </c>
      <c r="AE2177" t="str">
        <f>IF(OR(SalesData[[#This Row],[Day]]="Saturday",SalesData[[#This Row],[Day]]="Sunday"),"Weekend","Weekday")</f>
        <v>Weekday</v>
      </c>
      <c r="AF2177" s="5">
        <f>IF(SalesData[[#This Row],[Contracts Offered]]=0,0,SalesData[[#This Row],[Contracts Signed]]/SalesData[[#This Row],[Contracts Offered]])</f>
        <v>0.2125984251968504</v>
      </c>
      <c r="AG2177" s="5">
        <f>IF(SalesData[[#This Row],[Customers Visited]]=0,0,SalesData[[#This Row],[Test Drives]]/SalesData[[#This Row],[Customers Visited]])</f>
        <v>0.51030927835051543</v>
      </c>
      <c r="AH2177" s="5">
        <f>IF(SalesData[[#This Row],[Customers Visited]]=0,0,SalesData[[#This Row],[Contracts Signed]]/SalesData[[#This Row],[Customers Visited]])</f>
        <v>6.9587628865979384E-2</v>
      </c>
      <c r="AI2177" s="6">
        <f>IF(SalesData[[#This Row],[Contracts Signed]]=0,0,SalesData[[#This Row],[Profit(€)]]/SalesData[[#This Row],[Contracts Signed]])</f>
        <v>3795</v>
      </c>
      <c r="AJ2177" s="5" t="str">
        <f>TRIM(CLEAN(SalesData[[#This Row],[Retailer]]))</f>
        <v>Saxon Wheels</v>
      </c>
    </row>
    <row r="2178" spans="1:36" ht="14.25" hidden="1" x14ac:dyDescent="0.2">
      <c r="A2178" t="s">
        <v>3204</v>
      </c>
      <c r="B2178" s="1">
        <v>46073</v>
      </c>
      <c r="C2178" t="s">
        <v>62</v>
      </c>
      <c r="D2178" t="s">
        <v>54</v>
      </c>
      <c r="E2178" t="s">
        <v>26</v>
      </c>
      <c r="F2178" t="s">
        <v>114</v>
      </c>
      <c r="G2178" t="s">
        <v>115</v>
      </c>
      <c r="H2178" t="s">
        <v>115</v>
      </c>
      <c r="I2178" t="s">
        <v>64</v>
      </c>
      <c r="J2178" t="s">
        <v>157</v>
      </c>
      <c r="K2178" t="s">
        <v>32</v>
      </c>
      <c r="L2178" t="s">
        <v>33</v>
      </c>
      <c r="M2178" t="s">
        <v>47</v>
      </c>
      <c r="N2178" t="s">
        <v>69</v>
      </c>
      <c r="O2178" t="s">
        <v>70</v>
      </c>
      <c r="P2178" t="s">
        <v>71</v>
      </c>
      <c r="Q2178" t="s">
        <v>59</v>
      </c>
      <c r="R2178">
        <v>264</v>
      </c>
      <c r="S2178">
        <v>140</v>
      </c>
      <c r="T2178">
        <v>98</v>
      </c>
      <c r="U2178">
        <v>38</v>
      </c>
      <c r="V2178" t="s">
        <v>6520</v>
      </c>
      <c r="W2178">
        <v>50838</v>
      </c>
      <c r="X2178" t="s">
        <v>2861</v>
      </c>
      <c r="Y2178">
        <v>37643</v>
      </c>
      <c r="Z2178">
        <v>1931844</v>
      </c>
      <c r="AA2178">
        <v>501410</v>
      </c>
      <c r="AB2178" t="str">
        <f>(VLOOKUP(SalesData[[#This Row],[Month Number]],Reference!C$5:E$16,2,FALSE))</f>
        <v>Feb</v>
      </c>
      <c r="AC2178">
        <f>MONTH(SalesData[[#This Row],[Date]])</f>
        <v>2</v>
      </c>
      <c r="AD2178">
        <f>Reference!F$4</f>
        <v>2026</v>
      </c>
      <c r="AE2178" t="str">
        <f>IF(OR(SalesData[[#This Row],[Day]]="Saturday",SalesData[[#This Row],[Day]]="Sunday"),"Weekend","Weekday")</f>
        <v>Weekday</v>
      </c>
      <c r="AF2178" s="5">
        <f>IF(SalesData[[#This Row],[Contracts Offered]]=0,0,SalesData[[#This Row],[Contracts Signed]]/SalesData[[#This Row],[Contracts Offered]])</f>
        <v>0.38775510204081631</v>
      </c>
      <c r="AG2178" s="5">
        <f>IF(SalesData[[#This Row],[Customers Visited]]=0,0,SalesData[[#This Row],[Test Drives]]/SalesData[[#This Row],[Customers Visited]])</f>
        <v>0.53030303030303028</v>
      </c>
      <c r="AH2178" s="5">
        <f>IF(SalesData[[#This Row],[Customers Visited]]=0,0,SalesData[[#This Row],[Contracts Signed]]/SalesData[[#This Row],[Customers Visited]])</f>
        <v>0.14393939393939395</v>
      </c>
      <c r="AI2178" s="6">
        <f>IF(SalesData[[#This Row],[Contracts Signed]]=0,0,SalesData[[#This Row],[Profit(€)]]/SalesData[[#This Row],[Contracts Signed]])</f>
        <v>13195</v>
      </c>
      <c r="AJ2178" s="5" t="str">
        <f>TRIM(CLEAN(SalesData[[#This Row],[Retailer]]))</f>
        <v>Elbe Drive</v>
      </c>
    </row>
    <row r="2179" spans="1:36" ht="14.25" hidden="1" x14ac:dyDescent="0.2">
      <c r="A2179" t="s">
        <v>3205</v>
      </c>
      <c r="B2179" s="1">
        <v>46071</v>
      </c>
      <c r="C2179" t="s">
        <v>62</v>
      </c>
      <c r="D2179" t="s">
        <v>82</v>
      </c>
      <c r="E2179" t="s">
        <v>26</v>
      </c>
      <c r="F2179" t="s">
        <v>74</v>
      </c>
      <c r="G2179" t="s">
        <v>75</v>
      </c>
      <c r="H2179" t="s">
        <v>76</v>
      </c>
      <c r="I2179" t="s">
        <v>104</v>
      </c>
      <c r="J2179" t="s">
        <v>7061</v>
      </c>
      <c r="K2179" t="s">
        <v>32</v>
      </c>
      <c r="L2179" t="s">
        <v>46</v>
      </c>
      <c r="M2179" t="s">
        <v>68</v>
      </c>
      <c r="N2179" t="s">
        <v>35</v>
      </c>
      <c r="O2179" t="s">
        <v>70</v>
      </c>
      <c r="P2179" t="s">
        <v>37</v>
      </c>
      <c r="Q2179" t="s">
        <v>38</v>
      </c>
      <c r="R2179">
        <v>398</v>
      </c>
      <c r="S2179">
        <v>201</v>
      </c>
      <c r="T2179">
        <v>128</v>
      </c>
      <c r="U2179">
        <v>29</v>
      </c>
      <c r="V2179" t="s">
        <v>4123</v>
      </c>
      <c r="W2179">
        <v>25736</v>
      </c>
      <c r="X2179" t="s">
        <v>2817</v>
      </c>
      <c r="Y2179">
        <v>23312</v>
      </c>
      <c r="Z2179">
        <v>746344</v>
      </c>
      <c r="AA2179">
        <v>70296</v>
      </c>
      <c r="AB2179" t="str">
        <f>(VLOOKUP(SalesData[[#This Row],[Month Number]],Reference!C$5:E$16,2,FALSE))</f>
        <v>Feb</v>
      </c>
      <c r="AC2179">
        <f>MONTH(SalesData[[#This Row],[Date]])</f>
        <v>2</v>
      </c>
      <c r="AD2179">
        <f>Reference!F$4</f>
        <v>2026</v>
      </c>
      <c r="AE2179" t="str">
        <f>IF(OR(SalesData[[#This Row],[Day]]="Saturday",SalesData[[#This Row],[Day]]="Sunday"),"Weekend","Weekday")</f>
        <v>Weekday</v>
      </c>
      <c r="AF2179" s="5">
        <f>IF(SalesData[[#This Row],[Contracts Offered]]=0,0,SalesData[[#This Row],[Contracts Signed]]/SalesData[[#This Row],[Contracts Offered]])</f>
        <v>0.2265625</v>
      </c>
      <c r="AG2179" s="5">
        <f>IF(SalesData[[#This Row],[Customers Visited]]=0,0,SalesData[[#This Row],[Test Drives]]/SalesData[[#This Row],[Customers Visited]])</f>
        <v>0.50502512562814073</v>
      </c>
      <c r="AH2179" s="5">
        <f>IF(SalesData[[#This Row],[Customers Visited]]=0,0,SalesData[[#This Row],[Contracts Signed]]/SalesData[[#This Row],[Customers Visited]])</f>
        <v>7.2864321608040197E-2</v>
      </c>
      <c r="AI2179" s="6">
        <f>IF(SalesData[[#This Row],[Contracts Signed]]=0,0,SalesData[[#This Row],[Profit(€)]]/SalesData[[#This Row],[Contracts Signed]])</f>
        <v>2424</v>
      </c>
      <c r="AJ2179" s="5" t="str">
        <f>TRIM(CLEAN(SalesData[[#This Row],[Retailer]]))</f>
        <v>Stuttgart Auto Center</v>
      </c>
    </row>
    <row r="2180" spans="1:36" ht="14.25" hidden="1" x14ac:dyDescent="0.2">
      <c r="A2180" t="s">
        <v>3206</v>
      </c>
      <c r="B2180" s="1">
        <v>46057</v>
      </c>
      <c r="C2180" t="s">
        <v>24</v>
      </c>
      <c r="D2180" t="s">
        <v>82</v>
      </c>
      <c r="E2180" t="s">
        <v>26</v>
      </c>
      <c r="F2180" t="s">
        <v>7649</v>
      </c>
      <c r="G2180" t="s">
        <v>55</v>
      </c>
      <c r="H2180" t="s">
        <v>55</v>
      </c>
      <c r="I2180" t="s">
        <v>116</v>
      </c>
      <c r="J2180" t="s">
        <v>7090</v>
      </c>
      <c r="K2180" t="s">
        <v>32</v>
      </c>
      <c r="L2180" t="s">
        <v>46</v>
      </c>
      <c r="M2180" t="s">
        <v>47</v>
      </c>
      <c r="N2180" t="s">
        <v>48</v>
      </c>
      <c r="O2180" t="s">
        <v>36</v>
      </c>
      <c r="P2180" t="s">
        <v>37</v>
      </c>
      <c r="Q2180" t="s">
        <v>88</v>
      </c>
      <c r="R2180">
        <v>337</v>
      </c>
      <c r="S2180">
        <v>151</v>
      </c>
      <c r="T2180">
        <v>98</v>
      </c>
      <c r="U2180">
        <v>28</v>
      </c>
      <c r="V2180" t="s">
        <v>1103</v>
      </c>
      <c r="W2180">
        <v>26666</v>
      </c>
      <c r="X2180" t="s">
        <v>2090</v>
      </c>
      <c r="Y2180">
        <v>24414</v>
      </c>
      <c r="Z2180">
        <v>746648</v>
      </c>
      <c r="AA2180">
        <v>63056</v>
      </c>
      <c r="AB2180" t="str">
        <f>(VLOOKUP(SalesData[[#This Row],[Month Number]],Reference!C$5:E$16,2,FALSE))</f>
        <v>Feb</v>
      </c>
      <c r="AC2180">
        <f>MONTH(SalesData[[#This Row],[Date]])</f>
        <v>2</v>
      </c>
      <c r="AD2180">
        <f>Reference!F$4</f>
        <v>2026</v>
      </c>
      <c r="AE2180" t="str">
        <f>IF(OR(SalesData[[#This Row],[Day]]="Saturday",SalesData[[#This Row],[Day]]="Sunday"),"Weekend","Weekday")</f>
        <v>Weekday</v>
      </c>
      <c r="AF2180" s="5">
        <f>IF(SalesData[[#This Row],[Contracts Offered]]=0,0,SalesData[[#This Row],[Contracts Signed]]/SalesData[[#This Row],[Contracts Offered]])</f>
        <v>0.2857142857142857</v>
      </c>
      <c r="AG2180" s="5">
        <f>IF(SalesData[[#This Row],[Customers Visited]]=0,0,SalesData[[#This Row],[Test Drives]]/SalesData[[#This Row],[Customers Visited]])</f>
        <v>0.44807121661721067</v>
      </c>
      <c r="AH2180" s="5">
        <f>IF(SalesData[[#This Row],[Customers Visited]]=0,0,SalesData[[#This Row],[Contracts Signed]]/SalesData[[#This Row],[Customers Visited]])</f>
        <v>8.3086053412462904E-2</v>
      </c>
      <c r="AI2180" s="6">
        <f>IF(SalesData[[#This Row],[Contracts Signed]]=0,0,SalesData[[#This Row],[Profit(€)]]/SalesData[[#This Row],[Contracts Signed]])</f>
        <v>2252</v>
      </c>
      <c r="AJ2180" s="5" t="str">
        <f>TRIM(CLEAN(SalesData[[#This Row],[Retailer]]))</f>
        <v>Autohaus Berlin</v>
      </c>
    </row>
    <row r="2181" spans="1:36" ht="14.25" x14ac:dyDescent="0.2">
      <c r="A2181" t="s">
        <v>3207</v>
      </c>
      <c r="B2181" s="1">
        <v>46060</v>
      </c>
      <c r="C2181" t="s">
        <v>24</v>
      </c>
      <c r="D2181" t="s">
        <v>151</v>
      </c>
      <c r="E2181" t="s">
        <v>42</v>
      </c>
      <c r="F2181" t="s">
        <v>43</v>
      </c>
      <c r="G2181" t="s">
        <v>44</v>
      </c>
      <c r="H2181" t="s">
        <v>45</v>
      </c>
      <c r="I2181" t="s">
        <v>30</v>
      </c>
      <c r="J2181" t="s">
        <v>166</v>
      </c>
      <c r="K2181" t="s">
        <v>78</v>
      </c>
      <c r="L2181" t="s">
        <v>46</v>
      </c>
      <c r="M2181" t="s">
        <v>34</v>
      </c>
      <c r="N2181" t="s">
        <v>35</v>
      </c>
      <c r="O2181" t="s">
        <v>36</v>
      </c>
      <c r="P2181" t="s">
        <v>37</v>
      </c>
      <c r="Q2181" t="s">
        <v>169</v>
      </c>
      <c r="R2181">
        <v>212</v>
      </c>
      <c r="S2181">
        <v>109</v>
      </c>
      <c r="T2181">
        <v>82</v>
      </c>
      <c r="U2181">
        <v>28</v>
      </c>
      <c r="V2181" t="s">
        <v>6593</v>
      </c>
      <c r="W2181">
        <v>62475</v>
      </c>
      <c r="X2181" t="s">
        <v>7235</v>
      </c>
      <c r="Y2181">
        <v>48192</v>
      </c>
      <c r="Z2181">
        <v>1749300</v>
      </c>
      <c r="AA2181">
        <v>399924</v>
      </c>
      <c r="AB2181" t="str">
        <f>(VLOOKUP(SalesData[[#This Row],[Month Number]],Reference!C$5:E$16,2,FALSE))</f>
        <v>Feb</v>
      </c>
      <c r="AC2181">
        <f>MONTH(SalesData[[#This Row],[Date]])</f>
        <v>2</v>
      </c>
      <c r="AD2181">
        <f>Reference!F$4</f>
        <v>2026</v>
      </c>
      <c r="AE2181" t="str">
        <f>IF(OR(SalesData[[#This Row],[Day]]="Saturday",SalesData[[#This Row],[Day]]="Sunday"),"Weekend","Weekday")</f>
        <v>Weekend</v>
      </c>
      <c r="AF2181" s="5">
        <f>IF(SalesData[[#This Row],[Contracts Offered]]=0,0,SalesData[[#This Row],[Contracts Signed]]/SalesData[[#This Row],[Contracts Offered]])</f>
        <v>0.34146341463414637</v>
      </c>
      <c r="AG2181" s="5">
        <f>IF(SalesData[[#This Row],[Customers Visited]]=0,0,SalesData[[#This Row],[Test Drives]]/SalesData[[#This Row],[Customers Visited]])</f>
        <v>0.51415094339622647</v>
      </c>
      <c r="AH2181" s="5">
        <f>IF(SalesData[[#This Row],[Customers Visited]]=0,0,SalesData[[#This Row],[Contracts Signed]]/SalesData[[#This Row],[Customers Visited]])</f>
        <v>0.13207547169811321</v>
      </c>
      <c r="AI2181" s="6">
        <f>IF(SalesData[[#This Row],[Contracts Signed]]=0,0,SalesData[[#This Row],[Profit(€)]]/SalesData[[#This Row],[Contracts Signed]])</f>
        <v>14283</v>
      </c>
      <c r="AJ2181" s="5" t="str">
        <f>TRIM(CLEAN(SalesData[[#This Row],[Retailer]]))</f>
        <v>Saxon Wheels</v>
      </c>
    </row>
    <row r="2182" spans="1:36" ht="14.25" hidden="1" x14ac:dyDescent="0.2">
      <c r="A2182" t="s">
        <v>3208</v>
      </c>
      <c r="B2182" s="1">
        <v>46074</v>
      </c>
      <c r="C2182" t="s">
        <v>62</v>
      </c>
      <c r="D2182" t="s">
        <v>151</v>
      </c>
      <c r="E2182" t="s">
        <v>42</v>
      </c>
      <c r="F2182" t="s">
        <v>7649</v>
      </c>
      <c r="G2182" t="s">
        <v>55</v>
      </c>
      <c r="H2182" t="s">
        <v>55</v>
      </c>
      <c r="I2182" t="s">
        <v>64</v>
      </c>
      <c r="J2182" t="s">
        <v>7029</v>
      </c>
      <c r="K2182" t="s">
        <v>91</v>
      </c>
      <c r="L2182" t="s">
        <v>33</v>
      </c>
      <c r="M2182" t="s">
        <v>87</v>
      </c>
      <c r="N2182" t="s">
        <v>69</v>
      </c>
      <c r="O2182" t="s">
        <v>70</v>
      </c>
      <c r="P2182" t="s">
        <v>37</v>
      </c>
      <c r="Q2182" t="s">
        <v>135</v>
      </c>
      <c r="R2182">
        <v>269</v>
      </c>
      <c r="S2182">
        <v>137</v>
      </c>
      <c r="T2182">
        <v>102</v>
      </c>
      <c r="U2182">
        <v>31</v>
      </c>
      <c r="V2182" t="s">
        <v>6401</v>
      </c>
      <c r="W2182">
        <v>51778</v>
      </c>
      <c r="X2182" t="s">
        <v>3593</v>
      </c>
      <c r="Y2182">
        <v>40792</v>
      </c>
      <c r="Z2182">
        <v>1605118</v>
      </c>
      <c r="AA2182">
        <v>340566</v>
      </c>
      <c r="AB2182" t="str">
        <f>(VLOOKUP(SalesData[[#This Row],[Month Number]],Reference!C$5:E$16,2,FALSE))</f>
        <v>Feb</v>
      </c>
      <c r="AC2182">
        <f>MONTH(SalesData[[#This Row],[Date]])</f>
        <v>2</v>
      </c>
      <c r="AD2182">
        <f>Reference!F$4</f>
        <v>2026</v>
      </c>
      <c r="AE2182" t="str">
        <f>IF(OR(SalesData[[#This Row],[Day]]="Saturday",SalesData[[#This Row],[Day]]="Sunday"),"Weekend","Weekday")</f>
        <v>Weekend</v>
      </c>
      <c r="AF2182" s="5">
        <f>IF(SalesData[[#This Row],[Contracts Offered]]=0,0,SalesData[[#This Row],[Contracts Signed]]/SalesData[[#This Row],[Contracts Offered]])</f>
        <v>0.30392156862745096</v>
      </c>
      <c r="AG2182" s="5">
        <f>IF(SalesData[[#This Row],[Customers Visited]]=0,0,SalesData[[#This Row],[Test Drives]]/SalesData[[#This Row],[Customers Visited]])</f>
        <v>0.50929368029739774</v>
      </c>
      <c r="AH2182" s="5">
        <f>IF(SalesData[[#This Row],[Customers Visited]]=0,0,SalesData[[#This Row],[Contracts Signed]]/SalesData[[#This Row],[Customers Visited]])</f>
        <v>0.11524163568773234</v>
      </c>
      <c r="AI2182" s="6">
        <f>IF(SalesData[[#This Row],[Contracts Signed]]=0,0,SalesData[[#This Row],[Profit(€)]]/SalesData[[#This Row],[Contracts Signed]])</f>
        <v>10986</v>
      </c>
      <c r="AJ2182" s="5" t="str">
        <f>TRIM(CLEAN(SalesData[[#This Row],[Retailer]]))</f>
        <v>Autohaus Berlin</v>
      </c>
    </row>
    <row r="2183" spans="1:36" ht="14.25" hidden="1" x14ac:dyDescent="0.2">
      <c r="A2183" t="s">
        <v>3209</v>
      </c>
      <c r="B2183" s="1">
        <v>46058</v>
      </c>
      <c r="C2183" t="s">
        <v>24</v>
      </c>
      <c r="D2183" t="s">
        <v>100</v>
      </c>
      <c r="E2183" t="s">
        <v>26</v>
      </c>
      <c r="F2183" t="s">
        <v>74</v>
      </c>
      <c r="G2183" t="s">
        <v>75</v>
      </c>
      <c r="H2183" t="s">
        <v>76</v>
      </c>
      <c r="I2183" t="s">
        <v>64</v>
      </c>
      <c r="J2183" t="s">
        <v>77</v>
      </c>
      <c r="K2183" t="s">
        <v>91</v>
      </c>
      <c r="L2183" t="s">
        <v>46</v>
      </c>
      <c r="M2183" t="s">
        <v>47</v>
      </c>
      <c r="N2183" t="s">
        <v>48</v>
      </c>
      <c r="O2183" t="s">
        <v>70</v>
      </c>
      <c r="P2183" t="s">
        <v>37</v>
      </c>
      <c r="Q2183" t="s">
        <v>129</v>
      </c>
      <c r="R2183">
        <v>286</v>
      </c>
      <c r="S2183">
        <v>152</v>
      </c>
      <c r="T2183">
        <v>121</v>
      </c>
      <c r="U2183">
        <v>40</v>
      </c>
      <c r="V2183" t="s">
        <v>6471</v>
      </c>
      <c r="W2183">
        <v>59480</v>
      </c>
      <c r="X2183" t="s">
        <v>1151</v>
      </c>
      <c r="Y2183">
        <v>43456</v>
      </c>
      <c r="Z2183">
        <v>2379200</v>
      </c>
      <c r="AA2183">
        <v>640960</v>
      </c>
      <c r="AB2183" t="str">
        <f>(VLOOKUP(SalesData[[#This Row],[Month Number]],Reference!C$5:E$16,2,FALSE))</f>
        <v>Feb</v>
      </c>
      <c r="AC2183">
        <f>MONTH(SalesData[[#This Row],[Date]])</f>
        <v>2</v>
      </c>
      <c r="AD2183">
        <f>Reference!F$4</f>
        <v>2026</v>
      </c>
      <c r="AE2183" t="str">
        <f>IF(OR(SalesData[[#This Row],[Day]]="Saturday",SalesData[[#This Row],[Day]]="Sunday"),"Weekend","Weekday")</f>
        <v>Weekday</v>
      </c>
      <c r="AF2183" s="5">
        <f>IF(SalesData[[#This Row],[Contracts Offered]]=0,0,SalesData[[#This Row],[Contracts Signed]]/SalesData[[#This Row],[Contracts Offered]])</f>
        <v>0.33057851239669422</v>
      </c>
      <c r="AG2183" s="5">
        <f>IF(SalesData[[#This Row],[Customers Visited]]=0,0,SalesData[[#This Row],[Test Drives]]/SalesData[[#This Row],[Customers Visited]])</f>
        <v>0.53146853146853146</v>
      </c>
      <c r="AH2183" s="5">
        <f>IF(SalesData[[#This Row],[Customers Visited]]=0,0,SalesData[[#This Row],[Contracts Signed]]/SalesData[[#This Row],[Customers Visited]])</f>
        <v>0.13986013986013987</v>
      </c>
      <c r="AI2183" s="6">
        <f>IF(SalesData[[#This Row],[Contracts Signed]]=0,0,SalesData[[#This Row],[Profit(€)]]/SalesData[[#This Row],[Contracts Signed]])</f>
        <v>16024</v>
      </c>
      <c r="AJ2183" s="5" t="str">
        <f>TRIM(CLEAN(SalesData[[#This Row],[Retailer]]))</f>
        <v>Stuttgart Auto Center</v>
      </c>
    </row>
    <row r="2184" spans="1:36" ht="14.25" hidden="1" x14ac:dyDescent="0.2">
      <c r="A2184" t="s">
        <v>3210</v>
      </c>
      <c r="B2184" s="1">
        <v>46061</v>
      </c>
      <c r="C2184" t="s">
        <v>121</v>
      </c>
      <c r="D2184" t="s">
        <v>41</v>
      </c>
      <c r="E2184" t="s">
        <v>42</v>
      </c>
      <c r="F2184" t="s">
        <v>7649</v>
      </c>
      <c r="G2184" t="s">
        <v>55</v>
      </c>
      <c r="H2184" t="s">
        <v>55</v>
      </c>
      <c r="I2184" t="s">
        <v>64</v>
      </c>
      <c r="J2184" t="s">
        <v>77</v>
      </c>
      <c r="K2184" t="s">
        <v>78</v>
      </c>
      <c r="L2184" t="s">
        <v>46</v>
      </c>
      <c r="M2184" t="s">
        <v>34</v>
      </c>
      <c r="N2184" t="s">
        <v>48</v>
      </c>
      <c r="O2184" t="s">
        <v>70</v>
      </c>
      <c r="P2184" t="s">
        <v>37</v>
      </c>
      <c r="Q2184" t="s">
        <v>38</v>
      </c>
      <c r="R2184">
        <v>194</v>
      </c>
      <c r="S2184">
        <v>115</v>
      </c>
      <c r="T2184">
        <v>83</v>
      </c>
      <c r="U2184">
        <v>28</v>
      </c>
      <c r="V2184" t="s">
        <v>6576</v>
      </c>
      <c r="W2184">
        <v>59792</v>
      </c>
      <c r="X2184" t="s">
        <v>7176</v>
      </c>
      <c r="Y2184">
        <v>46479</v>
      </c>
      <c r="Z2184">
        <v>1674176</v>
      </c>
      <c r="AA2184">
        <v>372764</v>
      </c>
      <c r="AB2184" t="str">
        <f>(VLOOKUP(SalesData[[#This Row],[Month Number]],Reference!C$5:E$16,2,FALSE))</f>
        <v>Feb</v>
      </c>
      <c r="AC2184">
        <f>MONTH(SalesData[[#This Row],[Date]])</f>
        <v>2</v>
      </c>
      <c r="AD2184">
        <f>Reference!F$4</f>
        <v>2026</v>
      </c>
      <c r="AE2184" t="str">
        <f>IF(OR(SalesData[[#This Row],[Day]]="Saturday",SalesData[[#This Row],[Day]]="Sunday"),"Weekend","Weekday")</f>
        <v>Weekend</v>
      </c>
      <c r="AF2184" s="5">
        <f>IF(SalesData[[#This Row],[Contracts Offered]]=0,0,SalesData[[#This Row],[Contracts Signed]]/SalesData[[#This Row],[Contracts Offered]])</f>
        <v>0.33734939759036142</v>
      </c>
      <c r="AG2184" s="5">
        <f>IF(SalesData[[#This Row],[Customers Visited]]=0,0,SalesData[[#This Row],[Test Drives]]/SalesData[[#This Row],[Customers Visited]])</f>
        <v>0.59278350515463918</v>
      </c>
      <c r="AH2184" s="5">
        <f>IF(SalesData[[#This Row],[Customers Visited]]=0,0,SalesData[[#This Row],[Contracts Signed]]/SalesData[[#This Row],[Customers Visited]])</f>
        <v>0.14432989690721648</v>
      </c>
      <c r="AI2184" s="6">
        <f>IF(SalesData[[#This Row],[Contracts Signed]]=0,0,SalesData[[#This Row],[Profit(€)]]/SalesData[[#This Row],[Contracts Signed]])</f>
        <v>13313</v>
      </c>
      <c r="AJ2184" s="5" t="str">
        <f>TRIM(CLEAN(SalesData[[#This Row],[Retailer]]))</f>
        <v>Autohaus Berlin</v>
      </c>
    </row>
    <row r="2185" spans="1:36" ht="14.25" hidden="1" x14ac:dyDescent="0.2">
      <c r="A2185" t="s">
        <v>3212</v>
      </c>
      <c r="B2185" s="1">
        <v>46072</v>
      </c>
      <c r="C2185" t="s">
        <v>62</v>
      </c>
      <c r="D2185" t="s">
        <v>100</v>
      </c>
      <c r="E2185" t="s">
        <v>26</v>
      </c>
      <c r="F2185" t="s">
        <v>7649</v>
      </c>
      <c r="G2185" t="s">
        <v>55</v>
      </c>
      <c r="H2185" t="s">
        <v>55</v>
      </c>
      <c r="I2185" t="s">
        <v>64</v>
      </c>
      <c r="J2185" t="s">
        <v>111</v>
      </c>
      <c r="K2185" t="s">
        <v>78</v>
      </c>
      <c r="L2185" t="s">
        <v>46</v>
      </c>
      <c r="M2185" t="s">
        <v>87</v>
      </c>
      <c r="N2185" t="s">
        <v>48</v>
      </c>
      <c r="O2185" t="s">
        <v>70</v>
      </c>
      <c r="P2185" t="s">
        <v>71</v>
      </c>
      <c r="Q2185" t="s">
        <v>189</v>
      </c>
      <c r="R2185">
        <v>265</v>
      </c>
      <c r="S2185">
        <v>144</v>
      </c>
      <c r="T2185">
        <v>103</v>
      </c>
      <c r="U2185">
        <v>42</v>
      </c>
      <c r="V2185" t="s">
        <v>6395</v>
      </c>
      <c r="W2185">
        <v>55431</v>
      </c>
      <c r="X2185" t="s">
        <v>7135</v>
      </c>
      <c r="Y2185">
        <v>41995</v>
      </c>
      <c r="Z2185">
        <v>2328102</v>
      </c>
      <c r="AA2185">
        <v>564312</v>
      </c>
      <c r="AB2185" t="str">
        <f>(VLOOKUP(SalesData[[#This Row],[Month Number]],Reference!C$5:E$16,2,FALSE))</f>
        <v>Feb</v>
      </c>
      <c r="AC2185">
        <f>MONTH(SalesData[[#This Row],[Date]])</f>
        <v>2</v>
      </c>
      <c r="AD2185">
        <f>Reference!F$4</f>
        <v>2026</v>
      </c>
      <c r="AE2185" t="str">
        <f>IF(OR(SalesData[[#This Row],[Day]]="Saturday",SalesData[[#This Row],[Day]]="Sunday"),"Weekend","Weekday")</f>
        <v>Weekday</v>
      </c>
      <c r="AF2185" s="5">
        <f>IF(SalesData[[#This Row],[Contracts Offered]]=0,0,SalesData[[#This Row],[Contracts Signed]]/SalesData[[#This Row],[Contracts Offered]])</f>
        <v>0.40776699029126212</v>
      </c>
      <c r="AG2185" s="5">
        <f>IF(SalesData[[#This Row],[Customers Visited]]=0,0,SalesData[[#This Row],[Test Drives]]/SalesData[[#This Row],[Customers Visited]])</f>
        <v>0.54339622641509433</v>
      </c>
      <c r="AH2185" s="5">
        <f>IF(SalesData[[#This Row],[Customers Visited]]=0,0,SalesData[[#This Row],[Contracts Signed]]/SalesData[[#This Row],[Customers Visited]])</f>
        <v>0.15849056603773584</v>
      </c>
      <c r="AI2185" s="6">
        <f>IF(SalesData[[#This Row],[Contracts Signed]]=0,0,SalesData[[#This Row],[Profit(€)]]/SalesData[[#This Row],[Contracts Signed]])</f>
        <v>13436</v>
      </c>
      <c r="AJ2185" s="5" t="str">
        <f>TRIM(CLEAN(SalesData[[#This Row],[Retailer]]))</f>
        <v>Autohaus Berlin</v>
      </c>
    </row>
    <row r="2186" spans="1:36" ht="14.25" hidden="1" x14ac:dyDescent="0.2">
      <c r="A2186" t="s">
        <v>3213</v>
      </c>
      <c r="B2186" s="1">
        <v>46067</v>
      </c>
      <c r="C2186" t="s">
        <v>121</v>
      </c>
      <c r="D2186" t="s">
        <v>151</v>
      </c>
      <c r="E2186" t="s">
        <v>42</v>
      </c>
      <c r="F2186" t="s">
        <v>114</v>
      </c>
      <c r="G2186" t="s">
        <v>115</v>
      </c>
      <c r="H2186" t="s">
        <v>115</v>
      </c>
      <c r="I2186" t="s">
        <v>104</v>
      </c>
      <c r="J2186" t="s">
        <v>143</v>
      </c>
      <c r="K2186" t="s">
        <v>78</v>
      </c>
      <c r="L2186" t="s">
        <v>67</v>
      </c>
      <c r="M2186" t="s">
        <v>87</v>
      </c>
      <c r="N2186" t="s">
        <v>35</v>
      </c>
      <c r="O2186" t="s">
        <v>70</v>
      </c>
      <c r="P2186" t="s">
        <v>49</v>
      </c>
      <c r="Q2186" t="s">
        <v>144</v>
      </c>
      <c r="R2186">
        <v>386</v>
      </c>
      <c r="S2186">
        <v>210</v>
      </c>
      <c r="T2186">
        <v>132</v>
      </c>
      <c r="U2186">
        <v>29</v>
      </c>
      <c r="V2186" t="s">
        <v>3257</v>
      </c>
      <c r="W2186">
        <v>32929</v>
      </c>
      <c r="X2186" t="s">
        <v>7458</v>
      </c>
      <c r="Y2186">
        <v>29831</v>
      </c>
      <c r="Z2186">
        <v>954941</v>
      </c>
      <c r="AA2186">
        <v>89842</v>
      </c>
      <c r="AB2186" t="str">
        <f>(VLOOKUP(SalesData[[#This Row],[Month Number]],Reference!C$5:E$16,2,FALSE))</f>
        <v>Feb</v>
      </c>
      <c r="AC2186">
        <f>MONTH(SalesData[[#This Row],[Date]])</f>
        <v>2</v>
      </c>
      <c r="AD2186">
        <f>Reference!F$4</f>
        <v>2026</v>
      </c>
      <c r="AE2186" t="str">
        <f>IF(OR(SalesData[[#This Row],[Day]]="Saturday",SalesData[[#This Row],[Day]]="Sunday"),"Weekend","Weekday")</f>
        <v>Weekend</v>
      </c>
      <c r="AF2186" s="5">
        <f>IF(SalesData[[#This Row],[Contracts Offered]]=0,0,SalesData[[#This Row],[Contracts Signed]]/SalesData[[#This Row],[Contracts Offered]])</f>
        <v>0.2196969696969697</v>
      </c>
      <c r="AG2186" s="5">
        <f>IF(SalesData[[#This Row],[Customers Visited]]=0,0,SalesData[[#This Row],[Test Drives]]/SalesData[[#This Row],[Customers Visited]])</f>
        <v>0.54404145077720212</v>
      </c>
      <c r="AH2186" s="5">
        <f>IF(SalesData[[#This Row],[Customers Visited]]=0,0,SalesData[[#This Row],[Contracts Signed]]/SalesData[[#This Row],[Customers Visited]])</f>
        <v>7.512953367875648E-2</v>
      </c>
      <c r="AI2186" s="6">
        <f>IF(SalesData[[#This Row],[Contracts Signed]]=0,0,SalesData[[#This Row],[Profit(€)]]/SalesData[[#This Row],[Contracts Signed]])</f>
        <v>3098</v>
      </c>
      <c r="AJ2186" s="5" t="str">
        <f>TRIM(CLEAN(SalesData[[#This Row],[Retailer]]))</f>
        <v>Elbe Drive</v>
      </c>
    </row>
    <row r="2187" spans="1:36" ht="14.25" x14ac:dyDescent="0.2">
      <c r="A2187" t="s">
        <v>3214</v>
      </c>
      <c r="B2187" s="1">
        <v>46060</v>
      </c>
      <c r="C2187" t="s">
        <v>24</v>
      </c>
      <c r="D2187" t="s">
        <v>151</v>
      </c>
      <c r="E2187" t="s">
        <v>42</v>
      </c>
      <c r="F2187" t="s">
        <v>101</v>
      </c>
      <c r="G2187" t="s">
        <v>102</v>
      </c>
      <c r="H2187" t="s">
        <v>103</v>
      </c>
      <c r="I2187" t="s">
        <v>30</v>
      </c>
      <c r="J2187" t="s">
        <v>7075</v>
      </c>
      <c r="K2187" t="s">
        <v>66</v>
      </c>
      <c r="L2187" t="s">
        <v>33</v>
      </c>
      <c r="M2187" t="s">
        <v>87</v>
      </c>
      <c r="N2187" t="s">
        <v>35</v>
      </c>
      <c r="O2187" t="s">
        <v>70</v>
      </c>
      <c r="P2187" t="s">
        <v>71</v>
      </c>
      <c r="Q2187" t="s">
        <v>189</v>
      </c>
      <c r="R2187">
        <v>250</v>
      </c>
      <c r="S2187">
        <v>143</v>
      </c>
      <c r="T2187">
        <v>107</v>
      </c>
      <c r="U2187">
        <v>35</v>
      </c>
      <c r="V2187" t="s">
        <v>6459</v>
      </c>
      <c r="W2187">
        <v>62461</v>
      </c>
      <c r="X2187" t="s">
        <v>7517</v>
      </c>
      <c r="Y2187">
        <v>48266</v>
      </c>
      <c r="Z2187">
        <v>2186135</v>
      </c>
      <c r="AA2187">
        <v>496825</v>
      </c>
      <c r="AB2187" t="str">
        <f>(VLOOKUP(SalesData[[#This Row],[Month Number]],Reference!C$5:E$16,2,FALSE))</f>
        <v>Feb</v>
      </c>
      <c r="AC2187">
        <f>MONTH(SalesData[[#This Row],[Date]])</f>
        <v>2</v>
      </c>
      <c r="AD2187">
        <f>Reference!F$4</f>
        <v>2026</v>
      </c>
      <c r="AE2187" t="str">
        <f>IF(OR(SalesData[[#This Row],[Day]]="Saturday",SalesData[[#This Row],[Day]]="Sunday"),"Weekend","Weekday")</f>
        <v>Weekend</v>
      </c>
      <c r="AF2187" s="5">
        <f>IF(SalesData[[#This Row],[Contracts Offered]]=0,0,SalesData[[#This Row],[Contracts Signed]]/SalesData[[#This Row],[Contracts Offered]])</f>
        <v>0.32710280373831774</v>
      </c>
      <c r="AG2187" s="5">
        <f>IF(SalesData[[#This Row],[Customers Visited]]=0,0,SalesData[[#This Row],[Test Drives]]/SalesData[[#This Row],[Customers Visited]])</f>
        <v>0.57199999999999995</v>
      </c>
      <c r="AH2187" s="5">
        <f>IF(SalesData[[#This Row],[Customers Visited]]=0,0,SalesData[[#This Row],[Contracts Signed]]/SalesData[[#This Row],[Customers Visited]])</f>
        <v>0.14000000000000001</v>
      </c>
      <c r="AI2187" s="6">
        <f>IF(SalesData[[#This Row],[Contracts Signed]]=0,0,SalesData[[#This Row],[Profit(€)]]/SalesData[[#This Row],[Contracts Signed]])</f>
        <v>14195</v>
      </c>
      <c r="AJ2187" s="5" t="str">
        <f>TRIM(CLEAN(SalesData[[#This Row],[Retailer]]))</f>
        <v>Ruhr Auto Plaza</v>
      </c>
    </row>
    <row r="2188" spans="1:36" ht="14.25" hidden="1" x14ac:dyDescent="0.2">
      <c r="A2188" t="s">
        <v>3215</v>
      </c>
      <c r="B2188" s="1">
        <v>46081</v>
      </c>
      <c r="C2188" t="s">
        <v>53</v>
      </c>
      <c r="D2188" t="s">
        <v>151</v>
      </c>
      <c r="E2188" t="s">
        <v>42</v>
      </c>
      <c r="F2188" t="s">
        <v>94</v>
      </c>
      <c r="G2188" t="s">
        <v>95</v>
      </c>
      <c r="H2188" t="s">
        <v>96</v>
      </c>
      <c r="I2188" t="s">
        <v>64</v>
      </c>
      <c r="J2188" t="s">
        <v>7029</v>
      </c>
      <c r="K2188" t="s">
        <v>32</v>
      </c>
      <c r="L2188" t="s">
        <v>33</v>
      </c>
      <c r="M2188" t="s">
        <v>47</v>
      </c>
      <c r="N2188" t="s">
        <v>48</v>
      </c>
      <c r="O2188" t="s">
        <v>70</v>
      </c>
      <c r="P2188" t="s">
        <v>49</v>
      </c>
      <c r="Q2188" t="s">
        <v>129</v>
      </c>
      <c r="R2188">
        <v>212</v>
      </c>
      <c r="S2188">
        <v>125</v>
      </c>
      <c r="T2188">
        <v>90</v>
      </c>
      <c r="U2188">
        <v>32</v>
      </c>
      <c r="V2188" t="s">
        <v>6660</v>
      </c>
      <c r="W2188">
        <v>54129</v>
      </c>
      <c r="X2188" t="s">
        <v>5566</v>
      </c>
      <c r="Y2188">
        <v>42199</v>
      </c>
      <c r="Z2188">
        <v>1732128</v>
      </c>
      <c r="AA2188">
        <v>381760</v>
      </c>
      <c r="AB2188" t="str">
        <f>(VLOOKUP(SalesData[[#This Row],[Month Number]],Reference!C$5:E$16,2,FALSE))</f>
        <v>Feb</v>
      </c>
      <c r="AC2188">
        <f>MONTH(SalesData[[#This Row],[Date]])</f>
        <v>2</v>
      </c>
      <c r="AD2188">
        <f>Reference!F$4</f>
        <v>2026</v>
      </c>
      <c r="AE2188" t="str">
        <f>IF(OR(SalesData[[#This Row],[Day]]="Saturday",SalesData[[#This Row],[Day]]="Sunday"),"Weekend","Weekday")</f>
        <v>Weekend</v>
      </c>
      <c r="AF2188" s="5">
        <f>IF(SalesData[[#This Row],[Contracts Offered]]=0,0,SalesData[[#This Row],[Contracts Signed]]/SalesData[[#This Row],[Contracts Offered]])</f>
        <v>0.35555555555555557</v>
      </c>
      <c r="AG2188" s="5">
        <f>IF(SalesData[[#This Row],[Customers Visited]]=0,0,SalesData[[#This Row],[Test Drives]]/SalesData[[#This Row],[Customers Visited]])</f>
        <v>0.589622641509434</v>
      </c>
      <c r="AH2188" s="5">
        <f>IF(SalesData[[#This Row],[Customers Visited]]=0,0,SalesData[[#This Row],[Contracts Signed]]/SalesData[[#This Row],[Customers Visited]])</f>
        <v>0.15094339622641509</v>
      </c>
      <c r="AI2188" s="6">
        <f>IF(SalesData[[#This Row],[Contracts Signed]]=0,0,SalesData[[#This Row],[Profit(€)]]/SalesData[[#This Row],[Contracts Signed]])</f>
        <v>11930</v>
      </c>
      <c r="AJ2188" s="5" t="str">
        <f>TRIM(CLEAN(SalesData[[#This Row],[Retailer]]))</f>
        <v>Bavaria Motors</v>
      </c>
    </row>
    <row r="2189" spans="1:36" ht="14.25" x14ac:dyDescent="0.2">
      <c r="A2189" t="s">
        <v>3216</v>
      </c>
      <c r="B2189" s="1">
        <v>46065</v>
      </c>
      <c r="C2189" t="s">
        <v>121</v>
      </c>
      <c r="D2189" t="s">
        <v>100</v>
      </c>
      <c r="E2189" t="s">
        <v>26</v>
      </c>
      <c r="F2189" t="s">
        <v>109</v>
      </c>
      <c r="G2189" t="s">
        <v>110</v>
      </c>
      <c r="H2189" t="s">
        <v>45</v>
      </c>
      <c r="I2189" t="s">
        <v>30</v>
      </c>
      <c r="J2189" t="s">
        <v>31</v>
      </c>
      <c r="K2189" t="s">
        <v>66</v>
      </c>
      <c r="L2189" t="s">
        <v>46</v>
      </c>
      <c r="M2189" t="s">
        <v>87</v>
      </c>
      <c r="N2189" t="s">
        <v>35</v>
      </c>
      <c r="O2189" t="s">
        <v>36</v>
      </c>
      <c r="P2189" t="s">
        <v>71</v>
      </c>
      <c r="Q2189" t="s">
        <v>79</v>
      </c>
      <c r="R2189">
        <v>271</v>
      </c>
      <c r="S2189">
        <v>125</v>
      </c>
      <c r="T2189">
        <v>100</v>
      </c>
      <c r="U2189">
        <v>36</v>
      </c>
      <c r="V2189" t="s">
        <v>6534</v>
      </c>
      <c r="W2189">
        <v>55077</v>
      </c>
      <c r="X2189" t="s">
        <v>7107</v>
      </c>
      <c r="Y2189">
        <v>41808</v>
      </c>
      <c r="Z2189">
        <v>1982772</v>
      </c>
      <c r="AA2189">
        <v>477684</v>
      </c>
      <c r="AB2189" t="str">
        <f>(VLOOKUP(SalesData[[#This Row],[Month Number]],Reference!C$5:E$16,2,FALSE))</f>
        <v>Feb</v>
      </c>
      <c r="AC2189">
        <f>MONTH(SalesData[[#This Row],[Date]])</f>
        <v>2</v>
      </c>
      <c r="AD2189">
        <f>Reference!F$4</f>
        <v>2026</v>
      </c>
      <c r="AE2189" t="str">
        <f>IF(OR(SalesData[[#This Row],[Day]]="Saturday",SalesData[[#This Row],[Day]]="Sunday"),"Weekend","Weekday")</f>
        <v>Weekday</v>
      </c>
      <c r="AF2189" s="5">
        <f>IF(SalesData[[#This Row],[Contracts Offered]]=0,0,SalesData[[#This Row],[Contracts Signed]]/SalesData[[#This Row],[Contracts Offered]])</f>
        <v>0.36</v>
      </c>
      <c r="AG2189" s="5">
        <f>IF(SalesData[[#This Row],[Customers Visited]]=0,0,SalesData[[#This Row],[Test Drives]]/SalesData[[#This Row],[Customers Visited]])</f>
        <v>0.46125461254612549</v>
      </c>
      <c r="AH2189" s="5">
        <f>IF(SalesData[[#This Row],[Customers Visited]]=0,0,SalesData[[#This Row],[Contracts Signed]]/SalesData[[#This Row],[Customers Visited]])</f>
        <v>0.13284132841328414</v>
      </c>
      <c r="AI2189" s="6">
        <f>IF(SalesData[[#This Row],[Contracts Signed]]=0,0,SalesData[[#This Row],[Profit(€)]]/SalesData[[#This Row],[Contracts Signed]])</f>
        <v>13269</v>
      </c>
      <c r="AJ2189" s="5" t="str">
        <f>TRIM(CLEAN(SalesData[[#This Row],[Retailer]]))</f>
        <v>Leipzig Mobility</v>
      </c>
    </row>
    <row r="2190" spans="1:36" ht="14.25" hidden="1" x14ac:dyDescent="0.2">
      <c r="A2190" t="s">
        <v>3218</v>
      </c>
      <c r="B2190" s="1">
        <v>46074</v>
      </c>
      <c r="C2190" t="s">
        <v>62</v>
      </c>
      <c r="D2190" t="s">
        <v>151</v>
      </c>
      <c r="E2190" t="s">
        <v>42</v>
      </c>
      <c r="F2190" t="s">
        <v>94</v>
      </c>
      <c r="G2190" t="s">
        <v>95</v>
      </c>
      <c r="H2190" t="s">
        <v>96</v>
      </c>
      <c r="I2190" t="s">
        <v>116</v>
      </c>
      <c r="J2190" t="s">
        <v>7026</v>
      </c>
      <c r="K2190" t="s">
        <v>32</v>
      </c>
      <c r="L2190" t="s">
        <v>46</v>
      </c>
      <c r="M2190" t="s">
        <v>34</v>
      </c>
      <c r="N2190" t="s">
        <v>69</v>
      </c>
      <c r="O2190" t="s">
        <v>36</v>
      </c>
      <c r="P2190" t="s">
        <v>49</v>
      </c>
      <c r="Q2190" t="s">
        <v>106</v>
      </c>
      <c r="R2190">
        <v>403</v>
      </c>
      <c r="S2190">
        <v>182</v>
      </c>
      <c r="T2190">
        <v>106</v>
      </c>
      <c r="U2190">
        <v>31</v>
      </c>
      <c r="V2190" t="s">
        <v>382</v>
      </c>
      <c r="W2190">
        <v>25850</v>
      </c>
      <c r="X2190" t="s">
        <v>3455</v>
      </c>
      <c r="Y2190">
        <v>24038</v>
      </c>
      <c r="Z2190">
        <v>801350</v>
      </c>
      <c r="AA2190">
        <v>56172</v>
      </c>
      <c r="AB2190" t="str">
        <f>(VLOOKUP(SalesData[[#This Row],[Month Number]],Reference!C$5:E$16,2,FALSE))</f>
        <v>Feb</v>
      </c>
      <c r="AC2190">
        <f>MONTH(SalesData[[#This Row],[Date]])</f>
        <v>2</v>
      </c>
      <c r="AD2190">
        <f>Reference!F$4</f>
        <v>2026</v>
      </c>
      <c r="AE2190" t="str">
        <f>IF(OR(SalesData[[#This Row],[Day]]="Saturday",SalesData[[#This Row],[Day]]="Sunday"),"Weekend","Weekday")</f>
        <v>Weekend</v>
      </c>
      <c r="AF2190" s="5">
        <f>IF(SalesData[[#This Row],[Contracts Offered]]=0,0,SalesData[[#This Row],[Contracts Signed]]/SalesData[[#This Row],[Contracts Offered]])</f>
        <v>0.29245283018867924</v>
      </c>
      <c r="AG2190" s="5">
        <f>IF(SalesData[[#This Row],[Customers Visited]]=0,0,SalesData[[#This Row],[Test Drives]]/SalesData[[#This Row],[Customers Visited]])</f>
        <v>0.45161290322580644</v>
      </c>
      <c r="AH2190" s="5">
        <f>IF(SalesData[[#This Row],[Customers Visited]]=0,0,SalesData[[#This Row],[Contracts Signed]]/SalesData[[#This Row],[Customers Visited]])</f>
        <v>7.6923076923076927E-2</v>
      </c>
      <c r="AI2190" s="6">
        <f>IF(SalesData[[#This Row],[Contracts Signed]]=0,0,SalesData[[#This Row],[Profit(€)]]/SalesData[[#This Row],[Contracts Signed]])</f>
        <v>1812</v>
      </c>
      <c r="AJ2190" s="5" t="str">
        <f>TRIM(CLEAN(SalesData[[#This Row],[Retailer]]))</f>
        <v>Bavaria Motors</v>
      </c>
    </row>
    <row r="2191" spans="1:36" ht="14.25" hidden="1" x14ac:dyDescent="0.2">
      <c r="A2191" t="s">
        <v>3219</v>
      </c>
      <c r="B2191" s="1">
        <v>46054</v>
      </c>
      <c r="C2191" t="s">
        <v>24</v>
      </c>
      <c r="D2191" t="s">
        <v>41</v>
      </c>
      <c r="E2191" t="s">
        <v>42</v>
      </c>
      <c r="F2191" t="s">
        <v>83</v>
      </c>
      <c r="G2191" t="s">
        <v>84</v>
      </c>
      <c r="H2191" t="s">
        <v>85</v>
      </c>
      <c r="I2191" t="s">
        <v>64</v>
      </c>
      <c r="J2191" t="s">
        <v>7029</v>
      </c>
      <c r="K2191" t="s">
        <v>32</v>
      </c>
      <c r="L2191" t="s">
        <v>33</v>
      </c>
      <c r="M2191" t="s">
        <v>68</v>
      </c>
      <c r="N2191" t="s">
        <v>69</v>
      </c>
      <c r="O2191" t="s">
        <v>36</v>
      </c>
      <c r="P2191" t="s">
        <v>37</v>
      </c>
      <c r="Q2191" t="s">
        <v>167</v>
      </c>
      <c r="R2191">
        <v>158</v>
      </c>
      <c r="S2191">
        <v>93</v>
      </c>
      <c r="T2191">
        <v>64</v>
      </c>
      <c r="U2191">
        <v>20</v>
      </c>
      <c r="V2191" t="s">
        <v>6885</v>
      </c>
      <c r="W2191">
        <v>66254</v>
      </c>
      <c r="X2191" t="s">
        <v>7101</v>
      </c>
      <c r="Y2191">
        <v>52032</v>
      </c>
      <c r="Z2191">
        <v>1325080</v>
      </c>
      <c r="AA2191">
        <v>284440</v>
      </c>
      <c r="AB2191" t="str">
        <f>(VLOOKUP(SalesData[[#This Row],[Month Number]],Reference!C$5:E$16,2,FALSE))</f>
        <v>Feb</v>
      </c>
      <c r="AC2191">
        <f>MONTH(SalesData[[#This Row],[Date]])</f>
        <v>2</v>
      </c>
      <c r="AD2191">
        <f>Reference!F$4</f>
        <v>2026</v>
      </c>
      <c r="AE2191" t="str">
        <f>IF(OR(SalesData[[#This Row],[Day]]="Saturday",SalesData[[#This Row],[Day]]="Sunday"),"Weekend","Weekday")</f>
        <v>Weekend</v>
      </c>
      <c r="AF2191" s="5">
        <f>IF(SalesData[[#This Row],[Contracts Offered]]=0,0,SalesData[[#This Row],[Contracts Signed]]/SalesData[[#This Row],[Contracts Offered]])</f>
        <v>0.3125</v>
      </c>
      <c r="AG2191" s="5">
        <f>IF(SalesData[[#This Row],[Customers Visited]]=0,0,SalesData[[#This Row],[Test Drives]]/SalesData[[#This Row],[Customers Visited]])</f>
        <v>0.58860759493670889</v>
      </c>
      <c r="AH2191" s="5">
        <f>IF(SalesData[[#This Row],[Customers Visited]]=0,0,SalesData[[#This Row],[Contracts Signed]]/SalesData[[#This Row],[Customers Visited]])</f>
        <v>0.12658227848101267</v>
      </c>
      <c r="AI2191" s="6">
        <f>IF(SalesData[[#This Row],[Contracts Signed]]=0,0,SalesData[[#This Row],[Profit(€)]]/SalesData[[#This Row],[Contracts Signed]])</f>
        <v>14222</v>
      </c>
      <c r="AJ2191" s="5" t="str">
        <f>TRIM(CLEAN(SalesData[[#This Row],[Retailer]]))</f>
        <v>Hannover Cars</v>
      </c>
    </row>
    <row r="2192" spans="1:36" ht="14.25" hidden="1" x14ac:dyDescent="0.2">
      <c r="A2192" t="s">
        <v>3220</v>
      </c>
      <c r="B2192" s="1">
        <v>46081</v>
      </c>
      <c r="C2192" t="s">
        <v>53</v>
      </c>
      <c r="D2192" t="s">
        <v>151</v>
      </c>
      <c r="E2192" t="s">
        <v>42</v>
      </c>
      <c r="F2192" t="s">
        <v>74</v>
      </c>
      <c r="G2192" t="s">
        <v>75</v>
      </c>
      <c r="H2192" t="s">
        <v>76</v>
      </c>
      <c r="I2192" t="s">
        <v>64</v>
      </c>
      <c r="J2192" t="s">
        <v>77</v>
      </c>
      <c r="K2192" t="s">
        <v>66</v>
      </c>
      <c r="L2192" t="s">
        <v>46</v>
      </c>
      <c r="M2192" t="s">
        <v>34</v>
      </c>
      <c r="N2192" t="s">
        <v>48</v>
      </c>
      <c r="O2192" t="s">
        <v>36</v>
      </c>
      <c r="P2192" t="s">
        <v>71</v>
      </c>
      <c r="Q2192" t="s">
        <v>347</v>
      </c>
      <c r="R2192">
        <v>271</v>
      </c>
      <c r="S2192">
        <v>145</v>
      </c>
      <c r="T2192">
        <v>99</v>
      </c>
      <c r="U2192">
        <v>38</v>
      </c>
      <c r="V2192" t="s">
        <v>6993</v>
      </c>
      <c r="W2192">
        <v>65987</v>
      </c>
      <c r="X2192" t="s">
        <v>7518</v>
      </c>
      <c r="Y2192">
        <v>48451</v>
      </c>
      <c r="Z2192">
        <v>2507506</v>
      </c>
      <c r="AA2192">
        <v>666368</v>
      </c>
      <c r="AB2192" t="str">
        <f>(VLOOKUP(SalesData[[#This Row],[Month Number]],Reference!C$5:E$16,2,FALSE))</f>
        <v>Feb</v>
      </c>
      <c r="AC2192">
        <f>MONTH(SalesData[[#This Row],[Date]])</f>
        <v>2</v>
      </c>
      <c r="AD2192">
        <f>Reference!F$4</f>
        <v>2026</v>
      </c>
      <c r="AE2192" t="str">
        <f>IF(OR(SalesData[[#This Row],[Day]]="Saturday",SalesData[[#This Row],[Day]]="Sunday"),"Weekend","Weekday")</f>
        <v>Weekend</v>
      </c>
      <c r="AF2192" s="5">
        <f>IF(SalesData[[#This Row],[Contracts Offered]]=0,0,SalesData[[#This Row],[Contracts Signed]]/SalesData[[#This Row],[Contracts Offered]])</f>
        <v>0.38383838383838381</v>
      </c>
      <c r="AG2192" s="5">
        <f>IF(SalesData[[#This Row],[Customers Visited]]=0,0,SalesData[[#This Row],[Test Drives]]/SalesData[[#This Row],[Customers Visited]])</f>
        <v>0.5350553505535055</v>
      </c>
      <c r="AH2192" s="5">
        <f>IF(SalesData[[#This Row],[Customers Visited]]=0,0,SalesData[[#This Row],[Contracts Signed]]/SalesData[[#This Row],[Customers Visited]])</f>
        <v>0.14022140221402213</v>
      </c>
      <c r="AI2192" s="6">
        <f>IF(SalesData[[#This Row],[Contracts Signed]]=0,0,SalesData[[#This Row],[Profit(€)]]/SalesData[[#This Row],[Contracts Signed]])</f>
        <v>17536</v>
      </c>
      <c r="AJ2192" s="5" t="str">
        <f>TRIM(CLEAN(SalesData[[#This Row],[Retailer]]))</f>
        <v>Stuttgart Auto Center</v>
      </c>
    </row>
    <row r="2193" spans="1:36" ht="14.25" hidden="1" x14ac:dyDescent="0.2">
      <c r="A2193" t="s">
        <v>3221</v>
      </c>
      <c r="B2193" s="1">
        <v>46056</v>
      </c>
      <c r="C2193" t="s">
        <v>24</v>
      </c>
      <c r="D2193" t="s">
        <v>63</v>
      </c>
      <c r="E2193" t="s">
        <v>26</v>
      </c>
      <c r="F2193" t="s">
        <v>83</v>
      </c>
      <c r="G2193" t="s">
        <v>84</v>
      </c>
      <c r="H2193" t="s">
        <v>85</v>
      </c>
      <c r="I2193" t="s">
        <v>116</v>
      </c>
      <c r="J2193" t="s">
        <v>7026</v>
      </c>
      <c r="K2193" t="s">
        <v>32</v>
      </c>
      <c r="L2193" t="s">
        <v>46</v>
      </c>
      <c r="M2193" t="s">
        <v>87</v>
      </c>
      <c r="N2193" t="s">
        <v>35</v>
      </c>
      <c r="O2193" t="s">
        <v>70</v>
      </c>
      <c r="P2193" t="s">
        <v>49</v>
      </c>
      <c r="Q2193" t="s">
        <v>144</v>
      </c>
      <c r="R2193">
        <v>411</v>
      </c>
      <c r="S2193">
        <v>186</v>
      </c>
      <c r="T2193">
        <v>130</v>
      </c>
      <c r="U2193">
        <v>25</v>
      </c>
      <c r="V2193" t="s">
        <v>6618</v>
      </c>
      <c r="W2193">
        <v>22664</v>
      </c>
      <c r="X2193" t="s">
        <v>7519</v>
      </c>
      <c r="Y2193">
        <v>20745</v>
      </c>
      <c r="Z2193">
        <v>566600</v>
      </c>
      <c r="AA2193">
        <v>47975</v>
      </c>
      <c r="AB2193" t="str">
        <f>(VLOOKUP(SalesData[[#This Row],[Month Number]],Reference!C$5:E$16,2,FALSE))</f>
        <v>Feb</v>
      </c>
      <c r="AC2193">
        <f>MONTH(SalesData[[#This Row],[Date]])</f>
        <v>2</v>
      </c>
      <c r="AD2193">
        <f>Reference!F$4</f>
        <v>2026</v>
      </c>
      <c r="AE2193" t="str">
        <f>IF(OR(SalesData[[#This Row],[Day]]="Saturday",SalesData[[#This Row],[Day]]="Sunday"),"Weekend","Weekday")</f>
        <v>Weekday</v>
      </c>
      <c r="AF2193" s="5">
        <f>IF(SalesData[[#This Row],[Contracts Offered]]=0,0,SalesData[[#This Row],[Contracts Signed]]/SalesData[[#This Row],[Contracts Offered]])</f>
        <v>0.19230769230769232</v>
      </c>
      <c r="AG2193" s="5">
        <f>IF(SalesData[[#This Row],[Customers Visited]]=0,0,SalesData[[#This Row],[Test Drives]]/SalesData[[#This Row],[Customers Visited]])</f>
        <v>0.45255474452554745</v>
      </c>
      <c r="AH2193" s="5">
        <f>IF(SalesData[[#This Row],[Customers Visited]]=0,0,SalesData[[#This Row],[Contracts Signed]]/SalesData[[#This Row],[Customers Visited]])</f>
        <v>6.0827250608272508E-2</v>
      </c>
      <c r="AI2193" s="6">
        <f>IF(SalesData[[#This Row],[Contracts Signed]]=0,0,SalesData[[#This Row],[Profit(€)]]/SalesData[[#This Row],[Contracts Signed]])</f>
        <v>1919</v>
      </c>
      <c r="AJ2193" s="5" t="str">
        <f>TRIM(CLEAN(SalesData[[#This Row],[Retailer]]))</f>
        <v>Hannover Cars</v>
      </c>
    </row>
    <row r="2194" spans="1:36" ht="14.25" hidden="1" x14ac:dyDescent="0.2">
      <c r="A2194" t="s">
        <v>3223</v>
      </c>
      <c r="B2194" s="1">
        <v>46066</v>
      </c>
      <c r="C2194" t="s">
        <v>121</v>
      </c>
      <c r="D2194" t="s">
        <v>54</v>
      </c>
      <c r="E2194" t="s">
        <v>26</v>
      </c>
      <c r="F2194" t="s">
        <v>114</v>
      </c>
      <c r="G2194" t="s">
        <v>115</v>
      </c>
      <c r="H2194" t="s">
        <v>115</v>
      </c>
      <c r="I2194" t="s">
        <v>116</v>
      </c>
      <c r="J2194" t="s">
        <v>203</v>
      </c>
      <c r="K2194" t="s">
        <v>91</v>
      </c>
      <c r="L2194" t="s">
        <v>67</v>
      </c>
      <c r="M2194" t="s">
        <v>47</v>
      </c>
      <c r="N2194" t="s">
        <v>48</v>
      </c>
      <c r="O2194" t="s">
        <v>70</v>
      </c>
      <c r="P2194" t="s">
        <v>58</v>
      </c>
      <c r="Q2194" t="s">
        <v>38</v>
      </c>
      <c r="R2194">
        <v>420</v>
      </c>
      <c r="S2194">
        <v>160</v>
      </c>
      <c r="T2194">
        <v>96</v>
      </c>
      <c r="U2194">
        <v>35</v>
      </c>
      <c r="V2194" t="s">
        <v>6542</v>
      </c>
      <c r="W2194">
        <v>25811</v>
      </c>
      <c r="X2194" t="s">
        <v>3539</v>
      </c>
      <c r="Y2194">
        <v>23172</v>
      </c>
      <c r="Z2194">
        <v>903385</v>
      </c>
      <c r="AA2194">
        <v>92365</v>
      </c>
      <c r="AB2194" t="str">
        <f>(VLOOKUP(SalesData[[#This Row],[Month Number]],Reference!C$5:E$16,2,FALSE))</f>
        <v>Feb</v>
      </c>
      <c r="AC2194">
        <f>MONTH(SalesData[[#This Row],[Date]])</f>
        <v>2</v>
      </c>
      <c r="AD2194">
        <f>Reference!F$4</f>
        <v>2026</v>
      </c>
      <c r="AE2194" t="str">
        <f>IF(OR(SalesData[[#This Row],[Day]]="Saturday",SalesData[[#This Row],[Day]]="Sunday"),"Weekend","Weekday")</f>
        <v>Weekday</v>
      </c>
      <c r="AF2194" s="5">
        <f>IF(SalesData[[#This Row],[Contracts Offered]]=0,0,SalesData[[#This Row],[Contracts Signed]]/SalesData[[#This Row],[Contracts Offered]])</f>
        <v>0.36458333333333331</v>
      </c>
      <c r="AG2194" s="5">
        <f>IF(SalesData[[#This Row],[Customers Visited]]=0,0,SalesData[[#This Row],[Test Drives]]/SalesData[[#This Row],[Customers Visited]])</f>
        <v>0.38095238095238093</v>
      </c>
      <c r="AH2194" s="5">
        <f>IF(SalesData[[#This Row],[Customers Visited]]=0,0,SalesData[[#This Row],[Contracts Signed]]/SalesData[[#This Row],[Customers Visited]])</f>
        <v>8.3333333333333329E-2</v>
      </c>
      <c r="AI2194" s="6">
        <f>IF(SalesData[[#This Row],[Contracts Signed]]=0,0,SalesData[[#This Row],[Profit(€)]]/SalesData[[#This Row],[Contracts Signed]])</f>
        <v>2639</v>
      </c>
      <c r="AJ2194" s="5" t="str">
        <f>TRIM(CLEAN(SalesData[[#This Row],[Retailer]]))</f>
        <v>Elbe Drive</v>
      </c>
    </row>
    <row r="2195" spans="1:36" ht="14.25" x14ac:dyDescent="0.2">
      <c r="A2195" t="s">
        <v>3224</v>
      </c>
      <c r="B2195" s="1">
        <v>46063</v>
      </c>
      <c r="C2195" t="s">
        <v>121</v>
      </c>
      <c r="D2195" t="s">
        <v>63</v>
      </c>
      <c r="E2195" t="s">
        <v>26</v>
      </c>
      <c r="F2195" t="s">
        <v>94</v>
      </c>
      <c r="G2195" t="s">
        <v>95</v>
      </c>
      <c r="H2195" t="s">
        <v>96</v>
      </c>
      <c r="I2195" t="s">
        <v>30</v>
      </c>
      <c r="J2195" t="s">
        <v>31</v>
      </c>
      <c r="K2195" t="s">
        <v>78</v>
      </c>
      <c r="L2195" t="s">
        <v>46</v>
      </c>
      <c r="M2195" t="s">
        <v>34</v>
      </c>
      <c r="N2195" t="s">
        <v>35</v>
      </c>
      <c r="O2195" t="s">
        <v>36</v>
      </c>
      <c r="P2195" t="s">
        <v>49</v>
      </c>
      <c r="Q2195" t="s">
        <v>144</v>
      </c>
      <c r="R2195">
        <v>268</v>
      </c>
      <c r="S2195">
        <v>132</v>
      </c>
      <c r="T2195">
        <v>94</v>
      </c>
      <c r="U2195">
        <v>36</v>
      </c>
      <c r="V2195" t="s">
        <v>6483</v>
      </c>
      <c r="W2195">
        <v>61104</v>
      </c>
      <c r="X2195" t="s">
        <v>3853</v>
      </c>
      <c r="Y2195">
        <v>45368</v>
      </c>
      <c r="Z2195">
        <v>2199744</v>
      </c>
      <c r="AA2195">
        <v>566496</v>
      </c>
      <c r="AB2195" t="str">
        <f>(VLOOKUP(SalesData[[#This Row],[Month Number]],Reference!C$5:E$16,2,FALSE))</f>
        <v>Feb</v>
      </c>
      <c r="AC2195">
        <f>MONTH(SalesData[[#This Row],[Date]])</f>
        <v>2</v>
      </c>
      <c r="AD2195">
        <f>Reference!F$4</f>
        <v>2026</v>
      </c>
      <c r="AE2195" t="str">
        <f>IF(OR(SalesData[[#This Row],[Day]]="Saturday",SalesData[[#This Row],[Day]]="Sunday"),"Weekend","Weekday")</f>
        <v>Weekday</v>
      </c>
      <c r="AF2195" s="5">
        <f>IF(SalesData[[#This Row],[Contracts Offered]]=0,0,SalesData[[#This Row],[Contracts Signed]]/SalesData[[#This Row],[Contracts Offered]])</f>
        <v>0.38297872340425532</v>
      </c>
      <c r="AG2195" s="5">
        <f>IF(SalesData[[#This Row],[Customers Visited]]=0,0,SalesData[[#This Row],[Test Drives]]/SalesData[[#This Row],[Customers Visited]])</f>
        <v>0.4925373134328358</v>
      </c>
      <c r="AH2195" s="5">
        <f>IF(SalesData[[#This Row],[Customers Visited]]=0,0,SalesData[[#This Row],[Contracts Signed]]/SalesData[[#This Row],[Customers Visited]])</f>
        <v>0.13432835820895522</v>
      </c>
      <c r="AI2195" s="6">
        <f>IF(SalesData[[#This Row],[Contracts Signed]]=0,0,SalesData[[#This Row],[Profit(€)]]/SalesData[[#This Row],[Contracts Signed]])</f>
        <v>15736</v>
      </c>
      <c r="AJ2195" s="5" t="str">
        <f>TRIM(CLEAN(SalesData[[#This Row],[Retailer]]))</f>
        <v>Bavaria Motors</v>
      </c>
    </row>
    <row r="2196" spans="1:36" ht="14.25" hidden="1" x14ac:dyDescent="0.2">
      <c r="A2196" t="s">
        <v>3225</v>
      </c>
      <c r="B2196" s="1">
        <v>46064</v>
      </c>
      <c r="C2196" t="s">
        <v>121</v>
      </c>
      <c r="D2196" t="s">
        <v>82</v>
      </c>
      <c r="E2196" t="s">
        <v>26</v>
      </c>
      <c r="F2196" t="s">
        <v>43</v>
      </c>
      <c r="G2196" t="s">
        <v>44</v>
      </c>
      <c r="H2196" t="s">
        <v>45</v>
      </c>
      <c r="I2196" t="s">
        <v>116</v>
      </c>
      <c r="J2196" t="s">
        <v>7090</v>
      </c>
      <c r="K2196" t="s">
        <v>91</v>
      </c>
      <c r="L2196" t="s">
        <v>46</v>
      </c>
      <c r="M2196" t="s">
        <v>47</v>
      </c>
      <c r="N2196" t="s">
        <v>69</v>
      </c>
      <c r="O2196" t="s">
        <v>70</v>
      </c>
      <c r="P2196" t="s">
        <v>71</v>
      </c>
      <c r="Q2196" t="s">
        <v>347</v>
      </c>
      <c r="R2196">
        <v>243</v>
      </c>
      <c r="S2196">
        <v>126</v>
      </c>
      <c r="T2196">
        <v>80</v>
      </c>
      <c r="U2196">
        <v>22</v>
      </c>
      <c r="V2196" t="s">
        <v>1339</v>
      </c>
      <c r="W2196">
        <v>23115</v>
      </c>
      <c r="X2196" t="s">
        <v>4071</v>
      </c>
      <c r="Y2196">
        <v>21245</v>
      </c>
      <c r="Z2196">
        <v>508530</v>
      </c>
      <c r="AA2196">
        <v>41140</v>
      </c>
      <c r="AB2196" t="str">
        <f>(VLOOKUP(SalesData[[#This Row],[Month Number]],Reference!C$5:E$16,2,FALSE))</f>
        <v>Feb</v>
      </c>
      <c r="AC2196">
        <f>MONTH(SalesData[[#This Row],[Date]])</f>
        <v>2</v>
      </c>
      <c r="AD2196">
        <f>Reference!F$4</f>
        <v>2026</v>
      </c>
      <c r="AE2196" t="str">
        <f>IF(OR(SalesData[[#This Row],[Day]]="Saturday",SalesData[[#This Row],[Day]]="Sunday"),"Weekend","Weekday")</f>
        <v>Weekday</v>
      </c>
      <c r="AF2196" s="5">
        <f>IF(SalesData[[#This Row],[Contracts Offered]]=0,0,SalesData[[#This Row],[Contracts Signed]]/SalesData[[#This Row],[Contracts Offered]])</f>
        <v>0.27500000000000002</v>
      </c>
      <c r="AG2196" s="5">
        <f>IF(SalesData[[#This Row],[Customers Visited]]=0,0,SalesData[[#This Row],[Test Drives]]/SalesData[[#This Row],[Customers Visited]])</f>
        <v>0.51851851851851849</v>
      </c>
      <c r="AH2196" s="5">
        <f>IF(SalesData[[#This Row],[Customers Visited]]=0,0,SalesData[[#This Row],[Contracts Signed]]/SalesData[[#This Row],[Customers Visited]])</f>
        <v>9.0534979423868317E-2</v>
      </c>
      <c r="AI2196" s="6">
        <f>IF(SalesData[[#This Row],[Contracts Signed]]=0,0,SalesData[[#This Row],[Profit(€)]]/SalesData[[#This Row],[Contracts Signed]])</f>
        <v>1870</v>
      </c>
      <c r="AJ2196" s="5" t="str">
        <f>TRIM(CLEAN(SalesData[[#This Row],[Retailer]]))</f>
        <v>Saxon Wheels</v>
      </c>
    </row>
    <row r="2197" spans="1:36" ht="14.25" hidden="1" x14ac:dyDescent="0.2">
      <c r="A2197" t="s">
        <v>3226</v>
      </c>
      <c r="B2197" s="1">
        <v>46066</v>
      </c>
      <c r="C2197" t="s">
        <v>121</v>
      </c>
      <c r="D2197" t="s">
        <v>54</v>
      </c>
      <c r="E2197" t="s">
        <v>26</v>
      </c>
      <c r="F2197" t="s">
        <v>114</v>
      </c>
      <c r="G2197" t="s">
        <v>115</v>
      </c>
      <c r="H2197" t="s">
        <v>115</v>
      </c>
      <c r="I2197" t="s">
        <v>64</v>
      </c>
      <c r="J2197" t="s">
        <v>7029</v>
      </c>
      <c r="K2197" t="s">
        <v>32</v>
      </c>
      <c r="L2197" t="s">
        <v>33</v>
      </c>
      <c r="M2197" t="s">
        <v>87</v>
      </c>
      <c r="N2197" t="s">
        <v>35</v>
      </c>
      <c r="O2197" t="s">
        <v>70</v>
      </c>
      <c r="P2197" t="s">
        <v>37</v>
      </c>
      <c r="Q2197" t="s">
        <v>79</v>
      </c>
      <c r="R2197">
        <v>242</v>
      </c>
      <c r="S2197">
        <v>115</v>
      </c>
      <c r="T2197">
        <v>88</v>
      </c>
      <c r="U2197">
        <v>26</v>
      </c>
      <c r="V2197" t="s">
        <v>6791</v>
      </c>
      <c r="W2197">
        <v>55188</v>
      </c>
      <c r="X2197" t="s">
        <v>7175</v>
      </c>
      <c r="Y2197">
        <v>40624</v>
      </c>
      <c r="Z2197">
        <v>1434888</v>
      </c>
      <c r="AA2197">
        <v>378664</v>
      </c>
      <c r="AB2197" t="str">
        <f>(VLOOKUP(SalesData[[#This Row],[Month Number]],Reference!C$5:E$16,2,FALSE))</f>
        <v>Feb</v>
      </c>
      <c r="AC2197">
        <f>MONTH(SalesData[[#This Row],[Date]])</f>
        <v>2</v>
      </c>
      <c r="AD2197">
        <f>Reference!F$4</f>
        <v>2026</v>
      </c>
      <c r="AE2197" t="str">
        <f>IF(OR(SalesData[[#This Row],[Day]]="Saturday",SalesData[[#This Row],[Day]]="Sunday"),"Weekend","Weekday")</f>
        <v>Weekday</v>
      </c>
      <c r="AF2197" s="5">
        <f>IF(SalesData[[#This Row],[Contracts Offered]]=0,0,SalesData[[#This Row],[Contracts Signed]]/SalesData[[#This Row],[Contracts Offered]])</f>
        <v>0.29545454545454547</v>
      </c>
      <c r="AG2197" s="5">
        <f>IF(SalesData[[#This Row],[Customers Visited]]=0,0,SalesData[[#This Row],[Test Drives]]/SalesData[[#This Row],[Customers Visited]])</f>
        <v>0.47520661157024796</v>
      </c>
      <c r="AH2197" s="5">
        <f>IF(SalesData[[#This Row],[Customers Visited]]=0,0,SalesData[[#This Row],[Contracts Signed]]/SalesData[[#This Row],[Customers Visited]])</f>
        <v>0.10743801652892562</v>
      </c>
      <c r="AI2197" s="6">
        <f>IF(SalesData[[#This Row],[Contracts Signed]]=0,0,SalesData[[#This Row],[Profit(€)]]/SalesData[[#This Row],[Contracts Signed]])</f>
        <v>14564</v>
      </c>
      <c r="AJ2197" s="5" t="str">
        <f>TRIM(CLEAN(SalesData[[#This Row],[Retailer]]))</f>
        <v>Elbe Drive</v>
      </c>
    </row>
    <row r="2198" spans="1:36" ht="14.25" x14ac:dyDescent="0.2">
      <c r="A2198" t="s">
        <v>3227</v>
      </c>
      <c r="B2198" s="1">
        <v>46069</v>
      </c>
      <c r="C2198" t="s">
        <v>62</v>
      </c>
      <c r="D2198" t="s">
        <v>25</v>
      </c>
      <c r="E2198" t="s">
        <v>26</v>
      </c>
      <c r="F2198" t="s">
        <v>127</v>
      </c>
      <c r="G2198" t="s">
        <v>128</v>
      </c>
      <c r="H2198" t="s">
        <v>103</v>
      </c>
      <c r="I2198" t="s">
        <v>30</v>
      </c>
      <c r="J2198" t="s">
        <v>188</v>
      </c>
      <c r="K2198" t="s">
        <v>78</v>
      </c>
      <c r="L2198" t="s">
        <v>33</v>
      </c>
      <c r="M2198" t="s">
        <v>68</v>
      </c>
      <c r="N2198" t="s">
        <v>69</v>
      </c>
      <c r="O2198" t="s">
        <v>70</v>
      </c>
      <c r="P2198" t="s">
        <v>49</v>
      </c>
      <c r="Q2198" t="s">
        <v>167</v>
      </c>
      <c r="R2198">
        <v>206</v>
      </c>
      <c r="S2198">
        <v>100</v>
      </c>
      <c r="T2198">
        <v>73</v>
      </c>
      <c r="U2198">
        <v>27</v>
      </c>
      <c r="V2198" t="s">
        <v>6648</v>
      </c>
      <c r="W2198">
        <v>55541</v>
      </c>
      <c r="X2198" t="s">
        <v>7496</v>
      </c>
      <c r="Y2198">
        <v>43115</v>
      </c>
      <c r="Z2198">
        <v>1499607</v>
      </c>
      <c r="AA2198">
        <v>335502</v>
      </c>
      <c r="AB2198" t="str">
        <f>(VLOOKUP(SalesData[[#This Row],[Month Number]],Reference!C$5:E$16,2,FALSE))</f>
        <v>Feb</v>
      </c>
      <c r="AC2198">
        <f>MONTH(SalesData[[#This Row],[Date]])</f>
        <v>2</v>
      </c>
      <c r="AD2198">
        <f>Reference!F$4</f>
        <v>2026</v>
      </c>
      <c r="AE2198" t="str">
        <f>IF(OR(SalesData[[#This Row],[Day]]="Saturday",SalesData[[#This Row],[Day]]="Sunday"),"Weekend","Weekday")</f>
        <v>Weekday</v>
      </c>
      <c r="AF2198" s="5">
        <f>IF(SalesData[[#This Row],[Contracts Offered]]=0,0,SalesData[[#This Row],[Contracts Signed]]/SalesData[[#This Row],[Contracts Offered]])</f>
        <v>0.36986301369863012</v>
      </c>
      <c r="AG2198" s="5">
        <f>IF(SalesData[[#This Row],[Customers Visited]]=0,0,SalesData[[#This Row],[Test Drives]]/SalesData[[#This Row],[Customers Visited]])</f>
        <v>0.4854368932038835</v>
      </c>
      <c r="AH2198" s="5">
        <f>IF(SalesData[[#This Row],[Customers Visited]]=0,0,SalesData[[#This Row],[Contracts Signed]]/SalesData[[#This Row],[Customers Visited]])</f>
        <v>0.13106796116504854</v>
      </c>
      <c r="AI2198" s="6">
        <f>IF(SalesData[[#This Row],[Contracts Signed]]=0,0,SalesData[[#This Row],[Profit(€)]]/SalesData[[#This Row],[Contracts Signed]])</f>
        <v>12426</v>
      </c>
      <c r="AJ2198" s="5" t="str">
        <f>TRIM(CLEAN(SalesData[[#This Row],[Retailer]]))</f>
        <v>Rhein Auto Group</v>
      </c>
    </row>
    <row r="2199" spans="1:36" ht="14.25" hidden="1" x14ac:dyDescent="0.2">
      <c r="A2199" t="s">
        <v>3228</v>
      </c>
      <c r="B2199" s="1">
        <v>46056</v>
      </c>
      <c r="C2199" t="s">
        <v>24</v>
      </c>
      <c r="D2199" t="s">
        <v>63</v>
      </c>
      <c r="E2199" t="s">
        <v>26</v>
      </c>
      <c r="F2199" t="s">
        <v>127</v>
      </c>
      <c r="G2199" t="s">
        <v>128</v>
      </c>
      <c r="H2199" t="s">
        <v>103</v>
      </c>
      <c r="I2199" t="s">
        <v>104</v>
      </c>
      <c r="J2199" t="s">
        <v>105</v>
      </c>
      <c r="K2199" t="s">
        <v>91</v>
      </c>
      <c r="L2199" t="s">
        <v>33</v>
      </c>
      <c r="M2199" t="s">
        <v>87</v>
      </c>
      <c r="N2199" t="s">
        <v>35</v>
      </c>
      <c r="O2199" t="s">
        <v>36</v>
      </c>
      <c r="P2199" t="s">
        <v>71</v>
      </c>
      <c r="Q2199" t="s">
        <v>172</v>
      </c>
      <c r="R2199">
        <v>481</v>
      </c>
      <c r="S2199">
        <v>203</v>
      </c>
      <c r="T2199">
        <v>142</v>
      </c>
      <c r="U2199">
        <v>33</v>
      </c>
      <c r="V2199" t="s">
        <v>664</v>
      </c>
      <c r="W2199">
        <v>26747</v>
      </c>
      <c r="X2199" t="s">
        <v>941</v>
      </c>
      <c r="Y2199">
        <v>23536</v>
      </c>
      <c r="Z2199">
        <v>882651</v>
      </c>
      <c r="AA2199">
        <v>105963</v>
      </c>
      <c r="AB2199" t="str">
        <f>(VLOOKUP(SalesData[[#This Row],[Month Number]],Reference!C$5:E$16,2,FALSE))</f>
        <v>Feb</v>
      </c>
      <c r="AC2199">
        <f>MONTH(SalesData[[#This Row],[Date]])</f>
        <v>2</v>
      </c>
      <c r="AD2199">
        <f>Reference!F$4</f>
        <v>2026</v>
      </c>
      <c r="AE2199" t="str">
        <f>IF(OR(SalesData[[#This Row],[Day]]="Saturday",SalesData[[#This Row],[Day]]="Sunday"),"Weekend","Weekday")</f>
        <v>Weekday</v>
      </c>
      <c r="AF2199" s="5">
        <f>IF(SalesData[[#This Row],[Contracts Offered]]=0,0,SalesData[[#This Row],[Contracts Signed]]/SalesData[[#This Row],[Contracts Offered]])</f>
        <v>0.23239436619718309</v>
      </c>
      <c r="AG2199" s="5">
        <f>IF(SalesData[[#This Row],[Customers Visited]]=0,0,SalesData[[#This Row],[Test Drives]]/SalesData[[#This Row],[Customers Visited]])</f>
        <v>0.42203742203742206</v>
      </c>
      <c r="AH2199" s="5">
        <f>IF(SalesData[[#This Row],[Customers Visited]]=0,0,SalesData[[#This Row],[Contracts Signed]]/SalesData[[#This Row],[Customers Visited]])</f>
        <v>6.8607068607068611E-2</v>
      </c>
      <c r="AI2199" s="6">
        <f>IF(SalesData[[#This Row],[Contracts Signed]]=0,0,SalesData[[#This Row],[Profit(€)]]/SalesData[[#This Row],[Contracts Signed]])</f>
        <v>3211</v>
      </c>
      <c r="AJ2199" s="5" t="str">
        <f>TRIM(CLEAN(SalesData[[#This Row],[Retailer]]))</f>
        <v>Rhein Auto Group</v>
      </c>
    </row>
    <row r="2200" spans="1:36" ht="14.25" x14ac:dyDescent="0.2">
      <c r="A2200" t="s">
        <v>3229</v>
      </c>
      <c r="B2200" s="1">
        <v>46057</v>
      </c>
      <c r="C2200" t="s">
        <v>24</v>
      </c>
      <c r="D2200" t="s">
        <v>82</v>
      </c>
      <c r="E2200" t="s">
        <v>26</v>
      </c>
      <c r="F2200" t="s">
        <v>74</v>
      </c>
      <c r="G2200" t="s">
        <v>75</v>
      </c>
      <c r="H2200" t="s">
        <v>76</v>
      </c>
      <c r="I2200" t="s">
        <v>30</v>
      </c>
      <c r="J2200" t="s">
        <v>86</v>
      </c>
      <c r="K2200" t="s">
        <v>66</v>
      </c>
      <c r="L2200" t="s">
        <v>33</v>
      </c>
      <c r="M2200" t="s">
        <v>68</v>
      </c>
      <c r="N2200" t="s">
        <v>35</v>
      </c>
      <c r="O2200" t="s">
        <v>36</v>
      </c>
      <c r="P2200" t="s">
        <v>71</v>
      </c>
      <c r="Q2200" t="s">
        <v>88</v>
      </c>
      <c r="R2200">
        <v>205</v>
      </c>
      <c r="S2200">
        <v>115</v>
      </c>
      <c r="T2200">
        <v>88</v>
      </c>
      <c r="U2200">
        <v>32</v>
      </c>
      <c r="V2200" t="s">
        <v>6761</v>
      </c>
      <c r="W2200">
        <v>52802</v>
      </c>
      <c r="X2200" t="s">
        <v>1489</v>
      </c>
      <c r="Y2200">
        <v>37292</v>
      </c>
      <c r="Z2200">
        <v>1689664</v>
      </c>
      <c r="AA2200">
        <v>496320</v>
      </c>
      <c r="AB2200" t="str">
        <f>(VLOOKUP(SalesData[[#This Row],[Month Number]],Reference!C$5:E$16,2,FALSE))</f>
        <v>Feb</v>
      </c>
      <c r="AC2200">
        <f>MONTH(SalesData[[#This Row],[Date]])</f>
        <v>2</v>
      </c>
      <c r="AD2200">
        <f>Reference!F$4</f>
        <v>2026</v>
      </c>
      <c r="AE2200" t="str">
        <f>IF(OR(SalesData[[#This Row],[Day]]="Saturday",SalesData[[#This Row],[Day]]="Sunday"),"Weekend","Weekday")</f>
        <v>Weekday</v>
      </c>
      <c r="AF2200" s="5">
        <f>IF(SalesData[[#This Row],[Contracts Offered]]=0,0,SalesData[[#This Row],[Contracts Signed]]/SalesData[[#This Row],[Contracts Offered]])</f>
        <v>0.36363636363636365</v>
      </c>
      <c r="AG2200" s="5">
        <f>IF(SalesData[[#This Row],[Customers Visited]]=0,0,SalesData[[#This Row],[Test Drives]]/SalesData[[#This Row],[Customers Visited]])</f>
        <v>0.56097560975609762</v>
      </c>
      <c r="AH2200" s="5">
        <f>IF(SalesData[[#This Row],[Customers Visited]]=0,0,SalesData[[#This Row],[Contracts Signed]]/SalesData[[#This Row],[Customers Visited]])</f>
        <v>0.15609756097560976</v>
      </c>
      <c r="AI2200" s="6">
        <f>IF(SalesData[[#This Row],[Contracts Signed]]=0,0,SalesData[[#This Row],[Profit(€)]]/SalesData[[#This Row],[Contracts Signed]])</f>
        <v>15510</v>
      </c>
      <c r="AJ2200" s="5" t="str">
        <f>TRIM(CLEAN(SalesData[[#This Row],[Retailer]]))</f>
        <v>Stuttgart Auto Center</v>
      </c>
    </row>
    <row r="2201" spans="1:36" ht="14.25" hidden="1" x14ac:dyDescent="0.2">
      <c r="A2201" t="s">
        <v>3230</v>
      </c>
      <c r="B2201" s="1">
        <v>46059</v>
      </c>
      <c r="C2201" t="s">
        <v>24</v>
      </c>
      <c r="D2201" t="s">
        <v>54</v>
      </c>
      <c r="E2201" t="s">
        <v>26</v>
      </c>
      <c r="F2201" t="s">
        <v>114</v>
      </c>
      <c r="G2201" t="s">
        <v>115</v>
      </c>
      <c r="H2201" t="s">
        <v>115</v>
      </c>
      <c r="I2201" t="s">
        <v>64</v>
      </c>
      <c r="J2201" t="s">
        <v>111</v>
      </c>
      <c r="K2201" t="s">
        <v>32</v>
      </c>
      <c r="L2201" t="s">
        <v>46</v>
      </c>
      <c r="M2201" t="s">
        <v>68</v>
      </c>
      <c r="N2201" t="s">
        <v>35</v>
      </c>
      <c r="O2201" t="s">
        <v>36</v>
      </c>
      <c r="P2201" t="s">
        <v>37</v>
      </c>
      <c r="Q2201" t="s">
        <v>122</v>
      </c>
      <c r="R2201">
        <v>236</v>
      </c>
      <c r="S2201">
        <v>116</v>
      </c>
      <c r="T2201">
        <v>78</v>
      </c>
      <c r="U2201">
        <v>32</v>
      </c>
      <c r="V2201" t="s">
        <v>6612</v>
      </c>
      <c r="W2201">
        <v>56078</v>
      </c>
      <c r="X2201" t="s">
        <v>1906</v>
      </c>
      <c r="Y2201">
        <v>40776</v>
      </c>
      <c r="Z2201">
        <v>1794496</v>
      </c>
      <c r="AA2201">
        <v>489664</v>
      </c>
      <c r="AB2201" t="str">
        <f>(VLOOKUP(SalesData[[#This Row],[Month Number]],Reference!C$5:E$16,2,FALSE))</f>
        <v>Feb</v>
      </c>
      <c r="AC2201">
        <f>MONTH(SalesData[[#This Row],[Date]])</f>
        <v>2</v>
      </c>
      <c r="AD2201">
        <f>Reference!F$4</f>
        <v>2026</v>
      </c>
      <c r="AE2201" t="str">
        <f>IF(OR(SalesData[[#This Row],[Day]]="Saturday",SalesData[[#This Row],[Day]]="Sunday"),"Weekend","Weekday")</f>
        <v>Weekday</v>
      </c>
      <c r="AF2201" s="5">
        <f>IF(SalesData[[#This Row],[Contracts Offered]]=0,0,SalesData[[#This Row],[Contracts Signed]]/SalesData[[#This Row],[Contracts Offered]])</f>
        <v>0.41025641025641024</v>
      </c>
      <c r="AG2201" s="5">
        <f>IF(SalesData[[#This Row],[Customers Visited]]=0,0,SalesData[[#This Row],[Test Drives]]/SalesData[[#This Row],[Customers Visited]])</f>
        <v>0.49152542372881358</v>
      </c>
      <c r="AH2201" s="5">
        <f>IF(SalesData[[#This Row],[Customers Visited]]=0,0,SalesData[[#This Row],[Contracts Signed]]/SalesData[[#This Row],[Customers Visited]])</f>
        <v>0.13559322033898305</v>
      </c>
      <c r="AI2201" s="6">
        <f>IF(SalesData[[#This Row],[Contracts Signed]]=0,0,SalesData[[#This Row],[Profit(€)]]/SalesData[[#This Row],[Contracts Signed]])</f>
        <v>15302</v>
      </c>
      <c r="AJ2201" s="5" t="str">
        <f>TRIM(CLEAN(SalesData[[#This Row],[Retailer]]))</f>
        <v>Elbe Drive</v>
      </c>
    </row>
    <row r="2202" spans="1:36" ht="14.25" hidden="1" x14ac:dyDescent="0.2">
      <c r="A2202" t="s">
        <v>3231</v>
      </c>
      <c r="B2202" s="1">
        <v>46076</v>
      </c>
      <c r="C2202" t="s">
        <v>53</v>
      </c>
      <c r="D2202" t="s">
        <v>25</v>
      </c>
      <c r="E2202" t="s">
        <v>26</v>
      </c>
      <c r="F2202" t="s">
        <v>94</v>
      </c>
      <c r="G2202" t="s">
        <v>95</v>
      </c>
      <c r="H2202" t="s">
        <v>96</v>
      </c>
      <c r="I2202" t="s">
        <v>104</v>
      </c>
      <c r="J2202" t="s">
        <v>7031</v>
      </c>
      <c r="K2202" t="s">
        <v>32</v>
      </c>
      <c r="L2202" t="s">
        <v>46</v>
      </c>
      <c r="M2202" t="s">
        <v>87</v>
      </c>
      <c r="N2202" t="s">
        <v>35</v>
      </c>
      <c r="O2202" t="s">
        <v>70</v>
      </c>
      <c r="P2202" t="s">
        <v>49</v>
      </c>
      <c r="Q2202" t="s">
        <v>135</v>
      </c>
      <c r="R2202">
        <v>500</v>
      </c>
      <c r="S2202">
        <v>219</v>
      </c>
      <c r="T2202">
        <v>133</v>
      </c>
      <c r="U2202">
        <v>39</v>
      </c>
      <c r="V2202" t="s">
        <v>283</v>
      </c>
      <c r="W2202">
        <v>34086</v>
      </c>
      <c r="X2202" t="s">
        <v>3377</v>
      </c>
      <c r="Y2202">
        <v>29918</v>
      </c>
      <c r="Z2202">
        <v>1329354</v>
      </c>
      <c r="AA2202">
        <v>162552</v>
      </c>
      <c r="AB2202" t="str">
        <f>(VLOOKUP(SalesData[[#This Row],[Month Number]],Reference!C$5:E$16,2,FALSE))</f>
        <v>Feb</v>
      </c>
      <c r="AC2202">
        <f>MONTH(SalesData[[#This Row],[Date]])</f>
        <v>2</v>
      </c>
      <c r="AD2202">
        <f>Reference!F$4</f>
        <v>2026</v>
      </c>
      <c r="AE2202" t="str">
        <f>IF(OR(SalesData[[#This Row],[Day]]="Saturday",SalesData[[#This Row],[Day]]="Sunday"),"Weekend","Weekday")</f>
        <v>Weekday</v>
      </c>
      <c r="AF2202" s="5">
        <f>IF(SalesData[[#This Row],[Contracts Offered]]=0,0,SalesData[[#This Row],[Contracts Signed]]/SalesData[[#This Row],[Contracts Offered]])</f>
        <v>0.2932330827067669</v>
      </c>
      <c r="AG2202" s="5">
        <f>IF(SalesData[[#This Row],[Customers Visited]]=0,0,SalesData[[#This Row],[Test Drives]]/SalesData[[#This Row],[Customers Visited]])</f>
        <v>0.438</v>
      </c>
      <c r="AH2202" s="5">
        <f>IF(SalesData[[#This Row],[Customers Visited]]=0,0,SalesData[[#This Row],[Contracts Signed]]/SalesData[[#This Row],[Customers Visited]])</f>
        <v>7.8E-2</v>
      </c>
      <c r="AI2202" s="6">
        <f>IF(SalesData[[#This Row],[Contracts Signed]]=0,0,SalesData[[#This Row],[Profit(€)]]/SalesData[[#This Row],[Contracts Signed]])</f>
        <v>4168</v>
      </c>
      <c r="AJ2202" s="5" t="str">
        <f>TRIM(CLEAN(SalesData[[#This Row],[Retailer]]))</f>
        <v>Bavaria Motors</v>
      </c>
    </row>
    <row r="2203" spans="1:36" ht="14.25" hidden="1" x14ac:dyDescent="0.2">
      <c r="A2203" t="s">
        <v>3233</v>
      </c>
      <c r="B2203" s="1">
        <v>46071</v>
      </c>
      <c r="C2203" t="s">
        <v>62</v>
      </c>
      <c r="D2203" t="s">
        <v>82</v>
      </c>
      <c r="E2203" t="s">
        <v>26</v>
      </c>
      <c r="F2203" t="s">
        <v>74</v>
      </c>
      <c r="G2203" t="s">
        <v>75</v>
      </c>
      <c r="H2203" t="s">
        <v>76</v>
      </c>
      <c r="I2203" t="s">
        <v>56</v>
      </c>
      <c r="J2203" t="s">
        <v>137</v>
      </c>
      <c r="K2203" t="s">
        <v>32</v>
      </c>
      <c r="L2203" t="s">
        <v>46</v>
      </c>
      <c r="M2203" t="s">
        <v>47</v>
      </c>
      <c r="N2203" t="s">
        <v>69</v>
      </c>
      <c r="O2203" t="s">
        <v>70</v>
      </c>
      <c r="P2203" t="s">
        <v>37</v>
      </c>
      <c r="Q2203" t="s">
        <v>240</v>
      </c>
      <c r="R2203">
        <v>164</v>
      </c>
      <c r="S2203">
        <v>84</v>
      </c>
      <c r="T2203">
        <v>55</v>
      </c>
      <c r="U2203">
        <v>17</v>
      </c>
      <c r="V2203" t="s">
        <v>6909</v>
      </c>
      <c r="W2203">
        <v>48240</v>
      </c>
      <c r="X2203" t="s">
        <v>7220</v>
      </c>
      <c r="Y2203">
        <v>39435</v>
      </c>
      <c r="Z2203">
        <v>820080</v>
      </c>
      <c r="AA2203">
        <v>149685</v>
      </c>
      <c r="AB2203" t="str">
        <f>(VLOOKUP(SalesData[[#This Row],[Month Number]],Reference!C$5:E$16,2,FALSE))</f>
        <v>Feb</v>
      </c>
      <c r="AC2203">
        <f>MONTH(SalesData[[#This Row],[Date]])</f>
        <v>2</v>
      </c>
      <c r="AD2203">
        <f>Reference!F$4</f>
        <v>2026</v>
      </c>
      <c r="AE2203" t="str">
        <f>IF(OR(SalesData[[#This Row],[Day]]="Saturday",SalesData[[#This Row],[Day]]="Sunday"),"Weekend","Weekday")</f>
        <v>Weekday</v>
      </c>
      <c r="AF2203" s="5">
        <f>IF(SalesData[[#This Row],[Contracts Offered]]=0,0,SalesData[[#This Row],[Contracts Signed]]/SalesData[[#This Row],[Contracts Offered]])</f>
        <v>0.30909090909090908</v>
      </c>
      <c r="AG2203" s="5">
        <f>IF(SalesData[[#This Row],[Customers Visited]]=0,0,SalesData[[#This Row],[Test Drives]]/SalesData[[#This Row],[Customers Visited]])</f>
        <v>0.51219512195121952</v>
      </c>
      <c r="AH2203" s="5">
        <f>IF(SalesData[[#This Row],[Customers Visited]]=0,0,SalesData[[#This Row],[Contracts Signed]]/SalesData[[#This Row],[Customers Visited]])</f>
        <v>0.10365853658536585</v>
      </c>
      <c r="AI2203" s="6">
        <f>IF(SalesData[[#This Row],[Contracts Signed]]=0,0,SalesData[[#This Row],[Profit(€)]]/SalesData[[#This Row],[Contracts Signed]])</f>
        <v>8805</v>
      </c>
      <c r="AJ2203" s="5" t="str">
        <f>TRIM(CLEAN(SalesData[[#This Row],[Retailer]]))</f>
        <v>Stuttgart Auto Center</v>
      </c>
    </row>
    <row r="2204" spans="1:36" ht="14.25" hidden="1" x14ac:dyDescent="0.2">
      <c r="A2204" t="s">
        <v>3235</v>
      </c>
      <c r="B2204" s="1">
        <v>46078</v>
      </c>
      <c r="C2204" t="s">
        <v>53</v>
      </c>
      <c r="D2204" t="s">
        <v>82</v>
      </c>
      <c r="E2204" t="s">
        <v>26</v>
      </c>
      <c r="F2204" t="s">
        <v>7649</v>
      </c>
      <c r="G2204" t="s">
        <v>55</v>
      </c>
      <c r="H2204" t="s">
        <v>55</v>
      </c>
      <c r="I2204" t="s">
        <v>116</v>
      </c>
      <c r="J2204" t="s">
        <v>132</v>
      </c>
      <c r="K2204" t="s">
        <v>66</v>
      </c>
      <c r="L2204" t="s">
        <v>46</v>
      </c>
      <c r="M2204" t="s">
        <v>87</v>
      </c>
      <c r="N2204" t="s">
        <v>35</v>
      </c>
      <c r="O2204" t="s">
        <v>70</v>
      </c>
      <c r="P2204" t="s">
        <v>58</v>
      </c>
      <c r="Q2204" t="s">
        <v>135</v>
      </c>
      <c r="R2204">
        <v>428</v>
      </c>
      <c r="S2204">
        <v>235</v>
      </c>
      <c r="T2204">
        <v>146</v>
      </c>
      <c r="U2204">
        <v>52</v>
      </c>
      <c r="V2204" t="s">
        <v>6631</v>
      </c>
      <c r="W2204">
        <v>22916</v>
      </c>
      <c r="X2204" t="s">
        <v>1418</v>
      </c>
      <c r="Y2204">
        <v>21007</v>
      </c>
      <c r="Z2204">
        <v>1191632</v>
      </c>
      <c r="AA2204">
        <v>99268</v>
      </c>
      <c r="AB2204" t="str">
        <f>(VLOOKUP(SalesData[[#This Row],[Month Number]],Reference!C$5:E$16,2,FALSE))</f>
        <v>Feb</v>
      </c>
      <c r="AC2204">
        <f>MONTH(SalesData[[#This Row],[Date]])</f>
        <v>2</v>
      </c>
      <c r="AD2204">
        <f>Reference!F$4</f>
        <v>2026</v>
      </c>
      <c r="AE2204" t="str">
        <f>IF(OR(SalesData[[#This Row],[Day]]="Saturday",SalesData[[#This Row],[Day]]="Sunday"),"Weekend","Weekday")</f>
        <v>Weekday</v>
      </c>
      <c r="AF2204" s="5">
        <f>IF(SalesData[[#This Row],[Contracts Offered]]=0,0,SalesData[[#This Row],[Contracts Signed]]/SalesData[[#This Row],[Contracts Offered]])</f>
        <v>0.35616438356164382</v>
      </c>
      <c r="AG2204" s="5">
        <f>IF(SalesData[[#This Row],[Customers Visited]]=0,0,SalesData[[#This Row],[Test Drives]]/SalesData[[#This Row],[Customers Visited]])</f>
        <v>0.5490654205607477</v>
      </c>
      <c r="AH2204" s="5">
        <f>IF(SalesData[[#This Row],[Customers Visited]]=0,0,SalesData[[#This Row],[Contracts Signed]]/SalesData[[#This Row],[Customers Visited]])</f>
        <v>0.12149532710280374</v>
      </c>
      <c r="AI2204" s="6">
        <f>IF(SalesData[[#This Row],[Contracts Signed]]=0,0,SalesData[[#This Row],[Profit(€)]]/SalesData[[#This Row],[Contracts Signed]])</f>
        <v>1909</v>
      </c>
      <c r="AJ2204" s="5" t="str">
        <f>TRIM(CLEAN(SalesData[[#This Row],[Retailer]]))</f>
        <v>Autohaus Berlin</v>
      </c>
    </row>
    <row r="2205" spans="1:36" ht="14.25" hidden="1" x14ac:dyDescent="0.2">
      <c r="A2205" t="s">
        <v>3236</v>
      </c>
      <c r="B2205" s="1">
        <v>46074</v>
      </c>
      <c r="C2205" t="s">
        <v>62</v>
      </c>
      <c r="D2205" t="s">
        <v>151</v>
      </c>
      <c r="E2205" t="s">
        <v>42</v>
      </c>
      <c r="F2205" t="s">
        <v>7649</v>
      </c>
      <c r="G2205" t="s">
        <v>55</v>
      </c>
      <c r="H2205" t="s">
        <v>55</v>
      </c>
      <c r="I2205" t="s">
        <v>64</v>
      </c>
      <c r="J2205" t="s">
        <v>157</v>
      </c>
      <c r="K2205" t="s">
        <v>32</v>
      </c>
      <c r="L2205" t="s">
        <v>33</v>
      </c>
      <c r="M2205" t="s">
        <v>47</v>
      </c>
      <c r="N2205" t="s">
        <v>69</v>
      </c>
      <c r="O2205" t="s">
        <v>36</v>
      </c>
      <c r="P2205" t="s">
        <v>58</v>
      </c>
      <c r="Q2205" t="s">
        <v>79</v>
      </c>
      <c r="R2205">
        <v>228</v>
      </c>
      <c r="S2205">
        <v>105</v>
      </c>
      <c r="T2205">
        <v>73</v>
      </c>
      <c r="U2205">
        <v>30</v>
      </c>
      <c r="V2205" t="s">
        <v>6357</v>
      </c>
      <c r="W2205">
        <v>63258</v>
      </c>
      <c r="X2205" t="s">
        <v>572</v>
      </c>
      <c r="Y2205">
        <v>48604</v>
      </c>
      <c r="Z2205">
        <v>1897740</v>
      </c>
      <c r="AA2205">
        <v>439620</v>
      </c>
      <c r="AB2205" t="str">
        <f>(VLOOKUP(SalesData[[#This Row],[Month Number]],Reference!C$5:E$16,2,FALSE))</f>
        <v>Feb</v>
      </c>
      <c r="AC2205">
        <f>MONTH(SalesData[[#This Row],[Date]])</f>
        <v>2</v>
      </c>
      <c r="AD2205">
        <f>Reference!F$4</f>
        <v>2026</v>
      </c>
      <c r="AE2205" t="str">
        <f>IF(OR(SalesData[[#This Row],[Day]]="Saturday",SalesData[[#This Row],[Day]]="Sunday"),"Weekend","Weekday")</f>
        <v>Weekend</v>
      </c>
      <c r="AF2205" s="5">
        <f>IF(SalesData[[#This Row],[Contracts Offered]]=0,0,SalesData[[#This Row],[Contracts Signed]]/SalesData[[#This Row],[Contracts Offered]])</f>
        <v>0.41095890410958902</v>
      </c>
      <c r="AG2205" s="5">
        <f>IF(SalesData[[#This Row],[Customers Visited]]=0,0,SalesData[[#This Row],[Test Drives]]/SalesData[[#This Row],[Customers Visited]])</f>
        <v>0.46052631578947367</v>
      </c>
      <c r="AH2205" s="5">
        <f>IF(SalesData[[#This Row],[Customers Visited]]=0,0,SalesData[[#This Row],[Contracts Signed]]/SalesData[[#This Row],[Customers Visited]])</f>
        <v>0.13157894736842105</v>
      </c>
      <c r="AI2205" s="6">
        <f>IF(SalesData[[#This Row],[Contracts Signed]]=0,0,SalesData[[#This Row],[Profit(€)]]/SalesData[[#This Row],[Contracts Signed]])</f>
        <v>14654</v>
      </c>
      <c r="AJ2205" s="5" t="str">
        <f>TRIM(CLEAN(SalesData[[#This Row],[Retailer]]))</f>
        <v>Autohaus Berlin</v>
      </c>
    </row>
    <row r="2206" spans="1:36" ht="14.25" hidden="1" x14ac:dyDescent="0.2">
      <c r="A2206" t="s">
        <v>3237</v>
      </c>
      <c r="B2206" s="1">
        <v>46056</v>
      </c>
      <c r="C2206" t="s">
        <v>24</v>
      </c>
      <c r="D2206" t="s">
        <v>63</v>
      </c>
      <c r="E2206" t="s">
        <v>26</v>
      </c>
      <c r="F2206" t="s">
        <v>43</v>
      </c>
      <c r="G2206" t="s">
        <v>44</v>
      </c>
      <c r="H2206" t="s">
        <v>45</v>
      </c>
      <c r="I2206" t="s">
        <v>56</v>
      </c>
      <c r="J2206" t="s">
        <v>137</v>
      </c>
      <c r="K2206" t="s">
        <v>66</v>
      </c>
      <c r="L2206" t="s">
        <v>46</v>
      </c>
      <c r="M2206" t="s">
        <v>87</v>
      </c>
      <c r="N2206" t="s">
        <v>69</v>
      </c>
      <c r="O2206" t="s">
        <v>36</v>
      </c>
      <c r="P2206" t="s">
        <v>49</v>
      </c>
      <c r="Q2206" t="s">
        <v>50</v>
      </c>
      <c r="R2206">
        <v>268</v>
      </c>
      <c r="S2206">
        <v>158</v>
      </c>
      <c r="T2206">
        <v>109</v>
      </c>
      <c r="U2206">
        <v>35</v>
      </c>
      <c r="V2206" t="s">
        <v>6445</v>
      </c>
      <c r="W2206">
        <v>50039</v>
      </c>
      <c r="X2206" t="s">
        <v>7042</v>
      </c>
      <c r="Y2206">
        <v>40620</v>
      </c>
      <c r="Z2206">
        <v>1751365</v>
      </c>
      <c r="AA2206">
        <v>329665</v>
      </c>
      <c r="AB2206" t="str">
        <f>(VLOOKUP(SalesData[[#This Row],[Month Number]],Reference!C$5:E$16,2,FALSE))</f>
        <v>Feb</v>
      </c>
      <c r="AC2206">
        <f>MONTH(SalesData[[#This Row],[Date]])</f>
        <v>2</v>
      </c>
      <c r="AD2206">
        <f>Reference!F$4</f>
        <v>2026</v>
      </c>
      <c r="AE2206" t="str">
        <f>IF(OR(SalesData[[#This Row],[Day]]="Saturday",SalesData[[#This Row],[Day]]="Sunday"),"Weekend","Weekday")</f>
        <v>Weekday</v>
      </c>
      <c r="AF2206" s="5">
        <f>IF(SalesData[[#This Row],[Contracts Offered]]=0,0,SalesData[[#This Row],[Contracts Signed]]/SalesData[[#This Row],[Contracts Offered]])</f>
        <v>0.32110091743119268</v>
      </c>
      <c r="AG2206" s="5">
        <f>IF(SalesData[[#This Row],[Customers Visited]]=0,0,SalesData[[#This Row],[Test Drives]]/SalesData[[#This Row],[Customers Visited]])</f>
        <v>0.58955223880597019</v>
      </c>
      <c r="AH2206" s="5">
        <f>IF(SalesData[[#This Row],[Customers Visited]]=0,0,SalesData[[#This Row],[Contracts Signed]]/SalesData[[#This Row],[Customers Visited]])</f>
        <v>0.13059701492537312</v>
      </c>
      <c r="AI2206" s="6">
        <f>IF(SalesData[[#This Row],[Contracts Signed]]=0,0,SalesData[[#This Row],[Profit(€)]]/SalesData[[#This Row],[Contracts Signed]])</f>
        <v>9419</v>
      </c>
      <c r="AJ2206" s="5" t="str">
        <f>TRIM(CLEAN(SalesData[[#This Row],[Retailer]]))</f>
        <v>Saxon Wheels</v>
      </c>
    </row>
    <row r="2207" spans="1:36" ht="14.25" hidden="1" x14ac:dyDescent="0.2">
      <c r="A2207" t="s">
        <v>3238</v>
      </c>
      <c r="B2207" s="1">
        <v>46074</v>
      </c>
      <c r="C2207" t="s">
        <v>62</v>
      </c>
      <c r="D2207" t="s">
        <v>151</v>
      </c>
      <c r="E2207" t="s">
        <v>42</v>
      </c>
      <c r="F2207" t="s">
        <v>83</v>
      </c>
      <c r="G2207" t="s">
        <v>84</v>
      </c>
      <c r="H2207" t="s">
        <v>85</v>
      </c>
      <c r="I2207" t="s">
        <v>64</v>
      </c>
      <c r="J2207" t="s">
        <v>157</v>
      </c>
      <c r="K2207" t="s">
        <v>32</v>
      </c>
      <c r="L2207" t="s">
        <v>33</v>
      </c>
      <c r="M2207" t="s">
        <v>34</v>
      </c>
      <c r="N2207" t="s">
        <v>48</v>
      </c>
      <c r="O2207" t="s">
        <v>36</v>
      </c>
      <c r="P2207" t="s">
        <v>58</v>
      </c>
      <c r="Q2207" t="s">
        <v>122</v>
      </c>
      <c r="R2207">
        <v>257</v>
      </c>
      <c r="S2207">
        <v>126</v>
      </c>
      <c r="T2207">
        <v>92</v>
      </c>
      <c r="U2207">
        <v>37</v>
      </c>
      <c r="V2207" t="s">
        <v>6938</v>
      </c>
      <c r="W2207">
        <v>66851</v>
      </c>
      <c r="X2207" t="s">
        <v>7058</v>
      </c>
      <c r="Y2207">
        <v>50449</v>
      </c>
      <c r="Z2207">
        <v>2473487</v>
      </c>
      <c r="AA2207">
        <v>606874</v>
      </c>
      <c r="AB2207" t="str">
        <f>(VLOOKUP(SalesData[[#This Row],[Month Number]],Reference!C$5:E$16,2,FALSE))</f>
        <v>Feb</v>
      </c>
      <c r="AC2207">
        <f>MONTH(SalesData[[#This Row],[Date]])</f>
        <v>2</v>
      </c>
      <c r="AD2207">
        <f>Reference!F$4</f>
        <v>2026</v>
      </c>
      <c r="AE2207" t="str">
        <f>IF(OR(SalesData[[#This Row],[Day]]="Saturday",SalesData[[#This Row],[Day]]="Sunday"),"Weekend","Weekday")</f>
        <v>Weekend</v>
      </c>
      <c r="AF2207" s="5">
        <f>IF(SalesData[[#This Row],[Contracts Offered]]=0,0,SalesData[[#This Row],[Contracts Signed]]/SalesData[[#This Row],[Contracts Offered]])</f>
        <v>0.40217391304347827</v>
      </c>
      <c r="AG2207" s="5">
        <f>IF(SalesData[[#This Row],[Customers Visited]]=0,0,SalesData[[#This Row],[Test Drives]]/SalesData[[#This Row],[Customers Visited]])</f>
        <v>0.49027237354085601</v>
      </c>
      <c r="AH2207" s="5">
        <f>IF(SalesData[[#This Row],[Customers Visited]]=0,0,SalesData[[#This Row],[Contracts Signed]]/SalesData[[#This Row],[Customers Visited]])</f>
        <v>0.14396887159533073</v>
      </c>
      <c r="AI2207" s="6">
        <f>IF(SalesData[[#This Row],[Contracts Signed]]=0,0,SalesData[[#This Row],[Profit(€)]]/SalesData[[#This Row],[Contracts Signed]])</f>
        <v>16402</v>
      </c>
      <c r="AJ2207" s="5" t="str">
        <f>TRIM(CLEAN(SalesData[[#This Row],[Retailer]]))</f>
        <v>Hannover Cars</v>
      </c>
    </row>
    <row r="2208" spans="1:36" ht="14.25" x14ac:dyDescent="0.2">
      <c r="A2208" t="s">
        <v>3239</v>
      </c>
      <c r="B2208" s="1">
        <v>46058</v>
      </c>
      <c r="C2208" t="s">
        <v>24</v>
      </c>
      <c r="D2208" t="s">
        <v>100</v>
      </c>
      <c r="E2208" t="s">
        <v>26</v>
      </c>
      <c r="F2208" t="s">
        <v>114</v>
      </c>
      <c r="G2208" t="s">
        <v>115</v>
      </c>
      <c r="H2208" t="s">
        <v>115</v>
      </c>
      <c r="I2208" t="s">
        <v>30</v>
      </c>
      <c r="J2208" t="s">
        <v>166</v>
      </c>
      <c r="K2208" t="s">
        <v>32</v>
      </c>
      <c r="L2208" t="s">
        <v>46</v>
      </c>
      <c r="M2208" t="s">
        <v>34</v>
      </c>
      <c r="N2208" t="s">
        <v>48</v>
      </c>
      <c r="O2208" t="s">
        <v>70</v>
      </c>
      <c r="P2208" t="s">
        <v>71</v>
      </c>
      <c r="Q2208" t="s">
        <v>189</v>
      </c>
      <c r="R2208">
        <v>191</v>
      </c>
      <c r="S2208">
        <v>112</v>
      </c>
      <c r="T2208">
        <v>91</v>
      </c>
      <c r="U2208">
        <v>33</v>
      </c>
      <c r="V2208" t="s">
        <v>6569</v>
      </c>
      <c r="W2208">
        <v>66236</v>
      </c>
      <c r="X2208" t="s">
        <v>7420</v>
      </c>
      <c r="Y2208">
        <v>47749</v>
      </c>
      <c r="Z2208">
        <v>2185788</v>
      </c>
      <c r="AA2208">
        <v>610071</v>
      </c>
      <c r="AB2208" t="str">
        <f>(VLOOKUP(SalesData[[#This Row],[Month Number]],Reference!C$5:E$16,2,FALSE))</f>
        <v>Feb</v>
      </c>
      <c r="AC2208">
        <f>MONTH(SalesData[[#This Row],[Date]])</f>
        <v>2</v>
      </c>
      <c r="AD2208">
        <f>Reference!F$4</f>
        <v>2026</v>
      </c>
      <c r="AE2208" t="str">
        <f>IF(OR(SalesData[[#This Row],[Day]]="Saturday",SalesData[[#This Row],[Day]]="Sunday"),"Weekend","Weekday")</f>
        <v>Weekday</v>
      </c>
      <c r="AF2208" s="5">
        <f>IF(SalesData[[#This Row],[Contracts Offered]]=0,0,SalesData[[#This Row],[Contracts Signed]]/SalesData[[#This Row],[Contracts Offered]])</f>
        <v>0.36263736263736263</v>
      </c>
      <c r="AG2208" s="5">
        <f>IF(SalesData[[#This Row],[Customers Visited]]=0,0,SalesData[[#This Row],[Test Drives]]/SalesData[[#This Row],[Customers Visited]])</f>
        <v>0.58638743455497377</v>
      </c>
      <c r="AH2208" s="5">
        <f>IF(SalesData[[#This Row],[Customers Visited]]=0,0,SalesData[[#This Row],[Contracts Signed]]/SalesData[[#This Row],[Customers Visited]])</f>
        <v>0.17277486910994763</v>
      </c>
      <c r="AI2208" s="6">
        <f>IF(SalesData[[#This Row],[Contracts Signed]]=0,0,SalesData[[#This Row],[Profit(€)]]/SalesData[[#This Row],[Contracts Signed]])</f>
        <v>18487</v>
      </c>
      <c r="AJ2208" s="5" t="str">
        <f>TRIM(CLEAN(SalesData[[#This Row],[Retailer]]))</f>
        <v>Elbe Drive</v>
      </c>
    </row>
    <row r="2209" spans="1:36" ht="14.25" hidden="1" x14ac:dyDescent="0.2">
      <c r="A2209" t="s">
        <v>3240</v>
      </c>
      <c r="B2209" s="1">
        <v>46079</v>
      </c>
      <c r="C2209" t="s">
        <v>53</v>
      </c>
      <c r="D2209" t="s">
        <v>100</v>
      </c>
      <c r="E2209" t="s">
        <v>26</v>
      </c>
      <c r="F2209" t="s">
        <v>43</v>
      </c>
      <c r="G2209" t="s">
        <v>44</v>
      </c>
      <c r="H2209" t="s">
        <v>45</v>
      </c>
      <c r="I2209" t="s">
        <v>116</v>
      </c>
      <c r="J2209" t="s">
        <v>117</v>
      </c>
      <c r="K2209" t="s">
        <v>78</v>
      </c>
      <c r="L2209" t="s">
        <v>67</v>
      </c>
      <c r="M2209" t="s">
        <v>34</v>
      </c>
      <c r="N2209" t="s">
        <v>48</v>
      </c>
      <c r="O2209" t="s">
        <v>70</v>
      </c>
      <c r="P2209" t="s">
        <v>49</v>
      </c>
      <c r="Q2209" t="s">
        <v>118</v>
      </c>
      <c r="R2209">
        <v>412</v>
      </c>
      <c r="S2209">
        <v>205</v>
      </c>
      <c r="T2209">
        <v>116</v>
      </c>
      <c r="U2209">
        <v>22</v>
      </c>
      <c r="V2209" t="s">
        <v>2336</v>
      </c>
      <c r="W2209">
        <v>22237</v>
      </c>
      <c r="X2209" t="s">
        <v>175</v>
      </c>
      <c r="Y2209">
        <v>19834</v>
      </c>
      <c r="Z2209">
        <v>489214</v>
      </c>
      <c r="AA2209">
        <v>52866</v>
      </c>
      <c r="AB2209" t="str">
        <f>(VLOOKUP(SalesData[[#This Row],[Month Number]],Reference!C$5:E$16,2,FALSE))</f>
        <v>Feb</v>
      </c>
      <c r="AC2209">
        <f>MONTH(SalesData[[#This Row],[Date]])</f>
        <v>2</v>
      </c>
      <c r="AD2209">
        <f>Reference!F$4</f>
        <v>2026</v>
      </c>
      <c r="AE2209" t="str">
        <f>IF(OR(SalesData[[#This Row],[Day]]="Saturday",SalesData[[#This Row],[Day]]="Sunday"),"Weekend","Weekday")</f>
        <v>Weekday</v>
      </c>
      <c r="AF2209" s="5">
        <f>IF(SalesData[[#This Row],[Contracts Offered]]=0,0,SalesData[[#This Row],[Contracts Signed]]/SalesData[[#This Row],[Contracts Offered]])</f>
        <v>0.18965517241379309</v>
      </c>
      <c r="AG2209" s="5">
        <f>IF(SalesData[[#This Row],[Customers Visited]]=0,0,SalesData[[#This Row],[Test Drives]]/SalesData[[#This Row],[Customers Visited]])</f>
        <v>0.49757281553398058</v>
      </c>
      <c r="AH2209" s="5">
        <f>IF(SalesData[[#This Row],[Customers Visited]]=0,0,SalesData[[#This Row],[Contracts Signed]]/SalesData[[#This Row],[Customers Visited]])</f>
        <v>5.3398058252427182E-2</v>
      </c>
      <c r="AI2209" s="6">
        <f>IF(SalesData[[#This Row],[Contracts Signed]]=0,0,SalesData[[#This Row],[Profit(€)]]/SalesData[[#This Row],[Contracts Signed]])</f>
        <v>2403</v>
      </c>
      <c r="AJ2209" s="5" t="str">
        <f>TRIM(CLEAN(SalesData[[#This Row],[Retailer]]))</f>
        <v>Saxon Wheels</v>
      </c>
    </row>
    <row r="2210" spans="1:36" ht="14.25" x14ac:dyDescent="0.2">
      <c r="A2210" t="s">
        <v>3241</v>
      </c>
      <c r="B2210" s="1">
        <v>46071</v>
      </c>
      <c r="C2210" t="s">
        <v>62</v>
      </c>
      <c r="D2210" t="s">
        <v>82</v>
      </c>
      <c r="E2210" t="s">
        <v>26</v>
      </c>
      <c r="F2210" t="s">
        <v>43</v>
      </c>
      <c r="G2210" t="s">
        <v>44</v>
      </c>
      <c r="H2210" t="s">
        <v>45</v>
      </c>
      <c r="I2210" t="s">
        <v>30</v>
      </c>
      <c r="J2210" t="s">
        <v>86</v>
      </c>
      <c r="K2210" t="s">
        <v>78</v>
      </c>
      <c r="L2210" t="s">
        <v>33</v>
      </c>
      <c r="M2210" t="s">
        <v>87</v>
      </c>
      <c r="N2210" t="s">
        <v>69</v>
      </c>
      <c r="O2210" t="s">
        <v>70</v>
      </c>
      <c r="P2210" t="s">
        <v>37</v>
      </c>
      <c r="Q2210" t="s">
        <v>172</v>
      </c>
      <c r="R2210">
        <v>192</v>
      </c>
      <c r="S2210">
        <v>97</v>
      </c>
      <c r="T2210">
        <v>68</v>
      </c>
      <c r="U2210">
        <v>26</v>
      </c>
      <c r="V2210" t="s">
        <v>6440</v>
      </c>
      <c r="W2210">
        <v>57474</v>
      </c>
      <c r="X2210" t="s">
        <v>500</v>
      </c>
      <c r="Y2210">
        <v>43058</v>
      </c>
      <c r="Z2210">
        <v>1494324</v>
      </c>
      <c r="AA2210">
        <v>374816</v>
      </c>
      <c r="AB2210" t="str">
        <f>(VLOOKUP(SalesData[[#This Row],[Month Number]],Reference!C$5:E$16,2,FALSE))</f>
        <v>Feb</v>
      </c>
      <c r="AC2210">
        <f>MONTH(SalesData[[#This Row],[Date]])</f>
        <v>2</v>
      </c>
      <c r="AD2210">
        <f>Reference!F$4</f>
        <v>2026</v>
      </c>
      <c r="AE2210" t="str">
        <f>IF(OR(SalesData[[#This Row],[Day]]="Saturday",SalesData[[#This Row],[Day]]="Sunday"),"Weekend","Weekday")</f>
        <v>Weekday</v>
      </c>
      <c r="AF2210" s="5">
        <f>IF(SalesData[[#This Row],[Contracts Offered]]=0,0,SalesData[[#This Row],[Contracts Signed]]/SalesData[[#This Row],[Contracts Offered]])</f>
        <v>0.38235294117647056</v>
      </c>
      <c r="AG2210" s="5">
        <f>IF(SalesData[[#This Row],[Customers Visited]]=0,0,SalesData[[#This Row],[Test Drives]]/SalesData[[#This Row],[Customers Visited]])</f>
        <v>0.50520833333333337</v>
      </c>
      <c r="AH2210" s="5">
        <f>IF(SalesData[[#This Row],[Customers Visited]]=0,0,SalesData[[#This Row],[Contracts Signed]]/SalesData[[#This Row],[Customers Visited]])</f>
        <v>0.13541666666666666</v>
      </c>
      <c r="AI2210" s="6">
        <f>IF(SalesData[[#This Row],[Contracts Signed]]=0,0,SalesData[[#This Row],[Profit(€)]]/SalesData[[#This Row],[Contracts Signed]])</f>
        <v>14416</v>
      </c>
      <c r="AJ2210" s="5" t="str">
        <f>TRIM(CLEAN(SalesData[[#This Row],[Retailer]]))</f>
        <v>Saxon Wheels</v>
      </c>
    </row>
    <row r="2211" spans="1:36" ht="14.25" hidden="1" x14ac:dyDescent="0.2">
      <c r="A2211" t="s">
        <v>3242</v>
      </c>
      <c r="B2211" s="1">
        <v>46067</v>
      </c>
      <c r="C2211" t="s">
        <v>121</v>
      </c>
      <c r="D2211" t="s">
        <v>151</v>
      </c>
      <c r="E2211" t="s">
        <v>42</v>
      </c>
      <c r="F2211" t="s">
        <v>94</v>
      </c>
      <c r="G2211" t="s">
        <v>95</v>
      </c>
      <c r="H2211" t="s">
        <v>96</v>
      </c>
      <c r="I2211" t="s">
        <v>116</v>
      </c>
      <c r="J2211" t="s">
        <v>7090</v>
      </c>
      <c r="K2211" t="s">
        <v>91</v>
      </c>
      <c r="L2211" t="s">
        <v>46</v>
      </c>
      <c r="M2211" t="s">
        <v>34</v>
      </c>
      <c r="N2211" t="s">
        <v>35</v>
      </c>
      <c r="O2211" t="s">
        <v>70</v>
      </c>
      <c r="P2211" t="s">
        <v>49</v>
      </c>
      <c r="Q2211" t="s">
        <v>118</v>
      </c>
      <c r="R2211">
        <v>242</v>
      </c>
      <c r="S2211">
        <v>94</v>
      </c>
      <c r="T2211">
        <v>65</v>
      </c>
      <c r="U2211">
        <v>16</v>
      </c>
      <c r="V2211" t="s">
        <v>2328</v>
      </c>
      <c r="W2211">
        <v>21839</v>
      </c>
      <c r="X2211" t="s">
        <v>2396</v>
      </c>
      <c r="Y2211">
        <v>19810</v>
      </c>
      <c r="Z2211">
        <v>349424</v>
      </c>
      <c r="AA2211">
        <v>32464</v>
      </c>
      <c r="AB2211" t="str">
        <f>(VLOOKUP(SalesData[[#This Row],[Month Number]],Reference!C$5:E$16,2,FALSE))</f>
        <v>Feb</v>
      </c>
      <c r="AC2211">
        <f>MONTH(SalesData[[#This Row],[Date]])</f>
        <v>2</v>
      </c>
      <c r="AD2211">
        <f>Reference!F$4</f>
        <v>2026</v>
      </c>
      <c r="AE2211" t="str">
        <f>IF(OR(SalesData[[#This Row],[Day]]="Saturday",SalesData[[#This Row],[Day]]="Sunday"),"Weekend","Weekday")</f>
        <v>Weekend</v>
      </c>
      <c r="AF2211" s="5">
        <f>IF(SalesData[[#This Row],[Contracts Offered]]=0,0,SalesData[[#This Row],[Contracts Signed]]/SalesData[[#This Row],[Contracts Offered]])</f>
        <v>0.24615384615384617</v>
      </c>
      <c r="AG2211" s="5">
        <f>IF(SalesData[[#This Row],[Customers Visited]]=0,0,SalesData[[#This Row],[Test Drives]]/SalesData[[#This Row],[Customers Visited]])</f>
        <v>0.38842975206611569</v>
      </c>
      <c r="AH2211" s="5">
        <f>IF(SalesData[[#This Row],[Customers Visited]]=0,0,SalesData[[#This Row],[Contracts Signed]]/SalesData[[#This Row],[Customers Visited]])</f>
        <v>6.6115702479338845E-2</v>
      </c>
      <c r="AI2211" s="6">
        <f>IF(SalesData[[#This Row],[Contracts Signed]]=0,0,SalesData[[#This Row],[Profit(€)]]/SalesData[[#This Row],[Contracts Signed]])</f>
        <v>2029</v>
      </c>
      <c r="AJ2211" s="5" t="str">
        <f>TRIM(CLEAN(SalesData[[#This Row],[Retailer]]))</f>
        <v>Bavaria Motors</v>
      </c>
    </row>
    <row r="2212" spans="1:36" ht="14.25" hidden="1" x14ac:dyDescent="0.2">
      <c r="A2212" t="s">
        <v>3243</v>
      </c>
      <c r="B2212" s="1">
        <v>46056</v>
      </c>
      <c r="C2212" t="s">
        <v>24</v>
      </c>
      <c r="D2212" t="s">
        <v>63</v>
      </c>
      <c r="E2212" t="s">
        <v>26</v>
      </c>
      <c r="F2212" t="s">
        <v>27</v>
      </c>
      <c r="G2212" t="s">
        <v>28</v>
      </c>
      <c r="H2212" t="s">
        <v>29</v>
      </c>
      <c r="I2212" t="s">
        <v>104</v>
      </c>
      <c r="J2212" t="s">
        <v>105</v>
      </c>
      <c r="K2212" t="s">
        <v>32</v>
      </c>
      <c r="L2212" t="s">
        <v>33</v>
      </c>
      <c r="M2212" t="s">
        <v>34</v>
      </c>
      <c r="N2212" t="s">
        <v>48</v>
      </c>
      <c r="O2212" t="s">
        <v>70</v>
      </c>
      <c r="P2212" t="s">
        <v>49</v>
      </c>
      <c r="Q2212" t="s">
        <v>172</v>
      </c>
      <c r="R2212">
        <v>435</v>
      </c>
      <c r="S2212">
        <v>211</v>
      </c>
      <c r="T2212">
        <v>134</v>
      </c>
      <c r="U2212">
        <v>27</v>
      </c>
      <c r="V2212" t="s">
        <v>2497</v>
      </c>
      <c r="W2212">
        <v>26034</v>
      </c>
      <c r="X2212" t="s">
        <v>2587</v>
      </c>
      <c r="Y2212">
        <v>23562</v>
      </c>
      <c r="Z2212">
        <v>702918</v>
      </c>
      <c r="AA2212">
        <v>66744</v>
      </c>
      <c r="AB2212" t="str">
        <f>(VLOOKUP(SalesData[[#This Row],[Month Number]],Reference!C$5:E$16,2,FALSE))</f>
        <v>Feb</v>
      </c>
      <c r="AC2212">
        <f>MONTH(SalesData[[#This Row],[Date]])</f>
        <v>2</v>
      </c>
      <c r="AD2212">
        <f>Reference!F$4</f>
        <v>2026</v>
      </c>
      <c r="AE2212" t="str">
        <f>IF(OR(SalesData[[#This Row],[Day]]="Saturday",SalesData[[#This Row],[Day]]="Sunday"),"Weekend","Weekday")</f>
        <v>Weekday</v>
      </c>
      <c r="AF2212" s="5">
        <f>IF(SalesData[[#This Row],[Contracts Offered]]=0,0,SalesData[[#This Row],[Contracts Signed]]/SalesData[[#This Row],[Contracts Offered]])</f>
        <v>0.20149253731343283</v>
      </c>
      <c r="AG2212" s="5">
        <f>IF(SalesData[[#This Row],[Customers Visited]]=0,0,SalesData[[#This Row],[Test Drives]]/SalesData[[#This Row],[Customers Visited]])</f>
        <v>0.48505747126436782</v>
      </c>
      <c r="AH2212" s="5">
        <f>IF(SalesData[[#This Row],[Customers Visited]]=0,0,SalesData[[#This Row],[Contracts Signed]]/SalesData[[#This Row],[Customers Visited]])</f>
        <v>6.2068965517241378E-2</v>
      </c>
      <c r="AI2212" s="6">
        <f>IF(SalesData[[#This Row],[Contracts Signed]]=0,0,SalesData[[#This Row],[Profit(€)]]/SalesData[[#This Row],[Contracts Signed]])</f>
        <v>2472</v>
      </c>
      <c r="AJ2212" s="5" t="str">
        <f>TRIM(CLEAN(SalesData[[#This Row],[Retailer]]))</f>
        <v>Main Auto Hub</v>
      </c>
    </row>
    <row r="2213" spans="1:36" ht="14.25" hidden="1" x14ac:dyDescent="0.2">
      <c r="A2213" t="s">
        <v>3244</v>
      </c>
      <c r="B2213" s="1">
        <v>46056</v>
      </c>
      <c r="C2213" t="s">
        <v>24</v>
      </c>
      <c r="D2213" t="s">
        <v>63</v>
      </c>
      <c r="E2213" t="s">
        <v>26</v>
      </c>
      <c r="F2213" t="s">
        <v>127</v>
      </c>
      <c r="G2213" t="s">
        <v>128</v>
      </c>
      <c r="H2213" t="s">
        <v>103</v>
      </c>
      <c r="I2213" t="s">
        <v>104</v>
      </c>
      <c r="J2213" t="s">
        <v>7031</v>
      </c>
      <c r="K2213" t="s">
        <v>78</v>
      </c>
      <c r="L2213" t="s">
        <v>46</v>
      </c>
      <c r="M2213" t="s">
        <v>87</v>
      </c>
      <c r="N2213" t="s">
        <v>69</v>
      </c>
      <c r="O2213" t="s">
        <v>70</v>
      </c>
      <c r="P2213" t="s">
        <v>71</v>
      </c>
      <c r="Q2213" t="s">
        <v>118</v>
      </c>
      <c r="R2213">
        <v>513</v>
      </c>
      <c r="S2213">
        <v>252</v>
      </c>
      <c r="T2213">
        <v>159</v>
      </c>
      <c r="U2213">
        <v>45</v>
      </c>
      <c r="V2213" t="s">
        <v>871</v>
      </c>
      <c r="W2213">
        <v>34960</v>
      </c>
      <c r="X2213" t="s">
        <v>804</v>
      </c>
      <c r="Y2213">
        <v>30182</v>
      </c>
      <c r="Z2213">
        <v>1573200</v>
      </c>
      <c r="AA2213">
        <v>215010</v>
      </c>
      <c r="AB2213" t="str">
        <f>(VLOOKUP(SalesData[[#This Row],[Month Number]],Reference!C$5:E$16,2,FALSE))</f>
        <v>Feb</v>
      </c>
      <c r="AC2213">
        <f>MONTH(SalesData[[#This Row],[Date]])</f>
        <v>2</v>
      </c>
      <c r="AD2213">
        <f>Reference!F$4</f>
        <v>2026</v>
      </c>
      <c r="AE2213" t="str">
        <f>IF(OR(SalesData[[#This Row],[Day]]="Saturday",SalesData[[#This Row],[Day]]="Sunday"),"Weekend","Weekday")</f>
        <v>Weekday</v>
      </c>
      <c r="AF2213" s="5">
        <f>IF(SalesData[[#This Row],[Contracts Offered]]=0,0,SalesData[[#This Row],[Contracts Signed]]/SalesData[[#This Row],[Contracts Offered]])</f>
        <v>0.28301886792452829</v>
      </c>
      <c r="AG2213" s="5">
        <f>IF(SalesData[[#This Row],[Customers Visited]]=0,0,SalesData[[#This Row],[Test Drives]]/SalesData[[#This Row],[Customers Visited]])</f>
        <v>0.49122807017543857</v>
      </c>
      <c r="AH2213" s="5">
        <f>IF(SalesData[[#This Row],[Customers Visited]]=0,0,SalesData[[#This Row],[Contracts Signed]]/SalesData[[#This Row],[Customers Visited]])</f>
        <v>8.771929824561403E-2</v>
      </c>
      <c r="AI2213" s="6">
        <f>IF(SalesData[[#This Row],[Contracts Signed]]=0,0,SalesData[[#This Row],[Profit(€)]]/SalesData[[#This Row],[Contracts Signed]])</f>
        <v>4778</v>
      </c>
      <c r="AJ2213" s="5" t="str">
        <f>TRIM(CLEAN(SalesData[[#This Row],[Retailer]]))</f>
        <v>Rhein Auto Group</v>
      </c>
    </row>
    <row r="2214" spans="1:36" ht="14.25" hidden="1" x14ac:dyDescent="0.2">
      <c r="A2214" t="s">
        <v>3245</v>
      </c>
      <c r="B2214" s="1">
        <v>46060</v>
      </c>
      <c r="C2214" t="s">
        <v>24</v>
      </c>
      <c r="D2214" t="s">
        <v>151</v>
      </c>
      <c r="E2214" t="s">
        <v>42</v>
      </c>
      <c r="F2214" t="s">
        <v>43</v>
      </c>
      <c r="G2214" t="s">
        <v>44</v>
      </c>
      <c r="H2214" t="s">
        <v>45</v>
      </c>
      <c r="I2214" t="s">
        <v>64</v>
      </c>
      <c r="J2214" t="s">
        <v>65</v>
      </c>
      <c r="K2214" t="s">
        <v>78</v>
      </c>
      <c r="L2214" t="s">
        <v>33</v>
      </c>
      <c r="M2214" t="s">
        <v>87</v>
      </c>
      <c r="N2214" t="s">
        <v>69</v>
      </c>
      <c r="O2214" t="s">
        <v>70</v>
      </c>
      <c r="P2214" t="s">
        <v>49</v>
      </c>
      <c r="Q2214" t="s">
        <v>347</v>
      </c>
      <c r="R2214">
        <v>219</v>
      </c>
      <c r="S2214">
        <v>114</v>
      </c>
      <c r="T2214">
        <v>87</v>
      </c>
      <c r="U2214">
        <v>24</v>
      </c>
      <c r="V2214" t="s">
        <v>6421</v>
      </c>
      <c r="W2214">
        <v>55760</v>
      </c>
      <c r="X2214" t="s">
        <v>7238</v>
      </c>
      <c r="Y2214">
        <v>39986</v>
      </c>
      <c r="Z2214">
        <v>1338240</v>
      </c>
      <c r="AA2214">
        <v>378576</v>
      </c>
      <c r="AB2214" t="str">
        <f>(VLOOKUP(SalesData[[#This Row],[Month Number]],Reference!C$5:E$16,2,FALSE))</f>
        <v>Feb</v>
      </c>
      <c r="AC2214">
        <f>MONTH(SalesData[[#This Row],[Date]])</f>
        <v>2</v>
      </c>
      <c r="AD2214">
        <f>Reference!F$4</f>
        <v>2026</v>
      </c>
      <c r="AE2214" t="str">
        <f>IF(OR(SalesData[[#This Row],[Day]]="Saturday",SalesData[[#This Row],[Day]]="Sunday"),"Weekend","Weekday")</f>
        <v>Weekend</v>
      </c>
      <c r="AF2214" s="5">
        <f>IF(SalesData[[#This Row],[Contracts Offered]]=0,0,SalesData[[#This Row],[Contracts Signed]]/SalesData[[#This Row],[Contracts Offered]])</f>
        <v>0.27586206896551724</v>
      </c>
      <c r="AG2214" s="5">
        <f>IF(SalesData[[#This Row],[Customers Visited]]=0,0,SalesData[[#This Row],[Test Drives]]/SalesData[[#This Row],[Customers Visited]])</f>
        <v>0.52054794520547942</v>
      </c>
      <c r="AH2214" s="5">
        <f>IF(SalesData[[#This Row],[Customers Visited]]=0,0,SalesData[[#This Row],[Contracts Signed]]/SalesData[[#This Row],[Customers Visited]])</f>
        <v>0.1095890410958904</v>
      </c>
      <c r="AI2214" s="6">
        <f>IF(SalesData[[#This Row],[Contracts Signed]]=0,0,SalesData[[#This Row],[Profit(€)]]/SalesData[[#This Row],[Contracts Signed]])</f>
        <v>15774</v>
      </c>
      <c r="AJ2214" s="5" t="str">
        <f>TRIM(CLEAN(SalesData[[#This Row],[Retailer]]))</f>
        <v>Saxon Wheels</v>
      </c>
    </row>
    <row r="2215" spans="1:36" ht="14.25" hidden="1" x14ac:dyDescent="0.2">
      <c r="A2215" t="s">
        <v>3246</v>
      </c>
      <c r="B2215" s="1">
        <v>46061</v>
      </c>
      <c r="C2215" t="s">
        <v>121</v>
      </c>
      <c r="D2215" t="s">
        <v>41</v>
      </c>
      <c r="E2215" t="s">
        <v>42</v>
      </c>
      <c r="F2215" t="s">
        <v>7649</v>
      </c>
      <c r="G2215" t="s">
        <v>55</v>
      </c>
      <c r="H2215" t="s">
        <v>55</v>
      </c>
      <c r="I2215" t="s">
        <v>116</v>
      </c>
      <c r="J2215" t="s">
        <v>117</v>
      </c>
      <c r="K2215" t="s">
        <v>78</v>
      </c>
      <c r="L2215" t="s">
        <v>67</v>
      </c>
      <c r="M2215" t="s">
        <v>68</v>
      </c>
      <c r="N2215" t="s">
        <v>35</v>
      </c>
      <c r="O2215" t="s">
        <v>36</v>
      </c>
      <c r="P2215" t="s">
        <v>37</v>
      </c>
      <c r="Q2215" t="s">
        <v>347</v>
      </c>
      <c r="R2215">
        <v>246</v>
      </c>
      <c r="S2215">
        <v>134</v>
      </c>
      <c r="T2215">
        <v>88</v>
      </c>
      <c r="U2215">
        <v>24</v>
      </c>
      <c r="V2215" t="s">
        <v>2263</v>
      </c>
      <c r="W2215">
        <v>23337</v>
      </c>
      <c r="X2215" t="s">
        <v>1885</v>
      </c>
      <c r="Y2215">
        <v>21158</v>
      </c>
      <c r="Z2215">
        <v>560088</v>
      </c>
      <c r="AA2215">
        <v>52296</v>
      </c>
      <c r="AB2215" t="str">
        <f>(VLOOKUP(SalesData[[#This Row],[Month Number]],Reference!C$5:E$16,2,FALSE))</f>
        <v>Feb</v>
      </c>
      <c r="AC2215">
        <f>MONTH(SalesData[[#This Row],[Date]])</f>
        <v>2</v>
      </c>
      <c r="AD2215">
        <f>Reference!F$4</f>
        <v>2026</v>
      </c>
      <c r="AE2215" t="str">
        <f>IF(OR(SalesData[[#This Row],[Day]]="Saturday",SalesData[[#This Row],[Day]]="Sunday"),"Weekend","Weekday")</f>
        <v>Weekend</v>
      </c>
      <c r="AF2215" s="5">
        <f>IF(SalesData[[#This Row],[Contracts Offered]]=0,0,SalesData[[#This Row],[Contracts Signed]]/SalesData[[#This Row],[Contracts Offered]])</f>
        <v>0.27272727272727271</v>
      </c>
      <c r="AG2215" s="5">
        <f>IF(SalesData[[#This Row],[Customers Visited]]=0,0,SalesData[[#This Row],[Test Drives]]/SalesData[[#This Row],[Customers Visited]])</f>
        <v>0.54471544715447151</v>
      </c>
      <c r="AH2215" s="5">
        <f>IF(SalesData[[#This Row],[Customers Visited]]=0,0,SalesData[[#This Row],[Contracts Signed]]/SalesData[[#This Row],[Customers Visited]])</f>
        <v>9.7560975609756101E-2</v>
      </c>
      <c r="AI2215" s="6">
        <f>IF(SalesData[[#This Row],[Contracts Signed]]=0,0,SalesData[[#This Row],[Profit(€)]]/SalesData[[#This Row],[Contracts Signed]])</f>
        <v>2179</v>
      </c>
      <c r="AJ2215" s="5" t="str">
        <f>TRIM(CLEAN(SalesData[[#This Row],[Retailer]]))</f>
        <v>Autohaus Berlin</v>
      </c>
    </row>
    <row r="2216" spans="1:36" ht="14.25" hidden="1" x14ac:dyDescent="0.2">
      <c r="A2216" t="s">
        <v>3247</v>
      </c>
      <c r="B2216" s="1">
        <v>46078</v>
      </c>
      <c r="C2216" t="s">
        <v>53</v>
      </c>
      <c r="D2216" t="s">
        <v>82</v>
      </c>
      <c r="E2216" t="s">
        <v>26</v>
      </c>
      <c r="F2216" t="s">
        <v>7649</v>
      </c>
      <c r="G2216" t="s">
        <v>55</v>
      </c>
      <c r="H2216" t="s">
        <v>55</v>
      </c>
      <c r="I2216" t="s">
        <v>64</v>
      </c>
      <c r="J2216" t="s">
        <v>111</v>
      </c>
      <c r="K2216" t="s">
        <v>66</v>
      </c>
      <c r="L2216" t="s">
        <v>46</v>
      </c>
      <c r="M2216" t="s">
        <v>68</v>
      </c>
      <c r="N2216" t="s">
        <v>69</v>
      </c>
      <c r="O2216" t="s">
        <v>70</v>
      </c>
      <c r="P2216" t="s">
        <v>71</v>
      </c>
      <c r="Q2216" t="s">
        <v>347</v>
      </c>
      <c r="R2216">
        <v>243</v>
      </c>
      <c r="S2216">
        <v>119</v>
      </c>
      <c r="T2216">
        <v>85</v>
      </c>
      <c r="U2216">
        <v>34</v>
      </c>
      <c r="V2216" t="s">
        <v>6357</v>
      </c>
      <c r="W2216">
        <v>64187</v>
      </c>
      <c r="X2216" t="s">
        <v>7069</v>
      </c>
      <c r="Y2216">
        <v>46583</v>
      </c>
      <c r="Z2216">
        <v>2182358</v>
      </c>
      <c r="AA2216">
        <v>598536</v>
      </c>
      <c r="AB2216" t="str">
        <f>(VLOOKUP(SalesData[[#This Row],[Month Number]],Reference!C$5:E$16,2,FALSE))</f>
        <v>Feb</v>
      </c>
      <c r="AC2216">
        <f>MONTH(SalesData[[#This Row],[Date]])</f>
        <v>2</v>
      </c>
      <c r="AD2216">
        <f>Reference!F$4</f>
        <v>2026</v>
      </c>
      <c r="AE2216" t="str">
        <f>IF(OR(SalesData[[#This Row],[Day]]="Saturday",SalesData[[#This Row],[Day]]="Sunday"),"Weekend","Weekday")</f>
        <v>Weekday</v>
      </c>
      <c r="AF2216" s="5">
        <f>IF(SalesData[[#This Row],[Contracts Offered]]=0,0,SalesData[[#This Row],[Contracts Signed]]/SalesData[[#This Row],[Contracts Offered]])</f>
        <v>0.4</v>
      </c>
      <c r="AG2216" s="5">
        <f>IF(SalesData[[#This Row],[Customers Visited]]=0,0,SalesData[[#This Row],[Test Drives]]/SalesData[[#This Row],[Customers Visited]])</f>
        <v>0.48971193415637859</v>
      </c>
      <c r="AH2216" s="5">
        <f>IF(SalesData[[#This Row],[Customers Visited]]=0,0,SalesData[[#This Row],[Contracts Signed]]/SalesData[[#This Row],[Customers Visited]])</f>
        <v>0.13991769547325103</v>
      </c>
      <c r="AI2216" s="6">
        <f>IF(SalesData[[#This Row],[Contracts Signed]]=0,0,SalesData[[#This Row],[Profit(€)]]/SalesData[[#This Row],[Contracts Signed]])</f>
        <v>17604</v>
      </c>
      <c r="AJ2216" s="5" t="str">
        <f>TRIM(CLEAN(SalesData[[#This Row],[Retailer]]))</f>
        <v>Autohaus Berlin</v>
      </c>
    </row>
    <row r="2217" spans="1:36" ht="14.25" hidden="1" x14ac:dyDescent="0.2">
      <c r="A2217" t="s">
        <v>3248</v>
      </c>
      <c r="B2217" s="1">
        <v>46072</v>
      </c>
      <c r="C2217" t="s">
        <v>62</v>
      </c>
      <c r="D2217" t="s">
        <v>100</v>
      </c>
      <c r="E2217" t="s">
        <v>26</v>
      </c>
      <c r="F2217" t="s">
        <v>43</v>
      </c>
      <c r="G2217" t="s">
        <v>44</v>
      </c>
      <c r="H2217" t="s">
        <v>45</v>
      </c>
      <c r="I2217" t="s">
        <v>116</v>
      </c>
      <c r="J2217" t="s">
        <v>203</v>
      </c>
      <c r="K2217" t="s">
        <v>66</v>
      </c>
      <c r="L2217" t="s">
        <v>67</v>
      </c>
      <c r="M2217" t="s">
        <v>87</v>
      </c>
      <c r="N2217" t="s">
        <v>35</v>
      </c>
      <c r="O2217" t="s">
        <v>70</v>
      </c>
      <c r="P2217" t="s">
        <v>58</v>
      </c>
      <c r="Q2217" t="s">
        <v>158</v>
      </c>
      <c r="R2217">
        <v>337</v>
      </c>
      <c r="S2217">
        <v>136</v>
      </c>
      <c r="T2217">
        <v>84</v>
      </c>
      <c r="U2217">
        <v>23</v>
      </c>
      <c r="V2217" t="s">
        <v>6367</v>
      </c>
      <c r="W2217">
        <v>20881</v>
      </c>
      <c r="X2217" t="s">
        <v>441</v>
      </c>
      <c r="Y2217">
        <v>19295</v>
      </c>
      <c r="Z2217">
        <v>480263</v>
      </c>
      <c r="AA2217">
        <v>36478</v>
      </c>
      <c r="AB2217" t="str">
        <f>(VLOOKUP(SalesData[[#This Row],[Month Number]],Reference!C$5:E$16,2,FALSE))</f>
        <v>Feb</v>
      </c>
      <c r="AC2217">
        <f>MONTH(SalesData[[#This Row],[Date]])</f>
        <v>2</v>
      </c>
      <c r="AD2217">
        <f>Reference!F$4</f>
        <v>2026</v>
      </c>
      <c r="AE2217" t="str">
        <f>IF(OR(SalesData[[#This Row],[Day]]="Saturday",SalesData[[#This Row],[Day]]="Sunday"),"Weekend","Weekday")</f>
        <v>Weekday</v>
      </c>
      <c r="AF2217" s="5">
        <f>IF(SalesData[[#This Row],[Contracts Offered]]=0,0,SalesData[[#This Row],[Contracts Signed]]/SalesData[[#This Row],[Contracts Offered]])</f>
        <v>0.27380952380952384</v>
      </c>
      <c r="AG2217" s="5">
        <f>IF(SalesData[[#This Row],[Customers Visited]]=0,0,SalesData[[#This Row],[Test Drives]]/SalesData[[#This Row],[Customers Visited]])</f>
        <v>0.40356083086053413</v>
      </c>
      <c r="AH2217" s="5">
        <f>IF(SalesData[[#This Row],[Customers Visited]]=0,0,SalesData[[#This Row],[Contracts Signed]]/SalesData[[#This Row],[Customers Visited]])</f>
        <v>6.8249258160237386E-2</v>
      </c>
      <c r="AI2217" s="6">
        <f>IF(SalesData[[#This Row],[Contracts Signed]]=0,0,SalesData[[#This Row],[Profit(€)]]/SalesData[[#This Row],[Contracts Signed]])</f>
        <v>1586</v>
      </c>
      <c r="AJ2217" s="5" t="str">
        <f>TRIM(CLEAN(SalesData[[#This Row],[Retailer]]))</f>
        <v>Saxon Wheels</v>
      </c>
    </row>
    <row r="2218" spans="1:36" ht="14.25" hidden="1" x14ac:dyDescent="0.2">
      <c r="A2218" t="s">
        <v>3249</v>
      </c>
      <c r="B2218" s="1">
        <v>46068</v>
      </c>
      <c r="C2218" t="s">
        <v>62</v>
      </c>
      <c r="D2218" t="s">
        <v>41</v>
      </c>
      <c r="E2218" t="s">
        <v>42</v>
      </c>
      <c r="F2218" t="s">
        <v>127</v>
      </c>
      <c r="G2218" t="s">
        <v>128</v>
      </c>
      <c r="H2218" t="s">
        <v>103</v>
      </c>
      <c r="I2218" t="s">
        <v>116</v>
      </c>
      <c r="J2218" t="s">
        <v>117</v>
      </c>
      <c r="K2218" t="s">
        <v>78</v>
      </c>
      <c r="L2218" t="s">
        <v>67</v>
      </c>
      <c r="M2218" t="s">
        <v>34</v>
      </c>
      <c r="N2218" t="s">
        <v>35</v>
      </c>
      <c r="O2218" t="s">
        <v>36</v>
      </c>
      <c r="P2218" t="s">
        <v>37</v>
      </c>
      <c r="Q2218" t="s">
        <v>240</v>
      </c>
      <c r="R2218">
        <v>430</v>
      </c>
      <c r="S2218">
        <v>169</v>
      </c>
      <c r="T2218">
        <v>114</v>
      </c>
      <c r="U2218">
        <v>23</v>
      </c>
      <c r="V2218" t="s">
        <v>2357</v>
      </c>
      <c r="W2218">
        <v>25209</v>
      </c>
      <c r="X2218" t="s">
        <v>1690</v>
      </c>
      <c r="Y2218">
        <v>22687</v>
      </c>
      <c r="Z2218">
        <v>579807</v>
      </c>
      <c r="AA2218">
        <v>58006</v>
      </c>
      <c r="AB2218" t="str">
        <f>(VLOOKUP(SalesData[[#This Row],[Month Number]],Reference!C$5:E$16,2,FALSE))</f>
        <v>Feb</v>
      </c>
      <c r="AC2218">
        <f>MONTH(SalesData[[#This Row],[Date]])</f>
        <v>2</v>
      </c>
      <c r="AD2218">
        <f>Reference!F$4</f>
        <v>2026</v>
      </c>
      <c r="AE2218" t="str">
        <f>IF(OR(SalesData[[#This Row],[Day]]="Saturday",SalesData[[#This Row],[Day]]="Sunday"),"Weekend","Weekday")</f>
        <v>Weekend</v>
      </c>
      <c r="AF2218" s="5">
        <f>IF(SalesData[[#This Row],[Contracts Offered]]=0,0,SalesData[[#This Row],[Contracts Signed]]/SalesData[[#This Row],[Contracts Offered]])</f>
        <v>0.20175438596491227</v>
      </c>
      <c r="AG2218" s="5">
        <f>IF(SalesData[[#This Row],[Customers Visited]]=0,0,SalesData[[#This Row],[Test Drives]]/SalesData[[#This Row],[Customers Visited]])</f>
        <v>0.39302325581395348</v>
      </c>
      <c r="AH2218" s="5">
        <f>IF(SalesData[[#This Row],[Customers Visited]]=0,0,SalesData[[#This Row],[Contracts Signed]]/SalesData[[#This Row],[Customers Visited]])</f>
        <v>5.3488372093023255E-2</v>
      </c>
      <c r="AI2218" s="6">
        <f>IF(SalesData[[#This Row],[Contracts Signed]]=0,0,SalesData[[#This Row],[Profit(€)]]/SalesData[[#This Row],[Contracts Signed]])</f>
        <v>2522</v>
      </c>
      <c r="AJ2218" s="5" t="str">
        <f>TRIM(CLEAN(SalesData[[#This Row],[Retailer]]))</f>
        <v>Rhein Auto Group</v>
      </c>
    </row>
    <row r="2219" spans="1:36" ht="14.25" hidden="1" x14ac:dyDescent="0.2">
      <c r="A2219" t="s">
        <v>3251</v>
      </c>
      <c r="B2219" s="1">
        <v>46064</v>
      </c>
      <c r="C2219" t="s">
        <v>121</v>
      </c>
      <c r="D2219" t="s">
        <v>82</v>
      </c>
      <c r="E2219" t="s">
        <v>26</v>
      </c>
      <c r="F2219" t="s">
        <v>27</v>
      </c>
      <c r="G2219" t="s">
        <v>28</v>
      </c>
      <c r="H2219" t="s">
        <v>29</v>
      </c>
      <c r="I2219" t="s">
        <v>116</v>
      </c>
      <c r="J2219" t="s">
        <v>117</v>
      </c>
      <c r="K2219" t="s">
        <v>66</v>
      </c>
      <c r="L2219" t="s">
        <v>67</v>
      </c>
      <c r="M2219" t="s">
        <v>34</v>
      </c>
      <c r="N2219" t="s">
        <v>69</v>
      </c>
      <c r="O2219" t="s">
        <v>70</v>
      </c>
      <c r="P2219" t="s">
        <v>71</v>
      </c>
      <c r="Q2219" t="s">
        <v>135</v>
      </c>
      <c r="R2219">
        <v>241</v>
      </c>
      <c r="S2219">
        <v>128</v>
      </c>
      <c r="T2219">
        <v>85</v>
      </c>
      <c r="U2219">
        <v>21</v>
      </c>
      <c r="V2219" t="s">
        <v>1741</v>
      </c>
      <c r="W2219">
        <v>20485</v>
      </c>
      <c r="X2219" t="s">
        <v>1276</v>
      </c>
      <c r="Y2219">
        <v>19046</v>
      </c>
      <c r="Z2219">
        <v>430185</v>
      </c>
      <c r="AA2219">
        <v>30219</v>
      </c>
      <c r="AB2219" t="str">
        <f>(VLOOKUP(SalesData[[#This Row],[Month Number]],Reference!C$5:E$16,2,FALSE))</f>
        <v>Feb</v>
      </c>
      <c r="AC2219">
        <f>MONTH(SalesData[[#This Row],[Date]])</f>
        <v>2</v>
      </c>
      <c r="AD2219">
        <f>Reference!F$4</f>
        <v>2026</v>
      </c>
      <c r="AE2219" t="str">
        <f>IF(OR(SalesData[[#This Row],[Day]]="Saturday",SalesData[[#This Row],[Day]]="Sunday"),"Weekend","Weekday")</f>
        <v>Weekday</v>
      </c>
      <c r="AF2219" s="5">
        <f>IF(SalesData[[#This Row],[Contracts Offered]]=0,0,SalesData[[#This Row],[Contracts Signed]]/SalesData[[#This Row],[Contracts Offered]])</f>
        <v>0.24705882352941178</v>
      </c>
      <c r="AG2219" s="5">
        <f>IF(SalesData[[#This Row],[Customers Visited]]=0,0,SalesData[[#This Row],[Test Drives]]/SalesData[[#This Row],[Customers Visited]])</f>
        <v>0.53112033195020747</v>
      </c>
      <c r="AH2219" s="5">
        <f>IF(SalesData[[#This Row],[Customers Visited]]=0,0,SalesData[[#This Row],[Contracts Signed]]/SalesData[[#This Row],[Customers Visited]])</f>
        <v>8.7136929460580909E-2</v>
      </c>
      <c r="AI2219" s="6">
        <f>IF(SalesData[[#This Row],[Contracts Signed]]=0,0,SalesData[[#This Row],[Profit(€)]]/SalesData[[#This Row],[Contracts Signed]])</f>
        <v>1439</v>
      </c>
      <c r="AJ2219" s="5" t="str">
        <f>TRIM(CLEAN(SalesData[[#This Row],[Retailer]]))</f>
        <v>Main Auto Hub</v>
      </c>
    </row>
    <row r="2220" spans="1:36" ht="14.25" hidden="1" x14ac:dyDescent="0.2">
      <c r="A2220" t="s">
        <v>3252</v>
      </c>
      <c r="B2220" s="1">
        <v>46069</v>
      </c>
      <c r="C2220" t="s">
        <v>62</v>
      </c>
      <c r="D2220" t="s">
        <v>25</v>
      </c>
      <c r="E2220" t="s">
        <v>26</v>
      </c>
      <c r="F2220" t="s">
        <v>109</v>
      </c>
      <c r="G2220" t="s">
        <v>110</v>
      </c>
      <c r="H2220" t="s">
        <v>45</v>
      </c>
      <c r="I2220" t="s">
        <v>64</v>
      </c>
      <c r="J2220" t="s">
        <v>7029</v>
      </c>
      <c r="K2220" t="s">
        <v>91</v>
      </c>
      <c r="L2220" t="s">
        <v>33</v>
      </c>
      <c r="M2220" t="s">
        <v>87</v>
      </c>
      <c r="N2220" t="s">
        <v>35</v>
      </c>
      <c r="O2220" t="s">
        <v>70</v>
      </c>
      <c r="P2220" t="s">
        <v>37</v>
      </c>
      <c r="Q2220" t="s">
        <v>59</v>
      </c>
      <c r="R2220">
        <v>182</v>
      </c>
      <c r="S2220">
        <v>88</v>
      </c>
      <c r="T2220">
        <v>65</v>
      </c>
      <c r="U2220">
        <v>19</v>
      </c>
      <c r="V2220" t="s">
        <v>6981</v>
      </c>
      <c r="W2220">
        <v>54402</v>
      </c>
      <c r="X2220" t="s">
        <v>2787</v>
      </c>
      <c r="Y2220">
        <v>42374</v>
      </c>
      <c r="Z2220">
        <v>1033638</v>
      </c>
      <c r="AA2220">
        <v>228532</v>
      </c>
      <c r="AB2220" t="str">
        <f>(VLOOKUP(SalesData[[#This Row],[Month Number]],Reference!C$5:E$16,2,FALSE))</f>
        <v>Feb</v>
      </c>
      <c r="AC2220">
        <f>MONTH(SalesData[[#This Row],[Date]])</f>
        <v>2</v>
      </c>
      <c r="AD2220">
        <f>Reference!F$4</f>
        <v>2026</v>
      </c>
      <c r="AE2220" t="str">
        <f>IF(OR(SalesData[[#This Row],[Day]]="Saturday",SalesData[[#This Row],[Day]]="Sunday"),"Weekend","Weekday")</f>
        <v>Weekday</v>
      </c>
      <c r="AF2220" s="5">
        <f>IF(SalesData[[#This Row],[Contracts Offered]]=0,0,SalesData[[#This Row],[Contracts Signed]]/SalesData[[#This Row],[Contracts Offered]])</f>
        <v>0.29230769230769232</v>
      </c>
      <c r="AG2220" s="5">
        <f>IF(SalesData[[#This Row],[Customers Visited]]=0,0,SalesData[[#This Row],[Test Drives]]/SalesData[[#This Row],[Customers Visited]])</f>
        <v>0.48351648351648352</v>
      </c>
      <c r="AH2220" s="5">
        <f>IF(SalesData[[#This Row],[Customers Visited]]=0,0,SalesData[[#This Row],[Contracts Signed]]/SalesData[[#This Row],[Customers Visited]])</f>
        <v>0.1043956043956044</v>
      </c>
      <c r="AI2220" s="6">
        <f>IF(SalesData[[#This Row],[Contracts Signed]]=0,0,SalesData[[#This Row],[Profit(€)]]/SalesData[[#This Row],[Contracts Signed]])</f>
        <v>12028</v>
      </c>
      <c r="AJ2220" s="5" t="str">
        <f>TRIM(CLEAN(SalesData[[#This Row],[Retailer]]))</f>
        <v>Leipzig Mobility</v>
      </c>
    </row>
    <row r="2221" spans="1:36" ht="14.25" x14ac:dyDescent="0.2">
      <c r="A2221" t="s">
        <v>3253</v>
      </c>
      <c r="B2221" s="1">
        <v>46055</v>
      </c>
      <c r="C2221" t="s">
        <v>24</v>
      </c>
      <c r="D2221" t="s">
        <v>25</v>
      </c>
      <c r="E2221" t="s">
        <v>26</v>
      </c>
      <c r="F2221" t="s">
        <v>114</v>
      </c>
      <c r="G2221" t="s">
        <v>115</v>
      </c>
      <c r="H2221" t="s">
        <v>115</v>
      </c>
      <c r="I2221" t="s">
        <v>30</v>
      </c>
      <c r="J2221" t="s">
        <v>7075</v>
      </c>
      <c r="K2221" t="s">
        <v>78</v>
      </c>
      <c r="L2221" t="s">
        <v>33</v>
      </c>
      <c r="M2221" t="s">
        <v>68</v>
      </c>
      <c r="N2221" t="s">
        <v>35</v>
      </c>
      <c r="O2221" t="s">
        <v>70</v>
      </c>
      <c r="P2221" t="s">
        <v>37</v>
      </c>
      <c r="Q2221" t="s">
        <v>189</v>
      </c>
      <c r="R2221">
        <v>154</v>
      </c>
      <c r="S2221">
        <v>83</v>
      </c>
      <c r="T2221">
        <v>61</v>
      </c>
      <c r="U2221">
        <v>21</v>
      </c>
      <c r="V2221" t="s">
        <v>6706</v>
      </c>
      <c r="W2221">
        <v>66158</v>
      </c>
      <c r="X2221" t="s">
        <v>7238</v>
      </c>
      <c r="Y2221">
        <v>47651</v>
      </c>
      <c r="Z2221">
        <v>1389318</v>
      </c>
      <c r="AA2221">
        <v>388647</v>
      </c>
      <c r="AB2221" t="str">
        <f>(VLOOKUP(SalesData[[#This Row],[Month Number]],Reference!C$5:E$16,2,FALSE))</f>
        <v>Feb</v>
      </c>
      <c r="AC2221">
        <f>MONTH(SalesData[[#This Row],[Date]])</f>
        <v>2</v>
      </c>
      <c r="AD2221">
        <f>Reference!F$4</f>
        <v>2026</v>
      </c>
      <c r="AE2221" t="str">
        <f>IF(OR(SalesData[[#This Row],[Day]]="Saturday",SalesData[[#This Row],[Day]]="Sunday"),"Weekend","Weekday")</f>
        <v>Weekday</v>
      </c>
      <c r="AF2221" s="5">
        <f>IF(SalesData[[#This Row],[Contracts Offered]]=0,0,SalesData[[#This Row],[Contracts Signed]]/SalesData[[#This Row],[Contracts Offered]])</f>
        <v>0.34426229508196721</v>
      </c>
      <c r="AG2221" s="5">
        <f>IF(SalesData[[#This Row],[Customers Visited]]=0,0,SalesData[[#This Row],[Test Drives]]/SalesData[[#This Row],[Customers Visited]])</f>
        <v>0.53896103896103897</v>
      </c>
      <c r="AH2221" s="5">
        <f>IF(SalesData[[#This Row],[Customers Visited]]=0,0,SalesData[[#This Row],[Contracts Signed]]/SalesData[[#This Row],[Customers Visited]])</f>
        <v>0.13636363636363635</v>
      </c>
      <c r="AI2221" s="6">
        <f>IF(SalesData[[#This Row],[Contracts Signed]]=0,0,SalesData[[#This Row],[Profit(€)]]/SalesData[[#This Row],[Contracts Signed]])</f>
        <v>18507</v>
      </c>
      <c r="AJ2221" s="5" t="str">
        <f>TRIM(CLEAN(SalesData[[#This Row],[Retailer]]))</f>
        <v>Elbe Drive</v>
      </c>
    </row>
    <row r="2222" spans="1:36" ht="14.25" hidden="1" x14ac:dyDescent="0.2">
      <c r="A2222" t="s">
        <v>3254</v>
      </c>
      <c r="B2222" s="1">
        <v>46079</v>
      </c>
      <c r="C2222" t="s">
        <v>53</v>
      </c>
      <c r="D2222" t="s">
        <v>100</v>
      </c>
      <c r="E2222" t="s">
        <v>26</v>
      </c>
      <c r="F2222" t="s">
        <v>94</v>
      </c>
      <c r="G2222" t="s">
        <v>95</v>
      </c>
      <c r="H2222" t="s">
        <v>96</v>
      </c>
      <c r="I2222" t="s">
        <v>56</v>
      </c>
      <c r="J2222" t="s">
        <v>7028</v>
      </c>
      <c r="K2222" t="s">
        <v>78</v>
      </c>
      <c r="L2222" t="s">
        <v>46</v>
      </c>
      <c r="M2222" t="s">
        <v>68</v>
      </c>
      <c r="N2222" t="s">
        <v>48</v>
      </c>
      <c r="O2222" t="s">
        <v>70</v>
      </c>
      <c r="P2222" t="s">
        <v>49</v>
      </c>
      <c r="Q2222" t="s">
        <v>129</v>
      </c>
      <c r="R2222">
        <v>222</v>
      </c>
      <c r="S2222">
        <v>132</v>
      </c>
      <c r="T2222">
        <v>102</v>
      </c>
      <c r="U2222">
        <v>29</v>
      </c>
      <c r="V2222" t="s">
        <v>6540</v>
      </c>
      <c r="W2222">
        <v>44286</v>
      </c>
      <c r="X2222" t="s">
        <v>1903</v>
      </c>
      <c r="Y2222">
        <v>33922</v>
      </c>
      <c r="Z2222">
        <v>1284294</v>
      </c>
      <c r="AA2222">
        <v>300556</v>
      </c>
      <c r="AB2222" t="str">
        <f>(VLOOKUP(SalesData[[#This Row],[Month Number]],Reference!C$5:E$16,2,FALSE))</f>
        <v>Feb</v>
      </c>
      <c r="AC2222">
        <f>MONTH(SalesData[[#This Row],[Date]])</f>
        <v>2</v>
      </c>
      <c r="AD2222">
        <f>Reference!F$4</f>
        <v>2026</v>
      </c>
      <c r="AE2222" t="str">
        <f>IF(OR(SalesData[[#This Row],[Day]]="Saturday",SalesData[[#This Row],[Day]]="Sunday"),"Weekend","Weekday")</f>
        <v>Weekday</v>
      </c>
      <c r="AF2222" s="5">
        <f>IF(SalesData[[#This Row],[Contracts Offered]]=0,0,SalesData[[#This Row],[Contracts Signed]]/SalesData[[#This Row],[Contracts Offered]])</f>
        <v>0.28431372549019607</v>
      </c>
      <c r="AG2222" s="5">
        <f>IF(SalesData[[#This Row],[Customers Visited]]=0,0,SalesData[[#This Row],[Test Drives]]/SalesData[[#This Row],[Customers Visited]])</f>
        <v>0.59459459459459463</v>
      </c>
      <c r="AH2222" s="5">
        <f>IF(SalesData[[#This Row],[Customers Visited]]=0,0,SalesData[[#This Row],[Contracts Signed]]/SalesData[[#This Row],[Customers Visited]])</f>
        <v>0.13063063063063063</v>
      </c>
      <c r="AI2222" s="6">
        <f>IF(SalesData[[#This Row],[Contracts Signed]]=0,0,SalesData[[#This Row],[Profit(€)]]/SalesData[[#This Row],[Contracts Signed]])</f>
        <v>10364</v>
      </c>
      <c r="AJ2222" s="5" t="str">
        <f>TRIM(CLEAN(SalesData[[#This Row],[Retailer]]))</f>
        <v>Bavaria Motors</v>
      </c>
    </row>
    <row r="2223" spans="1:36" ht="14.25" hidden="1" x14ac:dyDescent="0.2">
      <c r="A2223" t="s">
        <v>3255</v>
      </c>
      <c r="B2223" s="1">
        <v>46061</v>
      </c>
      <c r="C2223" t="s">
        <v>121</v>
      </c>
      <c r="D2223" t="s">
        <v>41</v>
      </c>
      <c r="E2223" t="s">
        <v>42</v>
      </c>
      <c r="F2223" t="s">
        <v>127</v>
      </c>
      <c r="G2223" t="s">
        <v>128</v>
      </c>
      <c r="H2223" t="s">
        <v>103</v>
      </c>
      <c r="I2223" t="s">
        <v>116</v>
      </c>
      <c r="J2223" t="s">
        <v>203</v>
      </c>
      <c r="K2223" t="s">
        <v>91</v>
      </c>
      <c r="L2223" t="s">
        <v>67</v>
      </c>
      <c r="M2223" t="s">
        <v>87</v>
      </c>
      <c r="N2223" t="s">
        <v>35</v>
      </c>
      <c r="O2223" t="s">
        <v>70</v>
      </c>
      <c r="P2223" t="s">
        <v>71</v>
      </c>
      <c r="Q2223" t="s">
        <v>169</v>
      </c>
      <c r="R2223">
        <v>356</v>
      </c>
      <c r="S2223">
        <v>145</v>
      </c>
      <c r="T2223">
        <v>86</v>
      </c>
      <c r="U2223">
        <v>22</v>
      </c>
      <c r="V2223" t="s">
        <v>1235</v>
      </c>
      <c r="W2223">
        <v>24641</v>
      </c>
      <c r="X2223" t="s">
        <v>7172</v>
      </c>
      <c r="Y2223">
        <v>22729</v>
      </c>
      <c r="Z2223">
        <v>542102</v>
      </c>
      <c r="AA2223">
        <v>42064</v>
      </c>
      <c r="AB2223" t="str">
        <f>(VLOOKUP(SalesData[[#This Row],[Month Number]],Reference!C$5:E$16,2,FALSE))</f>
        <v>Feb</v>
      </c>
      <c r="AC2223">
        <f>MONTH(SalesData[[#This Row],[Date]])</f>
        <v>2</v>
      </c>
      <c r="AD2223">
        <f>Reference!F$4</f>
        <v>2026</v>
      </c>
      <c r="AE2223" t="str">
        <f>IF(OR(SalesData[[#This Row],[Day]]="Saturday",SalesData[[#This Row],[Day]]="Sunday"),"Weekend","Weekday")</f>
        <v>Weekend</v>
      </c>
      <c r="AF2223" s="5">
        <f>IF(SalesData[[#This Row],[Contracts Offered]]=0,0,SalesData[[#This Row],[Contracts Signed]]/SalesData[[#This Row],[Contracts Offered]])</f>
        <v>0.2558139534883721</v>
      </c>
      <c r="AG2223" s="5">
        <f>IF(SalesData[[#This Row],[Customers Visited]]=0,0,SalesData[[#This Row],[Test Drives]]/SalesData[[#This Row],[Customers Visited]])</f>
        <v>0.40730337078651685</v>
      </c>
      <c r="AH2223" s="5">
        <f>IF(SalesData[[#This Row],[Customers Visited]]=0,0,SalesData[[#This Row],[Contracts Signed]]/SalesData[[#This Row],[Customers Visited]])</f>
        <v>6.1797752808988762E-2</v>
      </c>
      <c r="AI2223" s="6">
        <f>IF(SalesData[[#This Row],[Contracts Signed]]=0,0,SalesData[[#This Row],[Profit(€)]]/SalesData[[#This Row],[Contracts Signed]])</f>
        <v>1912</v>
      </c>
      <c r="AJ2223" s="5" t="str">
        <f>TRIM(CLEAN(SalesData[[#This Row],[Retailer]]))</f>
        <v>Rhein Auto Group</v>
      </c>
    </row>
    <row r="2224" spans="1:36" ht="14.25" hidden="1" x14ac:dyDescent="0.2">
      <c r="A2224" t="s">
        <v>3256</v>
      </c>
      <c r="B2224" s="1">
        <v>46080</v>
      </c>
      <c r="C2224" t="s">
        <v>53</v>
      </c>
      <c r="D2224" t="s">
        <v>54</v>
      </c>
      <c r="E2224" t="s">
        <v>26</v>
      </c>
      <c r="F2224" t="s">
        <v>109</v>
      </c>
      <c r="G2224" t="s">
        <v>110</v>
      </c>
      <c r="H2224" t="s">
        <v>45</v>
      </c>
      <c r="I2224" t="s">
        <v>56</v>
      </c>
      <c r="J2224" t="s">
        <v>179</v>
      </c>
      <c r="K2224" t="s">
        <v>78</v>
      </c>
      <c r="L2224" t="s">
        <v>67</v>
      </c>
      <c r="M2224" t="s">
        <v>47</v>
      </c>
      <c r="N2224" t="s">
        <v>48</v>
      </c>
      <c r="O2224" t="s">
        <v>70</v>
      </c>
      <c r="P2224" t="s">
        <v>58</v>
      </c>
      <c r="Q2224" t="s">
        <v>347</v>
      </c>
      <c r="R2224">
        <v>228</v>
      </c>
      <c r="S2224">
        <v>137</v>
      </c>
      <c r="T2224">
        <v>95</v>
      </c>
      <c r="U2224">
        <v>33</v>
      </c>
      <c r="V2224" t="s">
        <v>6496</v>
      </c>
      <c r="W2224">
        <v>46771</v>
      </c>
      <c r="X2224" t="s">
        <v>7270</v>
      </c>
      <c r="Y2224">
        <v>38284</v>
      </c>
      <c r="Z2224">
        <v>1543443</v>
      </c>
      <c r="AA2224">
        <v>280071</v>
      </c>
      <c r="AB2224" t="str">
        <f>(VLOOKUP(SalesData[[#This Row],[Month Number]],Reference!C$5:E$16,2,FALSE))</f>
        <v>Feb</v>
      </c>
      <c r="AC2224">
        <f>MONTH(SalesData[[#This Row],[Date]])</f>
        <v>2</v>
      </c>
      <c r="AD2224">
        <f>Reference!F$4</f>
        <v>2026</v>
      </c>
      <c r="AE2224" t="str">
        <f>IF(OR(SalesData[[#This Row],[Day]]="Saturday",SalesData[[#This Row],[Day]]="Sunday"),"Weekend","Weekday")</f>
        <v>Weekday</v>
      </c>
      <c r="AF2224" s="5">
        <f>IF(SalesData[[#This Row],[Contracts Offered]]=0,0,SalesData[[#This Row],[Contracts Signed]]/SalesData[[#This Row],[Contracts Offered]])</f>
        <v>0.3473684210526316</v>
      </c>
      <c r="AG2224" s="5">
        <f>IF(SalesData[[#This Row],[Customers Visited]]=0,0,SalesData[[#This Row],[Test Drives]]/SalesData[[#This Row],[Customers Visited]])</f>
        <v>0.60087719298245612</v>
      </c>
      <c r="AH2224" s="5">
        <f>IF(SalesData[[#This Row],[Customers Visited]]=0,0,SalesData[[#This Row],[Contracts Signed]]/SalesData[[#This Row],[Customers Visited]])</f>
        <v>0.14473684210526316</v>
      </c>
      <c r="AI2224" s="6">
        <f>IF(SalesData[[#This Row],[Contracts Signed]]=0,0,SalesData[[#This Row],[Profit(€)]]/SalesData[[#This Row],[Contracts Signed]])</f>
        <v>8487</v>
      </c>
      <c r="AJ2224" s="5" t="str">
        <f>TRIM(CLEAN(SalesData[[#This Row],[Retailer]]))</f>
        <v>Leipzig Mobility</v>
      </c>
    </row>
    <row r="2225" spans="1:36" ht="14.25" hidden="1" x14ac:dyDescent="0.2">
      <c r="A2225" t="s">
        <v>3258</v>
      </c>
      <c r="B2225" s="1">
        <v>46058</v>
      </c>
      <c r="C2225" t="s">
        <v>24</v>
      </c>
      <c r="D2225" t="s">
        <v>100</v>
      </c>
      <c r="E2225" t="s">
        <v>26</v>
      </c>
      <c r="F2225" t="s">
        <v>7649</v>
      </c>
      <c r="G2225" t="s">
        <v>55</v>
      </c>
      <c r="H2225" t="s">
        <v>55</v>
      </c>
      <c r="I2225" t="s">
        <v>116</v>
      </c>
      <c r="J2225" t="s">
        <v>132</v>
      </c>
      <c r="K2225" t="s">
        <v>66</v>
      </c>
      <c r="L2225" t="s">
        <v>46</v>
      </c>
      <c r="M2225" t="s">
        <v>87</v>
      </c>
      <c r="N2225" t="s">
        <v>69</v>
      </c>
      <c r="O2225" t="s">
        <v>70</v>
      </c>
      <c r="P2225" t="s">
        <v>49</v>
      </c>
      <c r="Q2225" t="s">
        <v>59</v>
      </c>
      <c r="R2225">
        <v>351</v>
      </c>
      <c r="S2225">
        <v>149</v>
      </c>
      <c r="T2225">
        <v>92</v>
      </c>
      <c r="U2225">
        <v>25</v>
      </c>
      <c r="V2225" t="s">
        <v>5143</v>
      </c>
      <c r="W2225">
        <v>25090</v>
      </c>
      <c r="X2225" t="s">
        <v>7520</v>
      </c>
      <c r="Y2225">
        <v>22915</v>
      </c>
      <c r="Z2225">
        <v>627250</v>
      </c>
      <c r="AA2225">
        <v>54375</v>
      </c>
      <c r="AB2225" t="str">
        <f>(VLOOKUP(SalesData[[#This Row],[Month Number]],Reference!C$5:E$16,2,FALSE))</f>
        <v>Feb</v>
      </c>
      <c r="AC2225">
        <f>MONTH(SalesData[[#This Row],[Date]])</f>
        <v>2</v>
      </c>
      <c r="AD2225">
        <f>Reference!F$4</f>
        <v>2026</v>
      </c>
      <c r="AE2225" t="str">
        <f>IF(OR(SalesData[[#This Row],[Day]]="Saturday",SalesData[[#This Row],[Day]]="Sunday"),"Weekend","Weekday")</f>
        <v>Weekday</v>
      </c>
      <c r="AF2225" s="5">
        <f>IF(SalesData[[#This Row],[Contracts Offered]]=0,0,SalesData[[#This Row],[Contracts Signed]]/SalesData[[#This Row],[Contracts Offered]])</f>
        <v>0.27173913043478259</v>
      </c>
      <c r="AG2225" s="5">
        <f>IF(SalesData[[#This Row],[Customers Visited]]=0,0,SalesData[[#This Row],[Test Drives]]/SalesData[[#This Row],[Customers Visited]])</f>
        <v>0.42450142450142453</v>
      </c>
      <c r="AH2225" s="5">
        <f>IF(SalesData[[#This Row],[Customers Visited]]=0,0,SalesData[[#This Row],[Contracts Signed]]/SalesData[[#This Row],[Customers Visited]])</f>
        <v>7.1225071225071226E-2</v>
      </c>
      <c r="AI2225" s="6">
        <f>IF(SalesData[[#This Row],[Contracts Signed]]=0,0,SalesData[[#This Row],[Profit(€)]]/SalesData[[#This Row],[Contracts Signed]])</f>
        <v>2175</v>
      </c>
      <c r="AJ2225" s="5" t="str">
        <f>TRIM(CLEAN(SalesData[[#This Row],[Retailer]]))</f>
        <v>Autohaus Berlin</v>
      </c>
    </row>
    <row r="2226" spans="1:36" ht="14.25" hidden="1" x14ac:dyDescent="0.2">
      <c r="A2226" t="s">
        <v>3259</v>
      </c>
      <c r="B2226" s="1">
        <v>46057</v>
      </c>
      <c r="C2226" t="s">
        <v>24</v>
      </c>
      <c r="D2226" t="s">
        <v>82</v>
      </c>
      <c r="E2226" t="s">
        <v>26</v>
      </c>
      <c r="F2226" t="s">
        <v>43</v>
      </c>
      <c r="G2226" t="s">
        <v>44</v>
      </c>
      <c r="H2226" t="s">
        <v>45</v>
      </c>
      <c r="I2226" t="s">
        <v>116</v>
      </c>
      <c r="J2226" t="s">
        <v>117</v>
      </c>
      <c r="K2226" t="s">
        <v>66</v>
      </c>
      <c r="L2226" t="s">
        <v>67</v>
      </c>
      <c r="M2226" t="s">
        <v>68</v>
      </c>
      <c r="N2226" t="s">
        <v>48</v>
      </c>
      <c r="O2226" t="s">
        <v>70</v>
      </c>
      <c r="P2226" t="s">
        <v>71</v>
      </c>
      <c r="Q2226" t="s">
        <v>59</v>
      </c>
      <c r="R2226">
        <v>335</v>
      </c>
      <c r="S2226">
        <v>137</v>
      </c>
      <c r="T2226">
        <v>79</v>
      </c>
      <c r="U2226">
        <v>21</v>
      </c>
      <c r="V2226" t="s">
        <v>1290</v>
      </c>
      <c r="W2226">
        <v>19977</v>
      </c>
      <c r="X2226" t="s">
        <v>2033</v>
      </c>
      <c r="Y2226">
        <v>18221</v>
      </c>
      <c r="Z2226">
        <v>419517</v>
      </c>
      <c r="AA2226">
        <v>36876</v>
      </c>
      <c r="AB2226" t="str">
        <f>(VLOOKUP(SalesData[[#This Row],[Month Number]],Reference!C$5:E$16,2,FALSE))</f>
        <v>Feb</v>
      </c>
      <c r="AC2226">
        <f>MONTH(SalesData[[#This Row],[Date]])</f>
        <v>2</v>
      </c>
      <c r="AD2226">
        <f>Reference!F$4</f>
        <v>2026</v>
      </c>
      <c r="AE2226" t="str">
        <f>IF(OR(SalesData[[#This Row],[Day]]="Saturday",SalesData[[#This Row],[Day]]="Sunday"),"Weekend","Weekday")</f>
        <v>Weekday</v>
      </c>
      <c r="AF2226" s="5">
        <f>IF(SalesData[[#This Row],[Contracts Offered]]=0,0,SalesData[[#This Row],[Contracts Signed]]/SalesData[[#This Row],[Contracts Offered]])</f>
        <v>0.26582278481012656</v>
      </c>
      <c r="AG2226" s="5">
        <f>IF(SalesData[[#This Row],[Customers Visited]]=0,0,SalesData[[#This Row],[Test Drives]]/SalesData[[#This Row],[Customers Visited]])</f>
        <v>0.40895522388059702</v>
      </c>
      <c r="AH2226" s="5">
        <f>IF(SalesData[[#This Row],[Customers Visited]]=0,0,SalesData[[#This Row],[Contracts Signed]]/SalesData[[#This Row],[Customers Visited]])</f>
        <v>6.2686567164179099E-2</v>
      </c>
      <c r="AI2226" s="6">
        <f>IF(SalesData[[#This Row],[Contracts Signed]]=0,0,SalesData[[#This Row],[Profit(€)]]/SalesData[[#This Row],[Contracts Signed]])</f>
        <v>1756</v>
      </c>
      <c r="AJ2226" s="5" t="str">
        <f>TRIM(CLEAN(SalesData[[#This Row],[Retailer]]))</f>
        <v>Saxon Wheels</v>
      </c>
    </row>
    <row r="2227" spans="1:36" ht="14.25" hidden="1" x14ac:dyDescent="0.2">
      <c r="A2227" t="s">
        <v>3260</v>
      </c>
      <c r="B2227" s="1">
        <v>46071</v>
      </c>
      <c r="C2227" t="s">
        <v>62</v>
      </c>
      <c r="D2227" t="s">
        <v>82</v>
      </c>
      <c r="E2227" t="s">
        <v>26</v>
      </c>
      <c r="F2227" t="s">
        <v>7649</v>
      </c>
      <c r="G2227" t="s">
        <v>55</v>
      </c>
      <c r="H2227" t="s">
        <v>55</v>
      </c>
      <c r="I2227" t="s">
        <v>104</v>
      </c>
      <c r="J2227" t="s">
        <v>7061</v>
      </c>
      <c r="K2227" t="s">
        <v>32</v>
      </c>
      <c r="L2227" t="s">
        <v>46</v>
      </c>
      <c r="M2227" t="s">
        <v>68</v>
      </c>
      <c r="N2227" t="s">
        <v>35</v>
      </c>
      <c r="O2227" t="s">
        <v>36</v>
      </c>
      <c r="P2227" t="s">
        <v>58</v>
      </c>
      <c r="Q2227" t="s">
        <v>347</v>
      </c>
      <c r="R2227">
        <v>421</v>
      </c>
      <c r="S2227">
        <v>207</v>
      </c>
      <c r="T2227">
        <v>144</v>
      </c>
      <c r="U2227">
        <v>47</v>
      </c>
      <c r="V2227" t="s">
        <v>6948</v>
      </c>
      <c r="W2227">
        <v>28630</v>
      </c>
      <c r="X2227" t="s">
        <v>4565</v>
      </c>
      <c r="Y2227">
        <v>25753</v>
      </c>
      <c r="Z2227">
        <v>1345610</v>
      </c>
      <c r="AA2227">
        <v>135219</v>
      </c>
      <c r="AB2227" t="str">
        <f>(VLOOKUP(SalesData[[#This Row],[Month Number]],Reference!C$5:E$16,2,FALSE))</f>
        <v>Feb</v>
      </c>
      <c r="AC2227">
        <f>MONTH(SalesData[[#This Row],[Date]])</f>
        <v>2</v>
      </c>
      <c r="AD2227">
        <f>Reference!F$4</f>
        <v>2026</v>
      </c>
      <c r="AE2227" t="str">
        <f>IF(OR(SalesData[[#This Row],[Day]]="Saturday",SalesData[[#This Row],[Day]]="Sunday"),"Weekend","Weekday")</f>
        <v>Weekday</v>
      </c>
      <c r="AF2227" s="5">
        <f>IF(SalesData[[#This Row],[Contracts Offered]]=0,0,SalesData[[#This Row],[Contracts Signed]]/SalesData[[#This Row],[Contracts Offered]])</f>
        <v>0.3263888888888889</v>
      </c>
      <c r="AG2227" s="5">
        <f>IF(SalesData[[#This Row],[Customers Visited]]=0,0,SalesData[[#This Row],[Test Drives]]/SalesData[[#This Row],[Customers Visited]])</f>
        <v>0.49168646080760092</v>
      </c>
      <c r="AH2227" s="5">
        <f>IF(SalesData[[#This Row],[Customers Visited]]=0,0,SalesData[[#This Row],[Contracts Signed]]/SalesData[[#This Row],[Customers Visited]])</f>
        <v>0.11163895486935867</v>
      </c>
      <c r="AI2227" s="6">
        <f>IF(SalesData[[#This Row],[Contracts Signed]]=0,0,SalesData[[#This Row],[Profit(€)]]/SalesData[[#This Row],[Contracts Signed]])</f>
        <v>2877</v>
      </c>
      <c r="AJ2227" s="5" t="str">
        <f>TRIM(CLEAN(SalesData[[#This Row],[Retailer]]))</f>
        <v>Autohaus Berlin</v>
      </c>
    </row>
    <row r="2228" spans="1:36" ht="14.25" x14ac:dyDescent="0.2">
      <c r="A2228" t="s">
        <v>3262</v>
      </c>
      <c r="B2228" s="1">
        <v>46079</v>
      </c>
      <c r="C2228" t="s">
        <v>53</v>
      </c>
      <c r="D2228" t="s">
        <v>100</v>
      </c>
      <c r="E2228" t="s">
        <v>26</v>
      </c>
      <c r="F2228" t="s">
        <v>94</v>
      </c>
      <c r="G2228" t="s">
        <v>95</v>
      </c>
      <c r="H2228" t="s">
        <v>96</v>
      </c>
      <c r="I2228" t="s">
        <v>30</v>
      </c>
      <c r="J2228" t="s">
        <v>166</v>
      </c>
      <c r="K2228" t="s">
        <v>91</v>
      </c>
      <c r="L2228" t="s">
        <v>46</v>
      </c>
      <c r="M2228" t="s">
        <v>47</v>
      </c>
      <c r="N2228" t="s">
        <v>35</v>
      </c>
      <c r="O2228" t="s">
        <v>70</v>
      </c>
      <c r="P2228" t="s">
        <v>49</v>
      </c>
      <c r="Q2228" t="s">
        <v>158</v>
      </c>
      <c r="R2228">
        <v>172</v>
      </c>
      <c r="S2228">
        <v>86</v>
      </c>
      <c r="T2228">
        <v>66</v>
      </c>
      <c r="U2228">
        <v>24</v>
      </c>
      <c r="V2228" t="s">
        <v>6513</v>
      </c>
      <c r="W2228">
        <v>52435</v>
      </c>
      <c r="X2228" t="s">
        <v>504</v>
      </c>
      <c r="Y2228">
        <v>39092</v>
      </c>
      <c r="Z2228">
        <v>1258440</v>
      </c>
      <c r="AA2228">
        <v>320232</v>
      </c>
      <c r="AB2228" t="str">
        <f>(VLOOKUP(SalesData[[#This Row],[Month Number]],Reference!C$5:E$16,2,FALSE))</f>
        <v>Feb</v>
      </c>
      <c r="AC2228">
        <f>MONTH(SalesData[[#This Row],[Date]])</f>
        <v>2</v>
      </c>
      <c r="AD2228">
        <f>Reference!F$4</f>
        <v>2026</v>
      </c>
      <c r="AE2228" t="str">
        <f>IF(OR(SalesData[[#This Row],[Day]]="Saturday",SalesData[[#This Row],[Day]]="Sunday"),"Weekend","Weekday")</f>
        <v>Weekday</v>
      </c>
      <c r="AF2228" s="5">
        <f>IF(SalesData[[#This Row],[Contracts Offered]]=0,0,SalesData[[#This Row],[Contracts Signed]]/SalesData[[#This Row],[Contracts Offered]])</f>
        <v>0.36363636363636365</v>
      </c>
      <c r="AG2228" s="5">
        <f>IF(SalesData[[#This Row],[Customers Visited]]=0,0,SalesData[[#This Row],[Test Drives]]/SalesData[[#This Row],[Customers Visited]])</f>
        <v>0.5</v>
      </c>
      <c r="AH2228" s="5">
        <f>IF(SalesData[[#This Row],[Customers Visited]]=0,0,SalesData[[#This Row],[Contracts Signed]]/SalesData[[#This Row],[Customers Visited]])</f>
        <v>0.13953488372093023</v>
      </c>
      <c r="AI2228" s="6">
        <f>IF(SalesData[[#This Row],[Contracts Signed]]=0,0,SalesData[[#This Row],[Profit(€)]]/SalesData[[#This Row],[Contracts Signed]])</f>
        <v>13343</v>
      </c>
      <c r="AJ2228" s="5" t="str">
        <f>TRIM(CLEAN(SalesData[[#This Row],[Retailer]]))</f>
        <v>Bavaria Motors</v>
      </c>
    </row>
    <row r="2229" spans="1:36" ht="14.25" hidden="1" x14ac:dyDescent="0.2">
      <c r="A2229" t="s">
        <v>3263</v>
      </c>
      <c r="B2229" s="1">
        <v>46075</v>
      </c>
      <c r="C2229" t="s">
        <v>53</v>
      </c>
      <c r="D2229" t="s">
        <v>41</v>
      </c>
      <c r="E2229" t="s">
        <v>42</v>
      </c>
      <c r="F2229" t="s">
        <v>101</v>
      </c>
      <c r="G2229" t="s">
        <v>102</v>
      </c>
      <c r="H2229" t="s">
        <v>103</v>
      </c>
      <c r="I2229" t="s">
        <v>116</v>
      </c>
      <c r="J2229" t="s">
        <v>117</v>
      </c>
      <c r="K2229" t="s">
        <v>78</v>
      </c>
      <c r="L2229" t="s">
        <v>67</v>
      </c>
      <c r="M2229" t="s">
        <v>47</v>
      </c>
      <c r="N2229" t="s">
        <v>69</v>
      </c>
      <c r="O2229" t="s">
        <v>36</v>
      </c>
      <c r="P2229" t="s">
        <v>37</v>
      </c>
      <c r="Q2229" t="s">
        <v>158</v>
      </c>
      <c r="R2229">
        <v>297</v>
      </c>
      <c r="S2229">
        <v>161</v>
      </c>
      <c r="T2229">
        <v>100</v>
      </c>
      <c r="U2229">
        <v>24</v>
      </c>
      <c r="V2229" t="s">
        <v>2563</v>
      </c>
      <c r="W2229">
        <v>22715</v>
      </c>
      <c r="X2229" t="s">
        <v>4748</v>
      </c>
      <c r="Y2229">
        <v>20326</v>
      </c>
      <c r="Z2229">
        <v>545160</v>
      </c>
      <c r="AA2229">
        <v>57336</v>
      </c>
      <c r="AB2229" t="str">
        <f>(VLOOKUP(SalesData[[#This Row],[Month Number]],Reference!C$5:E$16,2,FALSE))</f>
        <v>Feb</v>
      </c>
      <c r="AC2229">
        <f>MONTH(SalesData[[#This Row],[Date]])</f>
        <v>2</v>
      </c>
      <c r="AD2229">
        <f>Reference!F$4</f>
        <v>2026</v>
      </c>
      <c r="AE2229" t="str">
        <f>IF(OR(SalesData[[#This Row],[Day]]="Saturday",SalesData[[#This Row],[Day]]="Sunday"),"Weekend","Weekday")</f>
        <v>Weekend</v>
      </c>
      <c r="AF2229" s="5">
        <f>IF(SalesData[[#This Row],[Contracts Offered]]=0,0,SalesData[[#This Row],[Contracts Signed]]/SalesData[[#This Row],[Contracts Offered]])</f>
        <v>0.24</v>
      </c>
      <c r="AG2229" s="5">
        <f>IF(SalesData[[#This Row],[Customers Visited]]=0,0,SalesData[[#This Row],[Test Drives]]/SalesData[[#This Row],[Customers Visited]])</f>
        <v>0.54208754208754206</v>
      </c>
      <c r="AH2229" s="5">
        <f>IF(SalesData[[#This Row],[Customers Visited]]=0,0,SalesData[[#This Row],[Contracts Signed]]/SalesData[[#This Row],[Customers Visited]])</f>
        <v>8.0808080808080815E-2</v>
      </c>
      <c r="AI2229" s="6">
        <f>IF(SalesData[[#This Row],[Contracts Signed]]=0,0,SalesData[[#This Row],[Profit(€)]]/SalesData[[#This Row],[Contracts Signed]])</f>
        <v>2389</v>
      </c>
      <c r="AJ2229" s="5" t="str">
        <f>TRIM(CLEAN(SalesData[[#This Row],[Retailer]]))</f>
        <v>Ruhr Auto Plaza</v>
      </c>
    </row>
    <row r="2230" spans="1:36" ht="14.25" x14ac:dyDescent="0.2">
      <c r="A2230" t="s">
        <v>3265</v>
      </c>
      <c r="B2230" s="1">
        <v>46065</v>
      </c>
      <c r="C2230" t="s">
        <v>121</v>
      </c>
      <c r="D2230" t="s">
        <v>100</v>
      </c>
      <c r="E2230" t="s">
        <v>26</v>
      </c>
      <c r="F2230" t="s">
        <v>109</v>
      </c>
      <c r="G2230" t="s">
        <v>110</v>
      </c>
      <c r="H2230" t="s">
        <v>45</v>
      </c>
      <c r="I2230" t="s">
        <v>30</v>
      </c>
      <c r="J2230" t="s">
        <v>188</v>
      </c>
      <c r="K2230" t="s">
        <v>32</v>
      </c>
      <c r="L2230" t="s">
        <v>33</v>
      </c>
      <c r="M2230" t="s">
        <v>87</v>
      </c>
      <c r="N2230" t="s">
        <v>69</v>
      </c>
      <c r="O2230" t="s">
        <v>70</v>
      </c>
      <c r="P2230" t="s">
        <v>71</v>
      </c>
      <c r="Q2230" t="s">
        <v>240</v>
      </c>
      <c r="R2230">
        <v>167</v>
      </c>
      <c r="S2230">
        <v>99</v>
      </c>
      <c r="T2230">
        <v>73</v>
      </c>
      <c r="U2230">
        <v>29</v>
      </c>
      <c r="V2230" t="s">
        <v>6582</v>
      </c>
      <c r="W2230">
        <v>63455</v>
      </c>
      <c r="X2230" t="s">
        <v>7041</v>
      </c>
      <c r="Y2230">
        <v>46741</v>
      </c>
      <c r="Z2230">
        <v>1840195</v>
      </c>
      <c r="AA2230">
        <v>484706</v>
      </c>
      <c r="AB2230" t="str">
        <f>(VLOOKUP(SalesData[[#This Row],[Month Number]],Reference!C$5:E$16,2,FALSE))</f>
        <v>Feb</v>
      </c>
      <c r="AC2230">
        <f>MONTH(SalesData[[#This Row],[Date]])</f>
        <v>2</v>
      </c>
      <c r="AD2230">
        <f>Reference!F$4</f>
        <v>2026</v>
      </c>
      <c r="AE2230" t="str">
        <f>IF(OR(SalesData[[#This Row],[Day]]="Saturday",SalesData[[#This Row],[Day]]="Sunday"),"Weekend","Weekday")</f>
        <v>Weekday</v>
      </c>
      <c r="AF2230" s="5">
        <f>IF(SalesData[[#This Row],[Contracts Offered]]=0,0,SalesData[[#This Row],[Contracts Signed]]/SalesData[[#This Row],[Contracts Offered]])</f>
        <v>0.39726027397260272</v>
      </c>
      <c r="AG2230" s="5">
        <f>IF(SalesData[[#This Row],[Customers Visited]]=0,0,SalesData[[#This Row],[Test Drives]]/SalesData[[#This Row],[Customers Visited]])</f>
        <v>0.59281437125748504</v>
      </c>
      <c r="AH2230" s="5">
        <f>IF(SalesData[[#This Row],[Customers Visited]]=0,0,SalesData[[#This Row],[Contracts Signed]]/SalesData[[#This Row],[Customers Visited]])</f>
        <v>0.17365269461077845</v>
      </c>
      <c r="AI2230" s="6">
        <f>IF(SalesData[[#This Row],[Contracts Signed]]=0,0,SalesData[[#This Row],[Profit(€)]]/SalesData[[#This Row],[Contracts Signed]])</f>
        <v>16714</v>
      </c>
      <c r="AJ2230" s="5" t="str">
        <f>TRIM(CLEAN(SalesData[[#This Row],[Retailer]]))</f>
        <v>Leipzig Mobility</v>
      </c>
    </row>
    <row r="2231" spans="1:36" ht="14.25" x14ac:dyDescent="0.2">
      <c r="A2231" t="s">
        <v>3266</v>
      </c>
      <c r="B2231" s="1">
        <v>46072</v>
      </c>
      <c r="C2231" t="s">
        <v>62</v>
      </c>
      <c r="D2231" t="s">
        <v>100</v>
      </c>
      <c r="E2231" t="s">
        <v>26</v>
      </c>
      <c r="F2231" t="s">
        <v>101</v>
      </c>
      <c r="G2231" t="s">
        <v>102</v>
      </c>
      <c r="H2231" t="s">
        <v>103</v>
      </c>
      <c r="I2231" t="s">
        <v>30</v>
      </c>
      <c r="J2231" t="s">
        <v>7075</v>
      </c>
      <c r="K2231" t="s">
        <v>32</v>
      </c>
      <c r="L2231" t="s">
        <v>33</v>
      </c>
      <c r="M2231" t="s">
        <v>87</v>
      </c>
      <c r="N2231" t="s">
        <v>48</v>
      </c>
      <c r="O2231" t="s">
        <v>36</v>
      </c>
      <c r="P2231" t="s">
        <v>58</v>
      </c>
      <c r="Q2231" t="s">
        <v>122</v>
      </c>
      <c r="R2231">
        <v>258</v>
      </c>
      <c r="S2231">
        <v>121</v>
      </c>
      <c r="T2231">
        <v>97</v>
      </c>
      <c r="U2231">
        <v>34</v>
      </c>
      <c r="V2231" t="s">
        <v>6414</v>
      </c>
      <c r="W2231">
        <v>51903</v>
      </c>
      <c r="X2231" t="s">
        <v>2261</v>
      </c>
      <c r="Y2231">
        <v>40384</v>
      </c>
      <c r="Z2231">
        <v>1764702</v>
      </c>
      <c r="AA2231">
        <v>391646</v>
      </c>
      <c r="AB2231" t="str">
        <f>(VLOOKUP(SalesData[[#This Row],[Month Number]],Reference!C$5:E$16,2,FALSE))</f>
        <v>Feb</v>
      </c>
      <c r="AC2231">
        <f>MONTH(SalesData[[#This Row],[Date]])</f>
        <v>2</v>
      </c>
      <c r="AD2231">
        <f>Reference!F$4</f>
        <v>2026</v>
      </c>
      <c r="AE2231" t="str">
        <f>IF(OR(SalesData[[#This Row],[Day]]="Saturday",SalesData[[#This Row],[Day]]="Sunday"),"Weekend","Weekday")</f>
        <v>Weekday</v>
      </c>
      <c r="AF2231" s="5">
        <f>IF(SalesData[[#This Row],[Contracts Offered]]=0,0,SalesData[[#This Row],[Contracts Signed]]/SalesData[[#This Row],[Contracts Offered]])</f>
        <v>0.35051546391752575</v>
      </c>
      <c r="AG2231" s="5">
        <f>IF(SalesData[[#This Row],[Customers Visited]]=0,0,SalesData[[#This Row],[Test Drives]]/SalesData[[#This Row],[Customers Visited]])</f>
        <v>0.4689922480620155</v>
      </c>
      <c r="AH2231" s="5">
        <f>IF(SalesData[[#This Row],[Customers Visited]]=0,0,SalesData[[#This Row],[Contracts Signed]]/SalesData[[#This Row],[Customers Visited]])</f>
        <v>0.13178294573643412</v>
      </c>
      <c r="AI2231" s="6">
        <f>IF(SalesData[[#This Row],[Contracts Signed]]=0,0,SalesData[[#This Row],[Profit(€)]]/SalesData[[#This Row],[Contracts Signed]])</f>
        <v>11519</v>
      </c>
      <c r="AJ2231" s="5" t="str">
        <f>TRIM(CLEAN(SalesData[[#This Row],[Retailer]]))</f>
        <v>Ruhr Auto Plaza</v>
      </c>
    </row>
    <row r="2232" spans="1:36" ht="14.25" x14ac:dyDescent="0.2">
      <c r="A2232" t="s">
        <v>3267</v>
      </c>
      <c r="B2232" s="1">
        <v>46065</v>
      </c>
      <c r="C2232" t="s">
        <v>121</v>
      </c>
      <c r="D2232" t="s">
        <v>100</v>
      </c>
      <c r="E2232" t="s">
        <v>26</v>
      </c>
      <c r="F2232" t="s">
        <v>83</v>
      </c>
      <c r="G2232" t="s">
        <v>84</v>
      </c>
      <c r="H2232" t="s">
        <v>85</v>
      </c>
      <c r="I2232" t="s">
        <v>30</v>
      </c>
      <c r="J2232" t="s">
        <v>7075</v>
      </c>
      <c r="K2232" t="s">
        <v>78</v>
      </c>
      <c r="L2232" t="s">
        <v>33</v>
      </c>
      <c r="M2232" t="s">
        <v>87</v>
      </c>
      <c r="N2232" t="s">
        <v>69</v>
      </c>
      <c r="O2232" t="s">
        <v>70</v>
      </c>
      <c r="P2232" t="s">
        <v>71</v>
      </c>
      <c r="Q2232" t="s">
        <v>118</v>
      </c>
      <c r="R2232">
        <v>231</v>
      </c>
      <c r="S2232">
        <v>115</v>
      </c>
      <c r="T2232">
        <v>94</v>
      </c>
      <c r="U2232">
        <v>30</v>
      </c>
      <c r="V2232" t="s">
        <v>6360</v>
      </c>
      <c r="W2232">
        <v>69943</v>
      </c>
      <c r="X2232" t="s">
        <v>7050</v>
      </c>
      <c r="Y2232">
        <v>49660</v>
      </c>
      <c r="Z2232">
        <v>2098290</v>
      </c>
      <c r="AA2232">
        <v>608490</v>
      </c>
      <c r="AB2232" t="str">
        <f>(VLOOKUP(SalesData[[#This Row],[Month Number]],Reference!C$5:E$16,2,FALSE))</f>
        <v>Feb</v>
      </c>
      <c r="AC2232">
        <f>MONTH(SalesData[[#This Row],[Date]])</f>
        <v>2</v>
      </c>
      <c r="AD2232">
        <f>Reference!F$4</f>
        <v>2026</v>
      </c>
      <c r="AE2232" t="str">
        <f>IF(OR(SalesData[[#This Row],[Day]]="Saturday",SalesData[[#This Row],[Day]]="Sunday"),"Weekend","Weekday")</f>
        <v>Weekday</v>
      </c>
      <c r="AF2232" s="5">
        <f>IF(SalesData[[#This Row],[Contracts Offered]]=0,0,SalesData[[#This Row],[Contracts Signed]]/SalesData[[#This Row],[Contracts Offered]])</f>
        <v>0.31914893617021278</v>
      </c>
      <c r="AG2232" s="5">
        <f>IF(SalesData[[#This Row],[Customers Visited]]=0,0,SalesData[[#This Row],[Test Drives]]/SalesData[[#This Row],[Customers Visited]])</f>
        <v>0.49783549783549785</v>
      </c>
      <c r="AH2232" s="5">
        <f>IF(SalesData[[#This Row],[Customers Visited]]=0,0,SalesData[[#This Row],[Contracts Signed]]/SalesData[[#This Row],[Customers Visited]])</f>
        <v>0.12987012987012986</v>
      </c>
      <c r="AI2232" s="6">
        <f>IF(SalesData[[#This Row],[Contracts Signed]]=0,0,SalesData[[#This Row],[Profit(€)]]/SalesData[[#This Row],[Contracts Signed]])</f>
        <v>20283</v>
      </c>
      <c r="AJ2232" s="5" t="str">
        <f>TRIM(CLEAN(SalesData[[#This Row],[Retailer]]))</f>
        <v>Hannover Cars</v>
      </c>
    </row>
    <row r="2233" spans="1:36" ht="14.25" hidden="1" x14ac:dyDescent="0.2">
      <c r="A2233" t="s">
        <v>3268</v>
      </c>
      <c r="B2233" s="1">
        <v>46054</v>
      </c>
      <c r="C2233" t="s">
        <v>24</v>
      </c>
      <c r="D2233" t="s">
        <v>41</v>
      </c>
      <c r="E2233" t="s">
        <v>42</v>
      </c>
      <c r="F2233" t="s">
        <v>109</v>
      </c>
      <c r="G2233" t="s">
        <v>110</v>
      </c>
      <c r="H2233" t="s">
        <v>45</v>
      </c>
      <c r="I2233" t="s">
        <v>116</v>
      </c>
      <c r="J2233" t="s">
        <v>117</v>
      </c>
      <c r="K2233" t="s">
        <v>91</v>
      </c>
      <c r="L2233" t="s">
        <v>67</v>
      </c>
      <c r="M2233" t="s">
        <v>87</v>
      </c>
      <c r="N2233" t="s">
        <v>35</v>
      </c>
      <c r="O2233" t="s">
        <v>36</v>
      </c>
      <c r="P2233" t="s">
        <v>49</v>
      </c>
      <c r="Q2233" t="s">
        <v>172</v>
      </c>
      <c r="R2233">
        <v>411</v>
      </c>
      <c r="S2233">
        <v>201</v>
      </c>
      <c r="T2233">
        <v>118</v>
      </c>
      <c r="U2233">
        <v>26</v>
      </c>
      <c r="V2233" t="s">
        <v>3455</v>
      </c>
      <c r="W2233">
        <v>20049</v>
      </c>
      <c r="X2233" t="s">
        <v>7288</v>
      </c>
      <c r="Y2233">
        <v>18545</v>
      </c>
      <c r="Z2233">
        <v>521274</v>
      </c>
      <c r="AA2233">
        <v>39104</v>
      </c>
      <c r="AB2233" t="str">
        <f>(VLOOKUP(SalesData[[#This Row],[Month Number]],Reference!C$5:E$16,2,FALSE))</f>
        <v>Feb</v>
      </c>
      <c r="AC2233">
        <f>MONTH(SalesData[[#This Row],[Date]])</f>
        <v>2</v>
      </c>
      <c r="AD2233">
        <f>Reference!F$4</f>
        <v>2026</v>
      </c>
      <c r="AE2233" t="str">
        <f>IF(OR(SalesData[[#This Row],[Day]]="Saturday",SalesData[[#This Row],[Day]]="Sunday"),"Weekend","Weekday")</f>
        <v>Weekend</v>
      </c>
      <c r="AF2233" s="5">
        <f>IF(SalesData[[#This Row],[Contracts Offered]]=0,0,SalesData[[#This Row],[Contracts Signed]]/SalesData[[#This Row],[Contracts Offered]])</f>
        <v>0.22033898305084745</v>
      </c>
      <c r="AG2233" s="5">
        <f>IF(SalesData[[#This Row],[Customers Visited]]=0,0,SalesData[[#This Row],[Test Drives]]/SalesData[[#This Row],[Customers Visited]])</f>
        <v>0.48905109489051096</v>
      </c>
      <c r="AH2233" s="5">
        <f>IF(SalesData[[#This Row],[Customers Visited]]=0,0,SalesData[[#This Row],[Contracts Signed]]/SalesData[[#This Row],[Customers Visited]])</f>
        <v>6.3260340632603412E-2</v>
      </c>
      <c r="AI2233" s="6">
        <f>IF(SalesData[[#This Row],[Contracts Signed]]=0,0,SalesData[[#This Row],[Profit(€)]]/SalesData[[#This Row],[Contracts Signed]])</f>
        <v>1504</v>
      </c>
      <c r="AJ2233" s="5" t="str">
        <f>TRIM(CLEAN(SalesData[[#This Row],[Retailer]]))</f>
        <v>Leipzig Mobility</v>
      </c>
    </row>
    <row r="2234" spans="1:36" ht="14.25" hidden="1" x14ac:dyDescent="0.2">
      <c r="A2234" t="s">
        <v>3269</v>
      </c>
      <c r="B2234" s="1">
        <v>46076</v>
      </c>
      <c r="C2234" t="s">
        <v>53</v>
      </c>
      <c r="D2234" t="s">
        <v>25</v>
      </c>
      <c r="E2234" t="s">
        <v>26</v>
      </c>
      <c r="F2234" t="s">
        <v>114</v>
      </c>
      <c r="G2234" t="s">
        <v>115</v>
      </c>
      <c r="H2234" t="s">
        <v>115</v>
      </c>
      <c r="I2234" t="s">
        <v>104</v>
      </c>
      <c r="J2234" t="s">
        <v>143</v>
      </c>
      <c r="K2234" t="s">
        <v>78</v>
      </c>
      <c r="L2234" t="s">
        <v>67</v>
      </c>
      <c r="M2234" t="s">
        <v>87</v>
      </c>
      <c r="N2234" t="s">
        <v>48</v>
      </c>
      <c r="O2234" t="s">
        <v>36</v>
      </c>
      <c r="P2234" t="s">
        <v>37</v>
      </c>
      <c r="Q2234" t="s">
        <v>144</v>
      </c>
      <c r="R2234">
        <v>463</v>
      </c>
      <c r="S2234">
        <v>213</v>
      </c>
      <c r="T2234">
        <v>128</v>
      </c>
      <c r="U2234">
        <v>35</v>
      </c>
      <c r="V2234" t="s">
        <v>621</v>
      </c>
      <c r="W2234">
        <v>24957</v>
      </c>
      <c r="X2234" t="s">
        <v>1026</v>
      </c>
      <c r="Y2234">
        <v>22486</v>
      </c>
      <c r="Z2234">
        <v>873495</v>
      </c>
      <c r="AA2234">
        <v>86485</v>
      </c>
      <c r="AB2234" t="str">
        <f>(VLOOKUP(SalesData[[#This Row],[Month Number]],Reference!C$5:E$16,2,FALSE))</f>
        <v>Feb</v>
      </c>
      <c r="AC2234">
        <f>MONTH(SalesData[[#This Row],[Date]])</f>
        <v>2</v>
      </c>
      <c r="AD2234">
        <f>Reference!F$4</f>
        <v>2026</v>
      </c>
      <c r="AE2234" t="str">
        <f>IF(OR(SalesData[[#This Row],[Day]]="Saturday",SalesData[[#This Row],[Day]]="Sunday"),"Weekend","Weekday")</f>
        <v>Weekday</v>
      </c>
      <c r="AF2234" s="5">
        <f>IF(SalesData[[#This Row],[Contracts Offered]]=0,0,SalesData[[#This Row],[Contracts Signed]]/SalesData[[#This Row],[Contracts Offered]])</f>
        <v>0.2734375</v>
      </c>
      <c r="AG2234" s="5">
        <f>IF(SalesData[[#This Row],[Customers Visited]]=0,0,SalesData[[#This Row],[Test Drives]]/SalesData[[#This Row],[Customers Visited]])</f>
        <v>0.46004319654427644</v>
      </c>
      <c r="AH2234" s="5">
        <f>IF(SalesData[[#This Row],[Customers Visited]]=0,0,SalesData[[#This Row],[Contracts Signed]]/SalesData[[#This Row],[Customers Visited]])</f>
        <v>7.5593952483801297E-2</v>
      </c>
      <c r="AI2234" s="6">
        <f>IF(SalesData[[#This Row],[Contracts Signed]]=0,0,SalesData[[#This Row],[Profit(€)]]/SalesData[[#This Row],[Contracts Signed]])</f>
        <v>2471</v>
      </c>
      <c r="AJ2234" s="5" t="str">
        <f>TRIM(CLEAN(SalesData[[#This Row],[Retailer]]))</f>
        <v>Elbe Drive</v>
      </c>
    </row>
    <row r="2235" spans="1:36" ht="14.25" hidden="1" x14ac:dyDescent="0.2">
      <c r="A2235" t="s">
        <v>3270</v>
      </c>
      <c r="B2235" s="1">
        <v>46062</v>
      </c>
      <c r="C2235" t="s">
        <v>121</v>
      </c>
      <c r="D2235" t="s">
        <v>25</v>
      </c>
      <c r="E2235" t="s">
        <v>26</v>
      </c>
      <c r="F2235" t="s">
        <v>74</v>
      </c>
      <c r="G2235" t="s">
        <v>75</v>
      </c>
      <c r="H2235" t="s">
        <v>76</v>
      </c>
      <c r="I2235" t="s">
        <v>116</v>
      </c>
      <c r="J2235" t="s">
        <v>132</v>
      </c>
      <c r="K2235" t="s">
        <v>78</v>
      </c>
      <c r="L2235" t="s">
        <v>46</v>
      </c>
      <c r="M2235" t="s">
        <v>87</v>
      </c>
      <c r="N2235" t="s">
        <v>69</v>
      </c>
      <c r="O2235" t="s">
        <v>70</v>
      </c>
      <c r="P2235" t="s">
        <v>37</v>
      </c>
      <c r="Q2235" t="s">
        <v>189</v>
      </c>
      <c r="R2235">
        <v>413</v>
      </c>
      <c r="S2235">
        <v>191</v>
      </c>
      <c r="T2235">
        <v>116</v>
      </c>
      <c r="U2235">
        <v>31</v>
      </c>
      <c r="V2235" t="s">
        <v>1079</v>
      </c>
      <c r="W2235">
        <v>22409</v>
      </c>
      <c r="X2235" t="s">
        <v>1058</v>
      </c>
      <c r="Y2235">
        <v>20519</v>
      </c>
      <c r="Z2235">
        <v>694679</v>
      </c>
      <c r="AA2235">
        <v>58590</v>
      </c>
      <c r="AB2235" t="str">
        <f>(VLOOKUP(SalesData[[#This Row],[Month Number]],Reference!C$5:E$16,2,FALSE))</f>
        <v>Feb</v>
      </c>
      <c r="AC2235">
        <f>MONTH(SalesData[[#This Row],[Date]])</f>
        <v>2</v>
      </c>
      <c r="AD2235">
        <f>Reference!F$4</f>
        <v>2026</v>
      </c>
      <c r="AE2235" t="str">
        <f>IF(OR(SalesData[[#This Row],[Day]]="Saturday",SalesData[[#This Row],[Day]]="Sunday"),"Weekend","Weekday")</f>
        <v>Weekday</v>
      </c>
      <c r="AF2235" s="5">
        <f>IF(SalesData[[#This Row],[Contracts Offered]]=0,0,SalesData[[#This Row],[Contracts Signed]]/SalesData[[#This Row],[Contracts Offered]])</f>
        <v>0.26724137931034481</v>
      </c>
      <c r="AG2235" s="5">
        <f>IF(SalesData[[#This Row],[Customers Visited]]=0,0,SalesData[[#This Row],[Test Drives]]/SalesData[[#This Row],[Customers Visited]])</f>
        <v>0.46246973365617433</v>
      </c>
      <c r="AH2235" s="5">
        <f>IF(SalesData[[#This Row],[Customers Visited]]=0,0,SalesData[[#This Row],[Contracts Signed]]/SalesData[[#This Row],[Customers Visited]])</f>
        <v>7.5060532687651338E-2</v>
      </c>
      <c r="AI2235" s="6">
        <f>IF(SalesData[[#This Row],[Contracts Signed]]=0,0,SalesData[[#This Row],[Profit(€)]]/SalesData[[#This Row],[Contracts Signed]])</f>
        <v>1890</v>
      </c>
      <c r="AJ2235" s="5" t="str">
        <f>TRIM(CLEAN(SalesData[[#This Row],[Retailer]]))</f>
        <v>Stuttgart Auto Center</v>
      </c>
    </row>
    <row r="2236" spans="1:36" ht="14.25" hidden="1" x14ac:dyDescent="0.2">
      <c r="A2236" t="s">
        <v>3271</v>
      </c>
      <c r="B2236" s="1">
        <v>46077</v>
      </c>
      <c r="C2236" t="s">
        <v>53</v>
      </c>
      <c r="D2236" t="s">
        <v>63</v>
      </c>
      <c r="E2236" t="s">
        <v>26</v>
      </c>
      <c r="F2236" t="s">
        <v>94</v>
      </c>
      <c r="G2236" t="s">
        <v>95</v>
      </c>
      <c r="H2236" t="s">
        <v>96</v>
      </c>
      <c r="I2236" t="s">
        <v>116</v>
      </c>
      <c r="J2236" t="s">
        <v>132</v>
      </c>
      <c r="K2236" t="s">
        <v>91</v>
      </c>
      <c r="L2236" t="s">
        <v>46</v>
      </c>
      <c r="M2236" t="s">
        <v>68</v>
      </c>
      <c r="N2236" t="s">
        <v>69</v>
      </c>
      <c r="O2236" t="s">
        <v>36</v>
      </c>
      <c r="P2236" t="s">
        <v>37</v>
      </c>
      <c r="Q2236" t="s">
        <v>50</v>
      </c>
      <c r="R2236">
        <v>231</v>
      </c>
      <c r="S2236">
        <v>123</v>
      </c>
      <c r="T2236">
        <v>82</v>
      </c>
      <c r="U2236">
        <v>22</v>
      </c>
      <c r="V2236" t="s">
        <v>812</v>
      </c>
      <c r="W2236">
        <v>22162</v>
      </c>
      <c r="X2236" t="s">
        <v>1816</v>
      </c>
      <c r="Y2236">
        <v>20394</v>
      </c>
      <c r="Z2236">
        <v>487564</v>
      </c>
      <c r="AA2236">
        <v>38896</v>
      </c>
      <c r="AB2236" t="str">
        <f>(VLOOKUP(SalesData[[#This Row],[Month Number]],Reference!C$5:E$16,2,FALSE))</f>
        <v>Feb</v>
      </c>
      <c r="AC2236">
        <f>MONTH(SalesData[[#This Row],[Date]])</f>
        <v>2</v>
      </c>
      <c r="AD2236">
        <f>Reference!F$4</f>
        <v>2026</v>
      </c>
      <c r="AE2236" t="str">
        <f>IF(OR(SalesData[[#This Row],[Day]]="Saturday",SalesData[[#This Row],[Day]]="Sunday"),"Weekend","Weekday")</f>
        <v>Weekday</v>
      </c>
      <c r="AF2236" s="5">
        <f>IF(SalesData[[#This Row],[Contracts Offered]]=0,0,SalesData[[#This Row],[Contracts Signed]]/SalesData[[#This Row],[Contracts Offered]])</f>
        <v>0.26829268292682928</v>
      </c>
      <c r="AG2236" s="5">
        <f>IF(SalesData[[#This Row],[Customers Visited]]=0,0,SalesData[[#This Row],[Test Drives]]/SalesData[[#This Row],[Customers Visited]])</f>
        <v>0.53246753246753242</v>
      </c>
      <c r="AH2236" s="5">
        <f>IF(SalesData[[#This Row],[Customers Visited]]=0,0,SalesData[[#This Row],[Contracts Signed]]/SalesData[[#This Row],[Customers Visited]])</f>
        <v>9.5238095238095233E-2</v>
      </c>
      <c r="AI2236" s="6">
        <f>IF(SalesData[[#This Row],[Contracts Signed]]=0,0,SalesData[[#This Row],[Profit(€)]]/SalesData[[#This Row],[Contracts Signed]])</f>
        <v>1768</v>
      </c>
      <c r="AJ2236" s="5" t="str">
        <f>TRIM(CLEAN(SalesData[[#This Row],[Retailer]]))</f>
        <v>Bavaria Motors</v>
      </c>
    </row>
    <row r="2237" spans="1:36" ht="14.25" x14ac:dyDescent="0.2">
      <c r="A2237" t="s">
        <v>3273</v>
      </c>
      <c r="B2237" s="1">
        <v>46057</v>
      </c>
      <c r="C2237" t="s">
        <v>24</v>
      </c>
      <c r="D2237" t="s">
        <v>82</v>
      </c>
      <c r="E2237" t="s">
        <v>26</v>
      </c>
      <c r="F2237" t="s">
        <v>43</v>
      </c>
      <c r="G2237" t="s">
        <v>44</v>
      </c>
      <c r="H2237" t="s">
        <v>45</v>
      </c>
      <c r="I2237" t="s">
        <v>30</v>
      </c>
      <c r="J2237" t="s">
        <v>7075</v>
      </c>
      <c r="K2237" t="s">
        <v>91</v>
      </c>
      <c r="L2237" t="s">
        <v>33</v>
      </c>
      <c r="M2237" t="s">
        <v>68</v>
      </c>
      <c r="N2237" t="s">
        <v>35</v>
      </c>
      <c r="O2237" t="s">
        <v>70</v>
      </c>
      <c r="P2237" t="s">
        <v>49</v>
      </c>
      <c r="Q2237" t="s">
        <v>118</v>
      </c>
      <c r="R2237">
        <v>152</v>
      </c>
      <c r="S2237">
        <v>83</v>
      </c>
      <c r="T2237">
        <v>59</v>
      </c>
      <c r="U2237">
        <v>20</v>
      </c>
      <c r="V2237" t="s">
        <v>6361</v>
      </c>
      <c r="W2237">
        <v>54233</v>
      </c>
      <c r="X2237" t="s">
        <v>7239</v>
      </c>
      <c r="Y2237">
        <v>40598</v>
      </c>
      <c r="Z2237">
        <v>1084660</v>
      </c>
      <c r="AA2237">
        <v>272700</v>
      </c>
      <c r="AB2237" t="str">
        <f>(VLOOKUP(SalesData[[#This Row],[Month Number]],Reference!C$5:E$16,2,FALSE))</f>
        <v>Feb</v>
      </c>
      <c r="AC2237">
        <f>MONTH(SalesData[[#This Row],[Date]])</f>
        <v>2</v>
      </c>
      <c r="AD2237">
        <f>Reference!F$4</f>
        <v>2026</v>
      </c>
      <c r="AE2237" t="str">
        <f>IF(OR(SalesData[[#This Row],[Day]]="Saturday",SalesData[[#This Row],[Day]]="Sunday"),"Weekend","Weekday")</f>
        <v>Weekday</v>
      </c>
      <c r="AF2237" s="5">
        <f>IF(SalesData[[#This Row],[Contracts Offered]]=0,0,SalesData[[#This Row],[Contracts Signed]]/SalesData[[#This Row],[Contracts Offered]])</f>
        <v>0.33898305084745761</v>
      </c>
      <c r="AG2237" s="5">
        <f>IF(SalesData[[#This Row],[Customers Visited]]=0,0,SalesData[[#This Row],[Test Drives]]/SalesData[[#This Row],[Customers Visited]])</f>
        <v>0.54605263157894735</v>
      </c>
      <c r="AH2237" s="5">
        <f>IF(SalesData[[#This Row],[Customers Visited]]=0,0,SalesData[[#This Row],[Contracts Signed]]/SalesData[[#This Row],[Customers Visited]])</f>
        <v>0.13157894736842105</v>
      </c>
      <c r="AI2237" s="6">
        <f>IF(SalesData[[#This Row],[Contracts Signed]]=0,0,SalesData[[#This Row],[Profit(€)]]/SalesData[[#This Row],[Contracts Signed]])</f>
        <v>13635</v>
      </c>
      <c r="AJ2237" s="5" t="str">
        <f>TRIM(CLEAN(SalesData[[#This Row],[Retailer]]))</f>
        <v>Saxon Wheels</v>
      </c>
    </row>
    <row r="2238" spans="1:36" ht="14.25" hidden="1" x14ac:dyDescent="0.2">
      <c r="A2238" t="s">
        <v>3274</v>
      </c>
      <c r="B2238" s="1">
        <v>46078</v>
      </c>
      <c r="C2238" t="s">
        <v>53</v>
      </c>
      <c r="D2238" t="s">
        <v>82</v>
      </c>
      <c r="E2238" t="s">
        <v>26</v>
      </c>
      <c r="F2238" t="s">
        <v>101</v>
      </c>
      <c r="G2238" t="s">
        <v>102</v>
      </c>
      <c r="H2238" t="s">
        <v>103</v>
      </c>
      <c r="I2238" t="s">
        <v>64</v>
      </c>
      <c r="J2238" t="s">
        <v>7029</v>
      </c>
      <c r="K2238" t="s">
        <v>32</v>
      </c>
      <c r="L2238" t="s">
        <v>33</v>
      </c>
      <c r="M2238" t="s">
        <v>68</v>
      </c>
      <c r="N2238" t="s">
        <v>69</v>
      </c>
      <c r="O2238" t="s">
        <v>36</v>
      </c>
      <c r="P2238" t="s">
        <v>58</v>
      </c>
      <c r="Q2238" t="s">
        <v>106</v>
      </c>
      <c r="R2238">
        <v>148</v>
      </c>
      <c r="S2238">
        <v>75</v>
      </c>
      <c r="T2238">
        <v>59</v>
      </c>
      <c r="U2238">
        <v>21</v>
      </c>
      <c r="V2238" t="s">
        <v>6544</v>
      </c>
      <c r="W2238">
        <v>65980</v>
      </c>
      <c r="X2238" t="s">
        <v>7425</v>
      </c>
      <c r="Y2238">
        <v>47443</v>
      </c>
      <c r="Z2238">
        <v>1385580</v>
      </c>
      <c r="AA2238">
        <v>389277</v>
      </c>
      <c r="AB2238" t="str">
        <f>(VLOOKUP(SalesData[[#This Row],[Month Number]],Reference!C$5:E$16,2,FALSE))</f>
        <v>Feb</v>
      </c>
      <c r="AC2238">
        <f>MONTH(SalesData[[#This Row],[Date]])</f>
        <v>2</v>
      </c>
      <c r="AD2238">
        <f>Reference!F$4</f>
        <v>2026</v>
      </c>
      <c r="AE2238" t="str">
        <f>IF(OR(SalesData[[#This Row],[Day]]="Saturday",SalesData[[#This Row],[Day]]="Sunday"),"Weekend","Weekday")</f>
        <v>Weekday</v>
      </c>
      <c r="AF2238" s="5">
        <f>IF(SalesData[[#This Row],[Contracts Offered]]=0,0,SalesData[[#This Row],[Contracts Signed]]/SalesData[[#This Row],[Contracts Offered]])</f>
        <v>0.3559322033898305</v>
      </c>
      <c r="AG2238" s="5">
        <f>IF(SalesData[[#This Row],[Customers Visited]]=0,0,SalesData[[#This Row],[Test Drives]]/SalesData[[#This Row],[Customers Visited]])</f>
        <v>0.5067567567567568</v>
      </c>
      <c r="AH2238" s="5">
        <f>IF(SalesData[[#This Row],[Customers Visited]]=0,0,SalesData[[#This Row],[Contracts Signed]]/SalesData[[#This Row],[Customers Visited]])</f>
        <v>0.14189189189189189</v>
      </c>
      <c r="AI2238" s="6">
        <f>IF(SalesData[[#This Row],[Contracts Signed]]=0,0,SalesData[[#This Row],[Profit(€)]]/SalesData[[#This Row],[Contracts Signed]])</f>
        <v>18537</v>
      </c>
      <c r="AJ2238" s="5" t="str">
        <f>TRIM(CLEAN(SalesData[[#This Row],[Retailer]]))</f>
        <v>Ruhr Auto Plaza</v>
      </c>
    </row>
    <row r="2239" spans="1:36" ht="14.25" hidden="1" x14ac:dyDescent="0.2">
      <c r="A2239" t="s">
        <v>3276</v>
      </c>
      <c r="B2239" s="1">
        <v>46078</v>
      </c>
      <c r="C2239" t="s">
        <v>53</v>
      </c>
      <c r="D2239" t="s">
        <v>82</v>
      </c>
      <c r="E2239" t="s">
        <v>26</v>
      </c>
      <c r="F2239" t="s">
        <v>7649</v>
      </c>
      <c r="G2239" t="s">
        <v>55</v>
      </c>
      <c r="H2239" t="s">
        <v>55</v>
      </c>
      <c r="I2239" t="s">
        <v>104</v>
      </c>
      <c r="J2239" t="s">
        <v>7031</v>
      </c>
      <c r="K2239" t="s">
        <v>78</v>
      </c>
      <c r="L2239" t="s">
        <v>46</v>
      </c>
      <c r="M2239" t="s">
        <v>87</v>
      </c>
      <c r="N2239" t="s">
        <v>48</v>
      </c>
      <c r="O2239" t="s">
        <v>70</v>
      </c>
      <c r="P2239" t="s">
        <v>49</v>
      </c>
      <c r="Q2239" t="s">
        <v>144</v>
      </c>
      <c r="R2239">
        <v>474</v>
      </c>
      <c r="S2239">
        <v>243</v>
      </c>
      <c r="T2239">
        <v>163</v>
      </c>
      <c r="U2239">
        <v>42</v>
      </c>
      <c r="V2239" t="s">
        <v>502</v>
      </c>
      <c r="W2239">
        <v>26950</v>
      </c>
      <c r="X2239" t="s">
        <v>2185</v>
      </c>
      <c r="Y2239">
        <v>23243</v>
      </c>
      <c r="Z2239">
        <v>1131900</v>
      </c>
      <c r="AA2239">
        <v>155694</v>
      </c>
      <c r="AB2239" t="str">
        <f>(VLOOKUP(SalesData[[#This Row],[Month Number]],Reference!C$5:E$16,2,FALSE))</f>
        <v>Feb</v>
      </c>
      <c r="AC2239">
        <f>MONTH(SalesData[[#This Row],[Date]])</f>
        <v>2</v>
      </c>
      <c r="AD2239">
        <f>Reference!F$4</f>
        <v>2026</v>
      </c>
      <c r="AE2239" t="str">
        <f>IF(OR(SalesData[[#This Row],[Day]]="Saturday",SalesData[[#This Row],[Day]]="Sunday"),"Weekend","Weekday")</f>
        <v>Weekday</v>
      </c>
      <c r="AF2239" s="5">
        <f>IF(SalesData[[#This Row],[Contracts Offered]]=0,0,SalesData[[#This Row],[Contracts Signed]]/SalesData[[#This Row],[Contracts Offered]])</f>
        <v>0.25766871165644173</v>
      </c>
      <c r="AG2239" s="5">
        <f>IF(SalesData[[#This Row],[Customers Visited]]=0,0,SalesData[[#This Row],[Test Drives]]/SalesData[[#This Row],[Customers Visited]])</f>
        <v>0.51265822784810122</v>
      </c>
      <c r="AH2239" s="5">
        <f>IF(SalesData[[#This Row],[Customers Visited]]=0,0,SalesData[[#This Row],[Contracts Signed]]/SalesData[[#This Row],[Customers Visited]])</f>
        <v>8.8607594936708861E-2</v>
      </c>
      <c r="AI2239" s="6">
        <f>IF(SalesData[[#This Row],[Contracts Signed]]=0,0,SalesData[[#This Row],[Profit(€)]]/SalesData[[#This Row],[Contracts Signed]])</f>
        <v>3707</v>
      </c>
      <c r="AJ2239" s="5" t="str">
        <f>TRIM(CLEAN(SalesData[[#This Row],[Retailer]]))</f>
        <v>Autohaus Berlin</v>
      </c>
    </row>
    <row r="2240" spans="1:36" ht="14.25" x14ac:dyDescent="0.2">
      <c r="A2240" t="s">
        <v>3277</v>
      </c>
      <c r="B2240" s="1">
        <v>46068</v>
      </c>
      <c r="C2240" t="s">
        <v>62</v>
      </c>
      <c r="D2240" t="s">
        <v>41</v>
      </c>
      <c r="E2240" t="s">
        <v>42</v>
      </c>
      <c r="F2240" t="s">
        <v>101</v>
      </c>
      <c r="G2240" t="s">
        <v>102</v>
      </c>
      <c r="H2240" t="s">
        <v>103</v>
      </c>
      <c r="I2240" t="s">
        <v>30</v>
      </c>
      <c r="J2240" t="s">
        <v>188</v>
      </c>
      <c r="K2240" t="s">
        <v>66</v>
      </c>
      <c r="L2240" t="s">
        <v>33</v>
      </c>
      <c r="M2240" t="s">
        <v>34</v>
      </c>
      <c r="N2240" t="s">
        <v>48</v>
      </c>
      <c r="O2240" t="s">
        <v>70</v>
      </c>
      <c r="P2240" t="s">
        <v>71</v>
      </c>
      <c r="Q2240" t="s">
        <v>167</v>
      </c>
      <c r="R2240">
        <v>218</v>
      </c>
      <c r="S2240">
        <v>112</v>
      </c>
      <c r="T2240">
        <v>79</v>
      </c>
      <c r="U2240">
        <v>28</v>
      </c>
      <c r="V2240" t="s">
        <v>6403</v>
      </c>
      <c r="W2240">
        <v>66059</v>
      </c>
      <c r="X2240" t="s">
        <v>572</v>
      </c>
      <c r="Y2240">
        <v>49875</v>
      </c>
      <c r="Z2240">
        <v>1849652</v>
      </c>
      <c r="AA2240">
        <v>453152</v>
      </c>
      <c r="AB2240" t="str">
        <f>(VLOOKUP(SalesData[[#This Row],[Month Number]],Reference!C$5:E$16,2,FALSE))</f>
        <v>Feb</v>
      </c>
      <c r="AC2240">
        <f>MONTH(SalesData[[#This Row],[Date]])</f>
        <v>2</v>
      </c>
      <c r="AD2240">
        <f>Reference!F$4</f>
        <v>2026</v>
      </c>
      <c r="AE2240" t="str">
        <f>IF(OR(SalesData[[#This Row],[Day]]="Saturday",SalesData[[#This Row],[Day]]="Sunday"),"Weekend","Weekday")</f>
        <v>Weekend</v>
      </c>
      <c r="AF2240" s="5">
        <f>IF(SalesData[[#This Row],[Contracts Offered]]=0,0,SalesData[[#This Row],[Contracts Signed]]/SalesData[[#This Row],[Contracts Offered]])</f>
        <v>0.35443037974683544</v>
      </c>
      <c r="AG2240" s="5">
        <f>IF(SalesData[[#This Row],[Customers Visited]]=0,0,SalesData[[#This Row],[Test Drives]]/SalesData[[#This Row],[Customers Visited]])</f>
        <v>0.51376146788990829</v>
      </c>
      <c r="AH2240" s="5">
        <f>IF(SalesData[[#This Row],[Customers Visited]]=0,0,SalesData[[#This Row],[Contracts Signed]]/SalesData[[#This Row],[Customers Visited]])</f>
        <v>0.12844036697247707</v>
      </c>
      <c r="AI2240" s="6">
        <f>IF(SalesData[[#This Row],[Contracts Signed]]=0,0,SalesData[[#This Row],[Profit(€)]]/SalesData[[#This Row],[Contracts Signed]])</f>
        <v>16184</v>
      </c>
      <c r="AJ2240" s="5" t="str">
        <f>TRIM(CLEAN(SalesData[[#This Row],[Retailer]]))</f>
        <v>Ruhr Auto Plaza</v>
      </c>
    </row>
    <row r="2241" spans="1:36" ht="14.25" x14ac:dyDescent="0.2">
      <c r="A2241" t="s">
        <v>3279</v>
      </c>
      <c r="B2241" s="1">
        <v>46062</v>
      </c>
      <c r="C2241" t="s">
        <v>121</v>
      </c>
      <c r="D2241" t="s">
        <v>25</v>
      </c>
      <c r="E2241" t="s">
        <v>26</v>
      </c>
      <c r="F2241" t="s">
        <v>109</v>
      </c>
      <c r="G2241" t="s">
        <v>110</v>
      </c>
      <c r="H2241" t="s">
        <v>45</v>
      </c>
      <c r="I2241" t="s">
        <v>30</v>
      </c>
      <c r="J2241" t="s">
        <v>31</v>
      </c>
      <c r="K2241" t="s">
        <v>66</v>
      </c>
      <c r="L2241" t="s">
        <v>46</v>
      </c>
      <c r="M2241" t="s">
        <v>34</v>
      </c>
      <c r="N2241" t="s">
        <v>48</v>
      </c>
      <c r="O2241" t="s">
        <v>36</v>
      </c>
      <c r="P2241" t="s">
        <v>49</v>
      </c>
      <c r="Q2241" t="s">
        <v>79</v>
      </c>
      <c r="R2241">
        <v>275</v>
      </c>
      <c r="S2241">
        <v>125</v>
      </c>
      <c r="T2241">
        <v>101</v>
      </c>
      <c r="U2241">
        <v>29</v>
      </c>
      <c r="V2241" t="s">
        <v>6387</v>
      </c>
      <c r="W2241">
        <v>49685</v>
      </c>
      <c r="X2241" t="s">
        <v>500</v>
      </c>
      <c r="Y2241">
        <v>35581</v>
      </c>
      <c r="Z2241">
        <v>1440865</v>
      </c>
      <c r="AA2241">
        <v>409016</v>
      </c>
      <c r="AB2241" t="str">
        <f>(VLOOKUP(SalesData[[#This Row],[Month Number]],Reference!C$5:E$16,2,FALSE))</f>
        <v>Feb</v>
      </c>
      <c r="AC2241">
        <f>MONTH(SalesData[[#This Row],[Date]])</f>
        <v>2</v>
      </c>
      <c r="AD2241">
        <f>Reference!F$4</f>
        <v>2026</v>
      </c>
      <c r="AE2241" t="str">
        <f>IF(OR(SalesData[[#This Row],[Day]]="Saturday",SalesData[[#This Row],[Day]]="Sunday"),"Weekend","Weekday")</f>
        <v>Weekday</v>
      </c>
      <c r="AF2241" s="5">
        <f>IF(SalesData[[#This Row],[Contracts Offered]]=0,0,SalesData[[#This Row],[Contracts Signed]]/SalesData[[#This Row],[Contracts Offered]])</f>
        <v>0.28712871287128711</v>
      </c>
      <c r="AG2241" s="5">
        <f>IF(SalesData[[#This Row],[Customers Visited]]=0,0,SalesData[[#This Row],[Test Drives]]/SalesData[[#This Row],[Customers Visited]])</f>
        <v>0.45454545454545453</v>
      </c>
      <c r="AH2241" s="5">
        <f>IF(SalesData[[#This Row],[Customers Visited]]=0,0,SalesData[[#This Row],[Contracts Signed]]/SalesData[[#This Row],[Customers Visited]])</f>
        <v>0.10545454545454545</v>
      </c>
      <c r="AI2241" s="6">
        <f>IF(SalesData[[#This Row],[Contracts Signed]]=0,0,SalesData[[#This Row],[Profit(€)]]/SalesData[[#This Row],[Contracts Signed]])</f>
        <v>14104</v>
      </c>
      <c r="AJ2241" s="5" t="str">
        <f>TRIM(CLEAN(SalesData[[#This Row],[Retailer]]))</f>
        <v>Leipzig Mobility</v>
      </c>
    </row>
    <row r="2242" spans="1:36" ht="14.25" hidden="1" x14ac:dyDescent="0.2">
      <c r="A2242" t="s">
        <v>3280</v>
      </c>
      <c r="B2242" s="1">
        <v>46071</v>
      </c>
      <c r="C2242" t="s">
        <v>62</v>
      </c>
      <c r="D2242" t="s">
        <v>82</v>
      </c>
      <c r="E2242" t="s">
        <v>26</v>
      </c>
      <c r="F2242" t="s">
        <v>27</v>
      </c>
      <c r="G2242" t="s">
        <v>28</v>
      </c>
      <c r="H2242" t="s">
        <v>29</v>
      </c>
      <c r="I2242" t="s">
        <v>56</v>
      </c>
      <c r="J2242" t="s">
        <v>7028</v>
      </c>
      <c r="K2242" t="s">
        <v>32</v>
      </c>
      <c r="L2242" t="s">
        <v>46</v>
      </c>
      <c r="M2242" t="s">
        <v>87</v>
      </c>
      <c r="N2242" t="s">
        <v>35</v>
      </c>
      <c r="O2242" t="s">
        <v>70</v>
      </c>
      <c r="P2242" t="s">
        <v>71</v>
      </c>
      <c r="Q2242" t="s">
        <v>204</v>
      </c>
      <c r="R2242">
        <v>178</v>
      </c>
      <c r="S2242">
        <v>109</v>
      </c>
      <c r="T2242">
        <v>78</v>
      </c>
      <c r="U2242">
        <v>25</v>
      </c>
      <c r="V2242" t="s">
        <v>6664</v>
      </c>
      <c r="W2242">
        <v>42334</v>
      </c>
      <c r="X2242" t="s">
        <v>2179</v>
      </c>
      <c r="Y2242">
        <v>33950</v>
      </c>
      <c r="Z2242">
        <v>1058350</v>
      </c>
      <c r="AA2242">
        <v>209600</v>
      </c>
      <c r="AB2242" t="str">
        <f>(VLOOKUP(SalesData[[#This Row],[Month Number]],Reference!C$5:E$16,2,FALSE))</f>
        <v>Feb</v>
      </c>
      <c r="AC2242">
        <f>MONTH(SalesData[[#This Row],[Date]])</f>
        <v>2</v>
      </c>
      <c r="AD2242">
        <f>Reference!F$4</f>
        <v>2026</v>
      </c>
      <c r="AE2242" t="str">
        <f>IF(OR(SalesData[[#This Row],[Day]]="Saturday",SalesData[[#This Row],[Day]]="Sunday"),"Weekend","Weekday")</f>
        <v>Weekday</v>
      </c>
      <c r="AF2242" s="5">
        <f>IF(SalesData[[#This Row],[Contracts Offered]]=0,0,SalesData[[#This Row],[Contracts Signed]]/SalesData[[#This Row],[Contracts Offered]])</f>
        <v>0.32051282051282054</v>
      </c>
      <c r="AG2242" s="5">
        <f>IF(SalesData[[#This Row],[Customers Visited]]=0,0,SalesData[[#This Row],[Test Drives]]/SalesData[[#This Row],[Customers Visited]])</f>
        <v>0.61235955056179781</v>
      </c>
      <c r="AH2242" s="5">
        <f>IF(SalesData[[#This Row],[Customers Visited]]=0,0,SalesData[[#This Row],[Contracts Signed]]/SalesData[[#This Row],[Customers Visited]])</f>
        <v>0.1404494382022472</v>
      </c>
      <c r="AI2242" s="6">
        <f>IF(SalesData[[#This Row],[Contracts Signed]]=0,0,SalesData[[#This Row],[Profit(€)]]/SalesData[[#This Row],[Contracts Signed]])</f>
        <v>8384</v>
      </c>
      <c r="AJ2242" s="5" t="str">
        <f>TRIM(CLEAN(SalesData[[#This Row],[Retailer]]))</f>
        <v>Main Auto Hub</v>
      </c>
    </row>
    <row r="2243" spans="1:36" ht="14.25" hidden="1" x14ac:dyDescent="0.2">
      <c r="A2243" t="s">
        <v>3281</v>
      </c>
      <c r="B2243" s="1">
        <v>46069</v>
      </c>
      <c r="C2243" t="s">
        <v>62</v>
      </c>
      <c r="D2243" t="s">
        <v>25</v>
      </c>
      <c r="E2243" t="s">
        <v>26</v>
      </c>
      <c r="F2243" t="s">
        <v>127</v>
      </c>
      <c r="G2243" t="s">
        <v>128</v>
      </c>
      <c r="H2243" t="s">
        <v>103</v>
      </c>
      <c r="I2243" t="s">
        <v>104</v>
      </c>
      <c r="J2243" t="s">
        <v>7061</v>
      </c>
      <c r="K2243" t="s">
        <v>66</v>
      </c>
      <c r="L2243" t="s">
        <v>46</v>
      </c>
      <c r="M2243" t="s">
        <v>34</v>
      </c>
      <c r="N2243" t="s">
        <v>35</v>
      </c>
      <c r="O2243" t="s">
        <v>36</v>
      </c>
      <c r="P2243" t="s">
        <v>49</v>
      </c>
      <c r="Q2243" t="s">
        <v>88</v>
      </c>
      <c r="R2243">
        <v>319</v>
      </c>
      <c r="S2243">
        <v>177</v>
      </c>
      <c r="T2243">
        <v>110</v>
      </c>
      <c r="U2243">
        <v>29</v>
      </c>
      <c r="V2243" t="s">
        <v>1307</v>
      </c>
      <c r="W2243">
        <v>27906</v>
      </c>
      <c r="X2243" t="s">
        <v>6194</v>
      </c>
      <c r="Y2243">
        <v>24654</v>
      </c>
      <c r="Z2243">
        <v>809274</v>
      </c>
      <c r="AA2243">
        <v>94308</v>
      </c>
      <c r="AB2243" t="str">
        <f>(VLOOKUP(SalesData[[#This Row],[Month Number]],Reference!C$5:E$16,2,FALSE))</f>
        <v>Feb</v>
      </c>
      <c r="AC2243">
        <f>MONTH(SalesData[[#This Row],[Date]])</f>
        <v>2</v>
      </c>
      <c r="AD2243">
        <f>Reference!F$4</f>
        <v>2026</v>
      </c>
      <c r="AE2243" t="str">
        <f>IF(OR(SalesData[[#This Row],[Day]]="Saturday",SalesData[[#This Row],[Day]]="Sunday"),"Weekend","Weekday")</f>
        <v>Weekday</v>
      </c>
      <c r="AF2243" s="5">
        <f>IF(SalesData[[#This Row],[Contracts Offered]]=0,0,SalesData[[#This Row],[Contracts Signed]]/SalesData[[#This Row],[Contracts Offered]])</f>
        <v>0.26363636363636361</v>
      </c>
      <c r="AG2243" s="5">
        <f>IF(SalesData[[#This Row],[Customers Visited]]=0,0,SalesData[[#This Row],[Test Drives]]/SalesData[[#This Row],[Customers Visited]])</f>
        <v>0.55485893416927901</v>
      </c>
      <c r="AH2243" s="5">
        <f>IF(SalesData[[#This Row],[Customers Visited]]=0,0,SalesData[[#This Row],[Contracts Signed]]/SalesData[[#This Row],[Customers Visited]])</f>
        <v>9.0909090909090912E-2</v>
      </c>
      <c r="AI2243" s="6">
        <f>IF(SalesData[[#This Row],[Contracts Signed]]=0,0,SalesData[[#This Row],[Profit(€)]]/SalesData[[#This Row],[Contracts Signed]])</f>
        <v>3252</v>
      </c>
      <c r="AJ2243" s="5" t="str">
        <f>TRIM(CLEAN(SalesData[[#This Row],[Retailer]]))</f>
        <v>Rhein Auto Group</v>
      </c>
    </row>
    <row r="2244" spans="1:36" ht="14.25" x14ac:dyDescent="0.2">
      <c r="A2244" t="s">
        <v>3282</v>
      </c>
      <c r="B2244" s="1">
        <v>46060</v>
      </c>
      <c r="C2244" t="s">
        <v>24</v>
      </c>
      <c r="D2244" t="s">
        <v>151</v>
      </c>
      <c r="E2244" t="s">
        <v>42</v>
      </c>
      <c r="F2244" t="s">
        <v>7649</v>
      </c>
      <c r="G2244" t="s">
        <v>55</v>
      </c>
      <c r="H2244" t="s">
        <v>55</v>
      </c>
      <c r="I2244" t="s">
        <v>30</v>
      </c>
      <c r="J2244" t="s">
        <v>31</v>
      </c>
      <c r="K2244" t="s">
        <v>78</v>
      </c>
      <c r="L2244" t="s">
        <v>46</v>
      </c>
      <c r="M2244" t="s">
        <v>47</v>
      </c>
      <c r="N2244" t="s">
        <v>35</v>
      </c>
      <c r="O2244" t="s">
        <v>36</v>
      </c>
      <c r="P2244" t="s">
        <v>58</v>
      </c>
      <c r="Q2244" t="s">
        <v>167</v>
      </c>
      <c r="R2244">
        <v>165</v>
      </c>
      <c r="S2244">
        <v>80</v>
      </c>
      <c r="T2244">
        <v>57</v>
      </c>
      <c r="U2244">
        <v>26</v>
      </c>
      <c r="V2244" t="s">
        <v>7521</v>
      </c>
      <c r="W2244">
        <v>56555</v>
      </c>
      <c r="X2244" t="s">
        <v>585</v>
      </c>
      <c r="Y2244">
        <v>43461</v>
      </c>
      <c r="Z2244">
        <v>1470430</v>
      </c>
      <c r="AA2244">
        <v>340444</v>
      </c>
      <c r="AB2244" t="str">
        <f>(VLOOKUP(SalesData[[#This Row],[Month Number]],Reference!C$5:E$16,2,FALSE))</f>
        <v>Feb</v>
      </c>
      <c r="AC2244">
        <f>MONTH(SalesData[[#This Row],[Date]])</f>
        <v>2</v>
      </c>
      <c r="AD2244">
        <f>Reference!F$4</f>
        <v>2026</v>
      </c>
      <c r="AE2244" t="str">
        <f>IF(OR(SalesData[[#This Row],[Day]]="Saturday",SalesData[[#This Row],[Day]]="Sunday"),"Weekend","Weekday")</f>
        <v>Weekend</v>
      </c>
      <c r="AF2244" s="5">
        <f>IF(SalesData[[#This Row],[Contracts Offered]]=0,0,SalesData[[#This Row],[Contracts Signed]]/SalesData[[#This Row],[Contracts Offered]])</f>
        <v>0.45614035087719296</v>
      </c>
      <c r="AG2244" s="5">
        <f>IF(SalesData[[#This Row],[Customers Visited]]=0,0,SalesData[[#This Row],[Test Drives]]/SalesData[[#This Row],[Customers Visited]])</f>
        <v>0.48484848484848486</v>
      </c>
      <c r="AH2244" s="5">
        <f>IF(SalesData[[#This Row],[Customers Visited]]=0,0,SalesData[[#This Row],[Contracts Signed]]/SalesData[[#This Row],[Customers Visited]])</f>
        <v>0.15757575757575756</v>
      </c>
      <c r="AI2244" s="6">
        <f>IF(SalesData[[#This Row],[Contracts Signed]]=0,0,SalesData[[#This Row],[Profit(€)]]/SalesData[[#This Row],[Contracts Signed]])</f>
        <v>13094</v>
      </c>
      <c r="AJ2244" s="5" t="str">
        <f>TRIM(CLEAN(SalesData[[#This Row],[Retailer]]))</f>
        <v>Autohaus Berlin</v>
      </c>
    </row>
    <row r="2245" spans="1:36" ht="14.25" x14ac:dyDescent="0.2">
      <c r="A2245" t="s">
        <v>3284</v>
      </c>
      <c r="B2245" s="1">
        <v>46064</v>
      </c>
      <c r="C2245" t="s">
        <v>121</v>
      </c>
      <c r="D2245" t="s">
        <v>82</v>
      </c>
      <c r="E2245" t="s">
        <v>26</v>
      </c>
      <c r="F2245" t="s">
        <v>114</v>
      </c>
      <c r="G2245" t="s">
        <v>115</v>
      </c>
      <c r="H2245" t="s">
        <v>115</v>
      </c>
      <c r="I2245" t="s">
        <v>30</v>
      </c>
      <c r="J2245" t="s">
        <v>166</v>
      </c>
      <c r="K2245" t="s">
        <v>78</v>
      </c>
      <c r="L2245" t="s">
        <v>46</v>
      </c>
      <c r="M2245" t="s">
        <v>87</v>
      </c>
      <c r="N2245" t="s">
        <v>35</v>
      </c>
      <c r="O2245" t="s">
        <v>36</v>
      </c>
      <c r="P2245" t="s">
        <v>37</v>
      </c>
      <c r="Q2245" t="s">
        <v>144</v>
      </c>
      <c r="R2245">
        <v>164</v>
      </c>
      <c r="S2245">
        <v>93</v>
      </c>
      <c r="T2245">
        <v>74</v>
      </c>
      <c r="U2245">
        <v>25</v>
      </c>
      <c r="V2245" t="s">
        <v>6980</v>
      </c>
      <c r="W2245">
        <v>64216</v>
      </c>
      <c r="X2245" t="s">
        <v>7522</v>
      </c>
      <c r="Y2245">
        <v>48425</v>
      </c>
      <c r="Z2245">
        <v>1605400</v>
      </c>
      <c r="AA2245">
        <v>394775</v>
      </c>
      <c r="AB2245" t="str">
        <f>(VLOOKUP(SalesData[[#This Row],[Month Number]],Reference!C$5:E$16,2,FALSE))</f>
        <v>Feb</v>
      </c>
      <c r="AC2245">
        <f>MONTH(SalesData[[#This Row],[Date]])</f>
        <v>2</v>
      </c>
      <c r="AD2245">
        <f>Reference!F$4</f>
        <v>2026</v>
      </c>
      <c r="AE2245" t="str">
        <f>IF(OR(SalesData[[#This Row],[Day]]="Saturday",SalesData[[#This Row],[Day]]="Sunday"),"Weekend","Weekday")</f>
        <v>Weekday</v>
      </c>
      <c r="AF2245" s="5">
        <f>IF(SalesData[[#This Row],[Contracts Offered]]=0,0,SalesData[[#This Row],[Contracts Signed]]/SalesData[[#This Row],[Contracts Offered]])</f>
        <v>0.33783783783783783</v>
      </c>
      <c r="AG2245" s="5">
        <f>IF(SalesData[[#This Row],[Customers Visited]]=0,0,SalesData[[#This Row],[Test Drives]]/SalesData[[#This Row],[Customers Visited]])</f>
        <v>0.56707317073170727</v>
      </c>
      <c r="AH2245" s="5">
        <f>IF(SalesData[[#This Row],[Customers Visited]]=0,0,SalesData[[#This Row],[Contracts Signed]]/SalesData[[#This Row],[Customers Visited]])</f>
        <v>0.1524390243902439</v>
      </c>
      <c r="AI2245" s="6">
        <f>IF(SalesData[[#This Row],[Contracts Signed]]=0,0,SalesData[[#This Row],[Profit(€)]]/SalesData[[#This Row],[Contracts Signed]])</f>
        <v>15791</v>
      </c>
      <c r="AJ2245" s="5" t="str">
        <f>TRIM(CLEAN(SalesData[[#This Row],[Retailer]]))</f>
        <v>Elbe Drive</v>
      </c>
    </row>
    <row r="2246" spans="1:36" ht="14.25" hidden="1" x14ac:dyDescent="0.2">
      <c r="A2246" t="s">
        <v>3285</v>
      </c>
      <c r="B2246" s="1">
        <v>46066</v>
      </c>
      <c r="C2246" t="s">
        <v>121</v>
      </c>
      <c r="D2246" t="s">
        <v>54</v>
      </c>
      <c r="E2246" t="s">
        <v>26</v>
      </c>
      <c r="F2246" t="s">
        <v>127</v>
      </c>
      <c r="G2246" t="s">
        <v>128</v>
      </c>
      <c r="H2246" t="s">
        <v>103</v>
      </c>
      <c r="I2246" t="s">
        <v>56</v>
      </c>
      <c r="J2246" t="s">
        <v>57</v>
      </c>
      <c r="K2246" t="s">
        <v>78</v>
      </c>
      <c r="L2246" t="s">
        <v>46</v>
      </c>
      <c r="M2246" t="s">
        <v>47</v>
      </c>
      <c r="N2246" t="s">
        <v>48</v>
      </c>
      <c r="O2246" t="s">
        <v>36</v>
      </c>
      <c r="P2246" t="s">
        <v>49</v>
      </c>
      <c r="Q2246" t="s">
        <v>152</v>
      </c>
      <c r="R2246">
        <v>278</v>
      </c>
      <c r="S2246">
        <v>131</v>
      </c>
      <c r="T2246">
        <v>102</v>
      </c>
      <c r="U2246">
        <v>29</v>
      </c>
      <c r="V2246" t="s">
        <v>6962</v>
      </c>
      <c r="W2246">
        <v>50143</v>
      </c>
      <c r="X2246" t="s">
        <v>7109</v>
      </c>
      <c r="Y2246">
        <v>39737</v>
      </c>
      <c r="Z2246">
        <v>1454147</v>
      </c>
      <c r="AA2246">
        <v>301774</v>
      </c>
      <c r="AB2246" t="str">
        <f>(VLOOKUP(SalesData[[#This Row],[Month Number]],Reference!C$5:E$16,2,FALSE))</f>
        <v>Feb</v>
      </c>
      <c r="AC2246">
        <f>MONTH(SalesData[[#This Row],[Date]])</f>
        <v>2</v>
      </c>
      <c r="AD2246">
        <f>Reference!F$4</f>
        <v>2026</v>
      </c>
      <c r="AE2246" t="str">
        <f>IF(OR(SalesData[[#This Row],[Day]]="Saturday",SalesData[[#This Row],[Day]]="Sunday"),"Weekend","Weekday")</f>
        <v>Weekday</v>
      </c>
      <c r="AF2246" s="5">
        <f>IF(SalesData[[#This Row],[Contracts Offered]]=0,0,SalesData[[#This Row],[Contracts Signed]]/SalesData[[#This Row],[Contracts Offered]])</f>
        <v>0.28431372549019607</v>
      </c>
      <c r="AG2246" s="5">
        <f>IF(SalesData[[#This Row],[Customers Visited]]=0,0,SalesData[[#This Row],[Test Drives]]/SalesData[[#This Row],[Customers Visited]])</f>
        <v>0.47122302158273383</v>
      </c>
      <c r="AH2246" s="5">
        <f>IF(SalesData[[#This Row],[Customers Visited]]=0,0,SalesData[[#This Row],[Contracts Signed]]/SalesData[[#This Row],[Customers Visited]])</f>
        <v>0.10431654676258993</v>
      </c>
      <c r="AI2246" s="6">
        <f>IF(SalesData[[#This Row],[Contracts Signed]]=0,0,SalesData[[#This Row],[Profit(€)]]/SalesData[[#This Row],[Contracts Signed]])</f>
        <v>10406</v>
      </c>
      <c r="AJ2246" s="5" t="str">
        <f>TRIM(CLEAN(SalesData[[#This Row],[Retailer]]))</f>
        <v>Rhein Auto Group</v>
      </c>
    </row>
    <row r="2247" spans="1:36" ht="14.25" hidden="1" x14ac:dyDescent="0.2">
      <c r="A2247" t="s">
        <v>3286</v>
      </c>
      <c r="B2247" s="1">
        <v>46078</v>
      </c>
      <c r="C2247" t="s">
        <v>53</v>
      </c>
      <c r="D2247" t="s">
        <v>82</v>
      </c>
      <c r="E2247" t="s">
        <v>26</v>
      </c>
      <c r="F2247" t="s">
        <v>101</v>
      </c>
      <c r="G2247" t="s">
        <v>102</v>
      </c>
      <c r="H2247" t="s">
        <v>103</v>
      </c>
      <c r="I2247" t="s">
        <v>104</v>
      </c>
      <c r="J2247" t="s">
        <v>7031</v>
      </c>
      <c r="K2247" t="s">
        <v>91</v>
      </c>
      <c r="L2247" t="s">
        <v>46</v>
      </c>
      <c r="M2247" t="s">
        <v>47</v>
      </c>
      <c r="N2247" t="s">
        <v>35</v>
      </c>
      <c r="O2247" t="s">
        <v>70</v>
      </c>
      <c r="P2247" t="s">
        <v>37</v>
      </c>
      <c r="Q2247" t="s">
        <v>204</v>
      </c>
      <c r="R2247">
        <v>274</v>
      </c>
      <c r="S2247">
        <v>124</v>
      </c>
      <c r="T2247">
        <v>81</v>
      </c>
      <c r="U2247">
        <v>19</v>
      </c>
      <c r="V2247" t="s">
        <v>2114</v>
      </c>
      <c r="W2247">
        <v>32706</v>
      </c>
      <c r="X2247" t="s">
        <v>2116</v>
      </c>
      <c r="Y2247">
        <v>28143</v>
      </c>
      <c r="Z2247">
        <v>621414</v>
      </c>
      <c r="AA2247">
        <v>86697</v>
      </c>
      <c r="AB2247" t="str">
        <f>(VLOOKUP(SalesData[[#This Row],[Month Number]],Reference!C$5:E$16,2,FALSE))</f>
        <v>Feb</v>
      </c>
      <c r="AC2247">
        <f>MONTH(SalesData[[#This Row],[Date]])</f>
        <v>2</v>
      </c>
      <c r="AD2247">
        <f>Reference!F$4</f>
        <v>2026</v>
      </c>
      <c r="AE2247" t="str">
        <f>IF(OR(SalesData[[#This Row],[Day]]="Saturday",SalesData[[#This Row],[Day]]="Sunday"),"Weekend","Weekday")</f>
        <v>Weekday</v>
      </c>
      <c r="AF2247" s="5">
        <f>IF(SalesData[[#This Row],[Contracts Offered]]=0,0,SalesData[[#This Row],[Contracts Signed]]/SalesData[[#This Row],[Contracts Offered]])</f>
        <v>0.23456790123456789</v>
      </c>
      <c r="AG2247" s="5">
        <f>IF(SalesData[[#This Row],[Customers Visited]]=0,0,SalesData[[#This Row],[Test Drives]]/SalesData[[#This Row],[Customers Visited]])</f>
        <v>0.45255474452554745</v>
      </c>
      <c r="AH2247" s="5">
        <f>IF(SalesData[[#This Row],[Customers Visited]]=0,0,SalesData[[#This Row],[Contracts Signed]]/SalesData[[#This Row],[Customers Visited]])</f>
        <v>6.9343065693430656E-2</v>
      </c>
      <c r="AI2247" s="6">
        <f>IF(SalesData[[#This Row],[Contracts Signed]]=0,0,SalesData[[#This Row],[Profit(€)]]/SalesData[[#This Row],[Contracts Signed]])</f>
        <v>4563</v>
      </c>
      <c r="AJ2247" s="5" t="str">
        <f>TRIM(CLEAN(SalesData[[#This Row],[Retailer]]))</f>
        <v>Ruhr Auto Plaza</v>
      </c>
    </row>
    <row r="2248" spans="1:36" ht="14.25" x14ac:dyDescent="0.2">
      <c r="A2248" t="s">
        <v>3287</v>
      </c>
      <c r="B2248" s="1">
        <v>46076</v>
      </c>
      <c r="C2248" t="s">
        <v>53</v>
      </c>
      <c r="D2248" t="s">
        <v>25</v>
      </c>
      <c r="E2248" t="s">
        <v>26</v>
      </c>
      <c r="F2248" t="s">
        <v>127</v>
      </c>
      <c r="G2248" t="s">
        <v>128</v>
      </c>
      <c r="H2248" t="s">
        <v>103</v>
      </c>
      <c r="I2248" t="s">
        <v>30</v>
      </c>
      <c r="J2248" t="s">
        <v>86</v>
      </c>
      <c r="K2248" t="s">
        <v>66</v>
      </c>
      <c r="L2248" t="s">
        <v>33</v>
      </c>
      <c r="M2248" t="s">
        <v>68</v>
      </c>
      <c r="N2248" t="s">
        <v>69</v>
      </c>
      <c r="O2248" t="s">
        <v>36</v>
      </c>
      <c r="P2248" t="s">
        <v>49</v>
      </c>
      <c r="Q2248" t="s">
        <v>129</v>
      </c>
      <c r="R2248">
        <v>144</v>
      </c>
      <c r="S2248">
        <v>84</v>
      </c>
      <c r="T2248">
        <v>64</v>
      </c>
      <c r="U2248">
        <v>21</v>
      </c>
      <c r="V2248" t="s">
        <v>6403</v>
      </c>
      <c r="W2248">
        <v>53984</v>
      </c>
      <c r="X2248" t="s">
        <v>39</v>
      </c>
      <c r="Y2248">
        <v>41216</v>
      </c>
      <c r="Z2248">
        <v>1133664</v>
      </c>
      <c r="AA2248">
        <v>268128</v>
      </c>
      <c r="AB2248" t="str">
        <f>(VLOOKUP(SalesData[[#This Row],[Month Number]],Reference!C$5:E$16,2,FALSE))</f>
        <v>Feb</v>
      </c>
      <c r="AC2248">
        <f>MONTH(SalesData[[#This Row],[Date]])</f>
        <v>2</v>
      </c>
      <c r="AD2248">
        <f>Reference!F$4</f>
        <v>2026</v>
      </c>
      <c r="AE2248" t="str">
        <f>IF(OR(SalesData[[#This Row],[Day]]="Saturday",SalesData[[#This Row],[Day]]="Sunday"),"Weekend","Weekday")</f>
        <v>Weekday</v>
      </c>
      <c r="AF2248" s="5">
        <f>IF(SalesData[[#This Row],[Contracts Offered]]=0,0,SalesData[[#This Row],[Contracts Signed]]/SalesData[[#This Row],[Contracts Offered]])</f>
        <v>0.328125</v>
      </c>
      <c r="AG2248" s="5">
        <f>IF(SalesData[[#This Row],[Customers Visited]]=0,0,SalesData[[#This Row],[Test Drives]]/SalesData[[#This Row],[Customers Visited]])</f>
        <v>0.58333333333333337</v>
      </c>
      <c r="AH2248" s="5">
        <f>IF(SalesData[[#This Row],[Customers Visited]]=0,0,SalesData[[#This Row],[Contracts Signed]]/SalesData[[#This Row],[Customers Visited]])</f>
        <v>0.14583333333333334</v>
      </c>
      <c r="AI2248" s="6">
        <f>IF(SalesData[[#This Row],[Contracts Signed]]=0,0,SalesData[[#This Row],[Profit(€)]]/SalesData[[#This Row],[Contracts Signed]])</f>
        <v>12768</v>
      </c>
      <c r="AJ2248" s="5" t="str">
        <f>TRIM(CLEAN(SalesData[[#This Row],[Retailer]]))</f>
        <v>Rhein Auto Group</v>
      </c>
    </row>
    <row r="2249" spans="1:36" ht="14.25" hidden="1" x14ac:dyDescent="0.2">
      <c r="A2249" t="s">
        <v>3289</v>
      </c>
      <c r="B2249" s="1">
        <v>46071</v>
      </c>
      <c r="C2249" t="s">
        <v>62</v>
      </c>
      <c r="D2249" t="s">
        <v>82</v>
      </c>
      <c r="E2249" t="s">
        <v>26</v>
      </c>
      <c r="F2249" t="s">
        <v>74</v>
      </c>
      <c r="G2249" t="s">
        <v>75</v>
      </c>
      <c r="H2249" t="s">
        <v>76</v>
      </c>
      <c r="I2249" t="s">
        <v>116</v>
      </c>
      <c r="J2249" t="s">
        <v>117</v>
      </c>
      <c r="K2249" t="s">
        <v>66</v>
      </c>
      <c r="L2249" t="s">
        <v>67</v>
      </c>
      <c r="M2249" t="s">
        <v>68</v>
      </c>
      <c r="N2249" t="s">
        <v>48</v>
      </c>
      <c r="O2249" t="s">
        <v>36</v>
      </c>
      <c r="P2249" t="s">
        <v>71</v>
      </c>
      <c r="Q2249" t="s">
        <v>204</v>
      </c>
      <c r="R2249">
        <v>329</v>
      </c>
      <c r="S2249">
        <v>161</v>
      </c>
      <c r="T2249">
        <v>95</v>
      </c>
      <c r="U2249">
        <v>26</v>
      </c>
      <c r="V2249" t="s">
        <v>3319</v>
      </c>
      <c r="W2249">
        <v>21153</v>
      </c>
      <c r="X2249" t="s">
        <v>4184</v>
      </c>
      <c r="Y2249">
        <v>19028</v>
      </c>
      <c r="Z2249">
        <v>549978</v>
      </c>
      <c r="AA2249">
        <v>55250</v>
      </c>
      <c r="AB2249" t="str">
        <f>(VLOOKUP(SalesData[[#This Row],[Month Number]],Reference!C$5:E$16,2,FALSE))</f>
        <v>Feb</v>
      </c>
      <c r="AC2249">
        <f>MONTH(SalesData[[#This Row],[Date]])</f>
        <v>2</v>
      </c>
      <c r="AD2249">
        <f>Reference!F$4</f>
        <v>2026</v>
      </c>
      <c r="AE2249" t="str">
        <f>IF(OR(SalesData[[#This Row],[Day]]="Saturday",SalesData[[#This Row],[Day]]="Sunday"),"Weekend","Weekday")</f>
        <v>Weekday</v>
      </c>
      <c r="AF2249" s="5">
        <f>IF(SalesData[[#This Row],[Contracts Offered]]=0,0,SalesData[[#This Row],[Contracts Signed]]/SalesData[[#This Row],[Contracts Offered]])</f>
        <v>0.27368421052631581</v>
      </c>
      <c r="AG2249" s="5">
        <f>IF(SalesData[[#This Row],[Customers Visited]]=0,0,SalesData[[#This Row],[Test Drives]]/SalesData[[#This Row],[Customers Visited]])</f>
        <v>0.48936170212765956</v>
      </c>
      <c r="AH2249" s="5">
        <f>IF(SalesData[[#This Row],[Customers Visited]]=0,0,SalesData[[#This Row],[Contracts Signed]]/SalesData[[#This Row],[Customers Visited]])</f>
        <v>7.9027355623100301E-2</v>
      </c>
      <c r="AI2249" s="6">
        <f>IF(SalesData[[#This Row],[Contracts Signed]]=0,0,SalesData[[#This Row],[Profit(€)]]/SalesData[[#This Row],[Contracts Signed]])</f>
        <v>2125</v>
      </c>
      <c r="AJ2249" s="5" t="str">
        <f>TRIM(CLEAN(SalesData[[#This Row],[Retailer]]))</f>
        <v>Stuttgart Auto Center</v>
      </c>
    </row>
    <row r="2250" spans="1:36" ht="14.25" hidden="1" x14ac:dyDescent="0.2">
      <c r="A2250" t="s">
        <v>3290</v>
      </c>
      <c r="B2250" s="1">
        <v>46073</v>
      </c>
      <c r="C2250" t="s">
        <v>62</v>
      </c>
      <c r="D2250" t="s">
        <v>54</v>
      </c>
      <c r="E2250" t="s">
        <v>26</v>
      </c>
      <c r="F2250" t="s">
        <v>114</v>
      </c>
      <c r="G2250" t="s">
        <v>115</v>
      </c>
      <c r="H2250" t="s">
        <v>115</v>
      </c>
      <c r="I2250" t="s">
        <v>116</v>
      </c>
      <c r="J2250" t="s">
        <v>132</v>
      </c>
      <c r="K2250" t="s">
        <v>78</v>
      </c>
      <c r="L2250" t="s">
        <v>46</v>
      </c>
      <c r="M2250" t="s">
        <v>34</v>
      </c>
      <c r="N2250" t="s">
        <v>69</v>
      </c>
      <c r="O2250" t="s">
        <v>36</v>
      </c>
      <c r="P2250" t="s">
        <v>71</v>
      </c>
      <c r="Q2250" t="s">
        <v>167</v>
      </c>
      <c r="R2250">
        <v>419</v>
      </c>
      <c r="S2250">
        <v>230</v>
      </c>
      <c r="T2250">
        <v>148</v>
      </c>
      <c r="U2250">
        <v>46</v>
      </c>
      <c r="V2250" t="s">
        <v>6410</v>
      </c>
      <c r="W2250">
        <v>23500</v>
      </c>
      <c r="X2250" t="s">
        <v>2543</v>
      </c>
      <c r="Y2250">
        <v>21608</v>
      </c>
      <c r="Z2250">
        <v>1081000</v>
      </c>
      <c r="AA2250">
        <v>87032</v>
      </c>
      <c r="AB2250" t="str">
        <f>(VLOOKUP(SalesData[[#This Row],[Month Number]],Reference!C$5:E$16,2,FALSE))</f>
        <v>Feb</v>
      </c>
      <c r="AC2250">
        <f>MONTH(SalesData[[#This Row],[Date]])</f>
        <v>2</v>
      </c>
      <c r="AD2250">
        <f>Reference!F$4</f>
        <v>2026</v>
      </c>
      <c r="AE2250" t="str">
        <f>IF(OR(SalesData[[#This Row],[Day]]="Saturday",SalesData[[#This Row],[Day]]="Sunday"),"Weekend","Weekday")</f>
        <v>Weekday</v>
      </c>
      <c r="AF2250" s="5">
        <f>IF(SalesData[[#This Row],[Contracts Offered]]=0,0,SalesData[[#This Row],[Contracts Signed]]/SalesData[[#This Row],[Contracts Offered]])</f>
        <v>0.3108108108108108</v>
      </c>
      <c r="AG2250" s="5">
        <f>IF(SalesData[[#This Row],[Customers Visited]]=0,0,SalesData[[#This Row],[Test Drives]]/SalesData[[#This Row],[Customers Visited]])</f>
        <v>0.54892601431980903</v>
      </c>
      <c r="AH2250" s="5">
        <f>IF(SalesData[[#This Row],[Customers Visited]]=0,0,SalesData[[#This Row],[Contracts Signed]]/SalesData[[#This Row],[Customers Visited]])</f>
        <v>0.10978520286396182</v>
      </c>
      <c r="AI2250" s="6">
        <f>IF(SalesData[[#This Row],[Contracts Signed]]=0,0,SalesData[[#This Row],[Profit(€)]]/SalesData[[#This Row],[Contracts Signed]])</f>
        <v>1892</v>
      </c>
      <c r="AJ2250" s="5" t="str">
        <f>TRIM(CLEAN(SalesData[[#This Row],[Retailer]]))</f>
        <v>Elbe Drive</v>
      </c>
    </row>
    <row r="2251" spans="1:36" ht="14.25" x14ac:dyDescent="0.2">
      <c r="A2251" t="s">
        <v>3291</v>
      </c>
      <c r="B2251" s="1">
        <v>46063</v>
      </c>
      <c r="C2251" t="s">
        <v>121</v>
      </c>
      <c r="D2251" t="s">
        <v>63</v>
      </c>
      <c r="E2251" t="s">
        <v>26</v>
      </c>
      <c r="F2251" t="s">
        <v>101</v>
      </c>
      <c r="G2251" t="s">
        <v>102</v>
      </c>
      <c r="H2251" t="s">
        <v>103</v>
      </c>
      <c r="I2251" t="s">
        <v>30</v>
      </c>
      <c r="J2251" t="s">
        <v>7075</v>
      </c>
      <c r="K2251" t="s">
        <v>91</v>
      </c>
      <c r="L2251" t="s">
        <v>33</v>
      </c>
      <c r="M2251" t="s">
        <v>34</v>
      </c>
      <c r="N2251" t="s">
        <v>69</v>
      </c>
      <c r="O2251" t="s">
        <v>70</v>
      </c>
      <c r="P2251" t="s">
        <v>49</v>
      </c>
      <c r="Q2251" t="s">
        <v>189</v>
      </c>
      <c r="R2251">
        <v>197</v>
      </c>
      <c r="S2251">
        <v>94</v>
      </c>
      <c r="T2251">
        <v>72</v>
      </c>
      <c r="U2251">
        <v>22</v>
      </c>
      <c r="V2251" t="s">
        <v>6801</v>
      </c>
      <c r="W2251">
        <v>59613</v>
      </c>
      <c r="X2251" t="s">
        <v>7239</v>
      </c>
      <c r="Y2251">
        <v>44993</v>
      </c>
      <c r="Z2251">
        <v>1311486</v>
      </c>
      <c r="AA2251">
        <v>321640</v>
      </c>
      <c r="AB2251" t="str">
        <f>(VLOOKUP(SalesData[[#This Row],[Month Number]],Reference!C$5:E$16,2,FALSE))</f>
        <v>Feb</v>
      </c>
      <c r="AC2251">
        <f>MONTH(SalesData[[#This Row],[Date]])</f>
        <v>2</v>
      </c>
      <c r="AD2251">
        <f>Reference!F$4</f>
        <v>2026</v>
      </c>
      <c r="AE2251" t="str">
        <f>IF(OR(SalesData[[#This Row],[Day]]="Saturday",SalesData[[#This Row],[Day]]="Sunday"),"Weekend","Weekday")</f>
        <v>Weekday</v>
      </c>
      <c r="AF2251" s="5">
        <f>IF(SalesData[[#This Row],[Contracts Offered]]=0,0,SalesData[[#This Row],[Contracts Signed]]/SalesData[[#This Row],[Contracts Offered]])</f>
        <v>0.30555555555555558</v>
      </c>
      <c r="AG2251" s="5">
        <f>IF(SalesData[[#This Row],[Customers Visited]]=0,0,SalesData[[#This Row],[Test Drives]]/SalesData[[#This Row],[Customers Visited]])</f>
        <v>0.47715736040609136</v>
      </c>
      <c r="AH2251" s="5">
        <f>IF(SalesData[[#This Row],[Customers Visited]]=0,0,SalesData[[#This Row],[Contracts Signed]]/SalesData[[#This Row],[Customers Visited]])</f>
        <v>0.1116751269035533</v>
      </c>
      <c r="AI2251" s="6">
        <f>IF(SalesData[[#This Row],[Contracts Signed]]=0,0,SalesData[[#This Row],[Profit(€)]]/SalesData[[#This Row],[Contracts Signed]])</f>
        <v>14620</v>
      </c>
      <c r="AJ2251" s="5" t="str">
        <f>TRIM(CLEAN(SalesData[[#This Row],[Retailer]]))</f>
        <v>Ruhr Auto Plaza</v>
      </c>
    </row>
    <row r="2252" spans="1:36" ht="14.25" x14ac:dyDescent="0.2">
      <c r="A2252" t="s">
        <v>3292</v>
      </c>
      <c r="B2252" s="1">
        <v>46080</v>
      </c>
      <c r="C2252" t="s">
        <v>53</v>
      </c>
      <c r="D2252" t="s">
        <v>54</v>
      </c>
      <c r="E2252" t="s">
        <v>26</v>
      </c>
      <c r="F2252" t="s">
        <v>127</v>
      </c>
      <c r="G2252" t="s">
        <v>128</v>
      </c>
      <c r="H2252" t="s">
        <v>103</v>
      </c>
      <c r="I2252" t="s">
        <v>30</v>
      </c>
      <c r="J2252" t="s">
        <v>188</v>
      </c>
      <c r="K2252" t="s">
        <v>66</v>
      </c>
      <c r="L2252" t="s">
        <v>33</v>
      </c>
      <c r="M2252" t="s">
        <v>87</v>
      </c>
      <c r="N2252" t="s">
        <v>48</v>
      </c>
      <c r="O2252" t="s">
        <v>70</v>
      </c>
      <c r="P2252" t="s">
        <v>37</v>
      </c>
      <c r="Q2252" t="s">
        <v>169</v>
      </c>
      <c r="R2252">
        <v>202</v>
      </c>
      <c r="S2252">
        <v>112</v>
      </c>
      <c r="T2252">
        <v>90</v>
      </c>
      <c r="U2252">
        <v>30</v>
      </c>
      <c r="V2252" t="s">
        <v>6684</v>
      </c>
      <c r="W2252">
        <v>61796</v>
      </c>
      <c r="X2252" t="s">
        <v>7115</v>
      </c>
      <c r="Y2252">
        <v>45596</v>
      </c>
      <c r="Z2252">
        <v>1853880</v>
      </c>
      <c r="AA2252">
        <v>486000</v>
      </c>
      <c r="AB2252" t="str">
        <f>(VLOOKUP(SalesData[[#This Row],[Month Number]],Reference!C$5:E$16,2,FALSE))</f>
        <v>Feb</v>
      </c>
      <c r="AC2252">
        <f>MONTH(SalesData[[#This Row],[Date]])</f>
        <v>2</v>
      </c>
      <c r="AD2252">
        <f>Reference!F$4</f>
        <v>2026</v>
      </c>
      <c r="AE2252" t="str">
        <f>IF(OR(SalesData[[#This Row],[Day]]="Saturday",SalesData[[#This Row],[Day]]="Sunday"),"Weekend","Weekday")</f>
        <v>Weekday</v>
      </c>
      <c r="AF2252" s="5">
        <f>IF(SalesData[[#This Row],[Contracts Offered]]=0,0,SalesData[[#This Row],[Contracts Signed]]/SalesData[[#This Row],[Contracts Offered]])</f>
        <v>0.33333333333333331</v>
      </c>
      <c r="AG2252" s="5">
        <f>IF(SalesData[[#This Row],[Customers Visited]]=0,0,SalesData[[#This Row],[Test Drives]]/SalesData[[#This Row],[Customers Visited]])</f>
        <v>0.5544554455445545</v>
      </c>
      <c r="AH2252" s="5">
        <f>IF(SalesData[[#This Row],[Customers Visited]]=0,0,SalesData[[#This Row],[Contracts Signed]]/SalesData[[#This Row],[Customers Visited]])</f>
        <v>0.14851485148514851</v>
      </c>
      <c r="AI2252" s="6">
        <f>IF(SalesData[[#This Row],[Contracts Signed]]=0,0,SalesData[[#This Row],[Profit(€)]]/SalesData[[#This Row],[Contracts Signed]])</f>
        <v>16200</v>
      </c>
      <c r="AJ2252" s="5" t="str">
        <f>TRIM(CLEAN(SalesData[[#This Row],[Retailer]]))</f>
        <v>Rhein Auto Group</v>
      </c>
    </row>
    <row r="2253" spans="1:36" ht="14.25" hidden="1" x14ac:dyDescent="0.2">
      <c r="A2253" t="s">
        <v>3293</v>
      </c>
      <c r="B2253" s="1">
        <v>46056</v>
      </c>
      <c r="C2253" t="s">
        <v>24</v>
      </c>
      <c r="D2253" t="s">
        <v>63</v>
      </c>
      <c r="E2253" t="s">
        <v>26</v>
      </c>
      <c r="F2253" t="s">
        <v>74</v>
      </c>
      <c r="G2253" t="s">
        <v>75</v>
      </c>
      <c r="H2253" t="s">
        <v>76</v>
      </c>
      <c r="I2253" t="s">
        <v>104</v>
      </c>
      <c r="J2253" t="s">
        <v>140</v>
      </c>
      <c r="K2253" t="s">
        <v>78</v>
      </c>
      <c r="L2253" t="s">
        <v>46</v>
      </c>
      <c r="M2253" t="s">
        <v>34</v>
      </c>
      <c r="N2253" t="s">
        <v>69</v>
      </c>
      <c r="O2253" t="s">
        <v>36</v>
      </c>
      <c r="P2253" t="s">
        <v>49</v>
      </c>
      <c r="Q2253" t="s">
        <v>106</v>
      </c>
      <c r="R2253">
        <v>462</v>
      </c>
      <c r="S2253">
        <v>192</v>
      </c>
      <c r="T2253">
        <v>119</v>
      </c>
      <c r="U2253">
        <v>33</v>
      </c>
      <c r="V2253" t="s">
        <v>2987</v>
      </c>
      <c r="W2253">
        <v>34557</v>
      </c>
      <c r="X2253" t="s">
        <v>1174</v>
      </c>
      <c r="Y2253">
        <v>31309</v>
      </c>
      <c r="Z2253">
        <v>1140381</v>
      </c>
      <c r="AA2253">
        <v>107184</v>
      </c>
      <c r="AB2253" t="str">
        <f>(VLOOKUP(SalesData[[#This Row],[Month Number]],Reference!C$5:E$16,2,FALSE))</f>
        <v>Feb</v>
      </c>
      <c r="AC2253">
        <f>MONTH(SalesData[[#This Row],[Date]])</f>
        <v>2</v>
      </c>
      <c r="AD2253">
        <f>Reference!F$4</f>
        <v>2026</v>
      </c>
      <c r="AE2253" t="str">
        <f>IF(OR(SalesData[[#This Row],[Day]]="Saturday",SalesData[[#This Row],[Day]]="Sunday"),"Weekend","Weekday")</f>
        <v>Weekday</v>
      </c>
      <c r="AF2253" s="5">
        <f>IF(SalesData[[#This Row],[Contracts Offered]]=0,0,SalesData[[#This Row],[Contracts Signed]]/SalesData[[#This Row],[Contracts Offered]])</f>
        <v>0.27731092436974791</v>
      </c>
      <c r="AG2253" s="5">
        <f>IF(SalesData[[#This Row],[Customers Visited]]=0,0,SalesData[[#This Row],[Test Drives]]/SalesData[[#This Row],[Customers Visited]])</f>
        <v>0.41558441558441561</v>
      </c>
      <c r="AH2253" s="5">
        <f>IF(SalesData[[#This Row],[Customers Visited]]=0,0,SalesData[[#This Row],[Contracts Signed]]/SalesData[[#This Row],[Customers Visited]])</f>
        <v>7.1428571428571425E-2</v>
      </c>
      <c r="AI2253" s="6">
        <f>IF(SalesData[[#This Row],[Contracts Signed]]=0,0,SalesData[[#This Row],[Profit(€)]]/SalesData[[#This Row],[Contracts Signed]])</f>
        <v>3248</v>
      </c>
      <c r="AJ2253" s="5" t="str">
        <f>TRIM(CLEAN(SalesData[[#This Row],[Retailer]]))</f>
        <v>Stuttgart Auto Center</v>
      </c>
    </row>
    <row r="2254" spans="1:36" ht="14.25" hidden="1" x14ac:dyDescent="0.2">
      <c r="A2254" t="s">
        <v>3294</v>
      </c>
      <c r="B2254" s="1">
        <v>46068</v>
      </c>
      <c r="C2254" t="s">
        <v>62</v>
      </c>
      <c r="D2254" t="s">
        <v>41</v>
      </c>
      <c r="E2254" t="s">
        <v>42</v>
      </c>
      <c r="F2254" t="s">
        <v>101</v>
      </c>
      <c r="G2254" t="s">
        <v>102</v>
      </c>
      <c r="H2254" t="s">
        <v>103</v>
      </c>
      <c r="I2254" t="s">
        <v>116</v>
      </c>
      <c r="J2254" t="s">
        <v>203</v>
      </c>
      <c r="K2254" t="s">
        <v>66</v>
      </c>
      <c r="L2254" t="s">
        <v>67</v>
      </c>
      <c r="M2254" t="s">
        <v>87</v>
      </c>
      <c r="N2254" t="s">
        <v>48</v>
      </c>
      <c r="O2254" t="s">
        <v>36</v>
      </c>
      <c r="P2254" t="s">
        <v>49</v>
      </c>
      <c r="Q2254" t="s">
        <v>38</v>
      </c>
      <c r="R2254">
        <v>264</v>
      </c>
      <c r="S2254">
        <v>101</v>
      </c>
      <c r="T2254">
        <v>65</v>
      </c>
      <c r="U2254">
        <v>15</v>
      </c>
      <c r="V2254" t="s">
        <v>1319</v>
      </c>
      <c r="W2254">
        <v>22970</v>
      </c>
      <c r="X2254" t="s">
        <v>1759</v>
      </c>
      <c r="Y2254">
        <v>20976</v>
      </c>
      <c r="Z2254">
        <v>344550</v>
      </c>
      <c r="AA2254">
        <v>29910</v>
      </c>
      <c r="AB2254" t="str">
        <f>(VLOOKUP(SalesData[[#This Row],[Month Number]],Reference!C$5:E$16,2,FALSE))</f>
        <v>Feb</v>
      </c>
      <c r="AC2254">
        <f>MONTH(SalesData[[#This Row],[Date]])</f>
        <v>2</v>
      </c>
      <c r="AD2254">
        <f>Reference!F$4</f>
        <v>2026</v>
      </c>
      <c r="AE2254" t="str">
        <f>IF(OR(SalesData[[#This Row],[Day]]="Saturday",SalesData[[#This Row],[Day]]="Sunday"),"Weekend","Weekday")</f>
        <v>Weekend</v>
      </c>
      <c r="AF2254" s="5">
        <f>IF(SalesData[[#This Row],[Contracts Offered]]=0,0,SalesData[[#This Row],[Contracts Signed]]/SalesData[[#This Row],[Contracts Offered]])</f>
        <v>0.23076923076923078</v>
      </c>
      <c r="AG2254" s="5">
        <f>IF(SalesData[[#This Row],[Customers Visited]]=0,0,SalesData[[#This Row],[Test Drives]]/SalesData[[#This Row],[Customers Visited]])</f>
        <v>0.38257575757575757</v>
      </c>
      <c r="AH2254" s="5">
        <f>IF(SalesData[[#This Row],[Customers Visited]]=0,0,SalesData[[#This Row],[Contracts Signed]]/SalesData[[#This Row],[Customers Visited]])</f>
        <v>5.6818181818181816E-2</v>
      </c>
      <c r="AI2254" s="6">
        <f>IF(SalesData[[#This Row],[Contracts Signed]]=0,0,SalesData[[#This Row],[Profit(€)]]/SalesData[[#This Row],[Contracts Signed]])</f>
        <v>1994</v>
      </c>
      <c r="AJ2254" s="5" t="str">
        <f>TRIM(CLEAN(SalesData[[#This Row],[Retailer]]))</f>
        <v>Ruhr Auto Plaza</v>
      </c>
    </row>
    <row r="2255" spans="1:36" ht="14.25" hidden="1" x14ac:dyDescent="0.2">
      <c r="A2255" t="s">
        <v>3295</v>
      </c>
      <c r="B2255" s="1">
        <v>46078</v>
      </c>
      <c r="C2255" t="s">
        <v>53</v>
      </c>
      <c r="D2255" t="s">
        <v>82</v>
      </c>
      <c r="E2255" t="s">
        <v>26</v>
      </c>
      <c r="F2255" t="s">
        <v>101</v>
      </c>
      <c r="G2255" t="s">
        <v>102</v>
      </c>
      <c r="H2255" t="s">
        <v>103</v>
      </c>
      <c r="I2255" t="s">
        <v>64</v>
      </c>
      <c r="J2255" t="s">
        <v>7029</v>
      </c>
      <c r="K2255" t="s">
        <v>32</v>
      </c>
      <c r="L2255" t="s">
        <v>33</v>
      </c>
      <c r="M2255" t="s">
        <v>34</v>
      </c>
      <c r="N2255" t="s">
        <v>48</v>
      </c>
      <c r="O2255" t="s">
        <v>70</v>
      </c>
      <c r="P2255" t="s">
        <v>71</v>
      </c>
      <c r="Q2255" t="s">
        <v>79</v>
      </c>
      <c r="R2255">
        <v>150</v>
      </c>
      <c r="S2255">
        <v>79</v>
      </c>
      <c r="T2255">
        <v>56</v>
      </c>
      <c r="U2255">
        <v>18</v>
      </c>
      <c r="V2255" t="s">
        <v>6634</v>
      </c>
      <c r="W2255">
        <v>72175</v>
      </c>
      <c r="X2255" t="s">
        <v>7219</v>
      </c>
      <c r="Y2255">
        <v>56217</v>
      </c>
      <c r="Z2255">
        <v>1299150</v>
      </c>
      <c r="AA2255">
        <v>287244</v>
      </c>
      <c r="AB2255" t="str">
        <f>(VLOOKUP(SalesData[[#This Row],[Month Number]],Reference!C$5:E$16,2,FALSE))</f>
        <v>Feb</v>
      </c>
      <c r="AC2255">
        <f>MONTH(SalesData[[#This Row],[Date]])</f>
        <v>2</v>
      </c>
      <c r="AD2255">
        <f>Reference!F$4</f>
        <v>2026</v>
      </c>
      <c r="AE2255" t="str">
        <f>IF(OR(SalesData[[#This Row],[Day]]="Saturday",SalesData[[#This Row],[Day]]="Sunday"),"Weekend","Weekday")</f>
        <v>Weekday</v>
      </c>
      <c r="AF2255" s="5">
        <f>IF(SalesData[[#This Row],[Contracts Offered]]=0,0,SalesData[[#This Row],[Contracts Signed]]/SalesData[[#This Row],[Contracts Offered]])</f>
        <v>0.32142857142857145</v>
      </c>
      <c r="AG2255" s="5">
        <f>IF(SalesData[[#This Row],[Customers Visited]]=0,0,SalesData[[#This Row],[Test Drives]]/SalesData[[#This Row],[Customers Visited]])</f>
        <v>0.52666666666666662</v>
      </c>
      <c r="AH2255" s="5">
        <f>IF(SalesData[[#This Row],[Customers Visited]]=0,0,SalesData[[#This Row],[Contracts Signed]]/SalesData[[#This Row],[Customers Visited]])</f>
        <v>0.12</v>
      </c>
      <c r="AI2255" s="6">
        <f>IF(SalesData[[#This Row],[Contracts Signed]]=0,0,SalesData[[#This Row],[Profit(€)]]/SalesData[[#This Row],[Contracts Signed]])</f>
        <v>15958</v>
      </c>
      <c r="AJ2255" s="5" t="str">
        <f>TRIM(CLEAN(SalesData[[#This Row],[Retailer]]))</f>
        <v>Ruhr Auto Plaza</v>
      </c>
    </row>
    <row r="2256" spans="1:36" ht="14.25" hidden="1" x14ac:dyDescent="0.2">
      <c r="A2256" t="s">
        <v>3296</v>
      </c>
      <c r="B2256" s="1">
        <v>46054</v>
      </c>
      <c r="C2256" t="s">
        <v>24</v>
      </c>
      <c r="D2256" t="s">
        <v>41</v>
      </c>
      <c r="E2256" t="s">
        <v>42</v>
      </c>
      <c r="F2256" t="s">
        <v>43</v>
      </c>
      <c r="G2256" t="s">
        <v>44</v>
      </c>
      <c r="H2256" t="s">
        <v>45</v>
      </c>
      <c r="I2256" t="s">
        <v>116</v>
      </c>
      <c r="J2256" t="s">
        <v>7090</v>
      </c>
      <c r="K2256" t="s">
        <v>32</v>
      </c>
      <c r="L2256" t="s">
        <v>46</v>
      </c>
      <c r="M2256" t="s">
        <v>34</v>
      </c>
      <c r="N2256" t="s">
        <v>48</v>
      </c>
      <c r="O2256" t="s">
        <v>36</v>
      </c>
      <c r="P2256" t="s">
        <v>49</v>
      </c>
      <c r="Q2256" t="s">
        <v>50</v>
      </c>
      <c r="R2256">
        <v>319</v>
      </c>
      <c r="S2256">
        <v>160</v>
      </c>
      <c r="T2256">
        <v>109</v>
      </c>
      <c r="U2256">
        <v>21</v>
      </c>
      <c r="V2256" t="s">
        <v>1414</v>
      </c>
      <c r="W2256">
        <v>22705</v>
      </c>
      <c r="X2256" t="s">
        <v>4732</v>
      </c>
      <c r="Y2256">
        <v>20241</v>
      </c>
      <c r="Z2256">
        <v>476805</v>
      </c>
      <c r="AA2256">
        <v>51744</v>
      </c>
      <c r="AB2256" t="str">
        <f>(VLOOKUP(SalesData[[#This Row],[Month Number]],Reference!C$5:E$16,2,FALSE))</f>
        <v>Feb</v>
      </c>
      <c r="AC2256">
        <f>MONTH(SalesData[[#This Row],[Date]])</f>
        <v>2</v>
      </c>
      <c r="AD2256">
        <f>Reference!F$4</f>
        <v>2026</v>
      </c>
      <c r="AE2256" t="str">
        <f>IF(OR(SalesData[[#This Row],[Day]]="Saturday",SalesData[[#This Row],[Day]]="Sunday"),"Weekend","Weekday")</f>
        <v>Weekend</v>
      </c>
      <c r="AF2256" s="5">
        <f>IF(SalesData[[#This Row],[Contracts Offered]]=0,0,SalesData[[#This Row],[Contracts Signed]]/SalesData[[#This Row],[Contracts Offered]])</f>
        <v>0.19266055045871561</v>
      </c>
      <c r="AG2256" s="5">
        <f>IF(SalesData[[#This Row],[Customers Visited]]=0,0,SalesData[[#This Row],[Test Drives]]/SalesData[[#This Row],[Customers Visited]])</f>
        <v>0.50156739811912221</v>
      </c>
      <c r="AH2256" s="5">
        <f>IF(SalesData[[#This Row],[Customers Visited]]=0,0,SalesData[[#This Row],[Contracts Signed]]/SalesData[[#This Row],[Customers Visited]])</f>
        <v>6.5830721003134793E-2</v>
      </c>
      <c r="AI2256" s="6">
        <f>IF(SalesData[[#This Row],[Contracts Signed]]=0,0,SalesData[[#This Row],[Profit(€)]]/SalesData[[#This Row],[Contracts Signed]])</f>
        <v>2464</v>
      </c>
      <c r="AJ2256" s="5" t="str">
        <f>TRIM(CLEAN(SalesData[[#This Row],[Retailer]]))</f>
        <v>Saxon Wheels</v>
      </c>
    </row>
    <row r="2257" spans="1:36" ht="14.25" hidden="1" x14ac:dyDescent="0.2">
      <c r="A2257" t="s">
        <v>3297</v>
      </c>
      <c r="B2257" s="1">
        <v>46071</v>
      </c>
      <c r="C2257" t="s">
        <v>62</v>
      </c>
      <c r="D2257" t="s">
        <v>82</v>
      </c>
      <c r="E2257" t="s">
        <v>26</v>
      </c>
      <c r="F2257" t="s">
        <v>27</v>
      </c>
      <c r="G2257" t="s">
        <v>28</v>
      </c>
      <c r="H2257" t="s">
        <v>29</v>
      </c>
      <c r="I2257" t="s">
        <v>104</v>
      </c>
      <c r="J2257" t="s">
        <v>7031</v>
      </c>
      <c r="K2257" t="s">
        <v>32</v>
      </c>
      <c r="L2257" t="s">
        <v>46</v>
      </c>
      <c r="M2257" t="s">
        <v>87</v>
      </c>
      <c r="N2257" t="s">
        <v>69</v>
      </c>
      <c r="O2257" t="s">
        <v>70</v>
      </c>
      <c r="P2257" t="s">
        <v>58</v>
      </c>
      <c r="Q2257" t="s">
        <v>79</v>
      </c>
      <c r="R2257">
        <v>281</v>
      </c>
      <c r="S2257">
        <v>129</v>
      </c>
      <c r="T2257">
        <v>82</v>
      </c>
      <c r="U2257">
        <v>25</v>
      </c>
      <c r="V2257" t="s">
        <v>4828</v>
      </c>
      <c r="W2257">
        <v>29869</v>
      </c>
      <c r="X2257" t="s">
        <v>175</v>
      </c>
      <c r="Y2257">
        <v>25972</v>
      </c>
      <c r="Z2257">
        <v>746725</v>
      </c>
      <c r="AA2257">
        <v>97425</v>
      </c>
      <c r="AB2257" t="str">
        <f>(VLOOKUP(SalesData[[#This Row],[Month Number]],Reference!C$5:E$16,2,FALSE))</f>
        <v>Feb</v>
      </c>
      <c r="AC2257">
        <f>MONTH(SalesData[[#This Row],[Date]])</f>
        <v>2</v>
      </c>
      <c r="AD2257">
        <f>Reference!F$4</f>
        <v>2026</v>
      </c>
      <c r="AE2257" t="str">
        <f>IF(OR(SalesData[[#This Row],[Day]]="Saturday",SalesData[[#This Row],[Day]]="Sunday"),"Weekend","Weekday")</f>
        <v>Weekday</v>
      </c>
      <c r="AF2257" s="5">
        <f>IF(SalesData[[#This Row],[Contracts Offered]]=0,0,SalesData[[#This Row],[Contracts Signed]]/SalesData[[#This Row],[Contracts Offered]])</f>
        <v>0.3048780487804878</v>
      </c>
      <c r="AG2257" s="5">
        <f>IF(SalesData[[#This Row],[Customers Visited]]=0,0,SalesData[[#This Row],[Test Drives]]/SalesData[[#This Row],[Customers Visited]])</f>
        <v>0.45907473309608543</v>
      </c>
      <c r="AH2257" s="5">
        <f>IF(SalesData[[#This Row],[Customers Visited]]=0,0,SalesData[[#This Row],[Contracts Signed]]/SalesData[[#This Row],[Customers Visited]])</f>
        <v>8.8967971530249115E-2</v>
      </c>
      <c r="AI2257" s="6">
        <f>IF(SalesData[[#This Row],[Contracts Signed]]=0,0,SalesData[[#This Row],[Profit(€)]]/SalesData[[#This Row],[Contracts Signed]])</f>
        <v>3897</v>
      </c>
      <c r="AJ2257" s="5" t="str">
        <f>TRIM(CLEAN(SalesData[[#This Row],[Retailer]]))</f>
        <v>Main Auto Hub</v>
      </c>
    </row>
    <row r="2258" spans="1:36" ht="14.25" hidden="1" x14ac:dyDescent="0.2">
      <c r="A2258" t="s">
        <v>3298</v>
      </c>
      <c r="B2258" s="1">
        <v>46081</v>
      </c>
      <c r="C2258" t="s">
        <v>53</v>
      </c>
      <c r="D2258" t="s">
        <v>151</v>
      </c>
      <c r="E2258" t="s">
        <v>42</v>
      </c>
      <c r="F2258" t="s">
        <v>101</v>
      </c>
      <c r="G2258" t="s">
        <v>102</v>
      </c>
      <c r="H2258" t="s">
        <v>103</v>
      </c>
      <c r="I2258" t="s">
        <v>116</v>
      </c>
      <c r="J2258" t="s">
        <v>132</v>
      </c>
      <c r="K2258" t="s">
        <v>66</v>
      </c>
      <c r="L2258" t="s">
        <v>46</v>
      </c>
      <c r="M2258" t="s">
        <v>87</v>
      </c>
      <c r="N2258" t="s">
        <v>35</v>
      </c>
      <c r="O2258" t="s">
        <v>36</v>
      </c>
      <c r="P2258" t="s">
        <v>37</v>
      </c>
      <c r="Q2258" t="s">
        <v>106</v>
      </c>
      <c r="R2258">
        <v>282</v>
      </c>
      <c r="S2258">
        <v>130</v>
      </c>
      <c r="T2258">
        <v>89</v>
      </c>
      <c r="U2258">
        <v>15</v>
      </c>
      <c r="V2258" t="s">
        <v>979</v>
      </c>
      <c r="W2258">
        <v>24308</v>
      </c>
      <c r="X2258" t="s">
        <v>4265</v>
      </c>
      <c r="Y2258">
        <v>21731</v>
      </c>
      <c r="Z2258">
        <v>364620</v>
      </c>
      <c r="AA2258">
        <v>38655</v>
      </c>
      <c r="AB2258" t="str">
        <f>(VLOOKUP(SalesData[[#This Row],[Month Number]],Reference!C$5:E$16,2,FALSE))</f>
        <v>Feb</v>
      </c>
      <c r="AC2258">
        <f>MONTH(SalesData[[#This Row],[Date]])</f>
        <v>2</v>
      </c>
      <c r="AD2258">
        <f>Reference!F$4</f>
        <v>2026</v>
      </c>
      <c r="AE2258" t="str">
        <f>IF(OR(SalesData[[#This Row],[Day]]="Saturday",SalesData[[#This Row],[Day]]="Sunday"),"Weekend","Weekday")</f>
        <v>Weekend</v>
      </c>
      <c r="AF2258" s="5">
        <f>IF(SalesData[[#This Row],[Contracts Offered]]=0,0,SalesData[[#This Row],[Contracts Signed]]/SalesData[[#This Row],[Contracts Offered]])</f>
        <v>0.16853932584269662</v>
      </c>
      <c r="AG2258" s="5">
        <f>IF(SalesData[[#This Row],[Customers Visited]]=0,0,SalesData[[#This Row],[Test Drives]]/SalesData[[#This Row],[Customers Visited]])</f>
        <v>0.46099290780141844</v>
      </c>
      <c r="AH2258" s="5">
        <f>IF(SalesData[[#This Row],[Customers Visited]]=0,0,SalesData[[#This Row],[Contracts Signed]]/SalesData[[#This Row],[Customers Visited]])</f>
        <v>5.3191489361702128E-2</v>
      </c>
      <c r="AI2258" s="6">
        <f>IF(SalesData[[#This Row],[Contracts Signed]]=0,0,SalesData[[#This Row],[Profit(€)]]/SalesData[[#This Row],[Contracts Signed]])</f>
        <v>2577</v>
      </c>
      <c r="AJ2258" s="5" t="str">
        <f>TRIM(CLEAN(SalesData[[#This Row],[Retailer]]))</f>
        <v>Ruhr Auto Plaza</v>
      </c>
    </row>
    <row r="2259" spans="1:36" ht="14.25" hidden="1" x14ac:dyDescent="0.2">
      <c r="A2259" t="s">
        <v>3299</v>
      </c>
      <c r="B2259" s="1">
        <v>46081</v>
      </c>
      <c r="C2259" t="s">
        <v>53</v>
      </c>
      <c r="D2259" t="s">
        <v>151</v>
      </c>
      <c r="E2259" t="s">
        <v>42</v>
      </c>
      <c r="F2259" t="s">
        <v>83</v>
      </c>
      <c r="G2259" t="s">
        <v>84</v>
      </c>
      <c r="H2259" t="s">
        <v>85</v>
      </c>
      <c r="I2259" t="s">
        <v>56</v>
      </c>
      <c r="J2259" t="s">
        <v>7028</v>
      </c>
      <c r="K2259" t="s">
        <v>91</v>
      </c>
      <c r="L2259" t="s">
        <v>46</v>
      </c>
      <c r="M2259" t="s">
        <v>68</v>
      </c>
      <c r="N2259" t="s">
        <v>69</v>
      </c>
      <c r="O2259" t="s">
        <v>70</v>
      </c>
      <c r="P2259" t="s">
        <v>49</v>
      </c>
      <c r="Q2259" t="s">
        <v>204</v>
      </c>
      <c r="R2259">
        <v>303</v>
      </c>
      <c r="S2259">
        <v>193</v>
      </c>
      <c r="T2259">
        <v>147</v>
      </c>
      <c r="U2259">
        <v>43</v>
      </c>
      <c r="V2259" t="s">
        <v>6707</v>
      </c>
      <c r="W2259">
        <v>54815</v>
      </c>
      <c r="X2259" t="s">
        <v>7087</v>
      </c>
      <c r="Y2259">
        <v>43101</v>
      </c>
      <c r="Z2259">
        <v>2357045</v>
      </c>
      <c r="AA2259">
        <v>503702</v>
      </c>
      <c r="AB2259" t="str">
        <f>(VLOOKUP(SalesData[[#This Row],[Month Number]],Reference!C$5:E$16,2,FALSE))</f>
        <v>Feb</v>
      </c>
      <c r="AC2259">
        <f>MONTH(SalesData[[#This Row],[Date]])</f>
        <v>2</v>
      </c>
      <c r="AD2259">
        <f>Reference!F$4</f>
        <v>2026</v>
      </c>
      <c r="AE2259" t="str">
        <f>IF(OR(SalesData[[#This Row],[Day]]="Saturday",SalesData[[#This Row],[Day]]="Sunday"),"Weekend","Weekday")</f>
        <v>Weekend</v>
      </c>
      <c r="AF2259" s="5">
        <f>IF(SalesData[[#This Row],[Contracts Offered]]=0,0,SalesData[[#This Row],[Contracts Signed]]/SalesData[[#This Row],[Contracts Offered]])</f>
        <v>0.29251700680272108</v>
      </c>
      <c r="AG2259" s="5">
        <f>IF(SalesData[[#This Row],[Customers Visited]]=0,0,SalesData[[#This Row],[Test Drives]]/SalesData[[#This Row],[Customers Visited]])</f>
        <v>0.63696369636963701</v>
      </c>
      <c r="AH2259" s="5">
        <f>IF(SalesData[[#This Row],[Customers Visited]]=0,0,SalesData[[#This Row],[Contracts Signed]]/SalesData[[#This Row],[Customers Visited]])</f>
        <v>0.14191419141914191</v>
      </c>
      <c r="AI2259" s="6">
        <f>IF(SalesData[[#This Row],[Contracts Signed]]=0,0,SalesData[[#This Row],[Profit(€)]]/SalesData[[#This Row],[Contracts Signed]])</f>
        <v>11714</v>
      </c>
      <c r="AJ2259" s="5" t="str">
        <f>TRIM(CLEAN(SalesData[[#This Row],[Retailer]]))</f>
        <v>Hannover Cars</v>
      </c>
    </row>
    <row r="2260" spans="1:36" ht="14.25" hidden="1" x14ac:dyDescent="0.2">
      <c r="A2260" t="s">
        <v>3300</v>
      </c>
      <c r="B2260" s="1">
        <v>46061</v>
      </c>
      <c r="C2260" t="s">
        <v>121</v>
      </c>
      <c r="D2260" t="s">
        <v>41</v>
      </c>
      <c r="E2260" t="s">
        <v>42</v>
      </c>
      <c r="F2260" t="s">
        <v>83</v>
      </c>
      <c r="G2260" t="s">
        <v>84</v>
      </c>
      <c r="H2260" t="s">
        <v>85</v>
      </c>
      <c r="I2260" t="s">
        <v>104</v>
      </c>
      <c r="J2260" t="s">
        <v>140</v>
      </c>
      <c r="K2260" t="s">
        <v>78</v>
      </c>
      <c r="L2260" t="s">
        <v>46</v>
      </c>
      <c r="M2260" t="s">
        <v>68</v>
      </c>
      <c r="N2260" t="s">
        <v>69</v>
      </c>
      <c r="O2260" t="s">
        <v>36</v>
      </c>
      <c r="P2260" t="s">
        <v>49</v>
      </c>
      <c r="Q2260" t="s">
        <v>50</v>
      </c>
      <c r="R2260">
        <v>269</v>
      </c>
      <c r="S2260">
        <v>114</v>
      </c>
      <c r="T2260">
        <v>82</v>
      </c>
      <c r="U2260">
        <v>18</v>
      </c>
      <c r="V2260" t="s">
        <v>456</v>
      </c>
      <c r="W2260">
        <v>27620</v>
      </c>
      <c r="X2260" t="s">
        <v>7048</v>
      </c>
      <c r="Y2260">
        <v>25040</v>
      </c>
      <c r="Z2260">
        <v>497160</v>
      </c>
      <c r="AA2260">
        <v>46440</v>
      </c>
      <c r="AB2260" t="str">
        <f>(VLOOKUP(SalesData[[#This Row],[Month Number]],Reference!C$5:E$16,2,FALSE))</f>
        <v>Feb</v>
      </c>
      <c r="AC2260">
        <f>MONTH(SalesData[[#This Row],[Date]])</f>
        <v>2</v>
      </c>
      <c r="AD2260">
        <f>Reference!F$4</f>
        <v>2026</v>
      </c>
      <c r="AE2260" t="str">
        <f>IF(OR(SalesData[[#This Row],[Day]]="Saturday",SalesData[[#This Row],[Day]]="Sunday"),"Weekend","Weekday")</f>
        <v>Weekend</v>
      </c>
      <c r="AF2260" s="5">
        <f>IF(SalesData[[#This Row],[Contracts Offered]]=0,0,SalesData[[#This Row],[Contracts Signed]]/SalesData[[#This Row],[Contracts Offered]])</f>
        <v>0.21951219512195122</v>
      </c>
      <c r="AG2260" s="5">
        <f>IF(SalesData[[#This Row],[Customers Visited]]=0,0,SalesData[[#This Row],[Test Drives]]/SalesData[[#This Row],[Customers Visited]])</f>
        <v>0.42379182156133827</v>
      </c>
      <c r="AH2260" s="5">
        <f>IF(SalesData[[#This Row],[Customers Visited]]=0,0,SalesData[[#This Row],[Contracts Signed]]/SalesData[[#This Row],[Customers Visited]])</f>
        <v>6.6914498141263934E-2</v>
      </c>
      <c r="AI2260" s="6">
        <f>IF(SalesData[[#This Row],[Contracts Signed]]=0,0,SalesData[[#This Row],[Profit(€)]]/SalesData[[#This Row],[Contracts Signed]])</f>
        <v>2580</v>
      </c>
      <c r="AJ2260" s="5" t="str">
        <f>TRIM(CLEAN(SalesData[[#This Row],[Retailer]]))</f>
        <v>Hannover Cars</v>
      </c>
    </row>
    <row r="2261" spans="1:36" ht="14.25" x14ac:dyDescent="0.2">
      <c r="A2261" t="s">
        <v>3301</v>
      </c>
      <c r="B2261" s="1">
        <v>46055</v>
      </c>
      <c r="C2261" t="s">
        <v>24</v>
      </c>
      <c r="D2261" t="s">
        <v>25</v>
      </c>
      <c r="E2261" t="s">
        <v>26</v>
      </c>
      <c r="F2261" t="s">
        <v>27</v>
      </c>
      <c r="G2261" t="s">
        <v>28</v>
      </c>
      <c r="H2261" t="s">
        <v>29</v>
      </c>
      <c r="I2261" t="s">
        <v>30</v>
      </c>
      <c r="J2261" t="s">
        <v>86</v>
      </c>
      <c r="K2261" t="s">
        <v>78</v>
      </c>
      <c r="L2261" t="s">
        <v>33</v>
      </c>
      <c r="M2261" t="s">
        <v>34</v>
      </c>
      <c r="N2261" t="s">
        <v>69</v>
      </c>
      <c r="O2261" t="s">
        <v>36</v>
      </c>
      <c r="P2261" t="s">
        <v>37</v>
      </c>
      <c r="Q2261" t="s">
        <v>152</v>
      </c>
      <c r="R2261">
        <v>147</v>
      </c>
      <c r="S2261">
        <v>67</v>
      </c>
      <c r="T2261">
        <v>54</v>
      </c>
      <c r="U2261">
        <v>17</v>
      </c>
      <c r="V2261" t="s">
        <v>6393</v>
      </c>
      <c r="W2261">
        <v>55732</v>
      </c>
      <c r="X2261" t="s">
        <v>7194</v>
      </c>
      <c r="Y2261">
        <v>41537</v>
      </c>
      <c r="Z2261">
        <v>947444</v>
      </c>
      <c r="AA2261">
        <v>241315</v>
      </c>
      <c r="AB2261" t="str">
        <f>(VLOOKUP(SalesData[[#This Row],[Month Number]],Reference!C$5:E$16,2,FALSE))</f>
        <v>Feb</v>
      </c>
      <c r="AC2261">
        <f>MONTH(SalesData[[#This Row],[Date]])</f>
        <v>2</v>
      </c>
      <c r="AD2261">
        <f>Reference!F$4</f>
        <v>2026</v>
      </c>
      <c r="AE2261" t="str">
        <f>IF(OR(SalesData[[#This Row],[Day]]="Saturday",SalesData[[#This Row],[Day]]="Sunday"),"Weekend","Weekday")</f>
        <v>Weekday</v>
      </c>
      <c r="AF2261" s="5">
        <f>IF(SalesData[[#This Row],[Contracts Offered]]=0,0,SalesData[[#This Row],[Contracts Signed]]/SalesData[[#This Row],[Contracts Offered]])</f>
        <v>0.31481481481481483</v>
      </c>
      <c r="AG2261" s="5">
        <f>IF(SalesData[[#This Row],[Customers Visited]]=0,0,SalesData[[#This Row],[Test Drives]]/SalesData[[#This Row],[Customers Visited]])</f>
        <v>0.45578231292517007</v>
      </c>
      <c r="AH2261" s="5">
        <f>IF(SalesData[[#This Row],[Customers Visited]]=0,0,SalesData[[#This Row],[Contracts Signed]]/SalesData[[#This Row],[Customers Visited]])</f>
        <v>0.11564625850340136</v>
      </c>
      <c r="AI2261" s="6">
        <f>IF(SalesData[[#This Row],[Contracts Signed]]=0,0,SalesData[[#This Row],[Profit(€)]]/SalesData[[#This Row],[Contracts Signed]])</f>
        <v>14195</v>
      </c>
      <c r="AJ2261" s="5" t="str">
        <f>TRIM(CLEAN(SalesData[[#This Row],[Retailer]]))</f>
        <v>Main Auto Hub</v>
      </c>
    </row>
    <row r="2262" spans="1:36" ht="14.25" hidden="1" x14ac:dyDescent="0.2">
      <c r="A2262" t="s">
        <v>3303</v>
      </c>
      <c r="B2262" s="1">
        <v>46065</v>
      </c>
      <c r="C2262" t="s">
        <v>121</v>
      </c>
      <c r="D2262" t="s">
        <v>100</v>
      </c>
      <c r="E2262" t="s">
        <v>26</v>
      </c>
      <c r="F2262" t="s">
        <v>7649</v>
      </c>
      <c r="G2262" t="s">
        <v>55</v>
      </c>
      <c r="H2262" t="s">
        <v>55</v>
      </c>
      <c r="I2262" t="s">
        <v>64</v>
      </c>
      <c r="J2262" t="s">
        <v>111</v>
      </c>
      <c r="K2262" t="s">
        <v>32</v>
      </c>
      <c r="L2262" t="s">
        <v>46</v>
      </c>
      <c r="M2262" t="s">
        <v>87</v>
      </c>
      <c r="N2262" t="s">
        <v>69</v>
      </c>
      <c r="O2262" t="s">
        <v>36</v>
      </c>
      <c r="P2262" t="s">
        <v>71</v>
      </c>
      <c r="Q2262" t="s">
        <v>59</v>
      </c>
      <c r="R2262">
        <v>156</v>
      </c>
      <c r="S2262">
        <v>80</v>
      </c>
      <c r="T2262">
        <v>58</v>
      </c>
      <c r="U2262">
        <v>22</v>
      </c>
      <c r="V2262" t="s">
        <v>6767</v>
      </c>
      <c r="W2262">
        <v>53869</v>
      </c>
      <c r="X2262" t="s">
        <v>7121</v>
      </c>
      <c r="Y2262">
        <v>41046</v>
      </c>
      <c r="Z2262">
        <v>1185118</v>
      </c>
      <c r="AA2262">
        <v>282106</v>
      </c>
      <c r="AB2262" t="str">
        <f>(VLOOKUP(SalesData[[#This Row],[Month Number]],Reference!C$5:E$16,2,FALSE))</f>
        <v>Feb</v>
      </c>
      <c r="AC2262">
        <f>MONTH(SalesData[[#This Row],[Date]])</f>
        <v>2</v>
      </c>
      <c r="AD2262">
        <f>Reference!F$4</f>
        <v>2026</v>
      </c>
      <c r="AE2262" t="str">
        <f>IF(OR(SalesData[[#This Row],[Day]]="Saturday",SalesData[[#This Row],[Day]]="Sunday"),"Weekend","Weekday")</f>
        <v>Weekday</v>
      </c>
      <c r="AF2262" s="5">
        <f>IF(SalesData[[#This Row],[Contracts Offered]]=0,0,SalesData[[#This Row],[Contracts Signed]]/SalesData[[#This Row],[Contracts Offered]])</f>
        <v>0.37931034482758619</v>
      </c>
      <c r="AG2262" s="5">
        <f>IF(SalesData[[#This Row],[Customers Visited]]=0,0,SalesData[[#This Row],[Test Drives]]/SalesData[[#This Row],[Customers Visited]])</f>
        <v>0.51282051282051277</v>
      </c>
      <c r="AH2262" s="5">
        <f>IF(SalesData[[#This Row],[Customers Visited]]=0,0,SalesData[[#This Row],[Contracts Signed]]/SalesData[[#This Row],[Customers Visited]])</f>
        <v>0.14102564102564102</v>
      </c>
      <c r="AI2262" s="6">
        <f>IF(SalesData[[#This Row],[Contracts Signed]]=0,0,SalesData[[#This Row],[Profit(€)]]/SalesData[[#This Row],[Contracts Signed]])</f>
        <v>12823</v>
      </c>
      <c r="AJ2262" s="5" t="str">
        <f>TRIM(CLEAN(SalesData[[#This Row],[Retailer]]))</f>
        <v>Autohaus Berlin</v>
      </c>
    </row>
    <row r="2263" spans="1:36" ht="14.25" hidden="1" x14ac:dyDescent="0.2">
      <c r="A2263" t="s">
        <v>3305</v>
      </c>
      <c r="B2263" s="1">
        <v>46073</v>
      </c>
      <c r="C2263" t="s">
        <v>62</v>
      </c>
      <c r="D2263" t="s">
        <v>54</v>
      </c>
      <c r="E2263" t="s">
        <v>26</v>
      </c>
      <c r="F2263" t="s">
        <v>109</v>
      </c>
      <c r="G2263" t="s">
        <v>110</v>
      </c>
      <c r="H2263" t="s">
        <v>45</v>
      </c>
      <c r="I2263" t="s">
        <v>116</v>
      </c>
      <c r="J2263" t="s">
        <v>7090</v>
      </c>
      <c r="K2263" t="s">
        <v>32</v>
      </c>
      <c r="L2263" t="s">
        <v>46</v>
      </c>
      <c r="M2263" t="s">
        <v>68</v>
      </c>
      <c r="N2263" t="s">
        <v>69</v>
      </c>
      <c r="O2263" t="s">
        <v>36</v>
      </c>
      <c r="P2263" t="s">
        <v>49</v>
      </c>
      <c r="Q2263" t="s">
        <v>129</v>
      </c>
      <c r="R2263">
        <v>253</v>
      </c>
      <c r="S2263">
        <v>125</v>
      </c>
      <c r="T2263">
        <v>82</v>
      </c>
      <c r="U2263">
        <v>16</v>
      </c>
      <c r="V2263" t="s">
        <v>2497</v>
      </c>
      <c r="W2263">
        <v>25202</v>
      </c>
      <c r="X2263" t="s">
        <v>1255</v>
      </c>
      <c r="Y2263">
        <v>23126</v>
      </c>
      <c r="Z2263">
        <v>403232</v>
      </c>
      <c r="AA2263">
        <v>33216</v>
      </c>
      <c r="AB2263" t="str">
        <f>(VLOOKUP(SalesData[[#This Row],[Month Number]],Reference!C$5:E$16,2,FALSE))</f>
        <v>Feb</v>
      </c>
      <c r="AC2263">
        <f>MONTH(SalesData[[#This Row],[Date]])</f>
        <v>2</v>
      </c>
      <c r="AD2263">
        <f>Reference!F$4</f>
        <v>2026</v>
      </c>
      <c r="AE2263" t="str">
        <f>IF(OR(SalesData[[#This Row],[Day]]="Saturday",SalesData[[#This Row],[Day]]="Sunday"),"Weekend","Weekday")</f>
        <v>Weekday</v>
      </c>
      <c r="AF2263" s="5">
        <f>IF(SalesData[[#This Row],[Contracts Offered]]=0,0,SalesData[[#This Row],[Contracts Signed]]/SalesData[[#This Row],[Contracts Offered]])</f>
        <v>0.1951219512195122</v>
      </c>
      <c r="AG2263" s="5">
        <f>IF(SalesData[[#This Row],[Customers Visited]]=0,0,SalesData[[#This Row],[Test Drives]]/SalesData[[#This Row],[Customers Visited]])</f>
        <v>0.49407114624505927</v>
      </c>
      <c r="AH2263" s="5">
        <f>IF(SalesData[[#This Row],[Customers Visited]]=0,0,SalesData[[#This Row],[Contracts Signed]]/SalesData[[#This Row],[Customers Visited]])</f>
        <v>6.3241106719367585E-2</v>
      </c>
      <c r="AI2263" s="6">
        <f>IF(SalesData[[#This Row],[Contracts Signed]]=0,0,SalesData[[#This Row],[Profit(€)]]/SalesData[[#This Row],[Contracts Signed]])</f>
        <v>2076</v>
      </c>
      <c r="AJ2263" s="5" t="str">
        <f>TRIM(CLEAN(SalesData[[#This Row],[Retailer]]))</f>
        <v>Leipzig Mobility</v>
      </c>
    </row>
    <row r="2264" spans="1:36" ht="14.25" hidden="1" x14ac:dyDescent="0.2">
      <c r="A2264" t="s">
        <v>3306</v>
      </c>
      <c r="B2264" s="1">
        <v>46061</v>
      </c>
      <c r="C2264" t="s">
        <v>121</v>
      </c>
      <c r="D2264" t="s">
        <v>41</v>
      </c>
      <c r="E2264" t="s">
        <v>42</v>
      </c>
      <c r="F2264" t="s">
        <v>83</v>
      </c>
      <c r="G2264" t="s">
        <v>84</v>
      </c>
      <c r="H2264" t="s">
        <v>85</v>
      </c>
      <c r="I2264" t="s">
        <v>56</v>
      </c>
      <c r="J2264" t="s">
        <v>179</v>
      </c>
      <c r="K2264" t="s">
        <v>91</v>
      </c>
      <c r="L2264" t="s">
        <v>67</v>
      </c>
      <c r="M2264" t="s">
        <v>68</v>
      </c>
      <c r="N2264" t="s">
        <v>48</v>
      </c>
      <c r="O2264" t="s">
        <v>36</v>
      </c>
      <c r="P2264" t="s">
        <v>49</v>
      </c>
      <c r="Q2264" t="s">
        <v>152</v>
      </c>
      <c r="R2264">
        <v>300</v>
      </c>
      <c r="S2264">
        <v>181</v>
      </c>
      <c r="T2264">
        <v>123</v>
      </c>
      <c r="U2264">
        <v>35</v>
      </c>
      <c r="V2264" t="s">
        <v>4932</v>
      </c>
      <c r="W2264">
        <v>44066</v>
      </c>
      <c r="X2264" t="s">
        <v>923</v>
      </c>
      <c r="Y2264">
        <v>34381</v>
      </c>
      <c r="Z2264">
        <v>1542310</v>
      </c>
      <c r="AA2264">
        <v>338975</v>
      </c>
      <c r="AB2264" t="str">
        <f>(VLOOKUP(SalesData[[#This Row],[Month Number]],Reference!C$5:E$16,2,FALSE))</f>
        <v>Feb</v>
      </c>
      <c r="AC2264">
        <f>MONTH(SalesData[[#This Row],[Date]])</f>
        <v>2</v>
      </c>
      <c r="AD2264">
        <f>Reference!F$4</f>
        <v>2026</v>
      </c>
      <c r="AE2264" t="str">
        <f>IF(OR(SalesData[[#This Row],[Day]]="Saturday",SalesData[[#This Row],[Day]]="Sunday"),"Weekend","Weekday")</f>
        <v>Weekend</v>
      </c>
      <c r="AF2264" s="5">
        <f>IF(SalesData[[#This Row],[Contracts Offered]]=0,0,SalesData[[#This Row],[Contracts Signed]]/SalesData[[#This Row],[Contracts Offered]])</f>
        <v>0.28455284552845528</v>
      </c>
      <c r="AG2264" s="5">
        <f>IF(SalesData[[#This Row],[Customers Visited]]=0,0,SalesData[[#This Row],[Test Drives]]/SalesData[[#This Row],[Customers Visited]])</f>
        <v>0.60333333333333339</v>
      </c>
      <c r="AH2264" s="5">
        <f>IF(SalesData[[#This Row],[Customers Visited]]=0,0,SalesData[[#This Row],[Contracts Signed]]/SalesData[[#This Row],[Customers Visited]])</f>
        <v>0.11666666666666667</v>
      </c>
      <c r="AI2264" s="6">
        <f>IF(SalesData[[#This Row],[Contracts Signed]]=0,0,SalesData[[#This Row],[Profit(€)]]/SalesData[[#This Row],[Contracts Signed]])</f>
        <v>9685</v>
      </c>
      <c r="AJ2264" s="5" t="str">
        <f>TRIM(CLEAN(SalesData[[#This Row],[Retailer]]))</f>
        <v>Hannover Cars</v>
      </c>
    </row>
    <row r="2265" spans="1:36" ht="14.25" hidden="1" x14ac:dyDescent="0.2">
      <c r="A2265" t="s">
        <v>3308</v>
      </c>
      <c r="B2265" s="1">
        <v>46057</v>
      </c>
      <c r="C2265" t="s">
        <v>24</v>
      </c>
      <c r="D2265" t="s">
        <v>82</v>
      </c>
      <c r="E2265" t="s">
        <v>26</v>
      </c>
      <c r="F2265" t="s">
        <v>27</v>
      </c>
      <c r="G2265" t="s">
        <v>28</v>
      </c>
      <c r="H2265" t="s">
        <v>29</v>
      </c>
      <c r="I2265" t="s">
        <v>116</v>
      </c>
      <c r="J2265" t="s">
        <v>132</v>
      </c>
      <c r="K2265" t="s">
        <v>78</v>
      </c>
      <c r="L2265" t="s">
        <v>46</v>
      </c>
      <c r="M2265" t="s">
        <v>68</v>
      </c>
      <c r="N2265" t="s">
        <v>35</v>
      </c>
      <c r="O2265" t="s">
        <v>70</v>
      </c>
      <c r="P2265" t="s">
        <v>58</v>
      </c>
      <c r="Q2265" t="s">
        <v>118</v>
      </c>
      <c r="R2265">
        <v>268</v>
      </c>
      <c r="S2265">
        <v>136</v>
      </c>
      <c r="T2265">
        <v>79</v>
      </c>
      <c r="U2265">
        <v>22</v>
      </c>
      <c r="V2265" t="s">
        <v>2509</v>
      </c>
      <c r="W2265">
        <v>25598</v>
      </c>
      <c r="X2265" t="s">
        <v>692</v>
      </c>
      <c r="Y2265">
        <v>22841</v>
      </c>
      <c r="Z2265">
        <v>563156</v>
      </c>
      <c r="AA2265">
        <v>60654</v>
      </c>
      <c r="AB2265" t="str">
        <f>(VLOOKUP(SalesData[[#This Row],[Month Number]],Reference!C$5:E$16,2,FALSE))</f>
        <v>Feb</v>
      </c>
      <c r="AC2265">
        <f>MONTH(SalesData[[#This Row],[Date]])</f>
        <v>2</v>
      </c>
      <c r="AD2265">
        <f>Reference!F$4</f>
        <v>2026</v>
      </c>
      <c r="AE2265" t="str">
        <f>IF(OR(SalesData[[#This Row],[Day]]="Saturday",SalesData[[#This Row],[Day]]="Sunday"),"Weekend","Weekday")</f>
        <v>Weekday</v>
      </c>
      <c r="AF2265" s="5">
        <f>IF(SalesData[[#This Row],[Contracts Offered]]=0,0,SalesData[[#This Row],[Contracts Signed]]/SalesData[[#This Row],[Contracts Offered]])</f>
        <v>0.27848101265822783</v>
      </c>
      <c r="AG2265" s="5">
        <f>IF(SalesData[[#This Row],[Customers Visited]]=0,0,SalesData[[#This Row],[Test Drives]]/SalesData[[#This Row],[Customers Visited]])</f>
        <v>0.5074626865671642</v>
      </c>
      <c r="AH2265" s="5">
        <f>IF(SalesData[[#This Row],[Customers Visited]]=0,0,SalesData[[#This Row],[Contracts Signed]]/SalesData[[#This Row],[Customers Visited]])</f>
        <v>8.2089552238805971E-2</v>
      </c>
      <c r="AI2265" s="6">
        <f>IF(SalesData[[#This Row],[Contracts Signed]]=0,0,SalesData[[#This Row],[Profit(€)]]/SalesData[[#This Row],[Contracts Signed]])</f>
        <v>2757</v>
      </c>
      <c r="AJ2265" s="5" t="str">
        <f>TRIM(CLEAN(SalesData[[#This Row],[Retailer]]))</f>
        <v>Main Auto Hub</v>
      </c>
    </row>
    <row r="2266" spans="1:36" ht="14.25" hidden="1" x14ac:dyDescent="0.2">
      <c r="A2266" t="s">
        <v>3309</v>
      </c>
      <c r="B2266" s="1">
        <v>46061</v>
      </c>
      <c r="C2266" t="s">
        <v>121</v>
      </c>
      <c r="D2266" t="s">
        <v>41</v>
      </c>
      <c r="E2266" t="s">
        <v>42</v>
      </c>
      <c r="F2266" t="s">
        <v>43</v>
      </c>
      <c r="G2266" t="s">
        <v>44</v>
      </c>
      <c r="H2266" t="s">
        <v>45</v>
      </c>
      <c r="I2266" t="s">
        <v>64</v>
      </c>
      <c r="J2266" t="s">
        <v>65</v>
      </c>
      <c r="K2266" t="s">
        <v>66</v>
      </c>
      <c r="L2266" t="s">
        <v>33</v>
      </c>
      <c r="M2266" t="s">
        <v>87</v>
      </c>
      <c r="N2266" t="s">
        <v>69</v>
      </c>
      <c r="O2266" t="s">
        <v>36</v>
      </c>
      <c r="P2266" t="s">
        <v>58</v>
      </c>
      <c r="Q2266" t="s">
        <v>106</v>
      </c>
      <c r="R2266">
        <v>218</v>
      </c>
      <c r="S2266">
        <v>96</v>
      </c>
      <c r="T2266">
        <v>68</v>
      </c>
      <c r="U2266">
        <v>25</v>
      </c>
      <c r="V2266" t="s">
        <v>6831</v>
      </c>
      <c r="W2266">
        <v>63364</v>
      </c>
      <c r="X2266" t="s">
        <v>7109</v>
      </c>
      <c r="Y2266">
        <v>46049</v>
      </c>
      <c r="Z2266">
        <v>1584100</v>
      </c>
      <c r="AA2266">
        <v>432875</v>
      </c>
      <c r="AB2266" t="str">
        <f>(VLOOKUP(SalesData[[#This Row],[Month Number]],Reference!C$5:E$16,2,FALSE))</f>
        <v>Feb</v>
      </c>
      <c r="AC2266">
        <f>MONTH(SalesData[[#This Row],[Date]])</f>
        <v>2</v>
      </c>
      <c r="AD2266">
        <f>Reference!F$4</f>
        <v>2026</v>
      </c>
      <c r="AE2266" t="str">
        <f>IF(OR(SalesData[[#This Row],[Day]]="Saturday",SalesData[[#This Row],[Day]]="Sunday"),"Weekend","Weekday")</f>
        <v>Weekend</v>
      </c>
      <c r="AF2266" s="5">
        <f>IF(SalesData[[#This Row],[Contracts Offered]]=0,0,SalesData[[#This Row],[Contracts Signed]]/SalesData[[#This Row],[Contracts Offered]])</f>
        <v>0.36764705882352944</v>
      </c>
      <c r="AG2266" s="5">
        <f>IF(SalesData[[#This Row],[Customers Visited]]=0,0,SalesData[[#This Row],[Test Drives]]/SalesData[[#This Row],[Customers Visited]])</f>
        <v>0.44036697247706424</v>
      </c>
      <c r="AH2266" s="5">
        <f>IF(SalesData[[#This Row],[Customers Visited]]=0,0,SalesData[[#This Row],[Contracts Signed]]/SalesData[[#This Row],[Customers Visited]])</f>
        <v>0.11467889908256881</v>
      </c>
      <c r="AI2266" s="6">
        <f>IF(SalesData[[#This Row],[Contracts Signed]]=0,0,SalesData[[#This Row],[Profit(€)]]/SalesData[[#This Row],[Contracts Signed]])</f>
        <v>17315</v>
      </c>
      <c r="AJ2266" s="5" t="str">
        <f>TRIM(CLEAN(SalesData[[#This Row],[Retailer]]))</f>
        <v>Saxon Wheels</v>
      </c>
    </row>
    <row r="2267" spans="1:36" ht="14.25" hidden="1" x14ac:dyDescent="0.2">
      <c r="A2267" t="s">
        <v>3310</v>
      </c>
      <c r="B2267" s="1">
        <v>46066</v>
      </c>
      <c r="C2267" t="s">
        <v>121</v>
      </c>
      <c r="D2267" t="s">
        <v>54</v>
      </c>
      <c r="E2267" t="s">
        <v>26</v>
      </c>
      <c r="F2267" t="s">
        <v>83</v>
      </c>
      <c r="G2267" t="s">
        <v>84</v>
      </c>
      <c r="H2267" t="s">
        <v>85</v>
      </c>
      <c r="I2267" t="s">
        <v>104</v>
      </c>
      <c r="J2267" t="s">
        <v>105</v>
      </c>
      <c r="K2267" t="s">
        <v>78</v>
      </c>
      <c r="L2267" t="s">
        <v>33</v>
      </c>
      <c r="M2267" t="s">
        <v>47</v>
      </c>
      <c r="N2267" t="s">
        <v>35</v>
      </c>
      <c r="O2267" t="s">
        <v>70</v>
      </c>
      <c r="P2267" t="s">
        <v>58</v>
      </c>
      <c r="Q2267" t="s">
        <v>135</v>
      </c>
      <c r="R2267">
        <v>363</v>
      </c>
      <c r="S2267">
        <v>155</v>
      </c>
      <c r="T2267">
        <v>109</v>
      </c>
      <c r="U2267">
        <v>29</v>
      </c>
      <c r="V2267" t="s">
        <v>1361</v>
      </c>
      <c r="W2267">
        <v>28366</v>
      </c>
      <c r="X2267" t="s">
        <v>2817</v>
      </c>
      <c r="Y2267">
        <v>25116</v>
      </c>
      <c r="Z2267">
        <v>822614</v>
      </c>
      <c r="AA2267">
        <v>94250</v>
      </c>
      <c r="AB2267" t="str">
        <f>(VLOOKUP(SalesData[[#This Row],[Month Number]],Reference!C$5:E$16,2,FALSE))</f>
        <v>Feb</v>
      </c>
      <c r="AC2267">
        <f>MONTH(SalesData[[#This Row],[Date]])</f>
        <v>2</v>
      </c>
      <c r="AD2267">
        <f>Reference!F$4</f>
        <v>2026</v>
      </c>
      <c r="AE2267" t="str">
        <f>IF(OR(SalesData[[#This Row],[Day]]="Saturday",SalesData[[#This Row],[Day]]="Sunday"),"Weekend","Weekday")</f>
        <v>Weekday</v>
      </c>
      <c r="AF2267" s="5">
        <f>IF(SalesData[[#This Row],[Contracts Offered]]=0,0,SalesData[[#This Row],[Contracts Signed]]/SalesData[[#This Row],[Contracts Offered]])</f>
        <v>0.26605504587155965</v>
      </c>
      <c r="AG2267" s="5">
        <f>IF(SalesData[[#This Row],[Customers Visited]]=0,0,SalesData[[#This Row],[Test Drives]]/SalesData[[#This Row],[Customers Visited]])</f>
        <v>0.42699724517906334</v>
      </c>
      <c r="AH2267" s="5">
        <f>IF(SalesData[[#This Row],[Customers Visited]]=0,0,SalesData[[#This Row],[Contracts Signed]]/SalesData[[#This Row],[Customers Visited]])</f>
        <v>7.9889807162534437E-2</v>
      </c>
      <c r="AI2267" s="6">
        <f>IF(SalesData[[#This Row],[Contracts Signed]]=0,0,SalesData[[#This Row],[Profit(€)]]/SalesData[[#This Row],[Contracts Signed]])</f>
        <v>3250</v>
      </c>
      <c r="AJ2267" s="5" t="str">
        <f>TRIM(CLEAN(SalesData[[#This Row],[Retailer]]))</f>
        <v>Hannover Cars</v>
      </c>
    </row>
    <row r="2268" spans="1:36" ht="14.25" x14ac:dyDescent="0.2">
      <c r="A2268" t="s">
        <v>3311</v>
      </c>
      <c r="B2268" s="1">
        <v>46077</v>
      </c>
      <c r="C2268" t="s">
        <v>53</v>
      </c>
      <c r="D2268" t="s">
        <v>63</v>
      </c>
      <c r="E2268" t="s">
        <v>26</v>
      </c>
      <c r="F2268" t="s">
        <v>127</v>
      </c>
      <c r="G2268" t="s">
        <v>128</v>
      </c>
      <c r="H2268" t="s">
        <v>103</v>
      </c>
      <c r="I2268" t="s">
        <v>30</v>
      </c>
      <c r="J2268" t="s">
        <v>7075</v>
      </c>
      <c r="K2268" t="s">
        <v>66</v>
      </c>
      <c r="L2268" t="s">
        <v>33</v>
      </c>
      <c r="M2268" t="s">
        <v>87</v>
      </c>
      <c r="N2268" t="s">
        <v>69</v>
      </c>
      <c r="O2268" t="s">
        <v>70</v>
      </c>
      <c r="P2268" t="s">
        <v>58</v>
      </c>
      <c r="Q2268" t="s">
        <v>122</v>
      </c>
      <c r="R2268">
        <v>177</v>
      </c>
      <c r="S2268">
        <v>101</v>
      </c>
      <c r="T2268">
        <v>77</v>
      </c>
      <c r="U2268">
        <v>30</v>
      </c>
      <c r="V2268" t="s">
        <v>7500</v>
      </c>
      <c r="W2268">
        <v>52253</v>
      </c>
      <c r="X2268" t="s">
        <v>3859</v>
      </c>
      <c r="Y2268">
        <v>38878</v>
      </c>
      <c r="Z2268">
        <v>1567590</v>
      </c>
      <c r="AA2268">
        <v>401250</v>
      </c>
      <c r="AB2268" t="str">
        <f>(VLOOKUP(SalesData[[#This Row],[Month Number]],Reference!C$5:E$16,2,FALSE))</f>
        <v>Feb</v>
      </c>
      <c r="AC2268">
        <f>MONTH(SalesData[[#This Row],[Date]])</f>
        <v>2</v>
      </c>
      <c r="AD2268">
        <f>Reference!F$4</f>
        <v>2026</v>
      </c>
      <c r="AE2268" t="str">
        <f>IF(OR(SalesData[[#This Row],[Day]]="Saturday",SalesData[[#This Row],[Day]]="Sunday"),"Weekend","Weekday")</f>
        <v>Weekday</v>
      </c>
      <c r="AF2268" s="5">
        <f>IF(SalesData[[#This Row],[Contracts Offered]]=0,0,SalesData[[#This Row],[Contracts Signed]]/SalesData[[#This Row],[Contracts Offered]])</f>
        <v>0.38961038961038963</v>
      </c>
      <c r="AG2268" s="5">
        <f>IF(SalesData[[#This Row],[Customers Visited]]=0,0,SalesData[[#This Row],[Test Drives]]/SalesData[[#This Row],[Customers Visited]])</f>
        <v>0.57062146892655363</v>
      </c>
      <c r="AH2268" s="5">
        <f>IF(SalesData[[#This Row],[Customers Visited]]=0,0,SalesData[[#This Row],[Contracts Signed]]/SalesData[[#This Row],[Customers Visited]])</f>
        <v>0.16949152542372881</v>
      </c>
      <c r="AI2268" s="6">
        <f>IF(SalesData[[#This Row],[Contracts Signed]]=0,0,SalesData[[#This Row],[Profit(€)]]/SalesData[[#This Row],[Contracts Signed]])</f>
        <v>13375</v>
      </c>
      <c r="AJ2268" s="5" t="str">
        <f>TRIM(CLEAN(SalesData[[#This Row],[Retailer]]))</f>
        <v>Rhein Auto Group</v>
      </c>
    </row>
    <row r="2269" spans="1:36" ht="14.25" hidden="1" x14ac:dyDescent="0.2">
      <c r="A2269" t="s">
        <v>3312</v>
      </c>
      <c r="B2269" s="1">
        <v>46074</v>
      </c>
      <c r="C2269" t="s">
        <v>62</v>
      </c>
      <c r="D2269" t="s">
        <v>151</v>
      </c>
      <c r="E2269" t="s">
        <v>42</v>
      </c>
      <c r="F2269" t="s">
        <v>101</v>
      </c>
      <c r="G2269" t="s">
        <v>102</v>
      </c>
      <c r="H2269" t="s">
        <v>103</v>
      </c>
      <c r="I2269" t="s">
        <v>104</v>
      </c>
      <c r="J2269" t="s">
        <v>105</v>
      </c>
      <c r="K2269" t="s">
        <v>91</v>
      </c>
      <c r="L2269" t="s">
        <v>33</v>
      </c>
      <c r="M2269" t="s">
        <v>47</v>
      </c>
      <c r="N2269" t="s">
        <v>48</v>
      </c>
      <c r="O2269" t="s">
        <v>36</v>
      </c>
      <c r="P2269" t="s">
        <v>37</v>
      </c>
      <c r="Q2269" t="s">
        <v>135</v>
      </c>
      <c r="R2269">
        <v>364</v>
      </c>
      <c r="S2269">
        <v>166</v>
      </c>
      <c r="T2269">
        <v>112</v>
      </c>
      <c r="U2269">
        <v>22</v>
      </c>
      <c r="V2269" t="s">
        <v>3698</v>
      </c>
      <c r="W2269">
        <v>27798</v>
      </c>
      <c r="X2269" t="s">
        <v>1433</v>
      </c>
      <c r="Y2269">
        <v>25257</v>
      </c>
      <c r="Z2269">
        <v>611556</v>
      </c>
      <c r="AA2269">
        <v>55902</v>
      </c>
      <c r="AB2269" t="str">
        <f>(VLOOKUP(SalesData[[#This Row],[Month Number]],Reference!C$5:E$16,2,FALSE))</f>
        <v>Feb</v>
      </c>
      <c r="AC2269">
        <f>MONTH(SalesData[[#This Row],[Date]])</f>
        <v>2</v>
      </c>
      <c r="AD2269">
        <f>Reference!F$4</f>
        <v>2026</v>
      </c>
      <c r="AE2269" t="str">
        <f>IF(OR(SalesData[[#This Row],[Day]]="Saturday",SalesData[[#This Row],[Day]]="Sunday"),"Weekend","Weekday")</f>
        <v>Weekend</v>
      </c>
      <c r="AF2269" s="5">
        <f>IF(SalesData[[#This Row],[Contracts Offered]]=0,0,SalesData[[#This Row],[Contracts Signed]]/SalesData[[#This Row],[Contracts Offered]])</f>
        <v>0.19642857142857142</v>
      </c>
      <c r="AG2269" s="5">
        <f>IF(SalesData[[#This Row],[Customers Visited]]=0,0,SalesData[[#This Row],[Test Drives]]/SalesData[[#This Row],[Customers Visited]])</f>
        <v>0.45604395604395603</v>
      </c>
      <c r="AH2269" s="5">
        <f>IF(SalesData[[#This Row],[Customers Visited]]=0,0,SalesData[[#This Row],[Contracts Signed]]/SalesData[[#This Row],[Customers Visited]])</f>
        <v>6.043956043956044E-2</v>
      </c>
      <c r="AI2269" s="6">
        <f>IF(SalesData[[#This Row],[Contracts Signed]]=0,0,SalesData[[#This Row],[Profit(€)]]/SalesData[[#This Row],[Contracts Signed]])</f>
        <v>2541</v>
      </c>
      <c r="AJ2269" s="5" t="str">
        <f>TRIM(CLEAN(SalesData[[#This Row],[Retailer]]))</f>
        <v>Ruhr Auto Plaza</v>
      </c>
    </row>
    <row r="2270" spans="1:36" ht="14.25" hidden="1" x14ac:dyDescent="0.2">
      <c r="A2270" t="s">
        <v>3313</v>
      </c>
      <c r="B2270" s="1">
        <v>46055</v>
      </c>
      <c r="C2270" t="s">
        <v>24</v>
      </c>
      <c r="D2270" t="s">
        <v>25</v>
      </c>
      <c r="E2270" t="s">
        <v>26</v>
      </c>
      <c r="F2270" t="s">
        <v>43</v>
      </c>
      <c r="G2270" t="s">
        <v>44</v>
      </c>
      <c r="H2270" t="s">
        <v>45</v>
      </c>
      <c r="I2270" t="s">
        <v>116</v>
      </c>
      <c r="J2270" t="s">
        <v>7026</v>
      </c>
      <c r="K2270" t="s">
        <v>32</v>
      </c>
      <c r="L2270" t="s">
        <v>46</v>
      </c>
      <c r="M2270" t="s">
        <v>34</v>
      </c>
      <c r="N2270" t="s">
        <v>35</v>
      </c>
      <c r="O2270" t="s">
        <v>70</v>
      </c>
      <c r="P2270" t="s">
        <v>58</v>
      </c>
      <c r="Q2270" t="s">
        <v>118</v>
      </c>
      <c r="R2270">
        <v>369</v>
      </c>
      <c r="S2270">
        <v>198</v>
      </c>
      <c r="T2270">
        <v>129</v>
      </c>
      <c r="U2270">
        <v>36</v>
      </c>
      <c r="V2270" t="s">
        <v>752</v>
      </c>
      <c r="W2270">
        <v>26480</v>
      </c>
      <c r="X2270" t="s">
        <v>7477</v>
      </c>
      <c r="Y2270">
        <v>23669</v>
      </c>
      <c r="Z2270">
        <v>953280</v>
      </c>
      <c r="AA2270">
        <v>101196</v>
      </c>
      <c r="AB2270" t="str">
        <f>(VLOOKUP(SalesData[[#This Row],[Month Number]],Reference!C$5:E$16,2,FALSE))</f>
        <v>Feb</v>
      </c>
      <c r="AC2270">
        <f>MONTH(SalesData[[#This Row],[Date]])</f>
        <v>2</v>
      </c>
      <c r="AD2270">
        <f>Reference!F$4</f>
        <v>2026</v>
      </c>
      <c r="AE2270" t="str">
        <f>IF(OR(SalesData[[#This Row],[Day]]="Saturday",SalesData[[#This Row],[Day]]="Sunday"),"Weekend","Weekday")</f>
        <v>Weekday</v>
      </c>
      <c r="AF2270" s="5">
        <f>IF(SalesData[[#This Row],[Contracts Offered]]=0,0,SalesData[[#This Row],[Contracts Signed]]/SalesData[[#This Row],[Contracts Offered]])</f>
        <v>0.27906976744186046</v>
      </c>
      <c r="AG2270" s="5">
        <f>IF(SalesData[[#This Row],[Customers Visited]]=0,0,SalesData[[#This Row],[Test Drives]]/SalesData[[#This Row],[Customers Visited]])</f>
        <v>0.53658536585365857</v>
      </c>
      <c r="AH2270" s="5">
        <f>IF(SalesData[[#This Row],[Customers Visited]]=0,0,SalesData[[#This Row],[Contracts Signed]]/SalesData[[#This Row],[Customers Visited]])</f>
        <v>9.7560975609756101E-2</v>
      </c>
      <c r="AI2270" s="6">
        <f>IF(SalesData[[#This Row],[Contracts Signed]]=0,0,SalesData[[#This Row],[Profit(€)]]/SalesData[[#This Row],[Contracts Signed]])</f>
        <v>2811</v>
      </c>
      <c r="AJ2270" s="5" t="str">
        <f>TRIM(CLEAN(SalesData[[#This Row],[Retailer]]))</f>
        <v>Saxon Wheels</v>
      </c>
    </row>
    <row r="2271" spans="1:36" ht="14.25" hidden="1" x14ac:dyDescent="0.2">
      <c r="A2271" t="s">
        <v>3314</v>
      </c>
      <c r="B2271" s="1">
        <v>46079</v>
      </c>
      <c r="C2271" t="s">
        <v>53</v>
      </c>
      <c r="D2271" t="s">
        <v>100</v>
      </c>
      <c r="E2271" t="s">
        <v>26</v>
      </c>
      <c r="F2271" t="s">
        <v>83</v>
      </c>
      <c r="G2271" t="s">
        <v>84</v>
      </c>
      <c r="H2271" t="s">
        <v>85</v>
      </c>
      <c r="I2271" t="s">
        <v>104</v>
      </c>
      <c r="J2271" t="s">
        <v>7061</v>
      </c>
      <c r="K2271" t="s">
        <v>78</v>
      </c>
      <c r="L2271" t="s">
        <v>46</v>
      </c>
      <c r="M2271" t="s">
        <v>68</v>
      </c>
      <c r="N2271" t="s">
        <v>69</v>
      </c>
      <c r="O2271" t="s">
        <v>36</v>
      </c>
      <c r="P2271" t="s">
        <v>49</v>
      </c>
      <c r="Q2271" t="s">
        <v>79</v>
      </c>
      <c r="R2271">
        <v>307</v>
      </c>
      <c r="S2271">
        <v>176</v>
      </c>
      <c r="T2271">
        <v>118</v>
      </c>
      <c r="U2271">
        <v>23</v>
      </c>
      <c r="V2271" t="s">
        <v>3035</v>
      </c>
      <c r="W2271">
        <v>27134</v>
      </c>
      <c r="X2271" t="s">
        <v>155</v>
      </c>
      <c r="Y2271">
        <v>23840</v>
      </c>
      <c r="Z2271">
        <v>624082</v>
      </c>
      <c r="AA2271">
        <v>75762</v>
      </c>
      <c r="AB2271" t="str">
        <f>(VLOOKUP(SalesData[[#This Row],[Month Number]],Reference!C$5:E$16,2,FALSE))</f>
        <v>Feb</v>
      </c>
      <c r="AC2271">
        <f>MONTH(SalesData[[#This Row],[Date]])</f>
        <v>2</v>
      </c>
      <c r="AD2271">
        <f>Reference!F$4</f>
        <v>2026</v>
      </c>
      <c r="AE2271" t="str">
        <f>IF(OR(SalesData[[#This Row],[Day]]="Saturday",SalesData[[#This Row],[Day]]="Sunday"),"Weekend","Weekday")</f>
        <v>Weekday</v>
      </c>
      <c r="AF2271" s="5">
        <f>IF(SalesData[[#This Row],[Contracts Offered]]=0,0,SalesData[[#This Row],[Contracts Signed]]/SalesData[[#This Row],[Contracts Offered]])</f>
        <v>0.19491525423728814</v>
      </c>
      <c r="AG2271" s="5">
        <f>IF(SalesData[[#This Row],[Customers Visited]]=0,0,SalesData[[#This Row],[Test Drives]]/SalesData[[#This Row],[Customers Visited]])</f>
        <v>0.57328990228013033</v>
      </c>
      <c r="AH2271" s="5">
        <f>IF(SalesData[[#This Row],[Customers Visited]]=0,0,SalesData[[#This Row],[Contracts Signed]]/SalesData[[#This Row],[Customers Visited]])</f>
        <v>7.4918566775244305E-2</v>
      </c>
      <c r="AI2271" s="6">
        <f>IF(SalesData[[#This Row],[Contracts Signed]]=0,0,SalesData[[#This Row],[Profit(€)]]/SalesData[[#This Row],[Contracts Signed]])</f>
        <v>3294</v>
      </c>
      <c r="AJ2271" s="5" t="str">
        <f>TRIM(CLEAN(SalesData[[#This Row],[Retailer]]))</f>
        <v>Hannover Cars</v>
      </c>
    </row>
    <row r="2272" spans="1:36" ht="14.25" hidden="1" x14ac:dyDescent="0.2">
      <c r="A2272" t="s">
        <v>3315</v>
      </c>
      <c r="B2272" s="1">
        <v>46060</v>
      </c>
      <c r="C2272" t="s">
        <v>24</v>
      </c>
      <c r="D2272" t="s">
        <v>151</v>
      </c>
      <c r="E2272" t="s">
        <v>42</v>
      </c>
      <c r="F2272" t="s">
        <v>74</v>
      </c>
      <c r="G2272" t="s">
        <v>75</v>
      </c>
      <c r="H2272" t="s">
        <v>76</v>
      </c>
      <c r="I2272" t="s">
        <v>64</v>
      </c>
      <c r="J2272" t="s">
        <v>157</v>
      </c>
      <c r="K2272" t="s">
        <v>91</v>
      </c>
      <c r="L2272" t="s">
        <v>33</v>
      </c>
      <c r="M2272" t="s">
        <v>68</v>
      </c>
      <c r="N2272" t="s">
        <v>48</v>
      </c>
      <c r="O2272" t="s">
        <v>36</v>
      </c>
      <c r="P2272" t="s">
        <v>71</v>
      </c>
      <c r="Q2272" t="s">
        <v>152</v>
      </c>
      <c r="R2272">
        <v>175</v>
      </c>
      <c r="S2272">
        <v>100</v>
      </c>
      <c r="T2272">
        <v>70</v>
      </c>
      <c r="U2272">
        <v>25</v>
      </c>
      <c r="V2272" t="s">
        <v>6403</v>
      </c>
      <c r="W2272">
        <v>51515</v>
      </c>
      <c r="X2272" t="s">
        <v>7335</v>
      </c>
      <c r="Y2272">
        <v>38924</v>
      </c>
      <c r="Z2272">
        <v>1287875</v>
      </c>
      <c r="AA2272">
        <v>314775</v>
      </c>
      <c r="AB2272" t="str">
        <f>(VLOOKUP(SalesData[[#This Row],[Month Number]],Reference!C$5:E$16,2,FALSE))</f>
        <v>Feb</v>
      </c>
      <c r="AC2272">
        <f>MONTH(SalesData[[#This Row],[Date]])</f>
        <v>2</v>
      </c>
      <c r="AD2272">
        <f>Reference!F$4</f>
        <v>2026</v>
      </c>
      <c r="AE2272" t="str">
        <f>IF(OR(SalesData[[#This Row],[Day]]="Saturday",SalesData[[#This Row],[Day]]="Sunday"),"Weekend","Weekday")</f>
        <v>Weekend</v>
      </c>
      <c r="AF2272" s="5">
        <f>IF(SalesData[[#This Row],[Contracts Offered]]=0,0,SalesData[[#This Row],[Contracts Signed]]/SalesData[[#This Row],[Contracts Offered]])</f>
        <v>0.35714285714285715</v>
      </c>
      <c r="AG2272" s="5">
        <f>IF(SalesData[[#This Row],[Customers Visited]]=0,0,SalesData[[#This Row],[Test Drives]]/SalesData[[#This Row],[Customers Visited]])</f>
        <v>0.5714285714285714</v>
      </c>
      <c r="AH2272" s="5">
        <f>IF(SalesData[[#This Row],[Customers Visited]]=0,0,SalesData[[#This Row],[Contracts Signed]]/SalesData[[#This Row],[Customers Visited]])</f>
        <v>0.14285714285714285</v>
      </c>
      <c r="AI2272" s="6">
        <f>IF(SalesData[[#This Row],[Contracts Signed]]=0,0,SalesData[[#This Row],[Profit(€)]]/SalesData[[#This Row],[Contracts Signed]])</f>
        <v>12591</v>
      </c>
      <c r="AJ2272" s="5" t="str">
        <f>TRIM(CLEAN(SalesData[[#This Row],[Retailer]]))</f>
        <v>Stuttgart Auto Center</v>
      </c>
    </row>
    <row r="2273" spans="1:36" ht="14.25" hidden="1" x14ac:dyDescent="0.2">
      <c r="A2273" t="s">
        <v>3316</v>
      </c>
      <c r="B2273" s="1">
        <v>46064</v>
      </c>
      <c r="C2273" t="s">
        <v>121</v>
      </c>
      <c r="D2273" t="s">
        <v>82</v>
      </c>
      <c r="E2273" t="s">
        <v>26</v>
      </c>
      <c r="F2273" t="s">
        <v>109</v>
      </c>
      <c r="G2273" t="s">
        <v>110</v>
      </c>
      <c r="H2273" t="s">
        <v>45</v>
      </c>
      <c r="I2273" t="s">
        <v>116</v>
      </c>
      <c r="J2273" t="s">
        <v>203</v>
      </c>
      <c r="K2273" t="s">
        <v>66</v>
      </c>
      <c r="L2273" t="s">
        <v>67</v>
      </c>
      <c r="M2273" t="s">
        <v>34</v>
      </c>
      <c r="N2273" t="s">
        <v>35</v>
      </c>
      <c r="O2273" t="s">
        <v>36</v>
      </c>
      <c r="P2273" t="s">
        <v>37</v>
      </c>
      <c r="Q2273" t="s">
        <v>189</v>
      </c>
      <c r="R2273">
        <v>395</v>
      </c>
      <c r="S2273">
        <v>154</v>
      </c>
      <c r="T2273">
        <v>107</v>
      </c>
      <c r="U2273">
        <v>20</v>
      </c>
      <c r="V2273" t="s">
        <v>2604</v>
      </c>
      <c r="W2273">
        <v>19306</v>
      </c>
      <c r="X2273" t="s">
        <v>3304</v>
      </c>
      <c r="Y2273">
        <v>17308</v>
      </c>
      <c r="Z2273">
        <v>386120</v>
      </c>
      <c r="AA2273">
        <v>39960</v>
      </c>
      <c r="AB2273" t="str">
        <f>(VLOOKUP(SalesData[[#This Row],[Month Number]],Reference!C$5:E$16,2,FALSE))</f>
        <v>Feb</v>
      </c>
      <c r="AC2273">
        <f>MONTH(SalesData[[#This Row],[Date]])</f>
        <v>2</v>
      </c>
      <c r="AD2273">
        <f>Reference!F$4</f>
        <v>2026</v>
      </c>
      <c r="AE2273" t="str">
        <f>IF(OR(SalesData[[#This Row],[Day]]="Saturday",SalesData[[#This Row],[Day]]="Sunday"),"Weekend","Weekday")</f>
        <v>Weekday</v>
      </c>
      <c r="AF2273" s="5">
        <f>IF(SalesData[[#This Row],[Contracts Offered]]=0,0,SalesData[[#This Row],[Contracts Signed]]/SalesData[[#This Row],[Contracts Offered]])</f>
        <v>0.18691588785046728</v>
      </c>
      <c r="AG2273" s="5">
        <f>IF(SalesData[[#This Row],[Customers Visited]]=0,0,SalesData[[#This Row],[Test Drives]]/SalesData[[#This Row],[Customers Visited]])</f>
        <v>0.38987341772151901</v>
      </c>
      <c r="AH2273" s="5">
        <f>IF(SalesData[[#This Row],[Customers Visited]]=0,0,SalesData[[#This Row],[Contracts Signed]]/SalesData[[#This Row],[Customers Visited]])</f>
        <v>5.0632911392405063E-2</v>
      </c>
      <c r="AI2273" s="6">
        <f>IF(SalesData[[#This Row],[Contracts Signed]]=0,0,SalesData[[#This Row],[Profit(€)]]/SalesData[[#This Row],[Contracts Signed]])</f>
        <v>1998</v>
      </c>
      <c r="AJ2273" s="5" t="str">
        <f>TRIM(CLEAN(SalesData[[#This Row],[Retailer]]))</f>
        <v>Leipzig Mobility</v>
      </c>
    </row>
    <row r="2274" spans="1:36" ht="14.25" x14ac:dyDescent="0.2">
      <c r="A2274" t="s">
        <v>3317</v>
      </c>
      <c r="B2274" s="1">
        <v>46068</v>
      </c>
      <c r="C2274" t="s">
        <v>62</v>
      </c>
      <c r="D2274" t="s">
        <v>41</v>
      </c>
      <c r="E2274" t="s">
        <v>42</v>
      </c>
      <c r="F2274" t="s">
        <v>43</v>
      </c>
      <c r="G2274" t="s">
        <v>44</v>
      </c>
      <c r="H2274" t="s">
        <v>45</v>
      </c>
      <c r="I2274" t="s">
        <v>30</v>
      </c>
      <c r="J2274" t="s">
        <v>188</v>
      </c>
      <c r="K2274" t="s">
        <v>66</v>
      </c>
      <c r="L2274" t="s">
        <v>33</v>
      </c>
      <c r="M2274" t="s">
        <v>47</v>
      </c>
      <c r="N2274" t="s">
        <v>35</v>
      </c>
      <c r="O2274" t="s">
        <v>70</v>
      </c>
      <c r="P2274" t="s">
        <v>37</v>
      </c>
      <c r="Q2274" t="s">
        <v>59</v>
      </c>
      <c r="R2274">
        <v>159</v>
      </c>
      <c r="S2274">
        <v>91</v>
      </c>
      <c r="T2274">
        <v>72</v>
      </c>
      <c r="U2274">
        <v>22</v>
      </c>
      <c r="V2274" t="s">
        <v>6510</v>
      </c>
      <c r="W2274">
        <v>61455</v>
      </c>
      <c r="X2274" t="s">
        <v>6136</v>
      </c>
      <c r="Y2274">
        <v>46014</v>
      </c>
      <c r="Z2274">
        <v>1352010</v>
      </c>
      <c r="AA2274">
        <v>339702</v>
      </c>
      <c r="AB2274" t="str">
        <f>(VLOOKUP(SalesData[[#This Row],[Month Number]],Reference!C$5:E$16,2,FALSE))</f>
        <v>Feb</v>
      </c>
      <c r="AC2274">
        <f>MONTH(SalesData[[#This Row],[Date]])</f>
        <v>2</v>
      </c>
      <c r="AD2274">
        <f>Reference!F$4</f>
        <v>2026</v>
      </c>
      <c r="AE2274" t="str">
        <f>IF(OR(SalesData[[#This Row],[Day]]="Saturday",SalesData[[#This Row],[Day]]="Sunday"),"Weekend","Weekday")</f>
        <v>Weekend</v>
      </c>
      <c r="AF2274" s="5">
        <f>IF(SalesData[[#This Row],[Contracts Offered]]=0,0,SalesData[[#This Row],[Contracts Signed]]/SalesData[[#This Row],[Contracts Offered]])</f>
        <v>0.30555555555555558</v>
      </c>
      <c r="AG2274" s="5">
        <f>IF(SalesData[[#This Row],[Customers Visited]]=0,0,SalesData[[#This Row],[Test Drives]]/SalesData[[#This Row],[Customers Visited]])</f>
        <v>0.57232704402515722</v>
      </c>
      <c r="AH2274" s="5">
        <f>IF(SalesData[[#This Row],[Customers Visited]]=0,0,SalesData[[#This Row],[Contracts Signed]]/SalesData[[#This Row],[Customers Visited]])</f>
        <v>0.13836477987421383</v>
      </c>
      <c r="AI2274" s="6">
        <f>IF(SalesData[[#This Row],[Contracts Signed]]=0,0,SalesData[[#This Row],[Profit(€)]]/SalesData[[#This Row],[Contracts Signed]])</f>
        <v>15441</v>
      </c>
      <c r="AJ2274" s="5" t="str">
        <f>TRIM(CLEAN(SalesData[[#This Row],[Retailer]]))</f>
        <v>Saxon Wheels</v>
      </c>
    </row>
    <row r="2275" spans="1:36" ht="14.25" hidden="1" x14ac:dyDescent="0.2">
      <c r="A2275" t="s">
        <v>3318</v>
      </c>
      <c r="B2275" s="1">
        <v>46079</v>
      </c>
      <c r="C2275" t="s">
        <v>53</v>
      </c>
      <c r="D2275" t="s">
        <v>100</v>
      </c>
      <c r="E2275" t="s">
        <v>26</v>
      </c>
      <c r="F2275" t="s">
        <v>101</v>
      </c>
      <c r="G2275" t="s">
        <v>102</v>
      </c>
      <c r="H2275" t="s">
        <v>103</v>
      </c>
      <c r="I2275" t="s">
        <v>64</v>
      </c>
      <c r="J2275" t="s">
        <v>7029</v>
      </c>
      <c r="K2275" t="s">
        <v>78</v>
      </c>
      <c r="L2275" t="s">
        <v>33</v>
      </c>
      <c r="M2275" t="s">
        <v>34</v>
      </c>
      <c r="N2275" t="s">
        <v>48</v>
      </c>
      <c r="O2275" t="s">
        <v>36</v>
      </c>
      <c r="P2275" t="s">
        <v>71</v>
      </c>
      <c r="Q2275" t="s">
        <v>59</v>
      </c>
      <c r="R2275">
        <v>147</v>
      </c>
      <c r="S2275">
        <v>72</v>
      </c>
      <c r="T2275">
        <v>55</v>
      </c>
      <c r="U2275">
        <v>17</v>
      </c>
      <c r="V2275" t="s">
        <v>6677</v>
      </c>
      <c r="W2275">
        <v>64926</v>
      </c>
      <c r="X2275" t="s">
        <v>7436</v>
      </c>
      <c r="Y2275">
        <v>47797</v>
      </c>
      <c r="Z2275">
        <v>1103742</v>
      </c>
      <c r="AA2275">
        <v>291193</v>
      </c>
      <c r="AB2275" t="str">
        <f>(VLOOKUP(SalesData[[#This Row],[Month Number]],Reference!C$5:E$16,2,FALSE))</f>
        <v>Feb</v>
      </c>
      <c r="AC2275">
        <f>MONTH(SalesData[[#This Row],[Date]])</f>
        <v>2</v>
      </c>
      <c r="AD2275">
        <f>Reference!F$4</f>
        <v>2026</v>
      </c>
      <c r="AE2275" t="str">
        <f>IF(OR(SalesData[[#This Row],[Day]]="Saturday",SalesData[[#This Row],[Day]]="Sunday"),"Weekend","Weekday")</f>
        <v>Weekday</v>
      </c>
      <c r="AF2275" s="5">
        <f>IF(SalesData[[#This Row],[Contracts Offered]]=0,0,SalesData[[#This Row],[Contracts Signed]]/SalesData[[#This Row],[Contracts Offered]])</f>
        <v>0.30909090909090908</v>
      </c>
      <c r="AG2275" s="5">
        <f>IF(SalesData[[#This Row],[Customers Visited]]=0,0,SalesData[[#This Row],[Test Drives]]/SalesData[[#This Row],[Customers Visited]])</f>
        <v>0.48979591836734693</v>
      </c>
      <c r="AH2275" s="5">
        <f>IF(SalesData[[#This Row],[Customers Visited]]=0,0,SalesData[[#This Row],[Contracts Signed]]/SalesData[[#This Row],[Customers Visited]])</f>
        <v>0.11564625850340136</v>
      </c>
      <c r="AI2275" s="6">
        <f>IF(SalesData[[#This Row],[Contracts Signed]]=0,0,SalesData[[#This Row],[Profit(€)]]/SalesData[[#This Row],[Contracts Signed]])</f>
        <v>17129</v>
      </c>
      <c r="AJ2275" s="5" t="str">
        <f>TRIM(CLEAN(SalesData[[#This Row],[Retailer]]))</f>
        <v>Ruhr Auto Plaza</v>
      </c>
    </row>
    <row r="2276" spans="1:36" ht="14.25" hidden="1" x14ac:dyDescent="0.2">
      <c r="A2276" t="s">
        <v>3320</v>
      </c>
      <c r="B2276" s="1">
        <v>46064</v>
      </c>
      <c r="C2276" t="s">
        <v>121</v>
      </c>
      <c r="D2276" t="s">
        <v>82</v>
      </c>
      <c r="E2276" t="s">
        <v>26</v>
      </c>
      <c r="F2276" t="s">
        <v>27</v>
      </c>
      <c r="G2276" t="s">
        <v>28</v>
      </c>
      <c r="H2276" t="s">
        <v>29</v>
      </c>
      <c r="I2276" t="s">
        <v>104</v>
      </c>
      <c r="J2276" t="s">
        <v>7031</v>
      </c>
      <c r="K2276" t="s">
        <v>91</v>
      </c>
      <c r="L2276" t="s">
        <v>46</v>
      </c>
      <c r="M2276" t="s">
        <v>87</v>
      </c>
      <c r="N2276" t="s">
        <v>48</v>
      </c>
      <c r="O2276" t="s">
        <v>36</v>
      </c>
      <c r="P2276" t="s">
        <v>37</v>
      </c>
      <c r="Q2276" t="s">
        <v>240</v>
      </c>
      <c r="R2276">
        <v>493</v>
      </c>
      <c r="S2276">
        <v>241</v>
      </c>
      <c r="T2276">
        <v>172</v>
      </c>
      <c r="U2276">
        <v>30</v>
      </c>
      <c r="V2276" t="s">
        <v>3439</v>
      </c>
      <c r="W2276">
        <v>33107</v>
      </c>
      <c r="X2276" t="s">
        <v>1066</v>
      </c>
      <c r="Y2276">
        <v>29056</v>
      </c>
      <c r="Z2276">
        <v>993210</v>
      </c>
      <c r="AA2276">
        <v>121530</v>
      </c>
      <c r="AB2276" t="str">
        <f>(VLOOKUP(SalesData[[#This Row],[Month Number]],Reference!C$5:E$16,2,FALSE))</f>
        <v>Feb</v>
      </c>
      <c r="AC2276">
        <f>MONTH(SalesData[[#This Row],[Date]])</f>
        <v>2</v>
      </c>
      <c r="AD2276">
        <f>Reference!F$4</f>
        <v>2026</v>
      </c>
      <c r="AE2276" t="str">
        <f>IF(OR(SalesData[[#This Row],[Day]]="Saturday",SalesData[[#This Row],[Day]]="Sunday"),"Weekend","Weekday")</f>
        <v>Weekday</v>
      </c>
      <c r="AF2276" s="5">
        <f>IF(SalesData[[#This Row],[Contracts Offered]]=0,0,SalesData[[#This Row],[Contracts Signed]]/SalesData[[#This Row],[Contracts Offered]])</f>
        <v>0.1744186046511628</v>
      </c>
      <c r="AG2276" s="5">
        <f>IF(SalesData[[#This Row],[Customers Visited]]=0,0,SalesData[[#This Row],[Test Drives]]/SalesData[[#This Row],[Customers Visited]])</f>
        <v>0.48884381338742394</v>
      </c>
      <c r="AH2276" s="5">
        <f>IF(SalesData[[#This Row],[Customers Visited]]=0,0,SalesData[[#This Row],[Contracts Signed]]/SalesData[[#This Row],[Customers Visited]])</f>
        <v>6.0851926977687626E-2</v>
      </c>
      <c r="AI2276" s="6">
        <f>IF(SalesData[[#This Row],[Contracts Signed]]=0,0,SalesData[[#This Row],[Profit(€)]]/SalesData[[#This Row],[Contracts Signed]])</f>
        <v>4051</v>
      </c>
      <c r="AJ2276" s="5" t="str">
        <f>TRIM(CLEAN(SalesData[[#This Row],[Retailer]]))</f>
        <v>Main Auto Hub</v>
      </c>
    </row>
    <row r="2277" spans="1:36" ht="14.25" hidden="1" x14ac:dyDescent="0.2">
      <c r="A2277" t="s">
        <v>3321</v>
      </c>
      <c r="B2277" s="1">
        <v>46076</v>
      </c>
      <c r="C2277" t="s">
        <v>53</v>
      </c>
      <c r="D2277" t="s">
        <v>25</v>
      </c>
      <c r="E2277" t="s">
        <v>26</v>
      </c>
      <c r="F2277" t="s">
        <v>114</v>
      </c>
      <c r="G2277" t="s">
        <v>115</v>
      </c>
      <c r="H2277" t="s">
        <v>115</v>
      </c>
      <c r="I2277" t="s">
        <v>56</v>
      </c>
      <c r="J2277" t="s">
        <v>137</v>
      </c>
      <c r="K2277" t="s">
        <v>78</v>
      </c>
      <c r="L2277" t="s">
        <v>46</v>
      </c>
      <c r="M2277" t="s">
        <v>87</v>
      </c>
      <c r="N2277" t="s">
        <v>35</v>
      </c>
      <c r="O2277" t="s">
        <v>36</v>
      </c>
      <c r="P2277" t="s">
        <v>71</v>
      </c>
      <c r="Q2277" t="s">
        <v>106</v>
      </c>
      <c r="R2277">
        <v>281</v>
      </c>
      <c r="S2277">
        <v>164</v>
      </c>
      <c r="T2277">
        <v>127</v>
      </c>
      <c r="U2277">
        <v>44</v>
      </c>
      <c r="V2277" t="s">
        <v>7247</v>
      </c>
      <c r="W2277">
        <v>41071</v>
      </c>
      <c r="X2277" t="s">
        <v>2299</v>
      </c>
      <c r="Y2277">
        <v>32145</v>
      </c>
      <c r="Z2277">
        <v>1807124</v>
      </c>
      <c r="AA2277">
        <v>392744</v>
      </c>
      <c r="AB2277" t="str">
        <f>(VLOOKUP(SalesData[[#This Row],[Month Number]],Reference!C$5:E$16,2,FALSE))</f>
        <v>Feb</v>
      </c>
      <c r="AC2277">
        <f>MONTH(SalesData[[#This Row],[Date]])</f>
        <v>2</v>
      </c>
      <c r="AD2277">
        <f>Reference!F$4</f>
        <v>2026</v>
      </c>
      <c r="AE2277" t="str">
        <f>IF(OR(SalesData[[#This Row],[Day]]="Saturday",SalesData[[#This Row],[Day]]="Sunday"),"Weekend","Weekday")</f>
        <v>Weekday</v>
      </c>
      <c r="AF2277" s="5">
        <f>IF(SalesData[[#This Row],[Contracts Offered]]=0,0,SalesData[[#This Row],[Contracts Signed]]/SalesData[[#This Row],[Contracts Offered]])</f>
        <v>0.34645669291338582</v>
      </c>
      <c r="AG2277" s="5">
        <f>IF(SalesData[[#This Row],[Customers Visited]]=0,0,SalesData[[#This Row],[Test Drives]]/SalesData[[#This Row],[Customers Visited]])</f>
        <v>0.58362989323843417</v>
      </c>
      <c r="AH2277" s="5">
        <f>IF(SalesData[[#This Row],[Customers Visited]]=0,0,SalesData[[#This Row],[Contracts Signed]]/SalesData[[#This Row],[Customers Visited]])</f>
        <v>0.15658362989323843</v>
      </c>
      <c r="AI2277" s="6">
        <f>IF(SalesData[[#This Row],[Contracts Signed]]=0,0,SalesData[[#This Row],[Profit(€)]]/SalesData[[#This Row],[Contracts Signed]])</f>
        <v>8926</v>
      </c>
      <c r="AJ2277" s="5" t="str">
        <f>TRIM(CLEAN(SalesData[[#This Row],[Retailer]]))</f>
        <v>Elbe Drive</v>
      </c>
    </row>
    <row r="2278" spans="1:36" ht="14.25" hidden="1" x14ac:dyDescent="0.2">
      <c r="A2278" t="s">
        <v>3323</v>
      </c>
      <c r="B2278" s="1">
        <v>46056</v>
      </c>
      <c r="C2278" t="s">
        <v>24</v>
      </c>
      <c r="D2278" t="s">
        <v>63</v>
      </c>
      <c r="E2278" t="s">
        <v>26</v>
      </c>
      <c r="F2278" t="s">
        <v>7649</v>
      </c>
      <c r="G2278" t="s">
        <v>55</v>
      </c>
      <c r="H2278" t="s">
        <v>55</v>
      </c>
      <c r="I2278" t="s">
        <v>56</v>
      </c>
      <c r="J2278" t="s">
        <v>137</v>
      </c>
      <c r="K2278" t="s">
        <v>91</v>
      </c>
      <c r="L2278" t="s">
        <v>46</v>
      </c>
      <c r="M2278" t="s">
        <v>68</v>
      </c>
      <c r="N2278" t="s">
        <v>69</v>
      </c>
      <c r="O2278" t="s">
        <v>70</v>
      </c>
      <c r="P2278" t="s">
        <v>58</v>
      </c>
      <c r="Q2278" t="s">
        <v>144</v>
      </c>
      <c r="R2278">
        <v>312</v>
      </c>
      <c r="S2278">
        <v>181</v>
      </c>
      <c r="T2278">
        <v>130</v>
      </c>
      <c r="U2278">
        <v>46</v>
      </c>
      <c r="V2278" t="s">
        <v>6951</v>
      </c>
      <c r="W2278">
        <v>49543</v>
      </c>
      <c r="X2278" t="s">
        <v>702</v>
      </c>
      <c r="Y2278">
        <v>38381</v>
      </c>
      <c r="Z2278">
        <v>2278978</v>
      </c>
      <c r="AA2278">
        <v>513452</v>
      </c>
      <c r="AB2278" t="str">
        <f>(VLOOKUP(SalesData[[#This Row],[Month Number]],Reference!C$5:E$16,2,FALSE))</f>
        <v>Feb</v>
      </c>
      <c r="AC2278">
        <f>MONTH(SalesData[[#This Row],[Date]])</f>
        <v>2</v>
      </c>
      <c r="AD2278">
        <f>Reference!F$4</f>
        <v>2026</v>
      </c>
      <c r="AE2278" t="str">
        <f>IF(OR(SalesData[[#This Row],[Day]]="Saturday",SalesData[[#This Row],[Day]]="Sunday"),"Weekend","Weekday")</f>
        <v>Weekday</v>
      </c>
      <c r="AF2278" s="5">
        <f>IF(SalesData[[#This Row],[Contracts Offered]]=0,0,SalesData[[#This Row],[Contracts Signed]]/SalesData[[#This Row],[Contracts Offered]])</f>
        <v>0.35384615384615387</v>
      </c>
      <c r="AG2278" s="5">
        <f>IF(SalesData[[#This Row],[Customers Visited]]=0,0,SalesData[[#This Row],[Test Drives]]/SalesData[[#This Row],[Customers Visited]])</f>
        <v>0.58012820512820518</v>
      </c>
      <c r="AH2278" s="5">
        <f>IF(SalesData[[#This Row],[Customers Visited]]=0,0,SalesData[[#This Row],[Contracts Signed]]/SalesData[[#This Row],[Customers Visited]])</f>
        <v>0.14743589743589744</v>
      </c>
      <c r="AI2278" s="6">
        <f>IF(SalesData[[#This Row],[Contracts Signed]]=0,0,SalesData[[#This Row],[Profit(€)]]/SalesData[[#This Row],[Contracts Signed]])</f>
        <v>11162</v>
      </c>
      <c r="AJ2278" s="5" t="str">
        <f>TRIM(CLEAN(SalesData[[#This Row],[Retailer]]))</f>
        <v>Autohaus Berlin</v>
      </c>
    </row>
    <row r="2279" spans="1:36" ht="14.25" hidden="1" x14ac:dyDescent="0.2">
      <c r="A2279" t="s">
        <v>3324</v>
      </c>
      <c r="B2279" s="1">
        <v>46080</v>
      </c>
      <c r="C2279" t="s">
        <v>53</v>
      </c>
      <c r="D2279" t="s">
        <v>54</v>
      </c>
      <c r="E2279" t="s">
        <v>26</v>
      </c>
      <c r="F2279" t="s">
        <v>94</v>
      </c>
      <c r="G2279" t="s">
        <v>95</v>
      </c>
      <c r="H2279" t="s">
        <v>96</v>
      </c>
      <c r="I2279" t="s">
        <v>116</v>
      </c>
      <c r="J2279" t="s">
        <v>203</v>
      </c>
      <c r="K2279" t="s">
        <v>66</v>
      </c>
      <c r="L2279" t="s">
        <v>67</v>
      </c>
      <c r="M2279" t="s">
        <v>68</v>
      </c>
      <c r="N2279" t="s">
        <v>48</v>
      </c>
      <c r="O2279" t="s">
        <v>70</v>
      </c>
      <c r="P2279" t="s">
        <v>71</v>
      </c>
      <c r="Q2279" t="s">
        <v>158</v>
      </c>
      <c r="R2279">
        <v>408</v>
      </c>
      <c r="S2279">
        <v>169</v>
      </c>
      <c r="T2279">
        <v>104</v>
      </c>
      <c r="U2279">
        <v>29</v>
      </c>
      <c r="V2279" t="s">
        <v>833</v>
      </c>
      <c r="W2279">
        <v>21267</v>
      </c>
      <c r="X2279" t="s">
        <v>3200</v>
      </c>
      <c r="Y2279">
        <v>19478</v>
      </c>
      <c r="Z2279">
        <v>616743</v>
      </c>
      <c r="AA2279">
        <v>51881</v>
      </c>
      <c r="AB2279" t="str">
        <f>(VLOOKUP(SalesData[[#This Row],[Month Number]],Reference!C$5:E$16,2,FALSE))</f>
        <v>Feb</v>
      </c>
      <c r="AC2279">
        <f>MONTH(SalesData[[#This Row],[Date]])</f>
        <v>2</v>
      </c>
      <c r="AD2279">
        <f>Reference!F$4</f>
        <v>2026</v>
      </c>
      <c r="AE2279" t="str">
        <f>IF(OR(SalesData[[#This Row],[Day]]="Saturday",SalesData[[#This Row],[Day]]="Sunday"),"Weekend","Weekday")</f>
        <v>Weekday</v>
      </c>
      <c r="AF2279" s="5">
        <f>IF(SalesData[[#This Row],[Contracts Offered]]=0,0,SalesData[[#This Row],[Contracts Signed]]/SalesData[[#This Row],[Contracts Offered]])</f>
        <v>0.27884615384615385</v>
      </c>
      <c r="AG2279" s="5">
        <f>IF(SalesData[[#This Row],[Customers Visited]]=0,0,SalesData[[#This Row],[Test Drives]]/SalesData[[#This Row],[Customers Visited]])</f>
        <v>0.41421568627450983</v>
      </c>
      <c r="AH2279" s="5">
        <f>IF(SalesData[[#This Row],[Customers Visited]]=0,0,SalesData[[#This Row],[Contracts Signed]]/SalesData[[#This Row],[Customers Visited]])</f>
        <v>7.1078431372549017E-2</v>
      </c>
      <c r="AI2279" s="6">
        <f>IF(SalesData[[#This Row],[Contracts Signed]]=0,0,SalesData[[#This Row],[Profit(€)]]/SalesData[[#This Row],[Contracts Signed]])</f>
        <v>1789</v>
      </c>
      <c r="AJ2279" s="5" t="str">
        <f>TRIM(CLEAN(SalesData[[#This Row],[Retailer]]))</f>
        <v>Bavaria Motors</v>
      </c>
    </row>
    <row r="2280" spans="1:36" ht="14.25" hidden="1" x14ac:dyDescent="0.2">
      <c r="A2280" t="s">
        <v>3325</v>
      </c>
      <c r="B2280" s="1">
        <v>46079</v>
      </c>
      <c r="C2280" t="s">
        <v>53</v>
      </c>
      <c r="D2280" t="s">
        <v>100</v>
      </c>
      <c r="E2280" t="s">
        <v>26</v>
      </c>
      <c r="F2280" t="s">
        <v>7649</v>
      </c>
      <c r="G2280" t="s">
        <v>55</v>
      </c>
      <c r="H2280" t="s">
        <v>55</v>
      </c>
      <c r="I2280" t="s">
        <v>116</v>
      </c>
      <c r="J2280" t="s">
        <v>7090</v>
      </c>
      <c r="K2280" t="s">
        <v>91</v>
      </c>
      <c r="L2280" t="s">
        <v>46</v>
      </c>
      <c r="M2280" t="s">
        <v>68</v>
      </c>
      <c r="N2280" t="s">
        <v>69</v>
      </c>
      <c r="O2280" t="s">
        <v>36</v>
      </c>
      <c r="P2280" t="s">
        <v>49</v>
      </c>
      <c r="Q2280" t="s">
        <v>118</v>
      </c>
      <c r="R2280">
        <v>427</v>
      </c>
      <c r="S2280">
        <v>224</v>
      </c>
      <c r="T2280">
        <v>135</v>
      </c>
      <c r="U2280">
        <v>38</v>
      </c>
      <c r="V2280" t="s">
        <v>471</v>
      </c>
      <c r="W2280">
        <v>22680</v>
      </c>
      <c r="X2280" t="s">
        <v>216</v>
      </c>
      <c r="Y2280">
        <v>20715</v>
      </c>
      <c r="Z2280">
        <v>861840</v>
      </c>
      <c r="AA2280">
        <v>74670</v>
      </c>
      <c r="AB2280" t="str">
        <f>(VLOOKUP(SalesData[[#This Row],[Month Number]],Reference!C$5:E$16,2,FALSE))</f>
        <v>Feb</v>
      </c>
      <c r="AC2280">
        <f>MONTH(SalesData[[#This Row],[Date]])</f>
        <v>2</v>
      </c>
      <c r="AD2280">
        <f>Reference!F$4</f>
        <v>2026</v>
      </c>
      <c r="AE2280" t="str">
        <f>IF(OR(SalesData[[#This Row],[Day]]="Saturday",SalesData[[#This Row],[Day]]="Sunday"),"Weekend","Weekday")</f>
        <v>Weekday</v>
      </c>
      <c r="AF2280" s="5">
        <f>IF(SalesData[[#This Row],[Contracts Offered]]=0,0,SalesData[[#This Row],[Contracts Signed]]/SalesData[[#This Row],[Contracts Offered]])</f>
        <v>0.2814814814814815</v>
      </c>
      <c r="AG2280" s="5">
        <f>IF(SalesData[[#This Row],[Customers Visited]]=0,0,SalesData[[#This Row],[Test Drives]]/SalesData[[#This Row],[Customers Visited]])</f>
        <v>0.52459016393442626</v>
      </c>
      <c r="AH2280" s="5">
        <f>IF(SalesData[[#This Row],[Customers Visited]]=0,0,SalesData[[#This Row],[Contracts Signed]]/SalesData[[#This Row],[Customers Visited]])</f>
        <v>8.899297423887588E-2</v>
      </c>
      <c r="AI2280" s="6">
        <f>IF(SalesData[[#This Row],[Contracts Signed]]=0,0,SalesData[[#This Row],[Profit(€)]]/SalesData[[#This Row],[Contracts Signed]])</f>
        <v>1965</v>
      </c>
      <c r="AJ2280" s="5" t="str">
        <f>TRIM(CLEAN(SalesData[[#This Row],[Retailer]]))</f>
        <v>Autohaus Berlin</v>
      </c>
    </row>
    <row r="2281" spans="1:36" ht="14.25" hidden="1" x14ac:dyDescent="0.2">
      <c r="A2281" t="s">
        <v>3326</v>
      </c>
      <c r="B2281" s="1">
        <v>46063</v>
      </c>
      <c r="C2281" t="s">
        <v>121</v>
      </c>
      <c r="D2281" t="s">
        <v>63</v>
      </c>
      <c r="E2281" t="s">
        <v>26</v>
      </c>
      <c r="F2281" t="s">
        <v>127</v>
      </c>
      <c r="G2281" t="s">
        <v>128</v>
      </c>
      <c r="H2281" t="s">
        <v>103</v>
      </c>
      <c r="I2281" t="s">
        <v>64</v>
      </c>
      <c r="J2281" t="s">
        <v>111</v>
      </c>
      <c r="K2281" t="s">
        <v>91</v>
      </c>
      <c r="L2281" t="s">
        <v>46</v>
      </c>
      <c r="M2281" t="s">
        <v>68</v>
      </c>
      <c r="N2281" t="s">
        <v>48</v>
      </c>
      <c r="O2281" t="s">
        <v>70</v>
      </c>
      <c r="P2281" t="s">
        <v>71</v>
      </c>
      <c r="Q2281" t="s">
        <v>135</v>
      </c>
      <c r="R2281">
        <v>244</v>
      </c>
      <c r="S2281">
        <v>140</v>
      </c>
      <c r="T2281">
        <v>94</v>
      </c>
      <c r="U2281">
        <v>39</v>
      </c>
      <c r="V2281" t="s">
        <v>6651</v>
      </c>
      <c r="W2281">
        <v>49840</v>
      </c>
      <c r="X2281" t="s">
        <v>1764</v>
      </c>
      <c r="Y2281">
        <v>38467</v>
      </c>
      <c r="Z2281">
        <v>1943760</v>
      </c>
      <c r="AA2281">
        <v>443547</v>
      </c>
      <c r="AB2281" t="str">
        <f>(VLOOKUP(SalesData[[#This Row],[Month Number]],Reference!C$5:E$16,2,FALSE))</f>
        <v>Feb</v>
      </c>
      <c r="AC2281">
        <f>MONTH(SalesData[[#This Row],[Date]])</f>
        <v>2</v>
      </c>
      <c r="AD2281">
        <f>Reference!F$4</f>
        <v>2026</v>
      </c>
      <c r="AE2281" t="str">
        <f>IF(OR(SalesData[[#This Row],[Day]]="Saturday",SalesData[[#This Row],[Day]]="Sunday"),"Weekend","Weekday")</f>
        <v>Weekday</v>
      </c>
      <c r="AF2281" s="5">
        <f>IF(SalesData[[#This Row],[Contracts Offered]]=0,0,SalesData[[#This Row],[Contracts Signed]]/SalesData[[#This Row],[Contracts Offered]])</f>
        <v>0.41489361702127658</v>
      </c>
      <c r="AG2281" s="5">
        <f>IF(SalesData[[#This Row],[Customers Visited]]=0,0,SalesData[[#This Row],[Test Drives]]/SalesData[[#This Row],[Customers Visited]])</f>
        <v>0.57377049180327866</v>
      </c>
      <c r="AH2281" s="5">
        <f>IF(SalesData[[#This Row],[Customers Visited]]=0,0,SalesData[[#This Row],[Contracts Signed]]/SalesData[[#This Row],[Customers Visited]])</f>
        <v>0.1598360655737705</v>
      </c>
      <c r="AI2281" s="6">
        <f>IF(SalesData[[#This Row],[Contracts Signed]]=0,0,SalesData[[#This Row],[Profit(€)]]/SalesData[[#This Row],[Contracts Signed]])</f>
        <v>11373</v>
      </c>
      <c r="AJ2281" s="5" t="str">
        <f>TRIM(CLEAN(SalesData[[#This Row],[Retailer]]))</f>
        <v>Rhein Auto Group</v>
      </c>
    </row>
    <row r="2282" spans="1:36" ht="14.25" x14ac:dyDescent="0.2">
      <c r="A2282" t="s">
        <v>3327</v>
      </c>
      <c r="B2282" s="1">
        <v>46061</v>
      </c>
      <c r="C2282" t="s">
        <v>121</v>
      </c>
      <c r="D2282" t="s">
        <v>41</v>
      </c>
      <c r="E2282" t="s">
        <v>42</v>
      </c>
      <c r="F2282" t="s">
        <v>109</v>
      </c>
      <c r="G2282" t="s">
        <v>110</v>
      </c>
      <c r="H2282" t="s">
        <v>45</v>
      </c>
      <c r="I2282" t="s">
        <v>30</v>
      </c>
      <c r="J2282" t="s">
        <v>31</v>
      </c>
      <c r="K2282" t="s">
        <v>91</v>
      </c>
      <c r="L2282" t="s">
        <v>46</v>
      </c>
      <c r="M2282" t="s">
        <v>68</v>
      </c>
      <c r="N2282" t="s">
        <v>48</v>
      </c>
      <c r="O2282" t="s">
        <v>70</v>
      </c>
      <c r="P2282" t="s">
        <v>37</v>
      </c>
      <c r="Q2282" t="s">
        <v>347</v>
      </c>
      <c r="R2282">
        <v>219</v>
      </c>
      <c r="S2282">
        <v>117</v>
      </c>
      <c r="T2282">
        <v>80</v>
      </c>
      <c r="U2282">
        <v>29</v>
      </c>
      <c r="V2282" t="s">
        <v>6927</v>
      </c>
      <c r="W2282">
        <v>53525</v>
      </c>
      <c r="X2282" t="s">
        <v>1489</v>
      </c>
      <c r="Y2282">
        <v>40518</v>
      </c>
      <c r="Z2282">
        <v>1552225</v>
      </c>
      <c r="AA2282">
        <v>377203</v>
      </c>
      <c r="AB2282" t="str">
        <f>(VLOOKUP(SalesData[[#This Row],[Month Number]],Reference!C$5:E$16,2,FALSE))</f>
        <v>Feb</v>
      </c>
      <c r="AC2282">
        <f>MONTH(SalesData[[#This Row],[Date]])</f>
        <v>2</v>
      </c>
      <c r="AD2282">
        <f>Reference!F$4</f>
        <v>2026</v>
      </c>
      <c r="AE2282" t="str">
        <f>IF(OR(SalesData[[#This Row],[Day]]="Saturday",SalesData[[#This Row],[Day]]="Sunday"),"Weekend","Weekday")</f>
        <v>Weekend</v>
      </c>
      <c r="AF2282" s="5">
        <f>IF(SalesData[[#This Row],[Contracts Offered]]=0,0,SalesData[[#This Row],[Contracts Signed]]/SalesData[[#This Row],[Contracts Offered]])</f>
        <v>0.36249999999999999</v>
      </c>
      <c r="AG2282" s="5">
        <f>IF(SalesData[[#This Row],[Customers Visited]]=0,0,SalesData[[#This Row],[Test Drives]]/SalesData[[#This Row],[Customers Visited]])</f>
        <v>0.53424657534246578</v>
      </c>
      <c r="AH2282" s="5">
        <f>IF(SalesData[[#This Row],[Customers Visited]]=0,0,SalesData[[#This Row],[Contracts Signed]]/SalesData[[#This Row],[Customers Visited]])</f>
        <v>0.13242009132420091</v>
      </c>
      <c r="AI2282" s="6">
        <f>IF(SalesData[[#This Row],[Contracts Signed]]=0,0,SalesData[[#This Row],[Profit(€)]]/SalesData[[#This Row],[Contracts Signed]])</f>
        <v>13007</v>
      </c>
      <c r="AJ2282" s="5" t="str">
        <f>TRIM(CLEAN(SalesData[[#This Row],[Retailer]]))</f>
        <v>Leipzig Mobility</v>
      </c>
    </row>
    <row r="2283" spans="1:36" ht="14.25" hidden="1" x14ac:dyDescent="0.2">
      <c r="A2283" t="s">
        <v>3328</v>
      </c>
      <c r="B2283" s="1">
        <v>46058</v>
      </c>
      <c r="C2283" t="s">
        <v>24</v>
      </c>
      <c r="D2283" t="s">
        <v>100</v>
      </c>
      <c r="E2283" t="s">
        <v>26</v>
      </c>
      <c r="F2283" t="s">
        <v>43</v>
      </c>
      <c r="G2283" t="s">
        <v>44</v>
      </c>
      <c r="H2283" t="s">
        <v>45</v>
      </c>
      <c r="I2283" t="s">
        <v>104</v>
      </c>
      <c r="J2283" t="s">
        <v>7031</v>
      </c>
      <c r="K2283" t="s">
        <v>32</v>
      </c>
      <c r="L2283" t="s">
        <v>46</v>
      </c>
      <c r="M2283" t="s">
        <v>87</v>
      </c>
      <c r="N2283" t="s">
        <v>35</v>
      </c>
      <c r="O2283" t="s">
        <v>70</v>
      </c>
      <c r="P2283" t="s">
        <v>58</v>
      </c>
      <c r="Q2283" t="s">
        <v>106</v>
      </c>
      <c r="R2283">
        <v>295</v>
      </c>
      <c r="S2283">
        <v>155</v>
      </c>
      <c r="T2283">
        <v>109</v>
      </c>
      <c r="U2283">
        <v>27</v>
      </c>
      <c r="V2283" t="s">
        <v>1139</v>
      </c>
      <c r="W2283">
        <v>27666</v>
      </c>
      <c r="X2283" t="s">
        <v>506</v>
      </c>
      <c r="Y2283">
        <v>24438</v>
      </c>
      <c r="Z2283">
        <v>746982</v>
      </c>
      <c r="AA2283">
        <v>87156</v>
      </c>
      <c r="AB2283" t="str">
        <f>(VLOOKUP(SalesData[[#This Row],[Month Number]],Reference!C$5:E$16,2,FALSE))</f>
        <v>Feb</v>
      </c>
      <c r="AC2283">
        <f>MONTH(SalesData[[#This Row],[Date]])</f>
        <v>2</v>
      </c>
      <c r="AD2283">
        <f>Reference!F$4</f>
        <v>2026</v>
      </c>
      <c r="AE2283" t="str">
        <f>IF(OR(SalesData[[#This Row],[Day]]="Saturday",SalesData[[#This Row],[Day]]="Sunday"),"Weekend","Weekday")</f>
        <v>Weekday</v>
      </c>
      <c r="AF2283" s="5">
        <f>IF(SalesData[[#This Row],[Contracts Offered]]=0,0,SalesData[[#This Row],[Contracts Signed]]/SalesData[[#This Row],[Contracts Offered]])</f>
        <v>0.24770642201834864</v>
      </c>
      <c r="AG2283" s="5">
        <f>IF(SalesData[[#This Row],[Customers Visited]]=0,0,SalesData[[#This Row],[Test Drives]]/SalesData[[#This Row],[Customers Visited]])</f>
        <v>0.52542372881355937</v>
      </c>
      <c r="AH2283" s="5">
        <f>IF(SalesData[[#This Row],[Customers Visited]]=0,0,SalesData[[#This Row],[Contracts Signed]]/SalesData[[#This Row],[Customers Visited]])</f>
        <v>9.152542372881356E-2</v>
      </c>
      <c r="AI2283" s="6">
        <f>IF(SalesData[[#This Row],[Contracts Signed]]=0,0,SalesData[[#This Row],[Profit(€)]]/SalesData[[#This Row],[Contracts Signed]])</f>
        <v>3228</v>
      </c>
      <c r="AJ2283" s="5" t="str">
        <f>TRIM(CLEAN(SalesData[[#This Row],[Retailer]]))</f>
        <v>Saxon Wheels</v>
      </c>
    </row>
    <row r="2284" spans="1:36" ht="14.25" hidden="1" x14ac:dyDescent="0.2">
      <c r="A2284" t="s">
        <v>3329</v>
      </c>
      <c r="B2284" s="1">
        <v>46061</v>
      </c>
      <c r="C2284" t="s">
        <v>121</v>
      </c>
      <c r="D2284" t="s">
        <v>41</v>
      </c>
      <c r="E2284" t="s">
        <v>42</v>
      </c>
      <c r="F2284" t="s">
        <v>43</v>
      </c>
      <c r="G2284" t="s">
        <v>44</v>
      </c>
      <c r="H2284" t="s">
        <v>45</v>
      </c>
      <c r="I2284" t="s">
        <v>104</v>
      </c>
      <c r="J2284" t="s">
        <v>7031</v>
      </c>
      <c r="K2284" t="s">
        <v>91</v>
      </c>
      <c r="L2284" t="s">
        <v>46</v>
      </c>
      <c r="M2284" t="s">
        <v>34</v>
      </c>
      <c r="N2284" t="s">
        <v>35</v>
      </c>
      <c r="O2284" t="s">
        <v>70</v>
      </c>
      <c r="P2284" t="s">
        <v>71</v>
      </c>
      <c r="Q2284" t="s">
        <v>59</v>
      </c>
      <c r="R2284">
        <v>467</v>
      </c>
      <c r="S2284">
        <v>264</v>
      </c>
      <c r="T2284">
        <v>158</v>
      </c>
      <c r="U2284">
        <v>43</v>
      </c>
      <c r="V2284" t="s">
        <v>3740</v>
      </c>
      <c r="W2284">
        <v>33207</v>
      </c>
      <c r="X2284" t="s">
        <v>4447</v>
      </c>
      <c r="Y2284">
        <v>29560</v>
      </c>
      <c r="Z2284">
        <v>1427901</v>
      </c>
      <c r="AA2284">
        <v>156821</v>
      </c>
      <c r="AB2284" t="str">
        <f>(VLOOKUP(SalesData[[#This Row],[Month Number]],Reference!C$5:E$16,2,FALSE))</f>
        <v>Feb</v>
      </c>
      <c r="AC2284">
        <f>MONTH(SalesData[[#This Row],[Date]])</f>
        <v>2</v>
      </c>
      <c r="AD2284">
        <f>Reference!F$4</f>
        <v>2026</v>
      </c>
      <c r="AE2284" t="str">
        <f>IF(OR(SalesData[[#This Row],[Day]]="Saturday",SalesData[[#This Row],[Day]]="Sunday"),"Weekend","Weekday")</f>
        <v>Weekend</v>
      </c>
      <c r="AF2284" s="5">
        <f>IF(SalesData[[#This Row],[Contracts Offered]]=0,0,SalesData[[#This Row],[Contracts Signed]]/SalesData[[#This Row],[Contracts Offered]])</f>
        <v>0.27215189873417722</v>
      </c>
      <c r="AG2284" s="5">
        <f>IF(SalesData[[#This Row],[Customers Visited]]=0,0,SalesData[[#This Row],[Test Drives]]/SalesData[[#This Row],[Customers Visited]])</f>
        <v>0.56531049250535337</v>
      </c>
      <c r="AH2284" s="5">
        <f>IF(SalesData[[#This Row],[Customers Visited]]=0,0,SalesData[[#This Row],[Contracts Signed]]/SalesData[[#This Row],[Customers Visited]])</f>
        <v>9.2077087794432549E-2</v>
      </c>
      <c r="AI2284" s="6">
        <f>IF(SalesData[[#This Row],[Contracts Signed]]=0,0,SalesData[[#This Row],[Profit(€)]]/SalesData[[#This Row],[Contracts Signed]])</f>
        <v>3647</v>
      </c>
      <c r="AJ2284" s="5" t="str">
        <f>TRIM(CLEAN(SalesData[[#This Row],[Retailer]]))</f>
        <v>Saxon Wheels</v>
      </c>
    </row>
    <row r="2285" spans="1:36" ht="14.25" x14ac:dyDescent="0.2">
      <c r="A2285" t="s">
        <v>3330</v>
      </c>
      <c r="B2285" s="1">
        <v>46065</v>
      </c>
      <c r="C2285" t="s">
        <v>121</v>
      </c>
      <c r="D2285" t="s">
        <v>100</v>
      </c>
      <c r="E2285" t="s">
        <v>26</v>
      </c>
      <c r="F2285" t="s">
        <v>74</v>
      </c>
      <c r="G2285" t="s">
        <v>75</v>
      </c>
      <c r="H2285" t="s">
        <v>76</v>
      </c>
      <c r="I2285" t="s">
        <v>30</v>
      </c>
      <c r="J2285" t="s">
        <v>166</v>
      </c>
      <c r="K2285" t="s">
        <v>78</v>
      </c>
      <c r="L2285" t="s">
        <v>46</v>
      </c>
      <c r="M2285" t="s">
        <v>68</v>
      </c>
      <c r="N2285" t="s">
        <v>48</v>
      </c>
      <c r="O2285" t="s">
        <v>36</v>
      </c>
      <c r="P2285" t="s">
        <v>37</v>
      </c>
      <c r="Q2285" t="s">
        <v>347</v>
      </c>
      <c r="R2285">
        <v>251</v>
      </c>
      <c r="S2285">
        <v>127</v>
      </c>
      <c r="T2285">
        <v>87</v>
      </c>
      <c r="U2285">
        <v>35</v>
      </c>
      <c r="V2285" t="s">
        <v>6385</v>
      </c>
      <c r="W2285">
        <v>58575</v>
      </c>
      <c r="X2285" t="s">
        <v>7055</v>
      </c>
      <c r="Y2285">
        <v>41354</v>
      </c>
      <c r="Z2285">
        <v>2050125</v>
      </c>
      <c r="AA2285">
        <v>602735</v>
      </c>
      <c r="AB2285" t="str">
        <f>(VLOOKUP(SalesData[[#This Row],[Month Number]],Reference!C$5:E$16,2,FALSE))</f>
        <v>Feb</v>
      </c>
      <c r="AC2285">
        <f>MONTH(SalesData[[#This Row],[Date]])</f>
        <v>2</v>
      </c>
      <c r="AD2285">
        <f>Reference!F$4</f>
        <v>2026</v>
      </c>
      <c r="AE2285" t="str">
        <f>IF(OR(SalesData[[#This Row],[Day]]="Saturday",SalesData[[#This Row],[Day]]="Sunday"),"Weekend","Weekday")</f>
        <v>Weekday</v>
      </c>
      <c r="AF2285" s="5">
        <f>IF(SalesData[[#This Row],[Contracts Offered]]=0,0,SalesData[[#This Row],[Contracts Signed]]/SalesData[[#This Row],[Contracts Offered]])</f>
        <v>0.40229885057471265</v>
      </c>
      <c r="AG2285" s="5">
        <f>IF(SalesData[[#This Row],[Customers Visited]]=0,0,SalesData[[#This Row],[Test Drives]]/SalesData[[#This Row],[Customers Visited]])</f>
        <v>0.50597609561752988</v>
      </c>
      <c r="AH2285" s="5">
        <f>IF(SalesData[[#This Row],[Customers Visited]]=0,0,SalesData[[#This Row],[Contracts Signed]]/SalesData[[#This Row],[Customers Visited]])</f>
        <v>0.1394422310756972</v>
      </c>
      <c r="AI2285" s="6">
        <f>IF(SalesData[[#This Row],[Contracts Signed]]=0,0,SalesData[[#This Row],[Profit(€)]]/SalesData[[#This Row],[Contracts Signed]])</f>
        <v>17221</v>
      </c>
      <c r="AJ2285" s="5" t="str">
        <f>TRIM(CLEAN(SalesData[[#This Row],[Retailer]]))</f>
        <v>Stuttgart Auto Center</v>
      </c>
    </row>
    <row r="2286" spans="1:36" ht="14.25" hidden="1" x14ac:dyDescent="0.2">
      <c r="A2286" t="s">
        <v>3331</v>
      </c>
      <c r="B2286" s="1">
        <v>46074</v>
      </c>
      <c r="C2286" t="s">
        <v>62</v>
      </c>
      <c r="D2286" t="s">
        <v>151</v>
      </c>
      <c r="E2286" t="s">
        <v>42</v>
      </c>
      <c r="F2286" t="s">
        <v>109</v>
      </c>
      <c r="G2286" t="s">
        <v>110</v>
      </c>
      <c r="H2286" t="s">
        <v>45</v>
      </c>
      <c r="I2286" t="s">
        <v>116</v>
      </c>
      <c r="J2286" t="s">
        <v>7026</v>
      </c>
      <c r="K2286" t="s">
        <v>78</v>
      </c>
      <c r="L2286" t="s">
        <v>46</v>
      </c>
      <c r="M2286" t="s">
        <v>68</v>
      </c>
      <c r="N2286" t="s">
        <v>69</v>
      </c>
      <c r="O2286" t="s">
        <v>36</v>
      </c>
      <c r="P2286" t="s">
        <v>58</v>
      </c>
      <c r="Q2286" t="s">
        <v>118</v>
      </c>
      <c r="R2286">
        <v>417</v>
      </c>
      <c r="S2286">
        <v>178</v>
      </c>
      <c r="T2286">
        <v>122</v>
      </c>
      <c r="U2286">
        <v>28</v>
      </c>
      <c r="V2286" t="s">
        <v>3410</v>
      </c>
      <c r="W2286">
        <v>23382</v>
      </c>
      <c r="X2286" t="s">
        <v>7523</v>
      </c>
      <c r="Y2286">
        <v>21505</v>
      </c>
      <c r="Z2286">
        <v>654696</v>
      </c>
      <c r="AA2286">
        <v>52556</v>
      </c>
      <c r="AB2286" t="str">
        <f>(VLOOKUP(SalesData[[#This Row],[Month Number]],Reference!C$5:E$16,2,FALSE))</f>
        <v>Feb</v>
      </c>
      <c r="AC2286">
        <f>MONTH(SalesData[[#This Row],[Date]])</f>
        <v>2</v>
      </c>
      <c r="AD2286">
        <f>Reference!F$4</f>
        <v>2026</v>
      </c>
      <c r="AE2286" t="str">
        <f>IF(OR(SalesData[[#This Row],[Day]]="Saturday",SalesData[[#This Row],[Day]]="Sunday"),"Weekend","Weekday")</f>
        <v>Weekend</v>
      </c>
      <c r="AF2286" s="5">
        <f>IF(SalesData[[#This Row],[Contracts Offered]]=0,0,SalesData[[#This Row],[Contracts Signed]]/SalesData[[#This Row],[Contracts Offered]])</f>
        <v>0.22950819672131148</v>
      </c>
      <c r="AG2286" s="5">
        <f>IF(SalesData[[#This Row],[Customers Visited]]=0,0,SalesData[[#This Row],[Test Drives]]/SalesData[[#This Row],[Customers Visited]])</f>
        <v>0.42685851318944845</v>
      </c>
      <c r="AH2286" s="5">
        <f>IF(SalesData[[#This Row],[Customers Visited]]=0,0,SalesData[[#This Row],[Contracts Signed]]/SalesData[[#This Row],[Customers Visited]])</f>
        <v>6.7146282973621102E-2</v>
      </c>
      <c r="AI2286" s="6">
        <f>IF(SalesData[[#This Row],[Contracts Signed]]=0,0,SalesData[[#This Row],[Profit(€)]]/SalesData[[#This Row],[Contracts Signed]])</f>
        <v>1877</v>
      </c>
      <c r="AJ2286" s="5" t="str">
        <f>TRIM(CLEAN(SalesData[[#This Row],[Retailer]]))</f>
        <v>Leipzig Mobility</v>
      </c>
    </row>
    <row r="2287" spans="1:36" ht="14.25" hidden="1" x14ac:dyDescent="0.2">
      <c r="A2287" t="s">
        <v>3333</v>
      </c>
      <c r="B2287" s="1">
        <v>46067</v>
      </c>
      <c r="C2287" t="s">
        <v>121</v>
      </c>
      <c r="D2287" t="s">
        <v>151</v>
      </c>
      <c r="E2287" t="s">
        <v>42</v>
      </c>
      <c r="F2287" t="s">
        <v>94</v>
      </c>
      <c r="G2287" t="s">
        <v>95</v>
      </c>
      <c r="H2287" t="s">
        <v>96</v>
      </c>
      <c r="I2287" t="s">
        <v>104</v>
      </c>
      <c r="J2287" t="s">
        <v>7061</v>
      </c>
      <c r="K2287" t="s">
        <v>91</v>
      </c>
      <c r="L2287" t="s">
        <v>46</v>
      </c>
      <c r="M2287" t="s">
        <v>34</v>
      </c>
      <c r="N2287" t="s">
        <v>69</v>
      </c>
      <c r="O2287" t="s">
        <v>70</v>
      </c>
      <c r="P2287" t="s">
        <v>49</v>
      </c>
      <c r="Q2287" t="s">
        <v>204</v>
      </c>
      <c r="R2287">
        <v>465</v>
      </c>
      <c r="S2287">
        <v>228</v>
      </c>
      <c r="T2287">
        <v>152</v>
      </c>
      <c r="U2287">
        <v>35</v>
      </c>
      <c r="V2287" t="s">
        <v>6586</v>
      </c>
      <c r="W2287">
        <v>29397</v>
      </c>
      <c r="X2287" t="s">
        <v>3099</v>
      </c>
      <c r="Y2287">
        <v>26262</v>
      </c>
      <c r="Z2287">
        <v>1028895</v>
      </c>
      <c r="AA2287">
        <v>109725</v>
      </c>
      <c r="AB2287" t="str">
        <f>(VLOOKUP(SalesData[[#This Row],[Month Number]],Reference!C$5:E$16,2,FALSE))</f>
        <v>Feb</v>
      </c>
      <c r="AC2287">
        <f>MONTH(SalesData[[#This Row],[Date]])</f>
        <v>2</v>
      </c>
      <c r="AD2287">
        <f>Reference!F$4</f>
        <v>2026</v>
      </c>
      <c r="AE2287" t="str">
        <f>IF(OR(SalesData[[#This Row],[Day]]="Saturday",SalesData[[#This Row],[Day]]="Sunday"),"Weekend","Weekday")</f>
        <v>Weekend</v>
      </c>
      <c r="AF2287" s="5">
        <f>IF(SalesData[[#This Row],[Contracts Offered]]=0,0,SalesData[[#This Row],[Contracts Signed]]/SalesData[[#This Row],[Contracts Offered]])</f>
        <v>0.23026315789473684</v>
      </c>
      <c r="AG2287" s="5">
        <f>IF(SalesData[[#This Row],[Customers Visited]]=0,0,SalesData[[#This Row],[Test Drives]]/SalesData[[#This Row],[Customers Visited]])</f>
        <v>0.49032258064516127</v>
      </c>
      <c r="AH2287" s="5">
        <f>IF(SalesData[[#This Row],[Customers Visited]]=0,0,SalesData[[#This Row],[Contracts Signed]]/SalesData[[#This Row],[Customers Visited]])</f>
        <v>7.5268817204301078E-2</v>
      </c>
      <c r="AI2287" s="6">
        <f>IF(SalesData[[#This Row],[Contracts Signed]]=0,0,SalesData[[#This Row],[Profit(€)]]/SalesData[[#This Row],[Contracts Signed]])</f>
        <v>3135</v>
      </c>
      <c r="AJ2287" s="5" t="str">
        <f>TRIM(CLEAN(SalesData[[#This Row],[Retailer]]))</f>
        <v>Bavaria Motors</v>
      </c>
    </row>
    <row r="2288" spans="1:36" ht="14.25" hidden="1" x14ac:dyDescent="0.2">
      <c r="A2288" t="s">
        <v>3334</v>
      </c>
      <c r="B2288" s="1">
        <v>46073</v>
      </c>
      <c r="C2288" t="s">
        <v>62</v>
      </c>
      <c r="D2288" t="s">
        <v>54</v>
      </c>
      <c r="E2288" t="s">
        <v>26</v>
      </c>
      <c r="F2288" t="s">
        <v>43</v>
      </c>
      <c r="G2288" t="s">
        <v>44</v>
      </c>
      <c r="H2288" t="s">
        <v>45</v>
      </c>
      <c r="I2288" t="s">
        <v>116</v>
      </c>
      <c r="J2288" t="s">
        <v>117</v>
      </c>
      <c r="K2288" t="s">
        <v>78</v>
      </c>
      <c r="L2288" t="s">
        <v>67</v>
      </c>
      <c r="M2288" t="s">
        <v>68</v>
      </c>
      <c r="N2288" t="s">
        <v>35</v>
      </c>
      <c r="O2288" t="s">
        <v>70</v>
      </c>
      <c r="P2288" t="s">
        <v>49</v>
      </c>
      <c r="Q2288" t="s">
        <v>59</v>
      </c>
      <c r="R2288">
        <v>424</v>
      </c>
      <c r="S2288">
        <v>218</v>
      </c>
      <c r="T2288">
        <v>125</v>
      </c>
      <c r="U2288">
        <v>34</v>
      </c>
      <c r="V2288" t="s">
        <v>2368</v>
      </c>
      <c r="W2288">
        <v>25524</v>
      </c>
      <c r="X2288" t="s">
        <v>319</v>
      </c>
      <c r="Y2288">
        <v>23394</v>
      </c>
      <c r="Z2288">
        <v>867816</v>
      </c>
      <c r="AA2288">
        <v>72420</v>
      </c>
      <c r="AB2288" t="str">
        <f>(VLOOKUP(SalesData[[#This Row],[Month Number]],Reference!C$5:E$16,2,FALSE))</f>
        <v>Feb</v>
      </c>
      <c r="AC2288">
        <f>MONTH(SalesData[[#This Row],[Date]])</f>
        <v>2</v>
      </c>
      <c r="AD2288">
        <f>Reference!F$4</f>
        <v>2026</v>
      </c>
      <c r="AE2288" t="str">
        <f>IF(OR(SalesData[[#This Row],[Day]]="Saturday",SalesData[[#This Row],[Day]]="Sunday"),"Weekend","Weekday")</f>
        <v>Weekday</v>
      </c>
      <c r="AF2288" s="5">
        <f>IF(SalesData[[#This Row],[Contracts Offered]]=0,0,SalesData[[#This Row],[Contracts Signed]]/SalesData[[#This Row],[Contracts Offered]])</f>
        <v>0.27200000000000002</v>
      </c>
      <c r="AG2288" s="5">
        <f>IF(SalesData[[#This Row],[Customers Visited]]=0,0,SalesData[[#This Row],[Test Drives]]/SalesData[[#This Row],[Customers Visited]])</f>
        <v>0.51415094339622647</v>
      </c>
      <c r="AH2288" s="5">
        <f>IF(SalesData[[#This Row],[Customers Visited]]=0,0,SalesData[[#This Row],[Contracts Signed]]/SalesData[[#This Row],[Customers Visited]])</f>
        <v>8.0188679245283015E-2</v>
      </c>
      <c r="AI2288" s="6">
        <f>IF(SalesData[[#This Row],[Contracts Signed]]=0,0,SalesData[[#This Row],[Profit(€)]]/SalesData[[#This Row],[Contracts Signed]])</f>
        <v>2130</v>
      </c>
      <c r="AJ2288" s="5" t="str">
        <f>TRIM(CLEAN(SalesData[[#This Row],[Retailer]]))</f>
        <v>Saxon Wheels</v>
      </c>
    </row>
    <row r="2289" spans="1:36" ht="14.25" hidden="1" x14ac:dyDescent="0.2">
      <c r="A2289" t="s">
        <v>3335</v>
      </c>
      <c r="B2289" s="1">
        <v>46060</v>
      </c>
      <c r="C2289" t="s">
        <v>24</v>
      </c>
      <c r="D2289" t="s">
        <v>151</v>
      </c>
      <c r="E2289" t="s">
        <v>42</v>
      </c>
      <c r="F2289" t="s">
        <v>74</v>
      </c>
      <c r="G2289" t="s">
        <v>75</v>
      </c>
      <c r="H2289" t="s">
        <v>76</v>
      </c>
      <c r="I2289" t="s">
        <v>104</v>
      </c>
      <c r="J2289" t="s">
        <v>140</v>
      </c>
      <c r="K2289" t="s">
        <v>66</v>
      </c>
      <c r="L2289" t="s">
        <v>46</v>
      </c>
      <c r="M2289" t="s">
        <v>34</v>
      </c>
      <c r="N2289" t="s">
        <v>69</v>
      </c>
      <c r="O2289" t="s">
        <v>36</v>
      </c>
      <c r="P2289" t="s">
        <v>37</v>
      </c>
      <c r="Q2289" t="s">
        <v>79</v>
      </c>
      <c r="R2289">
        <v>436</v>
      </c>
      <c r="S2289">
        <v>250</v>
      </c>
      <c r="T2289">
        <v>150</v>
      </c>
      <c r="U2289">
        <v>36</v>
      </c>
      <c r="V2289" t="s">
        <v>4017</v>
      </c>
      <c r="W2289">
        <v>33735</v>
      </c>
      <c r="X2289" t="s">
        <v>7426</v>
      </c>
      <c r="Y2289">
        <v>29900</v>
      </c>
      <c r="Z2289">
        <v>1214460</v>
      </c>
      <c r="AA2289">
        <v>138060</v>
      </c>
      <c r="AB2289" t="str">
        <f>(VLOOKUP(SalesData[[#This Row],[Month Number]],Reference!C$5:E$16,2,FALSE))</f>
        <v>Feb</v>
      </c>
      <c r="AC2289">
        <f>MONTH(SalesData[[#This Row],[Date]])</f>
        <v>2</v>
      </c>
      <c r="AD2289">
        <f>Reference!F$4</f>
        <v>2026</v>
      </c>
      <c r="AE2289" t="str">
        <f>IF(OR(SalesData[[#This Row],[Day]]="Saturday",SalesData[[#This Row],[Day]]="Sunday"),"Weekend","Weekday")</f>
        <v>Weekend</v>
      </c>
      <c r="AF2289" s="5">
        <f>IF(SalesData[[#This Row],[Contracts Offered]]=0,0,SalesData[[#This Row],[Contracts Signed]]/SalesData[[#This Row],[Contracts Offered]])</f>
        <v>0.24</v>
      </c>
      <c r="AG2289" s="5">
        <f>IF(SalesData[[#This Row],[Customers Visited]]=0,0,SalesData[[#This Row],[Test Drives]]/SalesData[[#This Row],[Customers Visited]])</f>
        <v>0.57339449541284404</v>
      </c>
      <c r="AH2289" s="5">
        <f>IF(SalesData[[#This Row],[Customers Visited]]=0,0,SalesData[[#This Row],[Contracts Signed]]/SalesData[[#This Row],[Customers Visited]])</f>
        <v>8.2568807339449546E-2</v>
      </c>
      <c r="AI2289" s="6">
        <f>IF(SalesData[[#This Row],[Contracts Signed]]=0,0,SalesData[[#This Row],[Profit(€)]]/SalesData[[#This Row],[Contracts Signed]])</f>
        <v>3835</v>
      </c>
      <c r="AJ2289" s="5" t="str">
        <f>TRIM(CLEAN(SalesData[[#This Row],[Retailer]]))</f>
        <v>Stuttgart Auto Center</v>
      </c>
    </row>
    <row r="2290" spans="1:36" ht="14.25" hidden="1" x14ac:dyDescent="0.2">
      <c r="A2290" t="s">
        <v>3336</v>
      </c>
      <c r="B2290" s="1">
        <v>46073</v>
      </c>
      <c r="C2290" t="s">
        <v>62</v>
      </c>
      <c r="D2290" t="s">
        <v>54</v>
      </c>
      <c r="E2290" t="s">
        <v>26</v>
      </c>
      <c r="F2290" t="s">
        <v>43</v>
      </c>
      <c r="G2290" t="s">
        <v>44</v>
      </c>
      <c r="H2290" t="s">
        <v>45</v>
      </c>
      <c r="I2290" t="s">
        <v>104</v>
      </c>
      <c r="J2290" t="s">
        <v>105</v>
      </c>
      <c r="K2290" t="s">
        <v>32</v>
      </c>
      <c r="L2290" t="s">
        <v>33</v>
      </c>
      <c r="M2290" t="s">
        <v>87</v>
      </c>
      <c r="N2290" t="s">
        <v>48</v>
      </c>
      <c r="O2290" t="s">
        <v>36</v>
      </c>
      <c r="P2290" t="s">
        <v>58</v>
      </c>
      <c r="Q2290" t="s">
        <v>169</v>
      </c>
      <c r="R2290">
        <v>426</v>
      </c>
      <c r="S2290">
        <v>242</v>
      </c>
      <c r="T2290">
        <v>146</v>
      </c>
      <c r="U2290">
        <v>49</v>
      </c>
      <c r="V2290" t="s">
        <v>6911</v>
      </c>
      <c r="W2290">
        <v>34763</v>
      </c>
      <c r="X2290" t="s">
        <v>1963</v>
      </c>
      <c r="Y2290">
        <v>31465</v>
      </c>
      <c r="Z2290">
        <v>1703387</v>
      </c>
      <c r="AA2290">
        <v>161602</v>
      </c>
      <c r="AB2290" t="str">
        <f>(VLOOKUP(SalesData[[#This Row],[Month Number]],Reference!C$5:E$16,2,FALSE))</f>
        <v>Feb</v>
      </c>
      <c r="AC2290">
        <f>MONTH(SalesData[[#This Row],[Date]])</f>
        <v>2</v>
      </c>
      <c r="AD2290">
        <f>Reference!F$4</f>
        <v>2026</v>
      </c>
      <c r="AE2290" t="str">
        <f>IF(OR(SalesData[[#This Row],[Day]]="Saturday",SalesData[[#This Row],[Day]]="Sunday"),"Weekend","Weekday")</f>
        <v>Weekday</v>
      </c>
      <c r="AF2290" s="5">
        <f>IF(SalesData[[#This Row],[Contracts Offered]]=0,0,SalesData[[#This Row],[Contracts Signed]]/SalesData[[#This Row],[Contracts Offered]])</f>
        <v>0.33561643835616439</v>
      </c>
      <c r="AG2290" s="5">
        <f>IF(SalesData[[#This Row],[Customers Visited]]=0,0,SalesData[[#This Row],[Test Drives]]/SalesData[[#This Row],[Customers Visited]])</f>
        <v>0.568075117370892</v>
      </c>
      <c r="AH2290" s="5">
        <f>IF(SalesData[[#This Row],[Customers Visited]]=0,0,SalesData[[#This Row],[Contracts Signed]]/SalesData[[#This Row],[Customers Visited]])</f>
        <v>0.11502347417840375</v>
      </c>
      <c r="AI2290" s="6">
        <f>IF(SalesData[[#This Row],[Contracts Signed]]=0,0,SalesData[[#This Row],[Profit(€)]]/SalesData[[#This Row],[Contracts Signed]])</f>
        <v>3298</v>
      </c>
      <c r="AJ2290" s="5" t="str">
        <f>TRIM(CLEAN(SalesData[[#This Row],[Retailer]]))</f>
        <v>Saxon Wheels</v>
      </c>
    </row>
    <row r="2291" spans="1:36" ht="14.25" x14ac:dyDescent="0.2">
      <c r="A2291" t="s">
        <v>3338</v>
      </c>
      <c r="B2291" s="1">
        <v>46056</v>
      </c>
      <c r="C2291" t="s">
        <v>24</v>
      </c>
      <c r="D2291" t="s">
        <v>63</v>
      </c>
      <c r="E2291" t="s">
        <v>26</v>
      </c>
      <c r="F2291" t="s">
        <v>74</v>
      </c>
      <c r="G2291" t="s">
        <v>75</v>
      </c>
      <c r="H2291" t="s">
        <v>76</v>
      </c>
      <c r="I2291" t="s">
        <v>30</v>
      </c>
      <c r="J2291" t="s">
        <v>31</v>
      </c>
      <c r="K2291" t="s">
        <v>78</v>
      </c>
      <c r="L2291" t="s">
        <v>46</v>
      </c>
      <c r="M2291" t="s">
        <v>68</v>
      </c>
      <c r="N2291" t="s">
        <v>69</v>
      </c>
      <c r="O2291" t="s">
        <v>36</v>
      </c>
      <c r="P2291" t="s">
        <v>58</v>
      </c>
      <c r="Q2291" t="s">
        <v>38</v>
      </c>
      <c r="R2291">
        <v>212</v>
      </c>
      <c r="S2291">
        <v>125</v>
      </c>
      <c r="T2291">
        <v>94</v>
      </c>
      <c r="U2291">
        <v>42</v>
      </c>
      <c r="V2291" t="s">
        <v>7524</v>
      </c>
      <c r="W2291">
        <v>55237</v>
      </c>
      <c r="X2291" t="s">
        <v>7399</v>
      </c>
      <c r="Y2291">
        <v>42167</v>
      </c>
      <c r="Z2291">
        <v>2319954</v>
      </c>
      <c r="AA2291">
        <v>548940</v>
      </c>
      <c r="AB2291" t="str">
        <f>(VLOOKUP(SalesData[[#This Row],[Month Number]],Reference!C$5:E$16,2,FALSE))</f>
        <v>Feb</v>
      </c>
      <c r="AC2291">
        <f>MONTH(SalesData[[#This Row],[Date]])</f>
        <v>2</v>
      </c>
      <c r="AD2291">
        <f>Reference!F$4</f>
        <v>2026</v>
      </c>
      <c r="AE2291" t="str">
        <f>IF(OR(SalesData[[#This Row],[Day]]="Saturday",SalesData[[#This Row],[Day]]="Sunday"),"Weekend","Weekday")</f>
        <v>Weekday</v>
      </c>
      <c r="AF2291" s="5">
        <f>IF(SalesData[[#This Row],[Contracts Offered]]=0,0,SalesData[[#This Row],[Contracts Signed]]/SalesData[[#This Row],[Contracts Offered]])</f>
        <v>0.44680851063829785</v>
      </c>
      <c r="AG2291" s="5">
        <f>IF(SalesData[[#This Row],[Customers Visited]]=0,0,SalesData[[#This Row],[Test Drives]]/SalesData[[#This Row],[Customers Visited]])</f>
        <v>0.589622641509434</v>
      </c>
      <c r="AH2291" s="5">
        <f>IF(SalesData[[#This Row],[Customers Visited]]=0,0,SalesData[[#This Row],[Contracts Signed]]/SalesData[[#This Row],[Customers Visited]])</f>
        <v>0.19811320754716982</v>
      </c>
      <c r="AI2291" s="6">
        <f>IF(SalesData[[#This Row],[Contracts Signed]]=0,0,SalesData[[#This Row],[Profit(€)]]/SalesData[[#This Row],[Contracts Signed]])</f>
        <v>13070</v>
      </c>
      <c r="AJ2291" s="5" t="str">
        <f>TRIM(CLEAN(SalesData[[#This Row],[Retailer]]))</f>
        <v>Stuttgart Auto Center</v>
      </c>
    </row>
    <row r="2292" spans="1:36" ht="14.25" hidden="1" x14ac:dyDescent="0.2">
      <c r="A2292" t="s">
        <v>3339</v>
      </c>
      <c r="B2292" s="1">
        <v>46078</v>
      </c>
      <c r="C2292" t="s">
        <v>53</v>
      </c>
      <c r="D2292" t="s">
        <v>82</v>
      </c>
      <c r="E2292" t="s">
        <v>26</v>
      </c>
      <c r="F2292" t="s">
        <v>101</v>
      </c>
      <c r="G2292" t="s">
        <v>102</v>
      </c>
      <c r="H2292" t="s">
        <v>103</v>
      </c>
      <c r="I2292" t="s">
        <v>104</v>
      </c>
      <c r="J2292" t="s">
        <v>140</v>
      </c>
      <c r="K2292" t="s">
        <v>78</v>
      </c>
      <c r="L2292" t="s">
        <v>46</v>
      </c>
      <c r="M2292" t="s">
        <v>34</v>
      </c>
      <c r="N2292" t="s">
        <v>69</v>
      </c>
      <c r="O2292" t="s">
        <v>70</v>
      </c>
      <c r="P2292" t="s">
        <v>71</v>
      </c>
      <c r="Q2292" t="s">
        <v>167</v>
      </c>
      <c r="R2292">
        <v>305</v>
      </c>
      <c r="S2292">
        <v>160</v>
      </c>
      <c r="T2292">
        <v>96</v>
      </c>
      <c r="U2292">
        <v>23</v>
      </c>
      <c r="V2292" t="s">
        <v>733</v>
      </c>
      <c r="W2292">
        <v>30701</v>
      </c>
      <c r="X2292" t="s">
        <v>7173</v>
      </c>
      <c r="Y2292">
        <v>27276</v>
      </c>
      <c r="Z2292">
        <v>706123</v>
      </c>
      <c r="AA2292">
        <v>78775</v>
      </c>
      <c r="AB2292" t="str">
        <f>(VLOOKUP(SalesData[[#This Row],[Month Number]],Reference!C$5:E$16,2,FALSE))</f>
        <v>Feb</v>
      </c>
      <c r="AC2292">
        <f>MONTH(SalesData[[#This Row],[Date]])</f>
        <v>2</v>
      </c>
      <c r="AD2292">
        <f>Reference!F$4</f>
        <v>2026</v>
      </c>
      <c r="AE2292" t="str">
        <f>IF(OR(SalesData[[#This Row],[Day]]="Saturday",SalesData[[#This Row],[Day]]="Sunday"),"Weekend","Weekday")</f>
        <v>Weekday</v>
      </c>
      <c r="AF2292" s="5">
        <f>IF(SalesData[[#This Row],[Contracts Offered]]=0,0,SalesData[[#This Row],[Contracts Signed]]/SalesData[[#This Row],[Contracts Offered]])</f>
        <v>0.23958333333333334</v>
      </c>
      <c r="AG2292" s="5">
        <f>IF(SalesData[[#This Row],[Customers Visited]]=0,0,SalesData[[#This Row],[Test Drives]]/SalesData[[#This Row],[Customers Visited]])</f>
        <v>0.52459016393442626</v>
      </c>
      <c r="AH2292" s="5">
        <f>IF(SalesData[[#This Row],[Customers Visited]]=0,0,SalesData[[#This Row],[Contracts Signed]]/SalesData[[#This Row],[Customers Visited]])</f>
        <v>7.5409836065573776E-2</v>
      </c>
      <c r="AI2292" s="6">
        <f>IF(SalesData[[#This Row],[Contracts Signed]]=0,0,SalesData[[#This Row],[Profit(€)]]/SalesData[[#This Row],[Contracts Signed]])</f>
        <v>3425</v>
      </c>
      <c r="AJ2292" s="5" t="str">
        <f>TRIM(CLEAN(SalesData[[#This Row],[Retailer]]))</f>
        <v>Ruhr Auto Plaza</v>
      </c>
    </row>
    <row r="2293" spans="1:36" ht="14.25" hidden="1" x14ac:dyDescent="0.2">
      <c r="A2293" t="s">
        <v>3340</v>
      </c>
      <c r="B2293" s="1">
        <v>46060</v>
      </c>
      <c r="C2293" t="s">
        <v>24</v>
      </c>
      <c r="D2293" t="s">
        <v>151</v>
      </c>
      <c r="E2293" t="s">
        <v>42</v>
      </c>
      <c r="F2293" t="s">
        <v>27</v>
      </c>
      <c r="G2293" t="s">
        <v>28</v>
      </c>
      <c r="H2293" t="s">
        <v>29</v>
      </c>
      <c r="I2293" t="s">
        <v>104</v>
      </c>
      <c r="J2293" t="s">
        <v>7061</v>
      </c>
      <c r="K2293" t="s">
        <v>66</v>
      </c>
      <c r="L2293" t="s">
        <v>46</v>
      </c>
      <c r="M2293" t="s">
        <v>87</v>
      </c>
      <c r="N2293" t="s">
        <v>69</v>
      </c>
      <c r="O2293" t="s">
        <v>36</v>
      </c>
      <c r="P2293" t="s">
        <v>58</v>
      </c>
      <c r="Q2293" t="s">
        <v>135</v>
      </c>
      <c r="R2293">
        <v>437</v>
      </c>
      <c r="S2293">
        <v>231</v>
      </c>
      <c r="T2293">
        <v>142</v>
      </c>
      <c r="U2293">
        <v>39</v>
      </c>
      <c r="V2293" t="s">
        <v>1205</v>
      </c>
      <c r="W2293">
        <v>26382</v>
      </c>
      <c r="X2293" t="s">
        <v>4753</v>
      </c>
      <c r="Y2293">
        <v>23003</v>
      </c>
      <c r="Z2293">
        <v>1028898</v>
      </c>
      <c r="AA2293">
        <v>131781</v>
      </c>
      <c r="AB2293" t="str">
        <f>(VLOOKUP(SalesData[[#This Row],[Month Number]],Reference!C$5:E$16,2,FALSE))</f>
        <v>Feb</v>
      </c>
      <c r="AC2293">
        <f>MONTH(SalesData[[#This Row],[Date]])</f>
        <v>2</v>
      </c>
      <c r="AD2293">
        <f>Reference!F$4</f>
        <v>2026</v>
      </c>
      <c r="AE2293" t="str">
        <f>IF(OR(SalesData[[#This Row],[Day]]="Saturday",SalesData[[#This Row],[Day]]="Sunday"),"Weekend","Weekday")</f>
        <v>Weekend</v>
      </c>
      <c r="AF2293" s="5">
        <f>IF(SalesData[[#This Row],[Contracts Offered]]=0,0,SalesData[[#This Row],[Contracts Signed]]/SalesData[[#This Row],[Contracts Offered]])</f>
        <v>0.27464788732394368</v>
      </c>
      <c r="AG2293" s="5">
        <f>IF(SalesData[[#This Row],[Customers Visited]]=0,0,SalesData[[#This Row],[Test Drives]]/SalesData[[#This Row],[Customers Visited]])</f>
        <v>0.52860411899313497</v>
      </c>
      <c r="AH2293" s="5">
        <f>IF(SalesData[[#This Row],[Customers Visited]]=0,0,SalesData[[#This Row],[Contracts Signed]]/SalesData[[#This Row],[Customers Visited]])</f>
        <v>8.924485125858124E-2</v>
      </c>
      <c r="AI2293" s="6">
        <f>IF(SalesData[[#This Row],[Contracts Signed]]=0,0,SalesData[[#This Row],[Profit(€)]]/SalesData[[#This Row],[Contracts Signed]])</f>
        <v>3379</v>
      </c>
      <c r="AJ2293" s="5" t="str">
        <f>TRIM(CLEAN(SalesData[[#This Row],[Retailer]]))</f>
        <v>Main Auto Hub</v>
      </c>
    </row>
    <row r="2294" spans="1:36" ht="14.25" hidden="1" x14ac:dyDescent="0.2">
      <c r="A2294" t="s">
        <v>3341</v>
      </c>
      <c r="B2294" s="1">
        <v>46056</v>
      </c>
      <c r="C2294" t="s">
        <v>24</v>
      </c>
      <c r="D2294" t="s">
        <v>63</v>
      </c>
      <c r="E2294" t="s">
        <v>26</v>
      </c>
      <c r="F2294" t="s">
        <v>114</v>
      </c>
      <c r="G2294" t="s">
        <v>115</v>
      </c>
      <c r="H2294" t="s">
        <v>115</v>
      </c>
      <c r="I2294" t="s">
        <v>56</v>
      </c>
      <c r="J2294" t="s">
        <v>57</v>
      </c>
      <c r="K2294" t="s">
        <v>66</v>
      </c>
      <c r="L2294" t="s">
        <v>46</v>
      </c>
      <c r="M2294" t="s">
        <v>47</v>
      </c>
      <c r="N2294" t="s">
        <v>48</v>
      </c>
      <c r="O2294" t="s">
        <v>36</v>
      </c>
      <c r="P2294" t="s">
        <v>49</v>
      </c>
      <c r="Q2294" t="s">
        <v>129</v>
      </c>
      <c r="R2294">
        <v>218</v>
      </c>
      <c r="S2294">
        <v>129</v>
      </c>
      <c r="T2294">
        <v>98</v>
      </c>
      <c r="U2294">
        <v>30</v>
      </c>
      <c r="V2294" t="s">
        <v>6726</v>
      </c>
      <c r="W2294">
        <v>49715</v>
      </c>
      <c r="X2294" t="s">
        <v>7169</v>
      </c>
      <c r="Y2294">
        <v>39006</v>
      </c>
      <c r="Z2294">
        <v>1491450</v>
      </c>
      <c r="AA2294">
        <v>321270</v>
      </c>
      <c r="AB2294" t="str">
        <f>(VLOOKUP(SalesData[[#This Row],[Month Number]],Reference!C$5:E$16,2,FALSE))</f>
        <v>Feb</v>
      </c>
      <c r="AC2294">
        <f>MONTH(SalesData[[#This Row],[Date]])</f>
        <v>2</v>
      </c>
      <c r="AD2294">
        <f>Reference!F$4</f>
        <v>2026</v>
      </c>
      <c r="AE2294" t="str">
        <f>IF(OR(SalesData[[#This Row],[Day]]="Saturday",SalesData[[#This Row],[Day]]="Sunday"),"Weekend","Weekday")</f>
        <v>Weekday</v>
      </c>
      <c r="AF2294" s="5">
        <f>IF(SalesData[[#This Row],[Contracts Offered]]=0,0,SalesData[[#This Row],[Contracts Signed]]/SalesData[[#This Row],[Contracts Offered]])</f>
        <v>0.30612244897959184</v>
      </c>
      <c r="AG2294" s="5">
        <f>IF(SalesData[[#This Row],[Customers Visited]]=0,0,SalesData[[#This Row],[Test Drives]]/SalesData[[#This Row],[Customers Visited]])</f>
        <v>0.59174311926605505</v>
      </c>
      <c r="AH2294" s="5">
        <f>IF(SalesData[[#This Row],[Customers Visited]]=0,0,SalesData[[#This Row],[Contracts Signed]]/SalesData[[#This Row],[Customers Visited]])</f>
        <v>0.13761467889908258</v>
      </c>
      <c r="AI2294" s="6">
        <f>IF(SalesData[[#This Row],[Contracts Signed]]=0,0,SalesData[[#This Row],[Profit(€)]]/SalesData[[#This Row],[Contracts Signed]])</f>
        <v>10709</v>
      </c>
      <c r="AJ2294" s="5" t="str">
        <f>TRIM(CLEAN(SalesData[[#This Row],[Retailer]]))</f>
        <v>Elbe Drive</v>
      </c>
    </row>
    <row r="2295" spans="1:36" ht="14.25" hidden="1" x14ac:dyDescent="0.2">
      <c r="A2295" t="s">
        <v>3342</v>
      </c>
      <c r="B2295" s="1">
        <v>46063</v>
      </c>
      <c r="C2295" t="s">
        <v>121</v>
      </c>
      <c r="D2295" t="s">
        <v>63</v>
      </c>
      <c r="E2295" t="s">
        <v>26</v>
      </c>
      <c r="F2295" t="s">
        <v>94</v>
      </c>
      <c r="G2295" t="s">
        <v>95</v>
      </c>
      <c r="H2295" t="s">
        <v>96</v>
      </c>
      <c r="I2295" t="s">
        <v>64</v>
      </c>
      <c r="J2295" t="s">
        <v>65</v>
      </c>
      <c r="K2295" t="s">
        <v>91</v>
      </c>
      <c r="L2295" t="s">
        <v>33</v>
      </c>
      <c r="M2295" t="s">
        <v>68</v>
      </c>
      <c r="N2295" t="s">
        <v>48</v>
      </c>
      <c r="O2295" t="s">
        <v>36</v>
      </c>
      <c r="P2295" t="s">
        <v>49</v>
      </c>
      <c r="Q2295" t="s">
        <v>129</v>
      </c>
      <c r="R2295">
        <v>178</v>
      </c>
      <c r="S2295">
        <v>100</v>
      </c>
      <c r="T2295">
        <v>77</v>
      </c>
      <c r="U2295">
        <v>27</v>
      </c>
      <c r="V2295" t="s">
        <v>6648</v>
      </c>
      <c r="W2295">
        <v>58618</v>
      </c>
      <c r="X2295" t="s">
        <v>7183</v>
      </c>
      <c r="Y2295">
        <v>45953</v>
      </c>
      <c r="Z2295">
        <v>1582686</v>
      </c>
      <c r="AA2295">
        <v>341955</v>
      </c>
      <c r="AB2295" t="str">
        <f>(VLOOKUP(SalesData[[#This Row],[Month Number]],Reference!C$5:E$16,2,FALSE))</f>
        <v>Feb</v>
      </c>
      <c r="AC2295">
        <f>MONTH(SalesData[[#This Row],[Date]])</f>
        <v>2</v>
      </c>
      <c r="AD2295">
        <f>Reference!F$4</f>
        <v>2026</v>
      </c>
      <c r="AE2295" t="str">
        <f>IF(OR(SalesData[[#This Row],[Day]]="Saturday",SalesData[[#This Row],[Day]]="Sunday"),"Weekend","Weekday")</f>
        <v>Weekday</v>
      </c>
      <c r="AF2295" s="5">
        <f>IF(SalesData[[#This Row],[Contracts Offered]]=0,0,SalesData[[#This Row],[Contracts Signed]]/SalesData[[#This Row],[Contracts Offered]])</f>
        <v>0.35064935064935066</v>
      </c>
      <c r="AG2295" s="5">
        <f>IF(SalesData[[#This Row],[Customers Visited]]=0,0,SalesData[[#This Row],[Test Drives]]/SalesData[[#This Row],[Customers Visited]])</f>
        <v>0.5617977528089888</v>
      </c>
      <c r="AH2295" s="5">
        <f>IF(SalesData[[#This Row],[Customers Visited]]=0,0,SalesData[[#This Row],[Contracts Signed]]/SalesData[[#This Row],[Customers Visited]])</f>
        <v>0.15168539325842698</v>
      </c>
      <c r="AI2295" s="6">
        <f>IF(SalesData[[#This Row],[Contracts Signed]]=0,0,SalesData[[#This Row],[Profit(€)]]/SalesData[[#This Row],[Contracts Signed]])</f>
        <v>12665</v>
      </c>
      <c r="AJ2295" s="5" t="str">
        <f>TRIM(CLEAN(SalesData[[#This Row],[Retailer]]))</f>
        <v>Bavaria Motors</v>
      </c>
    </row>
    <row r="2296" spans="1:36" ht="14.25" hidden="1" x14ac:dyDescent="0.2">
      <c r="A2296" t="s">
        <v>3343</v>
      </c>
      <c r="B2296" s="1">
        <v>46065</v>
      </c>
      <c r="C2296" t="s">
        <v>121</v>
      </c>
      <c r="D2296" t="s">
        <v>100</v>
      </c>
      <c r="E2296" t="s">
        <v>26</v>
      </c>
      <c r="F2296" t="s">
        <v>109</v>
      </c>
      <c r="G2296" t="s">
        <v>110</v>
      </c>
      <c r="H2296" t="s">
        <v>45</v>
      </c>
      <c r="I2296" t="s">
        <v>104</v>
      </c>
      <c r="J2296" t="s">
        <v>140</v>
      </c>
      <c r="K2296" t="s">
        <v>32</v>
      </c>
      <c r="L2296" t="s">
        <v>46</v>
      </c>
      <c r="M2296" t="s">
        <v>68</v>
      </c>
      <c r="N2296" t="s">
        <v>69</v>
      </c>
      <c r="O2296" t="s">
        <v>70</v>
      </c>
      <c r="P2296" t="s">
        <v>37</v>
      </c>
      <c r="Q2296" t="s">
        <v>50</v>
      </c>
      <c r="R2296">
        <v>390</v>
      </c>
      <c r="S2296">
        <v>161</v>
      </c>
      <c r="T2296">
        <v>105</v>
      </c>
      <c r="U2296">
        <v>19</v>
      </c>
      <c r="V2296" t="s">
        <v>7525</v>
      </c>
      <c r="W2296">
        <v>28689</v>
      </c>
      <c r="X2296" t="s">
        <v>7526</v>
      </c>
      <c r="Y2296">
        <v>25191</v>
      </c>
      <c r="Z2296">
        <v>545091</v>
      </c>
      <c r="AA2296">
        <v>66462</v>
      </c>
      <c r="AB2296" t="str">
        <f>(VLOOKUP(SalesData[[#This Row],[Month Number]],Reference!C$5:E$16,2,FALSE))</f>
        <v>Feb</v>
      </c>
      <c r="AC2296">
        <f>MONTH(SalesData[[#This Row],[Date]])</f>
        <v>2</v>
      </c>
      <c r="AD2296">
        <f>Reference!F$4</f>
        <v>2026</v>
      </c>
      <c r="AE2296" t="str">
        <f>IF(OR(SalesData[[#This Row],[Day]]="Saturday",SalesData[[#This Row],[Day]]="Sunday"),"Weekend","Weekday")</f>
        <v>Weekday</v>
      </c>
      <c r="AF2296" s="5">
        <f>IF(SalesData[[#This Row],[Contracts Offered]]=0,0,SalesData[[#This Row],[Contracts Signed]]/SalesData[[#This Row],[Contracts Offered]])</f>
        <v>0.18095238095238095</v>
      </c>
      <c r="AG2296" s="5">
        <f>IF(SalesData[[#This Row],[Customers Visited]]=0,0,SalesData[[#This Row],[Test Drives]]/SalesData[[#This Row],[Customers Visited]])</f>
        <v>0.4128205128205128</v>
      </c>
      <c r="AH2296" s="5">
        <f>IF(SalesData[[#This Row],[Customers Visited]]=0,0,SalesData[[#This Row],[Contracts Signed]]/SalesData[[#This Row],[Customers Visited]])</f>
        <v>4.8717948717948718E-2</v>
      </c>
      <c r="AI2296" s="6">
        <f>IF(SalesData[[#This Row],[Contracts Signed]]=0,0,SalesData[[#This Row],[Profit(€)]]/SalesData[[#This Row],[Contracts Signed]])</f>
        <v>3498</v>
      </c>
      <c r="AJ2296" s="5" t="str">
        <f>TRIM(CLEAN(SalesData[[#This Row],[Retailer]]))</f>
        <v>Leipzig Mobility</v>
      </c>
    </row>
    <row r="2297" spans="1:36" ht="14.25" hidden="1" x14ac:dyDescent="0.2">
      <c r="A2297" t="s">
        <v>3344</v>
      </c>
      <c r="B2297" s="1">
        <v>46057</v>
      </c>
      <c r="C2297" t="s">
        <v>24</v>
      </c>
      <c r="D2297" t="s">
        <v>82</v>
      </c>
      <c r="E2297" t="s">
        <v>26</v>
      </c>
      <c r="F2297" t="s">
        <v>114</v>
      </c>
      <c r="G2297" t="s">
        <v>115</v>
      </c>
      <c r="H2297" t="s">
        <v>115</v>
      </c>
      <c r="I2297" t="s">
        <v>64</v>
      </c>
      <c r="J2297" t="s">
        <v>65</v>
      </c>
      <c r="K2297" t="s">
        <v>91</v>
      </c>
      <c r="L2297" t="s">
        <v>33</v>
      </c>
      <c r="M2297" t="s">
        <v>68</v>
      </c>
      <c r="N2297" t="s">
        <v>48</v>
      </c>
      <c r="O2297" t="s">
        <v>70</v>
      </c>
      <c r="P2297" t="s">
        <v>71</v>
      </c>
      <c r="Q2297" t="s">
        <v>167</v>
      </c>
      <c r="R2297">
        <v>225</v>
      </c>
      <c r="S2297">
        <v>110</v>
      </c>
      <c r="T2297">
        <v>85</v>
      </c>
      <c r="U2297">
        <v>31</v>
      </c>
      <c r="V2297" t="s">
        <v>6530</v>
      </c>
      <c r="W2297">
        <v>55029</v>
      </c>
      <c r="X2297" t="s">
        <v>7146</v>
      </c>
      <c r="Y2297">
        <v>40296</v>
      </c>
      <c r="Z2297">
        <v>1705899</v>
      </c>
      <c r="AA2297">
        <v>456723</v>
      </c>
      <c r="AB2297" t="str">
        <f>(VLOOKUP(SalesData[[#This Row],[Month Number]],Reference!C$5:E$16,2,FALSE))</f>
        <v>Feb</v>
      </c>
      <c r="AC2297">
        <f>MONTH(SalesData[[#This Row],[Date]])</f>
        <v>2</v>
      </c>
      <c r="AD2297">
        <f>Reference!F$4</f>
        <v>2026</v>
      </c>
      <c r="AE2297" t="str">
        <f>IF(OR(SalesData[[#This Row],[Day]]="Saturday",SalesData[[#This Row],[Day]]="Sunday"),"Weekend","Weekday")</f>
        <v>Weekday</v>
      </c>
      <c r="AF2297" s="5">
        <f>IF(SalesData[[#This Row],[Contracts Offered]]=0,0,SalesData[[#This Row],[Contracts Signed]]/SalesData[[#This Row],[Contracts Offered]])</f>
        <v>0.36470588235294116</v>
      </c>
      <c r="AG2297" s="5">
        <f>IF(SalesData[[#This Row],[Customers Visited]]=0,0,SalesData[[#This Row],[Test Drives]]/SalesData[[#This Row],[Customers Visited]])</f>
        <v>0.48888888888888887</v>
      </c>
      <c r="AH2297" s="5">
        <f>IF(SalesData[[#This Row],[Customers Visited]]=0,0,SalesData[[#This Row],[Contracts Signed]]/SalesData[[#This Row],[Customers Visited]])</f>
        <v>0.13777777777777778</v>
      </c>
      <c r="AI2297" s="6">
        <f>IF(SalesData[[#This Row],[Contracts Signed]]=0,0,SalesData[[#This Row],[Profit(€)]]/SalesData[[#This Row],[Contracts Signed]])</f>
        <v>14733</v>
      </c>
      <c r="AJ2297" s="5" t="str">
        <f>TRIM(CLEAN(SalesData[[#This Row],[Retailer]]))</f>
        <v>Elbe Drive</v>
      </c>
    </row>
    <row r="2298" spans="1:36" ht="14.25" hidden="1" x14ac:dyDescent="0.2">
      <c r="A2298" t="s">
        <v>3345</v>
      </c>
      <c r="B2298" s="1">
        <v>46066</v>
      </c>
      <c r="C2298" t="s">
        <v>121</v>
      </c>
      <c r="D2298" t="s">
        <v>54</v>
      </c>
      <c r="E2298" t="s">
        <v>26</v>
      </c>
      <c r="F2298" t="s">
        <v>94</v>
      </c>
      <c r="G2298" t="s">
        <v>95</v>
      </c>
      <c r="H2298" t="s">
        <v>96</v>
      </c>
      <c r="I2298" t="s">
        <v>116</v>
      </c>
      <c r="J2298" t="s">
        <v>203</v>
      </c>
      <c r="K2298" t="s">
        <v>91</v>
      </c>
      <c r="L2298" t="s">
        <v>67</v>
      </c>
      <c r="M2298" t="s">
        <v>47</v>
      </c>
      <c r="N2298" t="s">
        <v>35</v>
      </c>
      <c r="O2298" t="s">
        <v>70</v>
      </c>
      <c r="P2298" t="s">
        <v>37</v>
      </c>
      <c r="Q2298" t="s">
        <v>79</v>
      </c>
      <c r="R2298">
        <v>300</v>
      </c>
      <c r="S2298">
        <v>128</v>
      </c>
      <c r="T2298">
        <v>74</v>
      </c>
      <c r="U2298">
        <v>23</v>
      </c>
      <c r="V2298" t="s">
        <v>4451</v>
      </c>
      <c r="W2298">
        <v>24146</v>
      </c>
      <c r="X2298" t="s">
        <v>972</v>
      </c>
      <c r="Y2298">
        <v>22429</v>
      </c>
      <c r="Z2298">
        <v>555358</v>
      </c>
      <c r="AA2298">
        <v>39491</v>
      </c>
      <c r="AB2298" t="str">
        <f>(VLOOKUP(SalesData[[#This Row],[Month Number]],Reference!C$5:E$16,2,FALSE))</f>
        <v>Feb</v>
      </c>
      <c r="AC2298">
        <f>MONTH(SalesData[[#This Row],[Date]])</f>
        <v>2</v>
      </c>
      <c r="AD2298">
        <f>Reference!F$4</f>
        <v>2026</v>
      </c>
      <c r="AE2298" t="str">
        <f>IF(OR(SalesData[[#This Row],[Day]]="Saturday",SalesData[[#This Row],[Day]]="Sunday"),"Weekend","Weekday")</f>
        <v>Weekday</v>
      </c>
      <c r="AF2298" s="5">
        <f>IF(SalesData[[#This Row],[Contracts Offered]]=0,0,SalesData[[#This Row],[Contracts Signed]]/SalesData[[#This Row],[Contracts Offered]])</f>
        <v>0.3108108108108108</v>
      </c>
      <c r="AG2298" s="5">
        <f>IF(SalesData[[#This Row],[Customers Visited]]=0,0,SalesData[[#This Row],[Test Drives]]/SalesData[[#This Row],[Customers Visited]])</f>
        <v>0.42666666666666669</v>
      </c>
      <c r="AH2298" s="5">
        <f>IF(SalesData[[#This Row],[Customers Visited]]=0,0,SalesData[[#This Row],[Contracts Signed]]/SalesData[[#This Row],[Customers Visited]])</f>
        <v>7.6666666666666661E-2</v>
      </c>
      <c r="AI2298" s="6">
        <f>IF(SalesData[[#This Row],[Contracts Signed]]=0,0,SalesData[[#This Row],[Profit(€)]]/SalesData[[#This Row],[Contracts Signed]])</f>
        <v>1717</v>
      </c>
      <c r="AJ2298" s="5" t="str">
        <f>TRIM(CLEAN(SalesData[[#This Row],[Retailer]]))</f>
        <v>Bavaria Motors</v>
      </c>
    </row>
    <row r="2299" spans="1:36" ht="14.25" x14ac:dyDescent="0.2">
      <c r="A2299" t="s">
        <v>3346</v>
      </c>
      <c r="B2299" s="1">
        <v>46069</v>
      </c>
      <c r="C2299" t="s">
        <v>62</v>
      </c>
      <c r="D2299" t="s">
        <v>25</v>
      </c>
      <c r="E2299" t="s">
        <v>26</v>
      </c>
      <c r="F2299" t="s">
        <v>27</v>
      </c>
      <c r="G2299" t="s">
        <v>28</v>
      </c>
      <c r="H2299" t="s">
        <v>29</v>
      </c>
      <c r="I2299" t="s">
        <v>30</v>
      </c>
      <c r="J2299" t="s">
        <v>7075</v>
      </c>
      <c r="K2299" t="s">
        <v>32</v>
      </c>
      <c r="L2299" t="s">
        <v>33</v>
      </c>
      <c r="M2299" t="s">
        <v>87</v>
      </c>
      <c r="N2299" t="s">
        <v>69</v>
      </c>
      <c r="O2299" t="s">
        <v>36</v>
      </c>
      <c r="P2299" t="s">
        <v>71</v>
      </c>
      <c r="Q2299" t="s">
        <v>79</v>
      </c>
      <c r="R2299">
        <v>224</v>
      </c>
      <c r="S2299">
        <v>123</v>
      </c>
      <c r="T2299">
        <v>97</v>
      </c>
      <c r="U2299">
        <v>37</v>
      </c>
      <c r="V2299" t="s">
        <v>7492</v>
      </c>
      <c r="W2299">
        <v>50940</v>
      </c>
      <c r="X2299" t="s">
        <v>7384</v>
      </c>
      <c r="Y2299">
        <v>39377</v>
      </c>
      <c r="Z2299">
        <v>1884780</v>
      </c>
      <c r="AA2299">
        <v>427831</v>
      </c>
      <c r="AB2299" t="str">
        <f>(VLOOKUP(SalesData[[#This Row],[Month Number]],Reference!C$5:E$16,2,FALSE))</f>
        <v>Feb</v>
      </c>
      <c r="AC2299">
        <f>MONTH(SalesData[[#This Row],[Date]])</f>
        <v>2</v>
      </c>
      <c r="AD2299">
        <f>Reference!F$4</f>
        <v>2026</v>
      </c>
      <c r="AE2299" t="str">
        <f>IF(OR(SalesData[[#This Row],[Day]]="Saturday",SalesData[[#This Row],[Day]]="Sunday"),"Weekend","Weekday")</f>
        <v>Weekday</v>
      </c>
      <c r="AF2299" s="5">
        <f>IF(SalesData[[#This Row],[Contracts Offered]]=0,0,SalesData[[#This Row],[Contracts Signed]]/SalesData[[#This Row],[Contracts Offered]])</f>
        <v>0.38144329896907214</v>
      </c>
      <c r="AG2299" s="5">
        <f>IF(SalesData[[#This Row],[Customers Visited]]=0,0,SalesData[[#This Row],[Test Drives]]/SalesData[[#This Row],[Customers Visited]])</f>
        <v>0.5491071428571429</v>
      </c>
      <c r="AH2299" s="5">
        <f>IF(SalesData[[#This Row],[Customers Visited]]=0,0,SalesData[[#This Row],[Contracts Signed]]/SalesData[[#This Row],[Customers Visited]])</f>
        <v>0.16517857142857142</v>
      </c>
      <c r="AI2299" s="6">
        <f>IF(SalesData[[#This Row],[Contracts Signed]]=0,0,SalesData[[#This Row],[Profit(€)]]/SalesData[[#This Row],[Contracts Signed]])</f>
        <v>11563</v>
      </c>
      <c r="AJ2299" s="5" t="str">
        <f>TRIM(CLEAN(SalesData[[#This Row],[Retailer]]))</f>
        <v>Main Auto Hub</v>
      </c>
    </row>
    <row r="2300" spans="1:36" ht="14.25" hidden="1" x14ac:dyDescent="0.2">
      <c r="A2300" t="s">
        <v>3348</v>
      </c>
      <c r="B2300" s="1">
        <v>46059</v>
      </c>
      <c r="C2300" t="s">
        <v>24</v>
      </c>
      <c r="D2300" t="s">
        <v>54</v>
      </c>
      <c r="E2300" t="s">
        <v>26</v>
      </c>
      <c r="F2300" t="s">
        <v>109</v>
      </c>
      <c r="G2300" t="s">
        <v>110</v>
      </c>
      <c r="H2300" t="s">
        <v>45</v>
      </c>
      <c r="I2300" t="s">
        <v>56</v>
      </c>
      <c r="J2300" t="s">
        <v>57</v>
      </c>
      <c r="K2300" t="s">
        <v>91</v>
      </c>
      <c r="L2300" t="s">
        <v>46</v>
      </c>
      <c r="M2300" t="s">
        <v>87</v>
      </c>
      <c r="N2300" t="s">
        <v>48</v>
      </c>
      <c r="O2300" t="s">
        <v>36</v>
      </c>
      <c r="P2300" t="s">
        <v>71</v>
      </c>
      <c r="Q2300" t="s">
        <v>204</v>
      </c>
      <c r="R2300">
        <v>187</v>
      </c>
      <c r="S2300">
        <v>88</v>
      </c>
      <c r="T2300">
        <v>68</v>
      </c>
      <c r="U2300">
        <v>18</v>
      </c>
      <c r="V2300" t="s">
        <v>6914</v>
      </c>
      <c r="W2300">
        <v>40092</v>
      </c>
      <c r="X2300" t="s">
        <v>7062</v>
      </c>
      <c r="Y2300">
        <v>31352</v>
      </c>
      <c r="Z2300">
        <v>721656</v>
      </c>
      <c r="AA2300">
        <v>157320</v>
      </c>
      <c r="AB2300" t="str">
        <f>(VLOOKUP(SalesData[[#This Row],[Month Number]],Reference!C$5:E$16,2,FALSE))</f>
        <v>Feb</v>
      </c>
      <c r="AC2300">
        <f>MONTH(SalesData[[#This Row],[Date]])</f>
        <v>2</v>
      </c>
      <c r="AD2300">
        <f>Reference!F$4</f>
        <v>2026</v>
      </c>
      <c r="AE2300" t="str">
        <f>IF(OR(SalesData[[#This Row],[Day]]="Saturday",SalesData[[#This Row],[Day]]="Sunday"),"Weekend","Weekday")</f>
        <v>Weekday</v>
      </c>
      <c r="AF2300" s="5">
        <f>IF(SalesData[[#This Row],[Contracts Offered]]=0,0,SalesData[[#This Row],[Contracts Signed]]/SalesData[[#This Row],[Contracts Offered]])</f>
        <v>0.26470588235294118</v>
      </c>
      <c r="AG2300" s="5">
        <f>IF(SalesData[[#This Row],[Customers Visited]]=0,0,SalesData[[#This Row],[Test Drives]]/SalesData[[#This Row],[Customers Visited]])</f>
        <v>0.47058823529411764</v>
      </c>
      <c r="AH2300" s="5">
        <f>IF(SalesData[[#This Row],[Customers Visited]]=0,0,SalesData[[#This Row],[Contracts Signed]]/SalesData[[#This Row],[Customers Visited]])</f>
        <v>9.6256684491978606E-2</v>
      </c>
      <c r="AI2300" s="6">
        <f>IF(SalesData[[#This Row],[Contracts Signed]]=0,0,SalesData[[#This Row],[Profit(€)]]/SalesData[[#This Row],[Contracts Signed]])</f>
        <v>8740</v>
      </c>
      <c r="AJ2300" s="5" t="str">
        <f>TRIM(CLEAN(SalesData[[#This Row],[Retailer]]))</f>
        <v>Leipzig Mobility</v>
      </c>
    </row>
    <row r="2301" spans="1:36" ht="14.25" hidden="1" x14ac:dyDescent="0.2">
      <c r="A2301" t="s">
        <v>3349</v>
      </c>
      <c r="B2301" s="1">
        <v>46065</v>
      </c>
      <c r="C2301" t="s">
        <v>121</v>
      </c>
      <c r="D2301" t="s">
        <v>100</v>
      </c>
      <c r="E2301" t="s">
        <v>26</v>
      </c>
      <c r="F2301" t="s">
        <v>83</v>
      </c>
      <c r="G2301" t="s">
        <v>84</v>
      </c>
      <c r="H2301" t="s">
        <v>85</v>
      </c>
      <c r="I2301" t="s">
        <v>56</v>
      </c>
      <c r="J2301" t="s">
        <v>57</v>
      </c>
      <c r="K2301" t="s">
        <v>66</v>
      </c>
      <c r="L2301" t="s">
        <v>46</v>
      </c>
      <c r="M2301" t="s">
        <v>47</v>
      </c>
      <c r="N2301" t="s">
        <v>48</v>
      </c>
      <c r="O2301" t="s">
        <v>70</v>
      </c>
      <c r="P2301" t="s">
        <v>37</v>
      </c>
      <c r="Q2301" t="s">
        <v>59</v>
      </c>
      <c r="R2301">
        <v>178</v>
      </c>
      <c r="S2301">
        <v>89</v>
      </c>
      <c r="T2301">
        <v>57</v>
      </c>
      <c r="U2301">
        <v>18</v>
      </c>
      <c r="V2301" t="s">
        <v>6996</v>
      </c>
      <c r="W2301">
        <v>44946</v>
      </c>
      <c r="X2301" t="s">
        <v>7042</v>
      </c>
      <c r="Y2301">
        <v>36812</v>
      </c>
      <c r="Z2301">
        <v>809028</v>
      </c>
      <c r="AA2301">
        <v>146412</v>
      </c>
      <c r="AB2301" t="str">
        <f>(VLOOKUP(SalesData[[#This Row],[Month Number]],Reference!C$5:E$16,2,FALSE))</f>
        <v>Feb</v>
      </c>
      <c r="AC2301">
        <f>MONTH(SalesData[[#This Row],[Date]])</f>
        <v>2</v>
      </c>
      <c r="AD2301">
        <f>Reference!F$4</f>
        <v>2026</v>
      </c>
      <c r="AE2301" t="str">
        <f>IF(OR(SalesData[[#This Row],[Day]]="Saturday",SalesData[[#This Row],[Day]]="Sunday"),"Weekend","Weekday")</f>
        <v>Weekday</v>
      </c>
      <c r="AF2301" s="5">
        <f>IF(SalesData[[#This Row],[Contracts Offered]]=0,0,SalesData[[#This Row],[Contracts Signed]]/SalesData[[#This Row],[Contracts Offered]])</f>
        <v>0.31578947368421051</v>
      </c>
      <c r="AG2301" s="5">
        <f>IF(SalesData[[#This Row],[Customers Visited]]=0,0,SalesData[[#This Row],[Test Drives]]/SalesData[[#This Row],[Customers Visited]])</f>
        <v>0.5</v>
      </c>
      <c r="AH2301" s="5">
        <f>IF(SalesData[[#This Row],[Customers Visited]]=0,0,SalesData[[#This Row],[Contracts Signed]]/SalesData[[#This Row],[Customers Visited]])</f>
        <v>0.10112359550561797</v>
      </c>
      <c r="AI2301" s="6">
        <f>IF(SalesData[[#This Row],[Contracts Signed]]=0,0,SalesData[[#This Row],[Profit(€)]]/SalesData[[#This Row],[Contracts Signed]])</f>
        <v>8134</v>
      </c>
      <c r="AJ2301" s="5" t="str">
        <f>TRIM(CLEAN(SalesData[[#This Row],[Retailer]]))</f>
        <v>Hannover Cars</v>
      </c>
    </row>
    <row r="2302" spans="1:36" ht="14.25" x14ac:dyDescent="0.2">
      <c r="A2302" t="s">
        <v>3350</v>
      </c>
      <c r="B2302" s="1">
        <v>46070</v>
      </c>
      <c r="C2302" t="s">
        <v>62</v>
      </c>
      <c r="D2302" t="s">
        <v>63</v>
      </c>
      <c r="E2302" t="s">
        <v>26</v>
      </c>
      <c r="F2302" t="s">
        <v>83</v>
      </c>
      <c r="G2302" t="s">
        <v>84</v>
      </c>
      <c r="H2302" t="s">
        <v>85</v>
      </c>
      <c r="I2302" t="s">
        <v>30</v>
      </c>
      <c r="J2302" t="s">
        <v>31</v>
      </c>
      <c r="K2302" t="s">
        <v>78</v>
      </c>
      <c r="L2302" t="s">
        <v>46</v>
      </c>
      <c r="M2302" t="s">
        <v>68</v>
      </c>
      <c r="N2302" t="s">
        <v>69</v>
      </c>
      <c r="O2302" t="s">
        <v>36</v>
      </c>
      <c r="P2302" t="s">
        <v>37</v>
      </c>
      <c r="Q2302" t="s">
        <v>347</v>
      </c>
      <c r="R2302">
        <v>153</v>
      </c>
      <c r="S2302">
        <v>94</v>
      </c>
      <c r="T2302">
        <v>72</v>
      </c>
      <c r="U2302">
        <v>25</v>
      </c>
      <c r="V2302" t="s">
        <v>6985</v>
      </c>
      <c r="W2302">
        <v>51525</v>
      </c>
      <c r="X2302" t="s">
        <v>7285</v>
      </c>
      <c r="Y2302">
        <v>37979</v>
      </c>
      <c r="Z2302">
        <v>1288125</v>
      </c>
      <c r="AA2302">
        <v>338650</v>
      </c>
      <c r="AB2302" t="str">
        <f>(VLOOKUP(SalesData[[#This Row],[Month Number]],Reference!C$5:E$16,2,FALSE))</f>
        <v>Feb</v>
      </c>
      <c r="AC2302">
        <f>MONTH(SalesData[[#This Row],[Date]])</f>
        <v>2</v>
      </c>
      <c r="AD2302">
        <f>Reference!F$4</f>
        <v>2026</v>
      </c>
      <c r="AE2302" t="str">
        <f>IF(OR(SalesData[[#This Row],[Day]]="Saturday",SalesData[[#This Row],[Day]]="Sunday"),"Weekend","Weekday")</f>
        <v>Weekday</v>
      </c>
      <c r="AF2302" s="5">
        <f>IF(SalesData[[#This Row],[Contracts Offered]]=0,0,SalesData[[#This Row],[Contracts Signed]]/SalesData[[#This Row],[Contracts Offered]])</f>
        <v>0.34722222222222221</v>
      </c>
      <c r="AG2302" s="5">
        <f>IF(SalesData[[#This Row],[Customers Visited]]=0,0,SalesData[[#This Row],[Test Drives]]/SalesData[[#This Row],[Customers Visited]])</f>
        <v>0.6143790849673203</v>
      </c>
      <c r="AH2302" s="5">
        <f>IF(SalesData[[#This Row],[Customers Visited]]=0,0,SalesData[[#This Row],[Contracts Signed]]/SalesData[[#This Row],[Customers Visited]])</f>
        <v>0.16339869281045752</v>
      </c>
      <c r="AI2302" s="6">
        <f>IF(SalesData[[#This Row],[Contracts Signed]]=0,0,SalesData[[#This Row],[Profit(€)]]/SalesData[[#This Row],[Contracts Signed]])</f>
        <v>13546</v>
      </c>
      <c r="AJ2302" s="5" t="str">
        <f>TRIM(CLEAN(SalesData[[#This Row],[Retailer]]))</f>
        <v>Hannover Cars</v>
      </c>
    </row>
    <row r="2303" spans="1:36" ht="14.25" hidden="1" x14ac:dyDescent="0.2">
      <c r="A2303" t="s">
        <v>3352</v>
      </c>
      <c r="B2303" s="1">
        <v>46060</v>
      </c>
      <c r="C2303" t="s">
        <v>24</v>
      </c>
      <c r="D2303" t="s">
        <v>151</v>
      </c>
      <c r="E2303" t="s">
        <v>42</v>
      </c>
      <c r="F2303" t="s">
        <v>94</v>
      </c>
      <c r="G2303" t="s">
        <v>95</v>
      </c>
      <c r="H2303" t="s">
        <v>96</v>
      </c>
      <c r="I2303" t="s">
        <v>56</v>
      </c>
      <c r="J2303" t="s">
        <v>137</v>
      </c>
      <c r="K2303" t="s">
        <v>32</v>
      </c>
      <c r="L2303" t="s">
        <v>46</v>
      </c>
      <c r="M2303" t="s">
        <v>34</v>
      </c>
      <c r="N2303" t="s">
        <v>35</v>
      </c>
      <c r="O2303" t="s">
        <v>70</v>
      </c>
      <c r="P2303" t="s">
        <v>37</v>
      </c>
      <c r="Q2303" t="s">
        <v>169</v>
      </c>
      <c r="R2303">
        <v>274</v>
      </c>
      <c r="S2303">
        <v>172</v>
      </c>
      <c r="T2303">
        <v>119</v>
      </c>
      <c r="U2303">
        <v>38</v>
      </c>
      <c r="V2303" t="s">
        <v>6671</v>
      </c>
      <c r="W2303">
        <v>47793</v>
      </c>
      <c r="X2303" t="s">
        <v>1390</v>
      </c>
      <c r="Y2303">
        <v>37038</v>
      </c>
      <c r="Z2303">
        <v>1816134</v>
      </c>
      <c r="AA2303">
        <v>408690</v>
      </c>
      <c r="AB2303" t="str">
        <f>(VLOOKUP(SalesData[[#This Row],[Month Number]],Reference!C$5:E$16,2,FALSE))</f>
        <v>Feb</v>
      </c>
      <c r="AC2303">
        <f>MONTH(SalesData[[#This Row],[Date]])</f>
        <v>2</v>
      </c>
      <c r="AD2303">
        <f>Reference!F$4</f>
        <v>2026</v>
      </c>
      <c r="AE2303" t="str">
        <f>IF(OR(SalesData[[#This Row],[Day]]="Saturday",SalesData[[#This Row],[Day]]="Sunday"),"Weekend","Weekday")</f>
        <v>Weekend</v>
      </c>
      <c r="AF2303" s="5">
        <f>IF(SalesData[[#This Row],[Contracts Offered]]=0,0,SalesData[[#This Row],[Contracts Signed]]/SalesData[[#This Row],[Contracts Offered]])</f>
        <v>0.31932773109243695</v>
      </c>
      <c r="AG2303" s="5">
        <f>IF(SalesData[[#This Row],[Customers Visited]]=0,0,SalesData[[#This Row],[Test Drives]]/SalesData[[#This Row],[Customers Visited]])</f>
        <v>0.62773722627737227</v>
      </c>
      <c r="AH2303" s="5">
        <f>IF(SalesData[[#This Row],[Customers Visited]]=0,0,SalesData[[#This Row],[Contracts Signed]]/SalesData[[#This Row],[Customers Visited]])</f>
        <v>0.13868613138686131</v>
      </c>
      <c r="AI2303" s="6">
        <f>IF(SalesData[[#This Row],[Contracts Signed]]=0,0,SalesData[[#This Row],[Profit(€)]]/SalesData[[#This Row],[Contracts Signed]])</f>
        <v>10755</v>
      </c>
      <c r="AJ2303" s="5" t="str">
        <f>TRIM(CLEAN(SalesData[[#This Row],[Retailer]]))</f>
        <v>Bavaria Motors</v>
      </c>
    </row>
    <row r="2304" spans="1:36" ht="14.25" x14ac:dyDescent="0.2">
      <c r="A2304" t="s">
        <v>3353</v>
      </c>
      <c r="B2304" s="1">
        <v>46073</v>
      </c>
      <c r="C2304" t="s">
        <v>62</v>
      </c>
      <c r="D2304" t="s">
        <v>54</v>
      </c>
      <c r="E2304" t="s">
        <v>26</v>
      </c>
      <c r="F2304" t="s">
        <v>94</v>
      </c>
      <c r="G2304" t="s">
        <v>95</v>
      </c>
      <c r="H2304" t="s">
        <v>96</v>
      </c>
      <c r="I2304" t="s">
        <v>30</v>
      </c>
      <c r="J2304" t="s">
        <v>7075</v>
      </c>
      <c r="K2304" t="s">
        <v>32</v>
      </c>
      <c r="L2304" t="s">
        <v>33</v>
      </c>
      <c r="M2304" t="s">
        <v>34</v>
      </c>
      <c r="N2304" t="s">
        <v>69</v>
      </c>
      <c r="O2304" t="s">
        <v>70</v>
      </c>
      <c r="P2304" t="s">
        <v>58</v>
      </c>
      <c r="Q2304" t="s">
        <v>172</v>
      </c>
      <c r="R2304">
        <v>229</v>
      </c>
      <c r="S2304">
        <v>112</v>
      </c>
      <c r="T2304">
        <v>82</v>
      </c>
      <c r="U2304">
        <v>36</v>
      </c>
      <c r="V2304" t="s">
        <v>7251</v>
      </c>
      <c r="W2304">
        <v>58220</v>
      </c>
      <c r="X2304" t="s">
        <v>7190</v>
      </c>
      <c r="Y2304">
        <v>43630</v>
      </c>
      <c r="Z2304">
        <v>2095920</v>
      </c>
      <c r="AA2304">
        <v>525240</v>
      </c>
      <c r="AB2304" t="str">
        <f>(VLOOKUP(SalesData[[#This Row],[Month Number]],Reference!C$5:E$16,2,FALSE))</f>
        <v>Feb</v>
      </c>
      <c r="AC2304">
        <f>MONTH(SalesData[[#This Row],[Date]])</f>
        <v>2</v>
      </c>
      <c r="AD2304">
        <f>Reference!F$4</f>
        <v>2026</v>
      </c>
      <c r="AE2304" t="str">
        <f>IF(OR(SalesData[[#This Row],[Day]]="Saturday",SalesData[[#This Row],[Day]]="Sunday"),"Weekend","Weekday")</f>
        <v>Weekday</v>
      </c>
      <c r="AF2304" s="5">
        <f>IF(SalesData[[#This Row],[Contracts Offered]]=0,0,SalesData[[#This Row],[Contracts Signed]]/SalesData[[#This Row],[Contracts Offered]])</f>
        <v>0.43902439024390244</v>
      </c>
      <c r="AG2304" s="5">
        <f>IF(SalesData[[#This Row],[Customers Visited]]=0,0,SalesData[[#This Row],[Test Drives]]/SalesData[[#This Row],[Customers Visited]])</f>
        <v>0.48908296943231439</v>
      </c>
      <c r="AH2304" s="5">
        <f>IF(SalesData[[#This Row],[Customers Visited]]=0,0,SalesData[[#This Row],[Contracts Signed]]/SalesData[[#This Row],[Customers Visited]])</f>
        <v>0.15720524017467249</v>
      </c>
      <c r="AI2304" s="6">
        <f>IF(SalesData[[#This Row],[Contracts Signed]]=0,0,SalesData[[#This Row],[Profit(€)]]/SalesData[[#This Row],[Contracts Signed]])</f>
        <v>14590</v>
      </c>
      <c r="AJ2304" s="5" t="str">
        <f>TRIM(CLEAN(SalesData[[#This Row],[Retailer]]))</f>
        <v>Bavaria Motors</v>
      </c>
    </row>
    <row r="2305" spans="1:36" ht="14.25" hidden="1" x14ac:dyDescent="0.2">
      <c r="A2305" t="s">
        <v>3355</v>
      </c>
      <c r="B2305" s="1">
        <v>46079</v>
      </c>
      <c r="C2305" t="s">
        <v>53</v>
      </c>
      <c r="D2305" t="s">
        <v>100</v>
      </c>
      <c r="E2305" t="s">
        <v>26</v>
      </c>
      <c r="F2305" t="s">
        <v>74</v>
      </c>
      <c r="G2305" t="s">
        <v>75</v>
      </c>
      <c r="H2305" t="s">
        <v>76</v>
      </c>
      <c r="I2305" t="s">
        <v>56</v>
      </c>
      <c r="J2305" t="s">
        <v>97</v>
      </c>
      <c r="K2305" t="s">
        <v>32</v>
      </c>
      <c r="L2305" t="s">
        <v>33</v>
      </c>
      <c r="M2305" t="s">
        <v>47</v>
      </c>
      <c r="N2305" t="s">
        <v>35</v>
      </c>
      <c r="O2305" t="s">
        <v>36</v>
      </c>
      <c r="P2305" t="s">
        <v>37</v>
      </c>
      <c r="Q2305" t="s">
        <v>106</v>
      </c>
      <c r="R2305">
        <v>292</v>
      </c>
      <c r="S2305">
        <v>170</v>
      </c>
      <c r="T2305">
        <v>114</v>
      </c>
      <c r="U2305">
        <v>42</v>
      </c>
      <c r="V2305" t="s">
        <v>6827</v>
      </c>
      <c r="W2305">
        <v>41422</v>
      </c>
      <c r="X2305" t="s">
        <v>7527</v>
      </c>
      <c r="Y2305">
        <v>31395</v>
      </c>
      <c r="Z2305">
        <v>1739724</v>
      </c>
      <c r="AA2305">
        <v>421134</v>
      </c>
      <c r="AB2305" t="str">
        <f>(VLOOKUP(SalesData[[#This Row],[Month Number]],Reference!C$5:E$16,2,FALSE))</f>
        <v>Feb</v>
      </c>
      <c r="AC2305">
        <f>MONTH(SalesData[[#This Row],[Date]])</f>
        <v>2</v>
      </c>
      <c r="AD2305">
        <f>Reference!F$4</f>
        <v>2026</v>
      </c>
      <c r="AE2305" t="str">
        <f>IF(OR(SalesData[[#This Row],[Day]]="Saturday",SalesData[[#This Row],[Day]]="Sunday"),"Weekend","Weekday")</f>
        <v>Weekday</v>
      </c>
      <c r="AF2305" s="5">
        <f>IF(SalesData[[#This Row],[Contracts Offered]]=0,0,SalesData[[#This Row],[Contracts Signed]]/SalesData[[#This Row],[Contracts Offered]])</f>
        <v>0.36842105263157893</v>
      </c>
      <c r="AG2305" s="5">
        <f>IF(SalesData[[#This Row],[Customers Visited]]=0,0,SalesData[[#This Row],[Test Drives]]/SalesData[[#This Row],[Customers Visited]])</f>
        <v>0.5821917808219178</v>
      </c>
      <c r="AH2305" s="5">
        <f>IF(SalesData[[#This Row],[Customers Visited]]=0,0,SalesData[[#This Row],[Contracts Signed]]/SalesData[[#This Row],[Customers Visited]])</f>
        <v>0.14383561643835616</v>
      </c>
      <c r="AI2305" s="6">
        <f>IF(SalesData[[#This Row],[Contracts Signed]]=0,0,SalesData[[#This Row],[Profit(€)]]/SalesData[[#This Row],[Contracts Signed]])</f>
        <v>10027</v>
      </c>
      <c r="AJ2305" s="5" t="str">
        <f>TRIM(CLEAN(SalesData[[#This Row],[Retailer]]))</f>
        <v>Stuttgart Auto Center</v>
      </c>
    </row>
    <row r="2306" spans="1:36" ht="14.25" hidden="1" x14ac:dyDescent="0.2">
      <c r="A2306" t="s">
        <v>3356</v>
      </c>
      <c r="B2306" s="1">
        <v>46057</v>
      </c>
      <c r="C2306" t="s">
        <v>24</v>
      </c>
      <c r="D2306" t="s">
        <v>82</v>
      </c>
      <c r="E2306" t="s">
        <v>26</v>
      </c>
      <c r="F2306" t="s">
        <v>74</v>
      </c>
      <c r="G2306" t="s">
        <v>75</v>
      </c>
      <c r="H2306" t="s">
        <v>76</v>
      </c>
      <c r="I2306" t="s">
        <v>116</v>
      </c>
      <c r="J2306" t="s">
        <v>7026</v>
      </c>
      <c r="K2306" t="s">
        <v>32</v>
      </c>
      <c r="L2306" t="s">
        <v>46</v>
      </c>
      <c r="M2306" t="s">
        <v>34</v>
      </c>
      <c r="N2306" t="s">
        <v>69</v>
      </c>
      <c r="O2306" t="s">
        <v>36</v>
      </c>
      <c r="P2306" t="s">
        <v>71</v>
      </c>
      <c r="Q2306" t="s">
        <v>172</v>
      </c>
      <c r="R2306">
        <v>221</v>
      </c>
      <c r="S2306">
        <v>84</v>
      </c>
      <c r="T2306">
        <v>56</v>
      </c>
      <c r="U2306">
        <v>14</v>
      </c>
      <c r="V2306" t="s">
        <v>508</v>
      </c>
      <c r="W2306">
        <v>23411</v>
      </c>
      <c r="X2306" t="s">
        <v>606</v>
      </c>
      <c r="Y2306">
        <v>21756</v>
      </c>
      <c r="Z2306">
        <v>327754</v>
      </c>
      <c r="AA2306">
        <v>23170</v>
      </c>
      <c r="AB2306" t="str">
        <f>(VLOOKUP(SalesData[[#This Row],[Month Number]],Reference!C$5:E$16,2,FALSE))</f>
        <v>Feb</v>
      </c>
      <c r="AC2306">
        <f>MONTH(SalesData[[#This Row],[Date]])</f>
        <v>2</v>
      </c>
      <c r="AD2306">
        <f>Reference!F$4</f>
        <v>2026</v>
      </c>
      <c r="AE2306" t="str">
        <f>IF(OR(SalesData[[#This Row],[Day]]="Saturday",SalesData[[#This Row],[Day]]="Sunday"),"Weekend","Weekday")</f>
        <v>Weekday</v>
      </c>
      <c r="AF2306" s="5">
        <f>IF(SalesData[[#This Row],[Contracts Offered]]=0,0,SalesData[[#This Row],[Contracts Signed]]/SalesData[[#This Row],[Contracts Offered]])</f>
        <v>0.25</v>
      </c>
      <c r="AG2306" s="5">
        <f>IF(SalesData[[#This Row],[Customers Visited]]=0,0,SalesData[[#This Row],[Test Drives]]/SalesData[[#This Row],[Customers Visited]])</f>
        <v>0.38009049773755654</v>
      </c>
      <c r="AH2306" s="5">
        <f>IF(SalesData[[#This Row],[Customers Visited]]=0,0,SalesData[[#This Row],[Contracts Signed]]/SalesData[[#This Row],[Customers Visited]])</f>
        <v>6.3348416289592757E-2</v>
      </c>
      <c r="AI2306" s="6">
        <f>IF(SalesData[[#This Row],[Contracts Signed]]=0,0,SalesData[[#This Row],[Profit(€)]]/SalesData[[#This Row],[Contracts Signed]])</f>
        <v>1655</v>
      </c>
      <c r="AJ2306" s="5" t="str">
        <f>TRIM(CLEAN(SalesData[[#This Row],[Retailer]]))</f>
        <v>Stuttgart Auto Center</v>
      </c>
    </row>
    <row r="2307" spans="1:36" ht="14.25" x14ac:dyDescent="0.2">
      <c r="A2307" t="s">
        <v>3357</v>
      </c>
      <c r="B2307" s="1">
        <v>46074</v>
      </c>
      <c r="C2307" t="s">
        <v>62</v>
      </c>
      <c r="D2307" t="s">
        <v>151</v>
      </c>
      <c r="E2307" t="s">
        <v>42</v>
      </c>
      <c r="F2307" t="s">
        <v>101</v>
      </c>
      <c r="G2307" t="s">
        <v>102</v>
      </c>
      <c r="H2307" t="s">
        <v>103</v>
      </c>
      <c r="I2307" t="s">
        <v>30</v>
      </c>
      <c r="J2307" t="s">
        <v>86</v>
      </c>
      <c r="K2307" t="s">
        <v>66</v>
      </c>
      <c r="L2307" t="s">
        <v>33</v>
      </c>
      <c r="M2307" t="s">
        <v>87</v>
      </c>
      <c r="N2307" t="s">
        <v>35</v>
      </c>
      <c r="O2307" t="s">
        <v>70</v>
      </c>
      <c r="P2307" t="s">
        <v>37</v>
      </c>
      <c r="Q2307" t="s">
        <v>50</v>
      </c>
      <c r="R2307">
        <v>266</v>
      </c>
      <c r="S2307">
        <v>147</v>
      </c>
      <c r="T2307">
        <v>108</v>
      </c>
      <c r="U2307">
        <v>33</v>
      </c>
      <c r="V2307" t="s">
        <v>6600</v>
      </c>
      <c r="W2307">
        <v>50480</v>
      </c>
      <c r="X2307" t="s">
        <v>7063</v>
      </c>
      <c r="Y2307">
        <v>35660</v>
      </c>
      <c r="Z2307">
        <v>1665840</v>
      </c>
      <c r="AA2307">
        <v>489060</v>
      </c>
      <c r="AB2307" t="str">
        <f>(VLOOKUP(SalesData[[#This Row],[Month Number]],Reference!C$5:E$16,2,FALSE))</f>
        <v>Feb</v>
      </c>
      <c r="AC2307">
        <f>MONTH(SalesData[[#This Row],[Date]])</f>
        <v>2</v>
      </c>
      <c r="AD2307">
        <f>Reference!F$4</f>
        <v>2026</v>
      </c>
      <c r="AE2307" t="str">
        <f>IF(OR(SalesData[[#This Row],[Day]]="Saturday",SalesData[[#This Row],[Day]]="Sunday"),"Weekend","Weekday")</f>
        <v>Weekend</v>
      </c>
      <c r="AF2307" s="5">
        <f>IF(SalesData[[#This Row],[Contracts Offered]]=0,0,SalesData[[#This Row],[Contracts Signed]]/SalesData[[#This Row],[Contracts Offered]])</f>
        <v>0.30555555555555558</v>
      </c>
      <c r="AG2307" s="5">
        <f>IF(SalesData[[#This Row],[Customers Visited]]=0,0,SalesData[[#This Row],[Test Drives]]/SalesData[[#This Row],[Customers Visited]])</f>
        <v>0.55263157894736847</v>
      </c>
      <c r="AH2307" s="5">
        <f>IF(SalesData[[#This Row],[Customers Visited]]=0,0,SalesData[[#This Row],[Contracts Signed]]/SalesData[[#This Row],[Customers Visited]])</f>
        <v>0.12406015037593984</v>
      </c>
      <c r="AI2307" s="6">
        <f>IF(SalesData[[#This Row],[Contracts Signed]]=0,0,SalesData[[#This Row],[Profit(€)]]/SalesData[[#This Row],[Contracts Signed]])</f>
        <v>14820</v>
      </c>
      <c r="AJ2307" s="5" t="str">
        <f>TRIM(CLEAN(SalesData[[#This Row],[Retailer]]))</f>
        <v>Ruhr Auto Plaza</v>
      </c>
    </row>
    <row r="2308" spans="1:36" ht="14.25" hidden="1" x14ac:dyDescent="0.2">
      <c r="A2308" t="s">
        <v>3358</v>
      </c>
      <c r="B2308" s="1">
        <v>46057</v>
      </c>
      <c r="C2308" t="s">
        <v>24</v>
      </c>
      <c r="D2308" t="s">
        <v>82</v>
      </c>
      <c r="E2308" t="s">
        <v>26</v>
      </c>
      <c r="F2308" t="s">
        <v>43</v>
      </c>
      <c r="G2308" t="s">
        <v>44</v>
      </c>
      <c r="H2308" t="s">
        <v>45</v>
      </c>
      <c r="I2308" t="s">
        <v>56</v>
      </c>
      <c r="J2308" t="s">
        <v>97</v>
      </c>
      <c r="K2308" t="s">
        <v>78</v>
      </c>
      <c r="L2308" t="s">
        <v>33</v>
      </c>
      <c r="M2308" t="s">
        <v>47</v>
      </c>
      <c r="N2308" t="s">
        <v>48</v>
      </c>
      <c r="O2308" t="s">
        <v>36</v>
      </c>
      <c r="P2308" t="s">
        <v>49</v>
      </c>
      <c r="Q2308" t="s">
        <v>158</v>
      </c>
      <c r="R2308">
        <v>261</v>
      </c>
      <c r="S2308">
        <v>155</v>
      </c>
      <c r="T2308">
        <v>107</v>
      </c>
      <c r="U2308">
        <v>29</v>
      </c>
      <c r="V2308" t="s">
        <v>1361</v>
      </c>
      <c r="W2308">
        <v>53247</v>
      </c>
      <c r="X2308" t="s">
        <v>7528</v>
      </c>
      <c r="Y2308">
        <v>42681</v>
      </c>
      <c r="Z2308">
        <v>1544163</v>
      </c>
      <c r="AA2308">
        <v>306414</v>
      </c>
      <c r="AB2308" t="str">
        <f>(VLOOKUP(SalesData[[#This Row],[Month Number]],Reference!C$5:E$16,2,FALSE))</f>
        <v>Feb</v>
      </c>
      <c r="AC2308">
        <f>MONTH(SalesData[[#This Row],[Date]])</f>
        <v>2</v>
      </c>
      <c r="AD2308">
        <f>Reference!F$4</f>
        <v>2026</v>
      </c>
      <c r="AE2308" t="str">
        <f>IF(OR(SalesData[[#This Row],[Day]]="Saturday",SalesData[[#This Row],[Day]]="Sunday"),"Weekend","Weekday")</f>
        <v>Weekday</v>
      </c>
      <c r="AF2308" s="5">
        <f>IF(SalesData[[#This Row],[Contracts Offered]]=0,0,SalesData[[#This Row],[Contracts Signed]]/SalesData[[#This Row],[Contracts Offered]])</f>
        <v>0.27102803738317754</v>
      </c>
      <c r="AG2308" s="5">
        <f>IF(SalesData[[#This Row],[Customers Visited]]=0,0,SalesData[[#This Row],[Test Drives]]/SalesData[[#This Row],[Customers Visited]])</f>
        <v>0.5938697318007663</v>
      </c>
      <c r="AH2308" s="5">
        <f>IF(SalesData[[#This Row],[Customers Visited]]=0,0,SalesData[[#This Row],[Contracts Signed]]/SalesData[[#This Row],[Customers Visited]])</f>
        <v>0.1111111111111111</v>
      </c>
      <c r="AI2308" s="6">
        <f>IF(SalesData[[#This Row],[Contracts Signed]]=0,0,SalesData[[#This Row],[Profit(€)]]/SalesData[[#This Row],[Contracts Signed]])</f>
        <v>10566</v>
      </c>
      <c r="AJ2308" s="5" t="str">
        <f>TRIM(CLEAN(SalesData[[#This Row],[Retailer]]))</f>
        <v>Saxon Wheels</v>
      </c>
    </row>
    <row r="2309" spans="1:36" ht="14.25" x14ac:dyDescent="0.2">
      <c r="A2309" t="s">
        <v>3359</v>
      </c>
      <c r="B2309" s="1">
        <v>46063</v>
      </c>
      <c r="C2309" t="s">
        <v>121</v>
      </c>
      <c r="D2309" t="s">
        <v>63</v>
      </c>
      <c r="E2309" t="s">
        <v>26</v>
      </c>
      <c r="F2309" t="s">
        <v>114</v>
      </c>
      <c r="G2309" t="s">
        <v>115</v>
      </c>
      <c r="H2309" t="s">
        <v>115</v>
      </c>
      <c r="I2309" t="s">
        <v>30</v>
      </c>
      <c r="J2309" t="s">
        <v>166</v>
      </c>
      <c r="K2309" t="s">
        <v>66</v>
      </c>
      <c r="L2309" t="s">
        <v>46</v>
      </c>
      <c r="M2309" t="s">
        <v>87</v>
      </c>
      <c r="N2309" t="s">
        <v>48</v>
      </c>
      <c r="O2309" t="s">
        <v>36</v>
      </c>
      <c r="P2309" t="s">
        <v>49</v>
      </c>
      <c r="Q2309" t="s">
        <v>144</v>
      </c>
      <c r="R2309">
        <v>264</v>
      </c>
      <c r="S2309">
        <v>146</v>
      </c>
      <c r="T2309">
        <v>111</v>
      </c>
      <c r="U2309">
        <v>39</v>
      </c>
      <c r="V2309" t="s">
        <v>6805</v>
      </c>
      <c r="W2309">
        <v>60561</v>
      </c>
      <c r="X2309" t="s">
        <v>1151</v>
      </c>
      <c r="Y2309">
        <v>42837</v>
      </c>
      <c r="Z2309">
        <v>2361879</v>
      </c>
      <c r="AA2309">
        <v>691236</v>
      </c>
      <c r="AB2309" t="str">
        <f>(VLOOKUP(SalesData[[#This Row],[Month Number]],Reference!C$5:E$16,2,FALSE))</f>
        <v>Feb</v>
      </c>
      <c r="AC2309">
        <f>MONTH(SalesData[[#This Row],[Date]])</f>
        <v>2</v>
      </c>
      <c r="AD2309">
        <f>Reference!F$4</f>
        <v>2026</v>
      </c>
      <c r="AE2309" t="str">
        <f>IF(OR(SalesData[[#This Row],[Day]]="Saturday",SalesData[[#This Row],[Day]]="Sunday"),"Weekend","Weekday")</f>
        <v>Weekday</v>
      </c>
      <c r="AF2309" s="5">
        <f>IF(SalesData[[#This Row],[Contracts Offered]]=0,0,SalesData[[#This Row],[Contracts Signed]]/SalesData[[#This Row],[Contracts Offered]])</f>
        <v>0.35135135135135137</v>
      </c>
      <c r="AG2309" s="5">
        <f>IF(SalesData[[#This Row],[Customers Visited]]=0,0,SalesData[[#This Row],[Test Drives]]/SalesData[[#This Row],[Customers Visited]])</f>
        <v>0.55303030303030298</v>
      </c>
      <c r="AH2309" s="5">
        <f>IF(SalesData[[#This Row],[Customers Visited]]=0,0,SalesData[[#This Row],[Contracts Signed]]/SalesData[[#This Row],[Customers Visited]])</f>
        <v>0.14772727272727273</v>
      </c>
      <c r="AI2309" s="6">
        <f>IF(SalesData[[#This Row],[Contracts Signed]]=0,0,SalesData[[#This Row],[Profit(€)]]/SalesData[[#This Row],[Contracts Signed]])</f>
        <v>17724</v>
      </c>
      <c r="AJ2309" s="5" t="str">
        <f>TRIM(CLEAN(SalesData[[#This Row],[Retailer]]))</f>
        <v>Elbe Drive</v>
      </c>
    </row>
    <row r="2310" spans="1:36" ht="14.25" x14ac:dyDescent="0.2">
      <c r="A2310" t="s">
        <v>3360</v>
      </c>
      <c r="B2310" s="1">
        <v>46074</v>
      </c>
      <c r="C2310" t="s">
        <v>62</v>
      </c>
      <c r="D2310" t="s">
        <v>151</v>
      </c>
      <c r="E2310" t="s">
        <v>42</v>
      </c>
      <c r="F2310" t="s">
        <v>27</v>
      </c>
      <c r="G2310" t="s">
        <v>28</v>
      </c>
      <c r="H2310" t="s">
        <v>29</v>
      </c>
      <c r="I2310" t="s">
        <v>30</v>
      </c>
      <c r="J2310" t="s">
        <v>188</v>
      </c>
      <c r="K2310" t="s">
        <v>66</v>
      </c>
      <c r="L2310" t="s">
        <v>33</v>
      </c>
      <c r="M2310" t="s">
        <v>68</v>
      </c>
      <c r="N2310" t="s">
        <v>35</v>
      </c>
      <c r="O2310" t="s">
        <v>70</v>
      </c>
      <c r="P2310" t="s">
        <v>37</v>
      </c>
      <c r="Q2310" t="s">
        <v>106</v>
      </c>
      <c r="R2310">
        <v>249</v>
      </c>
      <c r="S2310">
        <v>135</v>
      </c>
      <c r="T2310">
        <v>103</v>
      </c>
      <c r="U2310">
        <v>36</v>
      </c>
      <c r="V2310" t="s">
        <v>6388</v>
      </c>
      <c r="W2310">
        <v>60124</v>
      </c>
      <c r="X2310" t="s">
        <v>7210</v>
      </c>
      <c r="Y2310">
        <v>42407</v>
      </c>
      <c r="Z2310">
        <v>2164464</v>
      </c>
      <c r="AA2310">
        <v>637812</v>
      </c>
      <c r="AB2310" t="str">
        <f>(VLOOKUP(SalesData[[#This Row],[Month Number]],Reference!C$5:E$16,2,FALSE))</f>
        <v>Feb</v>
      </c>
      <c r="AC2310">
        <f>MONTH(SalesData[[#This Row],[Date]])</f>
        <v>2</v>
      </c>
      <c r="AD2310">
        <f>Reference!F$4</f>
        <v>2026</v>
      </c>
      <c r="AE2310" t="str">
        <f>IF(OR(SalesData[[#This Row],[Day]]="Saturday",SalesData[[#This Row],[Day]]="Sunday"),"Weekend","Weekday")</f>
        <v>Weekend</v>
      </c>
      <c r="AF2310" s="5">
        <f>IF(SalesData[[#This Row],[Contracts Offered]]=0,0,SalesData[[#This Row],[Contracts Signed]]/SalesData[[#This Row],[Contracts Offered]])</f>
        <v>0.34951456310679613</v>
      </c>
      <c r="AG2310" s="5">
        <f>IF(SalesData[[#This Row],[Customers Visited]]=0,0,SalesData[[#This Row],[Test Drives]]/SalesData[[#This Row],[Customers Visited]])</f>
        <v>0.54216867469879515</v>
      </c>
      <c r="AH2310" s="5">
        <f>IF(SalesData[[#This Row],[Customers Visited]]=0,0,SalesData[[#This Row],[Contracts Signed]]/SalesData[[#This Row],[Customers Visited]])</f>
        <v>0.14457831325301204</v>
      </c>
      <c r="AI2310" s="6">
        <f>IF(SalesData[[#This Row],[Contracts Signed]]=0,0,SalesData[[#This Row],[Profit(€)]]/SalesData[[#This Row],[Contracts Signed]])</f>
        <v>17717</v>
      </c>
      <c r="AJ2310" s="5" t="str">
        <f>TRIM(CLEAN(SalesData[[#This Row],[Retailer]]))</f>
        <v>Main Auto Hub</v>
      </c>
    </row>
    <row r="2311" spans="1:36" ht="14.25" hidden="1" x14ac:dyDescent="0.2">
      <c r="A2311" t="s">
        <v>3361</v>
      </c>
      <c r="B2311" s="1">
        <v>46058</v>
      </c>
      <c r="C2311" t="s">
        <v>24</v>
      </c>
      <c r="D2311" t="s">
        <v>100</v>
      </c>
      <c r="E2311" t="s">
        <v>26</v>
      </c>
      <c r="F2311" t="s">
        <v>109</v>
      </c>
      <c r="G2311" t="s">
        <v>110</v>
      </c>
      <c r="H2311" t="s">
        <v>45</v>
      </c>
      <c r="I2311" t="s">
        <v>64</v>
      </c>
      <c r="J2311" t="s">
        <v>77</v>
      </c>
      <c r="K2311" t="s">
        <v>32</v>
      </c>
      <c r="L2311" t="s">
        <v>46</v>
      </c>
      <c r="M2311" t="s">
        <v>68</v>
      </c>
      <c r="N2311" t="s">
        <v>48</v>
      </c>
      <c r="O2311" t="s">
        <v>70</v>
      </c>
      <c r="P2311" t="s">
        <v>71</v>
      </c>
      <c r="Q2311" t="s">
        <v>189</v>
      </c>
      <c r="R2311">
        <v>195</v>
      </c>
      <c r="S2311">
        <v>88</v>
      </c>
      <c r="T2311">
        <v>67</v>
      </c>
      <c r="U2311">
        <v>23</v>
      </c>
      <c r="V2311" t="s">
        <v>6775</v>
      </c>
      <c r="W2311">
        <v>62346</v>
      </c>
      <c r="X2311" t="s">
        <v>7097</v>
      </c>
      <c r="Y2311">
        <v>46137</v>
      </c>
      <c r="Z2311">
        <v>1433958</v>
      </c>
      <c r="AA2311">
        <v>372807</v>
      </c>
      <c r="AB2311" t="str">
        <f>(VLOOKUP(SalesData[[#This Row],[Month Number]],Reference!C$5:E$16,2,FALSE))</f>
        <v>Feb</v>
      </c>
      <c r="AC2311">
        <f>MONTH(SalesData[[#This Row],[Date]])</f>
        <v>2</v>
      </c>
      <c r="AD2311">
        <f>Reference!F$4</f>
        <v>2026</v>
      </c>
      <c r="AE2311" t="str">
        <f>IF(OR(SalesData[[#This Row],[Day]]="Saturday",SalesData[[#This Row],[Day]]="Sunday"),"Weekend","Weekday")</f>
        <v>Weekday</v>
      </c>
      <c r="AF2311" s="5">
        <f>IF(SalesData[[#This Row],[Contracts Offered]]=0,0,SalesData[[#This Row],[Contracts Signed]]/SalesData[[#This Row],[Contracts Offered]])</f>
        <v>0.34328358208955223</v>
      </c>
      <c r="AG2311" s="5">
        <f>IF(SalesData[[#This Row],[Customers Visited]]=0,0,SalesData[[#This Row],[Test Drives]]/SalesData[[#This Row],[Customers Visited]])</f>
        <v>0.45128205128205129</v>
      </c>
      <c r="AH2311" s="5">
        <f>IF(SalesData[[#This Row],[Customers Visited]]=0,0,SalesData[[#This Row],[Contracts Signed]]/SalesData[[#This Row],[Customers Visited]])</f>
        <v>0.11794871794871795</v>
      </c>
      <c r="AI2311" s="6">
        <f>IF(SalesData[[#This Row],[Contracts Signed]]=0,0,SalesData[[#This Row],[Profit(€)]]/SalesData[[#This Row],[Contracts Signed]])</f>
        <v>16209</v>
      </c>
      <c r="AJ2311" s="5" t="str">
        <f>TRIM(CLEAN(SalesData[[#This Row],[Retailer]]))</f>
        <v>Leipzig Mobility</v>
      </c>
    </row>
    <row r="2312" spans="1:36" ht="14.25" hidden="1" x14ac:dyDescent="0.2">
      <c r="A2312" t="s">
        <v>3363</v>
      </c>
      <c r="B2312" s="1">
        <v>46081</v>
      </c>
      <c r="C2312" t="s">
        <v>53</v>
      </c>
      <c r="D2312" t="s">
        <v>151</v>
      </c>
      <c r="E2312" t="s">
        <v>42</v>
      </c>
      <c r="F2312" t="s">
        <v>43</v>
      </c>
      <c r="G2312" t="s">
        <v>44</v>
      </c>
      <c r="H2312" t="s">
        <v>45</v>
      </c>
      <c r="I2312" t="s">
        <v>116</v>
      </c>
      <c r="J2312" t="s">
        <v>117</v>
      </c>
      <c r="K2312" t="s">
        <v>91</v>
      </c>
      <c r="L2312" t="s">
        <v>67</v>
      </c>
      <c r="M2312" t="s">
        <v>34</v>
      </c>
      <c r="N2312" t="s">
        <v>48</v>
      </c>
      <c r="O2312" t="s">
        <v>70</v>
      </c>
      <c r="P2312" t="s">
        <v>37</v>
      </c>
      <c r="Q2312" t="s">
        <v>158</v>
      </c>
      <c r="R2312">
        <v>310</v>
      </c>
      <c r="S2312">
        <v>168</v>
      </c>
      <c r="T2312">
        <v>94</v>
      </c>
      <c r="U2312">
        <v>18</v>
      </c>
      <c r="V2312" t="s">
        <v>281</v>
      </c>
      <c r="W2312">
        <v>25390</v>
      </c>
      <c r="X2312" t="s">
        <v>2161</v>
      </c>
      <c r="Y2312">
        <v>23479</v>
      </c>
      <c r="Z2312">
        <v>457020</v>
      </c>
      <c r="AA2312">
        <v>34398</v>
      </c>
      <c r="AB2312" t="str">
        <f>(VLOOKUP(SalesData[[#This Row],[Month Number]],Reference!C$5:E$16,2,FALSE))</f>
        <v>Feb</v>
      </c>
      <c r="AC2312">
        <f>MONTH(SalesData[[#This Row],[Date]])</f>
        <v>2</v>
      </c>
      <c r="AD2312">
        <f>Reference!F$4</f>
        <v>2026</v>
      </c>
      <c r="AE2312" t="str">
        <f>IF(OR(SalesData[[#This Row],[Day]]="Saturday",SalesData[[#This Row],[Day]]="Sunday"),"Weekend","Weekday")</f>
        <v>Weekend</v>
      </c>
      <c r="AF2312" s="5">
        <f>IF(SalesData[[#This Row],[Contracts Offered]]=0,0,SalesData[[#This Row],[Contracts Signed]]/SalesData[[#This Row],[Contracts Offered]])</f>
        <v>0.19148936170212766</v>
      </c>
      <c r="AG2312" s="5">
        <f>IF(SalesData[[#This Row],[Customers Visited]]=0,0,SalesData[[#This Row],[Test Drives]]/SalesData[[#This Row],[Customers Visited]])</f>
        <v>0.54193548387096779</v>
      </c>
      <c r="AH2312" s="5">
        <f>IF(SalesData[[#This Row],[Customers Visited]]=0,0,SalesData[[#This Row],[Contracts Signed]]/SalesData[[#This Row],[Customers Visited]])</f>
        <v>5.8064516129032261E-2</v>
      </c>
      <c r="AI2312" s="6">
        <f>IF(SalesData[[#This Row],[Contracts Signed]]=0,0,SalesData[[#This Row],[Profit(€)]]/SalesData[[#This Row],[Contracts Signed]])</f>
        <v>1911</v>
      </c>
      <c r="AJ2312" s="5" t="str">
        <f>TRIM(CLEAN(SalesData[[#This Row],[Retailer]]))</f>
        <v>Saxon Wheels</v>
      </c>
    </row>
    <row r="2313" spans="1:36" ht="14.25" hidden="1" x14ac:dyDescent="0.2">
      <c r="A2313" t="s">
        <v>3365</v>
      </c>
      <c r="B2313" s="1">
        <v>46070</v>
      </c>
      <c r="C2313" t="s">
        <v>62</v>
      </c>
      <c r="D2313" t="s">
        <v>63</v>
      </c>
      <c r="E2313" t="s">
        <v>26</v>
      </c>
      <c r="F2313" t="s">
        <v>94</v>
      </c>
      <c r="G2313" t="s">
        <v>95</v>
      </c>
      <c r="H2313" t="s">
        <v>96</v>
      </c>
      <c r="I2313" t="s">
        <v>116</v>
      </c>
      <c r="J2313" t="s">
        <v>203</v>
      </c>
      <c r="K2313" t="s">
        <v>78</v>
      </c>
      <c r="L2313" t="s">
        <v>67</v>
      </c>
      <c r="M2313" t="s">
        <v>34</v>
      </c>
      <c r="N2313" t="s">
        <v>35</v>
      </c>
      <c r="O2313" t="s">
        <v>70</v>
      </c>
      <c r="P2313" t="s">
        <v>71</v>
      </c>
      <c r="Q2313" t="s">
        <v>167</v>
      </c>
      <c r="R2313">
        <v>322</v>
      </c>
      <c r="S2313">
        <v>161</v>
      </c>
      <c r="T2313">
        <v>106</v>
      </c>
      <c r="U2313">
        <v>28</v>
      </c>
      <c r="V2313" t="s">
        <v>292</v>
      </c>
      <c r="W2313">
        <v>23838</v>
      </c>
      <c r="X2313" t="s">
        <v>1418</v>
      </c>
      <c r="Y2313">
        <v>21567</v>
      </c>
      <c r="Z2313">
        <v>667464</v>
      </c>
      <c r="AA2313">
        <v>63588</v>
      </c>
      <c r="AB2313" t="str">
        <f>(VLOOKUP(SalesData[[#This Row],[Month Number]],Reference!C$5:E$16,2,FALSE))</f>
        <v>Feb</v>
      </c>
      <c r="AC2313">
        <f>MONTH(SalesData[[#This Row],[Date]])</f>
        <v>2</v>
      </c>
      <c r="AD2313">
        <f>Reference!F$4</f>
        <v>2026</v>
      </c>
      <c r="AE2313" t="str">
        <f>IF(OR(SalesData[[#This Row],[Day]]="Saturday",SalesData[[#This Row],[Day]]="Sunday"),"Weekend","Weekday")</f>
        <v>Weekday</v>
      </c>
      <c r="AF2313" s="5">
        <f>IF(SalesData[[#This Row],[Contracts Offered]]=0,0,SalesData[[#This Row],[Contracts Signed]]/SalesData[[#This Row],[Contracts Offered]])</f>
        <v>0.26415094339622641</v>
      </c>
      <c r="AG2313" s="5">
        <f>IF(SalesData[[#This Row],[Customers Visited]]=0,0,SalesData[[#This Row],[Test Drives]]/SalesData[[#This Row],[Customers Visited]])</f>
        <v>0.5</v>
      </c>
      <c r="AH2313" s="5">
        <f>IF(SalesData[[#This Row],[Customers Visited]]=0,0,SalesData[[#This Row],[Contracts Signed]]/SalesData[[#This Row],[Customers Visited]])</f>
        <v>8.6956521739130432E-2</v>
      </c>
      <c r="AI2313" s="6">
        <f>IF(SalesData[[#This Row],[Contracts Signed]]=0,0,SalesData[[#This Row],[Profit(€)]]/SalesData[[#This Row],[Contracts Signed]])</f>
        <v>2271</v>
      </c>
      <c r="AJ2313" s="5" t="str">
        <f>TRIM(CLEAN(SalesData[[#This Row],[Retailer]]))</f>
        <v>Bavaria Motors</v>
      </c>
    </row>
    <row r="2314" spans="1:36" ht="14.25" hidden="1" x14ac:dyDescent="0.2">
      <c r="A2314" t="s">
        <v>3366</v>
      </c>
      <c r="B2314" s="1">
        <v>46077</v>
      </c>
      <c r="C2314" t="s">
        <v>53</v>
      </c>
      <c r="D2314" t="s">
        <v>63</v>
      </c>
      <c r="E2314" t="s">
        <v>26</v>
      </c>
      <c r="F2314" t="s">
        <v>7649</v>
      </c>
      <c r="G2314" t="s">
        <v>55</v>
      </c>
      <c r="H2314" t="s">
        <v>55</v>
      </c>
      <c r="I2314" t="s">
        <v>56</v>
      </c>
      <c r="J2314" t="s">
        <v>179</v>
      </c>
      <c r="K2314" t="s">
        <v>32</v>
      </c>
      <c r="L2314" t="s">
        <v>67</v>
      </c>
      <c r="M2314" t="s">
        <v>87</v>
      </c>
      <c r="N2314" t="s">
        <v>35</v>
      </c>
      <c r="O2314" t="s">
        <v>36</v>
      </c>
      <c r="P2314" t="s">
        <v>37</v>
      </c>
      <c r="Q2314" t="s">
        <v>122</v>
      </c>
      <c r="R2314">
        <v>212</v>
      </c>
      <c r="S2314">
        <v>102</v>
      </c>
      <c r="T2314">
        <v>79</v>
      </c>
      <c r="U2314">
        <v>22</v>
      </c>
      <c r="V2314" t="s">
        <v>6457</v>
      </c>
      <c r="W2314">
        <v>47301</v>
      </c>
      <c r="X2314" t="s">
        <v>2155</v>
      </c>
      <c r="Y2314">
        <v>35691</v>
      </c>
      <c r="Z2314">
        <v>1040622</v>
      </c>
      <c r="AA2314">
        <v>255420</v>
      </c>
      <c r="AB2314" t="str">
        <f>(VLOOKUP(SalesData[[#This Row],[Month Number]],Reference!C$5:E$16,2,FALSE))</f>
        <v>Feb</v>
      </c>
      <c r="AC2314">
        <f>MONTH(SalesData[[#This Row],[Date]])</f>
        <v>2</v>
      </c>
      <c r="AD2314">
        <f>Reference!F$4</f>
        <v>2026</v>
      </c>
      <c r="AE2314" t="str">
        <f>IF(OR(SalesData[[#This Row],[Day]]="Saturday",SalesData[[#This Row],[Day]]="Sunday"),"Weekend","Weekday")</f>
        <v>Weekday</v>
      </c>
      <c r="AF2314" s="5">
        <f>IF(SalesData[[#This Row],[Contracts Offered]]=0,0,SalesData[[#This Row],[Contracts Signed]]/SalesData[[#This Row],[Contracts Offered]])</f>
        <v>0.27848101265822783</v>
      </c>
      <c r="AG2314" s="5">
        <f>IF(SalesData[[#This Row],[Customers Visited]]=0,0,SalesData[[#This Row],[Test Drives]]/SalesData[[#This Row],[Customers Visited]])</f>
        <v>0.48113207547169812</v>
      </c>
      <c r="AH2314" s="5">
        <f>IF(SalesData[[#This Row],[Customers Visited]]=0,0,SalesData[[#This Row],[Contracts Signed]]/SalesData[[#This Row],[Customers Visited]])</f>
        <v>0.10377358490566038</v>
      </c>
      <c r="AI2314" s="6">
        <f>IF(SalesData[[#This Row],[Contracts Signed]]=0,0,SalesData[[#This Row],[Profit(€)]]/SalesData[[#This Row],[Contracts Signed]])</f>
        <v>11610</v>
      </c>
      <c r="AJ2314" s="5" t="str">
        <f>TRIM(CLEAN(SalesData[[#This Row],[Retailer]]))</f>
        <v>Autohaus Berlin</v>
      </c>
    </row>
    <row r="2315" spans="1:36" ht="14.25" hidden="1" x14ac:dyDescent="0.2">
      <c r="A2315" t="s">
        <v>3367</v>
      </c>
      <c r="B2315" s="1">
        <v>46072</v>
      </c>
      <c r="C2315" t="s">
        <v>62</v>
      </c>
      <c r="D2315" t="s">
        <v>100</v>
      </c>
      <c r="E2315" t="s">
        <v>26</v>
      </c>
      <c r="F2315" t="s">
        <v>74</v>
      </c>
      <c r="G2315" t="s">
        <v>75</v>
      </c>
      <c r="H2315" t="s">
        <v>76</v>
      </c>
      <c r="I2315" t="s">
        <v>116</v>
      </c>
      <c r="J2315" t="s">
        <v>132</v>
      </c>
      <c r="K2315" t="s">
        <v>78</v>
      </c>
      <c r="L2315" t="s">
        <v>46</v>
      </c>
      <c r="M2315" t="s">
        <v>87</v>
      </c>
      <c r="N2315" t="s">
        <v>48</v>
      </c>
      <c r="O2315" t="s">
        <v>36</v>
      </c>
      <c r="P2315" t="s">
        <v>58</v>
      </c>
      <c r="Q2315" t="s">
        <v>189</v>
      </c>
      <c r="R2315">
        <v>308</v>
      </c>
      <c r="S2315">
        <v>135</v>
      </c>
      <c r="T2315">
        <v>93</v>
      </c>
      <c r="U2315">
        <v>28</v>
      </c>
      <c r="V2315" t="s">
        <v>7440</v>
      </c>
      <c r="W2315">
        <v>26186</v>
      </c>
      <c r="X2315" t="s">
        <v>1295</v>
      </c>
      <c r="Y2315">
        <v>24226</v>
      </c>
      <c r="Z2315">
        <v>733208</v>
      </c>
      <c r="AA2315">
        <v>54880</v>
      </c>
      <c r="AB2315" t="str">
        <f>(VLOOKUP(SalesData[[#This Row],[Month Number]],Reference!C$5:E$16,2,FALSE))</f>
        <v>Feb</v>
      </c>
      <c r="AC2315">
        <f>MONTH(SalesData[[#This Row],[Date]])</f>
        <v>2</v>
      </c>
      <c r="AD2315">
        <f>Reference!F$4</f>
        <v>2026</v>
      </c>
      <c r="AE2315" t="str">
        <f>IF(OR(SalesData[[#This Row],[Day]]="Saturday",SalesData[[#This Row],[Day]]="Sunday"),"Weekend","Weekday")</f>
        <v>Weekday</v>
      </c>
      <c r="AF2315" s="5">
        <f>IF(SalesData[[#This Row],[Contracts Offered]]=0,0,SalesData[[#This Row],[Contracts Signed]]/SalesData[[#This Row],[Contracts Offered]])</f>
        <v>0.30107526881720431</v>
      </c>
      <c r="AG2315" s="5">
        <f>IF(SalesData[[#This Row],[Customers Visited]]=0,0,SalesData[[#This Row],[Test Drives]]/SalesData[[#This Row],[Customers Visited]])</f>
        <v>0.43831168831168832</v>
      </c>
      <c r="AH2315" s="5">
        <f>IF(SalesData[[#This Row],[Customers Visited]]=0,0,SalesData[[#This Row],[Contracts Signed]]/SalesData[[#This Row],[Customers Visited]])</f>
        <v>9.0909090909090912E-2</v>
      </c>
      <c r="AI2315" s="6">
        <f>IF(SalesData[[#This Row],[Contracts Signed]]=0,0,SalesData[[#This Row],[Profit(€)]]/SalesData[[#This Row],[Contracts Signed]])</f>
        <v>1960</v>
      </c>
      <c r="AJ2315" s="5" t="str">
        <f>TRIM(CLEAN(SalesData[[#This Row],[Retailer]]))</f>
        <v>Stuttgart Auto Center</v>
      </c>
    </row>
    <row r="2316" spans="1:36" ht="14.25" x14ac:dyDescent="0.2">
      <c r="A2316" t="s">
        <v>3368</v>
      </c>
      <c r="B2316" s="1">
        <v>46060</v>
      </c>
      <c r="C2316" t="s">
        <v>24</v>
      </c>
      <c r="D2316" t="s">
        <v>151</v>
      </c>
      <c r="E2316" t="s">
        <v>42</v>
      </c>
      <c r="F2316" t="s">
        <v>109</v>
      </c>
      <c r="G2316" t="s">
        <v>110</v>
      </c>
      <c r="H2316" t="s">
        <v>45</v>
      </c>
      <c r="I2316" t="s">
        <v>30</v>
      </c>
      <c r="J2316" t="s">
        <v>7075</v>
      </c>
      <c r="K2316" t="s">
        <v>66</v>
      </c>
      <c r="L2316" t="s">
        <v>33</v>
      </c>
      <c r="M2316" t="s">
        <v>87</v>
      </c>
      <c r="N2316" t="s">
        <v>35</v>
      </c>
      <c r="O2316" t="s">
        <v>70</v>
      </c>
      <c r="P2316" t="s">
        <v>49</v>
      </c>
      <c r="Q2316" t="s">
        <v>106</v>
      </c>
      <c r="R2316">
        <v>231</v>
      </c>
      <c r="S2316">
        <v>139</v>
      </c>
      <c r="T2316">
        <v>98</v>
      </c>
      <c r="U2316">
        <v>30</v>
      </c>
      <c r="V2316" t="s">
        <v>6740</v>
      </c>
      <c r="W2316">
        <v>56301</v>
      </c>
      <c r="X2316" t="s">
        <v>7272</v>
      </c>
      <c r="Y2316">
        <v>41627</v>
      </c>
      <c r="Z2316">
        <v>1689030</v>
      </c>
      <c r="AA2316">
        <v>440220</v>
      </c>
      <c r="AB2316" t="str">
        <f>(VLOOKUP(SalesData[[#This Row],[Month Number]],Reference!C$5:E$16,2,FALSE))</f>
        <v>Feb</v>
      </c>
      <c r="AC2316">
        <f>MONTH(SalesData[[#This Row],[Date]])</f>
        <v>2</v>
      </c>
      <c r="AD2316">
        <f>Reference!F$4</f>
        <v>2026</v>
      </c>
      <c r="AE2316" t="str">
        <f>IF(OR(SalesData[[#This Row],[Day]]="Saturday",SalesData[[#This Row],[Day]]="Sunday"),"Weekend","Weekday")</f>
        <v>Weekend</v>
      </c>
      <c r="AF2316" s="5">
        <f>IF(SalesData[[#This Row],[Contracts Offered]]=0,0,SalesData[[#This Row],[Contracts Signed]]/SalesData[[#This Row],[Contracts Offered]])</f>
        <v>0.30612244897959184</v>
      </c>
      <c r="AG2316" s="5">
        <f>IF(SalesData[[#This Row],[Customers Visited]]=0,0,SalesData[[#This Row],[Test Drives]]/SalesData[[#This Row],[Customers Visited]])</f>
        <v>0.60173160173160178</v>
      </c>
      <c r="AH2316" s="5">
        <f>IF(SalesData[[#This Row],[Customers Visited]]=0,0,SalesData[[#This Row],[Contracts Signed]]/SalesData[[#This Row],[Customers Visited]])</f>
        <v>0.12987012987012986</v>
      </c>
      <c r="AI2316" s="6">
        <f>IF(SalesData[[#This Row],[Contracts Signed]]=0,0,SalesData[[#This Row],[Profit(€)]]/SalesData[[#This Row],[Contracts Signed]])</f>
        <v>14674</v>
      </c>
      <c r="AJ2316" s="5" t="str">
        <f>TRIM(CLEAN(SalesData[[#This Row],[Retailer]]))</f>
        <v>Leipzig Mobility</v>
      </c>
    </row>
    <row r="2317" spans="1:36" ht="14.25" x14ac:dyDescent="0.2">
      <c r="A2317" t="s">
        <v>3369</v>
      </c>
      <c r="B2317" s="1">
        <v>46056</v>
      </c>
      <c r="C2317" t="s">
        <v>24</v>
      </c>
      <c r="D2317" t="s">
        <v>63</v>
      </c>
      <c r="E2317" t="s">
        <v>26</v>
      </c>
      <c r="F2317" t="s">
        <v>101</v>
      </c>
      <c r="G2317" t="s">
        <v>102</v>
      </c>
      <c r="H2317" t="s">
        <v>103</v>
      </c>
      <c r="I2317" t="s">
        <v>30</v>
      </c>
      <c r="J2317" t="s">
        <v>188</v>
      </c>
      <c r="K2317" t="s">
        <v>78</v>
      </c>
      <c r="L2317" t="s">
        <v>33</v>
      </c>
      <c r="M2317" t="s">
        <v>47</v>
      </c>
      <c r="N2317" t="s">
        <v>48</v>
      </c>
      <c r="O2317" t="s">
        <v>70</v>
      </c>
      <c r="P2317" t="s">
        <v>49</v>
      </c>
      <c r="Q2317" t="s">
        <v>167</v>
      </c>
      <c r="R2317">
        <v>216</v>
      </c>
      <c r="S2317">
        <v>116</v>
      </c>
      <c r="T2317">
        <v>86</v>
      </c>
      <c r="U2317">
        <v>31</v>
      </c>
      <c r="V2317" t="s">
        <v>6607</v>
      </c>
      <c r="W2317">
        <v>65288</v>
      </c>
      <c r="X2317" t="s">
        <v>7109</v>
      </c>
      <c r="Y2317">
        <v>47680</v>
      </c>
      <c r="Z2317">
        <v>2023928</v>
      </c>
      <c r="AA2317">
        <v>545848</v>
      </c>
      <c r="AB2317" t="str">
        <f>(VLOOKUP(SalesData[[#This Row],[Month Number]],Reference!C$5:E$16,2,FALSE))</f>
        <v>Feb</v>
      </c>
      <c r="AC2317">
        <f>MONTH(SalesData[[#This Row],[Date]])</f>
        <v>2</v>
      </c>
      <c r="AD2317">
        <f>Reference!F$4</f>
        <v>2026</v>
      </c>
      <c r="AE2317" t="str">
        <f>IF(OR(SalesData[[#This Row],[Day]]="Saturday",SalesData[[#This Row],[Day]]="Sunday"),"Weekend","Weekday")</f>
        <v>Weekday</v>
      </c>
      <c r="AF2317" s="5">
        <f>IF(SalesData[[#This Row],[Contracts Offered]]=0,0,SalesData[[#This Row],[Contracts Signed]]/SalesData[[#This Row],[Contracts Offered]])</f>
        <v>0.36046511627906974</v>
      </c>
      <c r="AG2317" s="5">
        <f>IF(SalesData[[#This Row],[Customers Visited]]=0,0,SalesData[[#This Row],[Test Drives]]/SalesData[[#This Row],[Customers Visited]])</f>
        <v>0.53703703703703709</v>
      </c>
      <c r="AH2317" s="5">
        <f>IF(SalesData[[#This Row],[Customers Visited]]=0,0,SalesData[[#This Row],[Contracts Signed]]/SalesData[[#This Row],[Customers Visited]])</f>
        <v>0.14351851851851852</v>
      </c>
      <c r="AI2317" s="6">
        <f>IF(SalesData[[#This Row],[Contracts Signed]]=0,0,SalesData[[#This Row],[Profit(€)]]/SalesData[[#This Row],[Contracts Signed]])</f>
        <v>17608</v>
      </c>
      <c r="AJ2317" s="5" t="str">
        <f>TRIM(CLEAN(SalesData[[#This Row],[Retailer]]))</f>
        <v>Ruhr Auto Plaza</v>
      </c>
    </row>
    <row r="2318" spans="1:36" ht="14.25" hidden="1" x14ac:dyDescent="0.2">
      <c r="A2318" t="s">
        <v>3371</v>
      </c>
      <c r="B2318" s="1">
        <v>46059</v>
      </c>
      <c r="C2318" t="s">
        <v>24</v>
      </c>
      <c r="D2318" t="s">
        <v>54</v>
      </c>
      <c r="E2318" t="s">
        <v>26</v>
      </c>
      <c r="F2318" t="s">
        <v>127</v>
      </c>
      <c r="G2318" t="s">
        <v>128</v>
      </c>
      <c r="H2318" t="s">
        <v>103</v>
      </c>
      <c r="I2318" t="s">
        <v>64</v>
      </c>
      <c r="J2318" t="s">
        <v>65</v>
      </c>
      <c r="K2318" t="s">
        <v>78</v>
      </c>
      <c r="L2318" t="s">
        <v>33</v>
      </c>
      <c r="M2318" t="s">
        <v>34</v>
      </c>
      <c r="N2318" t="s">
        <v>35</v>
      </c>
      <c r="O2318" t="s">
        <v>36</v>
      </c>
      <c r="P2318" t="s">
        <v>49</v>
      </c>
      <c r="Q2318" t="s">
        <v>38</v>
      </c>
      <c r="R2318">
        <v>224</v>
      </c>
      <c r="S2318">
        <v>120</v>
      </c>
      <c r="T2318">
        <v>79</v>
      </c>
      <c r="U2318">
        <v>32</v>
      </c>
      <c r="V2318" t="s">
        <v>6388</v>
      </c>
      <c r="W2318">
        <v>70044</v>
      </c>
      <c r="X2318" t="s">
        <v>7089</v>
      </c>
      <c r="Y2318">
        <v>51606</v>
      </c>
      <c r="Z2318">
        <v>2241408</v>
      </c>
      <c r="AA2318">
        <v>590016</v>
      </c>
      <c r="AB2318" t="str">
        <f>(VLOOKUP(SalesData[[#This Row],[Month Number]],Reference!C$5:E$16,2,FALSE))</f>
        <v>Feb</v>
      </c>
      <c r="AC2318">
        <f>MONTH(SalesData[[#This Row],[Date]])</f>
        <v>2</v>
      </c>
      <c r="AD2318">
        <f>Reference!F$4</f>
        <v>2026</v>
      </c>
      <c r="AE2318" t="str">
        <f>IF(OR(SalesData[[#This Row],[Day]]="Saturday",SalesData[[#This Row],[Day]]="Sunday"),"Weekend","Weekday")</f>
        <v>Weekday</v>
      </c>
      <c r="AF2318" s="5">
        <f>IF(SalesData[[#This Row],[Contracts Offered]]=0,0,SalesData[[#This Row],[Contracts Signed]]/SalesData[[#This Row],[Contracts Offered]])</f>
        <v>0.4050632911392405</v>
      </c>
      <c r="AG2318" s="5">
        <f>IF(SalesData[[#This Row],[Customers Visited]]=0,0,SalesData[[#This Row],[Test Drives]]/SalesData[[#This Row],[Customers Visited]])</f>
        <v>0.5357142857142857</v>
      </c>
      <c r="AH2318" s="5">
        <f>IF(SalesData[[#This Row],[Customers Visited]]=0,0,SalesData[[#This Row],[Contracts Signed]]/SalesData[[#This Row],[Customers Visited]])</f>
        <v>0.14285714285714285</v>
      </c>
      <c r="AI2318" s="6">
        <f>IF(SalesData[[#This Row],[Contracts Signed]]=0,0,SalesData[[#This Row],[Profit(€)]]/SalesData[[#This Row],[Contracts Signed]])</f>
        <v>18438</v>
      </c>
      <c r="AJ2318" s="5" t="str">
        <f>TRIM(CLEAN(SalesData[[#This Row],[Retailer]]))</f>
        <v>Rhein Auto Group</v>
      </c>
    </row>
    <row r="2319" spans="1:36" ht="14.25" hidden="1" x14ac:dyDescent="0.2">
      <c r="A2319" t="s">
        <v>3372</v>
      </c>
      <c r="B2319" s="1">
        <v>46054</v>
      </c>
      <c r="C2319" t="s">
        <v>24</v>
      </c>
      <c r="D2319" t="s">
        <v>41</v>
      </c>
      <c r="E2319" t="s">
        <v>42</v>
      </c>
      <c r="F2319" t="s">
        <v>114</v>
      </c>
      <c r="G2319" t="s">
        <v>115</v>
      </c>
      <c r="H2319" t="s">
        <v>115</v>
      </c>
      <c r="I2319" t="s">
        <v>104</v>
      </c>
      <c r="J2319" t="s">
        <v>143</v>
      </c>
      <c r="K2319" t="s">
        <v>91</v>
      </c>
      <c r="L2319" t="s">
        <v>67</v>
      </c>
      <c r="M2319" t="s">
        <v>47</v>
      </c>
      <c r="N2319" t="s">
        <v>48</v>
      </c>
      <c r="O2319" t="s">
        <v>36</v>
      </c>
      <c r="P2319" t="s">
        <v>71</v>
      </c>
      <c r="Q2319" t="s">
        <v>152</v>
      </c>
      <c r="R2319">
        <v>376</v>
      </c>
      <c r="S2319">
        <v>187</v>
      </c>
      <c r="T2319">
        <v>130</v>
      </c>
      <c r="U2319">
        <v>33</v>
      </c>
      <c r="V2319" t="s">
        <v>859</v>
      </c>
      <c r="W2319">
        <v>26785</v>
      </c>
      <c r="X2319" t="s">
        <v>130</v>
      </c>
      <c r="Y2319">
        <v>24365</v>
      </c>
      <c r="Z2319">
        <v>883905</v>
      </c>
      <c r="AA2319">
        <v>79860</v>
      </c>
      <c r="AB2319" t="str">
        <f>(VLOOKUP(SalesData[[#This Row],[Month Number]],Reference!C$5:E$16,2,FALSE))</f>
        <v>Feb</v>
      </c>
      <c r="AC2319">
        <f>MONTH(SalesData[[#This Row],[Date]])</f>
        <v>2</v>
      </c>
      <c r="AD2319">
        <f>Reference!F$4</f>
        <v>2026</v>
      </c>
      <c r="AE2319" t="str">
        <f>IF(OR(SalesData[[#This Row],[Day]]="Saturday",SalesData[[#This Row],[Day]]="Sunday"),"Weekend","Weekday")</f>
        <v>Weekend</v>
      </c>
      <c r="AF2319" s="5">
        <f>IF(SalesData[[#This Row],[Contracts Offered]]=0,0,SalesData[[#This Row],[Contracts Signed]]/SalesData[[#This Row],[Contracts Offered]])</f>
        <v>0.25384615384615383</v>
      </c>
      <c r="AG2319" s="5">
        <f>IF(SalesData[[#This Row],[Customers Visited]]=0,0,SalesData[[#This Row],[Test Drives]]/SalesData[[#This Row],[Customers Visited]])</f>
        <v>0.49734042553191488</v>
      </c>
      <c r="AH2319" s="5">
        <f>IF(SalesData[[#This Row],[Customers Visited]]=0,0,SalesData[[#This Row],[Contracts Signed]]/SalesData[[#This Row],[Customers Visited]])</f>
        <v>8.7765957446808512E-2</v>
      </c>
      <c r="AI2319" s="6">
        <f>IF(SalesData[[#This Row],[Contracts Signed]]=0,0,SalesData[[#This Row],[Profit(€)]]/SalesData[[#This Row],[Contracts Signed]])</f>
        <v>2420</v>
      </c>
      <c r="AJ2319" s="5" t="str">
        <f>TRIM(CLEAN(SalesData[[#This Row],[Retailer]]))</f>
        <v>Elbe Drive</v>
      </c>
    </row>
    <row r="2320" spans="1:36" ht="14.25" hidden="1" x14ac:dyDescent="0.2">
      <c r="A2320" t="s">
        <v>3373</v>
      </c>
      <c r="B2320" s="1">
        <v>46074</v>
      </c>
      <c r="C2320" t="s">
        <v>62</v>
      </c>
      <c r="D2320" t="s">
        <v>151</v>
      </c>
      <c r="E2320" t="s">
        <v>42</v>
      </c>
      <c r="F2320" t="s">
        <v>43</v>
      </c>
      <c r="G2320" t="s">
        <v>44</v>
      </c>
      <c r="H2320" t="s">
        <v>45</v>
      </c>
      <c r="I2320" t="s">
        <v>104</v>
      </c>
      <c r="J2320" t="s">
        <v>105</v>
      </c>
      <c r="K2320" t="s">
        <v>32</v>
      </c>
      <c r="L2320" t="s">
        <v>33</v>
      </c>
      <c r="M2320" t="s">
        <v>34</v>
      </c>
      <c r="N2320" t="s">
        <v>69</v>
      </c>
      <c r="O2320" t="s">
        <v>36</v>
      </c>
      <c r="P2320" t="s">
        <v>37</v>
      </c>
      <c r="Q2320" t="s">
        <v>144</v>
      </c>
      <c r="R2320">
        <v>506</v>
      </c>
      <c r="S2320">
        <v>217</v>
      </c>
      <c r="T2320">
        <v>143</v>
      </c>
      <c r="U2320">
        <v>35</v>
      </c>
      <c r="V2320" t="s">
        <v>125</v>
      </c>
      <c r="W2320">
        <v>34058</v>
      </c>
      <c r="X2320" t="s">
        <v>435</v>
      </c>
      <c r="Y2320">
        <v>30807</v>
      </c>
      <c r="Z2320">
        <v>1192030</v>
      </c>
      <c r="AA2320">
        <v>113785</v>
      </c>
      <c r="AB2320" t="str">
        <f>(VLOOKUP(SalesData[[#This Row],[Month Number]],Reference!C$5:E$16,2,FALSE))</f>
        <v>Feb</v>
      </c>
      <c r="AC2320">
        <f>MONTH(SalesData[[#This Row],[Date]])</f>
        <v>2</v>
      </c>
      <c r="AD2320">
        <f>Reference!F$4</f>
        <v>2026</v>
      </c>
      <c r="AE2320" t="str">
        <f>IF(OR(SalesData[[#This Row],[Day]]="Saturday",SalesData[[#This Row],[Day]]="Sunday"),"Weekend","Weekday")</f>
        <v>Weekend</v>
      </c>
      <c r="AF2320" s="5">
        <f>IF(SalesData[[#This Row],[Contracts Offered]]=0,0,SalesData[[#This Row],[Contracts Signed]]/SalesData[[#This Row],[Contracts Offered]])</f>
        <v>0.24475524475524477</v>
      </c>
      <c r="AG2320" s="5">
        <f>IF(SalesData[[#This Row],[Customers Visited]]=0,0,SalesData[[#This Row],[Test Drives]]/SalesData[[#This Row],[Customers Visited]])</f>
        <v>0.42885375494071148</v>
      </c>
      <c r="AH2320" s="5">
        <f>IF(SalesData[[#This Row],[Customers Visited]]=0,0,SalesData[[#This Row],[Contracts Signed]]/SalesData[[#This Row],[Customers Visited]])</f>
        <v>6.9169960474308304E-2</v>
      </c>
      <c r="AI2320" s="6">
        <f>IF(SalesData[[#This Row],[Contracts Signed]]=0,0,SalesData[[#This Row],[Profit(€)]]/SalesData[[#This Row],[Contracts Signed]])</f>
        <v>3251</v>
      </c>
      <c r="AJ2320" s="5" t="str">
        <f>TRIM(CLEAN(SalesData[[#This Row],[Retailer]]))</f>
        <v>Saxon Wheels</v>
      </c>
    </row>
    <row r="2321" spans="1:36" ht="14.25" hidden="1" x14ac:dyDescent="0.2">
      <c r="A2321" t="s">
        <v>3374</v>
      </c>
      <c r="B2321" s="1">
        <v>46073</v>
      </c>
      <c r="C2321" t="s">
        <v>62</v>
      </c>
      <c r="D2321" t="s">
        <v>54</v>
      </c>
      <c r="E2321" t="s">
        <v>26</v>
      </c>
      <c r="F2321" t="s">
        <v>43</v>
      </c>
      <c r="G2321" t="s">
        <v>44</v>
      </c>
      <c r="H2321" t="s">
        <v>45</v>
      </c>
      <c r="I2321" t="s">
        <v>64</v>
      </c>
      <c r="J2321" t="s">
        <v>65</v>
      </c>
      <c r="K2321" t="s">
        <v>32</v>
      </c>
      <c r="L2321" t="s">
        <v>33</v>
      </c>
      <c r="M2321" t="s">
        <v>87</v>
      </c>
      <c r="N2321" t="s">
        <v>69</v>
      </c>
      <c r="O2321" t="s">
        <v>70</v>
      </c>
      <c r="P2321" t="s">
        <v>49</v>
      </c>
      <c r="Q2321" t="s">
        <v>50</v>
      </c>
      <c r="R2321">
        <v>177</v>
      </c>
      <c r="S2321">
        <v>80</v>
      </c>
      <c r="T2321">
        <v>56</v>
      </c>
      <c r="U2321">
        <v>16</v>
      </c>
      <c r="V2321" t="s">
        <v>6410</v>
      </c>
      <c r="W2321">
        <v>52623</v>
      </c>
      <c r="X2321" t="s">
        <v>7494</v>
      </c>
      <c r="Y2321">
        <v>41287</v>
      </c>
      <c r="Z2321">
        <v>841968</v>
      </c>
      <c r="AA2321">
        <v>181376</v>
      </c>
      <c r="AB2321" t="str">
        <f>(VLOOKUP(SalesData[[#This Row],[Month Number]],Reference!C$5:E$16,2,FALSE))</f>
        <v>Feb</v>
      </c>
      <c r="AC2321">
        <f>MONTH(SalesData[[#This Row],[Date]])</f>
        <v>2</v>
      </c>
      <c r="AD2321">
        <f>Reference!F$4</f>
        <v>2026</v>
      </c>
      <c r="AE2321" t="str">
        <f>IF(OR(SalesData[[#This Row],[Day]]="Saturday",SalesData[[#This Row],[Day]]="Sunday"),"Weekend","Weekday")</f>
        <v>Weekday</v>
      </c>
      <c r="AF2321" s="5">
        <f>IF(SalesData[[#This Row],[Contracts Offered]]=0,0,SalesData[[#This Row],[Contracts Signed]]/SalesData[[#This Row],[Contracts Offered]])</f>
        <v>0.2857142857142857</v>
      </c>
      <c r="AG2321" s="5">
        <f>IF(SalesData[[#This Row],[Customers Visited]]=0,0,SalesData[[#This Row],[Test Drives]]/SalesData[[#This Row],[Customers Visited]])</f>
        <v>0.4519774011299435</v>
      </c>
      <c r="AH2321" s="5">
        <f>IF(SalesData[[#This Row],[Customers Visited]]=0,0,SalesData[[#This Row],[Contracts Signed]]/SalesData[[#This Row],[Customers Visited]])</f>
        <v>9.03954802259887E-2</v>
      </c>
      <c r="AI2321" s="6">
        <f>IF(SalesData[[#This Row],[Contracts Signed]]=0,0,SalesData[[#This Row],[Profit(€)]]/SalesData[[#This Row],[Contracts Signed]])</f>
        <v>11336</v>
      </c>
      <c r="AJ2321" s="5" t="str">
        <f>TRIM(CLEAN(SalesData[[#This Row],[Retailer]]))</f>
        <v>Saxon Wheels</v>
      </c>
    </row>
    <row r="2322" spans="1:36" ht="14.25" x14ac:dyDescent="0.2">
      <c r="A2322" t="s">
        <v>3375</v>
      </c>
      <c r="B2322" s="1">
        <v>46072</v>
      </c>
      <c r="C2322" t="s">
        <v>62</v>
      </c>
      <c r="D2322" t="s">
        <v>100</v>
      </c>
      <c r="E2322" t="s">
        <v>26</v>
      </c>
      <c r="F2322" t="s">
        <v>83</v>
      </c>
      <c r="G2322" t="s">
        <v>84</v>
      </c>
      <c r="H2322" t="s">
        <v>85</v>
      </c>
      <c r="I2322" t="s">
        <v>30</v>
      </c>
      <c r="J2322" t="s">
        <v>31</v>
      </c>
      <c r="K2322" t="s">
        <v>91</v>
      </c>
      <c r="L2322" t="s">
        <v>46</v>
      </c>
      <c r="M2322" t="s">
        <v>34</v>
      </c>
      <c r="N2322" t="s">
        <v>35</v>
      </c>
      <c r="O2322" t="s">
        <v>70</v>
      </c>
      <c r="P2322" t="s">
        <v>71</v>
      </c>
      <c r="Q2322" t="s">
        <v>59</v>
      </c>
      <c r="R2322">
        <v>271</v>
      </c>
      <c r="S2322">
        <v>149</v>
      </c>
      <c r="T2322">
        <v>117</v>
      </c>
      <c r="U2322">
        <v>44</v>
      </c>
      <c r="V2322" t="s">
        <v>7197</v>
      </c>
      <c r="W2322">
        <v>55912</v>
      </c>
      <c r="X2322" t="s">
        <v>254</v>
      </c>
      <c r="Y2322">
        <v>39931</v>
      </c>
      <c r="Z2322">
        <v>2460128</v>
      </c>
      <c r="AA2322">
        <v>703164</v>
      </c>
      <c r="AB2322" t="str">
        <f>(VLOOKUP(SalesData[[#This Row],[Month Number]],Reference!C$5:E$16,2,FALSE))</f>
        <v>Feb</v>
      </c>
      <c r="AC2322">
        <f>MONTH(SalesData[[#This Row],[Date]])</f>
        <v>2</v>
      </c>
      <c r="AD2322">
        <f>Reference!F$4</f>
        <v>2026</v>
      </c>
      <c r="AE2322" t="str">
        <f>IF(OR(SalesData[[#This Row],[Day]]="Saturday",SalesData[[#This Row],[Day]]="Sunday"),"Weekend","Weekday")</f>
        <v>Weekday</v>
      </c>
      <c r="AF2322" s="5">
        <f>IF(SalesData[[#This Row],[Contracts Offered]]=0,0,SalesData[[#This Row],[Contracts Signed]]/SalesData[[#This Row],[Contracts Offered]])</f>
        <v>0.37606837606837606</v>
      </c>
      <c r="AG2322" s="5">
        <f>IF(SalesData[[#This Row],[Customers Visited]]=0,0,SalesData[[#This Row],[Test Drives]]/SalesData[[#This Row],[Customers Visited]])</f>
        <v>0.54981549815498154</v>
      </c>
      <c r="AH2322" s="5">
        <f>IF(SalesData[[#This Row],[Customers Visited]]=0,0,SalesData[[#This Row],[Contracts Signed]]/SalesData[[#This Row],[Customers Visited]])</f>
        <v>0.16236162361623616</v>
      </c>
      <c r="AI2322" s="6">
        <f>IF(SalesData[[#This Row],[Contracts Signed]]=0,0,SalesData[[#This Row],[Profit(€)]]/SalesData[[#This Row],[Contracts Signed]])</f>
        <v>15981</v>
      </c>
      <c r="AJ2322" s="5" t="str">
        <f>TRIM(CLEAN(SalesData[[#This Row],[Retailer]]))</f>
        <v>Hannover Cars</v>
      </c>
    </row>
    <row r="2323" spans="1:36" ht="14.25" x14ac:dyDescent="0.2">
      <c r="A2323" t="s">
        <v>3376</v>
      </c>
      <c r="B2323" s="1">
        <v>46055</v>
      </c>
      <c r="C2323" t="s">
        <v>24</v>
      </c>
      <c r="D2323" t="s">
        <v>25</v>
      </c>
      <c r="E2323" t="s">
        <v>26</v>
      </c>
      <c r="F2323" t="s">
        <v>101</v>
      </c>
      <c r="G2323" t="s">
        <v>102</v>
      </c>
      <c r="H2323" t="s">
        <v>103</v>
      </c>
      <c r="I2323" t="s">
        <v>30</v>
      </c>
      <c r="J2323" t="s">
        <v>166</v>
      </c>
      <c r="K2323" t="s">
        <v>32</v>
      </c>
      <c r="L2323" t="s">
        <v>46</v>
      </c>
      <c r="M2323" t="s">
        <v>68</v>
      </c>
      <c r="N2323" t="s">
        <v>69</v>
      </c>
      <c r="O2323" t="s">
        <v>70</v>
      </c>
      <c r="P2323" t="s">
        <v>49</v>
      </c>
      <c r="Q2323" t="s">
        <v>158</v>
      </c>
      <c r="R2323">
        <v>242</v>
      </c>
      <c r="S2323">
        <v>145</v>
      </c>
      <c r="T2323">
        <v>111</v>
      </c>
      <c r="U2323">
        <v>33</v>
      </c>
      <c r="V2323" t="s">
        <v>6521</v>
      </c>
      <c r="W2323">
        <v>56544</v>
      </c>
      <c r="X2323" t="s">
        <v>4802</v>
      </c>
      <c r="Y2323">
        <v>44078</v>
      </c>
      <c r="Z2323">
        <v>1865952</v>
      </c>
      <c r="AA2323">
        <v>411378</v>
      </c>
      <c r="AB2323" t="str">
        <f>(VLOOKUP(SalesData[[#This Row],[Month Number]],Reference!C$5:E$16,2,FALSE))</f>
        <v>Feb</v>
      </c>
      <c r="AC2323">
        <f>MONTH(SalesData[[#This Row],[Date]])</f>
        <v>2</v>
      </c>
      <c r="AD2323">
        <f>Reference!F$4</f>
        <v>2026</v>
      </c>
      <c r="AE2323" t="str">
        <f>IF(OR(SalesData[[#This Row],[Day]]="Saturday",SalesData[[#This Row],[Day]]="Sunday"),"Weekend","Weekday")</f>
        <v>Weekday</v>
      </c>
      <c r="AF2323" s="5">
        <f>IF(SalesData[[#This Row],[Contracts Offered]]=0,0,SalesData[[#This Row],[Contracts Signed]]/SalesData[[#This Row],[Contracts Offered]])</f>
        <v>0.29729729729729731</v>
      </c>
      <c r="AG2323" s="5">
        <f>IF(SalesData[[#This Row],[Customers Visited]]=0,0,SalesData[[#This Row],[Test Drives]]/SalesData[[#This Row],[Customers Visited]])</f>
        <v>0.59917355371900827</v>
      </c>
      <c r="AH2323" s="5">
        <f>IF(SalesData[[#This Row],[Customers Visited]]=0,0,SalesData[[#This Row],[Contracts Signed]]/SalesData[[#This Row],[Customers Visited]])</f>
        <v>0.13636363636363635</v>
      </c>
      <c r="AI2323" s="6">
        <f>IF(SalesData[[#This Row],[Contracts Signed]]=0,0,SalesData[[#This Row],[Profit(€)]]/SalesData[[#This Row],[Contracts Signed]])</f>
        <v>12466</v>
      </c>
      <c r="AJ2323" s="5" t="str">
        <f>TRIM(CLEAN(SalesData[[#This Row],[Retailer]]))</f>
        <v>Ruhr Auto Plaza</v>
      </c>
    </row>
    <row r="2324" spans="1:36" ht="14.25" x14ac:dyDescent="0.2">
      <c r="A2324" t="s">
        <v>3378</v>
      </c>
      <c r="B2324" s="1">
        <v>46075</v>
      </c>
      <c r="C2324" t="s">
        <v>53</v>
      </c>
      <c r="D2324" t="s">
        <v>41</v>
      </c>
      <c r="E2324" t="s">
        <v>42</v>
      </c>
      <c r="F2324" t="s">
        <v>94</v>
      </c>
      <c r="G2324" t="s">
        <v>95</v>
      </c>
      <c r="H2324" t="s">
        <v>96</v>
      </c>
      <c r="I2324" t="s">
        <v>30</v>
      </c>
      <c r="J2324" t="s">
        <v>188</v>
      </c>
      <c r="K2324" t="s">
        <v>78</v>
      </c>
      <c r="L2324" t="s">
        <v>33</v>
      </c>
      <c r="M2324" t="s">
        <v>34</v>
      </c>
      <c r="N2324" t="s">
        <v>69</v>
      </c>
      <c r="O2324" t="s">
        <v>36</v>
      </c>
      <c r="P2324" t="s">
        <v>49</v>
      </c>
      <c r="Q2324" t="s">
        <v>50</v>
      </c>
      <c r="R2324">
        <v>204</v>
      </c>
      <c r="S2324">
        <v>110</v>
      </c>
      <c r="T2324">
        <v>77</v>
      </c>
      <c r="U2324">
        <v>33</v>
      </c>
      <c r="V2324" t="s">
        <v>7100</v>
      </c>
      <c r="W2324">
        <v>64024</v>
      </c>
      <c r="X2324" t="s">
        <v>1632</v>
      </c>
      <c r="Y2324">
        <v>47333</v>
      </c>
      <c r="Z2324">
        <v>2112792</v>
      </c>
      <c r="AA2324">
        <v>550803</v>
      </c>
      <c r="AB2324" t="str">
        <f>(VLOOKUP(SalesData[[#This Row],[Month Number]],Reference!C$5:E$16,2,FALSE))</f>
        <v>Feb</v>
      </c>
      <c r="AC2324">
        <f>MONTH(SalesData[[#This Row],[Date]])</f>
        <v>2</v>
      </c>
      <c r="AD2324">
        <f>Reference!F$4</f>
        <v>2026</v>
      </c>
      <c r="AE2324" t="str">
        <f>IF(OR(SalesData[[#This Row],[Day]]="Saturday",SalesData[[#This Row],[Day]]="Sunday"),"Weekend","Weekday")</f>
        <v>Weekend</v>
      </c>
      <c r="AF2324" s="5">
        <f>IF(SalesData[[#This Row],[Contracts Offered]]=0,0,SalesData[[#This Row],[Contracts Signed]]/SalesData[[#This Row],[Contracts Offered]])</f>
        <v>0.42857142857142855</v>
      </c>
      <c r="AG2324" s="5">
        <f>IF(SalesData[[#This Row],[Customers Visited]]=0,0,SalesData[[#This Row],[Test Drives]]/SalesData[[#This Row],[Customers Visited]])</f>
        <v>0.53921568627450978</v>
      </c>
      <c r="AH2324" s="5">
        <f>IF(SalesData[[#This Row],[Customers Visited]]=0,0,SalesData[[#This Row],[Contracts Signed]]/SalesData[[#This Row],[Customers Visited]])</f>
        <v>0.16176470588235295</v>
      </c>
      <c r="AI2324" s="6">
        <f>IF(SalesData[[#This Row],[Contracts Signed]]=0,0,SalesData[[#This Row],[Profit(€)]]/SalesData[[#This Row],[Contracts Signed]])</f>
        <v>16691</v>
      </c>
      <c r="AJ2324" s="5" t="str">
        <f>TRIM(CLEAN(SalesData[[#This Row],[Retailer]]))</f>
        <v>Bavaria Motors</v>
      </c>
    </row>
    <row r="2325" spans="1:36" ht="14.25" hidden="1" x14ac:dyDescent="0.2">
      <c r="A2325" t="s">
        <v>3379</v>
      </c>
      <c r="B2325" s="1">
        <v>46064</v>
      </c>
      <c r="C2325" t="s">
        <v>121</v>
      </c>
      <c r="D2325" t="s">
        <v>82</v>
      </c>
      <c r="E2325" t="s">
        <v>26</v>
      </c>
      <c r="F2325" t="s">
        <v>127</v>
      </c>
      <c r="G2325" t="s">
        <v>128</v>
      </c>
      <c r="H2325" t="s">
        <v>103</v>
      </c>
      <c r="I2325" t="s">
        <v>116</v>
      </c>
      <c r="J2325" t="s">
        <v>7090</v>
      </c>
      <c r="K2325" t="s">
        <v>66</v>
      </c>
      <c r="L2325" t="s">
        <v>46</v>
      </c>
      <c r="M2325" t="s">
        <v>87</v>
      </c>
      <c r="N2325" t="s">
        <v>48</v>
      </c>
      <c r="O2325" t="s">
        <v>36</v>
      </c>
      <c r="P2325" t="s">
        <v>37</v>
      </c>
      <c r="Q2325" t="s">
        <v>88</v>
      </c>
      <c r="R2325">
        <v>286</v>
      </c>
      <c r="S2325">
        <v>155</v>
      </c>
      <c r="T2325">
        <v>89</v>
      </c>
      <c r="U2325">
        <v>22</v>
      </c>
      <c r="V2325" t="s">
        <v>4045</v>
      </c>
      <c r="W2325">
        <v>23118</v>
      </c>
      <c r="X2325" t="s">
        <v>1184</v>
      </c>
      <c r="Y2325">
        <v>21093</v>
      </c>
      <c r="Z2325">
        <v>508596</v>
      </c>
      <c r="AA2325">
        <v>44550</v>
      </c>
      <c r="AB2325" t="str">
        <f>(VLOOKUP(SalesData[[#This Row],[Month Number]],Reference!C$5:E$16,2,FALSE))</f>
        <v>Feb</v>
      </c>
      <c r="AC2325">
        <f>MONTH(SalesData[[#This Row],[Date]])</f>
        <v>2</v>
      </c>
      <c r="AD2325">
        <f>Reference!F$4</f>
        <v>2026</v>
      </c>
      <c r="AE2325" t="str">
        <f>IF(OR(SalesData[[#This Row],[Day]]="Saturday",SalesData[[#This Row],[Day]]="Sunday"),"Weekend","Weekday")</f>
        <v>Weekday</v>
      </c>
      <c r="AF2325" s="5">
        <f>IF(SalesData[[#This Row],[Contracts Offered]]=0,0,SalesData[[#This Row],[Contracts Signed]]/SalesData[[#This Row],[Contracts Offered]])</f>
        <v>0.24719101123595505</v>
      </c>
      <c r="AG2325" s="5">
        <f>IF(SalesData[[#This Row],[Customers Visited]]=0,0,SalesData[[#This Row],[Test Drives]]/SalesData[[#This Row],[Customers Visited]])</f>
        <v>0.54195804195804198</v>
      </c>
      <c r="AH2325" s="5">
        <f>IF(SalesData[[#This Row],[Customers Visited]]=0,0,SalesData[[#This Row],[Contracts Signed]]/SalesData[[#This Row],[Customers Visited]])</f>
        <v>7.6923076923076927E-2</v>
      </c>
      <c r="AI2325" s="6">
        <f>IF(SalesData[[#This Row],[Contracts Signed]]=0,0,SalesData[[#This Row],[Profit(€)]]/SalesData[[#This Row],[Contracts Signed]])</f>
        <v>2025</v>
      </c>
      <c r="AJ2325" s="5" t="str">
        <f>TRIM(CLEAN(SalesData[[#This Row],[Retailer]]))</f>
        <v>Rhein Auto Group</v>
      </c>
    </row>
    <row r="2326" spans="1:36" ht="14.25" hidden="1" x14ac:dyDescent="0.2">
      <c r="A2326" t="s">
        <v>3380</v>
      </c>
      <c r="B2326" s="1">
        <v>46070</v>
      </c>
      <c r="C2326" t="s">
        <v>62</v>
      </c>
      <c r="D2326" t="s">
        <v>63</v>
      </c>
      <c r="E2326" t="s">
        <v>26</v>
      </c>
      <c r="F2326" t="s">
        <v>27</v>
      </c>
      <c r="G2326" t="s">
        <v>28</v>
      </c>
      <c r="H2326" t="s">
        <v>29</v>
      </c>
      <c r="I2326" t="s">
        <v>56</v>
      </c>
      <c r="J2326" t="s">
        <v>57</v>
      </c>
      <c r="K2326" t="s">
        <v>78</v>
      </c>
      <c r="L2326" t="s">
        <v>46</v>
      </c>
      <c r="M2326" t="s">
        <v>34</v>
      </c>
      <c r="N2326" t="s">
        <v>69</v>
      </c>
      <c r="O2326" t="s">
        <v>70</v>
      </c>
      <c r="P2326" t="s">
        <v>71</v>
      </c>
      <c r="Q2326" t="s">
        <v>38</v>
      </c>
      <c r="R2326">
        <v>204</v>
      </c>
      <c r="S2326">
        <v>100</v>
      </c>
      <c r="T2326">
        <v>68</v>
      </c>
      <c r="U2326">
        <v>22</v>
      </c>
      <c r="V2326" t="s">
        <v>6346</v>
      </c>
      <c r="W2326">
        <v>46948</v>
      </c>
      <c r="X2326" t="s">
        <v>7265</v>
      </c>
      <c r="Y2326">
        <v>37360</v>
      </c>
      <c r="Z2326">
        <v>1032856</v>
      </c>
      <c r="AA2326">
        <v>210936</v>
      </c>
      <c r="AB2326" t="str">
        <f>(VLOOKUP(SalesData[[#This Row],[Month Number]],Reference!C$5:E$16,2,FALSE))</f>
        <v>Feb</v>
      </c>
      <c r="AC2326">
        <f>MONTH(SalesData[[#This Row],[Date]])</f>
        <v>2</v>
      </c>
      <c r="AD2326">
        <f>Reference!F$4</f>
        <v>2026</v>
      </c>
      <c r="AE2326" t="str">
        <f>IF(OR(SalesData[[#This Row],[Day]]="Saturday",SalesData[[#This Row],[Day]]="Sunday"),"Weekend","Weekday")</f>
        <v>Weekday</v>
      </c>
      <c r="AF2326" s="5">
        <f>IF(SalesData[[#This Row],[Contracts Offered]]=0,0,SalesData[[#This Row],[Contracts Signed]]/SalesData[[#This Row],[Contracts Offered]])</f>
        <v>0.3235294117647059</v>
      </c>
      <c r="AG2326" s="5">
        <f>IF(SalesData[[#This Row],[Customers Visited]]=0,0,SalesData[[#This Row],[Test Drives]]/SalesData[[#This Row],[Customers Visited]])</f>
        <v>0.49019607843137253</v>
      </c>
      <c r="AH2326" s="5">
        <f>IF(SalesData[[#This Row],[Customers Visited]]=0,0,SalesData[[#This Row],[Contracts Signed]]/SalesData[[#This Row],[Customers Visited]])</f>
        <v>0.10784313725490197</v>
      </c>
      <c r="AI2326" s="6">
        <f>IF(SalesData[[#This Row],[Contracts Signed]]=0,0,SalesData[[#This Row],[Profit(€)]]/SalesData[[#This Row],[Contracts Signed]])</f>
        <v>9588</v>
      </c>
      <c r="AJ2326" s="5" t="str">
        <f>TRIM(CLEAN(SalesData[[#This Row],[Retailer]]))</f>
        <v>Main Auto Hub</v>
      </c>
    </row>
    <row r="2327" spans="1:36" ht="14.25" hidden="1" x14ac:dyDescent="0.2">
      <c r="A2327" t="s">
        <v>3381</v>
      </c>
      <c r="B2327" s="1">
        <v>46073</v>
      </c>
      <c r="C2327" t="s">
        <v>62</v>
      </c>
      <c r="D2327" t="s">
        <v>54</v>
      </c>
      <c r="E2327" t="s">
        <v>26</v>
      </c>
      <c r="F2327" t="s">
        <v>94</v>
      </c>
      <c r="G2327" t="s">
        <v>95</v>
      </c>
      <c r="H2327" t="s">
        <v>96</v>
      </c>
      <c r="I2327" t="s">
        <v>64</v>
      </c>
      <c r="J2327" t="s">
        <v>7029</v>
      </c>
      <c r="K2327" t="s">
        <v>66</v>
      </c>
      <c r="L2327" t="s">
        <v>33</v>
      </c>
      <c r="M2327" t="s">
        <v>47</v>
      </c>
      <c r="N2327" t="s">
        <v>48</v>
      </c>
      <c r="O2327" t="s">
        <v>70</v>
      </c>
      <c r="P2327" t="s">
        <v>58</v>
      </c>
      <c r="Q2327" t="s">
        <v>172</v>
      </c>
      <c r="R2327">
        <v>174</v>
      </c>
      <c r="S2327">
        <v>90</v>
      </c>
      <c r="T2327">
        <v>61</v>
      </c>
      <c r="U2327">
        <v>25</v>
      </c>
      <c r="V2327" t="s">
        <v>6351</v>
      </c>
      <c r="W2327">
        <v>50783</v>
      </c>
      <c r="X2327" t="s">
        <v>7244</v>
      </c>
      <c r="Y2327">
        <v>36980</v>
      </c>
      <c r="Z2327">
        <v>1269575</v>
      </c>
      <c r="AA2327">
        <v>345075</v>
      </c>
      <c r="AB2327" t="str">
        <f>(VLOOKUP(SalesData[[#This Row],[Month Number]],Reference!C$5:E$16,2,FALSE))</f>
        <v>Feb</v>
      </c>
      <c r="AC2327">
        <f>MONTH(SalesData[[#This Row],[Date]])</f>
        <v>2</v>
      </c>
      <c r="AD2327">
        <f>Reference!F$4</f>
        <v>2026</v>
      </c>
      <c r="AE2327" t="str">
        <f>IF(OR(SalesData[[#This Row],[Day]]="Saturday",SalesData[[#This Row],[Day]]="Sunday"),"Weekend","Weekday")</f>
        <v>Weekday</v>
      </c>
      <c r="AF2327" s="5">
        <f>IF(SalesData[[#This Row],[Contracts Offered]]=0,0,SalesData[[#This Row],[Contracts Signed]]/SalesData[[#This Row],[Contracts Offered]])</f>
        <v>0.4098360655737705</v>
      </c>
      <c r="AG2327" s="5">
        <f>IF(SalesData[[#This Row],[Customers Visited]]=0,0,SalesData[[#This Row],[Test Drives]]/SalesData[[#This Row],[Customers Visited]])</f>
        <v>0.51724137931034486</v>
      </c>
      <c r="AH2327" s="5">
        <f>IF(SalesData[[#This Row],[Customers Visited]]=0,0,SalesData[[#This Row],[Contracts Signed]]/SalesData[[#This Row],[Customers Visited]])</f>
        <v>0.14367816091954022</v>
      </c>
      <c r="AI2327" s="6">
        <f>IF(SalesData[[#This Row],[Contracts Signed]]=0,0,SalesData[[#This Row],[Profit(€)]]/SalesData[[#This Row],[Contracts Signed]])</f>
        <v>13803</v>
      </c>
      <c r="AJ2327" s="5" t="str">
        <f>TRIM(CLEAN(SalesData[[#This Row],[Retailer]]))</f>
        <v>Bavaria Motors</v>
      </c>
    </row>
    <row r="2328" spans="1:36" ht="14.25" hidden="1" x14ac:dyDescent="0.2">
      <c r="A2328" t="s">
        <v>3382</v>
      </c>
      <c r="B2328" s="1">
        <v>46073</v>
      </c>
      <c r="C2328" t="s">
        <v>62</v>
      </c>
      <c r="D2328" t="s">
        <v>54</v>
      </c>
      <c r="E2328" t="s">
        <v>26</v>
      </c>
      <c r="F2328" t="s">
        <v>127</v>
      </c>
      <c r="G2328" t="s">
        <v>128</v>
      </c>
      <c r="H2328" t="s">
        <v>103</v>
      </c>
      <c r="I2328" t="s">
        <v>104</v>
      </c>
      <c r="J2328" t="s">
        <v>7061</v>
      </c>
      <c r="K2328" t="s">
        <v>91</v>
      </c>
      <c r="L2328" t="s">
        <v>46</v>
      </c>
      <c r="M2328" t="s">
        <v>47</v>
      </c>
      <c r="N2328" t="s">
        <v>35</v>
      </c>
      <c r="O2328" t="s">
        <v>36</v>
      </c>
      <c r="P2328" t="s">
        <v>37</v>
      </c>
      <c r="Q2328" t="s">
        <v>122</v>
      </c>
      <c r="R2328">
        <v>517</v>
      </c>
      <c r="S2328">
        <v>236</v>
      </c>
      <c r="T2328">
        <v>156</v>
      </c>
      <c r="U2328">
        <v>40</v>
      </c>
      <c r="V2328" t="s">
        <v>388</v>
      </c>
      <c r="W2328">
        <v>26201</v>
      </c>
      <c r="X2328" t="s">
        <v>421</v>
      </c>
      <c r="Y2328">
        <v>23245</v>
      </c>
      <c r="Z2328">
        <v>1048040</v>
      </c>
      <c r="AA2328">
        <v>118240</v>
      </c>
      <c r="AB2328" t="str">
        <f>(VLOOKUP(SalesData[[#This Row],[Month Number]],Reference!C$5:E$16,2,FALSE))</f>
        <v>Feb</v>
      </c>
      <c r="AC2328">
        <f>MONTH(SalesData[[#This Row],[Date]])</f>
        <v>2</v>
      </c>
      <c r="AD2328">
        <f>Reference!F$4</f>
        <v>2026</v>
      </c>
      <c r="AE2328" t="str">
        <f>IF(OR(SalesData[[#This Row],[Day]]="Saturday",SalesData[[#This Row],[Day]]="Sunday"),"Weekend","Weekday")</f>
        <v>Weekday</v>
      </c>
      <c r="AF2328" s="5">
        <f>IF(SalesData[[#This Row],[Contracts Offered]]=0,0,SalesData[[#This Row],[Contracts Signed]]/SalesData[[#This Row],[Contracts Offered]])</f>
        <v>0.25641025641025639</v>
      </c>
      <c r="AG2328" s="5">
        <f>IF(SalesData[[#This Row],[Customers Visited]]=0,0,SalesData[[#This Row],[Test Drives]]/SalesData[[#This Row],[Customers Visited]])</f>
        <v>0.45647969052224369</v>
      </c>
      <c r="AH2328" s="5">
        <f>IF(SalesData[[#This Row],[Customers Visited]]=0,0,SalesData[[#This Row],[Contracts Signed]]/SalesData[[#This Row],[Customers Visited]])</f>
        <v>7.7369439071566737E-2</v>
      </c>
      <c r="AI2328" s="6">
        <f>IF(SalesData[[#This Row],[Contracts Signed]]=0,0,SalesData[[#This Row],[Profit(€)]]/SalesData[[#This Row],[Contracts Signed]])</f>
        <v>2956</v>
      </c>
      <c r="AJ2328" s="5" t="str">
        <f>TRIM(CLEAN(SalesData[[#This Row],[Retailer]]))</f>
        <v>Rhein Auto Group</v>
      </c>
    </row>
    <row r="2329" spans="1:36" ht="14.25" hidden="1" x14ac:dyDescent="0.2">
      <c r="A2329" t="s">
        <v>3383</v>
      </c>
      <c r="B2329" s="1">
        <v>46071</v>
      </c>
      <c r="C2329" t="s">
        <v>62</v>
      </c>
      <c r="D2329" t="s">
        <v>82</v>
      </c>
      <c r="E2329" t="s">
        <v>26</v>
      </c>
      <c r="F2329" t="s">
        <v>83</v>
      </c>
      <c r="G2329" t="s">
        <v>84</v>
      </c>
      <c r="H2329" t="s">
        <v>85</v>
      </c>
      <c r="I2329" t="s">
        <v>116</v>
      </c>
      <c r="J2329" t="s">
        <v>203</v>
      </c>
      <c r="K2329" t="s">
        <v>32</v>
      </c>
      <c r="L2329" t="s">
        <v>67</v>
      </c>
      <c r="M2329" t="s">
        <v>47</v>
      </c>
      <c r="N2329" t="s">
        <v>35</v>
      </c>
      <c r="O2329" t="s">
        <v>36</v>
      </c>
      <c r="P2329" t="s">
        <v>58</v>
      </c>
      <c r="Q2329" t="s">
        <v>158</v>
      </c>
      <c r="R2329">
        <v>359</v>
      </c>
      <c r="S2329">
        <v>154</v>
      </c>
      <c r="T2329">
        <v>97</v>
      </c>
      <c r="U2329">
        <v>28</v>
      </c>
      <c r="V2329" t="s">
        <v>752</v>
      </c>
      <c r="W2329">
        <v>22969</v>
      </c>
      <c r="X2329" t="s">
        <v>658</v>
      </c>
      <c r="Y2329">
        <v>20781</v>
      </c>
      <c r="Z2329">
        <v>643132</v>
      </c>
      <c r="AA2329">
        <v>61264</v>
      </c>
      <c r="AB2329" t="str">
        <f>(VLOOKUP(SalesData[[#This Row],[Month Number]],Reference!C$5:E$16,2,FALSE))</f>
        <v>Feb</v>
      </c>
      <c r="AC2329">
        <f>MONTH(SalesData[[#This Row],[Date]])</f>
        <v>2</v>
      </c>
      <c r="AD2329">
        <f>Reference!F$4</f>
        <v>2026</v>
      </c>
      <c r="AE2329" t="str">
        <f>IF(OR(SalesData[[#This Row],[Day]]="Saturday",SalesData[[#This Row],[Day]]="Sunday"),"Weekend","Weekday")</f>
        <v>Weekday</v>
      </c>
      <c r="AF2329" s="5">
        <f>IF(SalesData[[#This Row],[Contracts Offered]]=0,0,SalesData[[#This Row],[Contracts Signed]]/SalesData[[#This Row],[Contracts Offered]])</f>
        <v>0.28865979381443296</v>
      </c>
      <c r="AG2329" s="5">
        <f>IF(SalesData[[#This Row],[Customers Visited]]=0,0,SalesData[[#This Row],[Test Drives]]/SalesData[[#This Row],[Customers Visited]])</f>
        <v>0.42896935933147634</v>
      </c>
      <c r="AH2329" s="5">
        <f>IF(SalesData[[#This Row],[Customers Visited]]=0,0,SalesData[[#This Row],[Contracts Signed]]/SalesData[[#This Row],[Customers Visited]])</f>
        <v>7.7994428969359333E-2</v>
      </c>
      <c r="AI2329" s="6">
        <f>IF(SalesData[[#This Row],[Contracts Signed]]=0,0,SalesData[[#This Row],[Profit(€)]]/SalesData[[#This Row],[Contracts Signed]])</f>
        <v>2188</v>
      </c>
      <c r="AJ2329" s="5" t="str">
        <f>TRIM(CLEAN(SalesData[[#This Row],[Retailer]]))</f>
        <v>Hannover Cars</v>
      </c>
    </row>
    <row r="2330" spans="1:36" ht="14.25" hidden="1" x14ac:dyDescent="0.2">
      <c r="A2330" t="s">
        <v>3384</v>
      </c>
      <c r="B2330" s="1">
        <v>46067</v>
      </c>
      <c r="C2330" t="s">
        <v>121</v>
      </c>
      <c r="D2330" t="s">
        <v>151</v>
      </c>
      <c r="E2330" t="s">
        <v>42</v>
      </c>
      <c r="F2330" t="s">
        <v>101</v>
      </c>
      <c r="G2330" t="s">
        <v>102</v>
      </c>
      <c r="H2330" t="s">
        <v>103</v>
      </c>
      <c r="I2330" t="s">
        <v>104</v>
      </c>
      <c r="J2330" t="s">
        <v>105</v>
      </c>
      <c r="K2330" t="s">
        <v>66</v>
      </c>
      <c r="L2330" t="s">
        <v>33</v>
      </c>
      <c r="M2330" t="s">
        <v>68</v>
      </c>
      <c r="N2330" t="s">
        <v>48</v>
      </c>
      <c r="O2330" t="s">
        <v>36</v>
      </c>
      <c r="P2330" t="s">
        <v>71</v>
      </c>
      <c r="Q2330" t="s">
        <v>135</v>
      </c>
      <c r="R2330">
        <v>305</v>
      </c>
      <c r="S2330">
        <v>140</v>
      </c>
      <c r="T2330">
        <v>97</v>
      </c>
      <c r="U2330">
        <v>21</v>
      </c>
      <c r="V2330" t="s">
        <v>597</v>
      </c>
      <c r="W2330">
        <v>33511</v>
      </c>
      <c r="X2330" t="s">
        <v>7371</v>
      </c>
      <c r="Y2330">
        <v>30473</v>
      </c>
      <c r="Z2330">
        <v>703731</v>
      </c>
      <c r="AA2330">
        <v>63798</v>
      </c>
      <c r="AB2330" t="str">
        <f>(VLOOKUP(SalesData[[#This Row],[Month Number]],Reference!C$5:E$16,2,FALSE))</f>
        <v>Feb</v>
      </c>
      <c r="AC2330">
        <f>MONTH(SalesData[[#This Row],[Date]])</f>
        <v>2</v>
      </c>
      <c r="AD2330">
        <f>Reference!F$4</f>
        <v>2026</v>
      </c>
      <c r="AE2330" t="str">
        <f>IF(OR(SalesData[[#This Row],[Day]]="Saturday",SalesData[[#This Row],[Day]]="Sunday"),"Weekend","Weekday")</f>
        <v>Weekend</v>
      </c>
      <c r="AF2330" s="5">
        <f>IF(SalesData[[#This Row],[Contracts Offered]]=0,0,SalesData[[#This Row],[Contracts Signed]]/SalesData[[#This Row],[Contracts Offered]])</f>
        <v>0.21649484536082475</v>
      </c>
      <c r="AG2330" s="5">
        <f>IF(SalesData[[#This Row],[Customers Visited]]=0,0,SalesData[[#This Row],[Test Drives]]/SalesData[[#This Row],[Customers Visited]])</f>
        <v>0.45901639344262296</v>
      </c>
      <c r="AH2330" s="5">
        <f>IF(SalesData[[#This Row],[Customers Visited]]=0,0,SalesData[[#This Row],[Contracts Signed]]/SalesData[[#This Row],[Customers Visited]])</f>
        <v>6.8852459016393447E-2</v>
      </c>
      <c r="AI2330" s="6">
        <f>IF(SalesData[[#This Row],[Contracts Signed]]=0,0,SalesData[[#This Row],[Profit(€)]]/SalesData[[#This Row],[Contracts Signed]])</f>
        <v>3038</v>
      </c>
      <c r="AJ2330" s="5" t="str">
        <f>TRIM(CLEAN(SalesData[[#This Row],[Retailer]]))</f>
        <v>Ruhr Auto Plaza</v>
      </c>
    </row>
    <row r="2331" spans="1:36" ht="14.25" x14ac:dyDescent="0.2">
      <c r="A2331" t="s">
        <v>3385</v>
      </c>
      <c r="B2331" s="1">
        <v>46064</v>
      </c>
      <c r="C2331" t="s">
        <v>121</v>
      </c>
      <c r="D2331" t="s">
        <v>82</v>
      </c>
      <c r="E2331" t="s">
        <v>26</v>
      </c>
      <c r="F2331" t="s">
        <v>43</v>
      </c>
      <c r="G2331" t="s">
        <v>44</v>
      </c>
      <c r="H2331" t="s">
        <v>45</v>
      </c>
      <c r="I2331" t="s">
        <v>30</v>
      </c>
      <c r="J2331" t="s">
        <v>188</v>
      </c>
      <c r="K2331" t="s">
        <v>32</v>
      </c>
      <c r="L2331" t="s">
        <v>33</v>
      </c>
      <c r="M2331" t="s">
        <v>34</v>
      </c>
      <c r="N2331" t="s">
        <v>69</v>
      </c>
      <c r="O2331" t="s">
        <v>70</v>
      </c>
      <c r="P2331" t="s">
        <v>49</v>
      </c>
      <c r="Q2331" t="s">
        <v>169</v>
      </c>
      <c r="R2331">
        <v>162</v>
      </c>
      <c r="S2331">
        <v>95</v>
      </c>
      <c r="T2331">
        <v>77</v>
      </c>
      <c r="U2331">
        <v>26</v>
      </c>
      <c r="V2331" t="s">
        <v>6559</v>
      </c>
      <c r="W2331">
        <v>67994</v>
      </c>
      <c r="X2331" t="s">
        <v>7116</v>
      </c>
      <c r="Y2331">
        <v>51862</v>
      </c>
      <c r="Z2331">
        <v>1767844</v>
      </c>
      <c r="AA2331">
        <v>419432</v>
      </c>
      <c r="AB2331" t="str">
        <f>(VLOOKUP(SalesData[[#This Row],[Month Number]],Reference!C$5:E$16,2,FALSE))</f>
        <v>Feb</v>
      </c>
      <c r="AC2331">
        <f>MONTH(SalesData[[#This Row],[Date]])</f>
        <v>2</v>
      </c>
      <c r="AD2331">
        <f>Reference!F$4</f>
        <v>2026</v>
      </c>
      <c r="AE2331" t="str">
        <f>IF(OR(SalesData[[#This Row],[Day]]="Saturday",SalesData[[#This Row],[Day]]="Sunday"),"Weekend","Weekday")</f>
        <v>Weekday</v>
      </c>
      <c r="AF2331" s="5">
        <f>IF(SalesData[[#This Row],[Contracts Offered]]=0,0,SalesData[[#This Row],[Contracts Signed]]/SalesData[[#This Row],[Contracts Offered]])</f>
        <v>0.33766233766233766</v>
      </c>
      <c r="AG2331" s="5">
        <f>IF(SalesData[[#This Row],[Customers Visited]]=0,0,SalesData[[#This Row],[Test Drives]]/SalesData[[#This Row],[Customers Visited]])</f>
        <v>0.5864197530864198</v>
      </c>
      <c r="AH2331" s="5">
        <f>IF(SalesData[[#This Row],[Customers Visited]]=0,0,SalesData[[#This Row],[Contracts Signed]]/SalesData[[#This Row],[Customers Visited]])</f>
        <v>0.16049382716049382</v>
      </c>
      <c r="AI2331" s="6">
        <f>IF(SalesData[[#This Row],[Contracts Signed]]=0,0,SalesData[[#This Row],[Profit(€)]]/SalesData[[#This Row],[Contracts Signed]])</f>
        <v>16132</v>
      </c>
      <c r="AJ2331" s="5" t="str">
        <f>TRIM(CLEAN(SalesData[[#This Row],[Retailer]]))</f>
        <v>Saxon Wheels</v>
      </c>
    </row>
    <row r="2332" spans="1:36" ht="14.25" hidden="1" x14ac:dyDescent="0.2">
      <c r="A2332" t="s">
        <v>3386</v>
      </c>
      <c r="B2332" s="1">
        <v>46080</v>
      </c>
      <c r="C2332" t="s">
        <v>53</v>
      </c>
      <c r="D2332" t="s">
        <v>54</v>
      </c>
      <c r="E2332" t="s">
        <v>26</v>
      </c>
      <c r="F2332" t="s">
        <v>7649</v>
      </c>
      <c r="G2332" t="s">
        <v>55</v>
      </c>
      <c r="H2332" t="s">
        <v>55</v>
      </c>
      <c r="I2332" t="s">
        <v>56</v>
      </c>
      <c r="J2332" t="s">
        <v>137</v>
      </c>
      <c r="K2332" t="s">
        <v>32</v>
      </c>
      <c r="L2332" t="s">
        <v>46</v>
      </c>
      <c r="M2332" t="s">
        <v>34</v>
      </c>
      <c r="N2332" t="s">
        <v>35</v>
      </c>
      <c r="O2332" t="s">
        <v>36</v>
      </c>
      <c r="P2332" t="s">
        <v>71</v>
      </c>
      <c r="Q2332" t="s">
        <v>152</v>
      </c>
      <c r="R2332">
        <v>320</v>
      </c>
      <c r="S2332">
        <v>198</v>
      </c>
      <c r="T2332">
        <v>128</v>
      </c>
      <c r="U2332">
        <v>53</v>
      </c>
      <c r="V2332" t="s">
        <v>6871</v>
      </c>
      <c r="W2332">
        <v>53611</v>
      </c>
      <c r="X2332" t="s">
        <v>7329</v>
      </c>
      <c r="Y2332">
        <v>43350</v>
      </c>
      <c r="Z2332">
        <v>2841383</v>
      </c>
      <c r="AA2332">
        <v>543833</v>
      </c>
      <c r="AB2332" t="str">
        <f>(VLOOKUP(SalesData[[#This Row],[Month Number]],Reference!C$5:E$16,2,FALSE))</f>
        <v>Feb</v>
      </c>
      <c r="AC2332">
        <f>MONTH(SalesData[[#This Row],[Date]])</f>
        <v>2</v>
      </c>
      <c r="AD2332">
        <f>Reference!F$4</f>
        <v>2026</v>
      </c>
      <c r="AE2332" t="str">
        <f>IF(OR(SalesData[[#This Row],[Day]]="Saturday",SalesData[[#This Row],[Day]]="Sunday"),"Weekend","Weekday")</f>
        <v>Weekday</v>
      </c>
      <c r="AF2332" s="5">
        <f>IF(SalesData[[#This Row],[Contracts Offered]]=0,0,SalesData[[#This Row],[Contracts Signed]]/SalesData[[#This Row],[Contracts Offered]])</f>
        <v>0.4140625</v>
      </c>
      <c r="AG2332" s="5">
        <f>IF(SalesData[[#This Row],[Customers Visited]]=0,0,SalesData[[#This Row],[Test Drives]]/SalesData[[#This Row],[Customers Visited]])</f>
        <v>0.61875000000000002</v>
      </c>
      <c r="AH2332" s="5">
        <f>IF(SalesData[[#This Row],[Customers Visited]]=0,0,SalesData[[#This Row],[Contracts Signed]]/SalesData[[#This Row],[Customers Visited]])</f>
        <v>0.16562499999999999</v>
      </c>
      <c r="AI2332" s="6">
        <f>IF(SalesData[[#This Row],[Contracts Signed]]=0,0,SalesData[[#This Row],[Profit(€)]]/SalesData[[#This Row],[Contracts Signed]])</f>
        <v>10261</v>
      </c>
      <c r="AJ2332" s="5" t="str">
        <f>TRIM(CLEAN(SalesData[[#This Row],[Retailer]]))</f>
        <v>Autohaus Berlin</v>
      </c>
    </row>
    <row r="2333" spans="1:36" ht="14.25" hidden="1" x14ac:dyDescent="0.2">
      <c r="A2333" t="s">
        <v>3388</v>
      </c>
      <c r="B2333" s="1">
        <v>46057</v>
      </c>
      <c r="C2333" t="s">
        <v>24</v>
      </c>
      <c r="D2333" t="s">
        <v>82</v>
      </c>
      <c r="E2333" t="s">
        <v>26</v>
      </c>
      <c r="F2333" t="s">
        <v>101</v>
      </c>
      <c r="G2333" t="s">
        <v>102</v>
      </c>
      <c r="H2333" t="s">
        <v>103</v>
      </c>
      <c r="I2333" t="s">
        <v>64</v>
      </c>
      <c r="J2333" t="s">
        <v>157</v>
      </c>
      <c r="K2333" t="s">
        <v>78</v>
      </c>
      <c r="L2333" t="s">
        <v>33</v>
      </c>
      <c r="M2333" t="s">
        <v>34</v>
      </c>
      <c r="N2333" t="s">
        <v>35</v>
      </c>
      <c r="O2333" t="s">
        <v>36</v>
      </c>
      <c r="P2333" t="s">
        <v>37</v>
      </c>
      <c r="Q2333" t="s">
        <v>129</v>
      </c>
      <c r="R2333">
        <v>145</v>
      </c>
      <c r="S2333">
        <v>70</v>
      </c>
      <c r="T2333">
        <v>52</v>
      </c>
      <c r="U2333">
        <v>16</v>
      </c>
      <c r="V2333" t="s">
        <v>6537</v>
      </c>
      <c r="W2333">
        <v>53652</v>
      </c>
      <c r="X2333" t="s">
        <v>7366</v>
      </c>
      <c r="Y2333">
        <v>40857</v>
      </c>
      <c r="Z2333">
        <v>858432</v>
      </c>
      <c r="AA2333">
        <v>204720</v>
      </c>
      <c r="AB2333" t="str">
        <f>(VLOOKUP(SalesData[[#This Row],[Month Number]],Reference!C$5:E$16,2,FALSE))</f>
        <v>Feb</v>
      </c>
      <c r="AC2333">
        <f>MONTH(SalesData[[#This Row],[Date]])</f>
        <v>2</v>
      </c>
      <c r="AD2333">
        <f>Reference!F$4</f>
        <v>2026</v>
      </c>
      <c r="AE2333" t="str">
        <f>IF(OR(SalesData[[#This Row],[Day]]="Saturday",SalesData[[#This Row],[Day]]="Sunday"),"Weekend","Weekday")</f>
        <v>Weekday</v>
      </c>
      <c r="AF2333" s="5">
        <f>IF(SalesData[[#This Row],[Contracts Offered]]=0,0,SalesData[[#This Row],[Contracts Signed]]/SalesData[[#This Row],[Contracts Offered]])</f>
        <v>0.30769230769230771</v>
      </c>
      <c r="AG2333" s="5">
        <f>IF(SalesData[[#This Row],[Customers Visited]]=0,0,SalesData[[#This Row],[Test Drives]]/SalesData[[#This Row],[Customers Visited]])</f>
        <v>0.48275862068965519</v>
      </c>
      <c r="AH2333" s="5">
        <f>IF(SalesData[[#This Row],[Customers Visited]]=0,0,SalesData[[#This Row],[Contracts Signed]]/SalesData[[#This Row],[Customers Visited]])</f>
        <v>0.1103448275862069</v>
      </c>
      <c r="AI2333" s="6">
        <f>IF(SalesData[[#This Row],[Contracts Signed]]=0,0,SalesData[[#This Row],[Profit(€)]]/SalesData[[#This Row],[Contracts Signed]])</f>
        <v>12795</v>
      </c>
      <c r="AJ2333" s="5" t="str">
        <f>TRIM(CLEAN(SalesData[[#This Row],[Retailer]]))</f>
        <v>Ruhr Auto Plaza</v>
      </c>
    </row>
    <row r="2334" spans="1:36" ht="14.25" hidden="1" x14ac:dyDescent="0.2">
      <c r="A2334" t="s">
        <v>3390</v>
      </c>
      <c r="B2334" s="1">
        <v>46072</v>
      </c>
      <c r="C2334" t="s">
        <v>62</v>
      </c>
      <c r="D2334" t="s">
        <v>100</v>
      </c>
      <c r="E2334" t="s">
        <v>26</v>
      </c>
      <c r="F2334" t="s">
        <v>83</v>
      </c>
      <c r="G2334" t="s">
        <v>84</v>
      </c>
      <c r="H2334" t="s">
        <v>85</v>
      </c>
      <c r="I2334" t="s">
        <v>64</v>
      </c>
      <c r="J2334" t="s">
        <v>77</v>
      </c>
      <c r="K2334" t="s">
        <v>78</v>
      </c>
      <c r="L2334" t="s">
        <v>46</v>
      </c>
      <c r="M2334" t="s">
        <v>47</v>
      </c>
      <c r="N2334" t="s">
        <v>35</v>
      </c>
      <c r="O2334" t="s">
        <v>36</v>
      </c>
      <c r="P2334" t="s">
        <v>49</v>
      </c>
      <c r="Q2334" t="s">
        <v>240</v>
      </c>
      <c r="R2334">
        <v>226</v>
      </c>
      <c r="S2334">
        <v>118</v>
      </c>
      <c r="T2334">
        <v>92</v>
      </c>
      <c r="U2334">
        <v>27</v>
      </c>
      <c r="V2334" t="s">
        <v>6574</v>
      </c>
      <c r="W2334">
        <v>59186</v>
      </c>
      <c r="X2334" t="s">
        <v>323</v>
      </c>
      <c r="Y2334">
        <v>45706</v>
      </c>
      <c r="Z2334">
        <v>1598022</v>
      </c>
      <c r="AA2334">
        <v>363960</v>
      </c>
      <c r="AB2334" t="str">
        <f>(VLOOKUP(SalesData[[#This Row],[Month Number]],Reference!C$5:E$16,2,FALSE))</f>
        <v>Feb</v>
      </c>
      <c r="AC2334">
        <f>MONTH(SalesData[[#This Row],[Date]])</f>
        <v>2</v>
      </c>
      <c r="AD2334">
        <f>Reference!F$4</f>
        <v>2026</v>
      </c>
      <c r="AE2334" t="str">
        <f>IF(OR(SalesData[[#This Row],[Day]]="Saturday",SalesData[[#This Row],[Day]]="Sunday"),"Weekend","Weekday")</f>
        <v>Weekday</v>
      </c>
      <c r="AF2334" s="5">
        <f>IF(SalesData[[#This Row],[Contracts Offered]]=0,0,SalesData[[#This Row],[Contracts Signed]]/SalesData[[#This Row],[Contracts Offered]])</f>
        <v>0.29347826086956524</v>
      </c>
      <c r="AG2334" s="5">
        <f>IF(SalesData[[#This Row],[Customers Visited]]=0,0,SalesData[[#This Row],[Test Drives]]/SalesData[[#This Row],[Customers Visited]])</f>
        <v>0.52212389380530977</v>
      </c>
      <c r="AH2334" s="5">
        <f>IF(SalesData[[#This Row],[Customers Visited]]=0,0,SalesData[[#This Row],[Contracts Signed]]/SalesData[[#This Row],[Customers Visited]])</f>
        <v>0.11946902654867257</v>
      </c>
      <c r="AI2334" s="6">
        <f>IF(SalesData[[#This Row],[Contracts Signed]]=0,0,SalesData[[#This Row],[Profit(€)]]/SalesData[[#This Row],[Contracts Signed]])</f>
        <v>13480</v>
      </c>
      <c r="AJ2334" s="5" t="str">
        <f>TRIM(CLEAN(SalesData[[#This Row],[Retailer]]))</f>
        <v>Hannover Cars</v>
      </c>
    </row>
    <row r="2335" spans="1:36" ht="14.25" hidden="1" x14ac:dyDescent="0.2">
      <c r="A2335" t="s">
        <v>3391</v>
      </c>
      <c r="B2335" s="1">
        <v>46069</v>
      </c>
      <c r="C2335" t="s">
        <v>62</v>
      </c>
      <c r="D2335" t="s">
        <v>25</v>
      </c>
      <c r="E2335" t="s">
        <v>26</v>
      </c>
      <c r="F2335" t="s">
        <v>7649</v>
      </c>
      <c r="G2335" t="s">
        <v>55</v>
      </c>
      <c r="H2335" t="s">
        <v>55</v>
      </c>
      <c r="I2335" t="s">
        <v>116</v>
      </c>
      <c r="J2335" t="s">
        <v>7090</v>
      </c>
      <c r="K2335" t="s">
        <v>66</v>
      </c>
      <c r="L2335" t="s">
        <v>46</v>
      </c>
      <c r="M2335" t="s">
        <v>87</v>
      </c>
      <c r="N2335" t="s">
        <v>35</v>
      </c>
      <c r="O2335" t="s">
        <v>36</v>
      </c>
      <c r="P2335" t="s">
        <v>37</v>
      </c>
      <c r="Q2335" t="s">
        <v>106</v>
      </c>
      <c r="R2335">
        <v>268</v>
      </c>
      <c r="S2335">
        <v>141</v>
      </c>
      <c r="T2335">
        <v>89</v>
      </c>
      <c r="U2335">
        <v>27</v>
      </c>
      <c r="V2335" t="s">
        <v>2858</v>
      </c>
      <c r="W2335">
        <v>26641</v>
      </c>
      <c r="X2335" t="s">
        <v>7048</v>
      </c>
      <c r="Y2335">
        <v>23752</v>
      </c>
      <c r="Z2335">
        <v>719307</v>
      </c>
      <c r="AA2335">
        <v>78003</v>
      </c>
      <c r="AB2335" t="str">
        <f>(VLOOKUP(SalesData[[#This Row],[Month Number]],Reference!C$5:E$16,2,FALSE))</f>
        <v>Feb</v>
      </c>
      <c r="AC2335">
        <f>MONTH(SalesData[[#This Row],[Date]])</f>
        <v>2</v>
      </c>
      <c r="AD2335">
        <f>Reference!F$4</f>
        <v>2026</v>
      </c>
      <c r="AE2335" t="str">
        <f>IF(OR(SalesData[[#This Row],[Day]]="Saturday",SalesData[[#This Row],[Day]]="Sunday"),"Weekend","Weekday")</f>
        <v>Weekday</v>
      </c>
      <c r="AF2335" s="5">
        <f>IF(SalesData[[#This Row],[Contracts Offered]]=0,0,SalesData[[#This Row],[Contracts Signed]]/SalesData[[#This Row],[Contracts Offered]])</f>
        <v>0.30337078651685395</v>
      </c>
      <c r="AG2335" s="5">
        <f>IF(SalesData[[#This Row],[Customers Visited]]=0,0,SalesData[[#This Row],[Test Drives]]/SalesData[[#This Row],[Customers Visited]])</f>
        <v>0.52611940298507465</v>
      </c>
      <c r="AH2335" s="5">
        <f>IF(SalesData[[#This Row],[Customers Visited]]=0,0,SalesData[[#This Row],[Contracts Signed]]/SalesData[[#This Row],[Customers Visited]])</f>
        <v>0.10074626865671642</v>
      </c>
      <c r="AI2335" s="6">
        <f>IF(SalesData[[#This Row],[Contracts Signed]]=0,0,SalesData[[#This Row],[Profit(€)]]/SalesData[[#This Row],[Contracts Signed]])</f>
        <v>2889</v>
      </c>
      <c r="AJ2335" s="5" t="str">
        <f>TRIM(CLEAN(SalesData[[#This Row],[Retailer]]))</f>
        <v>Autohaus Berlin</v>
      </c>
    </row>
    <row r="2336" spans="1:36" ht="14.25" hidden="1" x14ac:dyDescent="0.2">
      <c r="A2336" t="s">
        <v>3392</v>
      </c>
      <c r="B2336" s="1">
        <v>46057</v>
      </c>
      <c r="C2336" t="s">
        <v>24</v>
      </c>
      <c r="D2336" t="s">
        <v>82</v>
      </c>
      <c r="E2336" t="s">
        <v>26</v>
      </c>
      <c r="F2336" t="s">
        <v>101</v>
      </c>
      <c r="G2336" t="s">
        <v>102</v>
      </c>
      <c r="H2336" t="s">
        <v>103</v>
      </c>
      <c r="I2336" t="s">
        <v>104</v>
      </c>
      <c r="J2336" t="s">
        <v>105</v>
      </c>
      <c r="K2336" t="s">
        <v>78</v>
      </c>
      <c r="L2336" t="s">
        <v>33</v>
      </c>
      <c r="M2336" t="s">
        <v>87</v>
      </c>
      <c r="N2336" t="s">
        <v>35</v>
      </c>
      <c r="O2336" t="s">
        <v>70</v>
      </c>
      <c r="P2336" t="s">
        <v>37</v>
      </c>
      <c r="Q2336" t="s">
        <v>152</v>
      </c>
      <c r="R2336">
        <v>339</v>
      </c>
      <c r="S2336">
        <v>166</v>
      </c>
      <c r="T2336">
        <v>116</v>
      </c>
      <c r="U2336">
        <v>22</v>
      </c>
      <c r="V2336" t="s">
        <v>3698</v>
      </c>
      <c r="W2336">
        <v>31091</v>
      </c>
      <c r="X2336" t="s">
        <v>5289</v>
      </c>
      <c r="Y2336">
        <v>27045</v>
      </c>
      <c r="Z2336">
        <v>684002</v>
      </c>
      <c r="AA2336">
        <v>89012</v>
      </c>
      <c r="AB2336" t="str">
        <f>(VLOOKUP(SalesData[[#This Row],[Month Number]],Reference!C$5:E$16,2,FALSE))</f>
        <v>Feb</v>
      </c>
      <c r="AC2336">
        <f>MONTH(SalesData[[#This Row],[Date]])</f>
        <v>2</v>
      </c>
      <c r="AD2336">
        <f>Reference!F$4</f>
        <v>2026</v>
      </c>
      <c r="AE2336" t="str">
        <f>IF(OR(SalesData[[#This Row],[Day]]="Saturday",SalesData[[#This Row],[Day]]="Sunday"),"Weekend","Weekday")</f>
        <v>Weekday</v>
      </c>
      <c r="AF2336" s="5">
        <f>IF(SalesData[[#This Row],[Contracts Offered]]=0,0,SalesData[[#This Row],[Contracts Signed]]/SalesData[[#This Row],[Contracts Offered]])</f>
        <v>0.18965517241379309</v>
      </c>
      <c r="AG2336" s="5">
        <f>IF(SalesData[[#This Row],[Customers Visited]]=0,0,SalesData[[#This Row],[Test Drives]]/SalesData[[#This Row],[Customers Visited]])</f>
        <v>0.48967551622418881</v>
      </c>
      <c r="AH2336" s="5">
        <f>IF(SalesData[[#This Row],[Customers Visited]]=0,0,SalesData[[#This Row],[Contracts Signed]]/SalesData[[#This Row],[Customers Visited]])</f>
        <v>6.4896755162241887E-2</v>
      </c>
      <c r="AI2336" s="6">
        <f>IF(SalesData[[#This Row],[Contracts Signed]]=0,0,SalesData[[#This Row],[Profit(€)]]/SalesData[[#This Row],[Contracts Signed]])</f>
        <v>4046</v>
      </c>
      <c r="AJ2336" s="5" t="str">
        <f>TRIM(CLEAN(SalesData[[#This Row],[Retailer]]))</f>
        <v>Ruhr Auto Plaza</v>
      </c>
    </row>
    <row r="2337" spans="1:36" ht="14.25" hidden="1" x14ac:dyDescent="0.2">
      <c r="A2337" t="s">
        <v>3393</v>
      </c>
      <c r="B2337" s="1">
        <v>46060</v>
      </c>
      <c r="C2337" t="s">
        <v>24</v>
      </c>
      <c r="D2337" t="s">
        <v>151</v>
      </c>
      <c r="E2337" t="s">
        <v>42</v>
      </c>
      <c r="F2337" t="s">
        <v>43</v>
      </c>
      <c r="G2337" t="s">
        <v>44</v>
      </c>
      <c r="H2337" t="s">
        <v>45</v>
      </c>
      <c r="I2337" t="s">
        <v>64</v>
      </c>
      <c r="J2337" t="s">
        <v>77</v>
      </c>
      <c r="K2337" t="s">
        <v>32</v>
      </c>
      <c r="L2337" t="s">
        <v>46</v>
      </c>
      <c r="M2337" t="s">
        <v>47</v>
      </c>
      <c r="N2337" t="s">
        <v>48</v>
      </c>
      <c r="O2337" t="s">
        <v>36</v>
      </c>
      <c r="P2337" t="s">
        <v>58</v>
      </c>
      <c r="Q2337" t="s">
        <v>167</v>
      </c>
      <c r="R2337">
        <v>217</v>
      </c>
      <c r="S2337">
        <v>115</v>
      </c>
      <c r="T2337">
        <v>91</v>
      </c>
      <c r="U2337">
        <v>29</v>
      </c>
      <c r="V2337" t="s">
        <v>6749</v>
      </c>
      <c r="W2337">
        <v>58638</v>
      </c>
      <c r="X2337" t="s">
        <v>4006</v>
      </c>
      <c r="Y2337">
        <v>42052</v>
      </c>
      <c r="Z2337">
        <v>1700502</v>
      </c>
      <c r="AA2337">
        <v>480994</v>
      </c>
      <c r="AB2337" t="str">
        <f>(VLOOKUP(SalesData[[#This Row],[Month Number]],Reference!C$5:E$16,2,FALSE))</f>
        <v>Feb</v>
      </c>
      <c r="AC2337">
        <f>MONTH(SalesData[[#This Row],[Date]])</f>
        <v>2</v>
      </c>
      <c r="AD2337">
        <f>Reference!F$4</f>
        <v>2026</v>
      </c>
      <c r="AE2337" t="str">
        <f>IF(OR(SalesData[[#This Row],[Day]]="Saturday",SalesData[[#This Row],[Day]]="Sunday"),"Weekend","Weekday")</f>
        <v>Weekend</v>
      </c>
      <c r="AF2337" s="5">
        <f>IF(SalesData[[#This Row],[Contracts Offered]]=0,0,SalesData[[#This Row],[Contracts Signed]]/SalesData[[#This Row],[Contracts Offered]])</f>
        <v>0.31868131868131866</v>
      </c>
      <c r="AG2337" s="5">
        <f>IF(SalesData[[#This Row],[Customers Visited]]=0,0,SalesData[[#This Row],[Test Drives]]/SalesData[[#This Row],[Customers Visited]])</f>
        <v>0.52995391705069128</v>
      </c>
      <c r="AH2337" s="5">
        <f>IF(SalesData[[#This Row],[Customers Visited]]=0,0,SalesData[[#This Row],[Contracts Signed]]/SalesData[[#This Row],[Customers Visited]])</f>
        <v>0.13364055299539171</v>
      </c>
      <c r="AI2337" s="6">
        <f>IF(SalesData[[#This Row],[Contracts Signed]]=0,0,SalesData[[#This Row],[Profit(€)]]/SalesData[[#This Row],[Contracts Signed]])</f>
        <v>16586</v>
      </c>
      <c r="AJ2337" s="5" t="str">
        <f>TRIM(CLEAN(SalesData[[#This Row],[Retailer]]))</f>
        <v>Saxon Wheels</v>
      </c>
    </row>
    <row r="2338" spans="1:36" ht="14.25" x14ac:dyDescent="0.2">
      <c r="A2338" t="s">
        <v>3394</v>
      </c>
      <c r="B2338" s="1">
        <v>46055</v>
      </c>
      <c r="C2338" t="s">
        <v>24</v>
      </c>
      <c r="D2338" t="s">
        <v>25</v>
      </c>
      <c r="E2338" t="s">
        <v>26</v>
      </c>
      <c r="F2338" t="s">
        <v>27</v>
      </c>
      <c r="G2338" t="s">
        <v>28</v>
      </c>
      <c r="H2338" t="s">
        <v>29</v>
      </c>
      <c r="I2338" t="s">
        <v>30</v>
      </c>
      <c r="J2338" t="s">
        <v>31</v>
      </c>
      <c r="K2338" t="s">
        <v>78</v>
      </c>
      <c r="L2338" t="s">
        <v>46</v>
      </c>
      <c r="M2338" t="s">
        <v>34</v>
      </c>
      <c r="N2338" t="s">
        <v>69</v>
      </c>
      <c r="O2338" t="s">
        <v>36</v>
      </c>
      <c r="P2338" t="s">
        <v>58</v>
      </c>
      <c r="Q2338" t="s">
        <v>106</v>
      </c>
      <c r="R2338">
        <v>221</v>
      </c>
      <c r="S2338">
        <v>124</v>
      </c>
      <c r="T2338">
        <v>99</v>
      </c>
      <c r="U2338">
        <v>41</v>
      </c>
      <c r="V2338" t="s">
        <v>7452</v>
      </c>
      <c r="W2338">
        <v>60992</v>
      </c>
      <c r="X2338" t="s">
        <v>7529</v>
      </c>
      <c r="Y2338">
        <v>46536</v>
      </c>
      <c r="Z2338">
        <v>2500672</v>
      </c>
      <c r="AA2338">
        <v>592696</v>
      </c>
      <c r="AB2338" t="str">
        <f>(VLOOKUP(SalesData[[#This Row],[Month Number]],Reference!C$5:E$16,2,FALSE))</f>
        <v>Feb</v>
      </c>
      <c r="AC2338">
        <f>MONTH(SalesData[[#This Row],[Date]])</f>
        <v>2</v>
      </c>
      <c r="AD2338">
        <f>Reference!F$4</f>
        <v>2026</v>
      </c>
      <c r="AE2338" t="str">
        <f>IF(OR(SalesData[[#This Row],[Day]]="Saturday",SalesData[[#This Row],[Day]]="Sunday"),"Weekend","Weekday")</f>
        <v>Weekday</v>
      </c>
      <c r="AF2338" s="5">
        <f>IF(SalesData[[#This Row],[Contracts Offered]]=0,0,SalesData[[#This Row],[Contracts Signed]]/SalesData[[#This Row],[Contracts Offered]])</f>
        <v>0.41414141414141414</v>
      </c>
      <c r="AG2338" s="5">
        <f>IF(SalesData[[#This Row],[Customers Visited]]=0,0,SalesData[[#This Row],[Test Drives]]/SalesData[[#This Row],[Customers Visited]])</f>
        <v>0.56108597285067874</v>
      </c>
      <c r="AH2338" s="5">
        <f>IF(SalesData[[#This Row],[Customers Visited]]=0,0,SalesData[[#This Row],[Contracts Signed]]/SalesData[[#This Row],[Customers Visited]])</f>
        <v>0.18552036199095023</v>
      </c>
      <c r="AI2338" s="6">
        <f>IF(SalesData[[#This Row],[Contracts Signed]]=0,0,SalesData[[#This Row],[Profit(€)]]/SalesData[[#This Row],[Contracts Signed]])</f>
        <v>14456</v>
      </c>
      <c r="AJ2338" s="5" t="str">
        <f>TRIM(CLEAN(SalesData[[#This Row],[Retailer]]))</f>
        <v>Main Auto Hub</v>
      </c>
    </row>
    <row r="2339" spans="1:36" ht="14.25" hidden="1" x14ac:dyDescent="0.2">
      <c r="A2339" t="s">
        <v>3395</v>
      </c>
      <c r="B2339" s="1">
        <v>46067</v>
      </c>
      <c r="C2339" t="s">
        <v>121</v>
      </c>
      <c r="D2339" t="s">
        <v>151</v>
      </c>
      <c r="E2339" t="s">
        <v>42</v>
      </c>
      <c r="F2339" t="s">
        <v>43</v>
      </c>
      <c r="G2339" t="s">
        <v>44</v>
      </c>
      <c r="H2339" t="s">
        <v>45</v>
      </c>
      <c r="I2339" t="s">
        <v>116</v>
      </c>
      <c r="J2339" t="s">
        <v>7090</v>
      </c>
      <c r="K2339" t="s">
        <v>91</v>
      </c>
      <c r="L2339" t="s">
        <v>46</v>
      </c>
      <c r="M2339" t="s">
        <v>47</v>
      </c>
      <c r="N2339" t="s">
        <v>48</v>
      </c>
      <c r="O2339" t="s">
        <v>70</v>
      </c>
      <c r="P2339" t="s">
        <v>37</v>
      </c>
      <c r="Q2339" t="s">
        <v>129</v>
      </c>
      <c r="R2339">
        <v>295</v>
      </c>
      <c r="S2339">
        <v>164</v>
      </c>
      <c r="T2339">
        <v>93</v>
      </c>
      <c r="U2339">
        <v>23</v>
      </c>
      <c r="V2339" t="s">
        <v>5107</v>
      </c>
      <c r="W2339">
        <v>19870</v>
      </c>
      <c r="X2339" t="s">
        <v>1082</v>
      </c>
      <c r="Y2339">
        <v>18281</v>
      </c>
      <c r="Z2339">
        <v>457010</v>
      </c>
      <c r="AA2339">
        <v>36547</v>
      </c>
      <c r="AB2339" t="str">
        <f>(VLOOKUP(SalesData[[#This Row],[Month Number]],Reference!C$5:E$16,2,FALSE))</f>
        <v>Feb</v>
      </c>
      <c r="AC2339">
        <f>MONTH(SalesData[[#This Row],[Date]])</f>
        <v>2</v>
      </c>
      <c r="AD2339">
        <f>Reference!F$4</f>
        <v>2026</v>
      </c>
      <c r="AE2339" t="str">
        <f>IF(OR(SalesData[[#This Row],[Day]]="Saturday",SalesData[[#This Row],[Day]]="Sunday"),"Weekend","Weekday")</f>
        <v>Weekend</v>
      </c>
      <c r="AF2339" s="5">
        <f>IF(SalesData[[#This Row],[Contracts Offered]]=0,0,SalesData[[#This Row],[Contracts Signed]]/SalesData[[#This Row],[Contracts Offered]])</f>
        <v>0.24731182795698925</v>
      </c>
      <c r="AG2339" s="5">
        <f>IF(SalesData[[#This Row],[Customers Visited]]=0,0,SalesData[[#This Row],[Test Drives]]/SalesData[[#This Row],[Customers Visited]])</f>
        <v>0.55593220338983051</v>
      </c>
      <c r="AH2339" s="5">
        <f>IF(SalesData[[#This Row],[Customers Visited]]=0,0,SalesData[[#This Row],[Contracts Signed]]/SalesData[[#This Row],[Customers Visited]])</f>
        <v>7.796610169491526E-2</v>
      </c>
      <c r="AI2339" s="6">
        <f>IF(SalesData[[#This Row],[Contracts Signed]]=0,0,SalesData[[#This Row],[Profit(€)]]/SalesData[[#This Row],[Contracts Signed]])</f>
        <v>1589</v>
      </c>
      <c r="AJ2339" s="5" t="str">
        <f>TRIM(CLEAN(SalesData[[#This Row],[Retailer]]))</f>
        <v>Saxon Wheels</v>
      </c>
    </row>
    <row r="2340" spans="1:36" ht="14.25" hidden="1" x14ac:dyDescent="0.2">
      <c r="A2340" t="s">
        <v>3396</v>
      </c>
      <c r="B2340" s="1">
        <v>46076</v>
      </c>
      <c r="C2340" t="s">
        <v>53</v>
      </c>
      <c r="D2340" t="s">
        <v>25</v>
      </c>
      <c r="E2340" t="s">
        <v>26</v>
      </c>
      <c r="F2340" t="s">
        <v>114</v>
      </c>
      <c r="G2340" t="s">
        <v>115</v>
      </c>
      <c r="H2340" t="s">
        <v>115</v>
      </c>
      <c r="I2340" t="s">
        <v>64</v>
      </c>
      <c r="J2340" t="s">
        <v>77</v>
      </c>
      <c r="K2340" t="s">
        <v>78</v>
      </c>
      <c r="L2340" t="s">
        <v>46</v>
      </c>
      <c r="M2340" t="s">
        <v>34</v>
      </c>
      <c r="N2340" t="s">
        <v>48</v>
      </c>
      <c r="O2340" t="s">
        <v>36</v>
      </c>
      <c r="P2340" t="s">
        <v>58</v>
      </c>
      <c r="Q2340" t="s">
        <v>135</v>
      </c>
      <c r="R2340">
        <v>217</v>
      </c>
      <c r="S2340">
        <v>103</v>
      </c>
      <c r="T2340">
        <v>77</v>
      </c>
      <c r="U2340">
        <v>28</v>
      </c>
      <c r="V2340" t="s">
        <v>7004</v>
      </c>
      <c r="W2340">
        <v>53957</v>
      </c>
      <c r="X2340" t="s">
        <v>7146</v>
      </c>
      <c r="Y2340">
        <v>42007</v>
      </c>
      <c r="Z2340">
        <v>1510796</v>
      </c>
      <c r="AA2340">
        <v>334600</v>
      </c>
      <c r="AB2340" t="str">
        <f>(VLOOKUP(SalesData[[#This Row],[Month Number]],Reference!C$5:E$16,2,FALSE))</f>
        <v>Feb</v>
      </c>
      <c r="AC2340">
        <f>MONTH(SalesData[[#This Row],[Date]])</f>
        <v>2</v>
      </c>
      <c r="AD2340">
        <f>Reference!F$4</f>
        <v>2026</v>
      </c>
      <c r="AE2340" t="str">
        <f>IF(OR(SalesData[[#This Row],[Day]]="Saturday",SalesData[[#This Row],[Day]]="Sunday"),"Weekend","Weekday")</f>
        <v>Weekday</v>
      </c>
      <c r="AF2340" s="5">
        <f>IF(SalesData[[#This Row],[Contracts Offered]]=0,0,SalesData[[#This Row],[Contracts Signed]]/SalesData[[#This Row],[Contracts Offered]])</f>
        <v>0.36363636363636365</v>
      </c>
      <c r="AG2340" s="5">
        <f>IF(SalesData[[#This Row],[Customers Visited]]=0,0,SalesData[[#This Row],[Test Drives]]/SalesData[[#This Row],[Customers Visited]])</f>
        <v>0.47465437788018433</v>
      </c>
      <c r="AH2340" s="5">
        <f>IF(SalesData[[#This Row],[Customers Visited]]=0,0,SalesData[[#This Row],[Contracts Signed]]/SalesData[[#This Row],[Customers Visited]])</f>
        <v>0.12903225806451613</v>
      </c>
      <c r="AI2340" s="6">
        <f>IF(SalesData[[#This Row],[Contracts Signed]]=0,0,SalesData[[#This Row],[Profit(€)]]/SalesData[[#This Row],[Contracts Signed]])</f>
        <v>11950</v>
      </c>
      <c r="AJ2340" s="5" t="str">
        <f>TRIM(CLEAN(SalesData[[#This Row],[Retailer]]))</f>
        <v>Elbe Drive</v>
      </c>
    </row>
    <row r="2341" spans="1:36" ht="14.25" hidden="1" x14ac:dyDescent="0.2">
      <c r="A2341" t="s">
        <v>3397</v>
      </c>
      <c r="B2341" s="1">
        <v>46077</v>
      </c>
      <c r="C2341" t="s">
        <v>53</v>
      </c>
      <c r="D2341" t="s">
        <v>63</v>
      </c>
      <c r="E2341" t="s">
        <v>26</v>
      </c>
      <c r="F2341" t="s">
        <v>83</v>
      </c>
      <c r="G2341" t="s">
        <v>84</v>
      </c>
      <c r="H2341" t="s">
        <v>85</v>
      </c>
      <c r="I2341" t="s">
        <v>104</v>
      </c>
      <c r="J2341" t="s">
        <v>7031</v>
      </c>
      <c r="K2341" t="s">
        <v>66</v>
      </c>
      <c r="L2341" t="s">
        <v>46</v>
      </c>
      <c r="M2341" t="s">
        <v>68</v>
      </c>
      <c r="N2341" t="s">
        <v>69</v>
      </c>
      <c r="O2341" t="s">
        <v>36</v>
      </c>
      <c r="P2341" t="s">
        <v>37</v>
      </c>
      <c r="Q2341" t="s">
        <v>88</v>
      </c>
      <c r="R2341">
        <v>421</v>
      </c>
      <c r="S2341">
        <v>179</v>
      </c>
      <c r="T2341">
        <v>125</v>
      </c>
      <c r="U2341">
        <v>28</v>
      </c>
      <c r="V2341" t="s">
        <v>433</v>
      </c>
      <c r="W2341">
        <v>30436</v>
      </c>
      <c r="X2341" t="s">
        <v>1424</v>
      </c>
      <c r="Y2341">
        <v>27066</v>
      </c>
      <c r="Z2341">
        <v>852208</v>
      </c>
      <c r="AA2341">
        <v>94360</v>
      </c>
      <c r="AB2341" t="str">
        <f>(VLOOKUP(SalesData[[#This Row],[Month Number]],Reference!C$5:E$16,2,FALSE))</f>
        <v>Feb</v>
      </c>
      <c r="AC2341">
        <f>MONTH(SalesData[[#This Row],[Date]])</f>
        <v>2</v>
      </c>
      <c r="AD2341">
        <f>Reference!F$4</f>
        <v>2026</v>
      </c>
      <c r="AE2341" t="str">
        <f>IF(OR(SalesData[[#This Row],[Day]]="Saturday",SalesData[[#This Row],[Day]]="Sunday"),"Weekend","Weekday")</f>
        <v>Weekday</v>
      </c>
      <c r="AF2341" s="5">
        <f>IF(SalesData[[#This Row],[Contracts Offered]]=0,0,SalesData[[#This Row],[Contracts Signed]]/SalesData[[#This Row],[Contracts Offered]])</f>
        <v>0.224</v>
      </c>
      <c r="AG2341" s="5">
        <f>IF(SalesData[[#This Row],[Customers Visited]]=0,0,SalesData[[#This Row],[Test Drives]]/SalesData[[#This Row],[Customers Visited]])</f>
        <v>0.42517814726840852</v>
      </c>
      <c r="AH2341" s="5">
        <f>IF(SalesData[[#This Row],[Customers Visited]]=0,0,SalesData[[#This Row],[Contracts Signed]]/SalesData[[#This Row],[Customers Visited]])</f>
        <v>6.6508313539192399E-2</v>
      </c>
      <c r="AI2341" s="6">
        <f>IF(SalesData[[#This Row],[Contracts Signed]]=0,0,SalesData[[#This Row],[Profit(€)]]/SalesData[[#This Row],[Contracts Signed]])</f>
        <v>3370</v>
      </c>
      <c r="AJ2341" s="5" t="str">
        <f>TRIM(CLEAN(SalesData[[#This Row],[Retailer]]))</f>
        <v>Hannover Cars</v>
      </c>
    </row>
    <row r="2342" spans="1:36" ht="14.25" hidden="1" x14ac:dyDescent="0.2">
      <c r="A2342" t="s">
        <v>3398</v>
      </c>
      <c r="B2342" s="1">
        <v>46054</v>
      </c>
      <c r="C2342" t="s">
        <v>24</v>
      </c>
      <c r="D2342" t="s">
        <v>41</v>
      </c>
      <c r="E2342" t="s">
        <v>42</v>
      </c>
      <c r="F2342" t="s">
        <v>7649</v>
      </c>
      <c r="G2342" t="s">
        <v>55</v>
      </c>
      <c r="H2342" t="s">
        <v>55</v>
      </c>
      <c r="I2342" t="s">
        <v>104</v>
      </c>
      <c r="J2342" t="s">
        <v>7031</v>
      </c>
      <c r="K2342" t="s">
        <v>32</v>
      </c>
      <c r="L2342" t="s">
        <v>46</v>
      </c>
      <c r="M2342" t="s">
        <v>47</v>
      </c>
      <c r="N2342" t="s">
        <v>35</v>
      </c>
      <c r="O2342" t="s">
        <v>70</v>
      </c>
      <c r="P2342" t="s">
        <v>58</v>
      </c>
      <c r="Q2342" t="s">
        <v>38</v>
      </c>
      <c r="R2342">
        <v>301</v>
      </c>
      <c r="S2342">
        <v>137</v>
      </c>
      <c r="T2342">
        <v>94</v>
      </c>
      <c r="U2342">
        <v>27</v>
      </c>
      <c r="V2342" t="s">
        <v>1213</v>
      </c>
      <c r="W2342">
        <v>32399</v>
      </c>
      <c r="X2342" t="s">
        <v>694</v>
      </c>
      <c r="Y2342">
        <v>29438</v>
      </c>
      <c r="Z2342">
        <v>874773</v>
      </c>
      <c r="AA2342">
        <v>79947</v>
      </c>
      <c r="AB2342" t="str">
        <f>(VLOOKUP(SalesData[[#This Row],[Month Number]],Reference!C$5:E$16,2,FALSE))</f>
        <v>Feb</v>
      </c>
      <c r="AC2342">
        <f>MONTH(SalesData[[#This Row],[Date]])</f>
        <v>2</v>
      </c>
      <c r="AD2342">
        <f>Reference!F$4</f>
        <v>2026</v>
      </c>
      <c r="AE2342" t="str">
        <f>IF(OR(SalesData[[#This Row],[Day]]="Saturday",SalesData[[#This Row],[Day]]="Sunday"),"Weekend","Weekday")</f>
        <v>Weekend</v>
      </c>
      <c r="AF2342" s="5">
        <f>IF(SalesData[[#This Row],[Contracts Offered]]=0,0,SalesData[[#This Row],[Contracts Signed]]/SalesData[[#This Row],[Contracts Offered]])</f>
        <v>0.28723404255319152</v>
      </c>
      <c r="AG2342" s="5">
        <f>IF(SalesData[[#This Row],[Customers Visited]]=0,0,SalesData[[#This Row],[Test Drives]]/SalesData[[#This Row],[Customers Visited]])</f>
        <v>0.45514950166112955</v>
      </c>
      <c r="AH2342" s="5">
        <f>IF(SalesData[[#This Row],[Customers Visited]]=0,0,SalesData[[#This Row],[Contracts Signed]]/SalesData[[#This Row],[Customers Visited]])</f>
        <v>8.9700996677740868E-2</v>
      </c>
      <c r="AI2342" s="6">
        <f>IF(SalesData[[#This Row],[Contracts Signed]]=0,0,SalesData[[#This Row],[Profit(€)]]/SalesData[[#This Row],[Contracts Signed]])</f>
        <v>2961</v>
      </c>
      <c r="AJ2342" s="5" t="str">
        <f>TRIM(CLEAN(SalesData[[#This Row],[Retailer]]))</f>
        <v>Autohaus Berlin</v>
      </c>
    </row>
    <row r="2343" spans="1:36" ht="14.25" hidden="1" x14ac:dyDescent="0.2">
      <c r="A2343" t="s">
        <v>3400</v>
      </c>
      <c r="B2343" s="1">
        <v>46055</v>
      </c>
      <c r="C2343" t="s">
        <v>24</v>
      </c>
      <c r="D2343" t="s">
        <v>25</v>
      </c>
      <c r="E2343" t="s">
        <v>26</v>
      </c>
      <c r="F2343" t="s">
        <v>83</v>
      </c>
      <c r="G2343" t="s">
        <v>84</v>
      </c>
      <c r="H2343" t="s">
        <v>85</v>
      </c>
      <c r="I2343" t="s">
        <v>56</v>
      </c>
      <c r="J2343" t="s">
        <v>7028</v>
      </c>
      <c r="K2343" t="s">
        <v>78</v>
      </c>
      <c r="L2343" t="s">
        <v>46</v>
      </c>
      <c r="M2343" t="s">
        <v>47</v>
      </c>
      <c r="N2343" t="s">
        <v>48</v>
      </c>
      <c r="O2343" t="s">
        <v>70</v>
      </c>
      <c r="P2343" t="s">
        <v>71</v>
      </c>
      <c r="Q2343" t="s">
        <v>59</v>
      </c>
      <c r="R2343">
        <v>165</v>
      </c>
      <c r="S2343">
        <v>94</v>
      </c>
      <c r="T2343">
        <v>73</v>
      </c>
      <c r="U2343">
        <v>22</v>
      </c>
      <c r="V2343" t="s">
        <v>6801</v>
      </c>
      <c r="W2343">
        <v>54133</v>
      </c>
      <c r="X2343" t="s">
        <v>4223</v>
      </c>
      <c r="Y2343">
        <v>42956</v>
      </c>
      <c r="Z2343">
        <v>1190926</v>
      </c>
      <c r="AA2343">
        <v>245894</v>
      </c>
      <c r="AB2343" t="str">
        <f>(VLOOKUP(SalesData[[#This Row],[Month Number]],Reference!C$5:E$16,2,FALSE))</f>
        <v>Feb</v>
      </c>
      <c r="AC2343">
        <f>MONTH(SalesData[[#This Row],[Date]])</f>
        <v>2</v>
      </c>
      <c r="AD2343">
        <f>Reference!F$4</f>
        <v>2026</v>
      </c>
      <c r="AE2343" t="str">
        <f>IF(OR(SalesData[[#This Row],[Day]]="Saturday",SalesData[[#This Row],[Day]]="Sunday"),"Weekend","Weekday")</f>
        <v>Weekday</v>
      </c>
      <c r="AF2343" s="5">
        <f>IF(SalesData[[#This Row],[Contracts Offered]]=0,0,SalesData[[#This Row],[Contracts Signed]]/SalesData[[#This Row],[Contracts Offered]])</f>
        <v>0.30136986301369861</v>
      </c>
      <c r="AG2343" s="5">
        <f>IF(SalesData[[#This Row],[Customers Visited]]=0,0,SalesData[[#This Row],[Test Drives]]/SalesData[[#This Row],[Customers Visited]])</f>
        <v>0.5696969696969697</v>
      </c>
      <c r="AH2343" s="5">
        <f>IF(SalesData[[#This Row],[Customers Visited]]=0,0,SalesData[[#This Row],[Contracts Signed]]/SalesData[[#This Row],[Customers Visited]])</f>
        <v>0.13333333333333333</v>
      </c>
      <c r="AI2343" s="6">
        <f>IF(SalesData[[#This Row],[Contracts Signed]]=0,0,SalesData[[#This Row],[Profit(€)]]/SalesData[[#This Row],[Contracts Signed]])</f>
        <v>11177</v>
      </c>
      <c r="AJ2343" s="5" t="str">
        <f>TRIM(CLEAN(SalesData[[#This Row],[Retailer]]))</f>
        <v>Hannover Cars</v>
      </c>
    </row>
    <row r="2344" spans="1:36" ht="14.25" hidden="1" x14ac:dyDescent="0.2">
      <c r="A2344" t="s">
        <v>3401</v>
      </c>
      <c r="B2344" s="1">
        <v>46072</v>
      </c>
      <c r="C2344" t="s">
        <v>62</v>
      </c>
      <c r="D2344" t="s">
        <v>100</v>
      </c>
      <c r="E2344" t="s">
        <v>26</v>
      </c>
      <c r="F2344" t="s">
        <v>94</v>
      </c>
      <c r="G2344" t="s">
        <v>95</v>
      </c>
      <c r="H2344" t="s">
        <v>96</v>
      </c>
      <c r="I2344" t="s">
        <v>64</v>
      </c>
      <c r="J2344" t="s">
        <v>157</v>
      </c>
      <c r="K2344" t="s">
        <v>32</v>
      </c>
      <c r="L2344" t="s">
        <v>33</v>
      </c>
      <c r="M2344" t="s">
        <v>68</v>
      </c>
      <c r="N2344" t="s">
        <v>35</v>
      </c>
      <c r="O2344" t="s">
        <v>70</v>
      </c>
      <c r="P2344" t="s">
        <v>71</v>
      </c>
      <c r="Q2344" t="s">
        <v>152</v>
      </c>
      <c r="R2344">
        <v>224</v>
      </c>
      <c r="S2344">
        <v>102</v>
      </c>
      <c r="T2344">
        <v>78</v>
      </c>
      <c r="U2344">
        <v>29</v>
      </c>
      <c r="V2344" t="s">
        <v>6614</v>
      </c>
      <c r="W2344">
        <v>65119</v>
      </c>
      <c r="X2344" t="s">
        <v>7285</v>
      </c>
      <c r="Y2344">
        <v>47482</v>
      </c>
      <c r="Z2344">
        <v>1888451</v>
      </c>
      <c r="AA2344">
        <v>511473</v>
      </c>
      <c r="AB2344" t="str">
        <f>(VLOOKUP(SalesData[[#This Row],[Month Number]],Reference!C$5:E$16,2,FALSE))</f>
        <v>Feb</v>
      </c>
      <c r="AC2344">
        <f>MONTH(SalesData[[#This Row],[Date]])</f>
        <v>2</v>
      </c>
      <c r="AD2344">
        <f>Reference!F$4</f>
        <v>2026</v>
      </c>
      <c r="AE2344" t="str">
        <f>IF(OR(SalesData[[#This Row],[Day]]="Saturday",SalesData[[#This Row],[Day]]="Sunday"),"Weekend","Weekday")</f>
        <v>Weekday</v>
      </c>
      <c r="AF2344" s="5">
        <f>IF(SalesData[[#This Row],[Contracts Offered]]=0,0,SalesData[[#This Row],[Contracts Signed]]/SalesData[[#This Row],[Contracts Offered]])</f>
        <v>0.37179487179487181</v>
      </c>
      <c r="AG2344" s="5">
        <f>IF(SalesData[[#This Row],[Customers Visited]]=0,0,SalesData[[#This Row],[Test Drives]]/SalesData[[#This Row],[Customers Visited]])</f>
        <v>0.45535714285714285</v>
      </c>
      <c r="AH2344" s="5">
        <f>IF(SalesData[[#This Row],[Customers Visited]]=0,0,SalesData[[#This Row],[Contracts Signed]]/SalesData[[#This Row],[Customers Visited]])</f>
        <v>0.12946428571428573</v>
      </c>
      <c r="AI2344" s="6">
        <f>IF(SalesData[[#This Row],[Contracts Signed]]=0,0,SalesData[[#This Row],[Profit(€)]]/SalesData[[#This Row],[Contracts Signed]])</f>
        <v>17637</v>
      </c>
      <c r="AJ2344" s="5" t="str">
        <f>TRIM(CLEAN(SalesData[[#This Row],[Retailer]]))</f>
        <v>Bavaria Motors</v>
      </c>
    </row>
    <row r="2345" spans="1:36" ht="14.25" hidden="1" x14ac:dyDescent="0.2">
      <c r="A2345" t="s">
        <v>3402</v>
      </c>
      <c r="B2345" s="1">
        <v>46055</v>
      </c>
      <c r="C2345" t="s">
        <v>24</v>
      </c>
      <c r="D2345" t="s">
        <v>25</v>
      </c>
      <c r="E2345" t="s">
        <v>26</v>
      </c>
      <c r="F2345" t="s">
        <v>43</v>
      </c>
      <c r="G2345" t="s">
        <v>44</v>
      </c>
      <c r="H2345" t="s">
        <v>45</v>
      </c>
      <c r="I2345" t="s">
        <v>64</v>
      </c>
      <c r="J2345" t="s">
        <v>157</v>
      </c>
      <c r="K2345" t="s">
        <v>66</v>
      </c>
      <c r="L2345" t="s">
        <v>33</v>
      </c>
      <c r="M2345" t="s">
        <v>34</v>
      </c>
      <c r="N2345" t="s">
        <v>35</v>
      </c>
      <c r="O2345" t="s">
        <v>70</v>
      </c>
      <c r="P2345" t="s">
        <v>58</v>
      </c>
      <c r="Q2345" t="s">
        <v>167</v>
      </c>
      <c r="R2345">
        <v>199</v>
      </c>
      <c r="S2345">
        <v>108</v>
      </c>
      <c r="T2345">
        <v>71</v>
      </c>
      <c r="U2345">
        <v>28</v>
      </c>
      <c r="V2345" t="s">
        <v>6604</v>
      </c>
      <c r="W2345">
        <v>64807</v>
      </c>
      <c r="X2345" t="s">
        <v>7059</v>
      </c>
      <c r="Y2345">
        <v>46962</v>
      </c>
      <c r="Z2345">
        <v>1814596</v>
      </c>
      <c r="AA2345">
        <v>499660</v>
      </c>
      <c r="AB2345" t="str">
        <f>(VLOOKUP(SalesData[[#This Row],[Month Number]],Reference!C$5:E$16,2,FALSE))</f>
        <v>Feb</v>
      </c>
      <c r="AC2345">
        <f>MONTH(SalesData[[#This Row],[Date]])</f>
        <v>2</v>
      </c>
      <c r="AD2345">
        <f>Reference!F$4</f>
        <v>2026</v>
      </c>
      <c r="AE2345" t="str">
        <f>IF(OR(SalesData[[#This Row],[Day]]="Saturday",SalesData[[#This Row],[Day]]="Sunday"),"Weekend","Weekday")</f>
        <v>Weekday</v>
      </c>
      <c r="AF2345" s="5">
        <f>IF(SalesData[[#This Row],[Contracts Offered]]=0,0,SalesData[[#This Row],[Contracts Signed]]/SalesData[[#This Row],[Contracts Offered]])</f>
        <v>0.39436619718309857</v>
      </c>
      <c r="AG2345" s="5">
        <f>IF(SalesData[[#This Row],[Customers Visited]]=0,0,SalesData[[#This Row],[Test Drives]]/SalesData[[#This Row],[Customers Visited]])</f>
        <v>0.542713567839196</v>
      </c>
      <c r="AH2345" s="5">
        <f>IF(SalesData[[#This Row],[Customers Visited]]=0,0,SalesData[[#This Row],[Contracts Signed]]/SalesData[[#This Row],[Customers Visited]])</f>
        <v>0.1407035175879397</v>
      </c>
      <c r="AI2345" s="6">
        <f>IF(SalesData[[#This Row],[Contracts Signed]]=0,0,SalesData[[#This Row],[Profit(€)]]/SalesData[[#This Row],[Contracts Signed]])</f>
        <v>17845</v>
      </c>
      <c r="AJ2345" s="5" t="str">
        <f>TRIM(CLEAN(SalesData[[#This Row],[Retailer]]))</f>
        <v>Saxon Wheels</v>
      </c>
    </row>
    <row r="2346" spans="1:36" ht="14.25" hidden="1" x14ac:dyDescent="0.2">
      <c r="A2346" t="s">
        <v>3403</v>
      </c>
      <c r="B2346" s="1">
        <v>46077</v>
      </c>
      <c r="C2346" t="s">
        <v>53</v>
      </c>
      <c r="D2346" t="s">
        <v>63</v>
      </c>
      <c r="E2346" t="s">
        <v>26</v>
      </c>
      <c r="F2346" t="s">
        <v>43</v>
      </c>
      <c r="G2346" t="s">
        <v>44</v>
      </c>
      <c r="H2346" t="s">
        <v>45</v>
      </c>
      <c r="I2346" t="s">
        <v>56</v>
      </c>
      <c r="J2346" t="s">
        <v>97</v>
      </c>
      <c r="K2346" t="s">
        <v>66</v>
      </c>
      <c r="L2346" t="s">
        <v>33</v>
      </c>
      <c r="M2346" t="s">
        <v>87</v>
      </c>
      <c r="N2346" t="s">
        <v>35</v>
      </c>
      <c r="O2346" t="s">
        <v>70</v>
      </c>
      <c r="P2346" t="s">
        <v>71</v>
      </c>
      <c r="Q2346" t="s">
        <v>172</v>
      </c>
      <c r="R2346">
        <v>166</v>
      </c>
      <c r="S2346">
        <v>96</v>
      </c>
      <c r="T2346">
        <v>71</v>
      </c>
      <c r="U2346">
        <v>20</v>
      </c>
      <c r="V2346" t="s">
        <v>6372</v>
      </c>
      <c r="W2346">
        <v>55114</v>
      </c>
      <c r="X2346" t="s">
        <v>3904</v>
      </c>
      <c r="Y2346">
        <v>42345</v>
      </c>
      <c r="Z2346">
        <v>1102280</v>
      </c>
      <c r="AA2346">
        <v>255380</v>
      </c>
      <c r="AB2346" t="str">
        <f>(VLOOKUP(SalesData[[#This Row],[Month Number]],Reference!C$5:E$16,2,FALSE))</f>
        <v>Feb</v>
      </c>
      <c r="AC2346">
        <f>MONTH(SalesData[[#This Row],[Date]])</f>
        <v>2</v>
      </c>
      <c r="AD2346">
        <f>Reference!F$4</f>
        <v>2026</v>
      </c>
      <c r="AE2346" t="str">
        <f>IF(OR(SalesData[[#This Row],[Day]]="Saturday",SalesData[[#This Row],[Day]]="Sunday"),"Weekend","Weekday")</f>
        <v>Weekday</v>
      </c>
      <c r="AF2346" s="5">
        <f>IF(SalesData[[#This Row],[Contracts Offered]]=0,0,SalesData[[#This Row],[Contracts Signed]]/SalesData[[#This Row],[Contracts Offered]])</f>
        <v>0.28169014084507044</v>
      </c>
      <c r="AG2346" s="5">
        <f>IF(SalesData[[#This Row],[Customers Visited]]=0,0,SalesData[[#This Row],[Test Drives]]/SalesData[[#This Row],[Customers Visited]])</f>
        <v>0.57831325301204817</v>
      </c>
      <c r="AH2346" s="5">
        <f>IF(SalesData[[#This Row],[Customers Visited]]=0,0,SalesData[[#This Row],[Contracts Signed]]/SalesData[[#This Row],[Customers Visited]])</f>
        <v>0.12048192771084337</v>
      </c>
      <c r="AI2346" s="6">
        <f>IF(SalesData[[#This Row],[Contracts Signed]]=0,0,SalesData[[#This Row],[Profit(€)]]/SalesData[[#This Row],[Contracts Signed]])</f>
        <v>12769</v>
      </c>
      <c r="AJ2346" s="5" t="str">
        <f>TRIM(CLEAN(SalesData[[#This Row],[Retailer]]))</f>
        <v>Saxon Wheels</v>
      </c>
    </row>
    <row r="2347" spans="1:36" ht="14.25" hidden="1" x14ac:dyDescent="0.2">
      <c r="A2347" t="s">
        <v>3404</v>
      </c>
      <c r="B2347" s="1">
        <v>46060</v>
      </c>
      <c r="C2347" t="s">
        <v>24</v>
      </c>
      <c r="D2347" t="s">
        <v>151</v>
      </c>
      <c r="E2347" t="s">
        <v>42</v>
      </c>
      <c r="F2347" t="s">
        <v>7649</v>
      </c>
      <c r="G2347" t="s">
        <v>55</v>
      </c>
      <c r="H2347" t="s">
        <v>55</v>
      </c>
      <c r="I2347" t="s">
        <v>116</v>
      </c>
      <c r="J2347" t="s">
        <v>132</v>
      </c>
      <c r="K2347" t="s">
        <v>32</v>
      </c>
      <c r="L2347" t="s">
        <v>46</v>
      </c>
      <c r="M2347" t="s">
        <v>47</v>
      </c>
      <c r="N2347" t="s">
        <v>69</v>
      </c>
      <c r="O2347" t="s">
        <v>70</v>
      </c>
      <c r="P2347" t="s">
        <v>71</v>
      </c>
      <c r="Q2347" t="s">
        <v>240</v>
      </c>
      <c r="R2347">
        <v>325</v>
      </c>
      <c r="S2347">
        <v>168</v>
      </c>
      <c r="T2347">
        <v>116</v>
      </c>
      <c r="U2347">
        <v>28</v>
      </c>
      <c r="V2347" t="s">
        <v>508</v>
      </c>
      <c r="W2347">
        <v>26344</v>
      </c>
      <c r="X2347" t="s">
        <v>1310</v>
      </c>
      <c r="Y2347">
        <v>24277</v>
      </c>
      <c r="Z2347">
        <v>737632</v>
      </c>
      <c r="AA2347">
        <v>57876</v>
      </c>
      <c r="AB2347" t="str">
        <f>(VLOOKUP(SalesData[[#This Row],[Month Number]],Reference!C$5:E$16,2,FALSE))</f>
        <v>Feb</v>
      </c>
      <c r="AC2347">
        <f>MONTH(SalesData[[#This Row],[Date]])</f>
        <v>2</v>
      </c>
      <c r="AD2347">
        <f>Reference!F$4</f>
        <v>2026</v>
      </c>
      <c r="AE2347" t="str">
        <f>IF(OR(SalesData[[#This Row],[Day]]="Saturday",SalesData[[#This Row],[Day]]="Sunday"),"Weekend","Weekday")</f>
        <v>Weekend</v>
      </c>
      <c r="AF2347" s="5">
        <f>IF(SalesData[[#This Row],[Contracts Offered]]=0,0,SalesData[[#This Row],[Contracts Signed]]/SalesData[[#This Row],[Contracts Offered]])</f>
        <v>0.2413793103448276</v>
      </c>
      <c r="AG2347" s="5">
        <f>IF(SalesData[[#This Row],[Customers Visited]]=0,0,SalesData[[#This Row],[Test Drives]]/SalesData[[#This Row],[Customers Visited]])</f>
        <v>0.51692307692307693</v>
      </c>
      <c r="AH2347" s="5">
        <f>IF(SalesData[[#This Row],[Customers Visited]]=0,0,SalesData[[#This Row],[Contracts Signed]]/SalesData[[#This Row],[Customers Visited]])</f>
        <v>8.615384615384615E-2</v>
      </c>
      <c r="AI2347" s="6">
        <f>IF(SalesData[[#This Row],[Contracts Signed]]=0,0,SalesData[[#This Row],[Profit(€)]]/SalesData[[#This Row],[Contracts Signed]])</f>
        <v>2067</v>
      </c>
      <c r="AJ2347" s="5" t="str">
        <f>TRIM(CLEAN(SalesData[[#This Row],[Retailer]]))</f>
        <v>Autohaus Berlin</v>
      </c>
    </row>
    <row r="2348" spans="1:36" ht="14.25" hidden="1" x14ac:dyDescent="0.2">
      <c r="A2348" t="s">
        <v>3405</v>
      </c>
      <c r="B2348" s="1">
        <v>46059</v>
      </c>
      <c r="C2348" t="s">
        <v>24</v>
      </c>
      <c r="D2348" t="s">
        <v>54</v>
      </c>
      <c r="E2348" t="s">
        <v>26</v>
      </c>
      <c r="F2348" t="s">
        <v>43</v>
      </c>
      <c r="G2348" t="s">
        <v>44</v>
      </c>
      <c r="H2348" t="s">
        <v>45</v>
      </c>
      <c r="I2348" t="s">
        <v>56</v>
      </c>
      <c r="J2348" t="s">
        <v>137</v>
      </c>
      <c r="K2348" t="s">
        <v>66</v>
      </c>
      <c r="L2348" t="s">
        <v>46</v>
      </c>
      <c r="M2348" t="s">
        <v>47</v>
      </c>
      <c r="N2348" t="s">
        <v>69</v>
      </c>
      <c r="O2348" t="s">
        <v>36</v>
      </c>
      <c r="P2348" t="s">
        <v>58</v>
      </c>
      <c r="Q2348" t="s">
        <v>118</v>
      </c>
      <c r="R2348">
        <v>160</v>
      </c>
      <c r="S2348">
        <v>78</v>
      </c>
      <c r="T2348">
        <v>57</v>
      </c>
      <c r="U2348">
        <v>20</v>
      </c>
      <c r="V2348" t="s">
        <v>6405</v>
      </c>
      <c r="W2348">
        <v>42479</v>
      </c>
      <c r="X2348" t="s">
        <v>7056</v>
      </c>
      <c r="Y2348">
        <v>34491</v>
      </c>
      <c r="Z2348">
        <v>849580</v>
      </c>
      <c r="AA2348">
        <v>159760</v>
      </c>
      <c r="AB2348" t="str">
        <f>(VLOOKUP(SalesData[[#This Row],[Month Number]],Reference!C$5:E$16,2,FALSE))</f>
        <v>Feb</v>
      </c>
      <c r="AC2348">
        <f>MONTH(SalesData[[#This Row],[Date]])</f>
        <v>2</v>
      </c>
      <c r="AD2348">
        <f>Reference!F$4</f>
        <v>2026</v>
      </c>
      <c r="AE2348" t="str">
        <f>IF(OR(SalesData[[#This Row],[Day]]="Saturday",SalesData[[#This Row],[Day]]="Sunday"),"Weekend","Weekday")</f>
        <v>Weekday</v>
      </c>
      <c r="AF2348" s="5">
        <f>IF(SalesData[[#This Row],[Contracts Offered]]=0,0,SalesData[[#This Row],[Contracts Signed]]/SalesData[[#This Row],[Contracts Offered]])</f>
        <v>0.35087719298245612</v>
      </c>
      <c r="AG2348" s="5">
        <f>IF(SalesData[[#This Row],[Customers Visited]]=0,0,SalesData[[#This Row],[Test Drives]]/SalesData[[#This Row],[Customers Visited]])</f>
        <v>0.48749999999999999</v>
      </c>
      <c r="AH2348" s="5">
        <f>IF(SalesData[[#This Row],[Customers Visited]]=0,0,SalesData[[#This Row],[Contracts Signed]]/SalesData[[#This Row],[Customers Visited]])</f>
        <v>0.125</v>
      </c>
      <c r="AI2348" s="6">
        <f>IF(SalesData[[#This Row],[Contracts Signed]]=0,0,SalesData[[#This Row],[Profit(€)]]/SalesData[[#This Row],[Contracts Signed]])</f>
        <v>7988</v>
      </c>
      <c r="AJ2348" s="5" t="str">
        <f>TRIM(CLEAN(SalesData[[#This Row],[Retailer]]))</f>
        <v>Saxon Wheels</v>
      </c>
    </row>
    <row r="2349" spans="1:36" ht="14.25" x14ac:dyDescent="0.2">
      <c r="A2349" t="s">
        <v>3406</v>
      </c>
      <c r="B2349" s="1">
        <v>46079</v>
      </c>
      <c r="C2349" t="s">
        <v>53</v>
      </c>
      <c r="D2349" t="s">
        <v>100</v>
      </c>
      <c r="E2349" t="s">
        <v>26</v>
      </c>
      <c r="F2349" t="s">
        <v>74</v>
      </c>
      <c r="G2349" t="s">
        <v>75</v>
      </c>
      <c r="H2349" t="s">
        <v>76</v>
      </c>
      <c r="I2349" t="s">
        <v>30</v>
      </c>
      <c r="J2349" t="s">
        <v>31</v>
      </c>
      <c r="K2349" t="s">
        <v>78</v>
      </c>
      <c r="L2349" t="s">
        <v>46</v>
      </c>
      <c r="M2349" t="s">
        <v>87</v>
      </c>
      <c r="N2349" t="s">
        <v>69</v>
      </c>
      <c r="O2349" t="s">
        <v>70</v>
      </c>
      <c r="P2349" t="s">
        <v>58</v>
      </c>
      <c r="Q2349" t="s">
        <v>79</v>
      </c>
      <c r="R2349">
        <v>244</v>
      </c>
      <c r="S2349">
        <v>118</v>
      </c>
      <c r="T2349">
        <v>90</v>
      </c>
      <c r="U2349">
        <v>36</v>
      </c>
      <c r="V2349" t="s">
        <v>7201</v>
      </c>
      <c r="W2349">
        <v>67089</v>
      </c>
      <c r="X2349" t="s">
        <v>7256</v>
      </c>
      <c r="Y2349">
        <v>50119</v>
      </c>
      <c r="Z2349">
        <v>2415204</v>
      </c>
      <c r="AA2349">
        <v>610920</v>
      </c>
      <c r="AB2349" t="str">
        <f>(VLOOKUP(SalesData[[#This Row],[Month Number]],Reference!C$5:E$16,2,FALSE))</f>
        <v>Feb</v>
      </c>
      <c r="AC2349">
        <f>MONTH(SalesData[[#This Row],[Date]])</f>
        <v>2</v>
      </c>
      <c r="AD2349">
        <f>Reference!F$4</f>
        <v>2026</v>
      </c>
      <c r="AE2349" t="str">
        <f>IF(OR(SalesData[[#This Row],[Day]]="Saturday",SalesData[[#This Row],[Day]]="Sunday"),"Weekend","Weekday")</f>
        <v>Weekday</v>
      </c>
      <c r="AF2349" s="5">
        <f>IF(SalesData[[#This Row],[Contracts Offered]]=0,0,SalesData[[#This Row],[Contracts Signed]]/SalesData[[#This Row],[Contracts Offered]])</f>
        <v>0.4</v>
      </c>
      <c r="AG2349" s="5">
        <f>IF(SalesData[[#This Row],[Customers Visited]]=0,0,SalesData[[#This Row],[Test Drives]]/SalesData[[#This Row],[Customers Visited]])</f>
        <v>0.48360655737704916</v>
      </c>
      <c r="AH2349" s="5">
        <f>IF(SalesData[[#This Row],[Customers Visited]]=0,0,SalesData[[#This Row],[Contracts Signed]]/SalesData[[#This Row],[Customers Visited]])</f>
        <v>0.14754098360655737</v>
      </c>
      <c r="AI2349" s="6">
        <f>IF(SalesData[[#This Row],[Contracts Signed]]=0,0,SalesData[[#This Row],[Profit(€)]]/SalesData[[#This Row],[Contracts Signed]])</f>
        <v>16970</v>
      </c>
      <c r="AJ2349" s="5" t="str">
        <f>TRIM(CLEAN(SalesData[[#This Row],[Retailer]]))</f>
        <v>Stuttgart Auto Center</v>
      </c>
    </row>
    <row r="2350" spans="1:36" ht="14.25" hidden="1" x14ac:dyDescent="0.2">
      <c r="A2350" t="s">
        <v>3408</v>
      </c>
      <c r="B2350" s="1">
        <v>46071</v>
      </c>
      <c r="C2350" t="s">
        <v>62</v>
      </c>
      <c r="D2350" t="s">
        <v>82</v>
      </c>
      <c r="E2350" t="s">
        <v>26</v>
      </c>
      <c r="F2350" t="s">
        <v>43</v>
      </c>
      <c r="G2350" t="s">
        <v>44</v>
      </c>
      <c r="H2350" t="s">
        <v>45</v>
      </c>
      <c r="I2350" t="s">
        <v>104</v>
      </c>
      <c r="J2350" t="s">
        <v>105</v>
      </c>
      <c r="K2350" t="s">
        <v>66</v>
      </c>
      <c r="L2350" t="s">
        <v>33</v>
      </c>
      <c r="M2350" t="s">
        <v>87</v>
      </c>
      <c r="N2350" t="s">
        <v>69</v>
      </c>
      <c r="O2350" t="s">
        <v>36</v>
      </c>
      <c r="P2350" t="s">
        <v>71</v>
      </c>
      <c r="Q2350" t="s">
        <v>204</v>
      </c>
      <c r="R2350">
        <v>300</v>
      </c>
      <c r="S2350">
        <v>123</v>
      </c>
      <c r="T2350">
        <v>76</v>
      </c>
      <c r="U2350">
        <v>21</v>
      </c>
      <c r="V2350" t="s">
        <v>962</v>
      </c>
      <c r="W2350">
        <v>32001</v>
      </c>
      <c r="X2350" t="s">
        <v>3629</v>
      </c>
      <c r="Y2350">
        <v>28248</v>
      </c>
      <c r="Z2350">
        <v>672021</v>
      </c>
      <c r="AA2350">
        <v>78813</v>
      </c>
      <c r="AB2350" t="str">
        <f>(VLOOKUP(SalesData[[#This Row],[Month Number]],Reference!C$5:E$16,2,FALSE))</f>
        <v>Feb</v>
      </c>
      <c r="AC2350">
        <f>MONTH(SalesData[[#This Row],[Date]])</f>
        <v>2</v>
      </c>
      <c r="AD2350">
        <f>Reference!F$4</f>
        <v>2026</v>
      </c>
      <c r="AE2350" t="str">
        <f>IF(OR(SalesData[[#This Row],[Day]]="Saturday",SalesData[[#This Row],[Day]]="Sunday"),"Weekend","Weekday")</f>
        <v>Weekday</v>
      </c>
      <c r="AF2350" s="5">
        <f>IF(SalesData[[#This Row],[Contracts Offered]]=0,0,SalesData[[#This Row],[Contracts Signed]]/SalesData[[#This Row],[Contracts Offered]])</f>
        <v>0.27631578947368424</v>
      </c>
      <c r="AG2350" s="5">
        <f>IF(SalesData[[#This Row],[Customers Visited]]=0,0,SalesData[[#This Row],[Test Drives]]/SalesData[[#This Row],[Customers Visited]])</f>
        <v>0.41</v>
      </c>
      <c r="AH2350" s="5">
        <f>IF(SalesData[[#This Row],[Customers Visited]]=0,0,SalesData[[#This Row],[Contracts Signed]]/SalesData[[#This Row],[Customers Visited]])</f>
        <v>7.0000000000000007E-2</v>
      </c>
      <c r="AI2350" s="6">
        <f>IF(SalesData[[#This Row],[Contracts Signed]]=0,0,SalesData[[#This Row],[Profit(€)]]/SalesData[[#This Row],[Contracts Signed]])</f>
        <v>3753</v>
      </c>
      <c r="AJ2350" s="5" t="str">
        <f>TRIM(CLEAN(SalesData[[#This Row],[Retailer]]))</f>
        <v>Saxon Wheels</v>
      </c>
    </row>
    <row r="2351" spans="1:36" ht="14.25" hidden="1" x14ac:dyDescent="0.2">
      <c r="A2351" t="s">
        <v>3409</v>
      </c>
      <c r="B2351" s="1">
        <v>46076</v>
      </c>
      <c r="C2351" t="s">
        <v>53</v>
      </c>
      <c r="D2351" t="s">
        <v>25</v>
      </c>
      <c r="E2351" t="s">
        <v>26</v>
      </c>
      <c r="F2351" t="s">
        <v>94</v>
      </c>
      <c r="G2351" t="s">
        <v>95</v>
      </c>
      <c r="H2351" t="s">
        <v>96</v>
      </c>
      <c r="I2351" t="s">
        <v>104</v>
      </c>
      <c r="J2351" t="s">
        <v>105</v>
      </c>
      <c r="K2351" t="s">
        <v>78</v>
      </c>
      <c r="L2351" t="s">
        <v>33</v>
      </c>
      <c r="M2351" t="s">
        <v>87</v>
      </c>
      <c r="N2351" t="s">
        <v>35</v>
      </c>
      <c r="O2351" t="s">
        <v>70</v>
      </c>
      <c r="P2351" t="s">
        <v>71</v>
      </c>
      <c r="Q2351" t="s">
        <v>204</v>
      </c>
      <c r="R2351">
        <v>446</v>
      </c>
      <c r="S2351">
        <v>190</v>
      </c>
      <c r="T2351">
        <v>124</v>
      </c>
      <c r="U2351">
        <v>38</v>
      </c>
      <c r="V2351" t="s">
        <v>6410</v>
      </c>
      <c r="W2351">
        <v>29770</v>
      </c>
      <c r="X2351" t="s">
        <v>896</v>
      </c>
      <c r="Y2351">
        <v>26044</v>
      </c>
      <c r="Z2351">
        <v>1131260</v>
      </c>
      <c r="AA2351">
        <v>141588</v>
      </c>
      <c r="AB2351" t="str">
        <f>(VLOOKUP(SalesData[[#This Row],[Month Number]],Reference!C$5:E$16,2,FALSE))</f>
        <v>Feb</v>
      </c>
      <c r="AC2351">
        <f>MONTH(SalesData[[#This Row],[Date]])</f>
        <v>2</v>
      </c>
      <c r="AD2351">
        <f>Reference!F$4</f>
        <v>2026</v>
      </c>
      <c r="AE2351" t="str">
        <f>IF(OR(SalesData[[#This Row],[Day]]="Saturday",SalesData[[#This Row],[Day]]="Sunday"),"Weekend","Weekday")</f>
        <v>Weekday</v>
      </c>
      <c r="AF2351" s="5">
        <f>IF(SalesData[[#This Row],[Contracts Offered]]=0,0,SalesData[[#This Row],[Contracts Signed]]/SalesData[[#This Row],[Contracts Offered]])</f>
        <v>0.30645161290322581</v>
      </c>
      <c r="AG2351" s="5">
        <f>IF(SalesData[[#This Row],[Customers Visited]]=0,0,SalesData[[#This Row],[Test Drives]]/SalesData[[#This Row],[Customers Visited]])</f>
        <v>0.42600896860986548</v>
      </c>
      <c r="AH2351" s="5">
        <f>IF(SalesData[[#This Row],[Customers Visited]]=0,0,SalesData[[#This Row],[Contracts Signed]]/SalesData[[#This Row],[Customers Visited]])</f>
        <v>8.520179372197309E-2</v>
      </c>
      <c r="AI2351" s="6">
        <f>IF(SalesData[[#This Row],[Contracts Signed]]=0,0,SalesData[[#This Row],[Profit(€)]]/SalesData[[#This Row],[Contracts Signed]])</f>
        <v>3726</v>
      </c>
      <c r="AJ2351" s="5" t="str">
        <f>TRIM(CLEAN(SalesData[[#This Row],[Retailer]]))</f>
        <v>Bavaria Motors</v>
      </c>
    </row>
    <row r="2352" spans="1:36" ht="14.25" hidden="1" x14ac:dyDescent="0.2">
      <c r="A2352" t="s">
        <v>3411</v>
      </c>
      <c r="B2352" s="1">
        <v>46054</v>
      </c>
      <c r="C2352" t="s">
        <v>24</v>
      </c>
      <c r="D2352" t="s">
        <v>41</v>
      </c>
      <c r="E2352" t="s">
        <v>42</v>
      </c>
      <c r="F2352" t="s">
        <v>94</v>
      </c>
      <c r="G2352" t="s">
        <v>95</v>
      </c>
      <c r="H2352" t="s">
        <v>96</v>
      </c>
      <c r="I2352" t="s">
        <v>104</v>
      </c>
      <c r="J2352" t="s">
        <v>105</v>
      </c>
      <c r="K2352" t="s">
        <v>91</v>
      </c>
      <c r="L2352" t="s">
        <v>33</v>
      </c>
      <c r="M2352" t="s">
        <v>34</v>
      </c>
      <c r="N2352" t="s">
        <v>69</v>
      </c>
      <c r="O2352" t="s">
        <v>36</v>
      </c>
      <c r="P2352" t="s">
        <v>71</v>
      </c>
      <c r="Q2352" t="s">
        <v>169</v>
      </c>
      <c r="R2352">
        <v>440</v>
      </c>
      <c r="S2352">
        <v>253</v>
      </c>
      <c r="T2352">
        <v>163</v>
      </c>
      <c r="U2352">
        <v>46</v>
      </c>
      <c r="V2352" t="s">
        <v>752</v>
      </c>
      <c r="W2352">
        <v>30245</v>
      </c>
      <c r="X2352" t="s">
        <v>929</v>
      </c>
      <c r="Y2352">
        <v>26073</v>
      </c>
      <c r="Z2352">
        <v>1391270</v>
      </c>
      <c r="AA2352">
        <v>191912</v>
      </c>
      <c r="AB2352" t="str">
        <f>(VLOOKUP(SalesData[[#This Row],[Month Number]],Reference!C$5:E$16,2,FALSE))</f>
        <v>Feb</v>
      </c>
      <c r="AC2352">
        <f>MONTH(SalesData[[#This Row],[Date]])</f>
        <v>2</v>
      </c>
      <c r="AD2352">
        <f>Reference!F$4</f>
        <v>2026</v>
      </c>
      <c r="AE2352" t="str">
        <f>IF(OR(SalesData[[#This Row],[Day]]="Saturday",SalesData[[#This Row],[Day]]="Sunday"),"Weekend","Weekday")</f>
        <v>Weekend</v>
      </c>
      <c r="AF2352" s="5">
        <f>IF(SalesData[[#This Row],[Contracts Offered]]=0,0,SalesData[[#This Row],[Contracts Signed]]/SalesData[[#This Row],[Contracts Offered]])</f>
        <v>0.2822085889570552</v>
      </c>
      <c r="AG2352" s="5">
        <f>IF(SalesData[[#This Row],[Customers Visited]]=0,0,SalesData[[#This Row],[Test Drives]]/SalesData[[#This Row],[Customers Visited]])</f>
        <v>0.57499999999999996</v>
      </c>
      <c r="AH2352" s="5">
        <f>IF(SalesData[[#This Row],[Customers Visited]]=0,0,SalesData[[#This Row],[Contracts Signed]]/SalesData[[#This Row],[Customers Visited]])</f>
        <v>0.10454545454545454</v>
      </c>
      <c r="AI2352" s="6">
        <f>IF(SalesData[[#This Row],[Contracts Signed]]=0,0,SalesData[[#This Row],[Profit(€)]]/SalesData[[#This Row],[Contracts Signed]])</f>
        <v>4172</v>
      </c>
      <c r="AJ2352" s="5" t="str">
        <f>TRIM(CLEAN(SalesData[[#This Row],[Retailer]]))</f>
        <v>Bavaria Motors</v>
      </c>
    </row>
    <row r="2353" spans="1:36" ht="14.25" hidden="1" x14ac:dyDescent="0.2">
      <c r="A2353" t="s">
        <v>3412</v>
      </c>
      <c r="B2353" s="1">
        <v>46072</v>
      </c>
      <c r="C2353" t="s">
        <v>62</v>
      </c>
      <c r="D2353" t="s">
        <v>100</v>
      </c>
      <c r="E2353" t="s">
        <v>26</v>
      </c>
      <c r="F2353" t="s">
        <v>83</v>
      </c>
      <c r="G2353" t="s">
        <v>84</v>
      </c>
      <c r="H2353" t="s">
        <v>85</v>
      </c>
      <c r="I2353" t="s">
        <v>104</v>
      </c>
      <c r="J2353" t="s">
        <v>105</v>
      </c>
      <c r="K2353" t="s">
        <v>32</v>
      </c>
      <c r="L2353" t="s">
        <v>33</v>
      </c>
      <c r="M2353" t="s">
        <v>87</v>
      </c>
      <c r="N2353" t="s">
        <v>48</v>
      </c>
      <c r="O2353" t="s">
        <v>70</v>
      </c>
      <c r="P2353" t="s">
        <v>37</v>
      </c>
      <c r="Q2353" t="s">
        <v>38</v>
      </c>
      <c r="R2353">
        <v>321</v>
      </c>
      <c r="S2353">
        <v>137</v>
      </c>
      <c r="T2353">
        <v>91</v>
      </c>
      <c r="U2353">
        <v>17</v>
      </c>
      <c r="V2353" t="s">
        <v>2222</v>
      </c>
      <c r="W2353">
        <v>25839</v>
      </c>
      <c r="X2353" t="s">
        <v>238</v>
      </c>
      <c r="Y2353">
        <v>22586</v>
      </c>
      <c r="Z2353">
        <v>439263</v>
      </c>
      <c r="AA2353">
        <v>55301</v>
      </c>
      <c r="AB2353" t="str">
        <f>(VLOOKUP(SalesData[[#This Row],[Month Number]],Reference!C$5:E$16,2,FALSE))</f>
        <v>Feb</v>
      </c>
      <c r="AC2353">
        <f>MONTH(SalesData[[#This Row],[Date]])</f>
        <v>2</v>
      </c>
      <c r="AD2353">
        <f>Reference!F$4</f>
        <v>2026</v>
      </c>
      <c r="AE2353" t="str">
        <f>IF(OR(SalesData[[#This Row],[Day]]="Saturday",SalesData[[#This Row],[Day]]="Sunday"),"Weekend","Weekday")</f>
        <v>Weekday</v>
      </c>
      <c r="AF2353" s="5">
        <f>IF(SalesData[[#This Row],[Contracts Offered]]=0,0,SalesData[[#This Row],[Contracts Signed]]/SalesData[[#This Row],[Contracts Offered]])</f>
        <v>0.18681318681318682</v>
      </c>
      <c r="AG2353" s="5">
        <f>IF(SalesData[[#This Row],[Customers Visited]]=0,0,SalesData[[#This Row],[Test Drives]]/SalesData[[#This Row],[Customers Visited]])</f>
        <v>0.42679127725856697</v>
      </c>
      <c r="AH2353" s="5">
        <f>IF(SalesData[[#This Row],[Customers Visited]]=0,0,SalesData[[#This Row],[Contracts Signed]]/SalesData[[#This Row],[Customers Visited]])</f>
        <v>5.2959501557632398E-2</v>
      </c>
      <c r="AI2353" s="6">
        <f>IF(SalesData[[#This Row],[Contracts Signed]]=0,0,SalesData[[#This Row],[Profit(€)]]/SalesData[[#This Row],[Contracts Signed]])</f>
        <v>3253</v>
      </c>
      <c r="AJ2353" s="5" t="str">
        <f>TRIM(CLEAN(SalesData[[#This Row],[Retailer]]))</f>
        <v>Hannover Cars</v>
      </c>
    </row>
    <row r="2354" spans="1:36" ht="14.25" hidden="1" x14ac:dyDescent="0.2">
      <c r="A2354" t="s">
        <v>3413</v>
      </c>
      <c r="B2354" s="1">
        <v>46071</v>
      </c>
      <c r="C2354" t="s">
        <v>62</v>
      </c>
      <c r="D2354" t="s">
        <v>82</v>
      </c>
      <c r="E2354" t="s">
        <v>26</v>
      </c>
      <c r="F2354" t="s">
        <v>101</v>
      </c>
      <c r="G2354" t="s">
        <v>102</v>
      </c>
      <c r="H2354" t="s">
        <v>103</v>
      </c>
      <c r="I2354" t="s">
        <v>116</v>
      </c>
      <c r="J2354" t="s">
        <v>203</v>
      </c>
      <c r="K2354" t="s">
        <v>91</v>
      </c>
      <c r="L2354" t="s">
        <v>67</v>
      </c>
      <c r="M2354" t="s">
        <v>47</v>
      </c>
      <c r="N2354" t="s">
        <v>69</v>
      </c>
      <c r="O2354" t="s">
        <v>70</v>
      </c>
      <c r="P2354" t="s">
        <v>49</v>
      </c>
      <c r="Q2354" t="s">
        <v>118</v>
      </c>
      <c r="R2354">
        <v>391</v>
      </c>
      <c r="S2354">
        <v>168</v>
      </c>
      <c r="T2354">
        <v>115</v>
      </c>
      <c r="U2354">
        <v>22</v>
      </c>
      <c r="V2354" t="s">
        <v>2237</v>
      </c>
      <c r="W2354">
        <v>23634</v>
      </c>
      <c r="X2354" t="s">
        <v>5371</v>
      </c>
      <c r="Y2354">
        <v>21479</v>
      </c>
      <c r="Z2354">
        <v>519948</v>
      </c>
      <c r="AA2354">
        <v>47410</v>
      </c>
      <c r="AB2354" t="str">
        <f>(VLOOKUP(SalesData[[#This Row],[Month Number]],Reference!C$5:E$16,2,FALSE))</f>
        <v>Feb</v>
      </c>
      <c r="AC2354">
        <f>MONTH(SalesData[[#This Row],[Date]])</f>
        <v>2</v>
      </c>
      <c r="AD2354">
        <f>Reference!F$4</f>
        <v>2026</v>
      </c>
      <c r="AE2354" t="str">
        <f>IF(OR(SalesData[[#This Row],[Day]]="Saturday",SalesData[[#This Row],[Day]]="Sunday"),"Weekend","Weekday")</f>
        <v>Weekday</v>
      </c>
      <c r="AF2354" s="5">
        <f>IF(SalesData[[#This Row],[Contracts Offered]]=0,0,SalesData[[#This Row],[Contracts Signed]]/SalesData[[#This Row],[Contracts Offered]])</f>
        <v>0.19130434782608696</v>
      </c>
      <c r="AG2354" s="5">
        <f>IF(SalesData[[#This Row],[Customers Visited]]=0,0,SalesData[[#This Row],[Test Drives]]/SalesData[[#This Row],[Customers Visited]])</f>
        <v>0.42966751918158569</v>
      </c>
      <c r="AH2354" s="5">
        <f>IF(SalesData[[#This Row],[Customers Visited]]=0,0,SalesData[[#This Row],[Contracts Signed]]/SalesData[[#This Row],[Customers Visited]])</f>
        <v>5.6265984654731455E-2</v>
      </c>
      <c r="AI2354" s="6">
        <f>IF(SalesData[[#This Row],[Contracts Signed]]=0,0,SalesData[[#This Row],[Profit(€)]]/SalesData[[#This Row],[Contracts Signed]])</f>
        <v>2155</v>
      </c>
      <c r="AJ2354" s="5" t="str">
        <f>TRIM(CLEAN(SalesData[[#This Row],[Retailer]]))</f>
        <v>Ruhr Auto Plaza</v>
      </c>
    </row>
    <row r="2355" spans="1:36" ht="14.25" hidden="1" x14ac:dyDescent="0.2">
      <c r="A2355" t="s">
        <v>3414</v>
      </c>
      <c r="B2355" s="1">
        <v>46058</v>
      </c>
      <c r="C2355" t="s">
        <v>24</v>
      </c>
      <c r="D2355" t="s">
        <v>100</v>
      </c>
      <c r="E2355" t="s">
        <v>26</v>
      </c>
      <c r="F2355" t="s">
        <v>109</v>
      </c>
      <c r="G2355" t="s">
        <v>110</v>
      </c>
      <c r="H2355" t="s">
        <v>45</v>
      </c>
      <c r="I2355" t="s">
        <v>56</v>
      </c>
      <c r="J2355" t="s">
        <v>137</v>
      </c>
      <c r="K2355" t="s">
        <v>32</v>
      </c>
      <c r="L2355" t="s">
        <v>46</v>
      </c>
      <c r="M2355" t="s">
        <v>34</v>
      </c>
      <c r="N2355" t="s">
        <v>35</v>
      </c>
      <c r="O2355" t="s">
        <v>36</v>
      </c>
      <c r="P2355" t="s">
        <v>37</v>
      </c>
      <c r="Q2355" t="s">
        <v>118</v>
      </c>
      <c r="R2355">
        <v>317</v>
      </c>
      <c r="S2355">
        <v>153</v>
      </c>
      <c r="T2355">
        <v>109</v>
      </c>
      <c r="U2355">
        <v>32</v>
      </c>
      <c r="V2355" t="s">
        <v>6952</v>
      </c>
      <c r="W2355">
        <v>44464</v>
      </c>
      <c r="X2355" t="s">
        <v>7106</v>
      </c>
      <c r="Y2355">
        <v>35765</v>
      </c>
      <c r="Z2355">
        <v>1422848</v>
      </c>
      <c r="AA2355">
        <v>278368</v>
      </c>
      <c r="AB2355" t="str">
        <f>(VLOOKUP(SalesData[[#This Row],[Month Number]],Reference!C$5:E$16,2,FALSE))</f>
        <v>Feb</v>
      </c>
      <c r="AC2355">
        <f>MONTH(SalesData[[#This Row],[Date]])</f>
        <v>2</v>
      </c>
      <c r="AD2355">
        <f>Reference!F$4</f>
        <v>2026</v>
      </c>
      <c r="AE2355" t="str">
        <f>IF(OR(SalesData[[#This Row],[Day]]="Saturday",SalesData[[#This Row],[Day]]="Sunday"),"Weekend","Weekday")</f>
        <v>Weekday</v>
      </c>
      <c r="AF2355" s="5">
        <f>IF(SalesData[[#This Row],[Contracts Offered]]=0,0,SalesData[[#This Row],[Contracts Signed]]/SalesData[[#This Row],[Contracts Offered]])</f>
        <v>0.29357798165137616</v>
      </c>
      <c r="AG2355" s="5">
        <f>IF(SalesData[[#This Row],[Customers Visited]]=0,0,SalesData[[#This Row],[Test Drives]]/SalesData[[#This Row],[Customers Visited]])</f>
        <v>0.48264984227129337</v>
      </c>
      <c r="AH2355" s="5">
        <f>IF(SalesData[[#This Row],[Customers Visited]]=0,0,SalesData[[#This Row],[Contracts Signed]]/SalesData[[#This Row],[Customers Visited]])</f>
        <v>0.10094637223974763</v>
      </c>
      <c r="AI2355" s="6">
        <f>IF(SalesData[[#This Row],[Contracts Signed]]=0,0,SalesData[[#This Row],[Profit(€)]]/SalesData[[#This Row],[Contracts Signed]])</f>
        <v>8699</v>
      </c>
      <c r="AJ2355" s="5" t="str">
        <f>TRIM(CLEAN(SalesData[[#This Row],[Retailer]]))</f>
        <v>Leipzig Mobility</v>
      </c>
    </row>
    <row r="2356" spans="1:36" ht="14.25" x14ac:dyDescent="0.2">
      <c r="A2356" t="s">
        <v>3415</v>
      </c>
      <c r="B2356" s="1">
        <v>46074</v>
      </c>
      <c r="C2356" t="s">
        <v>62</v>
      </c>
      <c r="D2356" t="s">
        <v>151</v>
      </c>
      <c r="E2356" t="s">
        <v>42</v>
      </c>
      <c r="F2356" t="s">
        <v>114</v>
      </c>
      <c r="G2356" t="s">
        <v>115</v>
      </c>
      <c r="H2356" t="s">
        <v>115</v>
      </c>
      <c r="I2356" t="s">
        <v>30</v>
      </c>
      <c r="J2356" t="s">
        <v>31</v>
      </c>
      <c r="K2356" t="s">
        <v>32</v>
      </c>
      <c r="L2356" t="s">
        <v>46</v>
      </c>
      <c r="M2356" t="s">
        <v>34</v>
      </c>
      <c r="N2356" t="s">
        <v>35</v>
      </c>
      <c r="O2356" t="s">
        <v>70</v>
      </c>
      <c r="P2356" t="s">
        <v>58</v>
      </c>
      <c r="Q2356" t="s">
        <v>167</v>
      </c>
      <c r="R2356">
        <v>203</v>
      </c>
      <c r="S2356">
        <v>106</v>
      </c>
      <c r="T2356">
        <v>78</v>
      </c>
      <c r="U2356">
        <v>34</v>
      </c>
      <c r="V2356" t="s">
        <v>7530</v>
      </c>
      <c r="W2356">
        <v>64892</v>
      </c>
      <c r="X2356" t="s">
        <v>7035</v>
      </c>
      <c r="Y2356">
        <v>49850</v>
      </c>
      <c r="Z2356">
        <v>2206328</v>
      </c>
      <c r="AA2356">
        <v>511428</v>
      </c>
      <c r="AB2356" t="str">
        <f>(VLOOKUP(SalesData[[#This Row],[Month Number]],Reference!C$5:E$16,2,FALSE))</f>
        <v>Feb</v>
      </c>
      <c r="AC2356">
        <f>MONTH(SalesData[[#This Row],[Date]])</f>
        <v>2</v>
      </c>
      <c r="AD2356">
        <f>Reference!F$4</f>
        <v>2026</v>
      </c>
      <c r="AE2356" t="str">
        <f>IF(OR(SalesData[[#This Row],[Day]]="Saturday",SalesData[[#This Row],[Day]]="Sunday"),"Weekend","Weekday")</f>
        <v>Weekend</v>
      </c>
      <c r="AF2356" s="5">
        <f>IF(SalesData[[#This Row],[Contracts Offered]]=0,0,SalesData[[#This Row],[Contracts Signed]]/SalesData[[#This Row],[Contracts Offered]])</f>
        <v>0.4358974358974359</v>
      </c>
      <c r="AG2356" s="5">
        <f>IF(SalesData[[#This Row],[Customers Visited]]=0,0,SalesData[[#This Row],[Test Drives]]/SalesData[[#This Row],[Customers Visited]])</f>
        <v>0.52216748768472909</v>
      </c>
      <c r="AH2356" s="5">
        <f>IF(SalesData[[#This Row],[Customers Visited]]=0,0,SalesData[[#This Row],[Contracts Signed]]/SalesData[[#This Row],[Customers Visited]])</f>
        <v>0.16748768472906403</v>
      </c>
      <c r="AI2356" s="6">
        <f>IF(SalesData[[#This Row],[Contracts Signed]]=0,0,SalesData[[#This Row],[Profit(€)]]/SalesData[[#This Row],[Contracts Signed]])</f>
        <v>15042</v>
      </c>
      <c r="AJ2356" s="5" t="str">
        <f>TRIM(CLEAN(SalesData[[#This Row],[Retailer]]))</f>
        <v>Elbe Drive</v>
      </c>
    </row>
    <row r="2357" spans="1:36" ht="14.25" hidden="1" x14ac:dyDescent="0.2">
      <c r="A2357" t="s">
        <v>3417</v>
      </c>
      <c r="B2357" s="1">
        <v>46055</v>
      </c>
      <c r="C2357" t="s">
        <v>24</v>
      </c>
      <c r="D2357" t="s">
        <v>25</v>
      </c>
      <c r="E2357" t="s">
        <v>26</v>
      </c>
      <c r="F2357" t="s">
        <v>94</v>
      </c>
      <c r="G2357" t="s">
        <v>95</v>
      </c>
      <c r="H2357" t="s">
        <v>96</v>
      </c>
      <c r="I2357" t="s">
        <v>56</v>
      </c>
      <c r="J2357" t="s">
        <v>97</v>
      </c>
      <c r="K2357" t="s">
        <v>91</v>
      </c>
      <c r="L2357" t="s">
        <v>33</v>
      </c>
      <c r="M2357" t="s">
        <v>68</v>
      </c>
      <c r="N2357" t="s">
        <v>48</v>
      </c>
      <c r="O2357" t="s">
        <v>70</v>
      </c>
      <c r="P2357" t="s">
        <v>49</v>
      </c>
      <c r="Q2357" t="s">
        <v>240</v>
      </c>
      <c r="R2357">
        <v>244</v>
      </c>
      <c r="S2357">
        <v>112</v>
      </c>
      <c r="T2357">
        <v>74</v>
      </c>
      <c r="U2357">
        <v>26</v>
      </c>
      <c r="V2357" t="s">
        <v>6557</v>
      </c>
      <c r="W2357">
        <v>44201</v>
      </c>
      <c r="X2357" t="s">
        <v>2787</v>
      </c>
      <c r="Y2357">
        <v>35964</v>
      </c>
      <c r="Z2357">
        <v>1149226</v>
      </c>
      <c r="AA2357">
        <v>214162</v>
      </c>
      <c r="AB2357" t="str">
        <f>(VLOOKUP(SalesData[[#This Row],[Month Number]],Reference!C$5:E$16,2,FALSE))</f>
        <v>Feb</v>
      </c>
      <c r="AC2357">
        <f>MONTH(SalesData[[#This Row],[Date]])</f>
        <v>2</v>
      </c>
      <c r="AD2357">
        <f>Reference!F$4</f>
        <v>2026</v>
      </c>
      <c r="AE2357" t="str">
        <f>IF(OR(SalesData[[#This Row],[Day]]="Saturday",SalesData[[#This Row],[Day]]="Sunday"),"Weekend","Weekday")</f>
        <v>Weekday</v>
      </c>
      <c r="AF2357" s="5">
        <f>IF(SalesData[[#This Row],[Contracts Offered]]=0,0,SalesData[[#This Row],[Contracts Signed]]/SalesData[[#This Row],[Contracts Offered]])</f>
        <v>0.35135135135135137</v>
      </c>
      <c r="AG2357" s="5">
        <f>IF(SalesData[[#This Row],[Customers Visited]]=0,0,SalesData[[#This Row],[Test Drives]]/SalesData[[#This Row],[Customers Visited]])</f>
        <v>0.45901639344262296</v>
      </c>
      <c r="AH2357" s="5">
        <f>IF(SalesData[[#This Row],[Customers Visited]]=0,0,SalesData[[#This Row],[Contracts Signed]]/SalesData[[#This Row],[Customers Visited]])</f>
        <v>0.10655737704918032</v>
      </c>
      <c r="AI2357" s="6">
        <f>IF(SalesData[[#This Row],[Contracts Signed]]=0,0,SalesData[[#This Row],[Profit(€)]]/SalesData[[#This Row],[Contracts Signed]])</f>
        <v>8237</v>
      </c>
      <c r="AJ2357" s="5" t="str">
        <f>TRIM(CLEAN(SalesData[[#This Row],[Retailer]]))</f>
        <v>Bavaria Motors</v>
      </c>
    </row>
    <row r="2358" spans="1:36" ht="14.25" hidden="1" x14ac:dyDescent="0.2">
      <c r="A2358" t="s">
        <v>3418</v>
      </c>
      <c r="B2358" s="1">
        <v>46064</v>
      </c>
      <c r="C2358" t="s">
        <v>121</v>
      </c>
      <c r="D2358" t="s">
        <v>82</v>
      </c>
      <c r="E2358" t="s">
        <v>26</v>
      </c>
      <c r="F2358" t="s">
        <v>74</v>
      </c>
      <c r="G2358" t="s">
        <v>75</v>
      </c>
      <c r="H2358" t="s">
        <v>76</v>
      </c>
      <c r="I2358" t="s">
        <v>56</v>
      </c>
      <c r="J2358" t="s">
        <v>57</v>
      </c>
      <c r="K2358" t="s">
        <v>78</v>
      </c>
      <c r="L2358" t="s">
        <v>46</v>
      </c>
      <c r="M2358" t="s">
        <v>68</v>
      </c>
      <c r="N2358" t="s">
        <v>69</v>
      </c>
      <c r="O2358" t="s">
        <v>70</v>
      </c>
      <c r="P2358" t="s">
        <v>49</v>
      </c>
      <c r="Q2358" t="s">
        <v>38</v>
      </c>
      <c r="R2358">
        <v>292</v>
      </c>
      <c r="S2358">
        <v>149</v>
      </c>
      <c r="T2358">
        <v>110</v>
      </c>
      <c r="U2358">
        <v>31</v>
      </c>
      <c r="V2358" t="s">
        <v>6661</v>
      </c>
      <c r="W2358">
        <v>52847</v>
      </c>
      <c r="X2358" t="s">
        <v>4223</v>
      </c>
      <c r="Y2358">
        <v>41282</v>
      </c>
      <c r="Z2358">
        <v>1638257</v>
      </c>
      <c r="AA2358">
        <v>358515</v>
      </c>
      <c r="AB2358" t="str">
        <f>(VLOOKUP(SalesData[[#This Row],[Month Number]],Reference!C$5:E$16,2,FALSE))</f>
        <v>Feb</v>
      </c>
      <c r="AC2358">
        <f>MONTH(SalesData[[#This Row],[Date]])</f>
        <v>2</v>
      </c>
      <c r="AD2358">
        <f>Reference!F$4</f>
        <v>2026</v>
      </c>
      <c r="AE2358" t="str">
        <f>IF(OR(SalesData[[#This Row],[Day]]="Saturday",SalesData[[#This Row],[Day]]="Sunday"),"Weekend","Weekday")</f>
        <v>Weekday</v>
      </c>
      <c r="AF2358" s="5">
        <f>IF(SalesData[[#This Row],[Contracts Offered]]=0,0,SalesData[[#This Row],[Contracts Signed]]/SalesData[[#This Row],[Contracts Offered]])</f>
        <v>0.2818181818181818</v>
      </c>
      <c r="AG2358" s="5">
        <f>IF(SalesData[[#This Row],[Customers Visited]]=0,0,SalesData[[#This Row],[Test Drives]]/SalesData[[#This Row],[Customers Visited]])</f>
        <v>0.51027397260273977</v>
      </c>
      <c r="AH2358" s="5">
        <f>IF(SalesData[[#This Row],[Customers Visited]]=0,0,SalesData[[#This Row],[Contracts Signed]]/SalesData[[#This Row],[Customers Visited]])</f>
        <v>0.10616438356164383</v>
      </c>
      <c r="AI2358" s="6">
        <f>IF(SalesData[[#This Row],[Contracts Signed]]=0,0,SalesData[[#This Row],[Profit(€)]]/SalesData[[#This Row],[Contracts Signed]])</f>
        <v>11565</v>
      </c>
      <c r="AJ2358" s="5" t="str">
        <f>TRIM(CLEAN(SalesData[[#This Row],[Retailer]]))</f>
        <v>Stuttgart Auto Center</v>
      </c>
    </row>
    <row r="2359" spans="1:36" ht="14.25" hidden="1" x14ac:dyDescent="0.2">
      <c r="A2359" t="s">
        <v>3419</v>
      </c>
      <c r="B2359" s="1">
        <v>46054</v>
      </c>
      <c r="C2359" t="s">
        <v>24</v>
      </c>
      <c r="D2359" t="s">
        <v>41</v>
      </c>
      <c r="E2359" t="s">
        <v>42</v>
      </c>
      <c r="F2359" t="s">
        <v>27</v>
      </c>
      <c r="G2359" t="s">
        <v>28</v>
      </c>
      <c r="H2359" t="s">
        <v>29</v>
      </c>
      <c r="I2359" t="s">
        <v>104</v>
      </c>
      <c r="J2359" t="s">
        <v>143</v>
      </c>
      <c r="K2359" t="s">
        <v>78</v>
      </c>
      <c r="L2359" t="s">
        <v>67</v>
      </c>
      <c r="M2359" t="s">
        <v>68</v>
      </c>
      <c r="N2359" t="s">
        <v>48</v>
      </c>
      <c r="O2359" t="s">
        <v>36</v>
      </c>
      <c r="P2359" t="s">
        <v>37</v>
      </c>
      <c r="Q2359" t="s">
        <v>152</v>
      </c>
      <c r="R2359">
        <v>472</v>
      </c>
      <c r="S2359">
        <v>204</v>
      </c>
      <c r="T2359">
        <v>125</v>
      </c>
      <c r="U2359">
        <v>24</v>
      </c>
      <c r="V2359" t="s">
        <v>313</v>
      </c>
      <c r="W2359">
        <v>29451</v>
      </c>
      <c r="X2359" t="s">
        <v>583</v>
      </c>
      <c r="Y2359">
        <v>26701</v>
      </c>
      <c r="Z2359">
        <v>706824</v>
      </c>
      <c r="AA2359">
        <v>66000</v>
      </c>
      <c r="AB2359" t="str">
        <f>(VLOOKUP(SalesData[[#This Row],[Month Number]],Reference!C$5:E$16,2,FALSE))</f>
        <v>Feb</v>
      </c>
      <c r="AC2359">
        <f>MONTH(SalesData[[#This Row],[Date]])</f>
        <v>2</v>
      </c>
      <c r="AD2359">
        <f>Reference!F$4</f>
        <v>2026</v>
      </c>
      <c r="AE2359" t="str">
        <f>IF(OR(SalesData[[#This Row],[Day]]="Saturday",SalesData[[#This Row],[Day]]="Sunday"),"Weekend","Weekday")</f>
        <v>Weekend</v>
      </c>
      <c r="AF2359" s="5">
        <f>IF(SalesData[[#This Row],[Contracts Offered]]=0,0,SalesData[[#This Row],[Contracts Signed]]/SalesData[[#This Row],[Contracts Offered]])</f>
        <v>0.192</v>
      </c>
      <c r="AG2359" s="5">
        <f>IF(SalesData[[#This Row],[Customers Visited]]=0,0,SalesData[[#This Row],[Test Drives]]/SalesData[[#This Row],[Customers Visited]])</f>
        <v>0.43220338983050849</v>
      </c>
      <c r="AH2359" s="5">
        <f>IF(SalesData[[#This Row],[Customers Visited]]=0,0,SalesData[[#This Row],[Contracts Signed]]/SalesData[[#This Row],[Customers Visited]])</f>
        <v>5.0847457627118647E-2</v>
      </c>
      <c r="AI2359" s="6">
        <f>IF(SalesData[[#This Row],[Contracts Signed]]=0,0,SalesData[[#This Row],[Profit(€)]]/SalesData[[#This Row],[Contracts Signed]])</f>
        <v>2750</v>
      </c>
      <c r="AJ2359" s="5" t="str">
        <f>TRIM(CLEAN(SalesData[[#This Row],[Retailer]]))</f>
        <v>Main Auto Hub</v>
      </c>
    </row>
    <row r="2360" spans="1:36" ht="14.25" hidden="1" x14ac:dyDescent="0.2">
      <c r="A2360" t="s">
        <v>3420</v>
      </c>
      <c r="B2360" s="1">
        <v>46077</v>
      </c>
      <c r="C2360" t="s">
        <v>53</v>
      </c>
      <c r="D2360" t="s">
        <v>63</v>
      </c>
      <c r="E2360" t="s">
        <v>26</v>
      </c>
      <c r="F2360" t="s">
        <v>127</v>
      </c>
      <c r="G2360" t="s">
        <v>128</v>
      </c>
      <c r="H2360" t="s">
        <v>103</v>
      </c>
      <c r="I2360" t="s">
        <v>56</v>
      </c>
      <c r="J2360" t="s">
        <v>97</v>
      </c>
      <c r="K2360" t="s">
        <v>66</v>
      </c>
      <c r="L2360" t="s">
        <v>33</v>
      </c>
      <c r="M2360" t="s">
        <v>87</v>
      </c>
      <c r="N2360" t="s">
        <v>48</v>
      </c>
      <c r="O2360" t="s">
        <v>36</v>
      </c>
      <c r="P2360" t="s">
        <v>58</v>
      </c>
      <c r="Q2360" t="s">
        <v>240</v>
      </c>
      <c r="R2360">
        <v>183</v>
      </c>
      <c r="S2360">
        <v>97</v>
      </c>
      <c r="T2360">
        <v>62</v>
      </c>
      <c r="U2360">
        <v>27</v>
      </c>
      <c r="V2360" t="s">
        <v>6566</v>
      </c>
      <c r="W2360">
        <v>41907</v>
      </c>
      <c r="X2360" t="s">
        <v>7079</v>
      </c>
      <c r="Y2360">
        <v>33363</v>
      </c>
      <c r="Z2360">
        <v>1131489</v>
      </c>
      <c r="AA2360">
        <v>230688</v>
      </c>
      <c r="AB2360" t="str">
        <f>(VLOOKUP(SalesData[[#This Row],[Month Number]],Reference!C$5:E$16,2,FALSE))</f>
        <v>Feb</v>
      </c>
      <c r="AC2360">
        <f>MONTH(SalesData[[#This Row],[Date]])</f>
        <v>2</v>
      </c>
      <c r="AD2360">
        <f>Reference!F$4</f>
        <v>2026</v>
      </c>
      <c r="AE2360" t="str">
        <f>IF(OR(SalesData[[#This Row],[Day]]="Saturday",SalesData[[#This Row],[Day]]="Sunday"),"Weekend","Weekday")</f>
        <v>Weekday</v>
      </c>
      <c r="AF2360" s="5">
        <f>IF(SalesData[[#This Row],[Contracts Offered]]=0,0,SalesData[[#This Row],[Contracts Signed]]/SalesData[[#This Row],[Contracts Offered]])</f>
        <v>0.43548387096774194</v>
      </c>
      <c r="AG2360" s="5">
        <f>IF(SalesData[[#This Row],[Customers Visited]]=0,0,SalesData[[#This Row],[Test Drives]]/SalesData[[#This Row],[Customers Visited]])</f>
        <v>0.5300546448087432</v>
      </c>
      <c r="AH2360" s="5">
        <f>IF(SalesData[[#This Row],[Customers Visited]]=0,0,SalesData[[#This Row],[Contracts Signed]]/SalesData[[#This Row],[Customers Visited]])</f>
        <v>0.14754098360655737</v>
      </c>
      <c r="AI2360" s="6">
        <f>IF(SalesData[[#This Row],[Contracts Signed]]=0,0,SalesData[[#This Row],[Profit(€)]]/SalesData[[#This Row],[Contracts Signed]])</f>
        <v>8544</v>
      </c>
      <c r="AJ2360" s="5" t="str">
        <f>TRIM(CLEAN(SalesData[[#This Row],[Retailer]]))</f>
        <v>Rhein Auto Group</v>
      </c>
    </row>
    <row r="2361" spans="1:36" ht="14.25" hidden="1" x14ac:dyDescent="0.2">
      <c r="A2361" t="s">
        <v>3421</v>
      </c>
      <c r="B2361" s="1">
        <v>46072</v>
      </c>
      <c r="C2361" t="s">
        <v>62</v>
      </c>
      <c r="D2361" t="s">
        <v>100</v>
      </c>
      <c r="E2361" t="s">
        <v>26</v>
      </c>
      <c r="F2361" t="s">
        <v>94</v>
      </c>
      <c r="G2361" t="s">
        <v>95</v>
      </c>
      <c r="H2361" t="s">
        <v>96</v>
      </c>
      <c r="I2361" t="s">
        <v>56</v>
      </c>
      <c r="J2361" t="s">
        <v>97</v>
      </c>
      <c r="K2361" t="s">
        <v>91</v>
      </c>
      <c r="L2361" t="s">
        <v>33</v>
      </c>
      <c r="M2361" t="s">
        <v>87</v>
      </c>
      <c r="N2361" t="s">
        <v>69</v>
      </c>
      <c r="O2361" t="s">
        <v>36</v>
      </c>
      <c r="P2361" t="s">
        <v>49</v>
      </c>
      <c r="Q2361" t="s">
        <v>122</v>
      </c>
      <c r="R2361">
        <v>297</v>
      </c>
      <c r="S2361">
        <v>149</v>
      </c>
      <c r="T2361">
        <v>105</v>
      </c>
      <c r="U2361">
        <v>37</v>
      </c>
      <c r="V2361" t="s">
        <v>6856</v>
      </c>
      <c r="W2361">
        <v>43595</v>
      </c>
      <c r="X2361" t="s">
        <v>4556</v>
      </c>
      <c r="Y2361">
        <v>32836</v>
      </c>
      <c r="Z2361">
        <v>1613015</v>
      </c>
      <c r="AA2361">
        <v>398083</v>
      </c>
      <c r="AB2361" t="str">
        <f>(VLOOKUP(SalesData[[#This Row],[Month Number]],Reference!C$5:E$16,2,FALSE))</f>
        <v>Feb</v>
      </c>
      <c r="AC2361">
        <f>MONTH(SalesData[[#This Row],[Date]])</f>
        <v>2</v>
      </c>
      <c r="AD2361">
        <f>Reference!F$4</f>
        <v>2026</v>
      </c>
      <c r="AE2361" t="str">
        <f>IF(OR(SalesData[[#This Row],[Day]]="Saturday",SalesData[[#This Row],[Day]]="Sunday"),"Weekend","Weekday")</f>
        <v>Weekday</v>
      </c>
      <c r="AF2361" s="5">
        <f>IF(SalesData[[#This Row],[Contracts Offered]]=0,0,SalesData[[#This Row],[Contracts Signed]]/SalesData[[#This Row],[Contracts Offered]])</f>
        <v>0.35238095238095241</v>
      </c>
      <c r="AG2361" s="5">
        <f>IF(SalesData[[#This Row],[Customers Visited]]=0,0,SalesData[[#This Row],[Test Drives]]/SalesData[[#This Row],[Customers Visited]])</f>
        <v>0.50168350168350173</v>
      </c>
      <c r="AH2361" s="5">
        <f>IF(SalesData[[#This Row],[Customers Visited]]=0,0,SalesData[[#This Row],[Contracts Signed]]/SalesData[[#This Row],[Customers Visited]])</f>
        <v>0.12457912457912458</v>
      </c>
      <c r="AI2361" s="6">
        <f>IF(SalesData[[#This Row],[Contracts Signed]]=0,0,SalesData[[#This Row],[Profit(€)]]/SalesData[[#This Row],[Contracts Signed]])</f>
        <v>10759</v>
      </c>
      <c r="AJ2361" s="5" t="str">
        <f>TRIM(CLEAN(SalesData[[#This Row],[Retailer]]))</f>
        <v>Bavaria Motors</v>
      </c>
    </row>
    <row r="2362" spans="1:36" ht="14.25" hidden="1" x14ac:dyDescent="0.2">
      <c r="A2362" t="s">
        <v>3422</v>
      </c>
      <c r="B2362" s="1">
        <v>46059</v>
      </c>
      <c r="C2362" t="s">
        <v>24</v>
      </c>
      <c r="D2362" t="s">
        <v>54</v>
      </c>
      <c r="E2362" t="s">
        <v>26</v>
      </c>
      <c r="F2362" t="s">
        <v>43</v>
      </c>
      <c r="G2362" t="s">
        <v>44</v>
      </c>
      <c r="H2362" t="s">
        <v>45</v>
      </c>
      <c r="I2362" t="s">
        <v>56</v>
      </c>
      <c r="J2362" t="s">
        <v>97</v>
      </c>
      <c r="K2362" t="s">
        <v>91</v>
      </c>
      <c r="L2362" t="s">
        <v>33</v>
      </c>
      <c r="M2362" t="s">
        <v>47</v>
      </c>
      <c r="N2362" t="s">
        <v>48</v>
      </c>
      <c r="O2362" t="s">
        <v>36</v>
      </c>
      <c r="P2362" t="s">
        <v>49</v>
      </c>
      <c r="Q2362" t="s">
        <v>347</v>
      </c>
      <c r="R2362">
        <v>241</v>
      </c>
      <c r="S2362">
        <v>139</v>
      </c>
      <c r="T2362">
        <v>90</v>
      </c>
      <c r="U2362">
        <v>26</v>
      </c>
      <c r="V2362" t="s">
        <v>1361</v>
      </c>
      <c r="W2362">
        <v>52827</v>
      </c>
      <c r="X2362" t="s">
        <v>7109</v>
      </c>
      <c r="Y2362">
        <v>41110</v>
      </c>
      <c r="Z2362">
        <v>1373502</v>
      </c>
      <c r="AA2362">
        <v>304642</v>
      </c>
      <c r="AB2362" t="str">
        <f>(VLOOKUP(SalesData[[#This Row],[Month Number]],Reference!C$5:E$16,2,FALSE))</f>
        <v>Feb</v>
      </c>
      <c r="AC2362">
        <f>MONTH(SalesData[[#This Row],[Date]])</f>
        <v>2</v>
      </c>
      <c r="AD2362">
        <f>Reference!F$4</f>
        <v>2026</v>
      </c>
      <c r="AE2362" t="str">
        <f>IF(OR(SalesData[[#This Row],[Day]]="Saturday",SalesData[[#This Row],[Day]]="Sunday"),"Weekend","Weekday")</f>
        <v>Weekday</v>
      </c>
      <c r="AF2362" s="5">
        <f>IF(SalesData[[#This Row],[Contracts Offered]]=0,0,SalesData[[#This Row],[Contracts Signed]]/SalesData[[#This Row],[Contracts Offered]])</f>
        <v>0.28888888888888886</v>
      </c>
      <c r="AG2362" s="5">
        <f>IF(SalesData[[#This Row],[Customers Visited]]=0,0,SalesData[[#This Row],[Test Drives]]/SalesData[[#This Row],[Customers Visited]])</f>
        <v>0.57676348547717837</v>
      </c>
      <c r="AH2362" s="5">
        <f>IF(SalesData[[#This Row],[Customers Visited]]=0,0,SalesData[[#This Row],[Contracts Signed]]/SalesData[[#This Row],[Customers Visited]])</f>
        <v>0.1078838174273859</v>
      </c>
      <c r="AI2362" s="6">
        <f>IF(SalesData[[#This Row],[Contracts Signed]]=0,0,SalesData[[#This Row],[Profit(€)]]/SalesData[[#This Row],[Contracts Signed]])</f>
        <v>11717</v>
      </c>
      <c r="AJ2362" s="5" t="str">
        <f>TRIM(CLEAN(SalesData[[#This Row],[Retailer]]))</f>
        <v>Saxon Wheels</v>
      </c>
    </row>
    <row r="2363" spans="1:36" ht="14.25" hidden="1" x14ac:dyDescent="0.2">
      <c r="A2363" t="s">
        <v>3423</v>
      </c>
      <c r="B2363" s="1">
        <v>46062</v>
      </c>
      <c r="C2363" t="s">
        <v>121</v>
      </c>
      <c r="D2363" t="s">
        <v>25</v>
      </c>
      <c r="E2363" t="s">
        <v>26</v>
      </c>
      <c r="F2363" t="s">
        <v>94</v>
      </c>
      <c r="G2363" t="s">
        <v>95</v>
      </c>
      <c r="H2363" t="s">
        <v>96</v>
      </c>
      <c r="I2363" t="s">
        <v>56</v>
      </c>
      <c r="J2363" t="s">
        <v>57</v>
      </c>
      <c r="K2363" t="s">
        <v>91</v>
      </c>
      <c r="L2363" t="s">
        <v>46</v>
      </c>
      <c r="M2363" t="s">
        <v>87</v>
      </c>
      <c r="N2363" t="s">
        <v>48</v>
      </c>
      <c r="O2363" t="s">
        <v>70</v>
      </c>
      <c r="P2363" t="s">
        <v>58</v>
      </c>
      <c r="Q2363" t="s">
        <v>172</v>
      </c>
      <c r="R2363">
        <v>267</v>
      </c>
      <c r="S2363">
        <v>136</v>
      </c>
      <c r="T2363">
        <v>94</v>
      </c>
      <c r="U2363">
        <v>39</v>
      </c>
      <c r="V2363" t="s">
        <v>6866</v>
      </c>
      <c r="W2363">
        <v>51202</v>
      </c>
      <c r="X2363" t="s">
        <v>7391</v>
      </c>
      <c r="Y2363">
        <v>39400</v>
      </c>
      <c r="Z2363">
        <v>1996878</v>
      </c>
      <c r="AA2363">
        <v>460278</v>
      </c>
      <c r="AB2363" t="str">
        <f>(VLOOKUP(SalesData[[#This Row],[Month Number]],Reference!C$5:E$16,2,FALSE))</f>
        <v>Feb</v>
      </c>
      <c r="AC2363">
        <f>MONTH(SalesData[[#This Row],[Date]])</f>
        <v>2</v>
      </c>
      <c r="AD2363">
        <f>Reference!F$4</f>
        <v>2026</v>
      </c>
      <c r="AE2363" t="str">
        <f>IF(OR(SalesData[[#This Row],[Day]]="Saturday",SalesData[[#This Row],[Day]]="Sunday"),"Weekend","Weekday")</f>
        <v>Weekday</v>
      </c>
      <c r="AF2363" s="5">
        <f>IF(SalesData[[#This Row],[Contracts Offered]]=0,0,SalesData[[#This Row],[Contracts Signed]]/SalesData[[#This Row],[Contracts Offered]])</f>
        <v>0.41489361702127658</v>
      </c>
      <c r="AG2363" s="5">
        <f>IF(SalesData[[#This Row],[Customers Visited]]=0,0,SalesData[[#This Row],[Test Drives]]/SalesData[[#This Row],[Customers Visited]])</f>
        <v>0.50936329588014984</v>
      </c>
      <c r="AH2363" s="5">
        <f>IF(SalesData[[#This Row],[Customers Visited]]=0,0,SalesData[[#This Row],[Contracts Signed]]/SalesData[[#This Row],[Customers Visited]])</f>
        <v>0.14606741573033707</v>
      </c>
      <c r="AI2363" s="6">
        <f>IF(SalesData[[#This Row],[Contracts Signed]]=0,0,SalesData[[#This Row],[Profit(€)]]/SalesData[[#This Row],[Contracts Signed]])</f>
        <v>11802</v>
      </c>
      <c r="AJ2363" s="5" t="str">
        <f>TRIM(CLEAN(SalesData[[#This Row],[Retailer]]))</f>
        <v>Bavaria Motors</v>
      </c>
    </row>
    <row r="2364" spans="1:36" ht="14.25" hidden="1" x14ac:dyDescent="0.2">
      <c r="A2364" t="s">
        <v>3424</v>
      </c>
      <c r="B2364" s="1">
        <v>46059</v>
      </c>
      <c r="C2364" t="s">
        <v>24</v>
      </c>
      <c r="D2364" t="s">
        <v>54</v>
      </c>
      <c r="E2364" t="s">
        <v>26</v>
      </c>
      <c r="F2364" t="s">
        <v>74</v>
      </c>
      <c r="G2364" t="s">
        <v>75</v>
      </c>
      <c r="H2364" t="s">
        <v>76</v>
      </c>
      <c r="I2364" t="s">
        <v>64</v>
      </c>
      <c r="J2364" t="s">
        <v>77</v>
      </c>
      <c r="K2364" t="s">
        <v>66</v>
      </c>
      <c r="L2364" t="s">
        <v>46</v>
      </c>
      <c r="M2364" t="s">
        <v>87</v>
      </c>
      <c r="N2364" t="s">
        <v>69</v>
      </c>
      <c r="O2364" t="s">
        <v>36</v>
      </c>
      <c r="P2364" t="s">
        <v>49</v>
      </c>
      <c r="Q2364" t="s">
        <v>204</v>
      </c>
      <c r="R2364">
        <v>249</v>
      </c>
      <c r="S2364">
        <v>142</v>
      </c>
      <c r="T2364">
        <v>112</v>
      </c>
      <c r="U2364">
        <v>38</v>
      </c>
      <c r="V2364" t="s">
        <v>6829</v>
      </c>
      <c r="W2364">
        <v>71194</v>
      </c>
      <c r="X2364" t="s">
        <v>7348</v>
      </c>
      <c r="Y2364">
        <v>54106</v>
      </c>
      <c r="Z2364">
        <v>2705372</v>
      </c>
      <c r="AA2364">
        <v>649344</v>
      </c>
      <c r="AB2364" t="str">
        <f>(VLOOKUP(SalesData[[#This Row],[Month Number]],Reference!C$5:E$16,2,FALSE))</f>
        <v>Feb</v>
      </c>
      <c r="AC2364">
        <f>MONTH(SalesData[[#This Row],[Date]])</f>
        <v>2</v>
      </c>
      <c r="AD2364">
        <f>Reference!F$4</f>
        <v>2026</v>
      </c>
      <c r="AE2364" t="str">
        <f>IF(OR(SalesData[[#This Row],[Day]]="Saturday",SalesData[[#This Row],[Day]]="Sunday"),"Weekend","Weekday")</f>
        <v>Weekday</v>
      </c>
      <c r="AF2364" s="5">
        <f>IF(SalesData[[#This Row],[Contracts Offered]]=0,0,SalesData[[#This Row],[Contracts Signed]]/SalesData[[#This Row],[Contracts Offered]])</f>
        <v>0.3392857142857143</v>
      </c>
      <c r="AG2364" s="5">
        <f>IF(SalesData[[#This Row],[Customers Visited]]=0,0,SalesData[[#This Row],[Test Drives]]/SalesData[[#This Row],[Customers Visited]])</f>
        <v>0.57028112449799195</v>
      </c>
      <c r="AH2364" s="5">
        <f>IF(SalesData[[#This Row],[Customers Visited]]=0,0,SalesData[[#This Row],[Contracts Signed]]/SalesData[[#This Row],[Customers Visited]])</f>
        <v>0.15261044176706828</v>
      </c>
      <c r="AI2364" s="6">
        <f>IF(SalesData[[#This Row],[Contracts Signed]]=0,0,SalesData[[#This Row],[Profit(€)]]/SalesData[[#This Row],[Contracts Signed]])</f>
        <v>17088</v>
      </c>
      <c r="AJ2364" s="5" t="str">
        <f>TRIM(CLEAN(SalesData[[#This Row],[Retailer]]))</f>
        <v>Stuttgart Auto Center</v>
      </c>
    </row>
    <row r="2365" spans="1:36" ht="14.25" hidden="1" x14ac:dyDescent="0.2">
      <c r="A2365" t="s">
        <v>3425</v>
      </c>
      <c r="B2365" s="1">
        <v>46064</v>
      </c>
      <c r="C2365" t="s">
        <v>121</v>
      </c>
      <c r="D2365" t="s">
        <v>82</v>
      </c>
      <c r="E2365" t="s">
        <v>26</v>
      </c>
      <c r="F2365" t="s">
        <v>7649</v>
      </c>
      <c r="G2365" t="s">
        <v>55</v>
      </c>
      <c r="H2365" t="s">
        <v>55</v>
      </c>
      <c r="I2365" t="s">
        <v>56</v>
      </c>
      <c r="J2365" t="s">
        <v>7028</v>
      </c>
      <c r="K2365" t="s">
        <v>66</v>
      </c>
      <c r="L2365" t="s">
        <v>46</v>
      </c>
      <c r="M2365" t="s">
        <v>34</v>
      </c>
      <c r="N2365" t="s">
        <v>48</v>
      </c>
      <c r="O2365" t="s">
        <v>70</v>
      </c>
      <c r="P2365" t="s">
        <v>71</v>
      </c>
      <c r="Q2365" t="s">
        <v>88</v>
      </c>
      <c r="R2365">
        <v>247</v>
      </c>
      <c r="S2365">
        <v>117</v>
      </c>
      <c r="T2365">
        <v>76</v>
      </c>
      <c r="U2365">
        <v>28</v>
      </c>
      <c r="V2365" t="s">
        <v>6535</v>
      </c>
      <c r="W2365">
        <v>45806</v>
      </c>
      <c r="X2365" t="s">
        <v>7114</v>
      </c>
      <c r="Y2365">
        <v>36375</v>
      </c>
      <c r="Z2365">
        <v>1282568</v>
      </c>
      <c r="AA2365">
        <v>264068</v>
      </c>
      <c r="AB2365" t="str">
        <f>(VLOOKUP(SalesData[[#This Row],[Month Number]],Reference!C$5:E$16,2,FALSE))</f>
        <v>Feb</v>
      </c>
      <c r="AC2365">
        <f>MONTH(SalesData[[#This Row],[Date]])</f>
        <v>2</v>
      </c>
      <c r="AD2365">
        <f>Reference!F$4</f>
        <v>2026</v>
      </c>
      <c r="AE2365" t="str">
        <f>IF(OR(SalesData[[#This Row],[Day]]="Saturday",SalesData[[#This Row],[Day]]="Sunday"),"Weekend","Weekday")</f>
        <v>Weekday</v>
      </c>
      <c r="AF2365" s="5">
        <f>IF(SalesData[[#This Row],[Contracts Offered]]=0,0,SalesData[[#This Row],[Contracts Signed]]/SalesData[[#This Row],[Contracts Offered]])</f>
        <v>0.36842105263157893</v>
      </c>
      <c r="AG2365" s="5">
        <f>IF(SalesData[[#This Row],[Customers Visited]]=0,0,SalesData[[#This Row],[Test Drives]]/SalesData[[#This Row],[Customers Visited]])</f>
        <v>0.47368421052631576</v>
      </c>
      <c r="AH2365" s="5">
        <f>IF(SalesData[[#This Row],[Customers Visited]]=0,0,SalesData[[#This Row],[Contracts Signed]]/SalesData[[#This Row],[Customers Visited]])</f>
        <v>0.11336032388663968</v>
      </c>
      <c r="AI2365" s="6">
        <f>IF(SalesData[[#This Row],[Contracts Signed]]=0,0,SalesData[[#This Row],[Profit(€)]]/SalesData[[#This Row],[Contracts Signed]])</f>
        <v>9431</v>
      </c>
      <c r="AJ2365" s="5" t="str">
        <f>TRIM(CLEAN(SalesData[[#This Row],[Retailer]]))</f>
        <v>Autohaus Berlin</v>
      </c>
    </row>
    <row r="2366" spans="1:36" ht="14.25" hidden="1" x14ac:dyDescent="0.2">
      <c r="A2366" t="s">
        <v>3426</v>
      </c>
      <c r="B2366" s="1">
        <v>46066</v>
      </c>
      <c r="C2366" t="s">
        <v>121</v>
      </c>
      <c r="D2366" t="s">
        <v>54</v>
      </c>
      <c r="E2366" t="s">
        <v>26</v>
      </c>
      <c r="F2366" t="s">
        <v>74</v>
      </c>
      <c r="G2366" t="s">
        <v>75</v>
      </c>
      <c r="H2366" t="s">
        <v>76</v>
      </c>
      <c r="I2366" t="s">
        <v>56</v>
      </c>
      <c r="J2366" t="s">
        <v>137</v>
      </c>
      <c r="K2366" t="s">
        <v>66</v>
      </c>
      <c r="L2366" t="s">
        <v>46</v>
      </c>
      <c r="M2366" t="s">
        <v>68</v>
      </c>
      <c r="N2366" t="s">
        <v>48</v>
      </c>
      <c r="O2366" t="s">
        <v>36</v>
      </c>
      <c r="P2366" t="s">
        <v>49</v>
      </c>
      <c r="Q2366" t="s">
        <v>158</v>
      </c>
      <c r="R2366">
        <v>249</v>
      </c>
      <c r="S2366">
        <v>150</v>
      </c>
      <c r="T2366">
        <v>98</v>
      </c>
      <c r="U2366">
        <v>32</v>
      </c>
      <c r="V2366" t="s">
        <v>6423</v>
      </c>
      <c r="W2366">
        <v>49073</v>
      </c>
      <c r="X2366" t="s">
        <v>7445</v>
      </c>
      <c r="Y2366">
        <v>38385</v>
      </c>
      <c r="Z2366">
        <v>1570336</v>
      </c>
      <c r="AA2366">
        <v>342016</v>
      </c>
      <c r="AB2366" t="str">
        <f>(VLOOKUP(SalesData[[#This Row],[Month Number]],Reference!C$5:E$16,2,FALSE))</f>
        <v>Feb</v>
      </c>
      <c r="AC2366">
        <f>MONTH(SalesData[[#This Row],[Date]])</f>
        <v>2</v>
      </c>
      <c r="AD2366">
        <f>Reference!F$4</f>
        <v>2026</v>
      </c>
      <c r="AE2366" t="str">
        <f>IF(OR(SalesData[[#This Row],[Day]]="Saturday",SalesData[[#This Row],[Day]]="Sunday"),"Weekend","Weekday")</f>
        <v>Weekday</v>
      </c>
      <c r="AF2366" s="5">
        <f>IF(SalesData[[#This Row],[Contracts Offered]]=0,0,SalesData[[#This Row],[Contracts Signed]]/SalesData[[#This Row],[Contracts Offered]])</f>
        <v>0.32653061224489793</v>
      </c>
      <c r="AG2366" s="5">
        <f>IF(SalesData[[#This Row],[Customers Visited]]=0,0,SalesData[[#This Row],[Test Drives]]/SalesData[[#This Row],[Customers Visited]])</f>
        <v>0.60240963855421692</v>
      </c>
      <c r="AH2366" s="5">
        <f>IF(SalesData[[#This Row],[Customers Visited]]=0,0,SalesData[[#This Row],[Contracts Signed]]/SalesData[[#This Row],[Customers Visited]])</f>
        <v>0.12851405622489959</v>
      </c>
      <c r="AI2366" s="6">
        <f>IF(SalesData[[#This Row],[Contracts Signed]]=0,0,SalesData[[#This Row],[Profit(€)]]/SalesData[[#This Row],[Contracts Signed]])</f>
        <v>10688</v>
      </c>
      <c r="AJ2366" s="5" t="str">
        <f>TRIM(CLEAN(SalesData[[#This Row],[Retailer]]))</f>
        <v>Stuttgart Auto Center</v>
      </c>
    </row>
    <row r="2367" spans="1:36" ht="14.25" hidden="1" x14ac:dyDescent="0.2">
      <c r="A2367" t="s">
        <v>3428</v>
      </c>
      <c r="B2367" s="1">
        <v>46068</v>
      </c>
      <c r="C2367" t="s">
        <v>62</v>
      </c>
      <c r="D2367" t="s">
        <v>41</v>
      </c>
      <c r="E2367" t="s">
        <v>42</v>
      </c>
      <c r="F2367" t="s">
        <v>94</v>
      </c>
      <c r="G2367" t="s">
        <v>95</v>
      </c>
      <c r="H2367" t="s">
        <v>96</v>
      </c>
      <c r="I2367" t="s">
        <v>64</v>
      </c>
      <c r="J2367" t="s">
        <v>77</v>
      </c>
      <c r="K2367" t="s">
        <v>32</v>
      </c>
      <c r="L2367" t="s">
        <v>46</v>
      </c>
      <c r="M2367" t="s">
        <v>34</v>
      </c>
      <c r="N2367" t="s">
        <v>48</v>
      </c>
      <c r="O2367" t="s">
        <v>36</v>
      </c>
      <c r="P2367" t="s">
        <v>58</v>
      </c>
      <c r="Q2367" t="s">
        <v>59</v>
      </c>
      <c r="R2367">
        <v>152</v>
      </c>
      <c r="S2367">
        <v>75</v>
      </c>
      <c r="T2367">
        <v>56</v>
      </c>
      <c r="U2367">
        <v>21</v>
      </c>
      <c r="V2367" t="s">
        <v>6544</v>
      </c>
      <c r="W2367">
        <v>60397</v>
      </c>
      <c r="X2367" t="s">
        <v>307</v>
      </c>
      <c r="Y2367">
        <v>45721</v>
      </c>
      <c r="Z2367">
        <v>1268337</v>
      </c>
      <c r="AA2367">
        <v>308196</v>
      </c>
      <c r="AB2367" t="str">
        <f>(VLOOKUP(SalesData[[#This Row],[Month Number]],Reference!C$5:E$16,2,FALSE))</f>
        <v>Feb</v>
      </c>
      <c r="AC2367">
        <f>MONTH(SalesData[[#This Row],[Date]])</f>
        <v>2</v>
      </c>
      <c r="AD2367">
        <f>Reference!F$4</f>
        <v>2026</v>
      </c>
      <c r="AE2367" t="str">
        <f>IF(OR(SalesData[[#This Row],[Day]]="Saturday",SalesData[[#This Row],[Day]]="Sunday"),"Weekend","Weekday")</f>
        <v>Weekend</v>
      </c>
      <c r="AF2367" s="5">
        <f>IF(SalesData[[#This Row],[Contracts Offered]]=0,0,SalesData[[#This Row],[Contracts Signed]]/SalesData[[#This Row],[Contracts Offered]])</f>
        <v>0.375</v>
      </c>
      <c r="AG2367" s="5">
        <f>IF(SalesData[[#This Row],[Customers Visited]]=0,0,SalesData[[#This Row],[Test Drives]]/SalesData[[#This Row],[Customers Visited]])</f>
        <v>0.49342105263157893</v>
      </c>
      <c r="AH2367" s="5">
        <f>IF(SalesData[[#This Row],[Customers Visited]]=0,0,SalesData[[#This Row],[Contracts Signed]]/SalesData[[#This Row],[Customers Visited]])</f>
        <v>0.13815789473684212</v>
      </c>
      <c r="AI2367" s="6">
        <f>IF(SalesData[[#This Row],[Contracts Signed]]=0,0,SalesData[[#This Row],[Profit(€)]]/SalesData[[#This Row],[Contracts Signed]])</f>
        <v>14676</v>
      </c>
      <c r="AJ2367" s="5" t="str">
        <f>TRIM(CLEAN(SalesData[[#This Row],[Retailer]]))</f>
        <v>Bavaria Motors</v>
      </c>
    </row>
    <row r="2368" spans="1:36" ht="14.25" hidden="1" x14ac:dyDescent="0.2">
      <c r="A2368" t="s">
        <v>3429</v>
      </c>
      <c r="B2368" s="1">
        <v>46063</v>
      </c>
      <c r="C2368" t="s">
        <v>121</v>
      </c>
      <c r="D2368" t="s">
        <v>63</v>
      </c>
      <c r="E2368" t="s">
        <v>26</v>
      </c>
      <c r="F2368" t="s">
        <v>94</v>
      </c>
      <c r="G2368" t="s">
        <v>95</v>
      </c>
      <c r="H2368" t="s">
        <v>96</v>
      </c>
      <c r="I2368" t="s">
        <v>116</v>
      </c>
      <c r="J2368" t="s">
        <v>132</v>
      </c>
      <c r="K2368" t="s">
        <v>91</v>
      </c>
      <c r="L2368" t="s">
        <v>46</v>
      </c>
      <c r="M2368" t="s">
        <v>34</v>
      </c>
      <c r="N2368" t="s">
        <v>69</v>
      </c>
      <c r="O2368" t="s">
        <v>36</v>
      </c>
      <c r="P2368" t="s">
        <v>58</v>
      </c>
      <c r="Q2368" t="s">
        <v>347</v>
      </c>
      <c r="R2368">
        <v>341</v>
      </c>
      <c r="S2368">
        <v>146</v>
      </c>
      <c r="T2368">
        <v>101</v>
      </c>
      <c r="U2368">
        <v>33</v>
      </c>
      <c r="V2368" t="s">
        <v>6750</v>
      </c>
      <c r="W2368">
        <v>26539</v>
      </c>
      <c r="X2368" t="s">
        <v>1038</v>
      </c>
      <c r="Y2368">
        <v>24061</v>
      </c>
      <c r="Z2368">
        <v>875787</v>
      </c>
      <c r="AA2368">
        <v>81774</v>
      </c>
      <c r="AB2368" t="str">
        <f>(VLOOKUP(SalesData[[#This Row],[Month Number]],Reference!C$5:E$16,2,FALSE))</f>
        <v>Feb</v>
      </c>
      <c r="AC2368">
        <f>MONTH(SalesData[[#This Row],[Date]])</f>
        <v>2</v>
      </c>
      <c r="AD2368">
        <f>Reference!F$4</f>
        <v>2026</v>
      </c>
      <c r="AE2368" t="str">
        <f>IF(OR(SalesData[[#This Row],[Day]]="Saturday",SalesData[[#This Row],[Day]]="Sunday"),"Weekend","Weekday")</f>
        <v>Weekday</v>
      </c>
      <c r="AF2368" s="5">
        <f>IF(SalesData[[#This Row],[Contracts Offered]]=0,0,SalesData[[#This Row],[Contracts Signed]]/SalesData[[#This Row],[Contracts Offered]])</f>
        <v>0.32673267326732675</v>
      </c>
      <c r="AG2368" s="5">
        <f>IF(SalesData[[#This Row],[Customers Visited]]=0,0,SalesData[[#This Row],[Test Drives]]/SalesData[[#This Row],[Customers Visited]])</f>
        <v>0.42815249266862171</v>
      </c>
      <c r="AH2368" s="5">
        <f>IF(SalesData[[#This Row],[Customers Visited]]=0,0,SalesData[[#This Row],[Contracts Signed]]/SalesData[[#This Row],[Customers Visited]])</f>
        <v>9.6774193548387094E-2</v>
      </c>
      <c r="AI2368" s="6">
        <f>IF(SalesData[[#This Row],[Contracts Signed]]=0,0,SalesData[[#This Row],[Profit(€)]]/SalesData[[#This Row],[Contracts Signed]])</f>
        <v>2478</v>
      </c>
      <c r="AJ2368" s="5" t="str">
        <f>TRIM(CLEAN(SalesData[[#This Row],[Retailer]]))</f>
        <v>Bavaria Motors</v>
      </c>
    </row>
    <row r="2369" spans="1:36" ht="14.25" hidden="1" x14ac:dyDescent="0.2">
      <c r="A2369" t="s">
        <v>3430</v>
      </c>
      <c r="B2369" s="1">
        <v>46068</v>
      </c>
      <c r="C2369" t="s">
        <v>62</v>
      </c>
      <c r="D2369" t="s">
        <v>41</v>
      </c>
      <c r="E2369" t="s">
        <v>42</v>
      </c>
      <c r="F2369" t="s">
        <v>94</v>
      </c>
      <c r="G2369" t="s">
        <v>95</v>
      </c>
      <c r="H2369" t="s">
        <v>96</v>
      </c>
      <c r="I2369" t="s">
        <v>116</v>
      </c>
      <c r="J2369" t="s">
        <v>132</v>
      </c>
      <c r="K2369" t="s">
        <v>78</v>
      </c>
      <c r="L2369" t="s">
        <v>46</v>
      </c>
      <c r="M2369" t="s">
        <v>68</v>
      </c>
      <c r="N2369" t="s">
        <v>69</v>
      </c>
      <c r="O2369" t="s">
        <v>36</v>
      </c>
      <c r="P2369" t="s">
        <v>58</v>
      </c>
      <c r="Q2369" t="s">
        <v>169</v>
      </c>
      <c r="R2369">
        <v>411</v>
      </c>
      <c r="S2369">
        <v>161</v>
      </c>
      <c r="T2369">
        <v>92</v>
      </c>
      <c r="U2369">
        <v>37</v>
      </c>
      <c r="V2369" t="s">
        <v>6819</v>
      </c>
      <c r="W2369">
        <v>21681</v>
      </c>
      <c r="X2369" t="s">
        <v>1883</v>
      </c>
      <c r="Y2369">
        <v>19827</v>
      </c>
      <c r="Z2369">
        <v>802197</v>
      </c>
      <c r="AA2369">
        <v>68598</v>
      </c>
      <c r="AB2369" t="str">
        <f>(VLOOKUP(SalesData[[#This Row],[Month Number]],Reference!C$5:E$16,2,FALSE))</f>
        <v>Feb</v>
      </c>
      <c r="AC2369">
        <f>MONTH(SalesData[[#This Row],[Date]])</f>
        <v>2</v>
      </c>
      <c r="AD2369">
        <f>Reference!F$4</f>
        <v>2026</v>
      </c>
      <c r="AE2369" t="str">
        <f>IF(OR(SalesData[[#This Row],[Day]]="Saturday",SalesData[[#This Row],[Day]]="Sunday"),"Weekend","Weekday")</f>
        <v>Weekend</v>
      </c>
      <c r="AF2369" s="5">
        <f>IF(SalesData[[#This Row],[Contracts Offered]]=0,0,SalesData[[#This Row],[Contracts Signed]]/SalesData[[#This Row],[Contracts Offered]])</f>
        <v>0.40217391304347827</v>
      </c>
      <c r="AG2369" s="5">
        <f>IF(SalesData[[#This Row],[Customers Visited]]=0,0,SalesData[[#This Row],[Test Drives]]/SalesData[[#This Row],[Customers Visited]])</f>
        <v>0.39172749391727496</v>
      </c>
      <c r="AH2369" s="5">
        <f>IF(SalesData[[#This Row],[Customers Visited]]=0,0,SalesData[[#This Row],[Contracts Signed]]/SalesData[[#This Row],[Customers Visited]])</f>
        <v>9.002433090024331E-2</v>
      </c>
      <c r="AI2369" s="6">
        <f>IF(SalesData[[#This Row],[Contracts Signed]]=0,0,SalesData[[#This Row],[Profit(€)]]/SalesData[[#This Row],[Contracts Signed]])</f>
        <v>1854</v>
      </c>
      <c r="AJ2369" s="5" t="str">
        <f>TRIM(CLEAN(SalesData[[#This Row],[Retailer]]))</f>
        <v>Bavaria Motors</v>
      </c>
    </row>
    <row r="2370" spans="1:36" ht="14.25" hidden="1" x14ac:dyDescent="0.2">
      <c r="A2370" t="s">
        <v>3431</v>
      </c>
      <c r="B2370" s="1">
        <v>46081</v>
      </c>
      <c r="C2370" t="s">
        <v>53</v>
      </c>
      <c r="D2370" t="s">
        <v>151</v>
      </c>
      <c r="E2370" t="s">
        <v>42</v>
      </c>
      <c r="F2370" t="s">
        <v>114</v>
      </c>
      <c r="G2370" t="s">
        <v>115</v>
      </c>
      <c r="H2370" t="s">
        <v>115</v>
      </c>
      <c r="I2370" t="s">
        <v>64</v>
      </c>
      <c r="J2370" t="s">
        <v>111</v>
      </c>
      <c r="K2370" t="s">
        <v>78</v>
      </c>
      <c r="L2370" t="s">
        <v>46</v>
      </c>
      <c r="M2370" t="s">
        <v>68</v>
      </c>
      <c r="N2370" t="s">
        <v>69</v>
      </c>
      <c r="O2370" t="s">
        <v>36</v>
      </c>
      <c r="P2370" t="s">
        <v>71</v>
      </c>
      <c r="Q2370" t="s">
        <v>59</v>
      </c>
      <c r="R2370">
        <v>242</v>
      </c>
      <c r="S2370">
        <v>128</v>
      </c>
      <c r="T2370">
        <v>85</v>
      </c>
      <c r="U2370">
        <v>37</v>
      </c>
      <c r="V2370" t="s">
        <v>6666</v>
      </c>
      <c r="W2370">
        <v>58302</v>
      </c>
      <c r="X2370" t="s">
        <v>7149</v>
      </c>
      <c r="Y2370">
        <v>42460</v>
      </c>
      <c r="Z2370">
        <v>2157174</v>
      </c>
      <c r="AA2370">
        <v>586154</v>
      </c>
      <c r="AB2370" t="str">
        <f>(VLOOKUP(SalesData[[#This Row],[Month Number]],Reference!C$5:E$16,2,FALSE))</f>
        <v>Feb</v>
      </c>
      <c r="AC2370">
        <f>MONTH(SalesData[[#This Row],[Date]])</f>
        <v>2</v>
      </c>
      <c r="AD2370">
        <f>Reference!F$4</f>
        <v>2026</v>
      </c>
      <c r="AE2370" t="str">
        <f>IF(OR(SalesData[[#This Row],[Day]]="Saturday",SalesData[[#This Row],[Day]]="Sunday"),"Weekend","Weekday")</f>
        <v>Weekend</v>
      </c>
      <c r="AF2370" s="5">
        <f>IF(SalesData[[#This Row],[Contracts Offered]]=0,0,SalesData[[#This Row],[Contracts Signed]]/SalesData[[#This Row],[Contracts Offered]])</f>
        <v>0.43529411764705883</v>
      </c>
      <c r="AG2370" s="5">
        <f>IF(SalesData[[#This Row],[Customers Visited]]=0,0,SalesData[[#This Row],[Test Drives]]/SalesData[[#This Row],[Customers Visited]])</f>
        <v>0.52892561983471076</v>
      </c>
      <c r="AH2370" s="5">
        <f>IF(SalesData[[#This Row],[Customers Visited]]=0,0,SalesData[[#This Row],[Contracts Signed]]/SalesData[[#This Row],[Customers Visited]])</f>
        <v>0.15289256198347106</v>
      </c>
      <c r="AI2370" s="6">
        <f>IF(SalesData[[#This Row],[Contracts Signed]]=0,0,SalesData[[#This Row],[Profit(€)]]/SalesData[[#This Row],[Contracts Signed]])</f>
        <v>15842</v>
      </c>
      <c r="AJ2370" s="5" t="str">
        <f>TRIM(CLEAN(SalesData[[#This Row],[Retailer]]))</f>
        <v>Elbe Drive</v>
      </c>
    </row>
    <row r="2371" spans="1:36" ht="14.25" hidden="1" x14ac:dyDescent="0.2">
      <c r="A2371" t="s">
        <v>3432</v>
      </c>
      <c r="B2371" s="1">
        <v>46054</v>
      </c>
      <c r="C2371" t="s">
        <v>24</v>
      </c>
      <c r="D2371" t="s">
        <v>41</v>
      </c>
      <c r="E2371" t="s">
        <v>42</v>
      </c>
      <c r="F2371" t="s">
        <v>27</v>
      </c>
      <c r="G2371" t="s">
        <v>28</v>
      </c>
      <c r="H2371" t="s">
        <v>29</v>
      </c>
      <c r="I2371" t="s">
        <v>56</v>
      </c>
      <c r="J2371" t="s">
        <v>57</v>
      </c>
      <c r="K2371" t="s">
        <v>91</v>
      </c>
      <c r="L2371" t="s">
        <v>46</v>
      </c>
      <c r="M2371" t="s">
        <v>68</v>
      </c>
      <c r="N2371" t="s">
        <v>69</v>
      </c>
      <c r="O2371" t="s">
        <v>36</v>
      </c>
      <c r="P2371" t="s">
        <v>71</v>
      </c>
      <c r="Q2371" t="s">
        <v>172</v>
      </c>
      <c r="R2371">
        <v>263</v>
      </c>
      <c r="S2371">
        <v>130</v>
      </c>
      <c r="T2371">
        <v>97</v>
      </c>
      <c r="U2371">
        <v>32</v>
      </c>
      <c r="V2371" t="s">
        <v>6759</v>
      </c>
      <c r="W2371">
        <v>45307</v>
      </c>
      <c r="X2371" t="s">
        <v>7160</v>
      </c>
      <c r="Y2371">
        <v>36945</v>
      </c>
      <c r="Z2371">
        <v>1449824</v>
      </c>
      <c r="AA2371">
        <v>267584</v>
      </c>
      <c r="AB2371" t="str">
        <f>(VLOOKUP(SalesData[[#This Row],[Month Number]],Reference!C$5:E$16,2,FALSE))</f>
        <v>Feb</v>
      </c>
      <c r="AC2371">
        <f>MONTH(SalesData[[#This Row],[Date]])</f>
        <v>2</v>
      </c>
      <c r="AD2371">
        <f>Reference!F$4</f>
        <v>2026</v>
      </c>
      <c r="AE2371" t="str">
        <f>IF(OR(SalesData[[#This Row],[Day]]="Saturday",SalesData[[#This Row],[Day]]="Sunday"),"Weekend","Weekday")</f>
        <v>Weekend</v>
      </c>
      <c r="AF2371" s="5">
        <f>IF(SalesData[[#This Row],[Contracts Offered]]=0,0,SalesData[[#This Row],[Contracts Signed]]/SalesData[[#This Row],[Contracts Offered]])</f>
        <v>0.32989690721649484</v>
      </c>
      <c r="AG2371" s="5">
        <f>IF(SalesData[[#This Row],[Customers Visited]]=0,0,SalesData[[#This Row],[Test Drives]]/SalesData[[#This Row],[Customers Visited]])</f>
        <v>0.49429657794676807</v>
      </c>
      <c r="AH2371" s="5">
        <f>IF(SalesData[[#This Row],[Customers Visited]]=0,0,SalesData[[#This Row],[Contracts Signed]]/SalesData[[#This Row],[Customers Visited]])</f>
        <v>0.12167300380228137</v>
      </c>
      <c r="AI2371" s="6">
        <f>IF(SalesData[[#This Row],[Contracts Signed]]=0,0,SalesData[[#This Row],[Profit(€)]]/SalesData[[#This Row],[Contracts Signed]])</f>
        <v>8362</v>
      </c>
      <c r="AJ2371" s="5" t="str">
        <f>TRIM(CLEAN(SalesData[[#This Row],[Retailer]]))</f>
        <v>Main Auto Hub</v>
      </c>
    </row>
    <row r="2372" spans="1:36" ht="14.25" hidden="1" x14ac:dyDescent="0.2">
      <c r="A2372" t="s">
        <v>3433</v>
      </c>
      <c r="B2372" s="1">
        <v>46071</v>
      </c>
      <c r="C2372" t="s">
        <v>62</v>
      </c>
      <c r="D2372" t="s">
        <v>82</v>
      </c>
      <c r="E2372" t="s">
        <v>26</v>
      </c>
      <c r="F2372" t="s">
        <v>43</v>
      </c>
      <c r="G2372" t="s">
        <v>44</v>
      </c>
      <c r="H2372" t="s">
        <v>45</v>
      </c>
      <c r="I2372" t="s">
        <v>104</v>
      </c>
      <c r="J2372" t="s">
        <v>143</v>
      </c>
      <c r="K2372" t="s">
        <v>91</v>
      </c>
      <c r="L2372" t="s">
        <v>67</v>
      </c>
      <c r="M2372" t="s">
        <v>68</v>
      </c>
      <c r="N2372" t="s">
        <v>48</v>
      </c>
      <c r="O2372" t="s">
        <v>70</v>
      </c>
      <c r="P2372" t="s">
        <v>58</v>
      </c>
      <c r="Q2372" t="s">
        <v>144</v>
      </c>
      <c r="R2372">
        <v>498</v>
      </c>
      <c r="S2372">
        <v>286</v>
      </c>
      <c r="T2372">
        <v>179</v>
      </c>
      <c r="U2372">
        <v>47</v>
      </c>
      <c r="V2372" t="s">
        <v>621</v>
      </c>
      <c r="W2372">
        <v>32324</v>
      </c>
      <c r="X2372" t="s">
        <v>2157</v>
      </c>
      <c r="Y2372">
        <v>27851</v>
      </c>
      <c r="Z2372">
        <v>1519228</v>
      </c>
      <c r="AA2372">
        <v>210231</v>
      </c>
      <c r="AB2372" t="str">
        <f>(VLOOKUP(SalesData[[#This Row],[Month Number]],Reference!C$5:E$16,2,FALSE))</f>
        <v>Feb</v>
      </c>
      <c r="AC2372">
        <f>MONTH(SalesData[[#This Row],[Date]])</f>
        <v>2</v>
      </c>
      <c r="AD2372">
        <f>Reference!F$4</f>
        <v>2026</v>
      </c>
      <c r="AE2372" t="str">
        <f>IF(OR(SalesData[[#This Row],[Day]]="Saturday",SalesData[[#This Row],[Day]]="Sunday"),"Weekend","Weekday")</f>
        <v>Weekday</v>
      </c>
      <c r="AF2372" s="5">
        <f>IF(SalesData[[#This Row],[Contracts Offered]]=0,0,SalesData[[#This Row],[Contracts Signed]]/SalesData[[#This Row],[Contracts Offered]])</f>
        <v>0.26256983240223464</v>
      </c>
      <c r="AG2372" s="5">
        <f>IF(SalesData[[#This Row],[Customers Visited]]=0,0,SalesData[[#This Row],[Test Drives]]/SalesData[[#This Row],[Customers Visited]])</f>
        <v>0.57429718875502012</v>
      </c>
      <c r="AH2372" s="5">
        <f>IF(SalesData[[#This Row],[Customers Visited]]=0,0,SalesData[[#This Row],[Contracts Signed]]/SalesData[[#This Row],[Customers Visited]])</f>
        <v>9.4377510040160636E-2</v>
      </c>
      <c r="AI2372" s="6">
        <f>IF(SalesData[[#This Row],[Contracts Signed]]=0,0,SalesData[[#This Row],[Profit(€)]]/SalesData[[#This Row],[Contracts Signed]])</f>
        <v>4473</v>
      </c>
      <c r="AJ2372" s="5" t="str">
        <f>TRIM(CLEAN(SalesData[[#This Row],[Retailer]]))</f>
        <v>Saxon Wheels</v>
      </c>
    </row>
    <row r="2373" spans="1:36" ht="14.25" hidden="1" x14ac:dyDescent="0.2">
      <c r="A2373" t="s">
        <v>3434</v>
      </c>
      <c r="B2373" s="1">
        <v>46059</v>
      </c>
      <c r="C2373" t="s">
        <v>24</v>
      </c>
      <c r="D2373" t="s">
        <v>54</v>
      </c>
      <c r="E2373" t="s">
        <v>26</v>
      </c>
      <c r="F2373" t="s">
        <v>27</v>
      </c>
      <c r="G2373" t="s">
        <v>28</v>
      </c>
      <c r="H2373" t="s">
        <v>29</v>
      </c>
      <c r="I2373" t="s">
        <v>64</v>
      </c>
      <c r="J2373" t="s">
        <v>7029</v>
      </c>
      <c r="K2373" t="s">
        <v>66</v>
      </c>
      <c r="L2373" t="s">
        <v>33</v>
      </c>
      <c r="M2373" t="s">
        <v>87</v>
      </c>
      <c r="N2373" t="s">
        <v>69</v>
      </c>
      <c r="O2373" t="s">
        <v>70</v>
      </c>
      <c r="P2373" t="s">
        <v>71</v>
      </c>
      <c r="Q2373" t="s">
        <v>167</v>
      </c>
      <c r="R2373">
        <v>148</v>
      </c>
      <c r="S2373">
        <v>74</v>
      </c>
      <c r="T2373">
        <v>54</v>
      </c>
      <c r="U2373">
        <v>19</v>
      </c>
      <c r="V2373" t="s">
        <v>6736</v>
      </c>
      <c r="W2373">
        <v>71567</v>
      </c>
      <c r="X2373" t="s">
        <v>7175</v>
      </c>
      <c r="Y2373">
        <v>51005</v>
      </c>
      <c r="Z2373">
        <v>1359773</v>
      </c>
      <c r="AA2373">
        <v>390678</v>
      </c>
      <c r="AB2373" t="str">
        <f>(VLOOKUP(SalesData[[#This Row],[Month Number]],Reference!C$5:E$16,2,FALSE))</f>
        <v>Feb</v>
      </c>
      <c r="AC2373">
        <f>MONTH(SalesData[[#This Row],[Date]])</f>
        <v>2</v>
      </c>
      <c r="AD2373">
        <f>Reference!F$4</f>
        <v>2026</v>
      </c>
      <c r="AE2373" t="str">
        <f>IF(OR(SalesData[[#This Row],[Day]]="Saturday",SalesData[[#This Row],[Day]]="Sunday"),"Weekend","Weekday")</f>
        <v>Weekday</v>
      </c>
      <c r="AF2373" s="5">
        <f>IF(SalesData[[#This Row],[Contracts Offered]]=0,0,SalesData[[#This Row],[Contracts Signed]]/SalesData[[#This Row],[Contracts Offered]])</f>
        <v>0.35185185185185186</v>
      </c>
      <c r="AG2373" s="5">
        <f>IF(SalesData[[#This Row],[Customers Visited]]=0,0,SalesData[[#This Row],[Test Drives]]/SalesData[[#This Row],[Customers Visited]])</f>
        <v>0.5</v>
      </c>
      <c r="AH2373" s="5">
        <f>IF(SalesData[[#This Row],[Customers Visited]]=0,0,SalesData[[#This Row],[Contracts Signed]]/SalesData[[#This Row],[Customers Visited]])</f>
        <v>0.12837837837837837</v>
      </c>
      <c r="AI2373" s="6">
        <f>IF(SalesData[[#This Row],[Contracts Signed]]=0,0,SalesData[[#This Row],[Profit(€)]]/SalesData[[#This Row],[Contracts Signed]])</f>
        <v>20562</v>
      </c>
      <c r="AJ2373" s="5" t="str">
        <f>TRIM(CLEAN(SalesData[[#This Row],[Retailer]]))</f>
        <v>Main Auto Hub</v>
      </c>
    </row>
    <row r="2374" spans="1:36" ht="14.25" hidden="1" x14ac:dyDescent="0.2">
      <c r="A2374" t="s">
        <v>3435</v>
      </c>
      <c r="B2374" s="1">
        <v>46073</v>
      </c>
      <c r="C2374" t="s">
        <v>62</v>
      </c>
      <c r="D2374" t="s">
        <v>54</v>
      </c>
      <c r="E2374" t="s">
        <v>26</v>
      </c>
      <c r="F2374" t="s">
        <v>27</v>
      </c>
      <c r="G2374" t="s">
        <v>28</v>
      </c>
      <c r="H2374" t="s">
        <v>29</v>
      </c>
      <c r="I2374" t="s">
        <v>104</v>
      </c>
      <c r="J2374" t="s">
        <v>7061</v>
      </c>
      <c r="K2374" t="s">
        <v>91</v>
      </c>
      <c r="L2374" t="s">
        <v>46</v>
      </c>
      <c r="M2374" t="s">
        <v>87</v>
      </c>
      <c r="N2374" t="s">
        <v>35</v>
      </c>
      <c r="O2374" t="s">
        <v>36</v>
      </c>
      <c r="P2374" t="s">
        <v>58</v>
      </c>
      <c r="Q2374" t="s">
        <v>172</v>
      </c>
      <c r="R2374">
        <v>395</v>
      </c>
      <c r="S2374">
        <v>177</v>
      </c>
      <c r="T2374">
        <v>117</v>
      </c>
      <c r="U2374">
        <v>33</v>
      </c>
      <c r="V2374" t="s">
        <v>378</v>
      </c>
      <c r="W2374">
        <v>27464</v>
      </c>
      <c r="X2374" t="s">
        <v>1759</v>
      </c>
      <c r="Y2374">
        <v>24978</v>
      </c>
      <c r="Z2374">
        <v>906312</v>
      </c>
      <c r="AA2374">
        <v>82038</v>
      </c>
      <c r="AB2374" t="str">
        <f>(VLOOKUP(SalesData[[#This Row],[Month Number]],Reference!C$5:E$16,2,FALSE))</f>
        <v>Feb</v>
      </c>
      <c r="AC2374">
        <f>MONTH(SalesData[[#This Row],[Date]])</f>
        <v>2</v>
      </c>
      <c r="AD2374">
        <f>Reference!F$4</f>
        <v>2026</v>
      </c>
      <c r="AE2374" t="str">
        <f>IF(OR(SalesData[[#This Row],[Day]]="Saturday",SalesData[[#This Row],[Day]]="Sunday"),"Weekend","Weekday")</f>
        <v>Weekday</v>
      </c>
      <c r="AF2374" s="5">
        <f>IF(SalesData[[#This Row],[Contracts Offered]]=0,0,SalesData[[#This Row],[Contracts Signed]]/SalesData[[#This Row],[Contracts Offered]])</f>
        <v>0.28205128205128205</v>
      </c>
      <c r="AG2374" s="5">
        <f>IF(SalesData[[#This Row],[Customers Visited]]=0,0,SalesData[[#This Row],[Test Drives]]/SalesData[[#This Row],[Customers Visited]])</f>
        <v>0.44810126582278481</v>
      </c>
      <c r="AH2374" s="5">
        <f>IF(SalesData[[#This Row],[Customers Visited]]=0,0,SalesData[[#This Row],[Contracts Signed]]/SalesData[[#This Row],[Customers Visited]])</f>
        <v>8.3544303797468356E-2</v>
      </c>
      <c r="AI2374" s="6">
        <f>IF(SalesData[[#This Row],[Contracts Signed]]=0,0,SalesData[[#This Row],[Profit(€)]]/SalesData[[#This Row],[Contracts Signed]])</f>
        <v>2486</v>
      </c>
      <c r="AJ2374" s="5" t="str">
        <f>TRIM(CLEAN(SalesData[[#This Row],[Retailer]]))</f>
        <v>Main Auto Hub</v>
      </c>
    </row>
    <row r="2375" spans="1:36" ht="14.25" hidden="1" x14ac:dyDescent="0.2">
      <c r="A2375" t="s">
        <v>3436</v>
      </c>
      <c r="B2375" s="1">
        <v>46071</v>
      </c>
      <c r="C2375" t="s">
        <v>62</v>
      </c>
      <c r="D2375" t="s">
        <v>82</v>
      </c>
      <c r="E2375" t="s">
        <v>26</v>
      </c>
      <c r="F2375" t="s">
        <v>83</v>
      </c>
      <c r="G2375" t="s">
        <v>84</v>
      </c>
      <c r="H2375" t="s">
        <v>85</v>
      </c>
      <c r="I2375" t="s">
        <v>116</v>
      </c>
      <c r="J2375" t="s">
        <v>132</v>
      </c>
      <c r="K2375" t="s">
        <v>78</v>
      </c>
      <c r="L2375" t="s">
        <v>46</v>
      </c>
      <c r="M2375" t="s">
        <v>34</v>
      </c>
      <c r="N2375" t="s">
        <v>69</v>
      </c>
      <c r="O2375" t="s">
        <v>36</v>
      </c>
      <c r="P2375" t="s">
        <v>58</v>
      </c>
      <c r="Q2375" t="s">
        <v>59</v>
      </c>
      <c r="R2375">
        <v>329</v>
      </c>
      <c r="S2375">
        <v>176</v>
      </c>
      <c r="T2375">
        <v>100</v>
      </c>
      <c r="U2375">
        <v>35</v>
      </c>
      <c r="V2375" t="s">
        <v>7531</v>
      </c>
      <c r="W2375">
        <v>23107</v>
      </c>
      <c r="X2375" t="s">
        <v>5273</v>
      </c>
      <c r="Y2375">
        <v>21095</v>
      </c>
      <c r="Z2375">
        <v>808745</v>
      </c>
      <c r="AA2375">
        <v>70420</v>
      </c>
      <c r="AB2375" t="str">
        <f>(VLOOKUP(SalesData[[#This Row],[Month Number]],Reference!C$5:E$16,2,FALSE))</f>
        <v>Feb</v>
      </c>
      <c r="AC2375">
        <f>MONTH(SalesData[[#This Row],[Date]])</f>
        <v>2</v>
      </c>
      <c r="AD2375">
        <f>Reference!F$4</f>
        <v>2026</v>
      </c>
      <c r="AE2375" t="str">
        <f>IF(OR(SalesData[[#This Row],[Day]]="Saturday",SalesData[[#This Row],[Day]]="Sunday"),"Weekend","Weekday")</f>
        <v>Weekday</v>
      </c>
      <c r="AF2375" s="5">
        <f>IF(SalesData[[#This Row],[Contracts Offered]]=0,0,SalesData[[#This Row],[Contracts Signed]]/SalesData[[#This Row],[Contracts Offered]])</f>
        <v>0.35</v>
      </c>
      <c r="AG2375" s="5">
        <f>IF(SalesData[[#This Row],[Customers Visited]]=0,0,SalesData[[#This Row],[Test Drives]]/SalesData[[#This Row],[Customers Visited]])</f>
        <v>0.53495440729483279</v>
      </c>
      <c r="AH2375" s="5">
        <f>IF(SalesData[[#This Row],[Customers Visited]]=0,0,SalesData[[#This Row],[Contracts Signed]]/SalesData[[#This Row],[Customers Visited]])</f>
        <v>0.10638297872340426</v>
      </c>
      <c r="AI2375" s="6">
        <f>IF(SalesData[[#This Row],[Contracts Signed]]=0,0,SalesData[[#This Row],[Profit(€)]]/SalesData[[#This Row],[Contracts Signed]])</f>
        <v>2012</v>
      </c>
      <c r="AJ2375" s="5" t="str">
        <f>TRIM(CLEAN(SalesData[[#This Row],[Retailer]]))</f>
        <v>Hannover Cars</v>
      </c>
    </row>
    <row r="2376" spans="1:36" ht="14.25" hidden="1" x14ac:dyDescent="0.2">
      <c r="A2376" t="s">
        <v>3437</v>
      </c>
      <c r="B2376" s="1">
        <v>46062</v>
      </c>
      <c r="C2376" t="s">
        <v>121</v>
      </c>
      <c r="D2376" t="s">
        <v>25</v>
      </c>
      <c r="E2376" t="s">
        <v>26</v>
      </c>
      <c r="F2376" t="s">
        <v>27</v>
      </c>
      <c r="G2376" t="s">
        <v>28</v>
      </c>
      <c r="H2376" t="s">
        <v>29</v>
      </c>
      <c r="I2376" t="s">
        <v>56</v>
      </c>
      <c r="J2376" t="s">
        <v>57</v>
      </c>
      <c r="K2376" t="s">
        <v>78</v>
      </c>
      <c r="L2376" t="s">
        <v>46</v>
      </c>
      <c r="M2376" t="s">
        <v>87</v>
      </c>
      <c r="N2376" t="s">
        <v>48</v>
      </c>
      <c r="O2376" t="s">
        <v>70</v>
      </c>
      <c r="P2376" t="s">
        <v>58</v>
      </c>
      <c r="Q2376" t="s">
        <v>144</v>
      </c>
      <c r="R2376">
        <v>234</v>
      </c>
      <c r="S2376">
        <v>122</v>
      </c>
      <c r="T2376">
        <v>87</v>
      </c>
      <c r="U2376">
        <v>32</v>
      </c>
      <c r="V2376" t="s">
        <v>6751</v>
      </c>
      <c r="W2376">
        <v>43882</v>
      </c>
      <c r="X2376" t="s">
        <v>1764</v>
      </c>
      <c r="Y2376">
        <v>33369</v>
      </c>
      <c r="Z2376">
        <v>1404224</v>
      </c>
      <c r="AA2376">
        <v>336416</v>
      </c>
      <c r="AB2376" t="str">
        <f>(VLOOKUP(SalesData[[#This Row],[Month Number]],Reference!C$5:E$16,2,FALSE))</f>
        <v>Feb</v>
      </c>
      <c r="AC2376">
        <f>MONTH(SalesData[[#This Row],[Date]])</f>
        <v>2</v>
      </c>
      <c r="AD2376">
        <f>Reference!F$4</f>
        <v>2026</v>
      </c>
      <c r="AE2376" t="str">
        <f>IF(OR(SalesData[[#This Row],[Day]]="Saturday",SalesData[[#This Row],[Day]]="Sunday"),"Weekend","Weekday")</f>
        <v>Weekday</v>
      </c>
      <c r="AF2376" s="5">
        <f>IF(SalesData[[#This Row],[Contracts Offered]]=0,0,SalesData[[#This Row],[Contracts Signed]]/SalesData[[#This Row],[Contracts Offered]])</f>
        <v>0.36781609195402298</v>
      </c>
      <c r="AG2376" s="5">
        <f>IF(SalesData[[#This Row],[Customers Visited]]=0,0,SalesData[[#This Row],[Test Drives]]/SalesData[[#This Row],[Customers Visited]])</f>
        <v>0.5213675213675214</v>
      </c>
      <c r="AH2376" s="5">
        <f>IF(SalesData[[#This Row],[Customers Visited]]=0,0,SalesData[[#This Row],[Contracts Signed]]/SalesData[[#This Row],[Customers Visited]])</f>
        <v>0.13675213675213677</v>
      </c>
      <c r="AI2376" s="6">
        <f>IF(SalesData[[#This Row],[Contracts Signed]]=0,0,SalesData[[#This Row],[Profit(€)]]/SalesData[[#This Row],[Contracts Signed]])</f>
        <v>10513</v>
      </c>
      <c r="AJ2376" s="5" t="str">
        <f>TRIM(CLEAN(SalesData[[#This Row],[Retailer]]))</f>
        <v>Main Auto Hub</v>
      </c>
    </row>
    <row r="2377" spans="1:36" ht="14.25" hidden="1" x14ac:dyDescent="0.2">
      <c r="A2377" t="s">
        <v>3438</v>
      </c>
      <c r="B2377" s="1">
        <v>46071</v>
      </c>
      <c r="C2377" t="s">
        <v>62</v>
      </c>
      <c r="D2377" t="s">
        <v>82</v>
      </c>
      <c r="E2377" t="s">
        <v>26</v>
      </c>
      <c r="F2377" t="s">
        <v>114</v>
      </c>
      <c r="G2377" t="s">
        <v>115</v>
      </c>
      <c r="H2377" t="s">
        <v>115</v>
      </c>
      <c r="I2377" t="s">
        <v>56</v>
      </c>
      <c r="J2377" t="s">
        <v>97</v>
      </c>
      <c r="K2377" t="s">
        <v>78</v>
      </c>
      <c r="L2377" t="s">
        <v>33</v>
      </c>
      <c r="M2377" t="s">
        <v>34</v>
      </c>
      <c r="N2377" t="s">
        <v>69</v>
      </c>
      <c r="O2377" t="s">
        <v>36</v>
      </c>
      <c r="P2377" t="s">
        <v>49</v>
      </c>
      <c r="Q2377" t="s">
        <v>347</v>
      </c>
      <c r="R2377">
        <v>190</v>
      </c>
      <c r="S2377">
        <v>94</v>
      </c>
      <c r="T2377">
        <v>70</v>
      </c>
      <c r="U2377">
        <v>19</v>
      </c>
      <c r="V2377" t="s">
        <v>7532</v>
      </c>
      <c r="W2377">
        <v>45140</v>
      </c>
      <c r="X2377" t="s">
        <v>7231</v>
      </c>
      <c r="Y2377">
        <v>35028</v>
      </c>
      <c r="Z2377">
        <v>857660</v>
      </c>
      <c r="AA2377">
        <v>192128</v>
      </c>
      <c r="AB2377" t="str">
        <f>(VLOOKUP(SalesData[[#This Row],[Month Number]],Reference!C$5:E$16,2,FALSE))</f>
        <v>Feb</v>
      </c>
      <c r="AC2377">
        <f>MONTH(SalesData[[#This Row],[Date]])</f>
        <v>2</v>
      </c>
      <c r="AD2377">
        <f>Reference!F$4</f>
        <v>2026</v>
      </c>
      <c r="AE2377" t="str">
        <f>IF(OR(SalesData[[#This Row],[Day]]="Saturday",SalesData[[#This Row],[Day]]="Sunday"),"Weekend","Weekday")</f>
        <v>Weekday</v>
      </c>
      <c r="AF2377" s="5">
        <f>IF(SalesData[[#This Row],[Contracts Offered]]=0,0,SalesData[[#This Row],[Contracts Signed]]/SalesData[[#This Row],[Contracts Offered]])</f>
        <v>0.27142857142857141</v>
      </c>
      <c r="AG2377" s="5">
        <f>IF(SalesData[[#This Row],[Customers Visited]]=0,0,SalesData[[#This Row],[Test Drives]]/SalesData[[#This Row],[Customers Visited]])</f>
        <v>0.49473684210526314</v>
      </c>
      <c r="AH2377" s="5">
        <f>IF(SalesData[[#This Row],[Customers Visited]]=0,0,SalesData[[#This Row],[Contracts Signed]]/SalesData[[#This Row],[Customers Visited]])</f>
        <v>0.1</v>
      </c>
      <c r="AI2377" s="6">
        <f>IF(SalesData[[#This Row],[Contracts Signed]]=0,0,SalesData[[#This Row],[Profit(€)]]/SalesData[[#This Row],[Contracts Signed]])</f>
        <v>10112</v>
      </c>
      <c r="AJ2377" s="5" t="str">
        <f>TRIM(CLEAN(SalesData[[#This Row],[Retailer]]))</f>
        <v>Elbe Drive</v>
      </c>
    </row>
    <row r="2378" spans="1:36" ht="14.25" hidden="1" x14ac:dyDescent="0.2">
      <c r="A2378" t="s">
        <v>3440</v>
      </c>
      <c r="B2378" s="1">
        <v>46070</v>
      </c>
      <c r="C2378" t="s">
        <v>62</v>
      </c>
      <c r="D2378" t="s">
        <v>63</v>
      </c>
      <c r="E2378" t="s">
        <v>26</v>
      </c>
      <c r="F2378" t="s">
        <v>74</v>
      </c>
      <c r="G2378" t="s">
        <v>75</v>
      </c>
      <c r="H2378" t="s">
        <v>76</v>
      </c>
      <c r="I2378" t="s">
        <v>116</v>
      </c>
      <c r="J2378" t="s">
        <v>7090</v>
      </c>
      <c r="K2378" t="s">
        <v>91</v>
      </c>
      <c r="L2378" t="s">
        <v>46</v>
      </c>
      <c r="M2378" t="s">
        <v>34</v>
      </c>
      <c r="N2378" t="s">
        <v>69</v>
      </c>
      <c r="O2378" t="s">
        <v>36</v>
      </c>
      <c r="P2378" t="s">
        <v>71</v>
      </c>
      <c r="Q2378" t="s">
        <v>50</v>
      </c>
      <c r="R2378">
        <v>292</v>
      </c>
      <c r="S2378">
        <v>148</v>
      </c>
      <c r="T2378">
        <v>87</v>
      </c>
      <c r="U2378">
        <v>30</v>
      </c>
      <c r="V2378" t="s">
        <v>6446</v>
      </c>
      <c r="W2378">
        <v>24286</v>
      </c>
      <c r="X2378" t="s">
        <v>3234</v>
      </c>
      <c r="Y2378">
        <v>21874</v>
      </c>
      <c r="Z2378">
        <v>728580</v>
      </c>
      <c r="AA2378">
        <v>72360</v>
      </c>
      <c r="AB2378" t="str">
        <f>(VLOOKUP(SalesData[[#This Row],[Month Number]],Reference!C$5:E$16,2,FALSE))</f>
        <v>Feb</v>
      </c>
      <c r="AC2378">
        <f>MONTH(SalesData[[#This Row],[Date]])</f>
        <v>2</v>
      </c>
      <c r="AD2378">
        <f>Reference!F$4</f>
        <v>2026</v>
      </c>
      <c r="AE2378" t="str">
        <f>IF(OR(SalesData[[#This Row],[Day]]="Saturday",SalesData[[#This Row],[Day]]="Sunday"),"Weekend","Weekday")</f>
        <v>Weekday</v>
      </c>
      <c r="AF2378" s="5">
        <f>IF(SalesData[[#This Row],[Contracts Offered]]=0,0,SalesData[[#This Row],[Contracts Signed]]/SalesData[[#This Row],[Contracts Offered]])</f>
        <v>0.34482758620689657</v>
      </c>
      <c r="AG2378" s="5">
        <f>IF(SalesData[[#This Row],[Customers Visited]]=0,0,SalesData[[#This Row],[Test Drives]]/SalesData[[#This Row],[Customers Visited]])</f>
        <v>0.50684931506849318</v>
      </c>
      <c r="AH2378" s="5">
        <f>IF(SalesData[[#This Row],[Customers Visited]]=0,0,SalesData[[#This Row],[Contracts Signed]]/SalesData[[#This Row],[Customers Visited]])</f>
        <v>0.10273972602739725</v>
      </c>
      <c r="AI2378" s="6">
        <f>IF(SalesData[[#This Row],[Contracts Signed]]=0,0,SalesData[[#This Row],[Profit(€)]]/SalesData[[#This Row],[Contracts Signed]])</f>
        <v>2412</v>
      </c>
      <c r="AJ2378" s="5" t="str">
        <f>TRIM(CLEAN(SalesData[[#This Row],[Retailer]]))</f>
        <v>Stuttgart Auto Center</v>
      </c>
    </row>
    <row r="2379" spans="1:36" ht="14.25" hidden="1" x14ac:dyDescent="0.2">
      <c r="A2379" t="s">
        <v>3441</v>
      </c>
      <c r="B2379" s="1">
        <v>46080</v>
      </c>
      <c r="C2379" t="s">
        <v>53</v>
      </c>
      <c r="D2379" t="s">
        <v>54</v>
      </c>
      <c r="E2379" t="s">
        <v>26</v>
      </c>
      <c r="F2379" t="s">
        <v>94</v>
      </c>
      <c r="G2379" t="s">
        <v>95</v>
      </c>
      <c r="H2379" t="s">
        <v>96</v>
      </c>
      <c r="I2379" t="s">
        <v>116</v>
      </c>
      <c r="J2379" t="s">
        <v>7026</v>
      </c>
      <c r="K2379" t="s">
        <v>78</v>
      </c>
      <c r="L2379" t="s">
        <v>46</v>
      </c>
      <c r="M2379" t="s">
        <v>47</v>
      </c>
      <c r="N2379" t="s">
        <v>69</v>
      </c>
      <c r="O2379" t="s">
        <v>36</v>
      </c>
      <c r="P2379" t="s">
        <v>49</v>
      </c>
      <c r="Q2379" t="s">
        <v>106</v>
      </c>
      <c r="R2379">
        <v>250</v>
      </c>
      <c r="S2379">
        <v>107</v>
      </c>
      <c r="T2379">
        <v>62</v>
      </c>
      <c r="U2379">
        <v>19</v>
      </c>
      <c r="V2379" t="s">
        <v>2026</v>
      </c>
      <c r="W2379">
        <v>20377</v>
      </c>
      <c r="X2379" t="s">
        <v>419</v>
      </c>
      <c r="Y2379">
        <v>18770</v>
      </c>
      <c r="Z2379">
        <v>387163</v>
      </c>
      <c r="AA2379">
        <v>30533</v>
      </c>
      <c r="AB2379" t="str">
        <f>(VLOOKUP(SalesData[[#This Row],[Month Number]],Reference!C$5:E$16,2,FALSE))</f>
        <v>Feb</v>
      </c>
      <c r="AC2379">
        <f>MONTH(SalesData[[#This Row],[Date]])</f>
        <v>2</v>
      </c>
      <c r="AD2379">
        <f>Reference!F$4</f>
        <v>2026</v>
      </c>
      <c r="AE2379" t="str">
        <f>IF(OR(SalesData[[#This Row],[Day]]="Saturday",SalesData[[#This Row],[Day]]="Sunday"),"Weekend","Weekday")</f>
        <v>Weekday</v>
      </c>
      <c r="AF2379" s="5">
        <f>IF(SalesData[[#This Row],[Contracts Offered]]=0,0,SalesData[[#This Row],[Contracts Signed]]/SalesData[[#This Row],[Contracts Offered]])</f>
        <v>0.30645161290322581</v>
      </c>
      <c r="AG2379" s="5">
        <f>IF(SalesData[[#This Row],[Customers Visited]]=0,0,SalesData[[#This Row],[Test Drives]]/SalesData[[#This Row],[Customers Visited]])</f>
        <v>0.42799999999999999</v>
      </c>
      <c r="AH2379" s="5">
        <f>IF(SalesData[[#This Row],[Customers Visited]]=0,0,SalesData[[#This Row],[Contracts Signed]]/SalesData[[#This Row],[Customers Visited]])</f>
        <v>7.5999999999999998E-2</v>
      </c>
      <c r="AI2379" s="6">
        <f>IF(SalesData[[#This Row],[Contracts Signed]]=0,0,SalesData[[#This Row],[Profit(€)]]/SalesData[[#This Row],[Contracts Signed]])</f>
        <v>1607</v>
      </c>
      <c r="AJ2379" s="5" t="str">
        <f>TRIM(CLEAN(SalesData[[#This Row],[Retailer]]))</f>
        <v>Bavaria Motors</v>
      </c>
    </row>
    <row r="2380" spans="1:36" ht="14.25" hidden="1" x14ac:dyDescent="0.2">
      <c r="A2380" t="s">
        <v>3443</v>
      </c>
      <c r="B2380" s="1">
        <v>46080</v>
      </c>
      <c r="C2380" t="s">
        <v>53</v>
      </c>
      <c r="D2380" t="s">
        <v>54</v>
      </c>
      <c r="E2380" t="s">
        <v>26</v>
      </c>
      <c r="F2380" t="s">
        <v>27</v>
      </c>
      <c r="G2380" t="s">
        <v>28</v>
      </c>
      <c r="H2380" t="s">
        <v>29</v>
      </c>
      <c r="I2380" t="s">
        <v>104</v>
      </c>
      <c r="J2380" t="s">
        <v>143</v>
      </c>
      <c r="K2380" t="s">
        <v>66</v>
      </c>
      <c r="L2380" t="s">
        <v>67</v>
      </c>
      <c r="M2380" t="s">
        <v>34</v>
      </c>
      <c r="N2380" t="s">
        <v>35</v>
      </c>
      <c r="O2380" t="s">
        <v>70</v>
      </c>
      <c r="P2380" t="s">
        <v>58</v>
      </c>
      <c r="Q2380" t="s">
        <v>79</v>
      </c>
      <c r="R2380">
        <v>338</v>
      </c>
      <c r="S2380">
        <v>195</v>
      </c>
      <c r="T2380">
        <v>122</v>
      </c>
      <c r="U2380">
        <v>30</v>
      </c>
      <c r="V2380" t="s">
        <v>1109</v>
      </c>
      <c r="W2380">
        <v>25730</v>
      </c>
      <c r="X2380" t="s">
        <v>1913</v>
      </c>
      <c r="Y2380">
        <v>22575</v>
      </c>
      <c r="Z2380">
        <v>771900</v>
      </c>
      <c r="AA2380">
        <v>94650</v>
      </c>
      <c r="AB2380" t="str">
        <f>(VLOOKUP(SalesData[[#This Row],[Month Number]],Reference!C$5:E$16,2,FALSE))</f>
        <v>Feb</v>
      </c>
      <c r="AC2380">
        <f>MONTH(SalesData[[#This Row],[Date]])</f>
        <v>2</v>
      </c>
      <c r="AD2380">
        <f>Reference!F$4</f>
        <v>2026</v>
      </c>
      <c r="AE2380" t="str">
        <f>IF(OR(SalesData[[#This Row],[Day]]="Saturday",SalesData[[#This Row],[Day]]="Sunday"),"Weekend","Weekday")</f>
        <v>Weekday</v>
      </c>
      <c r="AF2380" s="5">
        <f>IF(SalesData[[#This Row],[Contracts Offered]]=0,0,SalesData[[#This Row],[Contracts Signed]]/SalesData[[#This Row],[Contracts Offered]])</f>
        <v>0.24590163934426229</v>
      </c>
      <c r="AG2380" s="5">
        <f>IF(SalesData[[#This Row],[Customers Visited]]=0,0,SalesData[[#This Row],[Test Drives]]/SalesData[[#This Row],[Customers Visited]])</f>
        <v>0.57692307692307687</v>
      </c>
      <c r="AH2380" s="5">
        <f>IF(SalesData[[#This Row],[Customers Visited]]=0,0,SalesData[[#This Row],[Contracts Signed]]/SalesData[[#This Row],[Customers Visited]])</f>
        <v>8.8757396449704137E-2</v>
      </c>
      <c r="AI2380" s="6">
        <f>IF(SalesData[[#This Row],[Contracts Signed]]=0,0,SalesData[[#This Row],[Profit(€)]]/SalesData[[#This Row],[Contracts Signed]])</f>
        <v>3155</v>
      </c>
      <c r="AJ2380" s="5" t="str">
        <f>TRIM(CLEAN(SalesData[[#This Row],[Retailer]]))</f>
        <v>Main Auto Hub</v>
      </c>
    </row>
    <row r="2381" spans="1:36" ht="14.25" hidden="1" x14ac:dyDescent="0.2">
      <c r="A2381" t="s">
        <v>3444</v>
      </c>
      <c r="B2381" s="1">
        <v>46072</v>
      </c>
      <c r="C2381" t="s">
        <v>62</v>
      </c>
      <c r="D2381" t="s">
        <v>100</v>
      </c>
      <c r="E2381" t="s">
        <v>26</v>
      </c>
      <c r="F2381" t="s">
        <v>43</v>
      </c>
      <c r="G2381" t="s">
        <v>44</v>
      </c>
      <c r="H2381" t="s">
        <v>45</v>
      </c>
      <c r="I2381" t="s">
        <v>56</v>
      </c>
      <c r="J2381" t="s">
        <v>179</v>
      </c>
      <c r="K2381" t="s">
        <v>32</v>
      </c>
      <c r="L2381" t="s">
        <v>67</v>
      </c>
      <c r="M2381" t="s">
        <v>47</v>
      </c>
      <c r="N2381" t="s">
        <v>48</v>
      </c>
      <c r="O2381" t="s">
        <v>70</v>
      </c>
      <c r="P2381" t="s">
        <v>37</v>
      </c>
      <c r="Q2381" t="s">
        <v>158</v>
      </c>
      <c r="R2381">
        <v>191</v>
      </c>
      <c r="S2381">
        <v>88</v>
      </c>
      <c r="T2381">
        <v>61</v>
      </c>
      <c r="U2381">
        <v>17</v>
      </c>
      <c r="V2381" t="s">
        <v>5195</v>
      </c>
      <c r="W2381">
        <v>53111</v>
      </c>
      <c r="X2381" t="s">
        <v>7191</v>
      </c>
      <c r="Y2381">
        <v>39915</v>
      </c>
      <c r="Z2381">
        <v>902887</v>
      </c>
      <c r="AA2381">
        <v>224332</v>
      </c>
      <c r="AB2381" t="str">
        <f>(VLOOKUP(SalesData[[#This Row],[Month Number]],Reference!C$5:E$16,2,FALSE))</f>
        <v>Feb</v>
      </c>
      <c r="AC2381">
        <f>MONTH(SalesData[[#This Row],[Date]])</f>
        <v>2</v>
      </c>
      <c r="AD2381">
        <f>Reference!F$4</f>
        <v>2026</v>
      </c>
      <c r="AE2381" t="str">
        <f>IF(OR(SalesData[[#This Row],[Day]]="Saturday",SalesData[[#This Row],[Day]]="Sunday"),"Weekend","Weekday")</f>
        <v>Weekday</v>
      </c>
      <c r="AF2381" s="5">
        <f>IF(SalesData[[#This Row],[Contracts Offered]]=0,0,SalesData[[#This Row],[Contracts Signed]]/SalesData[[#This Row],[Contracts Offered]])</f>
        <v>0.27868852459016391</v>
      </c>
      <c r="AG2381" s="5">
        <f>IF(SalesData[[#This Row],[Customers Visited]]=0,0,SalesData[[#This Row],[Test Drives]]/SalesData[[#This Row],[Customers Visited]])</f>
        <v>0.4607329842931937</v>
      </c>
      <c r="AH2381" s="5">
        <f>IF(SalesData[[#This Row],[Customers Visited]]=0,0,SalesData[[#This Row],[Contracts Signed]]/SalesData[[#This Row],[Customers Visited]])</f>
        <v>8.9005235602094238E-2</v>
      </c>
      <c r="AI2381" s="6">
        <f>IF(SalesData[[#This Row],[Contracts Signed]]=0,0,SalesData[[#This Row],[Profit(€)]]/SalesData[[#This Row],[Contracts Signed]])</f>
        <v>13196</v>
      </c>
      <c r="AJ2381" s="5" t="str">
        <f>TRIM(CLEAN(SalesData[[#This Row],[Retailer]]))</f>
        <v>Saxon Wheels</v>
      </c>
    </row>
    <row r="2382" spans="1:36" ht="14.25" hidden="1" x14ac:dyDescent="0.2">
      <c r="A2382" t="s">
        <v>3445</v>
      </c>
      <c r="B2382" s="1">
        <v>46059</v>
      </c>
      <c r="C2382" t="s">
        <v>24</v>
      </c>
      <c r="D2382" t="s">
        <v>54</v>
      </c>
      <c r="E2382" t="s">
        <v>26</v>
      </c>
      <c r="F2382" t="s">
        <v>83</v>
      </c>
      <c r="G2382" t="s">
        <v>84</v>
      </c>
      <c r="H2382" t="s">
        <v>85</v>
      </c>
      <c r="I2382" t="s">
        <v>56</v>
      </c>
      <c r="J2382" t="s">
        <v>7028</v>
      </c>
      <c r="K2382" t="s">
        <v>91</v>
      </c>
      <c r="L2382" t="s">
        <v>46</v>
      </c>
      <c r="M2382" t="s">
        <v>87</v>
      </c>
      <c r="N2382" t="s">
        <v>69</v>
      </c>
      <c r="O2382" t="s">
        <v>36</v>
      </c>
      <c r="P2382" t="s">
        <v>71</v>
      </c>
      <c r="Q2382" t="s">
        <v>347</v>
      </c>
      <c r="R2382">
        <v>201</v>
      </c>
      <c r="S2382">
        <v>126</v>
      </c>
      <c r="T2382">
        <v>81</v>
      </c>
      <c r="U2382">
        <v>31</v>
      </c>
      <c r="V2382" t="s">
        <v>6897</v>
      </c>
      <c r="W2382">
        <v>49546</v>
      </c>
      <c r="X2382" t="s">
        <v>4948</v>
      </c>
      <c r="Y2382">
        <v>37941</v>
      </c>
      <c r="Z2382">
        <v>1535926</v>
      </c>
      <c r="AA2382">
        <v>359755</v>
      </c>
      <c r="AB2382" t="str">
        <f>(VLOOKUP(SalesData[[#This Row],[Month Number]],Reference!C$5:E$16,2,FALSE))</f>
        <v>Feb</v>
      </c>
      <c r="AC2382">
        <f>MONTH(SalesData[[#This Row],[Date]])</f>
        <v>2</v>
      </c>
      <c r="AD2382">
        <f>Reference!F$4</f>
        <v>2026</v>
      </c>
      <c r="AE2382" t="str">
        <f>IF(OR(SalesData[[#This Row],[Day]]="Saturday",SalesData[[#This Row],[Day]]="Sunday"),"Weekend","Weekday")</f>
        <v>Weekday</v>
      </c>
      <c r="AF2382" s="5">
        <f>IF(SalesData[[#This Row],[Contracts Offered]]=0,0,SalesData[[#This Row],[Contracts Signed]]/SalesData[[#This Row],[Contracts Offered]])</f>
        <v>0.38271604938271603</v>
      </c>
      <c r="AG2382" s="5">
        <f>IF(SalesData[[#This Row],[Customers Visited]]=0,0,SalesData[[#This Row],[Test Drives]]/SalesData[[#This Row],[Customers Visited]])</f>
        <v>0.62686567164179108</v>
      </c>
      <c r="AH2382" s="5">
        <f>IF(SalesData[[#This Row],[Customers Visited]]=0,0,SalesData[[#This Row],[Contracts Signed]]/SalesData[[#This Row],[Customers Visited]])</f>
        <v>0.15422885572139303</v>
      </c>
      <c r="AI2382" s="6">
        <f>IF(SalesData[[#This Row],[Contracts Signed]]=0,0,SalesData[[#This Row],[Profit(€)]]/SalesData[[#This Row],[Contracts Signed]])</f>
        <v>11605</v>
      </c>
      <c r="AJ2382" s="5" t="str">
        <f>TRIM(CLEAN(SalesData[[#This Row],[Retailer]]))</f>
        <v>Hannover Cars</v>
      </c>
    </row>
    <row r="2383" spans="1:36" ht="14.25" hidden="1" x14ac:dyDescent="0.2">
      <c r="A2383" t="s">
        <v>3446</v>
      </c>
      <c r="B2383" s="1">
        <v>46077</v>
      </c>
      <c r="C2383" t="s">
        <v>53</v>
      </c>
      <c r="D2383" t="s">
        <v>63</v>
      </c>
      <c r="E2383" t="s">
        <v>26</v>
      </c>
      <c r="F2383" t="s">
        <v>109</v>
      </c>
      <c r="G2383" t="s">
        <v>110</v>
      </c>
      <c r="H2383" t="s">
        <v>45</v>
      </c>
      <c r="I2383" t="s">
        <v>64</v>
      </c>
      <c r="J2383" t="s">
        <v>111</v>
      </c>
      <c r="K2383" t="s">
        <v>91</v>
      </c>
      <c r="L2383" t="s">
        <v>46</v>
      </c>
      <c r="M2383" t="s">
        <v>34</v>
      </c>
      <c r="N2383" t="s">
        <v>69</v>
      </c>
      <c r="O2383" t="s">
        <v>36</v>
      </c>
      <c r="P2383" t="s">
        <v>71</v>
      </c>
      <c r="Q2383" t="s">
        <v>347</v>
      </c>
      <c r="R2383">
        <v>164</v>
      </c>
      <c r="S2383">
        <v>80</v>
      </c>
      <c r="T2383">
        <v>59</v>
      </c>
      <c r="U2383">
        <v>21</v>
      </c>
      <c r="V2383" t="s">
        <v>6824</v>
      </c>
      <c r="W2383">
        <v>69854</v>
      </c>
      <c r="X2383" t="s">
        <v>958</v>
      </c>
      <c r="Y2383">
        <v>54147</v>
      </c>
      <c r="Z2383">
        <v>1466934</v>
      </c>
      <c r="AA2383">
        <v>329847</v>
      </c>
      <c r="AB2383" t="str">
        <f>(VLOOKUP(SalesData[[#This Row],[Month Number]],Reference!C$5:E$16,2,FALSE))</f>
        <v>Feb</v>
      </c>
      <c r="AC2383">
        <f>MONTH(SalesData[[#This Row],[Date]])</f>
        <v>2</v>
      </c>
      <c r="AD2383">
        <f>Reference!F$4</f>
        <v>2026</v>
      </c>
      <c r="AE2383" t="str">
        <f>IF(OR(SalesData[[#This Row],[Day]]="Saturday",SalesData[[#This Row],[Day]]="Sunday"),"Weekend","Weekday")</f>
        <v>Weekday</v>
      </c>
      <c r="AF2383" s="5">
        <f>IF(SalesData[[#This Row],[Contracts Offered]]=0,0,SalesData[[#This Row],[Contracts Signed]]/SalesData[[#This Row],[Contracts Offered]])</f>
        <v>0.3559322033898305</v>
      </c>
      <c r="AG2383" s="5">
        <f>IF(SalesData[[#This Row],[Customers Visited]]=0,0,SalesData[[#This Row],[Test Drives]]/SalesData[[#This Row],[Customers Visited]])</f>
        <v>0.48780487804878048</v>
      </c>
      <c r="AH2383" s="5">
        <f>IF(SalesData[[#This Row],[Customers Visited]]=0,0,SalesData[[#This Row],[Contracts Signed]]/SalesData[[#This Row],[Customers Visited]])</f>
        <v>0.12804878048780488</v>
      </c>
      <c r="AI2383" s="6">
        <f>IF(SalesData[[#This Row],[Contracts Signed]]=0,0,SalesData[[#This Row],[Profit(€)]]/SalesData[[#This Row],[Contracts Signed]])</f>
        <v>15707</v>
      </c>
      <c r="AJ2383" s="5" t="str">
        <f>TRIM(CLEAN(SalesData[[#This Row],[Retailer]]))</f>
        <v>Leipzig Mobility</v>
      </c>
    </row>
    <row r="2384" spans="1:36" ht="14.25" hidden="1" x14ac:dyDescent="0.2">
      <c r="A2384" t="s">
        <v>3448</v>
      </c>
      <c r="B2384" s="1">
        <v>46060</v>
      </c>
      <c r="C2384" t="s">
        <v>24</v>
      </c>
      <c r="D2384" t="s">
        <v>151</v>
      </c>
      <c r="E2384" t="s">
        <v>42</v>
      </c>
      <c r="F2384" t="s">
        <v>43</v>
      </c>
      <c r="G2384" t="s">
        <v>44</v>
      </c>
      <c r="H2384" t="s">
        <v>45</v>
      </c>
      <c r="I2384" t="s">
        <v>104</v>
      </c>
      <c r="J2384" t="s">
        <v>140</v>
      </c>
      <c r="K2384" t="s">
        <v>91</v>
      </c>
      <c r="L2384" t="s">
        <v>46</v>
      </c>
      <c r="M2384" t="s">
        <v>47</v>
      </c>
      <c r="N2384" t="s">
        <v>35</v>
      </c>
      <c r="O2384" t="s">
        <v>70</v>
      </c>
      <c r="P2384" t="s">
        <v>58</v>
      </c>
      <c r="Q2384" t="s">
        <v>50</v>
      </c>
      <c r="R2384">
        <v>316</v>
      </c>
      <c r="S2384">
        <v>170</v>
      </c>
      <c r="T2384">
        <v>105</v>
      </c>
      <c r="U2384">
        <v>25</v>
      </c>
      <c r="V2384" t="s">
        <v>415</v>
      </c>
      <c r="W2384">
        <v>27281</v>
      </c>
      <c r="X2384" t="s">
        <v>7533</v>
      </c>
      <c r="Y2384">
        <v>24440</v>
      </c>
      <c r="Z2384">
        <v>682025</v>
      </c>
      <c r="AA2384">
        <v>71025</v>
      </c>
      <c r="AB2384" t="str">
        <f>(VLOOKUP(SalesData[[#This Row],[Month Number]],Reference!C$5:E$16,2,FALSE))</f>
        <v>Feb</v>
      </c>
      <c r="AC2384">
        <f>MONTH(SalesData[[#This Row],[Date]])</f>
        <v>2</v>
      </c>
      <c r="AD2384">
        <f>Reference!F$4</f>
        <v>2026</v>
      </c>
      <c r="AE2384" t="str">
        <f>IF(OR(SalesData[[#This Row],[Day]]="Saturday",SalesData[[#This Row],[Day]]="Sunday"),"Weekend","Weekday")</f>
        <v>Weekend</v>
      </c>
      <c r="AF2384" s="5">
        <f>IF(SalesData[[#This Row],[Contracts Offered]]=0,0,SalesData[[#This Row],[Contracts Signed]]/SalesData[[#This Row],[Contracts Offered]])</f>
        <v>0.23809523809523808</v>
      </c>
      <c r="AG2384" s="5">
        <f>IF(SalesData[[#This Row],[Customers Visited]]=0,0,SalesData[[#This Row],[Test Drives]]/SalesData[[#This Row],[Customers Visited]])</f>
        <v>0.53797468354430378</v>
      </c>
      <c r="AH2384" s="5">
        <f>IF(SalesData[[#This Row],[Customers Visited]]=0,0,SalesData[[#This Row],[Contracts Signed]]/SalesData[[#This Row],[Customers Visited]])</f>
        <v>7.9113924050632917E-2</v>
      </c>
      <c r="AI2384" s="6">
        <f>IF(SalesData[[#This Row],[Contracts Signed]]=0,0,SalesData[[#This Row],[Profit(€)]]/SalesData[[#This Row],[Contracts Signed]])</f>
        <v>2841</v>
      </c>
      <c r="AJ2384" s="5" t="str">
        <f>TRIM(CLEAN(SalesData[[#This Row],[Retailer]]))</f>
        <v>Saxon Wheels</v>
      </c>
    </row>
    <row r="2385" spans="1:36" ht="14.25" hidden="1" x14ac:dyDescent="0.2">
      <c r="A2385" t="s">
        <v>3449</v>
      </c>
      <c r="B2385" s="1">
        <v>46081</v>
      </c>
      <c r="C2385" t="s">
        <v>53</v>
      </c>
      <c r="D2385" t="s">
        <v>151</v>
      </c>
      <c r="E2385" t="s">
        <v>42</v>
      </c>
      <c r="F2385" t="s">
        <v>7649</v>
      </c>
      <c r="G2385" t="s">
        <v>55</v>
      </c>
      <c r="H2385" t="s">
        <v>55</v>
      </c>
      <c r="I2385" t="s">
        <v>116</v>
      </c>
      <c r="J2385" t="s">
        <v>203</v>
      </c>
      <c r="K2385" t="s">
        <v>78</v>
      </c>
      <c r="L2385" t="s">
        <v>67</v>
      </c>
      <c r="M2385" t="s">
        <v>68</v>
      </c>
      <c r="N2385" t="s">
        <v>69</v>
      </c>
      <c r="O2385" t="s">
        <v>36</v>
      </c>
      <c r="P2385" t="s">
        <v>71</v>
      </c>
      <c r="Q2385" t="s">
        <v>122</v>
      </c>
      <c r="R2385">
        <v>404</v>
      </c>
      <c r="S2385">
        <v>160</v>
      </c>
      <c r="T2385">
        <v>108</v>
      </c>
      <c r="U2385">
        <v>25</v>
      </c>
      <c r="V2385" t="s">
        <v>1495</v>
      </c>
      <c r="W2385">
        <v>20821</v>
      </c>
      <c r="X2385" t="s">
        <v>581</v>
      </c>
      <c r="Y2385">
        <v>19150</v>
      </c>
      <c r="Z2385">
        <v>520525</v>
      </c>
      <c r="AA2385">
        <v>41775</v>
      </c>
      <c r="AB2385" t="str">
        <f>(VLOOKUP(SalesData[[#This Row],[Month Number]],Reference!C$5:E$16,2,FALSE))</f>
        <v>Feb</v>
      </c>
      <c r="AC2385">
        <f>MONTH(SalesData[[#This Row],[Date]])</f>
        <v>2</v>
      </c>
      <c r="AD2385">
        <f>Reference!F$4</f>
        <v>2026</v>
      </c>
      <c r="AE2385" t="str">
        <f>IF(OR(SalesData[[#This Row],[Day]]="Saturday",SalesData[[#This Row],[Day]]="Sunday"),"Weekend","Weekday")</f>
        <v>Weekend</v>
      </c>
      <c r="AF2385" s="5">
        <f>IF(SalesData[[#This Row],[Contracts Offered]]=0,0,SalesData[[#This Row],[Contracts Signed]]/SalesData[[#This Row],[Contracts Offered]])</f>
        <v>0.23148148148148148</v>
      </c>
      <c r="AG2385" s="5">
        <f>IF(SalesData[[#This Row],[Customers Visited]]=0,0,SalesData[[#This Row],[Test Drives]]/SalesData[[#This Row],[Customers Visited]])</f>
        <v>0.39603960396039606</v>
      </c>
      <c r="AH2385" s="5">
        <f>IF(SalesData[[#This Row],[Customers Visited]]=0,0,SalesData[[#This Row],[Contracts Signed]]/SalesData[[#This Row],[Customers Visited]])</f>
        <v>6.1881188118811881E-2</v>
      </c>
      <c r="AI2385" s="6">
        <f>IF(SalesData[[#This Row],[Contracts Signed]]=0,0,SalesData[[#This Row],[Profit(€)]]/SalesData[[#This Row],[Contracts Signed]])</f>
        <v>1671</v>
      </c>
      <c r="AJ2385" s="5" t="str">
        <f>TRIM(CLEAN(SalesData[[#This Row],[Retailer]]))</f>
        <v>Autohaus Berlin</v>
      </c>
    </row>
    <row r="2386" spans="1:36" ht="14.25" hidden="1" x14ac:dyDescent="0.2">
      <c r="A2386" t="s">
        <v>3450</v>
      </c>
      <c r="B2386" s="1">
        <v>46080</v>
      </c>
      <c r="C2386" t="s">
        <v>53</v>
      </c>
      <c r="D2386" t="s">
        <v>54</v>
      </c>
      <c r="E2386" t="s">
        <v>26</v>
      </c>
      <c r="F2386" t="s">
        <v>114</v>
      </c>
      <c r="G2386" t="s">
        <v>115</v>
      </c>
      <c r="H2386" t="s">
        <v>115</v>
      </c>
      <c r="I2386" t="s">
        <v>64</v>
      </c>
      <c r="J2386" t="s">
        <v>77</v>
      </c>
      <c r="K2386" t="s">
        <v>91</v>
      </c>
      <c r="L2386" t="s">
        <v>46</v>
      </c>
      <c r="M2386" t="s">
        <v>34</v>
      </c>
      <c r="N2386" t="s">
        <v>69</v>
      </c>
      <c r="O2386" t="s">
        <v>70</v>
      </c>
      <c r="P2386" t="s">
        <v>37</v>
      </c>
      <c r="Q2386" t="s">
        <v>135</v>
      </c>
      <c r="R2386">
        <v>160</v>
      </c>
      <c r="S2386">
        <v>86</v>
      </c>
      <c r="T2386">
        <v>66</v>
      </c>
      <c r="U2386">
        <v>20</v>
      </c>
      <c r="V2386" t="s">
        <v>6726</v>
      </c>
      <c r="W2386">
        <v>60769</v>
      </c>
      <c r="X2386" t="s">
        <v>7132</v>
      </c>
      <c r="Y2386">
        <v>43531</v>
      </c>
      <c r="Z2386">
        <v>1215380</v>
      </c>
      <c r="AA2386">
        <v>344760</v>
      </c>
      <c r="AB2386" t="str">
        <f>(VLOOKUP(SalesData[[#This Row],[Month Number]],Reference!C$5:E$16,2,FALSE))</f>
        <v>Feb</v>
      </c>
      <c r="AC2386">
        <f>MONTH(SalesData[[#This Row],[Date]])</f>
        <v>2</v>
      </c>
      <c r="AD2386">
        <f>Reference!F$4</f>
        <v>2026</v>
      </c>
      <c r="AE2386" t="str">
        <f>IF(OR(SalesData[[#This Row],[Day]]="Saturday",SalesData[[#This Row],[Day]]="Sunday"),"Weekend","Weekday")</f>
        <v>Weekday</v>
      </c>
      <c r="AF2386" s="5">
        <f>IF(SalesData[[#This Row],[Contracts Offered]]=0,0,SalesData[[#This Row],[Contracts Signed]]/SalesData[[#This Row],[Contracts Offered]])</f>
        <v>0.30303030303030304</v>
      </c>
      <c r="AG2386" s="5">
        <f>IF(SalesData[[#This Row],[Customers Visited]]=0,0,SalesData[[#This Row],[Test Drives]]/SalesData[[#This Row],[Customers Visited]])</f>
        <v>0.53749999999999998</v>
      </c>
      <c r="AH2386" s="5">
        <f>IF(SalesData[[#This Row],[Customers Visited]]=0,0,SalesData[[#This Row],[Contracts Signed]]/SalesData[[#This Row],[Customers Visited]])</f>
        <v>0.125</v>
      </c>
      <c r="AI2386" s="6">
        <f>IF(SalesData[[#This Row],[Contracts Signed]]=0,0,SalesData[[#This Row],[Profit(€)]]/SalesData[[#This Row],[Contracts Signed]])</f>
        <v>17238</v>
      </c>
      <c r="AJ2386" s="5" t="str">
        <f>TRIM(CLEAN(SalesData[[#This Row],[Retailer]]))</f>
        <v>Elbe Drive</v>
      </c>
    </row>
    <row r="2387" spans="1:36" ht="14.25" hidden="1" x14ac:dyDescent="0.2">
      <c r="A2387" t="s">
        <v>3451</v>
      </c>
      <c r="B2387" s="1">
        <v>46054</v>
      </c>
      <c r="C2387" t="s">
        <v>24</v>
      </c>
      <c r="D2387" t="s">
        <v>41</v>
      </c>
      <c r="E2387" t="s">
        <v>42</v>
      </c>
      <c r="F2387" t="s">
        <v>94</v>
      </c>
      <c r="G2387" t="s">
        <v>95</v>
      </c>
      <c r="H2387" t="s">
        <v>96</v>
      </c>
      <c r="I2387" t="s">
        <v>56</v>
      </c>
      <c r="J2387" t="s">
        <v>7028</v>
      </c>
      <c r="K2387" t="s">
        <v>78</v>
      </c>
      <c r="L2387" t="s">
        <v>46</v>
      </c>
      <c r="M2387" t="s">
        <v>87</v>
      </c>
      <c r="N2387" t="s">
        <v>48</v>
      </c>
      <c r="O2387" t="s">
        <v>70</v>
      </c>
      <c r="P2387" t="s">
        <v>49</v>
      </c>
      <c r="Q2387" t="s">
        <v>144</v>
      </c>
      <c r="R2387">
        <v>255</v>
      </c>
      <c r="S2387">
        <v>128</v>
      </c>
      <c r="T2387">
        <v>91</v>
      </c>
      <c r="U2387">
        <v>27</v>
      </c>
      <c r="V2387" t="s">
        <v>6847</v>
      </c>
      <c r="W2387">
        <v>42255</v>
      </c>
      <c r="X2387" t="s">
        <v>7265</v>
      </c>
      <c r="Y2387">
        <v>32233</v>
      </c>
      <c r="Z2387">
        <v>1140885</v>
      </c>
      <c r="AA2387">
        <v>270594</v>
      </c>
      <c r="AB2387" t="str">
        <f>(VLOOKUP(SalesData[[#This Row],[Month Number]],Reference!C$5:E$16,2,FALSE))</f>
        <v>Feb</v>
      </c>
      <c r="AC2387">
        <f>MONTH(SalesData[[#This Row],[Date]])</f>
        <v>2</v>
      </c>
      <c r="AD2387">
        <f>Reference!F$4</f>
        <v>2026</v>
      </c>
      <c r="AE2387" t="str">
        <f>IF(OR(SalesData[[#This Row],[Day]]="Saturday",SalesData[[#This Row],[Day]]="Sunday"),"Weekend","Weekday")</f>
        <v>Weekend</v>
      </c>
      <c r="AF2387" s="5">
        <f>IF(SalesData[[#This Row],[Contracts Offered]]=0,0,SalesData[[#This Row],[Contracts Signed]]/SalesData[[#This Row],[Contracts Offered]])</f>
        <v>0.2967032967032967</v>
      </c>
      <c r="AG2387" s="5">
        <f>IF(SalesData[[#This Row],[Customers Visited]]=0,0,SalesData[[#This Row],[Test Drives]]/SalesData[[#This Row],[Customers Visited]])</f>
        <v>0.50196078431372548</v>
      </c>
      <c r="AH2387" s="5">
        <f>IF(SalesData[[#This Row],[Customers Visited]]=0,0,SalesData[[#This Row],[Contracts Signed]]/SalesData[[#This Row],[Customers Visited]])</f>
        <v>0.10588235294117647</v>
      </c>
      <c r="AI2387" s="6">
        <f>IF(SalesData[[#This Row],[Contracts Signed]]=0,0,SalesData[[#This Row],[Profit(€)]]/SalesData[[#This Row],[Contracts Signed]])</f>
        <v>10022</v>
      </c>
      <c r="AJ2387" s="5" t="str">
        <f>TRIM(CLEAN(SalesData[[#This Row],[Retailer]]))</f>
        <v>Bavaria Motors</v>
      </c>
    </row>
    <row r="2388" spans="1:36" ht="14.25" x14ac:dyDescent="0.2">
      <c r="A2388" t="s">
        <v>3452</v>
      </c>
      <c r="B2388" s="1">
        <v>46062</v>
      </c>
      <c r="C2388" t="s">
        <v>121</v>
      </c>
      <c r="D2388" t="s">
        <v>25</v>
      </c>
      <c r="E2388" t="s">
        <v>26</v>
      </c>
      <c r="F2388" t="s">
        <v>7649</v>
      </c>
      <c r="G2388" t="s">
        <v>55</v>
      </c>
      <c r="H2388" t="s">
        <v>55</v>
      </c>
      <c r="I2388" t="s">
        <v>30</v>
      </c>
      <c r="J2388" t="s">
        <v>188</v>
      </c>
      <c r="K2388" t="s">
        <v>32</v>
      </c>
      <c r="L2388" t="s">
        <v>33</v>
      </c>
      <c r="M2388" t="s">
        <v>68</v>
      </c>
      <c r="N2388" t="s">
        <v>69</v>
      </c>
      <c r="O2388" t="s">
        <v>36</v>
      </c>
      <c r="P2388" t="s">
        <v>37</v>
      </c>
      <c r="Q2388" t="s">
        <v>158</v>
      </c>
      <c r="R2388">
        <v>152</v>
      </c>
      <c r="S2388">
        <v>79</v>
      </c>
      <c r="T2388">
        <v>62</v>
      </c>
      <c r="U2388">
        <v>23</v>
      </c>
      <c r="V2388" t="s">
        <v>6788</v>
      </c>
      <c r="W2388">
        <v>59095</v>
      </c>
      <c r="X2388" t="s">
        <v>7235</v>
      </c>
      <c r="Y2388">
        <v>43440</v>
      </c>
      <c r="Z2388">
        <v>1359185</v>
      </c>
      <c r="AA2388">
        <v>360065</v>
      </c>
      <c r="AB2388" t="str">
        <f>(VLOOKUP(SalesData[[#This Row],[Month Number]],Reference!C$5:E$16,2,FALSE))</f>
        <v>Feb</v>
      </c>
      <c r="AC2388">
        <f>MONTH(SalesData[[#This Row],[Date]])</f>
        <v>2</v>
      </c>
      <c r="AD2388">
        <f>Reference!F$4</f>
        <v>2026</v>
      </c>
      <c r="AE2388" t="str">
        <f>IF(OR(SalesData[[#This Row],[Day]]="Saturday",SalesData[[#This Row],[Day]]="Sunday"),"Weekend","Weekday")</f>
        <v>Weekday</v>
      </c>
      <c r="AF2388" s="5">
        <f>IF(SalesData[[#This Row],[Contracts Offered]]=0,0,SalesData[[#This Row],[Contracts Signed]]/SalesData[[#This Row],[Contracts Offered]])</f>
        <v>0.37096774193548387</v>
      </c>
      <c r="AG2388" s="5">
        <f>IF(SalesData[[#This Row],[Customers Visited]]=0,0,SalesData[[#This Row],[Test Drives]]/SalesData[[#This Row],[Customers Visited]])</f>
        <v>0.51973684210526316</v>
      </c>
      <c r="AH2388" s="5">
        <f>IF(SalesData[[#This Row],[Customers Visited]]=0,0,SalesData[[#This Row],[Contracts Signed]]/SalesData[[#This Row],[Customers Visited]])</f>
        <v>0.15131578947368421</v>
      </c>
      <c r="AI2388" s="6">
        <f>IF(SalesData[[#This Row],[Contracts Signed]]=0,0,SalesData[[#This Row],[Profit(€)]]/SalesData[[#This Row],[Contracts Signed]])</f>
        <v>15655</v>
      </c>
      <c r="AJ2388" s="5" t="str">
        <f>TRIM(CLEAN(SalesData[[#This Row],[Retailer]]))</f>
        <v>Autohaus Berlin</v>
      </c>
    </row>
    <row r="2389" spans="1:36" ht="14.25" hidden="1" x14ac:dyDescent="0.2">
      <c r="A2389" t="s">
        <v>3454</v>
      </c>
      <c r="B2389" s="1">
        <v>46071</v>
      </c>
      <c r="C2389" t="s">
        <v>62</v>
      </c>
      <c r="D2389" t="s">
        <v>82</v>
      </c>
      <c r="E2389" t="s">
        <v>26</v>
      </c>
      <c r="F2389" t="s">
        <v>114</v>
      </c>
      <c r="G2389" t="s">
        <v>115</v>
      </c>
      <c r="H2389" t="s">
        <v>115</v>
      </c>
      <c r="I2389" t="s">
        <v>116</v>
      </c>
      <c r="J2389" t="s">
        <v>7026</v>
      </c>
      <c r="K2389" t="s">
        <v>32</v>
      </c>
      <c r="L2389" t="s">
        <v>46</v>
      </c>
      <c r="M2389" t="s">
        <v>47</v>
      </c>
      <c r="N2389" t="s">
        <v>48</v>
      </c>
      <c r="O2389" t="s">
        <v>36</v>
      </c>
      <c r="P2389" t="s">
        <v>37</v>
      </c>
      <c r="Q2389" t="s">
        <v>59</v>
      </c>
      <c r="R2389">
        <v>389</v>
      </c>
      <c r="S2389">
        <v>200</v>
      </c>
      <c r="T2389">
        <v>128</v>
      </c>
      <c r="U2389">
        <v>30</v>
      </c>
      <c r="V2389" t="s">
        <v>597</v>
      </c>
      <c r="W2389">
        <v>23008</v>
      </c>
      <c r="X2389" t="s">
        <v>604</v>
      </c>
      <c r="Y2389">
        <v>21046</v>
      </c>
      <c r="Z2389">
        <v>690240</v>
      </c>
      <c r="AA2389">
        <v>58860</v>
      </c>
      <c r="AB2389" t="str">
        <f>(VLOOKUP(SalesData[[#This Row],[Month Number]],Reference!C$5:E$16,2,FALSE))</f>
        <v>Feb</v>
      </c>
      <c r="AC2389">
        <f>MONTH(SalesData[[#This Row],[Date]])</f>
        <v>2</v>
      </c>
      <c r="AD2389">
        <f>Reference!F$4</f>
        <v>2026</v>
      </c>
      <c r="AE2389" t="str">
        <f>IF(OR(SalesData[[#This Row],[Day]]="Saturday",SalesData[[#This Row],[Day]]="Sunday"),"Weekend","Weekday")</f>
        <v>Weekday</v>
      </c>
      <c r="AF2389" s="5">
        <f>IF(SalesData[[#This Row],[Contracts Offered]]=0,0,SalesData[[#This Row],[Contracts Signed]]/SalesData[[#This Row],[Contracts Offered]])</f>
        <v>0.234375</v>
      </c>
      <c r="AG2389" s="5">
        <f>IF(SalesData[[#This Row],[Customers Visited]]=0,0,SalesData[[#This Row],[Test Drives]]/SalesData[[#This Row],[Customers Visited]])</f>
        <v>0.51413881748071977</v>
      </c>
      <c r="AH2389" s="5">
        <f>IF(SalesData[[#This Row],[Customers Visited]]=0,0,SalesData[[#This Row],[Contracts Signed]]/SalesData[[#This Row],[Customers Visited]])</f>
        <v>7.7120822622107968E-2</v>
      </c>
      <c r="AI2389" s="6">
        <f>IF(SalesData[[#This Row],[Contracts Signed]]=0,0,SalesData[[#This Row],[Profit(€)]]/SalesData[[#This Row],[Contracts Signed]])</f>
        <v>1962</v>
      </c>
      <c r="AJ2389" s="5" t="str">
        <f>TRIM(CLEAN(SalesData[[#This Row],[Retailer]]))</f>
        <v>Elbe Drive</v>
      </c>
    </row>
    <row r="2390" spans="1:36" ht="14.25" hidden="1" x14ac:dyDescent="0.2">
      <c r="A2390" t="s">
        <v>3456</v>
      </c>
      <c r="B2390" s="1">
        <v>46055</v>
      </c>
      <c r="C2390" t="s">
        <v>24</v>
      </c>
      <c r="D2390" t="s">
        <v>25</v>
      </c>
      <c r="E2390" t="s">
        <v>26</v>
      </c>
      <c r="F2390" t="s">
        <v>109</v>
      </c>
      <c r="G2390" t="s">
        <v>110</v>
      </c>
      <c r="H2390" t="s">
        <v>45</v>
      </c>
      <c r="I2390" t="s">
        <v>56</v>
      </c>
      <c r="J2390" t="s">
        <v>7028</v>
      </c>
      <c r="K2390" t="s">
        <v>78</v>
      </c>
      <c r="L2390" t="s">
        <v>46</v>
      </c>
      <c r="M2390" t="s">
        <v>34</v>
      </c>
      <c r="N2390" t="s">
        <v>69</v>
      </c>
      <c r="O2390" t="s">
        <v>36</v>
      </c>
      <c r="P2390" t="s">
        <v>37</v>
      </c>
      <c r="Q2390" t="s">
        <v>118</v>
      </c>
      <c r="R2390">
        <v>271</v>
      </c>
      <c r="S2390">
        <v>125</v>
      </c>
      <c r="T2390">
        <v>84</v>
      </c>
      <c r="U2390">
        <v>25</v>
      </c>
      <c r="V2390" t="s">
        <v>6410</v>
      </c>
      <c r="W2390">
        <v>43114</v>
      </c>
      <c r="X2390" t="s">
        <v>7299</v>
      </c>
      <c r="Y2390">
        <v>33167</v>
      </c>
      <c r="Z2390">
        <v>1077850</v>
      </c>
      <c r="AA2390">
        <v>248675</v>
      </c>
      <c r="AB2390" t="str">
        <f>(VLOOKUP(SalesData[[#This Row],[Month Number]],Reference!C$5:E$16,2,FALSE))</f>
        <v>Feb</v>
      </c>
      <c r="AC2390">
        <f>MONTH(SalesData[[#This Row],[Date]])</f>
        <v>2</v>
      </c>
      <c r="AD2390">
        <f>Reference!F$4</f>
        <v>2026</v>
      </c>
      <c r="AE2390" t="str">
        <f>IF(OR(SalesData[[#This Row],[Day]]="Saturday",SalesData[[#This Row],[Day]]="Sunday"),"Weekend","Weekday")</f>
        <v>Weekday</v>
      </c>
      <c r="AF2390" s="5">
        <f>IF(SalesData[[#This Row],[Contracts Offered]]=0,0,SalesData[[#This Row],[Contracts Signed]]/SalesData[[#This Row],[Contracts Offered]])</f>
        <v>0.29761904761904762</v>
      </c>
      <c r="AG2390" s="5">
        <f>IF(SalesData[[#This Row],[Customers Visited]]=0,0,SalesData[[#This Row],[Test Drives]]/SalesData[[#This Row],[Customers Visited]])</f>
        <v>0.46125461254612549</v>
      </c>
      <c r="AH2390" s="5">
        <f>IF(SalesData[[#This Row],[Customers Visited]]=0,0,SalesData[[#This Row],[Contracts Signed]]/SalesData[[#This Row],[Customers Visited]])</f>
        <v>9.2250922509225092E-2</v>
      </c>
      <c r="AI2390" s="6">
        <f>IF(SalesData[[#This Row],[Contracts Signed]]=0,0,SalesData[[#This Row],[Profit(€)]]/SalesData[[#This Row],[Contracts Signed]])</f>
        <v>9947</v>
      </c>
      <c r="AJ2390" s="5" t="str">
        <f>TRIM(CLEAN(SalesData[[#This Row],[Retailer]]))</f>
        <v>Leipzig Mobility</v>
      </c>
    </row>
    <row r="2391" spans="1:36" ht="14.25" hidden="1" x14ac:dyDescent="0.2">
      <c r="A2391" t="s">
        <v>3457</v>
      </c>
      <c r="B2391" s="1">
        <v>46066</v>
      </c>
      <c r="C2391" t="s">
        <v>121</v>
      </c>
      <c r="D2391" t="s">
        <v>54</v>
      </c>
      <c r="E2391" t="s">
        <v>26</v>
      </c>
      <c r="F2391" t="s">
        <v>127</v>
      </c>
      <c r="G2391" t="s">
        <v>128</v>
      </c>
      <c r="H2391" t="s">
        <v>103</v>
      </c>
      <c r="I2391" t="s">
        <v>116</v>
      </c>
      <c r="J2391" t="s">
        <v>7026</v>
      </c>
      <c r="K2391" t="s">
        <v>78</v>
      </c>
      <c r="L2391" t="s">
        <v>46</v>
      </c>
      <c r="M2391" t="s">
        <v>87</v>
      </c>
      <c r="N2391" t="s">
        <v>69</v>
      </c>
      <c r="O2391" t="s">
        <v>70</v>
      </c>
      <c r="P2391" t="s">
        <v>49</v>
      </c>
      <c r="Q2391" t="s">
        <v>167</v>
      </c>
      <c r="R2391">
        <v>372</v>
      </c>
      <c r="S2391">
        <v>196</v>
      </c>
      <c r="T2391">
        <v>122</v>
      </c>
      <c r="U2391">
        <v>26</v>
      </c>
      <c r="V2391" t="s">
        <v>772</v>
      </c>
      <c r="W2391">
        <v>20991</v>
      </c>
      <c r="X2391" t="s">
        <v>1060</v>
      </c>
      <c r="Y2391">
        <v>19095</v>
      </c>
      <c r="Z2391">
        <v>545766</v>
      </c>
      <c r="AA2391">
        <v>49296</v>
      </c>
      <c r="AB2391" t="str">
        <f>(VLOOKUP(SalesData[[#This Row],[Month Number]],Reference!C$5:E$16,2,FALSE))</f>
        <v>Feb</v>
      </c>
      <c r="AC2391">
        <f>MONTH(SalesData[[#This Row],[Date]])</f>
        <v>2</v>
      </c>
      <c r="AD2391">
        <f>Reference!F$4</f>
        <v>2026</v>
      </c>
      <c r="AE2391" t="str">
        <f>IF(OR(SalesData[[#This Row],[Day]]="Saturday",SalesData[[#This Row],[Day]]="Sunday"),"Weekend","Weekday")</f>
        <v>Weekday</v>
      </c>
      <c r="AF2391" s="5">
        <f>IF(SalesData[[#This Row],[Contracts Offered]]=0,0,SalesData[[#This Row],[Contracts Signed]]/SalesData[[#This Row],[Contracts Offered]])</f>
        <v>0.21311475409836064</v>
      </c>
      <c r="AG2391" s="5">
        <f>IF(SalesData[[#This Row],[Customers Visited]]=0,0,SalesData[[#This Row],[Test Drives]]/SalesData[[#This Row],[Customers Visited]])</f>
        <v>0.5268817204301075</v>
      </c>
      <c r="AH2391" s="5">
        <f>IF(SalesData[[#This Row],[Customers Visited]]=0,0,SalesData[[#This Row],[Contracts Signed]]/SalesData[[#This Row],[Customers Visited]])</f>
        <v>6.9892473118279563E-2</v>
      </c>
      <c r="AI2391" s="6">
        <f>IF(SalesData[[#This Row],[Contracts Signed]]=0,0,SalesData[[#This Row],[Profit(€)]]/SalesData[[#This Row],[Contracts Signed]])</f>
        <v>1896</v>
      </c>
      <c r="AJ2391" s="5" t="str">
        <f>TRIM(CLEAN(SalesData[[#This Row],[Retailer]]))</f>
        <v>Rhein Auto Group</v>
      </c>
    </row>
    <row r="2392" spans="1:36" ht="14.25" hidden="1" x14ac:dyDescent="0.2">
      <c r="A2392" t="s">
        <v>3458</v>
      </c>
      <c r="B2392" s="1">
        <v>46072</v>
      </c>
      <c r="C2392" t="s">
        <v>62</v>
      </c>
      <c r="D2392" t="s">
        <v>100</v>
      </c>
      <c r="E2392" t="s">
        <v>26</v>
      </c>
      <c r="F2392" t="s">
        <v>43</v>
      </c>
      <c r="G2392" t="s">
        <v>44</v>
      </c>
      <c r="H2392" t="s">
        <v>45</v>
      </c>
      <c r="I2392" t="s">
        <v>116</v>
      </c>
      <c r="J2392" t="s">
        <v>203</v>
      </c>
      <c r="K2392" t="s">
        <v>78</v>
      </c>
      <c r="L2392" t="s">
        <v>67</v>
      </c>
      <c r="M2392" t="s">
        <v>68</v>
      </c>
      <c r="N2392" t="s">
        <v>35</v>
      </c>
      <c r="O2392" t="s">
        <v>36</v>
      </c>
      <c r="P2392" t="s">
        <v>71</v>
      </c>
      <c r="Q2392" t="s">
        <v>129</v>
      </c>
      <c r="R2392">
        <v>383</v>
      </c>
      <c r="S2392">
        <v>206</v>
      </c>
      <c r="T2392">
        <v>137</v>
      </c>
      <c r="U2392">
        <v>34</v>
      </c>
      <c r="V2392" t="s">
        <v>2126</v>
      </c>
      <c r="W2392">
        <v>23506</v>
      </c>
      <c r="X2392" t="s">
        <v>7338</v>
      </c>
      <c r="Y2392">
        <v>21668</v>
      </c>
      <c r="Z2392">
        <v>799204</v>
      </c>
      <c r="AA2392">
        <v>62492</v>
      </c>
      <c r="AB2392" t="str">
        <f>(VLOOKUP(SalesData[[#This Row],[Month Number]],Reference!C$5:E$16,2,FALSE))</f>
        <v>Feb</v>
      </c>
      <c r="AC2392">
        <f>MONTH(SalesData[[#This Row],[Date]])</f>
        <v>2</v>
      </c>
      <c r="AD2392">
        <f>Reference!F$4</f>
        <v>2026</v>
      </c>
      <c r="AE2392" t="str">
        <f>IF(OR(SalesData[[#This Row],[Day]]="Saturday",SalesData[[#This Row],[Day]]="Sunday"),"Weekend","Weekday")</f>
        <v>Weekday</v>
      </c>
      <c r="AF2392" s="5">
        <f>IF(SalesData[[#This Row],[Contracts Offered]]=0,0,SalesData[[#This Row],[Contracts Signed]]/SalesData[[#This Row],[Contracts Offered]])</f>
        <v>0.24817518248175183</v>
      </c>
      <c r="AG2392" s="5">
        <f>IF(SalesData[[#This Row],[Customers Visited]]=0,0,SalesData[[#This Row],[Test Drives]]/SalesData[[#This Row],[Customers Visited]])</f>
        <v>0.53785900783289819</v>
      </c>
      <c r="AH2392" s="5">
        <f>IF(SalesData[[#This Row],[Customers Visited]]=0,0,SalesData[[#This Row],[Contracts Signed]]/SalesData[[#This Row],[Customers Visited]])</f>
        <v>8.877284595300261E-2</v>
      </c>
      <c r="AI2392" s="6">
        <f>IF(SalesData[[#This Row],[Contracts Signed]]=0,0,SalesData[[#This Row],[Profit(€)]]/SalesData[[#This Row],[Contracts Signed]])</f>
        <v>1838</v>
      </c>
      <c r="AJ2392" s="5" t="str">
        <f>TRIM(CLEAN(SalesData[[#This Row],[Retailer]]))</f>
        <v>Saxon Wheels</v>
      </c>
    </row>
    <row r="2393" spans="1:36" ht="14.25" hidden="1" x14ac:dyDescent="0.2">
      <c r="A2393" t="s">
        <v>3459</v>
      </c>
      <c r="B2393" s="1">
        <v>46075</v>
      </c>
      <c r="C2393" t="s">
        <v>53</v>
      </c>
      <c r="D2393" t="s">
        <v>41</v>
      </c>
      <c r="E2393" t="s">
        <v>42</v>
      </c>
      <c r="F2393" t="s">
        <v>109</v>
      </c>
      <c r="G2393" t="s">
        <v>110</v>
      </c>
      <c r="H2393" t="s">
        <v>45</v>
      </c>
      <c r="I2393" t="s">
        <v>104</v>
      </c>
      <c r="J2393" t="s">
        <v>105</v>
      </c>
      <c r="K2393" t="s">
        <v>32</v>
      </c>
      <c r="L2393" t="s">
        <v>33</v>
      </c>
      <c r="M2393" t="s">
        <v>87</v>
      </c>
      <c r="N2393" t="s">
        <v>35</v>
      </c>
      <c r="O2393" t="s">
        <v>70</v>
      </c>
      <c r="P2393" t="s">
        <v>58</v>
      </c>
      <c r="Q2393" t="s">
        <v>347</v>
      </c>
      <c r="R2393">
        <v>267</v>
      </c>
      <c r="S2393">
        <v>112</v>
      </c>
      <c r="T2393">
        <v>66</v>
      </c>
      <c r="U2393">
        <v>16</v>
      </c>
      <c r="V2393" t="s">
        <v>527</v>
      </c>
      <c r="W2393">
        <v>31447</v>
      </c>
      <c r="X2393" t="s">
        <v>337</v>
      </c>
      <c r="Y2393">
        <v>27346</v>
      </c>
      <c r="Z2393">
        <v>503152</v>
      </c>
      <c r="AA2393">
        <v>65616</v>
      </c>
      <c r="AB2393" t="str">
        <f>(VLOOKUP(SalesData[[#This Row],[Month Number]],Reference!C$5:E$16,2,FALSE))</f>
        <v>Feb</v>
      </c>
      <c r="AC2393">
        <f>MONTH(SalesData[[#This Row],[Date]])</f>
        <v>2</v>
      </c>
      <c r="AD2393">
        <f>Reference!F$4</f>
        <v>2026</v>
      </c>
      <c r="AE2393" t="str">
        <f>IF(OR(SalesData[[#This Row],[Day]]="Saturday",SalesData[[#This Row],[Day]]="Sunday"),"Weekend","Weekday")</f>
        <v>Weekend</v>
      </c>
      <c r="AF2393" s="5">
        <f>IF(SalesData[[#This Row],[Contracts Offered]]=0,0,SalesData[[#This Row],[Contracts Signed]]/SalesData[[#This Row],[Contracts Offered]])</f>
        <v>0.24242424242424243</v>
      </c>
      <c r="AG2393" s="5">
        <f>IF(SalesData[[#This Row],[Customers Visited]]=0,0,SalesData[[#This Row],[Test Drives]]/SalesData[[#This Row],[Customers Visited]])</f>
        <v>0.41947565543071164</v>
      </c>
      <c r="AH2393" s="5">
        <f>IF(SalesData[[#This Row],[Customers Visited]]=0,0,SalesData[[#This Row],[Contracts Signed]]/SalesData[[#This Row],[Customers Visited]])</f>
        <v>5.9925093632958802E-2</v>
      </c>
      <c r="AI2393" s="6">
        <f>IF(SalesData[[#This Row],[Contracts Signed]]=0,0,SalesData[[#This Row],[Profit(€)]]/SalesData[[#This Row],[Contracts Signed]])</f>
        <v>4101</v>
      </c>
      <c r="AJ2393" s="5" t="str">
        <f>TRIM(CLEAN(SalesData[[#This Row],[Retailer]]))</f>
        <v>Leipzig Mobility</v>
      </c>
    </row>
    <row r="2394" spans="1:36" ht="14.25" hidden="1" x14ac:dyDescent="0.2">
      <c r="A2394" t="s">
        <v>3460</v>
      </c>
      <c r="B2394" s="1">
        <v>46072</v>
      </c>
      <c r="C2394" t="s">
        <v>62</v>
      </c>
      <c r="D2394" t="s">
        <v>100</v>
      </c>
      <c r="E2394" t="s">
        <v>26</v>
      </c>
      <c r="F2394" t="s">
        <v>114</v>
      </c>
      <c r="G2394" t="s">
        <v>115</v>
      </c>
      <c r="H2394" t="s">
        <v>115</v>
      </c>
      <c r="I2394" t="s">
        <v>56</v>
      </c>
      <c r="J2394" t="s">
        <v>97</v>
      </c>
      <c r="K2394" t="s">
        <v>32</v>
      </c>
      <c r="L2394" t="s">
        <v>33</v>
      </c>
      <c r="M2394" t="s">
        <v>68</v>
      </c>
      <c r="N2394" t="s">
        <v>48</v>
      </c>
      <c r="O2394" t="s">
        <v>70</v>
      </c>
      <c r="P2394" t="s">
        <v>37</v>
      </c>
      <c r="Q2394" t="s">
        <v>189</v>
      </c>
      <c r="R2394">
        <v>296</v>
      </c>
      <c r="S2394">
        <v>162</v>
      </c>
      <c r="T2394">
        <v>122</v>
      </c>
      <c r="U2394">
        <v>40</v>
      </c>
      <c r="V2394" t="s">
        <v>6703</v>
      </c>
      <c r="W2394">
        <v>50457</v>
      </c>
      <c r="X2394" t="s">
        <v>7329</v>
      </c>
      <c r="Y2394">
        <v>38163</v>
      </c>
      <c r="Z2394">
        <v>2018280</v>
      </c>
      <c r="AA2394">
        <v>491760</v>
      </c>
      <c r="AB2394" t="str">
        <f>(VLOOKUP(SalesData[[#This Row],[Month Number]],Reference!C$5:E$16,2,FALSE))</f>
        <v>Feb</v>
      </c>
      <c r="AC2394">
        <f>MONTH(SalesData[[#This Row],[Date]])</f>
        <v>2</v>
      </c>
      <c r="AD2394">
        <f>Reference!F$4</f>
        <v>2026</v>
      </c>
      <c r="AE2394" t="str">
        <f>IF(OR(SalesData[[#This Row],[Day]]="Saturday",SalesData[[#This Row],[Day]]="Sunday"),"Weekend","Weekday")</f>
        <v>Weekday</v>
      </c>
      <c r="AF2394" s="5">
        <f>IF(SalesData[[#This Row],[Contracts Offered]]=0,0,SalesData[[#This Row],[Contracts Signed]]/SalesData[[#This Row],[Contracts Offered]])</f>
        <v>0.32786885245901637</v>
      </c>
      <c r="AG2394" s="5">
        <f>IF(SalesData[[#This Row],[Customers Visited]]=0,0,SalesData[[#This Row],[Test Drives]]/SalesData[[#This Row],[Customers Visited]])</f>
        <v>0.54729729729729726</v>
      </c>
      <c r="AH2394" s="5">
        <f>IF(SalesData[[#This Row],[Customers Visited]]=0,0,SalesData[[#This Row],[Contracts Signed]]/SalesData[[#This Row],[Customers Visited]])</f>
        <v>0.13513513513513514</v>
      </c>
      <c r="AI2394" s="6">
        <f>IF(SalesData[[#This Row],[Contracts Signed]]=0,0,SalesData[[#This Row],[Profit(€)]]/SalesData[[#This Row],[Contracts Signed]])</f>
        <v>12294</v>
      </c>
      <c r="AJ2394" s="5" t="str">
        <f>TRIM(CLEAN(SalesData[[#This Row],[Retailer]]))</f>
        <v>Elbe Drive</v>
      </c>
    </row>
    <row r="2395" spans="1:36" ht="14.25" hidden="1" x14ac:dyDescent="0.2">
      <c r="A2395" t="s">
        <v>3461</v>
      </c>
      <c r="B2395" s="1">
        <v>46063</v>
      </c>
      <c r="C2395" t="s">
        <v>121</v>
      </c>
      <c r="D2395" t="s">
        <v>63</v>
      </c>
      <c r="E2395" t="s">
        <v>26</v>
      </c>
      <c r="F2395" t="s">
        <v>74</v>
      </c>
      <c r="G2395" t="s">
        <v>75</v>
      </c>
      <c r="H2395" t="s">
        <v>76</v>
      </c>
      <c r="I2395" t="s">
        <v>56</v>
      </c>
      <c r="J2395" t="s">
        <v>137</v>
      </c>
      <c r="K2395" t="s">
        <v>66</v>
      </c>
      <c r="L2395" t="s">
        <v>46</v>
      </c>
      <c r="M2395" t="s">
        <v>68</v>
      </c>
      <c r="N2395" t="s">
        <v>35</v>
      </c>
      <c r="O2395" t="s">
        <v>70</v>
      </c>
      <c r="P2395" t="s">
        <v>37</v>
      </c>
      <c r="Q2395" t="s">
        <v>169</v>
      </c>
      <c r="R2395">
        <v>170</v>
      </c>
      <c r="S2395">
        <v>85</v>
      </c>
      <c r="T2395">
        <v>60</v>
      </c>
      <c r="U2395">
        <v>18</v>
      </c>
      <c r="V2395" t="s">
        <v>6609</v>
      </c>
      <c r="W2395">
        <v>47401</v>
      </c>
      <c r="X2395" t="s">
        <v>7485</v>
      </c>
      <c r="Y2395">
        <v>37098</v>
      </c>
      <c r="Z2395">
        <v>853218</v>
      </c>
      <c r="AA2395">
        <v>185454</v>
      </c>
      <c r="AB2395" t="str">
        <f>(VLOOKUP(SalesData[[#This Row],[Month Number]],Reference!C$5:E$16,2,FALSE))</f>
        <v>Feb</v>
      </c>
      <c r="AC2395">
        <f>MONTH(SalesData[[#This Row],[Date]])</f>
        <v>2</v>
      </c>
      <c r="AD2395">
        <f>Reference!F$4</f>
        <v>2026</v>
      </c>
      <c r="AE2395" t="str">
        <f>IF(OR(SalesData[[#This Row],[Day]]="Saturday",SalesData[[#This Row],[Day]]="Sunday"),"Weekend","Weekday")</f>
        <v>Weekday</v>
      </c>
      <c r="AF2395" s="5">
        <f>IF(SalesData[[#This Row],[Contracts Offered]]=0,0,SalesData[[#This Row],[Contracts Signed]]/SalesData[[#This Row],[Contracts Offered]])</f>
        <v>0.3</v>
      </c>
      <c r="AG2395" s="5">
        <f>IF(SalesData[[#This Row],[Customers Visited]]=0,0,SalesData[[#This Row],[Test Drives]]/SalesData[[#This Row],[Customers Visited]])</f>
        <v>0.5</v>
      </c>
      <c r="AH2395" s="5">
        <f>IF(SalesData[[#This Row],[Customers Visited]]=0,0,SalesData[[#This Row],[Contracts Signed]]/SalesData[[#This Row],[Customers Visited]])</f>
        <v>0.10588235294117647</v>
      </c>
      <c r="AI2395" s="6">
        <f>IF(SalesData[[#This Row],[Contracts Signed]]=0,0,SalesData[[#This Row],[Profit(€)]]/SalesData[[#This Row],[Contracts Signed]])</f>
        <v>10303</v>
      </c>
      <c r="AJ2395" s="5" t="str">
        <f>TRIM(CLEAN(SalesData[[#This Row],[Retailer]]))</f>
        <v>Stuttgart Auto Center</v>
      </c>
    </row>
    <row r="2396" spans="1:36" ht="14.25" hidden="1" x14ac:dyDescent="0.2">
      <c r="A2396" t="s">
        <v>3462</v>
      </c>
      <c r="B2396" s="1">
        <v>46054</v>
      </c>
      <c r="C2396" t="s">
        <v>24</v>
      </c>
      <c r="D2396" t="s">
        <v>41</v>
      </c>
      <c r="E2396" t="s">
        <v>42</v>
      </c>
      <c r="F2396" t="s">
        <v>94</v>
      </c>
      <c r="G2396" t="s">
        <v>95</v>
      </c>
      <c r="H2396" t="s">
        <v>96</v>
      </c>
      <c r="I2396" t="s">
        <v>56</v>
      </c>
      <c r="J2396" t="s">
        <v>97</v>
      </c>
      <c r="K2396" t="s">
        <v>78</v>
      </c>
      <c r="L2396" t="s">
        <v>33</v>
      </c>
      <c r="M2396" t="s">
        <v>34</v>
      </c>
      <c r="N2396" t="s">
        <v>35</v>
      </c>
      <c r="O2396" t="s">
        <v>36</v>
      </c>
      <c r="P2396" t="s">
        <v>58</v>
      </c>
      <c r="Q2396" t="s">
        <v>167</v>
      </c>
      <c r="R2396">
        <v>174</v>
      </c>
      <c r="S2396">
        <v>97</v>
      </c>
      <c r="T2396">
        <v>74</v>
      </c>
      <c r="U2396">
        <v>25</v>
      </c>
      <c r="V2396" t="s">
        <v>6838</v>
      </c>
      <c r="W2396">
        <v>43872</v>
      </c>
      <c r="X2396" t="s">
        <v>7438</v>
      </c>
      <c r="Y2396">
        <v>35444</v>
      </c>
      <c r="Z2396">
        <v>1096800</v>
      </c>
      <c r="AA2396">
        <v>210700</v>
      </c>
      <c r="AB2396" t="str">
        <f>(VLOOKUP(SalesData[[#This Row],[Month Number]],Reference!C$5:E$16,2,FALSE))</f>
        <v>Feb</v>
      </c>
      <c r="AC2396">
        <f>MONTH(SalesData[[#This Row],[Date]])</f>
        <v>2</v>
      </c>
      <c r="AD2396">
        <f>Reference!F$4</f>
        <v>2026</v>
      </c>
      <c r="AE2396" t="str">
        <f>IF(OR(SalesData[[#This Row],[Day]]="Saturday",SalesData[[#This Row],[Day]]="Sunday"),"Weekend","Weekday")</f>
        <v>Weekend</v>
      </c>
      <c r="AF2396" s="5">
        <f>IF(SalesData[[#This Row],[Contracts Offered]]=0,0,SalesData[[#This Row],[Contracts Signed]]/SalesData[[#This Row],[Contracts Offered]])</f>
        <v>0.33783783783783783</v>
      </c>
      <c r="AG2396" s="5">
        <f>IF(SalesData[[#This Row],[Customers Visited]]=0,0,SalesData[[#This Row],[Test Drives]]/SalesData[[#This Row],[Customers Visited]])</f>
        <v>0.55747126436781613</v>
      </c>
      <c r="AH2396" s="5">
        <f>IF(SalesData[[#This Row],[Customers Visited]]=0,0,SalesData[[#This Row],[Contracts Signed]]/SalesData[[#This Row],[Customers Visited]])</f>
        <v>0.14367816091954022</v>
      </c>
      <c r="AI2396" s="6">
        <f>IF(SalesData[[#This Row],[Contracts Signed]]=0,0,SalesData[[#This Row],[Profit(€)]]/SalesData[[#This Row],[Contracts Signed]])</f>
        <v>8428</v>
      </c>
      <c r="AJ2396" s="5" t="str">
        <f>TRIM(CLEAN(SalesData[[#This Row],[Retailer]]))</f>
        <v>Bavaria Motors</v>
      </c>
    </row>
    <row r="2397" spans="1:36" ht="14.25" hidden="1" x14ac:dyDescent="0.2">
      <c r="A2397" t="s">
        <v>3463</v>
      </c>
      <c r="B2397" s="1">
        <v>46071</v>
      </c>
      <c r="C2397" t="s">
        <v>62</v>
      </c>
      <c r="D2397" t="s">
        <v>82</v>
      </c>
      <c r="E2397" t="s">
        <v>26</v>
      </c>
      <c r="F2397" t="s">
        <v>83</v>
      </c>
      <c r="G2397" t="s">
        <v>84</v>
      </c>
      <c r="H2397" t="s">
        <v>85</v>
      </c>
      <c r="I2397" t="s">
        <v>56</v>
      </c>
      <c r="J2397" t="s">
        <v>7028</v>
      </c>
      <c r="K2397" t="s">
        <v>78</v>
      </c>
      <c r="L2397" t="s">
        <v>46</v>
      </c>
      <c r="M2397" t="s">
        <v>34</v>
      </c>
      <c r="N2397" t="s">
        <v>35</v>
      </c>
      <c r="O2397" t="s">
        <v>70</v>
      </c>
      <c r="P2397" t="s">
        <v>71</v>
      </c>
      <c r="Q2397" t="s">
        <v>152</v>
      </c>
      <c r="R2397">
        <v>217</v>
      </c>
      <c r="S2397">
        <v>138</v>
      </c>
      <c r="T2397">
        <v>105</v>
      </c>
      <c r="U2397">
        <v>29</v>
      </c>
      <c r="V2397" t="s">
        <v>6998</v>
      </c>
      <c r="W2397">
        <v>51143</v>
      </c>
      <c r="X2397" t="s">
        <v>1978</v>
      </c>
      <c r="Y2397">
        <v>39792</v>
      </c>
      <c r="Z2397">
        <v>1483147</v>
      </c>
      <c r="AA2397">
        <v>329179</v>
      </c>
      <c r="AB2397" t="str">
        <f>(VLOOKUP(SalesData[[#This Row],[Month Number]],Reference!C$5:E$16,2,FALSE))</f>
        <v>Feb</v>
      </c>
      <c r="AC2397">
        <f>MONTH(SalesData[[#This Row],[Date]])</f>
        <v>2</v>
      </c>
      <c r="AD2397">
        <f>Reference!F$4</f>
        <v>2026</v>
      </c>
      <c r="AE2397" t="str">
        <f>IF(OR(SalesData[[#This Row],[Day]]="Saturday",SalesData[[#This Row],[Day]]="Sunday"),"Weekend","Weekday")</f>
        <v>Weekday</v>
      </c>
      <c r="AF2397" s="5">
        <f>IF(SalesData[[#This Row],[Contracts Offered]]=0,0,SalesData[[#This Row],[Contracts Signed]]/SalesData[[#This Row],[Contracts Offered]])</f>
        <v>0.27619047619047621</v>
      </c>
      <c r="AG2397" s="5">
        <f>IF(SalesData[[#This Row],[Customers Visited]]=0,0,SalesData[[#This Row],[Test Drives]]/SalesData[[#This Row],[Customers Visited]])</f>
        <v>0.63594470046082952</v>
      </c>
      <c r="AH2397" s="5">
        <f>IF(SalesData[[#This Row],[Customers Visited]]=0,0,SalesData[[#This Row],[Contracts Signed]]/SalesData[[#This Row],[Customers Visited]])</f>
        <v>0.13364055299539171</v>
      </c>
      <c r="AI2397" s="6">
        <f>IF(SalesData[[#This Row],[Contracts Signed]]=0,0,SalesData[[#This Row],[Profit(€)]]/SalesData[[#This Row],[Contracts Signed]])</f>
        <v>11351</v>
      </c>
      <c r="AJ2397" s="5" t="str">
        <f>TRIM(CLEAN(SalesData[[#This Row],[Retailer]]))</f>
        <v>Hannover Cars</v>
      </c>
    </row>
    <row r="2398" spans="1:36" ht="14.25" x14ac:dyDescent="0.2">
      <c r="A2398" t="s">
        <v>3464</v>
      </c>
      <c r="B2398" s="1">
        <v>46073</v>
      </c>
      <c r="C2398" t="s">
        <v>62</v>
      </c>
      <c r="D2398" t="s">
        <v>54</v>
      </c>
      <c r="E2398" t="s">
        <v>26</v>
      </c>
      <c r="F2398" t="s">
        <v>109</v>
      </c>
      <c r="G2398" t="s">
        <v>110</v>
      </c>
      <c r="H2398" t="s">
        <v>45</v>
      </c>
      <c r="I2398" t="s">
        <v>30</v>
      </c>
      <c r="J2398" t="s">
        <v>31</v>
      </c>
      <c r="K2398" t="s">
        <v>78</v>
      </c>
      <c r="L2398" t="s">
        <v>46</v>
      </c>
      <c r="M2398" t="s">
        <v>87</v>
      </c>
      <c r="N2398" t="s">
        <v>48</v>
      </c>
      <c r="O2398" t="s">
        <v>36</v>
      </c>
      <c r="P2398" t="s">
        <v>71</v>
      </c>
      <c r="Q2398" t="s">
        <v>106</v>
      </c>
      <c r="R2398">
        <v>195</v>
      </c>
      <c r="S2398">
        <v>118</v>
      </c>
      <c r="T2398">
        <v>82</v>
      </c>
      <c r="U2398">
        <v>35</v>
      </c>
      <c r="V2398" t="s">
        <v>7094</v>
      </c>
      <c r="W2398">
        <v>52602</v>
      </c>
      <c r="X2398" t="s">
        <v>7294</v>
      </c>
      <c r="Y2398">
        <v>39508</v>
      </c>
      <c r="Z2398">
        <v>1841070</v>
      </c>
      <c r="AA2398">
        <v>458290</v>
      </c>
      <c r="AB2398" t="str">
        <f>(VLOOKUP(SalesData[[#This Row],[Month Number]],Reference!C$5:E$16,2,FALSE))</f>
        <v>Feb</v>
      </c>
      <c r="AC2398">
        <f>MONTH(SalesData[[#This Row],[Date]])</f>
        <v>2</v>
      </c>
      <c r="AD2398">
        <f>Reference!F$4</f>
        <v>2026</v>
      </c>
      <c r="AE2398" t="str">
        <f>IF(OR(SalesData[[#This Row],[Day]]="Saturday",SalesData[[#This Row],[Day]]="Sunday"),"Weekend","Weekday")</f>
        <v>Weekday</v>
      </c>
      <c r="AF2398" s="5">
        <f>IF(SalesData[[#This Row],[Contracts Offered]]=0,0,SalesData[[#This Row],[Contracts Signed]]/SalesData[[#This Row],[Contracts Offered]])</f>
        <v>0.42682926829268292</v>
      </c>
      <c r="AG2398" s="5">
        <f>IF(SalesData[[#This Row],[Customers Visited]]=0,0,SalesData[[#This Row],[Test Drives]]/SalesData[[#This Row],[Customers Visited]])</f>
        <v>0.60512820512820509</v>
      </c>
      <c r="AH2398" s="5">
        <f>IF(SalesData[[#This Row],[Customers Visited]]=0,0,SalesData[[#This Row],[Contracts Signed]]/SalesData[[#This Row],[Customers Visited]])</f>
        <v>0.17948717948717949</v>
      </c>
      <c r="AI2398" s="6">
        <f>IF(SalesData[[#This Row],[Contracts Signed]]=0,0,SalesData[[#This Row],[Profit(€)]]/SalesData[[#This Row],[Contracts Signed]])</f>
        <v>13094</v>
      </c>
      <c r="AJ2398" s="5" t="str">
        <f>TRIM(CLEAN(SalesData[[#This Row],[Retailer]]))</f>
        <v>Leipzig Mobility</v>
      </c>
    </row>
    <row r="2399" spans="1:36" ht="14.25" hidden="1" x14ac:dyDescent="0.2">
      <c r="A2399" t="s">
        <v>3465</v>
      </c>
      <c r="B2399" s="1">
        <v>46081</v>
      </c>
      <c r="C2399" t="s">
        <v>53</v>
      </c>
      <c r="D2399" t="s">
        <v>151</v>
      </c>
      <c r="E2399" t="s">
        <v>42</v>
      </c>
      <c r="F2399" t="s">
        <v>109</v>
      </c>
      <c r="G2399" t="s">
        <v>110</v>
      </c>
      <c r="H2399" t="s">
        <v>45</v>
      </c>
      <c r="I2399" t="s">
        <v>64</v>
      </c>
      <c r="J2399" t="s">
        <v>77</v>
      </c>
      <c r="K2399" t="s">
        <v>32</v>
      </c>
      <c r="L2399" t="s">
        <v>46</v>
      </c>
      <c r="M2399" t="s">
        <v>68</v>
      </c>
      <c r="N2399" t="s">
        <v>69</v>
      </c>
      <c r="O2399" t="s">
        <v>70</v>
      </c>
      <c r="P2399" t="s">
        <v>49</v>
      </c>
      <c r="Q2399" t="s">
        <v>169</v>
      </c>
      <c r="R2399">
        <v>204</v>
      </c>
      <c r="S2399">
        <v>107</v>
      </c>
      <c r="T2399">
        <v>82</v>
      </c>
      <c r="U2399">
        <v>23</v>
      </c>
      <c r="V2399" t="s">
        <v>6435</v>
      </c>
      <c r="W2399">
        <v>57337</v>
      </c>
      <c r="X2399" t="s">
        <v>7177</v>
      </c>
      <c r="Y2399">
        <v>41335</v>
      </c>
      <c r="Z2399">
        <v>1318751</v>
      </c>
      <c r="AA2399">
        <v>368046</v>
      </c>
      <c r="AB2399" t="str">
        <f>(VLOOKUP(SalesData[[#This Row],[Month Number]],Reference!C$5:E$16,2,FALSE))</f>
        <v>Feb</v>
      </c>
      <c r="AC2399">
        <f>MONTH(SalesData[[#This Row],[Date]])</f>
        <v>2</v>
      </c>
      <c r="AD2399">
        <f>Reference!F$4</f>
        <v>2026</v>
      </c>
      <c r="AE2399" t="str">
        <f>IF(OR(SalesData[[#This Row],[Day]]="Saturday",SalesData[[#This Row],[Day]]="Sunday"),"Weekend","Weekday")</f>
        <v>Weekend</v>
      </c>
      <c r="AF2399" s="5">
        <f>IF(SalesData[[#This Row],[Contracts Offered]]=0,0,SalesData[[#This Row],[Contracts Signed]]/SalesData[[#This Row],[Contracts Offered]])</f>
        <v>0.28048780487804881</v>
      </c>
      <c r="AG2399" s="5">
        <f>IF(SalesData[[#This Row],[Customers Visited]]=0,0,SalesData[[#This Row],[Test Drives]]/SalesData[[#This Row],[Customers Visited]])</f>
        <v>0.52450980392156865</v>
      </c>
      <c r="AH2399" s="5">
        <f>IF(SalesData[[#This Row],[Customers Visited]]=0,0,SalesData[[#This Row],[Contracts Signed]]/SalesData[[#This Row],[Customers Visited]])</f>
        <v>0.11274509803921569</v>
      </c>
      <c r="AI2399" s="6">
        <f>IF(SalesData[[#This Row],[Contracts Signed]]=0,0,SalesData[[#This Row],[Profit(€)]]/SalesData[[#This Row],[Contracts Signed]])</f>
        <v>16002</v>
      </c>
      <c r="AJ2399" s="5" t="str">
        <f>TRIM(CLEAN(SalesData[[#This Row],[Retailer]]))</f>
        <v>Leipzig Mobility</v>
      </c>
    </row>
    <row r="2400" spans="1:36" ht="14.25" hidden="1" x14ac:dyDescent="0.2">
      <c r="A2400" t="s">
        <v>3466</v>
      </c>
      <c r="B2400" s="1">
        <v>46054</v>
      </c>
      <c r="C2400" t="s">
        <v>24</v>
      </c>
      <c r="D2400" t="s">
        <v>41</v>
      </c>
      <c r="E2400" t="s">
        <v>42</v>
      </c>
      <c r="F2400" t="s">
        <v>74</v>
      </c>
      <c r="G2400" t="s">
        <v>75</v>
      </c>
      <c r="H2400" t="s">
        <v>76</v>
      </c>
      <c r="I2400" t="s">
        <v>104</v>
      </c>
      <c r="J2400" t="s">
        <v>143</v>
      </c>
      <c r="K2400" t="s">
        <v>32</v>
      </c>
      <c r="L2400" t="s">
        <v>67</v>
      </c>
      <c r="M2400" t="s">
        <v>87</v>
      </c>
      <c r="N2400" t="s">
        <v>69</v>
      </c>
      <c r="O2400" t="s">
        <v>36</v>
      </c>
      <c r="P2400" t="s">
        <v>49</v>
      </c>
      <c r="Q2400" t="s">
        <v>347</v>
      </c>
      <c r="R2400">
        <v>276</v>
      </c>
      <c r="S2400">
        <v>119</v>
      </c>
      <c r="T2400">
        <v>70</v>
      </c>
      <c r="U2400">
        <v>18</v>
      </c>
      <c r="V2400" t="s">
        <v>2601</v>
      </c>
      <c r="W2400">
        <v>31194</v>
      </c>
      <c r="X2400" t="s">
        <v>133</v>
      </c>
      <c r="Y2400">
        <v>27771</v>
      </c>
      <c r="Z2400">
        <v>561492</v>
      </c>
      <c r="AA2400">
        <v>61614</v>
      </c>
      <c r="AB2400" t="str">
        <f>(VLOOKUP(SalesData[[#This Row],[Month Number]],Reference!C$5:E$16,2,FALSE))</f>
        <v>Feb</v>
      </c>
      <c r="AC2400">
        <f>MONTH(SalesData[[#This Row],[Date]])</f>
        <v>2</v>
      </c>
      <c r="AD2400">
        <f>Reference!F$4</f>
        <v>2026</v>
      </c>
      <c r="AE2400" t="str">
        <f>IF(OR(SalesData[[#This Row],[Day]]="Saturday",SalesData[[#This Row],[Day]]="Sunday"),"Weekend","Weekday")</f>
        <v>Weekend</v>
      </c>
      <c r="AF2400" s="5">
        <f>IF(SalesData[[#This Row],[Contracts Offered]]=0,0,SalesData[[#This Row],[Contracts Signed]]/SalesData[[#This Row],[Contracts Offered]])</f>
        <v>0.25714285714285712</v>
      </c>
      <c r="AG2400" s="5">
        <f>IF(SalesData[[#This Row],[Customers Visited]]=0,0,SalesData[[#This Row],[Test Drives]]/SalesData[[#This Row],[Customers Visited]])</f>
        <v>0.4311594202898551</v>
      </c>
      <c r="AH2400" s="5">
        <f>IF(SalesData[[#This Row],[Customers Visited]]=0,0,SalesData[[#This Row],[Contracts Signed]]/SalesData[[#This Row],[Customers Visited]])</f>
        <v>6.5217391304347824E-2</v>
      </c>
      <c r="AI2400" s="6">
        <f>IF(SalesData[[#This Row],[Contracts Signed]]=0,0,SalesData[[#This Row],[Profit(€)]]/SalesData[[#This Row],[Contracts Signed]])</f>
        <v>3423</v>
      </c>
      <c r="AJ2400" s="5" t="str">
        <f>TRIM(CLEAN(SalesData[[#This Row],[Retailer]]))</f>
        <v>Stuttgart Auto Center</v>
      </c>
    </row>
    <row r="2401" spans="1:36" ht="14.25" x14ac:dyDescent="0.2">
      <c r="A2401" t="s">
        <v>3467</v>
      </c>
      <c r="B2401" s="1">
        <v>46078</v>
      </c>
      <c r="C2401" t="s">
        <v>53</v>
      </c>
      <c r="D2401" t="s">
        <v>82</v>
      </c>
      <c r="E2401" t="s">
        <v>26</v>
      </c>
      <c r="F2401" t="s">
        <v>83</v>
      </c>
      <c r="G2401" t="s">
        <v>84</v>
      </c>
      <c r="H2401" t="s">
        <v>85</v>
      </c>
      <c r="I2401" t="s">
        <v>30</v>
      </c>
      <c r="J2401" t="s">
        <v>166</v>
      </c>
      <c r="K2401" t="s">
        <v>66</v>
      </c>
      <c r="L2401" t="s">
        <v>46</v>
      </c>
      <c r="M2401" t="s">
        <v>47</v>
      </c>
      <c r="N2401" t="s">
        <v>48</v>
      </c>
      <c r="O2401" t="s">
        <v>36</v>
      </c>
      <c r="P2401" t="s">
        <v>37</v>
      </c>
      <c r="Q2401" t="s">
        <v>106</v>
      </c>
      <c r="R2401">
        <v>234</v>
      </c>
      <c r="S2401">
        <v>109</v>
      </c>
      <c r="T2401">
        <v>86</v>
      </c>
      <c r="U2401">
        <v>27</v>
      </c>
      <c r="V2401" t="s">
        <v>6390</v>
      </c>
      <c r="W2401">
        <v>66919</v>
      </c>
      <c r="X2401" t="s">
        <v>7476</v>
      </c>
      <c r="Y2401">
        <v>48491</v>
      </c>
      <c r="Z2401">
        <v>1806813</v>
      </c>
      <c r="AA2401">
        <v>497556</v>
      </c>
      <c r="AB2401" t="str">
        <f>(VLOOKUP(SalesData[[#This Row],[Month Number]],Reference!C$5:E$16,2,FALSE))</f>
        <v>Feb</v>
      </c>
      <c r="AC2401">
        <f>MONTH(SalesData[[#This Row],[Date]])</f>
        <v>2</v>
      </c>
      <c r="AD2401">
        <f>Reference!F$4</f>
        <v>2026</v>
      </c>
      <c r="AE2401" t="str">
        <f>IF(OR(SalesData[[#This Row],[Day]]="Saturday",SalesData[[#This Row],[Day]]="Sunday"),"Weekend","Weekday")</f>
        <v>Weekday</v>
      </c>
      <c r="AF2401" s="5">
        <f>IF(SalesData[[#This Row],[Contracts Offered]]=0,0,SalesData[[#This Row],[Contracts Signed]]/SalesData[[#This Row],[Contracts Offered]])</f>
        <v>0.31395348837209303</v>
      </c>
      <c r="AG2401" s="5">
        <f>IF(SalesData[[#This Row],[Customers Visited]]=0,0,SalesData[[#This Row],[Test Drives]]/SalesData[[#This Row],[Customers Visited]])</f>
        <v>0.46581196581196582</v>
      </c>
      <c r="AH2401" s="5">
        <f>IF(SalesData[[#This Row],[Customers Visited]]=0,0,SalesData[[#This Row],[Contracts Signed]]/SalesData[[#This Row],[Customers Visited]])</f>
        <v>0.11538461538461539</v>
      </c>
      <c r="AI2401" s="6">
        <f>IF(SalesData[[#This Row],[Contracts Signed]]=0,0,SalesData[[#This Row],[Profit(€)]]/SalesData[[#This Row],[Contracts Signed]])</f>
        <v>18428</v>
      </c>
      <c r="AJ2401" s="5" t="str">
        <f>TRIM(CLEAN(SalesData[[#This Row],[Retailer]]))</f>
        <v>Hannover Cars</v>
      </c>
    </row>
    <row r="2402" spans="1:36" ht="14.25" x14ac:dyDescent="0.2">
      <c r="A2402" t="s">
        <v>3468</v>
      </c>
      <c r="B2402" s="1">
        <v>46078</v>
      </c>
      <c r="C2402" t="s">
        <v>53</v>
      </c>
      <c r="D2402" t="s">
        <v>82</v>
      </c>
      <c r="E2402" t="s">
        <v>26</v>
      </c>
      <c r="F2402" t="s">
        <v>83</v>
      </c>
      <c r="G2402" t="s">
        <v>84</v>
      </c>
      <c r="H2402" t="s">
        <v>85</v>
      </c>
      <c r="I2402" t="s">
        <v>30</v>
      </c>
      <c r="J2402" t="s">
        <v>31</v>
      </c>
      <c r="K2402" t="s">
        <v>91</v>
      </c>
      <c r="L2402" t="s">
        <v>46</v>
      </c>
      <c r="M2402" t="s">
        <v>47</v>
      </c>
      <c r="N2402" t="s">
        <v>48</v>
      </c>
      <c r="O2402" t="s">
        <v>70</v>
      </c>
      <c r="P2402" t="s">
        <v>49</v>
      </c>
      <c r="Q2402" t="s">
        <v>172</v>
      </c>
      <c r="R2402">
        <v>204</v>
      </c>
      <c r="S2402">
        <v>109</v>
      </c>
      <c r="T2402">
        <v>84</v>
      </c>
      <c r="U2402">
        <v>25</v>
      </c>
      <c r="V2402" t="s">
        <v>6664</v>
      </c>
      <c r="W2402">
        <v>50642</v>
      </c>
      <c r="X2402" t="s">
        <v>7330</v>
      </c>
      <c r="Y2402">
        <v>36142</v>
      </c>
      <c r="Z2402">
        <v>1266050</v>
      </c>
      <c r="AA2402">
        <v>362500</v>
      </c>
      <c r="AB2402" t="str">
        <f>(VLOOKUP(SalesData[[#This Row],[Month Number]],Reference!C$5:E$16,2,FALSE))</f>
        <v>Feb</v>
      </c>
      <c r="AC2402">
        <f>MONTH(SalesData[[#This Row],[Date]])</f>
        <v>2</v>
      </c>
      <c r="AD2402">
        <f>Reference!F$4</f>
        <v>2026</v>
      </c>
      <c r="AE2402" t="str">
        <f>IF(OR(SalesData[[#This Row],[Day]]="Saturday",SalesData[[#This Row],[Day]]="Sunday"),"Weekend","Weekday")</f>
        <v>Weekday</v>
      </c>
      <c r="AF2402" s="5">
        <f>IF(SalesData[[#This Row],[Contracts Offered]]=0,0,SalesData[[#This Row],[Contracts Signed]]/SalesData[[#This Row],[Contracts Offered]])</f>
        <v>0.29761904761904762</v>
      </c>
      <c r="AG2402" s="5">
        <f>IF(SalesData[[#This Row],[Customers Visited]]=0,0,SalesData[[#This Row],[Test Drives]]/SalesData[[#This Row],[Customers Visited]])</f>
        <v>0.53431372549019607</v>
      </c>
      <c r="AH2402" s="5">
        <f>IF(SalesData[[#This Row],[Customers Visited]]=0,0,SalesData[[#This Row],[Contracts Signed]]/SalesData[[#This Row],[Customers Visited]])</f>
        <v>0.12254901960784313</v>
      </c>
      <c r="AI2402" s="6">
        <f>IF(SalesData[[#This Row],[Contracts Signed]]=0,0,SalesData[[#This Row],[Profit(€)]]/SalesData[[#This Row],[Contracts Signed]])</f>
        <v>14500</v>
      </c>
      <c r="AJ2402" s="5" t="str">
        <f>TRIM(CLEAN(SalesData[[#This Row],[Retailer]]))</f>
        <v>Hannover Cars</v>
      </c>
    </row>
    <row r="2403" spans="1:36" ht="14.25" x14ac:dyDescent="0.2">
      <c r="A2403" t="s">
        <v>3469</v>
      </c>
      <c r="B2403" s="1">
        <v>46074</v>
      </c>
      <c r="C2403" t="s">
        <v>62</v>
      </c>
      <c r="D2403" t="s">
        <v>151</v>
      </c>
      <c r="E2403" t="s">
        <v>42</v>
      </c>
      <c r="F2403" t="s">
        <v>27</v>
      </c>
      <c r="G2403" t="s">
        <v>28</v>
      </c>
      <c r="H2403" t="s">
        <v>29</v>
      </c>
      <c r="I2403" t="s">
        <v>30</v>
      </c>
      <c r="J2403" t="s">
        <v>166</v>
      </c>
      <c r="K2403" t="s">
        <v>32</v>
      </c>
      <c r="L2403" t="s">
        <v>46</v>
      </c>
      <c r="M2403" t="s">
        <v>68</v>
      </c>
      <c r="N2403" t="s">
        <v>35</v>
      </c>
      <c r="O2403" t="s">
        <v>70</v>
      </c>
      <c r="P2403" t="s">
        <v>58</v>
      </c>
      <c r="Q2403" t="s">
        <v>106</v>
      </c>
      <c r="R2403">
        <v>173</v>
      </c>
      <c r="S2403">
        <v>82</v>
      </c>
      <c r="T2403">
        <v>57</v>
      </c>
      <c r="U2403">
        <v>24</v>
      </c>
      <c r="V2403" t="s">
        <v>6419</v>
      </c>
      <c r="W2403">
        <v>58525</v>
      </c>
      <c r="X2403" t="s">
        <v>7180</v>
      </c>
      <c r="Y2403">
        <v>44391</v>
      </c>
      <c r="Z2403">
        <v>1404600</v>
      </c>
      <c r="AA2403">
        <v>339216</v>
      </c>
      <c r="AB2403" t="str">
        <f>(VLOOKUP(SalesData[[#This Row],[Month Number]],Reference!C$5:E$16,2,FALSE))</f>
        <v>Feb</v>
      </c>
      <c r="AC2403">
        <f>MONTH(SalesData[[#This Row],[Date]])</f>
        <v>2</v>
      </c>
      <c r="AD2403">
        <f>Reference!F$4</f>
        <v>2026</v>
      </c>
      <c r="AE2403" t="str">
        <f>IF(OR(SalesData[[#This Row],[Day]]="Saturday",SalesData[[#This Row],[Day]]="Sunday"),"Weekend","Weekday")</f>
        <v>Weekend</v>
      </c>
      <c r="AF2403" s="5">
        <f>IF(SalesData[[#This Row],[Contracts Offered]]=0,0,SalesData[[#This Row],[Contracts Signed]]/SalesData[[#This Row],[Contracts Offered]])</f>
        <v>0.42105263157894735</v>
      </c>
      <c r="AG2403" s="5">
        <f>IF(SalesData[[#This Row],[Customers Visited]]=0,0,SalesData[[#This Row],[Test Drives]]/SalesData[[#This Row],[Customers Visited]])</f>
        <v>0.47398843930635837</v>
      </c>
      <c r="AH2403" s="5">
        <f>IF(SalesData[[#This Row],[Customers Visited]]=0,0,SalesData[[#This Row],[Contracts Signed]]/SalesData[[#This Row],[Customers Visited]])</f>
        <v>0.13872832369942195</v>
      </c>
      <c r="AI2403" s="6">
        <f>IF(SalesData[[#This Row],[Contracts Signed]]=0,0,SalesData[[#This Row],[Profit(€)]]/SalesData[[#This Row],[Contracts Signed]])</f>
        <v>14134</v>
      </c>
      <c r="AJ2403" s="5" t="str">
        <f>TRIM(CLEAN(SalesData[[#This Row],[Retailer]]))</f>
        <v>Main Auto Hub</v>
      </c>
    </row>
    <row r="2404" spans="1:36" ht="14.25" hidden="1" x14ac:dyDescent="0.2">
      <c r="A2404" t="s">
        <v>3470</v>
      </c>
      <c r="B2404" s="1">
        <v>46073</v>
      </c>
      <c r="C2404" t="s">
        <v>62</v>
      </c>
      <c r="D2404" t="s">
        <v>54</v>
      </c>
      <c r="E2404" t="s">
        <v>26</v>
      </c>
      <c r="F2404" t="s">
        <v>109</v>
      </c>
      <c r="G2404" t="s">
        <v>110</v>
      </c>
      <c r="H2404" t="s">
        <v>45</v>
      </c>
      <c r="I2404" t="s">
        <v>64</v>
      </c>
      <c r="J2404" t="s">
        <v>157</v>
      </c>
      <c r="K2404" t="s">
        <v>78</v>
      </c>
      <c r="L2404" t="s">
        <v>33</v>
      </c>
      <c r="M2404" t="s">
        <v>68</v>
      </c>
      <c r="N2404" t="s">
        <v>35</v>
      </c>
      <c r="O2404" t="s">
        <v>36</v>
      </c>
      <c r="P2404" t="s">
        <v>37</v>
      </c>
      <c r="Q2404" t="s">
        <v>50</v>
      </c>
      <c r="R2404">
        <v>281</v>
      </c>
      <c r="S2404">
        <v>137</v>
      </c>
      <c r="T2404">
        <v>97</v>
      </c>
      <c r="U2404">
        <v>32</v>
      </c>
      <c r="V2404" t="s">
        <v>6389</v>
      </c>
      <c r="W2404">
        <v>62890</v>
      </c>
      <c r="X2404" t="s">
        <v>7328</v>
      </c>
      <c r="Y2404">
        <v>48281</v>
      </c>
      <c r="Z2404">
        <v>2012480</v>
      </c>
      <c r="AA2404">
        <v>467488</v>
      </c>
      <c r="AB2404" t="str">
        <f>(VLOOKUP(SalesData[[#This Row],[Month Number]],Reference!C$5:E$16,2,FALSE))</f>
        <v>Feb</v>
      </c>
      <c r="AC2404">
        <f>MONTH(SalesData[[#This Row],[Date]])</f>
        <v>2</v>
      </c>
      <c r="AD2404">
        <f>Reference!F$4</f>
        <v>2026</v>
      </c>
      <c r="AE2404" t="str">
        <f>IF(OR(SalesData[[#This Row],[Day]]="Saturday",SalesData[[#This Row],[Day]]="Sunday"),"Weekend","Weekday")</f>
        <v>Weekday</v>
      </c>
      <c r="AF2404" s="5">
        <f>IF(SalesData[[#This Row],[Contracts Offered]]=0,0,SalesData[[#This Row],[Contracts Signed]]/SalesData[[#This Row],[Contracts Offered]])</f>
        <v>0.32989690721649484</v>
      </c>
      <c r="AG2404" s="5">
        <f>IF(SalesData[[#This Row],[Customers Visited]]=0,0,SalesData[[#This Row],[Test Drives]]/SalesData[[#This Row],[Customers Visited]])</f>
        <v>0.48754448398576511</v>
      </c>
      <c r="AH2404" s="5">
        <f>IF(SalesData[[#This Row],[Customers Visited]]=0,0,SalesData[[#This Row],[Contracts Signed]]/SalesData[[#This Row],[Customers Visited]])</f>
        <v>0.11387900355871886</v>
      </c>
      <c r="AI2404" s="6">
        <f>IF(SalesData[[#This Row],[Contracts Signed]]=0,0,SalesData[[#This Row],[Profit(€)]]/SalesData[[#This Row],[Contracts Signed]])</f>
        <v>14609</v>
      </c>
      <c r="AJ2404" s="5" t="str">
        <f>TRIM(CLEAN(SalesData[[#This Row],[Retailer]]))</f>
        <v>Leipzig Mobility</v>
      </c>
    </row>
    <row r="2405" spans="1:36" ht="14.25" hidden="1" x14ac:dyDescent="0.2">
      <c r="A2405" t="s">
        <v>3471</v>
      </c>
      <c r="B2405" s="1">
        <v>46071</v>
      </c>
      <c r="C2405" t="s">
        <v>62</v>
      </c>
      <c r="D2405" t="s">
        <v>82</v>
      </c>
      <c r="E2405" t="s">
        <v>26</v>
      </c>
      <c r="F2405" t="s">
        <v>43</v>
      </c>
      <c r="G2405" t="s">
        <v>44</v>
      </c>
      <c r="H2405" t="s">
        <v>45</v>
      </c>
      <c r="I2405" t="s">
        <v>104</v>
      </c>
      <c r="J2405" t="s">
        <v>7061</v>
      </c>
      <c r="K2405" t="s">
        <v>78</v>
      </c>
      <c r="L2405" t="s">
        <v>46</v>
      </c>
      <c r="M2405" t="s">
        <v>47</v>
      </c>
      <c r="N2405" t="s">
        <v>69</v>
      </c>
      <c r="O2405" t="s">
        <v>36</v>
      </c>
      <c r="P2405" t="s">
        <v>37</v>
      </c>
      <c r="Q2405" t="s">
        <v>135</v>
      </c>
      <c r="R2405">
        <v>465</v>
      </c>
      <c r="S2405">
        <v>252</v>
      </c>
      <c r="T2405">
        <v>152</v>
      </c>
      <c r="U2405">
        <v>41</v>
      </c>
      <c r="V2405" t="s">
        <v>6845</v>
      </c>
      <c r="W2405">
        <v>30350</v>
      </c>
      <c r="X2405" t="s">
        <v>972</v>
      </c>
      <c r="Y2405">
        <v>26137</v>
      </c>
      <c r="Z2405">
        <v>1244350</v>
      </c>
      <c r="AA2405">
        <v>172733</v>
      </c>
      <c r="AB2405" t="str">
        <f>(VLOOKUP(SalesData[[#This Row],[Month Number]],Reference!C$5:E$16,2,FALSE))</f>
        <v>Feb</v>
      </c>
      <c r="AC2405">
        <f>MONTH(SalesData[[#This Row],[Date]])</f>
        <v>2</v>
      </c>
      <c r="AD2405">
        <f>Reference!F$4</f>
        <v>2026</v>
      </c>
      <c r="AE2405" t="str">
        <f>IF(OR(SalesData[[#This Row],[Day]]="Saturday",SalesData[[#This Row],[Day]]="Sunday"),"Weekend","Weekday")</f>
        <v>Weekday</v>
      </c>
      <c r="AF2405" s="5">
        <f>IF(SalesData[[#This Row],[Contracts Offered]]=0,0,SalesData[[#This Row],[Contracts Signed]]/SalesData[[#This Row],[Contracts Offered]])</f>
        <v>0.26973684210526316</v>
      </c>
      <c r="AG2405" s="5">
        <f>IF(SalesData[[#This Row],[Customers Visited]]=0,0,SalesData[[#This Row],[Test Drives]]/SalesData[[#This Row],[Customers Visited]])</f>
        <v>0.54193548387096779</v>
      </c>
      <c r="AH2405" s="5">
        <f>IF(SalesData[[#This Row],[Customers Visited]]=0,0,SalesData[[#This Row],[Contracts Signed]]/SalesData[[#This Row],[Customers Visited]])</f>
        <v>8.8172043010752682E-2</v>
      </c>
      <c r="AI2405" s="6">
        <f>IF(SalesData[[#This Row],[Contracts Signed]]=0,0,SalesData[[#This Row],[Profit(€)]]/SalesData[[#This Row],[Contracts Signed]])</f>
        <v>4213</v>
      </c>
      <c r="AJ2405" s="5" t="str">
        <f>TRIM(CLEAN(SalesData[[#This Row],[Retailer]]))</f>
        <v>Saxon Wheels</v>
      </c>
    </row>
    <row r="2406" spans="1:36" ht="14.25" hidden="1" x14ac:dyDescent="0.2">
      <c r="A2406" t="s">
        <v>3472</v>
      </c>
      <c r="B2406" s="1">
        <v>46060</v>
      </c>
      <c r="C2406" t="s">
        <v>24</v>
      </c>
      <c r="D2406" t="s">
        <v>151</v>
      </c>
      <c r="E2406" t="s">
        <v>42</v>
      </c>
      <c r="F2406" t="s">
        <v>109</v>
      </c>
      <c r="G2406" t="s">
        <v>110</v>
      </c>
      <c r="H2406" t="s">
        <v>45</v>
      </c>
      <c r="I2406" t="s">
        <v>116</v>
      </c>
      <c r="J2406" t="s">
        <v>117</v>
      </c>
      <c r="K2406" t="s">
        <v>66</v>
      </c>
      <c r="L2406" t="s">
        <v>67</v>
      </c>
      <c r="M2406" t="s">
        <v>87</v>
      </c>
      <c r="N2406" t="s">
        <v>35</v>
      </c>
      <c r="O2406" t="s">
        <v>70</v>
      </c>
      <c r="P2406" t="s">
        <v>58</v>
      </c>
      <c r="Q2406" t="s">
        <v>172</v>
      </c>
      <c r="R2406">
        <v>376</v>
      </c>
      <c r="S2406">
        <v>195</v>
      </c>
      <c r="T2406">
        <v>113</v>
      </c>
      <c r="U2406">
        <v>29</v>
      </c>
      <c r="V2406" t="s">
        <v>6595</v>
      </c>
      <c r="W2406">
        <v>24505</v>
      </c>
      <c r="X2406" t="s">
        <v>1957</v>
      </c>
      <c r="Y2406">
        <v>22006</v>
      </c>
      <c r="Z2406">
        <v>710645</v>
      </c>
      <c r="AA2406">
        <v>72471</v>
      </c>
      <c r="AB2406" t="str">
        <f>(VLOOKUP(SalesData[[#This Row],[Month Number]],Reference!C$5:E$16,2,FALSE))</f>
        <v>Feb</v>
      </c>
      <c r="AC2406">
        <f>MONTH(SalesData[[#This Row],[Date]])</f>
        <v>2</v>
      </c>
      <c r="AD2406">
        <f>Reference!F$4</f>
        <v>2026</v>
      </c>
      <c r="AE2406" t="str">
        <f>IF(OR(SalesData[[#This Row],[Day]]="Saturday",SalesData[[#This Row],[Day]]="Sunday"),"Weekend","Weekday")</f>
        <v>Weekend</v>
      </c>
      <c r="AF2406" s="5">
        <f>IF(SalesData[[#This Row],[Contracts Offered]]=0,0,SalesData[[#This Row],[Contracts Signed]]/SalesData[[#This Row],[Contracts Offered]])</f>
        <v>0.25663716814159293</v>
      </c>
      <c r="AG2406" s="5">
        <f>IF(SalesData[[#This Row],[Customers Visited]]=0,0,SalesData[[#This Row],[Test Drives]]/SalesData[[#This Row],[Customers Visited]])</f>
        <v>0.5186170212765957</v>
      </c>
      <c r="AH2406" s="5">
        <f>IF(SalesData[[#This Row],[Customers Visited]]=0,0,SalesData[[#This Row],[Contracts Signed]]/SalesData[[#This Row],[Customers Visited]])</f>
        <v>7.7127659574468085E-2</v>
      </c>
      <c r="AI2406" s="6">
        <f>IF(SalesData[[#This Row],[Contracts Signed]]=0,0,SalesData[[#This Row],[Profit(€)]]/SalesData[[#This Row],[Contracts Signed]])</f>
        <v>2499</v>
      </c>
      <c r="AJ2406" s="5" t="str">
        <f>TRIM(CLEAN(SalesData[[#This Row],[Retailer]]))</f>
        <v>Leipzig Mobility</v>
      </c>
    </row>
    <row r="2407" spans="1:36" ht="14.25" hidden="1" x14ac:dyDescent="0.2">
      <c r="A2407" t="s">
        <v>3473</v>
      </c>
      <c r="B2407" s="1">
        <v>46058</v>
      </c>
      <c r="C2407" t="s">
        <v>24</v>
      </c>
      <c r="D2407" t="s">
        <v>100</v>
      </c>
      <c r="E2407" t="s">
        <v>26</v>
      </c>
      <c r="F2407" t="s">
        <v>114</v>
      </c>
      <c r="G2407" t="s">
        <v>115</v>
      </c>
      <c r="H2407" t="s">
        <v>115</v>
      </c>
      <c r="I2407" t="s">
        <v>56</v>
      </c>
      <c r="J2407" t="s">
        <v>137</v>
      </c>
      <c r="K2407" t="s">
        <v>78</v>
      </c>
      <c r="L2407" t="s">
        <v>46</v>
      </c>
      <c r="M2407" t="s">
        <v>34</v>
      </c>
      <c r="N2407" t="s">
        <v>35</v>
      </c>
      <c r="O2407" t="s">
        <v>36</v>
      </c>
      <c r="P2407" t="s">
        <v>37</v>
      </c>
      <c r="Q2407" t="s">
        <v>240</v>
      </c>
      <c r="R2407">
        <v>279</v>
      </c>
      <c r="S2407">
        <v>135</v>
      </c>
      <c r="T2407">
        <v>94</v>
      </c>
      <c r="U2407">
        <v>33</v>
      </c>
      <c r="V2407" t="s">
        <v>6705</v>
      </c>
      <c r="W2407">
        <v>49125</v>
      </c>
      <c r="X2407" t="s">
        <v>2261</v>
      </c>
      <c r="Y2407">
        <v>39220</v>
      </c>
      <c r="Z2407">
        <v>1621125</v>
      </c>
      <c r="AA2407">
        <v>326865</v>
      </c>
      <c r="AB2407" t="str">
        <f>(VLOOKUP(SalesData[[#This Row],[Month Number]],Reference!C$5:E$16,2,FALSE))</f>
        <v>Feb</v>
      </c>
      <c r="AC2407">
        <f>MONTH(SalesData[[#This Row],[Date]])</f>
        <v>2</v>
      </c>
      <c r="AD2407">
        <f>Reference!F$4</f>
        <v>2026</v>
      </c>
      <c r="AE2407" t="str">
        <f>IF(OR(SalesData[[#This Row],[Day]]="Saturday",SalesData[[#This Row],[Day]]="Sunday"),"Weekend","Weekday")</f>
        <v>Weekday</v>
      </c>
      <c r="AF2407" s="5">
        <f>IF(SalesData[[#This Row],[Contracts Offered]]=0,0,SalesData[[#This Row],[Contracts Signed]]/SalesData[[#This Row],[Contracts Offered]])</f>
        <v>0.35106382978723405</v>
      </c>
      <c r="AG2407" s="5">
        <f>IF(SalesData[[#This Row],[Customers Visited]]=0,0,SalesData[[#This Row],[Test Drives]]/SalesData[[#This Row],[Customers Visited]])</f>
        <v>0.4838709677419355</v>
      </c>
      <c r="AH2407" s="5">
        <f>IF(SalesData[[#This Row],[Customers Visited]]=0,0,SalesData[[#This Row],[Contracts Signed]]/SalesData[[#This Row],[Customers Visited]])</f>
        <v>0.11827956989247312</v>
      </c>
      <c r="AI2407" s="6">
        <f>IF(SalesData[[#This Row],[Contracts Signed]]=0,0,SalesData[[#This Row],[Profit(€)]]/SalesData[[#This Row],[Contracts Signed]])</f>
        <v>9905</v>
      </c>
      <c r="AJ2407" s="5" t="str">
        <f>TRIM(CLEAN(SalesData[[#This Row],[Retailer]]))</f>
        <v>Elbe Drive</v>
      </c>
    </row>
    <row r="2408" spans="1:36" ht="14.25" hidden="1" x14ac:dyDescent="0.2">
      <c r="A2408" t="s">
        <v>3474</v>
      </c>
      <c r="B2408" s="1">
        <v>46059</v>
      </c>
      <c r="C2408" t="s">
        <v>24</v>
      </c>
      <c r="D2408" t="s">
        <v>54</v>
      </c>
      <c r="E2408" t="s">
        <v>26</v>
      </c>
      <c r="F2408" t="s">
        <v>109</v>
      </c>
      <c r="G2408" t="s">
        <v>110</v>
      </c>
      <c r="H2408" t="s">
        <v>45</v>
      </c>
      <c r="I2408" t="s">
        <v>104</v>
      </c>
      <c r="J2408" t="s">
        <v>7061</v>
      </c>
      <c r="K2408" t="s">
        <v>78</v>
      </c>
      <c r="L2408" t="s">
        <v>46</v>
      </c>
      <c r="M2408" t="s">
        <v>87</v>
      </c>
      <c r="N2408" t="s">
        <v>35</v>
      </c>
      <c r="O2408" t="s">
        <v>36</v>
      </c>
      <c r="P2408" t="s">
        <v>37</v>
      </c>
      <c r="Q2408" t="s">
        <v>135</v>
      </c>
      <c r="R2408">
        <v>291</v>
      </c>
      <c r="S2408">
        <v>135</v>
      </c>
      <c r="T2408">
        <v>93</v>
      </c>
      <c r="U2408">
        <v>17</v>
      </c>
      <c r="V2408" t="s">
        <v>4097</v>
      </c>
      <c r="W2408">
        <v>29383</v>
      </c>
      <c r="X2408" t="s">
        <v>2157</v>
      </c>
      <c r="Y2408">
        <v>25806</v>
      </c>
      <c r="Z2408">
        <v>499511</v>
      </c>
      <c r="AA2408">
        <v>60809</v>
      </c>
      <c r="AB2408" t="str">
        <f>(VLOOKUP(SalesData[[#This Row],[Month Number]],Reference!C$5:E$16,2,FALSE))</f>
        <v>Feb</v>
      </c>
      <c r="AC2408">
        <f>MONTH(SalesData[[#This Row],[Date]])</f>
        <v>2</v>
      </c>
      <c r="AD2408">
        <f>Reference!F$4</f>
        <v>2026</v>
      </c>
      <c r="AE2408" t="str">
        <f>IF(OR(SalesData[[#This Row],[Day]]="Saturday",SalesData[[#This Row],[Day]]="Sunday"),"Weekend","Weekday")</f>
        <v>Weekday</v>
      </c>
      <c r="AF2408" s="5">
        <f>IF(SalesData[[#This Row],[Contracts Offered]]=0,0,SalesData[[#This Row],[Contracts Signed]]/SalesData[[#This Row],[Contracts Offered]])</f>
        <v>0.18279569892473119</v>
      </c>
      <c r="AG2408" s="5">
        <f>IF(SalesData[[#This Row],[Customers Visited]]=0,0,SalesData[[#This Row],[Test Drives]]/SalesData[[#This Row],[Customers Visited]])</f>
        <v>0.46391752577319589</v>
      </c>
      <c r="AH2408" s="5">
        <f>IF(SalesData[[#This Row],[Customers Visited]]=0,0,SalesData[[#This Row],[Contracts Signed]]/SalesData[[#This Row],[Customers Visited]])</f>
        <v>5.8419243986254296E-2</v>
      </c>
      <c r="AI2408" s="6">
        <f>IF(SalesData[[#This Row],[Contracts Signed]]=0,0,SalesData[[#This Row],[Profit(€)]]/SalesData[[#This Row],[Contracts Signed]])</f>
        <v>3577</v>
      </c>
      <c r="AJ2408" s="5" t="str">
        <f>TRIM(CLEAN(SalesData[[#This Row],[Retailer]]))</f>
        <v>Leipzig Mobility</v>
      </c>
    </row>
    <row r="2409" spans="1:36" ht="14.25" hidden="1" x14ac:dyDescent="0.2">
      <c r="A2409" t="s">
        <v>3475</v>
      </c>
      <c r="B2409" s="1">
        <v>46073</v>
      </c>
      <c r="C2409" t="s">
        <v>62</v>
      </c>
      <c r="D2409" t="s">
        <v>54</v>
      </c>
      <c r="E2409" t="s">
        <v>26</v>
      </c>
      <c r="F2409" t="s">
        <v>43</v>
      </c>
      <c r="G2409" t="s">
        <v>44</v>
      </c>
      <c r="H2409" t="s">
        <v>45</v>
      </c>
      <c r="I2409" t="s">
        <v>104</v>
      </c>
      <c r="J2409" t="s">
        <v>7061</v>
      </c>
      <c r="K2409" t="s">
        <v>32</v>
      </c>
      <c r="L2409" t="s">
        <v>46</v>
      </c>
      <c r="M2409" t="s">
        <v>34</v>
      </c>
      <c r="N2409" t="s">
        <v>35</v>
      </c>
      <c r="O2409" t="s">
        <v>70</v>
      </c>
      <c r="P2409" t="s">
        <v>49</v>
      </c>
      <c r="Q2409" t="s">
        <v>152</v>
      </c>
      <c r="R2409">
        <v>296</v>
      </c>
      <c r="S2409">
        <v>126</v>
      </c>
      <c r="T2409">
        <v>78</v>
      </c>
      <c r="U2409">
        <v>17</v>
      </c>
      <c r="V2409" t="s">
        <v>6643</v>
      </c>
      <c r="W2409">
        <v>28359</v>
      </c>
      <c r="X2409" t="s">
        <v>1518</v>
      </c>
      <c r="Y2409">
        <v>24467</v>
      </c>
      <c r="Z2409">
        <v>482103</v>
      </c>
      <c r="AA2409">
        <v>66164</v>
      </c>
      <c r="AB2409" t="str">
        <f>(VLOOKUP(SalesData[[#This Row],[Month Number]],Reference!C$5:E$16,2,FALSE))</f>
        <v>Feb</v>
      </c>
      <c r="AC2409">
        <f>MONTH(SalesData[[#This Row],[Date]])</f>
        <v>2</v>
      </c>
      <c r="AD2409">
        <f>Reference!F$4</f>
        <v>2026</v>
      </c>
      <c r="AE2409" t="str">
        <f>IF(OR(SalesData[[#This Row],[Day]]="Saturday",SalesData[[#This Row],[Day]]="Sunday"),"Weekend","Weekday")</f>
        <v>Weekday</v>
      </c>
      <c r="AF2409" s="5">
        <f>IF(SalesData[[#This Row],[Contracts Offered]]=0,0,SalesData[[#This Row],[Contracts Signed]]/SalesData[[#This Row],[Contracts Offered]])</f>
        <v>0.21794871794871795</v>
      </c>
      <c r="AG2409" s="5">
        <f>IF(SalesData[[#This Row],[Customers Visited]]=0,0,SalesData[[#This Row],[Test Drives]]/SalesData[[#This Row],[Customers Visited]])</f>
        <v>0.42567567567567566</v>
      </c>
      <c r="AH2409" s="5">
        <f>IF(SalesData[[#This Row],[Customers Visited]]=0,0,SalesData[[#This Row],[Contracts Signed]]/SalesData[[#This Row],[Customers Visited]])</f>
        <v>5.7432432432432436E-2</v>
      </c>
      <c r="AI2409" s="6">
        <f>IF(SalesData[[#This Row],[Contracts Signed]]=0,0,SalesData[[#This Row],[Profit(€)]]/SalesData[[#This Row],[Contracts Signed]])</f>
        <v>3892</v>
      </c>
      <c r="AJ2409" s="5" t="str">
        <f>TRIM(CLEAN(SalesData[[#This Row],[Retailer]]))</f>
        <v>Saxon Wheels</v>
      </c>
    </row>
    <row r="2410" spans="1:36" ht="14.25" hidden="1" x14ac:dyDescent="0.2">
      <c r="A2410" t="s">
        <v>3476</v>
      </c>
      <c r="B2410" s="1">
        <v>46074</v>
      </c>
      <c r="C2410" t="s">
        <v>62</v>
      </c>
      <c r="D2410" t="s">
        <v>151</v>
      </c>
      <c r="E2410" t="s">
        <v>42</v>
      </c>
      <c r="F2410" t="s">
        <v>109</v>
      </c>
      <c r="G2410" t="s">
        <v>110</v>
      </c>
      <c r="H2410" t="s">
        <v>45</v>
      </c>
      <c r="I2410" t="s">
        <v>56</v>
      </c>
      <c r="J2410" t="s">
        <v>57</v>
      </c>
      <c r="K2410" t="s">
        <v>66</v>
      </c>
      <c r="L2410" t="s">
        <v>46</v>
      </c>
      <c r="M2410" t="s">
        <v>87</v>
      </c>
      <c r="N2410" t="s">
        <v>48</v>
      </c>
      <c r="O2410" t="s">
        <v>36</v>
      </c>
      <c r="P2410" t="s">
        <v>71</v>
      </c>
      <c r="Q2410" t="s">
        <v>189</v>
      </c>
      <c r="R2410">
        <v>298</v>
      </c>
      <c r="S2410">
        <v>185</v>
      </c>
      <c r="T2410">
        <v>142</v>
      </c>
      <c r="U2410">
        <v>39</v>
      </c>
      <c r="V2410" t="s">
        <v>7081</v>
      </c>
      <c r="W2410">
        <v>55272</v>
      </c>
      <c r="X2410" t="s">
        <v>170</v>
      </c>
      <c r="Y2410">
        <v>45153</v>
      </c>
      <c r="Z2410">
        <v>2155608</v>
      </c>
      <c r="AA2410">
        <v>394641</v>
      </c>
      <c r="AB2410" t="str">
        <f>(VLOOKUP(SalesData[[#This Row],[Month Number]],Reference!C$5:E$16,2,FALSE))</f>
        <v>Feb</v>
      </c>
      <c r="AC2410">
        <f>MONTH(SalesData[[#This Row],[Date]])</f>
        <v>2</v>
      </c>
      <c r="AD2410">
        <f>Reference!F$4</f>
        <v>2026</v>
      </c>
      <c r="AE2410" t="str">
        <f>IF(OR(SalesData[[#This Row],[Day]]="Saturday",SalesData[[#This Row],[Day]]="Sunday"),"Weekend","Weekday")</f>
        <v>Weekend</v>
      </c>
      <c r="AF2410" s="5">
        <f>IF(SalesData[[#This Row],[Contracts Offered]]=0,0,SalesData[[#This Row],[Contracts Signed]]/SalesData[[#This Row],[Contracts Offered]])</f>
        <v>0.27464788732394368</v>
      </c>
      <c r="AG2410" s="5">
        <f>IF(SalesData[[#This Row],[Customers Visited]]=0,0,SalesData[[#This Row],[Test Drives]]/SalesData[[#This Row],[Customers Visited]])</f>
        <v>0.62080536912751683</v>
      </c>
      <c r="AH2410" s="5">
        <f>IF(SalesData[[#This Row],[Customers Visited]]=0,0,SalesData[[#This Row],[Contracts Signed]]/SalesData[[#This Row],[Customers Visited]])</f>
        <v>0.13087248322147652</v>
      </c>
      <c r="AI2410" s="6">
        <f>IF(SalesData[[#This Row],[Contracts Signed]]=0,0,SalesData[[#This Row],[Profit(€)]]/SalesData[[#This Row],[Contracts Signed]])</f>
        <v>10119</v>
      </c>
      <c r="AJ2410" s="5" t="str">
        <f>TRIM(CLEAN(SalesData[[#This Row],[Retailer]]))</f>
        <v>Leipzig Mobility</v>
      </c>
    </row>
    <row r="2411" spans="1:36" ht="14.25" hidden="1" x14ac:dyDescent="0.2">
      <c r="A2411" t="s">
        <v>3477</v>
      </c>
      <c r="B2411" s="1">
        <v>46069</v>
      </c>
      <c r="C2411" t="s">
        <v>62</v>
      </c>
      <c r="D2411" t="s">
        <v>25</v>
      </c>
      <c r="E2411" t="s">
        <v>26</v>
      </c>
      <c r="F2411" t="s">
        <v>83</v>
      </c>
      <c r="G2411" t="s">
        <v>84</v>
      </c>
      <c r="H2411" t="s">
        <v>85</v>
      </c>
      <c r="I2411" t="s">
        <v>56</v>
      </c>
      <c r="J2411" t="s">
        <v>7028</v>
      </c>
      <c r="K2411" t="s">
        <v>78</v>
      </c>
      <c r="L2411" t="s">
        <v>46</v>
      </c>
      <c r="M2411" t="s">
        <v>34</v>
      </c>
      <c r="N2411" t="s">
        <v>69</v>
      </c>
      <c r="O2411" t="s">
        <v>36</v>
      </c>
      <c r="P2411" t="s">
        <v>49</v>
      </c>
      <c r="Q2411" t="s">
        <v>347</v>
      </c>
      <c r="R2411">
        <v>168</v>
      </c>
      <c r="S2411">
        <v>77</v>
      </c>
      <c r="T2411">
        <v>59</v>
      </c>
      <c r="U2411">
        <v>17</v>
      </c>
      <c r="V2411" t="s">
        <v>6408</v>
      </c>
      <c r="W2411">
        <v>52571</v>
      </c>
      <c r="X2411" t="s">
        <v>7468</v>
      </c>
      <c r="Y2411">
        <v>40611</v>
      </c>
      <c r="Z2411">
        <v>893707</v>
      </c>
      <c r="AA2411">
        <v>203320</v>
      </c>
      <c r="AB2411" t="str">
        <f>(VLOOKUP(SalesData[[#This Row],[Month Number]],Reference!C$5:E$16,2,FALSE))</f>
        <v>Feb</v>
      </c>
      <c r="AC2411">
        <f>MONTH(SalesData[[#This Row],[Date]])</f>
        <v>2</v>
      </c>
      <c r="AD2411">
        <f>Reference!F$4</f>
        <v>2026</v>
      </c>
      <c r="AE2411" t="str">
        <f>IF(OR(SalesData[[#This Row],[Day]]="Saturday",SalesData[[#This Row],[Day]]="Sunday"),"Weekend","Weekday")</f>
        <v>Weekday</v>
      </c>
      <c r="AF2411" s="5">
        <f>IF(SalesData[[#This Row],[Contracts Offered]]=0,0,SalesData[[#This Row],[Contracts Signed]]/SalesData[[#This Row],[Contracts Offered]])</f>
        <v>0.28813559322033899</v>
      </c>
      <c r="AG2411" s="5">
        <f>IF(SalesData[[#This Row],[Customers Visited]]=0,0,SalesData[[#This Row],[Test Drives]]/SalesData[[#This Row],[Customers Visited]])</f>
        <v>0.45833333333333331</v>
      </c>
      <c r="AH2411" s="5">
        <f>IF(SalesData[[#This Row],[Customers Visited]]=0,0,SalesData[[#This Row],[Contracts Signed]]/SalesData[[#This Row],[Customers Visited]])</f>
        <v>0.10119047619047619</v>
      </c>
      <c r="AI2411" s="6">
        <f>IF(SalesData[[#This Row],[Contracts Signed]]=0,0,SalesData[[#This Row],[Profit(€)]]/SalesData[[#This Row],[Contracts Signed]])</f>
        <v>11960</v>
      </c>
      <c r="AJ2411" s="5" t="str">
        <f>TRIM(CLEAN(SalesData[[#This Row],[Retailer]]))</f>
        <v>Hannover Cars</v>
      </c>
    </row>
    <row r="2412" spans="1:36" ht="14.25" hidden="1" x14ac:dyDescent="0.2">
      <c r="A2412" t="s">
        <v>3478</v>
      </c>
      <c r="B2412" s="1">
        <v>46054</v>
      </c>
      <c r="C2412" t="s">
        <v>24</v>
      </c>
      <c r="D2412" t="s">
        <v>41</v>
      </c>
      <c r="E2412" t="s">
        <v>42</v>
      </c>
      <c r="F2412" t="s">
        <v>7649</v>
      </c>
      <c r="G2412" t="s">
        <v>55</v>
      </c>
      <c r="H2412" t="s">
        <v>55</v>
      </c>
      <c r="I2412" t="s">
        <v>56</v>
      </c>
      <c r="J2412" t="s">
        <v>137</v>
      </c>
      <c r="K2412" t="s">
        <v>78</v>
      </c>
      <c r="L2412" t="s">
        <v>46</v>
      </c>
      <c r="M2412" t="s">
        <v>34</v>
      </c>
      <c r="N2412" t="s">
        <v>48</v>
      </c>
      <c r="O2412" t="s">
        <v>36</v>
      </c>
      <c r="P2412" t="s">
        <v>58</v>
      </c>
      <c r="Q2412" t="s">
        <v>347</v>
      </c>
      <c r="R2412">
        <v>196</v>
      </c>
      <c r="S2412">
        <v>96</v>
      </c>
      <c r="T2412">
        <v>63</v>
      </c>
      <c r="U2412">
        <v>25</v>
      </c>
      <c r="V2412" t="s">
        <v>6831</v>
      </c>
      <c r="W2412">
        <v>41336</v>
      </c>
      <c r="X2412" t="s">
        <v>2667</v>
      </c>
      <c r="Y2412">
        <v>32865</v>
      </c>
      <c r="Z2412">
        <v>1033400</v>
      </c>
      <c r="AA2412">
        <v>211775</v>
      </c>
      <c r="AB2412" t="str">
        <f>(VLOOKUP(SalesData[[#This Row],[Month Number]],Reference!C$5:E$16,2,FALSE))</f>
        <v>Feb</v>
      </c>
      <c r="AC2412">
        <f>MONTH(SalesData[[#This Row],[Date]])</f>
        <v>2</v>
      </c>
      <c r="AD2412">
        <f>Reference!F$4</f>
        <v>2026</v>
      </c>
      <c r="AE2412" t="str">
        <f>IF(OR(SalesData[[#This Row],[Day]]="Saturday",SalesData[[#This Row],[Day]]="Sunday"),"Weekend","Weekday")</f>
        <v>Weekend</v>
      </c>
      <c r="AF2412" s="5">
        <f>IF(SalesData[[#This Row],[Contracts Offered]]=0,0,SalesData[[#This Row],[Contracts Signed]]/SalesData[[#This Row],[Contracts Offered]])</f>
        <v>0.3968253968253968</v>
      </c>
      <c r="AG2412" s="5">
        <f>IF(SalesData[[#This Row],[Customers Visited]]=0,0,SalesData[[#This Row],[Test Drives]]/SalesData[[#This Row],[Customers Visited]])</f>
        <v>0.48979591836734693</v>
      </c>
      <c r="AH2412" s="5">
        <f>IF(SalesData[[#This Row],[Customers Visited]]=0,0,SalesData[[#This Row],[Contracts Signed]]/SalesData[[#This Row],[Customers Visited]])</f>
        <v>0.12755102040816327</v>
      </c>
      <c r="AI2412" s="6">
        <f>IF(SalesData[[#This Row],[Contracts Signed]]=0,0,SalesData[[#This Row],[Profit(€)]]/SalesData[[#This Row],[Contracts Signed]])</f>
        <v>8471</v>
      </c>
      <c r="AJ2412" s="5" t="str">
        <f>TRIM(CLEAN(SalesData[[#This Row],[Retailer]]))</f>
        <v>Autohaus Berlin</v>
      </c>
    </row>
    <row r="2413" spans="1:36" ht="14.25" hidden="1" x14ac:dyDescent="0.2">
      <c r="A2413" t="s">
        <v>3479</v>
      </c>
      <c r="B2413" s="1">
        <v>46058</v>
      </c>
      <c r="C2413" t="s">
        <v>24</v>
      </c>
      <c r="D2413" t="s">
        <v>100</v>
      </c>
      <c r="E2413" t="s">
        <v>26</v>
      </c>
      <c r="F2413" t="s">
        <v>94</v>
      </c>
      <c r="G2413" t="s">
        <v>95</v>
      </c>
      <c r="H2413" t="s">
        <v>96</v>
      </c>
      <c r="I2413" t="s">
        <v>56</v>
      </c>
      <c r="J2413" t="s">
        <v>7028</v>
      </c>
      <c r="K2413" t="s">
        <v>66</v>
      </c>
      <c r="L2413" t="s">
        <v>46</v>
      </c>
      <c r="M2413" t="s">
        <v>68</v>
      </c>
      <c r="N2413" t="s">
        <v>69</v>
      </c>
      <c r="O2413" t="s">
        <v>70</v>
      </c>
      <c r="P2413" t="s">
        <v>37</v>
      </c>
      <c r="Q2413" t="s">
        <v>152</v>
      </c>
      <c r="R2413">
        <v>201</v>
      </c>
      <c r="S2413">
        <v>103</v>
      </c>
      <c r="T2413">
        <v>66</v>
      </c>
      <c r="U2413">
        <v>22</v>
      </c>
      <c r="V2413" t="s">
        <v>6956</v>
      </c>
      <c r="W2413">
        <v>52684</v>
      </c>
      <c r="X2413" t="s">
        <v>267</v>
      </c>
      <c r="Y2413">
        <v>39785</v>
      </c>
      <c r="Z2413">
        <v>1159048</v>
      </c>
      <c r="AA2413">
        <v>283778</v>
      </c>
      <c r="AB2413" t="str">
        <f>(VLOOKUP(SalesData[[#This Row],[Month Number]],Reference!C$5:E$16,2,FALSE))</f>
        <v>Feb</v>
      </c>
      <c r="AC2413">
        <f>MONTH(SalesData[[#This Row],[Date]])</f>
        <v>2</v>
      </c>
      <c r="AD2413">
        <f>Reference!F$4</f>
        <v>2026</v>
      </c>
      <c r="AE2413" t="str">
        <f>IF(OR(SalesData[[#This Row],[Day]]="Saturday",SalesData[[#This Row],[Day]]="Sunday"),"Weekend","Weekday")</f>
        <v>Weekday</v>
      </c>
      <c r="AF2413" s="5">
        <f>IF(SalesData[[#This Row],[Contracts Offered]]=0,0,SalesData[[#This Row],[Contracts Signed]]/SalesData[[#This Row],[Contracts Offered]])</f>
        <v>0.33333333333333331</v>
      </c>
      <c r="AG2413" s="5">
        <f>IF(SalesData[[#This Row],[Customers Visited]]=0,0,SalesData[[#This Row],[Test Drives]]/SalesData[[#This Row],[Customers Visited]])</f>
        <v>0.51243781094527363</v>
      </c>
      <c r="AH2413" s="5">
        <f>IF(SalesData[[#This Row],[Customers Visited]]=0,0,SalesData[[#This Row],[Contracts Signed]]/SalesData[[#This Row],[Customers Visited]])</f>
        <v>0.10945273631840796</v>
      </c>
      <c r="AI2413" s="6">
        <f>IF(SalesData[[#This Row],[Contracts Signed]]=0,0,SalesData[[#This Row],[Profit(€)]]/SalesData[[#This Row],[Contracts Signed]])</f>
        <v>12899</v>
      </c>
      <c r="AJ2413" s="5" t="str">
        <f>TRIM(CLEAN(SalesData[[#This Row],[Retailer]]))</f>
        <v>Bavaria Motors</v>
      </c>
    </row>
    <row r="2414" spans="1:36" ht="14.25" hidden="1" x14ac:dyDescent="0.2">
      <c r="A2414" t="s">
        <v>3481</v>
      </c>
      <c r="B2414" s="1">
        <v>46080</v>
      </c>
      <c r="C2414" t="s">
        <v>53</v>
      </c>
      <c r="D2414" t="s">
        <v>54</v>
      </c>
      <c r="E2414" t="s">
        <v>26</v>
      </c>
      <c r="F2414" t="s">
        <v>43</v>
      </c>
      <c r="G2414" t="s">
        <v>44</v>
      </c>
      <c r="H2414" t="s">
        <v>45</v>
      </c>
      <c r="I2414" t="s">
        <v>116</v>
      </c>
      <c r="J2414" t="s">
        <v>7026</v>
      </c>
      <c r="K2414" t="s">
        <v>91</v>
      </c>
      <c r="L2414" t="s">
        <v>46</v>
      </c>
      <c r="M2414" t="s">
        <v>87</v>
      </c>
      <c r="N2414" t="s">
        <v>69</v>
      </c>
      <c r="O2414" t="s">
        <v>70</v>
      </c>
      <c r="P2414" t="s">
        <v>71</v>
      </c>
      <c r="Q2414" t="s">
        <v>50</v>
      </c>
      <c r="R2414">
        <v>407</v>
      </c>
      <c r="S2414">
        <v>161</v>
      </c>
      <c r="T2414">
        <v>99</v>
      </c>
      <c r="U2414">
        <v>26</v>
      </c>
      <c r="V2414" t="s">
        <v>3319</v>
      </c>
      <c r="W2414">
        <v>25164</v>
      </c>
      <c r="X2414" t="s">
        <v>4394</v>
      </c>
      <c r="Y2414">
        <v>22461</v>
      </c>
      <c r="Z2414">
        <v>654264</v>
      </c>
      <c r="AA2414">
        <v>70278</v>
      </c>
      <c r="AB2414" t="str">
        <f>(VLOOKUP(SalesData[[#This Row],[Month Number]],Reference!C$5:E$16,2,FALSE))</f>
        <v>Feb</v>
      </c>
      <c r="AC2414">
        <f>MONTH(SalesData[[#This Row],[Date]])</f>
        <v>2</v>
      </c>
      <c r="AD2414">
        <f>Reference!F$4</f>
        <v>2026</v>
      </c>
      <c r="AE2414" t="str">
        <f>IF(OR(SalesData[[#This Row],[Day]]="Saturday",SalesData[[#This Row],[Day]]="Sunday"),"Weekend","Weekday")</f>
        <v>Weekday</v>
      </c>
      <c r="AF2414" s="5">
        <f>IF(SalesData[[#This Row],[Contracts Offered]]=0,0,SalesData[[#This Row],[Contracts Signed]]/SalesData[[#This Row],[Contracts Offered]])</f>
        <v>0.26262626262626265</v>
      </c>
      <c r="AG2414" s="5">
        <f>IF(SalesData[[#This Row],[Customers Visited]]=0,0,SalesData[[#This Row],[Test Drives]]/SalesData[[#This Row],[Customers Visited]])</f>
        <v>0.39557739557739557</v>
      </c>
      <c r="AH2414" s="5">
        <f>IF(SalesData[[#This Row],[Customers Visited]]=0,0,SalesData[[#This Row],[Contracts Signed]]/SalesData[[#This Row],[Customers Visited]])</f>
        <v>6.3882063882063883E-2</v>
      </c>
      <c r="AI2414" s="6">
        <f>IF(SalesData[[#This Row],[Contracts Signed]]=0,0,SalesData[[#This Row],[Profit(€)]]/SalesData[[#This Row],[Contracts Signed]])</f>
        <v>2703</v>
      </c>
      <c r="AJ2414" s="5" t="str">
        <f>TRIM(CLEAN(SalesData[[#This Row],[Retailer]]))</f>
        <v>Saxon Wheels</v>
      </c>
    </row>
    <row r="2415" spans="1:36" ht="14.25" hidden="1" x14ac:dyDescent="0.2">
      <c r="A2415" t="s">
        <v>3483</v>
      </c>
      <c r="B2415" s="1">
        <v>46070</v>
      </c>
      <c r="C2415" t="s">
        <v>62</v>
      </c>
      <c r="D2415" t="s">
        <v>63</v>
      </c>
      <c r="E2415" t="s">
        <v>26</v>
      </c>
      <c r="F2415" t="s">
        <v>74</v>
      </c>
      <c r="G2415" t="s">
        <v>75</v>
      </c>
      <c r="H2415" t="s">
        <v>76</v>
      </c>
      <c r="I2415" t="s">
        <v>104</v>
      </c>
      <c r="J2415" t="s">
        <v>143</v>
      </c>
      <c r="K2415" t="s">
        <v>66</v>
      </c>
      <c r="L2415" t="s">
        <v>67</v>
      </c>
      <c r="M2415" t="s">
        <v>68</v>
      </c>
      <c r="N2415" t="s">
        <v>35</v>
      </c>
      <c r="O2415" t="s">
        <v>70</v>
      </c>
      <c r="P2415" t="s">
        <v>37</v>
      </c>
      <c r="Q2415" t="s">
        <v>204</v>
      </c>
      <c r="R2415">
        <v>260</v>
      </c>
      <c r="S2415">
        <v>111</v>
      </c>
      <c r="T2415">
        <v>77</v>
      </c>
      <c r="U2415">
        <v>18</v>
      </c>
      <c r="V2415" t="s">
        <v>767</v>
      </c>
      <c r="W2415">
        <v>25839</v>
      </c>
      <c r="X2415" t="s">
        <v>4313</v>
      </c>
      <c r="Y2415">
        <v>22350</v>
      </c>
      <c r="Z2415">
        <v>465102</v>
      </c>
      <c r="AA2415">
        <v>62802</v>
      </c>
      <c r="AB2415" t="str">
        <f>(VLOOKUP(SalesData[[#This Row],[Month Number]],Reference!C$5:E$16,2,FALSE))</f>
        <v>Feb</v>
      </c>
      <c r="AC2415">
        <f>MONTH(SalesData[[#This Row],[Date]])</f>
        <v>2</v>
      </c>
      <c r="AD2415">
        <f>Reference!F$4</f>
        <v>2026</v>
      </c>
      <c r="AE2415" t="str">
        <f>IF(OR(SalesData[[#This Row],[Day]]="Saturday",SalesData[[#This Row],[Day]]="Sunday"),"Weekend","Weekday")</f>
        <v>Weekday</v>
      </c>
      <c r="AF2415" s="5">
        <f>IF(SalesData[[#This Row],[Contracts Offered]]=0,0,SalesData[[#This Row],[Contracts Signed]]/SalesData[[#This Row],[Contracts Offered]])</f>
        <v>0.23376623376623376</v>
      </c>
      <c r="AG2415" s="5">
        <f>IF(SalesData[[#This Row],[Customers Visited]]=0,0,SalesData[[#This Row],[Test Drives]]/SalesData[[#This Row],[Customers Visited]])</f>
        <v>0.42692307692307691</v>
      </c>
      <c r="AH2415" s="5">
        <f>IF(SalesData[[#This Row],[Customers Visited]]=0,0,SalesData[[#This Row],[Contracts Signed]]/SalesData[[#This Row],[Customers Visited]])</f>
        <v>6.9230769230769235E-2</v>
      </c>
      <c r="AI2415" s="6">
        <f>IF(SalesData[[#This Row],[Contracts Signed]]=0,0,SalesData[[#This Row],[Profit(€)]]/SalesData[[#This Row],[Contracts Signed]])</f>
        <v>3489</v>
      </c>
      <c r="AJ2415" s="5" t="str">
        <f>TRIM(CLEAN(SalesData[[#This Row],[Retailer]]))</f>
        <v>Stuttgart Auto Center</v>
      </c>
    </row>
    <row r="2416" spans="1:36" ht="14.25" hidden="1" x14ac:dyDescent="0.2">
      <c r="A2416" t="s">
        <v>3485</v>
      </c>
      <c r="B2416" s="1">
        <v>46061</v>
      </c>
      <c r="C2416" t="s">
        <v>121</v>
      </c>
      <c r="D2416" t="s">
        <v>41</v>
      </c>
      <c r="E2416" t="s">
        <v>42</v>
      </c>
      <c r="F2416" t="s">
        <v>127</v>
      </c>
      <c r="G2416" t="s">
        <v>128</v>
      </c>
      <c r="H2416" t="s">
        <v>103</v>
      </c>
      <c r="I2416" t="s">
        <v>56</v>
      </c>
      <c r="J2416" t="s">
        <v>179</v>
      </c>
      <c r="K2416" t="s">
        <v>66</v>
      </c>
      <c r="L2416" t="s">
        <v>67</v>
      </c>
      <c r="M2416" t="s">
        <v>68</v>
      </c>
      <c r="N2416" t="s">
        <v>48</v>
      </c>
      <c r="O2416" t="s">
        <v>36</v>
      </c>
      <c r="P2416" t="s">
        <v>58</v>
      </c>
      <c r="Q2416" t="s">
        <v>347</v>
      </c>
      <c r="R2416">
        <v>301</v>
      </c>
      <c r="S2416">
        <v>155</v>
      </c>
      <c r="T2416">
        <v>109</v>
      </c>
      <c r="U2416">
        <v>42</v>
      </c>
      <c r="V2416" t="s">
        <v>6921</v>
      </c>
      <c r="W2416">
        <v>42748</v>
      </c>
      <c r="X2416" t="s">
        <v>504</v>
      </c>
      <c r="Y2416">
        <v>33101</v>
      </c>
      <c r="Z2416">
        <v>1795416</v>
      </c>
      <c r="AA2416">
        <v>405174</v>
      </c>
      <c r="AB2416" t="str">
        <f>(VLOOKUP(SalesData[[#This Row],[Month Number]],Reference!C$5:E$16,2,FALSE))</f>
        <v>Feb</v>
      </c>
      <c r="AC2416">
        <f>MONTH(SalesData[[#This Row],[Date]])</f>
        <v>2</v>
      </c>
      <c r="AD2416">
        <f>Reference!F$4</f>
        <v>2026</v>
      </c>
      <c r="AE2416" t="str">
        <f>IF(OR(SalesData[[#This Row],[Day]]="Saturday",SalesData[[#This Row],[Day]]="Sunday"),"Weekend","Weekday")</f>
        <v>Weekend</v>
      </c>
      <c r="AF2416" s="5">
        <f>IF(SalesData[[#This Row],[Contracts Offered]]=0,0,SalesData[[#This Row],[Contracts Signed]]/SalesData[[#This Row],[Contracts Offered]])</f>
        <v>0.38532110091743121</v>
      </c>
      <c r="AG2416" s="5">
        <f>IF(SalesData[[#This Row],[Customers Visited]]=0,0,SalesData[[#This Row],[Test Drives]]/SalesData[[#This Row],[Customers Visited]])</f>
        <v>0.51495016611295685</v>
      </c>
      <c r="AH2416" s="5">
        <f>IF(SalesData[[#This Row],[Customers Visited]]=0,0,SalesData[[#This Row],[Contracts Signed]]/SalesData[[#This Row],[Customers Visited]])</f>
        <v>0.13953488372093023</v>
      </c>
      <c r="AI2416" s="6">
        <f>IF(SalesData[[#This Row],[Contracts Signed]]=0,0,SalesData[[#This Row],[Profit(€)]]/SalesData[[#This Row],[Contracts Signed]])</f>
        <v>9647</v>
      </c>
      <c r="AJ2416" s="5" t="str">
        <f>TRIM(CLEAN(SalesData[[#This Row],[Retailer]]))</f>
        <v>Rhein Auto Group</v>
      </c>
    </row>
    <row r="2417" spans="1:36" ht="14.25" hidden="1" x14ac:dyDescent="0.2">
      <c r="A2417" t="s">
        <v>3486</v>
      </c>
      <c r="B2417" s="1">
        <v>46060</v>
      </c>
      <c r="C2417" t="s">
        <v>24</v>
      </c>
      <c r="D2417" t="s">
        <v>151</v>
      </c>
      <c r="E2417" t="s">
        <v>42</v>
      </c>
      <c r="F2417" t="s">
        <v>109</v>
      </c>
      <c r="G2417" t="s">
        <v>110</v>
      </c>
      <c r="H2417" t="s">
        <v>45</v>
      </c>
      <c r="I2417" t="s">
        <v>56</v>
      </c>
      <c r="J2417" t="s">
        <v>97</v>
      </c>
      <c r="K2417" t="s">
        <v>66</v>
      </c>
      <c r="L2417" t="s">
        <v>33</v>
      </c>
      <c r="M2417" t="s">
        <v>34</v>
      </c>
      <c r="N2417" t="s">
        <v>69</v>
      </c>
      <c r="O2417" t="s">
        <v>36</v>
      </c>
      <c r="P2417" t="s">
        <v>71</v>
      </c>
      <c r="Q2417" t="s">
        <v>106</v>
      </c>
      <c r="R2417">
        <v>270</v>
      </c>
      <c r="S2417">
        <v>161</v>
      </c>
      <c r="T2417">
        <v>107</v>
      </c>
      <c r="U2417">
        <v>36</v>
      </c>
      <c r="V2417" t="s">
        <v>6977</v>
      </c>
      <c r="W2417">
        <v>41006</v>
      </c>
      <c r="X2417" t="s">
        <v>1677</v>
      </c>
      <c r="Y2417">
        <v>31182</v>
      </c>
      <c r="Z2417">
        <v>1476216</v>
      </c>
      <c r="AA2417">
        <v>353664</v>
      </c>
      <c r="AB2417" t="str">
        <f>(VLOOKUP(SalesData[[#This Row],[Month Number]],Reference!C$5:E$16,2,FALSE))</f>
        <v>Feb</v>
      </c>
      <c r="AC2417">
        <f>MONTH(SalesData[[#This Row],[Date]])</f>
        <v>2</v>
      </c>
      <c r="AD2417">
        <f>Reference!F$4</f>
        <v>2026</v>
      </c>
      <c r="AE2417" t="str">
        <f>IF(OR(SalesData[[#This Row],[Day]]="Saturday",SalesData[[#This Row],[Day]]="Sunday"),"Weekend","Weekday")</f>
        <v>Weekend</v>
      </c>
      <c r="AF2417" s="5">
        <f>IF(SalesData[[#This Row],[Contracts Offered]]=0,0,SalesData[[#This Row],[Contracts Signed]]/SalesData[[#This Row],[Contracts Offered]])</f>
        <v>0.3364485981308411</v>
      </c>
      <c r="AG2417" s="5">
        <f>IF(SalesData[[#This Row],[Customers Visited]]=0,0,SalesData[[#This Row],[Test Drives]]/SalesData[[#This Row],[Customers Visited]])</f>
        <v>0.59629629629629632</v>
      </c>
      <c r="AH2417" s="5">
        <f>IF(SalesData[[#This Row],[Customers Visited]]=0,0,SalesData[[#This Row],[Contracts Signed]]/SalesData[[#This Row],[Customers Visited]])</f>
        <v>0.13333333333333333</v>
      </c>
      <c r="AI2417" s="6">
        <f>IF(SalesData[[#This Row],[Contracts Signed]]=0,0,SalesData[[#This Row],[Profit(€)]]/SalesData[[#This Row],[Contracts Signed]])</f>
        <v>9824</v>
      </c>
      <c r="AJ2417" s="5" t="str">
        <f>TRIM(CLEAN(SalesData[[#This Row],[Retailer]]))</f>
        <v>Leipzig Mobility</v>
      </c>
    </row>
    <row r="2418" spans="1:36" ht="14.25" hidden="1" x14ac:dyDescent="0.2">
      <c r="A2418" t="s">
        <v>3487</v>
      </c>
      <c r="B2418" s="1">
        <v>46080</v>
      </c>
      <c r="C2418" t="s">
        <v>53</v>
      </c>
      <c r="D2418" t="s">
        <v>54</v>
      </c>
      <c r="E2418" t="s">
        <v>26</v>
      </c>
      <c r="F2418" t="s">
        <v>43</v>
      </c>
      <c r="G2418" t="s">
        <v>44</v>
      </c>
      <c r="H2418" t="s">
        <v>45</v>
      </c>
      <c r="I2418" t="s">
        <v>56</v>
      </c>
      <c r="J2418" t="s">
        <v>7028</v>
      </c>
      <c r="K2418" t="s">
        <v>32</v>
      </c>
      <c r="L2418" t="s">
        <v>46</v>
      </c>
      <c r="M2418" t="s">
        <v>34</v>
      </c>
      <c r="N2418" t="s">
        <v>35</v>
      </c>
      <c r="O2418" t="s">
        <v>36</v>
      </c>
      <c r="P2418" t="s">
        <v>49</v>
      </c>
      <c r="Q2418" t="s">
        <v>152</v>
      </c>
      <c r="R2418">
        <v>309</v>
      </c>
      <c r="S2418">
        <v>158</v>
      </c>
      <c r="T2418">
        <v>108</v>
      </c>
      <c r="U2418">
        <v>32</v>
      </c>
      <c r="V2418" t="s">
        <v>6911</v>
      </c>
      <c r="W2418">
        <v>52679</v>
      </c>
      <c r="X2418" t="s">
        <v>569</v>
      </c>
      <c r="Y2418">
        <v>40672</v>
      </c>
      <c r="Z2418">
        <v>1685728</v>
      </c>
      <c r="AA2418">
        <v>384224</v>
      </c>
      <c r="AB2418" t="str">
        <f>(VLOOKUP(SalesData[[#This Row],[Month Number]],Reference!C$5:E$16,2,FALSE))</f>
        <v>Feb</v>
      </c>
      <c r="AC2418">
        <f>MONTH(SalesData[[#This Row],[Date]])</f>
        <v>2</v>
      </c>
      <c r="AD2418">
        <f>Reference!F$4</f>
        <v>2026</v>
      </c>
      <c r="AE2418" t="str">
        <f>IF(OR(SalesData[[#This Row],[Day]]="Saturday",SalesData[[#This Row],[Day]]="Sunday"),"Weekend","Weekday")</f>
        <v>Weekday</v>
      </c>
      <c r="AF2418" s="5">
        <f>IF(SalesData[[#This Row],[Contracts Offered]]=0,0,SalesData[[#This Row],[Contracts Signed]]/SalesData[[#This Row],[Contracts Offered]])</f>
        <v>0.29629629629629628</v>
      </c>
      <c r="AG2418" s="5">
        <f>IF(SalesData[[#This Row],[Customers Visited]]=0,0,SalesData[[#This Row],[Test Drives]]/SalesData[[#This Row],[Customers Visited]])</f>
        <v>0.51132686084142398</v>
      </c>
      <c r="AH2418" s="5">
        <f>IF(SalesData[[#This Row],[Customers Visited]]=0,0,SalesData[[#This Row],[Contracts Signed]]/SalesData[[#This Row],[Customers Visited]])</f>
        <v>0.10355987055016182</v>
      </c>
      <c r="AI2418" s="6">
        <f>IF(SalesData[[#This Row],[Contracts Signed]]=0,0,SalesData[[#This Row],[Profit(€)]]/SalesData[[#This Row],[Contracts Signed]])</f>
        <v>12007</v>
      </c>
      <c r="AJ2418" s="5" t="str">
        <f>TRIM(CLEAN(SalesData[[#This Row],[Retailer]]))</f>
        <v>Saxon Wheels</v>
      </c>
    </row>
    <row r="2419" spans="1:36" ht="14.25" hidden="1" x14ac:dyDescent="0.2">
      <c r="A2419" t="s">
        <v>3489</v>
      </c>
      <c r="B2419" s="1">
        <v>46066</v>
      </c>
      <c r="C2419" t="s">
        <v>121</v>
      </c>
      <c r="D2419" t="s">
        <v>54</v>
      </c>
      <c r="E2419" t="s">
        <v>26</v>
      </c>
      <c r="F2419" t="s">
        <v>27</v>
      </c>
      <c r="G2419" t="s">
        <v>28</v>
      </c>
      <c r="H2419" t="s">
        <v>29</v>
      </c>
      <c r="I2419" t="s">
        <v>116</v>
      </c>
      <c r="J2419" t="s">
        <v>117</v>
      </c>
      <c r="K2419" t="s">
        <v>78</v>
      </c>
      <c r="L2419" t="s">
        <v>67</v>
      </c>
      <c r="M2419" t="s">
        <v>87</v>
      </c>
      <c r="N2419" t="s">
        <v>69</v>
      </c>
      <c r="O2419" t="s">
        <v>70</v>
      </c>
      <c r="P2419" t="s">
        <v>49</v>
      </c>
      <c r="Q2419" t="s">
        <v>204</v>
      </c>
      <c r="R2419">
        <v>378</v>
      </c>
      <c r="S2419">
        <v>206</v>
      </c>
      <c r="T2419">
        <v>129</v>
      </c>
      <c r="U2419">
        <v>25</v>
      </c>
      <c r="V2419" t="s">
        <v>7534</v>
      </c>
      <c r="W2419">
        <v>23170</v>
      </c>
      <c r="X2419" t="s">
        <v>2132</v>
      </c>
      <c r="Y2419">
        <v>20979</v>
      </c>
      <c r="Z2419">
        <v>579250</v>
      </c>
      <c r="AA2419">
        <v>54775</v>
      </c>
      <c r="AB2419" t="str">
        <f>(VLOOKUP(SalesData[[#This Row],[Month Number]],Reference!C$5:E$16,2,FALSE))</f>
        <v>Feb</v>
      </c>
      <c r="AC2419">
        <f>MONTH(SalesData[[#This Row],[Date]])</f>
        <v>2</v>
      </c>
      <c r="AD2419">
        <f>Reference!F$4</f>
        <v>2026</v>
      </c>
      <c r="AE2419" t="str">
        <f>IF(OR(SalesData[[#This Row],[Day]]="Saturday",SalesData[[#This Row],[Day]]="Sunday"),"Weekend","Weekday")</f>
        <v>Weekday</v>
      </c>
      <c r="AF2419" s="5">
        <f>IF(SalesData[[#This Row],[Contracts Offered]]=0,0,SalesData[[#This Row],[Contracts Signed]]/SalesData[[#This Row],[Contracts Offered]])</f>
        <v>0.19379844961240311</v>
      </c>
      <c r="AG2419" s="5">
        <f>IF(SalesData[[#This Row],[Customers Visited]]=0,0,SalesData[[#This Row],[Test Drives]]/SalesData[[#This Row],[Customers Visited]])</f>
        <v>0.544973544973545</v>
      </c>
      <c r="AH2419" s="5">
        <f>IF(SalesData[[#This Row],[Customers Visited]]=0,0,SalesData[[#This Row],[Contracts Signed]]/SalesData[[#This Row],[Customers Visited]])</f>
        <v>6.6137566137566134E-2</v>
      </c>
      <c r="AI2419" s="6">
        <f>IF(SalesData[[#This Row],[Contracts Signed]]=0,0,SalesData[[#This Row],[Profit(€)]]/SalesData[[#This Row],[Contracts Signed]])</f>
        <v>2191</v>
      </c>
      <c r="AJ2419" s="5" t="str">
        <f>TRIM(CLEAN(SalesData[[#This Row],[Retailer]]))</f>
        <v>Main Auto Hub</v>
      </c>
    </row>
    <row r="2420" spans="1:36" ht="14.25" x14ac:dyDescent="0.2">
      <c r="A2420" t="s">
        <v>3490</v>
      </c>
      <c r="B2420" s="1">
        <v>46064</v>
      </c>
      <c r="C2420" t="s">
        <v>121</v>
      </c>
      <c r="D2420" t="s">
        <v>82</v>
      </c>
      <c r="E2420" t="s">
        <v>26</v>
      </c>
      <c r="F2420" t="s">
        <v>74</v>
      </c>
      <c r="G2420" t="s">
        <v>75</v>
      </c>
      <c r="H2420" t="s">
        <v>76</v>
      </c>
      <c r="I2420" t="s">
        <v>30</v>
      </c>
      <c r="J2420" t="s">
        <v>7075</v>
      </c>
      <c r="K2420" t="s">
        <v>91</v>
      </c>
      <c r="L2420" t="s">
        <v>33</v>
      </c>
      <c r="M2420" t="s">
        <v>47</v>
      </c>
      <c r="N2420" t="s">
        <v>69</v>
      </c>
      <c r="O2420" t="s">
        <v>70</v>
      </c>
      <c r="P2420" t="s">
        <v>58</v>
      </c>
      <c r="Q2420" t="s">
        <v>38</v>
      </c>
      <c r="R2420">
        <v>265</v>
      </c>
      <c r="S2420">
        <v>123</v>
      </c>
      <c r="T2420">
        <v>92</v>
      </c>
      <c r="U2420">
        <v>37</v>
      </c>
      <c r="V2420" t="s">
        <v>7492</v>
      </c>
      <c r="W2420">
        <v>50698</v>
      </c>
      <c r="X2420" t="s">
        <v>7535</v>
      </c>
      <c r="Y2420">
        <v>38647</v>
      </c>
      <c r="Z2420">
        <v>1875826</v>
      </c>
      <c r="AA2420">
        <v>445887</v>
      </c>
      <c r="AB2420" t="str">
        <f>(VLOOKUP(SalesData[[#This Row],[Month Number]],Reference!C$5:E$16,2,FALSE))</f>
        <v>Feb</v>
      </c>
      <c r="AC2420">
        <f>MONTH(SalesData[[#This Row],[Date]])</f>
        <v>2</v>
      </c>
      <c r="AD2420">
        <f>Reference!F$4</f>
        <v>2026</v>
      </c>
      <c r="AE2420" t="str">
        <f>IF(OR(SalesData[[#This Row],[Day]]="Saturday",SalesData[[#This Row],[Day]]="Sunday"),"Weekend","Weekday")</f>
        <v>Weekday</v>
      </c>
      <c r="AF2420" s="5">
        <f>IF(SalesData[[#This Row],[Contracts Offered]]=0,0,SalesData[[#This Row],[Contracts Signed]]/SalesData[[#This Row],[Contracts Offered]])</f>
        <v>0.40217391304347827</v>
      </c>
      <c r="AG2420" s="5">
        <f>IF(SalesData[[#This Row],[Customers Visited]]=0,0,SalesData[[#This Row],[Test Drives]]/SalesData[[#This Row],[Customers Visited]])</f>
        <v>0.46415094339622642</v>
      </c>
      <c r="AH2420" s="5">
        <f>IF(SalesData[[#This Row],[Customers Visited]]=0,0,SalesData[[#This Row],[Contracts Signed]]/SalesData[[#This Row],[Customers Visited]])</f>
        <v>0.13962264150943396</v>
      </c>
      <c r="AI2420" s="6">
        <f>IF(SalesData[[#This Row],[Contracts Signed]]=0,0,SalesData[[#This Row],[Profit(€)]]/SalesData[[#This Row],[Contracts Signed]])</f>
        <v>12051</v>
      </c>
      <c r="AJ2420" s="5" t="str">
        <f>TRIM(CLEAN(SalesData[[#This Row],[Retailer]]))</f>
        <v>Stuttgart Auto Center</v>
      </c>
    </row>
    <row r="2421" spans="1:36" ht="14.25" hidden="1" x14ac:dyDescent="0.2">
      <c r="A2421" t="s">
        <v>3491</v>
      </c>
      <c r="B2421" s="1">
        <v>46078</v>
      </c>
      <c r="C2421" t="s">
        <v>53</v>
      </c>
      <c r="D2421" t="s">
        <v>82</v>
      </c>
      <c r="E2421" t="s">
        <v>26</v>
      </c>
      <c r="F2421" t="s">
        <v>83</v>
      </c>
      <c r="G2421" t="s">
        <v>84</v>
      </c>
      <c r="H2421" t="s">
        <v>85</v>
      </c>
      <c r="I2421" t="s">
        <v>104</v>
      </c>
      <c r="J2421" t="s">
        <v>105</v>
      </c>
      <c r="K2421" t="s">
        <v>91</v>
      </c>
      <c r="L2421" t="s">
        <v>33</v>
      </c>
      <c r="M2421" t="s">
        <v>47</v>
      </c>
      <c r="N2421" t="s">
        <v>35</v>
      </c>
      <c r="O2421" t="s">
        <v>70</v>
      </c>
      <c r="P2421" t="s">
        <v>37</v>
      </c>
      <c r="Q2421" t="s">
        <v>129</v>
      </c>
      <c r="R2421">
        <v>394</v>
      </c>
      <c r="S2421">
        <v>219</v>
      </c>
      <c r="T2421">
        <v>136</v>
      </c>
      <c r="U2421">
        <v>32</v>
      </c>
      <c r="V2421" t="s">
        <v>2208</v>
      </c>
      <c r="W2421">
        <v>34089</v>
      </c>
      <c r="X2421" t="s">
        <v>506</v>
      </c>
      <c r="Y2421">
        <v>30540</v>
      </c>
      <c r="Z2421">
        <v>1090848</v>
      </c>
      <c r="AA2421">
        <v>113568</v>
      </c>
      <c r="AB2421" t="str">
        <f>(VLOOKUP(SalesData[[#This Row],[Month Number]],Reference!C$5:E$16,2,FALSE))</f>
        <v>Feb</v>
      </c>
      <c r="AC2421">
        <f>MONTH(SalesData[[#This Row],[Date]])</f>
        <v>2</v>
      </c>
      <c r="AD2421">
        <f>Reference!F$4</f>
        <v>2026</v>
      </c>
      <c r="AE2421" t="str">
        <f>IF(OR(SalesData[[#This Row],[Day]]="Saturday",SalesData[[#This Row],[Day]]="Sunday"),"Weekend","Weekday")</f>
        <v>Weekday</v>
      </c>
      <c r="AF2421" s="5">
        <f>IF(SalesData[[#This Row],[Contracts Offered]]=0,0,SalesData[[#This Row],[Contracts Signed]]/SalesData[[#This Row],[Contracts Offered]])</f>
        <v>0.23529411764705882</v>
      </c>
      <c r="AG2421" s="5">
        <f>IF(SalesData[[#This Row],[Customers Visited]]=0,0,SalesData[[#This Row],[Test Drives]]/SalesData[[#This Row],[Customers Visited]])</f>
        <v>0.5558375634517766</v>
      </c>
      <c r="AH2421" s="5">
        <f>IF(SalesData[[#This Row],[Customers Visited]]=0,0,SalesData[[#This Row],[Contracts Signed]]/SalesData[[#This Row],[Customers Visited]])</f>
        <v>8.1218274111675121E-2</v>
      </c>
      <c r="AI2421" s="6">
        <f>IF(SalesData[[#This Row],[Contracts Signed]]=0,0,SalesData[[#This Row],[Profit(€)]]/SalesData[[#This Row],[Contracts Signed]])</f>
        <v>3549</v>
      </c>
      <c r="AJ2421" s="5" t="str">
        <f>TRIM(CLEAN(SalesData[[#This Row],[Retailer]]))</f>
        <v>Hannover Cars</v>
      </c>
    </row>
    <row r="2422" spans="1:36" ht="14.25" hidden="1" x14ac:dyDescent="0.2">
      <c r="A2422" t="s">
        <v>3492</v>
      </c>
      <c r="B2422" s="1">
        <v>46069</v>
      </c>
      <c r="C2422" t="s">
        <v>62</v>
      </c>
      <c r="D2422" t="s">
        <v>25</v>
      </c>
      <c r="E2422" t="s">
        <v>26</v>
      </c>
      <c r="F2422" t="s">
        <v>101</v>
      </c>
      <c r="G2422" t="s">
        <v>102</v>
      </c>
      <c r="H2422" t="s">
        <v>103</v>
      </c>
      <c r="I2422" t="s">
        <v>116</v>
      </c>
      <c r="J2422" t="s">
        <v>7090</v>
      </c>
      <c r="K2422" t="s">
        <v>78</v>
      </c>
      <c r="L2422" t="s">
        <v>46</v>
      </c>
      <c r="M2422" t="s">
        <v>47</v>
      </c>
      <c r="N2422" t="s">
        <v>69</v>
      </c>
      <c r="O2422" t="s">
        <v>36</v>
      </c>
      <c r="P2422" t="s">
        <v>49</v>
      </c>
      <c r="Q2422" t="s">
        <v>152</v>
      </c>
      <c r="R2422">
        <v>251</v>
      </c>
      <c r="S2422">
        <v>120</v>
      </c>
      <c r="T2422">
        <v>76</v>
      </c>
      <c r="U2422">
        <v>15</v>
      </c>
      <c r="V2422" t="s">
        <v>265</v>
      </c>
      <c r="W2422">
        <v>24960</v>
      </c>
      <c r="X2422" t="s">
        <v>1636</v>
      </c>
      <c r="Y2422">
        <v>22479</v>
      </c>
      <c r="Z2422">
        <v>374400</v>
      </c>
      <c r="AA2422">
        <v>37215</v>
      </c>
      <c r="AB2422" t="str">
        <f>(VLOOKUP(SalesData[[#This Row],[Month Number]],Reference!C$5:E$16,2,FALSE))</f>
        <v>Feb</v>
      </c>
      <c r="AC2422">
        <f>MONTH(SalesData[[#This Row],[Date]])</f>
        <v>2</v>
      </c>
      <c r="AD2422">
        <f>Reference!F$4</f>
        <v>2026</v>
      </c>
      <c r="AE2422" t="str">
        <f>IF(OR(SalesData[[#This Row],[Day]]="Saturday",SalesData[[#This Row],[Day]]="Sunday"),"Weekend","Weekday")</f>
        <v>Weekday</v>
      </c>
      <c r="AF2422" s="5">
        <f>IF(SalesData[[#This Row],[Contracts Offered]]=0,0,SalesData[[#This Row],[Contracts Signed]]/SalesData[[#This Row],[Contracts Offered]])</f>
        <v>0.19736842105263158</v>
      </c>
      <c r="AG2422" s="5">
        <f>IF(SalesData[[#This Row],[Customers Visited]]=0,0,SalesData[[#This Row],[Test Drives]]/SalesData[[#This Row],[Customers Visited]])</f>
        <v>0.47808764940239046</v>
      </c>
      <c r="AH2422" s="5">
        <f>IF(SalesData[[#This Row],[Customers Visited]]=0,0,SalesData[[#This Row],[Contracts Signed]]/SalesData[[#This Row],[Customers Visited]])</f>
        <v>5.9760956175298807E-2</v>
      </c>
      <c r="AI2422" s="6">
        <f>IF(SalesData[[#This Row],[Contracts Signed]]=0,0,SalesData[[#This Row],[Profit(€)]]/SalesData[[#This Row],[Contracts Signed]])</f>
        <v>2481</v>
      </c>
      <c r="AJ2422" s="5" t="str">
        <f>TRIM(CLEAN(SalesData[[#This Row],[Retailer]]))</f>
        <v>Ruhr Auto Plaza</v>
      </c>
    </row>
    <row r="2423" spans="1:36" ht="14.25" hidden="1" x14ac:dyDescent="0.2">
      <c r="A2423" t="s">
        <v>3494</v>
      </c>
      <c r="B2423" s="1">
        <v>46079</v>
      </c>
      <c r="C2423" t="s">
        <v>53</v>
      </c>
      <c r="D2423" t="s">
        <v>100</v>
      </c>
      <c r="E2423" t="s">
        <v>26</v>
      </c>
      <c r="F2423" t="s">
        <v>7649</v>
      </c>
      <c r="G2423" t="s">
        <v>55</v>
      </c>
      <c r="H2423" t="s">
        <v>55</v>
      </c>
      <c r="I2423" t="s">
        <v>64</v>
      </c>
      <c r="J2423" t="s">
        <v>111</v>
      </c>
      <c r="K2423" t="s">
        <v>91</v>
      </c>
      <c r="L2423" t="s">
        <v>46</v>
      </c>
      <c r="M2423" t="s">
        <v>47</v>
      </c>
      <c r="N2423" t="s">
        <v>69</v>
      </c>
      <c r="O2423" t="s">
        <v>36</v>
      </c>
      <c r="P2423" t="s">
        <v>49</v>
      </c>
      <c r="Q2423" t="s">
        <v>169</v>
      </c>
      <c r="R2423">
        <v>283</v>
      </c>
      <c r="S2423">
        <v>131</v>
      </c>
      <c r="T2423">
        <v>88</v>
      </c>
      <c r="U2423">
        <v>34</v>
      </c>
      <c r="V2423" t="s">
        <v>6725</v>
      </c>
      <c r="W2423">
        <v>65468</v>
      </c>
      <c r="X2423" t="s">
        <v>7276</v>
      </c>
      <c r="Y2423">
        <v>50925</v>
      </c>
      <c r="Z2423">
        <v>2225912</v>
      </c>
      <c r="AA2423">
        <v>494462</v>
      </c>
      <c r="AB2423" t="str">
        <f>(VLOOKUP(SalesData[[#This Row],[Month Number]],Reference!C$5:E$16,2,FALSE))</f>
        <v>Feb</v>
      </c>
      <c r="AC2423">
        <f>MONTH(SalesData[[#This Row],[Date]])</f>
        <v>2</v>
      </c>
      <c r="AD2423">
        <f>Reference!F$4</f>
        <v>2026</v>
      </c>
      <c r="AE2423" t="str">
        <f>IF(OR(SalesData[[#This Row],[Day]]="Saturday",SalesData[[#This Row],[Day]]="Sunday"),"Weekend","Weekday")</f>
        <v>Weekday</v>
      </c>
      <c r="AF2423" s="5">
        <f>IF(SalesData[[#This Row],[Contracts Offered]]=0,0,SalesData[[#This Row],[Contracts Signed]]/SalesData[[#This Row],[Contracts Offered]])</f>
        <v>0.38636363636363635</v>
      </c>
      <c r="AG2423" s="5">
        <f>IF(SalesData[[#This Row],[Customers Visited]]=0,0,SalesData[[#This Row],[Test Drives]]/SalesData[[#This Row],[Customers Visited]])</f>
        <v>0.4628975265017668</v>
      </c>
      <c r="AH2423" s="5">
        <f>IF(SalesData[[#This Row],[Customers Visited]]=0,0,SalesData[[#This Row],[Contracts Signed]]/SalesData[[#This Row],[Customers Visited]])</f>
        <v>0.12014134275618374</v>
      </c>
      <c r="AI2423" s="6">
        <f>IF(SalesData[[#This Row],[Contracts Signed]]=0,0,SalesData[[#This Row],[Profit(€)]]/SalesData[[#This Row],[Contracts Signed]])</f>
        <v>14543</v>
      </c>
      <c r="AJ2423" s="5" t="str">
        <f>TRIM(CLEAN(SalesData[[#This Row],[Retailer]]))</f>
        <v>Autohaus Berlin</v>
      </c>
    </row>
    <row r="2424" spans="1:36" ht="14.25" x14ac:dyDescent="0.2">
      <c r="A2424" t="s">
        <v>3495</v>
      </c>
      <c r="B2424" s="1">
        <v>46056</v>
      </c>
      <c r="C2424" t="s">
        <v>24</v>
      </c>
      <c r="D2424" t="s">
        <v>63</v>
      </c>
      <c r="E2424" t="s">
        <v>26</v>
      </c>
      <c r="F2424" t="s">
        <v>101</v>
      </c>
      <c r="G2424" t="s">
        <v>102</v>
      </c>
      <c r="H2424" t="s">
        <v>103</v>
      </c>
      <c r="I2424" t="s">
        <v>30</v>
      </c>
      <c r="J2424" t="s">
        <v>86</v>
      </c>
      <c r="K2424" t="s">
        <v>32</v>
      </c>
      <c r="L2424" t="s">
        <v>33</v>
      </c>
      <c r="M2424" t="s">
        <v>47</v>
      </c>
      <c r="N2424" t="s">
        <v>35</v>
      </c>
      <c r="O2424" t="s">
        <v>36</v>
      </c>
      <c r="P2424" t="s">
        <v>58</v>
      </c>
      <c r="Q2424" t="s">
        <v>38</v>
      </c>
      <c r="R2424">
        <v>210</v>
      </c>
      <c r="S2424">
        <v>116</v>
      </c>
      <c r="T2424">
        <v>87</v>
      </c>
      <c r="U2424">
        <v>34</v>
      </c>
      <c r="V2424" t="s">
        <v>6915</v>
      </c>
      <c r="W2424">
        <v>66521</v>
      </c>
      <c r="X2424" t="s">
        <v>7536</v>
      </c>
      <c r="Y2424">
        <v>49855</v>
      </c>
      <c r="Z2424">
        <v>2261714</v>
      </c>
      <c r="AA2424">
        <v>566644</v>
      </c>
      <c r="AB2424" t="str">
        <f>(VLOOKUP(SalesData[[#This Row],[Month Number]],Reference!C$5:E$16,2,FALSE))</f>
        <v>Feb</v>
      </c>
      <c r="AC2424">
        <f>MONTH(SalesData[[#This Row],[Date]])</f>
        <v>2</v>
      </c>
      <c r="AD2424">
        <f>Reference!F$4</f>
        <v>2026</v>
      </c>
      <c r="AE2424" t="str">
        <f>IF(OR(SalesData[[#This Row],[Day]]="Saturday",SalesData[[#This Row],[Day]]="Sunday"),"Weekend","Weekday")</f>
        <v>Weekday</v>
      </c>
      <c r="AF2424" s="5">
        <f>IF(SalesData[[#This Row],[Contracts Offered]]=0,0,SalesData[[#This Row],[Contracts Signed]]/SalesData[[#This Row],[Contracts Offered]])</f>
        <v>0.39080459770114945</v>
      </c>
      <c r="AG2424" s="5">
        <f>IF(SalesData[[#This Row],[Customers Visited]]=0,0,SalesData[[#This Row],[Test Drives]]/SalesData[[#This Row],[Customers Visited]])</f>
        <v>0.55238095238095242</v>
      </c>
      <c r="AH2424" s="5">
        <f>IF(SalesData[[#This Row],[Customers Visited]]=0,0,SalesData[[#This Row],[Contracts Signed]]/SalesData[[#This Row],[Customers Visited]])</f>
        <v>0.16190476190476191</v>
      </c>
      <c r="AI2424" s="6">
        <f>IF(SalesData[[#This Row],[Contracts Signed]]=0,0,SalesData[[#This Row],[Profit(€)]]/SalesData[[#This Row],[Contracts Signed]])</f>
        <v>16666</v>
      </c>
      <c r="AJ2424" s="5" t="str">
        <f>TRIM(CLEAN(SalesData[[#This Row],[Retailer]]))</f>
        <v>Ruhr Auto Plaza</v>
      </c>
    </row>
    <row r="2425" spans="1:36" ht="14.25" x14ac:dyDescent="0.2">
      <c r="A2425" t="s">
        <v>3497</v>
      </c>
      <c r="B2425" s="1">
        <v>46056</v>
      </c>
      <c r="C2425" t="s">
        <v>24</v>
      </c>
      <c r="D2425" t="s">
        <v>63</v>
      </c>
      <c r="E2425" t="s">
        <v>26</v>
      </c>
      <c r="F2425" t="s">
        <v>83</v>
      </c>
      <c r="G2425" t="s">
        <v>84</v>
      </c>
      <c r="H2425" t="s">
        <v>85</v>
      </c>
      <c r="I2425" t="s">
        <v>30</v>
      </c>
      <c r="J2425" t="s">
        <v>86</v>
      </c>
      <c r="K2425" t="s">
        <v>91</v>
      </c>
      <c r="L2425" t="s">
        <v>33</v>
      </c>
      <c r="M2425" t="s">
        <v>87</v>
      </c>
      <c r="N2425" t="s">
        <v>69</v>
      </c>
      <c r="O2425" t="s">
        <v>36</v>
      </c>
      <c r="P2425" t="s">
        <v>71</v>
      </c>
      <c r="Q2425" t="s">
        <v>135</v>
      </c>
      <c r="R2425">
        <v>253</v>
      </c>
      <c r="S2425">
        <v>155</v>
      </c>
      <c r="T2425">
        <v>111</v>
      </c>
      <c r="U2425">
        <v>49</v>
      </c>
      <c r="V2425" t="s">
        <v>7537</v>
      </c>
      <c r="W2425">
        <v>58300</v>
      </c>
      <c r="X2425" t="s">
        <v>7130</v>
      </c>
      <c r="Y2425">
        <v>41167</v>
      </c>
      <c r="Z2425">
        <v>2856700</v>
      </c>
      <c r="AA2425">
        <v>839517</v>
      </c>
      <c r="AB2425" t="str">
        <f>(VLOOKUP(SalesData[[#This Row],[Month Number]],Reference!C$5:E$16,2,FALSE))</f>
        <v>Feb</v>
      </c>
      <c r="AC2425">
        <f>MONTH(SalesData[[#This Row],[Date]])</f>
        <v>2</v>
      </c>
      <c r="AD2425">
        <f>Reference!F$4</f>
        <v>2026</v>
      </c>
      <c r="AE2425" t="str">
        <f>IF(OR(SalesData[[#This Row],[Day]]="Saturday",SalesData[[#This Row],[Day]]="Sunday"),"Weekend","Weekday")</f>
        <v>Weekday</v>
      </c>
      <c r="AF2425" s="5">
        <f>IF(SalesData[[#This Row],[Contracts Offered]]=0,0,SalesData[[#This Row],[Contracts Signed]]/SalesData[[#This Row],[Contracts Offered]])</f>
        <v>0.44144144144144143</v>
      </c>
      <c r="AG2425" s="5">
        <f>IF(SalesData[[#This Row],[Customers Visited]]=0,0,SalesData[[#This Row],[Test Drives]]/SalesData[[#This Row],[Customers Visited]])</f>
        <v>0.61264822134387353</v>
      </c>
      <c r="AH2425" s="5">
        <f>IF(SalesData[[#This Row],[Customers Visited]]=0,0,SalesData[[#This Row],[Contracts Signed]]/SalesData[[#This Row],[Customers Visited]])</f>
        <v>0.19367588932806323</v>
      </c>
      <c r="AI2425" s="6">
        <f>IF(SalesData[[#This Row],[Contracts Signed]]=0,0,SalesData[[#This Row],[Profit(€)]]/SalesData[[#This Row],[Contracts Signed]])</f>
        <v>17133</v>
      </c>
      <c r="AJ2425" s="5" t="str">
        <f>TRIM(CLEAN(SalesData[[#This Row],[Retailer]]))</f>
        <v>Hannover Cars</v>
      </c>
    </row>
    <row r="2426" spans="1:36" ht="14.25" x14ac:dyDescent="0.2">
      <c r="A2426" t="s">
        <v>3498</v>
      </c>
      <c r="B2426" s="1">
        <v>46079</v>
      </c>
      <c r="C2426" t="s">
        <v>53</v>
      </c>
      <c r="D2426" t="s">
        <v>100</v>
      </c>
      <c r="E2426" t="s">
        <v>26</v>
      </c>
      <c r="F2426" t="s">
        <v>101</v>
      </c>
      <c r="G2426" t="s">
        <v>102</v>
      </c>
      <c r="H2426" t="s">
        <v>103</v>
      </c>
      <c r="I2426" t="s">
        <v>30</v>
      </c>
      <c r="J2426" t="s">
        <v>7075</v>
      </c>
      <c r="K2426" t="s">
        <v>32</v>
      </c>
      <c r="L2426" t="s">
        <v>33</v>
      </c>
      <c r="M2426" t="s">
        <v>47</v>
      </c>
      <c r="N2426" t="s">
        <v>35</v>
      </c>
      <c r="O2426" t="s">
        <v>36</v>
      </c>
      <c r="P2426" t="s">
        <v>58</v>
      </c>
      <c r="Q2426" t="s">
        <v>38</v>
      </c>
      <c r="R2426">
        <v>166</v>
      </c>
      <c r="S2426">
        <v>91</v>
      </c>
      <c r="T2426">
        <v>64</v>
      </c>
      <c r="U2426">
        <v>26</v>
      </c>
      <c r="V2426" t="s">
        <v>6357</v>
      </c>
      <c r="W2426">
        <v>56920</v>
      </c>
      <c r="X2426" t="s">
        <v>7528</v>
      </c>
      <c r="Y2426">
        <v>42934</v>
      </c>
      <c r="Z2426">
        <v>1479920</v>
      </c>
      <c r="AA2426">
        <v>363636</v>
      </c>
      <c r="AB2426" t="str">
        <f>(VLOOKUP(SalesData[[#This Row],[Month Number]],Reference!C$5:E$16,2,FALSE))</f>
        <v>Feb</v>
      </c>
      <c r="AC2426">
        <f>MONTH(SalesData[[#This Row],[Date]])</f>
        <v>2</v>
      </c>
      <c r="AD2426">
        <f>Reference!F$4</f>
        <v>2026</v>
      </c>
      <c r="AE2426" t="str">
        <f>IF(OR(SalesData[[#This Row],[Day]]="Saturday",SalesData[[#This Row],[Day]]="Sunday"),"Weekend","Weekday")</f>
        <v>Weekday</v>
      </c>
      <c r="AF2426" s="5">
        <f>IF(SalesData[[#This Row],[Contracts Offered]]=0,0,SalesData[[#This Row],[Contracts Signed]]/SalesData[[#This Row],[Contracts Offered]])</f>
        <v>0.40625</v>
      </c>
      <c r="AG2426" s="5">
        <f>IF(SalesData[[#This Row],[Customers Visited]]=0,0,SalesData[[#This Row],[Test Drives]]/SalesData[[#This Row],[Customers Visited]])</f>
        <v>0.54819277108433739</v>
      </c>
      <c r="AH2426" s="5">
        <f>IF(SalesData[[#This Row],[Customers Visited]]=0,0,SalesData[[#This Row],[Contracts Signed]]/SalesData[[#This Row],[Customers Visited]])</f>
        <v>0.15662650602409639</v>
      </c>
      <c r="AI2426" s="6">
        <f>IF(SalesData[[#This Row],[Contracts Signed]]=0,0,SalesData[[#This Row],[Profit(€)]]/SalesData[[#This Row],[Contracts Signed]])</f>
        <v>13986</v>
      </c>
      <c r="AJ2426" s="5" t="str">
        <f>TRIM(CLEAN(SalesData[[#This Row],[Retailer]]))</f>
        <v>Ruhr Auto Plaza</v>
      </c>
    </row>
    <row r="2427" spans="1:36" ht="14.25" hidden="1" x14ac:dyDescent="0.2">
      <c r="A2427" t="s">
        <v>3499</v>
      </c>
      <c r="B2427" s="1">
        <v>46066</v>
      </c>
      <c r="C2427" t="s">
        <v>121</v>
      </c>
      <c r="D2427" t="s">
        <v>54</v>
      </c>
      <c r="E2427" t="s">
        <v>26</v>
      </c>
      <c r="F2427" t="s">
        <v>109</v>
      </c>
      <c r="G2427" t="s">
        <v>110</v>
      </c>
      <c r="H2427" t="s">
        <v>45</v>
      </c>
      <c r="I2427" t="s">
        <v>56</v>
      </c>
      <c r="J2427" t="s">
        <v>137</v>
      </c>
      <c r="K2427" t="s">
        <v>66</v>
      </c>
      <c r="L2427" t="s">
        <v>46</v>
      </c>
      <c r="M2427" t="s">
        <v>87</v>
      </c>
      <c r="N2427" t="s">
        <v>35</v>
      </c>
      <c r="O2427" t="s">
        <v>36</v>
      </c>
      <c r="P2427" t="s">
        <v>37</v>
      </c>
      <c r="Q2427" t="s">
        <v>59</v>
      </c>
      <c r="R2427">
        <v>287</v>
      </c>
      <c r="S2427">
        <v>170</v>
      </c>
      <c r="T2427">
        <v>116</v>
      </c>
      <c r="U2427">
        <v>35</v>
      </c>
      <c r="V2427" t="s">
        <v>6353</v>
      </c>
      <c r="W2427">
        <v>49663</v>
      </c>
      <c r="X2427" t="s">
        <v>1677</v>
      </c>
      <c r="Y2427">
        <v>39074</v>
      </c>
      <c r="Z2427">
        <v>1738205</v>
      </c>
      <c r="AA2427">
        <v>370615</v>
      </c>
      <c r="AB2427" t="str">
        <f>(VLOOKUP(SalesData[[#This Row],[Month Number]],Reference!C$5:E$16,2,FALSE))</f>
        <v>Feb</v>
      </c>
      <c r="AC2427">
        <f>MONTH(SalesData[[#This Row],[Date]])</f>
        <v>2</v>
      </c>
      <c r="AD2427">
        <f>Reference!F$4</f>
        <v>2026</v>
      </c>
      <c r="AE2427" t="str">
        <f>IF(OR(SalesData[[#This Row],[Day]]="Saturday",SalesData[[#This Row],[Day]]="Sunday"),"Weekend","Weekday")</f>
        <v>Weekday</v>
      </c>
      <c r="AF2427" s="5">
        <f>IF(SalesData[[#This Row],[Contracts Offered]]=0,0,SalesData[[#This Row],[Contracts Signed]]/SalesData[[#This Row],[Contracts Offered]])</f>
        <v>0.30172413793103448</v>
      </c>
      <c r="AG2427" s="5">
        <f>IF(SalesData[[#This Row],[Customers Visited]]=0,0,SalesData[[#This Row],[Test Drives]]/SalesData[[#This Row],[Customers Visited]])</f>
        <v>0.59233449477351918</v>
      </c>
      <c r="AH2427" s="5">
        <f>IF(SalesData[[#This Row],[Customers Visited]]=0,0,SalesData[[#This Row],[Contracts Signed]]/SalesData[[#This Row],[Customers Visited]])</f>
        <v>0.12195121951219512</v>
      </c>
      <c r="AI2427" s="6">
        <f>IF(SalesData[[#This Row],[Contracts Signed]]=0,0,SalesData[[#This Row],[Profit(€)]]/SalesData[[#This Row],[Contracts Signed]])</f>
        <v>10589</v>
      </c>
      <c r="AJ2427" s="5" t="str">
        <f>TRIM(CLEAN(SalesData[[#This Row],[Retailer]]))</f>
        <v>Leipzig Mobility</v>
      </c>
    </row>
    <row r="2428" spans="1:36" ht="14.25" x14ac:dyDescent="0.2">
      <c r="A2428" t="s">
        <v>3500</v>
      </c>
      <c r="B2428" s="1">
        <v>46060</v>
      </c>
      <c r="C2428" t="s">
        <v>24</v>
      </c>
      <c r="D2428" t="s">
        <v>151</v>
      </c>
      <c r="E2428" t="s">
        <v>42</v>
      </c>
      <c r="F2428" t="s">
        <v>127</v>
      </c>
      <c r="G2428" t="s">
        <v>128</v>
      </c>
      <c r="H2428" t="s">
        <v>103</v>
      </c>
      <c r="I2428" t="s">
        <v>30</v>
      </c>
      <c r="J2428" t="s">
        <v>31</v>
      </c>
      <c r="K2428" t="s">
        <v>32</v>
      </c>
      <c r="L2428" t="s">
        <v>46</v>
      </c>
      <c r="M2428" t="s">
        <v>87</v>
      </c>
      <c r="N2428" t="s">
        <v>48</v>
      </c>
      <c r="O2428" t="s">
        <v>36</v>
      </c>
      <c r="P2428" t="s">
        <v>37</v>
      </c>
      <c r="Q2428" t="s">
        <v>158</v>
      </c>
      <c r="R2428">
        <v>166</v>
      </c>
      <c r="S2428">
        <v>95</v>
      </c>
      <c r="T2428">
        <v>74</v>
      </c>
      <c r="U2428">
        <v>26</v>
      </c>
      <c r="V2428" t="s">
        <v>6559</v>
      </c>
      <c r="W2428">
        <v>49533</v>
      </c>
      <c r="X2428" t="s">
        <v>1098</v>
      </c>
      <c r="Y2428">
        <v>36761</v>
      </c>
      <c r="Z2428">
        <v>1287858</v>
      </c>
      <c r="AA2428">
        <v>332072</v>
      </c>
      <c r="AB2428" t="str">
        <f>(VLOOKUP(SalesData[[#This Row],[Month Number]],Reference!C$5:E$16,2,FALSE))</f>
        <v>Feb</v>
      </c>
      <c r="AC2428">
        <f>MONTH(SalesData[[#This Row],[Date]])</f>
        <v>2</v>
      </c>
      <c r="AD2428">
        <f>Reference!F$4</f>
        <v>2026</v>
      </c>
      <c r="AE2428" t="str">
        <f>IF(OR(SalesData[[#This Row],[Day]]="Saturday",SalesData[[#This Row],[Day]]="Sunday"),"Weekend","Weekday")</f>
        <v>Weekend</v>
      </c>
      <c r="AF2428" s="5">
        <f>IF(SalesData[[#This Row],[Contracts Offered]]=0,0,SalesData[[#This Row],[Contracts Signed]]/SalesData[[#This Row],[Contracts Offered]])</f>
        <v>0.35135135135135137</v>
      </c>
      <c r="AG2428" s="5">
        <f>IF(SalesData[[#This Row],[Customers Visited]]=0,0,SalesData[[#This Row],[Test Drives]]/SalesData[[#This Row],[Customers Visited]])</f>
        <v>0.57228915662650603</v>
      </c>
      <c r="AH2428" s="5">
        <f>IF(SalesData[[#This Row],[Customers Visited]]=0,0,SalesData[[#This Row],[Contracts Signed]]/SalesData[[#This Row],[Customers Visited]])</f>
        <v>0.15662650602409639</v>
      </c>
      <c r="AI2428" s="6">
        <f>IF(SalesData[[#This Row],[Contracts Signed]]=0,0,SalesData[[#This Row],[Profit(€)]]/SalesData[[#This Row],[Contracts Signed]])</f>
        <v>12772</v>
      </c>
      <c r="AJ2428" s="5" t="str">
        <f>TRIM(CLEAN(SalesData[[#This Row],[Retailer]]))</f>
        <v>Rhein Auto Group</v>
      </c>
    </row>
    <row r="2429" spans="1:36" ht="14.25" hidden="1" x14ac:dyDescent="0.2">
      <c r="A2429" t="s">
        <v>3501</v>
      </c>
      <c r="B2429" s="1">
        <v>46056</v>
      </c>
      <c r="C2429" t="s">
        <v>24</v>
      </c>
      <c r="D2429" t="s">
        <v>63</v>
      </c>
      <c r="E2429" t="s">
        <v>26</v>
      </c>
      <c r="F2429" t="s">
        <v>74</v>
      </c>
      <c r="G2429" t="s">
        <v>75</v>
      </c>
      <c r="H2429" t="s">
        <v>76</v>
      </c>
      <c r="I2429" t="s">
        <v>56</v>
      </c>
      <c r="J2429" t="s">
        <v>137</v>
      </c>
      <c r="K2429" t="s">
        <v>32</v>
      </c>
      <c r="L2429" t="s">
        <v>46</v>
      </c>
      <c r="M2429" t="s">
        <v>34</v>
      </c>
      <c r="N2429" t="s">
        <v>48</v>
      </c>
      <c r="O2429" t="s">
        <v>36</v>
      </c>
      <c r="P2429" t="s">
        <v>37</v>
      </c>
      <c r="Q2429" t="s">
        <v>152</v>
      </c>
      <c r="R2429">
        <v>200</v>
      </c>
      <c r="S2429">
        <v>123</v>
      </c>
      <c r="T2429">
        <v>88</v>
      </c>
      <c r="U2429">
        <v>31</v>
      </c>
      <c r="V2429" t="s">
        <v>6352</v>
      </c>
      <c r="W2429">
        <v>48282</v>
      </c>
      <c r="X2429" t="s">
        <v>2103</v>
      </c>
      <c r="Y2429">
        <v>39460</v>
      </c>
      <c r="Z2429">
        <v>1496742</v>
      </c>
      <c r="AA2429">
        <v>273482</v>
      </c>
      <c r="AB2429" t="str">
        <f>(VLOOKUP(SalesData[[#This Row],[Month Number]],Reference!C$5:E$16,2,FALSE))</f>
        <v>Feb</v>
      </c>
      <c r="AC2429">
        <f>MONTH(SalesData[[#This Row],[Date]])</f>
        <v>2</v>
      </c>
      <c r="AD2429">
        <f>Reference!F$4</f>
        <v>2026</v>
      </c>
      <c r="AE2429" t="str">
        <f>IF(OR(SalesData[[#This Row],[Day]]="Saturday",SalesData[[#This Row],[Day]]="Sunday"),"Weekend","Weekday")</f>
        <v>Weekday</v>
      </c>
      <c r="AF2429" s="5">
        <f>IF(SalesData[[#This Row],[Contracts Offered]]=0,0,SalesData[[#This Row],[Contracts Signed]]/SalesData[[#This Row],[Contracts Offered]])</f>
        <v>0.35227272727272729</v>
      </c>
      <c r="AG2429" s="5">
        <f>IF(SalesData[[#This Row],[Customers Visited]]=0,0,SalesData[[#This Row],[Test Drives]]/SalesData[[#This Row],[Customers Visited]])</f>
        <v>0.61499999999999999</v>
      </c>
      <c r="AH2429" s="5">
        <f>IF(SalesData[[#This Row],[Customers Visited]]=0,0,SalesData[[#This Row],[Contracts Signed]]/SalesData[[#This Row],[Customers Visited]])</f>
        <v>0.155</v>
      </c>
      <c r="AI2429" s="6">
        <f>IF(SalesData[[#This Row],[Contracts Signed]]=0,0,SalesData[[#This Row],[Profit(€)]]/SalesData[[#This Row],[Contracts Signed]])</f>
        <v>8822</v>
      </c>
      <c r="AJ2429" s="5" t="str">
        <f>TRIM(CLEAN(SalesData[[#This Row],[Retailer]]))</f>
        <v>Stuttgart Auto Center</v>
      </c>
    </row>
    <row r="2430" spans="1:36" ht="14.25" hidden="1" x14ac:dyDescent="0.2">
      <c r="A2430" t="s">
        <v>3502</v>
      </c>
      <c r="B2430" s="1">
        <v>46061</v>
      </c>
      <c r="C2430" t="s">
        <v>121</v>
      </c>
      <c r="D2430" t="s">
        <v>41</v>
      </c>
      <c r="E2430" t="s">
        <v>42</v>
      </c>
      <c r="F2430" t="s">
        <v>94</v>
      </c>
      <c r="G2430" t="s">
        <v>95</v>
      </c>
      <c r="H2430" t="s">
        <v>96</v>
      </c>
      <c r="I2430" t="s">
        <v>116</v>
      </c>
      <c r="J2430" t="s">
        <v>117</v>
      </c>
      <c r="K2430" t="s">
        <v>78</v>
      </c>
      <c r="L2430" t="s">
        <v>67</v>
      </c>
      <c r="M2430" t="s">
        <v>68</v>
      </c>
      <c r="N2430" t="s">
        <v>48</v>
      </c>
      <c r="O2430" t="s">
        <v>36</v>
      </c>
      <c r="P2430" t="s">
        <v>71</v>
      </c>
      <c r="Q2430" t="s">
        <v>152</v>
      </c>
      <c r="R2430">
        <v>238</v>
      </c>
      <c r="S2430">
        <v>110</v>
      </c>
      <c r="T2430">
        <v>73</v>
      </c>
      <c r="U2430">
        <v>20</v>
      </c>
      <c r="V2430" t="s">
        <v>752</v>
      </c>
      <c r="W2430">
        <v>20439</v>
      </c>
      <c r="X2430" t="s">
        <v>220</v>
      </c>
      <c r="Y2430">
        <v>18776</v>
      </c>
      <c r="Z2430">
        <v>408780</v>
      </c>
      <c r="AA2430">
        <v>33260</v>
      </c>
      <c r="AB2430" t="str">
        <f>(VLOOKUP(SalesData[[#This Row],[Month Number]],Reference!C$5:E$16,2,FALSE))</f>
        <v>Feb</v>
      </c>
      <c r="AC2430">
        <f>MONTH(SalesData[[#This Row],[Date]])</f>
        <v>2</v>
      </c>
      <c r="AD2430">
        <f>Reference!F$4</f>
        <v>2026</v>
      </c>
      <c r="AE2430" t="str">
        <f>IF(OR(SalesData[[#This Row],[Day]]="Saturday",SalesData[[#This Row],[Day]]="Sunday"),"Weekend","Weekday")</f>
        <v>Weekend</v>
      </c>
      <c r="AF2430" s="5">
        <f>IF(SalesData[[#This Row],[Contracts Offered]]=0,0,SalesData[[#This Row],[Contracts Signed]]/SalesData[[#This Row],[Contracts Offered]])</f>
        <v>0.27397260273972601</v>
      </c>
      <c r="AG2430" s="5">
        <f>IF(SalesData[[#This Row],[Customers Visited]]=0,0,SalesData[[#This Row],[Test Drives]]/SalesData[[#This Row],[Customers Visited]])</f>
        <v>0.46218487394957986</v>
      </c>
      <c r="AH2430" s="5">
        <f>IF(SalesData[[#This Row],[Customers Visited]]=0,0,SalesData[[#This Row],[Contracts Signed]]/SalesData[[#This Row],[Customers Visited]])</f>
        <v>8.4033613445378158E-2</v>
      </c>
      <c r="AI2430" s="6">
        <f>IF(SalesData[[#This Row],[Contracts Signed]]=0,0,SalesData[[#This Row],[Profit(€)]]/SalesData[[#This Row],[Contracts Signed]])</f>
        <v>1663</v>
      </c>
      <c r="AJ2430" s="5" t="str">
        <f>TRIM(CLEAN(SalesData[[#This Row],[Retailer]]))</f>
        <v>Bavaria Motors</v>
      </c>
    </row>
    <row r="2431" spans="1:36" ht="14.25" hidden="1" x14ac:dyDescent="0.2">
      <c r="A2431" t="s">
        <v>3503</v>
      </c>
      <c r="B2431" s="1">
        <v>46064</v>
      </c>
      <c r="C2431" t="s">
        <v>121</v>
      </c>
      <c r="D2431" t="s">
        <v>82</v>
      </c>
      <c r="E2431" t="s">
        <v>26</v>
      </c>
      <c r="F2431" t="s">
        <v>7649</v>
      </c>
      <c r="G2431" t="s">
        <v>55</v>
      </c>
      <c r="H2431" t="s">
        <v>55</v>
      </c>
      <c r="I2431" t="s">
        <v>64</v>
      </c>
      <c r="J2431" t="s">
        <v>7029</v>
      </c>
      <c r="K2431" t="s">
        <v>66</v>
      </c>
      <c r="L2431" t="s">
        <v>33</v>
      </c>
      <c r="M2431" t="s">
        <v>34</v>
      </c>
      <c r="N2431" t="s">
        <v>69</v>
      </c>
      <c r="O2431" t="s">
        <v>36</v>
      </c>
      <c r="P2431" t="s">
        <v>71</v>
      </c>
      <c r="Q2431" t="s">
        <v>240</v>
      </c>
      <c r="R2431">
        <v>155</v>
      </c>
      <c r="S2431">
        <v>72</v>
      </c>
      <c r="T2431">
        <v>55</v>
      </c>
      <c r="U2431">
        <v>21</v>
      </c>
      <c r="V2431" t="s">
        <v>6395</v>
      </c>
      <c r="W2431">
        <v>60263</v>
      </c>
      <c r="X2431" t="s">
        <v>7420</v>
      </c>
      <c r="Y2431">
        <v>46201</v>
      </c>
      <c r="Z2431">
        <v>1265523</v>
      </c>
      <c r="AA2431">
        <v>295302</v>
      </c>
      <c r="AB2431" t="str">
        <f>(VLOOKUP(SalesData[[#This Row],[Month Number]],Reference!C$5:E$16,2,FALSE))</f>
        <v>Feb</v>
      </c>
      <c r="AC2431">
        <f>MONTH(SalesData[[#This Row],[Date]])</f>
        <v>2</v>
      </c>
      <c r="AD2431">
        <f>Reference!F$4</f>
        <v>2026</v>
      </c>
      <c r="AE2431" t="str">
        <f>IF(OR(SalesData[[#This Row],[Day]]="Saturday",SalesData[[#This Row],[Day]]="Sunday"),"Weekend","Weekday")</f>
        <v>Weekday</v>
      </c>
      <c r="AF2431" s="5">
        <f>IF(SalesData[[#This Row],[Contracts Offered]]=0,0,SalesData[[#This Row],[Contracts Signed]]/SalesData[[#This Row],[Contracts Offered]])</f>
        <v>0.38181818181818183</v>
      </c>
      <c r="AG2431" s="5">
        <f>IF(SalesData[[#This Row],[Customers Visited]]=0,0,SalesData[[#This Row],[Test Drives]]/SalesData[[#This Row],[Customers Visited]])</f>
        <v>0.46451612903225808</v>
      </c>
      <c r="AH2431" s="5">
        <f>IF(SalesData[[#This Row],[Customers Visited]]=0,0,SalesData[[#This Row],[Contracts Signed]]/SalesData[[#This Row],[Customers Visited]])</f>
        <v>0.13548387096774195</v>
      </c>
      <c r="AI2431" s="6">
        <f>IF(SalesData[[#This Row],[Contracts Signed]]=0,0,SalesData[[#This Row],[Profit(€)]]/SalesData[[#This Row],[Contracts Signed]])</f>
        <v>14062</v>
      </c>
      <c r="AJ2431" s="5" t="str">
        <f>TRIM(CLEAN(SalesData[[#This Row],[Retailer]]))</f>
        <v>Autohaus Berlin</v>
      </c>
    </row>
    <row r="2432" spans="1:36" ht="14.25" hidden="1" x14ac:dyDescent="0.2">
      <c r="A2432" t="s">
        <v>3504</v>
      </c>
      <c r="B2432" s="1">
        <v>46076</v>
      </c>
      <c r="C2432" t="s">
        <v>53</v>
      </c>
      <c r="D2432" t="s">
        <v>25</v>
      </c>
      <c r="E2432" t="s">
        <v>26</v>
      </c>
      <c r="F2432" t="s">
        <v>127</v>
      </c>
      <c r="G2432" t="s">
        <v>128</v>
      </c>
      <c r="H2432" t="s">
        <v>103</v>
      </c>
      <c r="I2432" t="s">
        <v>116</v>
      </c>
      <c r="J2432" t="s">
        <v>7026</v>
      </c>
      <c r="K2432" t="s">
        <v>78</v>
      </c>
      <c r="L2432" t="s">
        <v>46</v>
      </c>
      <c r="M2432" t="s">
        <v>68</v>
      </c>
      <c r="N2432" t="s">
        <v>35</v>
      </c>
      <c r="O2432" t="s">
        <v>36</v>
      </c>
      <c r="P2432" t="s">
        <v>71</v>
      </c>
      <c r="Q2432" t="s">
        <v>38</v>
      </c>
      <c r="R2432">
        <v>302</v>
      </c>
      <c r="S2432">
        <v>139</v>
      </c>
      <c r="T2432">
        <v>81</v>
      </c>
      <c r="U2432">
        <v>28</v>
      </c>
      <c r="V2432" t="s">
        <v>6681</v>
      </c>
      <c r="W2432">
        <v>25895</v>
      </c>
      <c r="X2432" t="s">
        <v>1009</v>
      </c>
      <c r="Y2432">
        <v>23515</v>
      </c>
      <c r="Z2432">
        <v>725060</v>
      </c>
      <c r="AA2432">
        <v>66640</v>
      </c>
      <c r="AB2432" t="str">
        <f>(VLOOKUP(SalesData[[#This Row],[Month Number]],Reference!C$5:E$16,2,FALSE))</f>
        <v>Feb</v>
      </c>
      <c r="AC2432">
        <f>MONTH(SalesData[[#This Row],[Date]])</f>
        <v>2</v>
      </c>
      <c r="AD2432">
        <f>Reference!F$4</f>
        <v>2026</v>
      </c>
      <c r="AE2432" t="str">
        <f>IF(OR(SalesData[[#This Row],[Day]]="Saturday",SalesData[[#This Row],[Day]]="Sunday"),"Weekend","Weekday")</f>
        <v>Weekday</v>
      </c>
      <c r="AF2432" s="5">
        <f>IF(SalesData[[#This Row],[Contracts Offered]]=0,0,SalesData[[#This Row],[Contracts Signed]]/SalesData[[#This Row],[Contracts Offered]])</f>
        <v>0.34567901234567899</v>
      </c>
      <c r="AG2432" s="5">
        <f>IF(SalesData[[#This Row],[Customers Visited]]=0,0,SalesData[[#This Row],[Test Drives]]/SalesData[[#This Row],[Customers Visited]])</f>
        <v>0.46026490066225167</v>
      </c>
      <c r="AH2432" s="5">
        <f>IF(SalesData[[#This Row],[Customers Visited]]=0,0,SalesData[[#This Row],[Contracts Signed]]/SalesData[[#This Row],[Customers Visited]])</f>
        <v>9.2715231788079472E-2</v>
      </c>
      <c r="AI2432" s="6">
        <f>IF(SalesData[[#This Row],[Contracts Signed]]=0,0,SalesData[[#This Row],[Profit(€)]]/SalesData[[#This Row],[Contracts Signed]])</f>
        <v>2380</v>
      </c>
      <c r="AJ2432" s="5" t="str">
        <f>TRIM(CLEAN(SalesData[[#This Row],[Retailer]]))</f>
        <v>Rhein Auto Group</v>
      </c>
    </row>
    <row r="2433" spans="1:36" ht="14.25" hidden="1" x14ac:dyDescent="0.2">
      <c r="A2433" t="s">
        <v>3506</v>
      </c>
      <c r="B2433" s="1">
        <v>46070</v>
      </c>
      <c r="C2433" t="s">
        <v>62</v>
      </c>
      <c r="D2433" t="s">
        <v>63</v>
      </c>
      <c r="E2433" t="s">
        <v>26</v>
      </c>
      <c r="F2433" t="s">
        <v>7649</v>
      </c>
      <c r="G2433" t="s">
        <v>55</v>
      </c>
      <c r="H2433" t="s">
        <v>55</v>
      </c>
      <c r="I2433" t="s">
        <v>116</v>
      </c>
      <c r="J2433" t="s">
        <v>7026</v>
      </c>
      <c r="K2433" t="s">
        <v>66</v>
      </c>
      <c r="L2433" t="s">
        <v>46</v>
      </c>
      <c r="M2433" t="s">
        <v>47</v>
      </c>
      <c r="N2433" t="s">
        <v>48</v>
      </c>
      <c r="O2433" t="s">
        <v>36</v>
      </c>
      <c r="P2433" t="s">
        <v>58</v>
      </c>
      <c r="Q2433" t="s">
        <v>204</v>
      </c>
      <c r="R2433">
        <v>336</v>
      </c>
      <c r="S2433">
        <v>173</v>
      </c>
      <c r="T2433">
        <v>108</v>
      </c>
      <c r="U2433">
        <v>39</v>
      </c>
      <c r="V2433" t="s">
        <v>6686</v>
      </c>
      <c r="W2433">
        <v>19954</v>
      </c>
      <c r="X2433" t="s">
        <v>7322</v>
      </c>
      <c r="Y2433">
        <v>17994</v>
      </c>
      <c r="Z2433">
        <v>778206</v>
      </c>
      <c r="AA2433">
        <v>76440</v>
      </c>
      <c r="AB2433" t="str">
        <f>(VLOOKUP(SalesData[[#This Row],[Month Number]],Reference!C$5:E$16,2,FALSE))</f>
        <v>Feb</v>
      </c>
      <c r="AC2433">
        <f>MONTH(SalesData[[#This Row],[Date]])</f>
        <v>2</v>
      </c>
      <c r="AD2433">
        <f>Reference!F$4</f>
        <v>2026</v>
      </c>
      <c r="AE2433" t="str">
        <f>IF(OR(SalesData[[#This Row],[Day]]="Saturday",SalesData[[#This Row],[Day]]="Sunday"),"Weekend","Weekday")</f>
        <v>Weekday</v>
      </c>
      <c r="AF2433" s="5">
        <f>IF(SalesData[[#This Row],[Contracts Offered]]=0,0,SalesData[[#This Row],[Contracts Signed]]/SalesData[[#This Row],[Contracts Offered]])</f>
        <v>0.3611111111111111</v>
      </c>
      <c r="AG2433" s="5">
        <f>IF(SalesData[[#This Row],[Customers Visited]]=0,0,SalesData[[#This Row],[Test Drives]]/SalesData[[#This Row],[Customers Visited]])</f>
        <v>0.51488095238095233</v>
      </c>
      <c r="AH2433" s="5">
        <f>IF(SalesData[[#This Row],[Customers Visited]]=0,0,SalesData[[#This Row],[Contracts Signed]]/SalesData[[#This Row],[Customers Visited]])</f>
        <v>0.11607142857142858</v>
      </c>
      <c r="AI2433" s="6">
        <f>IF(SalesData[[#This Row],[Contracts Signed]]=0,0,SalesData[[#This Row],[Profit(€)]]/SalesData[[#This Row],[Contracts Signed]])</f>
        <v>1960</v>
      </c>
      <c r="AJ2433" s="5" t="str">
        <f>TRIM(CLEAN(SalesData[[#This Row],[Retailer]]))</f>
        <v>Autohaus Berlin</v>
      </c>
    </row>
    <row r="2434" spans="1:36" ht="14.25" hidden="1" x14ac:dyDescent="0.2">
      <c r="A2434" t="s">
        <v>3507</v>
      </c>
      <c r="B2434" s="1">
        <v>46070</v>
      </c>
      <c r="C2434" t="s">
        <v>62</v>
      </c>
      <c r="D2434" t="s">
        <v>63</v>
      </c>
      <c r="E2434" t="s">
        <v>26</v>
      </c>
      <c r="F2434" t="s">
        <v>109</v>
      </c>
      <c r="G2434" t="s">
        <v>110</v>
      </c>
      <c r="H2434" t="s">
        <v>45</v>
      </c>
      <c r="I2434" t="s">
        <v>104</v>
      </c>
      <c r="J2434" t="s">
        <v>7031</v>
      </c>
      <c r="K2434" t="s">
        <v>91</v>
      </c>
      <c r="L2434" t="s">
        <v>46</v>
      </c>
      <c r="M2434" t="s">
        <v>34</v>
      </c>
      <c r="N2434" t="s">
        <v>69</v>
      </c>
      <c r="O2434" t="s">
        <v>36</v>
      </c>
      <c r="P2434" t="s">
        <v>71</v>
      </c>
      <c r="Q2434" t="s">
        <v>167</v>
      </c>
      <c r="R2434">
        <v>431</v>
      </c>
      <c r="S2434">
        <v>182</v>
      </c>
      <c r="T2434">
        <v>112</v>
      </c>
      <c r="U2434">
        <v>26</v>
      </c>
      <c r="V2434" t="s">
        <v>527</v>
      </c>
      <c r="W2434">
        <v>32366</v>
      </c>
      <c r="X2434" t="s">
        <v>7538</v>
      </c>
      <c r="Y2434">
        <v>28286</v>
      </c>
      <c r="Z2434">
        <v>841516</v>
      </c>
      <c r="AA2434">
        <v>106080</v>
      </c>
      <c r="AB2434" t="str">
        <f>(VLOOKUP(SalesData[[#This Row],[Month Number]],Reference!C$5:E$16,2,FALSE))</f>
        <v>Feb</v>
      </c>
      <c r="AC2434">
        <f>MONTH(SalesData[[#This Row],[Date]])</f>
        <v>2</v>
      </c>
      <c r="AD2434">
        <f>Reference!F$4</f>
        <v>2026</v>
      </c>
      <c r="AE2434" t="str">
        <f>IF(OR(SalesData[[#This Row],[Day]]="Saturday",SalesData[[#This Row],[Day]]="Sunday"),"Weekend","Weekday")</f>
        <v>Weekday</v>
      </c>
      <c r="AF2434" s="5">
        <f>IF(SalesData[[#This Row],[Contracts Offered]]=0,0,SalesData[[#This Row],[Contracts Signed]]/SalesData[[#This Row],[Contracts Offered]])</f>
        <v>0.23214285714285715</v>
      </c>
      <c r="AG2434" s="5">
        <f>IF(SalesData[[#This Row],[Customers Visited]]=0,0,SalesData[[#This Row],[Test Drives]]/SalesData[[#This Row],[Customers Visited]])</f>
        <v>0.42227378190255221</v>
      </c>
      <c r="AH2434" s="5">
        <f>IF(SalesData[[#This Row],[Customers Visited]]=0,0,SalesData[[#This Row],[Contracts Signed]]/SalesData[[#This Row],[Customers Visited]])</f>
        <v>6.0324825986078884E-2</v>
      </c>
      <c r="AI2434" s="6">
        <f>IF(SalesData[[#This Row],[Contracts Signed]]=0,0,SalesData[[#This Row],[Profit(€)]]/SalesData[[#This Row],[Contracts Signed]])</f>
        <v>4080</v>
      </c>
      <c r="AJ2434" s="5" t="str">
        <f>TRIM(CLEAN(SalesData[[#This Row],[Retailer]]))</f>
        <v>Leipzig Mobility</v>
      </c>
    </row>
    <row r="2435" spans="1:36" ht="14.25" hidden="1" x14ac:dyDescent="0.2">
      <c r="A2435" t="s">
        <v>3508</v>
      </c>
      <c r="B2435" s="1">
        <v>46077</v>
      </c>
      <c r="C2435" t="s">
        <v>53</v>
      </c>
      <c r="D2435" t="s">
        <v>63</v>
      </c>
      <c r="E2435" t="s">
        <v>26</v>
      </c>
      <c r="F2435" t="s">
        <v>27</v>
      </c>
      <c r="G2435" t="s">
        <v>28</v>
      </c>
      <c r="H2435" t="s">
        <v>29</v>
      </c>
      <c r="I2435" t="s">
        <v>116</v>
      </c>
      <c r="J2435" t="s">
        <v>132</v>
      </c>
      <c r="K2435" t="s">
        <v>91</v>
      </c>
      <c r="L2435" t="s">
        <v>46</v>
      </c>
      <c r="M2435" t="s">
        <v>87</v>
      </c>
      <c r="N2435" t="s">
        <v>48</v>
      </c>
      <c r="O2435" t="s">
        <v>36</v>
      </c>
      <c r="P2435" t="s">
        <v>71</v>
      </c>
      <c r="Q2435" t="s">
        <v>122</v>
      </c>
      <c r="R2435">
        <v>231</v>
      </c>
      <c r="S2435">
        <v>112</v>
      </c>
      <c r="T2435">
        <v>76</v>
      </c>
      <c r="U2435">
        <v>17</v>
      </c>
      <c r="V2435" t="s">
        <v>1455</v>
      </c>
      <c r="W2435">
        <v>24527</v>
      </c>
      <c r="X2435" t="s">
        <v>2084</v>
      </c>
      <c r="Y2435">
        <v>22233</v>
      </c>
      <c r="Z2435">
        <v>416959</v>
      </c>
      <c r="AA2435">
        <v>38998</v>
      </c>
      <c r="AB2435" t="str">
        <f>(VLOOKUP(SalesData[[#This Row],[Month Number]],Reference!C$5:E$16,2,FALSE))</f>
        <v>Feb</v>
      </c>
      <c r="AC2435">
        <f>MONTH(SalesData[[#This Row],[Date]])</f>
        <v>2</v>
      </c>
      <c r="AD2435">
        <f>Reference!F$4</f>
        <v>2026</v>
      </c>
      <c r="AE2435" t="str">
        <f>IF(OR(SalesData[[#This Row],[Day]]="Saturday",SalesData[[#This Row],[Day]]="Sunday"),"Weekend","Weekday")</f>
        <v>Weekday</v>
      </c>
      <c r="AF2435" s="5">
        <f>IF(SalesData[[#This Row],[Contracts Offered]]=0,0,SalesData[[#This Row],[Contracts Signed]]/SalesData[[#This Row],[Contracts Offered]])</f>
        <v>0.22368421052631579</v>
      </c>
      <c r="AG2435" s="5">
        <f>IF(SalesData[[#This Row],[Customers Visited]]=0,0,SalesData[[#This Row],[Test Drives]]/SalesData[[#This Row],[Customers Visited]])</f>
        <v>0.48484848484848486</v>
      </c>
      <c r="AH2435" s="5">
        <f>IF(SalesData[[#This Row],[Customers Visited]]=0,0,SalesData[[#This Row],[Contracts Signed]]/SalesData[[#This Row],[Customers Visited]])</f>
        <v>7.3593073593073599E-2</v>
      </c>
      <c r="AI2435" s="6">
        <f>IF(SalesData[[#This Row],[Contracts Signed]]=0,0,SalesData[[#This Row],[Profit(€)]]/SalesData[[#This Row],[Contracts Signed]])</f>
        <v>2294</v>
      </c>
      <c r="AJ2435" s="5" t="str">
        <f>TRIM(CLEAN(SalesData[[#This Row],[Retailer]]))</f>
        <v>Main Auto Hub</v>
      </c>
    </row>
    <row r="2436" spans="1:36" ht="14.25" hidden="1" x14ac:dyDescent="0.2">
      <c r="A2436" t="s">
        <v>3509</v>
      </c>
      <c r="B2436" s="1">
        <v>46071</v>
      </c>
      <c r="C2436" t="s">
        <v>62</v>
      </c>
      <c r="D2436" t="s">
        <v>82</v>
      </c>
      <c r="E2436" t="s">
        <v>26</v>
      </c>
      <c r="F2436" t="s">
        <v>83</v>
      </c>
      <c r="G2436" t="s">
        <v>84</v>
      </c>
      <c r="H2436" t="s">
        <v>85</v>
      </c>
      <c r="I2436" t="s">
        <v>56</v>
      </c>
      <c r="J2436" t="s">
        <v>137</v>
      </c>
      <c r="K2436" t="s">
        <v>78</v>
      </c>
      <c r="L2436" t="s">
        <v>46</v>
      </c>
      <c r="M2436" t="s">
        <v>47</v>
      </c>
      <c r="N2436" t="s">
        <v>69</v>
      </c>
      <c r="O2436" t="s">
        <v>70</v>
      </c>
      <c r="P2436" t="s">
        <v>37</v>
      </c>
      <c r="Q2436" t="s">
        <v>79</v>
      </c>
      <c r="R2436">
        <v>311</v>
      </c>
      <c r="S2436">
        <v>160</v>
      </c>
      <c r="T2436">
        <v>116</v>
      </c>
      <c r="U2436">
        <v>30</v>
      </c>
      <c r="V2436" t="s">
        <v>729</v>
      </c>
      <c r="W2436">
        <v>40421</v>
      </c>
      <c r="X2436" t="s">
        <v>4006</v>
      </c>
      <c r="Y2436">
        <v>32306</v>
      </c>
      <c r="Z2436">
        <v>1212630</v>
      </c>
      <c r="AA2436">
        <v>243450</v>
      </c>
      <c r="AB2436" t="str">
        <f>(VLOOKUP(SalesData[[#This Row],[Month Number]],Reference!C$5:E$16,2,FALSE))</f>
        <v>Feb</v>
      </c>
      <c r="AC2436">
        <f>MONTH(SalesData[[#This Row],[Date]])</f>
        <v>2</v>
      </c>
      <c r="AD2436">
        <f>Reference!F$4</f>
        <v>2026</v>
      </c>
      <c r="AE2436" t="str">
        <f>IF(OR(SalesData[[#This Row],[Day]]="Saturday",SalesData[[#This Row],[Day]]="Sunday"),"Weekend","Weekday")</f>
        <v>Weekday</v>
      </c>
      <c r="AF2436" s="5">
        <f>IF(SalesData[[#This Row],[Contracts Offered]]=0,0,SalesData[[#This Row],[Contracts Signed]]/SalesData[[#This Row],[Contracts Offered]])</f>
        <v>0.25862068965517243</v>
      </c>
      <c r="AG2436" s="5">
        <f>IF(SalesData[[#This Row],[Customers Visited]]=0,0,SalesData[[#This Row],[Test Drives]]/SalesData[[#This Row],[Customers Visited]])</f>
        <v>0.51446945337620575</v>
      </c>
      <c r="AH2436" s="5">
        <f>IF(SalesData[[#This Row],[Customers Visited]]=0,0,SalesData[[#This Row],[Contracts Signed]]/SalesData[[#This Row],[Customers Visited]])</f>
        <v>9.6463022508038579E-2</v>
      </c>
      <c r="AI2436" s="6">
        <f>IF(SalesData[[#This Row],[Contracts Signed]]=0,0,SalesData[[#This Row],[Profit(€)]]/SalesData[[#This Row],[Contracts Signed]])</f>
        <v>8115</v>
      </c>
      <c r="AJ2436" s="5" t="str">
        <f>TRIM(CLEAN(SalesData[[#This Row],[Retailer]]))</f>
        <v>Hannover Cars</v>
      </c>
    </row>
    <row r="2437" spans="1:36" ht="14.25" hidden="1" x14ac:dyDescent="0.2">
      <c r="A2437" t="s">
        <v>3510</v>
      </c>
      <c r="B2437" s="1">
        <v>46061</v>
      </c>
      <c r="C2437" t="s">
        <v>121</v>
      </c>
      <c r="D2437" t="s">
        <v>41</v>
      </c>
      <c r="E2437" t="s">
        <v>42</v>
      </c>
      <c r="F2437" t="s">
        <v>27</v>
      </c>
      <c r="G2437" t="s">
        <v>28</v>
      </c>
      <c r="H2437" t="s">
        <v>29</v>
      </c>
      <c r="I2437" t="s">
        <v>64</v>
      </c>
      <c r="J2437" t="s">
        <v>77</v>
      </c>
      <c r="K2437" t="s">
        <v>78</v>
      </c>
      <c r="L2437" t="s">
        <v>46</v>
      </c>
      <c r="M2437" t="s">
        <v>34</v>
      </c>
      <c r="N2437" t="s">
        <v>69</v>
      </c>
      <c r="O2437" t="s">
        <v>70</v>
      </c>
      <c r="P2437" t="s">
        <v>37</v>
      </c>
      <c r="Q2437" t="s">
        <v>347</v>
      </c>
      <c r="R2437">
        <v>147</v>
      </c>
      <c r="S2437">
        <v>78</v>
      </c>
      <c r="T2437">
        <v>57</v>
      </c>
      <c r="U2437">
        <v>16</v>
      </c>
      <c r="V2437" t="s">
        <v>6690</v>
      </c>
      <c r="W2437">
        <v>51749</v>
      </c>
      <c r="X2437" t="s">
        <v>4696</v>
      </c>
      <c r="Y2437">
        <v>38929</v>
      </c>
      <c r="Z2437">
        <v>827984</v>
      </c>
      <c r="AA2437">
        <v>205120</v>
      </c>
      <c r="AB2437" t="str">
        <f>(VLOOKUP(SalesData[[#This Row],[Month Number]],Reference!C$5:E$16,2,FALSE))</f>
        <v>Feb</v>
      </c>
      <c r="AC2437">
        <f>MONTH(SalesData[[#This Row],[Date]])</f>
        <v>2</v>
      </c>
      <c r="AD2437">
        <f>Reference!F$4</f>
        <v>2026</v>
      </c>
      <c r="AE2437" t="str">
        <f>IF(OR(SalesData[[#This Row],[Day]]="Saturday",SalesData[[#This Row],[Day]]="Sunday"),"Weekend","Weekday")</f>
        <v>Weekend</v>
      </c>
      <c r="AF2437" s="5">
        <f>IF(SalesData[[#This Row],[Contracts Offered]]=0,0,SalesData[[#This Row],[Contracts Signed]]/SalesData[[#This Row],[Contracts Offered]])</f>
        <v>0.2807017543859649</v>
      </c>
      <c r="AG2437" s="5">
        <f>IF(SalesData[[#This Row],[Customers Visited]]=0,0,SalesData[[#This Row],[Test Drives]]/SalesData[[#This Row],[Customers Visited]])</f>
        <v>0.53061224489795922</v>
      </c>
      <c r="AH2437" s="5">
        <f>IF(SalesData[[#This Row],[Customers Visited]]=0,0,SalesData[[#This Row],[Contracts Signed]]/SalesData[[#This Row],[Customers Visited]])</f>
        <v>0.10884353741496598</v>
      </c>
      <c r="AI2437" s="6">
        <f>IF(SalesData[[#This Row],[Contracts Signed]]=0,0,SalesData[[#This Row],[Profit(€)]]/SalesData[[#This Row],[Contracts Signed]])</f>
        <v>12820</v>
      </c>
      <c r="AJ2437" s="5" t="str">
        <f>TRIM(CLEAN(SalesData[[#This Row],[Retailer]]))</f>
        <v>Main Auto Hub</v>
      </c>
    </row>
    <row r="2438" spans="1:36" ht="14.25" x14ac:dyDescent="0.2">
      <c r="A2438" t="s">
        <v>3511</v>
      </c>
      <c r="B2438" s="1">
        <v>46081</v>
      </c>
      <c r="C2438" t="s">
        <v>53</v>
      </c>
      <c r="D2438" t="s">
        <v>151</v>
      </c>
      <c r="E2438" t="s">
        <v>42</v>
      </c>
      <c r="F2438" t="s">
        <v>101</v>
      </c>
      <c r="G2438" t="s">
        <v>102</v>
      </c>
      <c r="H2438" t="s">
        <v>103</v>
      </c>
      <c r="I2438" t="s">
        <v>30</v>
      </c>
      <c r="J2438" t="s">
        <v>31</v>
      </c>
      <c r="K2438" t="s">
        <v>78</v>
      </c>
      <c r="L2438" t="s">
        <v>46</v>
      </c>
      <c r="M2438" t="s">
        <v>87</v>
      </c>
      <c r="N2438" t="s">
        <v>35</v>
      </c>
      <c r="O2438" t="s">
        <v>36</v>
      </c>
      <c r="P2438" t="s">
        <v>71</v>
      </c>
      <c r="Q2438" t="s">
        <v>118</v>
      </c>
      <c r="R2438">
        <v>169</v>
      </c>
      <c r="S2438">
        <v>102</v>
      </c>
      <c r="T2438">
        <v>78</v>
      </c>
      <c r="U2438">
        <v>30</v>
      </c>
      <c r="V2438" t="s">
        <v>6966</v>
      </c>
      <c r="W2438">
        <v>57562</v>
      </c>
      <c r="X2438" t="s">
        <v>7182</v>
      </c>
      <c r="Y2438">
        <v>44771</v>
      </c>
      <c r="Z2438">
        <v>1726860</v>
      </c>
      <c r="AA2438">
        <v>383730</v>
      </c>
      <c r="AB2438" t="str">
        <f>(VLOOKUP(SalesData[[#This Row],[Month Number]],Reference!C$5:E$16,2,FALSE))</f>
        <v>Feb</v>
      </c>
      <c r="AC2438">
        <f>MONTH(SalesData[[#This Row],[Date]])</f>
        <v>2</v>
      </c>
      <c r="AD2438">
        <f>Reference!F$4</f>
        <v>2026</v>
      </c>
      <c r="AE2438" t="str">
        <f>IF(OR(SalesData[[#This Row],[Day]]="Saturday",SalesData[[#This Row],[Day]]="Sunday"),"Weekend","Weekday")</f>
        <v>Weekend</v>
      </c>
      <c r="AF2438" s="5">
        <f>IF(SalesData[[#This Row],[Contracts Offered]]=0,0,SalesData[[#This Row],[Contracts Signed]]/SalesData[[#This Row],[Contracts Offered]])</f>
        <v>0.38461538461538464</v>
      </c>
      <c r="AG2438" s="5">
        <f>IF(SalesData[[#This Row],[Customers Visited]]=0,0,SalesData[[#This Row],[Test Drives]]/SalesData[[#This Row],[Customers Visited]])</f>
        <v>0.60355029585798814</v>
      </c>
      <c r="AH2438" s="5">
        <f>IF(SalesData[[#This Row],[Customers Visited]]=0,0,SalesData[[#This Row],[Contracts Signed]]/SalesData[[#This Row],[Customers Visited]])</f>
        <v>0.17751479289940827</v>
      </c>
      <c r="AI2438" s="6">
        <f>IF(SalesData[[#This Row],[Contracts Signed]]=0,0,SalesData[[#This Row],[Profit(€)]]/SalesData[[#This Row],[Contracts Signed]])</f>
        <v>12791</v>
      </c>
      <c r="AJ2438" s="5" t="str">
        <f>TRIM(CLEAN(SalesData[[#This Row],[Retailer]]))</f>
        <v>Ruhr Auto Plaza</v>
      </c>
    </row>
    <row r="2439" spans="1:36" ht="14.25" hidden="1" x14ac:dyDescent="0.2">
      <c r="A2439" t="s">
        <v>3512</v>
      </c>
      <c r="B2439" s="1">
        <v>46067</v>
      </c>
      <c r="C2439" t="s">
        <v>121</v>
      </c>
      <c r="D2439" t="s">
        <v>151</v>
      </c>
      <c r="E2439" t="s">
        <v>42</v>
      </c>
      <c r="F2439" t="s">
        <v>43</v>
      </c>
      <c r="G2439" t="s">
        <v>44</v>
      </c>
      <c r="H2439" t="s">
        <v>45</v>
      </c>
      <c r="I2439" t="s">
        <v>56</v>
      </c>
      <c r="J2439" t="s">
        <v>179</v>
      </c>
      <c r="K2439" t="s">
        <v>32</v>
      </c>
      <c r="L2439" t="s">
        <v>67</v>
      </c>
      <c r="M2439" t="s">
        <v>47</v>
      </c>
      <c r="N2439" t="s">
        <v>48</v>
      </c>
      <c r="O2439" t="s">
        <v>70</v>
      </c>
      <c r="P2439" t="s">
        <v>37</v>
      </c>
      <c r="Q2439" t="s">
        <v>347</v>
      </c>
      <c r="R2439">
        <v>184</v>
      </c>
      <c r="S2439">
        <v>110</v>
      </c>
      <c r="T2439">
        <v>77</v>
      </c>
      <c r="U2439">
        <v>20</v>
      </c>
      <c r="V2439" t="s">
        <v>752</v>
      </c>
      <c r="W2439">
        <v>45123</v>
      </c>
      <c r="X2439" t="s">
        <v>7225</v>
      </c>
      <c r="Y2439">
        <v>34634</v>
      </c>
      <c r="Z2439">
        <v>902460</v>
      </c>
      <c r="AA2439">
        <v>209780</v>
      </c>
      <c r="AB2439" t="str">
        <f>(VLOOKUP(SalesData[[#This Row],[Month Number]],Reference!C$5:E$16,2,FALSE))</f>
        <v>Feb</v>
      </c>
      <c r="AC2439">
        <f>MONTH(SalesData[[#This Row],[Date]])</f>
        <v>2</v>
      </c>
      <c r="AD2439">
        <f>Reference!F$4</f>
        <v>2026</v>
      </c>
      <c r="AE2439" t="str">
        <f>IF(OR(SalesData[[#This Row],[Day]]="Saturday",SalesData[[#This Row],[Day]]="Sunday"),"Weekend","Weekday")</f>
        <v>Weekend</v>
      </c>
      <c r="AF2439" s="5">
        <f>IF(SalesData[[#This Row],[Contracts Offered]]=0,0,SalesData[[#This Row],[Contracts Signed]]/SalesData[[#This Row],[Contracts Offered]])</f>
        <v>0.25974025974025972</v>
      </c>
      <c r="AG2439" s="5">
        <f>IF(SalesData[[#This Row],[Customers Visited]]=0,0,SalesData[[#This Row],[Test Drives]]/SalesData[[#This Row],[Customers Visited]])</f>
        <v>0.59782608695652173</v>
      </c>
      <c r="AH2439" s="5">
        <f>IF(SalesData[[#This Row],[Customers Visited]]=0,0,SalesData[[#This Row],[Contracts Signed]]/SalesData[[#This Row],[Customers Visited]])</f>
        <v>0.10869565217391304</v>
      </c>
      <c r="AI2439" s="6">
        <f>IF(SalesData[[#This Row],[Contracts Signed]]=0,0,SalesData[[#This Row],[Profit(€)]]/SalesData[[#This Row],[Contracts Signed]])</f>
        <v>10489</v>
      </c>
      <c r="AJ2439" s="5" t="str">
        <f>TRIM(CLEAN(SalesData[[#This Row],[Retailer]]))</f>
        <v>Saxon Wheels</v>
      </c>
    </row>
    <row r="2440" spans="1:36" ht="14.25" hidden="1" x14ac:dyDescent="0.2">
      <c r="A2440" t="s">
        <v>3514</v>
      </c>
      <c r="B2440" s="1">
        <v>46076</v>
      </c>
      <c r="C2440" t="s">
        <v>53</v>
      </c>
      <c r="D2440" t="s">
        <v>25</v>
      </c>
      <c r="E2440" t="s">
        <v>26</v>
      </c>
      <c r="F2440" t="s">
        <v>101</v>
      </c>
      <c r="G2440" t="s">
        <v>102</v>
      </c>
      <c r="H2440" t="s">
        <v>103</v>
      </c>
      <c r="I2440" t="s">
        <v>104</v>
      </c>
      <c r="J2440" t="s">
        <v>7061</v>
      </c>
      <c r="K2440" t="s">
        <v>66</v>
      </c>
      <c r="L2440" t="s">
        <v>46</v>
      </c>
      <c r="M2440" t="s">
        <v>68</v>
      </c>
      <c r="N2440" t="s">
        <v>69</v>
      </c>
      <c r="O2440" t="s">
        <v>70</v>
      </c>
      <c r="P2440" t="s">
        <v>58</v>
      </c>
      <c r="Q2440" t="s">
        <v>158</v>
      </c>
      <c r="R2440">
        <v>501</v>
      </c>
      <c r="S2440">
        <v>240</v>
      </c>
      <c r="T2440">
        <v>170</v>
      </c>
      <c r="U2440">
        <v>47</v>
      </c>
      <c r="V2440" t="s">
        <v>2503</v>
      </c>
      <c r="W2440">
        <v>34621</v>
      </c>
      <c r="X2440" t="s">
        <v>5854</v>
      </c>
      <c r="Y2440">
        <v>30191</v>
      </c>
      <c r="Z2440">
        <v>1627187</v>
      </c>
      <c r="AA2440">
        <v>208210</v>
      </c>
      <c r="AB2440" t="str">
        <f>(VLOOKUP(SalesData[[#This Row],[Month Number]],Reference!C$5:E$16,2,FALSE))</f>
        <v>Feb</v>
      </c>
      <c r="AC2440">
        <f>MONTH(SalesData[[#This Row],[Date]])</f>
        <v>2</v>
      </c>
      <c r="AD2440">
        <f>Reference!F$4</f>
        <v>2026</v>
      </c>
      <c r="AE2440" t="str">
        <f>IF(OR(SalesData[[#This Row],[Day]]="Saturday",SalesData[[#This Row],[Day]]="Sunday"),"Weekend","Weekday")</f>
        <v>Weekday</v>
      </c>
      <c r="AF2440" s="5">
        <f>IF(SalesData[[#This Row],[Contracts Offered]]=0,0,SalesData[[#This Row],[Contracts Signed]]/SalesData[[#This Row],[Contracts Offered]])</f>
        <v>0.27647058823529413</v>
      </c>
      <c r="AG2440" s="5">
        <f>IF(SalesData[[#This Row],[Customers Visited]]=0,0,SalesData[[#This Row],[Test Drives]]/SalesData[[#This Row],[Customers Visited]])</f>
        <v>0.47904191616766467</v>
      </c>
      <c r="AH2440" s="5">
        <f>IF(SalesData[[#This Row],[Customers Visited]]=0,0,SalesData[[#This Row],[Contracts Signed]]/SalesData[[#This Row],[Customers Visited]])</f>
        <v>9.3812375249500993E-2</v>
      </c>
      <c r="AI2440" s="6">
        <f>IF(SalesData[[#This Row],[Contracts Signed]]=0,0,SalesData[[#This Row],[Profit(€)]]/SalesData[[#This Row],[Contracts Signed]])</f>
        <v>4430</v>
      </c>
      <c r="AJ2440" s="5" t="str">
        <f>TRIM(CLEAN(SalesData[[#This Row],[Retailer]]))</f>
        <v>Ruhr Auto Plaza</v>
      </c>
    </row>
    <row r="2441" spans="1:36" ht="14.25" hidden="1" x14ac:dyDescent="0.2">
      <c r="A2441" t="s">
        <v>3516</v>
      </c>
      <c r="B2441" s="1">
        <v>46059</v>
      </c>
      <c r="C2441" t="s">
        <v>24</v>
      </c>
      <c r="D2441" t="s">
        <v>54</v>
      </c>
      <c r="E2441" t="s">
        <v>26</v>
      </c>
      <c r="F2441" t="s">
        <v>43</v>
      </c>
      <c r="G2441" t="s">
        <v>44</v>
      </c>
      <c r="H2441" t="s">
        <v>45</v>
      </c>
      <c r="I2441" t="s">
        <v>64</v>
      </c>
      <c r="J2441" t="s">
        <v>65</v>
      </c>
      <c r="K2441" t="s">
        <v>32</v>
      </c>
      <c r="L2441" t="s">
        <v>33</v>
      </c>
      <c r="M2441" t="s">
        <v>34</v>
      </c>
      <c r="N2441" t="s">
        <v>48</v>
      </c>
      <c r="O2441" t="s">
        <v>70</v>
      </c>
      <c r="P2441" t="s">
        <v>37</v>
      </c>
      <c r="Q2441" t="s">
        <v>38</v>
      </c>
      <c r="R2441">
        <v>204</v>
      </c>
      <c r="S2441">
        <v>92</v>
      </c>
      <c r="T2441">
        <v>61</v>
      </c>
      <c r="U2441">
        <v>22</v>
      </c>
      <c r="V2441" t="s">
        <v>6556</v>
      </c>
      <c r="W2441">
        <v>59268</v>
      </c>
      <c r="X2441" t="s">
        <v>5891</v>
      </c>
      <c r="Y2441">
        <v>43185</v>
      </c>
      <c r="Z2441">
        <v>1303896</v>
      </c>
      <c r="AA2441">
        <v>353826</v>
      </c>
      <c r="AB2441" t="str">
        <f>(VLOOKUP(SalesData[[#This Row],[Month Number]],Reference!C$5:E$16,2,FALSE))</f>
        <v>Feb</v>
      </c>
      <c r="AC2441">
        <f>MONTH(SalesData[[#This Row],[Date]])</f>
        <v>2</v>
      </c>
      <c r="AD2441">
        <f>Reference!F$4</f>
        <v>2026</v>
      </c>
      <c r="AE2441" t="str">
        <f>IF(OR(SalesData[[#This Row],[Day]]="Saturday",SalesData[[#This Row],[Day]]="Sunday"),"Weekend","Weekday")</f>
        <v>Weekday</v>
      </c>
      <c r="AF2441" s="5">
        <f>IF(SalesData[[#This Row],[Contracts Offered]]=0,0,SalesData[[#This Row],[Contracts Signed]]/SalesData[[#This Row],[Contracts Offered]])</f>
        <v>0.36065573770491804</v>
      </c>
      <c r="AG2441" s="5">
        <f>IF(SalesData[[#This Row],[Customers Visited]]=0,0,SalesData[[#This Row],[Test Drives]]/SalesData[[#This Row],[Customers Visited]])</f>
        <v>0.45098039215686275</v>
      </c>
      <c r="AH2441" s="5">
        <f>IF(SalesData[[#This Row],[Customers Visited]]=0,0,SalesData[[#This Row],[Contracts Signed]]/SalesData[[#This Row],[Customers Visited]])</f>
        <v>0.10784313725490197</v>
      </c>
      <c r="AI2441" s="6">
        <f>IF(SalesData[[#This Row],[Contracts Signed]]=0,0,SalesData[[#This Row],[Profit(€)]]/SalesData[[#This Row],[Contracts Signed]])</f>
        <v>16083</v>
      </c>
      <c r="AJ2441" s="5" t="str">
        <f>TRIM(CLEAN(SalesData[[#This Row],[Retailer]]))</f>
        <v>Saxon Wheels</v>
      </c>
    </row>
    <row r="2442" spans="1:36" ht="14.25" hidden="1" x14ac:dyDescent="0.2">
      <c r="A2442" t="s">
        <v>3517</v>
      </c>
      <c r="B2442" s="1">
        <v>46064</v>
      </c>
      <c r="C2442" t="s">
        <v>121</v>
      </c>
      <c r="D2442" t="s">
        <v>82</v>
      </c>
      <c r="E2442" t="s">
        <v>26</v>
      </c>
      <c r="F2442" t="s">
        <v>101</v>
      </c>
      <c r="G2442" t="s">
        <v>102</v>
      </c>
      <c r="H2442" t="s">
        <v>103</v>
      </c>
      <c r="I2442" t="s">
        <v>116</v>
      </c>
      <c r="J2442" t="s">
        <v>117</v>
      </c>
      <c r="K2442" t="s">
        <v>66</v>
      </c>
      <c r="L2442" t="s">
        <v>67</v>
      </c>
      <c r="M2442" t="s">
        <v>34</v>
      </c>
      <c r="N2442" t="s">
        <v>48</v>
      </c>
      <c r="O2442" t="s">
        <v>36</v>
      </c>
      <c r="P2442" t="s">
        <v>58</v>
      </c>
      <c r="Q2442" t="s">
        <v>172</v>
      </c>
      <c r="R2442">
        <v>320</v>
      </c>
      <c r="S2442">
        <v>135</v>
      </c>
      <c r="T2442">
        <v>88</v>
      </c>
      <c r="U2442">
        <v>26</v>
      </c>
      <c r="V2442" t="s">
        <v>4546</v>
      </c>
      <c r="W2442">
        <v>26554</v>
      </c>
      <c r="X2442" t="s">
        <v>1559</v>
      </c>
      <c r="Y2442">
        <v>24295</v>
      </c>
      <c r="Z2442">
        <v>690404</v>
      </c>
      <c r="AA2442">
        <v>58734</v>
      </c>
      <c r="AB2442" t="str">
        <f>(VLOOKUP(SalesData[[#This Row],[Month Number]],Reference!C$5:E$16,2,FALSE))</f>
        <v>Feb</v>
      </c>
      <c r="AC2442">
        <f>MONTH(SalesData[[#This Row],[Date]])</f>
        <v>2</v>
      </c>
      <c r="AD2442">
        <f>Reference!F$4</f>
        <v>2026</v>
      </c>
      <c r="AE2442" t="str">
        <f>IF(OR(SalesData[[#This Row],[Day]]="Saturday",SalesData[[#This Row],[Day]]="Sunday"),"Weekend","Weekday")</f>
        <v>Weekday</v>
      </c>
      <c r="AF2442" s="5">
        <f>IF(SalesData[[#This Row],[Contracts Offered]]=0,0,SalesData[[#This Row],[Contracts Signed]]/SalesData[[#This Row],[Contracts Offered]])</f>
        <v>0.29545454545454547</v>
      </c>
      <c r="AG2442" s="5">
        <f>IF(SalesData[[#This Row],[Customers Visited]]=0,0,SalesData[[#This Row],[Test Drives]]/SalesData[[#This Row],[Customers Visited]])</f>
        <v>0.421875</v>
      </c>
      <c r="AH2442" s="5">
        <f>IF(SalesData[[#This Row],[Customers Visited]]=0,0,SalesData[[#This Row],[Contracts Signed]]/SalesData[[#This Row],[Customers Visited]])</f>
        <v>8.1250000000000003E-2</v>
      </c>
      <c r="AI2442" s="6">
        <f>IF(SalesData[[#This Row],[Contracts Signed]]=0,0,SalesData[[#This Row],[Profit(€)]]/SalesData[[#This Row],[Contracts Signed]])</f>
        <v>2259</v>
      </c>
      <c r="AJ2442" s="5" t="str">
        <f>TRIM(CLEAN(SalesData[[#This Row],[Retailer]]))</f>
        <v>Ruhr Auto Plaza</v>
      </c>
    </row>
    <row r="2443" spans="1:36" ht="14.25" hidden="1" x14ac:dyDescent="0.2">
      <c r="A2443" t="s">
        <v>3518</v>
      </c>
      <c r="B2443" s="1">
        <v>46076</v>
      </c>
      <c r="C2443" t="s">
        <v>53</v>
      </c>
      <c r="D2443" t="s">
        <v>25</v>
      </c>
      <c r="E2443" t="s">
        <v>26</v>
      </c>
      <c r="F2443" t="s">
        <v>101</v>
      </c>
      <c r="G2443" t="s">
        <v>102</v>
      </c>
      <c r="H2443" t="s">
        <v>103</v>
      </c>
      <c r="I2443" t="s">
        <v>104</v>
      </c>
      <c r="J2443" t="s">
        <v>7061</v>
      </c>
      <c r="K2443" t="s">
        <v>32</v>
      </c>
      <c r="L2443" t="s">
        <v>46</v>
      </c>
      <c r="M2443" t="s">
        <v>87</v>
      </c>
      <c r="N2443" t="s">
        <v>48</v>
      </c>
      <c r="O2443" t="s">
        <v>36</v>
      </c>
      <c r="P2443" t="s">
        <v>58</v>
      </c>
      <c r="Q2443" t="s">
        <v>59</v>
      </c>
      <c r="R2443">
        <v>351</v>
      </c>
      <c r="S2443">
        <v>202</v>
      </c>
      <c r="T2443">
        <v>142</v>
      </c>
      <c r="U2443">
        <v>40</v>
      </c>
      <c r="V2443" t="s">
        <v>5718</v>
      </c>
      <c r="W2443">
        <v>31102</v>
      </c>
      <c r="X2443" t="s">
        <v>5545</v>
      </c>
      <c r="Y2443">
        <v>26972</v>
      </c>
      <c r="Z2443">
        <v>1244080</v>
      </c>
      <c r="AA2443">
        <v>165200</v>
      </c>
      <c r="AB2443" t="str">
        <f>(VLOOKUP(SalesData[[#This Row],[Month Number]],Reference!C$5:E$16,2,FALSE))</f>
        <v>Feb</v>
      </c>
      <c r="AC2443">
        <f>MONTH(SalesData[[#This Row],[Date]])</f>
        <v>2</v>
      </c>
      <c r="AD2443">
        <f>Reference!F$4</f>
        <v>2026</v>
      </c>
      <c r="AE2443" t="str">
        <f>IF(OR(SalesData[[#This Row],[Day]]="Saturday",SalesData[[#This Row],[Day]]="Sunday"),"Weekend","Weekday")</f>
        <v>Weekday</v>
      </c>
      <c r="AF2443" s="5">
        <f>IF(SalesData[[#This Row],[Contracts Offered]]=0,0,SalesData[[#This Row],[Contracts Signed]]/SalesData[[#This Row],[Contracts Offered]])</f>
        <v>0.28169014084507044</v>
      </c>
      <c r="AG2443" s="5">
        <f>IF(SalesData[[#This Row],[Customers Visited]]=0,0,SalesData[[#This Row],[Test Drives]]/SalesData[[#This Row],[Customers Visited]])</f>
        <v>0.57549857549857553</v>
      </c>
      <c r="AH2443" s="5">
        <f>IF(SalesData[[#This Row],[Customers Visited]]=0,0,SalesData[[#This Row],[Contracts Signed]]/SalesData[[#This Row],[Customers Visited]])</f>
        <v>0.11396011396011396</v>
      </c>
      <c r="AI2443" s="6">
        <f>IF(SalesData[[#This Row],[Contracts Signed]]=0,0,SalesData[[#This Row],[Profit(€)]]/SalesData[[#This Row],[Contracts Signed]])</f>
        <v>4130</v>
      </c>
      <c r="AJ2443" s="5" t="str">
        <f>TRIM(CLEAN(SalesData[[#This Row],[Retailer]]))</f>
        <v>Ruhr Auto Plaza</v>
      </c>
    </row>
    <row r="2444" spans="1:36" ht="14.25" hidden="1" x14ac:dyDescent="0.2">
      <c r="A2444" t="s">
        <v>3519</v>
      </c>
      <c r="B2444" s="1">
        <v>46077</v>
      </c>
      <c r="C2444" t="s">
        <v>53</v>
      </c>
      <c r="D2444" t="s">
        <v>63</v>
      </c>
      <c r="E2444" t="s">
        <v>26</v>
      </c>
      <c r="F2444" t="s">
        <v>127</v>
      </c>
      <c r="G2444" t="s">
        <v>128</v>
      </c>
      <c r="H2444" t="s">
        <v>103</v>
      </c>
      <c r="I2444" t="s">
        <v>116</v>
      </c>
      <c r="J2444" t="s">
        <v>203</v>
      </c>
      <c r="K2444" t="s">
        <v>66</v>
      </c>
      <c r="L2444" t="s">
        <v>67</v>
      </c>
      <c r="M2444" t="s">
        <v>47</v>
      </c>
      <c r="N2444" t="s">
        <v>69</v>
      </c>
      <c r="O2444" t="s">
        <v>36</v>
      </c>
      <c r="P2444" t="s">
        <v>49</v>
      </c>
      <c r="Q2444" t="s">
        <v>135</v>
      </c>
      <c r="R2444">
        <v>373</v>
      </c>
      <c r="S2444">
        <v>152</v>
      </c>
      <c r="T2444">
        <v>96</v>
      </c>
      <c r="U2444">
        <v>20</v>
      </c>
      <c r="V2444" t="s">
        <v>1919</v>
      </c>
      <c r="W2444">
        <v>25139</v>
      </c>
      <c r="X2444" t="s">
        <v>1614</v>
      </c>
      <c r="Y2444">
        <v>22673</v>
      </c>
      <c r="Z2444">
        <v>502780</v>
      </c>
      <c r="AA2444">
        <v>49320</v>
      </c>
      <c r="AB2444" t="str">
        <f>(VLOOKUP(SalesData[[#This Row],[Month Number]],Reference!C$5:E$16,2,FALSE))</f>
        <v>Feb</v>
      </c>
      <c r="AC2444">
        <f>MONTH(SalesData[[#This Row],[Date]])</f>
        <v>2</v>
      </c>
      <c r="AD2444">
        <f>Reference!F$4</f>
        <v>2026</v>
      </c>
      <c r="AE2444" t="str">
        <f>IF(OR(SalesData[[#This Row],[Day]]="Saturday",SalesData[[#This Row],[Day]]="Sunday"),"Weekend","Weekday")</f>
        <v>Weekday</v>
      </c>
      <c r="AF2444" s="5">
        <f>IF(SalesData[[#This Row],[Contracts Offered]]=0,0,SalesData[[#This Row],[Contracts Signed]]/SalesData[[#This Row],[Contracts Offered]])</f>
        <v>0.20833333333333334</v>
      </c>
      <c r="AG2444" s="5">
        <f>IF(SalesData[[#This Row],[Customers Visited]]=0,0,SalesData[[#This Row],[Test Drives]]/SalesData[[#This Row],[Customers Visited]])</f>
        <v>0.40750670241286863</v>
      </c>
      <c r="AH2444" s="5">
        <f>IF(SalesData[[#This Row],[Customers Visited]]=0,0,SalesData[[#This Row],[Contracts Signed]]/SalesData[[#This Row],[Customers Visited]])</f>
        <v>5.3619302949061663E-2</v>
      </c>
      <c r="AI2444" s="6">
        <f>IF(SalesData[[#This Row],[Contracts Signed]]=0,0,SalesData[[#This Row],[Profit(€)]]/SalesData[[#This Row],[Contracts Signed]])</f>
        <v>2466</v>
      </c>
      <c r="AJ2444" s="5" t="str">
        <f>TRIM(CLEAN(SalesData[[#This Row],[Retailer]]))</f>
        <v>Rhein Auto Group</v>
      </c>
    </row>
    <row r="2445" spans="1:36" ht="14.25" hidden="1" x14ac:dyDescent="0.2">
      <c r="A2445" t="s">
        <v>3520</v>
      </c>
      <c r="B2445" s="1">
        <v>46060</v>
      </c>
      <c r="C2445" t="s">
        <v>24</v>
      </c>
      <c r="D2445" t="s">
        <v>151</v>
      </c>
      <c r="E2445" t="s">
        <v>42</v>
      </c>
      <c r="F2445" t="s">
        <v>27</v>
      </c>
      <c r="G2445" t="s">
        <v>28</v>
      </c>
      <c r="H2445" t="s">
        <v>29</v>
      </c>
      <c r="I2445" t="s">
        <v>104</v>
      </c>
      <c r="J2445" t="s">
        <v>143</v>
      </c>
      <c r="K2445" t="s">
        <v>91</v>
      </c>
      <c r="L2445" t="s">
        <v>67</v>
      </c>
      <c r="M2445" t="s">
        <v>47</v>
      </c>
      <c r="N2445" t="s">
        <v>48</v>
      </c>
      <c r="O2445" t="s">
        <v>70</v>
      </c>
      <c r="P2445" t="s">
        <v>58</v>
      </c>
      <c r="Q2445" t="s">
        <v>189</v>
      </c>
      <c r="R2445">
        <v>289</v>
      </c>
      <c r="S2445">
        <v>151</v>
      </c>
      <c r="T2445">
        <v>90</v>
      </c>
      <c r="U2445">
        <v>27</v>
      </c>
      <c r="V2445" t="s">
        <v>2232</v>
      </c>
      <c r="W2445">
        <v>32451</v>
      </c>
      <c r="X2445" t="s">
        <v>847</v>
      </c>
      <c r="Y2445">
        <v>29152</v>
      </c>
      <c r="Z2445">
        <v>876177</v>
      </c>
      <c r="AA2445">
        <v>89073</v>
      </c>
      <c r="AB2445" t="str">
        <f>(VLOOKUP(SalesData[[#This Row],[Month Number]],Reference!C$5:E$16,2,FALSE))</f>
        <v>Feb</v>
      </c>
      <c r="AC2445">
        <f>MONTH(SalesData[[#This Row],[Date]])</f>
        <v>2</v>
      </c>
      <c r="AD2445">
        <f>Reference!F$4</f>
        <v>2026</v>
      </c>
      <c r="AE2445" t="str">
        <f>IF(OR(SalesData[[#This Row],[Day]]="Saturday",SalesData[[#This Row],[Day]]="Sunday"),"Weekend","Weekday")</f>
        <v>Weekend</v>
      </c>
      <c r="AF2445" s="5">
        <f>IF(SalesData[[#This Row],[Contracts Offered]]=0,0,SalesData[[#This Row],[Contracts Signed]]/SalesData[[#This Row],[Contracts Offered]])</f>
        <v>0.3</v>
      </c>
      <c r="AG2445" s="5">
        <f>IF(SalesData[[#This Row],[Customers Visited]]=0,0,SalesData[[#This Row],[Test Drives]]/SalesData[[#This Row],[Customers Visited]])</f>
        <v>0.52249134948096887</v>
      </c>
      <c r="AH2445" s="5">
        <f>IF(SalesData[[#This Row],[Customers Visited]]=0,0,SalesData[[#This Row],[Contracts Signed]]/SalesData[[#This Row],[Customers Visited]])</f>
        <v>9.3425605536332182E-2</v>
      </c>
      <c r="AI2445" s="6">
        <f>IF(SalesData[[#This Row],[Contracts Signed]]=0,0,SalesData[[#This Row],[Profit(€)]]/SalesData[[#This Row],[Contracts Signed]])</f>
        <v>3299</v>
      </c>
      <c r="AJ2445" s="5" t="str">
        <f>TRIM(CLEAN(SalesData[[#This Row],[Retailer]]))</f>
        <v>Main Auto Hub</v>
      </c>
    </row>
    <row r="2446" spans="1:36" ht="14.25" hidden="1" x14ac:dyDescent="0.2">
      <c r="A2446" t="s">
        <v>3521</v>
      </c>
      <c r="B2446" s="1">
        <v>46073</v>
      </c>
      <c r="C2446" t="s">
        <v>62</v>
      </c>
      <c r="D2446" t="s">
        <v>54</v>
      </c>
      <c r="E2446" t="s">
        <v>26</v>
      </c>
      <c r="F2446" t="s">
        <v>127</v>
      </c>
      <c r="G2446" t="s">
        <v>128</v>
      </c>
      <c r="H2446" t="s">
        <v>103</v>
      </c>
      <c r="I2446" t="s">
        <v>104</v>
      </c>
      <c r="J2446" t="s">
        <v>140</v>
      </c>
      <c r="K2446" t="s">
        <v>78</v>
      </c>
      <c r="L2446" t="s">
        <v>46</v>
      </c>
      <c r="M2446" t="s">
        <v>68</v>
      </c>
      <c r="N2446" t="s">
        <v>48</v>
      </c>
      <c r="O2446" t="s">
        <v>36</v>
      </c>
      <c r="P2446" t="s">
        <v>58</v>
      </c>
      <c r="Q2446" t="s">
        <v>204</v>
      </c>
      <c r="R2446">
        <v>422</v>
      </c>
      <c r="S2446">
        <v>183</v>
      </c>
      <c r="T2446">
        <v>114</v>
      </c>
      <c r="U2446">
        <v>33</v>
      </c>
      <c r="V2446" t="s">
        <v>335</v>
      </c>
      <c r="W2446">
        <v>34803</v>
      </c>
      <c r="X2446" t="s">
        <v>1780</v>
      </c>
      <c r="Y2446">
        <v>30496</v>
      </c>
      <c r="Z2446">
        <v>1148499</v>
      </c>
      <c r="AA2446">
        <v>142131</v>
      </c>
      <c r="AB2446" t="str">
        <f>(VLOOKUP(SalesData[[#This Row],[Month Number]],Reference!C$5:E$16,2,FALSE))</f>
        <v>Feb</v>
      </c>
      <c r="AC2446">
        <f>MONTH(SalesData[[#This Row],[Date]])</f>
        <v>2</v>
      </c>
      <c r="AD2446">
        <f>Reference!F$4</f>
        <v>2026</v>
      </c>
      <c r="AE2446" t="str">
        <f>IF(OR(SalesData[[#This Row],[Day]]="Saturday",SalesData[[#This Row],[Day]]="Sunday"),"Weekend","Weekday")</f>
        <v>Weekday</v>
      </c>
      <c r="AF2446" s="5">
        <f>IF(SalesData[[#This Row],[Contracts Offered]]=0,0,SalesData[[#This Row],[Contracts Signed]]/SalesData[[#This Row],[Contracts Offered]])</f>
        <v>0.28947368421052633</v>
      </c>
      <c r="AG2446" s="5">
        <f>IF(SalesData[[#This Row],[Customers Visited]]=0,0,SalesData[[#This Row],[Test Drives]]/SalesData[[#This Row],[Customers Visited]])</f>
        <v>0.43364928909952605</v>
      </c>
      <c r="AH2446" s="5">
        <f>IF(SalesData[[#This Row],[Customers Visited]]=0,0,SalesData[[#This Row],[Contracts Signed]]/SalesData[[#This Row],[Customers Visited]])</f>
        <v>7.8199052132701424E-2</v>
      </c>
      <c r="AI2446" s="6">
        <f>IF(SalesData[[#This Row],[Contracts Signed]]=0,0,SalesData[[#This Row],[Profit(€)]]/SalesData[[#This Row],[Contracts Signed]])</f>
        <v>4307</v>
      </c>
      <c r="AJ2446" s="5" t="str">
        <f>TRIM(CLEAN(SalesData[[#This Row],[Retailer]]))</f>
        <v>Rhein Auto Group</v>
      </c>
    </row>
    <row r="2447" spans="1:36" ht="14.25" hidden="1" x14ac:dyDescent="0.2">
      <c r="A2447" t="s">
        <v>3522</v>
      </c>
      <c r="B2447" s="1">
        <v>46069</v>
      </c>
      <c r="C2447" t="s">
        <v>62</v>
      </c>
      <c r="D2447" t="s">
        <v>25</v>
      </c>
      <c r="E2447" t="s">
        <v>26</v>
      </c>
      <c r="F2447" t="s">
        <v>83</v>
      </c>
      <c r="G2447" t="s">
        <v>84</v>
      </c>
      <c r="H2447" t="s">
        <v>85</v>
      </c>
      <c r="I2447" t="s">
        <v>104</v>
      </c>
      <c r="J2447" t="s">
        <v>7031</v>
      </c>
      <c r="K2447" t="s">
        <v>91</v>
      </c>
      <c r="L2447" t="s">
        <v>46</v>
      </c>
      <c r="M2447" t="s">
        <v>34</v>
      </c>
      <c r="N2447" t="s">
        <v>35</v>
      </c>
      <c r="O2447" t="s">
        <v>70</v>
      </c>
      <c r="P2447" t="s">
        <v>71</v>
      </c>
      <c r="Q2447" t="s">
        <v>347</v>
      </c>
      <c r="R2447">
        <v>419</v>
      </c>
      <c r="S2447">
        <v>169</v>
      </c>
      <c r="T2447">
        <v>120</v>
      </c>
      <c r="U2447">
        <v>30</v>
      </c>
      <c r="V2447" t="s">
        <v>3667</v>
      </c>
      <c r="W2447">
        <v>32644</v>
      </c>
      <c r="X2447" t="s">
        <v>1276</v>
      </c>
      <c r="Y2447">
        <v>28181</v>
      </c>
      <c r="Z2447">
        <v>979320</v>
      </c>
      <c r="AA2447">
        <v>133890</v>
      </c>
      <c r="AB2447" t="str">
        <f>(VLOOKUP(SalesData[[#This Row],[Month Number]],Reference!C$5:E$16,2,FALSE))</f>
        <v>Feb</v>
      </c>
      <c r="AC2447">
        <f>MONTH(SalesData[[#This Row],[Date]])</f>
        <v>2</v>
      </c>
      <c r="AD2447">
        <f>Reference!F$4</f>
        <v>2026</v>
      </c>
      <c r="AE2447" t="str">
        <f>IF(OR(SalesData[[#This Row],[Day]]="Saturday",SalesData[[#This Row],[Day]]="Sunday"),"Weekend","Weekday")</f>
        <v>Weekday</v>
      </c>
      <c r="AF2447" s="5">
        <f>IF(SalesData[[#This Row],[Contracts Offered]]=0,0,SalesData[[#This Row],[Contracts Signed]]/SalesData[[#This Row],[Contracts Offered]])</f>
        <v>0.25</v>
      </c>
      <c r="AG2447" s="5">
        <f>IF(SalesData[[#This Row],[Customers Visited]]=0,0,SalesData[[#This Row],[Test Drives]]/SalesData[[#This Row],[Customers Visited]])</f>
        <v>0.40334128878281622</v>
      </c>
      <c r="AH2447" s="5">
        <f>IF(SalesData[[#This Row],[Customers Visited]]=0,0,SalesData[[#This Row],[Contracts Signed]]/SalesData[[#This Row],[Customers Visited]])</f>
        <v>7.1599045346062054E-2</v>
      </c>
      <c r="AI2447" s="6">
        <f>IF(SalesData[[#This Row],[Contracts Signed]]=0,0,SalesData[[#This Row],[Profit(€)]]/SalesData[[#This Row],[Contracts Signed]])</f>
        <v>4463</v>
      </c>
      <c r="AJ2447" s="5" t="str">
        <f>TRIM(CLEAN(SalesData[[#This Row],[Retailer]]))</f>
        <v>Hannover Cars</v>
      </c>
    </row>
    <row r="2448" spans="1:36" ht="14.25" hidden="1" x14ac:dyDescent="0.2">
      <c r="A2448" t="s">
        <v>3523</v>
      </c>
      <c r="B2448" s="1">
        <v>46079</v>
      </c>
      <c r="C2448" t="s">
        <v>53</v>
      </c>
      <c r="D2448" t="s">
        <v>100</v>
      </c>
      <c r="E2448" t="s">
        <v>26</v>
      </c>
      <c r="F2448" t="s">
        <v>43</v>
      </c>
      <c r="G2448" t="s">
        <v>44</v>
      </c>
      <c r="H2448" t="s">
        <v>45</v>
      </c>
      <c r="I2448" t="s">
        <v>64</v>
      </c>
      <c r="J2448" t="s">
        <v>65</v>
      </c>
      <c r="K2448" t="s">
        <v>91</v>
      </c>
      <c r="L2448" t="s">
        <v>33</v>
      </c>
      <c r="M2448" t="s">
        <v>34</v>
      </c>
      <c r="N2448" t="s">
        <v>35</v>
      </c>
      <c r="O2448" t="s">
        <v>36</v>
      </c>
      <c r="P2448" t="s">
        <v>71</v>
      </c>
      <c r="Q2448" t="s">
        <v>38</v>
      </c>
      <c r="R2448">
        <v>206</v>
      </c>
      <c r="S2448">
        <v>122</v>
      </c>
      <c r="T2448">
        <v>84</v>
      </c>
      <c r="U2448">
        <v>33</v>
      </c>
      <c r="V2448" t="s">
        <v>7539</v>
      </c>
      <c r="W2448">
        <v>66834</v>
      </c>
      <c r="X2448" t="s">
        <v>5727</v>
      </c>
      <c r="Y2448">
        <v>49470</v>
      </c>
      <c r="Z2448">
        <v>2205522</v>
      </c>
      <c r="AA2448">
        <v>573012</v>
      </c>
      <c r="AB2448" t="str">
        <f>(VLOOKUP(SalesData[[#This Row],[Month Number]],Reference!C$5:E$16,2,FALSE))</f>
        <v>Feb</v>
      </c>
      <c r="AC2448">
        <f>MONTH(SalesData[[#This Row],[Date]])</f>
        <v>2</v>
      </c>
      <c r="AD2448">
        <f>Reference!F$4</f>
        <v>2026</v>
      </c>
      <c r="AE2448" t="str">
        <f>IF(OR(SalesData[[#This Row],[Day]]="Saturday",SalesData[[#This Row],[Day]]="Sunday"),"Weekend","Weekday")</f>
        <v>Weekday</v>
      </c>
      <c r="AF2448" s="5">
        <f>IF(SalesData[[#This Row],[Contracts Offered]]=0,0,SalesData[[#This Row],[Contracts Signed]]/SalesData[[#This Row],[Contracts Offered]])</f>
        <v>0.39285714285714285</v>
      </c>
      <c r="AG2448" s="5">
        <f>IF(SalesData[[#This Row],[Customers Visited]]=0,0,SalesData[[#This Row],[Test Drives]]/SalesData[[#This Row],[Customers Visited]])</f>
        <v>0.59223300970873782</v>
      </c>
      <c r="AH2448" s="5">
        <f>IF(SalesData[[#This Row],[Customers Visited]]=0,0,SalesData[[#This Row],[Contracts Signed]]/SalesData[[#This Row],[Customers Visited]])</f>
        <v>0.16019417475728157</v>
      </c>
      <c r="AI2448" s="6">
        <f>IF(SalesData[[#This Row],[Contracts Signed]]=0,0,SalesData[[#This Row],[Profit(€)]]/SalesData[[#This Row],[Contracts Signed]])</f>
        <v>17364</v>
      </c>
      <c r="AJ2448" s="5" t="str">
        <f>TRIM(CLEAN(SalesData[[#This Row],[Retailer]]))</f>
        <v>Saxon Wheels</v>
      </c>
    </row>
    <row r="2449" spans="1:36" ht="14.25" hidden="1" x14ac:dyDescent="0.2">
      <c r="A2449" t="s">
        <v>3524</v>
      </c>
      <c r="B2449" s="1">
        <v>46081</v>
      </c>
      <c r="C2449" t="s">
        <v>53</v>
      </c>
      <c r="D2449" t="s">
        <v>151</v>
      </c>
      <c r="E2449" t="s">
        <v>42</v>
      </c>
      <c r="F2449" t="s">
        <v>27</v>
      </c>
      <c r="G2449" t="s">
        <v>28</v>
      </c>
      <c r="H2449" t="s">
        <v>29</v>
      </c>
      <c r="I2449" t="s">
        <v>64</v>
      </c>
      <c r="J2449" t="s">
        <v>77</v>
      </c>
      <c r="K2449" t="s">
        <v>32</v>
      </c>
      <c r="L2449" t="s">
        <v>46</v>
      </c>
      <c r="M2449" t="s">
        <v>87</v>
      </c>
      <c r="N2449" t="s">
        <v>69</v>
      </c>
      <c r="O2449" t="s">
        <v>70</v>
      </c>
      <c r="P2449" t="s">
        <v>49</v>
      </c>
      <c r="Q2449" t="s">
        <v>347</v>
      </c>
      <c r="R2449">
        <v>173</v>
      </c>
      <c r="S2449">
        <v>103</v>
      </c>
      <c r="T2449">
        <v>72</v>
      </c>
      <c r="U2449">
        <v>20</v>
      </c>
      <c r="V2449" t="s">
        <v>3532</v>
      </c>
      <c r="W2449">
        <v>70202</v>
      </c>
      <c r="X2449" t="s">
        <v>2142</v>
      </c>
      <c r="Y2449">
        <v>55241</v>
      </c>
      <c r="Z2449">
        <v>1404040</v>
      </c>
      <c r="AA2449">
        <v>299220</v>
      </c>
      <c r="AB2449" t="str">
        <f>(VLOOKUP(SalesData[[#This Row],[Month Number]],Reference!C$5:E$16,2,FALSE))</f>
        <v>Feb</v>
      </c>
      <c r="AC2449">
        <f>MONTH(SalesData[[#This Row],[Date]])</f>
        <v>2</v>
      </c>
      <c r="AD2449">
        <f>Reference!F$4</f>
        <v>2026</v>
      </c>
      <c r="AE2449" t="str">
        <f>IF(OR(SalesData[[#This Row],[Day]]="Saturday",SalesData[[#This Row],[Day]]="Sunday"),"Weekend","Weekday")</f>
        <v>Weekend</v>
      </c>
      <c r="AF2449" s="5">
        <f>IF(SalesData[[#This Row],[Contracts Offered]]=0,0,SalesData[[#This Row],[Contracts Signed]]/SalesData[[#This Row],[Contracts Offered]])</f>
        <v>0.27777777777777779</v>
      </c>
      <c r="AG2449" s="5">
        <f>IF(SalesData[[#This Row],[Customers Visited]]=0,0,SalesData[[#This Row],[Test Drives]]/SalesData[[#This Row],[Customers Visited]])</f>
        <v>0.59537572254335258</v>
      </c>
      <c r="AH2449" s="5">
        <f>IF(SalesData[[#This Row],[Customers Visited]]=0,0,SalesData[[#This Row],[Contracts Signed]]/SalesData[[#This Row],[Customers Visited]])</f>
        <v>0.11560693641618497</v>
      </c>
      <c r="AI2449" s="6">
        <f>IF(SalesData[[#This Row],[Contracts Signed]]=0,0,SalesData[[#This Row],[Profit(€)]]/SalesData[[#This Row],[Contracts Signed]])</f>
        <v>14961</v>
      </c>
      <c r="AJ2449" s="5" t="str">
        <f>TRIM(CLEAN(SalesData[[#This Row],[Retailer]]))</f>
        <v>Main Auto Hub</v>
      </c>
    </row>
    <row r="2450" spans="1:36" ht="14.25" hidden="1" x14ac:dyDescent="0.2">
      <c r="A2450" t="s">
        <v>3525</v>
      </c>
      <c r="B2450" s="1">
        <v>46070</v>
      </c>
      <c r="C2450" t="s">
        <v>62</v>
      </c>
      <c r="D2450" t="s">
        <v>63</v>
      </c>
      <c r="E2450" t="s">
        <v>26</v>
      </c>
      <c r="F2450" t="s">
        <v>74</v>
      </c>
      <c r="G2450" t="s">
        <v>75</v>
      </c>
      <c r="H2450" t="s">
        <v>76</v>
      </c>
      <c r="I2450" t="s">
        <v>56</v>
      </c>
      <c r="J2450" t="s">
        <v>7028</v>
      </c>
      <c r="K2450" t="s">
        <v>32</v>
      </c>
      <c r="L2450" t="s">
        <v>46</v>
      </c>
      <c r="M2450" t="s">
        <v>68</v>
      </c>
      <c r="N2450" t="s">
        <v>48</v>
      </c>
      <c r="O2450" t="s">
        <v>36</v>
      </c>
      <c r="P2450" t="s">
        <v>49</v>
      </c>
      <c r="Q2450" t="s">
        <v>118</v>
      </c>
      <c r="R2450">
        <v>310</v>
      </c>
      <c r="S2450">
        <v>166</v>
      </c>
      <c r="T2450">
        <v>127</v>
      </c>
      <c r="U2450">
        <v>39</v>
      </c>
      <c r="V2450" t="s">
        <v>6345</v>
      </c>
      <c r="W2450">
        <v>42210</v>
      </c>
      <c r="X2450" t="s">
        <v>7231</v>
      </c>
      <c r="Y2450">
        <v>31828</v>
      </c>
      <c r="Z2450">
        <v>1646190</v>
      </c>
      <c r="AA2450">
        <v>404898</v>
      </c>
      <c r="AB2450" t="str">
        <f>(VLOOKUP(SalesData[[#This Row],[Month Number]],Reference!C$5:E$16,2,FALSE))</f>
        <v>Feb</v>
      </c>
      <c r="AC2450">
        <f>MONTH(SalesData[[#This Row],[Date]])</f>
        <v>2</v>
      </c>
      <c r="AD2450">
        <f>Reference!F$4</f>
        <v>2026</v>
      </c>
      <c r="AE2450" t="str">
        <f>IF(OR(SalesData[[#This Row],[Day]]="Saturday",SalesData[[#This Row],[Day]]="Sunday"),"Weekend","Weekday")</f>
        <v>Weekday</v>
      </c>
      <c r="AF2450" s="5">
        <f>IF(SalesData[[#This Row],[Contracts Offered]]=0,0,SalesData[[#This Row],[Contracts Signed]]/SalesData[[#This Row],[Contracts Offered]])</f>
        <v>0.30708661417322836</v>
      </c>
      <c r="AG2450" s="5">
        <f>IF(SalesData[[#This Row],[Customers Visited]]=0,0,SalesData[[#This Row],[Test Drives]]/SalesData[[#This Row],[Customers Visited]])</f>
        <v>0.53548387096774197</v>
      </c>
      <c r="AH2450" s="5">
        <f>IF(SalesData[[#This Row],[Customers Visited]]=0,0,SalesData[[#This Row],[Contracts Signed]]/SalesData[[#This Row],[Customers Visited]])</f>
        <v>0.12580645161290321</v>
      </c>
      <c r="AI2450" s="6">
        <f>IF(SalesData[[#This Row],[Contracts Signed]]=0,0,SalesData[[#This Row],[Profit(€)]]/SalesData[[#This Row],[Contracts Signed]])</f>
        <v>10382</v>
      </c>
      <c r="AJ2450" s="5" t="str">
        <f>TRIM(CLEAN(SalesData[[#This Row],[Retailer]]))</f>
        <v>Stuttgart Auto Center</v>
      </c>
    </row>
    <row r="2451" spans="1:36" ht="14.25" hidden="1" x14ac:dyDescent="0.2">
      <c r="A2451" t="s">
        <v>3527</v>
      </c>
      <c r="B2451" s="1">
        <v>46081</v>
      </c>
      <c r="C2451" t="s">
        <v>53</v>
      </c>
      <c r="D2451" t="s">
        <v>151</v>
      </c>
      <c r="E2451" t="s">
        <v>42</v>
      </c>
      <c r="F2451" t="s">
        <v>27</v>
      </c>
      <c r="G2451" t="s">
        <v>28</v>
      </c>
      <c r="H2451" t="s">
        <v>29</v>
      </c>
      <c r="I2451" t="s">
        <v>116</v>
      </c>
      <c r="J2451" t="s">
        <v>7026</v>
      </c>
      <c r="K2451" t="s">
        <v>91</v>
      </c>
      <c r="L2451" t="s">
        <v>46</v>
      </c>
      <c r="M2451" t="s">
        <v>87</v>
      </c>
      <c r="N2451" t="s">
        <v>69</v>
      </c>
      <c r="O2451" t="s">
        <v>70</v>
      </c>
      <c r="P2451" t="s">
        <v>49</v>
      </c>
      <c r="Q2451" t="s">
        <v>129</v>
      </c>
      <c r="R2451">
        <v>262</v>
      </c>
      <c r="S2451">
        <v>140</v>
      </c>
      <c r="T2451">
        <v>85</v>
      </c>
      <c r="U2451">
        <v>20</v>
      </c>
      <c r="V2451" t="s">
        <v>527</v>
      </c>
      <c r="W2451">
        <v>23684</v>
      </c>
      <c r="X2451" t="s">
        <v>4039</v>
      </c>
      <c r="Y2451">
        <v>21800</v>
      </c>
      <c r="Z2451">
        <v>473680</v>
      </c>
      <c r="AA2451">
        <v>37680</v>
      </c>
      <c r="AB2451" t="str">
        <f>(VLOOKUP(SalesData[[#This Row],[Month Number]],Reference!C$5:E$16,2,FALSE))</f>
        <v>Feb</v>
      </c>
      <c r="AC2451">
        <f>MONTH(SalesData[[#This Row],[Date]])</f>
        <v>2</v>
      </c>
      <c r="AD2451">
        <f>Reference!F$4</f>
        <v>2026</v>
      </c>
      <c r="AE2451" t="str">
        <f>IF(OR(SalesData[[#This Row],[Day]]="Saturday",SalesData[[#This Row],[Day]]="Sunday"),"Weekend","Weekday")</f>
        <v>Weekend</v>
      </c>
      <c r="AF2451" s="5">
        <f>IF(SalesData[[#This Row],[Contracts Offered]]=0,0,SalesData[[#This Row],[Contracts Signed]]/SalesData[[#This Row],[Contracts Offered]])</f>
        <v>0.23529411764705882</v>
      </c>
      <c r="AG2451" s="5">
        <f>IF(SalesData[[#This Row],[Customers Visited]]=0,0,SalesData[[#This Row],[Test Drives]]/SalesData[[#This Row],[Customers Visited]])</f>
        <v>0.53435114503816794</v>
      </c>
      <c r="AH2451" s="5">
        <f>IF(SalesData[[#This Row],[Customers Visited]]=0,0,SalesData[[#This Row],[Contracts Signed]]/SalesData[[#This Row],[Customers Visited]])</f>
        <v>7.6335877862595422E-2</v>
      </c>
      <c r="AI2451" s="6">
        <f>IF(SalesData[[#This Row],[Contracts Signed]]=0,0,SalesData[[#This Row],[Profit(€)]]/SalesData[[#This Row],[Contracts Signed]])</f>
        <v>1884</v>
      </c>
      <c r="AJ2451" s="5" t="str">
        <f>TRIM(CLEAN(SalesData[[#This Row],[Retailer]]))</f>
        <v>Main Auto Hub</v>
      </c>
    </row>
    <row r="2452" spans="1:36" ht="14.25" hidden="1" x14ac:dyDescent="0.2">
      <c r="A2452" t="s">
        <v>3528</v>
      </c>
      <c r="B2452" s="1">
        <v>46068</v>
      </c>
      <c r="C2452" t="s">
        <v>62</v>
      </c>
      <c r="D2452" t="s">
        <v>41</v>
      </c>
      <c r="E2452" t="s">
        <v>42</v>
      </c>
      <c r="F2452" t="s">
        <v>101</v>
      </c>
      <c r="G2452" t="s">
        <v>102</v>
      </c>
      <c r="H2452" t="s">
        <v>103</v>
      </c>
      <c r="I2452" t="s">
        <v>56</v>
      </c>
      <c r="J2452" t="s">
        <v>57</v>
      </c>
      <c r="K2452" t="s">
        <v>78</v>
      </c>
      <c r="L2452" t="s">
        <v>46</v>
      </c>
      <c r="M2452" t="s">
        <v>87</v>
      </c>
      <c r="N2452" t="s">
        <v>48</v>
      </c>
      <c r="O2452" t="s">
        <v>36</v>
      </c>
      <c r="P2452" t="s">
        <v>58</v>
      </c>
      <c r="Q2452" t="s">
        <v>59</v>
      </c>
      <c r="R2452">
        <v>302</v>
      </c>
      <c r="S2452">
        <v>179</v>
      </c>
      <c r="T2452">
        <v>116</v>
      </c>
      <c r="U2452">
        <v>48</v>
      </c>
      <c r="V2452" t="s">
        <v>7009</v>
      </c>
      <c r="W2452">
        <v>46700</v>
      </c>
      <c r="X2452" t="s">
        <v>7527</v>
      </c>
      <c r="Y2452">
        <v>36829</v>
      </c>
      <c r="Z2452">
        <v>2241600</v>
      </c>
      <c r="AA2452">
        <v>473808</v>
      </c>
      <c r="AB2452" t="str">
        <f>(VLOOKUP(SalesData[[#This Row],[Month Number]],Reference!C$5:E$16,2,FALSE))</f>
        <v>Feb</v>
      </c>
      <c r="AC2452">
        <f>MONTH(SalesData[[#This Row],[Date]])</f>
        <v>2</v>
      </c>
      <c r="AD2452">
        <f>Reference!F$4</f>
        <v>2026</v>
      </c>
      <c r="AE2452" t="str">
        <f>IF(OR(SalesData[[#This Row],[Day]]="Saturday",SalesData[[#This Row],[Day]]="Sunday"),"Weekend","Weekday")</f>
        <v>Weekend</v>
      </c>
      <c r="AF2452" s="5">
        <f>IF(SalesData[[#This Row],[Contracts Offered]]=0,0,SalesData[[#This Row],[Contracts Signed]]/SalesData[[#This Row],[Contracts Offered]])</f>
        <v>0.41379310344827586</v>
      </c>
      <c r="AG2452" s="5">
        <f>IF(SalesData[[#This Row],[Customers Visited]]=0,0,SalesData[[#This Row],[Test Drives]]/SalesData[[#This Row],[Customers Visited]])</f>
        <v>0.5927152317880795</v>
      </c>
      <c r="AH2452" s="5">
        <f>IF(SalesData[[#This Row],[Customers Visited]]=0,0,SalesData[[#This Row],[Contracts Signed]]/SalesData[[#This Row],[Customers Visited]])</f>
        <v>0.15894039735099338</v>
      </c>
      <c r="AI2452" s="6">
        <f>IF(SalesData[[#This Row],[Contracts Signed]]=0,0,SalesData[[#This Row],[Profit(€)]]/SalesData[[#This Row],[Contracts Signed]])</f>
        <v>9871</v>
      </c>
      <c r="AJ2452" s="5" t="str">
        <f>TRIM(CLEAN(SalesData[[#This Row],[Retailer]]))</f>
        <v>Ruhr Auto Plaza</v>
      </c>
    </row>
    <row r="2453" spans="1:36" ht="14.25" hidden="1" x14ac:dyDescent="0.2">
      <c r="A2453" t="s">
        <v>3529</v>
      </c>
      <c r="B2453" s="1">
        <v>46055</v>
      </c>
      <c r="C2453" t="s">
        <v>24</v>
      </c>
      <c r="D2453" t="s">
        <v>25</v>
      </c>
      <c r="E2453" t="s">
        <v>26</v>
      </c>
      <c r="F2453" t="s">
        <v>43</v>
      </c>
      <c r="G2453" t="s">
        <v>44</v>
      </c>
      <c r="H2453" t="s">
        <v>45</v>
      </c>
      <c r="I2453" t="s">
        <v>64</v>
      </c>
      <c r="J2453" t="s">
        <v>7029</v>
      </c>
      <c r="K2453" t="s">
        <v>66</v>
      </c>
      <c r="L2453" t="s">
        <v>33</v>
      </c>
      <c r="M2453" t="s">
        <v>68</v>
      </c>
      <c r="N2453" t="s">
        <v>69</v>
      </c>
      <c r="O2453" t="s">
        <v>36</v>
      </c>
      <c r="P2453" t="s">
        <v>49</v>
      </c>
      <c r="Q2453" t="s">
        <v>118</v>
      </c>
      <c r="R2453">
        <v>285</v>
      </c>
      <c r="S2453">
        <v>150</v>
      </c>
      <c r="T2453">
        <v>114</v>
      </c>
      <c r="U2453">
        <v>32</v>
      </c>
      <c r="V2453" t="s">
        <v>6423</v>
      </c>
      <c r="W2453">
        <v>50637</v>
      </c>
      <c r="X2453" t="s">
        <v>3211</v>
      </c>
      <c r="Y2453">
        <v>36853</v>
      </c>
      <c r="Z2453">
        <v>1620384</v>
      </c>
      <c r="AA2453">
        <v>441088</v>
      </c>
      <c r="AB2453" t="str">
        <f>(VLOOKUP(SalesData[[#This Row],[Month Number]],Reference!C$5:E$16,2,FALSE))</f>
        <v>Feb</v>
      </c>
      <c r="AC2453">
        <f>MONTH(SalesData[[#This Row],[Date]])</f>
        <v>2</v>
      </c>
      <c r="AD2453">
        <f>Reference!F$4</f>
        <v>2026</v>
      </c>
      <c r="AE2453" t="str">
        <f>IF(OR(SalesData[[#This Row],[Day]]="Saturday",SalesData[[#This Row],[Day]]="Sunday"),"Weekend","Weekday")</f>
        <v>Weekday</v>
      </c>
      <c r="AF2453" s="5">
        <f>IF(SalesData[[#This Row],[Contracts Offered]]=0,0,SalesData[[#This Row],[Contracts Signed]]/SalesData[[#This Row],[Contracts Offered]])</f>
        <v>0.2807017543859649</v>
      </c>
      <c r="AG2453" s="5">
        <f>IF(SalesData[[#This Row],[Customers Visited]]=0,0,SalesData[[#This Row],[Test Drives]]/SalesData[[#This Row],[Customers Visited]])</f>
        <v>0.52631578947368418</v>
      </c>
      <c r="AH2453" s="5">
        <f>IF(SalesData[[#This Row],[Customers Visited]]=0,0,SalesData[[#This Row],[Contracts Signed]]/SalesData[[#This Row],[Customers Visited]])</f>
        <v>0.11228070175438597</v>
      </c>
      <c r="AI2453" s="6">
        <f>IF(SalesData[[#This Row],[Contracts Signed]]=0,0,SalesData[[#This Row],[Profit(€)]]/SalesData[[#This Row],[Contracts Signed]])</f>
        <v>13784</v>
      </c>
      <c r="AJ2453" s="5" t="str">
        <f>TRIM(CLEAN(SalesData[[#This Row],[Retailer]]))</f>
        <v>Saxon Wheels</v>
      </c>
    </row>
    <row r="2454" spans="1:36" ht="14.25" hidden="1" x14ac:dyDescent="0.2">
      <c r="A2454" t="s">
        <v>3530</v>
      </c>
      <c r="B2454" s="1">
        <v>46068</v>
      </c>
      <c r="C2454" t="s">
        <v>62</v>
      </c>
      <c r="D2454" t="s">
        <v>41</v>
      </c>
      <c r="E2454" t="s">
        <v>42</v>
      </c>
      <c r="F2454" t="s">
        <v>74</v>
      </c>
      <c r="G2454" t="s">
        <v>75</v>
      </c>
      <c r="H2454" t="s">
        <v>76</v>
      </c>
      <c r="I2454" t="s">
        <v>104</v>
      </c>
      <c r="J2454" t="s">
        <v>140</v>
      </c>
      <c r="K2454" t="s">
        <v>91</v>
      </c>
      <c r="L2454" t="s">
        <v>46</v>
      </c>
      <c r="M2454" t="s">
        <v>34</v>
      </c>
      <c r="N2454" t="s">
        <v>35</v>
      </c>
      <c r="O2454" t="s">
        <v>70</v>
      </c>
      <c r="P2454" t="s">
        <v>49</v>
      </c>
      <c r="Q2454" t="s">
        <v>347</v>
      </c>
      <c r="R2454">
        <v>379</v>
      </c>
      <c r="S2454">
        <v>168</v>
      </c>
      <c r="T2454">
        <v>112</v>
      </c>
      <c r="U2454">
        <v>21</v>
      </c>
      <c r="V2454" t="s">
        <v>265</v>
      </c>
      <c r="W2454">
        <v>32751</v>
      </c>
      <c r="X2454" t="s">
        <v>4948</v>
      </c>
      <c r="Y2454">
        <v>28885</v>
      </c>
      <c r="Z2454">
        <v>687771</v>
      </c>
      <c r="AA2454">
        <v>81186</v>
      </c>
      <c r="AB2454" t="str">
        <f>(VLOOKUP(SalesData[[#This Row],[Month Number]],Reference!C$5:E$16,2,FALSE))</f>
        <v>Feb</v>
      </c>
      <c r="AC2454">
        <f>MONTH(SalesData[[#This Row],[Date]])</f>
        <v>2</v>
      </c>
      <c r="AD2454">
        <f>Reference!F$4</f>
        <v>2026</v>
      </c>
      <c r="AE2454" t="str">
        <f>IF(OR(SalesData[[#This Row],[Day]]="Saturday",SalesData[[#This Row],[Day]]="Sunday"),"Weekend","Weekday")</f>
        <v>Weekend</v>
      </c>
      <c r="AF2454" s="5">
        <f>IF(SalesData[[#This Row],[Contracts Offered]]=0,0,SalesData[[#This Row],[Contracts Signed]]/SalesData[[#This Row],[Contracts Offered]])</f>
        <v>0.1875</v>
      </c>
      <c r="AG2454" s="5">
        <f>IF(SalesData[[#This Row],[Customers Visited]]=0,0,SalesData[[#This Row],[Test Drives]]/SalesData[[#This Row],[Customers Visited]])</f>
        <v>0.44327176781002636</v>
      </c>
      <c r="AH2454" s="5">
        <f>IF(SalesData[[#This Row],[Customers Visited]]=0,0,SalesData[[#This Row],[Contracts Signed]]/SalesData[[#This Row],[Customers Visited]])</f>
        <v>5.5408970976253295E-2</v>
      </c>
      <c r="AI2454" s="6">
        <f>IF(SalesData[[#This Row],[Contracts Signed]]=0,0,SalesData[[#This Row],[Profit(€)]]/SalesData[[#This Row],[Contracts Signed]])</f>
        <v>3866</v>
      </c>
      <c r="AJ2454" s="5" t="str">
        <f>TRIM(CLEAN(SalesData[[#This Row],[Retailer]]))</f>
        <v>Stuttgart Auto Center</v>
      </c>
    </row>
    <row r="2455" spans="1:36" ht="14.25" x14ac:dyDescent="0.2">
      <c r="A2455" t="s">
        <v>3531</v>
      </c>
      <c r="B2455" s="1">
        <v>46070</v>
      </c>
      <c r="C2455" t="s">
        <v>62</v>
      </c>
      <c r="D2455" t="s">
        <v>63</v>
      </c>
      <c r="E2455" t="s">
        <v>26</v>
      </c>
      <c r="F2455" t="s">
        <v>127</v>
      </c>
      <c r="G2455" t="s">
        <v>128</v>
      </c>
      <c r="H2455" t="s">
        <v>103</v>
      </c>
      <c r="I2455" t="s">
        <v>30</v>
      </c>
      <c r="J2455" t="s">
        <v>188</v>
      </c>
      <c r="K2455" t="s">
        <v>66</v>
      </c>
      <c r="L2455" t="s">
        <v>33</v>
      </c>
      <c r="M2455" t="s">
        <v>34</v>
      </c>
      <c r="N2455" t="s">
        <v>69</v>
      </c>
      <c r="O2455" t="s">
        <v>70</v>
      </c>
      <c r="P2455" t="s">
        <v>58</v>
      </c>
      <c r="Q2455" t="s">
        <v>204</v>
      </c>
      <c r="R2455">
        <v>203</v>
      </c>
      <c r="S2455">
        <v>110</v>
      </c>
      <c r="T2455">
        <v>89</v>
      </c>
      <c r="U2455">
        <v>31</v>
      </c>
      <c r="V2455" t="s">
        <v>6530</v>
      </c>
      <c r="W2455">
        <v>62846</v>
      </c>
      <c r="X2455" t="s">
        <v>7279</v>
      </c>
      <c r="Y2455">
        <v>47772</v>
      </c>
      <c r="Z2455">
        <v>1948226</v>
      </c>
      <c r="AA2455">
        <v>467294</v>
      </c>
      <c r="AB2455" t="str">
        <f>(VLOOKUP(SalesData[[#This Row],[Month Number]],Reference!C$5:E$16,2,FALSE))</f>
        <v>Feb</v>
      </c>
      <c r="AC2455">
        <f>MONTH(SalesData[[#This Row],[Date]])</f>
        <v>2</v>
      </c>
      <c r="AD2455">
        <f>Reference!F$4</f>
        <v>2026</v>
      </c>
      <c r="AE2455" t="str">
        <f>IF(OR(SalesData[[#This Row],[Day]]="Saturday",SalesData[[#This Row],[Day]]="Sunday"),"Weekend","Weekday")</f>
        <v>Weekday</v>
      </c>
      <c r="AF2455" s="5">
        <f>IF(SalesData[[#This Row],[Contracts Offered]]=0,0,SalesData[[#This Row],[Contracts Signed]]/SalesData[[#This Row],[Contracts Offered]])</f>
        <v>0.34831460674157305</v>
      </c>
      <c r="AG2455" s="5">
        <f>IF(SalesData[[#This Row],[Customers Visited]]=0,0,SalesData[[#This Row],[Test Drives]]/SalesData[[#This Row],[Customers Visited]])</f>
        <v>0.54187192118226601</v>
      </c>
      <c r="AH2455" s="5">
        <f>IF(SalesData[[#This Row],[Customers Visited]]=0,0,SalesData[[#This Row],[Contracts Signed]]/SalesData[[#This Row],[Customers Visited]])</f>
        <v>0.15270935960591134</v>
      </c>
      <c r="AI2455" s="6">
        <f>IF(SalesData[[#This Row],[Contracts Signed]]=0,0,SalesData[[#This Row],[Profit(€)]]/SalesData[[#This Row],[Contracts Signed]])</f>
        <v>15074</v>
      </c>
      <c r="AJ2455" s="5" t="str">
        <f>TRIM(CLEAN(SalesData[[#This Row],[Retailer]]))</f>
        <v>Rhein Auto Group</v>
      </c>
    </row>
    <row r="2456" spans="1:36" ht="14.25" hidden="1" x14ac:dyDescent="0.2">
      <c r="A2456" t="s">
        <v>3533</v>
      </c>
      <c r="B2456" s="1">
        <v>46056</v>
      </c>
      <c r="C2456" t="s">
        <v>24</v>
      </c>
      <c r="D2456" t="s">
        <v>63</v>
      </c>
      <c r="E2456" t="s">
        <v>26</v>
      </c>
      <c r="F2456" t="s">
        <v>83</v>
      </c>
      <c r="G2456" t="s">
        <v>84</v>
      </c>
      <c r="H2456" t="s">
        <v>85</v>
      </c>
      <c r="I2456" t="s">
        <v>56</v>
      </c>
      <c r="J2456" t="s">
        <v>57</v>
      </c>
      <c r="K2456" t="s">
        <v>91</v>
      </c>
      <c r="L2456" t="s">
        <v>46</v>
      </c>
      <c r="M2456" t="s">
        <v>34</v>
      </c>
      <c r="N2456" t="s">
        <v>35</v>
      </c>
      <c r="O2456" t="s">
        <v>70</v>
      </c>
      <c r="P2456" t="s">
        <v>37</v>
      </c>
      <c r="Q2456" t="s">
        <v>144</v>
      </c>
      <c r="R2456">
        <v>246</v>
      </c>
      <c r="S2456">
        <v>124</v>
      </c>
      <c r="T2456">
        <v>82</v>
      </c>
      <c r="U2456">
        <v>29</v>
      </c>
      <c r="V2456" t="s">
        <v>6841</v>
      </c>
      <c r="W2456">
        <v>50836</v>
      </c>
      <c r="X2456" t="s">
        <v>7362</v>
      </c>
      <c r="Y2456">
        <v>39760</v>
      </c>
      <c r="Z2456">
        <v>1474244</v>
      </c>
      <c r="AA2456">
        <v>321204</v>
      </c>
      <c r="AB2456" t="str">
        <f>(VLOOKUP(SalesData[[#This Row],[Month Number]],Reference!C$5:E$16,2,FALSE))</f>
        <v>Feb</v>
      </c>
      <c r="AC2456">
        <f>MONTH(SalesData[[#This Row],[Date]])</f>
        <v>2</v>
      </c>
      <c r="AD2456">
        <f>Reference!F$4</f>
        <v>2026</v>
      </c>
      <c r="AE2456" t="str">
        <f>IF(OR(SalesData[[#This Row],[Day]]="Saturday",SalesData[[#This Row],[Day]]="Sunday"),"Weekend","Weekday")</f>
        <v>Weekday</v>
      </c>
      <c r="AF2456" s="5">
        <f>IF(SalesData[[#This Row],[Contracts Offered]]=0,0,SalesData[[#This Row],[Contracts Signed]]/SalesData[[#This Row],[Contracts Offered]])</f>
        <v>0.35365853658536583</v>
      </c>
      <c r="AG2456" s="5">
        <f>IF(SalesData[[#This Row],[Customers Visited]]=0,0,SalesData[[#This Row],[Test Drives]]/SalesData[[#This Row],[Customers Visited]])</f>
        <v>0.50406504065040647</v>
      </c>
      <c r="AH2456" s="5">
        <f>IF(SalesData[[#This Row],[Customers Visited]]=0,0,SalesData[[#This Row],[Contracts Signed]]/SalesData[[#This Row],[Customers Visited]])</f>
        <v>0.11788617886178862</v>
      </c>
      <c r="AI2456" s="6">
        <f>IF(SalesData[[#This Row],[Contracts Signed]]=0,0,SalesData[[#This Row],[Profit(€)]]/SalesData[[#This Row],[Contracts Signed]])</f>
        <v>11076</v>
      </c>
      <c r="AJ2456" s="5" t="str">
        <f>TRIM(CLEAN(SalesData[[#This Row],[Retailer]]))</f>
        <v>Hannover Cars</v>
      </c>
    </row>
    <row r="2457" spans="1:36" ht="14.25" hidden="1" x14ac:dyDescent="0.2">
      <c r="A2457" t="s">
        <v>3534</v>
      </c>
      <c r="B2457" s="1">
        <v>46074</v>
      </c>
      <c r="C2457" t="s">
        <v>62</v>
      </c>
      <c r="D2457" t="s">
        <v>151</v>
      </c>
      <c r="E2457" t="s">
        <v>42</v>
      </c>
      <c r="F2457" t="s">
        <v>83</v>
      </c>
      <c r="G2457" t="s">
        <v>84</v>
      </c>
      <c r="H2457" t="s">
        <v>85</v>
      </c>
      <c r="I2457" t="s">
        <v>104</v>
      </c>
      <c r="J2457" t="s">
        <v>7031</v>
      </c>
      <c r="K2457" t="s">
        <v>91</v>
      </c>
      <c r="L2457" t="s">
        <v>46</v>
      </c>
      <c r="M2457" t="s">
        <v>47</v>
      </c>
      <c r="N2457" t="s">
        <v>48</v>
      </c>
      <c r="O2457" t="s">
        <v>70</v>
      </c>
      <c r="P2457" t="s">
        <v>49</v>
      </c>
      <c r="Q2457" t="s">
        <v>347</v>
      </c>
      <c r="R2457">
        <v>361</v>
      </c>
      <c r="S2457">
        <v>170</v>
      </c>
      <c r="T2457">
        <v>112</v>
      </c>
      <c r="U2457">
        <v>26</v>
      </c>
      <c r="V2457" t="s">
        <v>1628</v>
      </c>
      <c r="W2457">
        <v>25684</v>
      </c>
      <c r="X2457" t="s">
        <v>847</v>
      </c>
      <c r="Y2457">
        <v>22925</v>
      </c>
      <c r="Z2457">
        <v>667784</v>
      </c>
      <c r="AA2457">
        <v>71734</v>
      </c>
      <c r="AB2457" t="str">
        <f>(VLOOKUP(SalesData[[#This Row],[Month Number]],Reference!C$5:E$16,2,FALSE))</f>
        <v>Feb</v>
      </c>
      <c r="AC2457">
        <f>MONTH(SalesData[[#This Row],[Date]])</f>
        <v>2</v>
      </c>
      <c r="AD2457">
        <f>Reference!F$4</f>
        <v>2026</v>
      </c>
      <c r="AE2457" t="str">
        <f>IF(OR(SalesData[[#This Row],[Day]]="Saturday",SalesData[[#This Row],[Day]]="Sunday"),"Weekend","Weekday")</f>
        <v>Weekend</v>
      </c>
      <c r="AF2457" s="5">
        <f>IF(SalesData[[#This Row],[Contracts Offered]]=0,0,SalesData[[#This Row],[Contracts Signed]]/SalesData[[#This Row],[Contracts Offered]])</f>
        <v>0.23214285714285715</v>
      </c>
      <c r="AG2457" s="5">
        <f>IF(SalesData[[#This Row],[Customers Visited]]=0,0,SalesData[[#This Row],[Test Drives]]/SalesData[[#This Row],[Customers Visited]])</f>
        <v>0.47091412742382271</v>
      </c>
      <c r="AH2457" s="5">
        <f>IF(SalesData[[#This Row],[Customers Visited]]=0,0,SalesData[[#This Row],[Contracts Signed]]/SalesData[[#This Row],[Customers Visited]])</f>
        <v>7.2022160664819951E-2</v>
      </c>
      <c r="AI2457" s="6">
        <f>IF(SalesData[[#This Row],[Contracts Signed]]=0,0,SalesData[[#This Row],[Profit(€)]]/SalesData[[#This Row],[Contracts Signed]])</f>
        <v>2759</v>
      </c>
      <c r="AJ2457" s="5" t="str">
        <f>TRIM(CLEAN(SalesData[[#This Row],[Retailer]]))</f>
        <v>Hannover Cars</v>
      </c>
    </row>
    <row r="2458" spans="1:36" ht="14.25" hidden="1" x14ac:dyDescent="0.2">
      <c r="A2458" t="s">
        <v>3536</v>
      </c>
      <c r="B2458" s="1">
        <v>46075</v>
      </c>
      <c r="C2458" t="s">
        <v>53</v>
      </c>
      <c r="D2458" t="s">
        <v>41</v>
      </c>
      <c r="E2458" t="s">
        <v>42</v>
      </c>
      <c r="F2458" t="s">
        <v>27</v>
      </c>
      <c r="G2458" t="s">
        <v>28</v>
      </c>
      <c r="H2458" t="s">
        <v>29</v>
      </c>
      <c r="I2458" t="s">
        <v>116</v>
      </c>
      <c r="J2458" t="s">
        <v>7026</v>
      </c>
      <c r="K2458" t="s">
        <v>32</v>
      </c>
      <c r="L2458" t="s">
        <v>46</v>
      </c>
      <c r="M2458" t="s">
        <v>34</v>
      </c>
      <c r="N2458" t="s">
        <v>35</v>
      </c>
      <c r="O2458" t="s">
        <v>36</v>
      </c>
      <c r="P2458" t="s">
        <v>49</v>
      </c>
      <c r="Q2458" t="s">
        <v>158</v>
      </c>
      <c r="R2458">
        <v>275</v>
      </c>
      <c r="S2458">
        <v>107</v>
      </c>
      <c r="T2458">
        <v>66</v>
      </c>
      <c r="U2458">
        <v>13</v>
      </c>
      <c r="V2458" t="s">
        <v>1000</v>
      </c>
      <c r="W2458">
        <v>23840</v>
      </c>
      <c r="X2458" t="s">
        <v>155</v>
      </c>
      <c r="Y2458">
        <v>21635</v>
      </c>
      <c r="Z2458">
        <v>309920</v>
      </c>
      <c r="AA2458">
        <v>28665</v>
      </c>
      <c r="AB2458" t="str">
        <f>(VLOOKUP(SalesData[[#This Row],[Month Number]],Reference!C$5:E$16,2,FALSE))</f>
        <v>Feb</v>
      </c>
      <c r="AC2458">
        <f>MONTH(SalesData[[#This Row],[Date]])</f>
        <v>2</v>
      </c>
      <c r="AD2458">
        <f>Reference!F$4</f>
        <v>2026</v>
      </c>
      <c r="AE2458" t="str">
        <f>IF(OR(SalesData[[#This Row],[Day]]="Saturday",SalesData[[#This Row],[Day]]="Sunday"),"Weekend","Weekday")</f>
        <v>Weekend</v>
      </c>
      <c r="AF2458" s="5">
        <f>IF(SalesData[[#This Row],[Contracts Offered]]=0,0,SalesData[[#This Row],[Contracts Signed]]/SalesData[[#This Row],[Contracts Offered]])</f>
        <v>0.19696969696969696</v>
      </c>
      <c r="AG2458" s="5">
        <f>IF(SalesData[[#This Row],[Customers Visited]]=0,0,SalesData[[#This Row],[Test Drives]]/SalesData[[#This Row],[Customers Visited]])</f>
        <v>0.3890909090909091</v>
      </c>
      <c r="AH2458" s="5">
        <f>IF(SalesData[[#This Row],[Customers Visited]]=0,0,SalesData[[#This Row],[Contracts Signed]]/SalesData[[#This Row],[Customers Visited]])</f>
        <v>4.7272727272727272E-2</v>
      </c>
      <c r="AI2458" s="6">
        <f>IF(SalesData[[#This Row],[Contracts Signed]]=0,0,SalesData[[#This Row],[Profit(€)]]/SalesData[[#This Row],[Contracts Signed]])</f>
        <v>2205</v>
      </c>
      <c r="AJ2458" s="5" t="str">
        <f>TRIM(CLEAN(SalesData[[#This Row],[Retailer]]))</f>
        <v>Main Auto Hub</v>
      </c>
    </row>
    <row r="2459" spans="1:36" ht="14.25" x14ac:dyDescent="0.2">
      <c r="A2459" t="s">
        <v>3537</v>
      </c>
      <c r="B2459" s="1">
        <v>46072</v>
      </c>
      <c r="C2459" t="s">
        <v>62</v>
      </c>
      <c r="D2459" t="s">
        <v>100</v>
      </c>
      <c r="E2459" t="s">
        <v>26</v>
      </c>
      <c r="F2459" t="s">
        <v>7649</v>
      </c>
      <c r="G2459" t="s">
        <v>55</v>
      </c>
      <c r="H2459" t="s">
        <v>55</v>
      </c>
      <c r="I2459" t="s">
        <v>30</v>
      </c>
      <c r="J2459" t="s">
        <v>86</v>
      </c>
      <c r="K2459" t="s">
        <v>78</v>
      </c>
      <c r="L2459" t="s">
        <v>33</v>
      </c>
      <c r="M2459" t="s">
        <v>47</v>
      </c>
      <c r="N2459" t="s">
        <v>48</v>
      </c>
      <c r="O2459" t="s">
        <v>36</v>
      </c>
      <c r="P2459" t="s">
        <v>58</v>
      </c>
      <c r="Q2459" t="s">
        <v>189</v>
      </c>
      <c r="R2459">
        <v>195</v>
      </c>
      <c r="S2459">
        <v>111</v>
      </c>
      <c r="T2459">
        <v>87</v>
      </c>
      <c r="U2459">
        <v>37</v>
      </c>
      <c r="V2459" t="s">
        <v>7206</v>
      </c>
      <c r="W2459">
        <v>65093</v>
      </c>
      <c r="X2459" t="s">
        <v>7273</v>
      </c>
      <c r="Y2459">
        <v>50276</v>
      </c>
      <c r="Z2459">
        <v>2408441</v>
      </c>
      <c r="AA2459">
        <v>548229</v>
      </c>
      <c r="AB2459" t="str">
        <f>(VLOOKUP(SalesData[[#This Row],[Month Number]],Reference!C$5:E$16,2,FALSE))</f>
        <v>Feb</v>
      </c>
      <c r="AC2459">
        <f>MONTH(SalesData[[#This Row],[Date]])</f>
        <v>2</v>
      </c>
      <c r="AD2459">
        <f>Reference!F$4</f>
        <v>2026</v>
      </c>
      <c r="AE2459" t="str">
        <f>IF(OR(SalesData[[#This Row],[Day]]="Saturday",SalesData[[#This Row],[Day]]="Sunday"),"Weekend","Weekday")</f>
        <v>Weekday</v>
      </c>
      <c r="AF2459" s="5">
        <f>IF(SalesData[[#This Row],[Contracts Offered]]=0,0,SalesData[[#This Row],[Contracts Signed]]/SalesData[[#This Row],[Contracts Offered]])</f>
        <v>0.42528735632183906</v>
      </c>
      <c r="AG2459" s="5">
        <f>IF(SalesData[[#This Row],[Customers Visited]]=0,0,SalesData[[#This Row],[Test Drives]]/SalesData[[#This Row],[Customers Visited]])</f>
        <v>0.56923076923076921</v>
      </c>
      <c r="AH2459" s="5">
        <f>IF(SalesData[[#This Row],[Customers Visited]]=0,0,SalesData[[#This Row],[Contracts Signed]]/SalesData[[#This Row],[Customers Visited]])</f>
        <v>0.18974358974358974</v>
      </c>
      <c r="AI2459" s="6">
        <f>IF(SalesData[[#This Row],[Contracts Signed]]=0,0,SalesData[[#This Row],[Profit(€)]]/SalesData[[#This Row],[Contracts Signed]])</f>
        <v>14817</v>
      </c>
      <c r="AJ2459" s="5" t="str">
        <f>TRIM(CLEAN(SalesData[[#This Row],[Retailer]]))</f>
        <v>Autohaus Berlin</v>
      </c>
    </row>
    <row r="2460" spans="1:36" ht="14.25" hidden="1" x14ac:dyDescent="0.2">
      <c r="A2460" t="s">
        <v>3538</v>
      </c>
      <c r="B2460" s="1">
        <v>46077</v>
      </c>
      <c r="C2460" t="s">
        <v>53</v>
      </c>
      <c r="D2460" t="s">
        <v>63</v>
      </c>
      <c r="E2460" t="s">
        <v>26</v>
      </c>
      <c r="F2460" t="s">
        <v>127</v>
      </c>
      <c r="G2460" t="s">
        <v>128</v>
      </c>
      <c r="H2460" t="s">
        <v>103</v>
      </c>
      <c r="I2460" t="s">
        <v>116</v>
      </c>
      <c r="J2460" t="s">
        <v>7026</v>
      </c>
      <c r="K2460" t="s">
        <v>78</v>
      </c>
      <c r="L2460" t="s">
        <v>46</v>
      </c>
      <c r="M2460" t="s">
        <v>68</v>
      </c>
      <c r="N2460" t="s">
        <v>69</v>
      </c>
      <c r="O2460" t="s">
        <v>70</v>
      </c>
      <c r="P2460" t="s">
        <v>58</v>
      </c>
      <c r="Q2460" t="s">
        <v>172</v>
      </c>
      <c r="R2460">
        <v>342</v>
      </c>
      <c r="S2460">
        <v>171</v>
      </c>
      <c r="T2460">
        <v>116</v>
      </c>
      <c r="U2460">
        <v>35</v>
      </c>
      <c r="V2460" t="s">
        <v>6913</v>
      </c>
      <c r="W2460">
        <v>26092</v>
      </c>
      <c r="X2460" t="s">
        <v>3891</v>
      </c>
      <c r="Y2460">
        <v>23921</v>
      </c>
      <c r="Z2460">
        <v>913220</v>
      </c>
      <c r="AA2460">
        <v>75985</v>
      </c>
      <c r="AB2460" t="str">
        <f>(VLOOKUP(SalesData[[#This Row],[Month Number]],Reference!C$5:E$16,2,FALSE))</f>
        <v>Feb</v>
      </c>
      <c r="AC2460">
        <f>MONTH(SalesData[[#This Row],[Date]])</f>
        <v>2</v>
      </c>
      <c r="AD2460">
        <f>Reference!F$4</f>
        <v>2026</v>
      </c>
      <c r="AE2460" t="str">
        <f>IF(OR(SalesData[[#This Row],[Day]]="Saturday",SalesData[[#This Row],[Day]]="Sunday"),"Weekend","Weekday")</f>
        <v>Weekday</v>
      </c>
      <c r="AF2460" s="5">
        <f>IF(SalesData[[#This Row],[Contracts Offered]]=0,0,SalesData[[#This Row],[Contracts Signed]]/SalesData[[#This Row],[Contracts Offered]])</f>
        <v>0.30172413793103448</v>
      </c>
      <c r="AG2460" s="5">
        <f>IF(SalesData[[#This Row],[Customers Visited]]=0,0,SalesData[[#This Row],[Test Drives]]/SalesData[[#This Row],[Customers Visited]])</f>
        <v>0.5</v>
      </c>
      <c r="AH2460" s="5">
        <f>IF(SalesData[[#This Row],[Customers Visited]]=0,0,SalesData[[#This Row],[Contracts Signed]]/SalesData[[#This Row],[Customers Visited]])</f>
        <v>0.1023391812865497</v>
      </c>
      <c r="AI2460" s="6">
        <f>IF(SalesData[[#This Row],[Contracts Signed]]=0,0,SalesData[[#This Row],[Profit(€)]]/SalesData[[#This Row],[Contracts Signed]])</f>
        <v>2171</v>
      </c>
      <c r="AJ2460" s="5" t="str">
        <f>TRIM(CLEAN(SalesData[[#This Row],[Retailer]]))</f>
        <v>Rhein Auto Group</v>
      </c>
    </row>
    <row r="2461" spans="1:36" ht="14.25" hidden="1" x14ac:dyDescent="0.2">
      <c r="A2461" t="s">
        <v>3540</v>
      </c>
      <c r="B2461" s="1">
        <v>46069</v>
      </c>
      <c r="C2461" t="s">
        <v>62</v>
      </c>
      <c r="D2461" t="s">
        <v>25</v>
      </c>
      <c r="E2461" t="s">
        <v>26</v>
      </c>
      <c r="F2461" t="s">
        <v>127</v>
      </c>
      <c r="G2461" t="s">
        <v>128</v>
      </c>
      <c r="H2461" t="s">
        <v>103</v>
      </c>
      <c r="I2461" t="s">
        <v>104</v>
      </c>
      <c r="J2461" t="s">
        <v>7061</v>
      </c>
      <c r="K2461" t="s">
        <v>32</v>
      </c>
      <c r="L2461" t="s">
        <v>46</v>
      </c>
      <c r="M2461" t="s">
        <v>34</v>
      </c>
      <c r="N2461" t="s">
        <v>69</v>
      </c>
      <c r="O2461" t="s">
        <v>70</v>
      </c>
      <c r="P2461" t="s">
        <v>37</v>
      </c>
      <c r="Q2461" t="s">
        <v>152</v>
      </c>
      <c r="R2461">
        <v>503</v>
      </c>
      <c r="S2461">
        <v>280</v>
      </c>
      <c r="T2461">
        <v>181</v>
      </c>
      <c r="U2461">
        <v>38</v>
      </c>
      <c r="V2461" t="s">
        <v>3726</v>
      </c>
      <c r="W2461">
        <v>30308</v>
      </c>
      <c r="X2461" t="s">
        <v>1052</v>
      </c>
      <c r="Y2461">
        <v>26408</v>
      </c>
      <c r="Z2461">
        <v>1151704</v>
      </c>
      <c r="AA2461">
        <v>148200</v>
      </c>
      <c r="AB2461" t="str">
        <f>(VLOOKUP(SalesData[[#This Row],[Month Number]],Reference!C$5:E$16,2,FALSE))</f>
        <v>Feb</v>
      </c>
      <c r="AC2461">
        <f>MONTH(SalesData[[#This Row],[Date]])</f>
        <v>2</v>
      </c>
      <c r="AD2461">
        <f>Reference!F$4</f>
        <v>2026</v>
      </c>
      <c r="AE2461" t="str">
        <f>IF(OR(SalesData[[#This Row],[Day]]="Saturday",SalesData[[#This Row],[Day]]="Sunday"),"Weekend","Weekday")</f>
        <v>Weekday</v>
      </c>
      <c r="AF2461" s="5">
        <f>IF(SalesData[[#This Row],[Contracts Offered]]=0,0,SalesData[[#This Row],[Contracts Signed]]/SalesData[[#This Row],[Contracts Offered]])</f>
        <v>0.20994475138121546</v>
      </c>
      <c r="AG2461" s="5">
        <f>IF(SalesData[[#This Row],[Customers Visited]]=0,0,SalesData[[#This Row],[Test Drives]]/SalesData[[#This Row],[Customers Visited]])</f>
        <v>0.55666003976143141</v>
      </c>
      <c r="AH2461" s="5">
        <f>IF(SalesData[[#This Row],[Customers Visited]]=0,0,SalesData[[#This Row],[Contracts Signed]]/SalesData[[#This Row],[Customers Visited]])</f>
        <v>7.5546719681908542E-2</v>
      </c>
      <c r="AI2461" s="6">
        <f>IF(SalesData[[#This Row],[Contracts Signed]]=0,0,SalesData[[#This Row],[Profit(€)]]/SalesData[[#This Row],[Contracts Signed]])</f>
        <v>3900</v>
      </c>
      <c r="AJ2461" s="5" t="str">
        <f>TRIM(CLEAN(SalesData[[#This Row],[Retailer]]))</f>
        <v>Rhein Auto Group</v>
      </c>
    </row>
    <row r="2462" spans="1:36" ht="14.25" hidden="1" x14ac:dyDescent="0.2">
      <c r="A2462" t="s">
        <v>3541</v>
      </c>
      <c r="B2462" s="1">
        <v>46065</v>
      </c>
      <c r="C2462" t="s">
        <v>121</v>
      </c>
      <c r="D2462" t="s">
        <v>100</v>
      </c>
      <c r="E2462" t="s">
        <v>26</v>
      </c>
      <c r="F2462" t="s">
        <v>43</v>
      </c>
      <c r="G2462" t="s">
        <v>44</v>
      </c>
      <c r="H2462" t="s">
        <v>45</v>
      </c>
      <c r="I2462" t="s">
        <v>116</v>
      </c>
      <c r="J2462" t="s">
        <v>7090</v>
      </c>
      <c r="K2462" t="s">
        <v>32</v>
      </c>
      <c r="L2462" t="s">
        <v>46</v>
      </c>
      <c r="M2462" t="s">
        <v>87</v>
      </c>
      <c r="N2462" t="s">
        <v>69</v>
      </c>
      <c r="O2462" t="s">
        <v>36</v>
      </c>
      <c r="P2462" t="s">
        <v>49</v>
      </c>
      <c r="Q2462" t="s">
        <v>169</v>
      </c>
      <c r="R2462">
        <v>379</v>
      </c>
      <c r="S2462">
        <v>170</v>
      </c>
      <c r="T2462">
        <v>109</v>
      </c>
      <c r="U2462">
        <v>19</v>
      </c>
      <c r="V2462" t="s">
        <v>2706</v>
      </c>
      <c r="W2462">
        <v>22786</v>
      </c>
      <c r="X2462" t="s">
        <v>7379</v>
      </c>
      <c r="Y2462">
        <v>20321</v>
      </c>
      <c r="Z2462">
        <v>432934</v>
      </c>
      <c r="AA2462">
        <v>46835</v>
      </c>
      <c r="AB2462" t="str">
        <f>(VLOOKUP(SalesData[[#This Row],[Month Number]],Reference!C$5:E$16,2,FALSE))</f>
        <v>Feb</v>
      </c>
      <c r="AC2462">
        <f>MONTH(SalesData[[#This Row],[Date]])</f>
        <v>2</v>
      </c>
      <c r="AD2462">
        <f>Reference!F$4</f>
        <v>2026</v>
      </c>
      <c r="AE2462" t="str">
        <f>IF(OR(SalesData[[#This Row],[Day]]="Saturday",SalesData[[#This Row],[Day]]="Sunday"),"Weekend","Weekday")</f>
        <v>Weekday</v>
      </c>
      <c r="AF2462" s="5">
        <f>IF(SalesData[[#This Row],[Contracts Offered]]=0,0,SalesData[[#This Row],[Contracts Signed]]/SalesData[[#This Row],[Contracts Offered]])</f>
        <v>0.1743119266055046</v>
      </c>
      <c r="AG2462" s="5">
        <f>IF(SalesData[[#This Row],[Customers Visited]]=0,0,SalesData[[#This Row],[Test Drives]]/SalesData[[#This Row],[Customers Visited]])</f>
        <v>0.44854881266490765</v>
      </c>
      <c r="AH2462" s="5">
        <f>IF(SalesData[[#This Row],[Customers Visited]]=0,0,SalesData[[#This Row],[Contracts Signed]]/SalesData[[#This Row],[Customers Visited]])</f>
        <v>5.0131926121372031E-2</v>
      </c>
      <c r="AI2462" s="6">
        <f>IF(SalesData[[#This Row],[Contracts Signed]]=0,0,SalesData[[#This Row],[Profit(€)]]/SalesData[[#This Row],[Contracts Signed]])</f>
        <v>2465</v>
      </c>
      <c r="AJ2462" s="5" t="str">
        <f>TRIM(CLEAN(SalesData[[#This Row],[Retailer]]))</f>
        <v>Saxon Wheels</v>
      </c>
    </row>
    <row r="2463" spans="1:36" ht="14.25" hidden="1" x14ac:dyDescent="0.2">
      <c r="A2463" t="s">
        <v>3543</v>
      </c>
      <c r="B2463" s="1">
        <v>46070</v>
      </c>
      <c r="C2463" t="s">
        <v>62</v>
      </c>
      <c r="D2463" t="s">
        <v>63</v>
      </c>
      <c r="E2463" t="s">
        <v>26</v>
      </c>
      <c r="F2463" t="s">
        <v>83</v>
      </c>
      <c r="G2463" t="s">
        <v>84</v>
      </c>
      <c r="H2463" t="s">
        <v>85</v>
      </c>
      <c r="I2463" t="s">
        <v>104</v>
      </c>
      <c r="J2463" t="s">
        <v>7031</v>
      </c>
      <c r="K2463" t="s">
        <v>32</v>
      </c>
      <c r="L2463" t="s">
        <v>46</v>
      </c>
      <c r="M2463" t="s">
        <v>68</v>
      </c>
      <c r="N2463" t="s">
        <v>69</v>
      </c>
      <c r="O2463" t="s">
        <v>70</v>
      </c>
      <c r="P2463" t="s">
        <v>58</v>
      </c>
      <c r="Q2463" t="s">
        <v>152</v>
      </c>
      <c r="R2463">
        <v>474</v>
      </c>
      <c r="S2463">
        <v>254</v>
      </c>
      <c r="T2463">
        <v>179</v>
      </c>
      <c r="U2463">
        <v>48</v>
      </c>
      <c r="V2463" t="s">
        <v>3816</v>
      </c>
      <c r="W2463">
        <v>27521</v>
      </c>
      <c r="X2463" t="s">
        <v>7540</v>
      </c>
      <c r="Y2463">
        <v>24150</v>
      </c>
      <c r="Z2463">
        <v>1321008</v>
      </c>
      <c r="AA2463">
        <v>161808</v>
      </c>
      <c r="AB2463" t="str">
        <f>(VLOOKUP(SalesData[[#This Row],[Month Number]],Reference!C$5:E$16,2,FALSE))</f>
        <v>Feb</v>
      </c>
      <c r="AC2463">
        <f>MONTH(SalesData[[#This Row],[Date]])</f>
        <v>2</v>
      </c>
      <c r="AD2463">
        <f>Reference!F$4</f>
        <v>2026</v>
      </c>
      <c r="AE2463" t="str">
        <f>IF(OR(SalesData[[#This Row],[Day]]="Saturday",SalesData[[#This Row],[Day]]="Sunday"),"Weekend","Weekday")</f>
        <v>Weekday</v>
      </c>
      <c r="AF2463" s="5">
        <f>IF(SalesData[[#This Row],[Contracts Offered]]=0,0,SalesData[[#This Row],[Contracts Signed]]/SalesData[[#This Row],[Contracts Offered]])</f>
        <v>0.26815642458100558</v>
      </c>
      <c r="AG2463" s="5">
        <f>IF(SalesData[[#This Row],[Customers Visited]]=0,0,SalesData[[#This Row],[Test Drives]]/SalesData[[#This Row],[Customers Visited]])</f>
        <v>0.53586497890295359</v>
      </c>
      <c r="AH2463" s="5">
        <f>IF(SalesData[[#This Row],[Customers Visited]]=0,0,SalesData[[#This Row],[Contracts Signed]]/SalesData[[#This Row],[Customers Visited]])</f>
        <v>0.10126582278481013</v>
      </c>
      <c r="AI2463" s="6">
        <f>IF(SalesData[[#This Row],[Contracts Signed]]=0,0,SalesData[[#This Row],[Profit(€)]]/SalesData[[#This Row],[Contracts Signed]])</f>
        <v>3371</v>
      </c>
      <c r="AJ2463" s="5" t="str">
        <f>TRIM(CLEAN(SalesData[[#This Row],[Retailer]]))</f>
        <v>Hannover Cars</v>
      </c>
    </row>
    <row r="2464" spans="1:36" ht="14.25" hidden="1" x14ac:dyDescent="0.2">
      <c r="A2464" t="s">
        <v>3544</v>
      </c>
      <c r="B2464" s="1">
        <v>46060</v>
      </c>
      <c r="C2464" t="s">
        <v>24</v>
      </c>
      <c r="D2464" t="s">
        <v>151</v>
      </c>
      <c r="E2464" t="s">
        <v>42</v>
      </c>
      <c r="F2464" t="s">
        <v>114</v>
      </c>
      <c r="G2464" t="s">
        <v>115</v>
      </c>
      <c r="H2464" t="s">
        <v>115</v>
      </c>
      <c r="I2464" t="s">
        <v>56</v>
      </c>
      <c r="J2464" t="s">
        <v>7028</v>
      </c>
      <c r="K2464" t="s">
        <v>32</v>
      </c>
      <c r="L2464" t="s">
        <v>46</v>
      </c>
      <c r="M2464" t="s">
        <v>68</v>
      </c>
      <c r="N2464" t="s">
        <v>35</v>
      </c>
      <c r="O2464" t="s">
        <v>70</v>
      </c>
      <c r="P2464" t="s">
        <v>58</v>
      </c>
      <c r="Q2464" t="s">
        <v>189</v>
      </c>
      <c r="R2464">
        <v>287</v>
      </c>
      <c r="S2464">
        <v>162</v>
      </c>
      <c r="T2464">
        <v>114</v>
      </c>
      <c r="U2464">
        <v>41</v>
      </c>
      <c r="V2464" t="s">
        <v>6554</v>
      </c>
      <c r="W2464">
        <v>41937</v>
      </c>
      <c r="X2464" t="s">
        <v>623</v>
      </c>
      <c r="Y2464">
        <v>33192</v>
      </c>
      <c r="Z2464">
        <v>1719417</v>
      </c>
      <c r="AA2464">
        <v>358545</v>
      </c>
      <c r="AB2464" t="str">
        <f>(VLOOKUP(SalesData[[#This Row],[Month Number]],Reference!C$5:E$16,2,FALSE))</f>
        <v>Feb</v>
      </c>
      <c r="AC2464">
        <f>MONTH(SalesData[[#This Row],[Date]])</f>
        <v>2</v>
      </c>
      <c r="AD2464">
        <f>Reference!F$4</f>
        <v>2026</v>
      </c>
      <c r="AE2464" t="str">
        <f>IF(OR(SalesData[[#This Row],[Day]]="Saturday",SalesData[[#This Row],[Day]]="Sunday"),"Weekend","Weekday")</f>
        <v>Weekend</v>
      </c>
      <c r="AF2464" s="5">
        <f>IF(SalesData[[#This Row],[Contracts Offered]]=0,0,SalesData[[#This Row],[Contracts Signed]]/SalesData[[#This Row],[Contracts Offered]])</f>
        <v>0.35964912280701755</v>
      </c>
      <c r="AG2464" s="5">
        <f>IF(SalesData[[#This Row],[Customers Visited]]=0,0,SalesData[[#This Row],[Test Drives]]/SalesData[[#This Row],[Customers Visited]])</f>
        <v>0.56445993031358888</v>
      </c>
      <c r="AH2464" s="5">
        <f>IF(SalesData[[#This Row],[Customers Visited]]=0,0,SalesData[[#This Row],[Contracts Signed]]/SalesData[[#This Row],[Customers Visited]])</f>
        <v>0.14285714285714285</v>
      </c>
      <c r="AI2464" s="6">
        <f>IF(SalesData[[#This Row],[Contracts Signed]]=0,0,SalesData[[#This Row],[Profit(€)]]/SalesData[[#This Row],[Contracts Signed]])</f>
        <v>8745</v>
      </c>
      <c r="AJ2464" s="5" t="str">
        <f>TRIM(CLEAN(SalesData[[#This Row],[Retailer]]))</f>
        <v>Elbe Drive</v>
      </c>
    </row>
    <row r="2465" spans="1:36" ht="14.25" hidden="1" x14ac:dyDescent="0.2">
      <c r="A2465" t="s">
        <v>3545</v>
      </c>
      <c r="B2465" s="1">
        <v>46064</v>
      </c>
      <c r="C2465" t="s">
        <v>121</v>
      </c>
      <c r="D2465" t="s">
        <v>82</v>
      </c>
      <c r="E2465" t="s">
        <v>26</v>
      </c>
      <c r="F2465" t="s">
        <v>101</v>
      </c>
      <c r="G2465" t="s">
        <v>102</v>
      </c>
      <c r="H2465" t="s">
        <v>103</v>
      </c>
      <c r="I2465" t="s">
        <v>56</v>
      </c>
      <c r="J2465" t="s">
        <v>137</v>
      </c>
      <c r="K2465" t="s">
        <v>91</v>
      </c>
      <c r="L2465" t="s">
        <v>46</v>
      </c>
      <c r="M2465" t="s">
        <v>68</v>
      </c>
      <c r="N2465" t="s">
        <v>48</v>
      </c>
      <c r="O2465" t="s">
        <v>36</v>
      </c>
      <c r="P2465" t="s">
        <v>49</v>
      </c>
      <c r="Q2465" t="s">
        <v>129</v>
      </c>
      <c r="R2465">
        <v>316</v>
      </c>
      <c r="S2465">
        <v>171</v>
      </c>
      <c r="T2465">
        <v>120</v>
      </c>
      <c r="U2465">
        <v>37</v>
      </c>
      <c r="V2465" t="s">
        <v>7011</v>
      </c>
      <c r="W2465">
        <v>54787</v>
      </c>
      <c r="X2465" t="s">
        <v>1734</v>
      </c>
      <c r="Y2465">
        <v>42174</v>
      </c>
      <c r="Z2465">
        <v>2027119</v>
      </c>
      <c r="AA2465">
        <v>466681</v>
      </c>
      <c r="AB2465" t="str">
        <f>(VLOOKUP(SalesData[[#This Row],[Month Number]],Reference!C$5:E$16,2,FALSE))</f>
        <v>Feb</v>
      </c>
      <c r="AC2465">
        <f>MONTH(SalesData[[#This Row],[Date]])</f>
        <v>2</v>
      </c>
      <c r="AD2465">
        <f>Reference!F$4</f>
        <v>2026</v>
      </c>
      <c r="AE2465" t="str">
        <f>IF(OR(SalesData[[#This Row],[Day]]="Saturday",SalesData[[#This Row],[Day]]="Sunday"),"Weekend","Weekday")</f>
        <v>Weekday</v>
      </c>
      <c r="AF2465" s="5">
        <f>IF(SalesData[[#This Row],[Contracts Offered]]=0,0,SalesData[[#This Row],[Contracts Signed]]/SalesData[[#This Row],[Contracts Offered]])</f>
        <v>0.30833333333333335</v>
      </c>
      <c r="AG2465" s="5">
        <f>IF(SalesData[[#This Row],[Customers Visited]]=0,0,SalesData[[#This Row],[Test Drives]]/SalesData[[#This Row],[Customers Visited]])</f>
        <v>0.54113924050632911</v>
      </c>
      <c r="AH2465" s="5">
        <f>IF(SalesData[[#This Row],[Customers Visited]]=0,0,SalesData[[#This Row],[Contracts Signed]]/SalesData[[#This Row],[Customers Visited]])</f>
        <v>0.11708860759493671</v>
      </c>
      <c r="AI2465" s="6">
        <f>IF(SalesData[[#This Row],[Contracts Signed]]=0,0,SalesData[[#This Row],[Profit(€)]]/SalesData[[#This Row],[Contracts Signed]])</f>
        <v>12613</v>
      </c>
      <c r="AJ2465" s="5" t="str">
        <f>TRIM(CLEAN(SalesData[[#This Row],[Retailer]]))</f>
        <v>Ruhr Auto Plaza</v>
      </c>
    </row>
    <row r="2466" spans="1:36" ht="14.25" hidden="1" x14ac:dyDescent="0.2">
      <c r="A2466" t="s">
        <v>3546</v>
      </c>
      <c r="B2466" s="1">
        <v>46059</v>
      </c>
      <c r="C2466" t="s">
        <v>24</v>
      </c>
      <c r="D2466" t="s">
        <v>54</v>
      </c>
      <c r="E2466" t="s">
        <v>26</v>
      </c>
      <c r="F2466" t="s">
        <v>43</v>
      </c>
      <c r="G2466" t="s">
        <v>44</v>
      </c>
      <c r="H2466" t="s">
        <v>45</v>
      </c>
      <c r="I2466" t="s">
        <v>64</v>
      </c>
      <c r="J2466" t="s">
        <v>111</v>
      </c>
      <c r="K2466" t="s">
        <v>32</v>
      </c>
      <c r="L2466" t="s">
        <v>46</v>
      </c>
      <c r="M2466" t="s">
        <v>87</v>
      </c>
      <c r="N2466" t="s">
        <v>48</v>
      </c>
      <c r="O2466" t="s">
        <v>70</v>
      </c>
      <c r="P2466" t="s">
        <v>71</v>
      </c>
      <c r="Q2466" t="s">
        <v>144</v>
      </c>
      <c r="R2466">
        <v>202</v>
      </c>
      <c r="S2466">
        <v>112</v>
      </c>
      <c r="T2466">
        <v>76</v>
      </c>
      <c r="U2466">
        <v>26</v>
      </c>
      <c r="V2466" t="s">
        <v>6557</v>
      </c>
      <c r="W2466">
        <v>65105</v>
      </c>
      <c r="X2466" t="s">
        <v>7353</v>
      </c>
      <c r="Y2466">
        <v>47680</v>
      </c>
      <c r="Z2466">
        <v>1692730</v>
      </c>
      <c r="AA2466">
        <v>453050</v>
      </c>
      <c r="AB2466" t="str">
        <f>(VLOOKUP(SalesData[[#This Row],[Month Number]],Reference!C$5:E$16,2,FALSE))</f>
        <v>Feb</v>
      </c>
      <c r="AC2466">
        <f>MONTH(SalesData[[#This Row],[Date]])</f>
        <v>2</v>
      </c>
      <c r="AD2466">
        <f>Reference!F$4</f>
        <v>2026</v>
      </c>
      <c r="AE2466" t="str">
        <f>IF(OR(SalesData[[#This Row],[Day]]="Saturday",SalesData[[#This Row],[Day]]="Sunday"),"Weekend","Weekday")</f>
        <v>Weekday</v>
      </c>
      <c r="AF2466" s="5">
        <f>IF(SalesData[[#This Row],[Contracts Offered]]=0,0,SalesData[[#This Row],[Contracts Signed]]/SalesData[[#This Row],[Contracts Offered]])</f>
        <v>0.34210526315789475</v>
      </c>
      <c r="AG2466" s="5">
        <f>IF(SalesData[[#This Row],[Customers Visited]]=0,0,SalesData[[#This Row],[Test Drives]]/SalesData[[#This Row],[Customers Visited]])</f>
        <v>0.5544554455445545</v>
      </c>
      <c r="AH2466" s="5">
        <f>IF(SalesData[[#This Row],[Customers Visited]]=0,0,SalesData[[#This Row],[Contracts Signed]]/SalesData[[#This Row],[Customers Visited]])</f>
        <v>0.12871287128712872</v>
      </c>
      <c r="AI2466" s="6">
        <f>IF(SalesData[[#This Row],[Contracts Signed]]=0,0,SalesData[[#This Row],[Profit(€)]]/SalesData[[#This Row],[Contracts Signed]])</f>
        <v>17425</v>
      </c>
      <c r="AJ2466" s="5" t="str">
        <f>TRIM(CLEAN(SalesData[[#This Row],[Retailer]]))</f>
        <v>Saxon Wheels</v>
      </c>
    </row>
    <row r="2467" spans="1:36" ht="14.25" hidden="1" x14ac:dyDescent="0.2">
      <c r="A2467" t="s">
        <v>3547</v>
      </c>
      <c r="B2467" s="1">
        <v>46072</v>
      </c>
      <c r="C2467" t="s">
        <v>62</v>
      </c>
      <c r="D2467" t="s">
        <v>100</v>
      </c>
      <c r="E2467" t="s">
        <v>26</v>
      </c>
      <c r="F2467" t="s">
        <v>27</v>
      </c>
      <c r="G2467" t="s">
        <v>28</v>
      </c>
      <c r="H2467" t="s">
        <v>29</v>
      </c>
      <c r="I2467" t="s">
        <v>116</v>
      </c>
      <c r="J2467" t="s">
        <v>7090</v>
      </c>
      <c r="K2467" t="s">
        <v>32</v>
      </c>
      <c r="L2467" t="s">
        <v>46</v>
      </c>
      <c r="M2467" t="s">
        <v>87</v>
      </c>
      <c r="N2467" t="s">
        <v>48</v>
      </c>
      <c r="O2467" t="s">
        <v>36</v>
      </c>
      <c r="P2467" t="s">
        <v>37</v>
      </c>
      <c r="Q2467" t="s">
        <v>122</v>
      </c>
      <c r="R2467">
        <v>248</v>
      </c>
      <c r="S2467">
        <v>126</v>
      </c>
      <c r="T2467">
        <v>72</v>
      </c>
      <c r="U2467">
        <v>17</v>
      </c>
      <c r="V2467" t="s">
        <v>6643</v>
      </c>
      <c r="W2467">
        <v>21192</v>
      </c>
      <c r="X2467" t="s">
        <v>5273</v>
      </c>
      <c r="Y2467">
        <v>19679</v>
      </c>
      <c r="Z2467">
        <v>360264</v>
      </c>
      <c r="AA2467">
        <v>25721</v>
      </c>
      <c r="AB2467" t="str">
        <f>(VLOOKUP(SalesData[[#This Row],[Month Number]],Reference!C$5:E$16,2,FALSE))</f>
        <v>Feb</v>
      </c>
      <c r="AC2467">
        <f>MONTH(SalesData[[#This Row],[Date]])</f>
        <v>2</v>
      </c>
      <c r="AD2467">
        <f>Reference!F$4</f>
        <v>2026</v>
      </c>
      <c r="AE2467" t="str">
        <f>IF(OR(SalesData[[#This Row],[Day]]="Saturday",SalesData[[#This Row],[Day]]="Sunday"),"Weekend","Weekday")</f>
        <v>Weekday</v>
      </c>
      <c r="AF2467" s="5">
        <f>IF(SalesData[[#This Row],[Contracts Offered]]=0,0,SalesData[[#This Row],[Contracts Signed]]/SalesData[[#This Row],[Contracts Offered]])</f>
        <v>0.2361111111111111</v>
      </c>
      <c r="AG2467" s="5">
        <f>IF(SalesData[[#This Row],[Customers Visited]]=0,0,SalesData[[#This Row],[Test Drives]]/SalesData[[#This Row],[Customers Visited]])</f>
        <v>0.50806451612903225</v>
      </c>
      <c r="AH2467" s="5">
        <f>IF(SalesData[[#This Row],[Customers Visited]]=0,0,SalesData[[#This Row],[Contracts Signed]]/SalesData[[#This Row],[Customers Visited]])</f>
        <v>6.8548387096774188E-2</v>
      </c>
      <c r="AI2467" s="6">
        <f>IF(SalesData[[#This Row],[Contracts Signed]]=0,0,SalesData[[#This Row],[Profit(€)]]/SalesData[[#This Row],[Contracts Signed]])</f>
        <v>1513</v>
      </c>
      <c r="AJ2467" s="5" t="str">
        <f>TRIM(CLEAN(SalesData[[#This Row],[Retailer]]))</f>
        <v>Main Auto Hub</v>
      </c>
    </row>
    <row r="2468" spans="1:36" ht="14.25" hidden="1" x14ac:dyDescent="0.2">
      <c r="A2468" t="s">
        <v>3548</v>
      </c>
      <c r="B2468" s="1">
        <v>46059</v>
      </c>
      <c r="C2468" t="s">
        <v>24</v>
      </c>
      <c r="D2468" t="s">
        <v>54</v>
      </c>
      <c r="E2468" t="s">
        <v>26</v>
      </c>
      <c r="F2468" t="s">
        <v>27</v>
      </c>
      <c r="G2468" t="s">
        <v>28</v>
      </c>
      <c r="H2468" t="s">
        <v>29</v>
      </c>
      <c r="I2468" t="s">
        <v>104</v>
      </c>
      <c r="J2468" t="s">
        <v>7061</v>
      </c>
      <c r="K2468" t="s">
        <v>32</v>
      </c>
      <c r="L2468" t="s">
        <v>46</v>
      </c>
      <c r="M2468" t="s">
        <v>34</v>
      </c>
      <c r="N2468" t="s">
        <v>69</v>
      </c>
      <c r="O2468" t="s">
        <v>36</v>
      </c>
      <c r="P2468" t="s">
        <v>37</v>
      </c>
      <c r="Q2468" t="s">
        <v>172</v>
      </c>
      <c r="R2468">
        <v>367</v>
      </c>
      <c r="S2468">
        <v>162</v>
      </c>
      <c r="T2468">
        <v>112</v>
      </c>
      <c r="U2468">
        <v>27</v>
      </c>
      <c r="V2468" t="s">
        <v>508</v>
      </c>
      <c r="W2468">
        <v>32401</v>
      </c>
      <c r="X2468" t="s">
        <v>238</v>
      </c>
      <c r="Y2468">
        <v>28820</v>
      </c>
      <c r="Z2468">
        <v>874827</v>
      </c>
      <c r="AA2468">
        <v>96687</v>
      </c>
      <c r="AB2468" t="str">
        <f>(VLOOKUP(SalesData[[#This Row],[Month Number]],Reference!C$5:E$16,2,FALSE))</f>
        <v>Feb</v>
      </c>
      <c r="AC2468">
        <f>MONTH(SalesData[[#This Row],[Date]])</f>
        <v>2</v>
      </c>
      <c r="AD2468">
        <f>Reference!F$4</f>
        <v>2026</v>
      </c>
      <c r="AE2468" t="str">
        <f>IF(OR(SalesData[[#This Row],[Day]]="Saturday",SalesData[[#This Row],[Day]]="Sunday"),"Weekend","Weekday")</f>
        <v>Weekday</v>
      </c>
      <c r="AF2468" s="5">
        <f>IF(SalesData[[#This Row],[Contracts Offered]]=0,0,SalesData[[#This Row],[Contracts Signed]]/SalesData[[#This Row],[Contracts Offered]])</f>
        <v>0.24107142857142858</v>
      </c>
      <c r="AG2468" s="5">
        <f>IF(SalesData[[#This Row],[Customers Visited]]=0,0,SalesData[[#This Row],[Test Drives]]/SalesData[[#This Row],[Customers Visited]])</f>
        <v>0.44141689373297005</v>
      </c>
      <c r="AH2468" s="5">
        <f>IF(SalesData[[#This Row],[Customers Visited]]=0,0,SalesData[[#This Row],[Contracts Signed]]/SalesData[[#This Row],[Customers Visited]])</f>
        <v>7.3569482288828342E-2</v>
      </c>
      <c r="AI2468" s="6">
        <f>IF(SalesData[[#This Row],[Contracts Signed]]=0,0,SalesData[[#This Row],[Profit(€)]]/SalesData[[#This Row],[Contracts Signed]])</f>
        <v>3581</v>
      </c>
      <c r="AJ2468" s="5" t="str">
        <f>TRIM(CLEAN(SalesData[[#This Row],[Retailer]]))</f>
        <v>Main Auto Hub</v>
      </c>
    </row>
    <row r="2469" spans="1:36" ht="14.25" hidden="1" x14ac:dyDescent="0.2">
      <c r="A2469" t="s">
        <v>3549</v>
      </c>
      <c r="B2469" s="1">
        <v>46058</v>
      </c>
      <c r="C2469" t="s">
        <v>24</v>
      </c>
      <c r="D2469" t="s">
        <v>100</v>
      </c>
      <c r="E2469" t="s">
        <v>26</v>
      </c>
      <c r="F2469" t="s">
        <v>114</v>
      </c>
      <c r="G2469" t="s">
        <v>115</v>
      </c>
      <c r="H2469" t="s">
        <v>115</v>
      </c>
      <c r="I2469" t="s">
        <v>104</v>
      </c>
      <c r="J2469" t="s">
        <v>105</v>
      </c>
      <c r="K2469" t="s">
        <v>78</v>
      </c>
      <c r="L2469" t="s">
        <v>33</v>
      </c>
      <c r="M2469" t="s">
        <v>47</v>
      </c>
      <c r="N2469" t="s">
        <v>48</v>
      </c>
      <c r="O2469" t="s">
        <v>70</v>
      </c>
      <c r="P2469" t="s">
        <v>58</v>
      </c>
      <c r="Q2469" t="s">
        <v>144</v>
      </c>
      <c r="R2469">
        <v>513</v>
      </c>
      <c r="S2469">
        <v>257</v>
      </c>
      <c r="T2469">
        <v>183</v>
      </c>
      <c r="U2469">
        <v>46</v>
      </c>
      <c r="V2469" t="s">
        <v>1274</v>
      </c>
      <c r="W2469">
        <v>30248</v>
      </c>
      <c r="X2469" t="s">
        <v>2302</v>
      </c>
      <c r="Y2469">
        <v>26865</v>
      </c>
      <c r="Z2469">
        <v>1391408</v>
      </c>
      <c r="AA2469">
        <v>155618</v>
      </c>
      <c r="AB2469" t="str">
        <f>(VLOOKUP(SalesData[[#This Row],[Month Number]],Reference!C$5:E$16,2,FALSE))</f>
        <v>Feb</v>
      </c>
      <c r="AC2469">
        <f>MONTH(SalesData[[#This Row],[Date]])</f>
        <v>2</v>
      </c>
      <c r="AD2469">
        <f>Reference!F$4</f>
        <v>2026</v>
      </c>
      <c r="AE2469" t="str">
        <f>IF(OR(SalesData[[#This Row],[Day]]="Saturday",SalesData[[#This Row],[Day]]="Sunday"),"Weekend","Weekday")</f>
        <v>Weekday</v>
      </c>
      <c r="AF2469" s="5">
        <f>IF(SalesData[[#This Row],[Contracts Offered]]=0,0,SalesData[[#This Row],[Contracts Signed]]/SalesData[[#This Row],[Contracts Offered]])</f>
        <v>0.25136612021857924</v>
      </c>
      <c r="AG2469" s="5">
        <f>IF(SalesData[[#This Row],[Customers Visited]]=0,0,SalesData[[#This Row],[Test Drives]]/SalesData[[#This Row],[Customers Visited]])</f>
        <v>0.50097465886939574</v>
      </c>
      <c r="AH2469" s="5">
        <f>IF(SalesData[[#This Row],[Customers Visited]]=0,0,SalesData[[#This Row],[Contracts Signed]]/SalesData[[#This Row],[Customers Visited]])</f>
        <v>8.9668615984405453E-2</v>
      </c>
      <c r="AI2469" s="6">
        <f>IF(SalesData[[#This Row],[Contracts Signed]]=0,0,SalesData[[#This Row],[Profit(€)]]/SalesData[[#This Row],[Contracts Signed]])</f>
        <v>3383</v>
      </c>
      <c r="AJ2469" s="5" t="str">
        <f>TRIM(CLEAN(SalesData[[#This Row],[Retailer]]))</f>
        <v>Elbe Drive</v>
      </c>
    </row>
    <row r="2470" spans="1:36" ht="14.25" hidden="1" x14ac:dyDescent="0.2">
      <c r="A2470" t="s">
        <v>3550</v>
      </c>
      <c r="B2470" s="1">
        <v>46077</v>
      </c>
      <c r="C2470" t="s">
        <v>53</v>
      </c>
      <c r="D2470" t="s">
        <v>63</v>
      </c>
      <c r="E2470" t="s">
        <v>26</v>
      </c>
      <c r="F2470" t="s">
        <v>109</v>
      </c>
      <c r="G2470" t="s">
        <v>110</v>
      </c>
      <c r="H2470" t="s">
        <v>45</v>
      </c>
      <c r="I2470" t="s">
        <v>64</v>
      </c>
      <c r="J2470" t="s">
        <v>77</v>
      </c>
      <c r="K2470" t="s">
        <v>66</v>
      </c>
      <c r="L2470" t="s">
        <v>46</v>
      </c>
      <c r="M2470" t="s">
        <v>68</v>
      </c>
      <c r="N2470" t="s">
        <v>35</v>
      </c>
      <c r="O2470" t="s">
        <v>70</v>
      </c>
      <c r="P2470" t="s">
        <v>49</v>
      </c>
      <c r="Q2470" t="s">
        <v>59</v>
      </c>
      <c r="R2470">
        <v>219</v>
      </c>
      <c r="S2470">
        <v>97</v>
      </c>
      <c r="T2470">
        <v>72</v>
      </c>
      <c r="U2470">
        <v>23</v>
      </c>
      <c r="V2470" t="s">
        <v>6863</v>
      </c>
      <c r="W2470">
        <v>67190</v>
      </c>
      <c r="X2470" t="s">
        <v>7408</v>
      </c>
      <c r="Y2470">
        <v>49713</v>
      </c>
      <c r="Z2470">
        <v>1545370</v>
      </c>
      <c r="AA2470">
        <v>401971</v>
      </c>
      <c r="AB2470" t="str">
        <f>(VLOOKUP(SalesData[[#This Row],[Month Number]],Reference!C$5:E$16,2,FALSE))</f>
        <v>Feb</v>
      </c>
      <c r="AC2470">
        <f>MONTH(SalesData[[#This Row],[Date]])</f>
        <v>2</v>
      </c>
      <c r="AD2470">
        <f>Reference!F$4</f>
        <v>2026</v>
      </c>
      <c r="AE2470" t="str">
        <f>IF(OR(SalesData[[#This Row],[Day]]="Saturday",SalesData[[#This Row],[Day]]="Sunday"),"Weekend","Weekday")</f>
        <v>Weekday</v>
      </c>
      <c r="AF2470" s="5">
        <f>IF(SalesData[[#This Row],[Contracts Offered]]=0,0,SalesData[[#This Row],[Contracts Signed]]/SalesData[[#This Row],[Contracts Offered]])</f>
        <v>0.31944444444444442</v>
      </c>
      <c r="AG2470" s="5">
        <f>IF(SalesData[[#This Row],[Customers Visited]]=0,0,SalesData[[#This Row],[Test Drives]]/SalesData[[#This Row],[Customers Visited]])</f>
        <v>0.44292237442922372</v>
      </c>
      <c r="AH2470" s="5">
        <f>IF(SalesData[[#This Row],[Customers Visited]]=0,0,SalesData[[#This Row],[Contracts Signed]]/SalesData[[#This Row],[Customers Visited]])</f>
        <v>0.1050228310502283</v>
      </c>
      <c r="AI2470" s="6">
        <f>IF(SalesData[[#This Row],[Contracts Signed]]=0,0,SalesData[[#This Row],[Profit(€)]]/SalesData[[#This Row],[Contracts Signed]])</f>
        <v>17477</v>
      </c>
      <c r="AJ2470" s="5" t="str">
        <f>TRIM(CLEAN(SalesData[[#This Row],[Retailer]]))</f>
        <v>Leipzig Mobility</v>
      </c>
    </row>
    <row r="2471" spans="1:36" ht="14.25" hidden="1" x14ac:dyDescent="0.2">
      <c r="A2471" t="s">
        <v>3551</v>
      </c>
      <c r="B2471" s="1">
        <v>46058</v>
      </c>
      <c r="C2471" t="s">
        <v>24</v>
      </c>
      <c r="D2471" t="s">
        <v>100</v>
      </c>
      <c r="E2471" t="s">
        <v>26</v>
      </c>
      <c r="F2471" t="s">
        <v>74</v>
      </c>
      <c r="G2471" t="s">
        <v>75</v>
      </c>
      <c r="H2471" t="s">
        <v>76</v>
      </c>
      <c r="I2471" t="s">
        <v>64</v>
      </c>
      <c r="J2471" t="s">
        <v>7029</v>
      </c>
      <c r="K2471" t="s">
        <v>32</v>
      </c>
      <c r="L2471" t="s">
        <v>33</v>
      </c>
      <c r="M2471" t="s">
        <v>47</v>
      </c>
      <c r="N2471" t="s">
        <v>35</v>
      </c>
      <c r="O2471" t="s">
        <v>70</v>
      </c>
      <c r="P2471" t="s">
        <v>58</v>
      </c>
      <c r="Q2471" t="s">
        <v>144</v>
      </c>
      <c r="R2471">
        <v>161</v>
      </c>
      <c r="S2471">
        <v>82</v>
      </c>
      <c r="T2471">
        <v>59</v>
      </c>
      <c r="U2471">
        <v>24</v>
      </c>
      <c r="V2471" t="s">
        <v>6419</v>
      </c>
      <c r="W2471">
        <v>60552</v>
      </c>
      <c r="X2471" t="s">
        <v>589</v>
      </c>
      <c r="Y2471">
        <v>43375</v>
      </c>
      <c r="Z2471">
        <v>1453248</v>
      </c>
      <c r="AA2471">
        <v>412248</v>
      </c>
      <c r="AB2471" t="str">
        <f>(VLOOKUP(SalesData[[#This Row],[Month Number]],Reference!C$5:E$16,2,FALSE))</f>
        <v>Feb</v>
      </c>
      <c r="AC2471">
        <f>MONTH(SalesData[[#This Row],[Date]])</f>
        <v>2</v>
      </c>
      <c r="AD2471">
        <f>Reference!F$4</f>
        <v>2026</v>
      </c>
      <c r="AE2471" t="str">
        <f>IF(OR(SalesData[[#This Row],[Day]]="Saturday",SalesData[[#This Row],[Day]]="Sunday"),"Weekend","Weekday")</f>
        <v>Weekday</v>
      </c>
      <c r="AF2471" s="5">
        <f>IF(SalesData[[#This Row],[Contracts Offered]]=0,0,SalesData[[#This Row],[Contracts Signed]]/SalesData[[#This Row],[Contracts Offered]])</f>
        <v>0.40677966101694918</v>
      </c>
      <c r="AG2471" s="5">
        <f>IF(SalesData[[#This Row],[Customers Visited]]=0,0,SalesData[[#This Row],[Test Drives]]/SalesData[[#This Row],[Customers Visited]])</f>
        <v>0.50931677018633537</v>
      </c>
      <c r="AH2471" s="5">
        <f>IF(SalesData[[#This Row],[Customers Visited]]=0,0,SalesData[[#This Row],[Contracts Signed]]/SalesData[[#This Row],[Customers Visited]])</f>
        <v>0.14906832298136646</v>
      </c>
      <c r="AI2471" s="6">
        <f>IF(SalesData[[#This Row],[Contracts Signed]]=0,0,SalesData[[#This Row],[Profit(€)]]/SalesData[[#This Row],[Contracts Signed]])</f>
        <v>17177</v>
      </c>
      <c r="AJ2471" s="5" t="str">
        <f>TRIM(CLEAN(SalesData[[#This Row],[Retailer]]))</f>
        <v>Stuttgart Auto Center</v>
      </c>
    </row>
    <row r="2472" spans="1:36" ht="14.25" x14ac:dyDescent="0.2">
      <c r="A2472" t="s">
        <v>3552</v>
      </c>
      <c r="B2472" s="1">
        <v>46070</v>
      </c>
      <c r="C2472" t="s">
        <v>62</v>
      </c>
      <c r="D2472" t="s">
        <v>63</v>
      </c>
      <c r="E2472" t="s">
        <v>26</v>
      </c>
      <c r="F2472" t="s">
        <v>7649</v>
      </c>
      <c r="G2472" t="s">
        <v>55</v>
      </c>
      <c r="H2472" t="s">
        <v>55</v>
      </c>
      <c r="I2472" t="s">
        <v>30</v>
      </c>
      <c r="J2472" t="s">
        <v>188</v>
      </c>
      <c r="K2472" t="s">
        <v>78</v>
      </c>
      <c r="L2472" t="s">
        <v>33</v>
      </c>
      <c r="M2472" t="s">
        <v>34</v>
      </c>
      <c r="N2472" t="s">
        <v>48</v>
      </c>
      <c r="O2472" t="s">
        <v>70</v>
      </c>
      <c r="P2472" t="s">
        <v>71</v>
      </c>
      <c r="Q2472" t="s">
        <v>129</v>
      </c>
      <c r="R2472">
        <v>269</v>
      </c>
      <c r="S2472">
        <v>138</v>
      </c>
      <c r="T2472">
        <v>110</v>
      </c>
      <c r="U2472">
        <v>41</v>
      </c>
      <c r="V2472" t="s">
        <v>6769</v>
      </c>
      <c r="W2472">
        <v>54621</v>
      </c>
      <c r="X2472" t="s">
        <v>7301</v>
      </c>
      <c r="Y2472">
        <v>42402</v>
      </c>
      <c r="Z2472">
        <v>2239461</v>
      </c>
      <c r="AA2472">
        <v>500979</v>
      </c>
      <c r="AB2472" t="str">
        <f>(VLOOKUP(SalesData[[#This Row],[Month Number]],Reference!C$5:E$16,2,FALSE))</f>
        <v>Feb</v>
      </c>
      <c r="AC2472">
        <f>MONTH(SalesData[[#This Row],[Date]])</f>
        <v>2</v>
      </c>
      <c r="AD2472">
        <f>Reference!F$4</f>
        <v>2026</v>
      </c>
      <c r="AE2472" t="str">
        <f>IF(OR(SalesData[[#This Row],[Day]]="Saturday",SalesData[[#This Row],[Day]]="Sunday"),"Weekend","Weekday")</f>
        <v>Weekday</v>
      </c>
      <c r="AF2472" s="5">
        <f>IF(SalesData[[#This Row],[Contracts Offered]]=0,0,SalesData[[#This Row],[Contracts Signed]]/SalesData[[#This Row],[Contracts Offered]])</f>
        <v>0.37272727272727274</v>
      </c>
      <c r="AG2472" s="5">
        <f>IF(SalesData[[#This Row],[Customers Visited]]=0,0,SalesData[[#This Row],[Test Drives]]/SalesData[[#This Row],[Customers Visited]])</f>
        <v>0.51301115241635686</v>
      </c>
      <c r="AH2472" s="5">
        <f>IF(SalesData[[#This Row],[Customers Visited]]=0,0,SalesData[[#This Row],[Contracts Signed]]/SalesData[[#This Row],[Customers Visited]])</f>
        <v>0.15241635687732341</v>
      </c>
      <c r="AI2472" s="6">
        <f>IF(SalesData[[#This Row],[Contracts Signed]]=0,0,SalesData[[#This Row],[Profit(€)]]/SalesData[[#This Row],[Contracts Signed]])</f>
        <v>12219</v>
      </c>
      <c r="AJ2472" s="5" t="str">
        <f>TRIM(CLEAN(SalesData[[#This Row],[Retailer]]))</f>
        <v>Autohaus Berlin</v>
      </c>
    </row>
    <row r="2473" spans="1:36" ht="14.25" hidden="1" x14ac:dyDescent="0.2">
      <c r="A2473" t="s">
        <v>3553</v>
      </c>
      <c r="B2473" s="1">
        <v>46066</v>
      </c>
      <c r="C2473" t="s">
        <v>121</v>
      </c>
      <c r="D2473" t="s">
        <v>54</v>
      </c>
      <c r="E2473" t="s">
        <v>26</v>
      </c>
      <c r="F2473" t="s">
        <v>74</v>
      </c>
      <c r="G2473" t="s">
        <v>75</v>
      </c>
      <c r="H2473" t="s">
        <v>76</v>
      </c>
      <c r="I2473" t="s">
        <v>116</v>
      </c>
      <c r="J2473" t="s">
        <v>117</v>
      </c>
      <c r="K2473" t="s">
        <v>66</v>
      </c>
      <c r="L2473" t="s">
        <v>67</v>
      </c>
      <c r="M2473" t="s">
        <v>34</v>
      </c>
      <c r="N2473" t="s">
        <v>48</v>
      </c>
      <c r="O2473" t="s">
        <v>70</v>
      </c>
      <c r="P2473" t="s">
        <v>49</v>
      </c>
      <c r="Q2473" t="s">
        <v>38</v>
      </c>
      <c r="R2473">
        <v>308</v>
      </c>
      <c r="S2473">
        <v>144</v>
      </c>
      <c r="T2473">
        <v>87</v>
      </c>
      <c r="U2473">
        <v>22</v>
      </c>
      <c r="V2473" t="s">
        <v>3899</v>
      </c>
      <c r="W2473">
        <v>25242</v>
      </c>
      <c r="X2473" t="s">
        <v>3322</v>
      </c>
      <c r="Y2473">
        <v>22567</v>
      </c>
      <c r="Z2473">
        <v>555324</v>
      </c>
      <c r="AA2473">
        <v>58850</v>
      </c>
      <c r="AB2473" t="str">
        <f>(VLOOKUP(SalesData[[#This Row],[Month Number]],Reference!C$5:E$16,2,FALSE))</f>
        <v>Feb</v>
      </c>
      <c r="AC2473">
        <f>MONTH(SalesData[[#This Row],[Date]])</f>
        <v>2</v>
      </c>
      <c r="AD2473">
        <f>Reference!F$4</f>
        <v>2026</v>
      </c>
      <c r="AE2473" t="str">
        <f>IF(OR(SalesData[[#This Row],[Day]]="Saturday",SalesData[[#This Row],[Day]]="Sunday"),"Weekend","Weekday")</f>
        <v>Weekday</v>
      </c>
      <c r="AF2473" s="5">
        <f>IF(SalesData[[#This Row],[Contracts Offered]]=0,0,SalesData[[#This Row],[Contracts Signed]]/SalesData[[#This Row],[Contracts Offered]])</f>
        <v>0.25287356321839083</v>
      </c>
      <c r="AG2473" s="5">
        <f>IF(SalesData[[#This Row],[Customers Visited]]=0,0,SalesData[[#This Row],[Test Drives]]/SalesData[[#This Row],[Customers Visited]])</f>
        <v>0.46753246753246752</v>
      </c>
      <c r="AH2473" s="5">
        <f>IF(SalesData[[#This Row],[Customers Visited]]=0,0,SalesData[[#This Row],[Contracts Signed]]/SalesData[[#This Row],[Customers Visited]])</f>
        <v>7.1428571428571425E-2</v>
      </c>
      <c r="AI2473" s="6">
        <f>IF(SalesData[[#This Row],[Contracts Signed]]=0,0,SalesData[[#This Row],[Profit(€)]]/SalesData[[#This Row],[Contracts Signed]])</f>
        <v>2675</v>
      </c>
      <c r="AJ2473" s="5" t="str">
        <f>TRIM(CLEAN(SalesData[[#This Row],[Retailer]]))</f>
        <v>Stuttgart Auto Center</v>
      </c>
    </row>
    <row r="2474" spans="1:36" ht="14.25" x14ac:dyDescent="0.2">
      <c r="A2474" t="s">
        <v>3554</v>
      </c>
      <c r="B2474" s="1">
        <v>46064</v>
      </c>
      <c r="C2474" t="s">
        <v>121</v>
      </c>
      <c r="D2474" t="s">
        <v>82</v>
      </c>
      <c r="E2474" t="s">
        <v>26</v>
      </c>
      <c r="F2474" t="s">
        <v>74</v>
      </c>
      <c r="G2474" t="s">
        <v>75</v>
      </c>
      <c r="H2474" t="s">
        <v>76</v>
      </c>
      <c r="I2474" t="s">
        <v>30</v>
      </c>
      <c r="J2474" t="s">
        <v>86</v>
      </c>
      <c r="K2474" t="s">
        <v>66</v>
      </c>
      <c r="L2474" t="s">
        <v>33</v>
      </c>
      <c r="M2474" t="s">
        <v>87</v>
      </c>
      <c r="N2474" t="s">
        <v>48</v>
      </c>
      <c r="O2474" t="s">
        <v>70</v>
      </c>
      <c r="P2474" t="s">
        <v>71</v>
      </c>
      <c r="Q2474" t="s">
        <v>79</v>
      </c>
      <c r="R2474">
        <v>219</v>
      </c>
      <c r="S2474">
        <v>108</v>
      </c>
      <c r="T2474">
        <v>80</v>
      </c>
      <c r="U2474">
        <v>29</v>
      </c>
      <c r="V2474" t="s">
        <v>6727</v>
      </c>
      <c r="W2474">
        <v>66901</v>
      </c>
      <c r="X2474" t="s">
        <v>7116</v>
      </c>
      <c r="Y2474">
        <v>51334</v>
      </c>
      <c r="Z2474">
        <v>1940129</v>
      </c>
      <c r="AA2474">
        <v>451443</v>
      </c>
      <c r="AB2474" t="str">
        <f>(VLOOKUP(SalesData[[#This Row],[Month Number]],Reference!C$5:E$16,2,FALSE))</f>
        <v>Feb</v>
      </c>
      <c r="AC2474">
        <f>MONTH(SalesData[[#This Row],[Date]])</f>
        <v>2</v>
      </c>
      <c r="AD2474">
        <f>Reference!F$4</f>
        <v>2026</v>
      </c>
      <c r="AE2474" t="str">
        <f>IF(OR(SalesData[[#This Row],[Day]]="Saturday",SalesData[[#This Row],[Day]]="Sunday"),"Weekend","Weekday")</f>
        <v>Weekday</v>
      </c>
      <c r="AF2474" s="5">
        <f>IF(SalesData[[#This Row],[Contracts Offered]]=0,0,SalesData[[#This Row],[Contracts Signed]]/SalesData[[#This Row],[Contracts Offered]])</f>
        <v>0.36249999999999999</v>
      </c>
      <c r="AG2474" s="5">
        <f>IF(SalesData[[#This Row],[Customers Visited]]=0,0,SalesData[[#This Row],[Test Drives]]/SalesData[[#This Row],[Customers Visited]])</f>
        <v>0.49315068493150682</v>
      </c>
      <c r="AH2474" s="5">
        <f>IF(SalesData[[#This Row],[Customers Visited]]=0,0,SalesData[[#This Row],[Contracts Signed]]/SalesData[[#This Row],[Customers Visited]])</f>
        <v>0.13242009132420091</v>
      </c>
      <c r="AI2474" s="6">
        <f>IF(SalesData[[#This Row],[Contracts Signed]]=0,0,SalesData[[#This Row],[Profit(€)]]/SalesData[[#This Row],[Contracts Signed]])</f>
        <v>15567</v>
      </c>
      <c r="AJ2474" s="5" t="str">
        <f>TRIM(CLEAN(SalesData[[#This Row],[Retailer]]))</f>
        <v>Stuttgart Auto Center</v>
      </c>
    </row>
    <row r="2475" spans="1:36" ht="14.25" hidden="1" x14ac:dyDescent="0.2">
      <c r="A2475" t="s">
        <v>3555</v>
      </c>
      <c r="B2475" s="1">
        <v>46067</v>
      </c>
      <c r="C2475" t="s">
        <v>121</v>
      </c>
      <c r="D2475" t="s">
        <v>151</v>
      </c>
      <c r="E2475" t="s">
        <v>42</v>
      </c>
      <c r="F2475" t="s">
        <v>74</v>
      </c>
      <c r="G2475" t="s">
        <v>75</v>
      </c>
      <c r="H2475" t="s">
        <v>76</v>
      </c>
      <c r="I2475" t="s">
        <v>104</v>
      </c>
      <c r="J2475" t="s">
        <v>7061</v>
      </c>
      <c r="K2475" t="s">
        <v>32</v>
      </c>
      <c r="L2475" t="s">
        <v>46</v>
      </c>
      <c r="M2475" t="s">
        <v>34</v>
      </c>
      <c r="N2475" t="s">
        <v>48</v>
      </c>
      <c r="O2475" t="s">
        <v>36</v>
      </c>
      <c r="P2475" t="s">
        <v>37</v>
      </c>
      <c r="Q2475" t="s">
        <v>118</v>
      </c>
      <c r="R2475">
        <v>316</v>
      </c>
      <c r="S2475">
        <v>130</v>
      </c>
      <c r="T2475">
        <v>82</v>
      </c>
      <c r="U2475">
        <v>17</v>
      </c>
      <c r="V2475" t="s">
        <v>931</v>
      </c>
      <c r="W2475">
        <v>29480</v>
      </c>
      <c r="X2475" t="s">
        <v>2370</v>
      </c>
      <c r="Y2475">
        <v>26554</v>
      </c>
      <c r="Z2475">
        <v>501160</v>
      </c>
      <c r="AA2475">
        <v>49742</v>
      </c>
      <c r="AB2475" t="str">
        <f>(VLOOKUP(SalesData[[#This Row],[Month Number]],Reference!C$5:E$16,2,FALSE))</f>
        <v>Feb</v>
      </c>
      <c r="AC2475">
        <f>MONTH(SalesData[[#This Row],[Date]])</f>
        <v>2</v>
      </c>
      <c r="AD2475">
        <f>Reference!F$4</f>
        <v>2026</v>
      </c>
      <c r="AE2475" t="str">
        <f>IF(OR(SalesData[[#This Row],[Day]]="Saturday",SalesData[[#This Row],[Day]]="Sunday"),"Weekend","Weekday")</f>
        <v>Weekend</v>
      </c>
      <c r="AF2475" s="5">
        <f>IF(SalesData[[#This Row],[Contracts Offered]]=0,0,SalesData[[#This Row],[Contracts Signed]]/SalesData[[#This Row],[Contracts Offered]])</f>
        <v>0.2073170731707317</v>
      </c>
      <c r="AG2475" s="5">
        <f>IF(SalesData[[#This Row],[Customers Visited]]=0,0,SalesData[[#This Row],[Test Drives]]/SalesData[[#This Row],[Customers Visited]])</f>
        <v>0.41139240506329117</v>
      </c>
      <c r="AH2475" s="5">
        <f>IF(SalesData[[#This Row],[Customers Visited]]=0,0,SalesData[[#This Row],[Contracts Signed]]/SalesData[[#This Row],[Customers Visited]])</f>
        <v>5.3797468354430382E-2</v>
      </c>
      <c r="AI2475" s="6">
        <f>IF(SalesData[[#This Row],[Contracts Signed]]=0,0,SalesData[[#This Row],[Profit(€)]]/SalesData[[#This Row],[Contracts Signed]])</f>
        <v>2926</v>
      </c>
      <c r="AJ2475" s="5" t="str">
        <f>TRIM(CLEAN(SalesData[[#This Row],[Retailer]]))</f>
        <v>Stuttgart Auto Center</v>
      </c>
    </row>
    <row r="2476" spans="1:36" ht="14.25" x14ac:dyDescent="0.2">
      <c r="A2476" t="s">
        <v>3556</v>
      </c>
      <c r="B2476" s="1">
        <v>46061</v>
      </c>
      <c r="C2476" t="s">
        <v>121</v>
      </c>
      <c r="D2476" t="s">
        <v>41</v>
      </c>
      <c r="E2476" t="s">
        <v>42</v>
      </c>
      <c r="F2476" t="s">
        <v>114</v>
      </c>
      <c r="G2476" t="s">
        <v>115</v>
      </c>
      <c r="H2476" t="s">
        <v>115</v>
      </c>
      <c r="I2476" t="s">
        <v>30</v>
      </c>
      <c r="J2476" t="s">
        <v>7075</v>
      </c>
      <c r="K2476" t="s">
        <v>78</v>
      </c>
      <c r="L2476" t="s">
        <v>33</v>
      </c>
      <c r="M2476" t="s">
        <v>87</v>
      </c>
      <c r="N2476" t="s">
        <v>48</v>
      </c>
      <c r="O2476" t="s">
        <v>70</v>
      </c>
      <c r="P2476" t="s">
        <v>37</v>
      </c>
      <c r="Q2476" t="s">
        <v>118</v>
      </c>
      <c r="R2476">
        <v>156</v>
      </c>
      <c r="S2476">
        <v>83</v>
      </c>
      <c r="T2476">
        <v>59</v>
      </c>
      <c r="U2476">
        <v>21</v>
      </c>
      <c r="V2476" t="s">
        <v>6706</v>
      </c>
      <c r="W2476">
        <v>59884</v>
      </c>
      <c r="X2476" t="s">
        <v>4831</v>
      </c>
      <c r="Y2476">
        <v>45768</v>
      </c>
      <c r="Z2476">
        <v>1257564</v>
      </c>
      <c r="AA2476">
        <v>296436</v>
      </c>
      <c r="AB2476" t="str">
        <f>(VLOOKUP(SalesData[[#This Row],[Month Number]],Reference!C$5:E$16,2,FALSE))</f>
        <v>Feb</v>
      </c>
      <c r="AC2476">
        <f>MONTH(SalesData[[#This Row],[Date]])</f>
        <v>2</v>
      </c>
      <c r="AD2476">
        <f>Reference!F$4</f>
        <v>2026</v>
      </c>
      <c r="AE2476" t="str">
        <f>IF(OR(SalesData[[#This Row],[Day]]="Saturday",SalesData[[#This Row],[Day]]="Sunday"),"Weekend","Weekday")</f>
        <v>Weekend</v>
      </c>
      <c r="AF2476" s="5">
        <f>IF(SalesData[[#This Row],[Contracts Offered]]=0,0,SalesData[[#This Row],[Contracts Signed]]/SalesData[[#This Row],[Contracts Offered]])</f>
        <v>0.3559322033898305</v>
      </c>
      <c r="AG2476" s="5">
        <f>IF(SalesData[[#This Row],[Customers Visited]]=0,0,SalesData[[#This Row],[Test Drives]]/SalesData[[#This Row],[Customers Visited]])</f>
        <v>0.53205128205128205</v>
      </c>
      <c r="AH2476" s="5">
        <f>IF(SalesData[[#This Row],[Customers Visited]]=0,0,SalesData[[#This Row],[Contracts Signed]]/SalesData[[#This Row],[Customers Visited]])</f>
        <v>0.13461538461538461</v>
      </c>
      <c r="AI2476" s="6">
        <f>IF(SalesData[[#This Row],[Contracts Signed]]=0,0,SalesData[[#This Row],[Profit(€)]]/SalesData[[#This Row],[Contracts Signed]])</f>
        <v>14116</v>
      </c>
      <c r="AJ2476" s="5" t="str">
        <f>TRIM(CLEAN(SalesData[[#This Row],[Retailer]]))</f>
        <v>Elbe Drive</v>
      </c>
    </row>
    <row r="2477" spans="1:36" ht="14.25" hidden="1" x14ac:dyDescent="0.2">
      <c r="A2477" t="s">
        <v>3557</v>
      </c>
      <c r="B2477" s="1">
        <v>46058</v>
      </c>
      <c r="C2477" t="s">
        <v>24</v>
      </c>
      <c r="D2477" t="s">
        <v>100</v>
      </c>
      <c r="E2477" t="s">
        <v>26</v>
      </c>
      <c r="F2477" t="s">
        <v>74</v>
      </c>
      <c r="G2477" t="s">
        <v>75</v>
      </c>
      <c r="H2477" t="s">
        <v>76</v>
      </c>
      <c r="I2477" t="s">
        <v>56</v>
      </c>
      <c r="J2477" t="s">
        <v>97</v>
      </c>
      <c r="K2477" t="s">
        <v>78</v>
      </c>
      <c r="L2477" t="s">
        <v>33</v>
      </c>
      <c r="M2477" t="s">
        <v>87</v>
      </c>
      <c r="N2477" t="s">
        <v>48</v>
      </c>
      <c r="O2477" t="s">
        <v>70</v>
      </c>
      <c r="P2477" t="s">
        <v>37</v>
      </c>
      <c r="Q2477" t="s">
        <v>167</v>
      </c>
      <c r="R2477">
        <v>249</v>
      </c>
      <c r="S2477">
        <v>158</v>
      </c>
      <c r="T2477">
        <v>111</v>
      </c>
      <c r="U2477">
        <v>38</v>
      </c>
      <c r="V2477" t="s">
        <v>6748</v>
      </c>
      <c r="W2477">
        <v>54432</v>
      </c>
      <c r="X2477" t="s">
        <v>7073</v>
      </c>
      <c r="Y2477">
        <v>42078</v>
      </c>
      <c r="Z2477">
        <v>2068416</v>
      </c>
      <c r="AA2477">
        <v>469452</v>
      </c>
      <c r="AB2477" t="str">
        <f>(VLOOKUP(SalesData[[#This Row],[Month Number]],Reference!C$5:E$16,2,FALSE))</f>
        <v>Feb</v>
      </c>
      <c r="AC2477">
        <f>MONTH(SalesData[[#This Row],[Date]])</f>
        <v>2</v>
      </c>
      <c r="AD2477">
        <f>Reference!F$4</f>
        <v>2026</v>
      </c>
      <c r="AE2477" t="str">
        <f>IF(OR(SalesData[[#This Row],[Day]]="Saturday",SalesData[[#This Row],[Day]]="Sunday"),"Weekend","Weekday")</f>
        <v>Weekday</v>
      </c>
      <c r="AF2477" s="5">
        <f>IF(SalesData[[#This Row],[Contracts Offered]]=0,0,SalesData[[#This Row],[Contracts Signed]]/SalesData[[#This Row],[Contracts Offered]])</f>
        <v>0.34234234234234234</v>
      </c>
      <c r="AG2477" s="5">
        <f>IF(SalesData[[#This Row],[Customers Visited]]=0,0,SalesData[[#This Row],[Test Drives]]/SalesData[[#This Row],[Customers Visited]])</f>
        <v>0.63453815261044177</v>
      </c>
      <c r="AH2477" s="5">
        <f>IF(SalesData[[#This Row],[Customers Visited]]=0,0,SalesData[[#This Row],[Contracts Signed]]/SalesData[[#This Row],[Customers Visited]])</f>
        <v>0.15261044176706828</v>
      </c>
      <c r="AI2477" s="6">
        <f>IF(SalesData[[#This Row],[Contracts Signed]]=0,0,SalesData[[#This Row],[Profit(€)]]/SalesData[[#This Row],[Contracts Signed]])</f>
        <v>12354</v>
      </c>
      <c r="AJ2477" s="5" t="str">
        <f>TRIM(CLEAN(SalesData[[#This Row],[Retailer]]))</f>
        <v>Stuttgart Auto Center</v>
      </c>
    </row>
    <row r="2478" spans="1:36" ht="14.25" hidden="1" x14ac:dyDescent="0.2">
      <c r="A2478" t="s">
        <v>3558</v>
      </c>
      <c r="B2478" s="1">
        <v>46059</v>
      </c>
      <c r="C2478" t="s">
        <v>24</v>
      </c>
      <c r="D2478" t="s">
        <v>54</v>
      </c>
      <c r="E2478" t="s">
        <v>26</v>
      </c>
      <c r="F2478" t="s">
        <v>94</v>
      </c>
      <c r="G2478" t="s">
        <v>95</v>
      </c>
      <c r="H2478" t="s">
        <v>96</v>
      </c>
      <c r="I2478" t="s">
        <v>116</v>
      </c>
      <c r="J2478" t="s">
        <v>203</v>
      </c>
      <c r="K2478" t="s">
        <v>66</v>
      </c>
      <c r="L2478" t="s">
        <v>67</v>
      </c>
      <c r="M2478" t="s">
        <v>34</v>
      </c>
      <c r="N2478" t="s">
        <v>48</v>
      </c>
      <c r="O2478" t="s">
        <v>70</v>
      </c>
      <c r="P2478" t="s">
        <v>71</v>
      </c>
      <c r="Q2478" t="s">
        <v>189</v>
      </c>
      <c r="R2478">
        <v>327</v>
      </c>
      <c r="S2478">
        <v>176</v>
      </c>
      <c r="T2478">
        <v>108</v>
      </c>
      <c r="U2478">
        <v>30</v>
      </c>
      <c r="V2478" t="s">
        <v>1203</v>
      </c>
      <c r="W2478">
        <v>22535</v>
      </c>
      <c r="X2478" t="s">
        <v>3877</v>
      </c>
      <c r="Y2478">
        <v>20825</v>
      </c>
      <c r="Z2478">
        <v>676050</v>
      </c>
      <c r="AA2478">
        <v>51300</v>
      </c>
      <c r="AB2478" t="str">
        <f>(VLOOKUP(SalesData[[#This Row],[Month Number]],Reference!C$5:E$16,2,FALSE))</f>
        <v>Feb</v>
      </c>
      <c r="AC2478">
        <f>MONTH(SalesData[[#This Row],[Date]])</f>
        <v>2</v>
      </c>
      <c r="AD2478">
        <f>Reference!F$4</f>
        <v>2026</v>
      </c>
      <c r="AE2478" t="str">
        <f>IF(OR(SalesData[[#This Row],[Day]]="Saturday",SalesData[[#This Row],[Day]]="Sunday"),"Weekend","Weekday")</f>
        <v>Weekday</v>
      </c>
      <c r="AF2478" s="5">
        <f>IF(SalesData[[#This Row],[Contracts Offered]]=0,0,SalesData[[#This Row],[Contracts Signed]]/SalesData[[#This Row],[Contracts Offered]])</f>
        <v>0.27777777777777779</v>
      </c>
      <c r="AG2478" s="5">
        <f>IF(SalesData[[#This Row],[Customers Visited]]=0,0,SalesData[[#This Row],[Test Drives]]/SalesData[[#This Row],[Customers Visited]])</f>
        <v>0.53822629969418956</v>
      </c>
      <c r="AH2478" s="5">
        <f>IF(SalesData[[#This Row],[Customers Visited]]=0,0,SalesData[[#This Row],[Contracts Signed]]/SalesData[[#This Row],[Customers Visited]])</f>
        <v>9.1743119266055051E-2</v>
      </c>
      <c r="AI2478" s="6">
        <f>IF(SalesData[[#This Row],[Contracts Signed]]=0,0,SalesData[[#This Row],[Profit(€)]]/SalesData[[#This Row],[Contracts Signed]])</f>
        <v>1710</v>
      </c>
      <c r="AJ2478" s="5" t="str">
        <f>TRIM(CLEAN(SalesData[[#This Row],[Retailer]]))</f>
        <v>Bavaria Motors</v>
      </c>
    </row>
    <row r="2479" spans="1:36" ht="14.25" hidden="1" x14ac:dyDescent="0.2">
      <c r="A2479" t="s">
        <v>3560</v>
      </c>
      <c r="B2479" s="1">
        <v>46054</v>
      </c>
      <c r="C2479" t="s">
        <v>24</v>
      </c>
      <c r="D2479" t="s">
        <v>41</v>
      </c>
      <c r="E2479" t="s">
        <v>42</v>
      </c>
      <c r="F2479" t="s">
        <v>27</v>
      </c>
      <c r="G2479" t="s">
        <v>28</v>
      </c>
      <c r="H2479" t="s">
        <v>29</v>
      </c>
      <c r="I2479" t="s">
        <v>56</v>
      </c>
      <c r="J2479" t="s">
        <v>179</v>
      </c>
      <c r="K2479" t="s">
        <v>91</v>
      </c>
      <c r="L2479" t="s">
        <v>67</v>
      </c>
      <c r="M2479" t="s">
        <v>87</v>
      </c>
      <c r="N2479" t="s">
        <v>35</v>
      </c>
      <c r="O2479" t="s">
        <v>36</v>
      </c>
      <c r="P2479" t="s">
        <v>71</v>
      </c>
      <c r="Q2479" t="s">
        <v>144</v>
      </c>
      <c r="R2479">
        <v>252</v>
      </c>
      <c r="S2479">
        <v>144</v>
      </c>
      <c r="T2479">
        <v>98</v>
      </c>
      <c r="U2479">
        <v>31</v>
      </c>
      <c r="V2479" t="s">
        <v>6547</v>
      </c>
      <c r="W2479">
        <v>42207</v>
      </c>
      <c r="X2479" t="s">
        <v>1518</v>
      </c>
      <c r="Y2479">
        <v>34509</v>
      </c>
      <c r="Z2479">
        <v>1308417</v>
      </c>
      <c r="AA2479">
        <v>238638</v>
      </c>
      <c r="AB2479" t="str">
        <f>(VLOOKUP(SalesData[[#This Row],[Month Number]],Reference!C$5:E$16,2,FALSE))</f>
        <v>Feb</v>
      </c>
      <c r="AC2479">
        <f>MONTH(SalesData[[#This Row],[Date]])</f>
        <v>2</v>
      </c>
      <c r="AD2479">
        <f>Reference!F$4</f>
        <v>2026</v>
      </c>
      <c r="AE2479" t="str">
        <f>IF(OR(SalesData[[#This Row],[Day]]="Saturday",SalesData[[#This Row],[Day]]="Sunday"),"Weekend","Weekday")</f>
        <v>Weekend</v>
      </c>
      <c r="AF2479" s="5">
        <f>IF(SalesData[[#This Row],[Contracts Offered]]=0,0,SalesData[[#This Row],[Contracts Signed]]/SalesData[[#This Row],[Contracts Offered]])</f>
        <v>0.31632653061224492</v>
      </c>
      <c r="AG2479" s="5">
        <f>IF(SalesData[[#This Row],[Customers Visited]]=0,0,SalesData[[#This Row],[Test Drives]]/SalesData[[#This Row],[Customers Visited]])</f>
        <v>0.5714285714285714</v>
      </c>
      <c r="AH2479" s="5">
        <f>IF(SalesData[[#This Row],[Customers Visited]]=0,0,SalesData[[#This Row],[Contracts Signed]]/SalesData[[#This Row],[Customers Visited]])</f>
        <v>0.12301587301587301</v>
      </c>
      <c r="AI2479" s="6">
        <f>IF(SalesData[[#This Row],[Contracts Signed]]=0,0,SalesData[[#This Row],[Profit(€)]]/SalesData[[#This Row],[Contracts Signed]])</f>
        <v>7698</v>
      </c>
      <c r="AJ2479" s="5" t="str">
        <f>TRIM(CLEAN(SalesData[[#This Row],[Retailer]]))</f>
        <v>Main Auto Hub</v>
      </c>
    </row>
    <row r="2480" spans="1:36" ht="14.25" hidden="1" x14ac:dyDescent="0.2">
      <c r="A2480" t="s">
        <v>3561</v>
      </c>
      <c r="B2480" s="1">
        <v>46081</v>
      </c>
      <c r="C2480" t="s">
        <v>53</v>
      </c>
      <c r="D2480" t="s">
        <v>151</v>
      </c>
      <c r="E2480" t="s">
        <v>42</v>
      </c>
      <c r="F2480" t="s">
        <v>74</v>
      </c>
      <c r="G2480" t="s">
        <v>75</v>
      </c>
      <c r="H2480" t="s">
        <v>76</v>
      </c>
      <c r="I2480" t="s">
        <v>64</v>
      </c>
      <c r="J2480" t="s">
        <v>7029</v>
      </c>
      <c r="K2480" t="s">
        <v>66</v>
      </c>
      <c r="L2480" t="s">
        <v>33</v>
      </c>
      <c r="M2480" t="s">
        <v>87</v>
      </c>
      <c r="N2480" t="s">
        <v>35</v>
      </c>
      <c r="O2480" t="s">
        <v>70</v>
      </c>
      <c r="P2480" t="s">
        <v>49</v>
      </c>
      <c r="Q2480" t="s">
        <v>240</v>
      </c>
      <c r="R2480">
        <v>194</v>
      </c>
      <c r="S2480">
        <v>112</v>
      </c>
      <c r="T2480">
        <v>76</v>
      </c>
      <c r="U2480">
        <v>23</v>
      </c>
      <c r="V2480" t="s">
        <v>6444</v>
      </c>
      <c r="W2480">
        <v>59409</v>
      </c>
      <c r="X2480" t="s">
        <v>7407</v>
      </c>
      <c r="Y2480">
        <v>45267</v>
      </c>
      <c r="Z2480">
        <v>1366407</v>
      </c>
      <c r="AA2480">
        <v>325266</v>
      </c>
      <c r="AB2480" t="str">
        <f>(VLOOKUP(SalesData[[#This Row],[Month Number]],Reference!C$5:E$16,2,FALSE))</f>
        <v>Feb</v>
      </c>
      <c r="AC2480">
        <f>MONTH(SalesData[[#This Row],[Date]])</f>
        <v>2</v>
      </c>
      <c r="AD2480">
        <f>Reference!F$4</f>
        <v>2026</v>
      </c>
      <c r="AE2480" t="str">
        <f>IF(OR(SalesData[[#This Row],[Day]]="Saturday",SalesData[[#This Row],[Day]]="Sunday"),"Weekend","Weekday")</f>
        <v>Weekend</v>
      </c>
      <c r="AF2480" s="5">
        <f>IF(SalesData[[#This Row],[Contracts Offered]]=0,0,SalesData[[#This Row],[Contracts Signed]]/SalesData[[#This Row],[Contracts Offered]])</f>
        <v>0.30263157894736842</v>
      </c>
      <c r="AG2480" s="5">
        <f>IF(SalesData[[#This Row],[Customers Visited]]=0,0,SalesData[[#This Row],[Test Drives]]/SalesData[[#This Row],[Customers Visited]])</f>
        <v>0.57731958762886593</v>
      </c>
      <c r="AH2480" s="5">
        <f>IF(SalesData[[#This Row],[Customers Visited]]=0,0,SalesData[[#This Row],[Contracts Signed]]/SalesData[[#This Row],[Customers Visited]])</f>
        <v>0.11855670103092783</v>
      </c>
      <c r="AI2480" s="6">
        <f>IF(SalesData[[#This Row],[Contracts Signed]]=0,0,SalesData[[#This Row],[Profit(€)]]/SalesData[[#This Row],[Contracts Signed]])</f>
        <v>14142</v>
      </c>
      <c r="AJ2480" s="5" t="str">
        <f>TRIM(CLEAN(SalesData[[#This Row],[Retailer]]))</f>
        <v>Stuttgart Auto Center</v>
      </c>
    </row>
    <row r="2481" spans="1:36" ht="14.25" hidden="1" x14ac:dyDescent="0.2">
      <c r="A2481" t="s">
        <v>3562</v>
      </c>
      <c r="B2481" s="1">
        <v>46078</v>
      </c>
      <c r="C2481" t="s">
        <v>53</v>
      </c>
      <c r="D2481" t="s">
        <v>82</v>
      </c>
      <c r="E2481" t="s">
        <v>26</v>
      </c>
      <c r="F2481" t="s">
        <v>114</v>
      </c>
      <c r="G2481" t="s">
        <v>115</v>
      </c>
      <c r="H2481" t="s">
        <v>115</v>
      </c>
      <c r="I2481" t="s">
        <v>116</v>
      </c>
      <c r="J2481" t="s">
        <v>203</v>
      </c>
      <c r="K2481" t="s">
        <v>32</v>
      </c>
      <c r="L2481" t="s">
        <v>67</v>
      </c>
      <c r="M2481" t="s">
        <v>87</v>
      </c>
      <c r="N2481" t="s">
        <v>35</v>
      </c>
      <c r="O2481" t="s">
        <v>70</v>
      </c>
      <c r="P2481" t="s">
        <v>71</v>
      </c>
      <c r="Q2481" t="s">
        <v>158</v>
      </c>
      <c r="R2481">
        <v>315</v>
      </c>
      <c r="S2481">
        <v>167</v>
      </c>
      <c r="T2481">
        <v>109</v>
      </c>
      <c r="U2481">
        <v>26</v>
      </c>
      <c r="V2481" t="s">
        <v>252</v>
      </c>
      <c r="W2481">
        <v>25186</v>
      </c>
      <c r="X2481" t="s">
        <v>2925</v>
      </c>
      <c r="Y2481">
        <v>22460</v>
      </c>
      <c r="Z2481">
        <v>654836</v>
      </c>
      <c r="AA2481">
        <v>70876</v>
      </c>
      <c r="AB2481" t="str">
        <f>(VLOOKUP(SalesData[[#This Row],[Month Number]],Reference!C$5:E$16,2,FALSE))</f>
        <v>Feb</v>
      </c>
      <c r="AC2481">
        <f>MONTH(SalesData[[#This Row],[Date]])</f>
        <v>2</v>
      </c>
      <c r="AD2481">
        <f>Reference!F$4</f>
        <v>2026</v>
      </c>
      <c r="AE2481" t="str">
        <f>IF(OR(SalesData[[#This Row],[Day]]="Saturday",SalesData[[#This Row],[Day]]="Sunday"),"Weekend","Weekday")</f>
        <v>Weekday</v>
      </c>
      <c r="AF2481" s="5">
        <f>IF(SalesData[[#This Row],[Contracts Offered]]=0,0,SalesData[[#This Row],[Contracts Signed]]/SalesData[[#This Row],[Contracts Offered]])</f>
        <v>0.23853211009174313</v>
      </c>
      <c r="AG2481" s="5">
        <f>IF(SalesData[[#This Row],[Customers Visited]]=0,0,SalesData[[#This Row],[Test Drives]]/SalesData[[#This Row],[Customers Visited]])</f>
        <v>0.53015873015873016</v>
      </c>
      <c r="AH2481" s="5">
        <f>IF(SalesData[[#This Row],[Customers Visited]]=0,0,SalesData[[#This Row],[Contracts Signed]]/SalesData[[#This Row],[Customers Visited]])</f>
        <v>8.2539682539682538E-2</v>
      </c>
      <c r="AI2481" s="6">
        <f>IF(SalesData[[#This Row],[Contracts Signed]]=0,0,SalesData[[#This Row],[Profit(€)]]/SalesData[[#This Row],[Contracts Signed]])</f>
        <v>2726</v>
      </c>
      <c r="AJ2481" s="5" t="str">
        <f>TRIM(CLEAN(SalesData[[#This Row],[Retailer]]))</f>
        <v>Elbe Drive</v>
      </c>
    </row>
    <row r="2482" spans="1:36" ht="14.25" hidden="1" x14ac:dyDescent="0.2">
      <c r="A2482" t="s">
        <v>3563</v>
      </c>
      <c r="B2482" s="1">
        <v>46078</v>
      </c>
      <c r="C2482" t="s">
        <v>53</v>
      </c>
      <c r="D2482" t="s">
        <v>82</v>
      </c>
      <c r="E2482" t="s">
        <v>26</v>
      </c>
      <c r="F2482" t="s">
        <v>83</v>
      </c>
      <c r="G2482" t="s">
        <v>84</v>
      </c>
      <c r="H2482" t="s">
        <v>85</v>
      </c>
      <c r="I2482" t="s">
        <v>64</v>
      </c>
      <c r="J2482" t="s">
        <v>77</v>
      </c>
      <c r="K2482" t="s">
        <v>78</v>
      </c>
      <c r="L2482" t="s">
        <v>46</v>
      </c>
      <c r="M2482" t="s">
        <v>34</v>
      </c>
      <c r="N2482" t="s">
        <v>48</v>
      </c>
      <c r="O2482" t="s">
        <v>36</v>
      </c>
      <c r="P2482" t="s">
        <v>71</v>
      </c>
      <c r="Q2482" t="s">
        <v>158</v>
      </c>
      <c r="R2482">
        <v>207</v>
      </c>
      <c r="S2482">
        <v>108</v>
      </c>
      <c r="T2482">
        <v>82</v>
      </c>
      <c r="U2482">
        <v>29</v>
      </c>
      <c r="V2482" t="s">
        <v>6727</v>
      </c>
      <c r="W2482">
        <v>72521</v>
      </c>
      <c r="X2482" t="s">
        <v>7063</v>
      </c>
      <c r="Y2482">
        <v>54330</v>
      </c>
      <c r="Z2482">
        <v>2103109</v>
      </c>
      <c r="AA2482">
        <v>527539</v>
      </c>
      <c r="AB2482" t="str">
        <f>(VLOOKUP(SalesData[[#This Row],[Month Number]],Reference!C$5:E$16,2,FALSE))</f>
        <v>Feb</v>
      </c>
      <c r="AC2482">
        <f>MONTH(SalesData[[#This Row],[Date]])</f>
        <v>2</v>
      </c>
      <c r="AD2482">
        <f>Reference!F$4</f>
        <v>2026</v>
      </c>
      <c r="AE2482" t="str">
        <f>IF(OR(SalesData[[#This Row],[Day]]="Saturday",SalesData[[#This Row],[Day]]="Sunday"),"Weekend","Weekday")</f>
        <v>Weekday</v>
      </c>
      <c r="AF2482" s="5">
        <f>IF(SalesData[[#This Row],[Contracts Offered]]=0,0,SalesData[[#This Row],[Contracts Signed]]/SalesData[[#This Row],[Contracts Offered]])</f>
        <v>0.35365853658536583</v>
      </c>
      <c r="AG2482" s="5">
        <f>IF(SalesData[[#This Row],[Customers Visited]]=0,0,SalesData[[#This Row],[Test Drives]]/SalesData[[#This Row],[Customers Visited]])</f>
        <v>0.52173913043478259</v>
      </c>
      <c r="AH2482" s="5">
        <f>IF(SalesData[[#This Row],[Customers Visited]]=0,0,SalesData[[#This Row],[Contracts Signed]]/SalesData[[#This Row],[Customers Visited]])</f>
        <v>0.14009661835748793</v>
      </c>
      <c r="AI2482" s="6">
        <f>IF(SalesData[[#This Row],[Contracts Signed]]=0,0,SalesData[[#This Row],[Profit(€)]]/SalesData[[#This Row],[Contracts Signed]])</f>
        <v>18191</v>
      </c>
      <c r="AJ2482" s="5" t="str">
        <f>TRIM(CLEAN(SalesData[[#This Row],[Retailer]]))</f>
        <v>Hannover Cars</v>
      </c>
    </row>
    <row r="2483" spans="1:36" ht="14.25" hidden="1" x14ac:dyDescent="0.2">
      <c r="A2483" t="s">
        <v>3564</v>
      </c>
      <c r="B2483" s="1">
        <v>46075</v>
      </c>
      <c r="C2483" t="s">
        <v>53</v>
      </c>
      <c r="D2483" t="s">
        <v>41</v>
      </c>
      <c r="E2483" t="s">
        <v>42</v>
      </c>
      <c r="F2483" t="s">
        <v>7649</v>
      </c>
      <c r="G2483" t="s">
        <v>55</v>
      </c>
      <c r="H2483" t="s">
        <v>55</v>
      </c>
      <c r="I2483" t="s">
        <v>104</v>
      </c>
      <c r="J2483" t="s">
        <v>105</v>
      </c>
      <c r="K2483" t="s">
        <v>78</v>
      </c>
      <c r="L2483" t="s">
        <v>33</v>
      </c>
      <c r="M2483" t="s">
        <v>68</v>
      </c>
      <c r="N2483" t="s">
        <v>48</v>
      </c>
      <c r="O2483" t="s">
        <v>70</v>
      </c>
      <c r="P2483" t="s">
        <v>71</v>
      </c>
      <c r="Q2483" t="s">
        <v>88</v>
      </c>
      <c r="R2483">
        <v>324</v>
      </c>
      <c r="S2483">
        <v>179</v>
      </c>
      <c r="T2483">
        <v>119</v>
      </c>
      <c r="U2483">
        <v>34</v>
      </c>
      <c r="V2483" t="s">
        <v>1040</v>
      </c>
      <c r="W2483">
        <v>33467</v>
      </c>
      <c r="X2483" t="s">
        <v>3180</v>
      </c>
      <c r="Y2483">
        <v>29853</v>
      </c>
      <c r="Z2483">
        <v>1137878</v>
      </c>
      <c r="AA2483">
        <v>122876</v>
      </c>
      <c r="AB2483" t="str">
        <f>(VLOOKUP(SalesData[[#This Row],[Month Number]],Reference!C$5:E$16,2,FALSE))</f>
        <v>Feb</v>
      </c>
      <c r="AC2483">
        <f>MONTH(SalesData[[#This Row],[Date]])</f>
        <v>2</v>
      </c>
      <c r="AD2483">
        <f>Reference!F$4</f>
        <v>2026</v>
      </c>
      <c r="AE2483" t="str">
        <f>IF(OR(SalesData[[#This Row],[Day]]="Saturday",SalesData[[#This Row],[Day]]="Sunday"),"Weekend","Weekday")</f>
        <v>Weekend</v>
      </c>
      <c r="AF2483" s="5">
        <f>IF(SalesData[[#This Row],[Contracts Offered]]=0,0,SalesData[[#This Row],[Contracts Signed]]/SalesData[[#This Row],[Contracts Offered]])</f>
        <v>0.2857142857142857</v>
      </c>
      <c r="AG2483" s="5">
        <f>IF(SalesData[[#This Row],[Customers Visited]]=0,0,SalesData[[#This Row],[Test Drives]]/SalesData[[#This Row],[Customers Visited]])</f>
        <v>0.55246913580246915</v>
      </c>
      <c r="AH2483" s="5">
        <f>IF(SalesData[[#This Row],[Customers Visited]]=0,0,SalesData[[#This Row],[Contracts Signed]]/SalesData[[#This Row],[Customers Visited]])</f>
        <v>0.10493827160493827</v>
      </c>
      <c r="AI2483" s="6">
        <f>IF(SalesData[[#This Row],[Contracts Signed]]=0,0,SalesData[[#This Row],[Profit(€)]]/SalesData[[#This Row],[Contracts Signed]])</f>
        <v>3614</v>
      </c>
      <c r="AJ2483" s="5" t="str">
        <f>TRIM(CLEAN(SalesData[[#This Row],[Retailer]]))</f>
        <v>Autohaus Berlin</v>
      </c>
    </row>
    <row r="2484" spans="1:36" ht="14.25" hidden="1" x14ac:dyDescent="0.2">
      <c r="A2484" t="s">
        <v>3565</v>
      </c>
      <c r="B2484" s="1">
        <v>46081</v>
      </c>
      <c r="C2484" t="s">
        <v>53</v>
      </c>
      <c r="D2484" t="s">
        <v>151</v>
      </c>
      <c r="E2484" t="s">
        <v>42</v>
      </c>
      <c r="F2484" t="s">
        <v>127</v>
      </c>
      <c r="G2484" t="s">
        <v>128</v>
      </c>
      <c r="H2484" t="s">
        <v>103</v>
      </c>
      <c r="I2484" t="s">
        <v>64</v>
      </c>
      <c r="J2484" t="s">
        <v>111</v>
      </c>
      <c r="K2484" t="s">
        <v>91</v>
      </c>
      <c r="L2484" t="s">
        <v>46</v>
      </c>
      <c r="M2484" t="s">
        <v>87</v>
      </c>
      <c r="N2484" t="s">
        <v>35</v>
      </c>
      <c r="O2484" t="s">
        <v>70</v>
      </c>
      <c r="P2484" t="s">
        <v>58</v>
      </c>
      <c r="Q2484" t="s">
        <v>347</v>
      </c>
      <c r="R2484">
        <v>227</v>
      </c>
      <c r="S2484">
        <v>111</v>
      </c>
      <c r="T2484">
        <v>74</v>
      </c>
      <c r="U2484">
        <v>28</v>
      </c>
      <c r="V2484" t="s">
        <v>6674</v>
      </c>
      <c r="W2484">
        <v>59593</v>
      </c>
      <c r="X2484" t="s">
        <v>2192</v>
      </c>
      <c r="Y2484">
        <v>45462</v>
      </c>
      <c r="Z2484">
        <v>1668604</v>
      </c>
      <c r="AA2484">
        <v>395668</v>
      </c>
      <c r="AB2484" t="str">
        <f>(VLOOKUP(SalesData[[#This Row],[Month Number]],Reference!C$5:E$16,2,FALSE))</f>
        <v>Feb</v>
      </c>
      <c r="AC2484">
        <f>MONTH(SalesData[[#This Row],[Date]])</f>
        <v>2</v>
      </c>
      <c r="AD2484">
        <f>Reference!F$4</f>
        <v>2026</v>
      </c>
      <c r="AE2484" t="str">
        <f>IF(OR(SalesData[[#This Row],[Day]]="Saturday",SalesData[[#This Row],[Day]]="Sunday"),"Weekend","Weekday")</f>
        <v>Weekend</v>
      </c>
      <c r="AF2484" s="5">
        <f>IF(SalesData[[#This Row],[Contracts Offered]]=0,0,SalesData[[#This Row],[Contracts Signed]]/SalesData[[#This Row],[Contracts Offered]])</f>
        <v>0.3783783783783784</v>
      </c>
      <c r="AG2484" s="5">
        <f>IF(SalesData[[#This Row],[Customers Visited]]=0,0,SalesData[[#This Row],[Test Drives]]/SalesData[[#This Row],[Customers Visited]])</f>
        <v>0.48898678414096919</v>
      </c>
      <c r="AH2484" s="5">
        <f>IF(SalesData[[#This Row],[Customers Visited]]=0,0,SalesData[[#This Row],[Contracts Signed]]/SalesData[[#This Row],[Customers Visited]])</f>
        <v>0.12334801762114538</v>
      </c>
      <c r="AI2484" s="6">
        <f>IF(SalesData[[#This Row],[Contracts Signed]]=0,0,SalesData[[#This Row],[Profit(€)]]/SalesData[[#This Row],[Contracts Signed]])</f>
        <v>14131</v>
      </c>
      <c r="AJ2484" s="5" t="str">
        <f>TRIM(CLEAN(SalesData[[#This Row],[Retailer]]))</f>
        <v>Rhein Auto Group</v>
      </c>
    </row>
    <row r="2485" spans="1:36" ht="14.25" hidden="1" x14ac:dyDescent="0.2">
      <c r="A2485" t="s">
        <v>3566</v>
      </c>
      <c r="B2485" s="1">
        <v>46076</v>
      </c>
      <c r="C2485" t="s">
        <v>53</v>
      </c>
      <c r="D2485" t="s">
        <v>25</v>
      </c>
      <c r="E2485" t="s">
        <v>26</v>
      </c>
      <c r="F2485" t="s">
        <v>114</v>
      </c>
      <c r="G2485" t="s">
        <v>115</v>
      </c>
      <c r="H2485" t="s">
        <v>115</v>
      </c>
      <c r="I2485" t="s">
        <v>56</v>
      </c>
      <c r="J2485" t="s">
        <v>97</v>
      </c>
      <c r="K2485" t="s">
        <v>66</v>
      </c>
      <c r="L2485" t="s">
        <v>33</v>
      </c>
      <c r="M2485" t="s">
        <v>87</v>
      </c>
      <c r="N2485" t="s">
        <v>69</v>
      </c>
      <c r="O2485" t="s">
        <v>70</v>
      </c>
      <c r="P2485" t="s">
        <v>37</v>
      </c>
      <c r="Q2485" t="s">
        <v>240</v>
      </c>
      <c r="R2485">
        <v>224</v>
      </c>
      <c r="S2485">
        <v>142</v>
      </c>
      <c r="T2485">
        <v>93</v>
      </c>
      <c r="U2485">
        <v>29</v>
      </c>
      <c r="V2485" t="s">
        <v>7541</v>
      </c>
      <c r="W2485">
        <v>46216</v>
      </c>
      <c r="X2485" t="s">
        <v>119</v>
      </c>
      <c r="Y2485">
        <v>34727</v>
      </c>
      <c r="Z2485">
        <v>1340264</v>
      </c>
      <c r="AA2485">
        <v>333181</v>
      </c>
      <c r="AB2485" t="str">
        <f>(VLOOKUP(SalesData[[#This Row],[Month Number]],Reference!C$5:E$16,2,FALSE))</f>
        <v>Feb</v>
      </c>
      <c r="AC2485">
        <f>MONTH(SalesData[[#This Row],[Date]])</f>
        <v>2</v>
      </c>
      <c r="AD2485">
        <f>Reference!F$4</f>
        <v>2026</v>
      </c>
      <c r="AE2485" t="str">
        <f>IF(OR(SalesData[[#This Row],[Day]]="Saturday",SalesData[[#This Row],[Day]]="Sunday"),"Weekend","Weekday")</f>
        <v>Weekday</v>
      </c>
      <c r="AF2485" s="5">
        <f>IF(SalesData[[#This Row],[Contracts Offered]]=0,0,SalesData[[#This Row],[Contracts Signed]]/SalesData[[#This Row],[Contracts Offered]])</f>
        <v>0.31182795698924731</v>
      </c>
      <c r="AG2485" s="5">
        <f>IF(SalesData[[#This Row],[Customers Visited]]=0,0,SalesData[[#This Row],[Test Drives]]/SalesData[[#This Row],[Customers Visited]])</f>
        <v>0.6339285714285714</v>
      </c>
      <c r="AH2485" s="5">
        <f>IF(SalesData[[#This Row],[Customers Visited]]=0,0,SalesData[[#This Row],[Contracts Signed]]/SalesData[[#This Row],[Customers Visited]])</f>
        <v>0.12946428571428573</v>
      </c>
      <c r="AI2485" s="6">
        <f>IF(SalesData[[#This Row],[Contracts Signed]]=0,0,SalesData[[#This Row],[Profit(€)]]/SalesData[[#This Row],[Contracts Signed]])</f>
        <v>11489</v>
      </c>
      <c r="AJ2485" s="5" t="str">
        <f>TRIM(CLEAN(SalesData[[#This Row],[Retailer]]))</f>
        <v>Elbe Drive</v>
      </c>
    </row>
    <row r="2486" spans="1:36" ht="14.25" x14ac:dyDescent="0.2">
      <c r="A2486" t="s">
        <v>3567</v>
      </c>
      <c r="B2486" s="1">
        <v>46057</v>
      </c>
      <c r="C2486" t="s">
        <v>24</v>
      </c>
      <c r="D2486" t="s">
        <v>82</v>
      </c>
      <c r="E2486" t="s">
        <v>26</v>
      </c>
      <c r="F2486" t="s">
        <v>83</v>
      </c>
      <c r="G2486" t="s">
        <v>84</v>
      </c>
      <c r="H2486" t="s">
        <v>85</v>
      </c>
      <c r="I2486" t="s">
        <v>30</v>
      </c>
      <c r="J2486" t="s">
        <v>86</v>
      </c>
      <c r="K2486" t="s">
        <v>91</v>
      </c>
      <c r="L2486" t="s">
        <v>33</v>
      </c>
      <c r="M2486" t="s">
        <v>87</v>
      </c>
      <c r="N2486" t="s">
        <v>69</v>
      </c>
      <c r="O2486" t="s">
        <v>70</v>
      </c>
      <c r="P2486" t="s">
        <v>58</v>
      </c>
      <c r="Q2486" t="s">
        <v>158</v>
      </c>
      <c r="R2486">
        <v>222</v>
      </c>
      <c r="S2486">
        <v>129</v>
      </c>
      <c r="T2486">
        <v>100</v>
      </c>
      <c r="U2486">
        <v>37</v>
      </c>
      <c r="V2486" t="s">
        <v>6866</v>
      </c>
      <c r="W2486">
        <v>64457</v>
      </c>
      <c r="X2486" t="s">
        <v>7193</v>
      </c>
      <c r="Y2486">
        <v>48604</v>
      </c>
      <c r="Z2486">
        <v>2384909</v>
      </c>
      <c r="AA2486">
        <v>586561</v>
      </c>
      <c r="AB2486" t="str">
        <f>(VLOOKUP(SalesData[[#This Row],[Month Number]],Reference!C$5:E$16,2,FALSE))</f>
        <v>Feb</v>
      </c>
      <c r="AC2486">
        <f>MONTH(SalesData[[#This Row],[Date]])</f>
        <v>2</v>
      </c>
      <c r="AD2486">
        <f>Reference!F$4</f>
        <v>2026</v>
      </c>
      <c r="AE2486" t="str">
        <f>IF(OR(SalesData[[#This Row],[Day]]="Saturday",SalesData[[#This Row],[Day]]="Sunday"),"Weekend","Weekday")</f>
        <v>Weekday</v>
      </c>
      <c r="AF2486" s="5">
        <f>IF(SalesData[[#This Row],[Contracts Offered]]=0,0,SalesData[[#This Row],[Contracts Signed]]/SalesData[[#This Row],[Contracts Offered]])</f>
        <v>0.37</v>
      </c>
      <c r="AG2486" s="5">
        <f>IF(SalesData[[#This Row],[Customers Visited]]=0,0,SalesData[[#This Row],[Test Drives]]/SalesData[[#This Row],[Customers Visited]])</f>
        <v>0.58108108108108103</v>
      </c>
      <c r="AH2486" s="5">
        <f>IF(SalesData[[#This Row],[Customers Visited]]=0,0,SalesData[[#This Row],[Contracts Signed]]/SalesData[[#This Row],[Customers Visited]])</f>
        <v>0.16666666666666666</v>
      </c>
      <c r="AI2486" s="6">
        <f>IF(SalesData[[#This Row],[Contracts Signed]]=0,0,SalesData[[#This Row],[Profit(€)]]/SalesData[[#This Row],[Contracts Signed]])</f>
        <v>15853</v>
      </c>
      <c r="AJ2486" s="5" t="str">
        <f>TRIM(CLEAN(SalesData[[#This Row],[Retailer]]))</f>
        <v>Hannover Cars</v>
      </c>
    </row>
    <row r="2487" spans="1:36" ht="14.25" hidden="1" x14ac:dyDescent="0.2">
      <c r="A2487" t="s">
        <v>3568</v>
      </c>
      <c r="B2487" s="1">
        <v>46070</v>
      </c>
      <c r="C2487" t="s">
        <v>62</v>
      </c>
      <c r="D2487" t="s">
        <v>63</v>
      </c>
      <c r="E2487" t="s">
        <v>26</v>
      </c>
      <c r="F2487" t="s">
        <v>94</v>
      </c>
      <c r="G2487" t="s">
        <v>95</v>
      </c>
      <c r="H2487" t="s">
        <v>96</v>
      </c>
      <c r="I2487" t="s">
        <v>116</v>
      </c>
      <c r="J2487" t="s">
        <v>117</v>
      </c>
      <c r="K2487" t="s">
        <v>66</v>
      </c>
      <c r="L2487" t="s">
        <v>67</v>
      </c>
      <c r="M2487" t="s">
        <v>47</v>
      </c>
      <c r="N2487" t="s">
        <v>69</v>
      </c>
      <c r="O2487" t="s">
        <v>36</v>
      </c>
      <c r="P2487" t="s">
        <v>37</v>
      </c>
      <c r="Q2487" t="s">
        <v>240</v>
      </c>
      <c r="R2487">
        <v>337</v>
      </c>
      <c r="S2487">
        <v>148</v>
      </c>
      <c r="T2487">
        <v>83</v>
      </c>
      <c r="U2487">
        <v>24</v>
      </c>
      <c r="V2487" t="s">
        <v>767</v>
      </c>
      <c r="W2487">
        <v>20788</v>
      </c>
      <c r="X2487" t="s">
        <v>7542</v>
      </c>
      <c r="Y2487">
        <v>19234</v>
      </c>
      <c r="Z2487">
        <v>498912</v>
      </c>
      <c r="AA2487">
        <v>37296</v>
      </c>
      <c r="AB2487" t="str">
        <f>(VLOOKUP(SalesData[[#This Row],[Month Number]],Reference!C$5:E$16,2,FALSE))</f>
        <v>Feb</v>
      </c>
      <c r="AC2487">
        <f>MONTH(SalesData[[#This Row],[Date]])</f>
        <v>2</v>
      </c>
      <c r="AD2487">
        <f>Reference!F$4</f>
        <v>2026</v>
      </c>
      <c r="AE2487" t="str">
        <f>IF(OR(SalesData[[#This Row],[Day]]="Saturday",SalesData[[#This Row],[Day]]="Sunday"),"Weekend","Weekday")</f>
        <v>Weekday</v>
      </c>
      <c r="AF2487" s="5">
        <f>IF(SalesData[[#This Row],[Contracts Offered]]=0,0,SalesData[[#This Row],[Contracts Signed]]/SalesData[[#This Row],[Contracts Offered]])</f>
        <v>0.28915662650602408</v>
      </c>
      <c r="AG2487" s="5">
        <f>IF(SalesData[[#This Row],[Customers Visited]]=0,0,SalesData[[#This Row],[Test Drives]]/SalesData[[#This Row],[Customers Visited]])</f>
        <v>0.43916913946587538</v>
      </c>
      <c r="AH2487" s="5">
        <f>IF(SalesData[[#This Row],[Customers Visited]]=0,0,SalesData[[#This Row],[Contracts Signed]]/SalesData[[#This Row],[Customers Visited]])</f>
        <v>7.1216617210682495E-2</v>
      </c>
      <c r="AI2487" s="6">
        <f>IF(SalesData[[#This Row],[Contracts Signed]]=0,0,SalesData[[#This Row],[Profit(€)]]/SalesData[[#This Row],[Contracts Signed]])</f>
        <v>1554</v>
      </c>
      <c r="AJ2487" s="5" t="str">
        <f>TRIM(CLEAN(SalesData[[#This Row],[Retailer]]))</f>
        <v>Bavaria Motors</v>
      </c>
    </row>
    <row r="2488" spans="1:36" ht="14.25" hidden="1" x14ac:dyDescent="0.2">
      <c r="A2488" t="s">
        <v>3569</v>
      </c>
      <c r="B2488" s="1">
        <v>46073</v>
      </c>
      <c r="C2488" t="s">
        <v>62</v>
      </c>
      <c r="D2488" t="s">
        <v>54</v>
      </c>
      <c r="E2488" t="s">
        <v>26</v>
      </c>
      <c r="F2488" t="s">
        <v>101</v>
      </c>
      <c r="G2488" t="s">
        <v>102</v>
      </c>
      <c r="H2488" t="s">
        <v>103</v>
      </c>
      <c r="I2488" t="s">
        <v>104</v>
      </c>
      <c r="J2488" t="s">
        <v>140</v>
      </c>
      <c r="K2488" t="s">
        <v>66</v>
      </c>
      <c r="L2488" t="s">
        <v>46</v>
      </c>
      <c r="M2488" t="s">
        <v>68</v>
      </c>
      <c r="N2488" t="s">
        <v>35</v>
      </c>
      <c r="O2488" t="s">
        <v>70</v>
      </c>
      <c r="P2488" t="s">
        <v>58</v>
      </c>
      <c r="Q2488" t="s">
        <v>129</v>
      </c>
      <c r="R2488">
        <v>362</v>
      </c>
      <c r="S2488">
        <v>195</v>
      </c>
      <c r="T2488">
        <v>119</v>
      </c>
      <c r="U2488">
        <v>36</v>
      </c>
      <c r="V2488" t="s">
        <v>1584</v>
      </c>
      <c r="W2488">
        <v>31686</v>
      </c>
      <c r="X2488" t="s">
        <v>1874</v>
      </c>
      <c r="Y2488">
        <v>27954</v>
      </c>
      <c r="Z2488">
        <v>1140696</v>
      </c>
      <c r="AA2488">
        <v>134352</v>
      </c>
      <c r="AB2488" t="str">
        <f>(VLOOKUP(SalesData[[#This Row],[Month Number]],Reference!C$5:E$16,2,FALSE))</f>
        <v>Feb</v>
      </c>
      <c r="AC2488">
        <f>MONTH(SalesData[[#This Row],[Date]])</f>
        <v>2</v>
      </c>
      <c r="AD2488">
        <f>Reference!F$4</f>
        <v>2026</v>
      </c>
      <c r="AE2488" t="str">
        <f>IF(OR(SalesData[[#This Row],[Day]]="Saturday",SalesData[[#This Row],[Day]]="Sunday"),"Weekend","Weekday")</f>
        <v>Weekday</v>
      </c>
      <c r="AF2488" s="5">
        <f>IF(SalesData[[#This Row],[Contracts Offered]]=0,0,SalesData[[#This Row],[Contracts Signed]]/SalesData[[#This Row],[Contracts Offered]])</f>
        <v>0.30252100840336132</v>
      </c>
      <c r="AG2488" s="5">
        <f>IF(SalesData[[#This Row],[Customers Visited]]=0,0,SalesData[[#This Row],[Test Drives]]/SalesData[[#This Row],[Customers Visited]])</f>
        <v>0.53867403314917128</v>
      </c>
      <c r="AH2488" s="5">
        <f>IF(SalesData[[#This Row],[Customers Visited]]=0,0,SalesData[[#This Row],[Contracts Signed]]/SalesData[[#This Row],[Customers Visited]])</f>
        <v>9.9447513812154692E-2</v>
      </c>
      <c r="AI2488" s="6">
        <f>IF(SalesData[[#This Row],[Contracts Signed]]=0,0,SalesData[[#This Row],[Profit(€)]]/SalesData[[#This Row],[Contracts Signed]])</f>
        <v>3732</v>
      </c>
      <c r="AJ2488" s="5" t="str">
        <f>TRIM(CLEAN(SalesData[[#This Row],[Retailer]]))</f>
        <v>Ruhr Auto Plaza</v>
      </c>
    </row>
    <row r="2489" spans="1:36" ht="14.25" hidden="1" x14ac:dyDescent="0.2">
      <c r="A2489" t="s">
        <v>3570</v>
      </c>
      <c r="B2489" s="1">
        <v>46061</v>
      </c>
      <c r="C2489" t="s">
        <v>121</v>
      </c>
      <c r="D2489" t="s">
        <v>41</v>
      </c>
      <c r="E2489" t="s">
        <v>42</v>
      </c>
      <c r="F2489" t="s">
        <v>94</v>
      </c>
      <c r="G2489" t="s">
        <v>95</v>
      </c>
      <c r="H2489" t="s">
        <v>96</v>
      </c>
      <c r="I2489" t="s">
        <v>116</v>
      </c>
      <c r="J2489" t="s">
        <v>7090</v>
      </c>
      <c r="K2489" t="s">
        <v>66</v>
      </c>
      <c r="L2489" t="s">
        <v>46</v>
      </c>
      <c r="M2489" t="s">
        <v>87</v>
      </c>
      <c r="N2489" t="s">
        <v>35</v>
      </c>
      <c r="O2489" t="s">
        <v>70</v>
      </c>
      <c r="P2489" t="s">
        <v>58</v>
      </c>
      <c r="Q2489" t="s">
        <v>347</v>
      </c>
      <c r="R2489">
        <v>286</v>
      </c>
      <c r="S2489">
        <v>143</v>
      </c>
      <c r="T2489">
        <v>87</v>
      </c>
      <c r="U2489">
        <v>26</v>
      </c>
      <c r="V2489" t="s">
        <v>752</v>
      </c>
      <c r="W2489">
        <v>22665</v>
      </c>
      <c r="X2489" t="s">
        <v>421</v>
      </c>
      <c r="Y2489">
        <v>20194</v>
      </c>
      <c r="Z2489">
        <v>589290</v>
      </c>
      <c r="AA2489">
        <v>64246</v>
      </c>
      <c r="AB2489" t="str">
        <f>(VLOOKUP(SalesData[[#This Row],[Month Number]],Reference!C$5:E$16,2,FALSE))</f>
        <v>Feb</v>
      </c>
      <c r="AC2489">
        <f>MONTH(SalesData[[#This Row],[Date]])</f>
        <v>2</v>
      </c>
      <c r="AD2489">
        <f>Reference!F$4</f>
        <v>2026</v>
      </c>
      <c r="AE2489" t="str">
        <f>IF(OR(SalesData[[#This Row],[Day]]="Saturday",SalesData[[#This Row],[Day]]="Sunday"),"Weekend","Weekday")</f>
        <v>Weekend</v>
      </c>
      <c r="AF2489" s="5">
        <f>IF(SalesData[[#This Row],[Contracts Offered]]=0,0,SalesData[[#This Row],[Contracts Signed]]/SalesData[[#This Row],[Contracts Offered]])</f>
        <v>0.2988505747126437</v>
      </c>
      <c r="AG2489" s="5">
        <f>IF(SalesData[[#This Row],[Customers Visited]]=0,0,SalesData[[#This Row],[Test Drives]]/SalesData[[#This Row],[Customers Visited]])</f>
        <v>0.5</v>
      </c>
      <c r="AH2489" s="5">
        <f>IF(SalesData[[#This Row],[Customers Visited]]=0,0,SalesData[[#This Row],[Contracts Signed]]/SalesData[[#This Row],[Customers Visited]])</f>
        <v>9.0909090909090912E-2</v>
      </c>
      <c r="AI2489" s="6">
        <f>IF(SalesData[[#This Row],[Contracts Signed]]=0,0,SalesData[[#This Row],[Profit(€)]]/SalesData[[#This Row],[Contracts Signed]])</f>
        <v>2471</v>
      </c>
      <c r="AJ2489" s="5" t="str">
        <f>TRIM(CLEAN(SalesData[[#This Row],[Retailer]]))</f>
        <v>Bavaria Motors</v>
      </c>
    </row>
    <row r="2490" spans="1:36" ht="14.25" x14ac:dyDescent="0.2">
      <c r="A2490" t="s">
        <v>3571</v>
      </c>
      <c r="B2490" s="1">
        <v>46061</v>
      </c>
      <c r="C2490" t="s">
        <v>121</v>
      </c>
      <c r="D2490" t="s">
        <v>41</v>
      </c>
      <c r="E2490" t="s">
        <v>42</v>
      </c>
      <c r="F2490" t="s">
        <v>7649</v>
      </c>
      <c r="G2490" t="s">
        <v>55</v>
      </c>
      <c r="H2490" t="s">
        <v>55</v>
      </c>
      <c r="I2490" t="s">
        <v>30</v>
      </c>
      <c r="J2490" t="s">
        <v>188</v>
      </c>
      <c r="K2490" t="s">
        <v>78</v>
      </c>
      <c r="L2490" t="s">
        <v>33</v>
      </c>
      <c r="M2490" t="s">
        <v>87</v>
      </c>
      <c r="N2490" t="s">
        <v>35</v>
      </c>
      <c r="O2490" t="s">
        <v>36</v>
      </c>
      <c r="P2490" t="s">
        <v>49</v>
      </c>
      <c r="Q2490" t="s">
        <v>347</v>
      </c>
      <c r="R2490">
        <v>227</v>
      </c>
      <c r="S2490">
        <v>102</v>
      </c>
      <c r="T2490">
        <v>76</v>
      </c>
      <c r="U2490">
        <v>26</v>
      </c>
      <c r="V2490" t="s">
        <v>6517</v>
      </c>
      <c r="W2490">
        <v>49405</v>
      </c>
      <c r="X2490" t="s">
        <v>4917</v>
      </c>
      <c r="Y2490">
        <v>36671</v>
      </c>
      <c r="Z2490">
        <v>1284530</v>
      </c>
      <c r="AA2490">
        <v>331084</v>
      </c>
      <c r="AB2490" t="str">
        <f>(VLOOKUP(SalesData[[#This Row],[Month Number]],Reference!C$5:E$16,2,FALSE))</f>
        <v>Feb</v>
      </c>
      <c r="AC2490">
        <f>MONTH(SalesData[[#This Row],[Date]])</f>
        <v>2</v>
      </c>
      <c r="AD2490">
        <f>Reference!F$4</f>
        <v>2026</v>
      </c>
      <c r="AE2490" t="str">
        <f>IF(OR(SalesData[[#This Row],[Day]]="Saturday",SalesData[[#This Row],[Day]]="Sunday"),"Weekend","Weekday")</f>
        <v>Weekend</v>
      </c>
      <c r="AF2490" s="5">
        <f>IF(SalesData[[#This Row],[Contracts Offered]]=0,0,SalesData[[#This Row],[Contracts Signed]]/SalesData[[#This Row],[Contracts Offered]])</f>
        <v>0.34210526315789475</v>
      </c>
      <c r="AG2490" s="5">
        <f>IF(SalesData[[#This Row],[Customers Visited]]=0,0,SalesData[[#This Row],[Test Drives]]/SalesData[[#This Row],[Customers Visited]])</f>
        <v>0.44933920704845814</v>
      </c>
      <c r="AH2490" s="5">
        <f>IF(SalesData[[#This Row],[Customers Visited]]=0,0,SalesData[[#This Row],[Contracts Signed]]/SalesData[[#This Row],[Customers Visited]])</f>
        <v>0.11453744493392071</v>
      </c>
      <c r="AI2490" s="6">
        <f>IF(SalesData[[#This Row],[Contracts Signed]]=0,0,SalesData[[#This Row],[Profit(€)]]/SalesData[[#This Row],[Contracts Signed]])</f>
        <v>12734</v>
      </c>
      <c r="AJ2490" s="5" t="str">
        <f>TRIM(CLEAN(SalesData[[#This Row],[Retailer]]))</f>
        <v>Autohaus Berlin</v>
      </c>
    </row>
    <row r="2491" spans="1:36" ht="14.25" hidden="1" x14ac:dyDescent="0.2">
      <c r="A2491" t="s">
        <v>3572</v>
      </c>
      <c r="B2491" s="1">
        <v>46071</v>
      </c>
      <c r="C2491" t="s">
        <v>62</v>
      </c>
      <c r="D2491" t="s">
        <v>82</v>
      </c>
      <c r="E2491" t="s">
        <v>26</v>
      </c>
      <c r="F2491" t="s">
        <v>109</v>
      </c>
      <c r="G2491" t="s">
        <v>110</v>
      </c>
      <c r="H2491" t="s">
        <v>45</v>
      </c>
      <c r="I2491" t="s">
        <v>104</v>
      </c>
      <c r="J2491" t="s">
        <v>7061</v>
      </c>
      <c r="K2491" t="s">
        <v>78</v>
      </c>
      <c r="L2491" t="s">
        <v>46</v>
      </c>
      <c r="M2491" t="s">
        <v>47</v>
      </c>
      <c r="N2491" t="s">
        <v>48</v>
      </c>
      <c r="O2491" t="s">
        <v>70</v>
      </c>
      <c r="P2491" t="s">
        <v>58</v>
      </c>
      <c r="Q2491" t="s">
        <v>347</v>
      </c>
      <c r="R2491">
        <v>504</v>
      </c>
      <c r="S2491">
        <v>203</v>
      </c>
      <c r="T2491">
        <v>117</v>
      </c>
      <c r="U2491">
        <v>32</v>
      </c>
      <c r="V2491" t="s">
        <v>1327</v>
      </c>
      <c r="W2491">
        <v>31723</v>
      </c>
      <c r="X2491" t="s">
        <v>4732</v>
      </c>
      <c r="Y2491">
        <v>28728</v>
      </c>
      <c r="Z2491">
        <v>1015136</v>
      </c>
      <c r="AA2491">
        <v>95840</v>
      </c>
      <c r="AB2491" t="str">
        <f>(VLOOKUP(SalesData[[#This Row],[Month Number]],Reference!C$5:E$16,2,FALSE))</f>
        <v>Feb</v>
      </c>
      <c r="AC2491">
        <f>MONTH(SalesData[[#This Row],[Date]])</f>
        <v>2</v>
      </c>
      <c r="AD2491">
        <f>Reference!F$4</f>
        <v>2026</v>
      </c>
      <c r="AE2491" t="str">
        <f>IF(OR(SalesData[[#This Row],[Day]]="Saturday",SalesData[[#This Row],[Day]]="Sunday"),"Weekend","Weekday")</f>
        <v>Weekday</v>
      </c>
      <c r="AF2491" s="5">
        <f>IF(SalesData[[#This Row],[Contracts Offered]]=0,0,SalesData[[#This Row],[Contracts Signed]]/SalesData[[#This Row],[Contracts Offered]])</f>
        <v>0.27350427350427353</v>
      </c>
      <c r="AG2491" s="5">
        <f>IF(SalesData[[#This Row],[Customers Visited]]=0,0,SalesData[[#This Row],[Test Drives]]/SalesData[[#This Row],[Customers Visited]])</f>
        <v>0.40277777777777779</v>
      </c>
      <c r="AH2491" s="5">
        <f>IF(SalesData[[#This Row],[Customers Visited]]=0,0,SalesData[[#This Row],[Contracts Signed]]/SalesData[[#This Row],[Customers Visited]])</f>
        <v>6.3492063492063489E-2</v>
      </c>
      <c r="AI2491" s="6">
        <f>IF(SalesData[[#This Row],[Contracts Signed]]=0,0,SalesData[[#This Row],[Profit(€)]]/SalesData[[#This Row],[Contracts Signed]])</f>
        <v>2995</v>
      </c>
      <c r="AJ2491" s="5" t="str">
        <f>TRIM(CLEAN(SalesData[[#This Row],[Retailer]]))</f>
        <v>Leipzig Mobility</v>
      </c>
    </row>
    <row r="2492" spans="1:36" ht="14.25" hidden="1" x14ac:dyDescent="0.2">
      <c r="A2492" t="s">
        <v>3573</v>
      </c>
      <c r="B2492" s="1">
        <v>46074</v>
      </c>
      <c r="C2492" t="s">
        <v>62</v>
      </c>
      <c r="D2492" t="s">
        <v>151</v>
      </c>
      <c r="E2492" t="s">
        <v>42</v>
      </c>
      <c r="F2492" t="s">
        <v>83</v>
      </c>
      <c r="G2492" t="s">
        <v>84</v>
      </c>
      <c r="H2492" t="s">
        <v>85</v>
      </c>
      <c r="I2492" t="s">
        <v>64</v>
      </c>
      <c r="J2492" t="s">
        <v>111</v>
      </c>
      <c r="K2492" t="s">
        <v>32</v>
      </c>
      <c r="L2492" t="s">
        <v>46</v>
      </c>
      <c r="M2492" t="s">
        <v>87</v>
      </c>
      <c r="N2492" t="s">
        <v>35</v>
      </c>
      <c r="O2492" t="s">
        <v>70</v>
      </c>
      <c r="P2492" t="s">
        <v>71</v>
      </c>
      <c r="Q2492" t="s">
        <v>169</v>
      </c>
      <c r="R2492">
        <v>264</v>
      </c>
      <c r="S2492">
        <v>131</v>
      </c>
      <c r="T2492">
        <v>95</v>
      </c>
      <c r="U2492">
        <v>30</v>
      </c>
      <c r="V2492" t="s">
        <v>6796</v>
      </c>
      <c r="W2492">
        <v>57149</v>
      </c>
      <c r="X2492" t="s">
        <v>7036</v>
      </c>
      <c r="Y2492">
        <v>44782</v>
      </c>
      <c r="Z2492">
        <v>1714470</v>
      </c>
      <c r="AA2492">
        <v>371010</v>
      </c>
      <c r="AB2492" t="str">
        <f>(VLOOKUP(SalesData[[#This Row],[Month Number]],Reference!C$5:E$16,2,FALSE))</f>
        <v>Feb</v>
      </c>
      <c r="AC2492">
        <f>MONTH(SalesData[[#This Row],[Date]])</f>
        <v>2</v>
      </c>
      <c r="AD2492">
        <f>Reference!F$4</f>
        <v>2026</v>
      </c>
      <c r="AE2492" t="str">
        <f>IF(OR(SalesData[[#This Row],[Day]]="Saturday",SalesData[[#This Row],[Day]]="Sunday"),"Weekend","Weekday")</f>
        <v>Weekend</v>
      </c>
      <c r="AF2492" s="5">
        <f>IF(SalesData[[#This Row],[Contracts Offered]]=0,0,SalesData[[#This Row],[Contracts Signed]]/SalesData[[#This Row],[Contracts Offered]])</f>
        <v>0.31578947368421051</v>
      </c>
      <c r="AG2492" s="5">
        <f>IF(SalesData[[#This Row],[Customers Visited]]=0,0,SalesData[[#This Row],[Test Drives]]/SalesData[[#This Row],[Customers Visited]])</f>
        <v>0.49621212121212122</v>
      </c>
      <c r="AH2492" s="5">
        <f>IF(SalesData[[#This Row],[Customers Visited]]=0,0,SalesData[[#This Row],[Contracts Signed]]/SalesData[[#This Row],[Customers Visited]])</f>
        <v>0.11363636363636363</v>
      </c>
      <c r="AI2492" s="6">
        <f>IF(SalesData[[#This Row],[Contracts Signed]]=0,0,SalesData[[#This Row],[Profit(€)]]/SalesData[[#This Row],[Contracts Signed]])</f>
        <v>12367</v>
      </c>
      <c r="AJ2492" s="5" t="str">
        <f>TRIM(CLEAN(SalesData[[#This Row],[Retailer]]))</f>
        <v>Hannover Cars</v>
      </c>
    </row>
    <row r="2493" spans="1:36" ht="14.25" hidden="1" x14ac:dyDescent="0.2">
      <c r="A2493" t="s">
        <v>3574</v>
      </c>
      <c r="B2493" s="1">
        <v>46065</v>
      </c>
      <c r="C2493" t="s">
        <v>121</v>
      </c>
      <c r="D2493" t="s">
        <v>100</v>
      </c>
      <c r="E2493" t="s">
        <v>26</v>
      </c>
      <c r="F2493" t="s">
        <v>101</v>
      </c>
      <c r="G2493" t="s">
        <v>102</v>
      </c>
      <c r="H2493" t="s">
        <v>103</v>
      </c>
      <c r="I2493" t="s">
        <v>104</v>
      </c>
      <c r="J2493" t="s">
        <v>143</v>
      </c>
      <c r="K2493" t="s">
        <v>32</v>
      </c>
      <c r="L2493" t="s">
        <v>67</v>
      </c>
      <c r="M2493" t="s">
        <v>47</v>
      </c>
      <c r="N2493" t="s">
        <v>48</v>
      </c>
      <c r="O2493" t="s">
        <v>70</v>
      </c>
      <c r="P2493" t="s">
        <v>71</v>
      </c>
      <c r="Q2493" t="s">
        <v>79</v>
      </c>
      <c r="R2493">
        <v>451</v>
      </c>
      <c r="S2493">
        <v>219</v>
      </c>
      <c r="T2493">
        <v>136</v>
      </c>
      <c r="U2493">
        <v>38</v>
      </c>
      <c r="V2493" t="s">
        <v>3724</v>
      </c>
      <c r="W2493">
        <v>29456</v>
      </c>
      <c r="X2493" t="s">
        <v>394</v>
      </c>
      <c r="Y2493">
        <v>25730</v>
      </c>
      <c r="Z2493">
        <v>1119328</v>
      </c>
      <c r="AA2493">
        <v>141588</v>
      </c>
      <c r="AB2493" t="str">
        <f>(VLOOKUP(SalesData[[#This Row],[Month Number]],Reference!C$5:E$16,2,FALSE))</f>
        <v>Feb</v>
      </c>
      <c r="AC2493">
        <f>MONTH(SalesData[[#This Row],[Date]])</f>
        <v>2</v>
      </c>
      <c r="AD2493">
        <f>Reference!F$4</f>
        <v>2026</v>
      </c>
      <c r="AE2493" t="str">
        <f>IF(OR(SalesData[[#This Row],[Day]]="Saturday",SalesData[[#This Row],[Day]]="Sunday"),"Weekend","Weekday")</f>
        <v>Weekday</v>
      </c>
      <c r="AF2493" s="5">
        <f>IF(SalesData[[#This Row],[Contracts Offered]]=0,0,SalesData[[#This Row],[Contracts Signed]]/SalesData[[#This Row],[Contracts Offered]])</f>
        <v>0.27941176470588236</v>
      </c>
      <c r="AG2493" s="5">
        <f>IF(SalesData[[#This Row],[Customers Visited]]=0,0,SalesData[[#This Row],[Test Drives]]/SalesData[[#This Row],[Customers Visited]])</f>
        <v>0.48558758314855877</v>
      </c>
      <c r="AH2493" s="5">
        <f>IF(SalesData[[#This Row],[Customers Visited]]=0,0,SalesData[[#This Row],[Contracts Signed]]/SalesData[[#This Row],[Customers Visited]])</f>
        <v>8.4257206208425722E-2</v>
      </c>
      <c r="AI2493" s="6">
        <f>IF(SalesData[[#This Row],[Contracts Signed]]=0,0,SalesData[[#This Row],[Profit(€)]]/SalesData[[#This Row],[Contracts Signed]])</f>
        <v>3726</v>
      </c>
      <c r="AJ2493" s="5" t="str">
        <f>TRIM(CLEAN(SalesData[[#This Row],[Retailer]]))</f>
        <v>Ruhr Auto Plaza</v>
      </c>
    </row>
    <row r="2494" spans="1:36" ht="14.25" hidden="1" x14ac:dyDescent="0.2">
      <c r="A2494" t="s">
        <v>3575</v>
      </c>
      <c r="B2494" s="1">
        <v>46075</v>
      </c>
      <c r="C2494" t="s">
        <v>53</v>
      </c>
      <c r="D2494" t="s">
        <v>41</v>
      </c>
      <c r="E2494" t="s">
        <v>42</v>
      </c>
      <c r="F2494" t="s">
        <v>7649</v>
      </c>
      <c r="G2494" t="s">
        <v>55</v>
      </c>
      <c r="H2494" t="s">
        <v>55</v>
      </c>
      <c r="I2494" t="s">
        <v>64</v>
      </c>
      <c r="J2494" t="s">
        <v>111</v>
      </c>
      <c r="K2494" t="s">
        <v>78</v>
      </c>
      <c r="L2494" t="s">
        <v>46</v>
      </c>
      <c r="M2494" t="s">
        <v>87</v>
      </c>
      <c r="N2494" t="s">
        <v>48</v>
      </c>
      <c r="O2494" t="s">
        <v>36</v>
      </c>
      <c r="P2494" t="s">
        <v>71</v>
      </c>
      <c r="Q2494" t="s">
        <v>122</v>
      </c>
      <c r="R2494">
        <v>218</v>
      </c>
      <c r="S2494">
        <v>126</v>
      </c>
      <c r="T2494">
        <v>88</v>
      </c>
      <c r="U2494">
        <v>34</v>
      </c>
      <c r="V2494" t="s">
        <v>6955</v>
      </c>
      <c r="W2494">
        <v>65413</v>
      </c>
      <c r="X2494" t="s">
        <v>7517</v>
      </c>
      <c r="Y2494">
        <v>47823</v>
      </c>
      <c r="Z2494">
        <v>2224042</v>
      </c>
      <c r="AA2494">
        <v>598060</v>
      </c>
      <c r="AB2494" t="str">
        <f>(VLOOKUP(SalesData[[#This Row],[Month Number]],Reference!C$5:E$16,2,FALSE))</f>
        <v>Feb</v>
      </c>
      <c r="AC2494">
        <f>MONTH(SalesData[[#This Row],[Date]])</f>
        <v>2</v>
      </c>
      <c r="AD2494">
        <f>Reference!F$4</f>
        <v>2026</v>
      </c>
      <c r="AE2494" t="str">
        <f>IF(OR(SalesData[[#This Row],[Day]]="Saturday",SalesData[[#This Row],[Day]]="Sunday"),"Weekend","Weekday")</f>
        <v>Weekend</v>
      </c>
      <c r="AF2494" s="5">
        <f>IF(SalesData[[#This Row],[Contracts Offered]]=0,0,SalesData[[#This Row],[Contracts Signed]]/SalesData[[#This Row],[Contracts Offered]])</f>
        <v>0.38636363636363635</v>
      </c>
      <c r="AG2494" s="5">
        <f>IF(SalesData[[#This Row],[Customers Visited]]=0,0,SalesData[[#This Row],[Test Drives]]/SalesData[[#This Row],[Customers Visited]])</f>
        <v>0.57798165137614677</v>
      </c>
      <c r="AH2494" s="5">
        <f>IF(SalesData[[#This Row],[Customers Visited]]=0,0,SalesData[[#This Row],[Contracts Signed]]/SalesData[[#This Row],[Customers Visited]])</f>
        <v>0.15596330275229359</v>
      </c>
      <c r="AI2494" s="6">
        <f>IF(SalesData[[#This Row],[Contracts Signed]]=0,0,SalesData[[#This Row],[Profit(€)]]/SalesData[[#This Row],[Contracts Signed]])</f>
        <v>17590</v>
      </c>
      <c r="AJ2494" s="5" t="str">
        <f>TRIM(CLEAN(SalesData[[#This Row],[Retailer]]))</f>
        <v>Autohaus Berlin</v>
      </c>
    </row>
    <row r="2495" spans="1:36" ht="14.25" x14ac:dyDescent="0.2">
      <c r="A2495" t="s">
        <v>3576</v>
      </c>
      <c r="B2495" s="1">
        <v>46056</v>
      </c>
      <c r="C2495" t="s">
        <v>24</v>
      </c>
      <c r="D2495" t="s">
        <v>63</v>
      </c>
      <c r="E2495" t="s">
        <v>26</v>
      </c>
      <c r="F2495" t="s">
        <v>127</v>
      </c>
      <c r="G2495" t="s">
        <v>128</v>
      </c>
      <c r="H2495" t="s">
        <v>103</v>
      </c>
      <c r="I2495" t="s">
        <v>30</v>
      </c>
      <c r="J2495" t="s">
        <v>188</v>
      </c>
      <c r="K2495" t="s">
        <v>78</v>
      </c>
      <c r="L2495" t="s">
        <v>33</v>
      </c>
      <c r="M2495" t="s">
        <v>47</v>
      </c>
      <c r="N2495" t="s">
        <v>69</v>
      </c>
      <c r="O2495" t="s">
        <v>70</v>
      </c>
      <c r="P2495" t="s">
        <v>58</v>
      </c>
      <c r="Q2495" t="s">
        <v>38</v>
      </c>
      <c r="R2495">
        <v>253</v>
      </c>
      <c r="S2495">
        <v>115</v>
      </c>
      <c r="T2495">
        <v>87</v>
      </c>
      <c r="U2495">
        <v>37</v>
      </c>
      <c r="V2495" t="s">
        <v>7499</v>
      </c>
      <c r="W2495">
        <v>60333</v>
      </c>
      <c r="X2495" t="s">
        <v>307</v>
      </c>
      <c r="Y2495">
        <v>43361</v>
      </c>
      <c r="Z2495">
        <v>2232321</v>
      </c>
      <c r="AA2495">
        <v>627964</v>
      </c>
      <c r="AB2495" t="str">
        <f>(VLOOKUP(SalesData[[#This Row],[Month Number]],Reference!C$5:E$16,2,FALSE))</f>
        <v>Feb</v>
      </c>
      <c r="AC2495">
        <f>MONTH(SalesData[[#This Row],[Date]])</f>
        <v>2</v>
      </c>
      <c r="AD2495">
        <f>Reference!F$4</f>
        <v>2026</v>
      </c>
      <c r="AE2495" t="str">
        <f>IF(OR(SalesData[[#This Row],[Day]]="Saturday",SalesData[[#This Row],[Day]]="Sunday"),"Weekend","Weekday")</f>
        <v>Weekday</v>
      </c>
      <c r="AF2495" s="5">
        <f>IF(SalesData[[#This Row],[Contracts Offered]]=0,0,SalesData[[#This Row],[Contracts Signed]]/SalesData[[#This Row],[Contracts Offered]])</f>
        <v>0.42528735632183906</v>
      </c>
      <c r="AG2495" s="5">
        <f>IF(SalesData[[#This Row],[Customers Visited]]=0,0,SalesData[[#This Row],[Test Drives]]/SalesData[[#This Row],[Customers Visited]])</f>
        <v>0.45454545454545453</v>
      </c>
      <c r="AH2495" s="5">
        <f>IF(SalesData[[#This Row],[Customers Visited]]=0,0,SalesData[[#This Row],[Contracts Signed]]/SalesData[[#This Row],[Customers Visited]])</f>
        <v>0.14624505928853754</v>
      </c>
      <c r="AI2495" s="6">
        <f>IF(SalesData[[#This Row],[Contracts Signed]]=0,0,SalesData[[#This Row],[Profit(€)]]/SalesData[[#This Row],[Contracts Signed]])</f>
        <v>16972</v>
      </c>
      <c r="AJ2495" s="5" t="str">
        <f>TRIM(CLEAN(SalesData[[#This Row],[Retailer]]))</f>
        <v>Rhein Auto Group</v>
      </c>
    </row>
    <row r="2496" spans="1:36" ht="14.25" x14ac:dyDescent="0.2">
      <c r="A2496" t="s">
        <v>3577</v>
      </c>
      <c r="B2496" s="1">
        <v>46075</v>
      </c>
      <c r="C2496" t="s">
        <v>53</v>
      </c>
      <c r="D2496" t="s">
        <v>41</v>
      </c>
      <c r="E2496" t="s">
        <v>42</v>
      </c>
      <c r="F2496" t="s">
        <v>7649</v>
      </c>
      <c r="G2496" t="s">
        <v>55</v>
      </c>
      <c r="H2496" t="s">
        <v>55</v>
      </c>
      <c r="I2496" t="s">
        <v>30</v>
      </c>
      <c r="J2496" t="s">
        <v>86</v>
      </c>
      <c r="K2496" t="s">
        <v>66</v>
      </c>
      <c r="L2496" t="s">
        <v>33</v>
      </c>
      <c r="M2496" t="s">
        <v>87</v>
      </c>
      <c r="N2496" t="s">
        <v>35</v>
      </c>
      <c r="O2496" t="s">
        <v>70</v>
      </c>
      <c r="P2496" t="s">
        <v>71</v>
      </c>
      <c r="Q2496" t="s">
        <v>189</v>
      </c>
      <c r="R2496">
        <v>173</v>
      </c>
      <c r="S2496">
        <v>89</v>
      </c>
      <c r="T2496">
        <v>68</v>
      </c>
      <c r="U2496">
        <v>27</v>
      </c>
      <c r="V2496" t="s">
        <v>7245</v>
      </c>
      <c r="W2496">
        <v>51587</v>
      </c>
      <c r="X2496" t="s">
        <v>7093</v>
      </c>
      <c r="Y2496">
        <v>36206</v>
      </c>
      <c r="Z2496">
        <v>1392849</v>
      </c>
      <c r="AA2496">
        <v>415287</v>
      </c>
      <c r="AB2496" t="str">
        <f>(VLOOKUP(SalesData[[#This Row],[Month Number]],Reference!C$5:E$16,2,FALSE))</f>
        <v>Feb</v>
      </c>
      <c r="AC2496">
        <f>MONTH(SalesData[[#This Row],[Date]])</f>
        <v>2</v>
      </c>
      <c r="AD2496">
        <f>Reference!F$4</f>
        <v>2026</v>
      </c>
      <c r="AE2496" t="str">
        <f>IF(OR(SalesData[[#This Row],[Day]]="Saturday",SalesData[[#This Row],[Day]]="Sunday"),"Weekend","Weekday")</f>
        <v>Weekend</v>
      </c>
      <c r="AF2496" s="5">
        <f>IF(SalesData[[#This Row],[Contracts Offered]]=0,0,SalesData[[#This Row],[Contracts Signed]]/SalesData[[#This Row],[Contracts Offered]])</f>
        <v>0.39705882352941174</v>
      </c>
      <c r="AG2496" s="5">
        <f>IF(SalesData[[#This Row],[Customers Visited]]=0,0,SalesData[[#This Row],[Test Drives]]/SalesData[[#This Row],[Customers Visited]])</f>
        <v>0.51445086705202314</v>
      </c>
      <c r="AH2496" s="5">
        <f>IF(SalesData[[#This Row],[Customers Visited]]=0,0,SalesData[[#This Row],[Contracts Signed]]/SalesData[[#This Row],[Customers Visited]])</f>
        <v>0.15606936416184972</v>
      </c>
      <c r="AI2496" s="6">
        <f>IF(SalesData[[#This Row],[Contracts Signed]]=0,0,SalesData[[#This Row],[Profit(€)]]/SalesData[[#This Row],[Contracts Signed]])</f>
        <v>15381</v>
      </c>
      <c r="AJ2496" s="5" t="str">
        <f>TRIM(CLEAN(SalesData[[#This Row],[Retailer]]))</f>
        <v>Autohaus Berlin</v>
      </c>
    </row>
    <row r="2497" spans="1:36" ht="14.25" hidden="1" x14ac:dyDescent="0.2">
      <c r="A2497" t="s">
        <v>3579</v>
      </c>
      <c r="B2497" s="1">
        <v>46071</v>
      </c>
      <c r="C2497" t="s">
        <v>62</v>
      </c>
      <c r="D2497" t="s">
        <v>82</v>
      </c>
      <c r="E2497" t="s">
        <v>26</v>
      </c>
      <c r="F2497" t="s">
        <v>83</v>
      </c>
      <c r="G2497" t="s">
        <v>84</v>
      </c>
      <c r="H2497" t="s">
        <v>85</v>
      </c>
      <c r="I2497" t="s">
        <v>104</v>
      </c>
      <c r="J2497" t="s">
        <v>7031</v>
      </c>
      <c r="K2497" t="s">
        <v>78</v>
      </c>
      <c r="L2497" t="s">
        <v>46</v>
      </c>
      <c r="M2497" t="s">
        <v>34</v>
      </c>
      <c r="N2497" t="s">
        <v>69</v>
      </c>
      <c r="O2497" t="s">
        <v>70</v>
      </c>
      <c r="P2497" t="s">
        <v>49</v>
      </c>
      <c r="Q2497" t="s">
        <v>50</v>
      </c>
      <c r="R2497">
        <v>286</v>
      </c>
      <c r="S2497">
        <v>153</v>
      </c>
      <c r="T2497">
        <v>95</v>
      </c>
      <c r="U2497">
        <v>21</v>
      </c>
      <c r="V2497" t="s">
        <v>915</v>
      </c>
      <c r="W2497">
        <v>26575</v>
      </c>
      <c r="X2497" t="s">
        <v>273</v>
      </c>
      <c r="Y2497">
        <v>23201</v>
      </c>
      <c r="Z2497">
        <v>558075</v>
      </c>
      <c r="AA2497">
        <v>70854</v>
      </c>
      <c r="AB2497" t="str">
        <f>(VLOOKUP(SalesData[[#This Row],[Month Number]],Reference!C$5:E$16,2,FALSE))</f>
        <v>Feb</v>
      </c>
      <c r="AC2497">
        <f>MONTH(SalesData[[#This Row],[Date]])</f>
        <v>2</v>
      </c>
      <c r="AD2497">
        <f>Reference!F$4</f>
        <v>2026</v>
      </c>
      <c r="AE2497" t="str">
        <f>IF(OR(SalesData[[#This Row],[Day]]="Saturday",SalesData[[#This Row],[Day]]="Sunday"),"Weekend","Weekday")</f>
        <v>Weekday</v>
      </c>
      <c r="AF2497" s="5">
        <f>IF(SalesData[[#This Row],[Contracts Offered]]=0,0,SalesData[[#This Row],[Contracts Signed]]/SalesData[[#This Row],[Contracts Offered]])</f>
        <v>0.22105263157894736</v>
      </c>
      <c r="AG2497" s="5">
        <f>IF(SalesData[[#This Row],[Customers Visited]]=0,0,SalesData[[#This Row],[Test Drives]]/SalesData[[#This Row],[Customers Visited]])</f>
        <v>0.534965034965035</v>
      </c>
      <c r="AH2497" s="5">
        <f>IF(SalesData[[#This Row],[Customers Visited]]=0,0,SalesData[[#This Row],[Contracts Signed]]/SalesData[[#This Row],[Customers Visited]])</f>
        <v>7.3426573426573424E-2</v>
      </c>
      <c r="AI2497" s="6">
        <f>IF(SalesData[[#This Row],[Contracts Signed]]=0,0,SalesData[[#This Row],[Profit(€)]]/SalesData[[#This Row],[Contracts Signed]])</f>
        <v>3374</v>
      </c>
      <c r="AJ2497" s="5" t="str">
        <f>TRIM(CLEAN(SalesData[[#This Row],[Retailer]]))</f>
        <v>Hannover Cars</v>
      </c>
    </row>
    <row r="2498" spans="1:36" ht="14.25" hidden="1" x14ac:dyDescent="0.2">
      <c r="A2498" t="s">
        <v>3580</v>
      </c>
      <c r="B2498" s="1">
        <v>46060</v>
      </c>
      <c r="C2498" t="s">
        <v>24</v>
      </c>
      <c r="D2498" t="s">
        <v>151</v>
      </c>
      <c r="E2498" t="s">
        <v>42</v>
      </c>
      <c r="F2498" t="s">
        <v>83</v>
      </c>
      <c r="G2498" t="s">
        <v>84</v>
      </c>
      <c r="H2498" t="s">
        <v>85</v>
      </c>
      <c r="I2498" t="s">
        <v>64</v>
      </c>
      <c r="J2498" t="s">
        <v>65</v>
      </c>
      <c r="K2498" t="s">
        <v>66</v>
      </c>
      <c r="L2498" t="s">
        <v>33</v>
      </c>
      <c r="M2498" t="s">
        <v>34</v>
      </c>
      <c r="N2498" t="s">
        <v>69</v>
      </c>
      <c r="O2498" t="s">
        <v>70</v>
      </c>
      <c r="P2498" t="s">
        <v>71</v>
      </c>
      <c r="Q2498" t="s">
        <v>152</v>
      </c>
      <c r="R2498">
        <v>167</v>
      </c>
      <c r="S2498">
        <v>92</v>
      </c>
      <c r="T2498">
        <v>69</v>
      </c>
      <c r="U2498">
        <v>22</v>
      </c>
      <c r="V2498" t="s">
        <v>6556</v>
      </c>
      <c r="W2498">
        <v>68992</v>
      </c>
      <c r="X2498" t="s">
        <v>7326</v>
      </c>
      <c r="Y2498">
        <v>52315</v>
      </c>
      <c r="Z2498">
        <v>1517824</v>
      </c>
      <c r="AA2498">
        <v>366894</v>
      </c>
      <c r="AB2498" t="str">
        <f>(VLOOKUP(SalesData[[#This Row],[Month Number]],Reference!C$5:E$16,2,FALSE))</f>
        <v>Feb</v>
      </c>
      <c r="AC2498">
        <f>MONTH(SalesData[[#This Row],[Date]])</f>
        <v>2</v>
      </c>
      <c r="AD2498">
        <f>Reference!F$4</f>
        <v>2026</v>
      </c>
      <c r="AE2498" t="str">
        <f>IF(OR(SalesData[[#This Row],[Day]]="Saturday",SalesData[[#This Row],[Day]]="Sunday"),"Weekend","Weekday")</f>
        <v>Weekend</v>
      </c>
      <c r="AF2498" s="5">
        <f>IF(SalesData[[#This Row],[Contracts Offered]]=0,0,SalesData[[#This Row],[Contracts Signed]]/SalesData[[#This Row],[Contracts Offered]])</f>
        <v>0.3188405797101449</v>
      </c>
      <c r="AG2498" s="5">
        <f>IF(SalesData[[#This Row],[Customers Visited]]=0,0,SalesData[[#This Row],[Test Drives]]/SalesData[[#This Row],[Customers Visited]])</f>
        <v>0.55089820359281438</v>
      </c>
      <c r="AH2498" s="5">
        <f>IF(SalesData[[#This Row],[Customers Visited]]=0,0,SalesData[[#This Row],[Contracts Signed]]/SalesData[[#This Row],[Customers Visited]])</f>
        <v>0.1317365269461078</v>
      </c>
      <c r="AI2498" s="6">
        <f>IF(SalesData[[#This Row],[Contracts Signed]]=0,0,SalesData[[#This Row],[Profit(€)]]/SalesData[[#This Row],[Contracts Signed]])</f>
        <v>16677</v>
      </c>
      <c r="AJ2498" s="5" t="str">
        <f>TRIM(CLEAN(SalesData[[#This Row],[Retailer]]))</f>
        <v>Hannover Cars</v>
      </c>
    </row>
    <row r="2499" spans="1:36" ht="14.25" hidden="1" x14ac:dyDescent="0.2">
      <c r="A2499" t="s">
        <v>3582</v>
      </c>
      <c r="B2499" s="1">
        <v>46063</v>
      </c>
      <c r="C2499" t="s">
        <v>121</v>
      </c>
      <c r="D2499" t="s">
        <v>63</v>
      </c>
      <c r="E2499" t="s">
        <v>26</v>
      </c>
      <c r="F2499" t="s">
        <v>27</v>
      </c>
      <c r="G2499" t="s">
        <v>28</v>
      </c>
      <c r="H2499" t="s">
        <v>29</v>
      </c>
      <c r="I2499" t="s">
        <v>104</v>
      </c>
      <c r="J2499" t="s">
        <v>7031</v>
      </c>
      <c r="K2499" t="s">
        <v>66</v>
      </c>
      <c r="L2499" t="s">
        <v>46</v>
      </c>
      <c r="M2499" t="s">
        <v>68</v>
      </c>
      <c r="N2499" t="s">
        <v>69</v>
      </c>
      <c r="O2499" t="s">
        <v>36</v>
      </c>
      <c r="P2499" t="s">
        <v>71</v>
      </c>
      <c r="Q2499" t="s">
        <v>152</v>
      </c>
      <c r="R2499">
        <v>426</v>
      </c>
      <c r="S2499">
        <v>233</v>
      </c>
      <c r="T2499">
        <v>153</v>
      </c>
      <c r="U2499">
        <v>36</v>
      </c>
      <c r="V2499" t="s">
        <v>946</v>
      </c>
      <c r="W2499">
        <v>30012</v>
      </c>
      <c r="X2499" t="s">
        <v>7543</v>
      </c>
      <c r="Y2499">
        <v>26025</v>
      </c>
      <c r="Z2499">
        <v>1080432</v>
      </c>
      <c r="AA2499">
        <v>143532</v>
      </c>
      <c r="AB2499" t="str">
        <f>(VLOOKUP(SalesData[[#This Row],[Month Number]],Reference!C$5:E$16,2,FALSE))</f>
        <v>Feb</v>
      </c>
      <c r="AC2499">
        <f>MONTH(SalesData[[#This Row],[Date]])</f>
        <v>2</v>
      </c>
      <c r="AD2499">
        <f>Reference!F$4</f>
        <v>2026</v>
      </c>
      <c r="AE2499" t="str">
        <f>IF(OR(SalesData[[#This Row],[Day]]="Saturday",SalesData[[#This Row],[Day]]="Sunday"),"Weekend","Weekday")</f>
        <v>Weekday</v>
      </c>
      <c r="AF2499" s="5">
        <f>IF(SalesData[[#This Row],[Contracts Offered]]=0,0,SalesData[[#This Row],[Contracts Signed]]/SalesData[[#This Row],[Contracts Offered]])</f>
        <v>0.23529411764705882</v>
      </c>
      <c r="AG2499" s="5">
        <f>IF(SalesData[[#This Row],[Customers Visited]]=0,0,SalesData[[#This Row],[Test Drives]]/SalesData[[#This Row],[Customers Visited]])</f>
        <v>0.54694835680751175</v>
      </c>
      <c r="AH2499" s="5">
        <f>IF(SalesData[[#This Row],[Customers Visited]]=0,0,SalesData[[#This Row],[Contracts Signed]]/SalesData[[#This Row],[Customers Visited]])</f>
        <v>8.4507042253521125E-2</v>
      </c>
      <c r="AI2499" s="6">
        <f>IF(SalesData[[#This Row],[Contracts Signed]]=0,0,SalesData[[#This Row],[Profit(€)]]/SalesData[[#This Row],[Contracts Signed]])</f>
        <v>3987</v>
      </c>
      <c r="AJ2499" s="5" t="str">
        <f>TRIM(CLEAN(SalesData[[#This Row],[Retailer]]))</f>
        <v>Main Auto Hub</v>
      </c>
    </row>
    <row r="2500" spans="1:36" ht="14.25" hidden="1" x14ac:dyDescent="0.2">
      <c r="A2500" t="s">
        <v>3583</v>
      </c>
      <c r="B2500" s="1">
        <v>46080</v>
      </c>
      <c r="C2500" t="s">
        <v>53</v>
      </c>
      <c r="D2500" t="s">
        <v>54</v>
      </c>
      <c r="E2500" t="s">
        <v>26</v>
      </c>
      <c r="F2500" t="s">
        <v>7649</v>
      </c>
      <c r="G2500" t="s">
        <v>55</v>
      </c>
      <c r="H2500" t="s">
        <v>55</v>
      </c>
      <c r="I2500" t="s">
        <v>56</v>
      </c>
      <c r="J2500" t="s">
        <v>7028</v>
      </c>
      <c r="K2500" t="s">
        <v>66</v>
      </c>
      <c r="L2500" t="s">
        <v>46</v>
      </c>
      <c r="M2500" t="s">
        <v>87</v>
      </c>
      <c r="N2500" t="s">
        <v>48</v>
      </c>
      <c r="O2500" t="s">
        <v>70</v>
      </c>
      <c r="P2500" t="s">
        <v>37</v>
      </c>
      <c r="Q2500" t="s">
        <v>167</v>
      </c>
      <c r="R2500">
        <v>166</v>
      </c>
      <c r="S2500">
        <v>78</v>
      </c>
      <c r="T2500">
        <v>55</v>
      </c>
      <c r="U2500">
        <v>16</v>
      </c>
      <c r="V2500" t="s">
        <v>6690</v>
      </c>
      <c r="W2500">
        <v>51894</v>
      </c>
      <c r="X2500" t="s">
        <v>2576</v>
      </c>
      <c r="Y2500">
        <v>40137</v>
      </c>
      <c r="Z2500">
        <v>830304</v>
      </c>
      <c r="AA2500">
        <v>188112</v>
      </c>
      <c r="AB2500" t="str">
        <f>(VLOOKUP(SalesData[[#This Row],[Month Number]],Reference!C$5:E$16,2,FALSE))</f>
        <v>Feb</v>
      </c>
      <c r="AC2500">
        <f>MONTH(SalesData[[#This Row],[Date]])</f>
        <v>2</v>
      </c>
      <c r="AD2500">
        <f>Reference!F$4</f>
        <v>2026</v>
      </c>
      <c r="AE2500" t="str">
        <f>IF(OR(SalesData[[#This Row],[Day]]="Saturday",SalesData[[#This Row],[Day]]="Sunday"),"Weekend","Weekday")</f>
        <v>Weekday</v>
      </c>
      <c r="AF2500" s="5">
        <f>IF(SalesData[[#This Row],[Contracts Offered]]=0,0,SalesData[[#This Row],[Contracts Signed]]/SalesData[[#This Row],[Contracts Offered]])</f>
        <v>0.29090909090909089</v>
      </c>
      <c r="AG2500" s="5">
        <f>IF(SalesData[[#This Row],[Customers Visited]]=0,0,SalesData[[#This Row],[Test Drives]]/SalesData[[#This Row],[Customers Visited]])</f>
        <v>0.46987951807228917</v>
      </c>
      <c r="AH2500" s="5">
        <f>IF(SalesData[[#This Row],[Customers Visited]]=0,0,SalesData[[#This Row],[Contracts Signed]]/SalesData[[#This Row],[Customers Visited]])</f>
        <v>9.6385542168674704E-2</v>
      </c>
      <c r="AI2500" s="6">
        <f>IF(SalesData[[#This Row],[Contracts Signed]]=0,0,SalesData[[#This Row],[Profit(€)]]/SalesData[[#This Row],[Contracts Signed]])</f>
        <v>11757</v>
      </c>
      <c r="AJ2500" s="5" t="str">
        <f>TRIM(CLEAN(SalesData[[#This Row],[Retailer]]))</f>
        <v>Autohaus Berlin</v>
      </c>
    </row>
    <row r="2501" spans="1:36" ht="14.25" hidden="1" x14ac:dyDescent="0.2">
      <c r="A2501" t="s">
        <v>3584</v>
      </c>
      <c r="B2501" s="1">
        <v>46068</v>
      </c>
      <c r="C2501" t="s">
        <v>62</v>
      </c>
      <c r="D2501" t="s">
        <v>41</v>
      </c>
      <c r="E2501" t="s">
        <v>42</v>
      </c>
      <c r="F2501" t="s">
        <v>27</v>
      </c>
      <c r="G2501" t="s">
        <v>28</v>
      </c>
      <c r="H2501" t="s">
        <v>29</v>
      </c>
      <c r="I2501" t="s">
        <v>116</v>
      </c>
      <c r="J2501" t="s">
        <v>132</v>
      </c>
      <c r="K2501" t="s">
        <v>78</v>
      </c>
      <c r="L2501" t="s">
        <v>46</v>
      </c>
      <c r="M2501" t="s">
        <v>87</v>
      </c>
      <c r="N2501" t="s">
        <v>69</v>
      </c>
      <c r="O2501" t="s">
        <v>70</v>
      </c>
      <c r="P2501" t="s">
        <v>58</v>
      </c>
      <c r="Q2501" t="s">
        <v>88</v>
      </c>
      <c r="R2501">
        <v>421</v>
      </c>
      <c r="S2501">
        <v>227</v>
      </c>
      <c r="T2501">
        <v>146</v>
      </c>
      <c r="U2501">
        <v>40</v>
      </c>
      <c r="V2501" t="s">
        <v>3115</v>
      </c>
      <c r="W2501">
        <v>20415</v>
      </c>
      <c r="X2501" t="s">
        <v>1802</v>
      </c>
      <c r="Y2501">
        <v>18909</v>
      </c>
      <c r="Z2501">
        <v>816600</v>
      </c>
      <c r="AA2501">
        <v>60240</v>
      </c>
      <c r="AB2501" t="str">
        <f>(VLOOKUP(SalesData[[#This Row],[Month Number]],Reference!C$5:E$16,2,FALSE))</f>
        <v>Feb</v>
      </c>
      <c r="AC2501">
        <f>MONTH(SalesData[[#This Row],[Date]])</f>
        <v>2</v>
      </c>
      <c r="AD2501">
        <f>Reference!F$4</f>
        <v>2026</v>
      </c>
      <c r="AE2501" t="str">
        <f>IF(OR(SalesData[[#This Row],[Day]]="Saturday",SalesData[[#This Row],[Day]]="Sunday"),"Weekend","Weekday")</f>
        <v>Weekend</v>
      </c>
      <c r="AF2501" s="5">
        <f>IF(SalesData[[#This Row],[Contracts Offered]]=0,0,SalesData[[#This Row],[Contracts Signed]]/SalesData[[#This Row],[Contracts Offered]])</f>
        <v>0.27397260273972601</v>
      </c>
      <c r="AG2501" s="5">
        <f>IF(SalesData[[#This Row],[Customers Visited]]=0,0,SalesData[[#This Row],[Test Drives]]/SalesData[[#This Row],[Customers Visited]])</f>
        <v>0.53919239904988125</v>
      </c>
      <c r="AH2501" s="5">
        <f>IF(SalesData[[#This Row],[Customers Visited]]=0,0,SalesData[[#This Row],[Contracts Signed]]/SalesData[[#This Row],[Customers Visited]])</f>
        <v>9.5011876484560567E-2</v>
      </c>
      <c r="AI2501" s="6">
        <f>IF(SalesData[[#This Row],[Contracts Signed]]=0,0,SalesData[[#This Row],[Profit(€)]]/SalesData[[#This Row],[Contracts Signed]])</f>
        <v>1506</v>
      </c>
      <c r="AJ2501" s="5" t="str">
        <f>TRIM(CLEAN(SalesData[[#This Row],[Retailer]]))</f>
        <v>Main Auto Hub</v>
      </c>
    </row>
    <row r="2502" spans="1:36" ht="14.25" hidden="1" x14ac:dyDescent="0.2">
      <c r="A2502" t="s">
        <v>3585</v>
      </c>
      <c r="B2502" s="1">
        <v>46058</v>
      </c>
      <c r="C2502" t="s">
        <v>24</v>
      </c>
      <c r="D2502" t="s">
        <v>100</v>
      </c>
      <c r="E2502" t="s">
        <v>26</v>
      </c>
      <c r="F2502" t="s">
        <v>83</v>
      </c>
      <c r="G2502" t="s">
        <v>84</v>
      </c>
      <c r="H2502" t="s">
        <v>85</v>
      </c>
      <c r="I2502" t="s">
        <v>64</v>
      </c>
      <c r="J2502" t="s">
        <v>157</v>
      </c>
      <c r="K2502" t="s">
        <v>91</v>
      </c>
      <c r="L2502" t="s">
        <v>33</v>
      </c>
      <c r="M2502" t="s">
        <v>87</v>
      </c>
      <c r="N2502" t="s">
        <v>35</v>
      </c>
      <c r="O2502" t="s">
        <v>70</v>
      </c>
      <c r="P2502" t="s">
        <v>49</v>
      </c>
      <c r="Q2502" t="s">
        <v>122</v>
      </c>
      <c r="R2502">
        <v>238</v>
      </c>
      <c r="S2502">
        <v>111</v>
      </c>
      <c r="T2502">
        <v>77</v>
      </c>
      <c r="U2502">
        <v>23</v>
      </c>
      <c r="V2502" t="s">
        <v>6355</v>
      </c>
      <c r="W2502">
        <v>71630</v>
      </c>
      <c r="X2502" t="s">
        <v>7544</v>
      </c>
      <c r="Y2502">
        <v>55170</v>
      </c>
      <c r="Z2502">
        <v>1647490</v>
      </c>
      <c r="AA2502">
        <v>378580</v>
      </c>
      <c r="AB2502" t="str">
        <f>(VLOOKUP(SalesData[[#This Row],[Month Number]],Reference!C$5:E$16,2,FALSE))</f>
        <v>Feb</v>
      </c>
      <c r="AC2502">
        <f>MONTH(SalesData[[#This Row],[Date]])</f>
        <v>2</v>
      </c>
      <c r="AD2502">
        <f>Reference!F$4</f>
        <v>2026</v>
      </c>
      <c r="AE2502" t="str">
        <f>IF(OR(SalesData[[#This Row],[Day]]="Saturday",SalesData[[#This Row],[Day]]="Sunday"),"Weekend","Weekday")</f>
        <v>Weekday</v>
      </c>
      <c r="AF2502" s="5">
        <f>IF(SalesData[[#This Row],[Contracts Offered]]=0,0,SalesData[[#This Row],[Contracts Signed]]/SalesData[[#This Row],[Contracts Offered]])</f>
        <v>0.29870129870129869</v>
      </c>
      <c r="AG2502" s="5">
        <f>IF(SalesData[[#This Row],[Customers Visited]]=0,0,SalesData[[#This Row],[Test Drives]]/SalesData[[#This Row],[Customers Visited]])</f>
        <v>0.46638655462184875</v>
      </c>
      <c r="AH2502" s="5">
        <f>IF(SalesData[[#This Row],[Customers Visited]]=0,0,SalesData[[#This Row],[Contracts Signed]]/SalesData[[#This Row],[Customers Visited]])</f>
        <v>9.6638655462184878E-2</v>
      </c>
      <c r="AI2502" s="6">
        <f>IF(SalesData[[#This Row],[Contracts Signed]]=0,0,SalesData[[#This Row],[Profit(€)]]/SalesData[[#This Row],[Contracts Signed]])</f>
        <v>16460</v>
      </c>
      <c r="AJ2502" s="5" t="str">
        <f>TRIM(CLEAN(SalesData[[#This Row],[Retailer]]))</f>
        <v>Hannover Cars</v>
      </c>
    </row>
    <row r="2503" spans="1:36" ht="14.25" hidden="1" x14ac:dyDescent="0.2">
      <c r="A2503" t="s">
        <v>3586</v>
      </c>
      <c r="B2503" s="1">
        <v>46066</v>
      </c>
      <c r="C2503" t="s">
        <v>121</v>
      </c>
      <c r="D2503" t="s">
        <v>54</v>
      </c>
      <c r="E2503" t="s">
        <v>26</v>
      </c>
      <c r="F2503" t="s">
        <v>74</v>
      </c>
      <c r="G2503" t="s">
        <v>75</v>
      </c>
      <c r="H2503" t="s">
        <v>76</v>
      </c>
      <c r="I2503" t="s">
        <v>116</v>
      </c>
      <c r="J2503" t="s">
        <v>7026</v>
      </c>
      <c r="K2503" t="s">
        <v>91</v>
      </c>
      <c r="L2503" t="s">
        <v>46</v>
      </c>
      <c r="M2503" t="s">
        <v>47</v>
      </c>
      <c r="N2503" t="s">
        <v>35</v>
      </c>
      <c r="O2503" t="s">
        <v>70</v>
      </c>
      <c r="P2503" t="s">
        <v>49</v>
      </c>
      <c r="Q2503" t="s">
        <v>118</v>
      </c>
      <c r="R2503">
        <v>417</v>
      </c>
      <c r="S2503">
        <v>186</v>
      </c>
      <c r="T2503">
        <v>112</v>
      </c>
      <c r="U2503">
        <v>25</v>
      </c>
      <c r="V2503" t="s">
        <v>6618</v>
      </c>
      <c r="W2503">
        <v>26067</v>
      </c>
      <c r="X2503" t="s">
        <v>4117</v>
      </c>
      <c r="Y2503">
        <v>23373</v>
      </c>
      <c r="Z2503">
        <v>651675</v>
      </c>
      <c r="AA2503">
        <v>67350</v>
      </c>
      <c r="AB2503" t="str">
        <f>(VLOOKUP(SalesData[[#This Row],[Month Number]],Reference!C$5:E$16,2,FALSE))</f>
        <v>Feb</v>
      </c>
      <c r="AC2503">
        <f>MONTH(SalesData[[#This Row],[Date]])</f>
        <v>2</v>
      </c>
      <c r="AD2503">
        <f>Reference!F$4</f>
        <v>2026</v>
      </c>
      <c r="AE2503" t="str">
        <f>IF(OR(SalesData[[#This Row],[Day]]="Saturday",SalesData[[#This Row],[Day]]="Sunday"),"Weekend","Weekday")</f>
        <v>Weekday</v>
      </c>
      <c r="AF2503" s="5">
        <f>IF(SalesData[[#This Row],[Contracts Offered]]=0,0,SalesData[[#This Row],[Contracts Signed]]/SalesData[[#This Row],[Contracts Offered]])</f>
        <v>0.22321428571428573</v>
      </c>
      <c r="AG2503" s="5">
        <f>IF(SalesData[[#This Row],[Customers Visited]]=0,0,SalesData[[#This Row],[Test Drives]]/SalesData[[#This Row],[Customers Visited]])</f>
        <v>0.4460431654676259</v>
      </c>
      <c r="AH2503" s="5">
        <f>IF(SalesData[[#This Row],[Customers Visited]]=0,0,SalesData[[#This Row],[Contracts Signed]]/SalesData[[#This Row],[Customers Visited]])</f>
        <v>5.9952038369304558E-2</v>
      </c>
      <c r="AI2503" s="6">
        <f>IF(SalesData[[#This Row],[Contracts Signed]]=0,0,SalesData[[#This Row],[Profit(€)]]/SalesData[[#This Row],[Contracts Signed]])</f>
        <v>2694</v>
      </c>
      <c r="AJ2503" s="5" t="str">
        <f>TRIM(CLEAN(SalesData[[#This Row],[Retailer]]))</f>
        <v>Stuttgart Auto Center</v>
      </c>
    </row>
    <row r="2504" spans="1:36" ht="14.25" hidden="1" x14ac:dyDescent="0.2">
      <c r="A2504" t="s">
        <v>3587</v>
      </c>
      <c r="B2504" s="1">
        <v>46059</v>
      </c>
      <c r="C2504" t="s">
        <v>24</v>
      </c>
      <c r="D2504" t="s">
        <v>54</v>
      </c>
      <c r="E2504" t="s">
        <v>26</v>
      </c>
      <c r="F2504" t="s">
        <v>101</v>
      </c>
      <c r="G2504" t="s">
        <v>102</v>
      </c>
      <c r="H2504" t="s">
        <v>103</v>
      </c>
      <c r="I2504" t="s">
        <v>64</v>
      </c>
      <c r="J2504" t="s">
        <v>111</v>
      </c>
      <c r="K2504" t="s">
        <v>32</v>
      </c>
      <c r="L2504" t="s">
        <v>46</v>
      </c>
      <c r="M2504" t="s">
        <v>34</v>
      </c>
      <c r="N2504" t="s">
        <v>69</v>
      </c>
      <c r="O2504" t="s">
        <v>70</v>
      </c>
      <c r="P2504" t="s">
        <v>37</v>
      </c>
      <c r="Q2504" t="s">
        <v>79</v>
      </c>
      <c r="R2504">
        <v>152</v>
      </c>
      <c r="S2504">
        <v>88</v>
      </c>
      <c r="T2504">
        <v>64</v>
      </c>
      <c r="U2504">
        <v>18</v>
      </c>
      <c r="V2504" t="s">
        <v>6914</v>
      </c>
      <c r="W2504">
        <v>62978</v>
      </c>
      <c r="X2504" t="s">
        <v>7295</v>
      </c>
      <c r="Y2504">
        <v>48933</v>
      </c>
      <c r="Z2504">
        <v>1133604</v>
      </c>
      <c r="AA2504">
        <v>252810</v>
      </c>
      <c r="AB2504" t="str">
        <f>(VLOOKUP(SalesData[[#This Row],[Month Number]],Reference!C$5:E$16,2,FALSE))</f>
        <v>Feb</v>
      </c>
      <c r="AC2504">
        <f>MONTH(SalesData[[#This Row],[Date]])</f>
        <v>2</v>
      </c>
      <c r="AD2504">
        <f>Reference!F$4</f>
        <v>2026</v>
      </c>
      <c r="AE2504" t="str">
        <f>IF(OR(SalesData[[#This Row],[Day]]="Saturday",SalesData[[#This Row],[Day]]="Sunday"),"Weekend","Weekday")</f>
        <v>Weekday</v>
      </c>
      <c r="AF2504" s="5">
        <f>IF(SalesData[[#This Row],[Contracts Offered]]=0,0,SalesData[[#This Row],[Contracts Signed]]/SalesData[[#This Row],[Contracts Offered]])</f>
        <v>0.28125</v>
      </c>
      <c r="AG2504" s="5">
        <f>IF(SalesData[[#This Row],[Customers Visited]]=0,0,SalesData[[#This Row],[Test Drives]]/SalesData[[#This Row],[Customers Visited]])</f>
        <v>0.57894736842105265</v>
      </c>
      <c r="AH2504" s="5">
        <f>IF(SalesData[[#This Row],[Customers Visited]]=0,0,SalesData[[#This Row],[Contracts Signed]]/SalesData[[#This Row],[Customers Visited]])</f>
        <v>0.11842105263157894</v>
      </c>
      <c r="AI2504" s="6">
        <f>IF(SalesData[[#This Row],[Contracts Signed]]=0,0,SalesData[[#This Row],[Profit(€)]]/SalesData[[#This Row],[Contracts Signed]])</f>
        <v>14045</v>
      </c>
      <c r="AJ2504" s="5" t="str">
        <f>TRIM(CLEAN(SalesData[[#This Row],[Retailer]]))</f>
        <v>Ruhr Auto Plaza</v>
      </c>
    </row>
    <row r="2505" spans="1:36" ht="14.25" x14ac:dyDescent="0.2">
      <c r="A2505" t="s">
        <v>3588</v>
      </c>
      <c r="B2505" s="1">
        <v>46058</v>
      </c>
      <c r="C2505" t="s">
        <v>24</v>
      </c>
      <c r="D2505" t="s">
        <v>100</v>
      </c>
      <c r="E2505" t="s">
        <v>26</v>
      </c>
      <c r="F2505" t="s">
        <v>74</v>
      </c>
      <c r="G2505" t="s">
        <v>75</v>
      </c>
      <c r="H2505" t="s">
        <v>76</v>
      </c>
      <c r="I2505" t="s">
        <v>30</v>
      </c>
      <c r="J2505" t="s">
        <v>188</v>
      </c>
      <c r="K2505" t="s">
        <v>32</v>
      </c>
      <c r="L2505" t="s">
        <v>33</v>
      </c>
      <c r="M2505" t="s">
        <v>87</v>
      </c>
      <c r="N2505" t="s">
        <v>35</v>
      </c>
      <c r="O2505" t="s">
        <v>36</v>
      </c>
      <c r="P2505" t="s">
        <v>49</v>
      </c>
      <c r="Q2505" t="s">
        <v>59</v>
      </c>
      <c r="R2505">
        <v>280</v>
      </c>
      <c r="S2505">
        <v>164</v>
      </c>
      <c r="T2505">
        <v>117</v>
      </c>
      <c r="U2505">
        <v>48</v>
      </c>
      <c r="V2505" t="s">
        <v>6419</v>
      </c>
      <c r="W2505">
        <v>55637</v>
      </c>
      <c r="X2505" t="s">
        <v>7352</v>
      </c>
      <c r="Y2505">
        <v>41664</v>
      </c>
      <c r="Z2505">
        <v>2670576</v>
      </c>
      <c r="AA2505">
        <v>670704</v>
      </c>
      <c r="AB2505" t="str">
        <f>(VLOOKUP(SalesData[[#This Row],[Month Number]],Reference!C$5:E$16,2,FALSE))</f>
        <v>Feb</v>
      </c>
      <c r="AC2505">
        <f>MONTH(SalesData[[#This Row],[Date]])</f>
        <v>2</v>
      </c>
      <c r="AD2505">
        <f>Reference!F$4</f>
        <v>2026</v>
      </c>
      <c r="AE2505" t="str">
        <f>IF(OR(SalesData[[#This Row],[Day]]="Saturday",SalesData[[#This Row],[Day]]="Sunday"),"Weekend","Weekday")</f>
        <v>Weekday</v>
      </c>
      <c r="AF2505" s="5">
        <f>IF(SalesData[[#This Row],[Contracts Offered]]=0,0,SalesData[[#This Row],[Contracts Signed]]/SalesData[[#This Row],[Contracts Offered]])</f>
        <v>0.41025641025641024</v>
      </c>
      <c r="AG2505" s="5">
        <f>IF(SalesData[[#This Row],[Customers Visited]]=0,0,SalesData[[#This Row],[Test Drives]]/SalesData[[#This Row],[Customers Visited]])</f>
        <v>0.58571428571428574</v>
      </c>
      <c r="AH2505" s="5">
        <f>IF(SalesData[[#This Row],[Customers Visited]]=0,0,SalesData[[#This Row],[Contracts Signed]]/SalesData[[#This Row],[Customers Visited]])</f>
        <v>0.17142857142857143</v>
      </c>
      <c r="AI2505" s="6">
        <f>IF(SalesData[[#This Row],[Contracts Signed]]=0,0,SalesData[[#This Row],[Profit(€)]]/SalesData[[#This Row],[Contracts Signed]])</f>
        <v>13973</v>
      </c>
      <c r="AJ2505" s="5" t="str">
        <f>TRIM(CLEAN(SalesData[[#This Row],[Retailer]]))</f>
        <v>Stuttgart Auto Center</v>
      </c>
    </row>
    <row r="2506" spans="1:36" ht="14.25" x14ac:dyDescent="0.2">
      <c r="A2506" t="s">
        <v>3589</v>
      </c>
      <c r="B2506" s="1">
        <v>46058</v>
      </c>
      <c r="C2506" t="s">
        <v>24</v>
      </c>
      <c r="D2506" t="s">
        <v>100</v>
      </c>
      <c r="E2506" t="s">
        <v>26</v>
      </c>
      <c r="F2506" t="s">
        <v>7649</v>
      </c>
      <c r="G2506" t="s">
        <v>55</v>
      </c>
      <c r="H2506" t="s">
        <v>55</v>
      </c>
      <c r="I2506" t="s">
        <v>30</v>
      </c>
      <c r="J2506" t="s">
        <v>188</v>
      </c>
      <c r="K2506" t="s">
        <v>91</v>
      </c>
      <c r="L2506" t="s">
        <v>33</v>
      </c>
      <c r="M2506" t="s">
        <v>68</v>
      </c>
      <c r="N2506" t="s">
        <v>48</v>
      </c>
      <c r="O2506" t="s">
        <v>36</v>
      </c>
      <c r="P2506" t="s">
        <v>71</v>
      </c>
      <c r="Q2506" t="s">
        <v>172</v>
      </c>
      <c r="R2506">
        <v>178</v>
      </c>
      <c r="S2506">
        <v>92</v>
      </c>
      <c r="T2506">
        <v>68</v>
      </c>
      <c r="U2506">
        <v>29</v>
      </c>
      <c r="V2506" t="s">
        <v>7368</v>
      </c>
      <c r="W2506">
        <v>65232</v>
      </c>
      <c r="X2506" t="s">
        <v>7282</v>
      </c>
      <c r="Y2506">
        <v>46997</v>
      </c>
      <c r="Z2506">
        <v>1891728</v>
      </c>
      <c r="AA2506">
        <v>528815</v>
      </c>
      <c r="AB2506" t="str">
        <f>(VLOOKUP(SalesData[[#This Row],[Month Number]],Reference!C$5:E$16,2,FALSE))</f>
        <v>Feb</v>
      </c>
      <c r="AC2506">
        <f>MONTH(SalesData[[#This Row],[Date]])</f>
        <v>2</v>
      </c>
      <c r="AD2506">
        <f>Reference!F$4</f>
        <v>2026</v>
      </c>
      <c r="AE2506" t="str">
        <f>IF(OR(SalesData[[#This Row],[Day]]="Saturday",SalesData[[#This Row],[Day]]="Sunday"),"Weekend","Weekday")</f>
        <v>Weekday</v>
      </c>
      <c r="AF2506" s="5">
        <f>IF(SalesData[[#This Row],[Contracts Offered]]=0,0,SalesData[[#This Row],[Contracts Signed]]/SalesData[[#This Row],[Contracts Offered]])</f>
        <v>0.4264705882352941</v>
      </c>
      <c r="AG2506" s="5">
        <f>IF(SalesData[[#This Row],[Customers Visited]]=0,0,SalesData[[#This Row],[Test Drives]]/SalesData[[#This Row],[Customers Visited]])</f>
        <v>0.5168539325842697</v>
      </c>
      <c r="AH2506" s="5">
        <f>IF(SalesData[[#This Row],[Customers Visited]]=0,0,SalesData[[#This Row],[Contracts Signed]]/SalesData[[#This Row],[Customers Visited]])</f>
        <v>0.16292134831460675</v>
      </c>
      <c r="AI2506" s="6">
        <f>IF(SalesData[[#This Row],[Contracts Signed]]=0,0,SalesData[[#This Row],[Profit(€)]]/SalesData[[#This Row],[Contracts Signed]])</f>
        <v>18235</v>
      </c>
      <c r="AJ2506" s="5" t="str">
        <f>TRIM(CLEAN(SalesData[[#This Row],[Retailer]]))</f>
        <v>Autohaus Berlin</v>
      </c>
    </row>
    <row r="2507" spans="1:36" ht="14.25" x14ac:dyDescent="0.2">
      <c r="A2507" t="s">
        <v>3590</v>
      </c>
      <c r="B2507" s="1">
        <v>46058</v>
      </c>
      <c r="C2507" t="s">
        <v>24</v>
      </c>
      <c r="D2507" t="s">
        <v>100</v>
      </c>
      <c r="E2507" t="s">
        <v>26</v>
      </c>
      <c r="F2507" t="s">
        <v>43</v>
      </c>
      <c r="G2507" t="s">
        <v>44</v>
      </c>
      <c r="H2507" t="s">
        <v>45</v>
      </c>
      <c r="I2507" t="s">
        <v>30</v>
      </c>
      <c r="J2507" t="s">
        <v>86</v>
      </c>
      <c r="K2507" t="s">
        <v>32</v>
      </c>
      <c r="L2507" t="s">
        <v>33</v>
      </c>
      <c r="M2507" t="s">
        <v>34</v>
      </c>
      <c r="N2507" t="s">
        <v>35</v>
      </c>
      <c r="O2507" t="s">
        <v>70</v>
      </c>
      <c r="P2507" t="s">
        <v>58</v>
      </c>
      <c r="Q2507" t="s">
        <v>347</v>
      </c>
      <c r="R2507">
        <v>255</v>
      </c>
      <c r="S2507">
        <v>131</v>
      </c>
      <c r="T2507">
        <v>95</v>
      </c>
      <c r="U2507">
        <v>36</v>
      </c>
      <c r="V2507" t="s">
        <v>6381</v>
      </c>
      <c r="W2507">
        <v>64917</v>
      </c>
      <c r="X2507" t="s">
        <v>3364</v>
      </c>
      <c r="Y2507">
        <v>48614</v>
      </c>
      <c r="Z2507">
        <v>2337012</v>
      </c>
      <c r="AA2507">
        <v>586908</v>
      </c>
      <c r="AB2507" t="str">
        <f>(VLOOKUP(SalesData[[#This Row],[Month Number]],Reference!C$5:E$16,2,FALSE))</f>
        <v>Feb</v>
      </c>
      <c r="AC2507">
        <f>MONTH(SalesData[[#This Row],[Date]])</f>
        <v>2</v>
      </c>
      <c r="AD2507">
        <f>Reference!F$4</f>
        <v>2026</v>
      </c>
      <c r="AE2507" t="str">
        <f>IF(OR(SalesData[[#This Row],[Day]]="Saturday",SalesData[[#This Row],[Day]]="Sunday"),"Weekend","Weekday")</f>
        <v>Weekday</v>
      </c>
      <c r="AF2507" s="5">
        <f>IF(SalesData[[#This Row],[Contracts Offered]]=0,0,SalesData[[#This Row],[Contracts Signed]]/SalesData[[#This Row],[Contracts Offered]])</f>
        <v>0.37894736842105264</v>
      </c>
      <c r="AG2507" s="5">
        <f>IF(SalesData[[#This Row],[Customers Visited]]=0,0,SalesData[[#This Row],[Test Drives]]/SalesData[[#This Row],[Customers Visited]])</f>
        <v>0.51372549019607838</v>
      </c>
      <c r="AH2507" s="5">
        <f>IF(SalesData[[#This Row],[Customers Visited]]=0,0,SalesData[[#This Row],[Contracts Signed]]/SalesData[[#This Row],[Customers Visited]])</f>
        <v>0.14117647058823529</v>
      </c>
      <c r="AI2507" s="6">
        <f>IF(SalesData[[#This Row],[Contracts Signed]]=0,0,SalesData[[#This Row],[Profit(€)]]/SalesData[[#This Row],[Contracts Signed]])</f>
        <v>16303</v>
      </c>
      <c r="AJ2507" s="5" t="str">
        <f>TRIM(CLEAN(SalesData[[#This Row],[Retailer]]))</f>
        <v>Saxon Wheels</v>
      </c>
    </row>
    <row r="2508" spans="1:36" ht="14.25" x14ac:dyDescent="0.2">
      <c r="A2508" t="s">
        <v>3591</v>
      </c>
      <c r="B2508" s="1">
        <v>46072</v>
      </c>
      <c r="C2508" t="s">
        <v>62</v>
      </c>
      <c r="D2508" t="s">
        <v>100</v>
      </c>
      <c r="E2508" t="s">
        <v>26</v>
      </c>
      <c r="F2508" t="s">
        <v>94</v>
      </c>
      <c r="G2508" t="s">
        <v>95</v>
      </c>
      <c r="H2508" t="s">
        <v>96</v>
      </c>
      <c r="I2508" t="s">
        <v>30</v>
      </c>
      <c r="J2508" t="s">
        <v>31</v>
      </c>
      <c r="K2508" t="s">
        <v>78</v>
      </c>
      <c r="L2508" t="s">
        <v>46</v>
      </c>
      <c r="M2508" t="s">
        <v>34</v>
      </c>
      <c r="N2508" t="s">
        <v>48</v>
      </c>
      <c r="O2508" t="s">
        <v>36</v>
      </c>
      <c r="P2508" t="s">
        <v>37</v>
      </c>
      <c r="Q2508" t="s">
        <v>240</v>
      </c>
      <c r="R2508">
        <v>278</v>
      </c>
      <c r="S2508">
        <v>138</v>
      </c>
      <c r="T2508">
        <v>112</v>
      </c>
      <c r="U2508">
        <v>42</v>
      </c>
      <c r="V2508" t="s">
        <v>7064</v>
      </c>
      <c r="W2508">
        <v>49612</v>
      </c>
      <c r="X2508" t="s">
        <v>2541</v>
      </c>
      <c r="Y2508">
        <v>34835</v>
      </c>
      <c r="Z2508">
        <v>2083704</v>
      </c>
      <c r="AA2508">
        <v>620634</v>
      </c>
      <c r="AB2508" t="str">
        <f>(VLOOKUP(SalesData[[#This Row],[Month Number]],Reference!C$5:E$16,2,FALSE))</f>
        <v>Feb</v>
      </c>
      <c r="AC2508">
        <f>MONTH(SalesData[[#This Row],[Date]])</f>
        <v>2</v>
      </c>
      <c r="AD2508">
        <f>Reference!F$4</f>
        <v>2026</v>
      </c>
      <c r="AE2508" t="str">
        <f>IF(OR(SalesData[[#This Row],[Day]]="Saturday",SalesData[[#This Row],[Day]]="Sunday"),"Weekend","Weekday")</f>
        <v>Weekday</v>
      </c>
      <c r="AF2508" s="5">
        <f>IF(SalesData[[#This Row],[Contracts Offered]]=0,0,SalesData[[#This Row],[Contracts Signed]]/SalesData[[#This Row],[Contracts Offered]])</f>
        <v>0.375</v>
      </c>
      <c r="AG2508" s="5">
        <f>IF(SalesData[[#This Row],[Customers Visited]]=0,0,SalesData[[#This Row],[Test Drives]]/SalesData[[#This Row],[Customers Visited]])</f>
        <v>0.49640287769784175</v>
      </c>
      <c r="AH2508" s="5">
        <f>IF(SalesData[[#This Row],[Customers Visited]]=0,0,SalesData[[#This Row],[Contracts Signed]]/SalesData[[#This Row],[Customers Visited]])</f>
        <v>0.15107913669064749</v>
      </c>
      <c r="AI2508" s="6">
        <f>IF(SalesData[[#This Row],[Contracts Signed]]=0,0,SalesData[[#This Row],[Profit(€)]]/SalesData[[#This Row],[Contracts Signed]])</f>
        <v>14777</v>
      </c>
      <c r="AJ2508" s="5" t="str">
        <f>TRIM(CLEAN(SalesData[[#This Row],[Retailer]]))</f>
        <v>Bavaria Motors</v>
      </c>
    </row>
    <row r="2509" spans="1:36" ht="14.25" hidden="1" x14ac:dyDescent="0.2">
      <c r="A2509" t="s">
        <v>3592</v>
      </c>
      <c r="B2509" s="1">
        <v>46057</v>
      </c>
      <c r="C2509" t="s">
        <v>24</v>
      </c>
      <c r="D2509" t="s">
        <v>82</v>
      </c>
      <c r="E2509" t="s">
        <v>26</v>
      </c>
      <c r="F2509" t="s">
        <v>43</v>
      </c>
      <c r="G2509" t="s">
        <v>44</v>
      </c>
      <c r="H2509" t="s">
        <v>45</v>
      </c>
      <c r="I2509" t="s">
        <v>56</v>
      </c>
      <c r="J2509" t="s">
        <v>179</v>
      </c>
      <c r="K2509" t="s">
        <v>91</v>
      </c>
      <c r="L2509" t="s">
        <v>67</v>
      </c>
      <c r="M2509" t="s">
        <v>47</v>
      </c>
      <c r="N2509" t="s">
        <v>48</v>
      </c>
      <c r="O2509" t="s">
        <v>36</v>
      </c>
      <c r="P2509" t="s">
        <v>49</v>
      </c>
      <c r="Q2509" t="s">
        <v>152</v>
      </c>
      <c r="R2509">
        <v>296</v>
      </c>
      <c r="S2509">
        <v>175</v>
      </c>
      <c r="T2509">
        <v>121</v>
      </c>
      <c r="U2509">
        <v>36</v>
      </c>
      <c r="V2509" t="s">
        <v>6502</v>
      </c>
      <c r="W2509">
        <v>50423</v>
      </c>
      <c r="X2509" t="s">
        <v>7435</v>
      </c>
      <c r="Y2509">
        <v>38750</v>
      </c>
      <c r="Z2509">
        <v>1815228</v>
      </c>
      <c r="AA2509">
        <v>420228</v>
      </c>
      <c r="AB2509" t="str">
        <f>(VLOOKUP(SalesData[[#This Row],[Month Number]],Reference!C$5:E$16,2,FALSE))</f>
        <v>Feb</v>
      </c>
      <c r="AC2509">
        <f>MONTH(SalesData[[#This Row],[Date]])</f>
        <v>2</v>
      </c>
      <c r="AD2509">
        <f>Reference!F$4</f>
        <v>2026</v>
      </c>
      <c r="AE2509" t="str">
        <f>IF(OR(SalesData[[#This Row],[Day]]="Saturday",SalesData[[#This Row],[Day]]="Sunday"),"Weekend","Weekday")</f>
        <v>Weekday</v>
      </c>
      <c r="AF2509" s="5">
        <f>IF(SalesData[[#This Row],[Contracts Offered]]=0,0,SalesData[[#This Row],[Contracts Signed]]/SalesData[[#This Row],[Contracts Offered]])</f>
        <v>0.2975206611570248</v>
      </c>
      <c r="AG2509" s="5">
        <f>IF(SalesData[[#This Row],[Customers Visited]]=0,0,SalesData[[#This Row],[Test Drives]]/SalesData[[#This Row],[Customers Visited]])</f>
        <v>0.59121621621621623</v>
      </c>
      <c r="AH2509" s="5">
        <f>IF(SalesData[[#This Row],[Customers Visited]]=0,0,SalesData[[#This Row],[Contracts Signed]]/SalesData[[#This Row],[Customers Visited]])</f>
        <v>0.12162162162162163</v>
      </c>
      <c r="AI2509" s="6">
        <f>IF(SalesData[[#This Row],[Contracts Signed]]=0,0,SalesData[[#This Row],[Profit(€)]]/SalesData[[#This Row],[Contracts Signed]])</f>
        <v>11673</v>
      </c>
      <c r="AJ2509" s="5" t="str">
        <f>TRIM(CLEAN(SalesData[[#This Row],[Retailer]]))</f>
        <v>Saxon Wheels</v>
      </c>
    </row>
    <row r="2510" spans="1:36" ht="14.25" hidden="1" x14ac:dyDescent="0.2">
      <c r="A2510" t="s">
        <v>3594</v>
      </c>
      <c r="B2510" s="1">
        <v>46068</v>
      </c>
      <c r="C2510" t="s">
        <v>62</v>
      </c>
      <c r="D2510" t="s">
        <v>41</v>
      </c>
      <c r="E2510" t="s">
        <v>42</v>
      </c>
      <c r="F2510" t="s">
        <v>109</v>
      </c>
      <c r="G2510" t="s">
        <v>110</v>
      </c>
      <c r="H2510" t="s">
        <v>45</v>
      </c>
      <c r="I2510" t="s">
        <v>116</v>
      </c>
      <c r="J2510" t="s">
        <v>117</v>
      </c>
      <c r="K2510" t="s">
        <v>91</v>
      </c>
      <c r="L2510" t="s">
        <v>67</v>
      </c>
      <c r="M2510" t="s">
        <v>34</v>
      </c>
      <c r="N2510" t="s">
        <v>35</v>
      </c>
      <c r="O2510" t="s">
        <v>70</v>
      </c>
      <c r="P2510" t="s">
        <v>58</v>
      </c>
      <c r="Q2510" t="s">
        <v>347</v>
      </c>
      <c r="R2510">
        <v>310</v>
      </c>
      <c r="S2510">
        <v>121</v>
      </c>
      <c r="T2510">
        <v>80</v>
      </c>
      <c r="U2510">
        <v>22</v>
      </c>
      <c r="V2510" t="s">
        <v>752</v>
      </c>
      <c r="W2510">
        <v>21114</v>
      </c>
      <c r="X2510" t="s">
        <v>7545</v>
      </c>
      <c r="Y2510">
        <v>19359</v>
      </c>
      <c r="Z2510">
        <v>464508</v>
      </c>
      <c r="AA2510">
        <v>38610</v>
      </c>
      <c r="AB2510" t="str">
        <f>(VLOOKUP(SalesData[[#This Row],[Month Number]],Reference!C$5:E$16,2,FALSE))</f>
        <v>Feb</v>
      </c>
      <c r="AC2510">
        <f>MONTH(SalesData[[#This Row],[Date]])</f>
        <v>2</v>
      </c>
      <c r="AD2510">
        <f>Reference!F$4</f>
        <v>2026</v>
      </c>
      <c r="AE2510" t="str">
        <f>IF(OR(SalesData[[#This Row],[Day]]="Saturday",SalesData[[#This Row],[Day]]="Sunday"),"Weekend","Weekday")</f>
        <v>Weekend</v>
      </c>
      <c r="AF2510" s="5">
        <f>IF(SalesData[[#This Row],[Contracts Offered]]=0,0,SalesData[[#This Row],[Contracts Signed]]/SalesData[[#This Row],[Contracts Offered]])</f>
        <v>0.27500000000000002</v>
      </c>
      <c r="AG2510" s="5">
        <f>IF(SalesData[[#This Row],[Customers Visited]]=0,0,SalesData[[#This Row],[Test Drives]]/SalesData[[#This Row],[Customers Visited]])</f>
        <v>0.39032258064516129</v>
      </c>
      <c r="AH2510" s="5">
        <f>IF(SalesData[[#This Row],[Customers Visited]]=0,0,SalesData[[#This Row],[Contracts Signed]]/SalesData[[#This Row],[Customers Visited]])</f>
        <v>7.0967741935483872E-2</v>
      </c>
      <c r="AI2510" s="6">
        <f>IF(SalesData[[#This Row],[Contracts Signed]]=0,0,SalesData[[#This Row],[Profit(€)]]/SalesData[[#This Row],[Contracts Signed]])</f>
        <v>1755</v>
      </c>
      <c r="AJ2510" s="5" t="str">
        <f>TRIM(CLEAN(SalesData[[#This Row],[Retailer]]))</f>
        <v>Leipzig Mobility</v>
      </c>
    </row>
    <row r="2511" spans="1:36" ht="14.25" hidden="1" x14ac:dyDescent="0.2">
      <c r="A2511" t="s">
        <v>3595</v>
      </c>
      <c r="B2511" s="1">
        <v>46071</v>
      </c>
      <c r="C2511" t="s">
        <v>62</v>
      </c>
      <c r="D2511" t="s">
        <v>82</v>
      </c>
      <c r="E2511" t="s">
        <v>26</v>
      </c>
      <c r="F2511" t="s">
        <v>43</v>
      </c>
      <c r="G2511" t="s">
        <v>44</v>
      </c>
      <c r="H2511" t="s">
        <v>45</v>
      </c>
      <c r="I2511" t="s">
        <v>104</v>
      </c>
      <c r="J2511" t="s">
        <v>140</v>
      </c>
      <c r="K2511" t="s">
        <v>78</v>
      </c>
      <c r="L2511" t="s">
        <v>46</v>
      </c>
      <c r="M2511" t="s">
        <v>87</v>
      </c>
      <c r="N2511" t="s">
        <v>48</v>
      </c>
      <c r="O2511" t="s">
        <v>70</v>
      </c>
      <c r="P2511" t="s">
        <v>37</v>
      </c>
      <c r="Q2511" t="s">
        <v>158</v>
      </c>
      <c r="R2511">
        <v>260</v>
      </c>
      <c r="S2511">
        <v>134</v>
      </c>
      <c r="T2511">
        <v>84</v>
      </c>
      <c r="U2511">
        <v>19</v>
      </c>
      <c r="V2511" t="s">
        <v>515</v>
      </c>
      <c r="W2511">
        <v>34510</v>
      </c>
      <c r="X2511" t="s">
        <v>2942</v>
      </c>
      <c r="Y2511">
        <v>30091</v>
      </c>
      <c r="Z2511">
        <v>655690</v>
      </c>
      <c r="AA2511">
        <v>83961</v>
      </c>
      <c r="AB2511" t="str">
        <f>(VLOOKUP(SalesData[[#This Row],[Month Number]],Reference!C$5:E$16,2,FALSE))</f>
        <v>Feb</v>
      </c>
      <c r="AC2511">
        <f>MONTH(SalesData[[#This Row],[Date]])</f>
        <v>2</v>
      </c>
      <c r="AD2511">
        <f>Reference!F$4</f>
        <v>2026</v>
      </c>
      <c r="AE2511" t="str">
        <f>IF(OR(SalesData[[#This Row],[Day]]="Saturday",SalesData[[#This Row],[Day]]="Sunday"),"Weekend","Weekday")</f>
        <v>Weekday</v>
      </c>
      <c r="AF2511" s="5">
        <f>IF(SalesData[[#This Row],[Contracts Offered]]=0,0,SalesData[[#This Row],[Contracts Signed]]/SalesData[[#This Row],[Contracts Offered]])</f>
        <v>0.22619047619047619</v>
      </c>
      <c r="AG2511" s="5">
        <f>IF(SalesData[[#This Row],[Customers Visited]]=0,0,SalesData[[#This Row],[Test Drives]]/SalesData[[#This Row],[Customers Visited]])</f>
        <v>0.51538461538461533</v>
      </c>
      <c r="AH2511" s="5">
        <f>IF(SalesData[[#This Row],[Customers Visited]]=0,0,SalesData[[#This Row],[Contracts Signed]]/SalesData[[#This Row],[Customers Visited]])</f>
        <v>7.3076923076923081E-2</v>
      </c>
      <c r="AI2511" s="6">
        <f>IF(SalesData[[#This Row],[Contracts Signed]]=0,0,SalesData[[#This Row],[Profit(€)]]/SalesData[[#This Row],[Contracts Signed]])</f>
        <v>4419</v>
      </c>
      <c r="AJ2511" s="5" t="str">
        <f>TRIM(CLEAN(SalesData[[#This Row],[Retailer]]))</f>
        <v>Saxon Wheels</v>
      </c>
    </row>
    <row r="2512" spans="1:36" ht="14.25" x14ac:dyDescent="0.2">
      <c r="A2512" t="s">
        <v>3597</v>
      </c>
      <c r="B2512" s="1">
        <v>46072</v>
      </c>
      <c r="C2512" t="s">
        <v>62</v>
      </c>
      <c r="D2512" t="s">
        <v>100</v>
      </c>
      <c r="E2512" t="s">
        <v>26</v>
      </c>
      <c r="F2512" t="s">
        <v>127</v>
      </c>
      <c r="G2512" t="s">
        <v>128</v>
      </c>
      <c r="H2512" t="s">
        <v>103</v>
      </c>
      <c r="I2512" t="s">
        <v>30</v>
      </c>
      <c r="J2512" t="s">
        <v>31</v>
      </c>
      <c r="K2512" t="s">
        <v>78</v>
      </c>
      <c r="L2512" t="s">
        <v>46</v>
      </c>
      <c r="M2512" t="s">
        <v>68</v>
      </c>
      <c r="N2512" t="s">
        <v>48</v>
      </c>
      <c r="O2512" t="s">
        <v>70</v>
      </c>
      <c r="P2512" t="s">
        <v>49</v>
      </c>
      <c r="Q2512" t="s">
        <v>167</v>
      </c>
      <c r="R2512">
        <v>160</v>
      </c>
      <c r="S2512">
        <v>90</v>
      </c>
      <c r="T2512">
        <v>63</v>
      </c>
      <c r="U2512">
        <v>21</v>
      </c>
      <c r="V2512" t="s">
        <v>6365</v>
      </c>
      <c r="W2512">
        <v>56729</v>
      </c>
      <c r="X2512" t="s">
        <v>7056</v>
      </c>
      <c r="Y2512">
        <v>40447</v>
      </c>
      <c r="Z2512">
        <v>1191309</v>
      </c>
      <c r="AA2512">
        <v>341922</v>
      </c>
      <c r="AB2512" t="str">
        <f>(VLOOKUP(SalesData[[#This Row],[Month Number]],Reference!C$5:E$16,2,FALSE))</f>
        <v>Feb</v>
      </c>
      <c r="AC2512">
        <f>MONTH(SalesData[[#This Row],[Date]])</f>
        <v>2</v>
      </c>
      <c r="AD2512">
        <f>Reference!F$4</f>
        <v>2026</v>
      </c>
      <c r="AE2512" t="str">
        <f>IF(OR(SalesData[[#This Row],[Day]]="Saturday",SalesData[[#This Row],[Day]]="Sunday"),"Weekend","Weekday")</f>
        <v>Weekday</v>
      </c>
      <c r="AF2512" s="5">
        <f>IF(SalesData[[#This Row],[Contracts Offered]]=0,0,SalesData[[#This Row],[Contracts Signed]]/SalesData[[#This Row],[Contracts Offered]])</f>
        <v>0.33333333333333331</v>
      </c>
      <c r="AG2512" s="5">
        <f>IF(SalesData[[#This Row],[Customers Visited]]=0,0,SalesData[[#This Row],[Test Drives]]/SalesData[[#This Row],[Customers Visited]])</f>
        <v>0.5625</v>
      </c>
      <c r="AH2512" s="5">
        <f>IF(SalesData[[#This Row],[Customers Visited]]=0,0,SalesData[[#This Row],[Contracts Signed]]/SalesData[[#This Row],[Customers Visited]])</f>
        <v>0.13125000000000001</v>
      </c>
      <c r="AI2512" s="6">
        <f>IF(SalesData[[#This Row],[Contracts Signed]]=0,0,SalesData[[#This Row],[Profit(€)]]/SalesData[[#This Row],[Contracts Signed]])</f>
        <v>16282</v>
      </c>
      <c r="AJ2512" s="5" t="str">
        <f>TRIM(CLEAN(SalesData[[#This Row],[Retailer]]))</f>
        <v>Rhein Auto Group</v>
      </c>
    </row>
    <row r="2513" spans="1:36" ht="14.25" x14ac:dyDescent="0.2">
      <c r="A2513" t="s">
        <v>3599</v>
      </c>
      <c r="B2513" s="1">
        <v>46066</v>
      </c>
      <c r="C2513" t="s">
        <v>121</v>
      </c>
      <c r="D2513" t="s">
        <v>54</v>
      </c>
      <c r="E2513" t="s">
        <v>26</v>
      </c>
      <c r="F2513" t="s">
        <v>94</v>
      </c>
      <c r="G2513" t="s">
        <v>95</v>
      </c>
      <c r="H2513" t="s">
        <v>96</v>
      </c>
      <c r="I2513" t="s">
        <v>30</v>
      </c>
      <c r="J2513" t="s">
        <v>86</v>
      </c>
      <c r="K2513" t="s">
        <v>78</v>
      </c>
      <c r="L2513" t="s">
        <v>33</v>
      </c>
      <c r="M2513" t="s">
        <v>87</v>
      </c>
      <c r="N2513" t="s">
        <v>48</v>
      </c>
      <c r="O2513" t="s">
        <v>70</v>
      </c>
      <c r="P2513" t="s">
        <v>37</v>
      </c>
      <c r="Q2513" t="s">
        <v>167</v>
      </c>
      <c r="R2513">
        <v>210</v>
      </c>
      <c r="S2513">
        <v>116</v>
      </c>
      <c r="T2513">
        <v>89</v>
      </c>
      <c r="U2513">
        <v>30</v>
      </c>
      <c r="V2513" t="s">
        <v>6787</v>
      </c>
      <c r="W2513">
        <v>57044</v>
      </c>
      <c r="X2513" t="s">
        <v>1151</v>
      </c>
      <c r="Y2513">
        <v>43655</v>
      </c>
      <c r="Z2513">
        <v>1711320</v>
      </c>
      <c r="AA2513">
        <v>401670</v>
      </c>
      <c r="AB2513" t="str">
        <f>(VLOOKUP(SalesData[[#This Row],[Month Number]],Reference!C$5:E$16,2,FALSE))</f>
        <v>Feb</v>
      </c>
      <c r="AC2513">
        <f>MONTH(SalesData[[#This Row],[Date]])</f>
        <v>2</v>
      </c>
      <c r="AD2513">
        <f>Reference!F$4</f>
        <v>2026</v>
      </c>
      <c r="AE2513" t="str">
        <f>IF(OR(SalesData[[#This Row],[Day]]="Saturday",SalesData[[#This Row],[Day]]="Sunday"),"Weekend","Weekday")</f>
        <v>Weekday</v>
      </c>
      <c r="AF2513" s="5">
        <f>IF(SalesData[[#This Row],[Contracts Offered]]=0,0,SalesData[[#This Row],[Contracts Signed]]/SalesData[[#This Row],[Contracts Offered]])</f>
        <v>0.33707865168539325</v>
      </c>
      <c r="AG2513" s="5">
        <f>IF(SalesData[[#This Row],[Customers Visited]]=0,0,SalesData[[#This Row],[Test Drives]]/SalesData[[#This Row],[Customers Visited]])</f>
        <v>0.55238095238095242</v>
      </c>
      <c r="AH2513" s="5">
        <f>IF(SalesData[[#This Row],[Customers Visited]]=0,0,SalesData[[#This Row],[Contracts Signed]]/SalesData[[#This Row],[Customers Visited]])</f>
        <v>0.14285714285714285</v>
      </c>
      <c r="AI2513" s="6">
        <f>IF(SalesData[[#This Row],[Contracts Signed]]=0,0,SalesData[[#This Row],[Profit(€)]]/SalesData[[#This Row],[Contracts Signed]])</f>
        <v>13389</v>
      </c>
      <c r="AJ2513" s="5" t="str">
        <f>TRIM(CLEAN(SalesData[[#This Row],[Retailer]]))</f>
        <v>Bavaria Motors</v>
      </c>
    </row>
    <row r="2514" spans="1:36" ht="14.25" hidden="1" x14ac:dyDescent="0.2">
      <c r="A2514" t="s">
        <v>3600</v>
      </c>
      <c r="B2514" s="1">
        <v>46054</v>
      </c>
      <c r="C2514" t="s">
        <v>24</v>
      </c>
      <c r="D2514" t="s">
        <v>41</v>
      </c>
      <c r="E2514" t="s">
        <v>42</v>
      </c>
      <c r="F2514" t="s">
        <v>127</v>
      </c>
      <c r="G2514" t="s">
        <v>128</v>
      </c>
      <c r="H2514" t="s">
        <v>103</v>
      </c>
      <c r="I2514" t="s">
        <v>104</v>
      </c>
      <c r="J2514" t="s">
        <v>7031</v>
      </c>
      <c r="K2514" t="s">
        <v>32</v>
      </c>
      <c r="L2514" t="s">
        <v>46</v>
      </c>
      <c r="M2514" t="s">
        <v>47</v>
      </c>
      <c r="N2514" t="s">
        <v>69</v>
      </c>
      <c r="O2514" t="s">
        <v>70</v>
      </c>
      <c r="P2514" t="s">
        <v>49</v>
      </c>
      <c r="Q2514" t="s">
        <v>347</v>
      </c>
      <c r="R2514">
        <v>319</v>
      </c>
      <c r="S2514">
        <v>128</v>
      </c>
      <c r="T2514">
        <v>77</v>
      </c>
      <c r="U2514">
        <v>19</v>
      </c>
      <c r="V2514" t="s">
        <v>1714</v>
      </c>
      <c r="W2514">
        <v>27831</v>
      </c>
      <c r="X2514" t="s">
        <v>194</v>
      </c>
      <c r="Y2514">
        <v>24961</v>
      </c>
      <c r="Z2514">
        <v>528789</v>
      </c>
      <c r="AA2514">
        <v>54530</v>
      </c>
      <c r="AB2514" t="str">
        <f>(VLOOKUP(SalesData[[#This Row],[Month Number]],Reference!C$5:E$16,2,FALSE))</f>
        <v>Feb</v>
      </c>
      <c r="AC2514">
        <f>MONTH(SalesData[[#This Row],[Date]])</f>
        <v>2</v>
      </c>
      <c r="AD2514">
        <f>Reference!F$4</f>
        <v>2026</v>
      </c>
      <c r="AE2514" t="str">
        <f>IF(OR(SalesData[[#This Row],[Day]]="Saturday",SalesData[[#This Row],[Day]]="Sunday"),"Weekend","Weekday")</f>
        <v>Weekend</v>
      </c>
      <c r="AF2514" s="5">
        <f>IF(SalesData[[#This Row],[Contracts Offered]]=0,0,SalesData[[#This Row],[Contracts Signed]]/SalesData[[#This Row],[Contracts Offered]])</f>
        <v>0.24675324675324675</v>
      </c>
      <c r="AG2514" s="5">
        <f>IF(SalesData[[#This Row],[Customers Visited]]=0,0,SalesData[[#This Row],[Test Drives]]/SalesData[[#This Row],[Customers Visited]])</f>
        <v>0.40125391849529779</v>
      </c>
      <c r="AH2514" s="5">
        <f>IF(SalesData[[#This Row],[Customers Visited]]=0,0,SalesData[[#This Row],[Contracts Signed]]/SalesData[[#This Row],[Customers Visited]])</f>
        <v>5.9561128526645767E-2</v>
      </c>
      <c r="AI2514" s="6">
        <f>IF(SalesData[[#This Row],[Contracts Signed]]=0,0,SalesData[[#This Row],[Profit(€)]]/SalesData[[#This Row],[Contracts Signed]])</f>
        <v>2870</v>
      </c>
      <c r="AJ2514" s="5" t="str">
        <f>TRIM(CLEAN(SalesData[[#This Row],[Retailer]]))</f>
        <v>Rhein Auto Group</v>
      </c>
    </row>
    <row r="2515" spans="1:36" ht="14.25" hidden="1" x14ac:dyDescent="0.2">
      <c r="A2515" t="s">
        <v>3601</v>
      </c>
      <c r="B2515" s="1">
        <v>46071</v>
      </c>
      <c r="C2515" t="s">
        <v>62</v>
      </c>
      <c r="D2515" t="s">
        <v>82</v>
      </c>
      <c r="E2515" t="s">
        <v>26</v>
      </c>
      <c r="F2515" t="s">
        <v>109</v>
      </c>
      <c r="G2515" t="s">
        <v>110</v>
      </c>
      <c r="H2515" t="s">
        <v>45</v>
      </c>
      <c r="I2515" t="s">
        <v>104</v>
      </c>
      <c r="J2515" t="s">
        <v>7031</v>
      </c>
      <c r="K2515" t="s">
        <v>66</v>
      </c>
      <c r="L2515" t="s">
        <v>46</v>
      </c>
      <c r="M2515" t="s">
        <v>34</v>
      </c>
      <c r="N2515" t="s">
        <v>35</v>
      </c>
      <c r="O2515" t="s">
        <v>36</v>
      </c>
      <c r="P2515" t="s">
        <v>37</v>
      </c>
      <c r="Q2515" t="s">
        <v>240</v>
      </c>
      <c r="R2515">
        <v>345</v>
      </c>
      <c r="S2515">
        <v>143</v>
      </c>
      <c r="T2515">
        <v>101</v>
      </c>
      <c r="U2515">
        <v>21</v>
      </c>
      <c r="V2515" t="s">
        <v>1013</v>
      </c>
      <c r="W2515">
        <v>34355</v>
      </c>
      <c r="X2515" t="s">
        <v>683</v>
      </c>
      <c r="Y2515">
        <v>30576</v>
      </c>
      <c r="Z2515">
        <v>721455</v>
      </c>
      <c r="AA2515">
        <v>79359</v>
      </c>
      <c r="AB2515" t="str">
        <f>(VLOOKUP(SalesData[[#This Row],[Month Number]],Reference!C$5:E$16,2,FALSE))</f>
        <v>Feb</v>
      </c>
      <c r="AC2515">
        <f>MONTH(SalesData[[#This Row],[Date]])</f>
        <v>2</v>
      </c>
      <c r="AD2515">
        <f>Reference!F$4</f>
        <v>2026</v>
      </c>
      <c r="AE2515" t="str">
        <f>IF(OR(SalesData[[#This Row],[Day]]="Saturday",SalesData[[#This Row],[Day]]="Sunday"),"Weekend","Weekday")</f>
        <v>Weekday</v>
      </c>
      <c r="AF2515" s="5">
        <f>IF(SalesData[[#This Row],[Contracts Offered]]=0,0,SalesData[[#This Row],[Contracts Signed]]/SalesData[[#This Row],[Contracts Offered]])</f>
        <v>0.20792079207920791</v>
      </c>
      <c r="AG2515" s="5">
        <f>IF(SalesData[[#This Row],[Customers Visited]]=0,0,SalesData[[#This Row],[Test Drives]]/SalesData[[#This Row],[Customers Visited]])</f>
        <v>0.41449275362318838</v>
      </c>
      <c r="AH2515" s="5">
        <f>IF(SalesData[[#This Row],[Customers Visited]]=0,0,SalesData[[#This Row],[Contracts Signed]]/SalesData[[#This Row],[Customers Visited]])</f>
        <v>6.0869565217391307E-2</v>
      </c>
      <c r="AI2515" s="6">
        <f>IF(SalesData[[#This Row],[Contracts Signed]]=0,0,SalesData[[#This Row],[Profit(€)]]/SalesData[[#This Row],[Contracts Signed]])</f>
        <v>3779</v>
      </c>
      <c r="AJ2515" s="5" t="str">
        <f>TRIM(CLEAN(SalesData[[#This Row],[Retailer]]))</f>
        <v>Leipzig Mobility</v>
      </c>
    </row>
    <row r="2516" spans="1:36" ht="14.25" x14ac:dyDescent="0.2">
      <c r="A2516" t="s">
        <v>3602</v>
      </c>
      <c r="B2516" s="1">
        <v>46067</v>
      </c>
      <c r="C2516" t="s">
        <v>121</v>
      </c>
      <c r="D2516" t="s">
        <v>151</v>
      </c>
      <c r="E2516" t="s">
        <v>42</v>
      </c>
      <c r="F2516" t="s">
        <v>7649</v>
      </c>
      <c r="G2516" t="s">
        <v>55</v>
      </c>
      <c r="H2516" t="s">
        <v>55</v>
      </c>
      <c r="I2516" t="s">
        <v>30</v>
      </c>
      <c r="J2516" t="s">
        <v>7075</v>
      </c>
      <c r="K2516" t="s">
        <v>91</v>
      </c>
      <c r="L2516" t="s">
        <v>33</v>
      </c>
      <c r="M2516" t="s">
        <v>87</v>
      </c>
      <c r="N2516" t="s">
        <v>35</v>
      </c>
      <c r="O2516" t="s">
        <v>36</v>
      </c>
      <c r="P2516" t="s">
        <v>58</v>
      </c>
      <c r="Q2516" t="s">
        <v>189</v>
      </c>
      <c r="R2516">
        <v>255</v>
      </c>
      <c r="S2516">
        <v>119</v>
      </c>
      <c r="T2516">
        <v>96</v>
      </c>
      <c r="U2516">
        <v>37</v>
      </c>
      <c r="V2516" t="s">
        <v>7546</v>
      </c>
      <c r="W2516">
        <v>55887</v>
      </c>
      <c r="X2516" t="s">
        <v>7256</v>
      </c>
      <c r="Y2516">
        <v>42342</v>
      </c>
      <c r="Z2516">
        <v>2067819</v>
      </c>
      <c r="AA2516">
        <v>501165</v>
      </c>
      <c r="AB2516" t="str">
        <f>(VLOOKUP(SalesData[[#This Row],[Month Number]],Reference!C$5:E$16,2,FALSE))</f>
        <v>Feb</v>
      </c>
      <c r="AC2516">
        <f>MONTH(SalesData[[#This Row],[Date]])</f>
        <v>2</v>
      </c>
      <c r="AD2516">
        <f>Reference!F$4</f>
        <v>2026</v>
      </c>
      <c r="AE2516" t="str">
        <f>IF(OR(SalesData[[#This Row],[Day]]="Saturday",SalesData[[#This Row],[Day]]="Sunday"),"Weekend","Weekday")</f>
        <v>Weekend</v>
      </c>
      <c r="AF2516" s="5">
        <f>IF(SalesData[[#This Row],[Contracts Offered]]=0,0,SalesData[[#This Row],[Contracts Signed]]/SalesData[[#This Row],[Contracts Offered]])</f>
        <v>0.38541666666666669</v>
      </c>
      <c r="AG2516" s="5">
        <f>IF(SalesData[[#This Row],[Customers Visited]]=0,0,SalesData[[#This Row],[Test Drives]]/SalesData[[#This Row],[Customers Visited]])</f>
        <v>0.46666666666666667</v>
      </c>
      <c r="AH2516" s="5">
        <f>IF(SalesData[[#This Row],[Customers Visited]]=0,0,SalesData[[#This Row],[Contracts Signed]]/SalesData[[#This Row],[Customers Visited]])</f>
        <v>0.14509803921568629</v>
      </c>
      <c r="AI2516" s="6">
        <f>IF(SalesData[[#This Row],[Contracts Signed]]=0,0,SalesData[[#This Row],[Profit(€)]]/SalesData[[#This Row],[Contracts Signed]])</f>
        <v>13545</v>
      </c>
      <c r="AJ2516" s="5" t="str">
        <f>TRIM(CLEAN(SalesData[[#This Row],[Retailer]]))</f>
        <v>Autohaus Berlin</v>
      </c>
    </row>
    <row r="2517" spans="1:36" ht="14.25" hidden="1" x14ac:dyDescent="0.2">
      <c r="A2517" t="s">
        <v>3603</v>
      </c>
      <c r="B2517" s="1">
        <v>46073</v>
      </c>
      <c r="C2517" t="s">
        <v>62</v>
      </c>
      <c r="D2517" t="s">
        <v>54</v>
      </c>
      <c r="E2517" t="s">
        <v>26</v>
      </c>
      <c r="F2517" t="s">
        <v>109</v>
      </c>
      <c r="G2517" t="s">
        <v>110</v>
      </c>
      <c r="H2517" t="s">
        <v>45</v>
      </c>
      <c r="I2517" t="s">
        <v>116</v>
      </c>
      <c r="J2517" t="s">
        <v>203</v>
      </c>
      <c r="K2517" t="s">
        <v>32</v>
      </c>
      <c r="L2517" t="s">
        <v>67</v>
      </c>
      <c r="M2517" t="s">
        <v>87</v>
      </c>
      <c r="N2517" t="s">
        <v>48</v>
      </c>
      <c r="O2517" t="s">
        <v>70</v>
      </c>
      <c r="P2517" t="s">
        <v>58</v>
      </c>
      <c r="Q2517" t="s">
        <v>118</v>
      </c>
      <c r="R2517">
        <v>386</v>
      </c>
      <c r="S2517">
        <v>210</v>
      </c>
      <c r="T2517">
        <v>125</v>
      </c>
      <c r="U2517">
        <v>41</v>
      </c>
      <c r="V2517" t="s">
        <v>7099</v>
      </c>
      <c r="W2517">
        <v>24890</v>
      </c>
      <c r="X2517" t="s">
        <v>2259</v>
      </c>
      <c r="Y2517">
        <v>22917</v>
      </c>
      <c r="Z2517">
        <v>1020490</v>
      </c>
      <c r="AA2517">
        <v>80893</v>
      </c>
      <c r="AB2517" t="str">
        <f>(VLOOKUP(SalesData[[#This Row],[Month Number]],Reference!C$5:E$16,2,FALSE))</f>
        <v>Feb</v>
      </c>
      <c r="AC2517">
        <f>MONTH(SalesData[[#This Row],[Date]])</f>
        <v>2</v>
      </c>
      <c r="AD2517">
        <f>Reference!F$4</f>
        <v>2026</v>
      </c>
      <c r="AE2517" t="str">
        <f>IF(OR(SalesData[[#This Row],[Day]]="Saturday",SalesData[[#This Row],[Day]]="Sunday"),"Weekend","Weekday")</f>
        <v>Weekday</v>
      </c>
      <c r="AF2517" s="5">
        <f>IF(SalesData[[#This Row],[Contracts Offered]]=0,0,SalesData[[#This Row],[Contracts Signed]]/SalesData[[#This Row],[Contracts Offered]])</f>
        <v>0.32800000000000001</v>
      </c>
      <c r="AG2517" s="5">
        <f>IF(SalesData[[#This Row],[Customers Visited]]=0,0,SalesData[[#This Row],[Test Drives]]/SalesData[[#This Row],[Customers Visited]])</f>
        <v>0.54404145077720212</v>
      </c>
      <c r="AH2517" s="5">
        <f>IF(SalesData[[#This Row],[Customers Visited]]=0,0,SalesData[[#This Row],[Contracts Signed]]/SalesData[[#This Row],[Customers Visited]])</f>
        <v>0.10621761658031088</v>
      </c>
      <c r="AI2517" s="6">
        <f>IF(SalesData[[#This Row],[Contracts Signed]]=0,0,SalesData[[#This Row],[Profit(€)]]/SalesData[[#This Row],[Contracts Signed]])</f>
        <v>1973</v>
      </c>
      <c r="AJ2517" s="5" t="str">
        <f>TRIM(CLEAN(SalesData[[#This Row],[Retailer]]))</f>
        <v>Leipzig Mobility</v>
      </c>
    </row>
    <row r="2518" spans="1:36" ht="14.25" hidden="1" x14ac:dyDescent="0.2">
      <c r="A2518" t="s">
        <v>3604</v>
      </c>
      <c r="B2518" s="1">
        <v>46060</v>
      </c>
      <c r="C2518" t="s">
        <v>24</v>
      </c>
      <c r="D2518" t="s">
        <v>151</v>
      </c>
      <c r="E2518" t="s">
        <v>42</v>
      </c>
      <c r="F2518" t="s">
        <v>43</v>
      </c>
      <c r="G2518" t="s">
        <v>44</v>
      </c>
      <c r="H2518" t="s">
        <v>45</v>
      </c>
      <c r="I2518" t="s">
        <v>104</v>
      </c>
      <c r="J2518" t="s">
        <v>7061</v>
      </c>
      <c r="K2518" t="s">
        <v>91</v>
      </c>
      <c r="L2518" t="s">
        <v>46</v>
      </c>
      <c r="M2518" t="s">
        <v>68</v>
      </c>
      <c r="N2518" t="s">
        <v>35</v>
      </c>
      <c r="O2518" t="s">
        <v>70</v>
      </c>
      <c r="P2518" t="s">
        <v>58</v>
      </c>
      <c r="Q2518" t="s">
        <v>79</v>
      </c>
      <c r="R2518">
        <v>432</v>
      </c>
      <c r="S2518">
        <v>248</v>
      </c>
      <c r="T2518">
        <v>178</v>
      </c>
      <c r="U2518">
        <v>41</v>
      </c>
      <c r="V2518" t="s">
        <v>4349</v>
      </c>
      <c r="W2518">
        <v>33125</v>
      </c>
      <c r="X2518" t="s">
        <v>3932</v>
      </c>
      <c r="Y2518">
        <v>29712</v>
      </c>
      <c r="Z2518">
        <v>1358125</v>
      </c>
      <c r="AA2518">
        <v>139933</v>
      </c>
      <c r="AB2518" t="str">
        <f>(VLOOKUP(SalesData[[#This Row],[Month Number]],Reference!C$5:E$16,2,FALSE))</f>
        <v>Feb</v>
      </c>
      <c r="AC2518">
        <f>MONTH(SalesData[[#This Row],[Date]])</f>
        <v>2</v>
      </c>
      <c r="AD2518">
        <f>Reference!F$4</f>
        <v>2026</v>
      </c>
      <c r="AE2518" t="str">
        <f>IF(OR(SalesData[[#This Row],[Day]]="Saturday",SalesData[[#This Row],[Day]]="Sunday"),"Weekend","Weekday")</f>
        <v>Weekend</v>
      </c>
      <c r="AF2518" s="5">
        <f>IF(SalesData[[#This Row],[Contracts Offered]]=0,0,SalesData[[#This Row],[Contracts Signed]]/SalesData[[#This Row],[Contracts Offered]])</f>
        <v>0.2303370786516854</v>
      </c>
      <c r="AG2518" s="5">
        <f>IF(SalesData[[#This Row],[Customers Visited]]=0,0,SalesData[[#This Row],[Test Drives]]/SalesData[[#This Row],[Customers Visited]])</f>
        <v>0.57407407407407407</v>
      </c>
      <c r="AH2518" s="5">
        <f>IF(SalesData[[#This Row],[Customers Visited]]=0,0,SalesData[[#This Row],[Contracts Signed]]/SalesData[[#This Row],[Customers Visited]])</f>
        <v>9.4907407407407413E-2</v>
      </c>
      <c r="AI2518" s="6">
        <f>IF(SalesData[[#This Row],[Contracts Signed]]=0,0,SalesData[[#This Row],[Profit(€)]]/SalesData[[#This Row],[Contracts Signed]])</f>
        <v>3413</v>
      </c>
      <c r="AJ2518" s="5" t="str">
        <f>TRIM(CLEAN(SalesData[[#This Row],[Retailer]]))</f>
        <v>Saxon Wheels</v>
      </c>
    </row>
    <row r="2519" spans="1:36" ht="14.25" hidden="1" x14ac:dyDescent="0.2">
      <c r="A2519" t="s">
        <v>3605</v>
      </c>
      <c r="B2519" s="1">
        <v>46077</v>
      </c>
      <c r="C2519" t="s">
        <v>53</v>
      </c>
      <c r="D2519" t="s">
        <v>63</v>
      </c>
      <c r="E2519" t="s">
        <v>26</v>
      </c>
      <c r="F2519" t="s">
        <v>83</v>
      </c>
      <c r="G2519" t="s">
        <v>84</v>
      </c>
      <c r="H2519" t="s">
        <v>85</v>
      </c>
      <c r="I2519" t="s">
        <v>56</v>
      </c>
      <c r="J2519" t="s">
        <v>179</v>
      </c>
      <c r="K2519" t="s">
        <v>32</v>
      </c>
      <c r="L2519" t="s">
        <v>67</v>
      </c>
      <c r="M2519" t="s">
        <v>34</v>
      </c>
      <c r="N2519" t="s">
        <v>48</v>
      </c>
      <c r="O2519" t="s">
        <v>70</v>
      </c>
      <c r="P2519" t="s">
        <v>37</v>
      </c>
      <c r="Q2519" t="s">
        <v>204</v>
      </c>
      <c r="R2519">
        <v>236</v>
      </c>
      <c r="S2519">
        <v>144</v>
      </c>
      <c r="T2519">
        <v>101</v>
      </c>
      <c r="U2519">
        <v>29</v>
      </c>
      <c r="V2519" t="s">
        <v>6681</v>
      </c>
      <c r="W2519">
        <v>51173</v>
      </c>
      <c r="X2519" t="s">
        <v>7117</v>
      </c>
      <c r="Y2519">
        <v>38603</v>
      </c>
      <c r="Z2519">
        <v>1484017</v>
      </c>
      <c r="AA2519">
        <v>364530</v>
      </c>
      <c r="AB2519" t="str">
        <f>(VLOOKUP(SalesData[[#This Row],[Month Number]],Reference!C$5:E$16,2,FALSE))</f>
        <v>Feb</v>
      </c>
      <c r="AC2519">
        <f>MONTH(SalesData[[#This Row],[Date]])</f>
        <v>2</v>
      </c>
      <c r="AD2519">
        <f>Reference!F$4</f>
        <v>2026</v>
      </c>
      <c r="AE2519" t="str">
        <f>IF(OR(SalesData[[#This Row],[Day]]="Saturday",SalesData[[#This Row],[Day]]="Sunday"),"Weekend","Weekday")</f>
        <v>Weekday</v>
      </c>
      <c r="AF2519" s="5">
        <f>IF(SalesData[[#This Row],[Contracts Offered]]=0,0,SalesData[[#This Row],[Contracts Signed]]/SalesData[[#This Row],[Contracts Offered]])</f>
        <v>0.28712871287128711</v>
      </c>
      <c r="AG2519" s="5">
        <f>IF(SalesData[[#This Row],[Customers Visited]]=0,0,SalesData[[#This Row],[Test Drives]]/SalesData[[#This Row],[Customers Visited]])</f>
        <v>0.61016949152542377</v>
      </c>
      <c r="AH2519" s="5">
        <f>IF(SalesData[[#This Row],[Customers Visited]]=0,0,SalesData[[#This Row],[Contracts Signed]]/SalesData[[#This Row],[Customers Visited]])</f>
        <v>0.1228813559322034</v>
      </c>
      <c r="AI2519" s="6">
        <f>IF(SalesData[[#This Row],[Contracts Signed]]=0,0,SalesData[[#This Row],[Profit(€)]]/SalesData[[#This Row],[Contracts Signed]])</f>
        <v>12570</v>
      </c>
      <c r="AJ2519" s="5" t="str">
        <f>TRIM(CLEAN(SalesData[[#This Row],[Retailer]]))</f>
        <v>Hannover Cars</v>
      </c>
    </row>
    <row r="2520" spans="1:36" ht="14.25" hidden="1" x14ac:dyDescent="0.2">
      <c r="A2520" t="s">
        <v>3606</v>
      </c>
      <c r="B2520" s="1">
        <v>46059</v>
      </c>
      <c r="C2520" t="s">
        <v>24</v>
      </c>
      <c r="D2520" t="s">
        <v>54</v>
      </c>
      <c r="E2520" t="s">
        <v>26</v>
      </c>
      <c r="F2520" t="s">
        <v>74</v>
      </c>
      <c r="G2520" t="s">
        <v>75</v>
      </c>
      <c r="H2520" t="s">
        <v>76</v>
      </c>
      <c r="I2520" t="s">
        <v>116</v>
      </c>
      <c r="J2520" t="s">
        <v>117</v>
      </c>
      <c r="K2520" t="s">
        <v>91</v>
      </c>
      <c r="L2520" t="s">
        <v>67</v>
      </c>
      <c r="M2520" t="s">
        <v>87</v>
      </c>
      <c r="N2520" t="s">
        <v>35</v>
      </c>
      <c r="O2520" t="s">
        <v>36</v>
      </c>
      <c r="P2520" t="s">
        <v>37</v>
      </c>
      <c r="Q2520" t="s">
        <v>38</v>
      </c>
      <c r="R2520">
        <v>251</v>
      </c>
      <c r="S2520">
        <v>104</v>
      </c>
      <c r="T2520">
        <v>69</v>
      </c>
      <c r="U2520">
        <v>18</v>
      </c>
      <c r="V2520" t="s">
        <v>430</v>
      </c>
      <c r="W2520">
        <v>26129</v>
      </c>
      <c r="X2520" t="s">
        <v>3505</v>
      </c>
      <c r="Y2520">
        <v>23895</v>
      </c>
      <c r="Z2520">
        <v>470322</v>
      </c>
      <c r="AA2520">
        <v>40212</v>
      </c>
      <c r="AB2520" t="str">
        <f>(VLOOKUP(SalesData[[#This Row],[Month Number]],Reference!C$5:E$16,2,FALSE))</f>
        <v>Feb</v>
      </c>
      <c r="AC2520">
        <f>MONTH(SalesData[[#This Row],[Date]])</f>
        <v>2</v>
      </c>
      <c r="AD2520">
        <f>Reference!F$4</f>
        <v>2026</v>
      </c>
      <c r="AE2520" t="str">
        <f>IF(OR(SalesData[[#This Row],[Day]]="Saturday",SalesData[[#This Row],[Day]]="Sunday"),"Weekend","Weekday")</f>
        <v>Weekday</v>
      </c>
      <c r="AF2520" s="5">
        <f>IF(SalesData[[#This Row],[Contracts Offered]]=0,0,SalesData[[#This Row],[Contracts Signed]]/SalesData[[#This Row],[Contracts Offered]])</f>
        <v>0.2608695652173913</v>
      </c>
      <c r="AG2520" s="5">
        <f>IF(SalesData[[#This Row],[Customers Visited]]=0,0,SalesData[[#This Row],[Test Drives]]/SalesData[[#This Row],[Customers Visited]])</f>
        <v>0.41434262948207173</v>
      </c>
      <c r="AH2520" s="5">
        <f>IF(SalesData[[#This Row],[Customers Visited]]=0,0,SalesData[[#This Row],[Contracts Signed]]/SalesData[[#This Row],[Customers Visited]])</f>
        <v>7.1713147410358571E-2</v>
      </c>
      <c r="AI2520" s="6">
        <f>IF(SalesData[[#This Row],[Contracts Signed]]=0,0,SalesData[[#This Row],[Profit(€)]]/SalesData[[#This Row],[Contracts Signed]])</f>
        <v>2234</v>
      </c>
      <c r="AJ2520" s="5" t="str">
        <f>TRIM(CLEAN(SalesData[[#This Row],[Retailer]]))</f>
        <v>Stuttgart Auto Center</v>
      </c>
    </row>
    <row r="2521" spans="1:36" ht="14.25" x14ac:dyDescent="0.2">
      <c r="A2521" t="s">
        <v>3608</v>
      </c>
      <c r="B2521" s="1">
        <v>46068</v>
      </c>
      <c r="C2521" t="s">
        <v>62</v>
      </c>
      <c r="D2521" t="s">
        <v>41</v>
      </c>
      <c r="E2521" t="s">
        <v>42</v>
      </c>
      <c r="F2521" t="s">
        <v>27</v>
      </c>
      <c r="G2521" t="s">
        <v>28</v>
      </c>
      <c r="H2521" t="s">
        <v>29</v>
      </c>
      <c r="I2521" t="s">
        <v>30</v>
      </c>
      <c r="J2521" t="s">
        <v>188</v>
      </c>
      <c r="K2521" t="s">
        <v>32</v>
      </c>
      <c r="L2521" t="s">
        <v>33</v>
      </c>
      <c r="M2521" t="s">
        <v>87</v>
      </c>
      <c r="N2521" t="s">
        <v>69</v>
      </c>
      <c r="O2521" t="s">
        <v>70</v>
      </c>
      <c r="P2521" t="s">
        <v>58</v>
      </c>
      <c r="Q2521" t="s">
        <v>129</v>
      </c>
      <c r="R2521">
        <v>226</v>
      </c>
      <c r="S2521">
        <v>110</v>
      </c>
      <c r="T2521">
        <v>89</v>
      </c>
      <c r="U2521">
        <v>33</v>
      </c>
      <c r="V2521" t="s">
        <v>7100</v>
      </c>
      <c r="W2521">
        <v>51145</v>
      </c>
      <c r="X2521" t="s">
        <v>7407</v>
      </c>
      <c r="Y2521">
        <v>36151</v>
      </c>
      <c r="Z2521">
        <v>1687785</v>
      </c>
      <c r="AA2521">
        <v>494802</v>
      </c>
      <c r="AB2521" t="str">
        <f>(VLOOKUP(SalesData[[#This Row],[Month Number]],Reference!C$5:E$16,2,FALSE))</f>
        <v>Feb</v>
      </c>
      <c r="AC2521">
        <f>MONTH(SalesData[[#This Row],[Date]])</f>
        <v>2</v>
      </c>
      <c r="AD2521">
        <f>Reference!F$4</f>
        <v>2026</v>
      </c>
      <c r="AE2521" t="str">
        <f>IF(OR(SalesData[[#This Row],[Day]]="Saturday",SalesData[[#This Row],[Day]]="Sunday"),"Weekend","Weekday")</f>
        <v>Weekend</v>
      </c>
      <c r="AF2521" s="5">
        <f>IF(SalesData[[#This Row],[Contracts Offered]]=0,0,SalesData[[#This Row],[Contracts Signed]]/SalesData[[#This Row],[Contracts Offered]])</f>
        <v>0.3707865168539326</v>
      </c>
      <c r="AG2521" s="5">
        <f>IF(SalesData[[#This Row],[Customers Visited]]=0,0,SalesData[[#This Row],[Test Drives]]/SalesData[[#This Row],[Customers Visited]])</f>
        <v>0.48672566371681414</v>
      </c>
      <c r="AH2521" s="5">
        <f>IF(SalesData[[#This Row],[Customers Visited]]=0,0,SalesData[[#This Row],[Contracts Signed]]/SalesData[[#This Row],[Customers Visited]])</f>
        <v>0.14601769911504425</v>
      </c>
      <c r="AI2521" s="6">
        <f>IF(SalesData[[#This Row],[Contracts Signed]]=0,0,SalesData[[#This Row],[Profit(€)]]/SalesData[[#This Row],[Contracts Signed]])</f>
        <v>14994</v>
      </c>
      <c r="AJ2521" s="5" t="str">
        <f>TRIM(CLEAN(SalesData[[#This Row],[Retailer]]))</f>
        <v>Main Auto Hub</v>
      </c>
    </row>
    <row r="2522" spans="1:36" ht="14.25" hidden="1" x14ac:dyDescent="0.2">
      <c r="A2522" t="s">
        <v>3609</v>
      </c>
      <c r="B2522" s="1">
        <v>46064</v>
      </c>
      <c r="C2522" t="s">
        <v>121</v>
      </c>
      <c r="D2522" t="s">
        <v>82</v>
      </c>
      <c r="E2522" t="s">
        <v>26</v>
      </c>
      <c r="F2522" t="s">
        <v>114</v>
      </c>
      <c r="G2522" t="s">
        <v>115</v>
      </c>
      <c r="H2522" t="s">
        <v>115</v>
      </c>
      <c r="I2522" t="s">
        <v>56</v>
      </c>
      <c r="J2522" t="s">
        <v>57</v>
      </c>
      <c r="K2522" t="s">
        <v>78</v>
      </c>
      <c r="L2522" t="s">
        <v>46</v>
      </c>
      <c r="M2522" t="s">
        <v>87</v>
      </c>
      <c r="N2522" t="s">
        <v>69</v>
      </c>
      <c r="O2522" t="s">
        <v>70</v>
      </c>
      <c r="P2522" t="s">
        <v>71</v>
      </c>
      <c r="Q2522" t="s">
        <v>122</v>
      </c>
      <c r="R2522">
        <v>210</v>
      </c>
      <c r="S2522">
        <v>109</v>
      </c>
      <c r="T2522">
        <v>77</v>
      </c>
      <c r="U2522">
        <v>25</v>
      </c>
      <c r="V2522" t="s">
        <v>6664</v>
      </c>
      <c r="W2522">
        <v>47012</v>
      </c>
      <c r="X2522" t="s">
        <v>315</v>
      </c>
      <c r="Y2522">
        <v>36811</v>
      </c>
      <c r="Z2522">
        <v>1175300</v>
      </c>
      <c r="AA2522">
        <v>255025</v>
      </c>
      <c r="AB2522" t="str">
        <f>(VLOOKUP(SalesData[[#This Row],[Month Number]],Reference!C$5:E$16,2,FALSE))</f>
        <v>Feb</v>
      </c>
      <c r="AC2522">
        <f>MONTH(SalesData[[#This Row],[Date]])</f>
        <v>2</v>
      </c>
      <c r="AD2522">
        <f>Reference!F$4</f>
        <v>2026</v>
      </c>
      <c r="AE2522" t="str">
        <f>IF(OR(SalesData[[#This Row],[Day]]="Saturday",SalesData[[#This Row],[Day]]="Sunday"),"Weekend","Weekday")</f>
        <v>Weekday</v>
      </c>
      <c r="AF2522" s="5">
        <f>IF(SalesData[[#This Row],[Contracts Offered]]=0,0,SalesData[[#This Row],[Contracts Signed]]/SalesData[[#This Row],[Contracts Offered]])</f>
        <v>0.32467532467532467</v>
      </c>
      <c r="AG2522" s="5">
        <f>IF(SalesData[[#This Row],[Customers Visited]]=0,0,SalesData[[#This Row],[Test Drives]]/SalesData[[#This Row],[Customers Visited]])</f>
        <v>0.51904761904761909</v>
      </c>
      <c r="AH2522" s="5">
        <f>IF(SalesData[[#This Row],[Customers Visited]]=0,0,SalesData[[#This Row],[Contracts Signed]]/SalesData[[#This Row],[Customers Visited]])</f>
        <v>0.11904761904761904</v>
      </c>
      <c r="AI2522" s="6">
        <f>IF(SalesData[[#This Row],[Contracts Signed]]=0,0,SalesData[[#This Row],[Profit(€)]]/SalesData[[#This Row],[Contracts Signed]])</f>
        <v>10201</v>
      </c>
      <c r="AJ2522" s="5" t="str">
        <f>TRIM(CLEAN(SalesData[[#This Row],[Retailer]]))</f>
        <v>Elbe Drive</v>
      </c>
    </row>
    <row r="2523" spans="1:36" ht="14.25" hidden="1" x14ac:dyDescent="0.2">
      <c r="A2523" t="s">
        <v>3610</v>
      </c>
      <c r="B2523" s="1">
        <v>46072</v>
      </c>
      <c r="C2523" t="s">
        <v>62</v>
      </c>
      <c r="D2523" t="s">
        <v>100</v>
      </c>
      <c r="E2523" t="s">
        <v>26</v>
      </c>
      <c r="F2523" t="s">
        <v>127</v>
      </c>
      <c r="G2523" t="s">
        <v>128</v>
      </c>
      <c r="H2523" t="s">
        <v>103</v>
      </c>
      <c r="I2523" t="s">
        <v>64</v>
      </c>
      <c r="J2523" t="s">
        <v>7029</v>
      </c>
      <c r="K2523" t="s">
        <v>32</v>
      </c>
      <c r="L2523" t="s">
        <v>33</v>
      </c>
      <c r="M2523" t="s">
        <v>68</v>
      </c>
      <c r="N2523" t="s">
        <v>48</v>
      </c>
      <c r="O2523" t="s">
        <v>70</v>
      </c>
      <c r="P2523" t="s">
        <v>71</v>
      </c>
      <c r="Q2523" t="s">
        <v>158</v>
      </c>
      <c r="R2523">
        <v>263</v>
      </c>
      <c r="S2523">
        <v>126</v>
      </c>
      <c r="T2523">
        <v>97</v>
      </c>
      <c r="U2523">
        <v>32</v>
      </c>
      <c r="V2523" t="s">
        <v>6876</v>
      </c>
      <c r="W2523">
        <v>52072</v>
      </c>
      <c r="X2523" t="s">
        <v>7460</v>
      </c>
      <c r="Y2523">
        <v>39415</v>
      </c>
      <c r="Z2523">
        <v>1666304</v>
      </c>
      <c r="AA2523">
        <v>405024</v>
      </c>
      <c r="AB2523" t="str">
        <f>(VLOOKUP(SalesData[[#This Row],[Month Number]],Reference!C$5:E$16,2,FALSE))</f>
        <v>Feb</v>
      </c>
      <c r="AC2523">
        <f>MONTH(SalesData[[#This Row],[Date]])</f>
        <v>2</v>
      </c>
      <c r="AD2523">
        <f>Reference!F$4</f>
        <v>2026</v>
      </c>
      <c r="AE2523" t="str">
        <f>IF(OR(SalesData[[#This Row],[Day]]="Saturday",SalesData[[#This Row],[Day]]="Sunday"),"Weekend","Weekday")</f>
        <v>Weekday</v>
      </c>
      <c r="AF2523" s="5">
        <f>IF(SalesData[[#This Row],[Contracts Offered]]=0,0,SalesData[[#This Row],[Contracts Signed]]/SalesData[[#This Row],[Contracts Offered]])</f>
        <v>0.32989690721649484</v>
      </c>
      <c r="AG2523" s="5">
        <f>IF(SalesData[[#This Row],[Customers Visited]]=0,0,SalesData[[#This Row],[Test Drives]]/SalesData[[#This Row],[Customers Visited]])</f>
        <v>0.47908745247148288</v>
      </c>
      <c r="AH2523" s="5">
        <f>IF(SalesData[[#This Row],[Customers Visited]]=0,0,SalesData[[#This Row],[Contracts Signed]]/SalesData[[#This Row],[Customers Visited]])</f>
        <v>0.12167300380228137</v>
      </c>
      <c r="AI2523" s="6">
        <f>IF(SalesData[[#This Row],[Contracts Signed]]=0,0,SalesData[[#This Row],[Profit(€)]]/SalesData[[#This Row],[Contracts Signed]])</f>
        <v>12657</v>
      </c>
      <c r="AJ2523" s="5" t="str">
        <f>TRIM(CLEAN(SalesData[[#This Row],[Retailer]]))</f>
        <v>Rhein Auto Group</v>
      </c>
    </row>
    <row r="2524" spans="1:36" ht="14.25" hidden="1" x14ac:dyDescent="0.2">
      <c r="A2524" t="s">
        <v>3612</v>
      </c>
      <c r="B2524" s="1">
        <v>46080</v>
      </c>
      <c r="C2524" t="s">
        <v>53</v>
      </c>
      <c r="D2524" t="s">
        <v>54</v>
      </c>
      <c r="E2524" t="s">
        <v>26</v>
      </c>
      <c r="F2524" t="s">
        <v>7649</v>
      </c>
      <c r="G2524" t="s">
        <v>55</v>
      </c>
      <c r="H2524" t="s">
        <v>55</v>
      </c>
      <c r="I2524" t="s">
        <v>104</v>
      </c>
      <c r="J2524" t="s">
        <v>7031</v>
      </c>
      <c r="K2524" t="s">
        <v>32</v>
      </c>
      <c r="L2524" t="s">
        <v>46</v>
      </c>
      <c r="M2524" t="s">
        <v>68</v>
      </c>
      <c r="N2524" t="s">
        <v>35</v>
      </c>
      <c r="O2524" t="s">
        <v>36</v>
      </c>
      <c r="P2524" t="s">
        <v>37</v>
      </c>
      <c r="Q2524" t="s">
        <v>189</v>
      </c>
      <c r="R2524">
        <v>464</v>
      </c>
      <c r="S2524">
        <v>220</v>
      </c>
      <c r="T2524">
        <v>149</v>
      </c>
      <c r="U2524">
        <v>35</v>
      </c>
      <c r="V2524" t="s">
        <v>696</v>
      </c>
      <c r="W2524">
        <v>27378</v>
      </c>
      <c r="X2524" t="s">
        <v>1023</v>
      </c>
      <c r="Y2524">
        <v>24400</v>
      </c>
      <c r="Z2524">
        <v>958230</v>
      </c>
      <c r="AA2524">
        <v>104230</v>
      </c>
      <c r="AB2524" t="str">
        <f>(VLOOKUP(SalesData[[#This Row],[Month Number]],Reference!C$5:E$16,2,FALSE))</f>
        <v>Feb</v>
      </c>
      <c r="AC2524">
        <f>MONTH(SalesData[[#This Row],[Date]])</f>
        <v>2</v>
      </c>
      <c r="AD2524">
        <f>Reference!F$4</f>
        <v>2026</v>
      </c>
      <c r="AE2524" t="str">
        <f>IF(OR(SalesData[[#This Row],[Day]]="Saturday",SalesData[[#This Row],[Day]]="Sunday"),"Weekend","Weekday")</f>
        <v>Weekday</v>
      </c>
      <c r="AF2524" s="5">
        <f>IF(SalesData[[#This Row],[Contracts Offered]]=0,0,SalesData[[#This Row],[Contracts Signed]]/SalesData[[#This Row],[Contracts Offered]])</f>
        <v>0.2348993288590604</v>
      </c>
      <c r="AG2524" s="5">
        <f>IF(SalesData[[#This Row],[Customers Visited]]=0,0,SalesData[[#This Row],[Test Drives]]/SalesData[[#This Row],[Customers Visited]])</f>
        <v>0.47413793103448276</v>
      </c>
      <c r="AH2524" s="5">
        <f>IF(SalesData[[#This Row],[Customers Visited]]=0,0,SalesData[[#This Row],[Contracts Signed]]/SalesData[[#This Row],[Customers Visited]])</f>
        <v>7.5431034482758619E-2</v>
      </c>
      <c r="AI2524" s="6">
        <f>IF(SalesData[[#This Row],[Contracts Signed]]=0,0,SalesData[[#This Row],[Profit(€)]]/SalesData[[#This Row],[Contracts Signed]])</f>
        <v>2978</v>
      </c>
      <c r="AJ2524" s="5" t="str">
        <f>TRIM(CLEAN(SalesData[[#This Row],[Retailer]]))</f>
        <v>Autohaus Berlin</v>
      </c>
    </row>
    <row r="2525" spans="1:36" ht="14.25" hidden="1" x14ac:dyDescent="0.2">
      <c r="A2525" t="s">
        <v>3613</v>
      </c>
      <c r="B2525" s="1">
        <v>46068</v>
      </c>
      <c r="C2525" t="s">
        <v>62</v>
      </c>
      <c r="D2525" t="s">
        <v>41</v>
      </c>
      <c r="E2525" t="s">
        <v>42</v>
      </c>
      <c r="F2525" t="s">
        <v>7649</v>
      </c>
      <c r="G2525" t="s">
        <v>55</v>
      </c>
      <c r="H2525" t="s">
        <v>55</v>
      </c>
      <c r="I2525" t="s">
        <v>64</v>
      </c>
      <c r="J2525" t="s">
        <v>111</v>
      </c>
      <c r="K2525" t="s">
        <v>66</v>
      </c>
      <c r="L2525" t="s">
        <v>46</v>
      </c>
      <c r="M2525" t="s">
        <v>34</v>
      </c>
      <c r="N2525" t="s">
        <v>48</v>
      </c>
      <c r="O2525" t="s">
        <v>36</v>
      </c>
      <c r="P2525" t="s">
        <v>58</v>
      </c>
      <c r="Q2525" t="s">
        <v>50</v>
      </c>
      <c r="R2525">
        <v>151</v>
      </c>
      <c r="S2525">
        <v>87</v>
      </c>
      <c r="T2525">
        <v>69</v>
      </c>
      <c r="U2525">
        <v>25</v>
      </c>
      <c r="V2525" t="s">
        <v>7360</v>
      </c>
      <c r="W2525">
        <v>68257</v>
      </c>
      <c r="X2525" t="s">
        <v>7346</v>
      </c>
      <c r="Y2525">
        <v>52354</v>
      </c>
      <c r="Z2525">
        <v>1706425</v>
      </c>
      <c r="AA2525">
        <v>397575</v>
      </c>
      <c r="AB2525" t="str">
        <f>(VLOOKUP(SalesData[[#This Row],[Month Number]],Reference!C$5:E$16,2,FALSE))</f>
        <v>Feb</v>
      </c>
      <c r="AC2525">
        <f>MONTH(SalesData[[#This Row],[Date]])</f>
        <v>2</v>
      </c>
      <c r="AD2525">
        <f>Reference!F$4</f>
        <v>2026</v>
      </c>
      <c r="AE2525" t="str">
        <f>IF(OR(SalesData[[#This Row],[Day]]="Saturday",SalesData[[#This Row],[Day]]="Sunday"),"Weekend","Weekday")</f>
        <v>Weekend</v>
      </c>
      <c r="AF2525" s="5">
        <f>IF(SalesData[[#This Row],[Contracts Offered]]=0,0,SalesData[[#This Row],[Contracts Signed]]/SalesData[[#This Row],[Contracts Offered]])</f>
        <v>0.36231884057971014</v>
      </c>
      <c r="AG2525" s="5">
        <f>IF(SalesData[[#This Row],[Customers Visited]]=0,0,SalesData[[#This Row],[Test Drives]]/SalesData[[#This Row],[Customers Visited]])</f>
        <v>0.57615894039735094</v>
      </c>
      <c r="AH2525" s="5">
        <f>IF(SalesData[[#This Row],[Customers Visited]]=0,0,SalesData[[#This Row],[Contracts Signed]]/SalesData[[#This Row],[Customers Visited]])</f>
        <v>0.16556291390728478</v>
      </c>
      <c r="AI2525" s="6">
        <f>IF(SalesData[[#This Row],[Contracts Signed]]=0,0,SalesData[[#This Row],[Profit(€)]]/SalesData[[#This Row],[Contracts Signed]])</f>
        <v>15903</v>
      </c>
      <c r="AJ2525" s="5" t="str">
        <f>TRIM(CLEAN(SalesData[[#This Row],[Retailer]]))</f>
        <v>Autohaus Berlin</v>
      </c>
    </row>
    <row r="2526" spans="1:36" ht="14.25" hidden="1" x14ac:dyDescent="0.2">
      <c r="A2526" t="s">
        <v>3614</v>
      </c>
      <c r="B2526" s="1">
        <v>46056</v>
      </c>
      <c r="C2526" t="s">
        <v>24</v>
      </c>
      <c r="D2526" t="s">
        <v>63</v>
      </c>
      <c r="E2526" t="s">
        <v>26</v>
      </c>
      <c r="F2526" t="s">
        <v>94</v>
      </c>
      <c r="G2526" t="s">
        <v>95</v>
      </c>
      <c r="H2526" t="s">
        <v>96</v>
      </c>
      <c r="I2526" t="s">
        <v>64</v>
      </c>
      <c r="J2526" t="s">
        <v>77</v>
      </c>
      <c r="K2526" t="s">
        <v>78</v>
      </c>
      <c r="L2526" t="s">
        <v>46</v>
      </c>
      <c r="M2526" t="s">
        <v>34</v>
      </c>
      <c r="N2526" t="s">
        <v>35</v>
      </c>
      <c r="O2526" t="s">
        <v>36</v>
      </c>
      <c r="P2526" t="s">
        <v>71</v>
      </c>
      <c r="Q2526" t="s">
        <v>167</v>
      </c>
      <c r="R2526">
        <v>185</v>
      </c>
      <c r="S2526">
        <v>83</v>
      </c>
      <c r="T2526">
        <v>55</v>
      </c>
      <c r="U2526">
        <v>22</v>
      </c>
      <c r="V2526" t="s">
        <v>6606</v>
      </c>
      <c r="W2526">
        <v>52624</v>
      </c>
      <c r="X2526" t="s">
        <v>7353</v>
      </c>
      <c r="Y2526">
        <v>38677</v>
      </c>
      <c r="Z2526">
        <v>1157728</v>
      </c>
      <c r="AA2526">
        <v>306834</v>
      </c>
      <c r="AB2526" t="str">
        <f>(VLOOKUP(SalesData[[#This Row],[Month Number]],Reference!C$5:E$16,2,FALSE))</f>
        <v>Feb</v>
      </c>
      <c r="AC2526">
        <f>MONTH(SalesData[[#This Row],[Date]])</f>
        <v>2</v>
      </c>
      <c r="AD2526">
        <f>Reference!F$4</f>
        <v>2026</v>
      </c>
      <c r="AE2526" t="str">
        <f>IF(OR(SalesData[[#This Row],[Day]]="Saturday",SalesData[[#This Row],[Day]]="Sunday"),"Weekend","Weekday")</f>
        <v>Weekday</v>
      </c>
      <c r="AF2526" s="5">
        <f>IF(SalesData[[#This Row],[Contracts Offered]]=0,0,SalesData[[#This Row],[Contracts Signed]]/SalesData[[#This Row],[Contracts Offered]])</f>
        <v>0.4</v>
      </c>
      <c r="AG2526" s="5">
        <f>IF(SalesData[[#This Row],[Customers Visited]]=0,0,SalesData[[#This Row],[Test Drives]]/SalesData[[#This Row],[Customers Visited]])</f>
        <v>0.44864864864864867</v>
      </c>
      <c r="AH2526" s="5">
        <f>IF(SalesData[[#This Row],[Customers Visited]]=0,0,SalesData[[#This Row],[Contracts Signed]]/SalesData[[#This Row],[Customers Visited]])</f>
        <v>0.11891891891891893</v>
      </c>
      <c r="AI2526" s="6">
        <f>IF(SalesData[[#This Row],[Contracts Signed]]=0,0,SalesData[[#This Row],[Profit(€)]]/SalesData[[#This Row],[Contracts Signed]])</f>
        <v>13947</v>
      </c>
      <c r="AJ2526" s="5" t="str">
        <f>TRIM(CLEAN(SalesData[[#This Row],[Retailer]]))</f>
        <v>Bavaria Motors</v>
      </c>
    </row>
    <row r="2527" spans="1:36" ht="14.25" hidden="1" x14ac:dyDescent="0.2">
      <c r="A2527" t="s">
        <v>3615</v>
      </c>
      <c r="B2527" s="1">
        <v>46066</v>
      </c>
      <c r="C2527" t="s">
        <v>121</v>
      </c>
      <c r="D2527" t="s">
        <v>54</v>
      </c>
      <c r="E2527" t="s">
        <v>26</v>
      </c>
      <c r="F2527" t="s">
        <v>27</v>
      </c>
      <c r="G2527" t="s">
        <v>28</v>
      </c>
      <c r="H2527" t="s">
        <v>29</v>
      </c>
      <c r="I2527" t="s">
        <v>56</v>
      </c>
      <c r="J2527" t="s">
        <v>179</v>
      </c>
      <c r="K2527" t="s">
        <v>91</v>
      </c>
      <c r="L2527" t="s">
        <v>67</v>
      </c>
      <c r="M2527" t="s">
        <v>47</v>
      </c>
      <c r="N2527" t="s">
        <v>69</v>
      </c>
      <c r="O2527" t="s">
        <v>36</v>
      </c>
      <c r="P2527" t="s">
        <v>58</v>
      </c>
      <c r="Q2527" t="s">
        <v>169</v>
      </c>
      <c r="R2527">
        <v>309</v>
      </c>
      <c r="S2527">
        <v>148</v>
      </c>
      <c r="T2527">
        <v>95</v>
      </c>
      <c r="U2527">
        <v>41</v>
      </c>
      <c r="V2527" t="s">
        <v>6899</v>
      </c>
      <c r="W2527">
        <v>54112</v>
      </c>
      <c r="X2527" t="s">
        <v>4948</v>
      </c>
      <c r="Y2527">
        <v>41333</v>
      </c>
      <c r="Z2527">
        <v>2218592</v>
      </c>
      <c r="AA2527">
        <v>523939</v>
      </c>
      <c r="AB2527" t="str">
        <f>(VLOOKUP(SalesData[[#This Row],[Month Number]],Reference!C$5:E$16,2,FALSE))</f>
        <v>Feb</v>
      </c>
      <c r="AC2527">
        <f>MONTH(SalesData[[#This Row],[Date]])</f>
        <v>2</v>
      </c>
      <c r="AD2527">
        <f>Reference!F$4</f>
        <v>2026</v>
      </c>
      <c r="AE2527" t="str">
        <f>IF(OR(SalesData[[#This Row],[Day]]="Saturday",SalesData[[#This Row],[Day]]="Sunday"),"Weekend","Weekday")</f>
        <v>Weekday</v>
      </c>
      <c r="AF2527" s="5">
        <f>IF(SalesData[[#This Row],[Contracts Offered]]=0,0,SalesData[[#This Row],[Contracts Signed]]/SalesData[[#This Row],[Contracts Offered]])</f>
        <v>0.43157894736842106</v>
      </c>
      <c r="AG2527" s="5">
        <f>IF(SalesData[[#This Row],[Customers Visited]]=0,0,SalesData[[#This Row],[Test Drives]]/SalesData[[#This Row],[Customers Visited]])</f>
        <v>0.47896440129449835</v>
      </c>
      <c r="AH2527" s="5">
        <f>IF(SalesData[[#This Row],[Customers Visited]]=0,0,SalesData[[#This Row],[Contracts Signed]]/SalesData[[#This Row],[Customers Visited]])</f>
        <v>0.13268608414239483</v>
      </c>
      <c r="AI2527" s="6">
        <f>IF(SalesData[[#This Row],[Contracts Signed]]=0,0,SalesData[[#This Row],[Profit(€)]]/SalesData[[#This Row],[Contracts Signed]])</f>
        <v>12779</v>
      </c>
      <c r="AJ2527" s="5" t="str">
        <f>TRIM(CLEAN(SalesData[[#This Row],[Retailer]]))</f>
        <v>Main Auto Hub</v>
      </c>
    </row>
    <row r="2528" spans="1:36" ht="14.25" x14ac:dyDescent="0.2">
      <c r="A2528" t="s">
        <v>3616</v>
      </c>
      <c r="B2528" s="1">
        <v>46076</v>
      </c>
      <c r="C2528" t="s">
        <v>53</v>
      </c>
      <c r="D2528" t="s">
        <v>25</v>
      </c>
      <c r="E2528" t="s">
        <v>26</v>
      </c>
      <c r="F2528" t="s">
        <v>7649</v>
      </c>
      <c r="G2528" t="s">
        <v>55</v>
      </c>
      <c r="H2528" t="s">
        <v>55</v>
      </c>
      <c r="I2528" t="s">
        <v>30</v>
      </c>
      <c r="J2528" t="s">
        <v>188</v>
      </c>
      <c r="K2528" t="s">
        <v>32</v>
      </c>
      <c r="L2528" t="s">
        <v>33</v>
      </c>
      <c r="M2528" t="s">
        <v>47</v>
      </c>
      <c r="N2528" t="s">
        <v>69</v>
      </c>
      <c r="O2528" t="s">
        <v>70</v>
      </c>
      <c r="P2528" t="s">
        <v>71</v>
      </c>
      <c r="Q2528" t="s">
        <v>59</v>
      </c>
      <c r="R2528">
        <v>241</v>
      </c>
      <c r="S2528">
        <v>111</v>
      </c>
      <c r="T2528">
        <v>79</v>
      </c>
      <c r="U2528">
        <v>31</v>
      </c>
      <c r="V2528" t="s">
        <v>6653</v>
      </c>
      <c r="W2528">
        <v>57861</v>
      </c>
      <c r="X2528" t="s">
        <v>7501</v>
      </c>
      <c r="Y2528">
        <v>41744</v>
      </c>
      <c r="Z2528">
        <v>1793691</v>
      </c>
      <c r="AA2528">
        <v>499627</v>
      </c>
      <c r="AB2528" t="str">
        <f>(VLOOKUP(SalesData[[#This Row],[Month Number]],Reference!C$5:E$16,2,FALSE))</f>
        <v>Feb</v>
      </c>
      <c r="AC2528">
        <f>MONTH(SalesData[[#This Row],[Date]])</f>
        <v>2</v>
      </c>
      <c r="AD2528">
        <f>Reference!F$4</f>
        <v>2026</v>
      </c>
      <c r="AE2528" t="str">
        <f>IF(OR(SalesData[[#This Row],[Day]]="Saturday",SalesData[[#This Row],[Day]]="Sunday"),"Weekend","Weekday")</f>
        <v>Weekday</v>
      </c>
      <c r="AF2528" s="5">
        <f>IF(SalesData[[#This Row],[Contracts Offered]]=0,0,SalesData[[#This Row],[Contracts Signed]]/SalesData[[#This Row],[Contracts Offered]])</f>
        <v>0.39240506329113922</v>
      </c>
      <c r="AG2528" s="5">
        <f>IF(SalesData[[#This Row],[Customers Visited]]=0,0,SalesData[[#This Row],[Test Drives]]/SalesData[[#This Row],[Customers Visited]])</f>
        <v>0.46058091286307051</v>
      </c>
      <c r="AH2528" s="5">
        <f>IF(SalesData[[#This Row],[Customers Visited]]=0,0,SalesData[[#This Row],[Contracts Signed]]/SalesData[[#This Row],[Customers Visited]])</f>
        <v>0.12863070539419086</v>
      </c>
      <c r="AI2528" s="6">
        <f>IF(SalesData[[#This Row],[Contracts Signed]]=0,0,SalesData[[#This Row],[Profit(€)]]/SalesData[[#This Row],[Contracts Signed]])</f>
        <v>16117</v>
      </c>
      <c r="AJ2528" s="5" t="str">
        <f>TRIM(CLEAN(SalesData[[#This Row],[Retailer]]))</f>
        <v>Autohaus Berlin</v>
      </c>
    </row>
    <row r="2529" spans="1:36" ht="14.25" hidden="1" x14ac:dyDescent="0.2">
      <c r="A2529" t="s">
        <v>3617</v>
      </c>
      <c r="B2529" s="1">
        <v>46062</v>
      </c>
      <c r="C2529" t="s">
        <v>121</v>
      </c>
      <c r="D2529" t="s">
        <v>25</v>
      </c>
      <c r="E2529" t="s">
        <v>26</v>
      </c>
      <c r="F2529" t="s">
        <v>101</v>
      </c>
      <c r="G2529" t="s">
        <v>102</v>
      </c>
      <c r="H2529" t="s">
        <v>103</v>
      </c>
      <c r="I2529" t="s">
        <v>104</v>
      </c>
      <c r="J2529" t="s">
        <v>143</v>
      </c>
      <c r="K2529" t="s">
        <v>78</v>
      </c>
      <c r="L2529" t="s">
        <v>67</v>
      </c>
      <c r="M2529" t="s">
        <v>68</v>
      </c>
      <c r="N2529" t="s">
        <v>48</v>
      </c>
      <c r="O2529" t="s">
        <v>36</v>
      </c>
      <c r="P2529" t="s">
        <v>37</v>
      </c>
      <c r="Q2529" t="s">
        <v>240</v>
      </c>
      <c r="R2529">
        <v>308</v>
      </c>
      <c r="S2529">
        <v>141</v>
      </c>
      <c r="T2529">
        <v>96</v>
      </c>
      <c r="U2529">
        <v>22</v>
      </c>
      <c r="V2529" t="s">
        <v>2368</v>
      </c>
      <c r="W2529">
        <v>30700</v>
      </c>
      <c r="X2529" t="s">
        <v>5619</v>
      </c>
      <c r="Y2529">
        <v>26520</v>
      </c>
      <c r="Z2529">
        <v>675400</v>
      </c>
      <c r="AA2529">
        <v>91960</v>
      </c>
      <c r="AB2529" t="str">
        <f>(VLOOKUP(SalesData[[#This Row],[Month Number]],Reference!C$5:E$16,2,FALSE))</f>
        <v>Feb</v>
      </c>
      <c r="AC2529">
        <f>MONTH(SalesData[[#This Row],[Date]])</f>
        <v>2</v>
      </c>
      <c r="AD2529">
        <f>Reference!F$4</f>
        <v>2026</v>
      </c>
      <c r="AE2529" t="str">
        <f>IF(OR(SalesData[[#This Row],[Day]]="Saturday",SalesData[[#This Row],[Day]]="Sunday"),"Weekend","Weekday")</f>
        <v>Weekday</v>
      </c>
      <c r="AF2529" s="5">
        <f>IF(SalesData[[#This Row],[Contracts Offered]]=0,0,SalesData[[#This Row],[Contracts Signed]]/SalesData[[#This Row],[Contracts Offered]])</f>
        <v>0.22916666666666666</v>
      </c>
      <c r="AG2529" s="5">
        <f>IF(SalesData[[#This Row],[Customers Visited]]=0,0,SalesData[[#This Row],[Test Drives]]/SalesData[[#This Row],[Customers Visited]])</f>
        <v>0.45779220779220781</v>
      </c>
      <c r="AH2529" s="5">
        <f>IF(SalesData[[#This Row],[Customers Visited]]=0,0,SalesData[[#This Row],[Contracts Signed]]/SalesData[[#This Row],[Customers Visited]])</f>
        <v>7.1428571428571425E-2</v>
      </c>
      <c r="AI2529" s="6">
        <f>IF(SalesData[[#This Row],[Contracts Signed]]=0,0,SalesData[[#This Row],[Profit(€)]]/SalesData[[#This Row],[Contracts Signed]])</f>
        <v>4180</v>
      </c>
      <c r="AJ2529" s="5" t="str">
        <f>TRIM(CLEAN(SalesData[[#This Row],[Retailer]]))</f>
        <v>Ruhr Auto Plaza</v>
      </c>
    </row>
    <row r="2530" spans="1:36" ht="14.25" hidden="1" x14ac:dyDescent="0.2">
      <c r="A2530" t="s">
        <v>3618</v>
      </c>
      <c r="B2530" s="1">
        <v>46063</v>
      </c>
      <c r="C2530" t="s">
        <v>121</v>
      </c>
      <c r="D2530" t="s">
        <v>63</v>
      </c>
      <c r="E2530" t="s">
        <v>26</v>
      </c>
      <c r="F2530" t="s">
        <v>7649</v>
      </c>
      <c r="G2530" t="s">
        <v>55</v>
      </c>
      <c r="H2530" t="s">
        <v>55</v>
      </c>
      <c r="I2530" t="s">
        <v>64</v>
      </c>
      <c r="J2530" t="s">
        <v>111</v>
      </c>
      <c r="K2530" t="s">
        <v>66</v>
      </c>
      <c r="L2530" t="s">
        <v>46</v>
      </c>
      <c r="M2530" t="s">
        <v>87</v>
      </c>
      <c r="N2530" t="s">
        <v>69</v>
      </c>
      <c r="O2530" t="s">
        <v>36</v>
      </c>
      <c r="P2530" t="s">
        <v>71</v>
      </c>
      <c r="Q2530" t="s">
        <v>240</v>
      </c>
      <c r="R2530">
        <v>163</v>
      </c>
      <c r="S2530">
        <v>89</v>
      </c>
      <c r="T2530">
        <v>67</v>
      </c>
      <c r="U2530">
        <v>25</v>
      </c>
      <c r="V2530" t="s">
        <v>6830</v>
      </c>
      <c r="W2530">
        <v>72067</v>
      </c>
      <c r="X2530" t="s">
        <v>7136</v>
      </c>
      <c r="Y2530">
        <v>52154</v>
      </c>
      <c r="Z2530">
        <v>1801675</v>
      </c>
      <c r="AA2530">
        <v>497825</v>
      </c>
      <c r="AB2530" t="str">
        <f>(VLOOKUP(SalesData[[#This Row],[Month Number]],Reference!C$5:E$16,2,FALSE))</f>
        <v>Feb</v>
      </c>
      <c r="AC2530">
        <f>MONTH(SalesData[[#This Row],[Date]])</f>
        <v>2</v>
      </c>
      <c r="AD2530">
        <f>Reference!F$4</f>
        <v>2026</v>
      </c>
      <c r="AE2530" t="str">
        <f>IF(OR(SalesData[[#This Row],[Day]]="Saturday",SalesData[[#This Row],[Day]]="Sunday"),"Weekend","Weekday")</f>
        <v>Weekday</v>
      </c>
      <c r="AF2530" s="5">
        <f>IF(SalesData[[#This Row],[Contracts Offered]]=0,0,SalesData[[#This Row],[Contracts Signed]]/SalesData[[#This Row],[Contracts Offered]])</f>
        <v>0.37313432835820898</v>
      </c>
      <c r="AG2530" s="5">
        <f>IF(SalesData[[#This Row],[Customers Visited]]=0,0,SalesData[[#This Row],[Test Drives]]/SalesData[[#This Row],[Customers Visited]])</f>
        <v>0.54601226993865026</v>
      </c>
      <c r="AH2530" s="5">
        <f>IF(SalesData[[#This Row],[Customers Visited]]=0,0,SalesData[[#This Row],[Contracts Signed]]/SalesData[[#This Row],[Customers Visited]])</f>
        <v>0.15337423312883436</v>
      </c>
      <c r="AI2530" s="6">
        <f>IF(SalesData[[#This Row],[Contracts Signed]]=0,0,SalesData[[#This Row],[Profit(€)]]/SalesData[[#This Row],[Contracts Signed]])</f>
        <v>19913</v>
      </c>
      <c r="AJ2530" s="5" t="str">
        <f>TRIM(CLEAN(SalesData[[#This Row],[Retailer]]))</f>
        <v>Autohaus Berlin</v>
      </c>
    </row>
    <row r="2531" spans="1:36" ht="14.25" hidden="1" x14ac:dyDescent="0.2">
      <c r="A2531" t="s">
        <v>3619</v>
      </c>
      <c r="B2531" s="1">
        <v>46064</v>
      </c>
      <c r="C2531" t="s">
        <v>121</v>
      </c>
      <c r="D2531" t="s">
        <v>82</v>
      </c>
      <c r="E2531" t="s">
        <v>26</v>
      </c>
      <c r="F2531" t="s">
        <v>114</v>
      </c>
      <c r="G2531" t="s">
        <v>115</v>
      </c>
      <c r="H2531" t="s">
        <v>115</v>
      </c>
      <c r="I2531" t="s">
        <v>104</v>
      </c>
      <c r="J2531" t="s">
        <v>105</v>
      </c>
      <c r="K2531" t="s">
        <v>32</v>
      </c>
      <c r="L2531" t="s">
        <v>33</v>
      </c>
      <c r="M2531" t="s">
        <v>47</v>
      </c>
      <c r="N2531" t="s">
        <v>69</v>
      </c>
      <c r="O2531" t="s">
        <v>36</v>
      </c>
      <c r="P2531" t="s">
        <v>58</v>
      </c>
      <c r="Q2531" t="s">
        <v>172</v>
      </c>
      <c r="R2531">
        <v>362</v>
      </c>
      <c r="S2531">
        <v>192</v>
      </c>
      <c r="T2531">
        <v>135</v>
      </c>
      <c r="U2531">
        <v>44</v>
      </c>
      <c r="V2531" t="s">
        <v>6437</v>
      </c>
      <c r="W2531">
        <v>33511</v>
      </c>
      <c r="X2531" t="s">
        <v>809</v>
      </c>
      <c r="Y2531">
        <v>28879</v>
      </c>
      <c r="Z2531">
        <v>1474484</v>
      </c>
      <c r="AA2531">
        <v>203808</v>
      </c>
      <c r="AB2531" t="str">
        <f>(VLOOKUP(SalesData[[#This Row],[Month Number]],Reference!C$5:E$16,2,FALSE))</f>
        <v>Feb</v>
      </c>
      <c r="AC2531">
        <f>MONTH(SalesData[[#This Row],[Date]])</f>
        <v>2</v>
      </c>
      <c r="AD2531">
        <f>Reference!F$4</f>
        <v>2026</v>
      </c>
      <c r="AE2531" t="str">
        <f>IF(OR(SalesData[[#This Row],[Day]]="Saturday",SalesData[[#This Row],[Day]]="Sunday"),"Weekend","Weekday")</f>
        <v>Weekday</v>
      </c>
      <c r="AF2531" s="5">
        <f>IF(SalesData[[#This Row],[Contracts Offered]]=0,0,SalesData[[#This Row],[Contracts Signed]]/SalesData[[#This Row],[Contracts Offered]])</f>
        <v>0.32592592592592595</v>
      </c>
      <c r="AG2531" s="5">
        <f>IF(SalesData[[#This Row],[Customers Visited]]=0,0,SalesData[[#This Row],[Test Drives]]/SalesData[[#This Row],[Customers Visited]])</f>
        <v>0.53038674033149169</v>
      </c>
      <c r="AH2531" s="5">
        <f>IF(SalesData[[#This Row],[Customers Visited]]=0,0,SalesData[[#This Row],[Contracts Signed]]/SalesData[[#This Row],[Customers Visited]])</f>
        <v>0.12154696132596685</v>
      </c>
      <c r="AI2531" s="6">
        <f>IF(SalesData[[#This Row],[Contracts Signed]]=0,0,SalesData[[#This Row],[Profit(€)]]/SalesData[[#This Row],[Contracts Signed]])</f>
        <v>4632</v>
      </c>
      <c r="AJ2531" s="5" t="str">
        <f>TRIM(CLEAN(SalesData[[#This Row],[Retailer]]))</f>
        <v>Elbe Drive</v>
      </c>
    </row>
    <row r="2532" spans="1:36" ht="14.25" hidden="1" x14ac:dyDescent="0.2">
      <c r="A2532" t="s">
        <v>3620</v>
      </c>
      <c r="B2532" s="1">
        <v>46069</v>
      </c>
      <c r="C2532" t="s">
        <v>62</v>
      </c>
      <c r="D2532" t="s">
        <v>25</v>
      </c>
      <c r="E2532" t="s">
        <v>26</v>
      </c>
      <c r="F2532" t="s">
        <v>94</v>
      </c>
      <c r="G2532" t="s">
        <v>95</v>
      </c>
      <c r="H2532" t="s">
        <v>96</v>
      </c>
      <c r="I2532" t="s">
        <v>64</v>
      </c>
      <c r="J2532" t="s">
        <v>77</v>
      </c>
      <c r="K2532" t="s">
        <v>91</v>
      </c>
      <c r="L2532" t="s">
        <v>46</v>
      </c>
      <c r="M2532" t="s">
        <v>47</v>
      </c>
      <c r="N2532" t="s">
        <v>48</v>
      </c>
      <c r="O2532" t="s">
        <v>36</v>
      </c>
      <c r="P2532" t="s">
        <v>37</v>
      </c>
      <c r="Q2532" t="s">
        <v>118</v>
      </c>
      <c r="R2532">
        <v>149</v>
      </c>
      <c r="S2532">
        <v>84</v>
      </c>
      <c r="T2532">
        <v>58</v>
      </c>
      <c r="U2532">
        <v>22</v>
      </c>
      <c r="V2532" t="s">
        <v>6663</v>
      </c>
      <c r="W2532">
        <v>70992</v>
      </c>
      <c r="X2532" t="s">
        <v>4696</v>
      </c>
      <c r="Y2532">
        <v>54454</v>
      </c>
      <c r="Z2532">
        <v>1561824</v>
      </c>
      <c r="AA2532">
        <v>363836</v>
      </c>
      <c r="AB2532" t="str">
        <f>(VLOOKUP(SalesData[[#This Row],[Month Number]],Reference!C$5:E$16,2,FALSE))</f>
        <v>Feb</v>
      </c>
      <c r="AC2532">
        <f>MONTH(SalesData[[#This Row],[Date]])</f>
        <v>2</v>
      </c>
      <c r="AD2532">
        <f>Reference!F$4</f>
        <v>2026</v>
      </c>
      <c r="AE2532" t="str">
        <f>IF(OR(SalesData[[#This Row],[Day]]="Saturday",SalesData[[#This Row],[Day]]="Sunday"),"Weekend","Weekday")</f>
        <v>Weekday</v>
      </c>
      <c r="AF2532" s="5">
        <f>IF(SalesData[[#This Row],[Contracts Offered]]=0,0,SalesData[[#This Row],[Contracts Signed]]/SalesData[[#This Row],[Contracts Offered]])</f>
        <v>0.37931034482758619</v>
      </c>
      <c r="AG2532" s="5">
        <f>IF(SalesData[[#This Row],[Customers Visited]]=0,0,SalesData[[#This Row],[Test Drives]]/SalesData[[#This Row],[Customers Visited]])</f>
        <v>0.56375838926174493</v>
      </c>
      <c r="AH2532" s="5">
        <f>IF(SalesData[[#This Row],[Customers Visited]]=0,0,SalesData[[#This Row],[Contracts Signed]]/SalesData[[#This Row],[Customers Visited]])</f>
        <v>0.1476510067114094</v>
      </c>
      <c r="AI2532" s="6">
        <f>IF(SalesData[[#This Row],[Contracts Signed]]=0,0,SalesData[[#This Row],[Profit(€)]]/SalesData[[#This Row],[Contracts Signed]])</f>
        <v>16538</v>
      </c>
      <c r="AJ2532" s="5" t="str">
        <f>TRIM(CLEAN(SalesData[[#This Row],[Retailer]]))</f>
        <v>Bavaria Motors</v>
      </c>
    </row>
    <row r="2533" spans="1:36" ht="14.25" hidden="1" x14ac:dyDescent="0.2">
      <c r="A2533" t="s">
        <v>3621</v>
      </c>
      <c r="B2533" s="1">
        <v>46061</v>
      </c>
      <c r="C2533" t="s">
        <v>121</v>
      </c>
      <c r="D2533" t="s">
        <v>41</v>
      </c>
      <c r="E2533" t="s">
        <v>42</v>
      </c>
      <c r="F2533" t="s">
        <v>114</v>
      </c>
      <c r="G2533" t="s">
        <v>115</v>
      </c>
      <c r="H2533" t="s">
        <v>115</v>
      </c>
      <c r="I2533" t="s">
        <v>116</v>
      </c>
      <c r="J2533" t="s">
        <v>7090</v>
      </c>
      <c r="K2533" t="s">
        <v>78</v>
      </c>
      <c r="L2533" t="s">
        <v>46</v>
      </c>
      <c r="M2533" t="s">
        <v>47</v>
      </c>
      <c r="N2533" t="s">
        <v>69</v>
      </c>
      <c r="O2533" t="s">
        <v>70</v>
      </c>
      <c r="P2533" t="s">
        <v>49</v>
      </c>
      <c r="Q2533" t="s">
        <v>38</v>
      </c>
      <c r="R2533">
        <v>386</v>
      </c>
      <c r="S2533">
        <v>203</v>
      </c>
      <c r="T2533">
        <v>122</v>
      </c>
      <c r="U2533">
        <v>33</v>
      </c>
      <c r="V2533" t="s">
        <v>664</v>
      </c>
      <c r="W2533">
        <v>21812</v>
      </c>
      <c r="X2533" t="s">
        <v>1828</v>
      </c>
      <c r="Y2533">
        <v>20004</v>
      </c>
      <c r="Z2533">
        <v>719796</v>
      </c>
      <c r="AA2533">
        <v>59664</v>
      </c>
      <c r="AB2533" t="str">
        <f>(VLOOKUP(SalesData[[#This Row],[Month Number]],Reference!C$5:E$16,2,FALSE))</f>
        <v>Feb</v>
      </c>
      <c r="AC2533">
        <f>MONTH(SalesData[[#This Row],[Date]])</f>
        <v>2</v>
      </c>
      <c r="AD2533">
        <f>Reference!F$4</f>
        <v>2026</v>
      </c>
      <c r="AE2533" t="str">
        <f>IF(OR(SalesData[[#This Row],[Day]]="Saturday",SalesData[[#This Row],[Day]]="Sunday"),"Weekend","Weekday")</f>
        <v>Weekend</v>
      </c>
      <c r="AF2533" s="5">
        <f>IF(SalesData[[#This Row],[Contracts Offered]]=0,0,SalesData[[#This Row],[Contracts Signed]]/SalesData[[#This Row],[Contracts Offered]])</f>
        <v>0.27049180327868855</v>
      </c>
      <c r="AG2533" s="5">
        <f>IF(SalesData[[#This Row],[Customers Visited]]=0,0,SalesData[[#This Row],[Test Drives]]/SalesData[[#This Row],[Customers Visited]])</f>
        <v>0.52590673575129532</v>
      </c>
      <c r="AH2533" s="5">
        <f>IF(SalesData[[#This Row],[Customers Visited]]=0,0,SalesData[[#This Row],[Contracts Signed]]/SalesData[[#This Row],[Customers Visited]])</f>
        <v>8.549222797927461E-2</v>
      </c>
      <c r="AI2533" s="6">
        <f>IF(SalesData[[#This Row],[Contracts Signed]]=0,0,SalesData[[#This Row],[Profit(€)]]/SalesData[[#This Row],[Contracts Signed]])</f>
        <v>1808</v>
      </c>
      <c r="AJ2533" s="5" t="str">
        <f>TRIM(CLEAN(SalesData[[#This Row],[Retailer]]))</f>
        <v>Elbe Drive</v>
      </c>
    </row>
    <row r="2534" spans="1:36" ht="14.25" hidden="1" x14ac:dyDescent="0.2">
      <c r="A2534" t="s">
        <v>3623</v>
      </c>
      <c r="B2534" s="1">
        <v>46076</v>
      </c>
      <c r="C2534" t="s">
        <v>53</v>
      </c>
      <c r="D2534" t="s">
        <v>25</v>
      </c>
      <c r="E2534" t="s">
        <v>26</v>
      </c>
      <c r="F2534" t="s">
        <v>94</v>
      </c>
      <c r="G2534" t="s">
        <v>95</v>
      </c>
      <c r="H2534" t="s">
        <v>96</v>
      </c>
      <c r="I2534" t="s">
        <v>56</v>
      </c>
      <c r="J2534" t="s">
        <v>137</v>
      </c>
      <c r="K2534" t="s">
        <v>32</v>
      </c>
      <c r="L2534" t="s">
        <v>46</v>
      </c>
      <c r="M2534" t="s">
        <v>68</v>
      </c>
      <c r="N2534" t="s">
        <v>48</v>
      </c>
      <c r="O2534" t="s">
        <v>36</v>
      </c>
      <c r="P2534" t="s">
        <v>49</v>
      </c>
      <c r="Q2534" t="s">
        <v>347</v>
      </c>
      <c r="R2534">
        <v>203</v>
      </c>
      <c r="S2534">
        <v>96</v>
      </c>
      <c r="T2534">
        <v>70</v>
      </c>
      <c r="U2534">
        <v>23</v>
      </c>
      <c r="V2534" t="s">
        <v>6842</v>
      </c>
      <c r="W2534">
        <v>39816</v>
      </c>
      <c r="X2534" t="s">
        <v>3747</v>
      </c>
      <c r="Y2534">
        <v>31060</v>
      </c>
      <c r="Z2534">
        <v>915768</v>
      </c>
      <c r="AA2534">
        <v>201388</v>
      </c>
      <c r="AB2534" t="str">
        <f>(VLOOKUP(SalesData[[#This Row],[Month Number]],Reference!C$5:E$16,2,FALSE))</f>
        <v>Feb</v>
      </c>
      <c r="AC2534">
        <f>MONTH(SalesData[[#This Row],[Date]])</f>
        <v>2</v>
      </c>
      <c r="AD2534">
        <f>Reference!F$4</f>
        <v>2026</v>
      </c>
      <c r="AE2534" t="str">
        <f>IF(OR(SalesData[[#This Row],[Day]]="Saturday",SalesData[[#This Row],[Day]]="Sunday"),"Weekend","Weekday")</f>
        <v>Weekday</v>
      </c>
      <c r="AF2534" s="5">
        <f>IF(SalesData[[#This Row],[Contracts Offered]]=0,0,SalesData[[#This Row],[Contracts Signed]]/SalesData[[#This Row],[Contracts Offered]])</f>
        <v>0.32857142857142857</v>
      </c>
      <c r="AG2534" s="5">
        <f>IF(SalesData[[#This Row],[Customers Visited]]=0,0,SalesData[[#This Row],[Test Drives]]/SalesData[[#This Row],[Customers Visited]])</f>
        <v>0.47290640394088668</v>
      </c>
      <c r="AH2534" s="5">
        <f>IF(SalesData[[#This Row],[Customers Visited]]=0,0,SalesData[[#This Row],[Contracts Signed]]/SalesData[[#This Row],[Customers Visited]])</f>
        <v>0.11330049261083744</v>
      </c>
      <c r="AI2534" s="6">
        <f>IF(SalesData[[#This Row],[Contracts Signed]]=0,0,SalesData[[#This Row],[Profit(€)]]/SalesData[[#This Row],[Contracts Signed]])</f>
        <v>8756</v>
      </c>
      <c r="AJ2534" s="5" t="str">
        <f>TRIM(CLEAN(SalesData[[#This Row],[Retailer]]))</f>
        <v>Bavaria Motors</v>
      </c>
    </row>
    <row r="2535" spans="1:36" ht="14.25" x14ac:dyDescent="0.2">
      <c r="A2535" t="s">
        <v>3624</v>
      </c>
      <c r="B2535" s="1">
        <v>46076</v>
      </c>
      <c r="C2535" t="s">
        <v>53</v>
      </c>
      <c r="D2535" t="s">
        <v>25</v>
      </c>
      <c r="E2535" t="s">
        <v>26</v>
      </c>
      <c r="F2535" t="s">
        <v>43</v>
      </c>
      <c r="G2535" t="s">
        <v>44</v>
      </c>
      <c r="H2535" t="s">
        <v>45</v>
      </c>
      <c r="I2535" t="s">
        <v>30</v>
      </c>
      <c r="J2535" t="s">
        <v>166</v>
      </c>
      <c r="K2535" t="s">
        <v>91</v>
      </c>
      <c r="L2535" t="s">
        <v>46</v>
      </c>
      <c r="M2535" t="s">
        <v>34</v>
      </c>
      <c r="N2535" t="s">
        <v>69</v>
      </c>
      <c r="O2535" t="s">
        <v>36</v>
      </c>
      <c r="P2535" t="s">
        <v>49</v>
      </c>
      <c r="Q2535" t="s">
        <v>59</v>
      </c>
      <c r="R2535">
        <v>201</v>
      </c>
      <c r="S2535">
        <v>106</v>
      </c>
      <c r="T2535">
        <v>75</v>
      </c>
      <c r="U2535">
        <v>30</v>
      </c>
      <c r="V2535" t="s">
        <v>6760</v>
      </c>
      <c r="W2535">
        <v>57893</v>
      </c>
      <c r="X2535" t="s">
        <v>7309</v>
      </c>
      <c r="Y2535">
        <v>44457</v>
      </c>
      <c r="Z2535">
        <v>1736790</v>
      </c>
      <c r="AA2535">
        <v>403080</v>
      </c>
      <c r="AB2535" t="str">
        <f>(VLOOKUP(SalesData[[#This Row],[Month Number]],Reference!C$5:E$16,2,FALSE))</f>
        <v>Feb</v>
      </c>
      <c r="AC2535">
        <f>MONTH(SalesData[[#This Row],[Date]])</f>
        <v>2</v>
      </c>
      <c r="AD2535">
        <f>Reference!F$4</f>
        <v>2026</v>
      </c>
      <c r="AE2535" t="str">
        <f>IF(OR(SalesData[[#This Row],[Day]]="Saturday",SalesData[[#This Row],[Day]]="Sunday"),"Weekend","Weekday")</f>
        <v>Weekday</v>
      </c>
      <c r="AF2535" s="5">
        <f>IF(SalesData[[#This Row],[Contracts Offered]]=0,0,SalesData[[#This Row],[Contracts Signed]]/SalesData[[#This Row],[Contracts Offered]])</f>
        <v>0.4</v>
      </c>
      <c r="AG2535" s="5">
        <f>IF(SalesData[[#This Row],[Customers Visited]]=0,0,SalesData[[#This Row],[Test Drives]]/SalesData[[#This Row],[Customers Visited]])</f>
        <v>0.52736318407960203</v>
      </c>
      <c r="AH2535" s="5">
        <f>IF(SalesData[[#This Row],[Customers Visited]]=0,0,SalesData[[#This Row],[Contracts Signed]]/SalesData[[#This Row],[Customers Visited]])</f>
        <v>0.14925373134328357</v>
      </c>
      <c r="AI2535" s="6">
        <f>IF(SalesData[[#This Row],[Contracts Signed]]=0,0,SalesData[[#This Row],[Profit(€)]]/SalesData[[#This Row],[Contracts Signed]])</f>
        <v>13436</v>
      </c>
      <c r="AJ2535" s="5" t="str">
        <f>TRIM(CLEAN(SalesData[[#This Row],[Retailer]]))</f>
        <v>Saxon Wheels</v>
      </c>
    </row>
    <row r="2536" spans="1:36" ht="14.25" hidden="1" x14ac:dyDescent="0.2">
      <c r="A2536" t="s">
        <v>3625</v>
      </c>
      <c r="B2536" s="1">
        <v>46074</v>
      </c>
      <c r="C2536" t="s">
        <v>62</v>
      </c>
      <c r="D2536" t="s">
        <v>151</v>
      </c>
      <c r="E2536" t="s">
        <v>42</v>
      </c>
      <c r="F2536" t="s">
        <v>7649</v>
      </c>
      <c r="G2536" t="s">
        <v>55</v>
      </c>
      <c r="H2536" t="s">
        <v>55</v>
      </c>
      <c r="I2536" t="s">
        <v>56</v>
      </c>
      <c r="J2536" t="s">
        <v>7028</v>
      </c>
      <c r="K2536" t="s">
        <v>32</v>
      </c>
      <c r="L2536" t="s">
        <v>46</v>
      </c>
      <c r="M2536" t="s">
        <v>68</v>
      </c>
      <c r="N2536" t="s">
        <v>48</v>
      </c>
      <c r="O2536" t="s">
        <v>36</v>
      </c>
      <c r="P2536" t="s">
        <v>49</v>
      </c>
      <c r="Q2536" t="s">
        <v>189</v>
      </c>
      <c r="R2536">
        <v>313</v>
      </c>
      <c r="S2536">
        <v>165</v>
      </c>
      <c r="T2536">
        <v>116</v>
      </c>
      <c r="U2536">
        <v>38</v>
      </c>
      <c r="V2536" t="s">
        <v>6689</v>
      </c>
      <c r="W2536">
        <v>51789</v>
      </c>
      <c r="X2536" t="s">
        <v>184</v>
      </c>
      <c r="Y2536">
        <v>41503</v>
      </c>
      <c r="Z2536">
        <v>1967982</v>
      </c>
      <c r="AA2536">
        <v>390868</v>
      </c>
      <c r="AB2536" t="str">
        <f>(VLOOKUP(SalesData[[#This Row],[Month Number]],Reference!C$5:E$16,2,FALSE))</f>
        <v>Feb</v>
      </c>
      <c r="AC2536">
        <f>MONTH(SalesData[[#This Row],[Date]])</f>
        <v>2</v>
      </c>
      <c r="AD2536">
        <f>Reference!F$4</f>
        <v>2026</v>
      </c>
      <c r="AE2536" t="str">
        <f>IF(OR(SalesData[[#This Row],[Day]]="Saturday",SalesData[[#This Row],[Day]]="Sunday"),"Weekend","Weekday")</f>
        <v>Weekend</v>
      </c>
      <c r="AF2536" s="5">
        <f>IF(SalesData[[#This Row],[Contracts Offered]]=0,0,SalesData[[#This Row],[Contracts Signed]]/SalesData[[#This Row],[Contracts Offered]])</f>
        <v>0.32758620689655171</v>
      </c>
      <c r="AG2536" s="5">
        <f>IF(SalesData[[#This Row],[Customers Visited]]=0,0,SalesData[[#This Row],[Test Drives]]/SalesData[[#This Row],[Customers Visited]])</f>
        <v>0.52715654952076674</v>
      </c>
      <c r="AH2536" s="5">
        <f>IF(SalesData[[#This Row],[Customers Visited]]=0,0,SalesData[[#This Row],[Contracts Signed]]/SalesData[[#This Row],[Customers Visited]])</f>
        <v>0.12140575079872204</v>
      </c>
      <c r="AI2536" s="6">
        <f>IF(SalesData[[#This Row],[Contracts Signed]]=0,0,SalesData[[#This Row],[Profit(€)]]/SalesData[[#This Row],[Contracts Signed]])</f>
        <v>10286</v>
      </c>
      <c r="AJ2536" s="5" t="str">
        <f>TRIM(CLEAN(SalesData[[#This Row],[Retailer]]))</f>
        <v>Autohaus Berlin</v>
      </c>
    </row>
    <row r="2537" spans="1:36" ht="14.25" hidden="1" x14ac:dyDescent="0.2">
      <c r="A2537" t="s">
        <v>3626</v>
      </c>
      <c r="B2537" s="1">
        <v>46054</v>
      </c>
      <c r="C2537" t="s">
        <v>24</v>
      </c>
      <c r="D2537" t="s">
        <v>41</v>
      </c>
      <c r="E2537" t="s">
        <v>42</v>
      </c>
      <c r="F2537" t="s">
        <v>7649</v>
      </c>
      <c r="G2537" t="s">
        <v>55</v>
      </c>
      <c r="H2537" t="s">
        <v>55</v>
      </c>
      <c r="I2537" t="s">
        <v>64</v>
      </c>
      <c r="J2537" t="s">
        <v>77</v>
      </c>
      <c r="K2537" t="s">
        <v>66</v>
      </c>
      <c r="L2537" t="s">
        <v>46</v>
      </c>
      <c r="M2537" t="s">
        <v>87</v>
      </c>
      <c r="N2537" t="s">
        <v>48</v>
      </c>
      <c r="O2537" t="s">
        <v>36</v>
      </c>
      <c r="P2537" t="s">
        <v>58</v>
      </c>
      <c r="Q2537" t="s">
        <v>172</v>
      </c>
      <c r="R2537">
        <v>212</v>
      </c>
      <c r="S2537">
        <v>115</v>
      </c>
      <c r="T2537">
        <v>78</v>
      </c>
      <c r="U2537">
        <v>36</v>
      </c>
      <c r="V2537" t="s">
        <v>7547</v>
      </c>
      <c r="W2537">
        <v>66754</v>
      </c>
      <c r="X2537" t="s">
        <v>3065</v>
      </c>
      <c r="Y2537">
        <v>50354</v>
      </c>
      <c r="Z2537">
        <v>2403144</v>
      </c>
      <c r="AA2537">
        <v>590400</v>
      </c>
      <c r="AB2537" t="str">
        <f>(VLOOKUP(SalesData[[#This Row],[Month Number]],Reference!C$5:E$16,2,FALSE))</f>
        <v>Feb</v>
      </c>
      <c r="AC2537">
        <f>MONTH(SalesData[[#This Row],[Date]])</f>
        <v>2</v>
      </c>
      <c r="AD2537">
        <f>Reference!F$4</f>
        <v>2026</v>
      </c>
      <c r="AE2537" t="str">
        <f>IF(OR(SalesData[[#This Row],[Day]]="Saturday",SalesData[[#This Row],[Day]]="Sunday"),"Weekend","Weekday")</f>
        <v>Weekend</v>
      </c>
      <c r="AF2537" s="5">
        <f>IF(SalesData[[#This Row],[Contracts Offered]]=0,0,SalesData[[#This Row],[Contracts Signed]]/SalesData[[#This Row],[Contracts Offered]])</f>
        <v>0.46153846153846156</v>
      </c>
      <c r="AG2537" s="5">
        <f>IF(SalesData[[#This Row],[Customers Visited]]=0,0,SalesData[[#This Row],[Test Drives]]/SalesData[[#This Row],[Customers Visited]])</f>
        <v>0.54245283018867929</v>
      </c>
      <c r="AH2537" s="5">
        <f>IF(SalesData[[#This Row],[Customers Visited]]=0,0,SalesData[[#This Row],[Contracts Signed]]/SalesData[[#This Row],[Customers Visited]])</f>
        <v>0.16981132075471697</v>
      </c>
      <c r="AI2537" s="6">
        <f>IF(SalesData[[#This Row],[Contracts Signed]]=0,0,SalesData[[#This Row],[Profit(€)]]/SalesData[[#This Row],[Contracts Signed]])</f>
        <v>16400</v>
      </c>
      <c r="AJ2537" s="5" t="str">
        <f>TRIM(CLEAN(SalesData[[#This Row],[Retailer]]))</f>
        <v>Autohaus Berlin</v>
      </c>
    </row>
    <row r="2538" spans="1:36" ht="14.25" hidden="1" x14ac:dyDescent="0.2">
      <c r="A2538" t="s">
        <v>3627</v>
      </c>
      <c r="B2538" s="1">
        <v>46071</v>
      </c>
      <c r="C2538" t="s">
        <v>62</v>
      </c>
      <c r="D2538" t="s">
        <v>82</v>
      </c>
      <c r="E2538" t="s">
        <v>26</v>
      </c>
      <c r="F2538" t="s">
        <v>27</v>
      </c>
      <c r="G2538" t="s">
        <v>28</v>
      </c>
      <c r="H2538" t="s">
        <v>29</v>
      </c>
      <c r="I2538" t="s">
        <v>56</v>
      </c>
      <c r="J2538" t="s">
        <v>97</v>
      </c>
      <c r="K2538" t="s">
        <v>66</v>
      </c>
      <c r="L2538" t="s">
        <v>33</v>
      </c>
      <c r="M2538" t="s">
        <v>47</v>
      </c>
      <c r="N2538" t="s">
        <v>35</v>
      </c>
      <c r="O2538" t="s">
        <v>70</v>
      </c>
      <c r="P2538" t="s">
        <v>37</v>
      </c>
      <c r="Q2538" t="s">
        <v>122</v>
      </c>
      <c r="R2538">
        <v>289</v>
      </c>
      <c r="S2538">
        <v>168</v>
      </c>
      <c r="T2538">
        <v>115</v>
      </c>
      <c r="U2538">
        <v>36</v>
      </c>
      <c r="V2538" t="s">
        <v>6452</v>
      </c>
      <c r="W2538">
        <v>43062</v>
      </c>
      <c r="X2538" t="s">
        <v>3496</v>
      </c>
      <c r="Y2538">
        <v>32337</v>
      </c>
      <c r="Z2538">
        <v>1550232</v>
      </c>
      <c r="AA2538">
        <v>386100</v>
      </c>
      <c r="AB2538" t="str">
        <f>(VLOOKUP(SalesData[[#This Row],[Month Number]],Reference!C$5:E$16,2,FALSE))</f>
        <v>Feb</v>
      </c>
      <c r="AC2538">
        <f>MONTH(SalesData[[#This Row],[Date]])</f>
        <v>2</v>
      </c>
      <c r="AD2538">
        <f>Reference!F$4</f>
        <v>2026</v>
      </c>
      <c r="AE2538" t="str">
        <f>IF(OR(SalesData[[#This Row],[Day]]="Saturday",SalesData[[#This Row],[Day]]="Sunday"),"Weekend","Weekday")</f>
        <v>Weekday</v>
      </c>
      <c r="AF2538" s="5">
        <f>IF(SalesData[[#This Row],[Contracts Offered]]=0,0,SalesData[[#This Row],[Contracts Signed]]/SalesData[[#This Row],[Contracts Offered]])</f>
        <v>0.31304347826086959</v>
      </c>
      <c r="AG2538" s="5">
        <f>IF(SalesData[[#This Row],[Customers Visited]]=0,0,SalesData[[#This Row],[Test Drives]]/SalesData[[#This Row],[Customers Visited]])</f>
        <v>0.58131487889273359</v>
      </c>
      <c r="AH2538" s="5">
        <f>IF(SalesData[[#This Row],[Customers Visited]]=0,0,SalesData[[#This Row],[Contracts Signed]]/SalesData[[#This Row],[Customers Visited]])</f>
        <v>0.1245674740484429</v>
      </c>
      <c r="AI2538" s="6">
        <f>IF(SalesData[[#This Row],[Contracts Signed]]=0,0,SalesData[[#This Row],[Profit(€)]]/SalesData[[#This Row],[Contracts Signed]])</f>
        <v>10725</v>
      </c>
      <c r="AJ2538" s="5" t="str">
        <f>TRIM(CLEAN(SalesData[[#This Row],[Retailer]]))</f>
        <v>Main Auto Hub</v>
      </c>
    </row>
    <row r="2539" spans="1:36" ht="14.25" hidden="1" x14ac:dyDescent="0.2">
      <c r="A2539" t="s">
        <v>3628</v>
      </c>
      <c r="B2539" s="1">
        <v>46073</v>
      </c>
      <c r="C2539" t="s">
        <v>62</v>
      </c>
      <c r="D2539" t="s">
        <v>54</v>
      </c>
      <c r="E2539" t="s">
        <v>26</v>
      </c>
      <c r="F2539" t="s">
        <v>127</v>
      </c>
      <c r="G2539" t="s">
        <v>128</v>
      </c>
      <c r="H2539" t="s">
        <v>103</v>
      </c>
      <c r="I2539" t="s">
        <v>64</v>
      </c>
      <c r="J2539" t="s">
        <v>65</v>
      </c>
      <c r="K2539" t="s">
        <v>32</v>
      </c>
      <c r="L2539" t="s">
        <v>33</v>
      </c>
      <c r="M2539" t="s">
        <v>47</v>
      </c>
      <c r="N2539" t="s">
        <v>48</v>
      </c>
      <c r="O2539" t="s">
        <v>36</v>
      </c>
      <c r="P2539" t="s">
        <v>58</v>
      </c>
      <c r="Q2539" t="s">
        <v>129</v>
      </c>
      <c r="R2539">
        <v>194</v>
      </c>
      <c r="S2539">
        <v>94</v>
      </c>
      <c r="T2539">
        <v>73</v>
      </c>
      <c r="U2539">
        <v>28</v>
      </c>
      <c r="V2539" t="s">
        <v>6808</v>
      </c>
      <c r="W2539">
        <v>55690</v>
      </c>
      <c r="X2539" t="s">
        <v>7217</v>
      </c>
      <c r="Y2539">
        <v>40451</v>
      </c>
      <c r="Z2539">
        <v>1559320</v>
      </c>
      <c r="AA2539">
        <v>426692</v>
      </c>
      <c r="AB2539" t="str">
        <f>(VLOOKUP(SalesData[[#This Row],[Month Number]],Reference!C$5:E$16,2,FALSE))</f>
        <v>Feb</v>
      </c>
      <c r="AC2539">
        <f>MONTH(SalesData[[#This Row],[Date]])</f>
        <v>2</v>
      </c>
      <c r="AD2539">
        <f>Reference!F$4</f>
        <v>2026</v>
      </c>
      <c r="AE2539" t="str">
        <f>IF(OR(SalesData[[#This Row],[Day]]="Saturday",SalesData[[#This Row],[Day]]="Sunday"),"Weekend","Weekday")</f>
        <v>Weekday</v>
      </c>
      <c r="AF2539" s="5">
        <f>IF(SalesData[[#This Row],[Contracts Offered]]=0,0,SalesData[[#This Row],[Contracts Signed]]/SalesData[[#This Row],[Contracts Offered]])</f>
        <v>0.38356164383561642</v>
      </c>
      <c r="AG2539" s="5">
        <f>IF(SalesData[[#This Row],[Customers Visited]]=0,0,SalesData[[#This Row],[Test Drives]]/SalesData[[#This Row],[Customers Visited]])</f>
        <v>0.4845360824742268</v>
      </c>
      <c r="AH2539" s="5">
        <f>IF(SalesData[[#This Row],[Customers Visited]]=0,0,SalesData[[#This Row],[Contracts Signed]]/SalesData[[#This Row],[Customers Visited]])</f>
        <v>0.14432989690721648</v>
      </c>
      <c r="AI2539" s="6">
        <f>IF(SalesData[[#This Row],[Contracts Signed]]=0,0,SalesData[[#This Row],[Profit(€)]]/SalesData[[#This Row],[Contracts Signed]])</f>
        <v>15239</v>
      </c>
      <c r="AJ2539" s="5" t="str">
        <f>TRIM(CLEAN(SalesData[[#This Row],[Retailer]]))</f>
        <v>Rhein Auto Group</v>
      </c>
    </row>
    <row r="2540" spans="1:36" ht="14.25" hidden="1" x14ac:dyDescent="0.2">
      <c r="A2540" t="s">
        <v>3630</v>
      </c>
      <c r="B2540" s="1">
        <v>46076</v>
      </c>
      <c r="C2540" t="s">
        <v>53</v>
      </c>
      <c r="D2540" t="s">
        <v>25</v>
      </c>
      <c r="E2540" t="s">
        <v>26</v>
      </c>
      <c r="F2540" t="s">
        <v>101</v>
      </c>
      <c r="G2540" t="s">
        <v>102</v>
      </c>
      <c r="H2540" t="s">
        <v>103</v>
      </c>
      <c r="I2540" t="s">
        <v>56</v>
      </c>
      <c r="J2540" t="s">
        <v>7028</v>
      </c>
      <c r="K2540" t="s">
        <v>78</v>
      </c>
      <c r="L2540" t="s">
        <v>46</v>
      </c>
      <c r="M2540" t="s">
        <v>47</v>
      </c>
      <c r="N2540" t="s">
        <v>69</v>
      </c>
      <c r="O2540" t="s">
        <v>70</v>
      </c>
      <c r="P2540" t="s">
        <v>71</v>
      </c>
      <c r="Q2540" t="s">
        <v>129</v>
      </c>
      <c r="R2540">
        <v>219</v>
      </c>
      <c r="S2540">
        <v>106</v>
      </c>
      <c r="T2540">
        <v>72</v>
      </c>
      <c r="U2540">
        <v>22</v>
      </c>
      <c r="V2540" t="s">
        <v>6555</v>
      </c>
      <c r="W2540">
        <v>54034</v>
      </c>
      <c r="X2540" t="s">
        <v>2997</v>
      </c>
      <c r="Y2540">
        <v>43689</v>
      </c>
      <c r="Z2540">
        <v>1188748</v>
      </c>
      <c r="AA2540">
        <v>227590</v>
      </c>
      <c r="AB2540" t="str">
        <f>(VLOOKUP(SalesData[[#This Row],[Month Number]],Reference!C$5:E$16,2,FALSE))</f>
        <v>Feb</v>
      </c>
      <c r="AC2540">
        <f>MONTH(SalesData[[#This Row],[Date]])</f>
        <v>2</v>
      </c>
      <c r="AD2540">
        <f>Reference!F$4</f>
        <v>2026</v>
      </c>
      <c r="AE2540" t="str">
        <f>IF(OR(SalesData[[#This Row],[Day]]="Saturday",SalesData[[#This Row],[Day]]="Sunday"),"Weekend","Weekday")</f>
        <v>Weekday</v>
      </c>
      <c r="AF2540" s="5">
        <f>IF(SalesData[[#This Row],[Contracts Offered]]=0,0,SalesData[[#This Row],[Contracts Signed]]/SalesData[[#This Row],[Contracts Offered]])</f>
        <v>0.30555555555555558</v>
      </c>
      <c r="AG2540" s="5">
        <f>IF(SalesData[[#This Row],[Customers Visited]]=0,0,SalesData[[#This Row],[Test Drives]]/SalesData[[#This Row],[Customers Visited]])</f>
        <v>0.48401826484018262</v>
      </c>
      <c r="AH2540" s="5">
        <f>IF(SalesData[[#This Row],[Customers Visited]]=0,0,SalesData[[#This Row],[Contracts Signed]]/SalesData[[#This Row],[Customers Visited]])</f>
        <v>0.1004566210045662</v>
      </c>
      <c r="AI2540" s="6">
        <f>IF(SalesData[[#This Row],[Contracts Signed]]=0,0,SalesData[[#This Row],[Profit(€)]]/SalesData[[#This Row],[Contracts Signed]])</f>
        <v>10345</v>
      </c>
      <c r="AJ2540" s="5" t="str">
        <f>TRIM(CLEAN(SalesData[[#This Row],[Retailer]]))</f>
        <v>Ruhr Auto Plaza</v>
      </c>
    </row>
    <row r="2541" spans="1:36" ht="14.25" hidden="1" x14ac:dyDescent="0.2">
      <c r="A2541" t="s">
        <v>3631</v>
      </c>
      <c r="B2541" s="1">
        <v>46057</v>
      </c>
      <c r="C2541" t="s">
        <v>24</v>
      </c>
      <c r="D2541" t="s">
        <v>82</v>
      </c>
      <c r="E2541" t="s">
        <v>26</v>
      </c>
      <c r="F2541" t="s">
        <v>74</v>
      </c>
      <c r="G2541" t="s">
        <v>75</v>
      </c>
      <c r="H2541" t="s">
        <v>76</v>
      </c>
      <c r="I2541" t="s">
        <v>104</v>
      </c>
      <c r="J2541" t="s">
        <v>105</v>
      </c>
      <c r="K2541" t="s">
        <v>66</v>
      </c>
      <c r="L2541" t="s">
        <v>33</v>
      </c>
      <c r="M2541" t="s">
        <v>68</v>
      </c>
      <c r="N2541" t="s">
        <v>35</v>
      </c>
      <c r="O2541" t="s">
        <v>36</v>
      </c>
      <c r="P2541" t="s">
        <v>58</v>
      </c>
      <c r="Q2541" t="s">
        <v>240</v>
      </c>
      <c r="R2541">
        <v>467</v>
      </c>
      <c r="S2541">
        <v>192</v>
      </c>
      <c r="T2541">
        <v>136</v>
      </c>
      <c r="U2541">
        <v>41</v>
      </c>
      <c r="V2541" t="s">
        <v>7141</v>
      </c>
      <c r="W2541">
        <v>31860</v>
      </c>
      <c r="X2541" t="s">
        <v>4421</v>
      </c>
      <c r="Y2541">
        <v>28348</v>
      </c>
      <c r="Z2541">
        <v>1306260</v>
      </c>
      <c r="AA2541">
        <v>143992</v>
      </c>
      <c r="AB2541" t="str">
        <f>(VLOOKUP(SalesData[[#This Row],[Month Number]],Reference!C$5:E$16,2,FALSE))</f>
        <v>Feb</v>
      </c>
      <c r="AC2541">
        <f>MONTH(SalesData[[#This Row],[Date]])</f>
        <v>2</v>
      </c>
      <c r="AD2541">
        <f>Reference!F$4</f>
        <v>2026</v>
      </c>
      <c r="AE2541" t="str">
        <f>IF(OR(SalesData[[#This Row],[Day]]="Saturday",SalesData[[#This Row],[Day]]="Sunday"),"Weekend","Weekday")</f>
        <v>Weekday</v>
      </c>
      <c r="AF2541" s="5">
        <f>IF(SalesData[[#This Row],[Contracts Offered]]=0,0,SalesData[[#This Row],[Contracts Signed]]/SalesData[[#This Row],[Contracts Offered]])</f>
        <v>0.3014705882352941</v>
      </c>
      <c r="AG2541" s="5">
        <f>IF(SalesData[[#This Row],[Customers Visited]]=0,0,SalesData[[#This Row],[Test Drives]]/SalesData[[#This Row],[Customers Visited]])</f>
        <v>0.41113490364025695</v>
      </c>
      <c r="AH2541" s="5">
        <f>IF(SalesData[[#This Row],[Customers Visited]]=0,0,SalesData[[#This Row],[Contracts Signed]]/SalesData[[#This Row],[Customers Visited]])</f>
        <v>8.7794432548179868E-2</v>
      </c>
      <c r="AI2541" s="6">
        <f>IF(SalesData[[#This Row],[Contracts Signed]]=0,0,SalesData[[#This Row],[Profit(€)]]/SalesData[[#This Row],[Contracts Signed]])</f>
        <v>3512</v>
      </c>
      <c r="AJ2541" s="5" t="str">
        <f>TRIM(CLEAN(SalesData[[#This Row],[Retailer]]))</f>
        <v>Stuttgart Auto Center</v>
      </c>
    </row>
    <row r="2542" spans="1:36" ht="14.25" hidden="1" x14ac:dyDescent="0.2">
      <c r="A2542" t="s">
        <v>3633</v>
      </c>
      <c r="B2542" s="1">
        <v>46059</v>
      </c>
      <c r="C2542" t="s">
        <v>24</v>
      </c>
      <c r="D2542" t="s">
        <v>54</v>
      </c>
      <c r="E2542" t="s">
        <v>26</v>
      </c>
      <c r="F2542" t="s">
        <v>27</v>
      </c>
      <c r="G2542" t="s">
        <v>28</v>
      </c>
      <c r="H2542" t="s">
        <v>29</v>
      </c>
      <c r="I2542" t="s">
        <v>64</v>
      </c>
      <c r="J2542" t="s">
        <v>157</v>
      </c>
      <c r="K2542" t="s">
        <v>78</v>
      </c>
      <c r="L2542" t="s">
        <v>33</v>
      </c>
      <c r="M2542" t="s">
        <v>87</v>
      </c>
      <c r="N2542" t="s">
        <v>35</v>
      </c>
      <c r="O2542" t="s">
        <v>36</v>
      </c>
      <c r="P2542" t="s">
        <v>49</v>
      </c>
      <c r="Q2542" t="s">
        <v>167</v>
      </c>
      <c r="R2542">
        <v>283</v>
      </c>
      <c r="S2542">
        <v>157</v>
      </c>
      <c r="T2542">
        <v>110</v>
      </c>
      <c r="U2542">
        <v>33</v>
      </c>
      <c r="V2542" t="s">
        <v>7209</v>
      </c>
      <c r="W2542">
        <v>51209</v>
      </c>
      <c r="X2542" t="s">
        <v>2524</v>
      </c>
      <c r="Y2542">
        <v>37723</v>
      </c>
      <c r="Z2542">
        <v>1689897</v>
      </c>
      <c r="AA2542">
        <v>445038</v>
      </c>
      <c r="AB2542" t="str">
        <f>(VLOOKUP(SalesData[[#This Row],[Month Number]],Reference!C$5:E$16,2,FALSE))</f>
        <v>Feb</v>
      </c>
      <c r="AC2542">
        <f>MONTH(SalesData[[#This Row],[Date]])</f>
        <v>2</v>
      </c>
      <c r="AD2542">
        <f>Reference!F$4</f>
        <v>2026</v>
      </c>
      <c r="AE2542" t="str">
        <f>IF(OR(SalesData[[#This Row],[Day]]="Saturday",SalesData[[#This Row],[Day]]="Sunday"),"Weekend","Weekday")</f>
        <v>Weekday</v>
      </c>
      <c r="AF2542" s="5">
        <f>IF(SalesData[[#This Row],[Contracts Offered]]=0,0,SalesData[[#This Row],[Contracts Signed]]/SalesData[[#This Row],[Contracts Offered]])</f>
        <v>0.3</v>
      </c>
      <c r="AG2542" s="5">
        <f>IF(SalesData[[#This Row],[Customers Visited]]=0,0,SalesData[[#This Row],[Test Drives]]/SalesData[[#This Row],[Customers Visited]])</f>
        <v>0.55477031802120136</v>
      </c>
      <c r="AH2542" s="5">
        <f>IF(SalesData[[#This Row],[Customers Visited]]=0,0,SalesData[[#This Row],[Contracts Signed]]/SalesData[[#This Row],[Customers Visited]])</f>
        <v>0.1166077738515901</v>
      </c>
      <c r="AI2542" s="6">
        <f>IF(SalesData[[#This Row],[Contracts Signed]]=0,0,SalesData[[#This Row],[Profit(€)]]/SalesData[[#This Row],[Contracts Signed]])</f>
        <v>13486</v>
      </c>
      <c r="AJ2542" s="5" t="str">
        <f>TRIM(CLEAN(SalesData[[#This Row],[Retailer]]))</f>
        <v>Main Auto Hub</v>
      </c>
    </row>
    <row r="2543" spans="1:36" ht="14.25" hidden="1" x14ac:dyDescent="0.2">
      <c r="A2543" t="s">
        <v>3635</v>
      </c>
      <c r="B2543" s="1">
        <v>46065</v>
      </c>
      <c r="C2543" t="s">
        <v>121</v>
      </c>
      <c r="D2543" t="s">
        <v>100</v>
      </c>
      <c r="E2543" t="s">
        <v>26</v>
      </c>
      <c r="F2543" t="s">
        <v>7649</v>
      </c>
      <c r="G2543" t="s">
        <v>55</v>
      </c>
      <c r="H2543" t="s">
        <v>55</v>
      </c>
      <c r="I2543" t="s">
        <v>64</v>
      </c>
      <c r="J2543" t="s">
        <v>65</v>
      </c>
      <c r="K2543" t="s">
        <v>91</v>
      </c>
      <c r="L2543" t="s">
        <v>33</v>
      </c>
      <c r="M2543" t="s">
        <v>47</v>
      </c>
      <c r="N2543" t="s">
        <v>69</v>
      </c>
      <c r="O2543" t="s">
        <v>36</v>
      </c>
      <c r="P2543" t="s">
        <v>49</v>
      </c>
      <c r="Q2543" t="s">
        <v>204</v>
      </c>
      <c r="R2543">
        <v>191</v>
      </c>
      <c r="S2543">
        <v>84</v>
      </c>
      <c r="T2543">
        <v>66</v>
      </c>
      <c r="U2543">
        <v>21</v>
      </c>
      <c r="V2543" t="s">
        <v>6403</v>
      </c>
      <c r="W2543">
        <v>52385</v>
      </c>
      <c r="X2543" t="s">
        <v>7291</v>
      </c>
      <c r="Y2543">
        <v>40367</v>
      </c>
      <c r="Z2543">
        <v>1100085</v>
      </c>
      <c r="AA2543">
        <v>252378</v>
      </c>
      <c r="AB2543" t="str">
        <f>(VLOOKUP(SalesData[[#This Row],[Month Number]],Reference!C$5:E$16,2,FALSE))</f>
        <v>Feb</v>
      </c>
      <c r="AC2543">
        <f>MONTH(SalesData[[#This Row],[Date]])</f>
        <v>2</v>
      </c>
      <c r="AD2543">
        <f>Reference!F$4</f>
        <v>2026</v>
      </c>
      <c r="AE2543" t="str">
        <f>IF(OR(SalesData[[#This Row],[Day]]="Saturday",SalesData[[#This Row],[Day]]="Sunday"),"Weekend","Weekday")</f>
        <v>Weekday</v>
      </c>
      <c r="AF2543" s="5">
        <f>IF(SalesData[[#This Row],[Contracts Offered]]=0,0,SalesData[[#This Row],[Contracts Signed]]/SalesData[[#This Row],[Contracts Offered]])</f>
        <v>0.31818181818181818</v>
      </c>
      <c r="AG2543" s="5">
        <f>IF(SalesData[[#This Row],[Customers Visited]]=0,0,SalesData[[#This Row],[Test Drives]]/SalesData[[#This Row],[Customers Visited]])</f>
        <v>0.43979057591623039</v>
      </c>
      <c r="AH2543" s="5">
        <f>IF(SalesData[[#This Row],[Customers Visited]]=0,0,SalesData[[#This Row],[Contracts Signed]]/SalesData[[#This Row],[Customers Visited]])</f>
        <v>0.1099476439790576</v>
      </c>
      <c r="AI2543" s="6">
        <f>IF(SalesData[[#This Row],[Contracts Signed]]=0,0,SalesData[[#This Row],[Profit(€)]]/SalesData[[#This Row],[Contracts Signed]])</f>
        <v>12018</v>
      </c>
      <c r="AJ2543" s="5" t="str">
        <f>TRIM(CLEAN(SalesData[[#This Row],[Retailer]]))</f>
        <v>Autohaus Berlin</v>
      </c>
    </row>
    <row r="2544" spans="1:36" ht="14.25" hidden="1" x14ac:dyDescent="0.2">
      <c r="A2544" t="s">
        <v>3636</v>
      </c>
      <c r="B2544" s="1">
        <v>46072</v>
      </c>
      <c r="C2544" t="s">
        <v>62</v>
      </c>
      <c r="D2544" t="s">
        <v>100</v>
      </c>
      <c r="E2544" t="s">
        <v>26</v>
      </c>
      <c r="F2544" t="s">
        <v>43</v>
      </c>
      <c r="G2544" t="s">
        <v>44</v>
      </c>
      <c r="H2544" t="s">
        <v>45</v>
      </c>
      <c r="I2544" t="s">
        <v>104</v>
      </c>
      <c r="J2544" t="s">
        <v>7061</v>
      </c>
      <c r="K2544" t="s">
        <v>91</v>
      </c>
      <c r="L2544" t="s">
        <v>46</v>
      </c>
      <c r="M2544" t="s">
        <v>68</v>
      </c>
      <c r="N2544" t="s">
        <v>35</v>
      </c>
      <c r="O2544" t="s">
        <v>36</v>
      </c>
      <c r="P2544" t="s">
        <v>58</v>
      </c>
      <c r="Q2544" t="s">
        <v>240</v>
      </c>
      <c r="R2544">
        <v>366</v>
      </c>
      <c r="S2544">
        <v>155</v>
      </c>
      <c r="T2544">
        <v>96</v>
      </c>
      <c r="U2544">
        <v>29</v>
      </c>
      <c r="V2544" t="s">
        <v>1361</v>
      </c>
      <c r="W2544">
        <v>26987</v>
      </c>
      <c r="X2544" t="s">
        <v>1651</v>
      </c>
      <c r="Y2544">
        <v>23705</v>
      </c>
      <c r="Z2544">
        <v>782623</v>
      </c>
      <c r="AA2544">
        <v>95178</v>
      </c>
      <c r="AB2544" t="str">
        <f>(VLOOKUP(SalesData[[#This Row],[Month Number]],Reference!C$5:E$16,2,FALSE))</f>
        <v>Feb</v>
      </c>
      <c r="AC2544">
        <f>MONTH(SalesData[[#This Row],[Date]])</f>
        <v>2</v>
      </c>
      <c r="AD2544">
        <f>Reference!F$4</f>
        <v>2026</v>
      </c>
      <c r="AE2544" t="str">
        <f>IF(OR(SalesData[[#This Row],[Day]]="Saturday",SalesData[[#This Row],[Day]]="Sunday"),"Weekend","Weekday")</f>
        <v>Weekday</v>
      </c>
      <c r="AF2544" s="5">
        <f>IF(SalesData[[#This Row],[Contracts Offered]]=0,0,SalesData[[#This Row],[Contracts Signed]]/SalesData[[#This Row],[Contracts Offered]])</f>
        <v>0.30208333333333331</v>
      </c>
      <c r="AG2544" s="5">
        <f>IF(SalesData[[#This Row],[Customers Visited]]=0,0,SalesData[[#This Row],[Test Drives]]/SalesData[[#This Row],[Customers Visited]])</f>
        <v>0.42349726775956287</v>
      </c>
      <c r="AH2544" s="5">
        <f>IF(SalesData[[#This Row],[Customers Visited]]=0,0,SalesData[[#This Row],[Contracts Signed]]/SalesData[[#This Row],[Customers Visited]])</f>
        <v>7.9234972677595633E-2</v>
      </c>
      <c r="AI2544" s="6">
        <f>IF(SalesData[[#This Row],[Contracts Signed]]=0,0,SalesData[[#This Row],[Profit(€)]]/SalesData[[#This Row],[Contracts Signed]])</f>
        <v>3282</v>
      </c>
      <c r="AJ2544" s="5" t="str">
        <f>TRIM(CLEAN(SalesData[[#This Row],[Retailer]]))</f>
        <v>Saxon Wheels</v>
      </c>
    </row>
    <row r="2545" spans="1:36" ht="14.25" hidden="1" x14ac:dyDescent="0.2">
      <c r="A2545" t="s">
        <v>3637</v>
      </c>
      <c r="B2545" s="1">
        <v>46080</v>
      </c>
      <c r="C2545" t="s">
        <v>53</v>
      </c>
      <c r="D2545" t="s">
        <v>54</v>
      </c>
      <c r="E2545" t="s">
        <v>26</v>
      </c>
      <c r="F2545" t="s">
        <v>114</v>
      </c>
      <c r="G2545" t="s">
        <v>115</v>
      </c>
      <c r="H2545" t="s">
        <v>115</v>
      </c>
      <c r="I2545" t="s">
        <v>56</v>
      </c>
      <c r="J2545" t="s">
        <v>57</v>
      </c>
      <c r="K2545" t="s">
        <v>32</v>
      </c>
      <c r="L2545" t="s">
        <v>46</v>
      </c>
      <c r="M2545" t="s">
        <v>68</v>
      </c>
      <c r="N2545" t="s">
        <v>48</v>
      </c>
      <c r="O2545" t="s">
        <v>70</v>
      </c>
      <c r="P2545" t="s">
        <v>58</v>
      </c>
      <c r="Q2545" t="s">
        <v>50</v>
      </c>
      <c r="R2545">
        <v>269</v>
      </c>
      <c r="S2545">
        <v>159</v>
      </c>
      <c r="T2545">
        <v>116</v>
      </c>
      <c r="U2545">
        <v>39</v>
      </c>
      <c r="V2545" t="s">
        <v>6620</v>
      </c>
      <c r="W2545">
        <v>42917</v>
      </c>
      <c r="X2545" t="s">
        <v>7032</v>
      </c>
      <c r="Y2545">
        <v>34014</v>
      </c>
      <c r="Z2545">
        <v>1673763</v>
      </c>
      <c r="AA2545">
        <v>347217</v>
      </c>
      <c r="AB2545" t="str">
        <f>(VLOOKUP(SalesData[[#This Row],[Month Number]],Reference!C$5:E$16,2,FALSE))</f>
        <v>Feb</v>
      </c>
      <c r="AC2545">
        <f>MONTH(SalesData[[#This Row],[Date]])</f>
        <v>2</v>
      </c>
      <c r="AD2545">
        <f>Reference!F$4</f>
        <v>2026</v>
      </c>
      <c r="AE2545" t="str">
        <f>IF(OR(SalesData[[#This Row],[Day]]="Saturday",SalesData[[#This Row],[Day]]="Sunday"),"Weekend","Weekday")</f>
        <v>Weekday</v>
      </c>
      <c r="AF2545" s="5">
        <f>IF(SalesData[[#This Row],[Contracts Offered]]=0,0,SalesData[[#This Row],[Contracts Signed]]/SalesData[[#This Row],[Contracts Offered]])</f>
        <v>0.33620689655172414</v>
      </c>
      <c r="AG2545" s="5">
        <f>IF(SalesData[[#This Row],[Customers Visited]]=0,0,SalesData[[#This Row],[Test Drives]]/SalesData[[#This Row],[Customers Visited]])</f>
        <v>0.59107806691449816</v>
      </c>
      <c r="AH2545" s="5">
        <f>IF(SalesData[[#This Row],[Customers Visited]]=0,0,SalesData[[#This Row],[Contracts Signed]]/SalesData[[#This Row],[Customers Visited]])</f>
        <v>0.1449814126394052</v>
      </c>
      <c r="AI2545" s="6">
        <f>IF(SalesData[[#This Row],[Contracts Signed]]=0,0,SalesData[[#This Row],[Profit(€)]]/SalesData[[#This Row],[Contracts Signed]])</f>
        <v>8903</v>
      </c>
      <c r="AJ2545" s="5" t="str">
        <f>TRIM(CLEAN(SalesData[[#This Row],[Retailer]]))</f>
        <v>Elbe Drive</v>
      </c>
    </row>
    <row r="2546" spans="1:36" ht="14.25" hidden="1" x14ac:dyDescent="0.2">
      <c r="A2546" t="s">
        <v>3638</v>
      </c>
      <c r="B2546" s="1">
        <v>46077</v>
      </c>
      <c r="C2546" t="s">
        <v>53</v>
      </c>
      <c r="D2546" t="s">
        <v>63</v>
      </c>
      <c r="E2546" t="s">
        <v>26</v>
      </c>
      <c r="F2546" t="s">
        <v>127</v>
      </c>
      <c r="G2546" t="s">
        <v>128</v>
      </c>
      <c r="H2546" t="s">
        <v>103</v>
      </c>
      <c r="I2546" t="s">
        <v>104</v>
      </c>
      <c r="J2546" t="s">
        <v>140</v>
      </c>
      <c r="K2546" t="s">
        <v>32</v>
      </c>
      <c r="L2546" t="s">
        <v>46</v>
      </c>
      <c r="M2546" t="s">
        <v>68</v>
      </c>
      <c r="N2546" t="s">
        <v>35</v>
      </c>
      <c r="O2546" t="s">
        <v>36</v>
      </c>
      <c r="P2546" t="s">
        <v>58</v>
      </c>
      <c r="Q2546" t="s">
        <v>167</v>
      </c>
      <c r="R2546">
        <v>502</v>
      </c>
      <c r="S2546">
        <v>204</v>
      </c>
      <c r="T2546">
        <v>119</v>
      </c>
      <c r="U2546">
        <v>36</v>
      </c>
      <c r="V2546" t="s">
        <v>859</v>
      </c>
      <c r="W2546">
        <v>33734</v>
      </c>
      <c r="X2546" t="s">
        <v>7423</v>
      </c>
      <c r="Y2546">
        <v>30539</v>
      </c>
      <c r="Z2546">
        <v>1214424</v>
      </c>
      <c r="AA2546">
        <v>115020</v>
      </c>
      <c r="AB2546" t="str">
        <f>(VLOOKUP(SalesData[[#This Row],[Month Number]],Reference!C$5:E$16,2,FALSE))</f>
        <v>Feb</v>
      </c>
      <c r="AC2546">
        <f>MONTH(SalesData[[#This Row],[Date]])</f>
        <v>2</v>
      </c>
      <c r="AD2546">
        <f>Reference!F$4</f>
        <v>2026</v>
      </c>
      <c r="AE2546" t="str">
        <f>IF(OR(SalesData[[#This Row],[Day]]="Saturday",SalesData[[#This Row],[Day]]="Sunday"),"Weekend","Weekday")</f>
        <v>Weekday</v>
      </c>
      <c r="AF2546" s="5">
        <f>IF(SalesData[[#This Row],[Contracts Offered]]=0,0,SalesData[[#This Row],[Contracts Signed]]/SalesData[[#This Row],[Contracts Offered]])</f>
        <v>0.30252100840336132</v>
      </c>
      <c r="AG2546" s="5">
        <f>IF(SalesData[[#This Row],[Customers Visited]]=0,0,SalesData[[#This Row],[Test Drives]]/SalesData[[#This Row],[Customers Visited]])</f>
        <v>0.4063745019920319</v>
      </c>
      <c r="AH2546" s="5">
        <f>IF(SalesData[[#This Row],[Customers Visited]]=0,0,SalesData[[#This Row],[Contracts Signed]]/SalesData[[#This Row],[Customers Visited]])</f>
        <v>7.1713147410358571E-2</v>
      </c>
      <c r="AI2546" s="6">
        <f>IF(SalesData[[#This Row],[Contracts Signed]]=0,0,SalesData[[#This Row],[Profit(€)]]/SalesData[[#This Row],[Contracts Signed]])</f>
        <v>3195</v>
      </c>
      <c r="AJ2546" s="5" t="str">
        <f>TRIM(CLEAN(SalesData[[#This Row],[Retailer]]))</f>
        <v>Rhein Auto Group</v>
      </c>
    </row>
    <row r="2547" spans="1:36" ht="14.25" x14ac:dyDescent="0.2">
      <c r="A2547" t="s">
        <v>3639</v>
      </c>
      <c r="B2547" s="1">
        <v>46070</v>
      </c>
      <c r="C2547" t="s">
        <v>62</v>
      </c>
      <c r="D2547" t="s">
        <v>63</v>
      </c>
      <c r="E2547" t="s">
        <v>26</v>
      </c>
      <c r="F2547" t="s">
        <v>109</v>
      </c>
      <c r="G2547" t="s">
        <v>110</v>
      </c>
      <c r="H2547" t="s">
        <v>45</v>
      </c>
      <c r="I2547" t="s">
        <v>30</v>
      </c>
      <c r="J2547" t="s">
        <v>188</v>
      </c>
      <c r="K2547" t="s">
        <v>32</v>
      </c>
      <c r="L2547" t="s">
        <v>33</v>
      </c>
      <c r="M2547" t="s">
        <v>34</v>
      </c>
      <c r="N2547" t="s">
        <v>69</v>
      </c>
      <c r="O2547" t="s">
        <v>36</v>
      </c>
      <c r="P2547" t="s">
        <v>58</v>
      </c>
      <c r="Q2547" t="s">
        <v>240</v>
      </c>
      <c r="R2547">
        <v>233</v>
      </c>
      <c r="S2547">
        <v>112</v>
      </c>
      <c r="T2547">
        <v>90</v>
      </c>
      <c r="U2547">
        <v>36</v>
      </c>
      <c r="V2547" t="s">
        <v>7251</v>
      </c>
      <c r="W2547">
        <v>51645</v>
      </c>
      <c r="X2547" t="s">
        <v>7199</v>
      </c>
      <c r="Y2547">
        <v>39104</v>
      </c>
      <c r="Z2547">
        <v>1859220</v>
      </c>
      <c r="AA2547">
        <v>451476</v>
      </c>
      <c r="AB2547" t="str">
        <f>(VLOOKUP(SalesData[[#This Row],[Month Number]],Reference!C$5:E$16,2,FALSE))</f>
        <v>Feb</v>
      </c>
      <c r="AC2547">
        <f>MONTH(SalesData[[#This Row],[Date]])</f>
        <v>2</v>
      </c>
      <c r="AD2547">
        <f>Reference!F$4</f>
        <v>2026</v>
      </c>
      <c r="AE2547" t="str">
        <f>IF(OR(SalesData[[#This Row],[Day]]="Saturday",SalesData[[#This Row],[Day]]="Sunday"),"Weekend","Weekday")</f>
        <v>Weekday</v>
      </c>
      <c r="AF2547" s="5">
        <f>IF(SalesData[[#This Row],[Contracts Offered]]=0,0,SalesData[[#This Row],[Contracts Signed]]/SalesData[[#This Row],[Contracts Offered]])</f>
        <v>0.4</v>
      </c>
      <c r="AG2547" s="5">
        <f>IF(SalesData[[#This Row],[Customers Visited]]=0,0,SalesData[[#This Row],[Test Drives]]/SalesData[[#This Row],[Customers Visited]])</f>
        <v>0.48068669527896996</v>
      </c>
      <c r="AH2547" s="5">
        <f>IF(SalesData[[#This Row],[Customers Visited]]=0,0,SalesData[[#This Row],[Contracts Signed]]/SalesData[[#This Row],[Customers Visited]])</f>
        <v>0.15450643776824036</v>
      </c>
      <c r="AI2547" s="6">
        <f>IF(SalesData[[#This Row],[Contracts Signed]]=0,0,SalesData[[#This Row],[Profit(€)]]/SalesData[[#This Row],[Contracts Signed]])</f>
        <v>12541</v>
      </c>
      <c r="AJ2547" s="5" t="str">
        <f>TRIM(CLEAN(SalesData[[#This Row],[Retailer]]))</f>
        <v>Leipzig Mobility</v>
      </c>
    </row>
    <row r="2548" spans="1:36" ht="14.25" hidden="1" x14ac:dyDescent="0.2">
      <c r="A2548" t="s">
        <v>3640</v>
      </c>
      <c r="B2548" s="1">
        <v>46081</v>
      </c>
      <c r="C2548" t="s">
        <v>53</v>
      </c>
      <c r="D2548" t="s">
        <v>151</v>
      </c>
      <c r="E2548" t="s">
        <v>42</v>
      </c>
      <c r="F2548" t="s">
        <v>109</v>
      </c>
      <c r="G2548" t="s">
        <v>110</v>
      </c>
      <c r="H2548" t="s">
        <v>45</v>
      </c>
      <c r="I2548" t="s">
        <v>104</v>
      </c>
      <c r="J2548" t="s">
        <v>7061</v>
      </c>
      <c r="K2548" t="s">
        <v>91</v>
      </c>
      <c r="L2548" t="s">
        <v>46</v>
      </c>
      <c r="M2548" t="s">
        <v>47</v>
      </c>
      <c r="N2548" t="s">
        <v>69</v>
      </c>
      <c r="O2548" t="s">
        <v>36</v>
      </c>
      <c r="P2548" t="s">
        <v>49</v>
      </c>
      <c r="Q2548" t="s">
        <v>50</v>
      </c>
      <c r="R2548">
        <v>370</v>
      </c>
      <c r="S2548">
        <v>165</v>
      </c>
      <c r="T2548">
        <v>109</v>
      </c>
      <c r="U2548">
        <v>25</v>
      </c>
      <c r="V2548" t="s">
        <v>592</v>
      </c>
      <c r="W2548">
        <v>26018</v>
      </c>
      <c r="X2548" t="s">
        <v>561</v>
      </c>
      <c r="Y2548">
        <v>23228</v>
      </c>
      <c r="Z2548">
        <v>650450</v>
      </c>
      <c r="AA2548">
        <v>69750</v>
      </c>
      <c r="AB2548" t="str">
        <f>(VLOOKUP(SalesData[[#This Row],[Month Number]],Reference!C$5:E$16,2,FALSE))</f>
        <v>Feb</v>
      </c>
      <c r="AC2548">
        <f>MONTH(SalesData[[#This Row],[Date]])</f>
        <v>2</v>
      </c>
      <c r="AD2548">
        <f>Reference!F$4</f>
        <v>2026</v>
      </c>
      <c r="AE2548" t="str">
        <f>IF(OR(SalesData[[#This Row],[Day]]="Saturday",SalesData[[#This Row],[Day]]="Sunday"),"Weekend","Weekday")</f>
        <v>Weekend</v>
      </c>
      <c r="AF2548" s="5">
        <f>IF(SalesData[[#This Row],[Contracts Offered]]=0,0,SalesData[[#This Row],[Contracts Signed]]/SalesData[[#This Row],[Contracts Offered]])</f>
        <v>0.22935779816513763</v>
      </c>
      <c r="AG2548" s="5">
        <f>IF(SalesData[[#This Row],[Customers Visited]]=0,0,SalesData[[#This Row],[Test Drives]]/SalesData[[#This Row],[Customers Visited]])</f>
        <v>0.44594594594594594</v>
      </c>
      <c r="AH2548" s="5">
        <f>IF(SalesData[[#This Row],[Customers Visited]]=0,0,SalesData[[#This Row],[Contracts Signed]]/SalesData[[#This Row],[Customers Visited]])</f>
        <v>6.7567567567567571E-2</v>
      </c>
      <c r="AI2548" s="6">
        <f>IF(SalesData[[#This Row],[Contracts Signed]]=0,0,SalesData[[#This Row],[Profit(€)]]/SalesData[[#This Row],[Contracts Signed]])</f>
        <v>2790</v>
      </c>
      <c r="AJ2548" s="5" t="str">
        <f>TRIM(CLEAN(SalesData[[#This Row],[Retailer]]))</f>
        <v>Leipzig Mobility</v>
      </c>
    </row>
    <row r="2549" spans="1:36" ht="14.25" hidden="1" x14ac:dyDescent="0.2">
      <c r="A2549" t="s">
        <v>3641</v>
      </c>
      <c r="B2549" s="1">
        <v>46079</v>
      </c>
      <c r="C2549" t="s">
        <v>53</v>
      </c>
      <c r="D2549" t="s">
        <v>100</v>
      </c>
      <c r="E2549" t="s">
        <v>26</v>
      </c>
      <c r="F2549" t="s">
        <v>7649</v>
      </c>
      <c r="G2549" t="s">
        <v>55</v>
      </c>
      <c r="H2549" t="s">
        <v>55</v>
      </c>
      <c r="I2549" t="s">
        <v>116</v>
      </c>
      <c r="J2549" t="s">
        <v>132</v>
      </c>
      <c r="K2549" t="s">
        <v>66</v>
      </c>
      <c r="L2549" t="s">
        <v>46</v>
      </c>
      <c r="M2549" t="s">
        <v>34</v>
      </c>
      <c r="N2549" t="s">
        <v>48</v>
      </c>
      <c r="O2549" t="s">
        <v>36</v>
      </c>
      <c r="P2549" t="s">
        <v>58</v>
      </c>
      <c r="Q2549" t="s">
        <v>88</v>
      </c>
      <c r="R2549">
        <v>276</v>
      </c>
      <c r="S2549">
        <v>153</v>
      </c>
      <c r="T2549">
        <v>94</v>
      </c>
      <c r="U2549">
        <v>32</v>
      </c>
      <c r="V2549" t="s">
        <v>6952</v>
      </c>
      <c r="W2549">
        <v>20822</v>
      </c>
      <c r="X2549" t="s">
        <v>4394</v>
      </c>
      <c r="Y2549">
        <v>18733</v>
      </c>
      <c r="Z2549">
        <v>666304</v>
      </c>
      <c r="AA2549">
        <v>66848</v>
      </c>
      <c r="AB2549" t="str">
        <f>(VLOOKUP(SalesData[[#This Row],[Month Number]],Reference!C$5:E$16,2,FALSE))</f>
        <v>Feb</v>
      </c>
      <c r="AC2549">
        <f>MONTH(SalesData[[#This Row],[Date]])</f>
        <v>2</v>
      </c>
      <c r="AD2549">
        <f>Reference!F$4</f>
        <v>2026</v>
      </c>
      <c r="AE2549" t="str">
        <f>IF(OR(SalesData[[#This Row],[Day]]="Saturday",SalesData[[#This Row],[Day]]="Sunday"),"Weekend","Weekday")</f>
        <v>Weekday</v>
      </c>
      <c r="AF2549" s="5">
        <f>IF(SalesData[[#This Row],[Contracts Offered]]=0,0,SalesData[[#This Row],[Contracts Signed]]/SalesData[[#This Row],[Contracts Offered]])</f>
        <v>0.34042553191489361</v>
      </c>
      <c r="AG2549" s="5">
        <f>IF(SalesData[[#This Row],[Customers Visited]]=0,0,SalesData[[#This Row],[Test Drives]]/SalesData[[#This Row],[Customers Visited]])</f>
        <v>0.55434782608695654</v>
      </c>
      <c r="AH2549" s="5">
        <f>IF(SalesData[[#This Row],[Customers Visited]]=0,0,SalesData[[#This Row],[Contracts Signed]]/SalesData[[#This Row],[Customers Visited]])</f>
        <v>0.11594202898550725</v>
      </c>
      <c r="AI2549" s="6">
        <f>IF(SalesData[[#This Row],[Contracts Signed]]=0,0,SalesData[[#This Row],[Profit(€)]]/SalesData[[#This Row],[Contracts Signed]])</f>
        <v>2089</v>
      </c>
      <c r="AJ2549" s="5" t="str">
        <f>TRIM(CLEAN(SalesData[[#This Row],[Retailer]]))</f>
        <v>Autohaus Berlin</v>
      </c>
    </row>
    <row r="2550" spans="1:36" ht="14.25" hidden="1" x14ac:dyDescent="0.2">
      <c r="A2550" t="s">
        <v>3643</v>
      </c>
      <c r="B2550" s="1">
        <v>46060</v>
      </c>
      <c r="C2550" t="s">
        <v>24</v>
      </c>
      <c r="D2550" t="s">
        <v>151</v>
      </c>
      <c r="E2550" t="s">
        <v>42</v>
      </c>
      <c r="F2550" t="s">
        <v>94</v>
      </c>
      <c r="G2550" t="s">
        <v>95</v>
      </c>
      <c r="H2550" t="s">
        <v>96</v>
      </c>
      <c r="I2550" t="s">
        <v>64</v>
      </c>
      <c r="J2550" t="s">
        <v>157</v>
      </c>
      <c r="K2550" t="s">
        <v>66</v>
      </c>
      <c r="L2550" t="s">
        <v>33</v>
      </c>
      <c r="M2550" t="s">
        <v>68</v>
      </c>
      <c r="N2550" t="s">
        <v>48</v>
      </c>
      <c r="O2550" t="s">
        <v>70</v>
      </c>
      <c r="P2550" t="s">
        <v>49</v>
      </c>
      <c r="Q2550" t="s">
        <v>38</v>
      </c>
      <c r="R2550">
        <v>163</v>
      </c>
      <c r="S2550">
        <v>89</v>
      </c>
      <c r="T2550">
        <v>62</v>
      </c>
      <c r="U2550">
        <v>22</v>
      </c>
      <c r="V2550" t="s">
        <v>6624</v>
      </c>
      <c r="W2550">
        <v>56797</v>
      </c>
      <c r="X2550" t="s">
        <v>6136</v>
      </c>
      <c r="Y2550">
        <v>41168</v>
      </c>
      <c r="Z2550">
        <v>1249534</v>
      </c>
      <c r="AA2550">
        <v>343838</v>
      </c>
      <c r="AB2550" t="str">
        <f>(VLOOKUP(SalesData[[#This Row],[Month Number]],Reference!C$5:E$16,2,FALSE))</f>
        <v>Feb</v>
      </c>
      <c r="AC2550">
        <f>MONTH(SalesData[[#This Row],[Date]])</f>
        <v>2</v>
      </c>
      <c r="AD2550">
        <f>Reference!F$4</f>
        <v>2026</v>
      </c>
      <c r="AE2550" t="str">
        <f>IF(OR(SalesData[[#This Row],[Day]]="Saturday",SalesData[[#This Row],[Day]]="Sunday"),"Weekend","Weekday")</f>
        <v>Weekend</v>
      </c>
      <c r="AF2550" s="5">
        <f>IF(SalesData[[#This Row],[Contracts Offered]]=0,0,SalesData[[#This Row],[Contracts Signed]]/SalesData[[#This Row],[Contracts Offered]])</f>
        <v>0.35483870967741937</v>
      </c>
      <c r="AG2550" s="5">
        <f>IF(SalesData[[#This Row],[Customers Visited]]=0,0,SalesData[[#This Row],[Test Drives]]/SalesData[[#This Row],[Customers Visited]])</f>
        <v>0.54601226993865026</v>
      </c>
      <c r="AH2550" s="5">
        <f>IF(SalesData[[#This Row],[Customers Visited]]=0,0,SalesData[[#This Row],[Contracts Signed]]/SalesData[[#This Row],[Customers Visited]])</f>
        <v>0.13496932515337423</v>
      </c>
      <c r="AI2550" s="6">
        <f>IF(SalesData[[#This Row],[Contracts Signed]]=0,0,SalesData[[#This Row],[Profit(€)]]/SalesData[[#This Row],[Contracts Signed]])</f>
        <v>15629</v>
      </c>
      <c r="AJ2550" s="5" t="str">
        <f>TRIM(CLEAN(SalesData[[#This Row],[Retailer]]))</f>
        <v>Bavaria Motors</v>
      </c>
    </row>
    <row r="2551" spans="1:36" ht="14.25" x14ac:dyDescent="0.2">
      <c r="A2551" t="s">
        <v>3644</v>
      </c>
      <c r="B2551" s="1">
        <v>46075</v>
      </c>
      <c r="C2551" t="s">
        <v>53</v>
      </c>
      <c r="D2551" t="s">
        <v>41</v>
      </c>
      <c r="E2551" t="s">
        <v>42</v>
      </c>
      <c r="F2551" t="s">
        <v>94</v>
      </c>
      <c r="G2551" t="s">
        <v>95</v>
      </c>
      <c r="H2551" t="s">
        <v>96</v>
      </c>
      <c r="I2551" t="s">
        <v>30</v>
      </c>
      <c r="J2551" t="s">
        <v>86</v>
      </c>
      <c r="K2551" t="s">
        <v>78</v>
      </c>
      <c r="L2551" t="s">
        <v>33</v>
      </c>
      <c r="M2551" t="s">
        <v>34</v>
      </c>
      <c r="N2551" t="s">
        <v>48</v>
      </c>
      <c r="O2551" t="s">
        <v>36</v>
      </c>
      <c r="P2551" t="s">
        <v>71</v>
      </c>
      <c r="Q2551" t="s">
        <v>88</v>
      </c>
      <c r="R2551">
        <v>194</v>
      </c>
      <c r="S2551">
        <v>93</v>
      </c>
      <c r="T2551">
        <v>70</v>
      </c>
      <c r="U2551">
        <v>28</v>
      </c>
      <c r="V2551" t="s">
        <v>7388</v>
      </c>
      <c r="W2551">
        <v>59074</v>
      </c>
      <c r="X2551" t="s">
        <v>7034</v>
      </c>
      <c r="Y2551">
        <v>42423</v>
      </c>
      <c r="Z2551">
        <v>1654072</v>
      </c>
      <c r="AA2551">
        <v>466228</v>
      </c>
      <c r="AB2551" t="str">
        <f>(VLOOKUP(SalesData[[#This Row],[Month Number]],Reference!C$5:E$16,2,FALSE))</f>
        <v>Feb</v>
      </c>
      <c r="AC2551">
        <f>MONTH(SalesData[[#This Row],[Date]])</f>
        <v>2</v>
      </c>
      <c r="AD2551">
        <f>Reference!F$4</f>
        <v>2026</v>
      </c>
      <c r="AE2551" t="str">
        <f>IF(OR(SalesData[[#This Row],[Day]]="Saturday",SalesData[[#This Row],[Day]]="Sunday"),"Weekend","Weekday")</f>
        <v>Weekend</v>
      </c>
      <c r="AF2551" s="5">
        <f>IF(SalesData[[#This Row],[Contracts Offered]]=0,0,SalesData[[#This Row],[Contracts Signed]]/SalesData[[#This Row],[Contracts Offered]])</f>
        <v>0.4</v>
      </c>
      <c r="AG2551" s="5">
        <f>IF(SalesData[[#This Row],[Customers Visited]]=0,0,SalesData[[#This Row],[Test Drives]]/SalesData[[#This Row],[Customers Visited]])</f>
        <v>0.47938144329896909</v>
      </c>
      <c r="AH2551" s="5">
        <f>IF(SalesData[[#This Row],[Customers Visited]]=0,0,SalesData[[#This Row],[Contracts Signed]]/SalesData[[#This Row],[Customers Visited]])</f>
        <v>0.14432989690721648</v>
      </c>
      <c r="AI2551" s="6">
        <f>IF(SalesData[[#This Row],[Contracts Signed]]=0,0,SalesData[[#This Row],[Profit(€)]]/SalesData[[#This Row],[Contracts Signed]])</f>
        <v>16651</v>
      </c>
      <c r="AJ2551" s="5" t="str">
        <f>TRIM(CLEAN(SalesData[[#This Row],[Retailer]]))</f>
        <v>Bavaria Motors</v>
      </c>
    </row>
    <row r="2552" spans="1:36" ht="14.25" hidden="1" x14ac:dyDescent="0.2">
      <c r="A2552" t="s">
        <v>3645</v>
      </c>
      <c r="B2552" s="1">
        <v>46072</v>
      </c>
      <c r="C2552" t="s">
        <v>62</v>
      </c>
      <c r="D2552" t="s">
        <v>100</v>
      </c>
      <c r="E2552" t="s">
        <v>26</v>
      </c>
      <c r="F2552" t="s">
        <v>94</v>
      </c>
      <c r="G2552" t="s">
        <v>95</v>
      </c>
      <c r="H2552" t="s">
        <v>96</v>
      </c>
      <c r="I2552" t="s">
        <v>56</v>
      </c>
      <c r="J2552" t="s">
        <v>97</v>
      </c>
      <c r="K2552" t="s">
        <v>91</v>
      </c>
      <c r="L2552" t="s">
        <v>33</v>
      </c>
      <c r="M2552" t="s">
        <v>68</v>
      </c>
      <c r="N2552" t="s">
        <v>35</v>
      </c>
      <c r="O2552" t="s">
        <v>36</v>
      </c>
      <c r="P2552" t="s">
        <v>49</v>
      </c>
      <c r="Q2552" t="s">
        <v>144</v>
      </c>
      <c r="R2552">
        <v>170</v>
      </c>
      <c r="S2552">
        <v>98</v>
      </c>
      <c r="T2552">
        <v>64</v>
      </c>
      <c r="U2552">
        <v>23</v>
      </c>
      <c r="V2552" t="s">
        <v>6428</v>
      </c>
      <c r="W2552">
        <v>45289</v>
      </c>
      <c r="X2552" t="s">
        <v>7186</v>
      </c>
      <c r="Y2552">
        <v>35010</v>
      </c>
      <c r="Z2552">
        <v>1041647</v>
      </c>
      <c r="AA2552">
        <v>236417</v>
      </c>
      <c r="AB2552" t="str">
        <f>(VLOOKUP(SalesData[[#This Row],[Month Number]],Reference!C$5:E$16,2,FALSE))</f>
        <v>Feb</v>
      </c>
      <c r="AC2552">
        <f>MONTH(SalesData[[#This Row],[Date]])</f>
        <v>2</v>
      </c>
      <c r="AD2552">
        <f>Reference!F$4</f>
        <v>2026</v>
      </c>
      <c r="AE2552" t="str">
        <f>IF(OR(SalesData[[#This Row],[Day]]="Saturday",SalesData[[#This Row],[Day]]="Sunday"),"Weekend","Weekday")</f>
        <v>Weekday</v>
      </c>
      <c r="AF2552" s="5">
        <f>IF(SalesData[[#This Row],[Contracts Offered]]=0,0,SalesData[[#This Row],[Contracts Signed]]/SalesData[[#This Row],[Contracts Offered]])</f>
        <v>0.359375</v>
      </c>
      <c r="AG2552" s="5">
        <f>IF(SalesData[[#This Row],[Customers Visited]]=0,0,SalesData[[#This Row],[Test Drives]]/SalesData[[#This Row],[Customers Visited]])</f>
        <v>0.57647058823529407</v>
      </c>
      <c r="AH2552" s="5">
        <f>IF(SalesData[[#This Row],[Customers Visited]]=0,0,SalesData[[#This Row],[Contracts Signed]]/SalesData[[#This Row],[Customers Visited]])</f>
        <v>0.13529411764705881</v>
      </c>
      <c r="AI2552" s="6">
        <f>IF(SalesData[[#This Row],[Contracts Signed]]=0,0,SalesData[[#This Row],[Profit(€)]]/SalesData[[#This Row],[Contracts Signed]])</f>
        <v>10279</v>
      </c>
      <c r="AJ2552" s="5" t="str">
        <f>TRIM(CLEAN(SalesData[[#This Row],[Retailer]]))</f>
        <v>Bavaria Motors</v>
      </c>
    </row>
    <row r="2553" spans="1:36" ht="14.25" hidden="1" x14ac:dyDescent="0.2">
      <c r="A2553" t="s">
        <v>3646</v>
      </c>
      <c r="B2553" s="1">
        <v>46080</v>
      </c>
      <c r="C2553" t="s">
        <v>53</v>
      </c>
      <c r="D2553" t="s">
        <v>54</v>
      </c>
      <c r="E2553" t="s">
        <v>26</v>
      </c>
      <c r="F2553" t="s">
        <v>101</v>
      </c>
      <c r="G2553" t="s">
        <v>102</v>
      </c>
      <c r="H2553" t="s">
        <v>103</v>
      </c>
      <c r="I2553" t="s">
        <v>64</v>
      </c>
      <c r="J2553" t="s">
        <v>7029</v>
      </c>
      <c r="K2553" t="s">
        <v>78</v>
      </c>
      <c r="L2553" t="s">
        <v>33</v>
      </c>
      <c r="M2553" t="s">
        <v>47</v>
      </c>
      <c r="N2553" t="s">
        <v>69</v>
      </c>
      <c r="O2553" t="s">
        <v>70</v>
      </c>
      <c r="P2553" t="s">
        <v>49</v>
      </c>
      <c r="Q2553" t="s">
        <v>129</v>
      </c>
      <c r="R2553">
        <v>230</v>
      </c>
      <c r="S2553">
        <v>123</v>
      </c>
      <c r="T2553">
        <v>89</v>
      </c>
      <c r="U2553">
        <v>29</v>
      </c>
      <c r="V2553" t="s">
        <v>6463</v>
      </c>
      <c r="W2553">
        <v>50553</v>
      </c>
      <c r="X2553" t="s">
        <v>7135</v>
      </c>
      <c r="Y2553">
        <v>38599</v>
      </c>
      <c r="Z2553">
        <v>1466037</v>
      </c>
      <c r="AA2553">
        <v>346666</v>
      </c>
      <c r="AB2553" t="str">
        <f>(VLOOKUP(SalesData[[#This Row],[Month Number]],Reference!C$5:E$16,2,FALSE))</f>
        <v>Feb</v>
      </c>
      <c r="AC2553">
        <f>MONTH(SalesData[[#This Row],[Date]])</f>
        <v>2</v>
      </c>
      <c r="AD2553">
        <f>Reference!F$4</f>
        <v>2026</v>
      </c>
      <c r="AE2553" t="str">
        <f>IF(OR(SalesData[[#This Row],[Day]]="Saturday",SalesData[[#This Row],[Day]]="Sunday"),"Weekend","Weekday")</f>
        <v>Weekday</v>
      </c>
      <c r="AF2553" s="5">
        <f>IF(SalesData[[#This Row],[Contracts Offered]]=0,0,SalesData[[#This Row],[Contracts Signed]]/SalesData[[#This Row],[Contracts Offered]])</f>
        <v>0.3258426966292135</v>
      </c>
      <c r="AG2553" s="5">
        <f>IF(SalesData[[#This Row],[Customers Visited]]=0,0,SalesData[[#This Row],[Test Drives]]/SalesData[[#This Row],[Customers Visited]])</f>
        <v>0.5347826086956522</v>
      </c>
      <c r="AH2553" s="5">
        <f>IF(SalesData[[#This Row],[Customers Visited]]=0,0,SalesData[[#This Row],[Contracts Signed]]/SalesData[[#This Row],[Customers Visited]])</f>
        <v>0.12608695652173912</v>
      </c>
      <c r="AI2553" s="6">
        <f>IF(SalesData[[#This Row],[Contracts Signed]]=0,0,SalesData[[#This Row],[Profit(€)]]/SalesData[[#This Row],[Contracts Signed]])</f>
        <v>11954</v>
      </c>
      <c r="AJ2553" s="5" t="str">
        <f>TRIM(CLEAN(SalesData[[#This Row],[Retailer]]))</f>
        <v>Ruhr Auto Plaza</v>
      </c>
    </row>
    <row r="2554" spans="1:36" ht="14.25" hidden="1" x14ac:dyDescent="0.2">
      <c r="A2554" t="s">
        <v>3647</v>
      </c>
      <c r="B2554" s="1">
        <v>46064</v>
      </c>
      <c r="C2554" t="s">
        <v>121</v>
      </c>
      <c r="D2554" t="s">
        <v>82</v>
      </c>
      <c r="E2554" t="s">
        <v>26</v>
      </c>
      <c r="F2554" t="s">
        <v>109</v>
      </c>
      <c r="G2554" t="s">
        <v>110</v>
      </c>
      <c r="H2554" t="s">
        <v>45</v>
      </c>
      <c r="I2554" t="s">
        <v>116</v>
      </c>
      <c r="J2554" t="s">
        <v>132</v>
      </c>
      <c r="K2554" t="s">
        <v>32</v>
      </c>
      <c r="L2554" t="s">
        <v>46</v>
      </c>
      <c r="M2554" t="s">
        <v>47</v>
      </c>
      <c r="N2554" t="s">
        <v>69</v>
      </c>
      <c r="O2554" t="s">
        <v>70</v>
      </c>
      <c r="P2554" t="s">
        <v>71</v>
      </c>
      <c r="Q2554" t="s">
        <v>158</v>
      </c>
      <c r="R2554">
        <v>226</v>
      </c>
      <c r="S2554">
        <v>118</v>
      </c>
      <c r="T2554">
        <v>81</v>
      </c>
      <c r="U2554">
        <v>15</v>
      </c>
      <c r="V2554" t="s">
        <v>1663</v>
      </c>
      <c r="W2554">
        <v>22604</v>
      </c>
      <c r="X2554" t="s">
        <v>741</v>
      </c>
      <c r="Y2554">
        <v>20429</v>
      </c>
      <c r="Z2554">
        <v>339060</v>
      </c>
      <c r="AA2554">
        <v>32625</v>
      </c>
      <c r="AB2554" t="str">
        <f>(VLOOKUP(SalesData[[#This Row],[Month Number]],Reference!C$5:E$16,2,FALSE))</f>
        <v>Feb</v>
      </c>
      <c r="AC2554">
        <f>MONTH(SalesData[[#This Row],[Date]])</f>
        <v>2</v>
      </c>
      <c r="AD2554">
        <f>Reference!F$4</f>
        <v>2026</v>
      </c>
      <c r="AE2554" t="str">
        <f>IF(OR(SalesData[[#This Row],[Day]]="Saturday",SalesData[[#This Row],[Day]]="Sunday"),"Weekend","Weekday")</f>
        <v>Weekday</v>
      </c>
      <c r="AF2554" s="5">
        <f>IF(SalesData[[#This Row],[Contracts Offered]]=0,0,SalesData[[#This Row],[Contracts Signed]]/SalesData[[#This Row],[Contracts Offered]])</f>
        <v>0.18518518518518517</v>
      </c>
      <c r="AG2554" s="5">
        <f>IF(SalesData[[#This Row],[Customers Visited]]=0,0,SalesData[[#This Row],[Test Drives]]/SalesData[[#This Row],[Customers Visited]])</f>
        <v>0.52212389380530977</v>
      </c>
      <c r="AH2554" s="5">
        <f>IF(SalesData[[#This Row],[Customers Visited]]=0,0,SalesData[[#This Row],[Contracts Signed]]/SalesData[[#This Row],[Customers Visited]])</f>
        <v>6.637168141592921E-2</v>
      </c>
      <c r="AI2554" s="6">
        <f>IF(SalesData[[#This Row],[Contracts Signed]]=0,0,SalesData[[#This Row],[Profit(€)]]/SalesData[[#This Row],[Contracts Signed]])</f>
        <v>2175</v>
      </c>
      <c r="AJ2554" s="5" t="str">
        <f>TRIM(CLEAN(SalesData[[#This Row],[Retailer]]))</f>
        <v>Leipzig Mobility</v>
      </c>
    </row>
    <row r="2555" spans="1:36" ht="14.25" x14ac:dyDescent="0.2">
      <c r="A2555" t="s">
        <v>3648</v>
      </c>
      <c r="B2555" s="1">
        <v>46069</v>
      </c>
      <c r="C2555" t="s">
        <v>62</v>
      </c>
      <c r="D2555" t="s">
        <v>25</v>
      </c>
      <c r="E2555" t="s">
        <v>26</v>
      </c>
      <c r="F2555" t="s">
        <v>7649</v>
      </c>
      <c r="G2555" t="s">
        <v>55</v>
      </c>
      <c r="H2555" t="s">
        <v>55</v>
      </c>
      <c r="I2555" t="s">
        <v>30</v>
      </c>
      <c r="J2555" t="s">
        <v>166</v>
      </c>
      <c r="K2555" t="s">
        <v>91</v>
      </c>
      <c r="L2555" t="s">
        <v>46</v>
      </c>
      <c r="M2555" t="s">
        <v>68</v>
      </c>
      <c r="N2555" t="s">
        <v>35</v>
      </c>
      <c r="O2555" t="s">
        <v>36</v>
      </c>
      <c r="P2555" t="s">
        <v>37</v>
      </c>
      <c r="Q2555" t="s">
        <v>240</v>
      </c>
      <c r="R2555">
        <v>144</v>
      </c>
      <c r="S2555">
        <v>86</v>
      </c>
      <c r="T2555">
        <v>64</v>
      </c>
      <c r="U2555">
        <v>24</v>
      </c>
      <c r="V2555" t="s">
        <v>6513</v>
      </c>
      <c r="W2555">
        <v>55211</v>
      </c>
      <c r="X2555" t="s">
        <v>7384</v>
      </c>
      <c r="Y2555">
        <v>41377</v>
      </c>
      <c r="Z2555">
        <v>1325064</v>
      </c>
      <c r="AA2555">
        <v>332016</v>
      </c>
      <c r="AB2555" t="str">
        <f>(VLOOKUP(SalesData[[#This Row],[Month Number]],Reference!C$5:E$16,2,FALSE))</f>
        <v>Feb</v>
      </c>
      <c r="AC2555">
        <f>MONTH(SalesData[[#This Row],[Date]])</f>
        <v>2</v>
      </c>
      <c r="AD2555">
        <f>Reference!F$4</f>
        <v>2026</v>
      </c>
      <c r="AE2555" t="str">
        <f>IF(OR(SalesData[[#This Row],[Day]]="Saturday",SalesData[[#This Row],[Day]]="Sunday"),"Weekend","Weekday")</f>
        <v>Weekday</v>
      </c>
      <c r="AF2555" s="5">
        <f>IF(SalesData[[#This Row],[Contracts Offered]]=0,0,SalesData[[#This Row],[Contracts Signed]]/SalesData[[#This Row],[Contracts Offered]])</f>
        <v>0.375</v>
      </c>
      <c r="AG2555" s="5">
        <f>IF(SalesData[[#This Row],[Customers Visited]]=0,0,SalesData[[#This Row],[Test Drives]]/SalesData[[#This Row],[Customers Visited]])</f>
        <v>0.59722222222222221</v>
      </c>
      <c r="AH2555" s="5">
        <f>IF(SalesData[[#This Row],[Customers Visited]]=0,0,SalesData[[#This Row],[Contracts Signed]]/SalesData[[#This Row],[Customers Visited]])</f>
        <v>0.16666666666666666</v>
      </c>
      <c r="AI2555" s="6">
        <f>IF(SalesData[[#This Row],[Contracts Signed]]=0,0,SalesData[[#This Row],[Profit(€)]]/SalesData[[#This Row],[Contracts Signed]])</f>
        <v>13834</v>
      </c>
      <c r="AJ2555" s="5" t="str">
        <f>TRIM(CLEAN(SalesData[[#This Row],[Retailer]]))</f>
        <v>Autohaus Berlin</v>
      </c>
    </row>
    <row r="2556" spans="1:36" ht="14.25" hidden="1" x14ac:dyDescent="0.2">
      <c r="A2556" t="s">
        <v>3649</v>
      </c>
      <c r="B2556" s="1">
        <v>46075</v>
      </c>
      <c r="C2556" t="s">
        <v>53</v>
      </c>
      <c r="D2556" t="s">
        <v>41</v>
      </c>
      <c r="E2556" t="s">
        <v>42</v>
      </c>
      <c r="F2556" t="s">
        <v>94</v>
      </c>
      <c r="G2556" t="s">
        <v>95</v>
      </c>
      <c r="H2556" t="s">
        <v>96</v>
      </c>
      <c r="I2556" t="s">
        <v>116</v>
      </c>
      <c r="J2556" t="s">
        <v>132</v>
      </c>
      <c r="K2556" t="s">
        <v>78</v>
      </c>
      <c r="L2556" t="s">
        <v>46</v>
      </c>
      <c r="M2556" t="s">
        <v>34</v>
      </c>
      <c r="N2556" t="s">
        <v>69</v>
      </c>
      <c r="O2556" t="s">
        <v>70</v>
      </c>
      <c r="P2556" t="s">
        <v>58</v>
      </c>
      <c r="Q2556" t="s">
        <v>135</v>
      </c>
      <c r="R2556">
        <v>357</v>
      </c>
      <c r="S2556">
        <v>188</v>
      </c>
      <c r="T2556">
        <v>119</v>
      </c>
      <c r="U2556">
        <v>34</v>
      </c>
      <c r="V2556" t="s">
        <v>3779</v>
      </c>
      <c r="W2556">
        <v>22657</v>
      </c>
      <c r="X2556" t="s">
        <v>822</v>
      </c>
      <c r="Y2556">
        <v>20977</v>
      </c>
      <c r="Z2556">
        <v>770338</v>
      </c>
      <c r="AA2556">
        <v>57120</v>
      </c>
      <c r="AB2556" t="str">
        <f>(VLOOKUP(SalesData[[#This Row],[Month Number]],Reference!C$5:E$16,2,FALSE))</f>
        <v>Feb</v>
      </c>
      <c r="AC2556">
        <f>MONTH(SalesData[[#This Row],[Date]])</f>
        <v>2</v>
      </c>
      <c r="AD2556">
        <f>Reference!F$4</f>
        <v>2026</v>
      </c>
      <c r="AE2556" t="str">
        <f>IF(OR(SalesData[[#This Row],[Day]]="Saturday",SalesData[[#This Row],[Day]]="Sunday"),"Weekend","Weekday")</f>
        <v>Weekend</v>
      </c>
      <c r="AF2556" s="5">
        <f>IF(SalesData[[#This Row],[Contracts Offered]]=0,0,SalesData[[#This Row],[Contracts Signed]]/SalesData[[#This Row],[Contracts Offered]])</f>
        <v>0.2857142857142857</v>
      </c>
      <c r="AG2556" s="5">
        <f>IF(SalesData[[#This Row],[Customers Visited]]=0,0,SalesData[[#This Row],[Test Drives]]/SalesData[[#This Row],[Customers Visited]])</f>
        <v>0.5266106442577031</v>
      </c>
      <c r="AH2556" s="5">
        <f>IF(SalesData[[#This Row],[Customers Visited]]=0,0,SalesData[[#This Row],[Contracts Signed]]/SalesData[[#This Row],[Customers Visited]])</f>
        <v>9.5238095238095233E-2</v>
      </c>
      <c r="AI2556" s="6">
        <f>IF(SalesData[[#This Row],[Contracts Signed]]=0,0,SalesData[[#This Row],[Profit(€)]]/SalesData[[#This Row],[Contracts Signed]])</f>
        <v>1680</v>
      </c>
      <c r="AJ2556" s="5" t="str">
        <f>TRIM(CLEAN(SalesData[[#This Row],[Retailer]]))</f>
        <v>Bavaria Motors</v>
      </c>
    </row>
    <row r="2557" spans="1:36" ht="14.25" hidden="1" x14ac:dyDescent="0.2">
      <c r="A2557" t="s">
        <v>3650</v>
      </c>
      <c r="B2557" s="1">
        <v>46080</v>
      </c>
      <c r="C2557" t="s">
        <v>53</v>
      </c>
      <c r="D2557" t="s">
        <v>54</v>
      </c>
      <c r="E2557" t="s">
        <v>26</v>
      </c>
      <c r="F2557" t="s">
        <v>94</v>
      </c>
      <c r="G2557" t="s">
        <v>95</v>
      </c>
      <c r="H2557" t="s">
        <v>96</v>
      </c>
      <c r="I2557" t="s">
        <v>56</v>
      </c>
      <c r="J2557" t="s">
        <v>137</v>
      </c>
      <c r="K2557" t="s">
        <v>91</v>
      </c>
      <c r="L2557" t="s">
        <v>46</v>
      </c>
      <c r="M2557" t="s">
        <v>34</v>
      </c>
      <c r="N2557" t="s">
        <v>48</v>
      </c>
      <c r="O2557" t="s">
        <v>36</v>
      </c>
      <c r="P2557" t="s">
        <v>37</v>
      </c>
      <c r="Q2557" t="s">
        <v>204</v>
      </c>
      <c r="R2557">
        <v>194</v>
      </c>
      <c r="S2557">
        <v>120</v>
      </c>
      <c r="T2557">
        <v>77</v>
      </c>
      <c r="U2557">
        <v>31</v>
      </c>
      <c r="V2557" t="s">
        <v>6350</v>
      </c>
      <c r="W2557">
        <v>53718</v>
      </c>
      <c r="X2557" t="s">
        <v>4006</v>
      </c>
      <c r="Y2557">
        <v>42899</v>
      </c>
      <c r="Z2557">
        <v>1665258</v>
      </c>
      <c r="AA2557">
        <v>335389</v>
      </c>
      <c r="AB2557" t="str">
        <f>(VLOOKUP(SalesData[[#This Row],[Month Number]],Reference!C$5:E$16,2,FALSE))</f>
        <v>Feb</v>
      </c>
      <c r="AC2557">
        <f>MONTH(SalesData[[#This Row],[Date]])</f>
        <v>2</v>
      </c>
      <c r="AD2557">
        <f>Reference!F$4</f>
        <v>2026</v>
      </c>
      <c r="AE2557" t="str">
        <f>IF(OR(SalesData[[#This Row],[Day]]="Saturday",SalesData[[#This Row],[Day]]="Sunday"),"Weekend","Weekday")</f>
        <v>Weekday</v>
      </c>
      <c r="AF2557" s="5">
        <f>IF(SalesData[[#This Row],[Contracts Offered]]=0,0,SalesData[[#This Row],[Contracts Signed]]/SalesData[[#This Row],[Contracts Offered]])</f>
        <v>0.40259740259740262</v>
      </c>
      <c r="AG2557" s="5">
        <f>IF(SalesData[[#This Row],[Customers Visited]]=0,0,SalesData[[#This Row],[Test Drives]]/SalesData[[#This Row],[Customers Visited]])</f>
        <v>0.61855670103092786</v>
      </c>
      <c r="AH2557" s="5">
        <f>IF(SalesData[[#This Row],[Customers Visited]]=0,0,SalesData[[#This Row],[Contracts Signed]]/SalesData[[#This Row],[Customers Visited]])</f>
        <v>0.15979381443298968</v>
      </c>
      <c r="AI2557" s="6">
        <f>IF(SalesData[[#This Row],[Contracts Signed]]=0,0,SalesData[[#This Row],[Profit(€)]]/SalesData[[#This Row],[Contracts Signed]])</f>
        <v>10819</v>
      </c>
      <c r="AJ2557" s="5" t="str">
        <f>TRIM(CLEAN(SalesData[[#This Row],[Retailer]]))</f>
        <v>Bavaria Motors</v>
      </c>
    </row>
    <row r="2558" spans="1:36" ht="14.25" hidden="1" x14ac:dyDescent="0.2">
      <c r="A2558" t="s">
        <v>3651</v>
      </c>
      <c r="B2558" s="1">
        <v>46066</v>
      </c>
      <c r="C2558" t="s">
        <v>121</v>
      </c>
      <c r="D2558" t="s">
        <v>54</v>
      </c>
      <c r="E2558" t="s">
        <v>26</v>
      </c>
      <c r="F2558" t="s">
        <v>7649</v>
      </c>
      <c r="G2558" t="s">
        <v>55</v>
      </c>
      <c r="H2558" t="s">
        <v>55</v>
      </c>
      <c r="I2558" t="s">
        <v>64</v>
      </c>
      <c r="J2558" t="s">
        <v>111</v>
      </c>
      <c r="K2558" t="s">
        <v>66</v>
      </c>
      <c r="L2558" t="s">
        <v>46</v>
      </c>
      <c r="M2558" t="s">
        <v>87</v>
      </c>
      <c r="N2558" t="s">
        <v>69</v>
      </c>
      <c r="O2558" t="s">
        <v>36</v>
      </c>
      <c r="P2558" t="s">
        <v>71</v>
      </c>
      <c r="Q2558" t="s">
        <v>135</v>
      </c>
      <c r="R2558">
        <v>166</v>
      </c>
      <c r="S2558">
        <v>95</v>
      </c>
      <c r="T2558">
        <v>70</v>
      </c>
      <c r="U2558">
        <v>27</v>
      </c>
      <c r="V2558" t="s">
        <v>6837</v>
      </c>
      <c r="W2558">
        <v>60898</v>
      </c>
      <c r="X2558" t="s">
        <v>7270</v>
      </c>
      <c r="Y2558">
        <v>47343</v>
      </c>
      <c r="Z2558">
        <v>1644246</v>
      </c>
      <c r="AA2558">
        <v>365985</v>
      </c>
      <c r="AB2558" t="str">
        <f>(VLOOKUP(SalesData[[#This Row],[Month Number]],Reference!C$5:E$16,2,FALSE))</f>
        <v>Feb</v>
      </c>
      <c r="AC2558">
        <f>MONTH(SalesData[[#This Row],[Date]])</f>
        <v>2</v>
      </c>
      <c r="AD2558">
        <f>Reference!F$4</f>
        <v>2026</v>
      </c>
      <c r="AE2558" t="str">
        <f>IF(OR(SalesData[[#This Row],[Day]]="Saturday",SalesData[[#This Row],[Day]]="Sunday"),"Weekend","Weekday")</f>
        <v>Weekday</v>
      </c>
      <c r="AF2558" s="5">
        <f>IF(SalesData[[#This Row],[Contracts Offered]]=0,0,SalesData[[#This Row],[Contracts Signed]]/SalesData[[#This Row],[Contracts Offered]])</f>
        <v>0.38571428571428573</v>
      </c>
      <c r="AG2558" s="5">
        <f>IF(SalesData[[#This Row],[Customers Visited]]=0,0,SalesData[[#This Row],[Test Drives]]/SalesData[[#This Row],[Customers Visited]])</f>
        <v>0.57228915662650603</v>
      </c>
      <c r="AH2558" s="5">
        <f>IF(SalesData[[#This Row],[Customers Visited]]=0,0,SalesData[[#This Row],[Contracts Signed]]/SalesData[[#This Row],[Customers Visited]])</f>
        <v>0.16265060240963855</v>
      </c>
      <c r="AI2558" s="6">
        <f>IF(SalesData[[#This Row],[Contracts Signed]]=0,0,SalesData[[#This Row],[Profit(€)]]/SalesData[[#This Row],[Contracts Signed]])</f>
        <v>13555</v>
      </c>
      <c r="AJ2558" s="5" t="str">
        <f>TRIM(CLEAN(SalesData[[#This Row],[Retailer]]))</f>
        <v>Autohaus Berlin</v>
      </c>
    </row>
    <row r="2559" spans="1:36" ht="14.25" hidden="1" x14ac:dyDescent="0.2">
      <c r="A2559" t="s">
        <v>3652</v>
      </c>
      <c r="B2559" s="1">
        <v>46073</v>
      </c>
      <c r="C2559" t="s">
        <v>62</v>
      </c>
      <c r="D2559" t="s">
        <v>54</v>
      </c>
      <c r="E2559" t="s">
        <v>26</v>
      </c>
      <c r="F2559" t="s">
        <v>109</v>
      </c>
      <c r="G2559" t="s">
        <v>110</v>
      </c>
      <c r="H2559" t="s">
        <v>45</v>
      </c>
      <c r="I2559" t="s">
        <v>56</v>
      </c>
      <c r="J2559" t="s">
        <v>7028</v>
      </c>
      <c r="K2559" t="s">
        <v>91</v>
      </c>
      <c r="L2559" t="s">
        <v>46</v>
      </c>
      <c r="M2559" t="s">
        <v>34</v>
      </c>
      <c r="N2559" t="s">
        <v>48</v>
      </c>
      <c r="O2559" t="s">
        <v>70</v>
      </c>
      <c r="P2559" t="s">
        <v>49</v>
      </c>
      <c r="Q2559" t="s">
        <v>167</v>
      </c>
      <c r="R2559">
        <v>176</v>
      </c>
      <c r="S2559">
        <v>92</v>
      </c>
      <c r="T2559">
        <v>67</v>
      </c>
      <c r="U2559">
        <v>16</v>
      </c>
      <c r="V2559" t="s">
        <v>292</v>
      </c>
      <c r="W2559">
        <v>40350</v>
      </c>
      <c r="X2559" t="s">
        <v>7285</v>
      </c>
      <c r="Y2559">
        <v>32152</v>
      </c>
      <c r="Z2559">
        <v>645600</v>
      </c>
      <c r="AA2559">
        <v>131168</v>
      </c>
      <c r="AB2559" t="str">
        <f>(VLOOKUP(SalesData[[#This Row],[Month Number]],Reference!C$5:E$16,2,FALSE))</f>
        <v>Feb</v>
      </c>
      <c r="AC2559">
        <f>MONTH(SalesData[[#This Row],[Date]])</f>
        <v>2</v>
      </c>
      <c r="AD2559">
        <f>Reference!F$4</f>
        <v>2026</v>
      </c>
      <c r="AE2559" t="str">
        <f>IF(OR(SalesData[[#This Row],[Day]]="Saturday",SalesData[[#This Row],[Day]]="Sunday"),"Weekend","Weekday")</f>
        <v>Weekday</v>
      </c>
      <c r="AF2559" s="5">
        <f>IF(SalesData[[#This Row],[Contracts Offered]]=0,0,SalesData[[#This Row],[Contracts Signed]]/SalesData[[#This Row],[Contracts Offered]])</f>
        <v>0.23880597014925373</v>
      </c>
      <c r="AG2559" s="5">
        <f>IF(SalesData[[#This Row],[Customers Visited]]=0,0,SalesData[[#This Row],[Test Drives]]/SalesData[[#This Row],[Customers Visited]])</f>
        <v>0.52272727272727271</v>
      </c>
      <c r="AH2559" s="5">
        <f>IF(SalesData[[#This Row],[Customers Visited]]=0,0,SalesData[[#This Row],[Contracts Signed]]/SalesData[[#This Row],[Customers Visited]])</f>
        <v>9.0909090909090912E-2</v>
      </c>
      <c r="AI2559" s="6">
        <f>IF(SalesData[[#This Row],[Contracts Signed]]=0,0,SalesData[[#This Row],[Profit(€)]]/SalesData[[#This Row],[Contracts Signed]])</f>
        <v>8198</v>
      </c>
      <c r="AJ2559" s="5" t="str">
        <f>TRIM(CLEAN(SalesData[[#This Row],[Retailer]]))</f>
        <v>Leipzig Mobility</v>
      </c>
    </row>
    <row r="2560" spans="1:36" ht="14.25" hidden="1" x14ac:dyDescent="0.2">
      <c r="A2560" t="s">
        <v>3654</v>
      </c>
      <c r="B2560" s="1">
        <v>46078</v>
      </c>
      <c r="C2560" t="s">
        <v>53</v>
      </c>
      <c r="D2560" t="s">
        <v>82</v>
      </c>
      <c r="E2560" t="s">
        <v>26</v>
      </c>
      <c r="F2560" t="s">
        <v>109</v>
      </c>
      <c r="G2560" t="s">
        <v>110</v>
      </c>
      <c r="H2560" t="s">
        <v>45</v>
      </c>
      <c r="I2560" t="s">
        <v>56</v>
      </c>
      <c r="J2560" t="s">
        <v>57</v>
      </c>
      <c r="K2560" t="s">
        <v>78</v>
      </c>
      <c r="L2560" t="s">
        <v>46</v>
      </c>
      <c r="M2560" t="s">
        <v>47</v>
      </c>
      <c r="N2560" t="s">
        <v>48</v>
      </c>
      <c r="O2560" t="s">
        <v>70</v>
      </c>
      <c r="P2560" t="s">
        <v>49</v>
      </c>
      <c r="Q2560" t="s">
        <v>189</v>
      </c>
      <c r="R2560">
        <v>204</v>
      </c>
      <c r="S2560">
        <v>99</v>
      </c>
      <c r="T2560">
        <v>71</v>
      </c>
      <c r="U2560">
        <v>20</v>
      </c>
      <c r="V2560" t="s">
        <v>6973</v>
      </c>
      <c r="W2560">
        <v>51513</v>
      </c>
      <c r="X2560" t="s">
        <v>1351</v>
      </c>
      <c r="Y2560">
        <v>40465</v>
      </c>
      <c r="Z2560">
        <v>1030260</v>
      </c>
      <c r="AA2560">
        <v>220960</v>
      </c>
      <c r="AB2560" t="str">
        <f>(VLOOKUP(SalesData[[#This Row],[Month Number]],Reference!C$5:E$16,2,FALSE))</f>
        <v>Feb</v>
      </c>
      <c r="AC2560">
        <f>MONTH(SalesData[[#This Row],[Date]])</f>
        <v>2</v>
      </c>
      <c r="AD2560">
        <f>Reference!F$4</f>
        <v>2026</v>
      </c>
      <c r="AE2560" t="str">
        <f>IF(OR(SalesData[[#This Row],[Day]]="Saturday",SalesData[[#This Row],[Day]]="Sunday"),"Weekend","Weekday")</f>
        <v>Weekday</v>
      </c>
      <c r="AF2560" s="5">
        <f>IF(SalesData[[#This Row],[Contracts Offered]]=0,0,SalesData[[#This Row],[Contracts Signed]]/SalesData[[#This Row],[Contracts Offered]])</f>
        <v>0.28169014084507044</v>
      </c>
      <c r="AG2560" s="5">
        <f>IF(SalesData[[#This Row],[Customers Visited]]=0,0,SalesData[[#This Row],[Test Drives]]/SalesData[[#This Row],[Customers Visited]])</f>
        <v>0.48529411764705882</v>
      </c>
      <c r="AH2560" s="5">
        <f>IF(SalesData[[#This Row],[Customers Visited]]=0,0,SalesData[[#This Row],[Contracts Signed]]/SalesData[[#This Row],[Customers Visited]])</f>
        <v>9.8039215686274508E-2</v>
      </c>
      <c r="AI2560" s="6">
        <f>IF(SalesData[[#This Row],[Contracts Signed]]=0,0,SalesData[[#This Row],[Profit(€)]]/SalesData[[#This Row],[Contracts Signed]])</f>
        <v>11048</v>
      </c>
      <c r="AJ2560" s="5" t="str">
        <f>TRIM(CLEAN(SalesData[[#This Row],[Retailer]]))</f>
        <v>Leipzig Mobility</v>
      </c>
    </row>
    <row r="2561" spans="1:36" ht="14.25" hidden="1" x14ac:dyDescent="0.2">
      <c r="A2561" t="s">
        <v>3655</v>
      </c>
      <c r="B2561" s="1">
        <v>46070</v>
      </c>
      <c r="C2561" t="s">
        <v>62</v>
      </c>
      <c r="D2561" t="s">
        <v>63</v>
      </c>
      <c r="E2561" t="s">
        <v>26</v>
      </c>
      <c r="F2561" t="s">
        <v>109</v>
      </c>
      <c r="G2561" t="s">
        <v>110</v>
      </c>
      <c r="H2561" t="s">
        <v>45</v>
      </c>
      <c r="I2561" t="s">
        <v>56</v>
      </c>
      <c r="J2561" t="s">
        <v>137</v>
      </c>
      <c r="K2561" t="s">
        <v>91</v>
      </c>
      <c r="L2561" t="s">
        <v>46</v>
      </c>
      <c r="M2561" t="s">
        <v>87</v>
      </c>
      <c r="N2561" t="s">
        <v>48</v>
      </c>
      <c r="O2561" t="s">
        <v>70</v>
      </c>
      <c r="P2561" t="s">
        <v>58</v>
      </c>
      <c r="Q2561" t="s">
        <v>144</v>
      </c>
      <c r="R2561">
        <v>294</v>
      </c>
      <c r="S2561">
        <v>183</v>
      </c>
      <c r="T2561">
        <v>117</v>
      </c>
      <c r="U2561">
        <v>46</v>
      </c>
      <c r="V2561" t="s">
        <v>6415</v>
      </c>
      <c r="W2561">
        <v>43031</v>
      </c>
      <c r="X2561" t="s">
        <v>3042</v>
      </c>
      <c r="Y2561">
        <v>34006</v>
      </c>
      <c r="Z2561">
        <v>1979426</v>
      </c>
      <c r="AA2561">
        <v>415150</v>
      </c>
      <c r="AB2561" t="str">
        <f>(VLOOKUP(SalesData[[#This Row],[Month Number]],Reference!C$5:E$16,2,FALSE))</f>
        <v>Feb</v>
      </c>
      <c r="AC2561">
        <f>MONTH(SalesData[[#This Row],[Date]])</f>
        <v>2</v>
      </c>
      <c r="AD2561">
        <f>Reference!F$4</f>
        <v>2026</v>
      </c>
      <c r="AE2561" t="str">
        <f>IF(OR(SalesData[[#This Row],[Day]]="Saturday",SalesData[[#This Row],[Day]]="Sunday"),"Weekend","Weekday")</f>
        <v>Weekday</v>
      </c>
      <c r="AF2561" s="5">
        <f>IF(SalesData[[#This Row],[Contracts Offered]]=0,0,SalesData[[#This Row],[Contracts Signed]]/SalesData[[#This Row],[Contracts Offered]])</f>
        <v>0.39316239316239315</v>
      </c>
      <c r="AG2561" s="5">
        <f>IF(SalesData[[#This Row],[Customers Visited]]=0,0,SalesData[[#This Row],[Test Drives]]/SalesData[[#This Row],[Customers Visited]])</f>
        <v>0.62244897959183676</v>
      </c>
      <c r="AH2561" s="5">
        <f>IF(SalesData[[#This Row],[Customers Visited]]=0,0,SalesData[[#This Row],[Contracts Signed]]/SalesData[[#This Row],[Customers Visited]])</f>
        <v>0.15646258503401361</v>
      </c>
      <c r="AI2561" s="6">
        <f>IF(SalesData[[#This Row],[Contracts Signed]]=0,0,SalesData[[#This Row],[Profit(€)]]/SalesData[[#This Row],[Contracts Signed]])</f>
        <v>9025</v>
      </c>
      <c r="AJ2561" s="5" t="str">
        <f>TRIM(CLEAN(SalesData[[#This Row],[Retailer]]))</f>
        <v>Leipzig Mobility</v>
      </c>
    </row>
    <row r="2562" spans="1:36" ht="14.25" hidden="1" x14ac:dyDescent="0.2">
      <c r="A2562" t="s">
        <v>3656</v>
      </c>
      <c r="B2562" s="1">
        <v>46063</v>
      </c>
      <c r="C2562" t="s">
        <v>121</v>
      </c>
      <c r="D2562" t="s">
        <v>63</v>
      </c>
      <c r="E2562" t="s">
        <v>26</v>
      </c>
      <c r="F2562" t="s">
        <v>101</v>
      </c>
      <c r="G2562" t="s">
        <v>102</v>
      </c>
      <c r="H2562" t="s">
        <v>103</v>
      </c>
      <c r="I2562" t="s">
        <v>64</v>
      </c>
      <c r="J2562" t="s">
        <v>65</v>
      </c>
      <c r="K2562" t="s">
        <v>32</v>
      </c>
      <c r="L2562" t="s">
        <v>33</v>
      </c>
      <c r="M2562" t="s">
        <v>68</v>
      </c>
      <c r="N2562" t="s">
        <v>48</v>
      </c>
      <c r="O2562" t="s">
        <v>70</v>
      </c>
      <c r="P2562" t="s">
        <v>49</v>
      </c>
      <c r="Q2562" t="s">
        <v>38</v>
      </c>
      <c r="R2562">
        <v>192</v>
      </c>
      <c r="S2562">
        <v>103</v>
      </c>
      <c r="T2562">
        <v>77</v>
      </c>
      <c r="U2562">
        <v>21</v>
      </c>
      <c r="V2562" t="s">
        <v>6810</v>
      </c>
      <c r="W2562">
        <v>69256</v>
      </c>
      <c r="X2562" t="s">
        <v>6136</v>
      </c>
      <c r="Y2562">
        <v>53331</v>
      </c>
      <c r="Z2562">
        <v>1454376</v>
      </c>
      <c r="AA2562">
        <v>334425</v>
      </c>
      <c r="AB2562" t="str">
        <f>(VLOOKUP(SalesData[[#This Row],[Month Number]],Reference!C$5:E$16,2,FALSE))</f>
        <v>Feb</v>
      </c>
      <c r="AC2562">
        <f>MONTH(SalesData[[#This Row],[Date]])</f>
        <v>2</v>
      </c>
      <c r="AD2562">
        <f>Reference!F$4</f>
        <v>2026</v>
      </c>
      <c r="AE2562" t="str">
        <f>IF(OR(SalesData[[#This Row],[Day]]="Saturday",SalesData[[#This Row],[Day]]="Sunday"),"Weekend","Weekday")</f>
        <v>Weekday</v>
      </c>
      <c r="AF2562" s="5">
        <f>IF(SalesData[[#This Row],[Contracts Offered]]=0,0,SalesData[[#This Row],[Contracts Signed]]/SalesData[[#This Row],[Contracts Offered]])</f>
        <v>0.27272727272727271</v>
      </c>
      <c r="AG2562" s="5">
        <f>IF(SalesData[[#This Row],[Customers Visited]]=0,0,SalesData[[#This Row],[Test Drives]]/SalesData[[#This Row],[Customers Visited]])</f>
        <v>0.53645833333333337</v>
      </c>
      <c r="AH2562" s="5">
        <f>IF(SalesData[[#This Row],[Customers Visited]]=0,0,SalesData[[#This Row],[Contracts Signed]]/SalesData[[#This Row],[Customers Visited]])</f>
        <v>0.109375</v>
      </c>
      <c r="AI2562" s="6">
        <f>IF(SalesData[[#This Row],[Contracts Signed]]=0,0,SalesData[[#This Row],[Profit(€)]]/SalesData[[#This Row],[Contracts Signed]])</f>
        <v>15925</v>
      </c>
      <c r="AJ2562" s="5" t="str">
        <f>TRIM(CLEAN(SalesData[[#This Row],[Retailer]]))</f>
        <v>Ruhr Auto Plaza</v>
      </c>
    </row>
    <row r="2563" spans="1:36" ht="14.25" hidden="1" x14ac:dyDescent="0.2">
      <c r="A2563" t="s">
        <v>3657</v>
      </c>
      <c r="B2563" s="1">
        <v>46079</v>
      </c>
      <c r="C2563" t="s">
        <v>53</v>
      </c>
      <c r="D2563" t="s">
        <v>100</v>
      </c>
      <c r="E2563" t="s">
        <v>26</v>
      </c>
      <c r="F2563" t="s">
        <v>101</v>
      </c>
      <c r="G2563" t="s">
        <v>102</v>
      </c>
      <c r="H2563" t="s">
        <v>103</v>
      </c>
      <c r="I2563" t="s">
        <v>116</v>
      </c>
      <c r="J2563" t="s">
        <v>7090</v>
      </c>
      <c r="K2563" t="s">
        <v>78</v>
      </c>
      <c r="L2563" t="s">
        <v>46</v>
      </c>
      <c r="M2563" t="s">
        <v>68</v>
      </c>
      <c r="N2563" t="s">
        <v>69</v>
      </c>
      <c r="O2563" t="s">
        <v>36</v>
      </c>
      <c r="P2563" t="s">
        <v>58</v>
      </c>
      <c r="Q2563" t="s">
        <v>189</v>
      </c>
      <c r="R2563">
        <v>348</v>
      </c>
      <c r="S2563">
        <v>150</v>
      </c>
      <c r="T2563">
        <v>85</v>
      </c>
      <c r="U2563">
        <v>24</v>
      </c>
      <c r="V2563" t="s">
        <v>333</v>
      </c>
      <c r="W2563">
        <v>26014</v>
      </c>
      <c r="X2563" t="s">
        <v>7288</v>
      </c>
      <c r="Y2563">
        <v>23416</v>
      </c>
      <c r="Z2563">
        <v>624336</v>
      </c>
      <c r="AA2563">
        <v>62352</v>
      </c>
      <c r="AB2563" t="str">
        <f>(VLOOKUP(SalesData[[#This Row],[Month Number]],Reference!C$5:E$16,2,FALSE))</f>
        <v>Feb</v>
      </c>
      <c r="AC2563">
        <f>MONTH(SalesData[[#This Row],[Date]])</f>
        <v>2</v>
      </c>
      <c r="AD2563">
        <f>Reference!F$4</f>
        <v>2026</v>
      </c>
      <c r="AE2563" t="str">
        <f>IF(OR(SalesData[[#This Row],[Day]]="Saturday",SalesData[[#This Row],[Day]]="Sunday"),"Weekend","Weekday")</f>
        <v>Weekday</v>
      </c>
      <c r="AF2563" s="5">
        <f>IF(SalesData[[#This Row],[Contracts Offered]]=0,0,SalesData[[#This Row],[Contracts Signed]]/SalesData[[#This Row],[Contracts Offered]])</f>
        <v>0.28235294117647058</v>
      </c>
      <c r="AG2563" s="5">
        <f>IF(SalesData[[#This Row],[Customers Visited]]=0,0,SalesData[[#This Row],[Test Drives]]/SalesData[[#This Row],[Customers Visited]])</f>
        <v>0.43103448275862066</v>
      </c>
      <c r="AH2563" s="5">
        <f>IF(SalesData[[#This Row],[Customers Visited]]=0,0,SalesData[[#This Row],[Contracts Signed]]/SalesData[[#This Row],[Customers Visited]])</f>
        <v>6.8965517241379309E-2</v>
      </c>
      <c r="AI2563" s="6">
        <f>IF(SalesData[[#This Row],[Contracts Signed]]=0,0,SalesData[[#This Row],[Profit(€)]]/SalesData[[#This Row],[Contracts Signed]])</f>
        <v>2598</v>
      </c>
      <c r="AJ2563" s="5" t="str">
        <f>TRIM(CLEAN(SalesData[[#This Row],[Retailer]]))</f>
        <v>Ruhr Auto Plaza</v>
      </c>
    </row>
    <row r="2564" spans="1:36" ht="14.25" hidden="1" x14ac:dyDescent="0.2">
      <c r="A2564" t="s">
        <v>3658</v>
      </c>
      <c r="B2564" s="1">
        <v>46079</v>
      </c>
      <c r="C2564" t="s">
        <v>53</v>
      </c>
      <c r="D2564" t="s">
        <v>100</v>
      </c>
      <c r="E2564" t="s">
        <v>26</v>
      </c>
      <c r="F2564" t="s">
        <v>43</v>
      </c>
      <c r="G2564" t="s">
        <v>44</v>
      </c>
      <c r="H2564" t="s">
        <v>45</v>
      </c>
      <c r="I2564" t="s">
        <v>116</v>
      </c>
      <c r="J2564" t="s">
        <v>7090</v>
      </c>
      <c r="K2564" t="s">
        <v>32</v>
      </c>
      <c r="L2564" t="s">
        <v>46</v>
      </c>
      <c r="M2564" t="s">
        <v>47</v>
      </c>
      <c r="N2564" t="s">
        <v>35</v>
      </c>
      <c r="O2564" t="s">
        <v>70</v>
      </c>
      <c r="P2564" t="s">
        <v>71</v>
      </c>
      <c r="Q2564" t="s">
        <v>152</v>
      </c>
      <c r="R2564">
        <v>267</v>
      </c>
      <c r="S2564">
        <v>116</v>
      </c>
      <c r="T2564">
        <v>65</v>
      </c>
      <c r="U2564">
        <v>16</v>
      </c>
      <c r="V2564" t="s">
        <v>301</v>
      </c>
      <c r="W2564">
        <v>25244</v>
      </c>
      <c r="X2564" t="s">
        <v>7057</v>
      </c>
      <c r="Y2564">
        <v>23235</v>
      </c>
      <c r="Z2564">
        <v>403904</v>
      </c>
      <c r="AA2564">
        <v>32144</v>
      </c>
      <c r="AB2564" t="str">
        <f>(VLOOKUP(SalesData[[#This Row],[Month Number]],Reference!C$5:E$16,2,FALSE))</f>
        <v>Feb</v>
      </c>
      <c r="AC2564">
        <f>MONTH(SalesData[[#This Row],[Date]])</f>
        <v>2</v>
      </c>
      <c r="AD2564">
        <f>Reference!F$4</f>
        <v>2026</v>
      </c>
      <c r="AE2564" t="str">
        <f>IF(OR(SalesData[[#This Row],[Day]]="Saturday",SalesData[[#This Row],[Day]]="Sunday"),"Weekend","Weekday")</f>
        <v>Weekday</v>
      </c>
      <c r="AF2564" s="5">
        <f>IF(SalesData[[#This Row],[Contracts Offered]]=0,0,SalesData[[#This Row],[Contracts Signed]]/SalesData[[#This Row],[Contracts Offered]])</f>
        <v>0.24615384615384617</v>
      </c>
      <c r="AG2564" s="5">
        <f>IF(SalesData[[#This Row],[Customers Visited]]=0,0,SalesData[[#This Row],[Test Drives]]/SalesData[[#This Row],[Customers Visited]])</f>
        <v>0.43445692883895132</v>
      </c>
      <c r="AH2564" s="5">
        <f>IF(SalesData[[#This Row],[Customers Visited]]=0,0,SalesData[[#This Row],[Contracts Signed]]/SalesData[[#This Row],[Customers Visited]])</f>
        <v>5.9925093632958802E-2</v>
      </c>
      <c r="AI2564" s="6">
        <f>IF(SalesData[[#This Row],[Contracts Signed]]=0,0,SalesData[[#This Row],[Profit(€)]]/SalesData[[#This Row],[Contracts Signed]])</f>
        <v>2009</v>
      </c>
      <c r="AJ2564" s="5" t="str">
        <f>TRIM(CLEAN(SalesData[[#This Row],[Retailer]]))</f>
        <v>Saxon Wheels</v>
      </c>
    </row>
    <row r="2565" spans="1:36" ht="14.25" hidden="1" x14ac:dyDescent="0.2">
      <c r="A2565" t="s">
        <v>3659</v>
      </c>
      <c r="B2565" s="1">
        <v>46069</v>
      </c>
      <c r="C2565" t="s">
        <v>62</v>
      </c>
      <c r="D2565" t="s">
        <v>25</v>
      </c>
      <c r="E2565" t="s">
        <v>26</v>
      </c>
      <c r="F2565" t="s">
        <v>83</v>
      </c>
      <c r="G2565" t="s">
        <v>84</v>
      </c>
      <c r="H2565" t="s">
        <v>85</v>
      </c>
      <c r="I2565" t="s">
        <v>56</v>
      </c>
      <c r="J2565" t="s">
        <v>137</v>
      </c>
      <c r="K2565" t="s">
        <v>78</v>
      </c>
      <c r="L2565" t="s">
        <v>46</v>
      </c>
      <c r="M2565" t="s">
        <v>87</v>
      </c>
      <c r="N2565" t="s">
        <v>35</v>
      </c>
      <c r="O2565" t="s">
        <v>36</v>
      </c>
      <c r="P2565" t="s">
        <v>58</v>
      </c>
      <c r="Q2565" t="s">
        <v>129</v>
      </c>
      <c r="R2565">
        <v>178</v>
      </c>
      <c r="S2565">
        <v>93</v>
      </c>
      <c r="T2565">
        <v>68</v>
      </c>
      <c r="U2565">
        <v>22</v>
      </c>
      <c r="V2565" t="s">
        <v>6474</v>
      </c>
      <c r="W2565">
        <v>45703</v>
      </c>
      <c r="X2565" t="s">
        <v>4556</v>
      </c>
      <c r="Y2565">
        <v>35254</v>
      </c>
      <c r="Z2565">
        <v>1005466</v>
      </c>
      <c r="AA2565">
        <v>229878</v>
      </c>
      <c r="AB2565" t="str">
        <f>(VLOOKUP(SalesData[[#This Row],[Month Number]],Reference!C$5:E$16,2,FALSE))</f>
        <v>Feb</v>
      </c>
      <c r="AC2565">
        <f>MONTH(SalesData[[#This Row],[Date]])</f>
        <v>2</v>
      </c>
      <c r="AD2565">
        <f>Reference!F$4</f>
        <v>2026</v>
      </c>
      <c r="AE2565" t="str">
        <f>IF(OR(SalesData[[#This Row],[Day]]="Saturday",SalesData[[#This Row],[Day]]="Sunday"),"Weekend","Weekday")</f>
        <v>Weekday</v>
      </c>
      <c r="AF2565" s="5">
        <f>IF(SalesData[[#This Row],[Contracts Offered]]=0,0,SalesData[[#This Row],[Contracts Signed]]/SalesData[[#This Row],[Contracts Offered]])</f>
        <v>0.3235294117647059</v>
      </c>
      <c r="AG2565" s="5">
        <f>IF(SalesData[[#This Row],[Customers Visited]]=0,0,SalesData[[#This Row],[Test Drives]]/SalesData[[#This Row],[Customers Visited]])</f>
        <v>0.52247191011235961</v>
      </c>
      <c r="AH2565" s="5">
        <f>IF(SalesData[[#This Row],[Customers Visited]]=0,0,SalesData[[#This Row],[Contracts Signed]]/SalesData[[#This Row],[Customers Visited]])</f>
        <v>0.12359550561797752</v>
      </c>
      <c r="AI2565" s="6">
        <f>IF(SalesData[[#This Row],[Contracts Signed]]=0,0,SalesData[[#This Row],[Profit(€)]]/SalesData[[#This Row],[Contracts Signed]])</f>
        <v>10449</v>
      </c>
      <c r="AJ2565" s="5" t="str">
        <f>TRIM(CLEAN(SalesData[[#This Row],[Retailer]]))</f>
        <v>Hannover Cars</v>
      </c>
    </row>
    <row r="2566" spans="1:36" ht="14.25" hidden="1" x14ac:dyDescent="0.2">
      <c r="A2566" t="s">
        <v>3660</v>
      </c>
      <c r="B2566" s="1">
        <v>46063</v>
      </c>
      <c r="C2566" t="s">
        <v>121</v>
      </c>
      <c r="D2566" t="s">
        <v>63</v>
      </c>
      <c r="E2566" t="s">
        <v>26</v>
      </c>
      <c r="F2566" t="s">
        <v>83</v>
      </c>
      <c r="G2566" t="s">
        <v>84</v>
      </c>
      <c r="H2566" t="s">
        <v>85</v>
      </c>
      <c r="I2566" t="s">
        <v>104</v>
      </c>
      <c r="J2566" t="s">
        <v>7031</v>
      </c>
      <c r="K2566" t="s">
        <v>66</v>
      </c>
      <c r="L2566" t="s">
        <v>46</v>
      </c>
      <c r="M2566" t="s">
        <v>47</v>
      </c>
      <c r="N2566" t="s">
        <v>69</v>
      </c>
      <c r="O2566" t="s">
        <v>36</v>
      </c>
      <c r="P2566" t="s">
        <v>37</v>
      </c>
      <c r="Q2566" t="s">
        <v>59</v>
      </c>
      <c r="R2566">
        <v>358</v>
      </c>
      <c r="S2566">
        <v>203</v>
      </c>
      <c r="T2566">
        <v>130</v>
      </c>
      <c r="U2566">
        <v>27</v>
      </c>
      <c r="V2566" t="s">
        <v>4345</v>
      </c>
      <c r="W2566">
        <v>31042</v>
      </c>
      <c r="X2566" t="s">
        <v>207</v>
      </c>
      <c r="Y2566">
        <v>26972</v>
      </c>
      <c r="Z2566">
        <v>838134</v>
      </c>
      <c r="AA2566">
        <v>109890</v>
      </c>
      <c r="AB2566" t="str">
        <f>(VLOOKUP(SalesData[[#This Row],[Month Number]],Reference!C$5:E$16,2,FALSE))</f>
        <v>Feb</v>
      </c>
      <c r="AC2566">
        <f>MONTH(SalesData[[#This Row],[Date]])</f>
        <v>2</v>
      </c>
      <c r="AD2566">
        <f>Reference!F$4</f>
        <v>2026</v>
      </c>
      <c r="AE2566" t="str">
        <f>IF(OR(SalesData[[#This Row],[Day]]="Saturday",SalesData[[#This Row],[Day]]="Sunday"),"Weekend","Weekday")</f>
        <v>Weekday</v>
      </c>
      <c r="AF2566" s="5">
        <f>IF(SalesData[[#This Row],[Contracts Offered]]=0,0,SalesData[[#This Row],[Contracts Signed]]/SalesData[[#This Row],[Contracts Offered]])</f>
        <v>0.2076923076923077</v>
      </c>
      <c r="AG2566" s="5">
        <f>IF(SalesData[[#This Row],[Customers Visited]]=0,0,SalesData[[#This Row],[Test Drives]]/SalesData[[#This Row],[Customers Visited]])</f>
        <v>0.56703910614525144</v>
      </c>
      <c r="AH2566" s="5">
        <f>IF(SalesData[[#This Row],[Customers Visited]]=0,0,SalesData[[#This Row],[Contracts Signed]]/SalesData[[#This Row],[Customers Visited]])</f>
        <v>7.5418994413407825E-2</v>
      </c>
      <c r="AI2566" s="6">
        <f>IF(SalesData[[#This Row],[Contracts Signed]]=0,0,SalesData[[#This Row],[Profit(€)]]/SalesData[[#This Row],[Contracts Signed]])</f>
        <v>4070</v>
      </c>
      <c r="AJ2566" s="5" t="str">
        <f>TRIM(CLEAN(SalesData[[#This Row],[Retailer]]))</f>
        <v>Hannover Cars</v>
      </c>
    </row>
    <row r="2567" spans="1:36" ht="14.25" hidden="1" x14ac:dyDescent="0.2">
      <c r="A2567" t="s">
        <v>3661</v>
      </c>
      <c r="B2567" s="1">
        <v>46056</v>
      </c>
      <c r="C2567" t="s">
        <v>24</v>
      </c>
      <c r="D2567" t="s">
        <v>63</v>
      </c>
      <c r="E2567" t="s">
        <v>26</v>
      </c>
      <c r="F2567" t="s">
        <v>101</v>
      </c>
      <c r="G2567" t="s">
        <v>102</v>
      </c>
      <c r="H2567" t="s">
        <v>103</v>
      </c>
      <c r="I2567" t="s">
        <v>116</v>
      </c>
      <c r="J2567" t="s">
        <v>203</v>
      </c>
      <c r="K2567" t="s">
        <v>66</v>
      </c>
      <c r="L2567" t="s">
        <v>67</v>
      </c>
      <c r="M2567" t="s">
        <v>87</v>
      </c>
      <c r="N2567" t="s">
        <v>35</v>
      </c>
      <c r="O2567" t="s">
        <v>70</v>
      </c>
      <c r="P2567" t="s">
        <v>37</v>
      </c>
      <c r="Q2567" t="s">
        <v>240</v>
      </c>
      <c r="R2567">
        <v>333</v>
      </c>
      <c r="S2567">
        <v>164</v>
      </c>
      <c r="T2567">
        <v>105</v>
      </c>
      <c r="U2567">
        <v>18</v>
      </c>
      <c r="V2567" t="s">
        <v>1816</v>
      </c>
      <c r="W2567">
        <v>27538</v>
      </c>
      <c r="X2567" t="s">
        <v>7548</v>
      </c>
      <c r="Y2567">
        <v>25541</v>
      </c>
      <c r="Z2567">
        <v>495684</v>
      </c>
      <c r="AA2567">
        <v>35946</v>
      </c>
      <c r="AB2567" t="str">
        <f>(VLOOKUP(SalesData[[#This Row],[Month Number]],Reference!C$5:E$16,2,FALSE))</f>
        <v>Feb</v>
      </c>
      <c r="AC2567">
        <f>MONTH(SalesData[[#This Row],[Date]])</f>
        <v>2</v>
      </c>
      <c r="AD2567">
        <f>Reference!F$4</f>
        <v>2026</v>
      </c>
      <c r="AE2567" t="str">
        <f>IF(OR(SalesData[[#This Row],[Day]]="Saturday",SalesData[[#This Row],[Day]]="Sunday"),"Weekend","Weekday")</f>
        <v>Weekday</v>
      </c>
      <c r="AF2567" s="5">
        <f>IF(SalesData[[#This Row],[Contracts Offered]]=0,0,SalesData[[#This Row],[Contracts Signed]]/SalesData[[#This Row],[Contracts Offered]])</f>
        <v>0.17142857142857143</v>
      </c>
      <c r="AG2567" s="5">
        <f>IF(SalesData[[#This Row],[Customers Visited]]=0,0,SalesData[[#This Row],[Test Drives]]/SalesData[[#This Row],[Customers Visited]])</f>
        <v>0.4924924924924925</v>
      </c>
      <c r="AH2567" s="5">
        <f>IF(SalesData[[#This Row],[Customers Visited]]=0,0,SalesData[[#This Row],[Contracts Signed]]/SalesData[[#This Row],[Customers Visited]])</f>
        <v>5.4054054054054057E-2</v>
      </c>
      <c r="AI2567" s="6">
        <f>IF(SalesData[[#This Row],[Contracts Signed]]=0,0,SalesData[[#This Row],[Profit(€)]]/SalesData[[#This Row],[Contracts Signed]])</f>
        <v>1997</v>
      </c>
      <c r="AJ2567" s="5" t="str">
        <f>TRIM(CLEAN(SalesData[[#This Row],[Retailer]]))</f>
        <v>Ruhr Auto Plaza</v>
      </c>
    </row>
    <row r="2568" spans="1:36" ht="14.25" hidden="1" x14ac:dyDescent="0.2">
      <c r="A2568" t="s">
        <v>3662</v>
      </c>
      <c r="B2568" s="1">
        <v>46073</v>
      </c>
      <c r="C2568" t="s">
        <v>62</v>
      </c>
      <c r="D2568" t="s">
        <v>54</v>
      </c>
      <c r="E2568" t="s">
        <v>26</v>
      </c>
      <c r="F2568" t="s">
        <v>127</v>
      </c>
      <c r="G2568" t="s">
        <v>128</v>
      </c>
      <c r="H2568" t="s">
        <v>103</v>
      </c>
      <c r="I2568" t="s">
        <v>104</v>
      </c>
      <c r="J2568" t="s">
        <v>7061</v>
      </c>
      <c r="K2568" t="s">
        <v>78</v>
      </c>
      <c r="L2568" t="s">
        <v>46</v>
      </c>
      <c r="M2568" t="s">
        <v>87</v>
      </c>
      <c r="N2568" t="s">
        <v>69</v>
      </c>
      <c r="O2568" t="s">
        <v>36</v>
      </c>
      <c r="P2568" t="s">
        <v>58</v>
      </c>
      <c r="Q2568" t="s">
        <v>169</v>
      </c>
      <c r="R2568">
        <v>397</v>
      </c>
      <c r="S2568">
        <v>190</v>
      </c>
      <c r="T2568">
        <v>135</v>
      </c>
      <c r="U2568">
        <v>35</v>
      </c>
      <c r="V2568" t="s">
        <v>247</v>
      </c>
      <c r="W2568">
        <v>25765</v>
      </c>
      <c r="X2568" t="s">
        <v>3234</v>
      </c>
      <c r="Y2568">
        <v>22171</v>
      </c>
      <c r="Z2568">
        <v>901775</v>
      </c>
      <c r="AA2568">
        <v>125790</v>
      </c>
      <c r="AB2568" t="str">
        <f>(VLOOKUP(SalesData[[#This Row],[Month Number]],Reference!C$5:E$16,2,FALSE))</f>
        <v>Feb</v>
      </c>
      <c r="AC2568">
        <f>MONTH(SalesData[[#This Row],[Date]])</f>
        <v>2</v>
      </c>
      <c r="AD2568">
        <f>Reference!F$4</f>
        <v>2026</v>
      </c>
      <c r="AE2568" t="str">
        <f>IF(OR(SalesData[[#This Row],[Day]]="Saturday",SalesData[[#This Row],[Day]]="Sunday"),"Weekend","Weekday")</f>
        <v>Weekday</v>
      </c>
      <c r="AF2568" s="5">
        <f>IF(SalesData[[#This Row],[Contracts Offered]]=0,0,SalesData[[#This Row],[Contracts Signed]]/SalesData[[#This Row],[Contracts Offered]])</f>
        <v>0.25925925925925924</v>
      </c>
      <c r="AG2568" s="5">
        <f>IF(SalesData[[#This Row],[Customers Visited]]=0,0,SalesData[[#This Row],[Test Drives]]/SalesData[[#This Row],[Customers Visited]])</f>
        <v>0.47858942065491183</v>
      </c>
      <c r="AH2568" s="5">
        <f>IF(SalesData[[#This Row],[Customers Visited]]=0,0,SalesData[[#This Row],[Contracts Signed]]/SalesData[[#This Row],[Customers Visited]])</f>
        <v>8.8161209068010074E-2</v>
      </c>
      <c r="AI2568" s="6">
        <f>IF(SalesData[[#This Row],[Contracts Signed]]=0,0,SalesData[[#This Row],[Profit(€)]]/SalesData[[#This Row],[Contracts Signed]])</f>
        <v>3594</v>
      </c>
      <c r="AJ2568" s="5" t="str">
        <f>TRIM(CLEAN(SalesData[[#This Row],[Retailer]]))</f>
        <v>Rhein Auto Group</v>
      </c>
    </row>
    <row r="2569" spans="1:36" ht="14.25" hidden="1" x14ac:dyDescent="0.2">
      <c r="A2569" t="s">
        <v>3664</v>
      </c>
      <c r="B2569" s="1">
        <v>46076</v>
      </c>
      <c r="C2569" t="s">
        <v>53</v>
      </c>
      <c r="D2569" t="s">
        <v>25</v>
      </c>
      <c r="E2569" t="s">
        <v>26</v>
      </c>
      <c r="F2569" t="s">
        <v>74</v>
      </c>
      <c r="G2569" t="s">
        <v>75</v>
      </c>
      <c r="H2569" t="s">
        <v>76</v>
      </c>
      <c r="I2569" t="s">
        <v>116</v>
      </c>
      <c r="J2569" t="s">
        <v>7090</v>
      </c>
      <c r="K2569" t="s">
        <v>91</v>
      </c>
      <c r="L2569" t="s">
        <v>46</v>
      </c>
      <c r="M2569" t="s">
        <v>34</v>
      </c>
      <c r="N2569" t="s">
        <v>35</v>
      </c>
      <c r="O2569" t="s">
        <v>70</v>
      </c>
      <c r="P2569" t="s">
        <v>58</v>
      </c>
      <c r="Q2569" t="s">
        <v>167</v>
      </c>
      <c r="R2569">
        <v>340</v>
      </c>
      <c r="S2569">
        <v>135</v>
      </c>
      <c r="T2569">
        <v>78</v>
      </c>
      <c r="U2569">
        <v>24</v>
      </c>
      <c r="V2569" t="s">
        <v>716</v>
      </c>
      <c r="W2569">
        <v>20620</v>
      </c>
      <c r="X2569" t="s">
        <v>892</v>
      </c>
      <c r="Y2569">
        <v>18792</v>
      </c>
      <c r="Z2569">
        <v>494880</v>
      </c>
      <c r="AA2569">
        <v>43872</v>
      </c>
      <c r="AB2569" t="str">
        <f>(VLOOKUP(SalesData[[#This Row],[Month Number]],Reference!C$5:E$16,2,FALSE))</f>
        <v>Feb</v>
      </c>
      <c r="AC2569">
        <f>MONTH(SalesData[[#This Row],[Date]])</f>
        <v>2</v>
      </c>
      <c r="AD2569">
        <f>Reference!F$4</f>
        <v>2026</v>
      </c>
      <c r="AE2569" t="str">
        <f>IF(OR(SalesData[[#This Row],[Day]]="Saturday",SalesData[[#This Row],[Day]]="Sunday"),"Weekend","Weekday")</f>
        <v>Weekday</v>
      </c>
      <c r="AF2569" s="5">
        <f>IF(SalesData[[#This Row],[Contracts Offered]]=0,0,SalesData[[#This Row],[Contracts Signed]]/SalesData[[#This Row],[Contracts Offered]])</f>
        <v>0.30769230769230771</v>
      </c>
      <c r="AG2569" s="5">
        <f>IF(SalesData[[#This Row],[Customers Visited]]=0,0,SalesData[[#This Row],[Test Drives]]/SalesData[[#This Row],[Customers Visited]])</f>
        <v>0.39705882352941174</v>
      </c>
      <c r="AH2569" s="5">
        <f>IF(SalesData[[#This Row],[Customers Visited]]=0,0,SalesData[[#This Row],[Contracts Signed]]/SalesData[[#This Row],[Customers Visited]])</f>
        <v>7.0588235294117646E-2</v>
      </c>
      <c r="AI2569" s="6">
        <f>IF(SalesData[[#This Row],[Contracts Signed]]=0,0,SalesData[[#This Row],[Profit(€)]]/SalesData[[#This Row],[Contracts Signed]])</f>
        <v>1828</v>
      </c>
      <c r="AJ2569" s="5" t="str">
        <f>TRIM(CLEAN(SalesData[[#This Row],[Retailer]]))</f>
        <v>Stuttgart Auto Center</v>
      </c>
    </row>
    <row r="2570" spans="1:36" ht="14.25" x14ac:dyDescent="0.2">
      <c r="A2570" t="s">
        <v>3665</v>
      </c>
      <c r="B2570" s="1">
        <v>46081</v>
      </c>
      <c r="C2570" t="s">
        <v>53</v>
      </c>
      <c r="D2570" t="s">
        <v>151</v>
      </c>
      <c r="E2570" t="s">
        <v>42</v>
      </c>
      <c r="F2570" t="s">
        <v>114</v>
      </c>
      <c r="G2570" t="s">
        <v>115</v>
      </c>
      <c r="H2570" t="s">
        <v>115</v>
      </c>
      <c r="I2570" t="s">
        <v>30</v>
      </c>
      <c r="J2570" t="s">
        <v>166</v>
      </c>
      <c r="K2570" t="s">
        <v>66</v>
      </c>
      <c r="L2570" t="s">
        <v>46</v>
      </c>
      <c r="M2570" t="s">
        <v>87</v>
      </c>
      <c r="N2570" t="s">
        <v>35</v>
      </c>
      <c r="O2570" t="s">
        <v>70</v>
      </c>
      <c r="P2570" t="s">
        <v>58</v>
      </c>
      <c r="Q2570" t="s">
        <v>240</v>
      </c>
      <c r="R2570">
        <v>167</v>
      </c>
      <c r="S2570">
        <v>91</v>
      </c>
      <c r="T2570">
        <v>70</v>
      </c>
      <c r="U2570">
        <v>29</v>
      </c>
      <c r="V2570" t="s">
        <v>7414</v>
      </c>
      <c r="W2570">
        <v>69619</v>
      </c>
      <c r="X2570" t="s">
        <v>7461</v>
      </c>
      <c r="Y2570">
        <v>50102</v>
      </c>
      <c r="Z2570">
        <v>2018951</v>
      </c>
      <c r="AA2570">
        <v>565993</v>
      </c>
      <c r="AB2570" t="str">
        <f>(VLOOKUP(SalesData[[#This Row],[Month Number]],Reference!C$5:E$16,2,FALSE))</f>
        <v>Feb</v>
      </c>
      <c r="AC2570">
        <f>MONTH(SalesData[[#This Row],[Date]])</f>
        <v>2</v>
      </c>
      <c r="AD2570">
        <f>Reference!F$4</f>
        <v>2026</v>
      </c>
      <c r="AE2570" t="str">
        <f>IF(OR(SalesData[[#This Row],[Day]]="Saturday",SalesData[[#This Row],[Day]]="Sunday"),"Weekend","Weekday")</f>
        <v>Weekend</v>
      </c>
      <c r="AF2570" s="5">
        <f>IF(SalesData[[#This Row],[Contracts Offered]]=0,0,SalesData[[#This Row],[Contracts Signed]]/SalesData[[#This Row],[Contracts Offered]])</f>
        <v>0.41428571428571431</v>
      </c>
      <c r="AG2570" s="5">
        <f>IF(SalesData[[#This Row],[Customers Visited]]=0,0,SalesData[[#This Row],[Test Drives]]/SalesData[[#This Row],[Customers Visited]])</f>
        <v>0.54491017964071853</v>
      </c>
      <c r="AH2570" s="5">
        <f>IF(SalesData[[#This Row],[Customers Visited]]=0,0,SalesData[[#This Row],[Contracts Signed]]/SalesData[[#This Row],[Customers Visited]])</f>
        <v>0.17365269461077845</v>
      </c>
      <c r="AI2570" s="6">
        <f>IF(SalesData[[#This Row],[Contracts Signed]]=0,0,SalesData[[#This Row],[Profit(€)]]/SalesData[[#This Row],[Contracts Signed]])</f>
        <v>19517</v>
      </c>
      <c r="AJ2570" s="5" t="str">
        <f>TRIM(CLEAN(SalesData[[#This Row],[Retailer]]))</f>
        <v>Elbe Drive</v>
      </c>
    </row>
    <row r="2571" spans="1:36" ht="14.25" hidden="1" x14ac:dyDescent="0.2">
      <c r="A2571" t="s">
        <v>3666</v>
      </c>
      <c r="B2571" s="1">
        <v>46057</v>
      </c>
      <c r="C2571" t="s">
        <v>24</v>
      </c>
      <c r="D2571" t="s">
        <v>82</v>
      </c>
      <c r="E2571" t="s">
        <v>26</v>
      </c>
      <c r="F2571" t="s">
        <v>127</v>
      </c>
      <c r="G2571" t="s">
        <v>128</v>
      </c>
      <c r="H2571" t="s">
        <v>103</v>
      </c>
      <c r="I2571" t="s">
        <v>56</v>
      </c>
      <c r="J2571" t="s">
        <v>97</v>
      </c>
      <c r="K2571" t="s">
        <v>32</v>
      </c>
      <c r="L2571" t="s">
        <v>33</v>
      </c>
      <c r="M2571" t="s">
        <v>87</v>
      </c>
      <c r="N2571" t="s">
        <v>69</v>
      </c>
      <c r="O2571" t="s">
        <v>70</v>
      </c>
      <c r="P2571" t="s">
        <v>71</v>
      </c>
      <c r="Q2571" t="s">
        <v>144</v>
      </c>
      <c r="R2571">
        <v>256</v>
      </c>
      <c r="S2571">
        <v>156</v>
      </c>
      <c r="T2571">
        <v>119</v>
      </c>
      <c r="U2571">
        <v>33</v>
      </c>
      <c r="V2571" t="s">
        <v>7020</v>
      </c>
      <c r="W2571">
        <v>55599</v>
      </c>
      <c r="X2571" t="s">
        <v>7413</v>
      </c>
      <c r="Y2571">
        <v>42379</v>
      </c>
      <c r="Z2571">
        <v>1834767</v>
      </c>
      <c r="AA2571">
        <v>436260</v>
      </c>
      <c r="AB2571" t="str">
        <f>(VLOOKUP(SalesData[[#This Row],[Month Number]],Reference!C$5:E$16,2,FALSE))</f>
        <v>Feb</v>
      </c>
      <c r="AC2571">
        <f>MONTH(SalesData[[#This Row],[Date]])</f>
        <v>2</v>
      </c>
      <c r="AD2571">
        <f>Reference!F$4</f>
        <v>2026</v>
      </c>
      <c r="AE2571" t="str">
        <f>IF(OR(SalesData[[#This Row],[Day]]="Saturday",SalesData[[#This Row],[Day]]="Sunday"),"Weekend","Weekday")</f>
        <v>Weekday</v>
      </c>
      <c r="AF2571" s="5">
        <f>IF(SalesData[[#This Row],[Contracts Offered]]=0,0,SalesData[[#This Row],[Contracts Signed]]/SalesData[[#This Row],[Contracts Offered]])</f>
        <v>0.27731092436974791</v>
      </c>
      <c r="AG2571" s="5">
        <f>IF(SalesData[[#This Row],[Customers Visited]]=0,0,SalesData[[#This Row],[Test Drives]]/SalesData[[#This Row],[Customers Visited]])</f>
        <v>0.609375</v>
      </c>
      <c r="AH2571" s="5">
        <f>IF(SalesData[[#This Row],[Customers Visited]]=0,0,SalesData[[#This Row],[Contracts Signed]]/SalesData[[#This Row],[Customers Visited]])</f>
        <v>0.12890625</v>
      </c>
      <c r="AI2571" s="6">
        <f>IF(SalesData[[#This Row],[Contracts Signed]]=0,0,SalesData[[#This Row],[Profit(€)]]/SalesData[[#This Row],[Contracts Signed]])</f>
        <v>13220</v>
      </c>
      <c r="AJ2571" s="5" t="str">
        <f>TRIM(CLEAN(SalesData[[#This Row],[Retailer]]))</f>
        <v>Rhein Auto Group</v>
      </c>
    </row>
    <row r="2572" spans="1:36" ht="14.25" hidden="1" x14ac:dyDescent="0.2">
      <c r="A2572" t="s">
        <v>3668</v>
      </c>
      <c r="B2572" s="1">
        <v>46067</v>
      </c>
      <c r="C2572" t="s">
        <v>121</v>
      </c>
      <c r="D2572" t="s">
        <v>151</v>
      </c>
      <c r="E2572" t="s">
        <v>42</v>
      </c>
      <c r="F2572" t="s">
        <v>101</v>
      </c>
      <c r="G2572" t="s">
        <v>102</v>
      </c>
      <c r="H2572" t="s">
        <v>103</v>
      </c>
      <c r="I2572" t="s">
        <v>104</v>
      </c>
      <c r="J2572" t="s">
        <v>143</v>
      </c>
      <c r="K2572" t="s">
        <v>66</v>
      </c>
      <c r="L2572" t="s">
        <v>67</v>
      </c>
      <c r="M2572" t="s">
        <v>34</v>
      </c>
      <c r="N2572" t="s">
        <v>35</v>
      </c>
      <c r="O2572" t="s">
        <v>70</v>
      </c>
      <c r="P2572" t="s">
        <v>49</v>
      </c>
      <c r="Q2572" t="s">
        <v>240</v>
      </c>
      <c r="R2572">
        <v>414</v>
      </c>
      <c r="S2572">
        <v>229</v>
      </c>
      <c r="T2572">
        <v>147</v>
      </c>
      <c r="U2572">
        <v>24</v>
      </c>
      <c r="V2572" t="s">
        <v>2056</v>
      </c>
      <c r="W2572">
        <v>27643</v>
      </c>
      <c r="X2572" t="s">
        <v>1892</v>
      </c>
      <c r="Y2572">
        <v>24228</v>
      </c>
      <c r="Z2572">
        <v>663432</v>
      </c>
      <c r="AA2572">
        <v>81960</v>
      </c>
      <c r="AB2572" t="str">
        <f>(VLOOKUP(SalesData[[#This Row],[Month Number]],Reference!C$5:E$16,2,FALSE))</f>
        <v>Feb</v>
      </c>
      <c r="AC2572">
        <f>MONTH(SalesData[[#This Row],[Date]])</f>
        <v>2</v>
      </c>
      <c r="AD2572">
        <f>Reference!F$4</f>
        <v>2026</v>
      </c>
      <c r="AE2572" t="str">
        <f>IF(OR(SalesData[[#This Row],[Day]]="Saturday",SalesData[[#This Row],[Day]]="Sunday"),"Weekend","Weekday")</f>
        <v>Weekend</v>
      </c>
      <c r="AF2572" s="5">
        <f>IF(SalesData[[#This Row],[Contracts Offered]]=0,0,SalesData[[#This Row],[Contracts Signed]]/SalesData[[#This Row],[Contracts Offered]])</f>
        <v>0.16326530612244897</v>
      </c>
      <c r="AG2572" s="5">
        <f>IF(SalesData[[#This Row],[Customers Visited]]=0,0,SalesData[[#This Row],[Test Drives]]/SalesData[[#This Row],[Customers Visited]])</f>
        <v>0.5531400966183575</v>
      </c>
      <c r="AH2572" s="5">
        <f>IF(SalesData[[#This Row],[Customers Visited]]=0,0,SalesData[[#This Row],[Contracts Signed]]/SalesData[[#This Row],[Customers Visited]])</f>
        <v>5.7971014492753624E-2</v>
      </c>
      <c r="AI2572" s="6">
        <f>IF(SalesData[[#This Row],[Contracts Signed]]=0,0,SalesData[[#This Row],[Profit(€)]]/SalesData[[#This Row],[Contracts Signed]])</f>
        <v>3415</v>
      </c>
      <c r="AJ2572" s="5" t="str">
        <f>TRIM(CLEAN(SalesData[[#This Row],[Retailer]]))</f>
        <v>Ruhr Auto Plaza</v>
      </c>
    </row>
    <row r="2573" spans="1:36" ht="14.25" hidden="1" x14ac:dyDescent="0.2">
      <c r="A2573" t="s">
        <v>3669</v>
      </c>
      <c r="B2573" s="1">
        <v>46070</v>
      </c>
      <c r="C2573" t="s">
        <v>62</v>
      </c>
      <c r="D2573" t="s">
        <v>63</v>
      </c>
      <c r="E2573" t="s">
        <v>26</v>
      </c>
      <c r="F2573" t="s">
        <v>7649</v>
      </c>
      <c r="G2573" t="s">
        <v>55</v>
      </c>
      <c r="H2573" t="s">
        <v>55</v>
      </c>
      <c r="I2573" t="s">
        <v>116</v>
      </c>
      <c r="J2573" t="s">
        <v>203</v>
      </c>
      <c r="K2573" t="s">
        <v>78</v>
      </c>
      <c r="L2573" t="s">
        <v>67</v>
      </c>
      <c r="M2573" t="s">
        <v>68</v>
      </c>
      <c r="N2573" t="s">
        <v>48</v>
      </c>
      <c r="O2573" t="s">
        <v>70</v>
      </c>
      <c r="P2573" t="s">
        <v>58</v>
      </c>
      <c r="Q2573" t="s">
        <v>79</v>
      </c>
      <c r="R2573">
        <v>304</v>
      </c>
      <c r="S2573">
        <v>145</v>
      </c>
      <c r="T2573">
        <v>84</v>
      </c>
      <c r="U2573">
        <v>31</v>
      </c>
      <c r="V2573" t="s">
        <v>6716</v>
      </c>
      <c r="W2573">
        <v>24542</v>
      </c>
      <c r="X2573" t="s">
        <v>1874</v>
      </c>
      <c r="Y2573">
        <v>22746</v>
      </c>
      <c r="Z2573">
        <v>760802</v>
      </c>
      <c r="AA2573">
        <v>55676</v>
      </c>
      <c r="AB2573" t="str">
        <f>(VLOOKUP(SalesData[[#This Row],[Month Number]],Reference!C$5:E$16,2,FALSE))</f>
        <v>Feb</v>
      </c>
      <c r="AC2573">
        <f>MONTH(SalesData[[#This Row],[Date]])</f>
        <v>2</v>
      </c>
      <c r="AD2573">
        <f>Reference!F$4</f>
        <v>2026</v>
      </c>
      <c r="AE2573" t="str">
        <f>IF(OR(SalesData[[#This Row],[Day]]="Saturday",SalesData[[#This Row],[Day]]="Sunday"),"Weekend","Weekday")</f>
        <v>Weekday</v>
      </c>
      <c r="AF2573" s="5">
        <f>IF(SalesData[[#This Row],[Contracts Offered]]=0,0,SalesData[[#This Row],[Contracts Signed]]/SalesData[[#This Row],[Contracts Offered]])</f>
        <v>0.36904761904761907</v>
      </c>
      <c r="AG2573" s="5">
        <f>IF(SalesData[[#This Row],[Customers Visited]]=0,0,SalesData[[#This Row],[Test Drives]]/SalesData[[#This Row],[Customers Visited]])</f>
        <v>0.47697368421052633</v>
      </c>
      <c r="AH2573" s="5">
        <f>IF(SalesData[[#This Row],[Customers Visited]]=0,0,SalesData[[#This Row],[Contracts Signed]]/SalesData[[#This Row],[Customers Visited]])</f>
        <v>0.10197368421052631</v>
      </c>
      <c r="AI2573" s="6">
        <f>IF(SalesData[[#This Row],[Contracts Signed]]=0,0,SalesData[[#This Row],[Profit(€)]]/SalesData[[#This Row],[Contracts Signed]])</f>
        <v>1796</v>
      </c>
      <c r="AJ2573" s="5" t="str">
        <f>TRIM(CLEAN(SalesData[[#This Row],[Retailer]]))</f>
        <v>Autohaus Berlin</v>
      </c>
    </row>
    <row r="2574" spans="1:36" ht="14.25" x14ac:dyDescent="0.2">
      <c r="A2574" t="s">
        <v>3670</v>
      </c>
      <c r="B2574" s="1">
        <v>46074</v>
      </c>
      <c r="C2574" t="s">
        <v>62</v>
      </c>
      <c r="D2574" t="s">
        <v>151</v>
      </c>
      <c r="E2574" t="s">
        <v>42</v>
      </c>
      <c r="F2574" t="s">
        <v>127</v>
      </c>
      <c r="G2574" t="s">
        <v>128</v>
      </c>
      <c r="H2574" t="s">
        <v>103</v>
      </c>
      <c r="I2574" t="s">
        <v>30</v>
      </c>
      <c r="J2574" t="s">
        <v>86</v>
      </c>
      <c r="K2574" t="s">
        <v>32</v>
      </c>
      <c r="L2574" t="s">
        <v>33</v>
      </c>
      <c r="M2574" t="s">
        <v>34</v>
      </c>
      <c r="N2574" t="s">
        <v>69</v>
      </c>
      <c r="O2574" t="s">
        <v>36</v>
      </c>
      <c r="P2574" t="s">
        <v>71</v>
      </c>
      <c r="Q2574" t="s">
        <v>240</v>
      </c>
      <c r="R2574">
        <v>145</v>
      </c>
      <c r="S2574">
        <v>88</v>
      </c>
      <c r="T2574">
        <v>67</v>
      </c>
      <c r="U2574">
        <v>23</v>
      </c>
      <c r="V2574" t="s">
        <v>6775</v>
      </c>
      <c r="W2574">
        <v>50272</v>
      </c>
      <c r="X2574" t="s">
        <v>7343</v>
      </c>
      <c r="Y2574">
        <v>38503</v>
      </c>
      <c r="Z2574">
        <v>1156256</v>
      </c>
      <c r="AA2574">
        <v>270687</v>
      </c>
      <c r="AB2574" t="str">
        <f>(VLOOKUP(SalesData[[#This Row],[Month Number]],Reference!C$5:E$16,2,FALSE))</f>
        <v>Feb</v>
      </c>
      <c r="AC2574">
        <f>MONTH(SalesData[[#This Row],[Date]])</f>
        <v>2</v>
      </c>
      <c r="AD2574">
        <f>Reference!F$4</f>
        <v>2026</v>
      </c>
      <c r="AE2574" t="str">
        <f>IF(OR(SalesData[[#This Row],[Day]]="Saturday",SalesData[[#This Row],[Day]]="Sunday"),"Weekend","Weekday")</f>
        <v>Weekend</v>
      </c>
      <c r="AF2574" s="5">
        <f>IF(SalesData[[#This Row],[Contracts Offered]]=0,0,SalesData[[#This Row],[Contracts Signed]]/SalesData[[#This Row],[Contracts Offered]])</f>
        <v>0.34328358208955223</v>
      </c>
      <c r="AG2574" s="5">
        <f>IF(SalesData[[#This Row],[Customers Visited]]=0,0,SalesData[[#This Row],[Test Drives]]/SalesData[[#This Row],[Customers Visited]])</f>
        <v>0.60689655172413792</v>
      </c>
      <c r="AH2574" s="5">
        <f>IF(SalesData[[#This Row],[Customers Visited]]=0,0,SalesData[[#This Row],[Contracts Signed]]/SalesData[[#This Row],[Customers Visited]])</f>
        <v>0.15862068965517243</v>
      </c>
      <c r="AI2574" s="6">
        <f>IF(SalesData[[#This Row],[Contracts Signed]]=0,0,SalesData[[#This Row],[Profit(€)]]/SalesData[[#This Row],[Contracts Signed]])</f>
        <v>11769</v>
      </c>
      <c r="AJ2574" s="5" t="str">
        <f>TRIM(CLEAN(SalesData[[#This Row],[Retailer]]))</f>
        <v>Rhein Auto Group</v>
      </c>
    </row>
    <row r="2575" spans="1:36" ht="14.25" hidden="1" x14ac:dyDescent="0.2">
      <c r="A2575" t="s">
        <v>3671</v>
      </c>
      <c r="B2575" s="1">
        <v>46080</v>
      </c>
      <c r="C2575" t="s">
        <v>53</v>
      </c>
      <c r="D2575" t="s">
        <v>54</v>
      </c>
      <c r="E2575" t="s">
        <v>26</v>
      </c>
      <c r="F2575" t="s">
        <v>101</v>
      </c>
      <c r="G2575" t="s">
        <v>102</v>
      </c>
      <c r="H2575" t="s">
        <v>103</v>
      </c>
      <c r="I2575" t="s">
        <v>64</v>
      </c>
      <c r="J2575" t="s">
        <v>65</v>
      </c>
      <c r="K2575" t="s">
        <v>32</v>
      </c>
      <c r="L2575" t="s">
        <v>33</v>
      </c>
      <c r="M2575" t="s">
        <v>87</v>
      </c>
      <c r="N2575" t="s">
        <v>35</v>
      </c>
      <c r="O2575" t="s">
        <v>36</v>
      </c>
      <c r="P2575" t="s">
        <v>71</v>
      </c>
      <c r="Q2575" t="s">
        <v>122</v>
      </c>
      <c r="R2575">
        <v>184</v>
      </c>
      <c r="S2575">
        <v>106</v>
      </c>
      <c r="T2575">
        <v>73</v>
      </c>
      <c r="U2575">
        <v>27</v>
      </c>
      <c r="V2575" t="s">
        <v>6799</v>
      </c>
      <c r="W2575">
        <v>62458</v>
      </c>
      <c r="X2575" t="s">
        <v>1632</v>
      </c>
      <c r="Y2575">
        <v>49221</v>
      </c>
      <c r="Z2575">
        <v>1686366</v>
      </c>
      <c r="AA2575">
        <v>357399</v>
      </c>
      <c r="AB2575" t="str">
        <f>(VLOOKUP(SalesData[[#This Row],[Month Number]],Reference!C$5:E$16,2,FALSE))</f>
        <v>Feb</v>
      </c>
      <c r="AC2575">
        <f>MONTH(SalesData[[#This Row],[Date]])</f>
        <v>2</v>
      </c>
      <c r="AD2575">
        <f>Reference!F$4</f>
        <v>2026</v>
      </c>
      <c r="AE2575" t="str">
        <f>IF(OR(SalesData[[#This Row],[Day]]="Saturday",SalesData[[#This Row],[Day]]="Sunday"),"Weekend","Weekday")</f>
        <v>Weekday</v>
      </c>
      <c r="AF2575" s="5">
        <f>IF(SalesData[[#This Row],[Contracts Offered]]=0,0,SalesData[[#This Row],[Contracts Signed]]/SalesData[[#This Row],[Contracts Offered]])</f>
        <v>0.36986301369863012</v>
      </c>
      <c r="AG2575" s="5">
        <f>IF(SalesData[[#This Row],[Customers Visited]]=0,0,SalesData[[#This Row],[Test Drives]]/SalesData[[#This Row],[Customers Visited]])</f>
        <v>0.57608695652173914</v>
      </c>
      <c r="AH2575" s="5">
        <f>IF(SalesData[[#This Row],[Customers Visited]]=0,0,SalesData[[#This Row],[Contracts Signed]]/SalesData[[#This Row],[Customers Visited]])</f>
        <v>0.14673913043478262</v>
      </c>
      <c r="AI2575" s="6">
        <f>IF(SalesData[[#This Row],[Contracts Signed]]=0,0,SalesData[[#This Row],[Profit(€)]]/SalesData[[#This Row],[Contracts Signed]])</f>
        <v>13237</v>
      </c>
      <c r="AJ2575" s="5" t="str">
        <f>TRIM(CLEAN(SalesData[[#This Row],[Retailer]]))</f>
        <v>Ruhr Auto Plaza</v>
      </c>
    </row>
    <row r="2576" spans="1:36" ht="14.25" hidden="1" x14ac:dyDescent="0.2">
      <c r="A2576" t="s">
        <v>3672</v>
      </c>
      <c r="B2576" s="1">
        <v>46069</v>
      </c>
      <c r="C2576" t="s">
        <v>62</v>
      </c>
      <c r="D2576" t="s">
        <v>25</v>
      </c>
      <c r="E2576" t="s">
        <v>26</v>
      </c>
      <c r="F2576" t="s">
        <v>27</v>
      </c>
      <c r="G2576" t="s">
        <v>28</v>
      </c>
      <c r="H2576" t="s">
        <v>29</v>
      </c>
      <c r="I2576" t="s">
        <v>116</v>
      </c>
      <c r="J2576" t="s">
        <v>117</v>
      </c>
      <c r="K2576" t="s">
        <v>78</v>
      </c>
      <c r="L2576" t="s">
        <v>67</v>
      </c>
      <c r="M2576" t="s">
        <v>68</v>
      </c>
      <c r="N2576" t="s">
        <v>69</v>
      </c>
      <c r="O2576" t="s">
        <v>36</v>
      </c>
      <c r="P2576" t="s">
        <v>58</v>
      </c>
      <c r="Q2576" t="s">
        <v>38</v>
      </c>
      <c r="R2576">
        <v>326</v>
      </c>
      <c r="S2576">
        <v>147</v>
      </c>
      <c r="T2576">
        <v>87</v>
      </c>
      <c r="U2576">
        <v>26</v>
      </c>
      <c r="V2576" t="s">
        <v>3264</v>
      </c>
      <c r="W2576">
        <v>25402</v>
      </c>
      <c r="X2576" t="s">
        <v>7412</v>
      </c>
      <c r="Y2576">
        <v>23153</v>
      </c>
      <c r="Z2576">
        <v>660452</v>
      </c>
      <c r="AA2576">
        <v>58474</v>
      </c>
      <c r="AB2576" t="str">
        <f>(VLOOKUP(SalesData[[#This Row],[Month Number]],Reference!C$5:E$16,2,FALSE))</f>
        <v>Feb</v>
      </c>
      <c r="AC2576">
        <f>MONTH(SalesData[[#This Row],[Date]])</f>
        <v>2</v>
      </c>
      <c r="AD2576">
        <f>Reference!F$4</f>
        <v>2026</v>
      </c>
      <c r="AE2576" t="str">
        <f>IF(OR(SalesData[[#This Row],[Day]]="Saturday",SalesData[[#This Row],[Day]]="Sunday"),"Weekend","Weekday")</f>
        <v>Weekday</v>
      </c>
      <c r="AF2576" s="5">
        <f>IF(SalesData[[#This Row],[Contracts Offered]]=0,0,SalesData[[#This Row],[Contracts Signed]]/SalesData[[#This Row],[Contracts Offered]])</f>
        <v>0.2988505747126437</v>
      </c>
      <c r="AG2576" s="5">
        <f>IF(SalesData[[#This Row],[Customers Visited]]=0,0,SalesData[[#This Row],[Test Drives]]/SalesData[[#This Row],[Customers Visited]])</f>
        <v>0.45092024539877301</v>
      </c>
      <c r="AH2576" s="5">
        <f>IF(SalesData[[#This Row],[Customers Visited]]=0,0,SalesData[[#This Row],[Contracts Signed]]/SalesData[[#This Row],[Customers Visited]])</f>
        <v>7.9754601226993863E-2</v>
      </c>
      <c r="AI2576" s="6">
        <f>IF(SalesData[[#This Row],[Contracts Signed]]=0,0,SalesData[[#This Row],[Profit(€)]]/SalesData[[#This Row],[Contracts Signed]])</f>
        <v>2249</v>
      </c>
      <c r="AJ2576" s="5" t="str">
        <f>TRIM(CLEAN(SalesData[[#This Row],[Retailer]]))</f>
        <v>Main Auto Hub</v>
      </c>
    </row>
    <row r="2577" spans="1:36" ht="14.25" x14ac:dyDescent="0.2">
      <c r="A2577" t="s">
        <v>3673</v>
      </c>
      <c r="B2577" s="1">
        <v>46076</v>
      </c>
      <c r="C2577" t="s">
        <v>53</v>
      </c>
      <c r="D2577" t="s">
        <v>25</v>
      </c>
      <c r="E2577" t="s">
        <v>26</v>
      </c>
      <c r="F2577" t="s">
        <v>7649</v>
      </c>
      <c r="G2577" t="s">
        <v>55</v>
      </c>
      <c r="H2577" t="s">
        <v>55</v>
      </c>
      <c r="I2577" t="s">
        <v>30</v>
      </c>
      <c r="J2577" t="s">
        <v>7075</v>
      </c>
      <c r="K2577" t="s">
        <v>91</v>
      </c>
      <c r="L2577" t="s">
        <v>33</v>
      </c>
      <c r="M2577" t="s">
        <v>68</v>
      </c>
      <c r="N2577" t="s">
        <v>48</v>
      </c>
      <c r="O2577" t="s">
        <v>70</v>
      </c>
      <c r="P2577" t="s">
        <v>37</v>
      </c>
      <c r="Q2577" t="s">
        <v>144</v>
      </c>
      <c r="R2577">
        <v>217</v>
      </c>
      <c r="S2577">
        <v>123</v>
      </c>
      <c r="T2577">
        <v>92</v>
      </c>
      <c r="U2577">
        <v>33</v>
      </c>
      <c r="V2577" t="s">
        <v>7247</v>
      </c>
      <c r="W2577">
        <v>50684</v>
      </c>
      <c r="X2577" t="s">
        <v>7300</v>
      </c>
      <c r="Y2577">
        <v>39464</v>
      </c>
      <c r="Z2577">
        <v>1672572</v>
      </c>
      <c r="AA2577">
        <v>370260</v>
      </c>
      <c r="AB2577" t="str">
        <f>(VLOOKUP(SalesData[[#This Row],[Month Number]],Reference!C$5:E$16,2,FALSE))</f>
        <v>Feb</v>
      </c>
      <c r="AC2577">
        <f>MONTH(SalesData[[#This Row],[Date]])</f>
        <v>2</v>
      </c>
      <c r="AD2577">
        <f>Reference!F$4</f>
        <v>2026</v>
      </c>
      <c r="AE2577" t="str">
        <f>IF(OR(SalesData[[#This Row],[Day]]="Saturday",SalesData[[#This Row],[Day]]="Sunday"),"Weekend","Weekday")</f>
        <v>Weekday</v>
      </c>
      <c r="AF2577" s="5">
        <f>IF(SalesData[[#This Row],[Contracts Offered]]=0,0,SalesData[[#This Row],[Contracts Signed]]/SalesData[[#This Row],[Contracts Offered]])</f>
        <v>0.35869565217391303</v>
      </c>
      <c r="AG2577" s="5">
        <f>IF(SalesData[[#This Row],[Customers Visited]]=0,0,SalesData[[#This Row],[Test Drives]]/SalesData[[#This Row],[Customers Visited]])</f>
        <v>0.56682027649769584</v>
      </c>
      <c r="AH2577" s="5">
        <f>IF(SalesData[[#This Row],[Customers Visited]]=0,0,SalesData[[#This Row],[Contracts Signed]]/SalesData[[#This Row],[Customers Visited]])</f>
        <v>0.15207373271889402</v>
      </c>
      <c r="AI2577" s="6">
        <f>IF(SalesData[[#This Row],[Contracts Signed]]=0,0,SalesData[[#This Row],[Profit(€)]]/SalesData[[#This Row],[Contracts Signed]])</f>
        <v>11220</v>
      </c>
      <c r="AJ2577" s="5" t="str">
        <f>TRIM(CLEAN(SalesData[[#This Row],[Retailer]]))</f>
        <v>Autohaus Berlin</v>
      </c>
    </row>
    <row r="2578" spans="1:36" ht="14.25" x14ac:dyDescent="0.2">
      <c r="A2578" t="s">
        <v>3674</v>
      </c>
      <c r="B2578" s="1">
        <v>46054</v>
      </c>
      <c r="C2578" t="s">
        <v>24</v>
      </c>
      <c r="D2578" t="s">
        <v>41</v>
      </c>
      <c r="E2578" t="s">
        <v>42</v>
      </c>
      <c r="F2578" t="s">
        <v>83</v>
      </c>
      <c r="G2578" t="s">
        <v>84</v>
      </c>
      <c r="H2578" t="s">
        <v>85</v>
      </c>
      <c r="I2578" t="s">
        <v>30</v>
      </c>
      <c r="J2578" t="s">
        <v>86</v>
      </c>
      <c r="K2578" t="s">
        <v>66</v>
      </c>
      <c r="L2578" t="s">
        <v>33</v>
      </c>
      <c r="M2578" t="s">
        <v>47</v>
      </c>
      <c r="N2578" t="s">
        <v>48</v>
      </c>
      <c r="O2578" t="s">
        <v>36</v>
      </c>
      <c r="P2578" t="s">
        <v>49</v>
      </c>
      <c r="Q2578" t="s">
        <v>152</v>
      </c>
      <c r="R2578">
        <v>197</v>
      </c>
      <c r="S2578">
        <v>105</v>
      </c>
      <c r="T2578">
        <v>82</v>
      </c>
      <c r="U2578">
        <v>26</v>
      </c>
      <c r="V2578" t="s">
        <v>6834</v>
      </c>
      <c r="W2578">
        <v>56983</v>
      </c>
      <c r="X2578" t="s">
        <v>1764</v>
      </c>
      <c r="Y2578">
        <v>39984</v>
      </c>
      <c r="Z2578">
        <v>1481558</v>
      </c>
      <c r="AA2578">
        <v>441974</v>
      </c>
      <c r="AB2578" t="str">
        <f>(VLOOKUP(SalesData[[#This Row],[Month Number]],Reference!C$5:E$16,2,FALSE))</f>
        <v>Feb</v>
      </c>
      <c r="AC2578">
        <f>MONTH(SalesData[[#This Row],[Date]])</f>
        <v>2</v>
      </c>
      <c r="AD2578">
        <f>Reference!F$4</f>
        <v>2026</v>
      </c>
      <c r="AE2578" t="str">
        <f>IF(OR(SalesData[[#This Row],[Day]]="Saturday",SalesData[[#This Row],[Day]]="Sunday"),"Weekend","Weekday")</f>
        <v>Weekend</v>
      </c>
      <c r="AF2578" s="5">
        <f>IF(SalesData[[#This Row],[Contracts Offered]]=0,0,SalesData[[#This Row],[Contracts Signed]]/SalesData[[#This Row],[Contracts Offered]])</f>
        <v>0.31707317073170732</v>
      </c>
      <c r="AG2578" s="5">
        <f>IF(SalesData[[#This Row],[Customers Visited]]=0,0,SalesData[[#This Row],[Test Drives]]/SalesData[[#This Row],[Customers Visited]])</f>
        <v>0.53299492385786806</v>
      </c>
      <c r="AH2578" s="5">
        <f>IF(SalesData[[#This Row],[Customers Visited]]=0,0,SalesData[[#This Row],[Contracts Signed]]/SalesData[[#This Row],[Customers Visited]])</f>
        <v>0.13197969543147209</v>
      </c>
      <c r="AI2578" s="6">
        <f>IF(SalesData[[#This Row],[Contracts Signed]]=0,0,SalesData[[#This Row],[Profit(€)]]/SalesData[[#This Row],[Contracts Signed]])</f>
        <v>16999</v>
      </c>
      <c r="AJ2578" s="5" t="str">
        <f>TRIM(CLEAN(SalesData[[#This Row],[Retailer]]))</f>
        <v>Hannover Cars</v>
      </c>
    </row>
    <row r="2579" spans="1:36" ht="14.25" hidden="1" x14ac:dyDescent="0.2">
      <c r="A2579" t="s">
        <v>3675</v>
      </c>
      <c r="B2579" s="1">
        <v>46060</v>
      </c>
      <c r="C2579" t="s">
        <v>24</v>
      </c>
      <c r="D2579" t="s">
        <v>151</v>
      </c>
      <c r="E2579" t="s">
        <v>42</v>
      </c>
      <c r="F2579" t="s">
        <v>7649</v>
      </c>
      <c r="G2579" t="s">
        <v>55</v>
      </c>
      <c r="H2579" t="s">
        <v>55</v>
      </c>
      <c r="I2579" t="s">
        <v>64</v>
      </c>
      <c r="J2579" t="s">
        <v>65</v>
      </c>
      <c r="K2579" t="s">
        <v>66</v>
      </c>
      <c r="L2579" t="s">
        <v>33</v>
      </c>
      <c r="M2579" t="s">
        <v>34</v>
      </c>
      <c r="N2579" t="s">
        <v>48</v>
      </c>
      <c r="O2579" t="s">
        <v>70</v>
      </c>
      <c r="P2579" t="s">
        <v>49</v>
      </c>
      <c r="Q2579" t="s">
        <v>50</v>
      </c>
      <c r="R2579">
        <v>282</v>
      </c>
      <c r="S2579">
        <v>144</v>
      </c>
      <c r="T2579">
        <v>112</v>
      </c>
      <c r="U2579">
        <v>38</v>
      </c>
      <c r="V2579" t="s">
        <v>6784</v>
      </c>
      <c r="W2579">
        <v>56454</v>
      </c>
      <c r="X2579" t="s">
        <v>4802</v>
      </c>
      <c r="Y2579">
        <v>42031</v>
      </c>
      <c r="Z2579">
        <v>2145252</v>
      </c>
      <c r="AA2579">
        <v>548074</v>
      </c>
      <c r="AB2579" t="str">
        <f>(VLOOKUP(SalesData[[#This Row],[Month Number]],Reference!C$5:E$16,2,FALSE))</f>
        <v>Feb</v>
      </c>
      <c r="AC2579">
        <f>MONTH(SalesData[[#This Row],[Date]])</f>
        <v>2</v>
      </c>
      <c r="AD2579">
        <f>Reference!F$4</f>
        <v>2026</v>
      </c>
      <c r="AE2579" t="str">
        <f>IF(OR(SalesData[[#This Row],[Day]]="Saturday",SalesData[[#This Row],[Day]]="Sunday"),"Weekend","Weekday")</f>
        <v>Weekend</v>
      </c>
      <c r="AF2579" s="5">
        <f>IF(SalesData[[#This Row],[Contracts Offered]]=0,0,SalesData[[#This Row],[Contracts Signed]]/SalesData[[#This Row],[Contracts Offered]])</f>
        <v>0.3392857142857143</v>
      </c>
      <c r="AG2579" s="5">
        <f>IF(SalesData[[#This Row],[Customers Visited]]=0,0,SalesData[[#This Row],[Test Drives]]/SalesData[[#This Row],[Customers Visited]])</f>
        <v>0.51063829787234039</v>
      </c>
      <c r="AH2579" s="5">
        <f>IF(SalesData[[#This Row],[Customers Visited]]=0,0,SalesData[[#This Row],[Contracts Signed]]/SalesData[[#This Row],[Customers Visited]])</f>
        <v>0.13475177304964539</v>
      </c>
      <c r="AI2579" s="6">
        <f>IF(SalesData[[#This Row],[Contracts Signed]]=0,0,SalesData[[#This Row],[Profit(€)]]/SalesData[[#This Row],[Contracts Signed]])</f>
        <v>14423</v>
      </c>
      <c r="AJ2579" s="5" t="str">
        <f>TRIM(CLEAN(SalesData[[#This Row],[Retailer]]))</f>
        <v>Autohaus Berlin</v>
      </c>
    </row>
    <row r="2580" spans="1:36" ht="14.25" hidden="1" x14ac:dyDescent="0.2">
      <c r="A2580" t="s">
        <v>3676</v>
      </c>
      <c r="B2580" s="1">
        <v>46058</v>
      </c>
      <c r="C2580" t="s">
        <v>24</v>
      </c>
      <c r="D2580" t="s">
        <v>100</v>
      </c>
      <c r="E2580" t="s">
        <v>26</v>
      </c>
      <c r="F2580" t="s">
        <v>94</v>
      </c>
      <c r="G2580" t="s">
        <v>95</v>
      </c>
      <c r="H2580" t="s">
        <v>96</v>
      </c>
      <c r="I2580" t="s">
        <v>104</v>
      </c>
      <c r="J2580" t="s">
        <v>105</v>
      </c>
      <c r="K2580" t="s">
        <v>78</v>
      </c>
      <c r="L2580" t="s">
        <v>33</v>
      </c>
      <c r="M2580" t="s">
        <v>87</v>
      </c>
      <c r="N2580" t="s">
        <v>69</v>
      </c>
      <c r="O2580" t="s">
        <v>70</v>
      </c>
      <c r="P2580" t="s">
        <v>58</v>
      </c>
      <c r="Q2580" t="s">
        <v>240</v>
      </c>
      <c r="R2580">
        <v>500</v>
      </c>
      <c r="S2580">
        <v>218</v>
      </c>
      <c r="T2580">
        <v>150</v>
      </c>
      <c r="U2580">
        <v>43</v>
      </c>
      <c r="V2580" t="s">
        <v>756</v>
      </c>
      <c r="W2580">
        <v>25989</v>
      </c>
      <c r="X2580" t="s">
        <v>1038</v>
      </c>
      <c r="Y2580">
        <v>22727</v>
      </c>
      <c r="Z2580">
        <v>1117527</v>
      </c>
      <c r="AA2580">
        <v>140266</v>
      </c>
      <c r="AB2580" t="str">
        <f>(VLOOKUP(SalesData[[#This Row],[Month Number]],Reference!C$5:E$16,2,FALSE))</f>
        <v>Feb</v>
      </c>
      <c r="AC2580">
        <f>MONTH(SalesData[[#This Row],[Date]])</f>
        <v>2</v>
      </c>
      <c r="AD2580">
        <f>Reference!F$4</f>
        <v>2026</v>
      </c>
      <c r="AE2580" t="str">
        <f>IF(OR(SalesData[[#This Row],[Day]]="Saturday",SalesData[[#This Row],[Day]]="Sunday"),"Weekend","Weekday")</f>
        <v>Weekday</v>
      </c>
      <c r="AF2580" s="5">
        <f>IF(SalesData[[#This Row],[Contracts Offered]]=0,0,SalesData[[#This Row],[Contracts Signed]]/SalesData[[#This Row],[Contracts Offered]])</f>
        <v>0.28666666666666668</v>
      </c>
      <c r="AG2580" s="5">
        <f>IF(SalesData[[#This Row],[Customers Visited]]=0,0,SalesData[[#This Row],[Test Drives]]/SalesData[[#This Row],[Customers Visited]])</f>
        <v>0.436</v>
      </c>
      <c r="AH2580" s="5">
        <f>IF(SalesData[[#This Row],[Customers Visited]]=0,0,SalesData[[#This Row],[Contracts Signed]]/SalesData[[#This Row],[Customers Visited]])</f>
        <v>8.5999999999999993E-2</v>
      </c>
      <c r="AI2580" s="6">
        <f>IF(SalesData[[#This Row],[Contracts Signed]]=0,0,SalesData[[#This Row],[Profit(€)]]/SalesData[[#This Row],[Contracts Signed]])</f>
        <v>3262</v>
      </c>
      <c r="AJ2580" s="5" t="str">
        <f>TRIM(CLEAN(SalesData[[#This Row],[Retailer]]))</f>
        <v>Bavaria Motors</v>
      </c>
    </row>
    <row r="2581" spans="1:36" ht="14.25" hidden="1" x14ac:dyDescent="0.2">
      <c r="A2581" t="s">
        <v>3677</v>
      </c>
      <c r="B2581" s="1">
        <v>46054</v>
      </c>
      <c r="C2581" t="s">
        <v>24</v>
      </c>
      <c r="D2581" t="s">
        <v>41</v>
      </c>
      <c r="E2581" t="s">
        <v>42</v>
      </c>
      <c r="F2581" t="s">
        <v>94</v>
      </c>
      <c r="G2581" t="s">
        <v>95</v>
      </c>
      <c r="H2581" t="s">
        <v>96</v>
      </c>
      <c r="I2581" t="s">
        <v>104</v>
      </c>
      <c r="J2581" t="s">
        <v>105</v>
      </c>
      <c r="K2581" t="s">
        <v>91</v>
      </c>
      <c r="L2581" t="s">
        <v>33</v>
      </c>
      <c r="M2581" t="s">
        <v>47</v>
      </c>
      <c r="N2581" t="s">
        <v>69</v>
      </c>
      <c r="O2581" t="s">
        <v>70</v>
      </c>
      <c r="P2581" t="s">
        <v>49</v>
      </c>
      <c r="Q2581" t="s">
        <v>169</v>
      </c>
      <c r="R2581">
        <v>342</v>
      </c>
      <c r="S2581">
        <v>192</v>
      </c>
      <c r="T2581">
        <v>123</v>
      </c>
      <c r="U2581">
        <v>28</v>
      </c>
      <c r="V2581" t="s">
        <v>661</v>
      </c>
      <c r="W2581">
        <v>25277</v>
      </c>
      <c r="X2581" t="s">
        <v>979</v>
      </c>
      <c r="Y2581">
        <v>22007</v>
      </c>
      <c r="Z2581">
        <v>707756</v>
      </c>
      <c r="AA2581">
        <v>91560</v>
      </c>
      <c r="AB2581" t="str">
        <f>(VLOOKUP(SalesData[[#This Row],[Month Number]],Reference!C$5:E$16,2,FALSE))</f>
        <v>Feb</v>
      </c>
      <c r="AC2581">
        <f>MONTH(SalesData[[#This Row],[Date]])</f>
        <v>2</v>
      </c>
      <c r="AD2581">
        <f>Reference!F$4</f>
        <v>2026</v>
      </c>
      <c r="AE2581" t="str">
        <f>IF(OR(SalesData[[#This Row],[Day]]="Saturday",SalesData[[#This Row],[Day]]="Sunday"),"Weekend","Weekday")</f>
        <v>Weekend</v>
      </c>
      <c r="AF2581" s="5">
        <f>IF(SalesData[[#This Row],[Contracts Offered]]=0,0,SalesData[[#This Row],[Contracts Signed]]/SalesData[[#This Row],[Contracts Offered]])</f>
        <v>0.22764227642276422</v>
      </c>
      <c r="AG2581" s="5">
        <f>IF(SalesData[[#This Row],[Customers Visited]]=0,0,SalesData[[#This Row],[Test Drives]]/SalesData[[#This Row],[Customers Visited]])</f>
        <v>0.56140350877192979</v>
      </c>
      <c r="AH2581" s="5">
        <f>IF(SalesData[[#This Row],[Customers Visited]]=0,0,SalesData[[#This Row],[Contracts Signed]]/SalesData[[#This Row],[Customers Visited]])</f>
        <v>8.1871345029239762E-2</v>
      </c>
      <c r="AI2581" s="6">
        <f>IF(SalesData[[#This Row],[Contracts Signed]]=0,0,SalesData[[#This Row],[Profit(€)]]/SalesData[[#This Row],[Contracts Signed]])</f>
        <v>3270</v>
      </c>
      <c r="AJ2581" s="5" t="str">
        <f>TRIM(CLEAN(SalesData[[#This Row],[Retailer]]))</f>
        <v>Bavaria Motors</v>
      </c>
    </row>
    <row r="2582" spans="1:36" ht="14.25" hidden="1" x14ac:dyDescent="0.2">
      <c r="A2582" t="s">
        <v>3678</v>
      </c>
      <c r="B2582" s="1">
        <v>46064</v>
      </c>
      <c r="C2582" t="s">
        <v>121</v>
      </c>
      <c r="D2582" t="s">
        <v>82</v>
      </c>
      <c r="E2582" t="s">
        <v>26</v>
      </c>
      <c r="F2582" t="s">
        <v>43</v>
      </c>
      <c r="G2582" t="s">
        <v>44</v>
      </c>
      <c r="H2582" t="s">
        <v>45</v>
      </c>
      <c r="I2582" t="s">
        <v>56</v>
      </c>
      <c r="J2582" t="s">
        <v>97</v>
      </c>
      <c r="K2582" t="s">
        <v>91</v>
      </c>
      <c r="L2582" t="s">
        <v>33</v>
      </c>
      <c r="M2582" t="s">
        <v>68</v>
      </c>
      <c r="N2582" t="s">
        <v>69</v>
      </c>
      <c r="O2582" t="s">
        <v>70</v>
      </c>
      <c r="P2582" t="s">
        <v>58</v>
      </c>
      <c r="Q2582" t="s">
        <v>88</v>
      </c>
      <c r="R2582">
        <v>160</v>
      </c>
      <c r="S2582">
        <v>91</v>
      </c>
      <c r="T2582">
        <v>64</v>
      </c>
      <c r="U2582">
        <v>23</v>
      </c>
      <c r="V2582" t="s">
        <v>6448</v>
      </c>
      <c r="W2582">
        <v>55286</v>
      </c>
      <c r="X2582" t="s">
        <v>7169</v>
      </c>
      <c r="Y2582">
        <v>42958</v>
      </c>
      <c r="Z2582">
        <v>1271578</v>
      </c>
      <c r="AA2582">
        <v>283544</v>
      </c>
      <c r="AB2582" t="str">
        <f>(VLOOKUP(SalesData[[#This Row],[Month Number]],Reference!C$5:E$16,2,FALSE))</f>
        <v>Feb</v>
      </c>
      <c r="AC2582">
        <f>MONTH(SalesData[[#This Row],[Date]])</f>
        <v>2</v>
      </c>
      <c r="AD2582">
        <f>Reference!F$4</f>
        <v>2026</v>
      </c>
      <c r="AE2582" t="str">
        <f>IF(OR(SalesData[[#This Row],[Day]]="Saturday",SalesData[[#This Row],[Day]]="Sunday"),"Weekend","Weekday")</f>
        <v>Weekday</v>
      </c>
      <c r="AF2582" s="5">
        <f>IF(SalesData[[#This Row],[Contracts Offered]]=0,0,SalesData[[#This Row],[Contracts Signed]]/SalesData[[#This Row],[Contracts Offered]])</f>
        <v>0.359375</v>
      </c>
      <c r="AG2582" s="5">
        <f>IF(SalesData[[#This Row],[Customers Visited]]=0,0,SalesData[[#This Row],[Test Drives]]/SalesData[[#This Row],[Customers Visited]])</f>
        <v>0.56874999999999998</v>
      </c>
      <c r="AH2582" s="5">
        <f>IF(SalesData[[#This Row],[Customers Visited]]=0,0,SalesData[[#This Row],[Contracts Signed]]/SalesData[[#This Row],[Customers Visited]])</f>
        <v>0.14374999999999999</v>
      </c>
      <c r="AI2582" s="6">
        <f>IF(SalesData[[#This Row],[Contracts Signed]]=0,0,SalesData[[#This Row],[Profit(€)]]/SalesData[[#This Row],[Contracts Signed]])</f>
        <v>12328</v>
      </c>
      <c r="AJ2582" s="5" t="str">
        <f>TRIM(CLEAN(SalesData[[#This Row],[Retailer]]))</f>
        <v>Saxon Wheels</v>
      </c>
    </row>
    <row r="2583" spans="1:36" ht="14.25" hidden="1" x14ac:dyDescent="0.2">
      <c r="A2583" t="s">
        <v>3679</v>
      </c>
      <c r="B2583" s="1">
        <v>46075</v>
      </c>
      <c r="C2583" t="s">
        <v>53</v>
      </c>
      <c r="D2583" t="s">
        <v>41</v>
      </c>
      <c r="E2583" t="s">
        <v>42</v>
      </c>
      <c r="F2583" t="s">
        <v>114</v>
      </c>
      <c r="G2583" t="s">
        <v>115</v>
      </c>
      <c r="H2583" t="s">
        <v>115</v>
      </c>
      <c r="I2583" t="s">
        <v>64</v>
      </c>
      <c r="J2583" t="s">
        <v>7029</v>
      </c>
      <c r="K2583" t="s">
        <v>78</v>
      </c>
      <c r="L2583" t="s">
        <v>33</v>
      </c>
      <c r="M2583" t="s">
        <v>68</v>
      </c>
      <c r="N2583" t="s">
        <v>69</v>
      </c>
      <c r="O2583" t="s">
        <v>70</v>
      </c>
      <c r="P2583" t="s">
        <v>58</v>
      </c>
      <c r="Q2583" t="s">
        <v>129</v>
      </c>
      <c r="R2583">
        <v>282</v>
      </c>
      <c r="S2583">
        <v>160</v>
      </c>
      <c r="T2583">
        <v>114</v>
      </c>
      <c r="U2583">
        <v>41</v>
      </c>
      <c r="V2583" t="s">
        <v>6598</v>
      </c>
      <c r="W2583">
        <v>63380</v>
      </c>
      <c r="X2583" t="s">
        <v>1764</v>
      </c>
      <c r="Y2583">
        <v>45830</v>
      </c>
      <c r="Z2583">
        <v>2598580</v>
      </c>
      <c r="AA2583">
        <v>719550</v>
      </c>
      <c r="AB2583" t="str">
        <f>(VLOOKUP(SalesData[[#This Row],[Month Number]],Reference!C$5:E$16,2,FALSE))</f>
        <v>Feb</v>
      </c>
      <c r="AC2583">
        <f>MONTH(SalesData[[#This Row],[Date]])</f>
        <v>2</v>
      </c>
      <c r="AD2583">
        <f>Reference!F$4</f>
        <v>2026</v>
      </c>
      <c r="AE2583" t="str">
        <f>IF(OR(SalesData[[#This Row],[Day]]="Saturday",SalesData[[#This Row],[Day]]="Sunday"),"Weekend","Weekday")</f>
        <v>Weekend</v>
      </c>
      <c r="AF2583" s="5">
        <f>IF(SalesData[[#This Row],[Contracts Offered]]=0,0,SalesData[[#This Row],[Contracts Signed]]/SalesData[[#This Row],[Contracts Offered]])</f>
        <v>0.35964912280701755</v>
      </c>
      <c r="AG2583" s="5">
        <f>IF(SalesData[[#This Row],[Customers Visited]]=0,0,SalesData[[#This Row],[Test Drives]]/SalesData[[#This Row],[Customers Visited]])</f>
        <v>0.56737588652482274</v>
      </c>
      <c r="AH2583" s="5">
        <f>IF(SalesData[[#This Row],[Customers Visited]]=0,0,SalesData[[#This Row],[Contracts Signed]]/SalesData[[#This Row],[Customers Visited]])</f>
        <v>0.1453900709219858</v>
      </c>
      <c r="AI2583" s="6">
        <f>IF(SalesData[[#This Row],[Contracts Signed]]=0,0,SalesData[[#This Row],[Profit(€)]]/SalesData[[#This Row],[Contracts Signed]])</f>
        <v>17550</v>
      </c>
      <c r="AJ2583" s="5" t="str">
        <f>TRIM(CLEAN(SalesData[[#This Row],[Retailer]]))</f>
        <v>Elbe Drive</v>
      </c>
    </row>
    <row r="2584" spans="1:36" ht="14.25" hidden="1" x14ac:dyDescent="0.2">
      <c r="A2584" t="s">
        <v>3680</v>
      </c>
      <c r="B2584" s="1">
        <v>46069</v>
      </c>
      <c r="C2584" t="s">
        <v>62</v>
      </c>
      <c r="D2584" t="s">
        <v>25</v>
      </c>
      <c r="E2584" t="s">
        <v>26</v>
      </c>
      <c r="F2584" t="s">
        <v>101</v>
      </c>
      <c r="G2584" t="s">
        <v>102</v>
      </c>
      <c r="H2584" t="s">
        <v>103</v>
      </c>
      <c r="I2584" t="s">
        <v>116</v>
      </c>
      <c r="J2584" t="s">
        <v>117</v>
      </c>
      <c r="K2584" t="s">
        <v>78</v>
      </c>
      <c r="L2584" t="s">
        <v>67</v>
      </c>
      <c r="M2584" t="s">
        <v>87</v>
      </c>
      <c r="N2584" t="s">
        <v>35</v>
      </c>
      <c r="O2584" t="s">
        <v>70</v>
      </c>
      <c r="P2584" t="s">
        <v>71</v>
      </c>
      <c r="Q2584" t="s">
        <v>144</v>
      </c>
      <c r="R2584">
        <v>411</v>
      </c>
      <c r="S2584">
        <v>169</v>
      </c>
      <c r="T2584">
        <v>105</v>
      </c>
      <c r="U2584">
        <v>21</v>
      </c>
      <c r="V2584" t="s">
        <v>1808</v>
      </c>
      <c r="W2584">
        <v>21704</v>
      </c>
      <c r="X2584" t="s">
        <v>2033</v>
      </c>
      <c r="Y2584">
        <v>20127</v>
      </c>
      <c r="Z2584">
        <v>455784</v>
      </c>
      <c r="AA2584">
        <v>33117</v>
      </c>
      <c r="AB2584" t="str">
        <f>(VLOOKUP(SalesData[[#This Row],[Month Number]],Reference!C$5:E$16,2,FALSE))</f>
        <v>Feb</v>
      </c>
      <c r="AC2584">
        <f>MONTH(SalesData[[#This Row],[Date]])</f>
        <v>2</v>
      </c>
      <c r="AD2584">
        <f>Reference!F$4</f>
        <v>2026</v>
      </c>
      <c r="AE2584" t="str">
        <f>IF(OR(SalesData[[#This Row],[Day]]="Saturday",SalesData[[#This Row],[Day]]="Sunday"),"Weekend","Weekday")</f>
        <v>Weekday</v>
      </c>
      <c r="AF2584" s="5">
        <f>IF(SalesData[[#This Row],[Contracts Offered]]=0,0,SalesData[[#This Row],[Contracts Signed]]/SalesData[[#This Row],[Contracts Offered]])</f>
        <v>0.2</v>
      </c>
      <c r="AG2584" s="5">
        <f>IF(SalesData[[#This Row],[Customers Visited]]=0,0,SalesData[[#This Row],[Test Drives]]/SalesData[[#This Row],[Customers Visited]])</f>
        <v>0.41119221411192214</v>
      </c>
      <c r="AH2584" s="5">
        <f>IF(SalesData[[#This Row],[Customers Visited]]=0,0,SalesData[[#This Row],[Contracts Signed]]/SalesData[[#This Row],[Customers Visited]])</f>
        <v>5.1094890510948905E-2</v>
      </c>
      <c r="AI2584" s="6">
        <f>IF(SalesData[[#This Row],[Contracts Signed]]=0,0,SalesData[[#This Row],[Profit(€)]]/SalesData[[#This Row],[Contracts Signed]])</f>
        <v>1577</v>
      </c>
      <c r="AJ2584" s="5" t="str">
        <f>TRIM(CLEAN(SalesData[[#This Row],[Retailer]]))</f>
        <v>Ruhr Auto Plaza</v>
      </c>
    </row>
    <row r="2585" spans="1:36" ht="14.25" hidden="1" x14ac:dyDescent="0.2">
      <c r="A2585" t="s">
        <v>3681</v>
      </c>
      <c r="B2585" s="1">
        <v>46071</v>
      </c>
      <c r="C2585" t="s">
        <v>62</v>
      </c>
      <c r="D2585" t="s">
        <v>82</v>
      </c>
      <c r="E2585" t="s">
        <v>26</v>
      </c>
      <c r="F2585" t="s">
        <v>83</v>
      </c>
      <c r="G2585" t="s">
        <v>84</v>
      </c>
      <c r="H2585" t="s">
        <v>85</v>
      </c>
      <c r="I2585" t="s">
        <v>64</v>
      </c>
      <c r="J2585" t="s">
        <v>157</v>
      </c>
      <c r="K2585" t="s">
        <v>32</v>
      </c>
      <c r="L2585" t="s">
        <v>33</v>
      </c>
      <c r="M2585" t="s">
        <v>87</v>
      </c>
      <c r="N2585" t="s">
        <v>35</v>
      </c>
      <c r="O2585" t="s">
        <v>70</v>
      </c>
      <c r="P2585" t="s">
        <v>71</v>
      </c>
      <c r="Q2585" t="s">
        <v>50</v>
      </c>
      <c r="R2585">
        <v>266</v>
      </c>
      <c r="S2585">
        <v>135</v>
      </c>
      <c r="T2585">
        <v>102</v>
      </c>
      <c r="U2585">
        <v>36</v>
      </c>
      <c r="V2585" t="s">
        <v>6388</v>
      </c>
      <c r="W2585">
        <v>64208</v>
      </c>
      <c r="X2585" t="s">
        <v>7113</v>
      </c>
      <c r="Y2585">
        <v>46783</v>
      </c>
      <c r="Z2585">
        <v>2311488</v>
      </c>
      <c r="AA2585">
        <v>627300</v>
      </c>
      <c r="AB2585" t="str">
        <f>(VLOOKUP(SalesData[[#This Row],[Month Number]],Reference!C$5:E$16,2,FALSE))</f>
        <v>Feb</v>
      </c>
      <c r="AC2585">
        <f>MONTH(SalesData[[#This Row],[Date]])</f>
        <v>2</v>
      </c>
      <c r="AD2585">
        <f>Reference!F$4</f>
        <v>2026</v>
      </c>
      <c r="AE2585" t="str">
        <f>IF(OR(SalesData[[#This Row],[Day]]="Saturday",SalesData[[#This Row],[Day]]="Sunday"),"Weekend","Weekday")</f>
        <v>Weekday</v>
      </c>
      <c r="AF2585" s="5">
        <f>IF(SalesData[[#This Row],[Contracts Offered]]=0,0,SalesData[[#This Row],[Contracts Signed]]/SalesData[[#This Row],[Contracts Offered]])</f>
        <v>0.35294117647058826</v>
      </c>
      <c r="AG2585" s="5">
        <f>IF(SalesData[[#This Row],[Customers Visited]]=0,0,SalesData[[#This Row],[Test Drives]]/SalesData[[#This Row],[Customers Visited]])</f>
        <v>0.50751879699248126</v>
      </c>
      <c r="AH2585" s="5">
        <f>IF(SalesData[[#This Row],[Customers Visited]]=0,0,SalesData[[#This Row],[Contracts Signed]]/SalesData[[#This Row],[Customers Visited]])</f>
        <v>0.13533834586466165</v>
      </c>
      <c r="AI2585" s="6">
        <f>IF(SalesData[[#This Row],[Contracts Signed]]=0,0,SalesData[[#This Row],[Profit(€)]]/SalesData[[#This Row],[Contracts Signed]])</f>
        <v>17425</v>
      </c>
      <c r="AJ2585" s="5" t="str">
        <f>TRIM(CLEAN(SalesData[[#This Row],[Retailer]]))</f>
        <v>Hannover Cars</v>
      </c>
    </row>
    <row r="2586" spans="1:36" ht="14.25" hidden="1" x14ac:dyDescent="0.2">
      <c r="A2586" t="s">
        <v>3682</v>
      </c>
      <c r="B2586" s="1">
        <v>46054</v>
      </c>
      <c r="C2586" t="s">
        <v>24</v>
      </c>
      <c r="D2586" t="s">
        <v>41</v>
      </c>
      <c r="E2586" t="s">
        <v>42</v>
      </c>
      <c r="F2586" t="s">
        <v>27</v>
      </c>
      <c r="G2586" t="s">
        <v>28</v>
      </c>
      <c r="H2586" t="s">
        <v>29</v>
      </c>
      <c r="I2586" t="s">
        <v>64</v>
      </c>
      <c r="J2586" t="s">
        <v>111</v>
      </c>
      <c r="K2586" t="s">
        <v>32</v>
      </c>
      <c r="L2586" t="s">
        <v>46</v>
      </c>
      <c r="M2586" t="s">
        <v>68</v>
      </c>
      <c r="N2586" t="s">
        <v>69</v>
      </c>
      <c r="O2586" t="s">
        <v>36</v>
      </c>
      <c r="P2586" t="s">
        <v>58</v>
      </c>
      <c r="Q2586" t="s">
        <v>158</v>
      </c>
      <c r="R2586">
        <v>167</v>
      </c>
      <c r="S2586">
        <v>95</v>
      </c>
      <c r="T2586">
        <v>67</v>
      </c>
      <c r="U2586">
        <v>28</v>
      </c>
      <c r="V2586" t="s">
        <v>6976</v>
      </c>
      <c r="W2586">
        <v>56883</v>
      </c>
      <c r="X2586" t="s">
        <v>7343</v>
      </c>
      <c r="Y2586">
        <v>41081</v>
      </c>
      <c r="Z2586">
        <v>1592724</v>
      </c>
      <c r="AA2586">
        <v>442456</v>
      </c>
      <c r="AB2586" t="str">
        <f>(VLOOKUP(SalesData[[#This Row],[Month Number]],Reference!C$5:E$16,2,FALSE))</f>
        <v>Feb</v>
      </c>
      <c r="AC2586">
        <f>MONTH(SalesData[[#This Row],[Date]])</f>
        <v>2</v>
      </c>
      <c r="AD2586">
        <f>Reference!F$4</f>
        <v>2026</v>
      </c>
      <c r="AE2586" t="str">
        <f>IF(OR(SalesData[[#This Row],[Day]]="Saturday",SalesData[[#This Row],[Day]]="Sunday"),"Weekend","Weekday")</f>
        <v>Weekend</v>
      </c>
      <c r="AF2586" s="5">
        <f>IF(SalesData[[#This Row],[Contracts Offered]]=0,0,SalesData[[#This Row],[Contracts Signed]]/SalesData[[#This Row],[Contracts Offered]])</f>
        <v>0.41791044776119401</v>
      </c>
      <c r="AG2586" s="5">
        <f>IF(SalesData[[#This Row],[Customers Visited]]=0,0,SalesData[[#This Row],[Test Drives]]/SalesData[[#This Row],[Customers Visited]])</f>
        <v>0.56886227544910184</v>
      </c>
      <c r="AH2586" s="5">
        <f>IF(SalesData[[#This Row],[Customers Visited]]=0,0,SalesData[[#This Row],[Contracts Signed]]/SalesData[[#This Row],[Customers Visited]])</f>
        <v>0.16766467065868262</v>
      </c>
      <c r="AI2586" s="6">
        <f>IF(SalesData[[#This Row],[Contracts Signed]]=0,0,SalesData[[#This Row],[Profit(€)]]/SalesData[[#This Row],[Contracts Signed]])</f>
        <v>15802</v>
      </c>
      <c r="AJ2586" s="5" t="str">
        <f>TRIM(CLEAN(SalesData[[#This Row],[Retailer]]))</f>
        <v>Main Auto Hub</v>
      </c>
    </row>
    <row r="2587" spans="1:36" ht="14.25" hidden="1" x14ac:dyDescent="0.2">
      <c r="A2587" t="s">
        <v>3683</v>
      </c>
      <c r="B2587" s="1">
        <v>46075</v>
      </c>
      <c r="C2587" t="s">
        <v>53</v>
      </c>
      <c r="D2587" t="s">
        <v>41</v>
      </c>
      <c r="E2587" t="s">
        <v>42</v>
      </c>
      <c r="F2587" t="s">
        <v>127</v>
      </c>
      <c r="G2587" t="s">
        <v>128</v>
      </c>
      <c r="H2587" t="s">
        <v>103</v>
      </c>
      <c r="I2587" t="s">
        <v>64</v>
      </c>
      <c r="J2587" t="s">
        <v>7029</v>
      </c>
      <c r="K2587" t="s">
        <v>78</v>
      </c>
      <c r="L2587" t="s">
        <v>33</v>
      </c>
      <c r="M2587" t="s">
        <v>68</v>
      </c>
      <c r="N2587" t="s">
        <v>35</v>
      </c>
      <c r="O2587" t="s">
        <v>36</v>
      </c>
      <c r="P2587" t="s">
        <v>71</v>
      </c>
      <c r="Q2587" t="s">
        <v>59</v>
      </c>
      <c r="R2587">
        <v>185</v>
      </c>
      <c r="S2587">
        <v>107</v>
      </c>
      <c r="T2587">
        <v>72</v>
      </c>
      <c r="U2587">
        <v>26</v>
      </c>
      <c r="V2587" t="s">
        <v>6932</v>
      </c>
      <c r="W2587">
        <v>59574</v>
      </c>
      <c r="X2587" t="s">
        <v>476</v>
      </c>
      <c r="Y2587">
        <v>46384</v>
      </c>
      <c r="Z2587">
        <v>1548924</v>
      </c>
      <c r="AA2587">
        <v>342940</v>
      </c>
      <c r="AB2587" t="str">
        <f>(VLOOKUP(SalesData[[#This Row],[Month Number]],Reference!C$5:E$16,2,FALSE))</f>
        <v>Feb</v>
      </c>
      <c r="AC2587">
        <f>MONTH(SalesData[[#This Row],[Date]])</f>
        <v>2</v>
      </c>
      <c r="AD2587">
        <f>Reference!F$4</f>
        <v>2026</v>
      </c>
      <c r="AE2587" t="str">
        <f>IF(OR(SalesData[[#This Row],[Day]]="Saturday",SalesData[[#This Row],[Day]]="Sunday"),"Weekend","Weekday")</f>
        <v>Weekend</v>
      </c>
      <c r="AF2587" s="5">
        <f>IF(SalesData[[#This Row],[Contracts Offered]]=0,0,SalesData[[#This Row],[Contracts Signed]]/SalesData[[#This Row],[Contracts Offered]])</f>
        <v>0.3611111111111111</v>
      </c>
      <c r="AG2587" s="5">
        <f>IF(SalesData[[#This Row],[Customers Visited]]=0,0,SalesData[[#This Row],[Test Drives]]/SalesData[[#This Row],[Customers Visited]])</f>
        <v>0.57837837837837835</v>
      </c>
      <c r="AH2587" s="5">
        <f>IF(SalesData[[#This Row],[Customers Visited]]=0,0,SalesData[[#This Row],[Contracts Signed]]/SalesData[[#This Row],[Customers Visited]])</f>
        <v>0.14054054054054055</v>
      </c>
      <c r="AI2587" s="6">
        <f>IF(SalesData[[#This Row],[Contracts Signed]]=0,0,SalesData[[#This Row],[Profit(€)]]/SalesData[[#This Row],[Contracts Signed]])</f>
        <v>13190</v>
      </c>
      <c r="AJ2587" s="5" t="str">
        <f>TRIM(CLEAN(SalesData[[#This Row],[Retailer]]))</f>
        <v>Rhein Auto Group</v>
      </c>
    </row>
    <row r="2588" spans="1:36" ht="14.25" hidden="1" x14ac:dyDescent="0.2">
      <c r="A2588" t="s">
        <v>3684</v>
      </c>
      <c r="B2588" s="1">
        <v>46063</v>
      </c>
      <c r="C2588" t="s">
        <v>121</v>
      </c>
      <c r="D2588" t="s">
        <v>63</v>
      </c>
      <c r="E2588" t="s">
        <v>26</v>
      </c>
      <c r="F2588" t="s">
        <v>101</v>
      </c>
      <c r="G2588" t="s">
        <v>102</v>
      </c>
      <c r="H2588" t="s">
        <v>103</v>
      </c>
      <c r="I2588" t="s">
        <v>64</v>
      </c>
      <c r="J2588" t="s">
        <v>65</v>
      </c>
      <c r="K2588" t="s">
        <v>78</v>
      </c>
      <c r="L2588" t="s">
        <v>33</v>
      </c>
      <c r="M2588" t="s">
        <v>34</v>
      </c>
      <c r="N2588" t="s">
        <v>35</v>
      </c>
      <c r="O2588" t="s">
        <v>36</v>
      </c>
      <c r="P2588" t="s">
        <v>71</v>
      </c>
      <c r="Q2588" t="s">
        <v>59</v>
      </c>
      <c r="R2588">
        <v>148</v>
      </c>
      <c r="S2588">
        <v>75</v>
      </c>
      <c r="T2588">
        <v>56</v>
      </c>
      <c r="U2588">
        <v>19</v>
      </c>
      <c r="V2588" t="s">
        <v>6392</v>
      </c>
      <c r="W2588">
        <v>51371</v>
      </c>
      <c r="X2588" t="s">
        <v>7220</v>
      </c>
      <c r="Y2588">
        <v>39933</v>
      </c>
      <c r="Z2588">
        <v>976049</v>
      </c>
      <c r="AA2588">
        <v>217322</v>
      </c>
      <c r="AB2588" t="str">
        <f>(VLOOKUP(SalesData[[#This Row],[Month Number]],Reference!C$5:E$16,2,FALSE))</f>
        <v>Feb</v>
      </c>
      <c r="AC2588">
        <f>MONTH(SalesData[[#This Row],[Date]])</f>
        <v>2</v>
      </c>
      <c r="AD2588">
        <f>Reference!F$4</f>
        <v>2026</v>
      </c>
      <c r="AE2588" t="str">
        <f>IF(OR(SalesData[[#This Row],[Day]]="Saturday",SalesData[[#This Row],[Day]]="Sunday"),"Weekend","Weekday")</f>
        <v>Weekday</v>
      </c>
      <c r="AF2588" s="5">
        <f>IF(SalesData[[#This Row],[Contracts Offered]]=0,0,SalesData[[#This Row],[Contracts Signed]]/SalesData[[#This Row],[Contracts Offered]])</f>
        <v>0.3392857142857143</v>
      </c>
      <c r="AG2588" s="5">
        <f>IF(SalesData[[#This Row],[Customers Visited]]=0,0,SalesData[[#This Row],[Test Drives]]/SalesData[[#This Row],[Customers Visited]])</f>
        <v>0.5067567567567568</v>
      </c>
      <c r="AH2588" s="5">
        <f>IF(SalesData[[#This Row],[Customers Visited]]=0,0,SalesData[[#This Row],[Contracts Signed]]/SalesData[[#This Row],[Customers Visited]])</f>
        <v>0.12837837837837837</v>
      </c>
      <c r="AI2588" s="6">
        <f>IF(SalesData[[#This Row],[Contracts Signed]]=0,0,SalesData[[#This Row],[Profit(€)]]/SalesData[[#This Row],[Contracts Signed]])</f>
        <v>11438</v>
      </c>
      <c r="AJ2588" s="5" t="str">
        <f>TRIM(CLEAN(SalesData[[#This Row],[Retailer]]))</f>
        <v>Ruhr Auto Plaza</v>
      </c>
    </row>
    <row r="2589" spans="1:36" ht="14.25" hidden="1" x14ac:dyDescent="0.2">
      <c r="A2589" t="s">
        <v>3686</v>
      </c>
      <c r="B2589" s="1">
        <v>46071</v>
      </c>
      <c r="C2589" t="s">
        <v>62</v>
      </c>
      <c r="D2589" t="s">
        <v>82</v>
      </c>
      <c r="E2589" t="s">
        <v>26</v>
      </c>
      <c r="F2589" t="s">
        <v>114</v>
      </c>
      <c r="G2589" t="s">
        <v>115</v>
      </c>
      <c r="H2589" t="s">
        <v>115</v>
      </c>
      <c r="I2589" t="s">
        <v>64</v>
      </c>
      <c r="J2589" t="s">
        <v>7029</v>
      </c>
      <c r="K2589" t="s">
        <v>78</v>
      </c>
      <c r="L2589" t="s">
        <v>33</v>
      </c>
      <c r="M2589" t="s">
        <v>87</v>
      </c>
      <c r="N2589" t="s">
        <v>35</v>
      </c>
      <c r="O2589" t="s">
        <v>36</v>
      </c>
      <c r="P2589" t="s">
        <v>71</v>
      </c>
      <c r="Q2589" t="s">
        <v>240</v>
      </c>
      <c r="R2589">
        <v>166</v>
      </c>
      <c r="S2589">
        <v>73</v>
      </c>
      <c r="T2589">
        <v>57</v>
      </c>
      <c r="U2589">
        <v>19</v>
      </c>
      <c r="V2589" t="s">
        <v>6411</v>
      </c>
      <c r="W2589">
        <v>56623</v>
      </c>
      <c r="X2589" t="s">
        <v>1002</v>
      </c>
      <c r="Y2589">
        <v>44101</v>
      </c>
      <c r="Z2589">
        <v>1075837</v>
      </c>
      <c r="AA2589">
        <v>237918</v>
      </c>
      <c r="AB2589" t="str">
        <f>(VLOOKUP(SalesData[[#This Row],[Month Number]],Reference!C$5:E$16,2,FALSE))</f>
        <v>Feb</v>
      </c>
      <c r="AC2589">
        <f>MONTH(SalesData[[#This Row],[Date]])</f>
        <v>2</v>
      </c>
      <c r="AD2589">
        <f>Reference!F$4</f>
        <v>2026</v>
      </c>
      <c r="AE2589" t="str">
        <f>IF(OR(SalesData[[#This Row],[Day]]="Saturday",SalesData[[#This Row],[Day]]="Sunday"),"Weekend","Weekday")</f>
        <v>Weekday</v>
      </c>
      <c r="AF2589" s="5">
        <f>IF(SalesData[[#This Row],[Contracts Offered]]=0,0,SalesData[[#This Row],[Contracts Signed]]/SalesData[[#This Row],[Contracts Offered]])</f>
        <v>0.33333333333333331</v>
      </c>
      <c r="AG2589" s="5">
        <f>IF(SalesData[[#This Row],[Customers Visited]]=0,0,SalesData[[#This Row],[Test Drives]]/SalesData[[#This Row],[Customers Visited]])</f>
        <v>0.43975903614457829</v>
      </c>
      <c r="AH2589" s="5">
        <f>IF(SalesData[[#This Row],[Customers Visited]]=0,0,SalesData[[#This Row],[Contracts Signed]]/SalesData[[#This Row],[Customers Visited]])</f>
        <v>0.1144578313253012</v>
      </c>
      <c r="AI2589" s="6">
        <f>IF(SalesData[[#This Row],[Contracts Signed]]=0,0,SalesData[[#This Row],[Profit(€)]]/SalesData[[#This Row],[Contracts Signed]])</f>
        <v>12522</v>
      </c>
      <c r="AJ2589" s="5" t="str">
        <f>TRIM(CLEAN(SalesData[[#This Row],[Retailer]]))</f>
        <v>Elbe Drive</v>
      </c>
    </row>
    <row r="2590" spans="1:36" ht="14.25" x14ac:dyDescent="0.2">
      <c r="A2590" t="s">
        <v>3687</v>
      </c>
      <c r="B2590" s="1">
        <v>46065</v>
      </c>
      <c r="C2590" t="s">
        <v>121</v>
      </c>
      <c r="D2590" t="s">
        <v>100</v>
      </c>
      <c r="E2590" t="s">
        <v>26</v>
      </c>
      <c r="F2590" t="s">
        <v>83</v>
      </c>
      <c r="G2590" t="s">
        <v>84</v>
      </c>
      <c r="H2590" t="s">
        <v>85</v>
      </c>
      <c r="I2590" t="s">
        <v>30</v>
      </c>
      <c r="J2590" t="s">
        <v>166</v>
      </c>
      <c r="K2590" t="s">
        <v>66</v>
      </c>
      <c r="L2590" t="s">
        <v>46</v>
      </c>
      <c r="M2590" t="s">
        <v>68</v>
      </c>
      <c r="N2590" t="s">
        <v>69</v>
      </c>
      <c r="O2590" t="s">
        <v>70</v>
      </c>
      <c r="P2590" t="s">
        <v>37</v>
      </c>
      <c r="Q2590" t="s">
        <v>347</v>
      </c>
      <c r="R2590">
        <v>262</v>
      </c>
      <c r="S2590">
        <v>122</v>
      </c>
      <c r="T2590">
        <v>96</v>
      </c>
      <c r="U2590">
        <v>33</v>
      </c>
      <c r="V2590" t="s">
        <v>7539</v>
      </c>
      <c r="W2590">
        <v>66791</v>
      </c>
      <c r="X2590" t="s">
        <v>7170</v>
      </c>
      <c r="Y2590">
        <v>49892</v>
      </c>
      <c r="Z2590">
        <v>2204103</v>
      </c>
      <c r="AA2590">
        <v>557667</v>
      </c>
      <c r="AB2590" t="str">
        <f>(VLOOKUP(SalesData[[#This Row],[Month Number]],Reference!C$5:E$16,2,FALSE))</f>
        <v>Feb</v>
      </c>
      <c r="AC2590">
        <f>MONTH(SalesData[[#This Row],[Date]])</f>
        <v>2</v>
      </c>
      <c r="AD2590">
        <f>Reference!F$4</f>
        <v>2026</v>
      </c>
      <c r="AE2590" t="str">
        <f>IF(OR(SalesData[[#This Row],[Day]]="Saturday",SalesData[[#This Row],[Day]]="Sunday"),"Weekend","Weekday")</f>
        <v>Weekday</v>
      </c>
      <c r="AF2590" s="5">
        <f>IF(SalesData[[#This Row],[Contracts Offered]]=0,0,SalesData[[#This Row],[Contracts Signed]]/SalesData[[#This Row],[Contracts Offered]])</f>
        <v>0.34375</v>
      </c>
      <c r="AG2590" s="5">
        <f>IF(SalesData[[#This Row],[Customers Visited]]=0,0,SalesData[[#This Row],[Test Drives]]/SalesData[[#This Row],[Customers Visited]])</f>
        <v>0.46564885496183206</v>
      </c>
      <c r="AH2590" s="5">
        <f>IF(SalesData[[#This Row],[Customers Visited]]=0,0,SalesData[[#This Row],[Contracts Signed]]/SalesData[[#This Row],[Customers Visited]])</f>
        <v>0.12595419847328243</v>
      </c>
      <c r="AI2590" s="6">
        <f>IF(SalesData[[#This Row],[Contracts Signed]]=0,0,SalesData[[#This Row],[Profit(€)]]/SalesData[[#This Row],[Contracts Signed]])</f>
        <v>16899</v>
      </c>
      <c r="AJ2590" s="5" t="str">
        <f>TRIM(CLEAN(SalesData[[#This Row],[Retailer]]))</f>
        <v>Hannover Cars</v>
      </c>
    </row>
    <row r="2591" spans="1:36" ht="14.25" x14ac:dyDescent="0.2">
      <c r="A2591" t="s">
        <v>3688</v>
      </c>
      <c r="B2591" s="1">
        <v>46063</v>
      </c>
      <c r="C2591" t="s">
        <v>121</v>
      </c>
      <c r="D2591" t="s">
        <v>63</v>
      </c>
      <c r="E2591" t="s">
        <v>26</v>
      </c>
      <c r="F2591" t="s">
        <v>83</v>
      </c>
      <c r="G2591" t="s">
        <v>84</v>
      </c>
      <c r="H2591" t="s">
        <v>85</v>
      </c>
      <c r="I2591" t="s">
        <v>30</v>
      </c>
      <c r="J2591" t="s">
        <v>7075</v>
      </c>
      <c r="K2591" t="s">
        <v>78</v>
      </c>
      <c r="L2591" t="s">
        <v>33</v>
      </c>
      <c r="M2591" t="s">
        <v>68</v>
      </c>
      <c r="N2591" t="s">
        <v>48</v>
      </c>
      <c r="O2591" t="s">
        <v>36</v>
      </c>
      <c r="P2591" t="s">
        <v>71</v>
      </c>
      <c r="Q2591" t="s">
        <v>106</v>
      </c>
      <c r="R2591">
        <v>147</v>
      </c>
      <c r="S2591">
        <v>80</v>
      </c>
      <c r="T2591">
        <v>62</v>
      </c>
      <c r="U2591">
        <v>21</v>
      </c>
      <c r="V2591" t="s">
        <v>6824</v>
      </c>
      <c r="W2591">
        <v>63653</v>
      </c>
      <c r="X2591" t="s">
        <v>7225</v>
      </c>
      <c r="Y2591">
        <v>47502</v>
      </c>
      <c r="Z2591">
        <v>1336713</v>
      </c>
      <c r="AA2591">
        <v>339171</v>
      </c>
      <c r="AB2591" t="str">
        <f>(VLOOKUP(SalesData[[#This Row],[Month Number]],Reference!C$5:E$16,2,FALSE))</f>
        <v>Feb</v>
      </c>
      <c r="AC2591">
        <f>MONTH(SalesData[[#This Row],[Date]])</f>
        <v>2</v>
      </c>
      <c r="AD2591">
        <f>Reference!F$4</f>
        <v>2026</v>
      </c>
      <c r="AE2591" t="str">
        <f>IF(OR(SalesData[[#This Row],[Day]]="Saturday",SalesData[[#This Row],[Day]]="Sunday"),"Weekend","Weekday")</f>
        <v>Weekday</v>
      </c>
      <c r="AF2591" s="5">
        <f>IF(SalesData[[#This Row],[Contracts Offered]]=0,0,SalesData[[#This Row],[Contracts Signed]]/SalesData[[#This Row],[Contracts Offered]])</f>
        <v>0.33870967741935482</v>
      </c>
      <c r="AG2591" s="5">
        <f>IF(SalesData[[#This Row],[Customers Visited]]=0,0,SalesData[[#This Row],[Test Drives]]/SalesData[[#This Row],[Customers Visited]])</f>
        <v>0.54421768707482998</v>
      </c>
      <c r="AH2591" s="5">
        <f>IF(SalesData[[#This Row],[Customers Visited]]=0,0,SalesData[[#This Row],[Contracts Signed]]/SalesData[[#This Row],[Customers Visited]])</f>
        <v>0.14285714285714285</v>
      </c>
      <c r="AI2591" s="6">
        <f>IF(SalesData[[#This Row],[Contracts Signed]]=0,0,SalesData[[#This Row],[Profit(€)]]/SalesData[[#This Row],[Contracts Signed]])</f>
        <v>16151</v>
      </c>
      <c r="AJ2591" s="5" t="str">
        <f>TRIM(CLEAN(SalesData[[#This Row],[Retailer]]))</f>
        <v>Hannover Cars</v>
      </c>
    </row>
    <row r="2592" spans="1:36" ht="14.25" hidden="1" x14ac:dyDescent="0.2">
      <c r="A2592" t="s">
        <v>3689</v>
      </c>
      <c r="B2592" s="1">
        <v>46076</v>
      </c>
      <c r="C2592" t="s">
        <v>53</v>
      </c>
      <c r="D2592" t="s">
        <v>25</v>
      </c>
      <c r="E2592" t="s">
        <v>26</v>
      </c>
      <c r="F2592" t="s">
        <v>109</v>
      </c>
      <c r="G2592" t="s">
        <v>110</v>
      </c>
      <c r="H2592" t="s">
        <v>45</v>
      </c>
      <c r="I2592" t="s">
        <v>56</v>
      </c>
      <c r="J2592" t="s">
        <v>179</v>
      </c>
      <c r="K2592" t="s">
        <v>32</v>
      </c>
      <c r="L2592" t="s">
        <v>67</v>
      </c>
      <c r="M2592" t="s">
        <v>34</v>
      </c>
      <c r="N2592" t="s">
        <v>69</v>
      </c>
      <c r="O2592" t="s">
        <v>36</v>
      </c>
      <c r="P2592" t="s">
        <v>71</v>
      </c>
      <c r="Q2592" t="s">
        <v>240</v>
      </c>
      <c r="R2592">
        <v>260</v>
      </c>
      <c r="S2592">
        <v>143</v>
      </c>
      <c r="T2592">
        <v>98</v>
      </c>
      <c r="U2592">
        <v>34</v>
      </c>
      <c r="V2592" t="s">
        <v>6833</v>
      </c>
      <c r="W2592">
        <v>55617</v>
      </c>
      <c r="X2592" t="s">
        <v>7353</v>
      </c>
      <c r="Y2592">
        <v>43396</v>
      </c>
      <c r="Z2592">
        <v>1890978</v>
      </c>
      <c r="AA2592">
        <v>415514</v>
      </c>
      <c r="AB2592" t="str">
        <f>(VLOOKUP(SalesData[[#This Row],[Month Number]],Reference!C$5:E$16,2,FALSE))</f>
        <v>Feb</v>
      </c>
      <c r="AC2592">
        <f>MONTH(SalesData[[#This Row],[Date]])</f>
        <v>2</v>
      </c>
      <c r="AD2592">
        <f>Reference!F$4</f>
        <v>2026</v>
      </c>
      <c r="AE2592" t="str">
        <f>IF(OR(SalesData[[#This Row],[Day]]="Saturday",SalesData[[#This Row],[Day]]="Sunday"),"Weekend","Weekday")</f>
        <v>Weekday</v>
      </c>
      <c r="AF2592" s="5">
        <f>IF(SalesData[[#This Row],[Contracts Offered]]=0,0,SalesData[[#This Row],[Contracts Signed]]/SalesData[[#This Row],[Contracts Offered]])</f>
        <v>0.34693877551020408</v>
      </c>
      <c r="AG2592" s="5">
        <f>IF(SalesData[[#This Row],[Customers Visited]]=0,0,SalesData[[#This Row],[Test Drives]]/SalesData[[#This Row],[Customers Visited]])</f>
        <v>0.55000000000000004</v>
      </c>
      <c r="AH2592" s="5">
        <f>IF(SalesData[[#This Row],[Customers Visited]]=0,0,SalesData[[#This Row],[Contracts Signed]]/SalesData[[#This Row],[Customers Visited]])</f>
        <v>0.13076923076923078</v>
      </c>
      <c r="AI2592" s="6">
        <f>IF(SalesData[[#This Row],[Contracts Signed]]=0,0,SalesData[[#This Row],[Profit(€)]]/SalesData[[#This Row],[Contracts Signed]])</f>
        <v>12221</v>
      </c>
      <c r="AJ2592" s="5" t="str">
        <f>TRIM(CLEAN(SalesData[[#This Row],[Retailer]]))</f>
        <v>Leipzig Mobility</v>
      </c>
    </row>
    <row r="2593" spans="1:36" ht="14.25" hidden="1" x14ac:dyDescent="0.2">
      <c r="A2593" t="s">
        <v>3690</v>
      </c>
      <c r="B2593" s="1">
        <v>46057</v>
      </c>
      <c r="C2593" t="s">
        <v>24</v>
      </c>
      <c r="D2593" t="s">
        <v>82</v>
      </c>
      <c r="E2593" t="s">
        <v>26</v>
      </c>
      <c r="F2593" t="s">
        <v>114</v>
      </c>
      <c r="G2593" t="s">
        <v>115</v>
      </c>
      <c r="H2593" t="s">
        <v>115</v>
      </c>
      <c r="I2593" t="s">
        <v>116</v>
      </c>
      <c r="J2593" t="s">
        <v>203</v>
      </c>
      <c r="K2593" t="s">
        <v>66</v>
      </c>
      <c r="L2593" t="s">
        <v>67</v>
      </c>
      <c r="M2593" t="s">
        <v>47</v>
      </c>
      <c r="N2593" t="s">
        <v>69</v>
      </c>
      <c r="O2593" t="s">
        <v>70</v>
      </c>
      <c r="P2593" t="s">
        <v>49</v>
      </c>
      <c r="Q2593" t="s">
        <v>135</v>
      </c>
      <c r="R2593">
        <v>246</v>
      </c>
      <c r="S2593">
        <v>116</v>
      </c>
      <c r="T2593">
        <v>67</v>
      </c>
      <c r="U2593">
        <v>19</v>
      </c>
      <c r="V2593" t="s">
        <v>1307</v>
      </c>
      <c r="W2593">
        <v>20310</v>
      </c>
      <c r="X2593" t="s">
        <v>727</v>
      </c>
      <c r="Y2593">
        <v>18327</v>
      </c>
      <c r="Z2593">
        <v>385890</v>
      </c>
      <c r="AA2593">
        <v>37677</v>
      </c>
      <c r="AB2593" t="str">
        <f>(VLOOKUP(SalesData[[#This Row],[Month Number]],Reference!C$5:E$16,2,FALSE))</f>
        <v>Feb</v>
      </c>
      <c r="AC2593">
        <f>MONTH(SalesData[[#This Row],[Date]])</f>
        <v>2</v>
      </c>
      <c r="AD2593">
        <f>Reference!F$4</f>
        <v>2026</v>
      </c>
      <c r="AE2593" t="str">
        <f>IF(OR(SalesData[[#This Row],[Day]]="Saturday",SalesData[[#This Row],[Day]]="Sunday"),"Weekend","Weekday")</f>
        <v>Weekday</v>
      </c>
      <c r="AF2593" s="5">
        <f>IF(SalesData[[#This Row],[Contracts Offered]]=0,0,SalesData[[#This Row],[Contracts Signed]]/SalesData[[#This Row],[Contracts Offered]])</f>
        <v>0.28358208955223879</v>
      </c>
      <c r="AG2593" s="5">
        <f>IF(SalesData[[#This Row],[Customers Visited]]=0,0,SalesData[[#This Row],[Test Drives]]/SalesData[[#This Row],[Customers Visited]])</f>
        <v>0.47154471544715448</v>
      </c>
      <c r="AH2593" s="5">
        <f>IF(SalesData[[#This Row],[Customers Visited]]=0,0,SalesData[[#This Row],[Contracts Signed]]/SalesData[[#This Row],[Customers Visited]])</f>
        <v>7.7235772357723581E-2</v>
      </c>
      <c r="AI2593" s="6">
        <f>IF(SalesData[[#This Row],[Contracts Signed]]=0,0,SalesData[[#This Row],[Profit(€)]]/SalesData[[#This Row],[Contracts Signed]])</f>
        <v>1983</v>
      </c>
      <c r="AJ2593" s="5" t="str">
        <f>TRIM(CLEAN(SalesData[[#This Row],[Retailer]]))</f>
        <v>Elbe Drive</v>
      </c>
    </row>
    <row r="2594" spans="1:36" ht="14.25" hidden="1" x14ac:dyDescent="0.2">
      <c r="A2594" t="s">
        <v>3691</v>
      </c>
      <c r="B2594" s="1">
        <v>46065</v>
      </c>
      <c r="C2594" t="s">
        <v>121</v>
      </c>
      <c r="D2594" t="s">
        <v>100</v>
      </c>
      <c r="E2594" t="s">
        <v>26</v>
      </c>
      <c r="F2594" t="s">
        <v>7649</v>
      </c>
      <c r="G2594" t="s">
        <v>55</v>
      </c>
      <c r="H2594" t="s">
        <v>55</v>
      </c>
      <c r="I2594" t="s">
        <v>104</v>
      </c>
      <c r="J2594" t="s">
        <v>7031</v>
      </c>
      <c r="K2594" t="s">
        <v>91</v>
      </c>
      <c r="L2594" t="s">
        <v>46</v>
      </c>
      <c r="M2594" t="s">
        <v>68</v>
      </c>
      <c r="N2594" t="s">
        <v>35</v>
      </c>
      <c r="O2594" t="s">
        <v>36</v>
      </c>
      <c r="P2594" t="s">
        <v>49</v>
      </c>
      <c r="Q2594" t="s">
        <v>167</v>
      </c>
      <c r="R2594">
        <v>314</v>
      </c>
      <c r="S2594">
        <v>165</v>
      </c>
      <c r="T2594">
        <v>105</v>
      </c>
      <c r="U2594">
        <v>31</v>
      </c>
      <c r="V2594" t="s">
        <v>473</v>
      </c>
      <c r="W2594">
        <v>34793</v>
      </c>
      <c r="X2594" t="s">
        <v>1556</v>
      </c>
      <c r="Y2594">
        <v>30496</v>
      </c>
      <c r="Z2594">
        <v>1078583</v>
      </c>
      <c r="AA2594">
        <v>133207</v>
      </c>
      <c r="AB2594" t="str">
        <f>(VLOOKUP(SalesData[[#This Row],[Month Number]],Reference!C$5:E$16,2,FALSE))</f>
        <v>Feb</v>
      </c>
      <c r="AC2594">
        <f>MONTH(SalesData[[#This Row],[Date]])</f>
        <v>2</v>
      </c>
      <c r="AD2594">
        <f>Reference!F$4</f>
        <v>2026</v>
      </c>
      <c r="AE2594" t="str">
        <f>IF(OR(SalesData[[#This Row],[Day]]="Saturday",SalesData[[#This Row],[Day]]="Sunday"),"Weekend","Weekday")</f>
        <v>Weekday</v>
      </c>
      <c r="AF2594" s="5">
        <f>IF(SalesData[[#This Row],[Contracts Offered]]=0,0,SalesData[[#This Row],[Contracts Signed]]/SalesData[[#This Row],[Contracts Offered]])</f>
        <v>0.29523809523809524</v>
      </c>
      <c r="AG2594" s="5">
        <f>IF(SalesData[[#This Row],[Customers Visited]]=0,0,SalesData[[#This Row],[Test Drives]]/SalesData[[#This Row],[Customers Visited]])</f>
        <v>0.52547770700636942</v>
      </c>
      <c r="AH2594" s="5">
        <f>IF(SalesData[[#This Row],[Customers Visited]]=0,0,SalesData[[#This Row],[Contracts Signed]]/SalesData[[#This Row],[Customers Visited]])</f>
        <v>9.8726114649681534E-2</v>
      </c>
      <c r="AI2594" s="6">
        <f>IF(SalesData[[#This Row],[Contracts Signed]]=0,0,SalesData[[#This Row],[Profit(€)]]/SalesData[[#This Row],[Contracts Signed]])</f>
        <v>4297</v>
      </c>
      <c r="AJ2594" s="5" t="str">
        <f>TRIM(CLEAN(SalesData[[#This Row],[Retailer]]))</f>
        <v>Autohaus Berlin</v>
      </c>
    </row>
    <row r="2595" spans="1:36" ht="14.25" hidden="1" x14ac:dyDescent="0.2">
      <c r="A2595" t="s">
        <v>3692</v>
      </c>
      <c r="B2595" s="1">
        <v>46062</v>
      </c>
      <c r="C2595" t="s">
        <v>121</v>
      </c>
      <c r="D2595" t="s">
        <v>25</v>
      </c>
      <c r="E2595" t="s">
        <v>26</v>
      </c>
      <c r="F2595" t="s">
        <v>7649</v>
      </c>
      <c r="G2595" t="s">
        <v>55</v>
      </c>
      <c r="H2595" t="s">
        <v>55</v>
      </c>
      <c r="I2595" t="s">
        <v>64</v>
      </c>
      <c r="J2595" t="s">
        <v>77</v>
      </c>
      <c r="K2595" t="s">
        <v>66</v>
      </c>
      <c r="L2595" t="s">
        <v>46</v>
      </c>
      <c r="M2595" t="s">
        <v>47</v>
      </c>
      <c r="N2595" t="s">
        <v>35</v>
      </c>
      <c r="O2595" t="s">
        <v>36</v>
      </c>
      <c r="P2595" t="s">
        <v>37</v>
      </c>
      <c r="Q2595" t="s">
        <v>240</v>
      </c>
      <c r="R2595">
        <v>193</v>
      </c>
      <c r="S2595">
        <v>98</v>
      </c>
      <c r="T2595">
        <v>68</v>
      </c>
      <c r="U2595">
        <v>23</v>
      </c>
      <c r="V2595" t="s">
        <v>6428</v>
      </c>
      <c r="W2595">
        <v>55718</v>
      </c>
      <c r="X2595" t="s">
        <v>826</v>
      </c>
      <c r="Y2595">
        <v>43741</v>
      </c>
      <c r="Z2595">
        <v>1281514</v>
      </c>
      <c r="AA2595">
        <v>275471</v>
      </c>
      <c r="AB2595" t="str">
        <f>(VLOOKUP(SalesData[[#This Row],[Month Number]],Reference!C$5:E$16,2,FALSE))</f>
        <v>Feb</v>
      </c>
      <c r="AC2595">
        <f>MONTH(SalesData[[#This Row],[Date]])</f>
        <v>2</v>
      </c>
      <c r="AD2595">
        <f>Reference!F$4</f>
        <v>2026</v>
      </c>
      <c r="AE2595" t="str">
        <f>IF(OR(SalesData[[#This Row],[Day]]="Saturday",SalesData[[#This Row],[Day]]="Sunday"),"Weekend","Weekday")</f>
        <v>Weekday</v>
      </c>
      <c r="AF2595" s="5">
        <f>IF(SalesData[[#This Row],[Contracts Offered]]=0,0,SalesData[[#This Row],[Contracts Signed]]/SalesData[[#This Row],[Contracts Offered]])</f>
        <v>0.33823529411764708</v>
      </c>
      <c r="AG2595" s="5">
        <f>IF(SalesData[[#This Row],[Customers Visited]]=0,0,SalesData[[#This Row],[Test Drives]]/SalesData[[#This Row],[Customers Visited]])</f>
        <v>0.50777202072538863</v>
      </c>
      <c r="AH2595" s="5">
        <f>IF(SalesData[[#This Row],[Customers Visited]]=0,0,SalesData[[#This Row],[Contracts Signed]]/SalesData[[#This Row],[Customers Visited]])</f>
        <v>0.11917098445595854</v>
      </c>
      <c r="AI2595" s="6">
        <f>IF(SalesData[[#This Row],[Contracts Signed]]=0,0,SalesData[[#This Row],[Profit(€)]]/SalesData[[#This Row],[Contracts Signed]])</f>
        <v>11977</v>
      </c>
      <c r="AJ2595" s="5" t="str">
        <f>TRIM(CLEAN(SalesData[[#This Row],[Retailer]]))</f>
        <v>Autohaus Berlin</v>
      </c>
    </row>
    <row r="2596" spans="1:36" ht="14.25" hidden="1" x14ac:dyDescent="0.2">
      <c r="A2596" t="s">
        <v>3693</v>
      </c>
      <c r="B2596" s="1">
        <v>46076</v>
      </c>
      <c r="C2596" t="s">
        <v>53</v>
      </c>
      <c r="D2596" t="s">
        <v>25</v>
      </c>
      <c r="E2596" t="s">
        <v>26</v>
      </c>
      <c r="F2596" t="s">
        <v>114</v>
      </c>
      <c r="G2596" t="s">
        <v>115</v>
      </c>
      <c r="H2596" t="s">
        <v>115</v>
      </c>
      <c r="I2596" t="s">
        <v>56</v>
      </c>
      <c r="J2596" t="s">
        <v>57</v>
      </c>
      <c r="K2596" t="s">
        <v>91</v>
      </c>
      <c r="L2596" t="s">
        <v>46</v>
      </c>
      <c r="M2596" t="s">
        <v>68</v>
      </c>
      <c r="N2596" t="s">
        <v>48</v>
      </c>
      <c r="O2596" t="s">
        <v>70</v>
      </c>
      <c r="P2596" t="s">
        <v>37</v>
      </c>
      <c r="Q2596" t="s">
        <v>59</v>
      </c>
      <c r="R2596">
        <v>308</v>
      </c>
      <c r="S2596">
        <v>151</v>
      </c>
      <c r="T2596">
        <v>107</v>
      </c>
      <c r="U2596">
        <v>34</v>
      </c>
      <c r="V2596" t="s">
        <v>6729</v>
      </c>
      <c r="W2596">
        <v>42208</v>
      </c>
      <c r="X2596" t="s">
        <v>3354</v>
      </c>
      <c r="Y2596">
        <v>32575</v>
      </c>
      <c r="Z2596">
        <v>1435072</v>
      </c>
      <c r="AA2596">
        <v>327522</v>
      </c>
      <c r="AB2596" t="str">
        <f>(VLOOKUP(SalesData[[#This Row],[Month Number]],Reference!C$5:E$16,2,FALSE))</f>
        <v>Feb</v>
      </c>
      <c r="AC2596">
        <f>MONTH(SalesData[[#This Row],[Date]])</f>
        <v>2</v>
      </c>
      <c r="AD2596">
        <f>Reference!F$4</f>
        <v>2026</v>
      </c>
      <c r="AE2596" t="str">
        <f>IF(OR(SalesData[[#This Row],[Day]]="Saturday",SalesData[[#This Row],[Day]]="Sunday"),"Weekend","Weekday")</f>
        <v>Weekday</v>
      </c>
      <c r="AF2596" s="5">
        <f>IF(SalesData[[#This Row],[Contracts Offered]]=0,0,SalesData[[#This Row],[Contracts Signed]]/SalesData[[#This Row],[Contracts Offered]])</f>
        <v>0.31775700934579437</v>
      </c>
      <c r="AG2596" s="5">
        <f>IF(SalesData[[#This Row],[Customers Visited]]=0,0,SalesData[[#This Row],[Test Drives]]/SalesData[[#This Row],[Customers Visited]])</f>
        <v>0.49025974025974028</v>
      </c>
      <c r="AH2596" s="5">
        <f>IF(SalesData[[#This Row],[Customers Visited]]=0,0,SalesData[[#This Row],[Contracts Signed]]/SalesData[[#This Row],[Customers Visited]])</f>
        <v>0.11038961038961038</v>
      </c>
      <c r="AI2596" s="6">
        <f>IF(SalesData[[#This Row],[Contracts Signed]]=0,0,SalesData[[#This Row],[Profit(€)]]/SalesData[[#This Row],[Contracts Signed]])</f>
        <v>9633</v>
      </c>
      <c r="AJ2596" s="5" t="str">
        <f>TRIM(CLEAN(SalesData[[#This Row],[Retailer]]))</f>
        <v>Elbe Drive</v>
      </c>
    </row>
    <row r="2597" spans="1:36" ht="14.25" x14ac:dyDescent="0.2">
      <c r="A2597" t="s">
        <v>3694</v>
      </c>
      <c r="B2597" s="1">
        <v>46057</v>
      </c>
      <c r="C2597" t="s">
        <v>24</v>
      </c>
      <c r="D2597" t="s">
        <v>82</v>
      </c>
      <c r="E2597" t="s">
        <v>26</v>
      </c>
      <c r="F2597" t="s">
        <v>127</v>
      </c>
      <c r="G2597" t="s">
        <v>128</v>
      </c>
      <c r="H2597" t="s">
        <v>103</v>
      </c>
      <c r="I2597" t="s">
        <v>30</v>
      </c>
      <c r="J2597" t="s">
        <v>166</v>
      </c>
      <c r="K2597" t="s">
        <v>91</v>
      </c>
      <c r="L2597" t="s">
        <v>46</v>
      </c>
      <c r="M2597" t="s">
        <v>47</v>
      </c>
      <c r="N2597" t="s">
        <v>48</v>
      </c>
      <c r="O2597" t="s">
        <v>70</v>
      </c>
      <c r="P2597" t="s">
        <v>71</v>
      </c>
      <c r="Q2597" t="s">
        <v>240</v>
      </c>
      <c r="R2597">
        <v>258</v>
      </c>
      <c r="S2597">
        <v>148</v>
      </c>
      <c r="T2597">
        <v>111</v>
      </c>
      <c r="U2597">
        <v>43</v>
      </c>
      <c r="V2597" t="s">
        <v>6850</v>
      </c>
      <c r="W2597">
        <v>49458</v>
      </c>
      <c r="X2597" t="s">
        <v>2142</v>
      </c>
      <c r="Y2597">
        <v>34907</v>
      </c>
      <c r="Z2597">
        <v>2126694</v>
      </c>
      <c r="AA2597">
        <v>625693</v>
      </c>
      <c r="AB2597" t="str">
        <f>(VLOOKUP(SalesData[[#This Row],[Month Number]],Reference!C$5:E$16,2,FALSE))</f>
        <v>Feb</v>
      </c>
      <c r="AC2597">
        <f>MONTH(SalesData[[#This Row],[Date]])</f>
        <v>2</v>
      </c>
      <c r="AD2597">
        <f>Reference!F$4</f>
        <v>2026</v>
      </c>
      <c r="AE2597" t="str">
        <f>IF(OR(SalesData[[#This Row],[Day]]="Saturday",SalesData[[#This Row],[Day]]="Sunday"),"Weekend","Weekday")</f>
        <v>Weekday</v>
      </c>
      <c r="AF2597" s="5">
        <f>IF(SalesData[[#This Row],[Contracts Offered]]=0,0,SalesData[[#This Row],[Contracts Signed]]/SalesData[[#This Row],[Contracts Offered]])</f>
        <v>0.38738738738738737</v>
      </c>
      <c r="AG2597" s="5">
        <f>IF(SalesData[[#This Row],[Customers Visited]]=0,0,SalesData[[#This Row],[Test Drives]]/SalesData[[#This Row],[Customers Visited]])</f>
        <v>0.5736434108527132</v>
      </c>
      <c r="AH2597" s="5">
        <f>IF(SalesData[[#This Row],[Customers Visited]]=0,0,SalesData[[#This Row],[Contracts Signed]]/SalesData[[#This Row],[Customers Visited]])</f>
        <v>0.16666666666666666</v>
      </c>
      <c r="AI2597" s="6">
        <f>IF(SalesData[[#This Row],[Contracts Signed]]=0,0,SalesData[[#This Row],[Profit(€)]]/SalesData[[#This Row],[Contracts Signed]])</f>
        <v>14551</v>
      </c>
      <c r="AJ2597" s="5" t="str">
        <f>TRIM(CLEAN(SalesData[[#This Row],[Retailer]]))</f>
        <v>Rhein Auto Group</v>
      </c>
    </row>
    <row r="2598" spans="1:36" ht="14.25" hidden="1" x14ac:dyDescent="0.2">
      <c r="A2598" t="s">
        <v>3695</v>
      </c>
      <c r="B2598" s="1">
        <v>46058</v>
      </c>
      <c r="C2598" t="s">
        <v>24</v>
      </c>
      <c r="D2598" t="s">
        <v>100</v>
      </c>
      <c r="E2598" t="s">
        <v>26</v>
      </c>
      <c r="F2598" t="s">
        <v>74</v>
      </c>
      <c r="G2598" t="s">
        <v>75</v>
      </c>
      <c r="H2598" t="s">
        <v>76</v>
      </c>
      <c r="I2598" t="s">
        <v>104</v>
      </c>
      <c r="J2598" t="s">
        <v>105</v>
      </c>
      <c r="K2598" t="s">
        <v>32</v>
      </c>
      <c r="L2598" t="s">
        <v>33</v>
      </c>
      <c r="M2598" t="s">
        <v>34</v>
      </c>
      <c r="N2598" t="s">
        <v>48</v>
      </c>
      <c r="O2598" t="s">
        <v>70</v>
      </c>
      <c r="P2598" t="s">
        <v>58</v>
      </c>
      <c r="Q2598" t="s">
        <v>79</v>
      </c>
      <c r="R2598">
        <v>270</v>
      </c>
      <c r="S2598">
        <v>127</v>
      </c>
      <c r="T2598">
        <v>77</v>
      </c>
      <c r="U2598">
        <v>23</v>
      </c>
      <c r="V2598" t="s">
        <v>2960</v>
      </c>
      <c r="W2598">
        <v>30522</v>
      </c>
      <c r="X2598" t="s">
        <v>1381</v>
      </c>
      <c r="Y2598">
        <v>26798</v>
      </c>
      <c r="Z2598">
        <v>702006</v>
      </c>
      <c r="AA2598">
        <v>85652</v>
      </c>
      <c r="AB2598" t="str">
        <f>(VLOOKUP(SalesData[[#This Row],[Month Number]],Reference!C$5:E$16,2,FALSE))</f>
        <v>Feb</v>
      </c>
      <c r="AC2598">
        <f>MONTH(SalesData[[#This Row],[Date]])</f>
        <v>2</v>
      </c>
      <c r="AD2598">
        <f>Reference!F$4</f>
        <v>2026</v>
      </c>
      <c r="AE2598" t="str">
        <f>IF(OR(SalesData[[#This Row],[Day]]="Saturday",SalesData[[#This Row],[Day]]="Sunday"),"Weekend","Weekday")</f>
        <v>Weekday</v>
      </c>
      <c r="AF2598" s="5">
        <f>IF(SalesData[[#This Row],[Contracts Offered]]=0,0,SalesData[[#This Row],[Contracts Signed]]/SalesData[[#This Row],[Contracts Offered]])</f>
        <v>0.29870129870129869</v>
      </c>
      <c r="AG2598" s="5">
        <f>IF(SalesData[[#This Row],[Customers Visited]]=0,0,SalesData[[#This Row],[Test Drives]]/SalesData[[#This Row],[Customers Visited]])</f>
        <v>0.47037037037037038</v>
      </c>
      <c r="AH2598" s="5">
        <f>IF(SalesData[[#This Row],[Customers Visited]]=0,0,SalesData[[#This Row],[Contracts Signed]]/SalesData[[#This Row],[Customers Visited]])</f>
        <v>8.5185185185185183E-2</v>
      </c>
      <c r="AI2598" s="6">
        <f>IF(SalesData[[#This Row],[Contracts Signed]]=0,0,SalesData[[#This Row],[Profit(€)]]/SalesData[[#This Row],[Contracts Signed]])</f>
        <v>3724</v>
      </c>
      <c r="AJ2598" s="5" t="str">
        <f>TRIM(CLEAN(SalesData[[#This Row],[Retailer]]))</f>
        <v>Stuttgart Auto Center</v>
      </c>
    </row>
    <row r="2599" spans="1:36" ht="14.25" hidden="1" x14ac:dyDescent="0.2">
      <c r="A2599" t="s">
        <v>3696</v>
      </c>
      <c r="B2599" s="1">
        <v>46076</v>
      </c>
      <c r="C2599" t="s">
        <v>53</v>
      </c>
      <c r="D2599" t="s">
        <v>25</v>
      </c>
      <c r="E2599" t="s">
        <v>26</v>
      </c>
      <c r="F2599" t="s">
        <v>94</v>
      </c>
      <c r="G2599" t="s">
        <v>95</v>
      </c>
      <c r="H2599" t="s">
        <v>96</v>
      </c>
      <c r="I2599" t="s">
        <v>64</v>
      </c>
      <c r="J2599" t="s">
        <v>157</v>
      </c>
      <c r="K2599" t="s">
        <v>66</v>
      </c>
      <c r="L2599" t="s">
        <v>33</v>
      </c>
      <c r="M2599" t="s">
        <v>34</v>
      </c>
      <c r="N2599" t="s">
        <v>35</v>
      </c>
      <c r="O2599" t="s">
        <v>36</v>
      </c>
      <c r="P2599" t="s">
        <v>71</v>
      </c>
      <c r="Q2599" t="s">
        <v>135</v>
      </c>
      <c r="R2599">
        <v>268</v>
      </c>
      <c r="S2599">
        <v>152</v>
      </c>
      <c r="T2599">
        <v>110</v>
      </c>
      <c r="U2599">
        <v>43</v>
      </c>
      <c r="V2599" t="s">
        <v>6680</v>
      </c>
      <c r="W2599">
        <v>68860</v>
      </c>
      <c r="X2599" t="s">
        <v>7198</v>
      </c>
      <c r="Y2599">
        <v>52573</v>
      </c>
      <c r="Z2599">
        <v>2960980</v>
      </c>
      <c r="AA2599">
        <v>700341</v>
      </c>
      <c r="AB2599" t="str">
        <f>(VLOOKUP(SalesData[[#This Row],[Month Number]],Reference!C$5:E$16,2,FALSE))</f>
        <v>Feb</v>
      </c>
      <c r="AC2599">
        <f>MONTH(SalesData[[#This Row],[Date]])</f>
        <v>2</v>
      </c>
      <c r="AD2599">
        <f>Reference!F$4</f>
        <v>2026</v>
      </c>
      <c r="AE2599" t="str">
        <f>IF(OR(SalesData[[#This Row],[Day]]="Saturday",SalesData[[#This Row],[Day]]="Sunday"),"Weekend","Weekday")</f>
        <v>Weekday</v>
      </c>
      <c r="AF2599" s="5">
        <f>IF(SalesData[[#This Row],[Contracts Offered]]=0,0,SalesData[[#This Row],[Contracts Signed]]/SalesData[[#This Row],[Contracts Offered]])</f>
        <v>0.39090909090909093</v>
      </c>
      <c r="AG2599" s="5">
        <f>IF(SalesData[[#This Row],[Customers Visited]]=0,0,SalesData[[#This Row],[Test Drives]]/SalesData[[#This Row],[Customers Visited]])</f>
        <v>0.56716417910447758</v>
      </c>
      <c r="AH2599" s="5">
        <f>IF(SalesData[[#This Row],[Customers Visited]]=0,0,SalesData[[#This Row],[Contracts Signed]]/SalesData[[#This Row],[Customers Visited]])</f>
        <v>0.16044776119402984</v>
      </c>
      <c r="AI2599" s="6">
        <f>IF(SalesData[[#This Row],[Contracts Signed]]=0,0,SalesData[[#This Row],[Profit(€)]]/SalesData[[#This Row],[Contracts Signed]])</f>
        <v>16287</v>
      </c>
      <c r="AJ2599" s="5" t="str">
        <f>TRIM(CLEAN(SalesData[[#This Row],[Retailer]]))</f>
        <v>Bavaria Motors</v>
      </c>
    </row>
    <row r="2600" spans="1:36" ht="14.25" hidden="1" x14ac:dyDescent="0.2">
      <c r="A2600" t="s">
        <v>3697</v>
      </c>
      <c r="B2600" s="1">
        <v>46067</v>
      </c>
      <c r="C2600" t="s">
        <v>121</v>
      </c>
      <c r="D2600" t="s">
        <v>151</v>
      </c>
      <c r="E2600" t="s">
        <v>42</v>
      </c>
      <c r="F2600" t="s">
        <v>7649</v>
      </c>
      <c r="G2600" t="s">
        <v>55</v>
      </c>
      <c r="H2600" t="s">
        <v>55</v>
      </c>
      <c r="I2600" t="s">
        <v>116</v>
      </c>
      <c r="J2600" t="s">
        <v>203</v>
      </c>
      <c r="K2600" t="s">
        <v>78</v>
      </c>
      <c r="L2600" t="s">
        <v>67</v>
      </c>
      <c r="M2600" t="s">
        <v>87</v>
      </c>
      <c r="N2600" t="s">
        <v>69</v>
      </c>
      <c r="O2600" t="s">
        <v>70</v>
      </c>
      <c r="P2600" t="s">
        <v>49</v>
      </c>
      <c r="Q2600" t="s">
        <v>59</v>
      </c>
      <c r="R2600">
        <v>369</v>
      </c>
      <c r="S2600">
        <v>177</v>
      </c>
      <c r="T2600">
        <v>107</v>
      </c>
      <c r="U2600">
        <v>27</v>
      </c>
      <c r="V2600" t="s">
        <v>704</v>
      </c>
      <c r="W2600">
        <v>27783</v>
      </c>
      <c r="X2600" t="s">
        <v>1759</v>
      </c>
      <c r="Y2600">
        <v>25674</v>
      </c>
      <c r="Z2600">
        <v>750141</v>
      </c>
      <c r="AA2600">
        <v>56943</v>
      </c>
      <c r="AB2600" t="str">
        <f>(VLOOKUP(SalesData[[#This Row],[Month Number]],Reference!C$5:E$16,2,FALSE))</f>
        <v>Feb</v>
      </c>
      <c r="AC2600">
        <f>MONTH(SalesData[[#This Row],[Date]])</f>
        <v>2</v>
      </c>
      <c r="AD2600">
        <f>Reference!F$4</f>
        <v>2026</v>
      </c>
      <c r="AE2600" t="str">
        <f>IF(OR(SalesData[[#This Row],[Day]]="Saturday",SalesData[[#This Row],[Day]]="Sunday"),"Weekend","Weekday")</f>
        <v>Weekend</v>
      </c>
      <c r="AF2600" s="5">
        <f>IF(SalesData[[#This Row],[Contracts Offered]]=0,0,SalesData[[#This Row],[Contracts Signed]]/SalesData[[#This Row],[Contracts Offered]])</f>
        <v>0.25233644859813081</v>
      </c>
      <c r="AG2600" s="5">
        <f>IF(SalesData[[#This Row],[Customers Visited]]=0,0,SalesData[[#This Row],[Test Drives]]/SalesData[[#This Row],[Customers Visited]])</f>
        <v>0.47967479674796748</v>
      </c>
      <c r="AH2600" s="5">
        <f>IF(SalesData[[#This Row],[Customers Visited]]=0,0,SalesData[[#This Row],[Contracts Signed]]/SalesData[[#This Row],[Customers Visited]])</f>
        <v>7.3170731707317069E-2</v>
      </c>
      <c r="AI2600" s="6">
        <f>IF(SalesData[[#This Row],[Contracts Signed]]=0,0,SalesData[[#This Row],[Profit(€)]]/SalesData[[#This Row],[Contracts Signed]])</f>
        <v>2109</v>
      </c>
      <c r="AJ2600" s="5" t="str">
        <f>TRIM(CLEAN(SalesData[[#This Row],[Retailer]]))</f>
        <v>Autohaus Berlin</v>
      </c>
    </row>
    <row r="2601" spans="1:36" ht="14.25" hidden="1" x14ac:dyDescent="0.2">
      <c r="A2601" t="s">
        <v>3699</v>
      </c>
      <c r="B2601" s="1">
        <v>46056</v>
      </c>
      <c r="C2601" t="s">
        <v>24</v>
      </c>
      <c r="D2601" t="s">
        <v>63</v>
      </c>
      <c r="E2601" t="s">
        <v>26</v>
      </c>
      <c r="F2601" t="s">
        <v>127</v>
      </c>
      <c r="G2601" t="s">
        <v>128</v>
      </c>
      <c r="H2601" t="s">
        <v>103</v>
      </c>
      <c r="I2601" t="s">
        <v>116</v>
      </c>
      <c r="J2601" t="s">
        <v>203</v>
      </c>
      <c r="K2601" t="s">
        <v>91</v>
      </c>
      <c r="L2601" t="s">
        <v>67</v>
      </c>
      <c r="M2601" t="s">
        <v>47</v>
      </c>
      <c r="N2601" t="s">
        <v>48</v>
      </c>
      <c r="O2601" t="s">
        <v>70</v>
      </c>
      <c r="P2601" t="s">
        <v>58</v>
      </c>
      <c r="Q2601" t="s">
        <v>59</v>
      </c>
      <c r="R2601">
        <v>406</v>
      </c>
      <c r="S2601">
        <v>180</v>
      </c>
      <c r="T2601">
        <v>125</v>
      </c>
      <c r="U2601">
        <v>34</v>
      </c>
      <c r="V2601" t="s">
        <v>218</v>
      </c>
      <c r="W2601">
        <v>23940</v>
      </c>
      <c r="X2601" t="s">
        <v>7549</v>
      </c>
      <c r="Y2601">
        <v>21791</v>
      </c>
      <c r="Z2601">
        <v>813960</v>
      </c>
      <c r="AA2601">
        <v>73066</v>
      </c>
      <c r="AB2601" t="str">
        <f>(VLOOKUP(SalesData[[#This Row],[Month Number]],Reference!C$5:E$16,2,FALSE))</f>
        <v>Feb</v>
      </c>
      <c r="AC2601">
        <f>MONTH(SalesData[[#This Row],[Date]])</f>
        <v>2</v>
      </c>
      <c r="AD2601">
        <f>Reference!F$4</f>
        <v>2026</v>
      </c>
      <c r="AE2601" t="str">
        <f>IF(OR(SalesData[[#This Row],[Day]]="Saturday",SalesData[[#This Row],[Day]]="Sunday"),"Weekend","Weekday")</f>
        <v>Weekday</v>
      </c>
      <c r="AF2601" s="5">
        <f>IF(SalesData[[#This Row],[Contracts Offered]]=0,0,SalesData[[#This Row],[Contracts Signed]]/SalesData[[#This Row],[Contracts Offered]])</f>
        <v>0.27200000000000002</v>
      </c>
      <c r="AG2601" s="5">
        <f>IF(SalesData[[#This Row],[Customers Visited]]=0,0,SalesData[[#This Row],[Test Drives]]/SalesData[[#This Row],[Customers Visited]])</f>
        <v>0.44334975369458129</v>
      </c>
      <c r="AH2601" s="5">
        <f>IF(SalesData[[#This Row],[Customers Visited]]=0,0,SalesData[[#This Row],[Contracts Signed]]/SalesData[[#This Row],[Customers Visited]])</f>
        <v>8.3743842364532015E-2</v>
      </c>
      <c r="AI2601" s="6">
        <f>IF(SalesData[[#This Row],[Contracts Signed]]=0,0,SalesData[[#This Row],[Profit(€)]]/SalesData[[#This Row],[Contracts Signed]])</f>
        <v>2149</v>
      </c>
      <c r="AJ2601" s="5" t="str">
        <f>TRIM(CLEAN(SalesData[[#This Row],[Retailer]]))</f>
        <v>Rhein Auto Group</v>
      </c>
    </row>
    <row r="2602" spans="1:36" ht="14.25" hidden="1" x14ac:dyDescent="0.2">
      <c r="A2602" t="s">
        <v>3700</v>
      </c>
      <c r="B2602" s="1">
        <v>46063</v>
      </c>
      <c r="C2602" t="s">
        <v>121</v>
      </c>
      <c r="D2602" t="s">
        <v>63</v>
      </c>
      <c r="E2602" t="s">
        <v>26</v>
      </c>
      <c r="F2602" t="s">
        <v>101</v>
      </c>
      <c r="G2602" t="s">
        <v>102</v>
      </c>
      <c r="H2602" t="s">
        <v>103</v>
      </c>
      <c r="I2602" t="s">
        <v>56</v>
      </c>
      <c r="J2602" t="s">
        <v>57</v>
      </c>
      <c r="K2602" t="s">
        <v>32</v>
      </c>
      <c r="L2602" t="s">
        <v>46</v>
      </c>
      <c r="M2602" t="s">
        <v>68</v>
      </c>
      <c r="N2602" t="s">
        <v>48</v>
      </c>
      <c r="O2602" t="s">
        <v>70</v>
      </c>
      <c r="P2602" t="s">
        <v>58</v>
      </c>
      <c r="Q2602" t="s">
        <v>38</v>
      </c>
      <c r="R2602">
        <v>169</v>
      </c>
      <c r="S2602">
        <v>100</v>
      </c>
      <c r="T2602">
        <v>64</v>
      </c>
      <c r="U2602">
        <v>24</v>
      </c>
      <c r="V2602" t="s">
        <v>6629</v>
      </c>
      <c r="W2602">
        <v>53906</v>
      </c>
      <c r="X2602" t="s">
        <v>4758</v>
      </c>
      <c r="Y2602">
        <v>43497</v>
      </c>
      <c r="Z2602">
        <v>1293744</v>
      </c>
      <c r="AA2602">
        <v>249816</v>
      </c>
      <c r="AB2602" t="str">
        <f>(VLOOKUP(SalesData[[#This Row],[Month Number]],Reference!C$5:E$16,2,FALSE))</f>
        <v>Feb</v>
      </c>
      <c r="AC2602">
        <f>MONTH(SalesData[[#This Row],[Date]])</f>
        <v>2</v>
      </c>
      <c r="AD2602">
        <f>Reference!F$4</f>
        <v>2026</v>
      </c>
      <c r="AE2602" t="str">
        <f>IF(OR(SalesData[[#This Row],[Day]]="Saturday",SalesData[[#This Row],[Day]]="Sunday"),"Weekend","Weekday")</f>
        <v>Weekday</v>
      </c>
      <c r="AF2602" s="5">
        <f>IF(SalesData[[#This Row],[Contracts Offered]]=0,0,SalesData[[#This Row],[Contracts Signed]]/SalesData[[#This Row],[Contracts Offered]])</f>
        <v>0.375</v>
      </c>
      <c r="AG2602" s="5">
        <f>IF(SalesData[[#This Row],[Customers Visited]]=0,0,SalesData[[#This Row],[Test Drives]]/SalesData[[#This Row],[Customers Visited]])</f>
        <v>0.59171597633136097</v>
      </c>
      <c r="AH2602" s="5">
        <f>IF(SalesData[[#This Row],[Customers Visited]]=0,0,SalesData[[#This Row],[Contracts Signed]]/SalesData[[#This Row],[Customers Visited]])</f>
        <v>0.14201183431952663</v>
      </c>
      <c r="AI2602" s="6">
        <f>IF(SalesData[[#This Row],[Contracts Signed]]=0,0,SalesData[[#This Row],[Profit(€)]]/SalesData[[#This Row],[Contracts Signed]])</f>
        <v>10409</v>
      </c>
      <c r="AJ2602" s="5" t="str">
        <f>TRIM(CLEAN(SalesData[[#This Row],[Retailer]]))</f>
        <v>Ruhr Auto Plaza</v>
      </c>
    </row>
    <row r="2603" spans="1:36" ht="14.25" hidden="1" x14ac:dyDescent="0.2">
      <c r="A2603" t="s">
        <v>3701</v>
      </c>
      <c r="B2603" s="1">
        <v>46063</v>
      </c>
      <c r="C2603" t="s">
        <v>121</v>
      </c>
      <c r="D2603" t="s">
        <v>63</v>
      </c>
      <c r="E2603" t="s">
        <v>26</v>
      </c>
      <c r="F2603" t="s">
        <v>7649</v>
      </c>
      <c r="G2603" t="s">
        <v>55</v>
      </c>
      <c r="H2603" t="s">
        <v>55</v>
      </c>
      <c r="I2603" t="s">
        <v>104</v>
      </c>
      <c r="J2603" t="s">
        <v>7031</v>
      </c>
      <c r="K2603" t="s">
        <v>78</v>
      </c>
      <c r="L2603" t="s">
        <v>46</v>
      </c>
      <c r="M2603" t="s">
        <v>34</v>
      </c>
      <c r="N2603" t="s">
        <v>69</v>
      </c>
      <c r="O2603" t="s">
        <v>36</v>
      </c>
      <c r="P2603" t="s">
        <v>71</v>
      </c>
      <c r="Q2603" t="s">
        <v>347</v>
      </c>
      <c r="R2603">
        <v>373</v>
      </c>
      <c r="S2603">
        <v>214</v>
      </c>
      <c r="T2603">
        <v>133</v>
      </c>
      <c r="U2603">
        <v>44</v>
      </c>
      <c r="V2603" t="s">
        <v>6616</v>
      </c>
      <c r="W2603">
        <v>34869</v>
      </c>
      <c r="X2603" t="s">
        <v>1762</v>
      </c>
      <c r="Y2603">
        <v>30500</v>
      </c>
      <c r="Z2603">
        <v>1534236</v>
      </c>
      <c r="AA2603">
        <v>192236</v>
      </c>
      <c r="AB2603" t="str">
        <f>(VLOOKUP(SalesData[[#This Row],[Month Number]],Reference!C$5:E$16,2,FALSE))</f>
        <v>Feb</v>
      </c>
      <c r="AC2603">
        <f>MONTH(SalesData[[#This Row],[Date]])</f>
        <v>2</v>
      </c>
      <c r="AD2603">
        <f>Reference!F$4</f>
        <v>2026</v>
      </c>
      <c r="AE2603" t="str">
        <f>IF(OR(SalesData[[#This Row],[Day]]="Saturday",SalesData[[#This Row],[Day]]="Sunday"),"Weekend","Weekday")</f>
        <v>Weekday</v>
      </c>
      <c r="AF2603" s="5">
        <f>IF(SalesData[[#This Row],[Contracts Offered]]=0,0,SalesData[[#This Row],[Contracts Signed]]/SalesData[[#This Row],[Contracts Offered]])</f>
        <v>0.33082706766917291</v>
      </c>
      <c r="AG2603" s="5">
        <f>IF(SalesData[[#This Row],[Customers Visited]]=0,0,SalesData[[#This Row],[Test Drives]]/SalesData[[#This Row],[Customers Visited]])</f>
        <v>0.57372654155495983</v>
      </c>
      <c r="AH2603" s="5">
        <f>IF(SalesData[[#This Row],[Customers Visited]]=0,0,SalesData[[#This Row],[Contracts Signed]]/SalesData[[#This Row],[Customers Visited]])</f>
        <v>0.11796246648793565</v>
      </c>
      <c r="AI2603" s="6">
        <f>IF(SalesData[[#This Row],[Contracts Signed]]=0,0,SalesData[[#This Row],[Profit(€)]]/SalesData[[#This Row],[Contracts Signed]])</f>
        <v>4369</v>
      </c>
      <c r="AJ2603" s="5" t="str">
        <f>TRIM(CLEAN(SalesData[[#This Row],[Retailer]]))</f>
        <v>Autohaus Berlin</v>
      </c>
    </row>
    <row r="2604" spans="1:36" ht="14.25" hidden="1" x14ac:dyDescent="0.2">
      <c r="A2604" t="s">
        <v>3702</v>
      </c>
      <c r="B2604" s="1">
        <v>46071</v>
      </c>
      <c r="C2604" t="s">
        <v>62</v>
      </c>
      <c r="D2604" t="s">
        <v>82</v>
      </c>
      <c r="E2604" t="s">
        <v>26</v>
      </c>
      <c r="F2604" t="s">
        <v>83</v>
      </c>
      <c r="G2604" t="s">
        <v>84</v>
      </c>
      <c r="H2604" t="s">
        <v>85</v>
      </c>
      <c r="I2604" t="s">
        <v>64</v>
      </c>
      <c r="J2604" t="s">
        <v>7029</v>
      </c>
      <c r="K2604" t="s">
        <v>32</v>
      </c>
      <c r="L2604" t="s">
        <v>33</v>
      </c>
      <c r="M2604" t="s">
        <v>87</v>
      </c>
      <c r="N2604" t="s">
        <v>35</v>
      </c>
      <c r="O2604" t="s">
        <v>70</v>
      </c>
      <c r="P2604" t="s">
        <v>58</v>
      </c>
      <c r="Q2604" t="s">
        <v>189</v>
      </c>
      <c r="R2604">
        <v>204</v>
      </c>
      <c r="S2604">
        <v>103</v>
      </c>
      <c r="T2604">
        <v>72</v>
      </c>
      <c r="U2604">
        <v>26</v>
      </c>
      <c r="V2604" t="s">
        <v>6533</v>
      </c>
      <c r="W2604">
        <v>71015</v>
      </c>
      <c r="X2604" t="s">
        <v>7398</v>
      </c>
      <c r="Y2604">
        <v>52100</v>
      </c>
      <c r="Z2604">
        <v>1846390</v>
      </c>
      <c r="AA2604">
        <v>491790</v>
      </c>
      <c r="AB2604" t="str">
        <f>(VLOOKUP(SalesData[[#This Row],[Month Number]],Reference!C$5:E$16,2,FALSE))</f>
        <v>Feb</v>
      </c>
      <c r="AC2604">
        <f>MONTH(SalesData[[#This Row],[Date]])</f>
        <v>2</v>
      </c>
      <c r="AD2604">
        <f>Reference!F$4</f>
        <v>2026</v>
      </c>
      <c r="AE2604" t="str">
        <f>IF(OR(SalesData[[#This Row],[Day]]="Saturday",SalesData[[#This Row],[Day]]="Sunday"),"Weekend","Weekday")</f>
        <v>Weekday</v>
      </c>
      <c r="AF2604" s="5">
        <f>IF(SalesData[[#This Row],[Contracts Offered]]=0,0,SalesData[[#This Row],[Contracts Signed]]/SalesData[[#This Row],[Contracts Offered]])</f>
        <v>0.3611111111111111</v>
      </c>
      <c r="AG2604" s="5">
        <f>IF(SalesData[[#This Row],[Customers Visited]]=0,0,SalesData[[#This Row],[Test Drives]]/SalesData[[#This Row],[Customers Visited]])</f>
        <v>0.50490196078431371</v>
      </c>
      <c r="AH2604" s="5">
        <f>IF(SalesData[[#This Row],[Customers Visited]]=0,0,SalesData[[#This Row],[Contracts Signed]]/SalesData[[#This Row],[Customers Visited]])</f>
        <v>0.12745098039215685</v>
      </c>
      <c r="AI2604" s="6">
        <f>IF(SalesData[[#This Row],[Contracts Signed]]=0,0,SalesData[[#This Row],[Profit(€)]]/SalesData[[#This Row],[Contracts Signed]])</f>
        <v>18915</v>
      </c>
      <c r="AJ2604" s="5" t="str">
        <f>TRIM(CLEAN(SalesData[[#This Row],[Retailer]]))</f>
        <v>Hannover Cars</v>
      </c>
    </row>
    <row r="2605" spans="1:36" ht="14.25" x14ac:dyDescent="0.2">
      <c r="A2605" t="s">
        <v>3703</v>
      </c>
      <c r="B2605" s="1">
        <v>46079</v>
      </c>
      <c r="C2605" t="s">
        <v>53</v>
      </c>
      <c r="D2605" t="s">
        <v>100</v>
      </c>
      <c r="E2605" t="s">
        <v>26</v>
      </c>
      <c r="F2605" t="s">
        <v>101</v>
      </c>
      <c r="G2605" t="s">
        <v>102</v>
      </c>
      <c r="H2605" t="s">
        <v>103</v>
      </c>
      <c r="I2605" t="s">
        <v>30</v>
      </c>
      <c r="J2605" t="s">
        <v>188</v>
      </c>
      <c r="K2605" t="s">
        <v>66</v>
      </c>
      <c r="L2605" t="s">
        <v>33</v>
      </c>
      <c r="M2605" t="s">
        <v>68</v>
      </c>
      <c r="N2605" t="s">
        <v>48</v>
      </c>
      <c r="O2605" t="s">
        <v>36</v>
      </c>
      <c r="P2605" t="s">
        <v>49</v>
      </c>
      <c r="Q2605" t="s">
        <v>38</v>
      </c>
      <c r="R2605">
        <v>143</v>
      </c>
      <c r="S2605">
        <v>69</v>
      </c>
      <c r="T2605">
        <v>52</v>
      </c>
      <c r="U2605">
        <v>18</v>
      </c>
      <c r="V2605" t="s">
        <v>6360</v>
      </c>
      <c r="W2605">
        <v>53780</v>
      </c>
      <c r="X2605" t="s">
        <v>2693</v>
      </c>
      <c r="Y2605">
        <v>38454</v>
      </c>
      <c r="Z2605">
        <v>968040</v>
      </c>
      <c r="AA2605">
        <v>275868</v>
      </c>
      <c r="AB2605" t="str">
        <f>(VLOOKUP(SalesData[[#This Row],[Month Number]],Reference!C$5:E$16,2,FALSE))</f>
        <v>Feb</v>
      </c>
      <c r="AC2605">
        <f>MONTH(SalesData[[#This Row],[Date]])</f>
        <v>2</v>
      </c>
      <c r="AD2605">
        <f>Reference!F$4</f>
        <v>2026</v>
      </c>
      <c r="AE2605" t="str">
        <f>IF(OR(SalesData[[#This Row],[Day]]="Saturday",SalesData[[#This Row],[Day]]="Sunday"),"Weekend","Weekday")</f>
        <v>Weekday</v>
      </c>
      <c r="AF2605" s="5">
        <f>IF(SalesData[[#This Row],[Contracts Offered]]=0,0,SalesData[[#This Row],[Contracts Signed]]/SalesData[[#This Row],[Contracts Offered]])</f>
        <v>0.34615384615384615</v>
      </c>
      <c r="AG2605" s="5">
        <f>IF(SalesData[[#This Row],[Customers Visited]]=0,0,SalesData[[#This Row],[Test Drives]]/SalesData[[#This Row],[Customers Visited]])</f>
        <v>0.4825174825174825</v>
      </c>
      <c r="AH2605" s="5">
        <f>IF(SalesData[[#This Row],[Customers Visited]]=0,0,SalesData[[#This Row],[Contracts Signed]]/SalesData[[#This Row],[Customers Visited]])</f>
        <v>0.12587412587412589</v>
      </c>
      <c r="AI2605" s="6">
        <f>IF(SalesData[[#This Row],[Contracts Signed]]=0,0,SalesData[[#This Row],[Profit(€)]]/SalesData[[#This Row],[Contracts Signed]])</f>
        <v>15326</v>
      </c>
      <c r="AJ2605" s="5" t="str">
        <f>TRIM(CLEAN(SalesData[[#This Row],[Retailer]]))</f>
        <v>Ruhr Auto Plaza</v>
      </c>
    </row>
    <row r="2606" spans="1:36" ht="14.25" hidden="1" x14ac:dyDescent="0.2">
      <c r="A2606" t="s">
        <v>3705</v>
      </c>
      <c r="B2606" s="1">
        <v>46065</v>
      </c>
      <c r="C2606" t="s">
        <v>121</v>
      </c>
      <c r="D2606" t="s">
        <v>100</v>
      </c>
      <c r="E2606" t="s">
        <v>26</v>
      </c>
      <c r="F2606" t="s">
        <v>7649</v>
      </c>
      <c r="G2606" t="s">
        <v>55</v>
      </c>
      <c r="H2606" t="s">
        <v>55</v>
      </c>
      <c r="I2606" t="s">
        <v>104</v>
      </c>
      <c r="J2606" t="s">
        <v>143</v>
      </c>
      <c r="K2606" t="s">
        <v>32</v>
      </c>
      <c r="L2606" t="s">
        <v>67</v>
      </c>
      <c r="M2606" t="s">
        <v>87</v>
      </c>
      <c r="N2606" t="s">
        <v>35</v>
      </c>
      <c r="O2606" t="s">
        <v>36</v>
      </c>
      <c r="P2606" t="s">
        <v>37</v>
      </c>
      <c r="Q2606" t="s">
        <v>158</v>
      </c>
      <c r="R2606">
        <v>460</v>
      </c>
      <c r="S2606">
        <v>261</v>
      </c>
      <c r="T2606">
        <v>184</v>
      </c>
      <c r="U2606">
        <v>42</v>
      </c>
      <c r="V2606" t="s">
        <v>365</v>
      </c>
      <c r="W2606">
        <v>28920</v>
      </c>
      <c r="X2606" t="s">
        <v>4025</v>
      </c>
      <c r="Y2606">
        <v>25200</v>
      </c>
      <c r="Z2606">
        <v>1214640</v>
      </c>
      <c r="AA2606">
        <v>156240</v>
      </c>
      <c r="AB2606" t="str">
        <f>(VLOOKUP(SalesData[[#This Row],[Month Number]],Reference!C$5:E$16,2,FALSE))</f>
        <v>Feb</v>
      </c>
      <c r="AC2606">
        <f>MONTH(SalesData[[#This Row],[Date]])</f>
        <v>2</v>
      </c>
      <c r="AD2606">
        <f>Reference!F$4</f>
        <v>2026</v>
      </c>
      <c r="AE2606" t="str">
        <f>IF(OR(SalesData[[#This Row],[Day]]="Saturday",SalesData[[#This Row],[Day]]="Sunday"),"Weekend","Weekday")</f>
        <v>Weekday</v>
      </c>
      <c r="AF2606" s="5">
        <f>IF(SalesData[[#This Row],[Contracts Offered]]=0,0,SalesData[[#This Row],[Contracts Signed]]/SalesData[[#This Row],[Contracts Offered]])</f>
        <v>0.22826086956521738</v>
      </c>
      <c r="AG2606" s="5">
        <f>IF(SalesData[[#This Row],[Customers Visited]]=0,0,SalesData[[#This Row],[Test Drives]]/SalesData[[#This Row],[Customers Visited]])</f>
        <v>0.56739130434782614</v>
      </c>
      <c r="AH2606" s="5">
        <f>IF(SalesData[[#This Row],[Customers Visited]]=0,0,SalesData[[#This Row],[Contracts Signed]]/SalesData[[#This Row],[Customers Visited]])</f>
        <v>9.1304347826086957E-2</v>
      </c>
      <c r="AI2606" s="6">
        <f>IF(SalesData[[#This Row],[Contracts Signed]]=0,0,SalesData[[#This Row],[Profit(€)]]/SalesData[[#This Row],[Contracts Signed]])</f>
        <v>3720</v>
      </c>
      <c r="AJ2606" s="5" t="str">
        <f>TRIM(CLEAN(SalesData[[#This Row],[Retailer]]))</f>
        <v>Autohaus Berlin</v>
      </c>
    </row>
    <row r="2607" spans="1:36" ht="14.25" hidden="1" x14ac:dyDescent="0.2">
      <c r="A2607" t="s">
        <v>3706</v>
      </c>
      <c r="B2607" s="1">
        <v>46077</v>
      </c>
      <c r="C2607" t="s">
        <v>53</v>
      </c>
      <c r="D2607" t="s">
        <v>63</v>
      </c>
      <c r="E2607" t="s">
        <v>26</v>
      </c>
      <c r="F2607" t="s">
        <v>83</v>
      </c>
      <c r="G2607" t="s">
        <v>84</v>
      </c>
      <c r="H2607" t="s">
        <v>85</v>
      </c>
      <c r="I2607" t="s">
        <v>104</v>
      </c>
      <c r="J2607" t="s">
        <v>7061</v>
      </c>
      <c r="K2607" t="s">
        <v>91</v>
      </c>
      <c r="L2607" t="s">
        <v>46</v>
      </c>
      <c r="M2607" t="s">
        <v>68</v>
      </c>
      <c r="N2607" t="s">
        <v>48</v>
      </c>
      <c r="O2607" t="s">
        <v>36</v>
      </c>
      <c r="P2607" t="s">
        <v>49</v>
      </c>
      <c r="Q2607" t="s">
        <v>129</v>
      </c>
      <c r="R2607">
        <v>266</v>
      </c>
      <c r="S2607">
        <v>137</v>
      </c>
      <c r="T2607">
        <v>92</v>
      </c>
      <c r="U2607">
        <v>22</v>
      </c>
      <c r="V2607" t="s">
        <v>1969</v>
      </c>
      <c r="W2607">
        <v>28250</v>
      </c>
      <c r="X2607" t="s">
        <v>1762</v>
      </c>
      <c r="Y2607">
        <v>24774</v>
      </c>
      <c r="Z2607">
        <v>621500</v>
      </c>
      <c r="AA2607">
        <v>76472</v>
      </c>
      <c r="AB2607" t="str">
        <f>(VLOOKUP(SalesData[[#This Row],[Month Number]],Reference!C$5:E$16,2,FALSE))</f>
        <v>Feb</v>
      </c>
      <c r="AC2607">
        <f>MONTH(SalesData[[#This Row],[Date]])</f>
        <v>2</v>
      </c>
      <c r="AD2607">
        <f>Reference!F$4</f>
        <v>2026</v>
      </c>
      <c r="AE2607" t="str">
        <f>IF(OR(SalesData[[#This Row],[Day]]="Saturday",SalesData[[#This Row],[Day]]="Sunday"),"Weekend","Weekday")</f>
        <v>Weekday</v>
      </c>
      <c r="AF2607" s="5">
        <f>IF(SalesData[[#This Row],[Contracts Offered]]=0,0,SalesData[[#This Row],[Contracts Signed]]/SalesData[[#This Row],[Contracts Offered]])</f>
        <v>0.2391304347826087</v>
      </c>
      <c r="AG2607" s="5">
        <f>IF(SalesData[[#This Row],[Customers Visited]]=0,0,SalesData[[#This Row],[Test Drives]]/SalesData[[#This Row],[Customers Visited]])</f>
        <v>0.51503759398496241</v>
      </c>
      <c r="AH2607" s="5">
        <f>IF(SalesData[[#This Row],[Customers Visited]]=0,0,SalesData[[#This Row],[Contracts Signed]]/SalesData[[#This Row],[Customers Visited]])</f>
        <v>8.2706766917293228E-2</v>
      </c>
      <c r="AI2607" s="6">
        <f>IF(SalesData[[#This Row],[Contracts Signed]]=0,0,SalesData[[#This Row],[Profit(€)]]/SalesData[[#This Row],[Contracts Signed]])</f>
        <v>3476</v>
      </c>
      <c r="AJ2607" s="5" t="str">
        <f>TRIM(CLEAN(SalesData[[#This Row],[Retailer]]))</f>
        <v>Hannover Cars</v>
      </c>
    </row>
    <row r="2608" spans="1:36" ht="14.25" hidden="1" x14ac:dyDescent="0.2">
      <c r="A2608" t="s">
        <v>3708</v>
      </c>
      <c r="B2608" s="1">
        <v>46077</v>
      </c>
      <c r="C2608" t="s">
        <v>53</v>
      </c>
      <c r="D2608" t="s">
        <v>63</v>
      </c>
      <c r="E2608" t="s">
        <v>26</v>
      </c>
      <c r="F2608" t="s">
        <v>114</v>
      </c>
      <c r="G2608" t="s">
        <v>115</v>
      </c>
      <c r="H2608" t="s">
        <v>115</v>
      </c>
      <c r="I2608" t="s">
        <v>64</v>
      </c>
      <c r="J2608" t="s">
        <v>111</v>
      </c>
      <c r="K2608" t="s">
        <v>66</v>
      </c>
      <c r="L2608" t="s">
        <v>46</v>
      </c>
      <c r="M2608" t="s">
        <v>87</v>
      </c>
      <c r="N2608" t="s">
        <v>69</v>
      </c>
      <c r="O2608" t="s">
        <v>70</v>
      </c>
      <c r="P2608" t="s">
        <v>71</v>
      </c>
      <c r="Q2608" t="s">
        <v>129</v>
      </c>
      <c r="R2608">
        <v>179</v>
      </c>
      <c r="S2608">
        <v>101</v>
      </c>
      <c r="T2608">
        <v>68</v>
      </c>
      <c r="U2608">
        <v>26</v>
      </c>
      <c r="V2608" t="s">
        <v>6599</v>
      </c>
      <c r="W2608">
        <v>69863</v>
      </c>
      <c r="X2608" t="s">
        <v>7198</v>
      </c>
      <c r="Y2608">
        <v>54909</v>
      </c>
      <c r="Z2608">
        <v>1816438</v>
      </c>
      <c r="AA2608">
        <v>388804</v>
      </c>
      <c r="AB2608" t="str">
        <f>(VLOOKUP(SalesData[[#This Row],[Month Number]],Reference!C$5:E$16,2,FALSE))</f>
        <v>Feb</v>
      </c>
      <c r="AC2608">
        <f>MONTH(SalesData[[#This Row],[Date]])</f>
        <v>2</v>
      </c>
      <c r="AD2608">
        <f>Reference!F$4</f>
        <v>2026</v>
      </c>
      <c r="AE2608" t="str">
        <f>IF(OR(SalesData[[#This Row],[Day]]="Saturday",SalesData[[#This Row],[Day]]="Sunday"),"Weekend","Weekday")</f>
        <v>Weekday</v>
      </c>
      <c r="AF2608" s="5">
        <f>IF(SalesData[[#This Row],[Contracts Offered]]=0,0,SalesData[[#This Row],[Contracts Signed]]/SalesData[[#This Row],[Contracts Offered]])</f>
        <v>0.38235294117647056</v>
      </c>
      <c r="AG2608" s="5">
        <f>IF(SalesData[[#This Row],[Customers Visited]]=0,0,SalesData[[#This Row],[Test Drives]]/SalesData[[#This Row],[Customers Visited]])</f>
        <v>0.56424581005586594</v>
      </c>
      <c r="AH2608" s="5">
        <f>IF(SalesData[[#This Row],[Customers Visited]]=0,0,SalesData[[#This Row],[Contracts Signed]]/SalesData[[#This Row],[Customers Visited]])</f>
        <v>0.14525139664804471</v>
      </c>
      <c r="AI2608" s="6">
        <f>IF(SalesData[[#This Row],[Contracts Signed]]=0,0,SalesData[[#This Row],[Profit(€)]]/SalesData[[#This Row],[Contracts Signed]])</f>
        <v>14954</v>
      </c>
      <c r="AJ2608" s="5" t="str">
        <f>TRIM(CLEAN(SalesData[[#This Row],[Retailer]]))</f>
        <v>Elbe Drive</v>
      </c>
    </row>
    <row r="2609" spans="1:36" ht="14.25" x14ac:dyDescent="0.2">
      <c r="A2609" t="s">
        <v>3709</v>
      </c>
      <c r="B2609" s="1">
        <v>46073</v>
      </c>
      <c r="C2609" t="s">
        <v>62</v>
      </c>
      <c r="D2609" t="s">
        <v>54</v>
      </c>
      <c r="E2609" t="s">
        <v>26</v>
      </c>
      <c r="F2609" t="s">
        <v>83</v>
      </c>
      <c r="G2609" t="s">
        <v>84</v>
      </c>
      <c r="H2609" t="s">
        <v>85</v>
      </c>
      <c r="I2609" t="s">
        <v>30</v>
      </c>
      <c r="J2609" t="s">
        <v>188</v>
      </c>
      <c r="K2609" t="s">
        <v>91</v>
      </c>
      <c r="L2609" t="s">
        <v>33</v>
      </c>
      <c r="M2609" t="s">
        <v>68</v>
      </c>
      <c r="N2609" t="s">
        <v>69</v>
      </c>
      <c r="O2609" t="s">
        <v>70</v>
      </c>
      <c r="P2609" t="s">
        <v>58</v>
      </c>
      <c r="Q2609" t="s">
        <v>347</v>
      </c>
      <c r="R2609">
        <v>232</v>
      </c>
      <c r="S2609">
        <v>108</v>
      </c>
      <c r="T2609">
        <v>87</v>
      </c>
      <c r="U2609">
        <v>31</v>
      </c>
      <c r="V2609" t="s">
        <v>6511</v>
      </c>
      <c r="W2609">
        <v>55772</v>
      </c>
      <c r="X2609" t="s">
        <v>7316</v>
      </c>
      <c r="Y2609">
        <v>41443</v>
      </c>
      <c r="Z2609">
        <v>1728932</v>
      </c>
      <c r="AA2609">
        <v>444199</v>
      </c>
      <c r="AB2609" t="str">
        <f>(VLOOKUP(SalesData[[#This Row],[Month Number]],Reference!C$5:E$16,2,FALSE))</f>
        <v>Feb</v>
      </c>
      <c r="AC2609">
        <f>MONTH(SalesData[[#This Row],[Date]])</f>
        <v>2</v>
      </c>
      <c r="AD2609">
        <f>Reference!F$4</f>
        <v>2026</v>
      </c>
      <c r="AE2609" t="str">
        <f>IF(OR(SalesData[[#This Row],[Day]]="Saturday",SalesData[[#This Row],[Day]]="Sunday"),"Weekend","Weekday")</f>
        <v>Weekday</v>
      </c>
      <c r="AF2609" s="5">
        <f>IF(SalesData[[#This Row],[Contracts Offered]]=0,0,SalesData[[#This Row],[Contracts Signed]]/SalesData[[#This Row],[Contracts Offered]])</f>
        <v>0.35632183908045978</v>
      </c>
      <c r="AG2609" s="5">
        <f>IF(SalesData[[#This Row],[Customers Visited]]=0,0,SalesData[[#This Row],[Test Drives]]/SalesData[[#This Row],[Customers Visited]])</f>
        <v>0.46551724137931033</v>
      </c>
      <c r="AH2609" s="5">
        <f>IF(SalesData[[#This Row],[Customers Visited]]=0,0,SalesData[[#This Row],[Contracts Signed]]/SalesData[[#This Row],[Customers Visited]])</f>
        <v>0.1336206896551724</v>
      </c>
      <c r="AI2609" s="6">
        <f>IF(SalesData[[#This Row],[Contracts Signed]]=0,0,SalesData[[#This Row],[Profit(€)]]/SalesData[[#This Row],[Contracts Signed]])</f>
        <v>14329</v>
      </c>
      <c r="AJ2609" s="5" t="str">
        <f>TRIM(CLEAN(SalesData[[#This Row],[Retailer]]))</f>
        <v>Hannover Cars</v>
      </c>
    </row>
    <row r="2610" spans="1:36" ht="14.25" hidden="1" x14ac:dyDescent="0.2">
      <c r="A2610" t="s">
        <v>3710</v>
      </c>
      <c r="B2610" s="1">
        <v>46064</v>
      </c>
      <c r="C2610" t="s">
        <v>121</v>
      </c>
      <c r="D2610" t="s">
        <v>82</v>
      </c>
      <c r="E2610" t="s">
        <v>26</v>
      </c>
      <c r="F2610" t="s">
        <v>43</v>
      </c>
      <c r="G2610" t="s">
        <v>44</v>
      </c>
      <c r="H2610" t="s">
        <v>45</v>
      </c>
      <c r="I2610" t="s">
        <v>104</v>
      </c>
      <c r="J2610" t="s">
        <v>7061</v>
      </c>
      <c r="K2610" t="s">
        <v>78</v>
      </c>
      <c r="L2610" t="s">
        <v>46</v>
      </c>
      <c r="M2610" t="s">
        <v>47</v>
      </c>
      <c r="N2610" t="s">
        <v>69</v>
      </c>
      <c r="O2610" t="s">
        <v>36</v>
      </c>
      <c r="P2610" t="s">
        <v>37</v>
      </c>
      <c r="Q2610" t="s">
        <v>347</v>
      </c>
      <c r="R2610">
        <v>318</v>
      </c>
      <c r="S2610">
        <v>176</v>
      </c>
      <c r="T2610">
        <v>104</v>
      </c>
      <c r="U2610">
        <v>24</v>
      </c>
      <c r="V2610" t="s">
        <v>1011</v>
      </c>
      <c r="W2610">
        <v>27392</v>
      </c>
      <c r="X2610" t="s">
        <v>1438</v>
      </c>
      <c r="Y2610">
        <v>23604</v>
      </c>
      <c r="Z2610">
        <v>657408</v>
      </c>
      <c r="AA2610">
        <v>90912</v>
      </c>
      <c r="AB2610" t="str">
        <f>(VLOOKUP(SalesData[[#This Row],[Month Number]],Reference!C$5:E$16,2,FALSE))</f>
        <v>Feb</v>
      </c>
      <c r="AC2610">
        <f>MONTH(SalesData[[#This Row],[Date]])</f>
        <v>2</v>
      </c>
      <c r="AD2610">
        <f>Reference!F$4</f>
        <v>2026</v>
      </c>
      <c r="AE2610" t="str">
        <f>IF(OR(SalesData[[#This Row],[Day]]="Saturday",SalesData[[#This Row],[Day]]="Sunday"),"Weekend","Weekday")</f>
        <v>Weekday</v>
      </c>
      <c r="AF2610" s="5">
        <f>IF(SalesData[[#This Row],[Contracts Offered]]=0,0,SalesData[[#This Row],[Contracts Signed]]/SalesData[[#This Row],[Contracts Offered]])</f>
        <v>0.23076923076923078</v>
      </c>
      <c r="AG2610" s="5">
        <f>IF(SalesData[[#This Row],[Customers Visited]]=0,0,SalesData[[#This Row],[Test Drives]]/SalesData[[#This Row],[Customers Visited]])</f>
        <v>0.55345911949685533</v>
      </c>
      <c r="AH2610" s="5">
        <f>IF(SalesData[[#This Row],[Customers Visited]]=0,0,SalesData[[#This Row],[Contracts Signed]]/SalesData[[#This Row],[Customers Visited]])</f>
        <v>7.5471698113207544E-2</v>
      </c>
      <c r="AI2610" s="6">
        <f>IF(SalesData[[#This Row],[Contracts Signed]]=0,0,SalesData[[#This Row],[Profit(€)]]/SalesData[[#This Row],[Contracts Signed]])</f>
        <v>3788</v>
      </c>
      <c r="AJ2610" s="5" t="str">
        <f>TRIM(CLEAN(SalesData[[#This Row],[Retailer]]))</f>
        <v>Saxon Wheels</v>
      </c>
    </row>
    <row r="2611" spans="1:36" ht="14.25" hidden="1" x14ac:dyDescent="0.2">
      <c r="A2611" t="s">
        <v>3711</v>
      </c>
      <c r="B2611" s="1">
        <v>46081</v>
      </c>
      <c r="C2611" t="s">
        <v>53</v>
      </c>
      <c r="D2611" t="s">
        <v>151</v>
      </c>
      <c r="E2611" t="s">
        <v>42</v>
      </c>
      <c r="F2611" t="s">
        <v>27</v>
      </c>
      <c r="G2611" t="s">
        <v>28</v>
      </c>
      <c r="H2611" t="s">
        <v>29</v>
      </c>
      <c r="I2611" t="s">
        <v>116</v>
      </c>
      <c r="J2611" t="s">
        <v>132</v>
      </c>
      <c r="K2611" t="s">
        <v>78</v>
      </c>
      <c r="L2611" t="s">
        <v>46</v>
      </c>
      <c r="M2611" t="s">
        <v>47</v>
      </c>
      <c r="N2611" t="s">
        <v>48</v>
      </c>
      <c r="O2611" t="s">
        <v>36</v>
      </c>
      <c r="P2611" t="s">
        <v>37</v>
      </c>
      <c r="Q2611" t="s">
        <v>189</v>
      </c>
      <c r="R2611">
        <v>295</v>
      </c>
      <c r="S2611">
        <v>139</v>
      </c>
      <c r="T2611">
        <v>87</v>
      </c>
      <c r="U2611">
        <v>17</v>
      </c>
      <c r="V2611" t="s">
        <v>1842</v>
      </c>
      <c r="W2611">
        <v>19807</v>
      </c>
      <c r="X2611" t="s">
        <v>3035</v>
      </c>
      <c r="Y2611">
        <v>17782</v>
      </c>
      <c r="Z2611">
        <v>336719</v>
      </c>
      <c r="AA2611">
        <v>34425</v>
      </c>
      <c r="AB2611" t="str">
        <f>(VLOOKUP(SalesData[[#This Row],[Month Number]],Reference!C$5:E$16,2,FALSE))</f>
        <v>Feb</v>
      </c>
      <c r="AC2611">
        <f>MONTH(SalesData[[#This Row],[Date]])</f>
        <v>2</v>
      </c>
      <c r="AD2611">
        <f>Reference!F$4</f>
        <v>2026</v>
      </c>
      <c r="AE2611" t="str">
        <f>IF(OR(SalesData[[#This Row],[Day]]="Saturday",SalesData[[#This Row],[Day]]="Sunday"),"Weekend","Weekday")</f>
        <v>Weekend</v>
      </c>
      <c r="AF2611" s="5">
        <f>IF(SalesData[[#This Row],[Contracts Offered]]=0,0,SalesData[[#This Row],[Contracts Signed]]/SalesData[[#This Row],[Contracts Offered]])</f>
        <v>0.19540229885057472</v>
      </c>
      <c r="AG2611" s="5">
        <f>IF(SalesData[[#This Row],[Customers Visited]]=0,0,SalesData[[#This Row],[Test Drives]]/SalesData[[#This Row],[Customers Visited]])</f>
        <v>0.47118644067796611</v>
      </c>
      <c r="AH2611" s="5">
        <f>IF(SalesData[[#This Row],[Customers Visited]]=0,0,SalesData[[#This Row],[Contracts Signed]]/SalesData[[#This Row],[Customers Visited]])</f>
        <v>5.7627118644067797E-2</v>
      </c>
      <c r="AI2611" s="6">
        <f>IF(SalesData[[#This Row],[Contracts Signed]]=0,0,SalesData[[#This Row],[Profit(€)]]/SalesData[[#This Row],[Contracts Signed]])</f>
        <v>2025</v>
      </c>
      <c r="AJ2611" s="5" t="str">
        <f>TRIM(CLEAN(SalesData[[#This Row],[Retailer]]))</f>
        <v>Main Auto Hub</v>
      </c>
    </row>
    <row r="2612" spans="1:36" ht="14.25" hidden="1" x14ac:dyDescent="0.2">
      <c r="A2612" t="s">
        <v>3712</v>
      </c>
      <c r="B2612" s="1">
        <v>46055</v>
      </c>
      <c r="C2612" t="s">
        <v>24</v>
      </c>
      <c r="D2612" t="s">
        <v>25</v>
      </c>
      <c r="E2612" t="s">
        <v>26</v>
      </c>
      <c r="F2612" t="s">
        <v>94</v>
      </c>
      <c r="G2612" t="s">
        <v>95</v>
      </c>
      <c r="H2612" t="s">
        <v>96</v>
      </c>
      <c r="I2612" t="s">
        <v>56</v>
      </c>
      <c r="J2612" t="s">
        <v>97</v>
      </c>
      <c r="K2612" t="s">
        <v>66</v>
      </c>
      <c r="L2612" t="s">
        <v>33</v>
      </c>
      <c r="M2612" t="s">
        <v>68</v>
      </c>
      <c r="N2612" t="s">
        <v>35</v>
      </c>
      <c r="O2612" t="s">
        <v>70</v>
      </c>
      <c r="P2612" t="s">
        <v>49</v>
      </c>
      <c r="Q2612" t="s">
        <v>169</v>
      </c>
      <c r="R2612">
        <v>268</v>
      </c>
      <c r="S2612">
        <v>166</v>
      </c>
      <c r="T2612">
        <v>110</v>
      </c>
      <c r="U2612">
        <v>40</v>
      </c>
      <c r="V2612" t="s">
        <v>6361</v>
      </c>
      <c r="W2612">
        <v>50710</v>
      </c>
      <c r="X2612" t="s">
        <v>1347</v>
      </c>
      <c r="Y2612">
        <v>38779</v>
      </c>
      <c r="Z2612">
        <v>2028400</v>
      </c>
      <c r="AA2612">
        <v>477240</v>
      </c>
      <c r="AB2612" t="str">
        <f>(VLOOKUP(SalesData[[#This Row],[Month Number]],Reference!C$5:E$16,2,FALSE))</f>
        <v>Feb</v>
      </c>
      <c r="AC2612">
        <f>MONTH(SalesData[[#This Row],[Date]])</f>
        <v>2</v>
      </c>
      <c r="AD2612">
        <f>Reference!F$4</f>
        <v>2026</v>
      </c>
      <c r="AE2612" t="str">
        <f>IF(OR(SalesData[[#This Row],[Day]]="Saturday",SalesData[[#This Row],[Day]]="Sunday"),"Weekend","Weekday")</f>
        <v>Weekday</v>
      </c>
      <c r="AF2612" s="5">
        <f>IF(SalesData[[#This Row],[Contracts Offered]]=0,0,SalesData[[#This Row],[Contracts Signed]]/SalesData[[#This Row],[Contracts Offered]])</f>
        <v>0.36363636363636365</v>
      </c>
      <c r="AG2612" s="5">
        <f>IF(SalesData[[#This Row],[Customers Visited]]=0,0,SalesData[[#This Row],[Test Drives]]/SalesData[[#This Row],[Customers Visited]])</f>
        <v>0.61940298507462688</v>
      </c>
      <c r="AH2612" s="5">
        <f>IF(SalesData[[#This Row],[Customers Visited]]=0,0,SalesData[[#This Row],[Contracts Signed]]/SalesData[[#This Row],[Customers Visited]])</f>
        <v>0.14925373134328357</v>
      </c>
      <c r="AI2612" s="6">
        <f>IF(SalesData[[#This Row],[Contracts Signed]]=0,0,SalesData[[#This Row],[Profit(€)]]/SalesData[[#This Row],[Contracts Signed]])</f>
        <v>11931</v>
      </c>
      <c r="AJ2612" s="5" t="str">
        <f>TRIM(CLEAN(SalesData[[#This Row],[Retailer]]))</f>
        <v>Bavaria Motors</v>
      </c>
    </row>
    <row r="2613" spans="1:36" ht="14.25" x14ac:dyDescent="0.2">
      <c r="A2613" t="s">
        <v>3714</v>
      </c>
      <c r="B2613" s="1">
        <v>46064</v>
      </c>
      <c r="C2613" t="s">
        <v>121</v>
      </c>
      <c r="D2613" t="s">
        <v>82</v>
      </c>
      <c r="E2613" t="s">
        <v>26</v>
      </c>
      <c r="F2613" t="s">
        <v>27</v>
      </c>
      <c r="G2613" t="s">
        <v>28</v>
      </c>
      <c r="H2613" t="s">
        <v>29</v>
      </c>
      <c r="I2613" t="s">
        <v>30</v>
      </c>
      <c r="J2613" t="s">
        <v>7075</v>
      </c>
      <c r="K2613" t="s">
        <v>91</v>
      </c>
      <c r="L2613" t="s">
        <v>33</v>
      </c>
      <c r="M2613" t="s">
        <v>68</v>
      </c>
      <c r="N2613" t="s">
        <v>48</v>
      </c>
      <c r="O2613" t="s">
        <v>70</v>
      </c>
      <c r="P2613" t="s">
        <v>37</v>
      </c>
      <c r="Q2613" t="s">
        <v>50</v>
      </c>
      <c r="R2613">
        <v>249</v>
      </c>
      <c r="S2613">
        <v>123</v>
      </c>
      <c r="T2613">
        <v>90</v>
      </c>
      <c r="U2613">
        <v>34</v>
      </c>
      <c r="V2613" t="s">
        <v>6678</v>
      </c>
      <c r="W2613">
        <v>50641</v>
      </c>
      <c r="X2613" t="s">
        <v>7149</v>
      </c>
      <c r="Y2613">
        <v>38113</v>
      </c>
      <c r="Z2613">
        <v>1721794</v>
      </c>
      <c r="AA2613">
        <v>425952</v>
      </c>
      <c r="AB2613" t="str">
        <f>(VLOOKUP(SalesData[[#This Row],[Month Number]],Reference!C$5:E$16,2,FALSE))</f>
        <v>Feb</v>
      </c>
      <c r="AC2613">
        <f>MONTH(SalesData[[#This Row],[Date]])</f>
        <v>2</v>
      </c>
      <c r="AD2613">
        <f>Reference!F$4</f>
        <v>2026</v>
      </c>
      <c r="AE2613" t="str">
        <f>IF(OR(SalesData[[#This Row],[Day]]="Saturday",SalesData[[#This Row],[Day]]="Sunday"),"Weekend","Weekday")</f>
        <v>Weekday</v>
      </c>
      <c r="AF2613" s="5">
        <f>IF(SalesData[[#This Row],[Contracts Offered]]=0,0,SalesData[[#This Row],[Contracts Signed]]/SalesData[[#This Row],[Contracts Offered]])</f>
        <v>0.37777777777777777</v>
      </c>
      <c r="AG2613" s="5">
        <f>IF(SalesData[[#This Row],[Customers Visited]]=0,0,SalesData[[#This Row],[Test Drives]]/SalesData[[#This Row],[Customers Visited]])</f>
        <v>0.49397590361445781</v>
      </c>
      <c r="AH2613" s="5">
        <f>IF(SalesData[[#This Row],[Customers Visited]]=0,0,SalesData[[#This Row],[Contracts Signed]]/SalesData[[#This Row],[Customers Visited]])</f>
        <v>0.13654618473895583</v>
      </c>
      <c r="AI2613" s="6">
        <f>IF(SalesData[[#This Row],[Contracts Signed]]=0,0,SalesData[[#This Row],[Profit(€)]]/SalesData[[#This Row],[Contracts Signed]])</f>
        <v>12528</v>
      </c>
      <c r="AJ2613" s="5" t="str">
        <f>TRIM(CLEAN(SalesData[[#This Row],[Retailer]]))</f>
        <v>Main Auto Hub</v>
      </c>
    </row>
    <row r="2614" spans="1:36" ht="14.25" hidden="1" x14ac:dyDescent="0.2">
      <c r="A2614" t="s">
        <v>3716</v>
      </c>
      <c r="B2614" s="1">
        <v>46073</v>
      </c>
      <c r="C2614" t="s">
        <v>62</v>
      </c>
      <c r="D2614" t="s">
        <v>54</v>
      </c>
      <c r="E2614" t="s">
        <v>26</v>
      </c>
      <c r="F2614" t="s">
        <v>74</v>
      </c>
      <c r="G2614" t="s">
        <v>75</v>
      </c>
      <c r="H2614" t="s">
        <v>76</v>
      </c>
      <c r="I2614" t="s">
        <v>104</v>
      </c>
      <c r="J2614" t="s">
        <v>140</v>
      </c>
      <c r="K2614" t="s">
        <v>66</v>
      </c>
      <c r="L2614" t="s">
        <v>46</v>
      </c>
      <c r="M2614" t="s">
        <v>87</v>
      </c>
      <c r="N2614" t="s">
        <v>48</v>
      </c>
      <c r="O2614" t="s">
        <v>36</v>
      </c>
      <c r="P2614" t="s">
        <v>58</v>
      </c>
      <c r="Q2614" t="s">
        <v>152</v>
      </c>
      <c r="R2614">
        <v>452</v>
      </c>
      <c r="S2614">
        <v>236</v>
      </c>
      <c r="T2614">
        <v>142</v>
      </c>
      <c r="U2614">
        <v>43</v>
      </c>
      <c r="V2614" t="s">
        <v>3110</v>
      </c>
      <c r="W2614">
        <v>32960</v>
      </c>
      <c r="X2614" t="s">
        <v>226</v>
      </c>
      <c r="Y2614">
        <v>29059</v>
      </c>
      <c r="Z2614">
        <v>1417280</v>
      </c>
      <c r="AA2614">
        <v>167743</v>
      </c>
      <c r="AB2614" t="str">
        <f>(VLOOKUP(SalesData[[#This Row],[Month Number]],Reference!C$5:E$16,2,FALSE))</f>
        <v>Feb</v>
      </c>
      <c r="AC2614">
        <f>MONTH(SalesData[[#This Row],[Date]])</f>
        <v>2</v>
      </c>
      <c r="AD2614">
        <f>Reference!F$4</f>
        <v>2026</v>
      </c>
      <c r="AE2614" t="str">
        <f>IF(OR(SalesData[[#This Row],[Day]]="Saturday",SalesData[[#This Row],[Day]]="Sunday"),"Weekend","Weekday")</f>
        <v>Weekday</v>
      </c>
      <c r="AF2614" s="5">
        <f>IF(SalesData[[#This Row],[Contracts Offered]]=0,0,SalesData[[#This Row],[Contracts Signed]]/SalesData[[#This Row],[Contracts Offered]])</f>
        <v>0.30281690140845069</v>
      </c>
      <c r="AG2614" s="5">
        <f>IF(SalesData[[#This Row],[Customers Visited]]=0,0,SalesData[[#This Row],[Test Drives]]/SalesData[[#This Row],[Customers Visited]])</f>
        <v>0.52212389380530977</v>
      </c>
      <c r="AH2614" s="5">
        <f>IF(SalesData[[#This Row],[Customers Visited]]=0,0,SalesData[[#This Row],[Contracts Signed]]/SalesData[[#This Row],[Customers Visited]])</f>
        <v>9.5132743362831854E-2</v>
      </c>
      <c r="AI2614" s="6">
        <f>IF(SalesData[[#This Row],[Contracts Signed]]=0,0,SalesData[[#This Row],[Profit(€)]]/SalesData[[#This Row],[Contracts Signed]])</f>
        <v>3901</v>
      </c>
      <c r="AJ2614" s="5" t="str">
        <f>TRIM(CLEAN(SalesData[[#This Row],[Retailer]]))</f>
        <v>Stuttgart Auto Center</v>
      </c>
    </row>
    <row r="2615" spans="1:36" ht="14.25" hidden="1" x14ac:dyDescent="0.2">
      <c r="A2615" t="s">
        <v>3717</v>
      </c>
      <c r="B2615" s="1">
        <v>46068</v>
      </c>
      <c r="C2615" t="s">
        <v>62</v>
      </c>
      <c r="D2615" t="s">
        <v>41</v>
      </c>
      <c r="E2615" t="s">
        <v>42</v>
      </c>
      <c r="F2615" t="s">
        <v>43</v>
      </c>
      <c r="G2615" t="s">
        <v>44</v>
      </c>
      <c r="H2615" t="s">
        <v>45</v>
      </c>
      <c r="I2615" t="s">
        <v>104</v>
      </c>
      <c r="J2615" t="s">
        <v>140</v>
      </c>
      <c r="K2615" t="s">
        <v>32</v>
      </c>
      <c r="L2615" t="s">
        <v>46</v>
      </c>
      <c r="M2615" t="s">
        <v>87</v>
      </c>
      <c r="N2615" t="s">
        <v>35</v>
      </c>
      <c r="O2615" t="s">
        <v>36</v>
      </c>
      <c r="P2615" t="s">
        <v>58</v>
      </c>
      <c r="Q2615" t="s">
        <v>158</v>
      </c>
      <c r="R2615">
        <v>498</v>
      </c>
      <c r="S2615">
        <v>243</v>
      </c>
      <c r="T2615">
        <v>148</v>
      </c>
      <c r="U2615">
        <v>41</v>
      </c>
      <c r="V2615" t="s">
        <v>2008</v>
      </c>
      <c r="W2615">
        <v>29519</v>
      </c>
      <c r="X2615" t="s">
        <v>1653</v>
      </c>
      <c r="Y2615">
        <v>26510</v>
      </c>
      <c r="Z2615">
        <v>1210279</v>
      </c>
      <c r="AA2615">
        <v>123369</v>
      </c>
      <c r="AB2615" t="str">
        <f>(VLOOKUP(SalesData[[#This Row],[Month Number]],Reference!C$5:E$16,2,FALSE))</f>
        <v>Feb</v>
      </c>
      <c r="AC2615">
        <f>MONTH(SalesData[[#This Row],[Date]])</f>
        <v>2</v>
      </c>
      <c r="AD2615">
        <f>Reference!F$4</f>
        <v>2026</v>
      </c>
      <c r="AE2615" t="str">
        <f>IF(OR(SalesData[[#This Row],[Day]]="Saturday",SalesData[[#This Row],[Day]]="Sunday"),"Weekend","Weekday")</f>
        <v>Weekend</v>
      </c>
      <c r="AF2615" s="5">
        <f>IF(SalesData[[#This Row],[Contracts Offered]]=0,0,SalesData[[#This Row],[Contracts Signed]]/SalesData[[#This Row],[Contracts Offered]])</f>
        <v>0.27702702702702703</v>
      </c>
      <c r="AG2615" s="5">
        <f>IF(SalesData[[#This Row],[Customers Visited]]=0,0,SalesData[[#This Row],[Test Drives]]/SalesData[[#This Row],[Customers Visited]])</f>
        <v>0.48795180722891568</v>
      </c>
      <c r="AH2615" s="5">
        <f>IF(SalesData[[#This Row],[Customers Visited]]=0,0,SalesData[[#This Row],[Contracts Signed]]/SalesData[[#This Row],[Customers Visited]])</f>
        <v>8.2329317269076302E-2</v>
      </c>
      <c r="AI2615" s="6">
        <f>IF(SalesData[[#This Row],[Contracts Signed]]=0,0,SalesData[[#This Row],[Profit(€)]]/SalesData[[#This Row],[Contracts Signed]])</f>
        <v>3009</v>
      </c>
      <c r="AJ2615" s="5" t="str">
        <f>TRIM(CLEAN(SalesData[[#This Row],[Retailer]]))</f>
        <v>Saxon Wheels</v>
      </c>
    </row>
    <row r="2616" spans="1:36" ht="14.25" hidden="1" x14ac:dyDescent="0.2">
      <c r="A2616" t="s">
        <v>3718</v>
      </c>
      <c r="B2616" s="1">
        <v>46071</v>
      </c>
      <c r="C2616" t="s">
        <v>62</v>
      </c>
      <c r="D2616" t="s">
        <v>82</v>
      </c>
      <c r="E2616" t="s">
        <v>26</v>
      </c>
      <c r="F2616" t="s">
        <v>7649</v>
      </c>
      <c r="G2616" t="s">
        <v>55</v>
      </c>
      <c r="H2616" t="s">
        <v>55</v>
      </c>
      <c r="I2616" t="s">
        <v>104</v>
      </c>
      <c r="J2616" t="s">
        <v>140</v>
      </c>
      <c r="K2616" t="s">
        <v>66</v>
      </c>
      <c r="L2616" t="s">
        <v>46</v>
      </c>
      <c r="M2616" t="s">
        <v>34</v>
      </c>
      <c r="N2616" t="s">
        <v>69</v>
      </c>
      <c r="O2616" t="s">
        <v>36</v>
      </c>
      <c r="P2616" t="s">
        <v>49</v>
      </c>
      <c r="Q2616" t="s">
        <v>167</v>
      </c>
      <c r="R2616">
        <v>319</v>
      </c>
      <c r="S2616">
        <v>161</v>
      </c>
      <c r="T2616">
        <v>94</v>
      </c>
      <c r="U2616">
        <v>28</v>
      </c>
      <c r="V2616" t="s">
        <v>292</v>
      </c>
      <c r="W2616">
        <v>31638</v>
      </c>
      <c r="X2616" t="s">
        <v>7550</v>
      </c>
      <c r="Y2616">
        <v>28056</v>
      </c>
      <c r="Z2616">
        <v>885864</v>
      </c>
      <c r="AA2616">
        <v>100296</v>
      </c>
      <c r="AB2616" t="str">
        <f>(VLOOKUP(SalesData[[#This Row],[Month Number]],Reference!C$5:E$16,2,FALSE))</f>
        <v>Feb</v>
      </c>
      <c r="AC2616">
        <f>MONTH(SalesData[[#This Row],[Date]])</f>
        <v>2</v>
      </c>
      <c r="AD2616">
        <f>Reference!F$4</f>
        <v>2026</v>
      </c>
      <c r="AE2616" t="str">
        <f>IF(OR(SalesData[[#This Row],[Day]]="Saturday",SalesData[[#This Row],[Day]]="Sunday"),"Weekend","Weekday")</f>
        <v>Weekday</v>
      </c>
      <c r="AF2616" s="5">
        <f>IF(SalesData[[#This Row],[Contracts Offered]]=0,0,SalesData[[#This Row],[Contracts Signed]]/SalesData[[#This Row],[Contracts Offered]])</f>
        <v>0.2978723404255319</v>
      </c>
      <c r="AG2616" s="5">
        <f>IF(SalesData[[#This Row],[Customers Visited]]=0,0,SalesData[[#This Row],[Test Drives]]/SalesData[[#This Row],[Customers Visited]])</f>
        <v>0.50470219435736674</v>
      </c>
      <c r="AH2616" s="5">
        <f>IF(SalesData[[#This Row],[Customers Visited]]=0,0,SalesData[[#This Row],[Contracts Signed]]/SalesData[[#This Row],[Customers Visited]])</f>
        <v>8.7774294670846395E-2</v>
      </c>
      <c r="AI2616" s="6">
        <f>IF(SalesData[[#This Row],[Contracts Signed]]=0,0,SalesData[[#This Row],[Profit(€)]]/SalesData[[#This Row],[Contracts Signed]])</f>
        <v>3582</v>
      </c>
      <c r="AJ2616" s="5" t="str">
        <f>TRIM(CLEAN(SalesData[[#This Row],[Retailer]]))</f>
        <v>Autohaus Berlin</v>
      </c>
    </row>
    <row r="2617" spans="1:36" ht="14.25" hidden="1" x14ac:dyDescent="0.2">
      <c r="A2617" t="s">
        <v>3719</v>
      </c>
      <c r="B2617" s="1">
        <v>46054</v>
      </c>
      <c r="C2617" t="s">
        <v>24</v>
      </c>
      <c r="D2617" t="s">
        <v>41</v>
      </c>
      <c r="E2617" t="s">
        <v>42</v>
      </c>
      <c r="F2617" t="s">
        <v>94</v>
      </c>
      <c r="G2617" t="s">
        <v>95</v>
      </c>
      <c r="H2617" t="s">
        <v>96</v>
      </c>
      <c r="I2617" t="s">
        <v>104</v>
      </c>
      <c r="J2617" t="s">
        <v>140</v>
      </c>
      <c r="K2617" t="s">
        <v>32</v>
      </c>
      <c r="L2617" t="s">
        <v>46</v>
      </c>
      <c r="M2617" t="s">
        <v>34</v>
      </c>
      <c r="N2617" t="s">
        <v>48</v>
      </c>
      <c r="O2617" t="s">
        <v>70</v>
      </c>
      <c r="P2617" t="s">
        <v>71</v>
      </c>
      <c r="Q2617" t="s">
        <v>240</v>
      </c>
      <c r="R2617">
        <v>364</v>
      </c>
      <c r="S2617">
        <v>152</v>
      </c>
      <c r="T2617">
        <v>104</v>
      </c>
      <c r="U2617">
        <v>25</v>
      </c>
      <c r="V2617" t="s">
        <v>1334</v>
      </c>
      <c r="W2617">
        <v>31181</v>
      </c>
      <c r="X2617" t="s">
        <v>2179</v>
      </c>
      <c r="Y2617">
        <v>26919</v>
      </c>
      <c r="Z2617">
        <v>779525</v>
      </c>
      <c r="AA2617">
        <v>106550</v>
      </c>
      <c r="AB2617" t="str">
        <f>(VLOOKUP(SalesData[[#This Row],[Month Number]],Reference!C$5:E$16,2,FALSE))</f>
        <v>Feb</v>
      </c>
      <c r="AC2617">
        <f>MONTH(SalesData[[#This Row],[Date]])</f>
        <v>2</v>
      </c>
      <c r="AD2617">
        <f>Reference!F$4</f>
        <v>2026</v>
      </c>
      <c r="AE2617" t="str">
        <f>IF(OR(SalesData[[#This Row],[Day]]="Saturday",SalesData[[#This Row],[Day]]="Sunday"),"Weekend","Weekday")</f>
        <v>Weekend</v>
      </c>
      <c r="AF2617" s="5">
        <f>IF(SalesData[[#This Row],[Contracts Offered]]=0,0,SalesData[[#This Row],[Contracts Signed]]/SalesData[[#This Row],[Contracts Offered]])</f>
        <v>0.24038461538461539</v>
      </c>
      <c r="AG2617" s="5">
        <f>IF(SalesData[[#This Row],[Customers Visited]]=0,0,SalesData[[#This Row],[Test Drives]]/SalesData[[#This Row],[Customers Visited]])</f>
        <v>0.4175824175824176</v>
      </c>
      <c r="AH2617" s="5">
        <f>IF(SalesData[[#This Row],[Customers Visited]]=0,0,SalesData[[#This Row],[Contracts Signed]]/SalesData[[#This Row],[Customers Visited]])</f>
        <v>6.8681318681318687E-2</v>
      </c>
      <c r="AI2617" s="6">
        <f>IF(SalesData[[#This Row],[Contracts Signed]]=0,0,SalesData[[#This Row],[Profit(€)]]/SalesData[[#This Row],[Contracts Signed]])</f>
        <v>4262</v>
      </c>
      <c r="AJ2617" s="5" t="str">
        <f>TRIM(CLEAN(SalesData[[#This Row],[Retailer]]))</f>
        <v>Bavaria Motors</v>
      </c>
    </row>
    <row r="2618" spans="1:36" ht="14.25" hidden="1" x14ac:dyDescent="0.2">
      <c r="A2618" t="s">
        <v>3720</v>
      </c>
      <c r="B2618" s="1">
        <v>46066</v>
      </c>
      <c r="C2618" t="s">
        <v>121</v>
      </c>
      <c r="D2618" t="s">
        <v>54</v>
      </c>
      <c r="E2618" t="s">
        <v>26</v>
      </c>
      <c r="F2618" t="s">
        <v>94</v>
      </c>
      <c r="G2618" t="s">
        <v>95</v>
      </c>
      <c r="H2618" t="s">
        <v>96</v>
      </c>
      <c r="I2618" t="s">
        <v>116</v>
      </c>
      <c r="J2618" t="s">
        <v>7026</v>
      </c>
      <c r="K2618" t="s">
        <v>66</v>
      </c>
      <c r="L2618" t="s">
        <v>46</v>
      </c>
      <c r="M2618" t="s">
        <v>87</v>
      </c>
      <c r="N2618" t="s">
        <v>48</v>
      </c>
      <c r="O2618" t="s">
        <v>36</v>
      </c>
      <c r="P2618" t="s">
        <v>49</v>
      </c>
      <c r="Q2618" t="s">
        <v>144</v>
      </c>
      <c r="R2618">
        <v>303</v>
      </c>
      <c r="S2618">
        <v>162</v>
      </c>
      <c r="T2618">
        <v>107</v>
      </c>
      <c r="U2618">
        <v>30</v>
      </c>
      <c r="V2618" t="s">
        <v>123</v>
      </c>
      <c r="W2618">
        <v>20429</v>
      </c>
      <c r="X2618" t="s">
        <v>3542</v>
      </c>
      <c r="Y2618">
        <v>18901</v>
      </c>
      <c r="Z2618">
        <v>612870</v>
      </c>
      <c r="AA2618">
        <v>45840</v>
      </c>
      <c r="AB2618" t="str">
        <f>(VLOOKUP(SalesData[[#This Row],[Month Number]],Reference!C$5:E$16,2,FALSE))</f>
        <v>Feb</v>
      </c>
      <c r="AC2618">
        <f>MONTH(SalesData[[#This Row],[Date]])</f>
        <v>2</v>
      </c>
      <c r="AD2618">
        <f>Reference!F$4</f>
        <v>2026</v>
      </c>
      <c r="AE2618" t="str">
        <f>IF(OR(SalesData[[#This Row],[Day]]="Saturday",SalesData[[#This Row],[Day]]="Sunday"),"Weekend","Weekday")</f>
        <v>Weekday</v>
      </c>
      <c r="AF2618" s="5">
        <f>IF(SalesData[[#This Row],[Contracts Offered]]=0,0,SalesData[[#This Row],[Contracts Signed]]/SalesData[[#This Row],[Contracts Offered]])</f>
        <v>0.28037383177570091</v>
      </c>
      <c r="AG2618" s="5">
        <f>IF(SalesData[[#This Row],[Customers Visited]]=0,0,SalesData[[#This Row],[Test Drives]]/SalesData[[#This Row],[Customers Visited]])</f>
        <v>0.53465346534653468</v>
      </c>
      <c r="AH2618" s="5">
        <f>IF(SalesData[[#This Row],[Customers Visited]]=0,0,SalesData[[#This Row],[Contracts Signed]]/SalesData[[#This Row],[Customers Visited]])</f>
        <v>9.9009900990099015E-2</v>
      </c>
      <c r="AI2618" s="6">
        <f>IF(SalesData[[#This Row],[Contracts Signed]]=0,0,SalesData[[#This Row],[Profit(€)]]/SalesData[[#This Row],[Contracts Signed]])</f>
        <v>1528</v>
      </c>
      <c r="AJ2618" s="5" t="str">
        <f>TRIM(CLEAN(SalesData[[#This Row],[Retailer]]))</f>
        <v>Bavaria Motors</v>
      </c>
    </row>
    <row r="2619" spans="1:36" ht="14.25" x14ac:dyDescent="0.2">
      <c r="A2619" t="s">
        <v>3721</v>
      </c>
      <c r="B2619" s="1">
        <v>46077</v>
      </c>
      <c r="C2619" t="s">
        <v>53</v>
      </c>
      <c r="D2619" t="s">
        <v>63</v>
      </c>
      <c r="E2619" t="s">
        <v>26</v>
      </c>
      <c r="F2619" t="s">
        <v>114</v>
      </c>
      <c r="G2619" t="s">
        <v>115</v>
      </c>
      <c r="H2619" t="s">
        <v>115</v>
      </c>
      <c r="I2619" t="s">
        <v>30</v>
      </c>
      <c r="J2619" t="s">
        <v>31</v>
      </c>
      <c r="K2619" t="s">
        <v>91</v>
      </c>
      <c r="L2619" t="s">
        <v>46</v>
      </c>
      <c r="M2619" t="s">
        <v>47</v>
      </c>
      <c r="N2619" t="s">
        <v>69</v>
      </c>
      <c r="O2619" t="s">
        <v>70</v>
      </c>
      <c r="P2619" t="s">
        <v>49</v>
      </c>
      <c r="Q2619" t="s">
        <v>79</v>
      </c>
      <c r="R2619">
        <v>277</v>
      </c>
      <c r="S2619">
        <v>142</v>
      </c>
      <c r="T2619">
        <v>102</v>
      </c>
      <c r="U2619">
        <v>41</v>
      </c>
      <c r="V2619" t="s">
        <v>6693</v>
      </c>
      <c r="W2619">
        <v>57678</v>
      </c>
      <c r="X2619" t="s">
        <v>7339</v>
      </c>
      <c r="Y2619">
        <v>44486</v>
      </c>
      <c r="Z2619">
        <v>2364798</v>
      </c>
      <c r="AA2619">
        <v>540872</v>
      </c>
      <c r="AB2619" t="str">
        <f>(VLOOKUP(SalesData[[#This Row],[Month Number]],Reference!C$5:E$16,2,FALSE))</f>
        <v>Feb</v>
      </c>
      <c r="AC2619">
        <f>MONTH(SalesData[[#This Row],[Date]])</f>
        <v>2</v>
      </c>
      <c r="AD2619">
        <f>Reference!F$4</f>
        <v>2026</v>
      </c>
      <c r="AE2619" t="str">
        <f>IF(OR(SalesData[[#This Row],[Day]]="Saturday",SalesData[[#This Row],[Day]]="Sunday"),"Weekend","Weekday")</f>
        <v>Weekday</v>
      </c>
      <c r="AF2619" s="5">
        <f>IF(SalesData[[#This Row],[Contracts Offered]]=0,0,SalesData[[#This Row],[Contracts Signed]]/SalesData[[#This Row],[Contracts Offered]])</f>
        <v>0.40196078431372551</v>
      </c>
      <c r="AG2619" s="5">
        <f>IF(SalesData[[#This Row],[Customers Visited]]=0,0,SalesData[[#This Row],[Test Drives]]/SalesData[[#This Row],[Customers Visited]])</f>
        <v>0.5126353790613718</v>
      </c>
      <c r="AH2619" s="5">
        <f>IF(SalesData[[#This Row],[Customers Visited]]=0,0,SalesData[[#This Row],[Contracts Signed]]/SalesData[[#This Row],[Customers Visited]])</f>
        <v>0.14801444043321299</v>
      </c>
      <c r="AI2619" s="6">
        <f>IF(SalesData[[#This Row],[Contracts Signed]]=0,0,SalesData[[#This Row],[Profit(€)]]/SalesData[[#This Row],[Contracts Signed]])</f>
        <v>13192</v>
      </c>
      <c r="AJ2619" s="5" t="str">
        <f>TRIM(CLEAN(SalesData[[#This Row],[Retailer]]))</f>
        <v>Elbe Drive</v>
      </c>
    </row>
    <row r="2620" spans="1:36" ht="14.25" hidden="1" x14ac:dyDescent="0.2">
      <c r="A2620" t="s">
        <v>3722</v>
      </c>
      <c r="B2620" s="1">
        <v>46061</v>
      </c>
      <c r="C2620" t="s">
        <v>121</v>
      </c>
      <c r="D2620" t="s">
        <v>41</v>
      </c>
      <c r="E2620" t="s">
        <v>42</v>
      </c>
      <c r="F2620" t="s">
        <v>101</v>
      </c>
      <c r="G2620" t="s">
        <v>102</v>
      </c>
      <c r="H2620" t="s">
        <v>103</v>
      </c>
      <c r="I2620" t="s">
        <v>104</v>
      </c>
      <c r="J2620" t="s">
        <v>7031</v>
      </c>
      <c r="K2620" t="s">
        <v>66</v>
      </c>
      <c r="L2620" t="s">
        <v>46</v>
      </c>
      <c r="M2620" t="s">
        <v>68</v>
      </c>
      <c r="N2620" t="s">
        <v>69</v>
      </c>
      <c r="O2620" t="s">
        <v>70</v>
      </c>
      <c r="P2620" t="s">
        <v>58</v>
      </c>
      <c r="Q2620" t="s">
        <v>50</v>
      </c>
      <c r="R2620">
        <v>292</v>
      </c>
      <c r="S2620">
        <v>160</v>
      </c>
      <c r="T2620">
        <v>101</v>
      </c>
      <c r="U2620">
        <v>25</v>
      </c>
      <c r="V2620" t="s">
        <v>1495</v>
      </c>
      <c r="W2620">
        <v>26944</v>
      </c>
      <c r="X2620" t="s">
        <v>2942</v>
      </c>
      <c r="Y2620">
        <v>23622</v>
      </c>
      <c r="Z2620">
        <v>673600</v>
      </c>
      <c r="AA2620">
        <v>83050</v>
      </c>
      <c r="AB2620" t="str">
        <f>(VLOOKUP(SalesData[[#This Row],[Month Number]],Reference!C$5:E$16,2,FALSE))</f>
        <v>Feb</v>
      </c>
      <c r="AC2620">
        <f>MONTH(SalesData[[#This Row],[Date]])</f>
        <v>2</v>
      </c>
      <c r="AD2620">
        <f>Reference!F$4</f>
        <v>2026</v>
      </c>
      <c r="AE2620" t="str">
        <f>IF(OR(SalesData[[#This Row],[Day]]="Saturday",SalesData[[#This Row],[Day]]="Sunday"),"Weekend","Weekday")</f>
        <v>Weekend</v>
      </c>
      <c r="AF2620" s="5">
        <f>IF(SalesData[[#This Row],[Contracts Offered]]=0,0,SalesData[[#This Row],[Contracts Signed]]/SalesData[[#This Row],[Contracts Offered]])</f>
        <v>0.24752475247524752</v>
      </c>
      <c r="AG2620" s="5">
        <f>IF(SalesData[[#This Row],[Customers Visited]]=0,0,SalesData[[#This Row],[Test Drives]]/SalesData[[#This Row],[Customers Visited]])</f>
        <v>0.54794520547945202</v>
      </c>
      <c r="AH2620" s="5">
        <f>IF(SalesData[[#This Row],[Customers Visited]]=0,0,SalesData[[#This Row],[Contracts Signed]]/SalesData[[#This Row],[Customers Visited]])</f>
        <v>8.5616438356164379E-2</v>
      </c>
      <c r="AI2620" s="6">
        <f>IF(SalesData[[#This Row],[Contracts Signed]]=0,0,SalesData[[#This Row],[Profit(€)]]/SalesData[[#This Row],[Contracts Signed]])</f>
        <v>3322</v>
      </c>
      <c r="AJ2620" s="5" t="str">
        <f>TRIM(CLEAN(SalesData[[#This Row],[Retailer]]))</f>
        <v>Ruhr Auto Plaza</v>
      </c>
    </row>
    <row r="2621" spans="1:36" ht="14.25" hidden="1" x14ac:dyDescent="0.2">
      <c r="A2621" t="s">
        <v>3723</v>
      </c>
      <c r="B2621" s="1">
        <v>46071</v>
      </c>
      <c r="C2621" t="s">
        <v>62</v>
      </c>
      <c r="D2621" t="s">
        <v>82</v>
      </c>
      <c r="E2621" t="s">
        <v>26</v>
      </c>
      <c r="F2621" t="s">
        <v>127</v>
      </c>
      <c r="G2621" t="s">
        <v>128</v>
      </c>
      <c r="H2621" t="s">
        <v>103</v>
      </c>
      <c r="I2621" t="s">
        <v>64</v>
      </c>
      <c r="J2621" t="s">
        <v>157</v>
      </c>
      <c r="K2621" t="s">
        <v>91</v>
      </c>
      <c r="L2621" t="s">
        <v>33</v>
      </c>
      <c r="M2621" t="s">
        <v>47</v>
      </c>
      <c r="N2621" t="s">
        <v>35</v>
      </c>
      <c r="O2621" t="s">
        <v>36</v>
      </c>
      <c r="P2621" t="s">
        <v>37</v>
      </c>
      <c r="Q2621" t="s">
        <v>240</v>
      </c>
      <c r="R2621">
        <v>277</v>
      </c>
      <c r="S2621">
        <v>147</v>
      </c>
      <c r="T2621">
        <v>113</v>
      </c>
      <c r="U2621">
        <v>37</v>
      </c>
      <c r="V2621" t="s">
        <v>6543</v>
      </c>
      <c r="W2621">
        <v>59425</v>
      </c>
      <c r="X2621" t="s">
        <v>7180</v>
      </c>
      <c r="Y2621">
        <v>46535</v>
      </c>
      <c r="Z2621">
        <v>2198725</v>
      </c>
      <c r="AA2621">
        <v>476930</v>
      </c>
      <c r="AB2621" t="str">
        <f>(VLOOKUP(SalesData[[#This Row],[Month Number]],Reference!C$5:E$16,2,FALSE))</f>
        <v>Feb</v>
      </c>
      <c r="AC2621">
        <f>MONTH(SalesData[[#This Row],[Date]])</f>
        <v>2</v>
      </c>
      <c r="AD2621">
        <f>Reference!F$4</f>
        <v>2026</v>
      </c>
      <c r="AE2621" t="str">
        <f>IF(OR(SalesData[[#This Row],[Day]]="Saturday",SalesData[[#This Row],[Day]]="Sunday"),"Weekend","Weekday")</f>
        <v>Weekday</v>
      </c>
      <c r="AF2621" s="5">
        <f>IF(SalesData[[#This Row],[Contracts Offered]]=0,0,SalesData[[#This Row],[Contracts Signed]]/SalesData[[#This Row],[Contracts Offered]])</f>
        <v>0.32743362831858408</v>
      </c>
      <c r="AG2621" s="5">
        <f>IF(SalesData[[#This Row],[Customers Visited]]=0,0,SalesData[[#This Row],[Test Drives]]/SalesData[[#This Row],[Customers Visited]])</f>
        <v>0.53068592057761732</v>
      </c>
      <c r="AH2621" s="5">
        <f>IF(SalesData[[#This Row],[Customers Visited]]=0,0,SalesData[[#This Row],[Contracts Signed]]/SalesData[[#This Row],[Customers Visited]])</f>
        <v>0.13357400722021662</v>
      </c>
      <c r="AI2621" s="6">
        <f>IF(SalesData[[#This Row],[Contracts Signed]]=0,0,SalesData[[#This Row],[Profit(€)]]/SalesData[[#This Row],[Contracts Signed]])</f>
        <v>12890</v>
      </c>
      <c r="AJ2621" s="5" t="str">
        <f>TRIM(CLEAN(SalesData[[#This Row],[Retailer]]))</f>
        <v>Rhein Auto Group</v>
      </c>
    </row>
    <row r="2622" spans="1:36" ht="14.25" hidden="1" x14ac:dyDescent="0.2">
      <c r="A2622" t="s">
        <v>3725</v>
      </c>
      <c r="B2622" s="1">
        <v>46059</v>
      </c>
      <c r="C2622" t="s">
        <v>24</v>
      </c>
      <c r="D2622" t="s">
        <v>54</v>
      </c>
      <c r="E2622" t="s">
        <v>26</v>
      </c>
      <c r="F2622" t="s">
        <v>7649</v>
      </c>
      <c r="G2622" t="s">
        <v>55</v>
      </c>
      <c r="H2622" t="s">
        <v>55</v>
      </c>
      <c r="I2622" t="s">
        <v>116</v>
      </c>
      <c r="J2622" t="s">
        <v>7090</v>
      </c>
      <c r="K2622" t="s">
        <v>66</v>
      </c>
      <c r="L2622" t="s">
        <v>46</v>
      </c>
      <c r="M2622" t="s">
        <v>87</v>
      </c>
      <c r="N2622" t="s">
        <v>48</v>
      </c>
      <c r="O2622" t="s">
        <v>36</v>
      </c>
      <c r="P2622" t="s">
        <v>71</v>
      </c>
      <c r="Q2622" t="s">
        <v>204</v>
      </c>
      <c r="R2622">
        <v>364</v>
      </c>
      <c r="S2622">
        <v>155</v>
      </c>
      <c r="T2622">
        <v>106</v>
      </c>
      <c r="U2622">
        <v>27</v>
      </c>
      <c r="V2622" t="s">
        <v>1139</v>
      </c>
      <c r="W2622">
        <v>20370</v>
      </c>
      <c r="X2622" t="s">
        <v>5332</v>
      </c>
      <c r="Y2622">
        <v>18257</v>
      </c>
      <c r="Z2622">
        <v>549990</v>
      </c>
      <c r="AA2622">
        <v>57051</v>
      </c>
      <c r="AB2622" t="str">
        <f>(VLOOKUP(SalesData[[#This Row],[Month Number]],Reference!C$5:E$16,2,FALSE))</f>
        <v>Feb</v>
      </c>
      <c r="AC2622">
        <f>MONTH(SalesData[[#This Row],[Date]])</f>
        <v>2</v>
      </c>
      <c r="AD2622">
        <f>Reference!F$4</f>
        <v>2026</v>
      </c>
      <c r="AE2622" t="str">
        <f>IF(OR(SalesData[[#This Row],[Day]]="Saturday",SalesData[[#This Row],[Day]]="Sunday"),"Weekend","Weekday")</f>
        <v>Weekday</v>
      </c>
      <c r="AF2622" s="5">
        <f>IF(SalesData[[#This Row],[Contracts Offered]]=0,0,SalesData[[#This Row],[Contracts Signed]]/SalesData[[#This Row],[Contracts Offered]])</f>
        <v>0.25471698113207547</v>
      </c>
      <c r="AG2622" s="5">
        <f>IF(SalesData[[#This Row],[Customers Visited]]=0,0,SalesData[[#This Row],[Test Drives]]/SalesData[[#This Row],[Customers Visited]])</f>
        <v>0.42582417582417581</v>
      </c>
      <c r="AH2622" s="5">
        <f>IF(SalesData[[#This Row],[Customers Visited]]=0,0,SalesData[[#This Row],[Contracts Signed]]/SalesData[[#This Row],[Customers Visited]])</f>
        <v>7.4175824175824176E-2</v>
      </c>
      <c r="AI2622" s="6">
        <f>IF(SalesData[[#This Row],[Contracts Signed]]=0,0,SalesData[[#This Row],[Profit(€)]]/SalesData[[#This Row],[Contracts Signed]])</f>
        <v>2113</v>
      </c>
      <c r="AJ2622" s="5" t="str">
        <f>TRIM(CLEAN(SalesData[[#This Row],[Retailer]]))</f>
        <v>Autohaus Berlin</v>
      </c>
    </row>
    <row r="2623" spans="1:36" ht="14.25" hidden="1" x14ac:dyDescent="0.2">
      <c r="A2623" t="s">
        <v>3727</v>
      </c>
      <c r="B2623" s="1">
        <v>46075</v>
      </c>
      <c r="C2623" t="s">
        <v>53</v>
      </c>
      <c r="D2623" t="s">
        <v>41</v>
      </c>
      <c r="E2623" t="s">
        <v>42</v>
      </c>
      <c r="F2623" t="s">
        <v>43</v>
      </c>
      <c r="G2623" t="s">
        <v>44</v>
      </c>
      <c r="H2623" t="s">
        <v>45</v>
      </c>
      <c r="I2623" t="s">
        <v>104</v>
      </c>
      <c r="J2623" t="s">
        <v>140</v>
      </c>
      <c r="K2623" t="s">
        <v>32</v>
      </c>
      <c r="L2623" t="s">
        <v>46</v>
      </c>
      <c r="M2623" t="s">
        <v>34</v>
      </c>
      <c r="N2623" t="s">
        <v>35</v>
      </c>
      <c r="O2623" t="s">
        <v>36</v>
      </c>
      <c r="P2623" t="s">
        <v>37</v>
      </c>
      <c r="Q2623" t="s">
        <v>79</v>
      </c>
      <c r="R2623">
        <v>264</v>
      </c>
      <c r="S2623">
        <v>142</v>
      </c>
      <c r="T2623">
        <v>97</v>
      </c>
      <c r="U2623">
        <v>22</v>
      </c>
      <c r="V2623" t="s">
        <v>3407</v>
      </c>
      <c r="W2623">
        <v>27113</v>
      </c>
      <c r="X2623" t="s">
        <v>7551</v>
      </c>
      <c r="Y2623">
        <v>24362</v>
      </c>
      <c r="Z2623">
        <v>596486</v>
      </c>
      <c r="AA2623">
        <v>60522</v>
      </c>
      <c r="AB2623" t="str">
        <f>(VLOOKUP(SalesData[[#This Row],[Month Number]],Reference!C$5:E$16,2,FALSE))</f>
        <v>Feb</v>
      </c>
      <c r="AC2623">
        <f>MONTH(SalesData[[#This Row],[Date]])</f>
        <v>2</v>
      </c>
      <c r="AD2623">
        <f>Reference!F$4</f>
        <v>2026</v>
      </c>
      <c r="AE2623" t="str">
        <f>IF(OR(SalesData[[#This Row],[Day]]="Saturday",SalesData[[#This Row],[Day]]="Sunday"),"Weekend","Weekday")</f>
        <v>Weekend</v>
      </c>
      <c r="AF2623" s="5">
        <f>IF(SalesData[[#This Row],[Contracts Offered]]=0,0,SalesData[[#This Row],[Contracts Signed]]/SalesData[[#This Row],[Contracts Offered]])</f>
        <v>0.22680412371134021</v>
      </c>
      <c r="AG2623" s="5">
        <f>IF(SalesData[[#This Row],[Customers Visited]]=0,0,SalesData[[#This Row],[Test Drives]]/SalesData[[#This Row],[Customers Visited]])</f>
        <v>0.53787878787878785</v>
      </c>
      <c r="AH2623" s="5">
        <f>IF(SalesData[[#This Row],[Customers Visited]]=0,0,SalesData[[#This Row],[Contracts Signed]]/SalesData[[#This Row],[Customers Visited]])</f>
        <v>8.3333333333333329E-2</v>
      </c>
      <c r="AI2623" s="6">
        <f>IF(SalesData[[#This Row],[Contracts Signed]]=0,0,SalesData[[#This Row],[Profit(€)]]/SalesData[[#This Row],[Contracts Signed]])</f>
        <v>2751</v>
      </c>
      <c r="AJ2623" s="5" t="str">
        <f>TRIM(CLEAN(SalesData[[#This Row],[Retailer]]))</f>
        <v>Saxon Wheels</v>
      </c>
    </row>
    <row r="2624" spans="1:36" ht="14.25" hidden="1" x14ac:dyDescent="0.2">
      <c r="A2624" t="s">
        <v>3728</v>
      </c>
      <c r="B2624" s="1">
        <v>46074</v>
      </c>
      <c r="C2624" t="s">
        <v>62</v>
      </c>
      <c r="D2624" t="s">
        <v>151</v>
      </c>
      <c r="E2624" t="s">
        <v>42</v>
      </c>
      <c r="F2624" t="s">
        <v>94</v>
      </c>
      <c r="G2624" t="s">
        <v>95</v>
      </c>
      <c r="H2624" t="s">
        <v>96</v>
      </c>
      <c r="I2624" t="s">
        <v>104</v>
      </c>
      <c r="J2624" t="s">
        <v>140</v>
      </c>
      <c r="K2624" t="s">
        <v>32</v>
      </c>
      <c r="L2624" t="s">
        <v>46</v>
      </c>
      <c r="M2624" t="s">
        <v>87</v>
      </c>
      <c r="N2624" t="s">
        <v>35</v>
      </c>
      <c r="O2624" t="s">
        <v>70</v>
      </c>
      <c r="P2624" t="s">
        <v>37</v>
      </c>
      <c r="Q2624" t="s">
        <v>158</v>
      </c>
      <c r="R2624">
        <v>357</v>
      </c>
      <c r="S2624">
        <v>165</v>
      </c>
      <c r="T2624">
        <v>106</v>
      </c>
      <c r="U2624">
        <v>26</v>
      </c>
      <c r="V2624" t="s">
        <v>1327</v>
      </c>
      <c r="W2624">
        <v>29213</v>
      </c>
      <c r="X2624" t="s">
        <v>1096</v>
      </c>
      <c r="Y2624">
        <v>26553</v>
      </c>
      <c r="Z2624">
        <v>759538</v>
      </c>
      <c r="AA2624">
        <v>69160</v>
      </c>
      <c r="AB2624" t="str">
        <f>(VLOOKUP(SalesData[[#This Row],[Month Number]],Reference!C$5:E$16,2,FALSE))</f>
        <v>Feb</v>
      </c>
      <c r="AC2624">
        <f>MONTH(SalesData[[#This Row],[Date]])</f>
        <v>2</v>
      </c>
      <c r="AD2624">
        <f>Reference!F$4</f>
        <v>2026</v>
      </c>
      <c r="AE2624" t="str">
        <f>IF(OR(SalesData[[#This Row],[Day]]="Saturday",SalesData[[#This Row],[Day]]="Sunday"),"Weekend","Weekday")</f>
        <v>Weekend</v>
      </c>
      <c r="AF2624" s="5">
        <f>IF(SalesData[[#This Row],[Contracts Offered]]=0,0,SalesData[[#This Row],[Contracts Signed]]/SalesData[[#This Row],[Contracts Offered]])</f>
        <v>0.24528301886792453</v>
      </c>
      <c r="AG2624" s="5">
        <f>IF(SalesData[[#This Row],[Customers Visited]]=0,0,SalesData[[#This Row],[Test Drives]]/SalesData[[#This Row],[Customers Visited]])</f>
        <v>0.46218487394957986</v>
      </c>
      <c r="AH2624" s="5">
        <f>IF(SalesData[[#This Row],[Customers Visited]]=0,0,SalesData[[#This Row],[Contracts Signed]]/SalesData[[#This Row],[Customers Visited]])</f>
        <v>7.2829131652661069E-2</v>
      </c>
      <c r="AI2624" s="6">
        <f>IF(SalesData[[#This Row],[Contracts Signed]]=0,0,SalesData[[#This Row],[Profit(€)]]/SalesData[[#This Row],[Contracts Signed]])</f>
        <v>2660</v>
      </c>
      <c r="AJ2624" s="5" t="str">
        <f>TRIM(CLEAN(SalesData[[#This Row],[Retailer]]))</f>
        <v>Bavaria Motors</v>
      </c>
    </row>
    <row r="2625" spans="1:36" ht="14.25" hidden="1" x14ac:dyDescent="0.2">
      <c r="A2625" t="s">
        <v>3730</v>
      </c>
      <c r="B2625" s="1">
        <v>46064</v>
      </c>
      <c r="C2625" t="s">
        <v>121</v>
      </c>
      <c r="D2625" t="s">
        <v>82</v>
      </c>
      <c r="E2625" t="s">
        <v>26</v>
      </c>
      <c r="F2625" t="s">
        <v>27</v>
      </c>
      <c r="G2625" t="s">
        <v>28</v>
      </c>
      <c r="H2625" t="s">
        <v>29</v>
      </c>
      <c r="I2625" t="s">
        <v>64</v>
      </c>
      <c r="J2625" t="s">
        <v>157</v>
      </c>
      <c r="K2625" t="s">
        <v>78</v>
      </c>
      <c r="L2625" t="s">
        <v>33</v>
      </c>
      <c r="M2625" t="s">
        <v>68</v>
      </c>
      <c r="N2625" t="s">
        <v>69</v>
      </c>
      <c r="O2625" t="s">
        <v>36</v>
      </c>
      <c r="P2625" t="s">
        <v>58</v>
      </c>
      <c r="Q2625" t="s">
        <v>59</v>
      </c>
      <c r="R2625">
        <v>180</v>
      </c>
      <c r="S2625">
        <v>106</v>
      </c>
      <c r="T2625">
        <v>70</v>
      </c>
      <c r="U2625">
        <v>29</v>
      </c>
      <c r="V2625" t="s">
        <v>6717</v>
      </c>
      <c r="W2625">
        <v>55044</v>
      </c>
      <c r="X2625" t="s">
        <v>7518</v>
      </c>
      <c r="Y2625">
        <v>42091</v>
      </c>
      <c r="Z2625">
        <v>1596276</v>
      </c>
      <c r="AA2625">
        <v>375637</v>
      </c>
      <c r="AB2625" t="str">
        <f>(VLOOKUP(SalesData[[#This Row],[Month Number]],Reference!C$5:E$16,2,FALSE))</f>
        <v>Feb</v>
      </c>
      <c r="AC2625">
        <f>MONTH(SalesData[[#This Row],[Date]])</f>
        <v>2</v>
      </c>
      <c r="AD2625">
        <f>Reference!F$4</f>
        <v>2026</v>
      </c>
      <c r="AE2625" t="str">
        <f>IF(OR(SalesData[[#This Row],[Day]]="Saturday",SalesData[[#This Row],[Day]]="Sunday"),"Weekend","Weekday")</f>
        <v>Weekday</v>
      </c>
      <c r="AF2625" s="5">
        <f>IF(SalesData[[#This Row],[Contracts Offered]]=0,0,SalesData[[#This Row],[Contracts Signed]]/SalesData[[#This Row],[Contracts Offered]])</f>
        <v>0.41428571428571431</v>
      </c>
      <c r="AG2625" s="5">
        <f>IF(SalesData[[#This Row],[Customers Visited]]=0,0,SalesData[[#This Row],[Test Drives]]/SalesData[[#This Row],[Customers Visited]])</f>
        <v>0.58888888888888891</v>
      </c>
      <c r="AH2625" s="5">
        <f>IF(SalesData[[#This Row],[Customers Visited]]=0,0,SalesData[[#This Row],[Contracts Signed]]/SalesData[[#This Row],[Customers Visited]])</f>
        <v>0.16111111111111112</v>
      </c>
      <c r="AI2625" s="6">
        <f>IF(SalesData[[#This Row],[Contracts Signed]]=0,0,SalesData[[#This Row],[Profit(€)]]/SalesData[[#This Row],[Contracts Signed]])</f>
        <v>12953</v>
      </c>
      <c r="AJ2625" s="5" t="str">
        <f>TRIM(CLEAN(SalesData[[#This Row],[Retailer]]))</f>
        <v>Main Auto Hub</v>
      </c>
    </row>
    <row r="2626" spans="1:36" ht="14.25" x14ac:dyDescent="0.2">
      <c r="A2626" t="s">
        <v>3731</v>
      </c>
      <c r="B2626" s="1">
        <v>46058</v>
      </c>
      <c r="C2626" t="s">
        <v>24</v>
      </c>
      <c r="D2626" t="s">
        <v>100</v>
      </c>
      <c r="E2626" t="s">
        <v>26</v>
      </c>
      <c r="F2626" t="s">
        <v>74</v>
      </c>
      <c r="G2626" t="s">
        <v>75</v>
      </c>
      <c r="H2626" t="s">
        <v>76</v>
      </c>
      <c r="I2626" t="s">
        <v>30</v>
      </c>
      <c r="J2626" t="s">
        <v>166</v>
      </c>
      <c r="K2626" t="s">
        <v>66</v>
      </c>
      <c r="L2626" t="s">
        <v>46</v>
      </c>
      <c r="M2626" t="s">
        <v>47</v>
      </c>
      <c r="N2626" t="s">
        <v>69</v>
      </c>
      <c r="O2626" t="s">
        <v>36</v>
      </c>
      <c r="P2626" t="s">
        <v>71</v>
      </c>
      <c r="Q2626" t="s">
        <v>118</v>
      </c>
      <c r="R2626">
        <v>254</v>
      </c>
      <c r="S2626">
        <v>114</v>
      </c>
      <c r="T2626">
        <v>82</v>
      </c>
      <c r="U2626">
        <v>32</v>
      </c>
      <c r="V2626" t="s">
        <v>6844</v>
      </c>
      <c r="W2626">
        <v>64375</v>
      </c>
      <c r="X2626" t="s">
        <v>1098</v>
      </c>
      <c r="Y2626">
        <v>46964</v>
      </c>
      <c r="Z2626">
        <v>2060000</v>
      </c>
      <c r="AA2626">
        <v>557152</v>
      </c>
      <c r="AB2626" t="str">
        <f>(VLOOKUP(SalesData[[#This Row],[Month Number]],Reference!C$5:E$16,2,FALSE))</f>
        <v>Feb</v>
      </c>
      <c r="AC2626">
        <f>MONTH(SalesData[[#This Row],[Date]])</f>
        <v>2</v>
      </c>
      <c r="AD2626">
        <f>Reference!F$4</f>
        <v>2026</v>
      </c>
      <c r="AE2626" t="str">
        <f>IF(OR(SalesData[[#This Row],[Day]]="Saturday",SalesData[[#This Row],[Day]]="Sunday"),"Weekend","Weekday")</f>
        <v>Weekday</v>
      </c>
      <c r="AF2626" s="5">
        <f>IF(SalesData[[#This Row],[Contracts Offered]]=0,0,SalesData[[#This Row],[Contracts Signed]]/SalesData[[#This Row],[Contracts Offered]])</f>
        <v>0.3902439024390244</v>
      </c>
      <c r="AG2626" s="5">
        <f>IF(SalesData[[#This Row],[Customers Visited]]=0,0,SalesData[[#This Row],[Test Drives]]/SalesData[[#This Row],[Customers Visited]])</f>
        <v>0.44881889763779526</v>
      </c>
      <c r="AH2626" s="5">
        <f>IF(SalesData[[#This Row],[Customers Visited]]=0,0,SalesData[[#This Row],[Contracts Signed]]/SalesData[[#This Row],[Customers Visited]])</f>
        <v>0.12598425196850394</v>
      </c>
      <c r="AI2626" s="6">
        <f>IF(SalesData[[#This Row],[Contracts Signed]]=0,0,SalesData[[#This Row],[Profit(€)]]/SalesData[[#This Row],[Contracts Signed]])</f>
        <v>17411</v>
      </c>
      <c r="AJ2626" s="5" t="str">
        <f>TRIM(CLEAN(SalesData[[#This Row],[Retailer]]))</f>
        <v>Stuttgart Auto Center</v>
      </c>
    </row>
    <row r="2627" spans="1:36" ht="14.25" x14ac:dyDescent="0.2">
      <c r="A2627" t="s">
        <v>3732</v>
      </c>
      <c r="B2627" s="1">
        <v>46054</v>
      </c>
      <c r="C2627" t="s">
        <v>24</v>
      </c>
      <c r="D2627" t="s">
        <v>41</v>
      </c>
      <c r="E2627" t="s">
        <v>42</v>
      </c>
      <c r="F2627" t="s">
        <v>43</v>
      </c>
      <c r="G2627" t="s">
        <v>44</v>
      </c>
      <c r="H2627" t="s">
        <v>45</v>
      </c>
      <c r="I2627" t="s">
        <v>30</v>
      </c>
      <c r="J2627" t="s">
        <v>7075</v>
      </c>
      <c r="K2627" t="s">
        <v>91</v>
      </c>
      <c r="L2627" t="s">
        <v>33</v>
      </c>
      <c r="M2627" t="s">
        <v>34</v>
      </c>
      <c r="N2627" t="s">
        <v>69</v>
      </c>
      <c r="O2627" t="s">
        <v>36</v>
      </c>
      <c r="P2627" t="s">
        <v>58</v>
      </c>
      <c r="Q2627" t="s">
        <v>106</v>
      </c>
      <c r="R2627">
        <v>255</v>
      </c>
      <c r="S2627">
        <v>137</v>
      </c>
      <c r="T2627">
        <v>94</v>
      </c>
      <c r="U2627">
        <v>42</v>
      </c>
      <c r="V2627" t="s">
        <v>7049</v>
      </c>
      <c r="W2627">
        <v>64392</v>
      </c>
      <c r="X2627" t="s">
        <v>7529</v>
      </c>
      <c r="Y2627">
        <v>45285</v>
      </c>
      <c r="Z2627">
        <v>2704464</v>
      </c>
      <c r="AA2627">
        <v>802494</v>
      </c>
      <c r="AB2627" t="str">
        <f>(VLOOKUP(SalesData[[#This Row],[Month Number]],Reference!C$5:E$16,2,FALSE))</f>
        <v>Feb</v>
      </c>
      <c r="AC2627">
        <f>MONTH(SalesData[[#This Row],[Date]])</f>
        <v>2</v>
      </c>
      <c r="AD2627">
        <f>Reference!F$4</f>
        <v>2026</v>
      </c>
      <c r="AE2627" t="str">
        <f>IF(OR(SalesData[[#This Row],[Day]]="Saturday",SalesData[[#This Row],[Day]]="Sunday"),"Weekend","Weekday")</f>
        <v>Weekend</v>
      </c>
      <c r="AF2627" s="5">
        <f>IF(SalesData[[#This Row],[Contracts Offered]]=0,0,SalesData[[#This Row],[Contracts Signed]]/SalesData[[#This Row],[Contracts Offered]])</f>
        <v>0.44680851063829785</v>
      </c>
      <c r="AG2627" s="5">
        <f>IF(SalesData[[#This Row],[Customers Visited]]=0,0,SalesData[[#This Row],[Test Drives]]/SalesData[[#This Row],[Customers Visited]])</f>
        <v>0.53725490196078429</v>
      </c>
      <c r="AH2627" s="5">
        <f>IF(SalesData[[#This Row],[Customers Visited]]=0,0,SalesData[[#This Row],[Contracts Signed]]/SalesData[[#This Row],[Customers Visited]])</f>
        <v>0.16470588235294117</v>
      </c>
      <c r="AI2627" s="6">
        <f>IF(SalesData[[#This Row],[Contracts Signed]]=0,0,SalesData[[#This Row],[Profit(€)]]/SalesData[[#This Row],[Contracts Signed]])</f>
        <v>19107</v>
      </c>
      <c r="AJ2627" s="5" t="str">
        <f>TRIM(CLEAN(SalesData[[#This Row],[Retailer]]))</f>
        <v>Saxon Wheels</v>
      </c>
    </row>
    <row r="2628" spans="1:36" ht="14.25" hidden="1" x14ac:dyDescent="0.2">
      <c r="A2628" t="s">
        <v>3734</v>
      </c>
      <c r="B2628" s="1">
        <v>46057</v>
      </c>
      <c r="C2628" t="s">
        <v>24</v>
      </c>
      <c r="D2628" t="s">
        <v>82</v>
      </c>
      <c r="E2628" t="s">
        <v>26</v>
      </c>
      <c r="F2628" t="s">
        <v>109</v>
      </c>
      <c r="G2628" t="s">
        <v>110</v>
      </c>
      <c r="H2628" t="s">
        <v>45</v>
      </c>
      <c r="I2628" t="s">
        <v>116</v>
      </c>
      <c r="J2628" t="s">
        <v>203</v>
      </c>
      <c r="K2628" t="s">
        <v>78</v>
      </c>
      <c r="L2628" t="s">
        <v>67</v>
      </c>
      <c r="M2628" t="s">
        <v>68</v>
      </c>
      <c r="N2628" t="s">
        <v>48</v>
      </c>
      <c r="O2628" t="s">
        <v>36</v>
      </c>
      <c r="P2628" t="s">
        <v>58</v>
      </c>
      <c r="Q2628" t="s">
        <v>129</v>
      </c>
      <c r="R2628">
        <v>367</v>
      </c>
      <c r="S2628">
        <v>177</v>
      </c>
      <c r="T2628">
        <v>100</v>
      </c>
      <c r="U2628">
        <v>29</v>
      </c>
      <c r="V2628" t="s">
        <v>1307</v>
      </c>
      <c r="W2628">
        <v>24651</v>
      </c>
      <c r="X2628" t="s">
        <v>7446</v>
      </c>
      <c r="Y2628">
        <v>22827</v>
      </c>
      <c r="Z2628">
        <v>714879</v>
      </c>
      <c r="AA2628">
        <v>52896</v>
      </c>
      <c r="AB2628" t="str">
        <f>(VLOOKUP(SalesData[[#This Row],[Month Number]],Reference!C$5:E$16,2,FALSE))</f>
        <v>Feb</v>
      </c>
      <c r="AC2628">
        <f>MONTH(SalesData[[#This Row],[Date]])</f>
        <v>2</v>
      </c>
      <c r="AD2628">
        <f>Reference!F$4</f>
        <v>2026</v>
      </c>
      <c r="AE2628" t="str">
        <f>IF(OR(SalesData[[#This Row],[Day]]="Saturday",SalesData[[#This Row],[Day]]="Sunday"),"Weekend","Weekday")</f>
        <v>Weekday</v>
      </c>
      <c r="AF2628" s="5">
        <f>IF(SalesData[[#This Row],[Contracts Offered]]=0,0,SalesData[[#This Row],[Contracts Signed]]/SalesData[[#This Row],[Contracts Offered]])</f>
        <v>0.28999999999999998</v>
      </c>
      <c r="AG2628" s="5">
        <f>IF(SalesData[[#This Row],[Customers Visited]]=0,0,SalesData[[#This Row],[Test Drives]]/SalesData[[#This Row],[Customers Visited]])</f>
        <v>0.48228882833787468</v>
      </c>
      <c r="AH2628" s="5">
        <f>IF(SalesData[[#This Row],[Customers Visited]]=0,0,SalesData[[#This Row],[Contracts Signed]]/SalesData[[#This Row],[Customers Visited]])</f>
        <v>7.901907356948229E-2</v>
      </c>
      <c r="AI2628" s="6">
        <f>IF(SalesData[[#This Row],[Contracts Signed]]=0,0,SalesData[[#This Row],[Profit(€)]]/SalesData[[#This Row],[Contracts Signed]])</f>
        <v>1824</v>
      </c>
      <c r="AJ2628" s="5" t="str">
        <f>TRIM(CLEAN(SalesData[[#This Row],[Retailer]]))</f>
        <v>Leipzig Mobility</v>
      </c>
    </row>
    <row r="2629" spans="1:36" ht="14.25" hidden="1" x14ac:dyDescent="0.2">
      <c r="A2629" t="s">
        <v>3736</v>
      </c>
      <c r="B2629" s="1">
        <v>46063</v>
      </c>
      <c r="C2629" t="s">
        <v>121</v>
      </c>
      <c r="D2629" t="s">
        <v>63</v>
      </c>
      <c r="E2629" t="s">
        <v>26</v>
      </c>
      <c r="F2629" t="s">
        <v>83</v>
      </c>
      <c r="G2629" t="s">
        <v>84</v>
      </c>
      <c r="H2629" t="s">
        <v>85</v>
      </c>
      <c r="I2629" t="s">
        <v>64</v>
      </c>
      <c r="J2629" t="s">
        <v>7029</v>
      </c>
      <c r="K2629" t="s">
        <v>32</v>
      </c>
      <c r="L2629" t="s">
        <v>33</v>
      </c>
      <c r="M2629" t="s">
        <v>34</v>
      </c>
      <c r="N2629" t="s">
        <v>48</v>
      </c>
      <c r="O2629" t="s">
        <v>70</v>
      </c>
      <c r="P2629" t="s">
        <v>49</v>
      </c>
      <c r="Q2629" t="s">
        <v>118</v>
      </c>
      <c r="R2629">
        <v>197</v>
      </c>
      <c r="S2629">
        <v>89</v>
      </c>
      <c r="T2629">
        <v>69</v>
      </c>
      <c r="U2629">
        <v>19</v>
      </c>
      <c r="V2629" t="s">
        <v>7141</v>
      </c>
      <c r="W2629">
        <v>62573</v>
      </c>
      <c r="X2629" t="s">
        <v>7501</v>
      </c>
      <c r="Y2629">
        <v>48798</v>
      </c>
      <c r="Z2629">
        <v>1188887</v>
      </c>
      <c r="AA2629">
        <v>261725</v>
      </c>
      <c r="AB2629" t="str">
        <f>(VLOOKUP(SalesData[[#This Row],[Month Number]],Reference!C$5:E$16,2,FALSE))</f>
        <v>Feb</v>
      </c>
      <c r="AC2629">
        <f>MONTH(SalesData[[#This Row],[Date]])</f>
        <v>2</v>
      </c>
      <c r="AD2629">
        <f>Reference!F$4</f>
        <v>2026</v>
      </c>
      <c r="AE2629" t="str">
        <f>IF(OR(SalesData[[#This Row],[Day]]="Saturday",SalesData[[#This Row],[Day]]="Sunday"),"Weekend","Weekday")</f>
        <v>Weekday</v>
      </c>
      <c r="AF2629" s="5">
        <f>IF(SalesData[[#This Row],[Contracts Offered]]=0,0,SalesData[[#This Row],[Contracts Signed]]/SalesData[[#This Row],[Contracts Offered]])</f>
        <v>0.27536231884057971</v>
      </c>
      <c r="AG2629" s="5">
        <f>IF(SalesData[[#This Row],[Customers Visited]]=0,0,SalesData[[#This Row],[Test Drives]]/SalesData[[#This Row],[Customers Visited]])</f>
        <v>0.45177664974619292</v>
      </c>
      <c r="AH2629" s="5">
        <f>IF(SalesData[[#This Row],[Customers Visited]]=0,0,SalesData[[#This Row],[Contracts Signed]]/SalesData[[#This Row],[Customers Visited]])</f>
        <v>9.6446700507614211E-2</v>
      </c>
      <c r="AI2629" s="6">
        <f>IF(SalesData[[#This Row],[Contracts Signed]]=0,0,SalesData[[#This Row],[Profit(€)]]/SalesData[[#This Row],[Contracts Signed]])</f>
        <v>13775</v>
      </c>
      <c r="AJ2629" s="5" t="str">
        <f>TRIM(CLEAN(SalesData[[#This Row],[Retailer]]))</f>
        <v>Hannover Cars</v>
      </c>
    </row>
    <row r="2630" spans="1:36" ht="14.25" hidden="1" x14ac:dyDescent="0.2">
      <c r="A2630" t="s">
        <v>3737</v>
      </c>
      <c r="B2630" s="1">
        <v>46063</v>
      </c>
      <c r="C2630" t="s">
        <v>121</v>
      </c>
      <c r="D2630" t="s">
        <v>63</v>
      </c>
      <c r="E2630" t="s">
        <v>26</v>
      </c>
      <c r="F2630" t="s">
        <v>109</v>
      </c>
      <c r="G2630" t="s">
        <v>110</v>
      </c>
      <c r="H2630" t="s">
        <v>45</v>
      </c>
      <c r="I2630" t="s">
        <v>116</v>
      </c>
      <c r="J2630" t="s">
        <v>117</v>
      </c>
      <c r="K2630" t="s">
        <v>66</v>
      </c>
      <c r="L2630" t="s">
        <v>67</v>
      </c>
      <c r="M2630" t="s">
        <v>68</v>
      </c>
      <c r="N2630" t="s">
        <v>48</v>
      </c>
      <c r="O2630" t="s">
        <v>36</v>
      </c>
      <c r="P2630" t="s">
        <v>58</v>
      </c>
      <c r="Q2630" t="s">
        <v>169</v>
      </c>
      <c r="R2630">
        <v>430</v>
      </c>
      <c r="S2630">
        <v>223</v>
      </c>
      <c r="T2630">
        <v>146</v>
      </c>
      <c r="U2630">
        <v>39</v>
      </c>
      <c r="V2630" t="s">
        <v>937</v>
      </c>
      <c r="W2630">
        <v>24013</v>
      </c>
      <c r="X2630" t="s">
        <v>7342</v>
      </c>
      <c r="Y2630">
        <v>21936</v>
      </c>
      <c r="Z2630">
        <v>936507</v>
      </c>
      <c r="AA2630">
        <v>81003</v>
      </c>
      <c r="AB2630" t="str">
        <f>(VLOOKUP(SalesData[[#This Row],[Month Number]],Reference!C$5:E$16,2,FALSE))</f>
        <v>Feb</v>
      </c>
      <c r="AC2630">
        <f>MONTH(SalesData[[#This Row],[Date]])</f>
        <v>2</v>
      </c>
      <c r="AD2630">
        <f>Reference!F$4</f>
        <v>2026</v>
      </c>
      <c r="AE2630" t="str">
        <f>IF(OR(SalesData[[#This Row],[Day]]="Saturday",SalesData[[#This Row],[Day]]="Sunday"),"Weekend","Weekday")</f>
        <v>Weekday</v>
      </c>
      <c r="AF2630" s="5">
        <f>IF(SalesData[[#This Row],[Contracts Offered]]=0,0,SalesData[[#This Row],[Contracts Signed]]/SalesData[[#This Row],[Contracts Offered]])</f>
        <v>0.26712328767123289</v>
      </c>
      <c r="AG2630" s="5">
        <f>IF(SalesData[[#This Row],[Customers Visited]]=0,0,SalesData[[#This Row],[Test Drives]]/SalesData[[#This Row],[Customers Visited]])</f>
        <v>0.51860465116279075</v>
      </c>
      <c r="AH2630" s="5">
        <f>IF(SalesData[[#This Row],[Customers Visited]]=0,0,SalesData[[#This Row],[Contracts Signed]]/SalesData[[#This Row],[Customers Visited]])</f>
        <v>9.0697674418604657E-2</v>
      </c>
      <c r="AI2630" s="6">
        <f>IF(SalesData[[#This Row],[Contracts Signed]]=0,0,SalesData[[#This Row],[Profit(€)]]/SalesData[[#This Row],[Contracts Signed]])</f>
        <v>2077</v>
      </c>
      <c r="AJ2630" s="5" t="str">
        <f>TRIM(CLEAN(SalesData[[#This Row],[Retailer]]))</f>
        <v>Leipzig Mobility</v>
      </c>
    </row>
    <row r="2631" spans="1:36" ht="14.25" hidden="1" x14ac:dyDescent="0.2">
      <c r="A2631" t="s">
        <v>3738</v>
      </c>
      <c r="B2631" s="1">
        <v>46073</v>
      </c>
      <c r="C2631" t="s">
        <v>62</v>
      </c>
      <c r="D2631" t="s">
        <v>54</v>
      </c>
      <c r="E2631" t="s">
        <v>26</v>
      </c>
      <c r="F2631" t="s">
        <v>27</v>
      </c>
      <c r="G2631" t="s">
        <v>28</v>
      </c>
      <c r="H2631" t="s">
        <v>29</v>
      </c>
      <c r="I2631" t="s">
        <v>116</v>
      </c>
      <c r="J2631" t="s">
        <v>7026</v>
      </c>
      <c r="K2631" t="s">
        <v>91</v>
      </c>
      <c r="L2631" t="s">
        <v>46</v>
      </c>
      <c r="M2631" t="s">
        <v>87</v>
      </c>
      <c r="N2631" t="s">
        <v>69</v>
      </c>
      <c r="O2631" t="s">
        <v>70</v>
      </c>
      <c r="P2631" t="s">
        <v>37</v>
      </c>
      <c r="Q2631" t="s">
        <v>240</v>
      </c>
      <c r="R2631">
        <v>415</v>
      </c>
      <c r="S2631">
        <v>188</v>
      </c>
      <c r="T2631">
        <v>117</v>
      </c>
      <c r="U2631">
        <v>25</v>
      </c>
      <c r="V2631" t="s">
        <v>4345</v>
      </c>
      <c r="W2631">
        <v>22691</v>
      </c>
      <c r="X2631" t="s">
        <v>2445</v>
      </c>
      <c r="Y2631">
        <v>20458</v>
      </c>
      <c r="Z2631">
        <v>567275</v>
      </c>
      <c r="AA2631">
        <v>55825</v>
      </c>
      <c r="AB2631" t="str">
        <f>(VLOOKUP(SalesData[[#This Row],[Month Number]],Reference!C$5:E$16,2,FALSE))</f>
        <v>Feb</v>
      </c>
      <c r="AC2631">
        <f>MONTH(SalesData[[#This Row],[Date]])</f>
        <v>2</v>
      </c>
      <c r="AD2631">
        <f>Reference!F$4</f>
        <v>2026</v>
      </c>
      <c r="AE2631" t="str">
        <f>IF(OR(SalesData[[#This Row],[Day]]="Saturday",SalesData[[#This Row],[Day]]="Sunday"),"Weekend","Weekday")</f>
        <v>Weekday</v>
      </c>
      <c r="AF2631" s="5">
        <f>IF(SalesData[[#This Row],[Contracts Offered]]=0,0,SalesData[[#This Row],[Contracts Signed]]/SalesData[[#This Row],[Contracts Offered]])</f>
        <v>0.21367521367521367</v>
      </c>
      <c r="AG2631" s="5">
        <f>IF(SalesData[[#This Row],[Customers Visited]]=0,0,SalesData[[#This Row],[Test Drives]]/SalesData[[#This Row],[Customers Visited]])</f>
        <v>0.45301204819277108</v>
      </c>
      <c r="AH2631" s="5">
        <f>IF(SalesData[[#This Row],[Customers Visited]]=0,0,SalesData[[#This Row],[Contracts Signed]]/SalesData[[#This Row],[Customers Visited]])</f>
        <v>6.0240963855421686E-2</v>
      </c>
      <c r="AI2631" s="6">
        <f>IF(SalesData[[#This Row],[Contracts Signed]]=0,0,SalesData[[#This Row],[Profit(€)]]/SalesData[[#This Row],[Contracts Signed]])</f>
        <v>2233</v>
      </c>
      <c r="AJ2631" s="5" t="str">
        <f>TRIM(CLEAN(SalesData[[#This Row],[Retailer]]))</f>
        <v>Main Auto Hub</v>
      </c>
    </row>
    <row r="2632" spans="1:36" ht="14.25" hidden="1" x14ac:dyDescent="0.2">
      <c r="A2632" t="s">
        <v>3739</v>
      </c>
      <c r="B2632" s="1">
        <v>46078</v>
      </c>
      <c r="C2632" t="s">
        <v>53</v>
      </c>
      <c r="D2632" t="s">
        <v>82</v>
      </c>
      <c r="E2632" t="s">
        <v>26</v>
      </c>
      <c r="F2632" t="s">
        <v>74</v>
      </c>
      <c r="G2632" t="s">
        <v>75</v>
      </c>
      <c r="H2632" t="s">
        <v>76</v>
      </c>
      <c r="I2632" t="s">
        <v>64</v>
      </c>
      <c r="J2632" t="s">
        <v>111</v>
      </c>
      <c r="K2632" t="s">
        <v>78</v>
      </c>
      <c r="L2632" t="s">
        <v>46</v>
      </c>
      <c r="M2632" t="s">
        <v>34</v>
      </c>
      <c r="N2632" t="s">
        <v>35</v>
      </c>
      <c r="O2632" t="s">
        <v>70</v>
      </c>
      <c r="P2632" t="s">
        <v>37</v>
      </c>
      <c r="Q2632" t="s">
        <v>50</v>
      </c>
      <c r="R2632">
        <v>230</v>
      </c>
      <c r="S2632">
        <v>122</v>
      </c>
      <c r="T2632">
        <v>97</v>
      </c>
      <c r="U2632">
        <v>27</v>
      </c>
      <c r="V2632" t="s">
        <v>6631</v>
      </c>
      <c r="W2632">
        <v>64070</v>
      </c>
      <c r="X2632" t="s">
        <v>7483</v>
      </c>
      <c r="Y2632">
        <v>45857</v>
      </c>
      <c r="Z2632">
        <v>1729890</v>
      </c>
      <c r="AA2632">
        <v>491751</v>
      </c>
      <c r="AB2632" t="str">
        <f>(VLOOKUP(SalesData[[#This Row],[Month Number]],Reference!C$5:E$16,2,FALSE))</f>
        <v>Feb</v>
      </c>
      <c r="AC2632">
        <f>MONTH(SalesData[[#This Row],[Date]])</f>
        <v>2</v>
      </c>
      <c r="AD2632">
        <f>Reference!F$4</f>
        <v>2026</v>
      </c>
      <c r="AE2632" t="str">
        <f>IF(OR(SalesData[[#This Row],[Day]]="Saturday",SalesData[[#This Row],[Day]]="Sunday"),"Weekend","Weekday")</f>
        <v>Weekday</v>
      </c>
      <c r="AF2632" s="5">
        <f>IF(SalesData[[#This Row],[Contracts Offered]]=0,0,SalesData[[#This Row],[Contracts Signed]]/SalesData[[#This Row],[Contracts Offered]])</f>
        <v>0.27835051546391754</v>
      </c>
      <c r="AG2632" s="5">
        <f>IF(SalesData[[#This Row],[Customers Visited]]=0,0,SalesData[[#This Row],[Test Drives]]/SalesData[[#This Row],[Customers Visited]])</f>
        <v>0.5304347826086957</v>
      </c>
      <c r="AH2632" s="5">
        <f>IF(SalesData[[#This Row],[Customers Visited]]=0,0,SalesData[[#This Row],[Contracts Signed]]/SalesData[[#This Row],[Customers Visited]])</f>
        <v>0.11739130434782609</v>
      </c>
      <c r="AI2632" s="6">
        <f>IF(SalesData[[#This Row],[Contracts Signed]]=0,0,SalesData[[#This Row],[Profit(€)]]/SalesData[[#This Row],[Contracts Signed]])</f>
        <v>18213</v>
      </c>
      <c r="AJ2632" s="5" t="str">
        <f>TRIM(CLEAN(SalesData[[#This Row],[Retailer]]))</f>
        <v>Stuttgart Auto Center</v>
      </c>
    </row>
    <row r="2633" spans="1:36" ht="14.25" hidden="1" x14ac:dyDescent="0.2">
      <c r="A2633" t="s">
        <v>3741</v>
      </c>
      <c r="B2633" s="1">
        <v>46060</v>
      </c>
      <c r="C2633" t="s">
        <v>24</v>
      </c>
      <c r="D2633" t="s">
        <v>151</v>
      </c>
      <c r="E2633" t="s">
        <v>42</v>
      </c>
      <c r="F2633" t="s">
        <v>27</v>
      </c>
      <c r="G2633" t="s">
        <v>28</v>
      </c>
      <c r="H2633" t="s">
        <v>29</v>
      </c>
      <c r="I2633" t="s">
        <v>56</v>
      </c>
      <c r="J2633" t="s">
        <v>137</v>
      </c>
      <c r="K2633" t="s">
        <v>91</v>
      </c>
      <c r="L2633" t="s">
        <v>46</v>
      </c>
      <c r="M2633" t="s">
        <v>68</v>
      </c>
      <c r="N2633" t="s">
        <v>35</v>
      </c>
      <c r="O2633" t="s">
        <v>36</v>
      </c>
      <c r="P2633" t="s">
        <v>37</v>
      </c>
      <c r="Q2633" t="s">
        <v>144</v>
      </c>
      <c r="R2633">
        <v>204</v>
      </c>
      <c r="S2633">
        <v>121</v>
      </c>
      <c r="T2633">
        <v>84</v>
      </c>
      <c r="U2633">
        <v>27</v>
      </c>
      <c r="V2633" t="s">
        <v>6923</v>
      </c>
      <c r="W2633">
        <v>45934</v>
      </c>
      <c r="X2633" t="s">
        <v>3364</v>
      </c>
      <c r="Y2633">
        <v>35308</v>
      </c>
      <c r="Z2633">
        <v>1240218</v>
      </c>
      <c r="AA2633">
        <v>286902</v>
      </c>
      <c r="AB2633" t="str">
        <f>(VLOOKUP(SalesData[[#This Row],[Month Number]],Reference!C$5:E$16,2,FALSE))</f>
        <v>Feb</v>
      </c>
      <c r="AC2633">
        <f>MONTH(SalesData[[#This Row],[Date]])</f>
        <v>2</v>
      </c>
      <c r="AD2633">
        <f>Reference!F$4</f>
        <v>2026</v>
      </c>
      <c r="AE2633" t="str">
        <f>IF(OR(SalesData[[#This Row],[Day]]="Saturday",SalesData[[#This Row],[Day]]="Sunday"),"Weekend","Weekday")</f>
        <v>Weekend</v>
      </c>
      <c r="AF2633" s="5">
        <f>IF(SalesData[[#This Row],[Contracts Offered]]=0,0,SalesData[[#This Row],[Contracts Signed]]/SalesData[[#This Row],[Contracts Offered]])</f>
        <v>0.32142857142857145</v>
      </c>
      <c r="AG2633" s="5">
        <f>IF(SalesData[[#This Row],[Customers Visited]]=0,0,SalesData[[#This Row],[Test Drives]]/SalesData[[#This Row],[Customers Visited]])</f>
        <v>0.59313725490196079</v>
      </c>
      <c r="AH2633" s="5">
        <f>IF(SalesData[[#This Row],[Customers Visited]]=0,0,SalesData[[#This Row],[Contracts Signed]]/SalesData[[#This Row],[Customers Visited]])</f>
        <v>0.13235294117647059</v>
      </c>
      <c r="AI2633" s="6">
        <f>IF(SalesData[[#This Row],[Contracts Signed]]=0,0,SalesData[[#This Row],[Profit(€)]]/SalesData[[#This Row],[Contracts Signed]])</f>
        <v>10626</v>
      </c>
      <c r="AJ2633" s="5" t="str">
        <f>TRIM(CLEAN(SalesData[[#This Row],[Retailer]]))</f>
        <v>Main Auto Hub</v>
      </c>
    </row>
    <row r="2634" spans="1:36" ht="14.25" hidden="1" x14ac:dyDescent="0.2">
      <c r="A2634" t="s">
        <v>3742</v>
      </c>
      <c r="B2634" s="1">
        <v>46081</v>
      </c>
      <c r="C2634" t="s">
        <v>53</v>
      </c>
      <c r="D2634" t="s">
        <v>151</v>
      </c>
      <c r="E2634" t="s">
        <v>42</v>
      </c>
      <c r="F2634" t="s">
        <v>101</v>
      </c>
      <c r="G2634" t="s">
        <v>102</v>
      </c>
      <c r="H2634" t="s">
        <v>103</v>
      </c>
      <c r="I2634" t="s">
        <v>56</v>
      </c>
      <c r="J2634" t="s">
        <v>7028</v>
      </c>
      <c r="K2634" t="s">
        <v>32</v>
      </c>
      <c r="L2634" t="s">
        <v>46</v>
      </c>
      <c r="M2634" t="s">
        <v>47</v>
      </c>
      <c r="N2634" t="s">
        <v>48</v>
      </c>
      <c r="O2634" t="s">
        <v>36</v>
      </c>
      <c r="P2634" t="s">
        <v>58</v>
      </c>
      <c r="Q2634" t="s">
        <v>347</v>
      </c>
      <c r="R2634">
        <v>212</v>
      </c>
      <c r="S2634">
        <v>116</v>
      </c>
      <c r="T2634">
        <v>86</v>
      </c>
      <c r="U2634">
        <v>28</v>
      </c>
      <c r="V2634" t="s">
        <v>6659</v>
      </c>
      <c r="W2634">
        <v>43322</v>
      </c>
      <c r="X2634" t="s">
        <v>1351</v>
      </c>
      <c r="Y2634">
        <v>34680</v>
      </c>
      <c r="Z2634">
        <v>1213016</v>
      </c>
      <c r="AA2634">
        <v>241976</v>
      </c>
      <c r="AB2634" t="str">
        <f>(VLOOKUP(SalesData[[#This Row],[Month Number]],Reference!C$5:E$16,2,FALSE))</f>
        <v>Feb</v>
      </c>
      <c r="AC2634">
        <f>MONTH(SalesData[[#This Row],[Date]])</f>
        <v>2</v>
      </c>
      <c r="AD2634">
        <f>Reference!F$4</f>
        <v>2026</v>
      </c>
      <c r="AE2634" t="str">
        <f>IF(OR(SalesData[[#This Row],[Day]]="Saturday",SalesData[[#This Row],[Day]]="Sunday"),"Weekend","Weekday")</f>
        <v>Weekend</v>
      </c>
      <c r="AF2634" s="5">
        <f>IF(SalesData[[#This Row],[Contracts Offered]]=0,0,SalesData[[#This Row],[Contracts Signed]]/SalesData[[#This Row],[Contracts Offered]])</f>
        <v>0.32558139534883723</v>
      </c>
      <c r="AG2634" s="5">
        <f>IF(SalesData[[#This Row],[Customers Visited]]=0,0,SalesData[[#This Row],[Test Drives]]/SalesData[[#This Row],[Customers Visited]])</f>
        <v>0.54716981132075471</v>
      </c>
      <c r="AH2634" s="5">
        <f>IF(SalesData[[#This Row],[Customers Visited]]=0,0,SalesData[[#This Row],[Contracts Signed]]/SalesData[[#This Row],[Customers Visited]])</f>
        <v>0.13207547169811321</v>
      </c>
      <c r="AI2634" s="6">
        <f>IF(SalesData[[#This Row],[Contracts Signed]]=0,0,SalesData[[#This Row],[Profit(€)]]/SalesData[[#This Row],[Contracts Signed]])</f>
        <v>8642</v>
      </c>
      <c r="AJ2634" s="5" t="str">
        <f>TRIM(CLEAN(SalesData[[#This Row],[Retailer]]))</f>
        <v>Ruhr Auto Plaza</v>
      </c>
    </row>
    <row r="2635" spans="1:36" ht="14.25" x14ac:dyDescent="0.2">
      <c r="A2635" t="s">
        <v>3743</v>
      </c>
      <c r="B2635" s="1">
        <v>46074</v>
      </c>
      <c r="C2635" t="s">
        <v>62</v>
      </c>
      <c r="D2635" t="s">
        <v>151</v>
      </c>
      <c r="E2635" t="s">
        <v>42</v>
      </c>
      <c r="F2635" t="s">
        <v>109</v>
      </c>
      <c r="G2635" t="s">
        <v>110</v>
      </c>
      <c r="H2635" t="s">
        <v>45</v>
      </c>
      <c r="I2635" t="s">
        <v>30</v>
      </c>
      <c r="J2635" t="s">
        <v>7075</v>
      </c>
      <c r="K2635" t="s">
        <v>66</v>
      </c>
      <c r="L2635" t="s">
        <v>33</v>
      </c>
      <c r="M2635" t="s">
        <v>68</v>
      </c>
      <c r="N2635" t="s">
        <v>35</v>
      </c>
      <c r="O2635" t="s">
        <v>36</v>
      </c>
      <c r="P2635" t="s">
        <v>58</v>
      </c>
      <c r="Q2635" t="s">
        <v>158</v>
      </c>
      <c r="R2635">
        <v>269</v>
      </c>
      <c r="S2635">
        <v>163</v>
      </c>
      <c r="T2635">
        <v>118</v>
      </c>
      <c r="U2635">
        <v>52</v>
      </c>
      <c r="V2635" t="s">
        <v>7552</v>
      </c>
      <c r="W2635">
        <v>61965</v>
      </c>
      <c r="X2635" t="s">
        <v>3025</v>
      </c>
      <c r="Y2635">
        <v>46641</v>
      </c>
      <c r="Z2635">
        <v>3222180</v>
      </c>
      <c r="AA2635">
        <v>796848</v>
      </c>
      <c r="AB2635" t="str">
        <f>(VLOOKUP(SalesData[[#This Row],[Month Number]],Reference!C$5:E$16,2,FALSE))</f>
        <v>Feb</v>
      </c>
      <c r="AC2635">
        <f>MONTH(SalesData[[#This Row],[Date]])</f>
        <v>2</v>
      </c>
      <c r="AD2635">
        <f>Reference!F$4</f>
        <v>2026</v>
      </c>
      <c r="AE2635" t="str">
        <f>IF(OR(SalesData[[#This Row],[Day]]="Saturday",SalesData[[#This Row],[Day]]="Sunday"),"Weekend","Weekday")</f>
        <v>Weekend</v>
      </c>
      <c r="AF2635" s="5">
        <f>IF(SalesData[[#This Row],[Contracts Offered]]=0,0,SalesData[[#This Row],[Contracts Signed]]/SalesData[[#This Row],[Contracts Offered]])</f>
        <v>0.44067796610169491</v>
      </c>
      <c r="AG2635" s="5">
        <f>IF(SalesData[[#This Row],[Customers Visited]]=0,0,SalesData[[#This Row],[Test Drives]]/SalesData[[#This Row],[Customers Visited]])</f>
        <v>0.60594795539033453</v>
      </c>
      <c r="AH2635" s="5">
        <f>IF(SalesData[[#This Row],[Customers Visited]]=0,0,SalesData[[#This Row],[Contracts Signed]]/SalesData[[#This Row],[Customers Visited]])</f>
        <v>0.19330855018587362</v>
      </c>
      <c r="AI2635" s="6">
        <f>IF(SalesData[[#This Row],[Contracts Signed]]=0,0,SalesData[[#This Row],[Profit(€)]]/SalesData[[#This Row],[Contracts Signed]])</f>
        <v>15324</v>
      </c>
      <c r="AJ2635" s="5" t="str">
        <f>TRIM(CLEAN(SalesData[[#This Row],[Retailer]]))</f>
        <v>Leipzig Mobility</v>
      </c>
    </row>
    <row r="2636" spans="1:36" ht="14.25" hidden="1" x14ac:dyDescent="0.2">
      <c r="A2636" t="s">
        <v>3744</v>
      </c>
      <c r="B2636" s="1">
        <v>46060</v>
      </c>
      <c r="C2636" t="s">
        <v>24</v>
      </c>
      <c r="D2636" t="s">
        <v>151</v>
      </c>
      <c r="E2636" t="s">
        <v>42</v>
      </c>
      <c r="F2636" t="s">
        <v>27</v>
      </c>
      <c r="G2636" t="s">
        <v>28</v>
      </c>
      <c r="H2636" t="s">
        <v>29</v>
      </c>
      <c r="I2636" t="s">
        <v>104</v>
      </c>
      <c r="J2636" t="s">
        <v>140</v>
      </c>
      <c r="K2636" t="s">
        <v>32</v>
      </c>
      <c r="L2636" t="s">
        <v>46</v>
      </c>
      <c r="M2636" t="s">
        <v>34</v>
      </c>
      <c r="N2636" t="s">
        <v>48</v>
      </c>
      <c r="O2636" t="s">
        <v>36</v>
      </c>
      <c r="P2636" t="s">
        <v>49</v>
      </c>
      <c r="Q2636" t="s">
        <v>118</v>
      </c>
      <c r="R2636">
        <v>437</v>
      </c>
      <c r="S2636">
        <v>175</v>
      </c>
      <c r="T2636">
        <v>109</v>
      </c>
      <c r="U2636">
        <v>28</v>
      </c>
      <c r="V2636" t="s">
        <v>333</v>
      </c>
      <c r="W2636">
        <v>32611</v>
      </c>
      <c r="X2636" t="s">
        <v>1064</v>
      </c>
      <c r="Y2636">
        <v>29242</v>
      </c>
      <c r="Z2636">
        <v>913108</v>
      </c>
      <c r="AA2636">
        <v>94332</v>
      </c>
      <c r="AB2636" t="str">
        <f>(VLOOKUP(SalesData[[#This Row],[Month Number]],Reference!C$5:E$16,2,FALSE))</f>
        <v>Feb</v>
      </c>
      <c r="AC2636">
        <f>MONTH(SalesData[[#This Row],[Date]])</f>
        <v>2</v>
      </c>
      <c r="AD2636">
        <f>Reference!F$4</f>
        <v>2026</v>
      </c>
      <c r="AE2636" t="str">
        <f>IF(OR(SalesData[[#This Row],[Day]]="Saturday",SalesData[[#This Row],[Day]]="Sunday"),"Weekend","Weekday")</f>
        <v>Weekend</v>
      </c>
      <c r="AF2636" s="5">
        <f>IF(SalesData[[#This Row],[Contracts Offered]]=0,0,SalesData[[#This Row],[Contracts Signed]]/SalesData[[#This Row],[Contracts Offered]])</f>
        <v>0.25688073394495414</v>
      </c>
      <c r="AG2636" s="5">
        <f>IF(SalesData[[#This Row],[Customers Visited]]=0,0,SalesData[[#This Row],[Test Drives]]/SalesData[[#This Row],[Customers Visited]])</f>
        <v>0.40045766590389015</v>
      </c>
      <c r="AH2636" s="5">
        <f>IF(SalesData[[#This Row],[Customers Visited]]=0,0,SalesData[[#This Row],[Contracts Signed]]/SalesData[[#This Row],[Customers Visited]])</f>
        <v>6.4073226544622428E-2</v>
      </c>
      <c r="AI2636" s="6">
        <f>IF(SalesData[[#This Row],[Contracts Signed]]=0,0,SalesData[[#This Row],[Profit(€)]]/SalesData[[#This Row],[Contracts Signed]])</f>
        <v>3369</v>
      </c>
      <c r="AJ2636" s="5" t="str">
        <f>TRIM(CLEAN(SalesData[[#This Row],[Retailer]]))</f>
        <v>Main Auto Hub</v>
      </c>
    </row>
    <row r="2637" spans="1:36" ht="14.25" hidden="1" x14ac:dyDescent="0.2">
      <c r="A2637" t="s">
        <v>3745</v>
      </c>
      <c r="B2637" s="1">
        <v>46069</v>
      </c>
      <c r="C2637" t="s">
        <v>62</v>
      </c>
      <c r="D2637" t="s">
        <v>25</v>
      </c>
      <c r="E2637" t="s">
        <v>26</v>
      </c>
      <c r="F2637" t="s">
        <v>94</v>
      </c>
      <c r="G2637" t="s">
        <v>95</v>
      </c>
      <c r="H2637" t="s">
        <v>96</v>
      </c>
      <c r="I2637" t="s">
        <v>64</v>
      </c>
      <c r="J2637" t="s">
        <v>65</v>
      </c>
      <c r="K2637" t="s">
        <v>66</v>
      </c>
      <c r="L2637" t="s">
        <v>33</v>
      </c>
      <c r="M2637" t="s">
        <v>34</v>
      </c>
      <c r="N2637" t="s">
        <v>35</v>
      </c>
      <c r="O2637" t="s">
        <v>70</v>
      </c>
      <c r="P2637" t="s">
        <v>71</v>
      </c>
      <c r="Q2637" t="s">
        <v>172</v>
      </c>
      <c r="R2637">
        <v>246</v>
      </c>
      <c r="S2637">
        <v>117</v>
      </c>
      <c r="T2637">
        <v>79</v>
      </c>
      <c r="U2637">
        <v>31</v>
      </c>
      <c r="V2637" t="s">
        <v>6777</v>
      </c>
      <c r="W2637">
        <v>63882</v>
      </c>
      <c r="X2637" t="s">
        <v>7284</v>
      </c>
      <c r="Y2637">
        <v>48785</v>
      </c>
      <c r="Z2637">
        <v>1980342</v>
      </c>
      <c r="AA2637">
        <v>468007</v>
      </c>
      <c r="AB2637" t="str">
        <f>(VLOOKUP(SalesData[[#This Row],[Month Number]],Reference!C$5:E$16,2,FALSE))</f>
        <v>Feb</v>
      </c>
      <c r="AC2637">
        <f>MONTH(SalesData[[#This Row],[Date]])</f>
        <v>2</v>
      </c>
      <c r="AD2637">
        <f>Reference!F$4</f>
        <v>2026</v>
      </c>
      <c r="AE2637" t="str">
        <f>IF(OR(SalesData[[#This Row],[Day]]="Saturday",SalesData[[#This Row],[Day]]="Sunday"),"Weekend","Weekday")</f>
        <v>Weekday</v>
      </c>
      <c r="AF2637" s="5">
        <f>IF(SalesData[[#This Row],[Contracts Offered]]=0,0,SalesData[[#This Row],[Contracts Signed]]/SalesData[[#This Row],[Contracts Offered]])</f>
        <v>0.39240506329113922</v>
      </c>
      <c r="AG2637" s="5">
        <f>IF(SalesData[[#This Row],[Customers Visited]]=0,0,SalesData[[#This Row],[Test Drives]]/SalesData[[#This Row],[Customers Visited]])</f>
        <v>0.47560975609756095</v>
      </c>
      <c r="AH2637" s="5">
        <f>IF(SalesData[[#This Row],[Customers Visited]]=0,0,SalesData[[#This Row],[Contracts Signed]]/SalesData[[#This Row],[Customers Visited]])</f>
        <v>0.12601626016260162</v>
      </c>
      <c r="AI2637" s="6">
        <f>IF(SalesData[[#This Row],[Contracts Signed]]=0,0,SalesData[[#This Row],[Profit(€)]]/SalesData[[#This Row],[Contracts Signed]])</f>
        <v>15097</v>
      </c>
      <c r="AJ2637" s="5" t="str">
        <f>TRIM(CLEAN(SalesData[[#This Row],[Retailer]]))</f>
        <v>Bavaria Motors</v>
      </c>
    </row>
    <row r="2638" spans="1:36" ht="14.25" x14ac:dyDescent="0.2">
      <c r="A2638" t="s">
        <v>3746</v>
      </c>
      <c r="B2638" s="1">
        <v>46056</v>
      </c>
      <c r="C2638" t="s">
        <v>24</v>
      </c>
      <c r="D2638" t="s">
        <v>63</v>
      </c>
      <c r="E2638" t="s">
        <v>26</v>
      </c>
      <c r="F2638" t="s">
        <v>127</v>
      </c>
      <c r="G2638" t="s">
        <v>128</v>
      </c>
      <c r="H2638" t="s">
        <v>103</v>
      </c>
      <c r="I2638" t="s">
        <v>30</v>
      </c>
      <c r="J2638" t="s">
        <v>166</v>
      </c>
      <c r="K2638" t="s">
        <v>91</v>
      </c>
      <c r="L2638" t="s">
        <v>46</v>
      </c>
      <c r="M2638" t="s">
        <v>87</v>
      </c>
      <c r="N2638" t="s">
        <v>35</v>
      </c>
      <c r="O2638" t="s">
        <v>70</v>
      </c>
      <c r="P2638" t="s">
        <v>58</v>
      </c>
      <c r="Q2638" t="s">
        <v>122</v>
      </c>
      <c r="R2638">
        <v>197</v>
      </c>
      <c r="S2638">
        <v>89</v>
      </c>
      <c r="T2638">
        <v>72</v>
      </c>
      <c r="U2638">
        <v>25</v>
      </c>
      <c r="V2638" t="s">
        <v>6830</v>
      </c>
      <c r="W2638">
        <v>64085</v>
      </c>
      <c r="X2638" t="s">
        <v>5350</v>
      </c>
      <c r="Y2638">
        <v>49313</v>
      </c>
      <c r="Z2638">
        <v>1602125</v>
      </c>
      <c r="AA2638">
        <v>369300</v>
      </c>
      <c r="AB2638" t="str">
        <f>(VLOOKUP(SalesData[[#This Row],[Month Number]],Reference!C$5:E$16,2,FALSE))</f>
        <v>Feb</v>
      </c>
      <c r="AC2638">
        <f>MONTH(SalesData[[#This Row],[Date]])</f>
        <v>2</v>
      </c>
      <c r="AD2638">
        <f>Reference!F$4</f>
        <v>2026</v>
      </c>
      <c r="AE2638" t="str">
        <f>IF(OR(SalesData[[#This Row],[Day]]="Saturday",SalesData[[#This Row],[Day]]="Sunday"),"Weekend","Weekday")</f>
        <v>Weekday</v>
      </c>
      <c r="AF2638" s="5">
        <f>IF(SalesData[[#This Row],[Contracts Offered]]=0,0,SalesData[[#This Row],[Contracts Signed]]/SalesData[[#This Row],[Contracts Offered]])</f>
        <v>0.34722222222222221</v>
      </c>
      <c r="AG2638" s="5">
        <f>IF(SalesData[[#This Row],[Customers Visited]]=0,0,SalesData[[#This Row],[Test Drives]]/SalesData[[#This Row],[Customers Visited]])</f>
        <v>0.45177664974619292</v>
      </c>
      <c r="AH2638" s="5">
        <f>IF(SalesData[[#This Row],[Customers Visited]]=0,0,SalesData[[#This Row],[Contracts Signed]]/SalesData[[#This Row],[Customers Visited]])</f>
        <v>0.12690355329949238</v>
      </c>
      <c r="AI2638" s="6">
        <f>IF(SalesData[[#This Row],[Contracts Signed]]=0,0,SalesData[[#This Row],[Profit(€)]]/SalesData[[#This Row],[Contracts Signed]])</f>
        <v>14772</v>
      </c>
      <c r="AJ2638" s="5" t="str">
        <f>TRIM(CLEAN(SalesData[[#This Row],[Retailer]]))</f>
        <v>Rhein Auto Group</v>
      </c>
    </row>
    <row r="2639" spans="1:36" ht="14.25" hidden="1" x14ac:dyDescent="0.2">
      <c r="A2639" t="s">
        <v>3748</v>
      </c>
      <c r="B2639" s="1">
        <v>46060</v>
      </c>
      <c r="C2639" t="s">
        <v>24</v>
      </c>
      <c r="D2639" t="s">
        <v>151</v>
      </c>
      <c r="E2639" t="s">
        <v>42</v>
      </c>
      <c r="F2639" t="s">
        <v>83</v>
      </c>
      <c r="G2639" t="s">
        <v>84</v>
      </c>
      <c r="H2639" t="s">
        <v>85</v>
      </c>
      <c r="I2639" t="s">
        <v>104</v>
      </c>
      <c r="J2639" t="s">
        <v>143</v>
      </c>
      <c r="K2639" t="s">
        <v>91</v>
      </c>
      <c r="L2639" t="s">
        <v>67</v>
      </c>
      <c r="M2639" t="s">
        <v>68</v>
      </c>
      <c r="N2639" t="s">
        <v>69</v>
      </c>
      <c r="O2639" t="s">
        <v>70</v>
      </c>
      <c r="P2639" t="s">
        <v>37</v>
      </c>
      <c r="Q2639" t="s">
        <v>122</v>
      </c>
      <c r="R2639">
        <v>296</v>
      </c>
      <c r="S2639">
        <v>156</v>
      </c>
      <c r="T2639">
        <v>100</v>
      </c>
      <c r="U2639">
        <v>20</v>
      </c>
      <c r="V2639" t="s">
        <v>889</v>
      </c>
      <c r="W2639">
        <v>32702</v>
      </c>
      <c r="X2639" t="s">
        <v>427</v>
      </c>
      <c r="Y2639">
        <v>29490</v>
      </c>
      <c r="Z2639">
        <v>654040</v>
      </c>
      <c r="AA2639">
        <v>64240</v>
      </c>
      <c r="AB2639" t="str">
        <f>(VLOOKUP(SalesData[[#This Row],[Month Number]],Reference!C$5:E$16,2,FALSE))</f>
        <v>Feb</v>
      </c>
      <c r="AC2639">
        <f>MONTH(SalesData[[#This Row],[Date]])</f>
        <v>2</v>
      </c>
      <c r="AD2639">
        <f>Reference!F$4</f>
        <v>2026</v>
      </c>
      <c r="AE2639" t="str">
        <f>IF(OR(SalesData[[#This Row],[Day]]="Saturday",SalesData[[#This Row],[Day]]="Sunday"),"Weekend","Weekday")</f>
        <v>Weekend</v>
      </c>
      <c r="AF2639" s="5">
        <f>IF(SalesData[[#This Row],[Contracts Offered]]=0,0,SalesData[[#This Row],[Contracts Signed]]/SalesData[[#This Row],[Contracts Offered]])</f>
        <v>0.2</v>
      </c>
      <c r="AG2639" s="5">
        <f>IF(SalesData[[#This Row],[Customers Visited]]=0,0,SalesData[[#This Row],[Test Drives]]/SalesData[[#This Row],[Customers Visited]])</f>
        <v>0.52702702702702697</v>
      </c>
      <c r="AH2639" s="5">
        <f>IF(SalesData[[#This Row],[Customers Visited]]=0,0,SalesData[[#This Row],[Contracts Signed]]/SalesData[[#This Row],[Customers Visited]])</f>
        <v>6.7567567567567571E-2</v>
      </c>
      <c r="AI2639" s="6">
        <f>IF(SalesData[[#This Row],[Contracts Signed]]=0,0,SalesData[[#This Row],[Profit(€)]]/SalesData[[#This Row],[Contracts Signed]])</f>
        <v>3212</v>
      </c>
      <c r="AJ2639" s="5" t="str">
        <f>TRIM(CLEAN(SalesData[[#This Row],[Retailer]]))</f>
        <v>Hannover Cars</v>
      </c>
    </row>
    <row r="2640" spans="1:36" ht="14.25" hidden="1" x14ac:dyDescent="0.2">
      <c r="A2640" t="s">
        <v>3749</v>
      </c>
      <c r="B2640" s="1">
        <v>46061</v>
      </c>
      <c r="C2640" t="s">
        <v>121</v>
      </c>
      <c r="D2640" t="s">
        <v>41</v>
      </c>
      <c r="E2640" t="s">
        <v>42</v>
      </c>
      <c r="F2640" t="s">
        <v>7649</v>
      </c>
      <c r="G2640" t="s">
        <v>55</v>
      </c>
      <c r="H2640" t="s">
        <v>55</v>
      </c>
      <c r="I2640" t="s">
        <v>116</v>
      </c>
      <c r="J2640" t="s">
        <v>7090</v>
      </c>
      <c r="K2640" t="s">
        <v>66</v>
      </c>
      <c r="L2640" t="s">
        <v>46</v>
      </c>
      <c r="M2640" t="s">
        <v>87</v>
      </c>
      <c r="N2640" t="s">
        <v>69</v>
      </c>
      <c r="O2640" t="s">
        <v>36</v>
      </c>
      <c r="P2640" t="s">
        <v>58</v>
      </c>
      <c r="Q2640" t="s">
        <v>88</v>
      </c>
      <c r="R2640">
        <v>345</v>
      </c>
      <c r="S2640">
        <v>138</v>
      </c>
      <c r="T2640">
        <v>95</v>
      </c>
      <c r="U2640">
        <v>27</v>
      </c>
      <c r="V2640" t="s">
        <v>2567</v>
      </c>
      <c r="W2640">
        <v>19524</v>
      </c>
      <c r="X2640" t="s">
        <v>7446</v>
      </c>
      <c r="Y2640">
        <v>17914</v>
      </c>
      <c r="Z2640">
        <v>527148</v>
      </c>
      <c r="AA2640">
        <v>43470</v>
      </c>
      <c r="AB2640" t="str">
        <f>(VLOOKUP(SalesData[[#This Row],[Month Number]],Reference!C$5:E$16,2,FALSE))</f>
        <v>Feb</v>
      </c>
      <c r="AC2640">
        <f>MONTH(SalesData[[#This Row],[Date]])</f>
        <v>2</v>
      </c>
      <c r="AD2640">
        <f>Reference!F$4</f>
        <v>2026</v>
      </c>
      <c r="AE2640" t="str">
        <f>IF(OR(SalesData[[#This Row],[Day]]="Saturday",SalesData[[#This Row],[Day]]="Sunday"),"Weekend","Weekday")</f>
        <v>Weekend</v>
      </c>
      <c r="AF2640" s="5">
        <f>IF(SalesData[[#This Row],[Contracts Offered]]=0,0,SalesData[[#This Row],[Contracts Signed]]/SalesData[[#This Row],[Contracts Offered]])</f>
        <v>0.28421052631578947</v>
      </c>
      <c r="AG2640" s="5">
        <f>IF(SalesData[[#This Row],[Customers Visited]]=0,0,SalesData[[#This Row],[Test Drives]]/SalesData[[#This Row],[Customers Visited]])</f>
        <v>0.4</v>
      </c>
      <c r="AH2640" s="5">
        <f>IF(SalesData[[#This Row],[Customers Visited]]=0,0,SalesData[[#This Row],[Contracts Signed]]/SalesData[[#This Row],[Customers Visited]])</f>
        <v>7.8260869565217397E-2</v>
      </c>
      <c r="AI2640" s="6">
        <f>IF(SalesData[[#This Row],[Contracts Signed]]=0,0,SalesData[[#This Row],[Profit(€)]]/SalesData[[#This Row],[Contracts Signed]])</f>
        <v>1610</v>
      </c>
      <c r="AJ2640" s="5" t="str">
        <f>TRIM(CLEAN(SalesData[[#This Row],[Retailer]]))</f>
        <v>Autohaus Berlin</v>
      </c>
    </row>
    <row r="2641" spans="1:36" ht="14.25" hidden="1" x14ac:dyDescent="0.2">
      <c r="A2641" t="s">
        <v>3750</v>
      </c>
      <c r="B2641" s="1">
        <v>46063</v>
      </c>
      <c r="C2641" t="s">
        <v>121</v>
      </c>
      <c r="D2641" t="s">
        <v>63</v>
      </c>
      <c r="E2641" t="s">
        <v>26</v>
      </c>
      <c r="F2641" t="s">
        <v>94</v>
      </c>
      <c r="G2641" t="s">
        <v>95</v>
      </c>
      <c r="H2641" t="s">
        <v>96</v>
      </c>
      <c r="I2641" t="s">
        <v>116</v>
      </c>
      <c r="J2641" t="s">
        <v>7090</v>
      </c>
      <c r="K2641" t="s">
        <v>91</v>
      </c>
      <c r="L2641" t="s">
        <v>46</v>
      </c>
      <c r="M2641" t="s">
        <v>34</v>
      </c>
      <c r="N2641" t="s">
        <v>35</v>
      </c>
      <c r="O2641" t="s">
        <v>70</v>
      </c>
      <c r="P2641" t="s">
        <v>49</v>
      </c>
      <c r="Q2641" t="s">
        <v>172</v>
      </c>
      <c r="R2641">
        <v>245</v>
      </c>
      <c r="S2641">
        <v>123</v>
      </c>
      <c r="T2641">
        <v>73</v>
      </c>
      <c r="U2641">
        <v>22</v>
      </c>
      <c r="V2641" t="s">
        <v>812</v>
      </c>
      <c r="W2641">
        <v>22040</v>
      </c>
      <c r="X2641" t="s">
        <v>301</v>
      </c>
      <c r="Y2641">
        <v>19732</v>
      </c>
      <c r="Z2641">
        <v>484880</v>
      </c>
      <c r="AA2641">
        <v>50776</v>
      </c>
      <c r="AB2641" t="str">
        <f>(VLOOKUP(SalesData[[#This Row],[Month Number]],Reference!C$5:E$16,2,FALSE))</f>
        <v>Feb</v>
      </c>
      <c r="AC2641">
        <f>MONTH(SalesData[[#This Row],[Date]])</f>
        <v>2</v>
      </c>
      <c r="AD2641">
        <f>Reference!F$4</f>
        <v>2026</v>
      </c>
      <c r="AE2641" t="str">
        <f>IF(OR(SalesData[[#This Row],[Day]]="Saturday",SalesData[[#This Row],[Day]]="Sunday"),"Weekend","Weekday")</f>
        <v>Weekday</v>
      </c>
      <c r="AF2641" s="5">
        <f>IF(SalesData[[#This Row],[Contracts Offered]]=0,0,SalesData[[#This Row],[Contracts Signed]]/SalesData[[#This Row],[Contracts Offered]])</f>
        <v>0.30136986301369861</v>
      </c>
      <c r="AG2641" s="5">
        <f>IF(SalesData[[#This Row],[Customers Visited]]=0,0,SalesData[[#This Row],[Test Drives]]/SalesData[[#This Row],[Customers Visited]])</f>
        <v>0.50204081632653064</v>
      </c>
      <c r="AH2641" s="5">
        <f>IF(SalesData[[#This Row],[Customers Visited]]=0,0,SalesData[[#This Row],[Contracts Signed]]/SalesData[[#This Row],[Customers Visited]])</f>
        <v>8.9795918367346933E-2</v>
      </c>
      <c r="AI2641" s="6">
        <f>IF(SalesData[[#This Row],[Contracts Signed]]=0,0,SalesData[[#This Row],[Profit(€)]]/SalesData[[#This Row],[Contracts Signed]])</f>
        <v>2308</v>
      </c>
      <c r="AJ2641" s="5" t="str">
        <f>TRIM(CLEAN(SalesData[[#This Row],[Retailer]]))</f>
        <v>Bavaria Motors</v>
      </c>
    </row>
    <row r="2642" spans="1:36" ht="14.25" hidden="1" x14ac:dyDescent="0.2">
      <c r="A2642" t="s">
        <v>3751</v>
      </c>
      <c r="B2642" s="1">
        <v>46070</v>
      </c>
      <c r="C2642" t="s">
        <v>62</v>
      </c>
      <c r="D2642" t="s">
        <v>63</v>
      </c>
      <c r="E2642" t="s">
        <v>26</v>
      </c>
      <c r="F2642" t="s">
        <v>27</v>
      </c>
      <c r="G2642" t="s">
        <v>28</v>
      </c>
      <c r="H2642" t="s">
        <v>29</v>
      </c>
      <c r="I2642" t="s">
        <v>104</v>
      </c>
      <c r="J2642" t="s">
        <v>7031</v>
      </c>
      <c r="K2642" t="s">
        <v>78</v>
      </c>
      <c r="L2642" t="s">
        <v>46</v>
      </c>
      <c r="M2642" t="s">
        <v>87</v>
      </c>
      <c r="N2642" t="s">
        <v>35</v>
      </c>
      <c r="O2642" t="s">
        <v>36</v>
      </c>
      <c r="P2642" t="s">
        <v>49</v>
      </c>
      <c r="Q2642" t="s">
        <v>169</v>
      </c>
      <c r="R2642">
        <v>448</v>
      </c>
      <c r="S2642">
        <v>179</v>
      </c>
      <c r="T2642">
        <v>128</v>
      </c>
      <c r="U2642">
        <v>22</v>
      </c>
      <c r="V2642" t="s">
        <v>1940</v>
      </c>
      <c r="W2642">
        <v>34386</v>
      </c>
      <c r="X2642" t="s">
        <v>972</v>
      </c>
      <c r="Y2642">
        <v>30214</v>
      </c>
      <c r="Z2642">
        <v>756492</v>
      </c>
      <c r="AA2642">
        <v>91784</v>
      </c>
      <c r="AB2642" t="str">
        <f>(VLOOKUP(SalesData[[#This Row],[Month Number]],Reference!C$5:E$16,2,FALSE))</f>
        <v>Feb</v>
      </c>
      <c r="AC2642">
        <f>MONTH(SalesData[[#This Row],[Date]])</f>
        <v>2</v>
      </c>
      <c r="AD2642">
        <f>Reference!F$4</f>
        <v>2026</v>
      </c>
      <c r="AE2642" t="str">
        <f>IF(OR(SalesData[[#This Row],[Day]]="Saturday",SalesData[[#This Row],[Day]]="Sunday"),"Weekend","Weekday")</f>
        <v>Weekday</v>
      </c>
      <c r="AF2642" s="5">
        <f>IF(SalesData[[#This Row],[Contracts Offered]]=0,0,SalesData[[#This Row],[Contracts Signed]]/SalesData[[#This Row],[Contracts Offered]])</f>
        <v>0.171875</v>
      </c>
      <c r="AG2642" s="5">
        <f>IF(SalesData[[#This Row],[Customers Visited]]=0,0,SalesData[[#This Row],[Test Drives]]/SalesData[[#This Row],[Customers Visited]])</f>
        <v>0.39955357142857145</v>
      </c>
      <c r="AH2642" s="5">
        <f>IF(SalesData[[#This Row],[Customers Visited]]=0,0,SalesData[[#This Row],[Contracts Signed]]/SalesData[[#This Row],[Customers Visited]])</f>
        <v>4.9107142857142856E-2</v>
      </c>
      <c r="AI2642" s="6">
        <f>IF(SalesData[[#This Row],[Contracts Signed]]=0,0,SalesData[[#This Row],[Profit(€)]]/SalesData[[#This Row],[Contracts Signed]])</f>
        <v>4172</v>
      </c>
      <c r="AJ2642" s="5" t="str">
        <f>TRIM(CLEAN(SalesData[[#This Row],[Retailer]]))</f>
        <v>Main Auto Hub</v>
      </c>
    </row>
    <row r="2643" spans="1:36" ht="14.25" x14ac:dyDescent="0.2">
      <c r="A2643" t="s">
        <v>3752</v>
      </c>
      <c r="B2643" s="1">
        <v>46078</v>
      </c>
      <c r="C2643" t="s">
        <v>53</v>
      </c>
      <c r="D2643" t="s">
        <v>82</v>
      </c>
      <c r="E2643" t="s">
        <v>26</v>
      </c>
      <c r="F2643" t="s">
        <v>83</v>
      </c>
      <c r="G2643" t="s">
        <v>84</v>
      </c>
      <c r="H2643" t="s">
        <v>85</v>
      </c>
      <c r="I2643" t="s">
        <v>30</v>
      </c>
      <c r="J2643" t="s">
        <v>86</v>
      </c>
      <c r="K2643" t="s">
        <v>66</v>
      </c>
      <c r="L2643" t="s">
        <v>33</v>
      </c>
      <c r="M2643" t="s">
        <v>47</v>
      </c>
      <c r="N2643" t="s">
        <v>35</v>
      </c>
      <c r="O2643" t="s">
        <v>70</v>
      </c>
      <c r="P2643" t="s">
        <v>37</v>
      </c>
      <c r="Q2643" t="s">
        <v>240</v>
      </c>
      <c r="R2643">
        <v>206</v>
      </c>
      <c r="S2643">
        <v>104</v>
      </c>
      <c r="T2643">
        <v>82</v>
      </c>
      <c r="U2643">
        <v>25</v>
      </c>
      <c r="V2643" t="s">
        <v>6828</v>
      </c>
      <c r="W2643">
        <v>66440</v>
      </c>
      <c r="X2643" t="s">
        <v>7553</v>
      </c>
      <c r="Y2643">
        <v>51366</v>
      </c>
      <c r="Z2643">
        <v>1661000</v>
      </c>
      <c r="AA2643">
        <v>376850</v>
      </c>
      <c r="AB2643" t="str">
        <f>(VLOOKUP(SalesData[[#This Row],[Month Number]],Reference!C$5:E$16,2,FALSE))</f>
        <v>Feb</v>
      </c>
      <c r="AC2643">
        <f>MONTH(SalesData[[#This Row],[Date]])</f>
        <v>2</v>
      </c>
      <c r="AD2643">
        <f>Reference!F$4</f>
        <v>2026</v>
      </c>
      <c r="AE2643" t="str">
        <f>IF(OR(SalesData[[#This Row],[Day]]="Saturday",SalesData[[#This Row],[Day]]="Sunday"),"Weekend","Weekday")</f>
        <v>Weekday</v>
      </c>
      <c r="AF2643" s="5">
        <f>IF(SalesData[[#This Row],[Contracts Offered]]=0,0,SalesData[[#This Row],[Contracts Signed]]/SalesData[[#This Row],[Contracts Offered]])</f>
        <v>0.3048780487804878</v>
      </c>
      <c r="AG2643" s="5">
        <f>IF(SalesData[[#This Row],[Customers Visited]]=0,0,SalesData[[#This Row],[Test Drives]]/SalesData[[#This Row],[Customers Visited]])</f>
        <v>0.50485436893203883</v>
      </c>
      <c r="AH2643" s="5">
        <f>IF(SalesData[[#This Row],[Customers Visited]]=0,0,SalesData[[#This Row],[Contracts Signed]]/SalesData[[#This Row],[Customers Visited]])</f>
        <v>0.12135922330097088</v>
      </c>
      <c r="AI2643" s="6">
        <f>IF(SalesData[[#This Row],[Contracts Signed]]=0,0,SalesData[[#This Row],[Profit(€)]]/SalesData[[#This Row],[Contracts Signed]])</f>
        <v>15074</v>
      </c>
      <c r="AJ2643" s="5" t="str">
        <f>TRIM(CLEAN(SalesData[[#This Row],[Retailer]]))</f>
        <v>Hannover Cars</v>
      </c>
    </row>
    <row r="2644" spans="1:36" ht="14.25" hidden="1" x14ac:dyDescent="0.2">
      <c r="A2644" t="s">
        <v>3753</v>
      </c>
      <c r="B2644" s="1">
        <v>46079</v>
      </c>
      <c r="C2644" t="s">
        <v>53</v>
      </c>
      <c r="D2644" t="s">
        <v>100</v>
      </c>
      <c r="E2644" t="s">
        <v>26</v>
      </c>
      <c r="F2644" t="s">
        <v>83</v>
      </c>
      <c r="G2644" t="s">
        <v>84</v>
      </c>
      <c r="H2644" t="s">
        <v>85</v>
      </c>
      <c r="I2644" t="s">
        <v>104</v>
      </c>
      <c r="J2644" t="s">
        <v>105</v>
      </c>
      <c r="K2644" t="s">
        <v>78</v>
      </c>
      <c r="L2644" t="s">
        <v>33</v>
      </c>
      <c r="M2644" t="s">
        <v>87</v>
      </c>
      <c r="N2644" t="s">
        <v>48</v>
      </c>
      <c r="O2644" t="s">
        <v>36</v>
      </c>
      <c r="P2644" t="s">
        <v>71</v>
      </c>
      <c r="Q2644" t="s">
        <v>152</v>
      </c>
      <c r="R2644">
        <v>470</v>
      </c>
      <c r="S2644">
        <v>270</v>
      </c>
      <c r="T2644">
        <v>185</v>
      </c>
      <c r="U2644">
        <v>47</v>
      </c>
      <c r="V2644" t="s">
        <v>7015</v>
      </c>
      <c r="W2644">
        <v>30271</v>
      </c>
      <c r="X2644" t="s">
        <v>3197</v>
      </c>
      <c r="Y2644">
        <v>27125</v>
      </c>
      <c r="Z2644">
        <v>1422737</v>
      </c>
      <c r="AA2644">
        <v>147862</v>
      </c>
      <c r="AB2644" t="str">
        <f>(VLOOKUP(SalesData[[#This Row],[Month Number]],Reference!C$5:E$16,2,FALSE))</f>
        <v>Feb</v>
      </c>
      <c r="AC2644">
        <f>MONTH(SalesData[[#This Row],[Date]])</f>
        <v>2</v>
      </c>
      <c r="AD2644">
        <f>Reference!F$4</f>
        <v>2026</v>
      </c>
      <c r="AE2644" t="str">
        <f>IF(OR(SalesData[[#This Row],[Day]]="Saturday",SalesData[[#This Row],[Day]]="Sunday"),"Weekend","Weekday")</f>
        <v>Weekday</v>
      </c>
      <c r="AF2644" s="5">
        <f>IF(SalesData[[#This Row],[Contracts Offered]]=0,0,SalesData[[#This Row],[Contracts Signed]]/SalesData[[#This Row],[Contracts Offered]])</f>
        <v>0.25405405405405407</v>
      </c>
      <c r="AG2644" s="5">
        <f>IF(SalesData[[#This Row],[Customers Visited]]=0,0,SalesData[[#This Row],[Test Drives]]/SalesData[[#This Row],[Customers Visited]])</f>
        <v>0.57446808510638303</v>
      </c>
      <c r="AH2644" s="5">
        <f>IF(SalesData[[#This Row],[Customers Visited]]=0,0,SalesData[[#This Row],[Contracts Signed]]/SalesData[[#This Row],[Customers Visited]])</f>
        <v>0.1</v>
      </c>
      <c r="AI2644" s="6">
        <f>IF(SalesData[[#This Row],[Contracts Signed]]=0,0,SalesData[[#This Row],[Profit(€)]]/SalesData[[#This Row],[Contracts Signed]])</f>
        <v>3146</v>
      </c>
      <c r="AJ2644" s="5" t="str">
        <f>TRIM(CLEAN(SalesData[[#This Row],[Retailer]]))</f>
        <v>Hannover Cars</v>
      </c>
    </row>
    <row r="2645" spans="1:36" ht="14.25" hidden="1" x14ac:dyDescent="0.2">
      <c r="A2645" t="s">
        <v>3754</v>
      </c>
      <c r="B2645" s="1">
        <v>46079</v>
      </c>
      <c r="C2645" t="s">
        <v>53</v>
      </c>
      <c r="D2645" t="s">
        <v>100</v>
      </c>
      <c r="E2645" t="s">
        <v>26</v>
      </c>
      <c r="F2645" t="s">
        <v>83</v>
      </c>
      <c r="G2645" t="s">
        <v>84</v>
      </c>
      <c r="H2645" t="s">
        <v>85</v>
      </c>
      <c r="I2645" t="s">
        <v>104</v>
      </c>
      <c r="J2645" t="s">
        <v>7031</v>
      </c>
      <c r="K2645" t="s">
        <v>66</v>
      </c>
      <c r="L2645" t="s">
        <v>46</v>
      </c>
      <c r="M2645" t="s">
        <v>68</v>
      </c>
      <c r="N2645" t="s">
        <v>69</v>
      </c>
      <c r="O2645" t="s">
        <v>70</v>
      </c>
      <c r="P2645" t="s">
        <v>37</v>
      </c>
      <c r="Q2645" t="s">
        <v>169</v>
      </c>
      <c r="R2645">
        <v>340</v>
      </c>
      <c r="S2645">
        <v>182</v>
      </c>
      <c r="T2645">
        <v>110</v>
      </c>
      <c r="U2645">
        <v>29</v>
      </c>
      <c r="V2645" t="s">
        <v>6812</v>
      </c>
      <c r="W2645">
        <v>32845</v>
      </c>
      <c r="X2645" t="s">
        <v>548</v>
      </c>
      <c r="Y2645">
        <v>29426</v>
      </c>
      <c r="Z2645">
        <v>952505</v>
      </c>
      <c r="AA2645">
        <v>99151</v>
      </c>
      <c r="AB2645" t="str">
        <f>(VLOOKUP(SalesData[[#This Row],[Month Number]],Reference!C$5:E$16,2,FALSE))</f>
        <v>Feb</v>
      </c>
      <c r="AC2645">
        <f>MONTH(SalesData[[#This Row],[Date]])</f>
        <v>2</v>
      </c>
      <c r="AD2645">
        <f>Reference!F$4</f>
        <v>2026</v>
      </c>
      <c r="AE2645" t="str">
        <f>IF(OR(SalesData[[#This Row],[Day]]="Saturday",SalesData[[#This Row],[Day]]="Sunday"),"Weekend","Weekday")</f>
        <v>Weekday</v>
      </c>
      <c r="AF2645" s="5">
        <f>IF(SalesData[[#This Row],[Contracts Offered]]=0,0,SalesData[[#This Row],[Contracts Signed]]/SalesData[[#This Row],[Contracts Offered]])</f>
        <v>0.26363636363636361</v>
      </c>
      <c r="AG2645" s="5">
        <f>IF(SalesData[[#This Row],[Customers Visited]]=0,0,SalesData[[#This Row],[Test Drives]]/SalesData[[#This Row],[Customers Visited]])</f>
        <v>0.53529411764705881</v>
      </c>
      <c r="AH2645" s="5">
        <f>IF(SalesData[[#This Row],[Customers Visited]]=0,0,SalesData[[#This Row],[Contracts Signed]]/SalesData[[#This Row],[Customers Visited]])</f>
        <v>8.5294117647058826E-2</v>
      </c>
      <c r="AI2645" s="6">
        <f>IF(SalesData[[#This Row],[Contracts Signed]]=0,0,SalesData[[#This Row],[Profit(€)]]/SalesData[[#This Row],[Contracts Signed]])</f>
        <v>3419</v>
      </c>
      <c r="AJ2645" s="5" t="str">
        <f>TRIM(CLEAN(SalesData[[#This Row],[Retailer]]))</f>
        <v>Hannover Cars</v>
      </c>
    </row>
    <row r="2646" spans="1:36" ht="14.25" hidden="1" x14ac:dyDescent="0.2">
      <c r="A2646" t="s">
        <v>3755</v>
      </c>
      <c r="B2646" s="1">
        <v>46069</v>
      </c>
      <c r="C2646" t="s">
        <v>62</v>
      </c>
      <c r="D2646" t="s">
        <v>25</v>
      </c>
      <c r="E2646" t="s">
        <v>26</v>
      </c>
      <c r="F2646" t="s">
        <v>27</v>
      </c>
      <c r="G2646" t="s">
        <v>28</v>
      </c>
      <c r="H2646" t="s">
        <v>29</v>
      </c>
      <c r="I2646" t="s">
        <v>104</v>
      </c>
      <c r="J2646" t="s">
        <v>7031</v>
      </c>
      <c r="K2646" t="s">
        <v>91</v>
      </c>
      <c r="L2646" t="s">
        <v>46</v>
      </c>
      <c r="M2646" t="s">
        <v>47</v>
      </c>
      <c r="N2646" t="s">
        <v>35</v>
      </c>
      <c r="O2646" t="s">
        <v>36</v>
      </c>
      <c r="P2646" t="s">
        <v>71</v>
      </c>
      <c r="Q2646" t="s">
        <v>189</v>
      </c>
      <c r="R2646">
        <v>447</v>
      </c>
      <c r="S2646">
        <v>214</v>
      </c>
      <c r="T2646">
        <v>153</v>
      </c>
      <c r="U2646">
        <v>41</v>
      </c>
      <c r="V2646" t="s">
        <v>7488</v>
      </c>
      <c r="W2646">
        <v>29283</v>
      </c>
      <c r="X2646" t="s">
        <v>4276</v>
      </c>
      <c r="Y2646">
        <v>26638</v>
      </c>
      <c r="Z2646">
        <v>1200603</v>
      </c>
      <c r="AA2646">
        <v>108445</v>
      </c>
      <c r="AB2646" t="str">
        <f>(VLOOKUP(SalesData[[#This Row],[Month Number]],Reference!C$5:E$16,2,FALSE))</f>
        <v>Feb</v>
      </c>
      <c r="AC2646">
        <f>MONTH(SalesData[[#This Row],[Date]])</f>
        <v>2</v>
      </c>
      <c r="AD2646">
        <f>Reference!F$4</f>
        <v>2026</v>
      </c>
      <c r="AE2646" t="str">
        <f>IF(OR(SalesData[[#This Row],[Day]]="Saturday",SalesData[[#This Row],[Day]]="Sunday"),"Weekend","Weekday")</f>
        <v>Weekday</v>
      </c>
      <c r="AF2646" s="5">
        <f>IF(SalesData[[#This Row],[Contracts Offered]]=0,0,SalesData[[#This Row],[Contracts Signed]]/SalesData[[#This Row],[Contracts Offered]])</f>
        <v>0.26797385620915032</v>
      </c>
      <c r="AG2646" s="5">
        <f>IF(SalesData[[#This Row],[Customers Visited]]=0,0,SalesData[[#This Row],[Test Drives]]/SalesData[[#This Row],[Customers Visited]])</f>
        <v>0.47874720357941836</v>
      </c>
      <c r="AH2646" s="5">
        <f>IF(SalesData[[#This Row],[Customers Visited]]=0,0,SalesData[[#This Row],[Contracts Signed]]/SalesData[[#This Row],[Customers Visited]])</f>
        <v>9.1722595078299773E-2</v>
      </c>
      <c r="AI2646" s="6">
        <f>IF(SalesData[[#This Row],[Contracts Signed]]=0,0,SalesData[[#This Row],[Profit(€)]]/SalesData[[#This Row],[Contracts Signed]])</f>
        <v>2645</v>
      </c>
      <c r="AJ2646" s="5" t="str">
        <f>TRIM(CLEAN(SalesData[[#This Row],[Retailer]]))</f>
        <v>Main Auto Hub</v>
      </c>
    </row>
    <row r="2647" spans="1:36" ht="14.25" hidden="1" x14ac:dyDescent="0.2">
      <c r="A2647" t="s">
        <v>3757</v>
      </c>
      <c r="B2647" s="1">
        <v>46061</v>
      </c>
      <c r="C2647" t="s">
        <v>121</v>
      </c>
      <c r="D2647" t="s">
        <v>41</v>
      </c>
      <c r="E2647" t="s">
        <v>42</v>
      </c>
      <c r="F2647" t="s">
        <v>43</v>
      </c>
      <c r="G2647" t="s">
        <v>44</v>
      </c>
      <c r="H2647" t="s">
        <v>45</v>
      </c>
      <c r="I2647" t="s">
        <v>104</v>
      </c>
      <c r="J2647" t="s">
        <v>105</v>
      </c>
      <c r="K2647" t="s">
        <v>66</v>
      </c>
      <c r="L2647" t="s">
        <v>33</v>
      </c>
      <c r="M2647" t="s">
        <v>47</v>
      </c>
      <c r="N2647" t="s">
        <v>69</v>
      </c>
      <c r="O2647" t="s">
        <v>70</v>
      </c>
      <c r="P2647" t="s">
        <v>58</v>
      </c>
      <c r="Q2647" t="s">
        <v>169</v>
      </c>
      <c r="R2647">
        <v>440</v>
      </c>
      <c r="S2647">
        <v>230</v>
      </c>
      <c r="T2647">
        <v>151</v>
      </c>
      <c r="U2647">
        <v>40</v>
      </c>
      <c r="V2647" t="s">
        <v>292</v>
      </c>
      <c r="W2647">
        <v>33965</v>
      </c>
      <c r="X2647" t="s">
        <v>1416</v>
      </c>
      <c r="Y2647">
        <v>30755</v>
      </c>
      <c r="Z2647">
        <v>1358600</v>
      </c>
      <c r="AA2647">
        <v>128400</v>
      </c>
      <c r="AB2647" t="str">
        <f>(VLOOKUP(SalesData[[#This Row],[Month Number]],Reference!C$5:E$16,2,FALSE))</f>
        <v>Feb</v>
      </c>
      <c r="AC2647">
        <f>MONTH(SalesData[[#This Row],[Date]])</f>
        <v>2</v>
      </c>
      <c r="AD2647">
        <f>Reference!F$4</f>
        <v>2026</v>
      </c>
      <c r="AE2647" t="str">
        <f>IF(OR(SalesData[[#This Row],[Day]]="Saturday",SalesData[[#This Row],[Day]]="Sunday"),"Weekend","Weekday")</f>
        <v>Weekend</v>
      </c>
      <c r="AF2647" s="5">
        <f>IF(SalesData[[#This Row],[Contracts Offered]]=0,0,SalesData[[#This Row],[Contracts Signed]]/SalesData[[#This Row],[Contracts Offered]])</f>
        <v>0.26490066225165565</v>
      </c>
      <c r="AG2647" s="5">
        <f>IF(SalesData[[#This Row],[Customers Visited]]=0,0,SalesData[[#This Row],[Test Drives]]/SalesData[[#This Row],[Customers Visited]])</f>
        <v>0.52272727272727271</v>
      </c>
      <c r="AH2647" s="5">
        <f>IF(SalesData[[#This Row],[Customers Visited]]=0,0,SalesData[[#This Row],[Contracts Signed]]/SalesData[[#This Row],[Customers Visited]])</f>
        <v>9.0909090909090912E-2</v>
      </c>
      <c r="AI2647" s="6">
        <f>IF(SalesData[[#This Row],[Contracts Signed]]=0,0,SalesData[[#This Row],[Profit(€)]]/SalesData[[#This Row],[Contracts Signed]])</f>
        <v>3210</v>
      </c>
      <c r="AJ2647" s="5" t="str">
        <f>TRIM(CLEAN(SalesData[[#This Row],[Retailer]]))</f>
        <v>Saxon Wheels</v>
      </c>
    </row>
    <row r="2648" spans="1:36" ht="14.25" x14ac:dyDescent="0.2">
      <c r="A2648" t="s">
        <v>3758</v>
      </c>
      <c r="B2648" s="1">
        <v>46065</v>
      </c>
      <c r="C2648" t="s">
        <v>121</v>
      </c>
      <c r="D2648" t="s">
        <v>100</v>
      </c>
      <c r="E2648" t="s">
        <v>26</v>
      </c>
      <c r="F2648" t="s">
        <v>94</v>
      </c>
      <c r="G2648" t="s">
        <v>95</v>
      </c>
      <c r="H2648" t="s">
        <v>96</v>
      </c>
      <c r="I2648" t="s">
        <v>30</v>
      </c>
      <c r="J2648" t="s">
        <v>188</v>
      </c>
      <c r="K2648" t="s">
        <v>91</v>
      </c>
      <c r="L2648" t="s">
        <v>33</v>
      </c>
      <c r="M2648" t="s">
        <v>68</v>
      </c>
      <c r="N2648" t="s">
        <v>35</v>
      </c>
      <c r="O2648" t="s">
        <v>36</v>
      </c>
      <c r="P2648" t="s">
        <v>71</v>
      </c>
      <c r="Q2648" t="s">
        <v>38</v>
      </c>
      <c r="R2648">
        <v>241</v>
      </c>
      <c r="S2648">
        <v>113</v>
      </c>
      <c r="T2648">
        <v>89</v>
      </c>
      <c r="U2648">
        <v>33</v>
      </c>
      <c r="V2648" t="s">
        <v>6862</v>
      </c>
      <c r="W2648">
        <v>59265</v>
      </c>
      <c r="X2648" t="s">
        <v>7165</v>
      </c>
      <c r="Y2648">
        <v>45367</v>
      </c>
      <c r="Z2648">
        <v>1955745</v>
      </c>
      <c r="AA2648">
        <v>458634</v>
      </c>
      <c r="AB2648" t="str">
        <f>(VLOOKUP(SalesData[[#This Row],[Month Number]],Reference!C$5:E$16,2,FALSE))</f>
        <v>Feb</v>
      </c>
      <c r="AC2648">
        <f>MONTH(SalesData[[#This Row],[Date]])</f>
        <v>2</v>
      </c>
      <c r="AD2648">
        <f>Reference!F$4</f>
        <v>2026</v>
      </c>
      <c r="AE2648" t="str">
        <f>IF(OR(SalesData[[#This Row],[Day]]="Saturday",SalesData[[#This Row],[Day]]="Sunday"),"Weekend","Weekday")</f>
        <v>Weekday</v>
      </c>
      <c r="AF2648" s="5">
        <f>IF(SalesData[[#This Row],[Contracts Offered]]=0,0,SalesData[[#This Row],[Contracts Signed]]/SalesData[[#This Row],[Contracts Offered]])</f>
        <v>0.3707865168539326</v>
      </c>
      <c r="AG2648" s="5">
        <f>IF(SalesData[[#This Row],[Customers Visited]]=0,0,SalesData[[#This Row],[Test Drives]]/SalesData[[#This Row],[Customers Visited]])</f>
        <v>0.46887966804979253</v>
      </c>
      <c r="AH2648" s="5">
        <f>IF(SalesData[[#This Row],[Customers Visited]]=0,0,SalesData[[#This Row],[Contracts Signed]]/SalesData[[#This Row],[Customers Visited]])</f>
        <v>0.13692946058091288</v>
      </c>
      <c r="AI2648" s="6">
        <f>IF(SalesData[[#This Row],[Contracts Signed]]=0,0,SalesData[[#This Row],[Profit(€)]]/SalesData[[#This Row],[Contracts Signed]])</f>
        <v>13898</v>
      </c>
      <c r="AJ2648" s="5" t="str">
        <f>TRIM(CLEAN(SalesData[[#This Row],[Retailer]]))</f>
        <v>Bavaria Motors</v>
      </c>
    </row>
    <row r="2649" spans="1:36" ht="14.25" hidden="1" x14ac:dyDescent="0.2">
      <c r="A2649" t="s">
        <v>3759</v>
      </c>
      <c r="B2649" s="1">
        <v>46064</v>
      </c>
      <c r="C2649" t="s">
        <v>121</v>
      </c>
      <c r="D2649" t="s">
        <v>82</v>
      </c>
      <c r="E2649" t="s">
        <v>26</v>
      </c>
      <c r="F2649" t="s">
        <v>114</v>
      </c>
      <c r="G2649" t="s">
        <v>115</v>
      </c>
      <c r="H2649" t="s">
        <v>115</v>
      </c>
      <c r="I2649" t="s">
        <v>64</v>
      </c>
      <c r="J2649" t="s">
        <v>7029</v>
      </c>
      <c r="K2649" t="s">
        <v>91</v>
      </c>
      <c r="L2649" t="s">
        <v>33</v>
      </c>
      <c r="M2649" t="s">
        <v>47</v>
      </c>
      <c r="N2649" t="s">
        <v>69</v>
      </c>
      <c r="O2649" t="s">
        <v>70</v>
      </c>
      <c r="P2649" t="s">
        <v>71</v>
      </c>
      <c r="Q2649" t="s">
        <v>189</v>
      </c>
      <c r="R2649">
        <v>241</v>
      </c>
      <c r="S2649">
        <v>129</v>
      </c>
      <c r="T2649">
        <v>86</v>
      </c>
      <c r="U2649">
        <v>35</v>
      </c>
      <c r="V2649" t="s">
        <v>6947</v>
      </c>
      <c r="W2649">
        <v>65147</v>
      </c>
      <c r="X2649" t="s">
        <v>7353</v>
      </c>
      <c r="Y2649">
        <v>47979</v>
      </c>
      <c r="Z2649">
        <v>2280145</v>
      </c>
      <c r="AA2649">
        <v>600880</v>
      </c>
      <c r="AB2649" t="str">
        <f>(VLOOKUP(SalesData[[#This Row],[Month Number]],Reference!C$5:E$16,2,FALSE))</f>
        <v>Feb</v>
      </c>
      <c r="AC2649">
        <f>MONTH(SalesData[[#This Row],[Date]])</f>
        <v>2</v>
      </c>
      <c r="AD2649">
        <f>Reference!F$4</f>
        <v>2026</v>
      </c>
      <c r="AE2649" t="str">
        <f>IF(OR(SalesData[[#This Row],[Day]]="Saturday",SalesData[[#This Row],[Day]]="Sunday"),"Weekend","Weekday")</f>
        <v>Weekday</v>
      </c>
      <c r="AF2649" s="5">
        <f>IF(SalesData[[#This Row],[Contracts Offered]]=0,0,SalesData[[#This Row],[Contracts Signed]]/SalesData[[#This Row],[Contracts Offered]])</f>
        <v>0.40697674418604651</v>
      </c>
      <c r="AG2649" s="5">
        <f>IF(SalesData[[#This Row],[Customers Visited]]=0,0,SalesData[[#This Row],[Test Drives]]/SalesData[[#This Row],[Customers Visited]])</f>
        <v>0.53526970954356845</v>
      </c>
      <c r="AH2649" s="5">
        <f>IF(SalesData[[#This Row],[Customers Visited]]=0,0,SalesData[[#This Row],[Contracts Signed]]/SalesData[[#This Row],[Customers Visited]])</f>
        <v>0.14522821576763487</v>
      </c>
      <c r="AI2649" s="6">
        <f>IF(SalesData[[#This Row],[Contracts Signed]]=0,0,SalesData[[#This Row],[Profit(€)]]/SalesData[[#This Row],[Contracts Signed]])</f>
        <v>17168</v>
      </c>
      <c r="AJ2649" s="5" t="str">
        <f>TRIM(CLEAN(SalesData[[#This Row],[Retailer]]))</f>
        <v>Elbe Drive</v>
      </c>
    </row>
    <row r="2650" spans="1:36" ht="14.25" hidden="1" x14ac:dyDescent="0.2">
      <c r="A2650" t="s">
        <v>3760</v>
      </c>
      <c r="B2650" s="1">
        <v>46066</v>
      </c>
      <c r="C2650" t="s">
        <v>121</v>
      </c>
      <c r="D2650" t="s">
        <v>54</v>
      </c>
      <c r="E2650" t="s">
        <v>26</v>
      </c>
      <c r="F2650" t="s">
        <v>27</v>
      </c>
      <c r="G2650" t="s">
        <v>28</v>
      </c>
      <c r="H2650" t="s">
        <v>29</v>
      </c>
      <c r="I2650" t="s">
        <v>64</v>
      </c>
      <c r="J2650" t="s">
        <v>7029</v>
      </c>
      <c r="K2650" t="s">
        <v>91</v>
      </c>
      <c r="L2650" t="s">
        <v>33</v>
      </c>
      <c r="M2650" t="s">
        <v>68</v>
      </c>
      <c r="N2650" t="s">
        <v>48</v>
      </c>
      <c r="O2650" t="s">
        <v>70</v>
      </c>
      <c r="P2650" t="s">
        <v>49</v>
      </c>
      <c r="Q2650" t="s">
        <v>118</v>
      </c>
      <c r="R2650">
        <v>184</v>
      </c>
      <c r="S2650">
        <v>102</v>
      </c>
      <c r="T2650">
        <v>72</v>
      </c>
      <c r="U2650">
        <v>20</v>
      </c>
      <c r="V2650" t="s">
        <v>1030</v>
      </c>
      <c r="W2650">
        <v>60050</v>
      </c>
      <c r="X2650" t="s">
        <v>7544</v>
      </c>
      <c r="Y2650">
        <v>44139</v>
      </c>
      <c r="Z2650">
        <v>1201000</v>
      </c>
      <c r="AA2650">
        <v>318220</v>
      </c>
      <c r="AB2650" t="str">
        <f>(VLOOKUP(SalesData[[#This Row],[Month Number]],Reference!C$5:E$16,2,FALSE))</f>
        <v>Feb</v>
      </c>
      <c r="AC2650">
        <f>MONTH(SalesData[[#This Row],[Date]])</f>
        <v>2</v>
      </c>
      <c r="AD2650">
        <f>Reference!F$4</f>
        <v>2026</v>
      </c>
      <c r="AE2650" t="str">
        <f>IF(OR(SalesData[[#This Row],[Day]]="Saturday",SalesData[[#This Row],[Day]]="Sunday"),"Weekend","Weekday")</f>
        <v>Weekday</v>
      </c>
      <c r="AF2650" s="5">
        <f>IF(SalesData[[#This Row],[Contracts Offered]]=0,0,SalesData[[#This Row],[Contracts Signed]]/SalesData[[#This Row],[Contracts Offered]])</f>
        <v>0.27777777777777779</v>
      </c>
      <c r="AG2650" s="5">
        <f>IF(SalesData[[#This Row],[Customers Visited]]=0,0,SalesData[[#This Row],[Test Drives]]/SalesData[[#This Row],[Customers Visited]])</f>
        <v>0.55434782608695654</v>
      </c>
      <c r="AH2650" s="5">
        <f>IF(SalesData[[#This Row],[Customers Visited]]=0,0,SalesData[[#This Row],[Contracts Signed]]/SalesData[[#This Row],[Customers Visited]])</f>
        <v>0.10869565217391304</v>
      </c>
      <c r="AI2650" s="6">
        <f>IF(SalesData[[#This Row],[Contracts Signed]]=0,0,SalesData[[#This Row],[Profit(€)]]/SalesData[[#This Row],[Contracts Signed]])</f>
        <v>15911</v>
      </c>
      <c r="AJ2650" s="5" t="str">
        <f>TRIM(CLEAN(SalesData[[#This Row],[Retailer]]))</f>
        <v>Main Auto Hub</v>
      </c>
    </row>
    <row r="2651" spans="1:36" ht="14.25" hidden="1" x14ac:dyDescent="0.2">
      <c r="A2651" t="s">
        <v>3761</v>
      </c>
      <c r="B2651" s="1">
        <v>46058</v>
      </c>
      <c r="C2651" t="s">
        <v>24</v>
      </c>
      <c r="D2651" t="s">
        <v>100</v>
      </c>
      <c r="E2651" t="s">
        <v>26</v>
      </c>
      <c r="F2651" t="s">
        <v>127</v>
      </c>
      <c r="G2651" t="s">
        <v>128</v>
      </c>
      <c r="H2651" t="s">
        <v>103</v>
      </c>
      <c r="I2651" t="s">
        <v>64</v>
      </c>
      <c r="J2651" t="s">
        <v>7029</v>
      </c>
      <c r="K2651" t="s">
        <v>32</v>
      </c>
      <c r="L2651" t="s">
        <v>33</v>
      </c>
      <c r="M2651" t="s">
        <v>87</v>
      </c>
      <c r="N2651" t="s">
        <v>69</v>
      </c>
      <c r="O2651" t="s">
        <v>70</v>
      </c>
      <c r="P2651" t="s">
        <v>71</v>
      </c>
      <c r="Q2651" t="s">
        <v>172</v>
      </c>
      <c r="R2651">
        <v>248</v>
      </c>
      <c r="S2651">
        <v>145</v>
      </c>
      <c r="T2651">
        <v>112</v>
      </c>
      <c r="U2651">
        <v>36</v>
      </c>
      <c r="V2651" t="s">
        <v>6856</v>
      </c>
      <c r="W2651">
        <v>51470</v>
      </c>
      <c r="X2651" t="s">
        <v>7104</v>
      </c>
      <c r="Y2651">
        <v>40292</v>
      </c>
      <c r="Z2651">
        <v>1852920</v>
      </c>
      <c r="AA2651">
        <v>402408</v>
      </c>
      <c r="AB2651" t="str">
        <f>(VLOOKUP(SalesData[[#This Row],[Month Number]],Reference!C$5:E$16,2,FALSE))</f>
        <v>Feb</v>
      </c>
      <c r="AC2651">
        <f>MONTH(SalesData[[#This Row],[Date]])</f>
        <v>2</v>
      </c>
      <c r="AD2651">
        <f>Reference!F$4</f>
        <v>2026</v>
      </c>
      <c r="AE2651" t="str">
        <f>IF(OR(SalesData[[#This Row],[Day]]="Saturday",SalesData[[#This Row],[Day]]="Sunday"),"Weekend","Weekday")</f>
        <v>Weekday</v>
      </c>
      <c r="AF2651" s="5">
        <f>IF(SalesData[[#This Row],[Contracts Offered]]=0,0,SalesData[[#This Row],[Contracts Signed]]/SalesData[[#This Row],[Contracts Offered]])</f>
        <v>0.32142857142857145</v>
      </c>
      <c r="AG2651" s="5">
        <f>IF(SalesData[[#This Row],[Customers Visited]]=0,0,SalesData[[#This Row],[Test Drives]]/SalesData[[#This Row],[Customers Visited]])</f>
        <v>0.58467741935483875</v>
      </c>
      <c r="AH2651" s="5">
        <f>IF(SalesData[[#This Row],[Customers Visited]]=0,0,SalesData[[#This Row],[Contracts Signed]]/SalesData[[#This Row],[Customers Visited]])</f>
        <v>0.14516129032258066</v>
      </c>
      <c r="AI2651" s="6">
        <f>IF(SalesData[[#This Row],[Contracts Signed]]=0,0,SalesData[[#This Row],[Profit(€)]]/SalesData[[#This Row],[Contracts Signed]])</f>
        <v>11178</v>
      </c>
      <c r="AJ2651" s="5" t="str">
        <f>TRIM(CLEAN(SalesData[[#This Row],[Retailer]]))</f>
        <v>Rhein Auto Group</v>
      </c>
    </row>
    <row r="2652" spans="1:36" ht="14.25" hidden="1" x14ac:dyDescent="0.2">
      <c r="A2652" t="s">
        <v>3762</v>
      </c>
      <c r="B2652" s="1">
        <v>46063</v>
      </c>
      <c r="C2652" t="s">
        <v>121</v>
      </c>
      <c r="D2652" t="s">
        <v>63</v>
      </c>
      <c r="E2652" t="s">
        <v>26</v>
      </c>
      <c r="F2652" t="s">
        <v>114</v>
      </c>
      <c r="G2652" t="s">
        <v>115</v>
      </c>
      <c r="H2652" t="s">
        <v>115</v>
      </c>
      <c r="I2652" t="s">
        <v>64</v>
      </c>
      <c r="J2652" t="s">
        <v>111</v>
      </c>
      <c r="K2652" t="s">
        <v>78</v>
      </c>
      <c r="L2652" t="s">
        <v>46</v>
      </c>
      <c r="M2652" t="s">
        <v>68</v>
      </c>
      <c r="N2652" t="s">
        <v>48</v>
      </c>
      <c r="O2652" t="s">
        <v>70</v>
      </c>
      <c r="P2652" t="s">
        <v>49</v>
      </c>
      <c r="Q2652" t="s">
        <v>189</v>
      </c>
      <c r="R2652">
        <v>230</v>
      </c>
      <c r="S2652">
        <v>108</v>
      </c>
      <c r="T2652">
        <v>82</v>
      </c>
      <c r="U2652">
        <v>24</v>
      </c>
      <c r="V2652" t="s">
        <v>6433</v>
      </c>
      <c r="W2652">
        <v>54731</v>
      </c>
      <c r="X2652" t="s">
        <v>384</v>
      </c>
      <c r="Y2652">
        <v>41697</v>
      </c>
      <c r="Z2652">
        <v>1313544</v>
      </c>
      <c r="AA2652">
        <v>312816</v>
      </c>
      <c r="AB2652" t="str">
        <f>(VLOOKUP(SalesData[[#This Row],[Month Number]],Reference!C$5:E$16,2,FALSE))</f>
        <v>Feb</v>
      </c>
      <c r="AC2652">
        <f>MONTH(SalesData[[#This Row],[Date]])</f>
        <v>2</v>
      </c>
      <c r="AD2652">
        <f>Reference!F$4</f>
        <v>2026</v>
      </c>
      <c r="AE2652" t="str">
        <f>IF(OR(SalesData[[#This Row],[Day]]="Saturday",SalesData[[#This Row],[Day]]="Sunday"),"Weekend","Weekday")</f>
        <v>Weekday</v>
      </c>
      <c r="AF2652" s="5">
        <f>IF(SalesData[[#This Row],[Contracts Offered]]=0,0,SalesData[[#This Row],[Contracts Signed]]/SalesData[[#This Row],[Contracts Offered]])</f>
        <v>0.29268292682926828</v>
      </c>
      <c r="AG2652" s="5">
        <f>IF(SalesData[[#This Row],[Customers Visited]]=0,0,SalesData[[#This Row],[Test Drives]]/SalesData[[#This Row],[Customers Visited]])</f>
        <v>0.46956521739130436</v>
      </c>
      <c r="AH2652" s="5">
        <f>IF(SalesData[[#This Row],[Customers Visited]]=0,0,SalesData[[#This Row],[Contracts Signed]]/SalesData[[#This Row],[Customers Visited]])</f>
        <v>0.10434782608695652</v>
      </c>
      <c r="AI2652" s="6">
        <f>IF(SalesData[[#This Row],[Contracts Signed]]=0,0,SalesData[[#This Row],[Profit(€)]]/SalesData[[#This Row],[Contracts Signed]])</f>
        <v>13034</v>
      </c>
      <c r="AJ2652" s="5" t="str">
        <f>TRIM(CLEAN(SalesData[[#This Row],[Retailer]]))</f>
        <v>Elbe Drive</v>
      </c>
    </row>
    <row r="2653" spans="1:36" ht="14.25" hidden="1" x14ac:dyDescent="0.2">
      <c r="A2653" t="s">
        <v>3763</v>
      </c>
      <c r="B2653" s="1">
        <v>46059</v>
      </c>
      <c r="C2653" t="s">
        <v>24</v>
      </c>
      <c r="D2653" t="s">
        <v>54</v>
      </c>
      <c r="E2653" t="s">
        <v>26</v>
      </c>
      <c r="F2653" t="s">
        <v>7649</v>
      </c>
      <c r="G2653" t="s">
        <v>55</v>
      </c>
      <c r="H2653" t="s">
        <v>55</v>
      </c>
      <c r="I2653" t="s">
        <v>64</v>
      </c>
      <c r="J2653" t="s">
        <v>157</v>
      </c>
      <c r="K2653" t="s">
        <v>78</v>
      </c>
      <c r="L2653" t="s">
        <v>33</v>
      </c>
      <c r="M2653" t="s">
        <v>47</v>
      </c>
      <c r="N2653" t="s">
        <v>48</v>
      </c>
      <c r="O2653" t="s">
        <v>70</v>
      </c>
      <c r="P2653" t="s">
        <v>71</v>
      </c>
      <c r="Q2653" t="s">
        <v>59</v>
      </c>
      <c r="R2653">
        <v>257</v>
      </c>
      <c r="S2653">
        <v>115</v>
      </c>
      <c r="T2653">
        <v>87</v>
      </c>
      <c r="U2653">
        <v>29</v>
      </c>
      <c r="V2653" t="s">
        <v>6749</v>
      </c>
      <c r="W2653">
        <v>71304</v>
      </c>
      <c r="X2653" t="s">
        <v>7256</v>
      </c>
      <c r="Y2653">
        <v>55556</v>
      </c>
      <c r="Z2653">
        <v>2067816</v>
      </c>
      <c r="AA2653">
        <v>456692</v>
      </c>
      <c r="AB2653" t="str">
        <f>(VLOOKUP(SalesData[[#This Row],[Month Number]],Reference!C$5:E$16,2,FALSE))</f>
        <v>Feb</v>
      </c>
      <c r="AC2653">
        <f>MONTH(SalesData[[#This Row],[Date]])</f>
        <v>2</v>
      </c>
      <c r="AD2653">
        <f>Reference!F$4</f>
        <v>2026</v>
      </c>
      <c r="AE2653" t="str">
        <f>IF(OR(SalesData[[#This Row],[Day]]="Saturday",SalesData[[#This Row],[Day]]="Sunday"),"Weekend","Weekday")</f>
        <v>Weekday</v>
      </c>
      <c r="AF2653" s="5">
        <f>IF(SalesData[[#This Row],[Contracts Offered]]=0,0,SalesData[[#This Row],[Contracts Signed]]/SalesData[[#This Row],[Contracts Offered]])</f>
        <v>0.33333333333333331</v>
      </c>
      <c r="AG2653" s="5">
        <f>IF(SalesData[[#This Row],[Customers Visited]]=0,0,SalesData[[#This Row],[Test Drives]]/SalesData[[#This Row],[Customers Visited]])</f>
        <v>0.44747081712062259</v>
      </c>
      <c r="AH2653" s="5">
        <f>IF(SalesData[[#This Row],[Customers Visited]]=0,0,SalesData[[#This Row],[Contracts Signed]]/SalesData[[#This Row],[Customers Visited]])</f>
        <v>0.11284046692607004</v>
      </c>
      <c r="AI2653" s="6">
        <f>IF(SalesData[[#This Row],[Contracts Signed]]=0,0,SalesData[[#This Row],[Profit(€)]]/SalesData[[#This Row],[Contracts Signed]])</f>
        <v>15748</v>
      </c>
      <c r="AJ2653" s="5" t="str">
        <f>TRIM(CLEAN(SalesData[[#This Row],[Retailer]]))</f>
        <v>Autohaus Berlin</v>
      </c>
    </row>
    <row r="2654" spans="1:36" ht="14.25" x14ac:dyDescent="0.2">
      <c r="A2654" t="s">
        <v>3764</v>
      </c>
      <c r="B2654" s="1">
        <v>46058</v>
      </c>
      <c r="C2654" t="s">
        <v>24</v>
      </c>
      <c r="D2654" t="s">
        <v>100</v>
      </c>
      <c r="E2654" t="s">
        <v>26</v>
      </c>
      <c r="F2654" t="s">
        <v>43</v>
      </c>
      <c r="G2654" t="s">
        <v>44</v>
      </c>
      <c r="H2654" t="s">
        <v>45</v>
      </c>
      <c r="I2654" t="s">
        <v>30</v>
      </c>
      <c r="J2654" t="s">
        <v>7075</v>
      </c>
      <c r="K2654" t="s">
        <v>78</v>
      </c>
      <c r="L2654" t="s">
        <v>33</v>
      </c>
      <c r="M2654" t="s">
        <v>34</v>
      </c>
      <c r="N2654" t="s">
        <v>69</v>
      </c>
      <c r="O2654" t="s">
        <v>36</v>
      </c>
      <c r="P2654" t="s">
        <v>37</v>
      </c>
      <c r="Q2654" t="s">
        <v>144</v>
      </c>
      <c r="R2654">
        <v>263</v>
      </c>
      <c r="S2654">
        <v>161</v>
      </c>
      <c r="T2654">
        <v>124</v>
      </c>
      <c r="U2654">
        <v>46</v>
      </c>
      <c r="V2654" t="s">
        <v>6357</v>
      </c>
      <c r="W2654">
        <v>59819</v>
      </c>
      <c r="X2654" t="s">
        <v>1489</v>
      </c>
      <c r="Y2654">
        <v>44193</v>
      </c>
      <c r="Z2654">
        <v>2751674</v>
      </c>
      <c r="AA2654">
        <v>718796</v>
      </c>
      <c r="AB2654" t="str">
        <f>(VLOOKUP(SalesData[[#This Row],[Month Number]],Reference!C$5:E$16,2,FALSE))</f>
        <v>Feb</v>
      </c>
      <c r="AC2654">
        <f>MONTH(SalesData[[#This Row],[Date]])</f>
        <v>2</v>
      </c>
      <c r="AD2654">
        <f>Reference!F$4</f>
        <v>2026</v>
      </c>
      <c r="AE2654" t="str">
        <f>IF(OR(SalesData[[#This Row],[Day]]="Saturday",SalesData[[#This Row],[Day]]="Sunday"),"Weekend","Weekday")</f>
        <v>Weekday</v>
      </c>
      <c r="AF2654" s="5">
        <f>IF(SalesData[[#This Row],[Contracts Offered]]=0,0,SalesData[[#This Row],[Contracts Signed]]/SalesData[[#This Row],[Contracts Offered]])</f>
        <v>0.37096774193548387</v>
      </c>
      <c r="AG2654" s="5">
        <f>IF(SalesData[[#This Row],[Customers Visited]]=0,0,SalesData[[#This Row],[Test Drives]]/SalesData[[#This Row],[Customers Visited]])</f>
        <v>0.61216730038022815</v>
      </c>
      <c r="AH2654" s="5">
        <f>IF(SalesData[[#This Row],[Customers Visited]]=0,0,SalesData[[#This Row],[Contracts Signed]]/SalesData[[#This Row],[Customers Visited]])</f>
        <v>0.17490494296577946</v>
      </c>
      <c r="AI2654" s="6">
        <f>IF(SalesData[[#This Row],[Contracts Signed]]=0,0,SalesData[[#This Row],[Profit(€)]]/SalesData[[#This Row],[Contracts Signed]])</f>
        <v>15626</v>
      </c>
      <c r="AJ2654" s="5" t="str">
        <f>TRIM(CLEAN(SalesData[[#This Row],[Retailer]]))</f>
        <v>Saxon Wheels</v>
      </c>
    </row>
    <row r="2655" spans="1:36" ht="14.25" x14ac:dyDescent="0.2">
      <c r="A2655" t="s">
        <v>3765</v>
      </c>
      <c r="B2655" s="1">
        <v>46054</v>
      </c>
      <c r="C2655" t="s">
        <v>24</v>
      </c>
      <c r="D2655" t="s">
        <v>41</v>
      </c>
      <c r="E2655" t="s">
        <v>42</v>
      </c>
      <c r="F2655" t="s">
        <v>109</v>
      </c>
      <c r="G2655" t="s">
        <v>110</v>
      </c>
      <c r="H2655" t="s">
        <v>45</v>
      </c>
      <c r="I2655" t="s">
        <v>30</v>
      </c>
      <c r="J2655" t="s">
        <v>86</v>
      </c>
      <c r="K2655" t="s">
        <v>78</v>
      </c>
      <c r="L2655" t="s">
        <v>33</v>
      </c>
      <c r="M2655" t="s">
        <v>87</v>
      </c>
      <c r="N2655" t="s">
        <v>35</v>
      </c>
      <c r="O2655" t="s">
        <v>70</v>
      </c>
      <c r="P2655" t="s">
        <v>37</v>
      </c>
      <c r="Q2655" t="s">
        <v>152</v>
      </c>
      <c r="R2655">
        <v>265</v>
      </c>
      <c r="S2655">
        <v>129</v>
      </c>
      <c r="T2655">
        <v>92</v>
      </c>
      <c r="U2655">
        <v>30</v>
      </c>
      <c r="V2655" t="s">
        <v>6726</v>
      </c>
      <c r="W2655">
        <v>50411</v>
      </c>
      <c r="X2655" t="s">
        <v>2701</v>
      </c>
      <c r="Y2655">
        <v>36042</v>
      </c>
      <c r="Z2655">
        <v>1512330</v>
      </c>
      <c r="AA2655">
        <v>431070</v>
      </c>
      <c r="AB2655" t="str">
        <f>(VLOOKUP(SalesData[[#This Row],[Month Number]],Reference!C$5:E$16,2,FALSE))</f>
        <v>Feb</v>
      </c>
      <c r="AC2655">
        <f>MONTH(SalesData[[#This Row],[Date]])</f>
        <v>2</v>
      </c>
      <c r="AD2655">
        <f>Reference!F$4</f>
        <v>2026</v>
      </c>
      <c r="AE2655" t="str">
        <f>IF(OR(SalesData[[#This Row],[Day]]="Saturday",SalesData[[#This Row],[Day]]="Sunday"),"Weekend","Weekday")</f>
        <v>Weekend</v>
      </c>
      <c r="AF2655" s="5">
        <f>IF(SalesData[[#This Row],[Contracts Offered]]=0,0,SalesData[[#This Row],[Contracts Signed]]/SalesData[[#This Row],[Contracts Offered]])</f>
        <v>0.32608695652173914</v>
      </c>
      <c r="AG2655" s="5">
        <f>IF(SalesData[[#This Row],[Customers Visited]]=0,0,SalesData[[#This Row],[Test Drives]]/SalesData[[#This Row],[Customers Visited]])</f>
        <v>0.48679245283018868</v>
      </c>
      <c r="AH2655" s="5">
        <f>IF(SalesData[[#This Row],[Customers Visited]]=0,0,SalesData[[#This Row],[Contracts Signed]]/SalesData[[#This Row],[Customers Visited]])</f>
        <v>0.11320754716981132</v>
      </c>
      <c r="AI2655" s="6">
        <f>IF(SalesData[[#This Row],[Contracts Signed]]=0,0,SalesData[[#This Row],[Profit(€)]]/SalesData[[#This Row],[Contracts Signed]])</f>
        <v>14369</v>
      </c>
      <c r="AJ2655" s="5" t="str">
        <f>TRIM(CLEAN(SalesData[[#This Row],[Retailer]]))</f>
        <v>Leipzig Mobility</v>
      </c>
    </row>
    <row r="2656" spans="1:36" ht="14.25" hidden="1" x14ac:dyDescent="0.2">
      <c r="A2656" t="s">
        <v>3766</v>
      </c>
      <c r="B2656" s="1">
        <v>46057</v>
      </c>
      <c r="C2656" t="s">
        <v>24</v>
      </c>
      <c r="D2656" t="s">
        <v>82</v>
      </c>
      <c r="E2656" t="s">
        <v>26</v>
      </c>
      <c r="F2656" t="s">
        <v>27</v>
      </c>
      <c r="G2656" t="s">
        <v>28</v>
      </c>
      <c r="H2656" t="s">
        <v>29</v>
      </c>
      <c r="I2656" t="s">
        <v>64</v>
      </c>
      <c r="J2656" t="s">
        <v>77</v>
      </c>
      <c r="K2656" t="s">
        <v>32</v>
      </c>
      <c r="L2656" t="s">
        <v>46</v>
      </c>
      <c r="M2656" t="s">
        <v>47</v>
      </c>
      <c r="N2656" t="s">
        <v>35</v>
      </c>
      <c r="O2656" t="s">
        <v>36</v>
      </c>
      <c r="P2656" t="s">
        <v>37</v>
      </c>
      <c r="Q2656" t="s">
        <v>152</v>
      </c>
      <c r="R2656">
        <v>244</v>
      </c>
      <c r="S2656">
        <v>127</v>
      </c>
      <c r="T2656">
        <v>88</v>
      </c>
      <c r="U2656">
        <v>28</v>
      </c>
      <c r="V2656" t="s">
        <v>6538</v>
      </c>
      <c r="W2656">
        <v>67469</v>
      </c>
      <c r="X2656" t="s">
        <v>7274</v>
      </c>
      <c r="Y2656">
        <v>50184</v>
      </c>
      <c r="Z2656">
        <v>1889132</v>
      </c>
      <c r="AA2656">
        <v>483980</v>
      </c>
      <c r="AB2656" t="str">
        <f>(VLOOKUP(SalesData[[#This Row],[Month Number]],Reference!C$5:E$16,2,FALSE))</f>
        <v>Feb</v>
      </c>
      <c r="AC2656">
        <f>MONTH(SalesData[[#This Row],[Date]])</f>
        <v>2</v>
      </c>
      <c r="AD2656">
        <f>Reference!F$4</f>
        <v>2026</v>
      </c>
      <c r="AE2656" t="str">
        <f>IF(OR(SalesData[[#This Row],[Day]]="Saturday",SalesData[[#This Row],[Day]]="Sunday"),"Weekend","Weekday")</f>
        <v>Weekday</v>
      </c>
      <c r="AF2656" s="5">
        <f>IF(SalesData[[#This Row],[Contracts Offered]]=0,0,SalesData[[#This Row],[Contracts Signed]]/SalesData[[#This Row],[Contracts Offered]])</f>
        <v>0.31818181818181818</v>
      </c>
      <c r="AG2656" s="5">
        <f>IF(SalesData[[#This Row],[Customers Visited]]=0,0,SalesData[[#This Row],[Test Drives]]/SalesData[[#This Row],[Customers Visited]])</f>
        <v>0.52049180327868849</v>
      </c>
      <c r="AH2656" s="5">
        <f>IF(SalesData[[#This Row],[Customers Visited]]=0,0,SalesData[[#This Row],[Contracts Signed]]/SalesData[[#This Row],[Customers Visited]])</f>
        <v>0.11475409836065574</v>
      </c>
      <c r="AI2656" s="6">
        <f>IF(SalesData[[#This Row],[Contracts Signed]]=0,0,SalesData[[#This Row],[Profit(€)]]/SalesData[[#This Row],[Contracts Signed]])</f>
        <v>17285</v>
      </c>
      <c r="AJ2656" s="5" t="str">
        <f>TRIM(CLEAN(SalesData[[#This Row],[Retailer]]))</f>
        <v>Main Auto Hub</v>
      </c>
    </row>
    <row r="2657" spans="1:36" ht="14.25" hidden="1" x14ac:dyDescent="0.2">
      <c r="A2657" t="s">
        <v>3767</v>
      </c>
      <c r="B2657" s="1">
        <v>46068</v>
      </c>
      <c r="C2657" t="s">
        <v>62</v>
      </c>
      <c r="D2657" t="s">
        <v>41</v>
      </c>
      <c r="E2657" t="s">
        <v>42</v>
      </c>
      <c r="F2657" t="s">
        <v>83</v>
      </c>
      <c r="G2657" t="s">
        <v>84</v>
      </c>
      <c r="H2657" t="s">
        <v>85</v>
      </c>
      <c r="I2657" t="s">
        <v>56</v>
      </c>
      <c r="J2657" t="s">
        <v>7028</v>
      </c>
      <c r="K2657" t="s">
        <v>91</v>
      </c>
      <c r="L2657" t="s">
        <v>46</v>
      </c>
      <c r="M2657" t="s">
        <v>47</v>
      </c>
      <c r="N2657" t="s">
        <v>48</v>
      </c>
      <c r="O2657" t="s">
        <v>36</v>
      </c>
      <c r="P2657" t="s">
        <v>37</v>
      </c>
      <c r="Q2657" t="s">
        <v>38</v>
      </c>
      <c r="R2657">
        <v>275</v>
      </c>
      <c r="S2657">
        <v>170</v>
      </c>
      <c r="T2657">
        <v>130</v>
      </c>
      <c r="U2657">
        <v>36</v>
      </c>
      <c r="V2657" t="s">
        <v>6609</v>
      </c>
      <c r="W2657">
        <v>43880</v>
      </c>
      <c r="X2657" t="s">
        <v>7260</v>
      </c>
      <c r="Y2657">
        <v>35681</v>
      </c>
      <c r="Z2657">
        <v>1579680</v>
      </c>
      <c r="AA2657">
        <v>295164</v>
      </c>
      <c r="AB2657" t="str">
        <f>(VLOOKUP(SalesData[[#This Row],[Month Number]],Reference!C$5:E$16,2,FALSE))</f>
        <v>Feb</v>
      </c>
      <c r="AC2657">
        <f>MONTH(SalesData[[#This Row],[Date]])</f>
        <v>2</v>
      </c>
      <c r="AD2657">
        <f>Reference!F$4</f>
        <v>2026</v>
      </c>
      <c r="AE2657" t="str">
        <f>IF(OR(SalesData[[#This Row],[Day]]="Saturday",SalesData[[#This Row],[Day]]="Sunday"),"Weekend","Weekday")</f>
        <v>Weekend</v>
      </c>
      <c r="AF2657" s="5">
        <f>IF(SalesData[[#This Row],[Contracts Offered]]=0,0,SalesData[[#This Row],[Contracts Signed]]/SalesData[[#This Row],[Contracts Offered]])</f>
        <v>0.27692307692307694</v>
      </c>
      <c r="AG2657" s="5">
        <f>IF(SalesData[[#This Row],[Customers Visited]]=0,0,SalesData[[#This Row],[Test Drives]]/SalesData[[#This Row],[Customers Visited]])</f>
        <v>0.61818181818181817</v>
      </c>
      <c r="AH2657" s="5">
        <f>IF(SalesData[[#This Row],[Customers Visited]]=0,0,SalesData[[#This Row],[Contracts Signed]]/SalesData[[#This Row],[Customers Visited]])</f>
        <v>0.13090909090909092</v>
      </c>
      <c r="AI2657" s="6">
        <f>IF(SalesData[[#This Row],[Contracts Signed]]=0,0,SalesData[[#This Row],[Profit(€)]]/SalesData[[#This Row],[Contracts Signed]])</f>
        <v>8199</v>
      </c>
      <c r="AJ2657" s="5" t="str">
        <f>TRIM(CLEAN(SalesData[[#This Row],[Retailer]]))</f>
        <v>Hannover Cars</v>
      </c>
    </row>
    <row r="2658" spans="1:36" ht="14.25" hidden="1" x14ac:dyDescent="0.2">
      <c r="A2658" t="s">
        <v>3768</v>
      </c>
      <c r="B2658" s="1">
        <v>46064</v>
      </c>
      <c r="C2658" t="s">
        <v>121</v>
      </c>
      <c r="D2658" t="s">
        <v>82</v>
      </c>
      <c r="E2658" t="s">
        <v>26</v>
      </c>
      <c r="F2658" t="s">
        <v>43</v>
      </c>
      <c r="G2658" t="s">
        <v>44</v>
      </c>
      <c r="H2658" t="s">
        <v>45</v>
      </c>
      <c r="I2658" t="s">
        <v>64</v>
      </c>
      <c r="J2658" t="s">
        <v>65</v>
      </c>
      <c r="K2658" t="s">
        <v>78</v>
      </c>
      <c r="L2658" t="s">
        <v>33</v>
      </c>
      <c r="M2658" t="s">
        <v>47</v>
      </c>
      <c r="N2658" t="s">
        <v>35</v>
      </c>
      <c r="O2658" t="s">
        <v>36</v>
      </c>
      <c r="P2658" t="s">
        <v>37</v>
      </c>
      <c r="Q2658" t="s">
        <v>59</v>
      </c>
      <c r="R2658">
        <v>272</v>
      </c>
      <c r="S2658">
        <v>133</v>
      </c>
      <c r="T2658">
        <v>91</v>
      </c>
      <c r="U2658">
        <v>29</v>
      </c>
      <c r="V2658" t="s">
        <v>6646</v>
      </c>
      <c r="W2658">
        <v>59860</v>
      </c>
      <c r="X2658" t="s">
        <v>4696</v>
      </c>
      <c r="Y2658">
        <v>42529</v>
      </c>
      <c r="Z2658">
        <v>1735940</v>
      </c>
      <c r="AA2658">
        <v>502599</v>
      </c>
      <c r="AB2658" t="str">
        <f>(VLOOKUP(SalesData[[#This Row],[Month Number]],Reference!C$5:E$16,2,FALSE))</f>
        <v>Feb</v>
      </c>
      <c r="AC2658">
        <f>MONTH(SalesData[[#This Row],[Date]])</f>
        <v>2</v>
      </c>
      <c r="AD2658">
        <f>Reference!F$4</f>
        <v>2026</v>
      </c>
      <c r="AE2658" t="str">
        <f>IF(OR(SalesData[[#This Row],[Day]]="Saturday",SalesData[[#This Row],[Day]]="Sunday"),"Weekend","Weekday")</f>
        <v>Weekday</v>
      </c>
      <c r="AF2658" s="5">
        <f>IF(SalesData[[#This Row],[Contracts Offered]]=0,0,SalesData[[#This Row],[Contracts Signed]]/SalesData[[#This Row],[Contracts Offered]])</f>
        <v>0.31868131868131866</v>
      </c>
      <c r="AG2658" s="5">
        <f>IF(SalesData[[#This Row],[Customers Visited]]=0,0,SalesData[[#This Row],[Test Drives]]/SalesData[[#This Row],[Customers Visited]])</f>
        <v>0.4889705882352941</v>
      </c>
      <c r="AH2658" s="5">
        <f>IF(SalesData[[#This Row],[Customers Visited]]=0,0,SalesData[[#This Row],[Contracts Signed]]/SalesData[[#This Row],[Customers Visited]])</f>
        <v>0.10661764705882353</v>
      </c>
      <c r="AI2658" s="6">
        <f>IF(SalesData[[#This Row],[Contracts Signed]]=0,0,SalesData[[#This Row],[Profit(€)]]/SalesData[[#This Row],[Contracts Signed]])</f>
        <v>17331</v>
      </c>
      <c r="AJ2658" s="5" t="str">
        <f>TRIM(CLEAN(SalesData[[#This Row],[Retailer]]))</f>
        <v>Saxon Wheels</v>
      </c>
    </row>
    <row r="2659" spans="1:36" ht="14.25" hidden="1" x14ac:dyDescent="0.2">
      <c r="A2659" t="s">
        <v>3769</v>
      </c>
      <c r="B2659" s="1">
        <v>46066</v>
      </c>
      <c r="C2659" t="s">
        <v>121</v>
      </c>
      <c r="D2659" t="s">
        <v>54</v>
      </c>
      <c r="E2659" t="s">
        <v>26</v>
      </c>
      <c r="F2659" t="s">
        <v>101</v>
      </c>
      <c r="G2659" t="s">
        <v>102</v>
      </c>
      <c r="H2659" t="s">
        <v>103</v>
      </c>
      <c r="I2659" t="s">
        <v>64</v>
      </c>
      <c r="J2659" t="s">
        <v>111</v>
      </c>
      <c r="K2659" t="s">
        <v>78</v>
      </c>
      <c r="L2659" t="s">
        <v>46</v>
      </c>
      <c r="M2659" t="s">
        <v>34</v>
      </c>
      <c r="N2659" t="s">
        <v>48</v>
      </c>
      <c r="O2659" t="s">
        <v>70</v>
      </c>
      <c r="P2659" t="s">
        <v>58</v>
      </c>
      <c r="Q2659" t="s">
        <v>118</v>
      </c>
      <c r="R2659">
        <v>272</v>
      </c>
      <c r="S2659">
        <v>142</v>
      </c>
      <c r="T2659">
        <v>101</v>
      </c>
      <c r="U2659">
        <v>36</v>
      </c>
      <c r="V2659" t="s">
        <v>6368</v>
      </c>
      <c r="W2659">
        <v>69962</v>
      </c>
      <c r="X2659" t="s">
        <v>7274</v>
      </c>
      <c r="Y2659">
        <v>53528</v>
      </c>
      <c r="Z2659">
        <v>2518632</v>
      </c>
      <c r="AA2659">
        <v>591624</v>
      </c>
      <c r="AB2659" t="str">
        <f>(VLOOKUP(SalesData[[#This Row],[Month Number]],Reference!C$5:E$16,2,FALSE))</f>
        <v>Feb</v>
      </c>
      <c r="AC2659">
        <f>MONTH(SalesData[[#This Row],[Date]])</f>
        <v>2</v>
      </c>
      <c r="AD2659">
        <f>Reference!F$4</f>
        <v>2026</v>
      </c>
      <c r="AE2659" t="str">
        <f>IF(OR(SalesData[[#This Row],[Day]]="Saturday",SalesData[[#This Row],[Day]]="Sunday"),"Weekend","Weekday")</f>
        <v>Weekday</v>
      </c>
      <c r="AF2659" s="5">
        <f>IF(SalesData[[#This Row],[Contracts Offered]]=0,0,SalesData[[#This Row],[Contracts Signed]]/SalesData[[#This Row],[Contracts Offered]])</f>
        <v>0.35643564356435642</v>
      </c>
      <c r="AG2659" s="5">
        <f>IF(SalesData[[#This Row],[Customers Visited]]=0,0,SalesData[[#This Row],[Test Drives]]/SalesData[[#This Row],[Customers Visited]])</f>
        <v>0.5220588235294118</v>
      </c>
      <c r="AH2659" s="5">
        <f>IF(SalesData[[#This Row],[Customers Visited]]=0,0,SalesData[[#This Row],[Contracts Signed]]/SalesData[[#This Row],[Customers Visited]])</f>
        <v>0.13235294117647059</v>
      </c>
      <c r="AI2659" s="6">
        <f>IF(SalesData[[#This Row],[Contracts Signed]]=0,0,SalesData[[#This Row],[Profit(€)]]/SalesData[[#This Row],[Contracts Signed]])</f>
        <v>16434</v>
      </c>
      <c r="AJ2659" s="5" t="str">
        <f>TRIM(CLEAN(SalesData[[#This Row],[Retailer]]))</f>
        <v>Ruhr Auto Plaza</v>
      </c>
    </row>
    <row r="2660" spans="1:36" ht="14.25" hidden="1" x14ac:dyDescent="0.2">
      <c r="A2660" t="s">
        <v>3770</v>
      </c>
      <c r="B2660" s="1">
        <v>46055</v>
      </c>
      <c r="C2660" t="s">
        <v>24</v>
      </c>
      <c r="D2660" t="s">
        <v>25</v>
      </c>
      <c r="E2660" t="s">
        <v>26</v>
      </c>
      <c r="F2660" t="s">
        <v>101</v>
      </c>
      <c r="G2660" t="s">
        <v>102</v>
      </c>
      <c r="H2660" t="s">
        <v>103</v>
      </c>
      <c r="I2660" t="s">
        <v>116</v>
      </c>
      <c r="J2660" t="s">
        <v>7090</v>
      </c>
      <c r="K2660" t="s">
        <v>78</v>
      </c>
      <c r="L2660" t="s">
        <v>46</v>
      </c>
      <c r="M2660" t="s">
        <v>68</v>
      </c>
      <c r="N2660" t="s">
        <v>48</v>
      </c>
      <c r="O2660" t="s">
        <v>70</v>
      </c>
      <c r="P2660" t="s">
        <v>71</v>
      </c>
      <c r="Q2660" t="s">
        <v>189</v>
      </c>
      <c r="R2660">
        <v>328</v>
      </c>
      <c r="S2660">
        <v>151</v>
      </c>
      <c r="T2660">
        <v>104</v>
      </c>
      <c r="U2660">
        <v>22</v>
      </c>
      <c r="V2660" t="s">
        <v>5661</v>
      </c>
      <c r="W2660">
        <v>23386</v>
      </c>
      <c r="X2660" t="s">
        <v>7543</v>
      </c>
      <c r="Y2660">
        <v>21160</v>
      </c>
      <c r="Z2660">
        <v>514492</v>
      </c>
      <c r="AA2660">
        <v>48972</v>
      </c>
      <c r="AB2660" t="str">
        <f>(VLOOKUP(SalesData[[#This Row],[Month Number]],Reference!C$5:E$16,2,FALSE))</f>
        <v>Feb</v>
      </c>
      <c r="AC2660">
        <f>MONTH(SalesData[[#This Row],[Date]])</f>
        <v>2</v>
      </c>
      <c r="AD2660">
        <f>Reference!F$4</f>
        <v>2026</v>
      </c>
      <c r="AE2660" t="str">
        <f>IF(OR(SalesData[[#This Row],[Day]]="Saturday",SalesData[[#This Row],[Day]]="Sunday"),"Weekend","Weekday")</f>
        <v>Weekday</v>
      </c>
      <c r="AF2660" s="5">
        <f>IF(SalesData[[#This Row],[Contracts Offered]]=0,0,SalesData[[#This Row],[Contracts Signed]]/SalesData[[#This Row],[Contracts Offered]])</f>
        <v>0.21153846153846154</v>
      </c>
      <c r="AG2660" s="5">
        <f>IF(SalesData[[#This Row],[Customers Visited]]=0,0,SalesData[[#This Row],[Test Drives]]/SalesData[[#This Row],[Customers Visited]])</f>
        <v>0.46036585365853661</v>
      </c>
      <c r="AH2660" s="5">
        <f>IF(SalesData[[#This Row],[Customers Visited]]=0,0,SalesData[[#This Row],[Contracts Signed]]/SalesData[[#This Row],[Customers Visited]])</f>
        <v>6.7073170731707321E-2</v>
      </c>
      <c r="AI2660" s="6">
        <f>IF(SalesData[[#This Row],[Contracts Signed]]=0,0,SalesData[[#This Row],[Profit(€)]]/SalesData[[#This Row],[Contracts Signed]])</f>
        <v>2226</v>
      </c>
      <c r="AJ2660" s="5" t="str">
        <f>TRIM(CLEAN(SalesData[[#This Row],[Retailer]]))</f>
        <v>Ruhr Auto Plaza</v>
      </c>
    </row>
    <row r="2661" spans="1:36" ht="14.25" hidden="1" x14ac:dyDescent="0.2">
      <c r="A2661" t="s">
        <v>3771</v>
      </c>
      <c r="B2661" s="1">
        <v>46054</v>
      </c>
      <c r="C2661" t="s">
        <v>24</v>
      </c>
      <c r="D2661" t="s">
        <v>41</v>
      </c>
      <c r="E2661" t="s">
        <v>42</v>
      </c>
      <c r="F2661" t="s">
        <v>27</v>
      </c>
      <c r="G2661" t="s">
        <v>28</v>
      </c>
      <c r="H2661" t="s">
        <v>29</v>
      </c>
      <c r="I2661" t="s">
        <v>104</v>
      </c>
      <c r="J2661" t="s">
        <v>7031</v>
      </c>
      <c r="K2661" t="s">
        <v>78</v>
      </c>
      <c r="L2661" t="s">
        <v>46</v>
      </c>
      <c r="M2661" t="s">
        <v>68</v>
      </c>
      <c r="N2661" t="s">
        <v>48</v>
      </c>
      <c r="O2661" t="s">
        <v>36</v>
      </c>
      <c r="P2661" t="s">
        <v>37</v>
      </c>
      <c r="Q2661" t="s">
        <v>59</v>
      </c>
      <c r="R2661">
        <v>460</v>
      </c>
      <c r="S2661">
        <v>216</v>
      </c>
      <c r="T2661">
        <v>132</v>
      </c>
      <c r="U2661">
        <v>33</v>
      </c>
      <c r="V2661" t="s">
        <v>3899</v>
      </c>
      <c r="W2661">
        <v>34123</v>
      </c>
      <c r="X2661" t="s">
        <v>7271</v>
      </c>
      <c r="Y2661">
        <v>30064</v>
      </c>
      <c r="Z2661">
        <v>1126059</v>
      </c>
      <c r="AA2661">
        <v>133947</v>
      </c>
      <c r="AB2661" t="str">
        <f>(VLOOKUP(SalesData[[#This Row],[Month Number]],Reference!C$5:E$16,2,FALSE))</f>
        <v>Feb</v>
      </c>
      <c r="AC2661">
        <f>MONTH(SalesData[[#This Row],[Date]])</f>
        <v>2</v>
      </c>
      <c r="AD2661">
        <f>Reference!F$4</f>
        <v>2026</v>
      </c>
      <c r="AE2661" t="str">
        <f>IF(OR(SalesData[[#This Row],[Day]]="Saturday",SalesData[[#This Row],[Day]]="Sunday"),"Weekend","Weekday")</f>
        <v>Weekend</v>
      </c>
      <c r="AF2661" s="5">
        <f>IF(SalesData[[#This Row],[Contracts Offered]]=0,0,SalesData[[#This Row],[Contracts Signed]]/SalesData[[#This Row],[Contracts Offered]])</f>
        <v>0.25</v>
      </c>
      <c r="AG2661" s="5">
        <f>IF(SalesData[[#This Row],[Customers Visited]]=0,0,SalesData[[#This Row],[Test Drives]]/SalesData[[#This Row],[Customers Visited]])</f>
        <v>0.46956521739130436</v>
      </c>
      <c r="AH2661" s="5">
        <f>IF(SalesData[[#This Row],[Customers Visited]]=0,0,SalesData[[#This Row],[Contracts Signed]]/SalesData[[#This Row],[Customers Visited]])</f>
        <v>7.1739130434782611E-2</v>
      </c>
      <c r="AI2661" s="6">
        <f>IF(SalesData[[#This Row],[Contracts Signed]]=0,0,SalesData[[#This Row],[Profit(€)]]/SalesData[[#This Row],[Contracts Signed]])</f>
        <v>4059</v>
      </c>
      <c r="AJ2661" s="5" t="str">
        <f>TRIM(CLEAN(SalesData[[#This Row],[Retailer]]))</f>
        <v>Main Auto Hub</v>
      </c>
    </row>
    <row r="2662" spans="1:36" ht="14.25" hidden="1" x14ac:dyDescent="0.2">
      <c r="A2662" t="s">
        <v>3772</v>
      </c>
      <c r="B2662" s="1">
        <v>46061</v>
      </c>
      <c r="C2662" t="s">
        <v>121</v>
      </c>
      <c r="D2662" t="s">
        <v>41</v>
      </c>
      <c r="E2662" t="s">
        <v>42</v>
      </c>
      <c r="F2662" t="s">
        <v>109</v>
      </c>
      <c r="G2662" t="s">
        <v>110</v>
      </c>
      <c r="H2662" t="s">
        <v>45</v>
      </c>
      <c r="I2662" t="s">
        <v>64</v>
      </c>
      <c r="J2662" t="s">
        <v>65</v>
      </c>
      <c r="K2662" t="s">
        <v>91</v>
      </c>
      <c r="L2662" t="s">
        <v>33</v>
      </c>
      <c r="M2662" t="s">
        <v>87</v>
      </c>
      <c r="N2662" t="s">
        <v>69</v>
      </c>
      <c r="O2662" t="s">
        <v>36</v>
      </c>
      <c r="P2662" t="s">
        <v>71</v>
      </c>
      <c r="Q2662" t="s">
        <v>118</v>
      </c>
      <c r="R2662">
        <v>282</v>
      </c>
      <c r="S2662">
        <v>133</v>
      </c>
      <c r="T2662">
        <v>92</v>
      </c>
      <c r="U2662">
        <v>33</v>
      </c>
      <c r="V2662" t="s">
        <v>6394</v>
      </c>
      <c r="W2662">
        <v>63976</v>
      </c>
      <c r="X2662" t="s">
        <v>7126</v>
      </c>
      <c r="Y2662">
        <v>45882</v>
      </c>
      <c r="Z2662">
        <v>2111208</v>
      </c>
      <c r="AA2662">
        <v>597102</v>
      </c>
      <c r="AB2662" t="str">
        <f>(VLOOKUP(SalesData[[#This Row],[Month Number]],Reference!C$5:E$16,2,FALSE))</f>
        <v>Feb</v>
      </c>
      <c r="AC2662">
        <f>MONTH(SalesData[[#This Row],[Date]])</f>
        <v>2</v>
      </c>
      <c r="AD2662">
        <f>Reference!F$4</f>
        <v>2026</v>
      </c>
      <c r="AE2662" t="str">
        <f>IF(OR(SalesData[[#This Row],[Day]]="Saturday",SalesData[[#This Row],[Day]]="Sunday"),"Weekend","Weekday")</f>
        <v>Weekend</v>
      </c>
      <c r="AF2662" s="5">
        <f>IF(SalesData[[#This Row],[Contracts Offered]]=0,0,SalesData[[#This Row],[Contracts Signed]]/SalesData[[#This Row],[Contracts Offered]])</f>
        <v>0.35869565217391303</v>
      </c>
      <c r="AG2662" s="5">
        <f>IF(SalesData[[#This Row],[Customers Visited]]=0,0,SalesData[[#This Row],[Test Drives]]/SalesData[[#This Row],[Customers Visited]])</f>
        <v>0.47163120567375888</v>
      </c>
      <c r="AH2662" s="5">
        <f>IF(SalesData[[#This Row],[Customers Visited]]=0,0,SalesData[[#This Row],[Contracts Signed]]/SalesData[[#This Row],[Customers Visited]])</f>
        <v>0.11702127659574468</v>
      </c>
      <c r="AI2662" s="6">
        <f>IF(SalesData[[#This Row],[Contracts Signed]]=0,0,SalesData[[#This Row],[Profit(€)]]/SalesData[[#This Row],[Contracts Signed]])</f>
        <v>18094</v>
      </c>
      <c r="AJ2662" s="5" t="str">
        <f>TRIM(CLEAN(SalesData[[#This Row],[Retailer]]))</f>
        <v>Leipzig Mobility</v>
      </c>
    </row>
    <row r="2663" spans="1:36" ht="14.25" hidden="1" x14ac:dyDescent="0.2">
      <c r="A2663" t="s">
        <v>3773</v>
      </c>
      <c r="B2663" s="1">
        <v>46078</v>
      </c>
      <c r="C2663" t="s">
        <v>53</v>
      </c>
      <c r="D2663" t="s">
        <v>82</v>
      </c>
      <c r="E2663" t="s">
        <v>26</v>
      </c>
      <c r="F2663" t="s">
        <v>83</v>
      </c>
      <c r="G2663" t="s">
        <v>84</v>
      </c>
      <c r="H2663" t="s">
        <v>85</v>
      </c>
      <c r="I2663" t="s">
        <v>64</v>
      </c>
      <c r="J2663" t="s">
        <v>111</v>
      </c>
      <c r="K2663" t="s">
        <v>91</v>
      </c>
      <c r="L2663" t="s">
        <v>46</v>
      </c>
      <c r="M2663" t="s">
        <v>47</v>
      </c>
      <c r="N2663" t="s">
        <v>69</v>
      </c>
      <c r="O2663" t="s">
        <v>36</v>
      </c>
      <c r="P2663" t="s">
        <v>49</v>
      </c>
      <c r="Q2663" t="s">
        <v>144</v>
      </c>
      <c r="R2663">
        <v>229</v>
      </c>
      <c r="S2663">
        <v>114</v>
      </c>
      <c r="T2663">
        <v>85</v>
      </c>
      <c r="U2663">
        <v>24</v>
      </c>
      <c r="V2663" t="s">
        <v>6421</v>
      </c>
      <c r="W2663">
        <v>71356</v>
      </c>
      <c r="X2663" t="s">
        <v>7274</v>
      </c>
      <c r="Y2663">
        <v>52734</v>
      </c>
      <c r="Z2663">
        <v>1712544</v>
      </c>
      <c r="AA2663">
        <v>446928</v>
      </c>
      <c r="AB2663" t="str">
        <f>(VLOOKUP(SalesData[[#This Row],[Month Number]],Reference!C$5:E$16,2,FALSE))</f>
        <v>Feb</v>
      </c>
      <c r="AC2663">
        <f>MONTH(SalesData[[#This Row],[Date]])</f>
        <v>2</v>
      </c>
      <c r="AD2663">
        <f>Reference!F$4</f>
        <v>2026</v>
      </c>
      <c r="AE2663" t="str">
        <f>IF(OR(SalesData[[#This Row],[Day]]="Saturday",SalesData[[#This Row],[Day]]="Sunday"),"Weekend","Weekday")</f>
        <v>Weekday</v>
      </c>
      <c r="AF2663" s="5">
        <f>IF(SalesData[[#This Row],[Contracts Offered]]=0,0,SalesData[[#This Row],[Contracts Signed]]/SalesData[[#This Row],[Contracts Offered]])</f>
        <v>0.28235294117647058</v>
      </c>
      <c r="AG2663" s="5">
        <f>IF(SalesData[[#This Row],[Customers Visited]]=0,0,SalesData[[#This Row],[Test Drives]]/SalesData[[#This Row],[Customers Visited]])</f>
        <v>0.49781659388646288</v>
      </c>
      <c r="AH2663" s="5">
        <f>IF(SalesData[[#This Row],[Customers Visited]]=0,0,SalesData[[#This Row],[Contracts Signed]]/SalesData[[#This Row],[Customers Visited]])</f>
        <v>0.10480349344978165</v>
      </c>
      <c r="AI2663" s="6">
        <f>IF(SalesData[[#This Row],[Contracts Signed]]=0,0,SalesData[[#This Row],[Profit(€)]]/SalesData[[#This Row],[Contracts Signed]])</f>
        <v>18622</v>
      </c>
      <c r="AJ2663" s="5" t="str">
        <f>TRIM(CLEAN(SalesData[[#This Row],[Retailer]]))</f>
        <v>Hannover Cars</v>
      </c>
    </row>
    <row r="2664" spans="1:36" ht="14.25" hidden="1" x14ac:dyDescent="0.2">
      <c r="A2664" t="s">
        <v>3774</v>
      </c>
      <c r="B2664" s="1">
        <v>46069</v>
      </c>
      <c r="C2664" t="s">
        <v>62</v>
      </c>
      <c r="D2664" t="s">
        <v>25</v>
      </c>
      <c r="E2664" t="s">
        <v>26</v>
      </c>
      <c r="F2664" t="s">
        <v>43</v>
      </c>
      <c r="G2664" t="s">
        <v>44</v>
      </c>
      <c r="H2664" t="s">
        <v>45</v>
      </c>
      <c r="I2664" t="s">
        <v>116</v>
      </c>
      <c r="J2664" t="s">
        <v>203</v>
      </c>
      <c r="K2664" t="s">
        <v>32</v>
      </c>
      <c r="L2664" t="s">
        <v>67</v>
      </c>
      <c r="M2664" t="s">
        <v>34</v>
      </c>
      <c r="N2664" t="s">
        <v>69</v>
      </c>
      <c r="O2664" t="s">
        <v>36</v>
      </c>
      <c r="P2664" t="s">
        <v>37</v>
      </c>
      <c r="Q2664" t="s">
        <v>50</v>
      </c>
      <c r="R2664">
        <v>395</v>
      </c>
      <c r="S2664">
        <v>181</v>
      </c>
      <c r="T2664">
        <v>106</v>
      </c>
      <c r="U2664">
        <v>30</v>
      </c>
      <c r="V2664" t="s">
        <v>1967</v>
      </c>
      <c r="W2664">
        <v>20277</v>
      </c>
      <c r="X2664" t="s">
        <v>2670</v>
      </c>
      <c r="Y2664">
        <v>18429</v>
      </c>
      <c r="Z2664">
        <v>608310</v>
      </c>
      <c r="AA2664">
        <v>55440</v>
      </c>
      <c r="AB2664" t="str">
        <f>(VLOOKUP(SalesData[[#This Row],[Month Number]],Reference!C$5:E$16,2,FALSE))</f>
        <v>Feb</v>
      </c>
      <c r="AC2664">
        <f>MONTH(SalesData[[#This Row],[Date]])</f>
        <v>2</v>
      </c>
      <c r="AD2664">
        <f>Reference!F$4</f>
        <v>2026</v>
      </c>
      <c r="AE2664" t="str">
        <f>IF(OR(SalesData[[#This Row],[Day]]="Saturday",SalesData[[#This Row],[Day]]="Sunday"),"Weekend","Weekday")</f>
        <v>Weekday</v>
      </c>
      <c r="AF2664" s="5">
        <f>IF(SalesData[[#This Row],[Contracts Offered]]=0,0,SalesData[[#This Row],[Contracts Signed]]/SalesData[[#This Row],[Contracts Offered]])</f>
        <v>0.28301886792452829</v>
      </c>
      <c r="AG2664" s="5">
        <f>IF(SalesData[[#This Row],[Customers Visited]]=0,0,SalesData[[#This Row],[Test Drives]]/SalesData[[#This Row],[Customers Visited]])</f>
        <v>0.45822784810126582</v>
      </c>
      <c r="AH2664" s="5">
        <f>IF(SalesData[[#This Row],[Customers Visited]]=0,0,SalesData[[#This Row],[Contracts Signed]]/SalesData[[#This Row],[Customers Visited]])</f>
        <v>7.5949367088607597E-2</v>
      </c>
      <c r="AI2664" s="6">
        <f>IF(SalesData[[#This Row],[Contracts Signed]]=0,0,SalesData[[#This Row],[Profit(€)]]/SalesData[[#This Row],[Contracts Signed]])</f>
        <v>1848</v>
      </c>
      <c r="AJ2664" s="5" t="str">
        <f>TRIM(CLEAN(SalesData[[#This Row],[Retailer]]))</f>
        <v>Saxon Wheels</v>
      </c>
    </row>
    <row r="2665" spans="1:36" ht="14.25" hidden="1" x14ac:dyDescent="0.2">
      <c r="A2665" t="s">
        <v>3775</v>
      </c>
      <c r="B2665" s="1">
        <v>46059</v>
      </c>
      <c r="C2665" t="s">
        <v>24</v>
      </c>
      <c r="D2665" t="s">
        <v>54</v>
      </c>
      <c r="E2665" t="s">
        <v>26</v>
      </c>
      <c r="F2665" t="s">
        <v>43</v>
      </c>
      <c r="G2665" t="s">
        <v>44</v>
      </c>
      <c r="H2665" t="s">
        <v>45</v>
      </c>
      <c r="I2665" t="s">
        <v>116</v>
      </c>
      <c r="J2665" t="s">
        <v>7090</v>
      </c>
      <c r="K2665" t="s">
        <v>91</v>
      </c>
      <c r="L2665" t="s">
        <v>46</v>
      </c>
      <c r="M2665" t="s">
        <v>68</v>
      </c>
      <c r="N2665" t="s">
        <v>69</v>
      </c>
      <c r="O2665" t="s">
        <v>36</v>
      </c>
      <c r="P2665" t="s">
        <v>71</v>
      </c>
      <c r="Q2665" t="s">
        <v>59</v>
      </c>
      <c r="R2665">
        <v>343</v>
      </c>
      <c r="S2665">
        <v>170</v>
      </c>
      <c r="T2665">
        <v>97</v>
      </c>
      <c r="U2665">
        <v>30</v>
      </c>
      <c r="V2665" t="s">
        <v>859</v>
      </c>
      <c r="W2665">
        <v>25640</v>
      </c>
      <c r="X2665" t="s">
        <v>1794</v>
      </c>
      <c r="Y2665">
        <v>23107</v>
      </c>
      <c r="Z2665">
        <v>769200</v>
      </c>
      <c r="AA2665">
        <v>75990</v>
      </c>
      <c r="AB2665" t="str">
        <f>(VLOOKUP(SalesData[[#This Row],[Month Number]],Reference!C$5:E$16,2,FALSE))</f>
        <v>Feb</v>
      </c>
      <c r="AC2665">
        <f>MONTH(SalesData[[#This Row],[Date]])</f>
        <v>2</v>
      </c>
      <c r="AD2665">
        <f>Reference!F$4</f>
        <v>2026</v>
      </c>
      <c r="AE2665" t="str">
        <f>IF(OR(SalesData[[#This Row],[Day]]="Saturday",SalesData[[#This Row],[Day]]="Sunday"),"Weekend","Weekday")</f>
        <v>Weekday</v>
      </c>
      <c r="AF2665" s="5">
        <f>IF(SalesData[[#This Row],[Contracts Offered]]=0,0,SalesData[[#This Row],[Contracts Signed]]/SalesData[[#This Row],[Contracts Offered]])</f>
        <v>0.30927835051546393</v>
      </c>
      <c r="AG2665" s="5">
        <f>IF(SalesData[[#This Row],[Customers Visited]]=0,0,SalesData[[#This Row],[Test Drives]]/SalesData[[#This Row],[Customers Visited]])</f>
        <v>0.49562682215743442</v>
      </c>
      <c r="AH2665" s="5">
        <f>IF(SalesData[[#This Row],[Customers Visited]]=0,0,SalesData[[#This Row],[Contracts Signed]]/SalesData[[#This Row],[Customers Visited]])</f>
        <v>8.7463556851311949E-2</v>
      </c>
      <c r="AI2665" s="6">
        <f>IF(SalesData[[#This Row],[Contracts Signed]]=0,0,SalesData[[#This Row],[Profit(€)]]/SalesData[[#This Row],[Contracts Signed]])</f>
        <v>2533</v>
      </c>
      <c r="AJ2665" s="5" t="str">
        <f>TRIM(CLEAN(SalesData[[#This Row],[Retailer]]))</f>
        <v>Saxon Wheels</v>
      </c>
    </row>
    <row r="2666" spans="1:36" ht="14.25" hidden="1" x14ac:dyDescent="0.2">
      <c r="A2666" t="s">
        <v>3776</v>
      </c>
      <c r="B2666" s="1">
        <v>46070</v>
      </c>
      <c r="C2666" t="s">
        <v>62</v>
      </c>
      <c r="D2666" t="s">
        <v>63</v>
      </c>
      <c r="E2666" t="s">
        <v>26</v>
      </c>
      <c r="F2666" t="s">
        <v>83</v>
      </c>
      <c r="G2666" t="s">
        <v>84</v>
      </c>
      <c r="H2666" t="s">
        <v>85</v>
      </c>
      <c r="I2666" t="s">
        <v>104</v>
      </c>
      <c r="J2666" t="s">
        <v>140</v>
      </c>
      <c r="K2666" t="s">
        <v>32</v>
      </c>
      <c r="L2666" t="s">
        <v>46</v>
      </c>
      <c r="M2666" t="s">
        <v>47</v>
      </c>
      <c r="N2666" t="s">
        <v>69</v>
      </c>
      <c r="O2666" t="s">
        <v>36</v>
      </c>
      <c r="P2666" t="s">
        <v>37</v>
      </c>
      <c r="Q2666" t="s">
        <v>88</v>
      </c>
      <c r="R2666">
        <v>281</v>
      </c>
      <c r="S2666">
        <v>120</v>
      </c>
      <c r="T2666">
        <v>80</v>
      </c>
      <c r="U2666">
        <v>19</v>
      </c>
      <c r="V2666" t="s">
        <v>1698</v>
      </c>
      <c r="W2666">
        <v>28328</v>
      </c>
      <c r="X2666" t="s">
        <v>3756</v>
      </c>
      <c r="Y2666">
        <v>25689</v>
      </c>
      <c r="Z2666">
        <v>538232</v>
      </c>
      <c r="AA2666">
        <v>50141</v>
      </c>
      <c r="AB2666" t="str">
        <f>(VLOOKUP(SalesData[[#This Row],[Month Number]],Reference!C$5:E$16,2,FALSE))</f>
        <v>Feb</v>
      </c>
      <c r="AC2666">
        <f>MONTH(SalesData[[#This Row],[Date]])</f>
        <v>2</v>
      </c>
      <c r="AD2666">
        <f>Reference!F$4</f>
        <v>2026</v>
      </c>
      <c r="AE2666" t="str">
        <f>IF(OR(SalesData[[#This Row],[Day]]="Saturday",SalesData[[#This Row],[Day]]="Sunday"),"Weekend","Weekday")</f>
        <v>Weekday</v>
      </c>
      <c r="AF2666" s="5">
        <f>IF(SalesData[[#This Row],[Contracts Offered]]=0,0,SalesData[[#This Row],[Contracts Signed]]/SalesData[[#This Row],[Contracts Offered]])</f>
        <v>0.23749999999999999</v>
      </c>
      <c r="AG2666" s="5">
        <f>IF(SalesData[[#This Row],[Customers Visited]]=0,0,SalesData[[#This Row],[Test Drives]]/SalesData[[#This Row],[Customers Visited]])</f>
        <v>0.42704626334519574</v>
      </c>
      <c r="AH2666" s="5">
        <f>IF(SalesData[[#This Row],[Customers Visited]]=0,0,SalesData[[#This Row],[Contracts Signed]]/SalesData[[#This Row],[Customers Visited]])</f>
        <v>6.7615658362989328E-2</v>
      </c>
      <c r="AI2666" s="6">
        <f>IF(SalesData[[#This Row],[Contracts Signed]]=0,0,SalesData[[#This Row],[Profit(€)]]/SalesData[[#This Row],[Contracts Signed]])</f>
        <v>2639</v>
      </c>
      <c r="AJ2666" s="5" t="str">
        <f>TRIM(CLEAN(SalesData[[#This Row],[Retailer]]))</f>
        <v>Hannover Cars</v>
      </c>
    </row>
    <row r="2667" spans="1:36" ht="14.25" hidden="1" x14ac:dyDescent="0.2">
      <c r="A2667" t="s">
        <v>3777</v>
      </c>
      <c r="B2667" s="1">
        <v>46061</v>
      </c>
      <c r="C2667" t="s">
        <v>121</v>
      </c>
      <c r="D2667" t="s">
        <v>41</v>
      </c>
      <c r="E2667" t="s">
        <v>42</v>
      </c>
      <c r="F2667" t="s">
        <v>83</v>
      </c>
      <c r="G2667" t="s">
        <v>84</v>
      </c>
      <c r="H2667" t="s">
        <v>85</v>
      </c>
      <c r="I2667" t="s">
        <v>104</v>
      </c>
      <c r="J2667" t="s">
        <v>140</v>
      </c>
      <c r="K2667" t="s">
        <v>78</v>
      </c>
      <c r="L2667" t="s">
        <v>46</v>
      </c>
      <c r="M2667" t="s">
        <v>34</v>
      </c>
      <c r="N2667" t="s">
        <v>35</v>
      </c>
      <c r="O2667" t="s">
        <v>36</v>
      </c>
      <c r="P2667" t="s">
        <v>49</v>
      </c>
      <c r="Q2667" t="s">
        <v>88</v>
      </c>
      <c r="R2667">
        <v>491</v>
      </c>
      <c r="S2667">
        <v>211</v>
      </c>
      <c r="T2667">
        <v>131</v>
      </c>
      <c r="U2667">
        <v>32</v>
      </c>
      <c r="V2667" t="s">
        <v>1235</v>
      </c>
      <c r="W2667">
        <v>34715</v>
      </c>
      <c r="X2667" t="s">
        <v>1263</v>
      </c>
      <c r="Y2667">
        <v>30351</v>
      </c>
      <c r="Z2667">
        <v>1110880</v>
      </c>
      <c r="AA2667">
        <v>139648</v>
      </c>
      <c r="AB2667" t="str">
        <f>(VLOOKUP(SalesData[[#This Row],[Month Number]],Reference!C$5:E$16,2,FALSE))</f>
        <v>Feb</v>
      </c>
      <c r="AC2667">
        <f>MONTH(SalesData[[#This Row],[Date]])</f>
        <v>2</v>
      </c>
      <c r="AD2667">
        <f>Reference!F$4</f>
        <v>2026</v>
      </c>
      <c r="AE2667" t="str">
        <f>IF(OR(SalesData[[#This Row],[Day]]="Saturday",SalesData[[#This Row],[Day]]="Sunday"),"Weekend","Weekday")</f>
        <v>Weekend</v>
      </c>
      <c r="AF2667" s="5">
        <f>IF(SalesData[[#This Row],[Contracts Offered]]=0,0,SalesData[[#This Row],[Contracts Signed]]/SalesData[[#This Row],[Contracts Offered]])</f>
        <v>0.24427480916030533</v>
      </c>
      <c r="AG2667" s="5">
        <f>IF(SalesData[[#This Row],[Customers Visited]]=0,0,SalesData[[#This Row],[Test Drives]]/SalesData[[#This Row],[Customers Visited]])</f>
        <v>0.42973523421588594</v>
      </c>
      <c r="AH2667" s="5">
        <f>IF(SalesData[[#This Row],[Customers Visited]]=0,0,SalesData[[#This Row],[Contracts Signed]]/SalesData[[#This Row],[Customers Visited]])</f>
        <v>6.5173116089613028E-2</v>
      </c>
      <c r="AI2667" s="6">
        <f>IF(SalesData[[#This Row],[Contracts Signed]]=0,0,SalesData[[#This Row],[Profit(€)]]/SalesData[[#This Row],[Contracts Signed]])</f>
        <v>4364</v>
      </c>
      <c r="AJ2667" s="5" t="str">
        <f>TRIM(CLEAN(SalesData[[#This Row],[Retailer]]))</f>
        <v>Hannover Cars</v>
      </c>
    </row>
    <row r="2668" spans="1:36" ht="14.25" hidden="1" x14ac:dyDescent="0.2">
      <c r="A2668" t="s">
        <v>3778</v>
      </c>
      <c r="B2668" s="1">
        <v>46064</v>
      </c>
      <c r="C2668" t="s">
        <v>121</v>
      </c>
      <c r="D2668" t="s">
        <v>82</v>
      </c>
      <c r="E2668" t="s">
        <v>26</v>
      </c>
      <c r="F2668" t="s">
        <v>7649</v>
      </c>
      <c r="G2668" t="s">
        <v>55</v>
      </c>
      <c r="H2668" t="s">
        <v>55</v>
      </c>
      <c r="I2668" t="s">
        <v>56</v>
      </c>
      <c r="J2668" t="s">
        <v>97</v>
      </c>
      <c r="K2668" t="s">
        <v>32</v>
      </c>
      <c r="L2668" t="s">
        <v>33</v>
      </c>
      <c r="M2668" t="s">
        <v>87</v>
      </c>
      <c r="N2668" t="s">
        <v>35</v>
      </c>
      <c r="O2668" t="s">
        <v>70</v>
      </c>
      <c r="P2668" t="s">
        <v>71</v>
      </c>
      <c r="Q2668" t="s">
        <v>172</v>
      </c>
      <c r="R2668">
        <v>272</v>
      </c>
      <c r="S2668">
        <v>129</v>
      </c>
      <c r="T2668">
        <v>90</v>
      </c>
      <c r="U2668">
        <v>35</v>
      </c>
      <c r="V2668" t="s">
        <v>6947</v>
      </c>
      <c r="W2668">
        <v>50589</v>
      </c>
      <c r="X2668" t="s">
        <v>133</v>
      </c>
      <c r="Y2668">
        <v>39445</v>
      </c>
      <c r="Z2668">
        <v>1770615</v>
      </c>
      <c r="AA2668">
        <v>390040</v>
      </c>
      <c r="AB2668" t="str">
        <f>(VLOOKUP(SalesData[[#This Row],[Month Number]],Reference!C$5:E$16,2,FALSE))</f>
        <v>Feb</v>
      </c>
      <c r="AC2668">
        <f>MONTH(SalesData[[#This Row],[Date]])</f>
        <v>2</v>
      </c>
      <c r="AD2668">
        <f>Reference!F$4</f>
        <v>2026</v>
      </c>
      <c r="AE2668" t="str">
        <f>IF(OR(SalesData[[#This Row],[Day]]="Saturday",SalesData[[#This Row],[Day]]="Sunday"),"Weekend","Weekday")</f>
        <v>Weekday</v>
      </c>
      <c r="AF2668" s="5">
        <f>IF(SalesData[[#This Row],[Contracts Offered]]=0,0,SalesData[[#This Row],[Contracts Signed]]/SalesData[[#This Row],[Contracts Offered]])</f>
        <v>0.3888888888888889</v>
      </c>
      <c r="AG2668" s="5">
        <f>IF(SalesData[[#This Row],[Customers Visited]]=0,0,SalesData[[#This Row],[Test Drives]]/SalesData[[#This Row],[Customers Visited]])</f>
        <v>0.47426470588235292</v>
      </c>
      <c r="AH2668" s="5">
        <f>IF(SalesData[[#This Row],[Customers Visited]]=0,0,SalesData[[#This Row],[Contracts Signed]]/SalesData[[#This Row],[Customers Visited]])</f>
        <v>0.12867647058823528</v>
      </c>
      <c r="AI2668" s="6">
        <f>IF(SalesData[[#This Row],[Contracts Signed]]=0,0,SalesData[[#This Row],[Profit(€)]]/SalesData[[#This Row],[Contracts Signed]])</f>
        <v>11144</v>
      </c>
      <c r="AJ2668" s="5" t="str">
        <f>TRIM(CLEAN(SalesData[[#This Row],[Retailer]]))</f>
        <v>Autohaus Berlin</v>
      </c>
    </row>
    <row r="2669" spans="1:36" ht="14.25" x14ac:dyDescent="0.2">
      <c r="A2669" t="s">
        <v>3780</v>
      </c>
      <c r="B2669" s="1">
        <v>46074</v>
      </c>
      <c r="C2669" t="s">
        <v>62</v>
      </c>
      <c r="D2669" t="s">
        <v>151</v>
      </c>
      <c r="E2669" t="s">
        <v>42</v>
      </c>
      <c r="F2669" t="s">
        <v>43</v>
      </c>
      <c r="G2669" t="s">
        <v>44</v>
      </c>
      <c r="H2669" t="s">
        <v>45</v>
      </c>
      <c r="I2669" t="s">
        <v>30</v>
      </c>
      <c r="J2669" t="s">
        <v>188</v>
      </c>
      <c r="K2669" t="s">
        <v>78</v>
      </c>
      <c r="L2669" t="s">
        <v>33</v>
      </c>
      <c r="M2669" t="s">
        <v>34</v>
      </c>
      <c r="N2669" t="s">
        <v>35</v>
      </c>
      <c r="O2669" t="s">
        <v>36</v>
      </c>
      <c r="P2669" t="s">
        <v>37</v>
      </c>
      <c r="Q2669" t="s">
        <v>122</v>
      </c>
      <c r="R2669">
        <v>163</v>
      </c>
      <c r="S2669">
        <v>99</v>
      </c>
      <c r="T2669">
        <v>79</v>
      </c>
      <c r="U2669">
        <v>24</v>
      </c>
      <c r="V2669" t="s">
        <v>6429</v>
      </c>
      <c r="W2669">
        <v>60814</v>
      </c>
      <c r="X2669" t="s">
        <v>826</v>
      </c>
      <c r="Y2669">
        <v>45569</v>
      </c>
      <c r="Z2669">
        <v>1459536</v>
      </c>
      <c r="AA2669">
        <v>365880</v>
      </c>
      <c r="AB2669" t="str">
        <f>(VLOOKUP(SalesData[[#This Row],[Month Number]],Reference!C$5:E$16,2,FALSE))</f>
        <v>Feb</v>
      </c>
      <c r="AC2669">
        <f>MONTH(SalesData[[#This Row],[Date]])</f>
        <v>2</v>
      </c>
      <c r="AD2669">
        <f>Reference!F$4</f>
        <v>2026</v>
      </c>
      <c r="AE2669" t="str">
        <f>IF(OR(SalesData[[#This Row],[Day]]="Saturday",SalesData[[#This Row],[Day]]="Sunday"),"Weekend","Weekday")</f>
        <v>Weekend</v>
      </c>
      <c r="AF2669" s="5">
        <f>IF(SalesData[[#This Row],[Contracts Offered]]=0,0,SalesData[[#This Row],[Contracts Signed]]/SalesData[[#This Row],[Contracts Offered]])</f>
        <v>0.30379746835443039</v>
      </c>
      <c r="AG2669" s="5">
        <f>IF(SalesData[[#This Row],[Customers Visited]]=0,0,SalesData[[#This Row],[Test Drives]]/SalesData[[#This Row],[Customers Visited]])</f>
        <v>0.6073619631901841</v>
      </c>
      <c r="AH2669" s="5">
        <f>IF(SalesData[[#This Row],[Customers Visited]]=0,0,SalesData[[#This Row],[Contracts Signed]]/SalesData[[#This Row],[Customers Visited]])</f>
        <v>0.14723926380368099</v>
      </c>
      <c r="AI2669" s="6">
        <f>IF(SalesData[[#This Row],[Contracts Signed]]=0,0,SalesData[[#This Row],[Profit(€)]]/SalesData[[#This Row],[Contracts Signed]])</f>
        <v>15245</v>
      </c>
      <c r="AJ2669" s="5" t="str">
        <f>TRIM(CLEAN(SalesData[[#This Row],[Retailer]]))</f>
        <v>Saxon Wheels</v>
      </c>
    </row>
    <row r="2670" spans="1:36" ht="14.25" hidden="1" x14ac:dyDescent="0.2">
      <c r="A2670" t="s">
        <v>3781</v>
      </c>
      <c r="B2670" s="1">
        <v>46072</v>
      </c>
      <c r="C2670" t="s">
        <v>62</v>
      </c>
      <c r="D2670" t="s">
        <v>100</v>
      </c>
      <c r="E2670" t="s">
        <v>26</v>
      </c>
      <c r="F2670" t="s">
        <v>94</v>
      </c>
      <c r="G2670" t="s">
        <v>95</v>
      </c>
      <c r="H2670" t="s">
        <v>96</v>
      </c>
      <c r="I2670" t="s">
        <v>56</v>
      </c>
      <c r="J2670" t="s">
        <v>7028</v>
      </c>
      <c r="K2670" t="s">
        <v>66</v>
      </c>
      <c r="L2670" t="s">
        <v>46</v>
      </c>
      <c r="M2670" t="s">
        <v>68</v>
      </c>
      <c r="N2670" t="s">
        <v>69</v>
      </c>
      <c r="O2670" t="s">
        <v>36</v>
      </c>
      <c r="P2670" t="s">
        <v>71</v>
      </c>
      <c r="Q2670" t="s">
        <v>172</v>
      </c>
      <c r="R2670">
        <v>202</v>
      </c>
      <c r="S2670">
        <v>121</v>
      </c>
      <c r="T2670">
        <v>79</v>
      </c>
      <c r="U2670">
        <v>29</v>
      </c>
      <c r="V2670" t="s">
        <v>6682</v>
      </c>
      <c r="W2670">
        <v>51360</v>
      </c>
      <c r="X2670" t="s">
        <v>7053</v>
      </c>
      <c r="Y2670">
        <v>41913</v>
      </c>
      <c r="Z2670">
        <v>1489440</v>
      </c>
      <c r="AA2670">
        <v>273963</v>
      </c>
      <c r="AB2670" t="str">
        <f>(VLOOKUP(SalesData[[#This Row],[Month Number]],Reference!C$5:E$16,2,FALSE))</f>
        <v>Feb</v>
      </c>
      <c r="AC2670">
        <f>MONTH(SalesData[[#This Row],[Date]])</f>
        <v>2</v>
      </c>
      <c r="AD2670">
        <f>Reference!F$4</f>
        <v>2026</v>
      </c>
      <c r="AE2670" t="str">
        <f>IF(OR(SalesData[[#This Row],[Day]]="Saturday",SalesData[[#This Row],[Day]]="Sunday"),"Weekend","Weekday")</f>
        <v>Weekday</v>
      </c>
      <c r="AF2670" s="5">
        <f>IF(SalesData[[#This Row],[Contracts Offered]]=0,0,SalesData[[#This Row],[Contracts Signed]]/SalesData[[#This Row],[Contracts Offered]])</f>
        <v>0.36708860759493672</v>
      </c>
      <c r="AG2670" s="5">
        <f>IF(SalesData[[#This Row],[Customers Visited]]=0,0,SalesData[[#This Row],[Test Drives]]/SalesData[[#This Row],[Customers Visited]])</f>
        <v>0.59900990099009899</v>
      </c>
      <c r="AH2670" s="5">
        <f>IF(SalesData[[#This Row],[Customers Visited]]=0,0,SalesData[[#This Row],[Contracts Signed]]/SalesData[[#This Row],[Customers Visited]])</f>
        <v>0.14356435643564355</v>
      </c>
      <c r="AI2670" s="6">
        <f>IF(SalesData[[#This Row],[Contracts Signed]]=0,0,SalesData[[#This Row],[Profit(€)]]/SalesData[[#This Row],[Contracts Signed]])</f>
        <v>9447</v>
      </c>
      <c r="AJ2670" s="5" t="str">
        <f>TRIM(CLEAN(SalesData[[#This Row],[Retailer]]))</f>
        <v>Bavaria Motors</v>
      </c>
    </row>
    <row r="2671" spans="1:36" ht="14.25" hidden="1" x14ac:dyDescent="0.2">
      <c r="A2671" t="s">
        <v>3782</v>
      </c>
      <c r="B2671" s="1">
        <v>46081</v>
      </c>
      <c r="C2671" t="s">
        <v>53</v>
      </c>
      <c r="D2671" t="s">
        <v>151</v>
      </c>
      <c r="E2671" t="s">
        <v>42</v>
      </c>
      <c r="F2671" t="s">
        <v>74</v>
      </c>
      <c r="G2671" t="s">
        <v>75</v>
      </c>
      <c r="H2671" t="s">
        <v>76</v>
      </c>
      <c r="I2671" t="s">
        <v>104</v>
      </c>
      <c r="J2671" t="s">
        <v>143</v>
      </c>
      <c r="K2671" t="s">
        <v>66</v>
      </c>
      <c r="L2671" t="s">
        <v>67</v>
      </c>
      <c r="M2671" t="s">
        <v>68</v>
      </c>
      <c r="N2671" t="s">
        <v>35</v>
      </c>
      <c r="O2671" t="s">
        <v>36</v>
      </c>
      <c r="P2671" t="s">
        <v>49</v>
      </c>
      <c r="Q2671" t="s">
        <v>189</v>
      </c>
      <c r="R2671">
        <v>479</v>
      </c>
      <c r="S2671">
        <v>219</v>
      </c>
      <c r="T2671">
        <v>136</v>
      </c>
      <c r="U2671">
        <v>34</v>
      </c>
      <c r="V2671" t="s">
        <v>2464</v>
      </c>
      <c r="W2671">
        <v>31009</v>
      </c>
      <c r="X2671" t="s">
        <v>1272</v>
      </c>
      <c r="Y2671">
        <v>26966</v>
      </c>
      <c r="Z2671">
        <v>1054306</v>
      </c>
      <c r="AA2671">
        <v>137462</v>
      </c>
      <c r="AB2671" t="str">
        <f>(VLOOKUP(SalesData[[#This Row],[Month Number]],Reference!C$5:E$16,2,FALSE))</f>
        <v>Feb</v>
      </c>
      <c r="AC2671">
        <f>MONTH(SalesData[[#This Row],[Date]])</f>
        <v>2</v>
      </c>
      <c r="AD2671">
        <f>Reference!F$4</f>
        <v>2026</v>
      </c>
      <c r="AE2671" t="str">
        <f>IF(OR(SalesData[[#This Row],[Day]]="Saturday",SalesData[[#This Row],[Day]]="Sunday"),"Weekend","Weekday")</f>
        <v>Weekend</v>
      </c>
      <c r="AF2671" s="5">
        <f>IF(SalesData[[#This Row],[Contracts Offered]]=0,0,SalesData[[#This Row],[Contracts Signed]]/SalesData[[#This Row],[Contracts Offered]])</f>
        <v>0.25</v>
      </c>
      <c r="AG2671" s="5">
        <f>IF(SalesData[[#This Row],[Customers Visited]]=0,0,SalesData[[#This Row],[Test Drives]]/SalesData[[#This Row],[Customers Visited]])</f>
        <v>0.45720250521920669</v>
      </c>
      <c r="AH2671" s="5">
        <f>IF(SalesData[[#This Row],[Customers Visited]]=0,0,SalesData[[#This Row],[Contracts Signed]]/SalesData[[#This Row],[Customers Visited]])</f>
        <v>7.0981210855949897E-2</v>
      </c>
      <c r="AI2671" s="6">
        <f>IF(SalesData[[#This Row],[Contracts Signed]]=0,0,SalesData[[#This Row],[Profit(€)]]/SalesData[[#This Row],[Contracts Signed]])</f>
        <v>4043</v>
      </c>
      <c r="AJ2671" s="5" t="str">
        <f>TRIM(CLEAN(SalesData[[#This Row],[Retailer]]))</f>
        <v>Stuttgart Auto Center</v>
      </c>
    </row>
    <row r="2672" spans="1:36" ht="14.25" hidden="1" x14ac:dyDescent="0.2">
      <c r="A2672" t="s">
        <v>3783</v>
      </c>
      <c r="B2672" s="1">
        <v>46077</v>
      </c>
      <c r="C2672" t="s">
        <v>53</v>
      </c>
      <c r="D2672" t="s">
        <v>63</v>
      </c>
      <c r="E2672" t="s">
        <v>26</v>
      </c>
      <c r="F2672" t="s">
        <v>114</v>
      </c>
      <c r="G2672" t="s">
        <v>115</v>
      </c>
      <c r="H2672" t="s">
        <v>115</v>
      </c>
      <c r="I2672" t="s">
        <v>64</v>
      </c>
      <c r="J2672" t="s">
        <v>157</v>
      </c>
      <c r="K2672" t="s">
        <v>66</v>
      </c>
      <c r="L2672" t="s">
        <v>33</v>
      </c>
      <c r="M2672" t="s">
        <v>87</v>
      </c>
      <c r="N2672" t="s">
        <v>35</v>
      </c>
      <c r="O2672" t="s">
        <v>70</v>
      </c>
      <c r="P2672" t="s">
        <v>37</v>
      </c>
      <c r="Q2672" t="s">
        <v>152</v>
      </c>
      <c r="R2672">
        <v>167</v>
      </c>
      <c r="S2672">
        <v>84</v>
      </c>
      <c r="T2672">
        <v>57</v>
      </c>
      <c r="U2672">
        <v>19</v>
      </c>
      <c r="V2672" t="s">
        <v>6894</v>
      </c>
      <c r="W2672">
        <v>52225</v>
      </c>
      <c r="X2672" t="s">
        <v>1390</v>
      </c>
      <c r="Y2672">
        <v>40463</v>
      </c>
      <c r="Z2672">
        <v>992275</v>
      </c>
      <c r="AA2672">
        <v>223478</v>
      </c>
      <c r="AB2672" t="str">
        <f>(VLOOKUP(SalesData[[#This Row],[Month Number]],Reference!C$5:E$16,2,FALSE))</f>
        <v>Feb</v>
      </c>
      <c r="AC2672">
        <f>MONTH(SalesData[[#This Row],[Date]])</f>
        <v>2</v>
      </c>
      <c r="AD2672">
        <f>Reference!F$4</f>
        <v>2026</v>
      </c>
      <c r="AE2672" t="str">
        <f>IF(OR(SalesData[[#This Row],[Day]]="Saturday",SalesData[[#This Row],[Day]]="Sunday"),"Weekend","Weekday")</f>
        <v>Weekday</v>
      </c>
      <c r="AF2672" s="5">
        <f>IF(SalesData[[#This Row],[Contracts Offered]]=0,0,SalesData[[#This Row],[Contracts Signed]]/SalesData[[#This Row],[Contracts Offered]])</f>
        <v>0.33333333333333331</v>
      </c>
      <c r="AG2672" s="5">
        <f>IF(SalesData[[#This Row],[Customers Visited]]=0,0,SalesData[[#This Row],[Test Drives]]/SalesData[[#This Row],[Customers Visited]])</f>
        <v>0.50299401197604787</v>
      </c>
      <c r="AH2672" s="5">
        <f>IF(SalesData[[#This Row],[Customers Visited]]=0,0,SalesData[[#This Row],[Contracts Signed]]/SalesData[[#This Row],[Customers Visited]])</f>
        <v>0.11377245508982035</v>
      </c>
      <c r="AI2672" s="6">
        <f>IF(SalesData[[#This Row],[Contracts Signed]]=0,0,SalesData[[#This Row],[Profit(€)]]/SalesData[[#This Row],[Contracts Signed]])</f>
        <v>11762</v>
      </c>
      <c r="AJ2672" s="5" t="str">
        <f>TRIM(CLEAN(SalesData[[#This Row],[Retailer]]))</f>
        <v>Elbe Drive</v>
      </c>
    </row>
    <row r="2673" spans="1:36" ht="14.25" hidden="1" x14ac:dyDescent="0.2">
      <c r="A2673" t="s">
        <v>3784</v>
      </c>
      <c r="B2673" s="1">
        <v>46055</v>
      </c>
      <c r="C2673" t="s">
        <v>24</v>
      </c>
      <c r="D2673" t="s">
        <v>25</v>
      </c>
      <c r="E2673" t="s">
        <v>26</v>
      </c>
      <c r="F2673" t="s">
        <v>114</v>
      </c>
      <c r="G2673" t="s">
        <v>115</v>
      </c>
      <c r="H2673" t="s">
        <v>115</v>
      </c>
      <c r="I2673" t="s">
        <v>56</v>
      </c>
      <c r="J2673" t="s">
        <v>137</v>
      </c>
      <c r="K2673" t="s">
        <v>78</v>
      </c>
      <c r="L2673" t="s">
        <v>46</v>
      </c>
      <c r="M2673" t="s">
        <v>47</v>
      </c>
      <c r="N2673" t="s">
        <v>35</v>
      </c>
      <c r="O2673" t="s">
        <v>36</v>
      </c>
      <c r="P2673" t="s">
        <v>49</v>
      </c>
      <c r="Q2673" t="s">
        <v>240</v>
      </c>
      <c r="R2673">
        <v>277</v>
      </c>
      <c r="S2673">
        <v>175</v>
      </c>
      <c r="T2673">
        <v>123</v>
      </c>
      <c r="U2673">
        <v>40</v>
      </c>
      <c r="V2673" t="s">
        <v>6537</v>
      </c>
      <c r="W2673">
        <v>53788</v>
      </c>
      <c r="X2673" t="s">
        <v>7146</v>
      </c>
      <c r="Y2673">
        <v>40387</v>
      </c>
      <c r="Z2673">
        <v>2151520</v>
      </c>
      <c r="AA2673">
        <v>536040</v>
      </c>
      <c r="AB2673" t="str">
        <f>(VLOOKUP(SalesData[[#This Row],[Month Number]],Reference!C$5:E$16,2,FALSE))</f>
        <v>Feb</v>
      </c>
      <c r="AC2673">
        <f>MONTH(SalesData[[#This Row],[Date]])</f>
        <v>2</v>
      </c>
      <c r="AD2673">
        <f>Reference!F$4</f>
        <v>2026</v>
      </c>
      <c r="AE2673" t="str">
        <f>IF(OR(SalesData[[#This Row],[Day]]="Saturday",SalesData[[#This Row],[Day]]="Sunday"),"Weekend","Weekday")</f>
        <v>Weekday</v>
      </c>
      <c r="AF2673" s="5">
        <f>IF(SalesData[[#This Row],[Contracts Offered]]=0,0,SalesData[[#This Row],[Contracts Signed]]/SalesData[[#This Row],[Contracts Offered]])</f>
        <v>0.32520325203252032</v>
      </c>
      <c r="AG2673" s="5">
        <f>IF(SalesData[[#This Row],[Customers Visited]]=0,0,SalesData[[#This Row],[Test Drives]]/SalesData[[#This Row],[Customers Visited]])</f>
        <v>0.63176895306859204</v>
      </c>
      <c r="AH2673" s="5">
        <f>IF(SalesData[[#This Row],[Customers Visited]]=0,0,SalesData[[#This Row],[Contracts Signed]]/SalesData[[#This Row],[Customers Visited]])</f>
        <v>0.1444043321299639</v>
      </c>
      <c r="AI2673" s="6">
        <f>IF(SalesData[[#This Row],[Contracts Signed]]=0,0,SalesData[[#This Row],[Profit(€)]]/SalesData[[#This Row],[Contracts Signed]])</f>
        <v>13401</v>
      </c>
      <c r="AJ2673" s="5" t="str">
        <f>TRIM(CLEAN(SalesData[[#This Row],[Retailer]]))</f>
        <v>Elbe Drive</v>
      </c>
    </row>
    <row r="2674" spans="1:36" ht="14.25" hidden="1" x14ac:dyDescent="0.2">
      <c r="A2674" t="s">
        <v>3785</v>
      </c>
      <c r="B2674" s="1">
        <v>46054</v>
      </c>
      <c r="C2674" t="s">
        <v>24</v>
      </c>
      <c r="D2674" t="s">
        <v>41</v>
      </c>
      <c r="E2674" t="s">
        <v>42</v>
      </c>
      <c r="F2674" t="s">
        <v>7649</v>
      </c>
      <c r="G2674" t="s">
        <v>55</v>
      </c>
      <c r="H2674" t="s">
        <v>55</v>
      </c>
      <c r="I2674" t="s">
        <v>56</v>
      </c>
      <c r="J2674" t="s">
        <v>57</v>
      </c>
      <c r="K2674" t="s">
        <v>91</v>
      </c>
      <c r="L2674" t="s">
        <v>46</v>
      </c>
      <c r="M2674" t="s">
        <v>34</v>
      </c>
      <c r="N2674" t="s">
        <v>48</v>
      </c>
      <c r="O2674" t="s">
        <v>70</v>
      </c>
      <c r="P2674" t="s">
        <v>71</v>
      </c>
      <c r="Q2674" t="s">
        <v>59</v>
      </c>
      <c r="R2674">
        <v>195</v>
      </c>
      <c r="S2674">
        <v>118</v>
      </c>
      <c r="T2674">
        <v>84</v>
      </c>
      <c r="U2674">
        <v>31</v>
      </c>
      <c r="V2674" t="s">
        <v>6602</v>
      </c>
      <c r="W2674">
        <v>42702</v>
      </c>
      <c r="X2674" t="s">
        <v>7126</v>
      </c>
      <c r="Y2674">
        <v>33530</v>
      </c>
      <c r="Z2674">
        <v>1323762</v>
      </c>
      <c r="AA2674">
        <v>284332</v>
      </c>
      <c r="AB2674" t="str">
        <f>(VLOOKUP(SalesData[[#This Row],[Month Number]],Reference!C$5:E$16,2,FALSE))</f>
        <v>Feb</v>
      </c>
      <c r="AC2674">
        <f>MONTH(SalesData[[#This Row],[Date]])</f>
        <v>2</v>
      </c>
      <c r="AD2674">
        <f>Reference!F$4</f>
        <v>2026</v>
      </c>
      <c r="AE2674" t="str">
        <f>IF(OR(SalesData[[#This Row],[Day]]="Saturday",SalesData[[#This Row],[Day]]="Sunday"),"Weekend","Weekday")</f>
        <v>Weekend</v>
      </c>
      <c r="AF2674" s="5">
        <f>IF(SalesData[[#This Row],[Contracts Offered]]=0,0,SalesData[[#This Row],[Contracts Signed]]/SalesData[[#This Row],[Contracts Offered]])</f>
        <v>0.36904761904761907</v>
      </c>
      <c r="AG2674" s="5">
        <f>IF(SalesData[[#This Row],[Customers Visited]]=0,0,SalesData[[#This Row],[Test Drives]]/SalesData[[#This Row],[Customers Visited]])</f>
        <v>0.60512820512820509</v>
      </c>
      <c r="AH2674" s="5">
        <f>IF(SalesData[[#This Row],[Customers Visited]]=0,0,SalesData[[#This Row],[Contracts Signed]]/SalesData[[#This Row],[Customers Visited]])</f>
        <v>0.15897435897435896</v>
      </c>
      <c r="AI2674" s="6">
        <f>IF(SalesData[[#This Row],[Contracts Signed]]=0,0,SalesData[[#This Row],[Profit(€)]]/SalesData[[#This Row],[Contracts Signed]])</f>
        <v>9172</v>
      </c>
      <c r="AJ2674" s="5" t="str">
        <f>TRIM(CLEAN(SalesData[[#This Row],[Retailer]]))</f>
        <v>Autohaus Berlin</v>
      </c>
    </row>
    <row r="2675" spans="1:36" ht="14.25" hidden="1" x14ac:dyDescent="0.2">
      <c r="A2675" t="s">
        <v>3786</v>
      </c>
      <c r="B2675" s="1">
        <v>46076</v>
      </c>
      <c r="C2675" t="s">
        <v>53</v>
      </c>
      <c r="D2675" t="s">
        <v>25</v>
      </c>
      <c r="E2675" t="s">
        <v>26</v>
      </c>
      <c r="F2675" t="s">
        <v>74</v>
      </c>
      <c r="G2675" t="s">
        <v>75</v>
      </c>
      <c r="H2675" t="s">
        <v>76</v>
      </c>
      <c r="I2675" t="s">
        <v>56</v>
      </c>
      <c r="J2675" t="s">
        <v>7028</v>
      </c>
      <c r="K2675" t="s">
        <v>78</v>
      </c>
      <c r="L2675" t="s">
        <v>46</v>
      </c>
      <c r="M2675" t="s">
        <v>47</v>
      </c>
      <c r="N2675" t="s">
        <v>48</v>
      </c>
      <c r="O2675" t="s">
        <v>36</v>
      </c>
      <c r="P2675" t="s">
        <v>58</v>
      </c>
      <c r="Q2675" t="s">
        <v>38</v>
      </c>
      <c r="R2675">
        <v>200</v>
      </c>
      <c r="S2675">
        <v>101</v>
      </c>
      <c r="T2675">
        <v>76</v>
      </c>
      <c r="U2675">
        <v>27</v>
      </c>
      <c r="V2675" t="s">
        <v>6891</v>
      </c>
      <c r="W2675">
        <v>41220</v>
      </c>
      <c r="X2675" t="s">
        <v>712</v>
      </c>
      <c r="Y2675">
        <v>31198</v>
      </c>
      <c r="Z2675">
        <v>1112940</v>
      </c>
      <c r="AA2675">
        <v>270594</v>
      </c>
      <c r="AB2675" t="str">
        <f>(VLOOKUP(SalesData[[#This Row],[Month Number]],Reference!C$5:E$16,2,FALSE))</f>
        <v>Feb</v>
      </c>
      <c r="AC2675">
        <f>MONTH(SalesData[[#This Row],[Date]])</f>
        <v>2</v>
      </c>
      <c r="AD2675">
        <f>Reference!F$4</f>
        <v>2026</v>
      </c>
      <c r="AE2675" t="str">
        <f>IF(OR(SalesData[[#This Row],[Day]]="Saturday",SalesData[[#This Row],[Day]]="Sunday"),"Weekend","Weekday")</f>
        <v>Weekday</v>
      </c>
      <c r="AF2675" s="5">
        <f>IF(SalesData[[#This Row],[Contracts Offered]]=0,0,SalesData[[#This Row],[Contracts Signed]]/SalesData[[#This Row],[Contracts Offered]])</f>
        <v>0.35526315789473684</v>
      </c>
      <c r="AG2675" s="5">
        <f>IF(SalesData[[#This Row],[Customers Visited]]=0,0,SalesData[[#This Row],[Test Drives]]/SalesData[[#This Row],[Customers Visited]])</f>
        <v>0.505</v>
      </c>
      <c r="AH2675" s="5">
        <f>IF(SalesData[[#This Row],[Customers Visited]]=0,0,SalesData[[#This Row],[Contracts Signed]]/SalesData[[#This Row],[Customers Visited]])</f>
        <v>0.13500000000000001</v>
      </c>
      <c r="AI2675" s="6">
        <f>IF(SalesData[[#This Row],[Contracts Signed]]=0,0,SalesData[[#This Row],[Profit(€)]]/SalesData[[#This Row],[Contracts Signed]])</f>
        <v>10022</v>
      </c>
      <c r="AJ2675" s="5" t="str">
        <f>TRIM(CLEAN(SalesData[[#This Row],[Retailer]]))</f>
        <v>Stuttgart Auto Center</v>
      </c>
    </row>
    <row r="2676" spans="1:36" ht="14.25" hidden="1" x14ac:dyDescent="0.2">
      <c r="A2676" t="s">
        <v>3787</v>
      </c>
      <c r="B2676" s="1">
        <v>46057</v>
      </c>
      <c r="C2676" t="s">
        <v>24</v>
      </c>
      <c r="D2676" t="s">
        <v>82</v>
      </c>
      <c r="E2676" t="s">
        <v>26</v>
      </c>
      <c r="F2676" t="s">
        <v>43</v>
      </c>
      <c r="G2676" t="s">
        <v>44</v>
      </c>
      <c r="H2676" t="s">
        <v>45</v>
      </c>
      <c r="I2676" t="s">
        <v>116</v>
      </c>
      <c r="J2676" t="s">
        <v>7026</v>
      </c>
      <c r="K2676" t="s">
        <v>91</v>
      </c>
      <c r="L2676" t="s">
        <v>46</v>
      </c>
      <c r="M2676" t="s">
        <v>68</v>
      </c>
      <c r="N2676" t="s">
        <v>35</v>
      </c>
      <c r="O2676" t="s">
        <v>36</v>
      </c>
      <c r="P2676" t="s">
        <v>71</v>
      </c>
      <c r="Q2676" t="s">
        <v>152</v>
      </c>
      <c r="R2676">
        <v>344</v>
      </c>
      <c r="S2676">
        <v>148</v>
      </c>
      <c r="T2676">
        <v>94</v>
      </c>
      <c r="U2676">
        <v>23</v>
      </c>
      <c r="V2676" t="s">
        <v>3482</v>
      </c>
      <c r="W2676">
        <v>19773</v>
      </c>
      <c r="X2676" t="s">
        <v>4957</v>
      </c>
      <c r="Y2676">
        <v>17604</v>
      </c>
      <c r="Z2676">
        <v>454779</v>
      </c>
      <c r="AA2676">
        <v>49887</v>
      </c>
      <c r="AB2676" t="str">
        <f>(VLOOKUP(SalesData[[#This Row],[Month Number]],Reference!C$5:E$16,2,FALSE))</f>
        <v>Feb</v>
      </c>
      <c r="AC2676">
        <f>MONTH(SalesData[[#This Row],[Date]])</f>
        <v>2</v>
      </c>
      <c r="AD2676">
        <f>Reference!F$4</f>
        <v>2026</v>
      </c>
      <c r="AE2676" t="str">
        <f>IF(OR(SalesData[[#This Row],[Day]]="Saturday",SalesData[[#This Row],[Day]]="Sunday"),"Weekend","Weekday")</f>
        <v>Weekday</v>
      </c>
      <c r="AF2676" s="5">
        <f>IF(SalesData[[#This Row],[Contracts Offered]]=0,0,SalesData[[#This Row],[Contracts Signed]]/SalesData[[#This Row],[Contracts Offered]])</f>
        <v>0.24468085106382978</v>
      </c>
      <c r="AG2676" s="5">
        <f>IF(SalesData[[#This Row],[Customers Visited]]=0,0,SalesData[[#This Row],[Test Drives]]/SalesData[[#This Row],[Customers Visited]])</f>
        <v>0.43023255813953487</v>
      </c>
      <c r="AH2676" s="5">
        <f>IF(SalesData[[#This Row],[Customers Visited]]=0,0,SalesData[[#This Row],[Contracts Signed]]/SalesData[[#This Row],[Customers Visited]])</f>
        <v>6.6860465116279064E-2</v>
      </c>
      <c r="AI2676" s="6">
        <f>IF(SalesData[[#This Row],[Contracts Signed]]=0,0,SalesData[[#This Row],[Profit(€)]]/SalesData[[#This Row],[Contracts Signed]])</f>
        <v>2169</v>
      </c>
      <c r="AJ2676" s="5" t="str">
        <f>TRIM(CLEAN(SalesData[[#This Row],[Retailer]]))</f>
        <v>Saxon Wheels</v>
      </c>
    </row>
    <row r="2677" spans="1:36" ht="14.25" hidden="1" x14ac:dyDescent="0.2">
      <c r="A2677" t="s">
        <v>3788</v>
      </c>
      <c r="B2677" s="1">
        <v>46063</v>
      </c>
      <c r="C2677" t="s">
        <v>121</v>
      </c>
      <c r="D2677" t="s">
        <v>63</v>
      </c>
      <c r="E2677" t="s">
        <v>26</v>
      </c>
      <c r="F2677" t="s">
        <v>101</v>
      </c>
      <c r="G2677" t="s">
        <v>102</v>
      </c>
      <c r="H2677" t="s">
        <v>103</v>
      </c>
      <c r="I2677" t="s">
        <v>104</v>
      </c>
      <c r="J2677" t="s">
        <v>143</v>
      </c>
      <c r="K2677" t="s">
        <v>66</v>
      </c>
      <c r="L2677" t="s">
        <v>67</v>
      </c>
      <c r="M2677" t="s">
        <v>34</v>
      </c>
      <c r="N2677" t="s">
        <v>69</v>
      </c>
      <c r="O2677" t="s">
        <v>36</v>
      </c>
      <c r="P2677" t="s">
        <v>58</v>
      </c>
      <c r="Q2677" t="s">
        <v>152</v>
      </c>
      <c r="R2677">
        <v>326</v>
      </c>
      <c r="S2677">
        <v>162</v>
      </c>
      <c r="T2677">
        <v>109</v>
      </c>
      <c r="U2677">
        <v>33</v>
      </c>
      <c r="V2677" t="s">
        <v>6904</v>
      </c>
      <c r="W2677">
        <v>28105</v>
      </c>
      <c r="X2677" t="s">
        <v>3756</v>
      </c>
      <c r="Y2677">
        <v>25462</v>
      </c>
      <c r="Z2677">
        <v>927465</v>
      </c>
      <c r="AA2677">
        <v>87219</v>
      </c>
      <c r="AB2677" t="str">
        <f>(VLOOKUP(SalesData[[#This Row],[Month Number]],Reference!C$5:E$16,2,FALSE))</f>
        <v>Feb</v>
      </c>
      <c r="AC2677">
        <f>MONTH(SalesData[[#This Row],[Date]])</f>
        <v>2</v>
      </c>
      <c r="AD2677">
        <f>Reference!F$4</f>
        <v>2026</v>
      </c>
      <c r="AE2677" t="str">
        <f>IF(OR(SalesData[[#This Row],[Day]]="Saturday",SalesData[[#This Row],[Day]]="Sunday"),"Weekend","Weekday")</f>
        <v>Weekday</v>
      </c>
      <c r="AF2677" s="5">
        <f>IF(SalesData[[#This Row],[Contracts Offered]]=0,0,SalesData[[#This Row],[Contracts Signed]]/SalesData[[#This Row],[Contracts Offered]])</f>
        <v>0.30275229357798167</v>
      </c>
      <c r="AG2677" s="5">
        <f>IF(SalesData[[#This Row],[Customers Visited]]=0,0,SalesData[[#This Row],[Test Drives]]/SalesData[[#This Row],[Customers Visited]])</f>
        <v>0.49693251533742333</v>
      </c>
      <c r="AH2677" s="5">
        <f>IF(SalesData[[#This Row],[Customers Visited]]=0,0,SalesData[[#This Row],[Contracts Signed]]/SalesData[[#This Row],[Customers Visited]])</f>
        <v>0.10122699386503067</v>
      </c>
      <c r="AI2677" s="6">
        <f>IF(SalesData[[#This Row],[Contracts Signed]]=0,0,SalesData[[#This Row],[Profit(€)]]/SalesData[[#This Row],[Contracts Signed]])</f>
        <v>2643</v>
      </c>
      <c r="AJ2677" s="5" t="str">
        <f>TRIM(CLEAN(SalesData[[#This Row],[Retailer]]))</f>
        <v>Ruhr Auto Plaza</v>
      </c>
    </row>
    <row r="2678" spans="1:36" ht="14.25" hidden="1" x14ac:dyDescent="0.2">
      <c r="A2678" t="s">
        <v>3789</v>
      </c>
      <c r="B2678" s="1">
        <v>46062</v>
      </c>
      <c r="C2678" t="s">
        <v>121</v>
      </c>
      <c r="D2678" t="s">
        <v>25</v>
      </c>
      <c r="E2678" t="s">
        <v>26</v>
      </c>
      <c r="F2678" t="s">
        <v>27</v>
      </c>
      <c r="G2678" t="s">
        <v>28</v>
      </c>
      <c r="H2678" t="s">
        <v>29</v>
      </c>
      <c r="I2678" t="s">
        <v>104</v>
      </c>
      <c r="J2678" t="s">
        <v>140</v>
      </c>
      <c r="K2678" t="s">
        <v>32</v>
      </c>
      <c r="L2678" t="s">
        <v>46</v>
      </c>
      <c r="M2678" t="s">
        <v>47</v>
      </c>
      <c r="N2678" t="s">
        <v>69</v>
      </c>
      <c r="O2678" t="s">
        <v>36</v>
      </c>
      <c r="P2678" t="s">
        <v>71</v>
      </c>
      <c r="Q2678" t="s">
        <v>50</v>
      </c>
      <c r="R2678">
        <v>481</v>
      </c>
      <c r="S2678">
        <v>209</v>
      </c>
      <c r="T2678">
        <v>137</v>
      </c>
      <c r="U2678">
        <v>36</v>
      </c>
      <c r="V2678" t="s">
        <v>3653</v>
      </c>
      <c r="W2678">
        <v>29667</v>
      </c>
      <c r="X2678" t="s">
        <v>1239</v>
      </c>
      <c r="Y2678">
        <v>26668</v>
      </c>
      <c r="Z2678">
        <v>1068012</v>
      </c>
      <c r="AA2678">
        <v>107964</v>
      </c>
      <c r="AB2678" t="str">
        <f>(VLOOKUP(SalesData[[#This Row],[Month Number]],Reference!C$5:E$16,2,FALSE))</f>
        <v>Feb</v>
      </c>
      <c r="AC2678">
        <f>MONTH(SalesData[[#This Row],[Date]])</f>
        <v>2</v>
      </c>
      <c r="AD2678">
        <f>Reference!F$4</f>
        <v>2026</v>
      </c>
      <c r="AE2678" t="str">
        <f>IF(OR(SalesData[[#This Row],[Day]]="Saturday",SalesData[[#This Row],[Day]]="Sunday"),"Weekend","Weekday")</f>
        <v>Weekday</v>
      </c>
      <c r="AF2678" s="5">
        <f>IF(SalesData[[#This Row],[Contracts Offered]]=0,0,SalesData[[#This Row],[Contracts Signed]]/SalesData[[#This Row],[Contracts Offered]])</f>
        <v>0.26277372262773724</v>
      </c>
      <c r="AG2678" s="5">
        <f>IF(SalesData[[#This Row],[Customers Visited]]=0,0,SalesData[[#This Row],[Test Drives]]/SalesData[[#This Row],[Customers Visited]])</f>
        <v>0.43451143451143454</v>
      </c>
      <c r="AH2678" s="5">
        <f>IF(SalesData[[#This Row],[Customers Visited]]=0,0,SalesData[[#This Row],[Contracts Signed]]/SalesData[[#This Row],[Customers Visited]])</f>
        <v>7.4844074844074848E-2</v>
      </c>
      <c r="AI2678" s="6">
        <f>IF(SalesData[[#This Row],[Contracts Signed]]=0,0,SalesData[[#This Row],[Profit(€)]]/SalesData[[#This Row],[Contracts Signed]])</f>
        <v>2999</v>
      </c>
      <c r="AJ2678" s="5" t="str">
        <f>TRIM(CLEAN(SalesData[[#This Row],[Retailer]]))</f>
        <v>Main Auto Hub</v>
      </c>
    </row>
    <row r="2679" spans="1:36" ht="14.25" hidden="1" x14ac:dyDescent="0.2">
      <c r="A2679" t="s">
        <v>3791</v>
      </c>
      <c r="B2679" s="1">
        <v>46070</v>
      </c>
      <c r="C2679" t="s">
        <v>62</v>
      </c>
      <c r="D2679" t="s">
        <v>63</v>
      </c>
      <c r="E2679" t="s">
        <v>26</v>
      </c>
      <c r="F2679" t="s">
        <v>109</v>
      </c>
      <c r="G2679" t="s">
        <v>110</v>
      </c>
      <c r="H2679" t="s">
        <v>45</v>
      </c>
      <c r="I2679" t="s">
        <v>116</v>
      </c>
      <c r="J2679" t="s">
        <v>7090</v>
      </c>
      <c r="K2679" t="s">
        <v>32</v>
      </c>
      <c r="L2679" t="s">
        <v>46</v>
      </c>
      <c r="M2679" t="s">
        <v>47</v>
      </c>
      <c r="N2679" t="s">
        <v>69</v>
      </c>
      <c r="O2679" t="s">
        <v>70</v>
      </c>
      <c r="P2679" t="s">
        <v>58</v>
      </c>
      <c r="Q2679" t="s">
        <v>106</v>
      </c>
      <c r="R2679">
        <v>225</v>
      </c>
      <c r="S2679">
        <v>107</v>
      </c>
      <c r="T2679">
        <v>64</v>
      </c>
      <c r="U2679">
        <v>18</v>
      </c>
      <c r="V2679" t="s">
        <v>3416</v>
      </c>
      <c r="W2679">
        <v>21811</v>
      </c>
      <c r="X2679" t="s">
        <v>4097</v>
      </c>
      <c r="Y2679">
        <v>20058</v>
      </c>
      <c r="Z2679">
        <v>392598</v>
      </c>
      <c r="AA2679">
        <v>31554</v>
      </c>
      <c r="AB2679" t="str">
        <f>(VLOOKUP(SalesData[[#This Row],[Month Number]],Reference!C$5:E$16,2,FALSE))</f>
        <v>Feb</v>
      </c>
      <c r="AC2679">
        <f>MONTH(SalesData[[#This Row],[Date]])</f>
        <v>2</v>
      </c>
      <c r="AD2679">
        <f>Reference!F$4</f>
        <v>2026</v>
      </c>
      <c r="AE2679" t="str">
        <f>IF(OR(SalesData[[#This Row],[Day]]="Saturday",SalesData[[#This Row],[Day]]="Sunday"),"Weekend","Weekday")</f>
        <v>Weekday</v>
      </c>
      <c r="AF2679" s="5">
        <f>IF(SalesData[[#This Row],[Contracts Offered]]=0,0,SalesData[[#This Row],[Contracts Signed]]/SalesData[[#This Row],[Contracts Offered]])</f>
        <v>0.28125</v>
      </c>
      <c r="AG2679" s="5">
        <f>IF(SalesData[[#This Row],[Customers Visited]]=0,0,SalesData[[#This Row],[Test Drives]]/SalesData[[#This Row],[Customers Visited]])</f>
        <v>0.47555555555555556</v>
      </c>
      <c r="AH2679" s="5">
        <f>IF(SalesData[[#This Row],[Customers Visited]]=0,0,SalesData[[#This Row],[Contracts Signed]]/SalesData[[#This Row],[Customers Visited]])</f>
        <v>0.08</v>
      </c>
      <c r="AI2679" s="6">
        <f>IF(SalesData[[#This Row],[Contracts Signed]]=0,0,SalesData[[#This Row],[Profit(€)]]/SalesData[[#This Row],[Contracts Signed]])</f>
        <v>1753</v>
      </c>
      <c r="AJ2679" s="5" t="str">
        <f>TRIM(CLEAN(SalesData[[#This Row],[Retailer]]))</f>
        <v>Leipzig Mobility</v>
      </c>
    </row>
    <row r="2680" spans="1:36" ht="14.25" x14ac:dyDescent="0.2">
      <c r="A2680" t="s">
        <v>3792</v>
      </c>
      <c r="B2680" s="1">
        <v>46078</v>
      </c>
      <c r="C2680" t="s">
        <v>53</v>
      </c>
      <c r="D2680" t="s">
        <v>82</v>
      </c>
      <c r="E2680" t="s">
        <v>26</v>
      </c>
      <c r="F2680" t="s">
        <v>101</v>
      </c>
      <c r="G2680" t="s">
        <v>102</v>
      </c>
      <c r="H2680" t="s">
        <v>103</v>
      </c>
      <c r="I2680" t="s">
        <v>30</v>
      </c>
      <c r="J2680" t="s">
        <v>31</v>
      </c>
      <c r="K2680" t="s">
        <v>91</v>
      </c>
      <c r="L2680" t="s">
        <v>46</v>
      </c>
      <c r="M2680" t="s">
        <v>68</v>
      </c>
      <c r="N2680" t="s">
        <v>69</v>
      </c>
      <c r="O2680" t="s">
        <v>70</v>
      </c>
      <c r="P2680" t="s">
        <v>49</v>
      </c>
      <c r="Q2680" t="s">
        <v>347</v>
      </c>
      <c r="R2680">
        <v>203</v>
      </c>
      <c r="S2680">
        <v>101</v>
      </c>
      <c r="T2680">
        <v>79</v>
      </c>
      <c r="U2680">
        <v>22</v>
      </c>
      <c r="V2680" t="s">
        <v>6432</v>
      </c>
      <c r="W2680">
        <v>52351</v>
      </c>
      <c r="X2680" t="s">
        <v>7050</v>
      </c>
      <c r="Y2680">
        <v>39634</v>
      </c>
      <c r="Z2680">
        <v>1151722</v>
      </c>
      <c r="AA2680">
        <v>279774</v>
      </c>
      <c r="AB2680" t="str">
        <f>(VLOOKUP(SalesData[[#This Row],[Month Number]],Reference!C$5:E$16,2,FALSE))</f>
        <v>Feb</v>
      </c>
      <c r="AC2680">
        <f>MONTH(SalesData[[#This Row],[Date]])</f>
        <v>2</v>
      </c>
      <c r="AD2680">
        <f>Reference!F$4</f>
        <v>2026</v>
      </c>
      <c r="AE2680" t="str">
        <f>IF(OR(SalesData[[#This Row],[Day]]="Saturday",SalesData[[#This Row],[Day]]="Sunday"),"Weekend","Weekday")</f>
        <v>Weekday</v>
      </c>
      <c r="AF2680" s="5">
        <f>IF(SalesData[[#This Row],[Contracts Offered]]=0,0,SalesData[[#This Row],[Contracts Signed]]/SalesData[[#This Row],[Contracts Offered]])</f>
        <v>0.27848101265822783</v>
      </c>
      <c r="AG2680" s="5">
        <f>IF(SalesData[[#This Row],[Customers Visited]]=0,0,SalesData[[#This Row],[Test Drives]]/SalesData[[#This Row],[Customers Visited]])</f>
        <v>0.49753694581280788</v>
      </c>
      <c r="AH2680" s="5">
        <f>IF(SalesData[[#This Row],[Customers Visited]]=0,0,SalesData[[#This Row],[Contracts Signed]]/SalesData[[#This Row],[Customers Visited]])</f>
        <v>0.10837438423645321</v>
      </c>
      <c r="AI2680" s="6">
        <f>IF(SalesData[[#This Row],[Contracts Signed]]=0,0,SalesData[[#This Row],[Profit(€)]]/SalesData[[#This Row],[Contracts Signed]])</f>
        <v>12717</v>
      </c>
      <c r="AJ2680" s="5" t="str">
        <f>TRIM(CLEAN(SalesData[[#This Row],[Retailer]]))</f>
        <v>Ruhr Auto Plaza</v>
      </c>
    </row>
    <row r="2681" spans="1:36" ht="14.25" x14ac:dyDescent="0.2">
      <c r="A2681" t="s">
        <v>3794</v>
      </c>
      <c r="B2681" s="1">
        <v>46075</v>
      </c>
      <c r="C2681" t="s">
        <v>53</v>
      </c>
      <c r="D2681" t="s">
        <v>41</v>
      </c>
      <c r="E2681" t="s">
        <v>42</v>
      </c>
      <c r="F2681" t="s">
        <v>94</v>
      </c>
      <c r="G2681" t="s">
        <v>95</v>
      </c>
      <c r="H2681" t="s">
        <v>96</v>
      </c>
      <c r="I2681" t="s">
        <v>30</v>
      </c>
      <c r="J2681" t="s">
        <v>188</v>
      </c>
      <c r="K2681" t="s">
        <v>66</v>
      </c>
      <c r="L2681" t="s">
        <v>33</v>
      </c>
      <c r="M2681" t="s">
        <v>68</v>
      </c>
      <c r="N2681" t="s">
        <v>48</v>
      </c>
      <c r="O2681" t="s">
        <v>36</v>
      </c>
      <c r="P2681" t="s">
        <v>37</v>
      </c>
      <c r="Q2681" t="s">
        <v>88</v>
      </c>
      <c r="R2681">
        <v>172</v>
      </c>
      <c r="S2681">
        <v>87</v>
      </c>
      <c r="T2681">
        <v>61</v>
      </c>
      <c r="U2681">
        <v>23</v>
      </c>
      <c r="V2681" t="s">
        <v>6601</v>
      </c>
      <c r="W2681">
        <v>55441</v>
      </c>
      <c r="X2681" t="s">
        <v>7527</v>
      </c>
      <c r="Y2681">
        <v>41203</v>
      </c>
      <c r="Z2681">
        <v>1275143</v>
      </c>
      <c r="AA2681">
        <v>327474</v>
      </c>
      <c r="AB2681" t="str">
        <f>(VLOOKUP(SalesData[[#This Row],[Month Number]],Reference!C$5:E$16,2,FALSE))</f>
        <v>Feb</v>
      </c>
      <c r="AC2681">
        <f>MONTH(SalesData[[#This Row],[Date]])</f>
        <v>2</v>
      </c>
      <c r="AD2681">
        <f>Reference!F$4</f>
        <v>2026</v>
      </c>
      <c r="AE2681" t="str">
        <f>IF(OR(SalesData[[#This Row],[Day]]="Saturday",SalesData[[#This Row],[Day]]="Sunday"),"Weekend","Weekday")</f>
        <v>Weekend</v>
      </c>
      <c r="AF2681" s="5">
        <f>IF(SalesData[[#This Row],[Contracts Offered]]=0,0,SalesData[[#This Row],[Contracts Signed]]/SalesData[[#This Row],[Contracts Offered]])</f>
        <v>0.37704918032786883</v>
      </c>
      <c r="AG2681" s="5">
        <f>IF(SalesData[[#This Row],[Customers Visited]]=0,0,SalesData[[#This Row],[Test Drives]]/SalesData[[#This Row],[Customers Visited]])</f>
        <v>0.5058139534883721</v>
      </c>
      <c r="AH2681" s="5">
        <f>IF(SalesData[[#This Row],[Customers Visited]]=0,0,SalesData[[#This Row],[Contracts Signed]]/SalesData[[#This Row],[Customers Visited]])</f>
        <v>0.13372093023255813</v>
      </c>
      <c r="AI2681" s="6">
        <f>IF(SalesData[[#This Row],[Contracts Signed]]=0,0,SalesData[[#This Row],[Profit(€)]]/SalesData[[#This Row],[Contracts Signed]])</f>
        <v>14238</v>
      </c>
      <c r="AJ2681" s="5" t="str">
        <f>TRIM(CLEAN(SalesData[[#This Row],[Retailer]]))</f>
        <v>Bavaria Motors</v>
      </c>
    </row>
    <row r="2682" spans="1:36" ht="14.25" hidden="1" x14ac:dyDescent="0.2">
      <c r="A2682" t="s">
        <v>3795</v>
      </c>
      <c r="B2682" s="1">
        <v>46057</v>
      </c>
      <c r="C2682" t="s">
        <v>24</v>
      </c>
      <c r="D2682" t="s">
        <v>82</v>
      </c>
      <c r="E2682" t="s">
        <v>26</v>
      </c>
      <c r="F2682" t="s">
        <v>114</v>
      </c>
      <c r="G2682" t="s">
        <v>115</v>
      </c>
      <c r="H2682" t="s">
        <v>115</v>
      </c>
      <c r="I2682" t="s">
        <v>56</v>
      </c>
      <c r="J2682" t="s">
        <v>57</v>
      </c>
      <c r="K2682" t="s">
        <v>91</v>
      </c>
      <c r="L2682" t="s">
        <v>46</v>
      </c>
      <c r="M2682" t="s">
        <v>87</v>
      </c>
      <c r="N2682" t="s">
        <v>35</v>
      </c>
      <c r="O2682" t="s">
        <v>36</v>
      </c>
      <c r="P2682" t="s">
        <v>58</v>
      </c>
      <c r="Q2682" t="s">
        <v>38</v>
      </c>
      <c r="R2682">
        <v>250</v>
      </c>
      <c r="S2682">
        <v>157</v>
      </c>
      <c r="T2682">
        <v>109</v>
      </c>
      <c r="U2682">
        <v>46</v>
      </c>
      <c r="V2682" t="s">
        <v>6857</v>
      </c>
      <c r="W2682">
        <v>46710</v>
      </c>
      <c r="X2682" t="s">
        <v>7494</v>
      </c>
      <c r="Y2682">
        <v>36807</v>
      </c>
      <c r="Z2682">
        <v>2148660</v>
      </c>
      <c r="AA2682">
        <v>455538</v>
      </c>
      <c r="AB2682" t="str">
        <f>(VLOOKUP(SalesData[[#This Row],[Month Number]],Reference!C$5:E$16,2,FALSE))</f>
        <v>Feb</v>
      </c>
      <c r="AC2682">
        <f>MONTH(SalesData[[#This Row],[Date]])</f>
        <v>2</v>
      </c>
      <c r="AD2682">
        <f>Reference!F$4</f>
        <v>2026</v>
      </c>
      <c r="AE2682" t="str">
        <f>IF(OR(SalesData[[#This Row],[Day]]="Saturday",SalesData[[#This Row],[Day]]="Sunday"),"Weekend","Weekday")</f>
        <v>Weekday</v>
      </c>
      <c r="AF2682" s="5">
        <f>IF(SalesData[[#This Row],[Contracts Offered]]=0,0,SalesData[[#This Row],[Contracts Signed]]/SalesData[[#This Row],[Contracts Offered]])</f>
        <v>0.42201834862385323</v>
      </c>
      <c r="AG2682" s="5">
        <f>IF(SalesData[[#This Row],[Customers Visited]]=0,0,SalesData[[#This Row],[Test Drives]]/SalesData[[#This Row],[Customers Visited]])</f>
        <v>0.628</v>
      </c>
      <c r="AH2682" s="5">
        <f>IF(SalesData[[#This Row],[Customers Visited]]=0,0,SalesData[[#This Row],[Contracts Signed]]/SalesData[[#This Row],[Customers Visited]])</f>
        <v>0.184</v>
      </c>
      <c r="AI2682" s="6">
        <f>IF(SalesData[[#This Row],[Contracts Signed]]=0,0,SalesData[[#This Row],[Profit(€)]]/SalesData[[#This Row],[Contracts Signed]])</f>
        <v>9903</v>
      </c>
      <c r="AJ2682" s="5" t="str">
        <f>TRIM(CLEAN(SalesData[[#This Row],[Retailer]]))</f>
        <v>Elbe Drive</v>
      </c>
    </row>
    <row r="2683" spans="1:36" ht="14.25" hidden="1" x14ac:dyDescent="0.2">
      <c r="A2683" t="s">
        <v>3796</v>
      </c>
      <c r="B2683" s="1">
        <v>46070</v>
      </c>
      <c r="C2683" t="s">
        <v>62</v>
      </c>
      <c r="D2683" t="s">
        <v>63</v>
      </c>
      <c r="E2683" t="s">
        <v>26</v>
      </c>
      <c r="F2683" t="s">
        <v>7649</v>
      </c>
      <c r="G2683" t="s">
        <v>55</v>
      </c>
      <c r="H2683" t="s">
        <v>55</v>
      </c>
      <c r="I2683" t="s">
        <v>56</v>
      </c>
      <c r="J2683" t="s">
        <v>97</v>
      </c>
      <c r="K2683" t="s">
        <v>32</v>
      </c>
      <c r="L2683" t="s">
        <v>33</v>
      </c>
      <c r="M2683" t="s">
        <v>68</v>
      </c>
      <c r="N2683" t="s">
        <v>35</v>
      </c>
      <c r="O2683" t="s">
        <v>36</v>
      </c>
      <c r="P2683" t="s">
        <v>49</v>
      </c>
      <c r="Q2683" t="s">
        <v>189</v>
      </c>
      <c r="R2683">
        <v>233</v>
      </c>
      <c r="S2683">
        <v>119</v>
      </c>
      <c r="T2683">
        <v>80</v>
      </c>
      <c r="U2683">
        <v>27</v>
      </c>
      <c r="V2683" t="s">
        <v>6715</v>
      </c>
      <c r="W2683">
        <v>43145</v>
      </c>
      <c r="X2683" t="s">
        <v>4223</v>
      </c>
      <c r="Y2683">
        <v>33942</v>
      </c>
      <c r="Z2683">
        <v>1164915</v>
      </c>
      <c r="AA2683">
        <v>248481</v>
      </c>
      <c r="AB2683" t="str">
        <f>(VLOOKUP(SalesData[[#This Row],[Month Number]],Reference!C$5:E$16,2,FALSE))</f>
        <v>Feb</v>
      </c>
      <c r="AC2683">
        <f>MONTH(SalesData[[#This Row],[Date]])</f>
        <v>2</v>
      </c>
      <c r="AD2683">
        <f>Reference!F$4</f>
        <v>2026</v>
      </c>
      <c r="AE2683" t="str">
        <f>IF(OR(SalesData[[#This Row],[Day]]="Saturday",SalesData[[#This Row],[Day]]="Sunday"),"Weekend","Weekday")</f>
        <v>Weekday</v>
      </c>
      <c r="AF2683" s="5">
        <f>IF(SalesData[[#This Row],[Contracts Offered]]=0,0,SalesData[[#This Row],[Contracts Signed]]/SalesData[[#This Row],[Contracts Offered]])</f>
        <v>0.33750000000000002</v>
      </c>
      <c r="AG2683" s="5">
        <f>IF(SalesData[[#This Row],[Customers Visited]]=0,0,SalesData[[#This Row],[Test Drives]]/SalesData[[#This Row],[Customers Visited]])</f>
        <v>0.51072961373390557</v>
      </c>
      <c r="AH2683" s="5">
        <f>IF(SalesData[[#This Row],[Customers Visited]]=0,0,SalesData[[#This Row],[Contracts Signed]]/SalesData[[#This Row],[Customers Visited]])</f>
        <v>0.11587982832618025</v>
      </c>
      <c r="AI2683" s="6">
        <f>IF(SalesData[[#This Row],[Contracts Signed]]=0,0,SalesData[[#This Row],[Profit(€)]]/SalesData[[#This Row],[Contracts Signed]])</f>
        <v>9203</v>
      </c>
      <c r="AJ2683" s="5" t="str">
        <f>TRIM(CLEAN(SalesData[[#This Row],[Retailer]]))</f>
        <v>Autohaus Berlin</v>
      </c>
    </row>
    <row r="2684" spans="1:36" ht="14.25" hidden="1" x14ac:dyDescent="0.2">
      <c r="A2684" t="s">
        <v>3797</v>
      </c>
      <c r="B2684" s="1">
        <v>46077</v>
      </c>
      <c r="C2684" t="s">
        <v>53</v>
      </c>
      <c r="D2684" t="s">
        <v>63</v>
      </c>
      <c r="E2684" t="s">
        <v>26</v>
      </c>
      <c r="F2684" t="s">
        <v>94</v>
      </c>
      <c r="G2684" t="s">
        <v>95</v>
      </c>
      <c r="H2684" t="s">
        <v>96</v>
      </c>
      <c r="I2684" t="s">
        <v>104</v>
      </c>
      <c r="J2684" t="s">
        <v>143</v>
      </c>
      <c r="K2684" t="s">
        <v>78</v>
      </c>
      <c r="L2684" t="s">
        <v>67</v>
      </c>
      <c r="M2684" t="s">
        <v>87</v>
      </c>
      <c r="N2684" t="s">
        <v>35</v>
      </c>
      <c r="O2684" t="s">
        <v>70</v>
      </c>
      <c r="P2684" t="s">
        <v>58</v>
      </c>
      <c r="Q2684" t="s">
        <v>79</v>
      </c>
      <c r="R2684">
        <v>341</v>
      </c>
      <c r="S2684">
        <v>143</v>
      </c>
      <c r="T2684">
        <v>89</v>
      </c>
      <c r="U2684">
        <v>32</v>
      </c>
      <c r="V2684" t="s">
        <v>6565</v>
      </c>
      <c r="W2684">
        <v>27419</v>
      </c>
      <c r="X2684" t="s">
        <v>519</v>
      </c>
      <c r="Y2684">
        <v>24853</v>
      </c>
      <c r="Z2684">
        <v>877408</v>
      </c>
      <c r="AA2684">
        <v>82112</v>
      </c>
      <c r="AB2684" t="str">
        <f>(VLOOKUP(SalesData[[#This Row],[Month Number]],Reference!C$5:E$16,2,FALSE))</f>
        <v>Feb</v>
      </c>
      <c r="AC2684">
        <f>MONTH(SalesData[[#This Row],[Date]])</f>
        <v>2</v>
      </c>
      <c r="AD2684">
        <f>Reference!F$4</f>
        <v>2026</v>
      </c>
      <c r="AE2684" t="str">
        <f>IF(OR(SalesData[[#This Row],[Day]]="Saturday",SalesData[[#This Row],[Day]]="Sunday"),"Weekend","Weekday")</f>
        <v>Weekday</v>
      </c>
      <c r="AF2684" s="5">
        <f>IF(SalesData[[#This Row],[Contracts Offered]]=0,0,SalesData[[#This Row],[Contracts Signed]]/SalesData[[#This Row],[Contracts Offered]])</f>
        <v>0.3595505617977528</v>
      </c>
      <c r="AG2684" s="5">
        <f>IF(SalesData[[#This Row],[Customers Visited]]=0,0,SalesData[[#This Row],[Test Drives]]/SalesData[[#This Row],[Customers Visited]])</f>
        <v>0.41935483870967744</v>
      </c>
      <c r="AH2684" s="5">
        <f>IF(SalesData[[#This Row],[Customers Visited]]=0,0,SalesData[[#This Row],[Contracts Signed]]/SalesData[[#This Row],[Customers Visited]])</f>
        <v>9.3841642228739003E-2</v>
      </c>
      <c r="AI2684" s="6">
        <f>IF(SalesData[[#This Row],[Contracts Signed]]=0,0,SalesData[[#This Row],[Profit(€)]]/SalesData[[#This Row],[Contracts Signed]])</f>
        <v>2566</v>
      </c>
      <c r="AJ2684" s="5" t="str">
        <f>TRIM(CLEAN(SalesData[[#This Row],[Retailer]]))</f>
        <v>Bavaria Motors</v>
      </c>
    </row>
    <row r="2685" spans="1:36" ht="14.25" x14ac:dyDescent="0.2">
      <c r="A2685" t="s">
        <v>3799</v>
      </c>
      <c r="B2685" s="1">
        <v>46079</v>
      </c>
      <c r="C2685" t="s">
        <v>53</v>
      </c>
      <c r="D2685" t="s">
        <v>100</v>
      </c>
      <c r="E2685" t="s">
        <v>26</v>
      </c>
      <c r="F2685" t="s">
        <v>101</v>
      </c>
      <c r="G2685" t="s">
        <v>102</v>
      </c>
      <c r="H2685" t="s">
        <v>103</v>
      </c>
      <c r="I2685" t="s">
        <v>30</v>
      </c>
      <c r="J2685" t="s">
        <v>31</v>
      </c>
      <c r="K2685" t="s">
        <v>91</v>
      </c>
      <c r="L2685" t="s">
        <v>46</v>
      </c>
      <c r="M2685" t="s">
        <v>34</v>
      </c>
      <c r="N2685" t="s">
        <v>35</v>
      </c>
      <c r="O2685" t="s">
        <v>70</v>
      </c>
      <c r="P2685" t="s">
        <v>49</v>
      </c>
      <c r="Q2685" t="s">
        <v>167</v>
      </c>
      <c r="R2685">
        <v>161</v>
      </c>
      <c r="S2685">
        <v>95</v>
      </c>
      <c r="T2685">
        <v>77</v>
      </c>
      <c r="U2685">
        <v>25</v>
      </c>
      <c r="V2685" t="s">
        <v>6471</v>
      </c>
      <c r="W2685">
        <v>59320</v>
      </c>
      <c r="X2685" t="s">
        <v>1520</v>
      </c>
      <c r="Y2685">
        <v>44468</v>
      </c>
      <c r="Z2685">
        <v>1483000</v>
      </c>
      <c r="AA2685">
        <v>371300</v>
      </c>
      <c r="AB2685" t="str">
        <f>(VLOOKUP(SalesData[[#This Row],[Month Number]],Reference!C$5:E$16,2,FALSE))</f>
        <v>Feb</v>
      </c>
      <c r="AC2685">
        <f>MONTH(SalesData[[#This Row],[Date]])</f>
        <v>2</v>
      </c>
      <c r="AD2685">
        <f>Reference!F$4</f>
        <v>2026</v>
      </c>
      <c r="AE2685" t="str">
        <f>IF(OR(SalesData[[#This Row],[Day]]="Saturday",SalesData[[#This Row],[Day]]="Sunday"),"Weekend","Weekday")</f>
        <v>Weekday</v>
      </c>
      <c r="AF2685" s="5">
        <f>IF(SalesData[[#This Row],[Contracts Offered]]=0,0,SalesData[[#This Row],[Contracts Signed]]/SalesData[[#This Row],[Contracts Offered]])</f>
        <v>0.32467532467532467</v>
      </c>
      <c r="AG2685" s="5">
        <f>IF(SalesData[[#This Row],[Customers Visited]]=0,0,SalesData[[#This Row],[Test Drives]]/SalesData[[#This Row],[Customers Visited]])</f>
        <v>0.59006211180124224</v>
      </c>
      <c r="AH2685" s="5">
        <f>IF(SalesData[[#This Row],[Customers Visited]]=0,0,SalesData[[#This Row],[Contracts Signed]]/SalesData[[#This Row],[Customers Visited]])</f>
        <v>0.15527950310559005</v>
      </c>
      <c r="AI2685" s="6">
        <f>IF(SalesData[[#This Row],[Contracts Signed]]=0,0,SalesData[[#This Row],[Profit(€)]]/SalesData[[#This Row],[Contracts Signed]])</f>
        <v>14852</v>
      </c>
      <c r="AJ2685" s="5" t="str">
        <f>TRIM(CLEAN(SalesData[[#This Row],[Retailer]]))</f>
        <v>Ruhr Auto Plaza</v>
      </c>
    </row>
    <row r="2686" spans="1:36" ht="14.25" hidden="1" x14ac:dyDescent="0.2">
      <c r="A2686" t="s">
        <v>3800</v>
      </c>
      <c r="B2686" s="1">
        <v>46072</v>
      </c>
      <c r="C2686" t="s">
        <v>62</v>
      </c>
      <c r="D2686" t="s">
        <v>100</v>
      </c>
      <c r="E2686" t="s">
        <v>26</v>
      </c>
      <c r="F2686" t="s">
        <v>83</v>
      </c>
      <c r="G2686" t="s">
        <v>84</v>
      </c>
      <c r="H2686" t="s">
        <v>85</v>
      </c>
      <c r="I2686" t="s">
        <v>104</v>
      </c>
      <c r="J2686" t="s">
        <v>7031</v>
      </c>
      <c r="K2686" t="s">
        <v>78</v>
      </c>
      <c r="L2686" t="s">
        <v>46</v>
      </c>
      <c r="M2686" t="s">
        <v>47</v>
      </c>
      <c r="N2686" t="s">
        <v>35</v>
      </c>
      <c r="O2686" t="s">
        <v>36</v>
      </c>
      <c r="P2686" t="s">
        <v>71</v>
      </c>
      <c r="Q2686" t="s">
        <v>129</v>
      </c>
      <c r="R2686">
        <v>311</v>
      </c>
      <c r="S2686">
        <v>145</v>
      </c>
      <c r="T2686">
        <v>102</v>
      </c>
      <c r="U2686">
        <v>25</v>
      </c>
      <c r="V2686" t="s">
        <v>1447</v>
      </c>
      <c r="W2686">
        <v>32787</v>
      </c>
      <c r="X2686" t="s">
        <v>864</v>
      </c>
      <c r="Y2686">
        <v>28791</v>
      </c>
      <c r="Z2686">
        <v>819675</v>
      </c>
      <c r="AA2686">
        <v>99900</v>
      </c>
      <c r="AB2686" t="str">
        <f>(VLOOKUP(SalesData[[#This Row],[Month Number]],Reference!C$5:E$16,2,FALSE))</f>
        <v>Feb</v>
      </c>
      <c r="AC2686">
        <f>MONTH(SalesData[[#This Row],[Date]])</f>
        <v>2</v>
      </c>
      <c r="AD2686">
        <f>Reference!F$4</f>
        <v>2026</v>
      </c>
      <c r="AE2686" t="str">
        <f>IF(OR(SalesData[[#This Row],[Day]]="Saturday",SalesData[[#This Row],[Day]]="Sunday"),"Weekend","Weekday")</f>
        <v>Weekday</v>
      </c>
      <c r="AF2686" s="5">
        <f>IF(SalesData[[#This Row],[Contracts Offered]]=0,0,SalesData[[#This Row],[Contracts Signed]]/SalesData[[#This Row],[Contracts Offered]])</f>
        <v>0.24509803921568626</v>
      </c>
      <c r="AG2686" s="5">
        <f>IF(SalesData[[#This Row],[Customers Visited]]=0,0,SalesData[[#This Row],[Test Drives]]/SalesData[[#This Row],[Customers Visited]])</f>
        <v>0.4662379421221865</v>
      </c>
      <c r="AH2686" s="5">
        <f>IF(SalesData[[#This Row],[Customers Visited]]=0,0,SalesData[[#This Row],[Contracts Signed]]/SalesData[[#This Row],[Customers Visited]])</f>
        <v>8.0385852090032156E-2</v>
      </c>
      <c r="AI2686" s="6">
        <f>IF(SalesData[[#This Row],[Contracts Signed]]=0,0,SalesData[[#This Row],[Profit(€)]]/SalesData[[#This Row],[Contracts Signed]])</f>
        <v>3996</v>
      </c>
      <c r="AJ2686" s="5" t="str">
        <f>TRIM(CLEAN(SalesData[[#This Row],[Retailer]]))</f>
        <v>Hannover Cars</v>
      </c>
    </row>
    <row r="2687" spans="1:36" ht="14.25" hidden="1" x14ac:dyDescent="0.2">
      <c r="A2687" t="s">
        <v>3801</v>
      </c>
      <c r="B2687" s="1">
        <v>46074</v>
      </c>
      <c r="C2687" t="s">
        <v>62</v>
      </c>
      <c r="D2687" t="s">
        <v>151</v>
      </c>
      <c r="E2687" t="s">
        <v>42</v>
      </c>
      <c r="F2687" t="s">
        <v>114</v>
      </c>
      <c r="G2687" t="s">
        <v>115</v>
      </c>
      <c r="H2687" t="s">
        <v>115</v>
      </c>
      <c r="I2687" t="s">
        <v>116</v>
      </c>
      <c r="J2687" t="s">
        <v>132</v>
      </c>
      <c r="K2687" t="s">
        <v>91</v>
      </c>
      <c r="L2687" t="s">
        <v>46</v>
      </c>
      <c r="M2687" t="s">
        <v>68</v>
      </c>
      <c r="N2687" t="s">
        <v>35</v>
      </c>
      <c r="O2687" t="s">
        <v>36</v>
      </c>
      <c r="P2687" t="s">
        <v>49</v>
      </c>
      <c r="Q2687" t="s">
        <v>347</v>
      </c>
      <c r="R2687">
        <v>401</v>
      </c>
      <c r="S2687">
        <v>169</v>
      </c>
      <c r="T2687">
        <v>96</v>
      </c>
      <c r="U2687">
        <v>27</v>
      </c>
      <c r="V2687" t="s">
        <v>2003</v>
      </c>
      <c r="W2687">
        <v>21956</v>
      </c>
      <c r="X2687" t="s">
        <v>1009</v>
      </c>
      <c r="Y2687">
        <v>20082</v>
      </c>
      <c r="Z2687">
        <v>592812</v>
      </c>
      <c r="AA2687">
        <v>50598</v>
      </c>
      <c r="AB2687" t="str">
        <f>(VLOOKUP(SalesData[[#This Row],[Month Number]],Reference!C$5:E$16,2,FALSE))</f>
        <v>Feb</v>
      </c>
      <c r="AC2687">
        <f>MONTH(SalesData[[#This Row],[Date]])</f>
        <v>2</v>
      </c>
      <c r="AD2687">
        <f>Reference!F$4</f>
        <v>2026</v>
      </c>
      <c r="AE2687" t="str">
        <f>IF(OR(SalesData[[#This Row],[Day]]="Saturday",SalesData[[#This Row],[Day]]="Sunday"),"Weekend","Weekday")</f>
        <v>Weekend</v>
      </c>
      <c r="AF2687" s="5">
        <f>IF(SalesData[[#This Row],[Contracts Offered]]=0,0,SalesData[[#This Row],[Contracts Signed]]/SalesData[[#This Row],[Contracts Offered]])</f>
        <v>0.28125</v>
      </c>
      <c r="AG2687" s="5">
        <f>IF(SalesData[[#This Row],[Customers Visited]]=0,0,SalesData[[#This Row],[Test Drives]]/SalesData[[#This Row],[Customers Visited]])</f>
        <v>0.42144638403990026</v>
      </c>
      <c r="AH2687" s="5">
        <f>IF(SalesData[[#This Row],[Customers Visited]]=0,0,SalesData[[#This Row],[Contracts Signed]]/SalesData[[#This Row],[Customers Visited]])</f>
        <v>6.7331670822942641E-2</v>
      </c>
      <c r="AI2687" s="6">
        <f>IF(SalesData[[#This Row],[Contracts Signed]]=0,0,SalesData[[#This Row],[Profit(€)]]/SalesData[[#This Row],[Contracts Signed]])</f>
        <v>1874</v>
      </c>
      <c r="AJ2687" s="5" t="str">
        <f>TRIM(CLEAN(SalesData[[#This Row],[Retailer]]))</f>
        <v>Elbe Drive</v>
      </c>
    </row>
    <row r="2688" spans="1:36" ht="14.25" hidden="1" x14ac:dyDescent="0.2">
      <c r="A2688" t="s">
        <v>3802</v>
      </c>
      <c r="B2688" s="1">
        <v>46070</v>
      </c>
      <c r="C2688" t="s">
        <v>62</v>
      </c>
      <c r="D2688" t="s">
        <v>63</v>
      </c>
      <c r="E2688" t="s">
        <v>26</v>
      </c>
      <c r="F2688" t="s">
        <v>114</v>
      </c>
      <c r="G2688" t="s">
        <v>115</v>
      </c>
      <c r="H2688" t="s">
        <v>115</v>
      </c>
      <c r="I2688" t="s">
        <v>104</v>
      </c>
      <c r="J2688" t="s">
        <v>7061</v>
      </c>
      <c r="K2688" t="s">
        <v>78</v>
      </c>
      <c r="L2688" t="s">
        <v>46</v>
      </c>
      <c r="M2688" t="s">
        <v>68</v>
      </c>
      <c r="N2688" t="s">
        <v>35</v>
      </c>
      <c r="O2688" t="s">
        <v>36</v>
      </c>
      <c r="P2688" t="s">
        <v>37</v>
      </c>
      <c r="Q2688" t="s">
        <v>88</v>
      </c>
      <c r="R2688">
        <v>270</v>
      </c>
      <c r="S2688">
        <v>134</v>
      </c>
      <c r="T2688">
        <v>77</v>
      </c>
      <c r="U2688">
        <v>24</v>
      </c>
      <c r="V2688" t="s">
        <v>2263</v>
      </c>
      <c r="W2688">
        <v>28872</v>
      </c>
      <c r="X2688" t="s">
        <v>2760</v>
      </c>
      <c r="Y2688">
        <v>26077</v>
      </c>
      <c r="Z2688">
        <v>692928</v>
      </c>
      <c r="AA2688">
        <v>67080</v>
      </c>
      <c r="AB2688" t="str">
        <f>(VLOOKUP(SalesData[[#This Row],[Month Number]],Reference!C$5:E$16,2,FALSE))</f>
        <v>Feb</v>
      </c>
      <c r="AC2688">
        <f>MONTH(SalesData[[#This Row],[Date]])</f>
        <v>2</v>
      </c>
      <c r="AD2688">
        <f>Reference!F$4</f>
        <v>2026</v>
      </c>
      <c r="AE2688" t="str">
        <f>IF(OR(SalesData[[#This Row],[Day]]="Saturday",SalesData[[#This Row],[Day]]="Sunday"),"Weekend","Weekday")</f>
        <v>Weekday</v>
      </c>
      <c r="AF2688" s="5">
        <f>IF(SalesData[[#This Row],[Contracts Offered]]=0,0,SalesData[[#This Row],[Contracts Signed]]/SalesData[[#This Row],[Contracts Offered]])</f>
        <v>0.31168831168831168</v>
      </c>
      <c r="AG2688" s="5">
        <f>IF(SalesData[[#This Row],[Customers Visited]]=0,0,SalesData[[#This Row],[Test Drives]]/SalesData[[#This Row],[Customers Visited]])</f>
        <v>0.49629629629629629</v>
      </c>
      <c r="AH2688" s="5">
        <f>IF(SalesData[[#This Row],[Customers Visited]]=0,0,SalesData[[#This Row],[Contracts Signed]]/SalesData[[#This Row],[Customers Visited]])</f>
        <v>8.8888888888888892E-2</v>
      </c>
      <c r="AI2688" s="6">
        <f>IF(SalesData[[#This Row],[Contracts Signed]]=0,0,SalesData[[#This Row],[Profit(€)]]/SalesData[[#This Row],[Contracts Signed]])</f>
        <v>2795</v>
      </c>
      <c r="AJ2688" s="5" t="str">
        <f>TRIM(CLEAN(SalesData[[#This Row],[Retailer]]))</f>
        <v>Elbe Drive</v>
      </c>
    </row>
    <row r="2689" spans="1:36" ht="14.25" hidden="1" x14ac:dyDescent="0.2">
      <c r="A2689" t="s">
        <v>3803</v>
      </c>
      <c r="B2689" s="1">
        <v>46075</v>
      </c>
      <c r="C2689" t="s">
        <v>53</v>
      </c>
      <c r="D2689" t="s">
        <v>41</v>
      </c>
      <c r="E2689" t="s">
        <v>42</v>
      </c>
      <c r="F2689" t="s">
        <v>74</v>
      </c>
      <c r="G2689" t="s">
        <v>75</v>
      </c>
      <c r="H2689" t="s">
        <v>76</v>
      </c>
      <c r="I2689" t="s">
        <v>56</v>
      </c>
      <c r="J2689" t="s">
        <v>7028</v>
      </c>
      <c r="K2689" t="s">
        <v>66</v>
      </c>
      <c r="L2689" t="s">
        <v>46</v>
      </c>
      <c r="M2689" t="s">
        <v>87</v>
      </c>
      <c r="N2689" t="s">
        <v>35</v>
      </c>
      <c r="O2689" t="s">
        <v>36</v>
      </c>
      <c r="P2689" t="s">
        <v>71</v>
      </c>
      <c r="Q2689" t="s">
        <v>122</v>
      </c>
      <c r="R2689">
        <v>210</v>
      </c>
      <c r="S2689">
        <v>130</v>
      </c>
      <c r="T2689">
        <v>96</v>
      </c>
      <c r="U2689">
        <v>32</v>
      </c>
      <c r="V2689" t="s">
        <v>6759</v>
      </c>
      <c r="W2689">
        <v>46123</v>
      </c>
      <c r="X2689" t="s">
        <v>2524</v>
      </c>
      <c r="Y2689">
        <v>36835</v>
      </c>
      <c r="Z2689">
        <v>1475936</v>
      </c>
      <c r="AA2689">
        <v>297216</v>
      </c>
      <c r="AB2689" t="str">
        <f>(VLOOKUP(SalesData[[#This Row],[Month Number]],Reference!C$5:E$16,2,FALSE))</f>
        <v>Feb</v>
      </c>
      <c r="AC2689">
        <f>MONTH(SalesData[[#This Row],[Date]])</f>
        <v>2</v>
      </c>
      <c r="AD2689">
        <f>Reference!F$4</f>
        <v>2026</v>
      </c>
      <c r="AE2689" t="str">
        <f>IF(OR(SalesData[[#This Row],[Day]]="Saturday",SalesData[[#This Row],[Day]]="Sunday"),"Weekend","Weekday")</f>
        <v>Weekend</v>
      </c>
      <c r="AF2689" s="5">
        <f>IF(SalesData[[#This Row],[Contracts Offered]]=0,0,SalesData[[#This Row],[Contracts Signed]]/SalesData[[#This Row],[Contracts Offered]])</f>
        <v>0.33333333333333331</v>
      </c>
      <c r="AG2689" s="5">
        <f>IF(SalesData[[#This Row],[Customers Visited]]=0,0,SalesData[[#This Row],[Test Drives]]/SalesData[[#This Row],[Customers Visited]])</f>
        <v>0.61904761904761907</v>
      </c>
      <c r="AH2689" s="5">
        <f>IF(SalesData[[#This Row],[Customers Visited]]=0,0,SalesData[[#This Row],[Contracts Signed]]/SalesData[[#This Row],[Customers Visited]])</f>
        <v>0.15238095238095239</v>
      </c>
      <c r="AI2689" s="6">
        <f>IF(SalesData[[#This Row],[Contracts Signed]]=0,0,SalesData[[#This Row],[Profit(€)]]/SalesData[[#This Row],[Contracts Signed]])</f>
        <v>9288</v>
      </c>
      <c r="AJ2689" s="5" t="str">
        <f>TRIM(CLEAN(SalesData[[#This Row],[Retailer]]))</f>
        <v>Stuttgart Auto Center</v>
      </c>
    </row>
    <row r="2690" spans="1:36" ht="14.25" hidden="1" x14ac:dyDescent="0.2">
      <c r="A2690" t="s">
        <v>3804</v>
      </c>
      <c r="B2690" s="1">
        <v>46072</v>
      </c>
      <c r="C2690" t="s">
        <v>62</v>
      </c>
      <c r="D2690" t="s">
        <v>100</v>
      </c>
      <c r="E2690" t="s">
        <v>26</v>
      </c>
      <c r="F2690" t="s">
        <v>101</v>
      </c>
      <c r="G2690" t="s">
        <v>102</v>
      </c>
      <c r="H2690" t="s">
        <v>103</v>
      </c>
      <c r="I2690" t="s">
        <v>104</v>
      </c>
      <c r="J2690" t="s">
        <v>105</v>
      </c>
      <c r="K2690" t="s">
        <v>32</v>
      </c>
      <c r="L2690" t="s">
        <v>33</v>
      </c>
      <c r="M2690" t="s">
        <v>68</v>
      </c>
      <c r="N2690" t="s">
        <v>69</v>
      </c>
      <c r="O2690" t="s">
        <v>36</v>
      </c>
      <c r="P2690" t="s">
        <v>58</v>
      </c>
      <c r="Q2690" t="s">
        <v>122</v>
      </c>
      <c r="R2690">
        <v>493</v>
      </c>
      <c r="S2690">
        <v>242</v>
      </c>
      <c r="T2690">
        <v>166</v>
      </c>
      <c r="U2690">
        <v>42</v>
      </c>
      <c r="V2690" t="s">
        <v>2646</v>
      </c>
      <c r="W2690">
        <v>25827</v>
      </c>
      <c r="X2690" t="s">
        <v>4167</v>
      </c>
      <c r="Y2690">
        <v>23076</v>
      </c>
      <c r="Z2690">
        <v>1084734</v>
      </c>
      <c r="AA2690">
        <v>115542</v>
      </c>
      <c r="AB2690" t="str">
        <f>(VLOOKUP(SalesData[[#This Row],[Month Number]],Reference!C$5:E$16,2,FALSE))</f>
        <v>Feb</v>
      </c>
      <c r="AC2690">
        <f>MONTH(SalesData[[#This Row],[Date]])</f>
        <v>2</v>
      </c>
      <c r="AD2690">
        <f>Reference!F$4</f>
        <v>2026</v>
      </c>
      <c r="AE2690" t="str">
        <f>IF(OR(SalesData[[#This Row],[Day]]="Saturday",SalesData[[#This Row],[Day]]="Sunday"),"Weekend","Weekday")</f>
        <v>Weekday</v>
      </c>
      <c r="AF2690" s="5">
        <f>IF(SalesData[[#This Row],[Contracts Offered]]=0,0,SalesData[[#This Row],[Contracts Signed]]/SalesData[[#This Row],[Contracts Offered]])</f>
        <v>0.25301204819277107</v>
      </c>
      <c r="AG2690" s="5">
        <f>IF(SalesData[[#This Row],[Customers Visited]]=0,0,SalesData[[#This Row],[Test Drives]]/SalesData[[#This Row],[Customers Visited]])</f>
        <v>0.49087221095334688</v>
      </c>
      <c r="AH2690" s="5">
        <f>IF(SalesData[[#This Row],[Customers Visited]]=0,0,SalesData[[#This Row],[Contracts Signed]]/SalesData[[#This Row],[Customers Visited]])</f>
        <v>8.5192697768762676E-2</v>
      </c>
      <c r="AI2690" s="6">
        <f>IF(SalesData[[#This Row],[Contracts Signed]]=0,0,SalesData[[#This Row],[Profit(€)]]/SalesData[[#This Row],[Contracts Signed]])</f>
        <v>2751</v>
      </c>
      <c r="AJ2690" s="5" t="str">
        <f>TRIM(CLEAN(SalesData[[#This Row],[Retailer]]))</f>
        <v>Ruhr Auto Plaza</v>
      </c>
    </row>
    <row r="2691" spans="1:36" ht="14.25" hidden="1" x14ac:dyDescent="0.2">
      <c r="A2691" t="s">
        <v>3805</v>
      </c>
      <c r="B2691" s="1">
        <v>46071</v>
      </c>
      <c r="C2691" t="s">
        <v>62</v>
      </c>
      <c r="D2691" t="s">
        <v>82</v>
      </c>
      <c r="E2691" t="s">
        <v>26</v>
      </c>
      <c r="F2691" t="s">
        <v>43</v>
      </c>
      <c r="G2691" t="s">
        <v>44</v>
      </c>
      <c r="H2691" t="s">
        <v>45</v>
      </c>
      <c r="I2691" t="s">
        <v>116</v>
      </c>
      <c r="J2691" t="s">
        <v>132</v>
      </c>
      <c r="K2691" t="s">
        <v>32</v>
      </c>
      <c r="L2691" t="s">
        <v>46</v>
      </c>
      <c r="M2691" t="s">
        <v>34</v>
      </c>
      <c r="N2691" t="s">
        <v>48</v>
      </c>
      <c r="O2691" t="s">
        <v>70</v>
      </c>
      <c r="P2691" t="s">
        <v>49</v>
      </c>
      <c r="Q2691" t="s">
        <v>169</v>
      </c>
      <c r="R2691">
        <v>263</v>
      </c>
      <c r="S2691">
        <v>139</v>
      </c>
      <c r="T2691">
        <v>89</v>
      </c>
      <c r="U2691">
        <v>18</v>
      </c>
      <c r="V2691" t="s">
        <v>4532</v>
      </c>
      <c r="W2691">
        <v>23666</v>
      </c>
      <c r="X2691" t="s">
        <v>779</v>
      </c>
      <c r="Y2691">
        <v>21519</v>
      </c>
      <c r="Z2691">
        <v>425988</v>
      </c>
      <c r="AA2691">
        <v>38646</v>
      </c>
      <c r="AB2691" t="str">
        <f>(VLOOKUP(SalesData[[#This Row],[Month Number]],Reference!C$5:E$16,2,FALSE))</f>
        <v>Feb</v>
      </c>
      <c r="AC2691">
        <f>MONTH(SalesData[[#This Row],[Date]])</f>
        <v>2</v>
      </c>
      <c r="AD2691">
        <f>Reference!F$4</f>
        <v>2026</v>
      </c>
      <c r="AE2691" t="str">
        <f>IF(OR(SalesData[[#This Row],[Day]]="Saturday",SalesData[[#This Row],[Day]]="Sunday"),"Weekend","Weekday")</f>
        <v>Weekday</v>
      </c>
      <c r="AF2691" s="5">
        <f>IF(SalesData[[#This Row],[Contracts Offered]]=0,0,SalesData[[#This Row],[Contracts Signed]]/SalesData[[#This Row],[Contracts Offered]])</f>
        <v>0.20224719101123595</v>
      </c>
      <c r="AG2691" s="5">
        <f>IF(SalesData[[#This Row],[Customers Visited]]=0,0,SalesData[[#This Row],[Test Drives]]/SalesData[[#This Row],[Customers Visited]])</f>
        <v>0.52851711026615966</v>
      </c>
      <c r="AH2691" s="5">
        <f>IF(SalesData[[#This Row],[Customers Visited]]=0,0,SalesData[[#This Row],[Contracts Signed]]/SalesData[[#This Row],[Customers Visited]])</f>
        <v>6.8441064638783272E-2</v>
      </c>
      <c r="AI2691" s="6">
        <f>IF(SalesData[[#This Row],[Contracts Signed]]=0,0,SalesData[[#This Row],[Profit(€)]]/SalesData[[#This Row],[Contracts Signed]])</f>
        <v>2147</v>
      </c>
      <c r="AJ2691" s="5" t="str">
        <f>TRIM(CLEAN(SalesData[[#This Row],[Retailer]]))</f>
        <v>Saxon Wheels</v>
      </c>
    </row>
    <row r="2692" spans="1:36" ht="14.25" x14ac:dyDescent="0.2">
      <c r="A2692" t="s">
        <v>3806</v>
      </c>
      <c r="B2692" s="1">
        <v>46066</v>
      </c>
      <c r="C2692" t="s">
        <v>121</v>
      </c>
      <c r="D2692" t="s">
        <v>54</v>
      </c>
      <c r="E2692" t="s">
        <v>26</v>
      </c>
      <c r="F2692" t="s">
        <v>83</v>
      </c>
      <c r="G2692" t="s">
        <v>84</v>
      </c>
      <c r="H2692" t="s">
        <v>85</v>
      </c>
      <c r="I2692" t="s">
        <v>30</v>
      </c>
      <c r="J2692" t="s">
        <v>31</v>
      </c>
      <c r="K2692" t="s">
        <v>66</v>
      </c>
      <c r="L2692" t="s">
        <v>46</v>
      </c>
      <c r="M2692" t="s">
        <v>87</v>
      </c>
      <c r="N2692" t="s">
        <v>69</v>
      </c>
      <c r="O2692" t="s">
        <v>36</v>
      </c>
      <c r="P2692" t="s">
        <v>49</v>
      </c>
      <c r="Q2692" t="s">
        <v>50</v>
      </c>
      <c r="R2692">
        <v>213</v>
      </c>
      <c r="S2692">
        <v>112</v>
      </c>
      <c r="T2692">
        <v>82</v>
      </c>
      <c r="U2692">
        <v>29</v>
      </c>
      <c r="V2692" t="s">
        <v>6527</v>
      </c>
      <c r="W2692">
        <v>56104</v>
      </c>
      <c r="X2692" t="s">
        <v>5727</v>
      </c>
      <c r="Y2692">
        <v>42783</v>
      </c>
      <c r="Z2692">
        <v>1627016</v>
      </c>
      <c r="AA2692">
        <v>386309</v>
      </c>
      <c r="AB2692" t="str">
        <f>(VLOOKUP(SalesData[[#This Row],[Month Number]],Reference!C$5:E$16,2,FALSE))</f>
        <v>Feb</v>
      </c>
      <c r="AC2692">
        <f>MONTH(SalesData[[#This Row],[Date]])</f>
        <v>2</v>
      </c>
      <c r="AD2692">
        <f>Reference!F$4</f>
        <v>2026</v>
      </c>
      <c r="AE2692" t="str">
        <f>IF(OR(SalesData[[#This Row],[Day]]="Saturday",SalesData[[#This Row],[Day]]="Sunday"),"Weekend","Weekday")</f>
        <v>Weekday</v>
      </c>
      <c r="AF2692" s="5">
        <f>IF(SalesData[[#This Row],[Contracts Offered]]=0,0,SalesData[[#This Row],[Contracts Signed]]/SalesData[[#This Row],[Contracts Offered]])</f>
        <v>0.35365853658536583</v>
      </c>
      <c r="AG2692" s="5">
        <f>IF(SalesData[[#This Row],[Customers Visited]]=0,0,SalesData[[#This Row],[Test Drives]]/SalesData[[#This Row],[Customers Visited]])</f>
        <v>0.5258215962441315</v>
      </c>
      <c r="AH2692" s="5">
        <f>IF(SalesData[[#This Row],[Customers Visited]]=0,0,SalesData[[#This Row],[Contracts Signed]]/SalesData[[#This Row],[Customers Visited]])</f>
        <v>0.13615023474178403</v>
      </c>
      <c r="AI2692" s="6">
        <f>IF(SalesData[[#This Row],[Contracts Signed]]=0,0,SalesData[[#This Row],[Profit(€)]]/SalesData[[#This Row],[Contracts Signed]])</f>
        <v>13321</v>
      </c>
      <c r="AJ2692" s="5" t="str">
        <f>TRIM(CLEAN(SalesData[[#This Row],[Retailer]]))</f>
        <v>Hannover Cars</v>
      </c>
    </row>
    <row r="2693" spans="1:36" ht="14.25" x14ac:dyDescent="0.2">
      <c r="A2693" t="s">
        <v>3807</v>
      </c>
      <c r="B2693" s="1">
        <v>46054</v>
      </c>
      <c r="C2693" t="s">
        <v>24</v>
      </c>
      <c r="D2693" t="s">
        <v>41</v>
      </c>
      <c r="E2693" t="s">
        <v>42</v>
      </c>
      <c r="F2693" t="s">
        <v>83</v>
      </c>
      <c r="G2693" t="s">
        <v>84</v>
      </c>
      <c r="H2693" t="s">
        <v>85</v>
      </c>
      <c r="I2693" t="s">
        <v>30</v>
      </c>
      <c r="J2693" t="s">
        <v>166</v>
      </c>
      <c r="K2693" t="s">
        <v>66</v>
      </c>
      <c r="L2693" t="s">
        <v>46</v>
      </c>
      <c r="M2693" t="s">
        <v>47</v>
      </c>
      <c r="N2693" t="s">
        <v>35</v>
      </c>
      <c r="O2693" t="s">
        <v>36</v>
      </c>
      <c r="P2693" t="s">
        <v>49</v>
      </c>
      <c r="Q2693" t="s">
        <v>129</v>
      </c>
      <c r="R2693">
        <v>140</v>
      </c>
      <c r="S2693">
        <v>72</v>
      </c>
      <c r="T2693">
        <v>57</v>
      </c>
      <c r="U2693">
        <v>20</v>
      </c>
      <c r="V2693" t="s">
        <v>6351</v>
      </c>
      <c r="W2693">
        <v>66738</v>
      </c>
      <c r="X2693" t="s">
        <v>7115</v>
      </c>
      <c r="Y2693">
        <v>51118</v>
      </c>
      <c r="Z2693">
        <v>1334760</v>
      </c>
      <c r="AA2693">
        <v>312400</v>
      </c>
      <c r="AB2693" t="str">
        <f>(VLOOKUP(SalesData[[#This Row],[Month Number]],Reference!C$5:E$16,2,FALSE))</f>
        <v>Feb</v>
      </c>
      <c r="AC2693">
        <f>MONTH(SalesData[[#This Row],[Date]])</f>
        <v>2</v>
      </c>
      <c r="AD2693">
        <f>Reference!F$4</f>
        <v>2026</v>
      </c>
      <c r="AE2693" t="str">
        <f>IF(OR(SalesData[[#This Row],[Day]]="Saturday",SalesData[[#This Row],[Day]]="Sunday"),"Weekend","Weekday")</f>
        <v>Weekend</v>
      </c>
      <c r="AF2693" s="5">
        <f>IF(SalesData[[#This Row],[Contracts Offered]]=0,0,SalesData[[#This Row],[Contracts Signed]]/SalesData[[#This Row],[Contracts Offered]])</f>
        <v>0.35087719298245612</v>
      </c>
      <c r="AG2693" s="5">
        <f>IF(SalesData[[#This Row],[Customers Visited]]=0,0,SalesData[[#This Row],[Test Drives]]/SalesData[[#This Row],[Customers Visited]])</f>
        <v>0.51428571428571423</v>
      </c>
      <c r="AH2693" s="5">
        <f>IF(SalesData[[#This Row],[Customers Visited]]=0,0,SalesData[[#This Row],[Contracts Signed]]/SalesData[[#This Row],[Customers Visited]])</f>
        <v>0.14285714285714285</v>
      </c>
      <c r="AI2693" s="6">
        <f>IF(SalesData[[#This Row],[Contracts Signed]]=0,0,SalesData[[#This Row],[Profit(€)]]/SalesData[[#This Row],[Contracts Signed]])</f>
        <v>15620</v>
      </c>
      <c r="AJ2693" s="5" t="str">
        <f>TRIM(CLEAN(SalesData[[#This Row],[Retailer]]))</f>
        <v>Hannover Cars</v>
      </c>
    </row>
    <row r="2694" spans="1:36" ht="14.25" hidden="1" x14ac:dyDescent="0.2">
      <c r="A2694" t="s">
        <v>3808</v>
      </c>
      <c r="B2694" s="1">
        <v>46065</v>
      </c>
      <c r="C2694" t="s">
        <v>121</v>
      </c>
      <c r="D2694" t="s">
        <v>100</v>
      </c>
      <c r="E2694" t="s">
        <v>26</v>
      </c>
      <c r="F2694" t="s">
        <v>101</v>
      </c>
      <c r="G2694" t="s">
        <v>102</v>
      </c>
      <c r="H2694" t="s">
        <v>103</v>
      </c>
      <c r="I2694" t="s">
        <v>104</v>
      </c>
      <c r="J2694" t="s">
        <v>7061</v>
      </c>
      <c r="K2694" t="s">
        <v>32</v>
      </c>
      <c r="L2694" t="s">
        <v>46</v>
      </c>
      <c r="M2694" t="s">
        <v>68</v>
      </c>
      <c r="N2694" t="s">
        <v>69</v>
      </c>
      <c r="O2694" t="s">
        <v>70</v>
      </c>
      <c r="P2694" t="s">
        <v>49</v>
      </c>
      <c r="Q2694" t="s">
        <v>204</v>
      </c>
      <c r="R2694">
        <v>327</v>
      </c>
      <c r="S2694">
        <v>133</v>
      </c>
      <c r="T2694">
        <v>92</v>
      </c>
      <c r="U2694">
        <v>13</v>
      </c>
      <c r="V2694" t="s">
        <v>4121</v>
      </c>
      <c r="W2694">
        <v>31028</v>
      </c>
      <c r="X2694" t="s">
        <v>4263</v>
      </c>
      <c r="Y2694">
        <v>27778</v>
      </c>
      <c r="Z2694">
        <v>403364</v>
      </c>
      <c r="AA2694">
        <v>42250</v>
      </c>
      <c r="AB2694" t="str">
        <f>(VLOOKUP(SalesData[[#This Row],[Month Number]],Reference!C$5:E$16,2,FALSE))</f>
        <v>Feb</v>
      </c>
      <c r="AC2694">
        <f>MONTH(SalesData[[#This Row],[Date]])</f>
        <v>2</v>
      </c>
      <c r="AD2694">
        <f>Reference!F$4</f>
        <v>2026</v>
      </c>
      <c r="AE2694" t="str">
        <f>IF(OR(SalesData[[#This Row],[Day]]="Saturday",SalesData[[#This Row],[Day]]="Sunday"),"Weekend","Weekday")</f>
        <v>Weekday</v>
      </c>
      <c r="AF2694" s="5">
        <f>IF(SalesData[[#This Row],[Contracts Offered]]=0,0,SalesData[[#This Row],[Contracts Signed]]/SalesData[[#This Row],[Contracts Offered]])</f>
        <v>0.14130434782608695</v>
      </c>
      <c r="AG2694" s="5">
        <f>IF(SalesData[[#This Row],[Customers Visited]]=0,0,SalesData[[#This Row],[Test Drives]]/SalesData[[#This Row],[Customers Visited]])</f>
        <v>0.40672782874617736</v>
      </c>
      <c r="AH2694" s="5">
        <f>IF(SalesData[[#This Row],[Customers Visited]]=0,0,SalesData[[#This Row],[Contracts Signed]]/SalesData[[#This Row],[Customers Visited]])</f>
        <v>3.9755351681957186E-2</v>
      </c>
      <c r="AI2694" s="6">
        <f>IF(SalesData[[#This Row],[Contracts Signed]]=0,0,SalesData[[#This Row],[Profit(€)]]/SalesData[[#This Row],[Contracts Signed]])</f>
        <v>3250</v>
      </c>
      <c r="AJ2694" s="5" t="str">
        <f>TRIM(CLEAN(SalesData[[#This Row],[Retailer]]))</f>
        <v>Ruhr Auto Plaza</v>
      </c>
    </row>
    <row r="2695" spans="1:36" ht="14.25" hidden="1" x14ac:dyDescent="0.2">
      <c r="A2695" t="s">
        <v>3809</v>
      </c>
      <c r="B2695" s="1">
        <v>46061</v>
      </c>
      <c r="C2695" t="s">
        <v>121</v>
      </c>
      <c r="D2695" t="s">
        <v>41</v>
      </c>
      <c r="E2695" t="s">
        <v>42</v>
      </c>
      <c r="F2695" t="s">
        <v>7649</v>
      </c>
      <c r="G2695" t="s">
        <v>55</v>
      </c>
      <c r="H2695" t="s">
        <v>55</v>
      </c>
      <c r="I2695" t="s">
        <v>56</v>
      </c>
      <c r="J2695" t="s">
        <v>7028</v>
      </c>
      <c r="K2695" t="s">
        <v>66</v>
      </c>
      <c r="L2695" t="s">
        <v>46</v>
      </c>
      <c r="M2695" t="s">
        <v>87</v>
      </c>
      <c r="N2695" t="s">
        <v>48</v>
      </c>
      <c r="O2695" t="s">
        <v>70</v>
      </c>
      <c r="P2695" t="s">
        <v>58</v>
      </c>
      <c r="Q2695" t="s">
        <v>144</v>
      </c>
      <c r="R2695">
        <v>163</v>
      </c>
      <c r="S2695">
        <v>97</v>
      </c>
      <c r="T2695">
        <v>64</v>
      </c>
      <c r="U2695">
        <v>24</v>
      </c>
      <c r="V2695" t="s">
        <v>6892</v>
      </c>
      <c r="W2695">
        <v>55459</v>
      </c>
      <c r="X2695" t="s">
        <v>7465</v>
      </c>
      <c r="Y2695">
        <v>45181</v>
      </c>
      <c r="Z2695">
        <v>1331016</v>
      </c>
      <c r="AA2695">
        <v>246672</v>
      </c>
      <c r="AB2695" t="str">
        <f>(VLOOKUP(SalesData[[#This Row],[Month Number]],Reference!C$5:E$16,2,FALSE))</f>
        <v>Feb</v>
      </c>
      <c r="AC2695">
        <f>MONTH(SalesData[[#This Row],[Date]])</f>
        <v>2</v>
      </c>
      <c r="AD2695">
        <f>Reference!F$4</f>
        <v>2026</v>
      </c>
      <c r="AE2695" t="str">
        <f>IF(OR(SalesData[[#This Row],[Day]]="Saturday",SalesData[[#This Row],[Day]]="Sunday"),"Weekend","Weekday")</f>
        <v>Weekend</v>
      </c>
      <c r="AF2695" s="5">
        <f>IF(SalesData[[#This Row],[Contracts Offered]]=0,0,SalesData[[#This Row],[Contracts Signed]]/SalesData[[#This Row],[Contracts Offered]])</f>
        <v>0.375</v>
      </c>
      <c r="AG2695" s="5">
        <f>IF(SalesData[[#This Row],[Customers Visited]]=0,0,SalesData[[#This Row],[Test Drives]]/SalesData[[#This Row],[Customers Visited]])</f>
        <v>0.59509202453987731</v>
      </c>
      <c r="AH2695" s="5">
        <f>IF(SalesData[[#This Row],[Customers Visited]]=0,0,SalesData[[#This Row],[Contracts Signed]]/SalesData[[#This Row],[Customers Visited]])</f>
        <v>0.14723926380368099</v>
      </c>
      <c r="AI2695" s="6">
        <f>IF(SalesData[[#This Row],[Contracts Signed]]=0,0,SalesData[[#This Row],[Profit(€)]]/SalesData[[#This Row],[Contracts Signed]])</f>
        <v>10278</v>
      </c>
      <c r="AJ2695" s="5" t="str">
        <f>TRIM(CLEAN(SalesData[[#This Row],[Retailer]]))</f>
        <v>Autohaus Berlin</v>
      </c>
    </row>
    <row r="2696" spans="1:36" ht="14.25" hidden="1" x14ac:dyDescent="0.2">
      <c r="A2696" t="s">
        <v>3810</v>
      </c>
      <c r="B2696" s="1">
        <v>46080</v>
      </c>
      <c r="C2696" t="s">
        <v>53</v>
      </c>
      <c r="D2696" t="s">
        <v>54</v>
      </c>
      <c r="E2696" t="s">
        <v>26</v>
      </c>
      <c r="F2696" t="s">
        <v>114</v>
      </c>
      <c r="G2696" t="s">
        <v>115</v>
      </c>
      <c r="H2696" t="s">
        <v>115</v>
      </c>
      <c r="I2696" t="s">
        <v>56</v>
      </c>
      <c r="J2696" t="s">
        <v>57</v>
      </c>
      <c r="K2696" t="s">
        <v>91</v>
      </c>
      <c r="L2696" t="s">
        <v>46</v>
      </c>
      <c r="M2696" t="s">
        <v>87</v>
      </c>
      <c r="N2696" t="s">
        <v>35</v>
      </c>
      <c r="O2696" t="s">
        <v>70</v>
      </c>
      <c r="P2696" t="s">
        <v>49</v>
      </c>
      <c r="Q2696" t="s">
        <v>50</v>
      </c>
      <c r="R2696">
        <v>211</v>
      </c>
      <c r="S2696">
        <v>103</v>
      </c>
      <c r="T2696">
        <v>78</v>
      </c>
      <c r="U2696">
        <v>20</v>
      </c>
      <c r="V2696" t="s">
        <v>3532</v>
      </c>
      <c r="W2696">
        <v>55914</v>
      </c>
      <c r="X2696" t="s">
        <v>4696</v>
      </c>
      <c r="Y2696">
        <v>45782</v>
      </c>
      <c r="Z2696">
        <v>1118280</v>
      </c>
      <c r="AA2696">
        <v>202640</v>
      </c>
      <c r="AB2696" t="str">
        <f>(VLOOKUP(SalesData[[#This Row],[Month Number]],Reference!C$5:E$16,2,FALSE))</f>
        <v>Feb</v>
      </c>
      <c r="AC2696">
        <f>MONTH(SalesData[[#This Row],[Date]])</f>
        <v>2</v>
      </c>
      <c r="AD2696">
        <f>Reference!F$4</f>
        <v>2026</v>
      </c>
      <c r="AE2696" t="str">
        <f>IF(OR(SalesData[[#This Row],[Day]]="Saturday",SalesData[[#This Row],[Day]]="Sunday"),"Weekend","Weekday")</f>
        <v>Weekday</v>
      </c>
      <c r="AF2696" s="5">
        <f>IF(SalesData[[#This Row],[Contracts Offered]]=0,0,SalesData[[#This Row],[Contracts Signed]]/SalesData[[#This Row],[Contracts Offered]])</f>
        <v>0.25641025641025639</v>
      </c>
      <c r="AG2696" s="5">
        <f>IF(SalesData[[#This Row],[Customers Visited]]=0,0,SalesData[[#This Row],[Test Drives]]/SalesData[[#This Row],[Customers Visited]])</f>
        <v>0.4881516587677725</v>
      </c>
      <c r="AH2696" s="5">
        <f>IF(SalesData[[#This Row],[Customers Visited]]=0,0,SalesData[[#This Row],[Contracts Signed]]/SalesData[[#This Row],[Customers Visited]])</f>
        <v>9.4786729857819899E-2</v>
      </c>
      <c r="AI2696" s="6">
        <f>IF(SalesData[[#This Row],[Contracts Signed]]=0,0,SalesData[[#This Row],[Profit(€)]]/SalesData[[#This Row],[Contracts Signed]])</f>
        <v>10132</v>
      </c>
      <c r="AJ2696" s="5" t="str">
        <f>TRIM(CLEAN(SalesData[[#This Row],[Retailer]]))</f>
        <v>Elbe Drive</v>
      </c>
    </row>
    <row r="2697" spans="1:36" ht="14.25" hidden="1" x14ac:dyDescent="0.2">
      <c r="A2697" t="s">
        <v>3811</v>
      </c>
      <c r="B2697" s="1">
        <v>46073</v>
      </c>
      <c r="C2697" t="s">
        <v>62</v>
      </c>
      <c r="D2697" t="s">
        <v>54</v>
      </c>
      <c r="E2697" t="s">
        <v>26</v>
      </c>
      <c r="F2697" t="s">
        <v>101</v>
      </c>
      <c r="G2697" t="s">
        <v>102</v>
      </c>
      <c r="H2697" t="s">
        <v>103</v>
      </c>
      <c r="I2697" t="s">
        <v>64</v>
      </c>
      <c r="J2697" t="s">
        <v>77</v>
      </c>
      <c r="K2697" t="s">
        <v>91</v>
      </c>
      <c r="L2697" t="s">
        <v>46</v>
      </c>
      <c r="M2697" t="s">
        <v>34</v>
      </c>
      <c r="N2697" t="s">
        <v>35</v>
      </c>
      <c r="O2697" t="s">
        <v>70</v>
      </c>
      <c r="P2697" t="s">
        <v>58</v>
      </c>
      <c r="Q2697" t="s">
        <v>122</v>
      </c>
      <c r="R2697">
        <v>148</v>
      </c>
      <c r="S2697">
        <v>88</v>
      </c>
      <c r="T2697">
        <v>66</v>
      </c>
      <c r="U2697">
        <v>23</v>
      </c>
      <c r="V2697" t="s">
        <v>6775</v>
      </c>
      <c r="W2697">
        <v>62695</v>
      </c>
      <c r="X2697" t="s">
        <v>7252</v>
      </c>
      <c r="Y2697">
        <v>46392</v>
      </c>
      <c r="Z2697">
        <v>1441985</v>
      </c>
      <c r="AA2697">
        <v>374969</v>
      </c>
      <c r="AB2697" t="str">
        <f>(VLOOKUP(SalesData[[#This Row],[Month Number]],Reference!C$5:E$16,2,FALSE))</f>
        <v>Feb</v>
      </c>
      <c r="AC2697">
        <f>MONTH(SalesData[[#This Row],[Date]])</f>
        <v>2</v>
      </c>
      <c r="AD2697">
        <f>Reference!F$4</f>
        <v>2026</v>
      </c>
      <c r="AE2697" t="str">
        <f>IF(OR(SalesData[[#This Row],[Day]]="Saturday",SalesData[[#This Row],[Day]]="Sunday"),"Weekend","Weekday")</f>
        <v>Weekday</v>
      </c>
      <c r="AF2697" s="5">
        <f>IF(SalesData[[#This Row],[Contracts Offered]]=0,0,SalesData[[#This Row],[Contracts Signed]]/SalesData[[#This Row],[Contracts Offered]])</f>
        <v>0.34848484848484851</v>
      </c>
      <c r="AG2697" s="5">
        <f>IF(SalesData[[#This Row],[Customers Visited]]=0,0,SalesData[[#This Row],[Test Drives]]/SalesData[[#This Row],[Customers Visited]])</f>
        <v>0.59459459459459463</v>
      </c>
      <c r="AH2697" s="5">
        <f>IF(SalesData[[#This Row],[Customers Visited]]=0,0,SalesData[[#This Row],[Contracts Signed]]/SalesData[[#This Row],[Customers Visited]])</f>
        <v>0.1554054054054054</v>
      </c>
      <c r="AI2697" s="6">
        <f>IF(SalesData[[#This Row],[Contracts Signed]]=0,0,SalesData[[#This Row],[Profit(€)]]/SalesData[[#This Row],[Contracts Signed]])</f>
        <v>16303</v>
      </c>
      <c r="AJ2697" s="5" t="str">
        <f>TRIM(CLEAN(SalesData[[#This Row],[Retailer]]))</f>
        <v>Ruhr Auto Plaza</v>
      </c>
    </row>
    <row r="2698" spans="1:36" ht="14.25" x14ac:dyDescent="0.2">
      <c r="A2698" t="s">
        <v>3812</v>
      </c>
      <c r="B2698" s="1">
        <v>46065</v>
      </c>
      <c r="C2698" t="s">
        <v>121</v>
      </c>
      <c r="D2698" t="s">
        <v>100</v>
      </c>
      <c r="E2698" t="s">
        <v>26</v>
      </c>
      <c r="F2698" t="s">
        <v>43</v>
      </c>
      <c r="G2698" t="s">
        <v>44</v>
      </c>
      <c r="H2698" t="s">
        <v>45</v>
      </c>
      <c r="I2698" t="s">
        <v>30</v>
      </c>
      <c r="J2698" t="s">
        <v>7075</v>
      </c>
      <c r="K2698" t="s">
        <v>78</v>
      </c>
      <c r="L2698" t="s">
        <v>33</v>
      </c>
      <c r="M2698" t="s">
        <v>87</v>
      </c>
      <c r="N2698" t="s">
        <v>35</v>
      </c>
      <c r="O2698" t="s">
        <v>36</v>
      </c>
      <c r="P2698" t="s">
        <v>58</v>
      </c>
      <c r="Q2698" t="s">
        <v>88</v>
      </c>
      <c r="R2698">
        <v>174</v>
      </c>
      <c r="S2698">
        <v>99</v>
      </c>
      <c r="T2698">
        <v>72</v>
      </c>
      <c r="U2698">
        <v>30</v>
      </c>
      <c r="V2698" t="s">
        <v>7181</v>
      </c>
      <c r="W2698">
        <v>65604</v>
      </c>
      <c r="X2698" t="s">
        <v>7318</v>
      </c>
      <c r="Y2698">
        <v>47563</v>
      </c>
      <c r="Z2698">
        <v>1968120</v>
      </c>
      <c r="AA2698">
        <v>541230</v>
      </c>
      <c r="AB2698" t="str">
        <f>(VLOOKUP(SalesData[[#This Row],[Month Number]],Reference!C$5:E$16,2,FALSE))</f>
        <v>Feb</v>
      </c>
      <c r="AC2698">
        <f>MONTH(SalesData[[#This Row],[Date]])</f>
        <v>2</v>
      </c>
      <c r="AD2698">
        <f>Reference!F$4</f>
        <v>2026</v>
      </c>
      <c r="AE2698" t="str">
        <f>IF(OR(SalesData[[#This Row],[Day]]="Saturday",SalesData[[#This Row],[Day]]="Sunday"),"Weekend","Weekday")</f>
        <v>Weekday</v>
      </c>
      <c r="AF2698" s="5">
        <f>IF(SalesData[[#This Row],[Contracts Offered]]=0,0,SalesData[[#This Row],[Contracts Signed]]/SalesData[[#This Row],[Contracts Offered]])</f>
        <v>0.41666666666666669</v>
      </c>
      <c r="AG2698" s="5">
        <f>IF(SalesData[[#This Row],[Customers Visited]]=0,0,SalesData[[#This Row],[Test Drives]]/SalesData[[#This Row],[Customers Visited]])</f>
        <v>0.56896551724137934</v>
      </c>
      <c r="AH2698" s="5">
        <f>IF(SalesData[[#This Row],[Customers Visited]]=0,0,SalesData[[#This Row],[Contracts Signed]]/SalesData[[#This Row],[Customers Visited]])</f>
        <v>0.17241379310344829</v>
      </c>
      <c r="AI2698" s="6">
        <f>IF(SalesData[[#This Row],[Contracts Signed]]=0,0,SalesData[[#This Row],[Profit(€)]]/SalesData[[#This Row],[Contracts Signed]])</f>
        <v>18041</v>
      </c>
      <c r="AJ2698" s="5" t="str">
        <f>TRIM(CLEAN(SalesData[[#This Row],[Retailer]]))</f>
        <v>Saxon Wheels</v>
      </c>
    </row>
    <row r="2699" spans="1:36" ht="14.25" hidden="1" x14ac:dyDescent="0.2">
      <c r="A2699" t="s">
        <v>3813</v>
      </c>
      <c r="B2699" s="1">
        <v>46075</v>
      </c>
      <c r="C2699" t="s">
        <v>53</v>
      </c>
      <c r="D2699" t="s">
        <v>41</v>
      </c>
      <c r="E2699" t="s">
        <v>42</v>
      </c>
      <c r="F2699" t="s">
        <v>74</v>
      </c>
      <c r="G2699" t="s">
        <v>75</v>
      </c>
      <c r="H2699" t="s">
        <v>76</v>
      </c>
      <c r="I2699" t="s">
        <v>56</v>
      </c>
      <c r="J2699" t="s">
        <v>57</v>
      </c>
      <c r="K2699" t="s">
        <v>66</v>
      </c>
      <c r="L2699" t="s">
        <v>46</v>
      </c>
      <c r="M2699" t="s">
        <v>47</v>
      </c>
      <c r="N2699" t="s">
        <v>35</v>
      </c>
      <c r="O2699" t="s">
        <v>70</v>
      </c>
      <c r="P2699" t="s">
        <v>71</v>
      </c>
      <c r="Q2699" t="s">
        <v>169</v>
      </c>
      <c r="R2699">
        <v>201</v>
      </c>
      <c r="S2699">
        <v>127</v>
      </c>
      <c r="T2699">
        <v>92</v>
      </c>
      <c r="U2699">
        <v>31</v>
      </c>
      <c r="V2699" t="s">
        <v>6698</v>
      </c>
      <c r="W2699">
        <v>46664</v>
      </c>
      <c r="X2699" t="s">
        <v>7182</v>
      </c>
      <c r="Y2699">
        <v>36891</v>
      </c>
      <c r="Z2699">
        <v>1446584</v>
      </c>
      <c r="AA2699">
        <v>302963</v>
      </c>
      <c r="AB2699" t="str">
        <f>(VLOOKUP(SalesData[[#This Row],[Month Number]],Reference!C$5:E$16,2,FALSE))</f>
        <v>Feb</v>
      </c>
      <c r="AC2699">
        <f>MONTH(SalesData[[#This Row],[Date]])</f>
        <v>2</v>
      </c>
      <c r="AD2699">
        <f>Reference!F$4</f>
        <v>2026</v>
      </c>
      <c r="AE2699" t="str">
        <f>IF(OR(SalesData[[#This Row],[Day]]="Saturday",SalesData[[#This Row],[Day]]="Sunday"),"Weekend","Weekday")</f>
        <v>Weekend</v>
      </c>
      <c r="AF2699" s="5">
        <f>IF(SalesData[[#This Row],[Contracts Offered]]=0,0,SalesData[[#This Row],[Contracts Signed]]/SalesData[[#This Row],[Contracts Offered]])</f>
        <v>0.33695652173913043</v>
      </c>
      <c r="AG2699" s="5">
        <f>IF(SalesData[[#This Row],[Customers Visited]]=0,0,SalesData[[#This Row],[Test Drives]]/SalesData[[#This Row],[Customers Visited]])</f>
        <v>0.63184079601990051</v>
      </c>
      <c r="AH2699" s="5">
        <f>IF(SalesData[[#This Row],[Customers Visited]]=0,0,SalesData[[#This Row],[Contracts Signed]]/SalesData[[#This Row],[Customers Visited]])</f>
        <v>0.15422885572139303</v>
      </c>
      <c r="AI2699" s="6">
        <f>IF(SalesData[[#This Row],[Contracts Signed]]=0,0,SalesData[[#This Row],[Profit(€)]]/SalesData[[#This Row],[Contracts Signed]])</f>
        <v>9773</v>
      </c>
      <c r="AJ2699" s="5" t="str">
        <f>TRIM(CLEAN(SalesData[[#This Row],[Retailer]]))</f>
        <v>Stuttgart Auto Center</v>
      </c>
    </row>
    <row r="2700" spans="1:36" ht="14.25" hidden="1" x14ac:dyDescent="0.2">
      <c r="A2700" t="s">
        <v>3814</v>
      </c>
      <c r="B2700" s="1">
        <v>46061</v>
      </c>
      <c r="C2700" t="s">
        <v>121</v>
      </c>
      <c r="D2700" t="s">
        <v>41</v>
      </c>
      <c r="E2700" t="s">
        <v>42</v>
      </c>
      <c r="F2700" t="s">
        <v>83</v>
      </c>
      <c r="G2700" t="s">
        <v>84</v>
      </c>
      <c r="H2700" t="s">
        <v>85</v>
      </c>
      <c r="I2700" t="s">
        <v>116</v>
      </c>
      <c r="J2700" t="s">
        <v>132</v>
      </c>
      <c r="K2700" t="s">
        <v>91</v>
      </c>
      <c r="L2700" t="s">
        <v>46</v>
      </c>
      <c r="M2700" t="s">
        <v>34</v>
      </c>
      <c r="N2700" t="s">
        <v>69</v>
      </c>
      <c r="O2700" t="s">
        <v>36</v>
      </c>
      <c r="P2700" t="s">
        <v>71</v>
      </c>
      <c r="Q2700" t="s">
        <v>189</v>
      </c>
      <c r="R2700">
        <v>292</v>
      </c>
      <c r="S2700">
        <v>130</v>
      </c>
      <c r="T2700">
        <v>86</v>
      </c>
      <c r="U2700">
        <v>22</v>
      </c>
      <c r="V2700" t="s">
        <v>656</v>
      </c>
      <c r="W2700">
        <v>24165</v>
      </c>
      <c r="X2700" t="s">
        <v>1255</v>
      </c>
      <c r="Y2700">
        <v>21667</v>
      </c>
      <c r="Z2700">
        <v>531630</v>
      </c>
      <c r="AA2700">
        <v>54956</v>
      </c>
      <c r="AB2700" t="str">
        <f>(VLOOKUP(SalesData[[#This Row],[Month Number]],Reference!C$5:E$16,2,FALSE))</f>
        <v>Feb</v>
      </c>
      <c r="AC2700">
        <f>MONTH(SalesData[[#This Row],[Date]])</f>
        <v>2</v>
      </c>
      <c r="AD2700">
        <f>Reference!F$4</f>
        <v>2026</v>
      </c>
      <c r="AE2700" t="str">
        <f>IF(OR(SalesData[[#This Row],[Day]]="Saturday",SalesData[[#This Row],[Day]]="Sunday"),"Weekend","Weekday")</f>
        <v>Weekend</v>
      </c>
      <c r="AF2700" s="5">
        <f>IF(SalesData[[#This Row],[Contracts Offered]]=0,0,SalesData[[#This Row],[Contracts Signed]]/SalesData[[#This Row],[Contracts Offered]])</f>
        <v>0.2558139534883721</v>
      </c>
      <c r="AG2700" s="5">
        <f>IF(SalesData[[#This Row],[Customers Visited]]=0,0,SalesData[[#This Row],[Test Drives]]/SalesData[[#This Row],[Customers Visited]])</f>
        <v>0.4452054794520548</v>
      </c>
      <c r="AH2700" s="5">
        <f>IF(SalesData[[#This Row],[Customers Visited]]=0,0,SalesData[[#This Row],[Contracts Signed]]/SalesData[[#This Row],[Customers Visited]])</f>
        <v>7.5342465753424653E-2</v>
      </c>
      <c r="AI2700" s="6">
        <f>IF(SalesData[[#This Row],[Contracts Signed]]=0,0,SalesData[[#This Row],[Profit(€)]]/SalesData[[#This Row],[Contracts Signed]])</f>
        <v>2498</v>
      </c>
      <c r="AJ2700" s="5" t="str">
        <f>TRIM(CLEAN(SalesData[[#This Row],[Retailer]]))</f>
        <v>Hannover Cars</v>
      </c>
    </row>
    <row r="2701" spans="1:36" ht="14.25" hidden="1" x14ac:dyDescent="0.2">
      <c r="A2701" t="s">
        <v>3815</v>
      </c>
      <c r="B2701" s="1">
        <v>46060</v>
      </c>
      <c r="C2701" t="s">
        <v>24</v>
      </c>
      <c r="D2701" t="s">
        <v>151</v>
      </c>
      <c r="E2701" t="s">
        <v>42</v>
      </c>
      <c r="F2701" t="s">
        <v>27</v>
      </c>
      <c r="G2701" t="s">
        <v>28</v>
      </c>
      <c r="H2701" t="s">
        <v>29</v>
      </c>
      <c r="I2701" t="s">
        <v>64</v>
      </c>
      <c r="J2701" t="s">
        <v>65</v>
      </c>
      <c r="K2701" t="s">
        <v>78</v>
      </c>
      <c r="L2701" t="s">
        <v>33</v>
      </c>
      <c r="M2701" t="s">
        <v>47</v>
      </c>
      <c r="N2701" t="s">
        <v>48</v>
      </c>
      <c r="O2701" t="s">
        <v>70</v>
      </c>
      <c r="P2701" t="s">
        <v>71</v>
      </c>
      <c r="Q2701" t="s">
        <v>189</v>
      </c>
      <c r="R2701">
        <v>256</v>
      </c>
      <c r="S2701">
        <v>130</v>
      </c>
      <c r="T2701">
        <v>86</v>
      </c>
      <c r="U2701">
        <v>32</v>
      </c>
      <c r="V2701" t="s">
        <v>6759</v>
      </c>
      <c r="W2701">
        <v>65046</v>
      </c>
      <c r="X2701" t="s">
        <v>7339</v>
      </c>
      <c r="Y2701">
        <v>46941</v>
      </c>
      <c r="Z2701">
        <v>2081472</v>
      </c>
      <c r="AA2701">
        <v>579360</v>
      </c>
      <c r="AB2701" t="str">
        <f>(VLOOKUP(SalesData[[#This Row],[Month Number]],Reference!C$5:E$16,2,FALSE))</f>
        <v>Feb</v>
      </c>
      <c r="AC2701">
        <f>MONTH(SalesData[[#This Row],[Date]])</f>
        <v>2</v>
      </c>
      <c r="AD2701">
        <f>Reference!F$4</f>
        <v>2026</v>
      </c>
      <c r="AE2701" t="str">
        <f>IF(OR(SalesData[[#This Row],[Day]]="Saturday",SalesData[[#This Row],[Day]]="Sunday"),"Weekend","Weekday")</f>
        <v>Weekend</v>
      </c>
      <c r="AF2701" s="5">
        <f>IF(SalesData[[#This Row],[Contracts Offered]]=0,0,SalesData[[#This Row],[Contracts Signed]]/SalesData[[#This Row],[Contracts Offered]])</f>
        <v>0.37209302325581395</v>
      </c>
      <c r="AG2701" s="5">
        <f>IF(SalesData[[#This Row],[Customers Visited]]=0,0,SalesData[[#This Row],[Test Drives]]/SalesData[[#This Row],[Customers Visited]])</f>
        <v>0.5078125</v>
      </c>
      <c r="AH2701" s="5">
        <f>IF(SalesData[[#This Row],[Customers Visited]]=0,0,SalesData[[#This Row],[Contracts Signed]]/SalesData[[#This Row],[Customers Visited]])</f>
        <v>0.125</v>
      </c>
      <c r="AI2701" s="6">
        <f>IF(SalesData[[#This Row],[Contracts Signed]]=0,0,SalesData[[#This Row],[Profit(€)]]/SalesData[[#This Row],[Contracts Signed]])</f>
        <v>18105</v>
      </c>
      <c r="AJ2701" s="5" t="str">
        <f>TRIM(CLEAN(SalesData[[#This Row],[Retailer]]))</f>
        <v>Main Auto Hub</v>
      </c>
    </row>
    <row r="2702" spans="1:36" ht="14.25" hidden="1" x14ac:dyDescent="0.2">
      <c r="A2702" t="s">
        <v>3817</v>
      </c>
      <c r="B2702" s="1">
        <v>46056</v>
      </c>
      <c r="C2702" t="s">
        <v>24</v>
      </c>
      <c r="D2702" t="s">
        <v>63</v>
      </c>
      <c r="E2702" t="s">
        <v>26</v>
      </c>
      <c r="F2702" t="s">
        <v>94</v>
      </c>
      <c r="G2702" t="s">
        <v>95</v>
      </c>
      <c r="H2702" t="s">
        <v>96</v>
      </c>
      <c r="I2702" t="s">
        <v>116</v>
      </c>
      <c r="J2702" t="s">
        <v>117</v>
      </c>
      <c r="K2702" t="s">
        <v>66</v>
      </c>
      <c r="L2702" t="s">
        <v>67</v>
      </c>
      <c r="M2702" t="s">
        <v>68</v>
      </c>
      <c r="N2702" t="s">
        <v>48</v>
      </c>
      <c r="O2702" t="s">
        <v>36</v>
      </c>
      <c r="P2702" t="s">
        <v>71</v>
      </c>
      <c r="Q2702" t="s">
        <v>347</v>
      </c>
      <c r="R2702">
        <v>377</v>
      </c>
      <c r="S2702">
        <v>146</v>
      </c>
      <c r="T2702">
        <v>86</v>
      </c>
      <c r="U2702">
        <v>25</v>
      </c>
      <c r="V2702" t="s">
        <v>1302</v>
      </c>
      <c r="W2702">
        <v>25093</v>
      </c>
      <c r="X2702" t="s">
        <v>1776</v>
      </c>
      <c r="Y2702">
        <v>22345</v>
      </c>
      <c r="Z2702">
        <v>627325</v>
      </c>
      <c r="AA2702">
        <v>68700</v>
      </c>
      <c r="AB2702" t="str">
        <f>(VLOOKUP(SalesData[[#This Row],[Month Number]],Reference!C$5:E$16,2,FALSE))</f>
        <v>Feb</v>
      </c>
      <c r="AC2702">
        <f>MONTH(SalesData[[#This Row],[Date]])</f>
        <v>2</v>
      </c>
      <c r="AD2702">
        <f>Reference!F$4</f>
        <v>2026</v>
      </c>
      <c r="AE2702" t="str">
        <f>IF(OR(SalesData[[#This Row],[Day]]="Saturday",SalesData[[#This Row],[Day]]="Sunday"),"Weekend","Weekday")</f>
        <v>Weekday</v>
      </c>
      <c r="AF2702" s="5">
        <f>IF(SalesData[[#This Row],[Contracts Offered]]=0,0,SalesData[[#This Row],[Contracts Signed]]/SalesData[[#This Row],[Contracts Offered]])</f>
        <v>0.29069767441860467</v>
      </c>
      <c r="AG2702" s="5">
        <f>IF(SalesData[[#This Row],[Customers Visited]]=0,0,SalesData[[#This Row],[Test Drives]]/SalesData[[#This Row],[Customers Visited]])</f>
        <v>0.38726790450928383</v>
      </c>
      <c r="AH2702" s="5">
        <f>IF(SalesData[[#This Row],[Customers Visited]]=0,0,SalesData[[#This Row],[Contracts Signed]]/SalesData[[#This Row],[Customers Visited]])</f>
        <v>6.6312997347480113E-2</v>
      </c>
      <c r="AI2702" s="6">
        <f>IF(SalesData[[#This Row],[Contracts Signed]]=0,0,SalesData[[#This Row],[Profit(€)]]/SalesData[[#This Row],[Contracts Signed]])</f>
        <v>2748</v>
      </c>
      <c r="AJ2702" s="5" t="str">
        <f>TRIM(CLEAN(SalesData[[#This Row],[Retailer]]))</f>
        <v>Bavaria Motors</v>
      </c>
    </row>
    <row r="2703" spans="1:36" ht="14.25" hidden="1" x14ac:dyDescent="0.2">
      <c r="A2703" t="s">
        <v>3818</v>
      </c>
      <c r="B2703" s="1">
        <v>46056</v>
      </c>
      <c r="C2703" t="s">
        <v>24</v>
      </c>
      <c r="D2703" t="s">
        <v>63</v>
      </c>
      <c r="E2703" t="s">
        <v>26</v>
      </c>
      <c r="F2703" t="s">
        <v>101</v>
      </c>
      <c r="G2703" t="s">
        <v>102</v>
      </c>
      <c r="H2703" t="s">
        <v>103</v>
      </c>
      <c r="I2703" t="s">
        <v>64</v>
      </c>
      <c r="J2703" t="s">
        <v>111</v>
      </c>
      <c r="K2703" t="s">
        <v>32</v>
      </c>
      <c r="L2703" t="s">
        <v>46</v>
      </c>
      <c r="M2703" t="s">
        <v>47</v>
      </c>
      <c r="N2703" t="s">
        <v>35</v>
      </c>
      <c r="O2703" t="s">
        <v>70</v>
      </c>
      <c r="P2703" t="s">
        <v>37</v>
      </c>
      <c r="Q2703" t="s">
        <v>158</v>
      </c>
      <c r="R2703">
        <v>179</v>
      </c>
      <c r="S2703">
        <v>91</v>
      </c>
      <c r="T2703">
        <v>70</v>
      </c>
      <c r="U2703">
        <v>22</v>
      </c>
      <c r="V2703" t="s">
        <v>6510</v>
      </c>
      <c r="W2703">
        <v>51073</v>
      </c>
      <c r="X2703" t="s">
        <v>7517</v>
      </c>
      <c r="Y2703">
        <v>37749</v>
      </c>
      <c r="Z2703">
        <v>1123606</v>
      </c>
      <c r="AA2703">
        <v>293128</v>
      </c>
      <c r="AB2703" t="str">
        <f>(VLOOKUP(SalesData[[#This Row],[Month Number]],Reference!C$5:E$16,2,FALSE))</f>
        <v>Feb</v>
      </c>
      <c r="AC2703">
        <f>MONTH(SalesData[[#This Row],[Date]])</f>
        <v>2</v>
      </c>
      <c r="AD2703">
        <f>Reference!F$4</f>
        <v>2026</v>
      </c>
      <c r="AE2703" t="str">
        <f>IF(OR(SalesData[[#This Row],[Day]]="Saturday",SalesData[[#This Row],[Day]]="Sunday"),"Weekend","Weekday")</f>
        <v>Weekday</v>
      </c>
      <c r="AF2703" s="5">
        <f>IF(SalesData[[#This Row],[Contracts Offered]]=0,0,SalesData[[#This Row],[Contracts Signed]]/SalesData[[#This Row],[Contracts Offered]])</f>
        <v>0.31428571428571428</v>
      </c>
      <c r="AG2703" s="5">
        <f>IF(SalesData[[#This Row],[Customers Visited]]=0,0,SalesData[[#This Row],[Test Drives]]/SalesData[[#This Row],[Customers Visited]])</f>
        <v>0.50837988826815639</v>
      </c>
      <c r="AH2703" s="5">
        <f>IF(SalesData[[#This Row],[Customers Visited]]=0,0,SalesData[[#This Row],[Contracts Signed]]/SalesData[[#This Row],[Customers Visited]])</f>
        <v>0.12290502793296089</v>
      </c>
      <c r="AI2703" s="6">
        <f>IF(SalesData[[#This Row],[Contracts Signed]]=0,0,SalesData[[#This Row],[Profit(€)]]/SalesData[[#This Row],[Contracts Signed]])</f>
        <v>13324</v>
      </c>
      <c r="AJ2703" s="5" t="str">
        <f>TRIM(CLEAN(SalesData[[#This Row],[Retailer]]))</f>
        <v>Ruhr Auto Plaza</v>
      </c>
    </row>
    <row r="2704" spans="1:36" ht="14.25" hidden="1" x14ac:dyDescent="0.2">
      <c r="A2704" t="s">
        <v>3819</v>
      </c>
      <c r="B2704" s="1">
        <v>46078</v>
      </c>
      <c r="C2704" t="s">
        <v>53</v>
      </c>
      <c r="D2704" t="s">
        <v>82</v>
      </c>
      <c r="E2704" t="s">
        <v>26</v>
      </c>
      <c r="F2704" t="s">
        <v>43</v>
      </c>
      <c r="G2704" t="s">
        <v>44</v>
      </c>
      <c r="H2704" t="s">
        <v>45</v>
      </c>
      <c r="I2704" t="s">
        <v>116</v>
      </c>
      <c r="J2704" t="s">
        <v>132</v>
      </c>
      <c r="K2704" t="s">
        <v>66</v>
      </c>
      <c r="L2704" t="s">
        <v>46</v>
      </c>
      <c r="M2704" t="s">
        <v>87</v>
      </c>
      <c r="N2704" t="s">
        <v>69</v>
      </c>
      <c r="O2704" t="s">
        <v>36</v>
      </c>
      <c r="P2704" t="s">
        <v>71</v>
      </c>
      <c r="Q2704" t="s">
        <v>118</v>
      </c>
      <c r="R2704">
        <v>382</v>
      </c>
      <c r="S2704">
        <v>149</v>
      </c>
      <c r="T2704">
        <v>96</v>
      </c>
      <c r="U2704">
        <v>28</v>
      </c>
      <c r="V2704" t="s">
        <v>473</v>
      </c>
      <c r="W2704">
        <v>23275</v>
      </c>
      <c r="X2704" t="s">
        <v>1056</v>
      </c>
      <c r="Y2704">
        <v>21420</v>
      </c>
      <c r="Z2704">
        <v>651700</v>
      </c>
      <c r="AA2704">
        <v>51940</v>
      </c>
      <c r="AB2704" t="str">
        <f>(VLOOKUP(SalesData[[#This Row],[Month Number]],Reference!C$5:E$16,2,FALSE))</f>
        <v>Feb</v>
      </c>
      <c r="AC2704">
        <f>MONTH(SalesData[[#This Row],[Date]])</f>
        <v>2</v>
      </c>
      <c r="AD2704">
        <f>Reference!F$4</f>
        <v>2026</v>
      </c>
      <c r="AE2704" t="str">
        <f>IF(OR(SalesData[[#This Row],[Day]]="Saturday",SalesData[[#This Row],[Day]]="Sunday"),"Weekend","Weekday")</f>
        <v>Weekday</v>
      </c>
      <c r="AF2704" s="5">
        <f>IF(SalesData[[#This Row],[Contracts Offered]]=0,0,SalesData[[#This Row],[Contracts Signed]]/SalesData[[#This Row],[Contracts Offered]])</f>
        <v>0.29166666666666669</v>
      </c>
      <c r="AG2704" s="5">
        <f>IF(SalesData[[#This Row],[Customers Visited]]=0,0,SalesData[[#This Row],[Test Drives]]/SalesData[[#This Row],[Customers Visited]])</f>
        <v>0.3900523560209424</v>
      </c>
      <c r="AH2704" s="5">
        <f>IF(SalesData[[#This Row],[Customers Visited]]=0,0,SalesData[[#This Row],[Contracts Signed]]/SalesData[[#This Row],[Customers Visited]])</f>
        <v>7.3298429319371722E-2</v>
      </c>
      <c r="AI2704" s="6">
        <f>IF(SalesData[[#This Row],[Contracts Signed]]=0,0,SalesData[[#This Row],[Profit(€)]]/SalesData[[#This Row],[Contracts Signed]])</f>
        <v>1855</v>
      </c>
      <c r="AJ2704" s="5" t="str">
        <f>TRIM(CLEAN(SalesData[[#This Row],[Retailer]]))</f>
        <v>Saxon Wheels</v>
      </c>
    </row>
    <row r="2705" spans="1:36" ht="14.25" x14ac:dyDescent="0.2">
      <c r="A2705" t="s">
        <v>3820</v>
      </c>
      <c r="B2705" s="1">
        <v>46078</v>
      </c>
      <c r="C2705" t="s">
        <v>53</v>
      </c>
      <c r="D2705" t="s">
        <v>82</v>
      </c>
      <c r="E2705" t="s">
        <v>26</v>
      </c>
      <c r="F2705" t="s">
        <v>7649</v>
      </c>
      <c r="G2705" t="s">
        <v>55</v>
      </c>
      <c r="H2705" t="s">
        <v>55</v>
      </c>
      <c r="I2705" t="s">
        <v>30</v>
      </c>
      <c r="J2705" t="s">
        <v>7075</v>
      </c>
      <c r="K2705" t="s">
        <v>66</v>
      </c>
      <c r="L2705" t="s">
        <v>33</v>
      </c>
      <c r="M2705" t="s">
        <v>47</v>
      </c>
      <c r="N2705" t="s">
        <v>69</v>
      </c>
      <c r="O2705" t="s">
        <v>36</v>
      </c>
      <c r="P2705" t="s">
        <v>71</v>
      </c>
      <c r="Q2705" t="s">
        <v>88</v>
      </c>
      <c r="R2705">
        <v>147</v>
      </c>
      <c r="S2705">
        <v>89</v>
      </c>
      <c r="T2705">
        <v>64</v>
      </c>
      <c r="U2705">
        <v>26</v>
      </c>
      <c r="V2705" t="s">
        <v>7013</v>
      </c>
      <c r="W2705">
        <v>55067</v>
      </c>
      <c r="X2705" t="s">
        <v>7393</v>
      </c>
      <c r="Y2705">
        <v>38834</v>
      </c>
      <c r="Z2705">
        <v>1431742</v>
      </c>
      <c r="AA2705">
        <v>422058</v>
      </c>
      <c r="AB2705" t="str">
        <f>(VLOOKUP(SalesData[[#This Row],[Month Number]],Reference!C$5:E$16,2,FALSE))</f>
        <v>Feb</v>
      </c>
      <c r="AC2705">
        <f>MONTH(SalesData[[#This Row],[Date]])</f>
        <v>2</v>
      </c>
      <c r="AD2705">
        <f>Reference!F$4</f>
        <v>2026</v>
      </c>
      <c r="AE2705" t="str">
        <f>IF(OR(SalesData[[#This Row],[Day]]="Saturday",SalesData[[#This Row],[Day]]="Sunday"),"Weekend","Weekday")</f>
        <v>Weekday</v>
      </c>
      <c r="AF2705" s="5">
        <f>IF(SalesData[[#This Row],[Contracts Offered]]=0,0,SalesData[[#This Row],[Contracts Signed]]/SalesData[[#This Row],[Contracts Offered]])</f>
        <v>0.40625</v>
      </c>
      <c r="AG2705" s="5">
        <f>IF(SalesData[[#This Row],[Customers Visited]]=0,0,SalesData[[#This Row],[Test Drives]]/SalesData[[#This Row],[Customers Visited]])</f>
        <v>0.60544217687074831</v>
      </c>
      <c r="AH2705" s="5">
        <f>IF(SalesData[[#This Row],[Customers Visited]]=0,0,SalesData[[#This Row],[Contracts Signed]]/SalesData[[#This Row],[Customers Visited]])</f>
        <v>0.17687074829931973</v>
      </c>
      <c r="AI2705" s="6">
        <f>IF(SalesData[[#This Row],[Contracts Signed]]=0,0,SalesData[[#This Row],[Profit(€)]]/SalesData[[#This Row],[Contracts Signed]])</f>
        <v>16233</v>
      </c>
      <c r="AJ2705" s="5" t="str">
        <f>TRIM(CLEAN(SalesData[[#This Row],[Retailer]]))</f>
        <v>Autohaus Berlin</v>
      </c>
    </row>
    <row r="2706" spans="1:36" ht="14.25" x14ac:dyDescent="0.2">
      <c r="A2706" t="s">
        <v>3821</v>
      </c>
      <c r="B2706" s="1">
        <v>46055</v>
      </c>
      <c r="C2706" t="s">
        <v>24</v>
      </c>
      <c r="D2706" t="s">
        <v>25</v>
      </c>
      <c r="E2706" t="s">
        <v>26</v>
      </c>
      <c r="F2706" t="s">
        <v>83</v>
      </c>
      <c r="G2706" t="s">
        <v>84</v>
      </c>
      <c r="H2706" t="s">
        <v>85</v>
      </c>
      <c r="I2706" t="s">
        <v>30</v>
      </c>
      <c r="J2706" t="s">
        <v>86</v>
      </c>
      <c r="K2706" t="s">
        <v>66</v>
      </c>
      <c r="L2706" t="s">
        <v>33</v>
      </c>
      <c r="M2706" t="s">
        <v>87</v>
      </c>
      <c r="N2706" t="s">
        <v>69</v>
      </c>
      <c r="O2706" t="s">
        <v>36</v>
      </c>
      <c r="P2706" t="s">
        <v>71</v>
      </c>
      <c r="Q2706" t="s">
        <v>88</v>
      </c>
      <c r="R2706">
        <v>212</v>
      </c>
      <c r="S2706">
        <v>124</v>
      </c>
      <c r="T2706">
        <v>94</v>
      </c>
      <c r="U2706">
        <v>33</v>
      </c>
      <c r="V2706" t="s">
        <v>6687</v>
      </c>
      <c r="W2706">
        <v>67262</v>
      </c>
      <c r="X2706" t="s">
        <v>7460</v>
      </c>
      <c r="Y2706">
        <v>50478</v>
      </c>
      <c r="Z2706">
        <v>2219646</v>
      </c>
      <c r="AA2706">
        <v>553872</v>
      </c>
      <c r="AB2706" t="str">
        <f>(VLOOKUP(SalesData[[#This Row],[Month Number]],Reference!C$5:E$16,2,FALSE))</f>
        <v>Feb</v>
      </c>
      <c r="AC2706">
        <f>MONTH(SalesData[[#This Row],[Date]])</f>
        <v>2</v>
      </c>
      <c r="AD2706">
        <f>Reference!F$4</f>
        <v>2026</v>
      </c>
      <c r="AE2706" t="str">
        <f>IF(OR(SalesData[[#This Row],[Day]]="Saturday",SalesData[[#This Row],[Day]]="Sunday"),"Weekend","Weekday")</f>
        <v>Weekday</v>
      </c>
      <c r="AF2706" s="5">
        <f>IF(SalesData[[#This Row],[Contracts Offered]]=0,0,SalesData[[#This Row],[Contracts Signed]]/SalesData[[#This Row],[Contracts Offered]])</f>
        <v>0.35106382978723405</v>
      </c>
      <c r="AG2706" s="5">
        <f>IF(SalesData[[#This Row],[Customers Visited]]=0,0,SalesData[[#This Row],[Test Drives]]/SalesData[[#This Row],[Customers Visited]])</f>
        <v>0.58490566037735847</v>
      </c>
      <c r="AH2706" s="5">
        <f>IF(SalesData[[#This Row],[Customers Visited]]=0,0,SalesData[[#This Row],[Contracts Signed]]/SalesData[[#This Row],[Customers Visited]])</f>
        <v>0.15566037735849056</v>
      </c>
      <c r="AI2706" s="6">
        <f>IF(SalesData[[#This Row],[Contracts Signed]]=0,0,SalesData[[#This Row],[Profit(€)]]/SalesData[[#This Row],[Contracts Signed]])</f>
        <v>16784</v>
      </c>
      <c r="AJ2706" s="5" t="str">
        <f>TRIM(CLEAN(SalesData[[#This Row],[Retailer]]))</f>
        <v>Hannover Cars</v>
      </c>
    </row>
    <row r="2707" spans="1:36" ht="14.25" hidden="1" x14ac:dyDescent="0.2">
      <c r="A2707" t="s">
        <v>3822</v>
      </c>
      <c r="B2707" s="1">
        <v>46080</v>
      </c>
      <c r="C2707" t="s">
        <v>53</v>
      </c>
      <c r="D2707" t="s">
        <v>54</v>
      </c>
      <c r="E2707" t="s">
        <v>26</v>
      </c>
      <c r="F2707" t="s">
        <v>109</v>
      </c>
      <c r="G2707" t="s">
        <v>110</v>
      </c>
      <c r="H2707" t="s">
        <v>45</v>
      </c>
      <c r="I2707" t="s">
        <v>56</v>
      </c>
      <c r="J2707" t="s">
        <v>7028</v>
      </c>
      <c r="K2707" t="s">
        <v>32</v>
      </c>
      <c r="L2707" t="s">
        <v>46</v>
      </c>
      <c r="M2707" t="s">
        <v>34</v>
      </c>
      <c r="N2707" t="s">
        <v>69</v>
      </c>
      <c r="O2707" t="s">
        <v>70</v>
      </c>
      <c r="P2707" t="s">
        <v>71</v>
      </c>
      <c r="Q2707" t="s">
        <v>118</v>
      </c>
      <c r="R2707">
        <v>306</v>
      </c>
      <c r="S2707">
        <v>175</v>
      </c>
      <c r="T2707">
        <v>133</v>
      </c>
      <c r="U2707">
        <v>39</v>
      </c>
      <c r="V2707" t="s">
        <v>6882</v>
      </c>
      <c r="W2707">
        <v>45751</v>
      </c>
      <c r="X2707" t="s">
        <v>4982</v>
      </c>
      <c r="Y2707">
        <v>35875</v>
      </c>
      <c r="Z2707">
        <v>1784289</v>
      </c>
      <c r="AA2707">
        <v>385164</v>
      </c>
      <c r="AB2707" t="str">
        <f>(VLOOKUP(SalesData[[#This Row],[Month Number]],Reference!C$5:E$16,2,FALSE))</f>
        <v>Feb</v>
      </c>
      <c r="AC2707">
        <f>MONTH(SalesData[[#This Row],[Date]])</f>
        <v>2</v>
      </c>
      <c r="AD2707">
        <f>Reference!F$4</f>
        <v>2026</v>
      </c>
      <c r="AE2707" t="str">
        <f>IF(OR(SalesData[[#This Row],[Day]]="Saturday",SalesData[[#This Row],[Day]]="Sunday"),"Weekend","Weekday")</f>
        <v>Weekday</v>
      </c>
      <c r="AF2707" s="5">
        <f>IF(SalesData[[#This Row],[Contracts Offered]]=0,0,SalesData[[#This Row],[Contracts Signed]]/SalesData[[#This Row],[Contracts Offered]])</f>
        <v>0.2932330827067669</v>
      </c>
      <c r="AG2707" s="5">
        <f>IF(SalesData[[#This Row],[Customers Visited]]=0,0,SalesData[[#This Row],[Test Drives]]/SalesData[[#This Row],[Customers Visited]])</f>
        <v>0.57189542483660127</v>
      </c>
      <c r="AH2707" s="5">
        <f>IF(SalesData[[#This Row],[Customers Visited]]=0,0,SalesData[[#This Row],[Contracts Signed]]/SalesData[[#This Row],[Customers Visited]])</f>
        <v>0.12745098039215685</v>
      </c>
      <c r="AI2707" s="6">
        <f>IF(SalesData[[#This Row],[Contracts Signed]]=0,0,SalesData[[#This Row],[Profit(€)]]/SalesData[[#This Row],[Contracts Signed]])</f>
        <v>9876</v>
      </c>
      <c r="AJ2707" s="5" t="str">
        <f>TRIM(CLEAN(SalesData[[#This Row],[Retailer]]))</f>
        <v>Leipzig Mobility</v>
      </c>
    </row>
    <row r="2708" spans="1:36" ht="14.25" hidden="1" x14ac:dyDescent="0.2">
      <c r="A2708" t="s">
        <v>3823</v>
      </c>
      <c r="B2708" s="1">
        <v>46072</v>
      </c>
      <c r="C2708" t="s">
        <v>62</v>
      </c>
      <c r="D2708" t="s">
        <v>100</v>
      </c>
      <c r="E2708" t="s">
        <v>26</v>
      </c>
      <c r="F2708" t="s">
        <v>127</v>
      </c>
      <c r="G2708" t="s">
        <v>128</v>
      </c>
      <c r="H2708" t="s">
        <v>103</v>
      </c>
      <c r="I2708" t="s">
        <v>104</v>
      </c>
      <c r="J2708" t="s">
        <v>105</v>
      </c>
      <c r="K2708" t="s">
        <v>32</v>
      </c>
      <c r="L2708" t="s">
        <v>33</v>
      </c>
      <c r="M2708" t="s">
        <v>47</v>
      </c>
      <c r="N2708" t="s">
        <v>69</v>
      </c>
      <c r="O2708" t="s">
        <v>36</v>
      </c>
      <c r="P2708" t="s">
        <v>71</v>
      </c>
      <c r="Q2708" t="s">
        <v>118</v>
      </c>
      <c r="R2708">
        <v>400</v>
      </c>
      <c r="S2708">
        <v>184</v>
      </c>
      <c r="T2708">
        <v>125</v>
      </c>
      <c r="U2708">
        <v>32</v>
      </c>
      <c r="V2708" t="s">
        <v>292</v>
      </c>
      <c r="W2708">
        <v>33190</v>
      </c>
      <c r="X2708" t="s">
        <v>7419</v>
      </c>
      <c r="Y2708">
        <v>29035</v>
      </c>
      <c r="Z2708">
        <v>1062080</v>
      </c>
      <c r="AA2708">
        <v>132960</v>
      </c>
      <c r="AB2708" t="str">
        <f>(VLOOKUP(SalesData[[#This Row],[Month Number]],Reference!C$5:E$16,2,FALSE))</f>
        <v>Feb</v>
      </c>
      <c r="AC2708">
        <f>MONTH(SalesData[[#This Row],[Date]])</f>
        <v>2</v>
      </c>
      <c r="AD2708">
        <f>Reference!F$4</f>
        <v>2026</v>
      </c>
      <c r="AE2708" t="str">
        <f>IF(OR(SalesData[[#This Row],[Day]]="Saturday",SalesData[[#This Row],[Day]]="Sunday"),"Weekend","Weekday")</f>
        <v>Weekday</v>
      </c>
      <c r="AF2708" s="5">
        <f>IF(SalesData[[#This Row],[Contracts Offered]]=0,0,SalesData[[#This Row],[Contracts Signed]]/SalesData[[#This Row],[Contracts Offered]])</f>
        <v>0.25600000000000001</v>
      </c>
      <c r="AG2708" s="5">
        <f>IF(SalesData[[#This Row],[Customers Visited]]=0,0,SalesData[[#This Row],[Test Drives]]/SalesData[[#This Row],[Customers Visited]])</f>
        <v>0.46</v>
      </c>
      <c r="AH2708" s="5">
        <f>IF(SalesData[[#This Row],[Customers Visited]]=0,0,SalesData[[#This Row],[Contracts Signed]]/SalesData[[#This Row],[Customers Visited]])</f>
        <v>0.08</v>
      </c>
      <c r="AI2708" s="6">
        <f>IF(SalesData[[#This Row],[Contracts Signed]]=0,0,SalesData[[#This Row],[Profit(€)]]/SalesData[[#This Row],[Contracts Signed]])</f>
        <v>4155</v>
      </c>
      <c r="AJ2708" s="5" t="str">
        <f>TRIM(CLEAN(SalesData[[#This Row],[Retailer]]))</f>
        <v>Rhein Auto Group</v>
      </c>
    </row>
    <row r="2709" spans="1:36" ht="14.25" hidden="1" x14ac:dyDescent="0.2">
      <c r="A2709" t="s">
        <v>3825</v>
      </c>
      <c r="B2709" s="1">
        <v>46078</v>
      </c>
      <c r="C2709" t="s">
        <v>53</v>
      </c>
      <c r="D2709" t="s">
        <v>82</v>
      </c>
      <c r="E2709" t="s">
        <v>26</v>
      </c>
      <c r="F2709" t="s">
        <v>101</v>
      </c>
      <c r="G2709" t="s">
        <v>102</v>
      </c>
      <c r="H2709" t="s">
        <v>103</v>
      </c>
      <c r="I2709" t="s">
        <v>116</v>
      </c>
      <c r="J2709" t="s">
        <v>7090</v>
      </c>
      <c r="K2709" t="s">
        <v>91</v>
      </c>
      <c r="L2709" t="s">
        <v>46</v>
      </c>
      <c r="M2709" t="s">
        <v>87</v>
      </c>
      <c r="N2709" t="s">
        <v>69</v>
      </c>
      <c r="O2709" t="s">
        <v>36</v>
      </c>
      <c r="P2709" t="s">
        <v>49</v>
      </c>
      <c r="Q2709" t="s">
        <v>59</v>
      </c>
      <c r="R2709">
        <v>354</v>
      </c>
      <c r="S2709">
        <v>136</v>
      </c>
      <c r="T2709">
        <v>88</v>
      </c>
      <c r="U2709">
        <v>22</v>
      </c>
      <c r="V2709" t="s">
        <v>2509</v>
      </c>
      <c r="W2709">
        <v>26985</v>
      </c>
      <c r="X2709" t="s">
        <v>1957</v>
      </c>
      <c r="Y2709">
        <v>24333</v>
      </c>
      <c r="Z2709">
        <v>593670</v>
      </c>
      <c r="AA2709">
        <v>58344</v>
      </c>
      <c r="AB2709" t="str">
        <f>(VLOOKUP(SalesData[[#This Row],[Month Number]],Reference!C$5:E$16,2,FALSE))</f>
        <v>Feb</v>
      </c>
      <c r="AC2709">
        <f>MONTH(SalesData[[#This Row],[Date]])</f>
        <v>2</v>
      </c>
      <c r="AD2709">
        <f>Reference!F$4</f>
        <v>2026</v>
      </c>
      <c r="AE2709" t="str">
        <f>IF(OR(SalesData[[#This Row],[Day]]="Saturday",SalesData[[#This Row],[Day]]="Sunday"),"Weekend","Weekday")</f>
        <v>Weekday</v>
      </c>
      <c r="AF2709" s="5">
        <f>IF(SalesData[[#This Row],[Contracts Offered]]=0,0,SalesData[[#This Row],[Contracts Signed]]/SalesData[[#This Row],[Contracts Offered]])</f>
        <v>0.25</v>
      </c>
      <c r="AG2709" s="5">
        <f>IF(SalesData[[#This Row],[Customers Visited]]=0,0,SalesData[[#This Row],[Test Drives]]/SalesData[[#This Row],[Customers Visited]])</f>
        <v>0.38418079096045199</v>
      </c>
      <c r="AH2709" s="5">
        <f>IF(SalesData[[#This Row],[Customers Visited]]=0,0,SalesData[[#This Row],[Contracts Signed]]/SalesData[[#This Row],[Customers Visited]])</f>
        <v>6.2146892655367235E-2</v>
      </c>
      <c r="AI2709" s="6">
        <f>IF(SalesData[[#This Row],[Contracts Signed]]=0,0,SalesData[[#This Row],[Profit(€)]]/SalesData[[#This Row],[Contracts Signed]])</f>
        <v>2652</v>
      </c>
      <c r="AJ2709" s="5" t="str">
        <f>TRIM(CLEAN(SalesData[[#This Row],[Retailer]]))</f>
        <v>Ruhr Auto Plaza</v>
      </c>
    </row>
    <row r="2710" spans="1:36" ht="14.25" hidden="1" x14ac:dyDescent="0.2">
      <c r="A2710" t="s">
        <v>3826</v>
      </c>
      <c r="B2710" s="1">
        <v>46077</v>
      </c>
      <c r="C2710" t="s">
        <v>53</v>
      </c>
      <c r="D2710" t="s">
        <v>63</v>
      </c>
      <c r="E2710" t="s">
        <v>26</v>
      </c>
      <c r="F2710" t="s">
        <v>7649</v>
      </c>
      <c r="G2710" t="s">
        <v>55</v>
      </c>
      <c r="H2710" t="s">
        <v>55</v>
      </c>
      <c r="I2710" t="s">
        <v>64</v>
      </c>
      <c r="J2710" t="s">
        <v>111</v>
      </c>
      <c r="K2710" t="s">
        <v>32</v>
      </c>
      <c r="L2710" t="s">
        <v>46</v>
      </c>
      <c r="M2710" t="s">
        <v>47</v>
      </c>
      <c r="N2710" t="s">
        <v>35</v>
      </c>
      <c r="O2710" t="s">
        <v>70</v>
      </c>
      <c r="P2710" t="s">
        <v>58</v>
      </c>
      <c r="Q2710" t="s">
        <v>167</v>
      </c>
      <c r="R2710">
        <v>252</v>
      </c>
      <c r="S2710">
        <v>148</v>
      </c>
      <c r="T2710">
        <v>118</v>
      </c>
      <c r="U2710">
        <v>44</v>
      </c>
      <c r="V2710" t="s">
        <v>7000</v>
      </c>
      <c r="W2710">
        <v>63740</v>
      </c>
      <c r="X2710" t="s">
        <v>7312</v>
      </c>
      <c r="Y2710">
        <v>45322</v>
      </c>
      <c r="Z2710">
        <v>2804560</v>
      </c>
      <c r="AA2710">
        <v>810392</v>
      </c>
      <c r="AB2710" t="str">
        <f>(VLOOKUP(SalesData[[#This Row],[Month Number]],Reference!C$5:E$16,2,FALSE))</f>
        <v>Feb</v>
      </c>
      <c r="AC2710">
        <f>MONTH(SalesData[[#This Row],[Date]])</f>
        <v>2</v>
      </c>
      <c r="AD2710">
        <f>Reference!F$4</f>
        <v>2026</v>
      </c>
      <c r="AE2710" t="str">
        <f>IF(OR(SalesData[[#This Row],[Day]]="Saturday",SalesData[[#This Row],[Day]]="Sunday"),"Weekend","Weekday")</f>
        <v>Weekday</v>
      </c>
      <c r="AF2710" s="5">
        <f>IF(SalesData[[#This Row],[Contracts Offered]]=0,0,SalesData[[#This Row],[Contracts Signed]]/SalesData[[#This Row],[Contracts Offered]])</f>
        <v>0.3728813559322034</v>
      </c>
      <c r="AG2710" s="5">
        <f>IF(SalesData[[#This Row],[Customers Visited]]=0,0,SalesData[[#This Row],[Test Drives]]/SalesData[[#This Row],[Customers Visited]])</f>
        <v>0.58730158730158732</v>
      </c>
      <c r="AH2710" s="5">
        <f>IF(SalesData[[#This Row],[Customers Visited]]=0,0,SalesData[[#This Row],[Contracts Signed]]/SalesData[[#This Row],[Customers Visited]])</f>
        <v>0.17460317460317459</v>
      </c>
      <c r="AI2710" s="6">
        <f>IF(SalesData[[#This Row],[Contracts Signed]]=0,0,SalesData[[#This Row],[Profit(€)]]/SalesData[[#This Row],[Contracts Signed]])</f>
        <v>18418</v>
      </c>
      <c r="AJ2710" s="5" t="str">
        <f>TRIM(CLEAN(SalesData[[#This Row],[Retailer]]))</f>
        <v>Autohaus Berlin</v>
      </c>
    </row>
    <row r="2711" spans="1:36" ht="14.25" hidden="1" x14ac:dyDescent="0.2">
      <c r="A2711" t="s">
        <v>3827</v>
      </c>
      <c r="B2711" s="1">
        <v>46074</v>
      </c>
      <c r="C2711" t="s">
        <v>62</v>
      </c>
      <c r="D2711" t="s">
        <v>151</v>
      </c>
      <c r="E2711" t="s">
        <v>42</v>
      </c>
      <c r="F2711" t="s">
        <v>101</v>
      </c>
      <c r="G2711" t="s">
        <v>102</v>
      </c>
      <c r="H2711" t="s">
        <v>103</v>
      </c>
      <c r="I2711" t="s">
        <v>64</v>
      </c>
      <c r="J2711" t="s">
        <v>111</v>
      </c>
      <c r="K2711" t="s">
        <v>32</v>
      </c>
      <c r="L2711" t="s">
        <v>46</v>
      </c>
      <c r="M2711" t="s">
        <v>68</v>
      </c>
      <c r="N2711" t="s">
        <v>35</v>
      </c>
      <c r="O2711" t="s">
        <v>36</v>
      </c>
      <c r="P2711" t="s">
        <v>71</v>
      </c>
      <c r="Q2711" t="s">
        <v>167</v>
      </c>
      <c r="R2711">
        <v>231</v>
      </c>
      <c r="S2711">
        <v>118</v>
      </c>
      <c r="T2711">
        <v>93</v>
      </c>
      <c r="U2711">
        <v>27</v>
      </c>
      <c r="V2711" t="s">
        <v>6574</v>
      </c>
      <c r="W2711">
        <v>60604</v>
      </c>
      <c r="X2711" t="s">
        <v>7097</v>
      </c>
      <c r="Y2711">
        <v>46208</v>
      </c>
      <c r="Z2711">
        <v>1636308</v>
      </c>
      <c r="AA2711">
        <v>388692</v>
      </c>
      <c r="AB2711" t="str">
        <f>(VLOOKUP(SalesData[[#This Row],[Month Number]],Reference!C$5:E$16,2,FALSE))</f>
        <v>Feb</v>
      </c>
      <c r="AC2711">
        <f>MONTH(SalesData[[#This Row],[Date]])</f>
        <v>2</v>
      </c>
      <c r="AD2711">
        <f>Reference!F$4</f>
        <v>2026</v>
      </c>
      <c r="AE2711" t="str">
        <f>IF(OR(SalesData[[#This Row],[Day]]="Saturday",SalesData[[#This Row],[Day]]="Sunday"),"Weekend","Weekday")</f>
        <v>Weekend</v>
      </c>
      <c r="AF2711" s="5">
        <f>IF(SalesData[[#This Row],[Contracts Offered]]=0,0,SalesData[[#This Row],[Contracts Signed]]/SalesData[[#This Row],[Contracts Offered]])</f>
        <v>0.29032258064516131</v>
      </c>
      <c r="AG2711" s="5">
        <f>IF(SalesData[[#This Row],[Customers Visited]]=0,0,SalesData[[#This Row],[Test Drives]]/SalesData[[#This Row],[Customers Visited]])</f>
        <v>0.51082251082251084</v>
      </c>
      <c r="AH2711" s="5">
        <f>IF(SalesData[[#This Row],[Customers Visited]]=0,0,SalesData[[#This Row],[Contracts Signed]]/SalesData[[#This Row],[Customers Visited]])</f>
        <v>0.11688311688311688</v>
      </c>
      <c r="AI2711" s="6">
        <f>IF(SalesData[[#This Row],[Contracts Signed]]=0,0,SalesData[[#This Row],[Profit(€)]]/SalesData[[#This Row],[Contracts Signed]])</f>
        <v>14396</v>
      </c>
      <c r="AJ2711" s="5" t="str">
        <f>TRIM(CLEAN(SalesData[[#This Row],[Retailer]]))</f>
        <v>Ruhr Auto Plaza</v>
      </c>
    </row>
    <row r="2712" spans="1:36" ht="14.25" hidden="1" x14ac:dyDescent="0.2">
      <c r="A2712" t="s">
        <v>3829</v>
      </c>
      <c r="B2712" s="1">
        <v>46072</v>
      </c>
      <c r="C2712" t="s">
        <v>62</v>
      </c>
      <c r="D2712" t="s">
        <v>100</v>
      </c>
      <c r="E2712" t="s">
        <v>26</v>
      </c>
      <c r="F2712" t="s">
        <v>83</v>
      </c>
      <c r="G2712" t="s">
        <v>84</v>
      </c>
      <c r="H2712" t="s">
        <v>85</v>
      </c>
      <c r="I2712" t="s">
        <v>116</v>
      </c>
      <c r="J2712" t="s">
        <v>117</v>
      </c>
      <c r="K2712" t="s">
        <v>32</v>
      </c>
      <c r="L2712" t="s">
        <v>67</v>
      </c>
      <c r="M2712" t="s">
        <v>87</v>
      </c>
      <c r="N2712" t="s">
        <v>35</v>
      </c>
      <c r="O2712" t="s">
        <v>70</v>
      </c>
      <c r="P2712" t="s">
        <v>49</v>
      </c>
      <c r="Q2712" t="s">
        <v>169</v>
      </c>
      <c r="R2712">
        <v>427</v>
      </c>
      <c r="S2712">
        <v>198</v>
      </c>
      <c r="T2712">
        <v>124</v>
      </c>
      <c r="U2712">
        <v>28</v>
      </c>
      <c r="V2712" t="s">
        <v>1787</v>
      </c>
      <c r="W2712">
        <v>23090</v>
      </c>
      <c r="X2712" t="s">
        <v>1816</v>
      </c>
      <c r="Y2712">
        <v>21212</v>
      </c>
      <c r="Z2712">
        <v>646520</v>
      </c>
      <c r="AA2712">
        <v>52584</v>
      </c>
      <c r="AB2712" t="str">
        <f>(VLOOKUP(SalesData[[#This Row],[Month Number]],Reference!C$5:E$16,2,FALSE))</f>
        <v>Feb</v>
      </c>
      <c r="AC2712">
        <f>MONTH(SalesData[[#This Row],[Date]])</f>
        <v>2</v>
      </c>
      <c r="AD2712">
        <f>Reference!F$4</f>
        <v>2026</v>
      </c>
      <c r="AE2712" t="str">
        <f>IF(OR(SalesData[[#This Row],[Day]]="Saturday",SalesData[[#This Row],[Day]]="Sunday"),"Weekend","Weekday")</f>
        <v>Weekday</v>
      </c>
      <c r="AF2712" s="5">
        <f>IF(SalesData[[#This Row],[Contracts Offered]]=0,0,SalesData[[#This Row],[Contracts Signed]]/SalesData[[#This Row],[Contracts Offered]])</f>
        <v>0.22580645161290322</v>
      </c>
      <c r="AG2712" s="5">
        <f>IF(SalesData[[#This Row],[Customers Visited]]=0,0,SalesData[[#This Row],[Test Drives]]/SalesData[[#This Row],[Customers Visited]])</f>
        <v>0.46370023419203749</v>
      </c>
      <c r="AH2712" s="5">
        <f>IF(SalesData[[#This Row],[Customers Visited]]=0,0,SalesData[[#This Row],[Contracts Signed]]/SalesData[[#This Row],[Customers Visited]])</f>
        <v>6.5573770491803282E-2</v>
      </c>
      <c r="AI2712" s="6">
        <f>IF(SalesData[[#This Row],[Contracts Signed]]=0,0,SalesData[[#This Row],[Profit(€)]]/SalesData[[#This Row],[Contracts Signed]])</f>
        <v>1878</v>
      </c>
      <c r="AJ2712" s="5" t="str">
        <f>TRIM(CLEAN(SalesData[[#This Row],[Retailer]]))</f>
        <v>Hannover Cars</v>
      </c>
    </row>
    <row r="2713" spans="1:36" ht="14.25" hidden="1" x14ac:dyDescent="0.2">
      <c r="A2713" t="s">
        <v>3830</v>
      </c>
      <c r="B2713" s="1">
        <v>46068</v>
      </c>
      <c r="C2713" t="s">
        <v>62</v>
      </c>
      <c r="D2713" t="s">
        <v>41</v>
      </c>
      <c r="E2713" t="s">
        <v>42</v>
      </c>
      <c r="F2713" t="s">
        <v>83</v>
      </c>
      <c r="G2713" t="s">
        <v>84</v>
      </c>
      <c r="H2713" t="s">
        <v>85</v>
      </c>
      <c r="I2713" t="s">
        <v>104</v>
      </c>
      <c r="J2713" t="s">
        <v>7061</v>
      </c>
      <c r="K2713" t="s">
        <v>66</v>
      </c>
      <c r="L2713" t="s">
        <v>46</v>
      </c>
      <c r="M2713" t="s">
        <v>68</v>
      </c>
      <c r="N2713" t="s">
        <v>48</v>
      </c>
      <c r="O2713" t="s">
        <v>70</v>
      </c>
      <c r="P2713" t="s">
        <v>58</v>
      </c>
      <c r="Q2713" t="s">
        <v>204</v>
      </c>
      <c r="R2713">
        <v>422</v>
      </c>
      <c r="S2713">
        <v>202</v>
      </c>
      <c r="T2713">
        <v>132</v>
      </c>
      <c r="U2713">
        <v>33</v>
      </c>
      <c r="V2713" t="s">
        <v>3622</v>
      </c>
      <c r="W2713">
        <v>29386</v>
      </c>
      <c r="X2713" t="s">
        <v>1009</v>
      </c>
      <c r="Y2713">
        <v>25373</v>
      </c>
      <c r="Z2713">
        <v>969738</v>
      </c>
      <c r="AA2713">
        <v>132429</v>
      </c>
      <c r="AB2713" t="str">
        <f>(VLOOKUP(SalesData[[#This Row],[Month Number]],Reference!C$5:E$16,2,FALSE))</f>
        <v>Feb</v>
      </c>
      <c r="AC2713">
        <f>MONTH(SalesData[[#This Row],[Date]])</f>
        <v>2</v>
      </c>
      <c r="AD2713">
        <f>Reference!F$4</f>
        <v>2026</v>
      </c>
      <c r="AE2713" t="str">
        <f>IF(OR(SalesData[[#This Row],[Day]]="Saturday",SalesData[[#This Row],[Day]]="Sunday"),"Weekend","Weekday")</f>
        <v>Weekend</v>
      </c>
      <c r="AF2713" s="5">
        <f>IF(SalesData[[#This Row],[Contracts Offered]]=0,0,SalesData[[#This Row],[Contracts Signed]]/SalesData[[#This Row],[Contracts Offered]])</f>
        <v>0.25</v>
      </c>
      <c r="AG2713" s="5">
        <f>IF(SalesData[[#This Row],[Customers Visited]]=0,0,SalesData[[#This Row],[Test Drives]]/SalesData[[#This Row],[Customers Visited]])</f>
        <v>0.47867298578199052</v>
      </c>
      <c r="AH2713" s="5">
        <f>IF(SalesData[[#This Row],[Customers Visited]]=0,0,SalesData[[#This Row],[Contracts Signed]]/SalesData[[#This Row],[Customers Visited]])</f>
        <v>7.8199052132701424E-2</v>
      </c>
      <c r="AI2713" s="6">
        <f>IF(SalesData[[#This Row],[Contracts Signed]]=0,0,SalesData[[#This Row],[Profit(€)]]/SalesData[[#This Row],[Contracts Signed]])</f>
        <v>4013</v>
      </c>
      <c r="AJ2713" s="5" t="str">
        <f>TRIM(CLEAN(SalesData[[#This Row],[Retailer]]))</f>
        <v>Hannover Cars</v>
      </c>
    </row>
    <row r="2714" spans="1:36" ht="14.25" hidden="1" x14ac:dyDescent="0.2">
      <c r="A2714" t="s">
        <v>3832</v>
      </c>
      <c r="B2714" s="1">
        <v>46057</v>
      </c>
      <c r="C2714" t="s">
        <v>24</v>
      </c>
      <c r="D2714" t="s">
        <v>82</v>
      </c>
      <c r="E2714" t="s">
        <v>26</v>
      </c>
      <c r="F2714" t="s">
        <v>27</v>
      </c>
      <c r="G2714" t="s">
        <v>28</v>
      </c>
      <c r="H2714" t="s">
        <v>29</v>
      </c>
      <c r="I2714" t="s">
        <v>56</v>
      </c>
      <c r="J2714" t="s">
        <v>179</v>
      </c>
      <c r="K2714" t="s">
        <v>91</v>
      </c>
      <c r="L2714" t="s">
        <v>67</v>
      </c>
      <c r="M2714" t="s">
        <v>34</v>
      </c>
      <c r="N2714" t="s">
        <v>35</v>
      </c>
      <c r="O2714" t="s">
        <v>36</v>
      </c>
      <c r="P2714" t="s">
        <v>71</v>
      </c>
      <c r="Q2714" t="s">
        <v>79</v>
      </c>
      <c r="R2714">
        <v>241</v>
      </c>
      <c r="S2714">
        <v>124</v>
      </c>
      <c r="T2714">
        <v>86</v>
      </c>
      <c r="U2714">
        <v>28</v>
      </c>
      <c r="V2714" t="s">
        <v>6364</v>
      </c>
      <c r="W2714">
        <v>41063</v>
      </c>
      <c r="X2714" t="s">
        <v>3853</v>
      </c>
      <c r="Y2714">
        <v>31192</v>
      </c>
      <c r="Z2714">
        <v>1149764</v>
      </c>
      <c r="AA2714">
        <v>276388</v>
      </c>
      <c r="AB2714" t="str">
        <f>(VLOOKUP(SalesData[[#This Row],[Month Number]],Reference!C$5:E$16,2,FALSE))</f>
        <v>Feb</v>
      </c>
      <c r="AC2714">
        <f>MONTH(SalesData[[#This Row],[Date]])</f>
        <v>2</v>
      </c>
      <c r="AD2714">
        <f>Reference!F$4</f>
        <v>2026</v>
      </c>
      <c r="AE2714" t="str">
        <f>IF(OR(SalesData[[#This Row],[Day]]="Saturday",SalesData[[#This Row],[Day]]="Sunday"),"Weekend","Weekday")</f>
        <v>Weekday</v>
      </c>
      <c r="AF2714" s="5">
        <f>IF(SalesData[[#This Row],[Contracts Offered]]=0,0,SalesData[[#This Row],[Contracts Signed]]/SalesData[[#This Row],[Contracts Offered]])</f>
        <v>0.32558139534883723</v>
      </c>
      <c r="AG2714" s="5">
        <f>IF(SalesData[[#This Row],[Customers Visited]]=0,0,SalesData[[#This Row],[Test Drives]]/SalesData[[#This Row],[Customers Visited]])</f>
        <v>0.51452282157676343</v>
      </c>
      <c r="AH2714" s="5">
        <f>IF(SalesData[[#This Row],[Customers Visited]]=0,0,SalesData[[#This Row],[Contracts Signed]]/SalesData[[#This Row],[Customers Visited]])</f>
        <v>0.11618257261410789</v>
      </c>
      <c r="AI2714" s="6">
        <f>IF(SalesData[[#This Row],[Contracts Signed]]=0,0,SalesData[[#This Row],[Profit(€)]]/SalesData[[#This Row],[Contracts Signed]])</f>
        <v>9871</v>
      </c>
      <c r="AJ2714" s="5" t="str">
        <f>TRIM(CLEAN(SalesData[[#This Row],[Retailer]]))</f>
        <v>Main Auto Hub</v>
      </c>
    </row>
    <row r="2715" spans="1:36" ht="14.25" hidden="1" x14ac:dyDescent="0.2">
      <c r="A2715" t="s">
        <v>3833</v>
      </c>
      <c r="B2715" s="1">
        <v>46064</v>
      </c>
      <c r="C2715" t="s">
        <v>121</v>
      </c>
      <c r="D2715" t="s">
        <v>82</v>
      </c>
      <c r="E2715" t="s">
        <v>26</v>
      </c>
      <c r="F2715" t="s">
        <v>127</v>
      </c>
      <c r="G2715" t="s">
        <v>128</v>
      </c>
      <c r="H2715" t="s">
        <v>103</v>
      </c>
      <c r="I2715" t="s">
        <v>64</v>
      </c>
      <c r="J2715" t="s">
        <v>157</v>
      </c>
      <c r="K2715" t="s">
        <v>32</v>
      </c>
      <c r="L2715" t="s">
        <v>33</v>
      </c>
      <c r="M2715" t="s">
        <v>34</v>
      </c>
      <c r="N2715" t="s">
        <v>69</v>
      </c>
      <c r="O2715" t="s">
        <v>36</v>
      </c>
      <c r="P2715" t="s">
        <v>58</v>
      </c>
      <c r="Q2715" t="s">
        <v>88</v>
      </c>
      <c r="R2715">
        <v>153</v>
      </c>
      <c r="S2715">
        <v>77</v>
      </c>
      <c r="T2715">
        <v>59</v>
      </c>
      <c r="U2715">
        <v>24</v>
      </c>
      <c r="V2715" t="s">
        <v>7084</v>
      </c>
      <c r="W2715">
        <v>49959</v>
      </c>
      <c r="X2715" t="s">
        <v>196</v>
      </c>
      <c r="Y2715">
        <v>35602</v>
      </c>
      <c r="Z2715">
        <v>1199016</v>
      </c>
      <c r="AA2715">
        <v>344568</v>
      </c>
      <c r="AB2715" t="str">
        <f>(VLOOKUP(SalesData[[#This Row],[Month Number]],Reference!C$5:E$16,2,FALSE))</f>
        <v>Feb</v>
      </c>
      <c r="AC2715">
        <f>MONTH(SalesData[[#This Row],[Date]])</f>
        <v>2</v>
      </c>
      <c r="AD2715">
        <f>Reference!F$4</f>
        <v>2026</v>
      </c>
      <c r="AE2715" t="str">
        <f>IF(OR(SalesData[[#This Row],[Day]]="Saturday",SalesData[[#This Row],[Day]]="Sunday"),"Weekend","Weekday")</f>
        <v>Weekday</v>
      </c>
      <c r="AF2715" s="5">
        <f>IF(SalesData[[#This Row],[Contracts Offered]]=0,0,SalesData[[#This Row],[Contracts Signed]]/SalesData[[#This Row],[Contracts Offered]])</f>
        <v>0.40677966101694918</v>
      </c>
      <c r="AG2715" s="5">
        <f>IF(SalesData[[#This Row],[Customers Visited]]=0,0,SalesData[[#This Row],[Test Drives]]/SalesData[[#This Row],[Customers Visited]])</f>
        <v>0.50326797385620914</v>
      </c>
      <c r="AH2715" s="5">
        <f>IF(SalesData[[#This Row],[Customers Visited]]=0,0,SalesData[[#This Row],[Contracts Signed]]/SalesData[[#This Row],[Customers Visited]])</f>
        <v>0.15686274509803921</v>
      </c>
      <c r="AI2715" s="6">
        <f>IF(SalesData[[#This Row],[Contracts Signed]]=0,0,SalesData[[#This Row],[Profit(€)]]/SalesData[[#This Row],[Contracts Signed]])</f>
        <v>14357</v>
      </c>
      <c r="AJ2715" s="5" t="str">
        <f>TRIM(CLEAN(SalesData[[#This Row],[Retailer]]))</f>
        <v>Rhein Auto Group</v>
      </c>
    </row>
    <row r="2716" spans="1:36" ht="14.25" hidden="1" x14ac:dyDescent="0.2">
      <c r="A2716" t="s">
        <v>3834</v>
      </c>
      <c r="B2716" s="1">
        <v>46072</v>
      </c>
      <c r="C2716" t="s">
        <v>62</v>
      </c>
      <c r="D2716" t="s">
        <v>100</v>
      </c>
      <c r="E2716" t="s">
        <v>26</v>
      </c>
      <c r="F2716" t="s">
        <v>27</v>
      </c>
      <c r="G2716" t="s">
        <v>28</v>
      </c>
      <c r="H2716" t="s">
        <v>29</v>
      </c>
      <c r="I2716" t="s">
        <v>56</v>
      </c>
      <c r="J2716" t="s">
        <v>7028</v>
      </c>
      <c r="K2716" t="s">
        <v>78</v>
      </c>
      <c r="L2716" t="s">
        <v>46</v>
      </c>
      <c r="M2716" t="s">
        <v>68</v>
      </c>
      <c r="N2716" t="s">
        <v>69</v>
      </c>
      <c r="O2716" t="s">
        <v>36</v>
      </c>
      <c r="P2716" t="s">
        <v>71</v>
      </c>
      <c r="Q2716" t="s">
        <v>204</v>
      </c>
      <c r="R2716">
        <v>193</v>
      </c>
      <c r="S2716">
        <v>93</v>
      </c>
      <c r="T2716">
        <v>66</v>
      </c>
      <c r="U2716">
        <v>20</v>
      </c>
      <c r="V2716" t="s">
        <v>6885</v>
      </c>
      <c r="W2716">
        <v>45188</v>
      </c>
      <c r="X2716" t="s">
        <v>7045</v>
      </c>
      <c r="Y2716">
        <v>34973</v>
      </c>
      <c r="Z2716">
        <v>903760</v>
      </c>
      <c r="AA2716">
        <v>204300</v>
      </c>
      <c r="AB2716" t="str">
        <f>(VLOOKUP(SalesData[[#This Row],[Month Number]],Reference!C$5:E$16,2,FALSE))</f>
        <v>Feb</v>
      </c>
      <c r="AC2716">
        <f>MONTH(SalesData[[#This Row],[Date]])</f>
        <v>2</v>
      </c>
      <c r="AD2716">
        <f>Reference!F$4</f>
        <v>2026</v>
      </c>
      <c r="AE2716" t="str">
        <f>IF(OR(SalesData[[#This Row],[Day]]="Saturday",SalesData[[#This Row],[Day]]="Sunday"),"Weekend","Weekday")</f>
        <v>Weekday</v>
      </c>
      <c r="AF2716" s="5">
        <f>IF(SalesData[[#This Row],[Contracts Offered]]=0,0,SalesData[[#This Row],[Contracts Signed]]/SalesData[[#This Row],[Contracts Offered]])</f>
        <v>0.30303030303030304</v>
      </c>
      <c r="AG2716" s="5">
        <f>IF(SalesData[[#This Row],[Customers Visited]]=0,0,SalesData[[#This Row],[Test Drives]]/SalesData[[#This Row],[Customers Visited]])</f>
        <v>0.48186528497409326</v>
      </c>
      <c r="AH2716" s="5">
        <f>IF(SalesData[[#This Row],[Customers Visited]]=0,0,SalesData[[#This Row],[Contracts Signed]]/SalesData[[#This Row],[Customers Visited]])</f>
        <v>0.10362694300518134</v>
      </c>
      <c r="AI2716" s="6">
        <f>IF(SalesData[[#This Row],[Contracts Signed]]=0,0,SalesData[[#This Row],[Profit(€)]]/SalesData[[#This Row],[Contracts Signed]])</f>
        <v>10215</v>
      </c>
      <c r="AJ2716" s="5" t="str">
        <f>TRIM(CLEAN(SalesData[[#This Row],[Retailer]]))</f>
        <v>Main Auto Hub</v>
      </c>
    </row>
    <row r="2717" spans="1:36" ht="14.25" hidden="1" x14ac:dyDescent="0.2">
      <c r="A2717" t="s">
        <v>3835</v>
      </c>
      <c r="B2717" s="1">
        <v>46076</v>
      </c>
      <c r="C2717" t="s">
        <v>53</v>
      </c>
      <c r="D2717" t="s">
        <v>25</v>
      </c>
      <c r="E2717" t="s">
        <v>26</v>
      </c>
      <c r="F2717" t="s">
        <v>109</v>
      </c>
      <c r="G2717" t="s">
        <v>110</v>
      </c>
      <c r="H2717" t="s">
        <v>45</v>
      </c>
      <c r="I2717" t="s">
        <v>116</v>
      </c>
      <c r="J2717" t="s">
        <v>7026</v>
      </c>
      <c r="K2717" t="s">
        <v>66</v>
      </c>
      <c r="L2717" t="s">
        <v>46</v>
      </c>
      <c r="M2717" t="s">
        <v>47</v>
      </c>
      <c r="N2717" t="s">
        <v>48</v>
      </c>
      <c r="O2717" t="s">
        <v>36</v>
      </c>
      <c r="P2717" t="s">
        <v>71</v>
      </c>
      <c r="Q2717" t="s">
        <v>50</v>
      </c>
      <c r="R2717">
        <v>315</v>
      </c>
      <c r="S2717">
        <v>150</v>
      </c>
      <c r="T2717">
        <v>99</v>
      </c>
      <c r="U2717">
        <v>22</v>
      </c>
      <c r="V2717" t="s">
        <v>4665</v>
      </c>
      <c r="W2717">
        <v>20649</v>
      </c>
      <c r="X2717" t="s">
        <v>2829</v>
      </c>
      <c r="Y2717">
        <v>19146</v>
      </c>
      <c r="Z2717">
        <v>454278</v>
      </c>
      <c r="AA2717">
        <v>33066</v>
      </c>
      <c r="AB2717" t="str">
        <f>(VLOOKUP(SalesData[[#This Row],[Month Number]],Reference!C$5:E$16,2,FALSE))</f>
        <v>Feb</v>
      </c>
      <c r="AC2717">
        <f>MONTH(SalesData[[#This Row],[Date]])</f>
        <v>2</v>
      </c>
      <c r="AD2717">
        <f>Reference!F$4</f>
        <v>2026</v>
      </c>
      <c r="AE2717" t="str">
        <f>IF(OR(SalesData[[#This Row],[Day]]="Saturday",SalesData[[#This Row],[Day]]="Sunday"),"Weekend","Weekday")</f>
        <v>Weekday</v>
      </c>
      <c r="AF2717" s="5">
        <f>IF(SalesData[[#This Row],[Contracts Offered]]=0,0,SalesData[[#This Row],[Contracts Signed]]/SalesData[[#This Row],[Contracts Offered]])</f>
        <v>0.22222222222222221</v>
      </c>
      <c r="AG2717" s="5">
        <f>IF(SalesData[[#This Row],[Customers Visited]]=0,0,SalesData[[#This Row],[Test Drives]]/SalesData[[#This Row],[Customers Visited]])</f>
        <v>0.47619047619047616</v>
      </c>
      <c r="AH2717" s="5">
        <f>IF(SalesData[[#This Row],[Customers Visited]]=0,0,SalesData[[#This Row],[Contracts Signed]]/SalesData[[#This Row],[Customers Visited]])</f>
        <v>6.9841269841269843E-2</v>
      </c>
      <c r="AI2717" s="6">
        <f>IF(SalesData[[#This Row],[Contracts Signed]]=0,0,SalesData[[#This Row],[Profit(€)]]/SalesData[[#This Row],[Contracts Signed]])</f>
        <v>1503</v>
      </c>
      <c r="AJ2717" s="5" t="str">
        <f>TRIM(CLEAN(SalesData[[#This Row],[Retailer]]))</f>
        <v>Leipzig Mobility</v>
      </c>
    </row>
    <row r="2718" spans="1:36" ht="14.25" hidden="1" x14ac:dyDescent="0.2">
      <c r="A2718" t="s">
        <v>3836</v>
      </c>
      <c r="B2718" s="1">
        <v>46076</v>
      </c>
      <c r="C2718" t="s">
        <v>53</v>
      </c>
      <c r="D2718" t="s">
        <v>25</v>
      </c>
      <c r="E2718" t="s">
        <v>26</v>
      </c>
      <c r="F2718" t="s">
        <v>7649</v>
      </c>
      <c r="G2718" t="s">
        <v>55</v>
      </c>
      <c r="H2718" t="s">
        <v>55</v>
      </c>
      <c r="I2718" t="s">
        <v>116</v>
      </c>
      <c r="J2718" t="s">
        <v>7026</v>
      </c>
      <c r="K2718" t="s">
        <v>66</v>
      </c>
      <c r="L2718" t="s">
        <v>46</v>
      </c>
      <c r="M2718" t="s">
        <v>47</v>
      </c>
      <c r="N2718" t="s">
        <v>35</v>
      </c>
      <c r="O2718" t="s">
        <v>36</v>
      </c>
      <c r="P2718" t="s">
        <v>58</v>
      </c>
      <c r="Q2718" t="s">
        <v>79</v>
      </c>
      <c r="R2718">
        <v>258</v>
      </c>
      <c r="S2718">
        <v>135</v>
      </c>
      <c r="T2718">
        <v>86</v>
      </c>
      <c r="U2718">
        <v>28</v>
      </c>
      <c r="V2718" t="s">
        <v>7440</v>
      </c>
      <c r="W2718">
        <v>21633</v>
      </c>
      <c r="X2718" t="s">
        <v>2802</v>
      </c>
      <c r="Y2718">
        <v>19905</v>
      </c>
      <c r="Z2718">
        <v>605724</v>
      </c>
      <c r="AA2718">
        <v>48384</v>
      </c>
      <c r="AB2718" t="str">
        <f>(VLOOKUP(SalesData[[#This Row],[Month Number]],Reference!C$5:E$16,2,FALSE))</f>
        <v>Feb</v>
      </c>
      <c r="AC2718">
        <f>MONTH(SalesData[[#This Row],[Date]])</f>
        <v>2</v>
      </c>
      <c r="AD2718">
        <f>Reference!F$4</f>
        <v>2026</v>
      </c>
      <c r="AE2718" t="str">
        <f>IF(OR(SalesData[[#This Row],[Day]]="Saturday",SalesData[[#This Row],[Day]]="Sunday"),"Weekend","Weekday")</f>
        <v>Weekday</v>
      </c>
      <c r="AF2718" s="5">
        <f>IF(SalesData[[#This Row],[Contracts Offered]]=0,0,SalesData[[#This Row],[Contracts Signed]]/SalesData[[#This Row],[Contracts Offered]])</f>
        <v>0.32558139534883723</v>
      </c>
      <c r="AG2718" s="5">
        <f>IF(SalesData[[#This Row],[Customers Visited]]=0,0,SalesData[[#This Row],[Test Drives]]/SalesData[[#This Row],[Customers Visited]])</f>
        <v>0.52325581395348841</v>
      </c>
      <c r="AH2718" s="5">
        <f>IF(SalesData[[#This Row],[Customers Visited]]=0,0,SalesData[[#This Row],[Contracts Signed]]/SalesData[[#This Row],[Customers Visited]])</f>
        <v>0.10852713178294573</v>
      </c>
      <c r="AI2718" s="6">
        <f>IF(SalesData[[#This Row],[Contracts Signed]]=0,0,SalesData[[#This Row],[Profit(€)]]/SalesData[[#This Row],[Contracts Signed]])</f>
        <v>1728</v>
      </c>
      <c r="AJ2718" s="5" t="str">
        <f>TRIM(CLEAN(SalesData[[#This Row],[Retailer]]))</f>
        <v>Autohaus Berlin</v>
      </c>
    </row>
    <row r="2719" spans="1:36" ht="14.25" hidden="1" x14ac:dyDescent="0.2">
      <c r="A2719" t="s">
        <v>3837</v>
      </c>
      <c r="B2719" s="1">
        <v>46066</v>
      </c>
      <c r="C2719" t="s">
        <v>121</v>
      </c>
      <c r="D2719" t="s">
        <v>54</v>
      </c>
      <c r="E2719" t="s">
        <v>26</v>
      </c>
      <c r="F2719" t="s">
        <v>74</v>
      </c>
      <c r="G2719" t="s">
        <v>75</v>
      </c>
      <c r="H2719" t="s">
        <v>76</v>
      </c>
      <c r="I2719" t="s">
        <v>56</v>
      </c>
      <c r="J2719" t="s">
        <v>179</v>
      </c>
      <c r="K2719" t="s">
        <v>32</v>
      </c>
      <c r="L2719" t="s">
        <v>67</v>
      </c>
      <c r="M2719" t="s">
        <v>47</v>
      </c>
      <c r="N2719" t="s">
        <v>48</v>
      </c>
      <c r="O2719" t="s">
        <v>70</v>
      </c>
      <c r="P2719" t="s">
        <v>49</v>
      </c>
      <c r="Q2719" t="s">
        <v>144</v>
      </c>
      <c r="R2719">
        <v>302</v>
      </c>
      <c r="S2719">
        <v>193</v>
      </c>
      <c r="T2719">
        <v>145</v>
      </c>
      <c r="U2719">
        <v>40</v>
      </c>
      <c r="V2719" t="s">
        <v>7498</v>
      </c>
      <c r="W2719">
        <v>49427</v>
      </c>
      <c r="X2719" t="s">
        <v>7307</v>
      </c>
      <c r="Y2719">
        <v>39431</v>
      </c>
      <c r="Z2719">
        <v>1977080</v>
      </c>
      <c r="AA2719">
        <v>399840</v>
      </c>
      <c r="AB2719" t="str">
        <f>(VLOOKUP(SalesData[[#This Row],[Month Number]],Reference!C$5:E$16,2,FALSE))</f>
        <v>Feb</v>
      </c>
      <c r="AC2719">
        <f>MONTH(SalesData[[#This Row],[Date]])</f>
        <v>2</v>
      </c>
      <c r="AD2719">
        <f>Reference!F$4</f>
        <v>2026</v>
      </c>
      <c r="AE2719" t="str">
        <f>IF(OR(SalesData[[#This Row],[Day]]="Saturday",SalesData[[#This Row],[Day]]="Sunday"),"Weekend","Weekday")</f>
        <v>Weekday</v>
      </c>
      <c r="AF2719" s="5">
        <f>IF(SalesData[[#This Row],[Contracts Offered]]=0,0,SalesData[[#This Row],[Contracts Signed]]/SalesData[[#This Row],[Contracts Offered]])</f>
        <v>0.27586206896551724</v>
      </c>
      <c r="AG2719" s="5">
        <f>IF(SalesData[[#This Row],[Customers Visited]]=0,0,SalesData[[#This Row],[Test Drives]]/SalesData[[#This Row],[Customers Visited]])</f>
        <v>0.63907284768211925</v>
      </c>
      <c r="AH2719" s="5">
        <f>IF(SalesData[[#This Row],[Customers Visited]]=0,0,SalesData[[#This Row],[Contracts Signed]]/SalesData[[#This Row],[Customers Visited]])</f>
        <v>0.13245033112582782</v>
      </c>
      <c r="AI2719" s="6">
        <f>IF(SalesData[[#This Row],[Contracts Signed]]=0,0,SalesData[[#This Row],[Profit(€)]]/SalesData[[#This Row],[Contracts Signed]])</f>
        <v>9996</v>
      </c>
      <c r="AJ2719" s="5" t="str">
        <f>TRIM(CLEAN(SalesData[[#This Row],[Retailer]]))</f>
        <v>Stuttgart Auto Center</v>
      </c>
    </row>
    <row r="2720" spans="1:36" ht="14.25" hidden="1" x14ac:dyDescent="0.2">
      <c r="A2720" t="s">
        <v>3838</v>
      </c>
      <c r="B2720" s="1">
        <v>46055</v>
      </c>
      <c r="C2720" t="s">
        <v>24</v>
      </c>
      <c r="D2720" t="s">
        <v>25</v>
      </c>
      <c r="E2720" t="s">
        <v>26</v>
      </c>
      <c r="F2720" t="s">
        <v>109</v>
      </c>
      <c r="G2720" t="s">
        <v>110</v>
      </c>
      <c r="H2720" t="s">
        <v>45</v>
      </c>
      <c r="I2720" t="s">
        <v>64</v>
      </c>
      <c r="J2720" t="s">
        <v>157</v>
      </c>
      <c r="K2720" t="s">
        <v>91</v>
      </c>
      <c r="L2720" t="s">
        <v>33</v>
      </c>
      <c r="M2720" t="s">
        <v>68</v>
      </c>
      <c r="N2720" t="s">
        <v>35</v>
      </c>
      <c r="O2720" t="s">
        <v>36</v>
      </c>
      <c r="P2720" t="s">
        <v>49</v>
      </c>
      <c r="Q2720" t="s">
        <v>135</v>
      </c>
      <c r="R2720">
        <v>274</v>
      </c>
      <c r="S2720">
        <v>133</v>
      </c>
      <c r="T2720">
        <v>95</v>
      </c>
      <c r="U2720">
        <v>31</v>
      </c>
      <c r="V2720" t="s">
        <v>6553</v>
      </c>
      <c r="W2720">
        <v>65493</v>
      </c>
      <c r="X2720" t="s">
        <v>5727</v>
      </c>
      <c r="Y2720">
        <v>46917</v>
      </c>
      <c r="Z2720">
        <v>2030283</v>
      </c>
      <c r="AA2720">
        <v>575856</v>
      </c>
      <c r="AB2720" t="str">
        <f>(VLOOKUP(SalesData[[#This Row],[Month Number]],Reference!C$5:E$16,2,FALSE))</f>
        <v>Feb</v>
      </c>
      <c r="AC2720">
        <f>MONTH(SalesData[[#This Row],[Date]])</f>
        <v>2</v>
      </c>
      <c r="AD2720">
        <f>Reference!F$4</f>
        <v>2026</v>
      </c>
      <c r="AE2720" t="str">
        <f>IF(OR(SalesData[[#This Row],[Day]]="Saturday",SalesData[[#This Row],[Day]]="Sunday"),"Weekend","Weekday")</f>
        <v>Weekday</v>
      </c>
      <c r="AF2720" s="5">
        <f>IF(SalesData[[#This Row],[Contracts Offered]]=0,0,SalesData[[#This Row],[Contracts Signed]]/SalesData[[#This Row],[Contracts Offered]])</f>
        <v>0.32631578947368423</v>
      </c>
      <c r="AG2720" s="5">
        <f>IF(SalesData[[#This Row],[Customers Visited]]=0,0,SalesData[[#This Row],[Test Drives]]/SalesData[[#This Row],[Customers Visited]])</f>
        <v>0.48540145985401462</v>
      </c>
      <c r="AH2720" s="5">
        <f>IF(SalesData[[#This Row],[Customers Visited]]=0,0,SalesData[[#This Row],[Contracts Signed]]/SalesData[[#This Row],[Customers Visited]])</f>
        <v>0.11313868613138686</v>
      </c>
      <c r="AI2720" s="6">
        <f>IF(SalesData[[#This Row],[Contracts Signed]]=0,0,SalesData[[#This Row],[Profit(€)]]/SalesData[[#This Row],[Contracts Signed]])</f>
        <v>18576</v>
      </c>
      <c r="AJ2720" s="5" t="str">
        <f>TRIM(CLEAN(SalesData[[#This Row],[Retailer]]))</f>
        <v>Leipzig Mobility</v>
      </c>
    </row>
    <row r="2721" spans="1:36" ht="14.25" hidden="1" x14ac:dyDescent="0.2">
      <c r="A2721" t="s">
        <v>3839</v>
      </c>
      <c r="B2721" s="1">
        <v>46067</v>
      </c>
      <c r="C2721" t="s">
        <v>121</v>
      </c>
      <c r="D2721" t="s">
        <v>151</v>
      </c>
      <c r="E2721" t="s">
        <v>42</v>
      </c>
      <c r="F2721" t="s">
        <v>83</v>
      </c>
      <c r="G2721" t="s">
        <v>84</v>
      </c>
      <c r="H2721" t="s">
        <v>85</v>
      </c>
      <c r="I2721" t="s">
        <v>64</v>
      </c>
      <c r="J2721" t="s">
        <v>65</v>
      </c>
      <c r="K2721" t="s">
        <v>32</v>
      </c>
      <c r="L2721" t="s">
        <v>33</v>
      </c>
      <c r="M2721" t="s">
        <v>47</v>
      </c>
      <c r="N2721" t="s">
        <v>69</v>
      </c>
      <c r="O2721" t="s">
        <v>70</v>
      </c>
      <c r="P2721" t="s">
        <v>49</v>
      </c>
      <c r="Q2721" t="s">
        <v>59</v>
      </c>
      <c r="R2721">
        <v>200</v>
      </c>
      <c r="S2721">
        <v>100</v>
      </c>
      <c r="T2721">
        <v>71</v>
      </c>
      <c r="U2721">
        <v>21</v>
      </c>
      <c r="V2721" t="s">
        <v>6790</v>
      </c>
      <c r="W2721">
        <v>52771</v>
      </c>
      <c r="X2721" t="s">
        <v>1752</v>
      </c>
      <c r="Y2721">
        <v>39806</v>
      </c>
      <c r="Z2721">
        <v>1108191</v>
      </c>
      <c r="AA2721">
        <v>272265</v>
      </c>
      <c r="AB2721" t="str">
        <f>(VLOOKUP(SalesData[[#This Row],[Month Number]],Reference!C$5:E$16,2,FALSE))</f>
        <v>Feb</v>
      </c>
      <c r="AC2721">
        <f>MONTH(SalesData[[#This Row],[Date]])</f>
        <v>2</v>
      </c>
      <c r="AD2721">
        <f>Reference!F$4</f>
        <v>2026</v>
      </c>
      <c r="AE2721" t="str">
        <f>IF(OR(SalesData[[#This Row],[Day]]="Saturday",SalesData[[#This Row],[Day]]="Sunday"),"Weekend","Weekday")</f>
        <v>Weekend</v>
      </c>
      <c r="AF2721" s="5">
        <f>IF(SalesData[[#This Row],[Contracts Offered]]=0,0,SalesData[[#This Row],[Contracts Signed]]/SalesData[[#This Row],[Contracts Offered]])</f>
        <v>0.29577464788732394</v>
      </c>
      <c r="AG2721" s="5">
        <f>IF(SalesData[[#This Row],[Customers Visited]]=0,0,SalesData[[#This Row],[Test Drives]]/SalesData[[#This Row],[Customers Visited]])</f>
        <v>0.5</v>
      </c>
      <c r="AH2721" s="5">
        <f>IF(SalesData[[#This Row],[Customers Visited]]=0,0,SalesData[[#This Row],[Contracts Signed]]/SalesData[[#This Row],[Customers Visited]])</f>
        <v>0.105</v>
      </c>
      <c r="AI2721" s="6">
        <f>IF(SalesData[[#This Row],[Contracts Signed]]=0,0,SalesData[[#This Row],[Profit(€)]]/SalesData[[#This Row],[Contracts Signed]])</f>
        <v>12965</v>
      </c>
      <c r="AJ2721" s="5" t="str">
        <f>TRIM(CLEAN(SalesData[[#This Row],[Retailer]]))</f>
        <v>Hannover Cars</v>
      </c>
    </row>
    <row r="2722" spans="1:36" ht="14.25" hidden="1" x14ac:dyDescent="0.2">
      <c r="A2722" t="s">
        <v>3840</v>
      </c>
      <c r="B2722" s="1">
        <v>46062</v>
      </c>
      <c r="C2722" t="s">
        <v>121</v>
      </c>
      <c r="D2722" t="s">
        <v>25</v>
      </c>
      <c r="E2722" t="s">
        <v>26</v>
      </c>
      <c r="F2722" t="s">
        <v>109</v>
      </c>
      <c r="G2722" t="s">
        <v>110</v>
      </c>
      <c r="H2722" t="s">
        <v>45</v>
      </c>
      <c r="I2722" t="s">
        <v>56</v>
      </c>
      <c r="J2722" t="s">
        <v>7028</v>
      </c>
      <c r="K2722" t="s">
        <v>91</v>
      </c>
      <c r="L2722" t="s">
        <v>46</v>
      </c>
      <c r="M2722" t="s">
        <v>47</v>
      </c>
      <c r="N2722" t="s">
        <v>35</v>
      </c>
      <c r="O2722" t="s">
        <v>36</v>
      </c>
      <c r="P2722" t="s">
        <v>71</v>
      </c>
      <c r="Q2722" t="s">
        <v>129</v>
      </c>
      <c r="R2722">
        <v>231</v>
      </c>
      <c r="S2722">
        <v>126</v>
      </c>
      <c r="T2722">
        <v>94</v>
      </c>
      <c r="U2722">
        <v>28</v>
      </c>
      <c r="V2722" t="s">
        <v>6433</v>
      </c>
      <c r="W2722">
        <v>50932</v>
      </c>
      <c r="X2722" t="s">
        <v>7438</v>
      </c>
      <c r="Y2722">
        <v>38915</v>
      </c>
      <c r="Z2722">
        <v>1426096</v>
      </c>
      <c r="AA2722">
        <v>336476</v>
      </c>
      <c r="AB2722" t="str">
        <f>(VLOOKUP(SalesData[[#This Row],[Month Number]],Reference!C$5:E$16,2,FALSE))</f>
        <v>Feb</v>
      </c>
      <c r="AC2722">
        <f>MONTH(SalesData[[#This Row],[Date]])</f>
        <v>2</v>
      </c>
      <c r="AD2722">
        <f>Reference!F$4</f>
        <v>2026</v>
      </c>
      <c r="AE2722" t="str">
        <f>IF(OR(SalesData[[#This Row],[Day]]="Saturday",SalesData[[#This Row],[Day]]="Sunday"),"Weekend","Weekday")</f>
        <v>Weekday</v>
      </c>
      <c r="AF2722" s="5">
        <f>IF(SalesData[[#This Row],[Contracts Offered]]=0,0,SalesData[[#This Row],[Contracts Signed]]/SalesData[[#This Row],[Contracts Offered]])</f>
        <v>0.2978723404255319</v>
      </c>
      <c r="AG2722" s="5">
        <f>IF(SalesData[[#This Row],[Customers Visited]]=0,0,SalesData[[#This Row],[Test Drives]]/SalesData[[#This Row],[Customers Visited]])</f>
        <v>0.54545454545454541</v>
      </c>
      <c r="AH2722" s="5">
        <f>IF(SalesData[[#This Row],[Customers Visited]]=0,0,SalesData[[#This Row],[Contracts Signed]]/SalesData[[#This Row],[Customers Visited]])</f>
        <v>0.12121212121212122</v>
      </c>
      <c r="AI2722" s="6">
        <f>IF(SalesData[[#This Row],[Contracts Signed]]=0,0,SalesData[[#This Row],[Profit(€)]]/SalesData[[#This Row],[Contracts Signed]])</f>
        <v>12017</v>
      </c>
      <c r="AJ2722" s="5" t="str">
        <f>TRIM(CLEAN(SalesData[[#This Row],[Retailer]]))</f>
        <v>Leipzig Mobility</v>
      </c>
    </row>
    <row r="2723" spans="1:36" ht="14.25" hidden="1" x14ac:dyDescent="0.2">
      <c r="A2723" t="s">
        <v>3841</v>
      </c>
      <c r="B2723" s="1">
        <v>46060</v>
      </c>
      <c r="C2723" t="s">
        <v>24</v>
      </c>
      <c r="D2723" t="s">
        <v>151</v>
      </c>
      <c r="E2723" t="s">
        <v>42</v>
      </c>
      <c r="F2723" t="s">
        <v>7649</v>
      </c>
      <c r="G2723" t="s">
        <v>55</v>
      </c>
      <c r="H2723" t="s">
        <v>55</v>
      </c>
      <c r="I2723" t="s">
        <v>116</v>
      </c>
      <c r="J2723" t="s">
        <v>117</v>
      </c>
      <c r="K2723" t="s">
        <v>78</v>
      </c>
      <c r="L2723" t="s">
        <v>67</v>
      </c>
      <c r="M2723" t="s">
        <v>87</v>
      </c>
      <c r="N2723" t="s">
        <v>35</v>
      </c>
      <c r="O2723" t="s">
        <v>36</v>
      </c>
      <c r="P2723" t="s">
        <v>58</v>
      </c>
      <c r="Q2723" t="s">
        <v>122</v>
      </c>
      <c r="R2723">
        <v>372</v>
      </c>
      <c r="S2723">
        <v>159</v>
      </c>
      <c r="T2723">
        <v>109</v>
      </c>
      <c r="U2723">
        <v>28</v>
      </c>
      <c r="V2723" t="s">
        <v>852</v>
      </c>
      <c r="W2723">
        <v>23558</v>
      </c>
      <c r="X2723" t="s">
        <v>7554</v>
      </c>
      <c r="Y2723">
        <v>21858</v>
      </c>
      <c r="Z2723">
        <v>659624</v>
      </c>
      <c r="AA2723">
        <v>47600</v>
      </c>
      <c r="AB2723" t="str">
        <f>(VLOOKUP(SalesData[[#This Row],[Month Number]],Reference!C$5:E$16,2,FALSE))</f>
        <v>Feb</v>
      </c>
      <c r="AC2723">
        <f>MONTH(SalesData[[#This Row],[Date]])</f>
        <v>2</v>
      </c>
      <c r="AD2723">
        <f>Reference!F$4</f>
        <v>2026</v>
      </c>
      <c r="AE2723" t="str">
        <f>IF(OR(SalesData[[#This Row],[Day]]="Saturday",SalesData[[#This Row],[Day]]="Sunday"),"Weekend","Weekday")</f>
        <v>Weekend</v>
      </c>
      <c r="AF2723" s="5">
        <f>IF(SalesData[[#This Row],[Contracts Offered]]=0,0,SalesData[[#This Row],[Contracts Signed]]/SalesData[[#This Row],[Contracts Offered]])</f>
        <v>0.25688073394495414</v>
      </c>
      <c r="AG2723" s="5">
        <f>IF(SalesData[[#This Row],[Customers Visited]]=0,0,SalesData[[#This Row],[Test Drives]]/SalesData[[#This Row],[Customers Visited]])</f>
        <v>0.42741935483870969</v>
      </c>
      <c r="AH2723" s="5">
        <f>IF(SalesData[[#This Row],[Customers Visited]]=0,0,SalesData[[#This Row],[Contracts Signed]]/SalesData[[#This Row],[Customers Visited]])</f>
        <v>7.5268817204301078E-2</v>
      </c>
      <c r="AI2723" s="6">
        <f>IF(SalesData[[#This Row],[Contracts Signed]]=0,0,SalesData[[#This Row],[Profit(€)]]/SalesData[[#This Row],[Contracts Signed]])</f>
        <v>1700</v>
      </c>
      <c r="AJ2723" s="5" t="str">
        <f>TRIM(CLEAN(SalesData[[#This Row],[Retailer]]))</f>
        <v>Autohaus Berlin</v>
      </c>
    </row>
    <row r="2724" spans="1:36" ht="14.25" hidden="1" x14ac:dyDescent="0.2">
      <c r="A2724" t="s">
        <v>3842</v>
      </c>
      <c r="B2724" s="1">
        <v>46058</v>
      </c>
      <c r="C2724" t="s">
        <v>24</v>
      </c>
      <c r="D2724" t="s">
        <v>100</v>
      </c>
      <c r="E2724" t="s">
        <v>26</v>
      </c>
      <c r="F2724" t="s">
        <v>127</v>
      </c>
      <c r="G2724" t="s">
        <v>128</v>
      </c>
      <c r="H2724" t="s">
        <v>103</v>
      </c>
      <c r="I2724" t="s">
        <v>104</v>
      </c>
      <c r="J2724" t="s">
        <v>140</v>
      </c>
      <c r="K2724" t="s">
        <v>66</v>
      </c>
      <c r="L2724" t="s">
        <v>46</v>
      </c>
      <c r="M2724" t="s">
        <v>68</v>
      </c>
      <c r="N2724" t="s">
        <v>35</v>
      </c>
      <c r="O2724" t="s">
        <v>36</v>
      </c>
      <c r="P2724" t="s">
        <v>58</v>
      </c>
      <c r="Q2724" t="s">
        <v>118</v>
      </c>
      <c r="R2724">
        <v>448</v>
      </c>
      <c r="S2724">
        <v>195</v>
      </c>
      <c r="T2724">
        <v>120</v>
      </c>
      <c r="U2724">
        <v>35</v>
      </c>
      <c r="V2724" t="s">
        <v>2538</v>
      </c>
      <c r="W2724">
        <v>31281</v>
      </c>
      <c r="X2724" t="s">
        <v>804</v>
      </c>
      <c r="Y2724">
        <v>28206</v>
      </c>
      <c r="Z2724">
        <v>1094835</v>
      </c>
      <c r="AA2724">
        <v>107625</v>
      </c>
      <c r="AB2724" t="str">
        <f>(VLOOKUP(SalesData[[#This Row],[Month Number]],Reference!C$5:E$16,2,FALSE))</f>
        <v>Feb</v>
      </c>
      <c r="AC2724">
        <f>MONTH(SalesData[[#This Row],[Date]])</f>
        <v>2</v>
      </c>
      <c r="AD2724">
        <f>Reference!F$4</f>
        <v>2026</v>
      </c>
      <c r="AE2724" t="str">
        <f>IF(OR(SalesData[[#This Row],[Day]]="Saturday",SalesData[[#This Row],[Day]]="Sunday"),"Weekend","Weekday")</f>
        <v>Weekday</v>
      </c>
      <c r="AF2724" s="5">
        <f>IF(SalesData[[#This Row],[Contracts Offered]]=0,0,SalesData[[#This Row],[Contracts Signed]]/SalesData[[#This Row],[Contracts Offered]])</f>
        <v>0.29166666666666669</v>
      </c>
      <c r="AG2724" s="5">
        <f>IF(SalesData[[#This Row],[Customers Visited]]=0,0,SalesData[[#This Row],[Test Drives]]/SalesData[[#This Row],[Customers Visited]])</f>
        <v>0.43526785714285715</v>
      </c>
      <c r="AH2724" s="5">
        <f>IF(SalesData[[#This Row],[Customers Visited]]=0,0,SalesData[[#This Row],[Contracts Signed]]/SalesData[[#This Row],[Customers Visited]])</f>
        <v>7.8125E-2</v>
      </c>
      <c r="AI2724" s="6">
        <f>IF(SalesData[[#This Row],[Contracts Signed]]=0,0,SalesData[[#This Row],[Profit(€)]]/SalesData[[#This Row],[Contracts Signed]])</f>
        <v>3075</v>
      </c>
      <c r="AJ2724" s="5" t="str">
        <f>TRIM(CLEAN(SalesData[[#This Row],[Retailer]]))</f>
        <v>Rhein Auto Group</v>
      </c>
    </row>
    <row r="2725" spans="1:36" ht="14.25" hidden="1" x14ac:dyDescent="0.2">
      <c r="A2725" t="s">
        <v>3844</v>
      </c>
      <c r="B2725" s="1">
        <v>46055</v>
      </c>
      <c r="C2725" t="s">
        <v>24</v>
      </c>
      <c r="D2725" t="s">
        <v>25</v>
      </c>
      <c r="E2725" t="s">
        <v>26</v>
      </c>
      <c r="F2725" t="s">
        <v>114</v>
      </c>
      <c r="G2725" t="s">
        <v>115</v>
      </c>
      <c r="H2725" t="s">
        <v>115</v>
      </c>
      <c r="I2725" t="s">
        <v>64</v>
      </c>
      <c r="J2725" t="s">
        <v>111</v>
      </c>
      <c r="K2725" t="s">
        <v>66</v>
      </c>
      <c r="L2725" t="s">
        <v>46</v>
      </c>
      <c r="M2725" t="s">
        <v>47</v>
      </c>
      <c r="N2725" t="s">
        <v>35</v>
      </c>
      <c r="O2725" t="s">
        <v>36</v>
      </c>
      <c r="P2725" t="s">
        <v>49</v>
      </c>
      <c r="Q2725" t="s">
        <v>204</v>
      </c>
      <c r="R2725">
        <v>230</v>
      </c>
      <c r="S2725">
        <v>113</v>
      </c>
      <c r="T2725">
        <v>80</v>
      </c>
      <c r="U2725">
        <v>25</v>
      </c>
      <c r="V2725" t="s">
        <v>6603</v>
      </c>
      <c r="W2725">
        <v>54704</v>
      </c>
      <c r="X2725" t="s">
        <v>7529</v>
      </c>
      <c r="Y2725">
        <v>41253</v>
      </c>
      <c r="Z2725">
        <v>1367600</v>
      </c>
      <c r="AA2725">
        <v>336275</v>
      </c>
      <c r="AB2725" t="str">
        <f>(VLOOKUP(SalesData[[#This Row],[Month Number]],Reference!C$5:E$16,2,FALSE))</f>
        <v>Feb</v>
      </c>
      <c r="AC2725">
        <f>MONTH(SalesData[[#This Row],[Date]])</f>
        <v>2</v>
      </c>
      <c r="AD2725">
        <f>Reference!F$4</f>
        <v>2026</v>
      </c>
      <c r="AE2725" t="str">
        <f>IF(OR(SalesData[[#This Row],[Day]]="Saturday",SalesData[[#This Row],[Day]]="Sunday"),"Weekend","Weekday")</f>
        <v>Weekday</v>
      </c>
      <c r="AF2725" s="5">
        <f>IF(SalesData[[#This Row],[Contracts Offered]]=0,0,SalesData[[#This Row],[Contracts Signed]]/SalesData[[#This Row],[Contracts Offered]])</f>
        <v>0.3125</v>
      </c>
      <c r="AG2725" s="5">
        <f>IF(SalesData[[#This Row],[Customers Visited]]=0,0,SalesData[[#This Row],[Test Drives]]/SalesData[[#This Row],[Customers Visited]])</f>
        <v>0.49130434782608695</v>
      </c>
      <c r="AH2725" s="5">
        <f>IF(SalesData[[#This Row],[Customers Visited]]=0,0,SalesData[[#This Row],[Contracts Signed]]/SalesData[[#This Row],[Customers Visited]])</f>
        <v>0.10869565217391304</v>
      </c>
      <c r="AI2725" s="6">
        <f>IF(SalesData[[#This Row],[Contracts Signed]]=0,0,SalesData[[#This Row],[Profit(€)]]/SalesData[[#This Row],[Contracts Signed]])</f>
        <v>13451</v>
      </c>
      <c r="AJ2725" s="5" t="str">
        <f>TRIM(CLEAN(SalesData[[#This Row],[Retailer]]))</f>
        <v>Elbe Drive</v>
      </c>
    </row>
    <row r="2726" spans="1:36" ht="14.25" hidden="1" x14ac:dyDescent="0.2">
      <c r="A2726" t="s">
        <v>3845</v>
      </c>
      <c r="B2726" s="1">
        <v>46063</v>
      </c>
      <c r="C2726" t="s">
        <v>121</v>
      </c>
      <c r="D2726" t="s">
        <v>63</v>
      </c>
      <c r="E2726" t="s">
        <v>26</v>
      </c>
      <c r="F2726" t="s">
        <v>127</v>
      </c>
      <c r="G2726" t="s">
        <v>128</v>
      </c>
      <c r="H2726" t="s">
        <v>103</v>
      </c>
      <c r="I2726" t="s">
        <v>64</v>
      </c>
      <c r="J2726" t="s">
        <v>77</v>
      </c>
      <c r="K2726" t="s">
        <v>32</v>
      </c>
      <c r="L2726" t="s">
        <v>46</v>
      </c>
      <c r="M2726" t="s">
        <v>68</v>
      </c>
      <c r="N2726" t="s">
        <v>69</v>
      </c>
      <c r="O2726" t="s">
        <v>70</v>
      </c>
      <c r="P2726" t="s">
        <v>71</v>
      </c>
      <c r="Q2726" t="s">
        <v>172</v>
      </c>
      <c r="R2726">
        <v>199</v>
      </c>
      <c r="S2726">
        <v>91</v>
      </c>
      <c r="T2726">
        <v>72</v>
      </c>
      <c r="U2726">
        <v>21</v>
      </c>
      <c r="V2726" t="s">
        <v>6386</v>
      </c>
      <c r="W2726">
        <v>51131</v>
      </c>
      <c r="X2726" t="s">
        <v>2561</v>
      </c>
      <c r="Y2726">
        <v>36957</v>
      </c>
      <c r="Z2726">
        <v>1073751</v>
      </c>
      <c r="AA2726">
        <v>297654</v>
      </c>
      <c r="AB2726" t="str">
        <f>(VLOOKUP(SalesData[[#This Row],[Month Number]],Reference!C$5:E$16,2,FALSE))</f>
        <v>Feb</v>
      </c>
      <c r="AC2726">
        <f>MONTH(SalesData[[#This Row],[Date]])</f>
        <v>2</v>
      </c>
      <c r="AD2726">
        <f>Reference!F$4</f>
        <v>2026</v>
      </c>
      <c r="AE2726" t="str">
        <f>IF(OR(SalesData[[#This Row],[Day]]="Saturday",SalesData[[#This Row],[Day]]="Sunday"),"Weekend","Weekday")</f>
        <v>Weekday</v>
      </c>
      <c r="AF2726" s="5">
        <f>IF(SalesData[[#This Row],[Contracts Offered]]=0,0,SalesData[[#This Row],[Contracts Signed]]/SalesData[[#This Row],[Contracts Offered]])</f>
        <v>0.29166666666666669</v>
      </c>
      <c r="AG2726" s="5">
        <f>IF(SalesData[[#This Row],[Customers Visited]]=0,0,SalesData[[#This Row],[Test Drives]]/SalesData[[#This Row],[Customers Visited]])</f>
        <v>0.457286432160804</v>
      </c>
      <c r="AH2726" s="5">
        <f>IF(SalesData[[#This Row],[Customers Visited]]=0,0,SalesData[[#This Row],[Contracts Signed]]/SalesData[[#This Row],[Customers Visited]])</f>
        <v>0.10552763819095477</v>
      </c>
      <c r="AI2726" s="6">
        <f>IF(SalesData[[#This Row],[Contracts Signed]]=0,0,SalesData[[#This Row],[Profit(€)]]/SalesData[[#This Row],[Contracts Signed]])</f>
        <v>14174</v>
      </c>
      <c r="AJ2726" s="5" t="str">
        <f>TRIM(CLEAN(SalesData[[#This Row],[Retailer]]))</f>
        <v>Rhein Auto Group</v>
      </c>
    </row>
    <row r="2727" spans="1:36" ht="14.25" hidden="1" x14ac:dyDescent="0.2">
      <c r="A2727" t="s">
        <v>3846</v>
      </c>
      <c r="B2727" s="1">
        <v>46055</v>
      </c>
      <c r="C2727" t="s">
        <v>24</v>
      </c>
      <c r="D2727" t="s">
        <v>25</v>
      </c>
      <c r="E2727" t="s">
        <v>26</v>
      </c>
      <c r="F2727" t="s">
        <v>109</v>
      </c>
      <c r="G2727" t="s">
        <v>110</v>
      </c>
      <c r="H2727" t="s">
        <v>45</v>
      </c>
      <c r="I2727" t="s">
        <v>64</v>
      </c>
      <c r="J2727" t="s">
        <v>111</v>
      </c>
      <c r="K2727" t="s">
        <v>91</v>
      </c>
      <c r="L2727" t="s">
        <v>46</v>
      </c>
      <c r="M2727" t="s">
        <v>87</v>
      </c>
      <c r="N2727" t="s">
        <v>69</v>
      </c>
      <c r="O2727" t="s">
        <v>36</v>
      </c>
      <c r="P2727" t="s">
        <v>58</v>
      </c>
      <c r="Q2727" t="s">
        <v>59</v>
      </c>
      <c r="R2727">
        <v>189</v>
      </c>
      <c r="S2727">
        <v>108</v>
      </c>
      <c r="T2727">
        <v>82</v>
      </c>
      <c r="U2727">
        <v>29</v>
      </c>
      <c r="V2727" t="s">
        <v>6727</v>
      </c>
      <c r="W2727">
        <v>60913</v>
      </c>
      <c r="X2727" t="s">
        <v>7255</v>
      </c>
      <c r="Y2727">
        <v>44116</v>
      </c>
      <c r="Z2727">
        <v>1766477</v>
      </c>
      <c r="AA2727">
        <v>487113</v>
      </c>
      <c r="AB2727" t="str">
        <f>(VLOOKUP(SalesData[[#This Row],[Month Number]],Reference!C$5:E$16,2,FALSE))</f>
        <v>Feb</v>
      </c>
      <c r="AC2727">
        <f>MONTH(SalesData[[#This Row],[Date]])</f>
        <v>2</v>
      </c>
      <c r="AD2727">
        <f>Reference!F$4</f>
        <v>2026</v>
      </c>
      <c r="AE2727" t="str">
        <f>IF(OR(SalesData[[#This Row],[Day]]="Saturday",SalesData[[#This Row],[Day]]="Sunday"),"Weekend","Weekday")</f>
        <v>Weekday</v>
      </c>
      <c r="AF2727" s="5">
        <f>IF(SalesData[[#This Row],[Contracts Offered]]=0,0,SalesData[[#This Row],[Contracts Signed]]/SalesData[[#This Row],[Contracts Offered]])</f>
        <v>0.35365853658536583</v>
      </c>
      <c r="AG2727" s="5">
        <f>IF(SalesData[[#This Row],[Customers Visited]]=0,0,SalesData[[#This Row],[Test Drives]]/SalesData[[#This Row],[Customers Visited]])</f>
        <v>0.5714285714285714</v>
      </c>
      <c r="AH2727" s="5">
        <f>IF(SalesData[[#This Row],[Customers Visited]]=0,0,SalesData[[#This Row],[Contracts Signed]]/SalesData[[#This Row],[Customers Visited]])</f>
        <v>0.15343915343915343</v>
      </c>
      <c r="AI2727" s="6">
        <f>IF(SalesData[[#This Row],[Contracts Signed]]=0,0,SalesData[[#This Row],[Profit(€)]]/SalesData[[#This Row],[Contracts Signed]])</f>
        <v>16797</v>
      </c>
      <c r="AJ2727" s="5" t="str">
        <f>TRIM(CLEAN(SalesData[[#This Row],[Retailer]]))</f>
        <v>Leipzig Mobility</v>
      </c>
    </row>
    <row r="2728" spans="1:36" ht="14.25" hidden="1" x14ac:dyDescent="0.2">
      <c r="A2728" t="s">
        <v>3847</v>
      </c>
      <c r="B2728" s="1">
        <v>46062</v>
      </c>
      <c r="C2728" t="s">
        <v>121</v>
      </c>
      <c r="D2728" t="s">
        <v>25</v>
      </c>
      <c r="E2728" t="s">
        <v>26</v>
      </c>
      <c r="F2728" t="s">
        <v>74</v>
      </c>
      <c r="G2728" t="s">
        <v>75</v>
      </c>
      <c r="H2728" t="s">
        <v>76</v>
      </c>
      <c r="I2728" t="s">
        <v>64</v>
      </c>
      <c r="J2728" t="s">
        <v>157</v>
      </c>
      <c r="K2728" t="s">
        <v>66</v>
      </c>
      <c r="L2728" t="s">
        <v>33</v>
      </c>
      <c r="M2728" t="s">
        <v>68</v>
      </c>
      <c r="N2728" t="s">
        <v>35</v>
      </c>
      <c r="O2728" t="s">
        <v>70</v>
      </c>
      <c r="P2728" t="s">
        <v>58</v>
      </c>
      <c r="Q2728" t="s">
        <v>167</v>
      </c>
      <c r="R2728">
        <v>260</v>
      </c>
      <c r="S2728">
        <v>141</v>
      </c>
      <c r="T2728">
        <v>105</v>
      </c>
      <c r="U2728">
        <v>40</v>
      </c>
      <c r="V2728" t="s">
        <v>6679</v>
      </c>
      <c r="W2728">
        <v>61454</v>
      </c>
      <c r="X2728" t="s">
        <v>7058</v>
      </c>
      <c r="Y2728">
        <v>48308</v>
      </c>
      <c r="Z2728">
        <v>2458160</v>
      </c>
      <c r="AA2728">
        <v>525840</v>
      </c>
      <c r="AB2728" t="str">
        <f>(VLOOKUP(SalesData[[#This Row],[Month Number]],Reference!C$5:E$16,2,FALSE))</f>
        <v>Feb</v>
      </c>
      <c r="AC2728">
        <f>MONTH(SalesData[[#This Row],[Date]])</f>
        <v>2</v>
      </c>
      <c r="AD2728">
        <f>Reference!F$4</f>
        <v>2026</v>
      </c>
      <c r="AE2728" t="str">
        <f>IF(OR(SalesData[[#This Row],[Day]]="Saturday",SalesData[[#This Row],[Day]]="Sunday"),"Weekend","Weekday")</f>
        <v>Weekday</v>
      </c>
      <c r="AF2728" s="5">
        <f>IF(SalesData[[#This Row],[Contracts Offered]]=0,0,SalesData[[#This Row],[Contracts Signed]]/SalesData[[#This Row],[Contracts Offered]])</f>
        <v>0.38095238095238093</v>
      </c>
      <c r="AG2728" s="5">
        <f>IF(SalesData[[#This Row],[Customers Visited]]=0,0,SalesData[[#This Row],[Test Drives]]/SalesData[[#This Row],[Customers Visited]])</f>
        <v>0.54230769230769227</v>
      </c>
      <c r="AH2728" s="5">
        <f>IF(SalesData[[#This Row],[Customers Visited]]=0,0,SalesData[[#This Row],[Contracts Signed]]/SalesData[[#This Row],[Customers Visited]])</f>
        <v>0.15384615384615385</v>
      </c>
      <c r="AI2728" s="6">
        <f>IF(SalesData[[#This Row],[Contracts Signed]]=0,0,SalesData[[#This Row],[Profit(€)]]/SalesData[[#This Row],[Contracts Signed]])</f>
        <v>13146</v>
      </c>
      <c r="AJ2728" s="5" t="str">
        <f>TRIM(CLEAN(SalesData[[#This Row],[Retailer]]))</f>
        <v>Stuttgart Auto Center</v>
      </c>
    </row>
    <row r="2729" spans="1:36" ht="14.25" hidden="1" x14ac:dyDescent="0.2">
      <c r="A2729" t="s">
        <v>3848</v>
      </c>
      <c r="B2729" s="1">
        <v>46058</v>
      </c>
      <c r="C2729" t="s">
        <v>24</v>
      </c>
      <c r="D2729" t="s">
        <v>100</v>
      </c>
      <c r="E2729" t="s">
        <v>26</v>
      </c>
      <c r="F2729" t="s">
        <v>27</v>
      </c>
      <c r="G2729" t="s">
        <v>28</v>
      </c>
      <c r="H2729" t="s">
        <v>29</v>
      </c>
      <c r="I2729" t="s">
        <v>104</v>
      </c>
      <c r="J2729" t="s">
        <v>7061</v>
      </c>
      <c r="K2729" t="s">
        <v>78</v>
      </c>
      <c r="L2729" t="s">
        <v>46</v>
      </c>
      <c r="M2729" t="s">
        <v>34</v>
      </c>
      <c r="N2729" t="s">
        <v>35</v>
      </c>
      <c r="O2729" t="s">
        <v>70</v>
      </c>
      <c r="P2729" t="s">
        <v>37</v>
      </c>
      <c r="Q2729" t="s">
        <v>129</v>
      </c>
      <c r="R2729">
        <v>292</v>
      </c>
      <c r="S2729">
        <v>144</v>
      </c>
      <c r="T2729">
        <v>91</v>
      </c>
      <c r="U2729">
        <v>17</v>
      </c>
      <c r="V2729" t="s">
        <v>303</v>
      </c>
      <c r="W2729">
        <v>29985</v>
      </c>
      <c r="X2729" t="s">
        <v>3104</v>
      </c>
      <c r="Y2729">
        <v>27182</v>
      </c>
      <c r="Z2729">
        <v>509745</v>
      </c>
      <c r="AA2729">
        <v>47651</v>
      </c>
      <c r="AB2729" t="str">
        <f>(VLOOKUP(SalesData[[#This Row],[Month Number]],Reference!C$5:E$16,2,FALSE))</f>
        <v>Feb</v>
      </c>
      <c r="AC2729">
        <f>MONTH(SalesData[[#This Row],[Date]])</f>
        <v>2</v>
      </c>
      <c r="AD2729">
        <f>Reference!F$4</f>
        <v>2026</v>
      </c>
      <c r="AE2729" t="str">
        <f>IF(OR(SalesData[[#This Row],[Day]]="Saturday",SalesData[[#This Row],[Day]]="Sunday"),"Weekend","Weekday")</f>
        <v>Weekday</v>
      </c>
      <c r="AF2729" s="5">
        <f>IF(SalesData[[#This Row],[Contracts Offered]]=0,0,SalesData[[#This Row],[Contracts Signed]]/SalesData[[#This Row],[Contracts Offered]])</f>
        <v>0.18681318681318682</v>
      </c>
      <c r="AG2729" s="5">
        <f>IF(SalesData[[#This Row],[Customers Visited]]=0,0,SalesData[[#This Row],[Test Drives]]/SalesData[[#This Row],[Customers Visited]])</f>
        <v>0.49315068493150682</v>
      </c>
      <c r="AH2729" s="5">
        <f>IF(SalesData[[#This Row],[Customers Visited]]=0,0,SalesData[[#This Row],[Contracts Signed]]/SalesData[[#This Row],[Customers Visited]])</f>
        <v>5.8219178082191778E-2</v>
      </c>
      <c r="AI2729" s="6">
        <f>IF(SalesData[[#This Row],[Contracts Signed]]=0,0,SalesData[[#This Row],[Profit(€)]]/SalesData[[#This Row],[Contracts Signed]])</f>
        <v>2803</v>
      </c>
      <c r="AJ2729" s="5" t="str">
        <f>TRIM(CLEAN(SalesData[[#This Row],[Retailer]]))</f>
        <v>Main Auto Hub</v>
      </c>
    </row>
    <row r="2730" spans="1:36" ht="14.25" hidden="1" x14ac:dyDescent="0.2">
      <c r="A2730" t="s">
        <v>3849</v>
      </c>
      <c r="B2730" s="1">
        <v>46077</v>
      </c>
      <c r="C2730" t="s">
        <v>53</v>
      </c>
      <c r="D2730" t="s">
        <v>63</v>
      </c>
      <c r="E2730" t="s">
        <v>26</v>
      </c>
      <c r="F2730" t="s">
        <v>27</v>
      </c>
      <c r="G2730" t="s">
        <v>28</v>
      </c>
      <c r="H2730" t="s">
        <v>29</v>
      </c>
      <c r="I2730" t="s">
        <v>56</v>
      </c>
      <c r="J2730" t="s">
        <v>137</v>
      </c>
      <c r="K2730" t="s">
        <v>32</v>
      </c>
      <c r="L2730" t="s">
        <v>46</v>
      </c>
      <c r="M2730" t="s">
        <v>87</v>
      </c>
      <c r="N2730" t="s">
        <v>69</v>
      </c>
      <c r="O2730" t="s">
        <v>70</v>
      </c>
      <c r="P2730" t="s">
        <v>49</v>
      </c>
      <c r="Q2730" t="s">
        <v>38</v>
      </c>
      <c r="R2730">
        <v>307</v>
      </c>
      <c r="S2730">
        <v>163</v>
      </c>
      <c r="T2730">
        <v>107</v>
      </c>
      <c r="U2730">
        <v>34</v>
      </c>
      <c r="V2730" t="s">
        <v>6735</v>
      </c>
      <c r="W2730">
        <v>44233</v>
      </c>
      <c r="X2730" t="s">
        <v>7555</v>
      </c>
      <c r="Y2730">
        <v>33731</v>
      </c>
      <c r="Z2730">
        <v>1503922</v>
      </c>
      <c r="AA2730">
        <v>357068</v>
      </c>
      <c r="AB2730" t="str">
        <f>(VLOOKUP(SalesData[[#This Row],[Month Number]],Reference!C$5:E$16,2,FALSE))</f>
        <v>Feb</v>
      </c>
      <c r="AC2730">
        <f>MONTH(SalesData[[#This Row],[Date]])</f>
        <v>2</v>
      </c>
      <c r="AD2730">
        <f>Reference!F$4</f>
        <v>2026</v>
      </c>
      <c r="AE2730" t="str">
        <f>IF(OR(SalesData[[#This Row],[Day]]="Saturday",SalesData[[#This Row],[Day]]="Sunday"),"Weekend","Weekday")</f>
        <v>Weekday</v>
      </c>
      <c r="AF2730" s="5">
        <f>IF(SalesData[[#This Row],[Contracts Offered]]=0,0,SalesData[[#This Row],[Contracts Signed]]/SalesData[[#This Row],[Contracts Offered]])</f>
        <v>0.31775700934579437</v>
      </c>
      <c r="AG2730" s="5">
        <f>IF(SalesData[[#This Row],[Customers Visited]]=0,0,SalesData[[#This Row],[Test Drives]]/SalesData[[#This Row],[Customers Visited]])</f>
        <v>0.53094462540716614</v>
      </c>
      <c r="AH2730" s="5">
        <f>IF(SalesData[[#This Row],[Customers Visited]]=0,0,SalesData[[#This Row],[Contracts Signed]]/SalesData[[#This Row],[Customers Visited]])</f>
        <v>0.11074918566775244</v>
      </c>
      <c r="AI2730" s="6">
        <f>IF(SalesData[[#This Row],[Contracts Signed]]=0,0,SalesData[[#This Row],[Profit(€)]]/SalesData[[#This Row],[Contracts Signed]])</f>
        <v>10502</v>
      </c>
      <c r="AJ2730" s="5" t="str">
        <f>TRIM(CLEAN(SalesData[[#This Row],[Retailer]]))</f>
        <v>Main Auto Hub</v>
      </c>
    </row>
    <row r="2731" spans="1:36" ht="14.25" hidden="1" x14ac:dyDescent="0.2">
      <c r="A2731" t="s">
        <v>3850</v>
      </c>
      <c r="B2731" s="1">
        <v>46075</v>
      </c>
      <c r="C2731" t="s">
        <v>53</v>
      </c>
      <c r="D2731" t="s">
        <v>41</v>
      </c>
      <c r="E2731" t="s">
        <v>42</v>
      </c>
      <c r="F2731" t="s">
        <v>7649</v>
      </c>
      <c r="G2731" t="s">
        <v>55</v>
      </c>
      <c r="H2731" t="s">
        <v>55</v>
      </c>
      <c r="I2731" t="s">
        <v>56</v>
      </c>
      <c r="J2731" t="s">
        <v>7028</v>
      </c>
      <c r="K2731" t="s">
        <v>91</v>
      </c>
      <c r="L2731" t="s">
        <v>46</v>
      </c>
      <c r="M2731" t="s">
        <v>87</v>
      </c>
      <c r="N2731" t="s">
        <v>35</v>
      </c>
      <c r="O2731" t="s">
        <v>36</v>
      </c>
      <c r="P2731" t="s">
        <v>49</v>
      </c>
      <c r="Q2731" t="s">
        <v>129</v>
      </c>
      <c r="R2731">
        <v>212</v>
      </c>
      <c r="S2731">
        <v>127</v>
      </c>
      <c r="T2731">
        <v>84</v>
      </c>
      <c r="U2731">
        <v>30</v>
      </c>
      <c r="V2731" t="s">
        <v>6466</v>
      </c>
      <c r="W2731">
        <v>50130</v>
      </c>
      <c r="X2731" t="s">
        <v>5854</v>
      </c>
      <c r="Y2731">
        <v>40566</v>
      </c>
      <c r="Z2731">
        <v>1503900</v>
      </c>
      <c r="AA2731">
        <v>286920</v>
      </c>
      <c r="AB2731" t="str">
        <f>(VLOOKUP(SalesData[[#This Row],[Month Number]],Reference!C$5:E$16,2,FALSE))</f>
        <v>Feb</v>
      </c>
      <c r="AC2731">
        <f>MONTH(SalesData[[#This Row],[Date]])</f>
        <v>2</v>
      </c>
      <c r="AD2731">
        <f>Reference!F$4</f>
        <v>2026</v>
      </c>
      <c r="AE2731" t="str">
        <f>IF(OR(SalesData[[#This Row],[Day]]="Saturday",SalesData[[#This Row],[Day]]="Sunday"),"Weekend","Weekday")</f>
        <v>Weekend</v>
      </c>
      <c r="AF2731" s="5">
        <f>IF(SalesData[[#This Row],[Contracts Offered]]=0,0,SalesData[[#This Row],[Contracts Signed]]/SalesData[[#This Row],[Contracts Offered]])</f>
        <v>0.35714285714285715</v>
      </c>
      <c r="AG2731" s="5">
        <f>IF(SalesData[[#This Row],[Customers Visited]]=0,0,SalesData[[#This Row],[Test Drives]]/SalesData[[#This Row],[Customers Visited]])</f>
        <v>0.59905660377358494</v>
      </c>
      <c r="AH2731" s="5">
        <f>IF(SalesData[[#This Row],[Customers Visited]]=0,0,SalesData[[#This Row],[Contracts Signed]]/SalesData[[#This Row],[Customers Visited]])</f>
        <v>0.14150943396226415</v>
      </c>
      <c r="AI2731" s="6">
        <f>IF(SalesData[[#This Row],[Contracts Signed]]=0,0,SalesData[[#This Row],[Profit(€)]]/SalesData[[#This Row],[Contracts Signed]])</f>
        <v>9564</v>
      </c>
      <c r="AJ2731" s="5" t="str">
        <f>TRIM(CLEAN(SalesData[[#This Row],[Retailer]]))</f>
        <v>Autohaus Berlin</v>
      </c>
    </row>
    <row r="2732" spans="1:36" ht="14.25" hidden="1" x14ac:dyDescent="0.2">
      <c r="A2732" t="s">
        <v>3851</v>
      </c>
      <c r="B2732" s="1">
        <v>46081</v>
      </c>
      <c r="C2732" t="s">
        <v>53</v>
      </c>
      <c r="D2732" t="s">
        <v>151</v>
      </c>
      <c r="E2732" t="s">
        <v>42</v>
      </c>
      <c r="F2732" t="s">
        <v>27</v>
      </c>
      <c r="G2732" t="s">
        <v>28</v>
      </c>
      <c r="H2732" t="s">
        <v>29</v>
      </c>
      <c r="I2732" t="s">
        <v>64</v>
      </c>
      <c r="J2732" t="s">
        <v>65</v>
      </c>
      <c r="K2732" t="s">
        <v>32</v>
      </c>
      <c r="L2732" t="s">
        <v>33</v>
      </c>
      <c r="M2732" t="s">
        <v>34</v>
      </c>
      <c r="N2732" t="s">
        <v>69</v>
      </c>
      <c r="O2732" t="s">
        <v>70</v>
      </c>
      <c r="P2732" t="s">
        <v>49</v>
      </c>
      <c r="Q2732" t="s">
        <v>38</v>
      </c>
      <c r="R2732">
        <v>278</v>
      </c>
      <c r="S2732">
        <v>138</v>
      </c>
      <c r="T2732">
        <v>91</v>
      </c>
      <c r="U2732">
        <v>28</v>
      </c>
      <c r="V2732" t="s">
        <v>6999</v>
      </c>
      <c r="W2732">
        <v>70156</v>
      </c>
      <c r="X2732" t="s">
        <v>7137</v>
      </c>
      <c r="Y2732">
        <v>52234</v>
      </c>
      <c r="Z2732">
        <v>1964368</v>
      </c>
      <c r="AA2732">
        <v>501816</v>
      </c>
      <c r="AB2732" t="str">
        <f>(VLOOKUP(SalesData[[#This Row],[Month Number]],Reference!C$5:E$16,2,FALSE))</f>
        <v>Feb</v>
      </c>
      <c r="AC2732">
        <f>MONTH(SalesData[[#This Row],[Date]])</f>
        <v>2</v>
      </c>
      <c r="AD2732">
        <f>Reference!F$4</f>
        <v>2026</v>
      </c>
      <c r="AE2732" t="str">
        <f>IF(OR(SalesData[[#This Row],[Day]]="Saturday",SalesData[[#This Row],[Day]]="Sunday"),"Weekend","Weekday")</f>
        <v>Weekend</v>
      </c>
      <c r="AF2732" s="5">
        <f>IF(SalesData[[#This Row],[Contracts Offered]]=0,0,SalesData[[#This Row],[Contracts Signed]]/SalesData[[#This Row],[Contracts Offered]])</f>
        <v>0.30769230769230771</v>
      </c>
      <c r="AG2732" s="5">
        <f>IF(SalesData[[#This Row],[Customers Visited]]=0,0,SalesData[[#This Row],[Test Drives]]/SalesData[[#This Row],[Customers Visited]])</f>
        <v>0.49640287769784175</v>
      </c>
      <c r="AH2732" s="5">
        <f>IF(SalesData[[#This Row],[Customers Visited]]=0,0,SalesData[[#This Row],[Contracts Signed]]/SalesData[[#This Row],[Customers Visited]])</f>
        <v>0.10071942446043165</v>
      </c>
      <c r="AI2732" s="6">
        <f>IF(SalesData[[#This Row],[Contracts Signed]]=0,0,SalesData[[#This Row],[Profit(€)]]/SalesData[[#This Row],[Contracts Signed]])</f>
        <v>17922</v>
      </c>
      <c r="AJ2732" s="5" t="str">
        <f>TRIM(CLEAN(SalesData[[#This Row],[Retailer]]))</f>
        <v>Main Auto Hub</v>
      </c>
    </row>
    <row r="2733" spans="1:36" ht="14.25" hidden="1" x14ac:dyDescent="0.2">
      <c r="A2733" t="s">
        <v>3852</v>
      </c>
      <c r="B2733" s="1">
        <v>46060</v>
      </c>
      <c r="C2733" t="s">
        <v>24</v>
      </c>
      <c r="D2733" t="s">
        <v>151</v>
      </c>
      <c r="E2733" t="s">
        <v>42</v>
      </c>
      <c r="F2733" t="s">
        <v>74</v>
      </c>
      <c r="G2733" t="s">
        <v>75</v>
      </c>
      <c r="H2733" t="s">
        <v>76</v>
      </c>
      <c r="I2733" t="s">
        <v>56</v>
      </c>
      <c r="J2733" t="s">
        <v>137</v>
      </c>
      <c r="K2733" t="s">
        <v>78</v>
      </c>
      <c r="L2733" t="s">
        <v>46</v>
      </c>
      <c r="M2733" t="s">
        <v>68</v>
      </c>
      <c r="N2733" t="s">
        <v>35</v>
      </c>
      <c r="O2733" t="s">
        <v>70</v>
      </c>
      <c r="P2733" t="s">
        <v>49</v>
      </c>
      <c r="Q2733" t="s">
        <v>118</v>
      </c>
      <c r="R2733">
        <v>285</v>
      </c>
      <c r="S2733">
        <v>132</v>
      </c>
      <c r="T2733">
        <v>101</v>
      </c>
      <c r="U2733">
        <v>29</v>
      </c>
      <c r="V2733" t="s">
        <v>6540</v>
      </c>
      <c r="W2733">
        <v>45022</v>
      </c>
      <c r="X2733" t="s">
        <v>2556</v>
      </c>
      <c r="Y2733">
        <v>34734</v>
      </c>
      <c r="Z2733">
        <v>1305638</v>
      </c>
      <c r="AA2733">
        <v>298352</v>
      </c>
      <c r="AB2733" t="str">
        <f>(VLOOKUP(SalesData[[#This Row],[Month Number]],Reference!C$5:E$16,2,FALSE))</f>
        <v>Feb</v>
      </c>
      <c r="AC2733">
        <f>MONTH(SalesData[[#This Row],[Date]])</f>
        <v>2</v>
      </c>
      <c r="AD2733">
        <f>Reference!F$4</f>
        <v>2026</v>
      </c>
      <c r="AE2733" t="str">
        <f>IF(OR(SalesData[[#This Row],[Day]]="Saturday",SalesData[[#This Row],[Day]]="Sunday"),"Weekend","Weekday")</f>
        <v>Weekend</v>
      </c>
      <c r="AF2733" s="5">
        <f>IF(SalesData[[#This Row],[Contracts Offered]]=0,0,SalesData[[#This Row],[Contracts Signed]]/SalesData[[#This Row],[Contracts Offered]])</f>
        <v>0.28712871287128711</v>
      </c>
      <c r="AG2733" s="5">
        <f>IF(SalesData[[#This Row],[Customers Visited]]=0,0,SalesData[[#This Row],[Test Drives]]/SalesData[[#This Row],[Customers Visited]])</f>
        <v>0.4631578947368421</v>
      </c>
      <c r="AH2733" s="5">
        <f>IF(SalesData[[#This Row],[Customers Visited]]=0,0,SalesData[[#This Row],[Contracts Signed]]/SalesData[[#This Row],[Customers Visited]])</f>
        <v>0.10175438596491228</v>
      </c>
      <c r="AI2733" s="6">
        <f>IF(SalesData[[#This Row],[Contracts Signed]]=0,0,SalesData[[#This Row],[Profit(€)]]/SalesData[[#This Row],[Contracts Signed]])</f>
        <v>10288</v>
      </c>
      <c r="AJ2733" s="5" t="str">
        <f>TRIM(CLEAN(SalesData[[#This Row],[Retailer]]))</f>
        <v>Stuttgart Auto Center</v>
      </c>
    </row>
    <row r="2734" spans="1:36" ht="14.25" x14ac:dyDescent="0.2">
      <c r="A2734" t="s">
        <v>3854</v>
      </c>
      <c r="B2734" s="1">
        <v>46074</v>
      </c>
      <c r="C2734" t="s">
        <v>62</v>
      </c>
      <c r="D2734" t="s">
        <v>151</v>
      </c>
      <c r="E2734" t="s">
        <v>42</v>
      </c>
      <c r="F2734" t="s">
        <v>94</v>
      </c>
      <c r="G2734" t="s">
        <v>95</v>
      </c>
      <c r="H2734" t="s">
        <v>96</v>
      </c>
      <c r="I2734" t="s">
        <v>30</v>
      </c>
      <c r="J2734" t="s">
        <v>166</v>
      </c>
      <c r="K2734" t="s">
        <v>91</v>
      </c>
      <c r="L2734" t="s">
        <v>46</v>
      </c>
      <c r="M2734" t="s">
        <v>68</v>
      </c>
      <c r="N2734" t="s">
        <v>69</v>
      </c>
      <c r="O2734" t="s">
        <v>70</v>
      </c>
      <c r="P2734" t="s">
        <v>37</v>
      </c>
      <c r="Q2734" t="s">
        <v>167</v>
      </c>
      <c r="R2734">
        <v>157</v>
      </c>
      <c r="S2734">
        <v>85</v>
      </c>
      <c r="T2734">
        <v>61</v>
      </c>
      <c r="U2734">
        <v>21</v>
      </c>
      <c r="V2734" t="s">
        <v>6827</v>
      </c>
      <c r="W2734">
        <v>69027</v>
      </c>
      <c r="X2734" t="s">
        <v>7054</v>
      </c>
      <c r="Y2734">
        <v>48901</v>
      </c>
      <c r="Z2734">
        <v>1449567</v>
      </c>
      <c r="AA2734">
        <v>422646</v>
      </c>
      <c r="AB2734" t="str">
        <f>(VLOOKUP(SalesData[[#This Row],[Month Number]],Reference!C$5:E$16,2,FALSE))</f>
        <v>Feb</v>
      </c>
      <c r="AC2734">
        <f>MONTH(SalesData[[#This Row],[Date]])</f>
        <v>2</v>
      </c>
      <c r="AD2734">
        <f>Reference!F$4</f>
        <v>2026</v>
      </c>
      <c r="AE2734" t="str">
        <f>IF(OR(SalesData[[#This Row],[Day]]="Saturday",SalesData[[#This Row],[Day]]="Sunday"),"Weekend","Weekday")</f>
        <v>Weekend</v>
      </c>
      <c r="AF2734" s="5">
        <f>IF(SalesData[[#This Row],[Contracts Offered]]=0,0,SalesData[[#This Row],[Contracts Signed]]/SalesData[[#This Row],[Contracts Offered]])</f>
        <v>0.34426229508196721</v>
      </c>
      <c r="AG2734" s="5">
        <f>IF(SalesData[[#This Row],[Customers Visited]]=0,0,SalesData[[#This Row],[Test Drives]]/SalesData[[#This Row],[Customers Visited]])</f>
        <v>0.54140127388535031</v>
      </c>
      <c r="AH2734" s="5">
        <f>IF(SalesData[[#This Row],[Customers Visited]]=0,0,SalesData[[#This Row],[Contracts Signed]]/SalesData[[#This Row],[Customers Visited]])</f>
        <v>0.13375796178343949</v>
      </c>
      <c r="AI2734" s="6">
        <f>IF(SalesData[[#This Row],[Contracts Signed]]=0,0,SalesData[[#This Row],[Profit(€)]]/SalesData[[#This Row],[Contracts Signed]])</f>
        <v>20126</v>
      </c>
      <c r="AJ2734" s="5" t="str">
        <f>TRIM(CLEAN(SalesData[[#This Row],[Retailer]]))</f>
        <v>Bavaria Motors</v>
      </c>
    </row>
    <row r="2735" spans="1:36" ht="14.25" hidden="1" x14ac:dyDescent="0.2">
      <c r="A2735" t="s">
        <v>3855</v>
      </c>
      <c r="B2735" s="1">
        <v>46067</v>
      </c>
      <c r="C2735" t="s">
        <v>121</v>
      </c>
      <c r="D2735" t="s">
        <v>151</v>
      </c>
      <c r="E2735" t="s">
        <v>42</v>
      </c>
      <c r="F2735" t="s">
        <v>83</v>
      </c>
      <c r="G2735" t="s">
        <v>84</v>
      </c>
      <c r="H2735" t="s">
        <v>85</v>
      </c>
      <c r="I2735" t="s">
        <v>104</v>
      </c>
      <c r="J2735" t="s">
        <v>7031</v>
      </c>
      <c r="K2735" t="s">
        <v>32</v>
      </c>
      <c r="L2735" t="s">
        <v>46</v>
      </c>
      <c r="M2735" t="s">
        <v>68</v>
      </c>
      <c r="N2735" t="s">
        <v>69</v>
      </c>
      <c r="O2735" t="s">
        <v>70</v>
      </c>
      <c r="P2735" t="s">
        <v>49</v>
      </c>
      <c r="Q2735" t="s">
        <v>167</v>
      </c>
      <c r="R2735">
        <v>308</v>
      </c>
      <c r="S2735">
        <v>138</v>
      </c>
      <c r="T2735">
        <v>97</v>
      </c>
      <c r="U2735">
        <v>21</v>
      </c>
      <c r="V2735" t="s">
        <v>1453</v>
      </c>
      <c r="W2735">
        <v>25973</v>
      </c>
      <c r="X2735" t="s">
        <v>450</v>
      </c>
      <c r="Y2735">
        <v>22860</v>
      </c>
      <c r="Z2735">
        <v>545433</v>
      </c>
      <c r="AA2735">
        <v>65373</v>
      </c>
      <c r="AB2735" t="str">
        <f>(VLOOKUP(SalesData[[#This Row],[Month Number]],Reference!C$5:E$16,2,FALSE))</f>
        <v>Feb</v>
      </c>
      <c r="AC2735">
        <f>MONTH(SalesData[[#This Row],[Date]])</f>
        <v>2</v>
      </c>
      <c r="AD2735">
        <f>Reference!F$4</f>
        <v>2026</v>
      </c>
      <c r="AE2735" t="str">
        <f>IF(OR(SalesData[[#This Row],[Day]]="Saturday",SalesData[[#This Row],[Day]]="Sunday"),"Weekend","Weekday")</f>
        <v>Weekend</v>
      </c>
      <c r="AF2735" s="5">
        <f>IF(SalesData[[#This Row],[Contracts Offered]]=0,0,SalesData[[#This Row],[Contracts Signed]]/SalesData[[#This Row],[Contracts Offered]])</f>
        <v>0.21649484536082475</v>
      </c>
      <c r="AG2735" s="5">
        <f>IF(SalesData[[#This Row],[Customers Visited]]=0,0,SalesData[[#This Row],[Test Drives]]/SalesData[[#This Row],[Customers Visited]])</f>
        <v>0.44805194805194803</v>
      </c>
      <c r="AH2735" s="5">
        <f>IF(SalesData[[#This Row],[Customers Visited]]=0,0,SalesData[[#This Row],[Contracts Signed]]/SalesData[[#This Row],[Customers Visited]])</f>
        <v>6.8181818181818177E-2</v>
      </c>
      <c r="AI2735" s="6">
        <f>IF(SalesData[[#This Row],[Contracts Signed]]=0,0,SalesData[[#This Row],[Profit(€)]]/SalesData[[#This Row],[Contracts Signed]])</f>
        <v>3113</v>
      </c>
      <c r="AJ2735" s="5" t="str">
        <f>TRIM(CLEAN(SalesData[[#This Row],[Retailer]]))</f>
        <v>Hannover Cars</v>
      </c>
    </row>
    <row r="2736" spans="1:36" ht="14.25" x14ac:dyDescent="0.2">
      <c r="A2736" t="s">
        <v>3856</v>
      </c>
      <c r="B2736" s="1">
        <v>46066</v>
      </c>
      <c r="C2736" t="s">
        <v>121</v>
      </c>
      <c r="D2736" t="s">
        <v>54</v>
      </c>
      <c r="E2736" t="s">
        <v>26</v>
      </c>
      <c r="F2736" t="s">
        <v>127</v>
      </c>
      <c r="G2736" t="s">
        <v>128</v>
      </c>
      <c r="H2736" t="s">
        <v>103</v>
      </c>
      <c r="I2736" t="s">
        <v>30</v>
      </c>
      <c r="J2736" t="s">
        <v>86</v>
      </c>
      <c r="K2736" t="s">
        <v>66</v>
      </c>
      <c r="L2736" t="s">
        <v>33</v>
      </c>
      <c r="M2736" t="s">
        <v>68</v>
      </c>
      <c r="N2736" t="s">
        <v>35</v>
      </c>
      <c r="O2736" t="s">
        <v>36</v>
      </c>
      <c r="P2736" t="s">
        <v>71</v>
      </c>
      <c r="Q2736" t="s">
        <v>118</v>
      </c>
      <c r="R2736">
        <v>271</v>
      </c>
      <c r="S2736">
        <v>162</v>
      </c>
      <c r="T2736">
        <v>130</v>
      </c>
      <c r="U2736">
        <v>50</v>
      </c>
      <c r="V2736" t="s">
        <v>7556</v>
      </c>
      <c r="W2736">
        <v>60998</v>
      </c>
      <c r="X2736" t="s">
        <v>7387</v>
      </c>
      <c r="Y2736">
        <v>46404</v>
      </c>
      <c r="Z2736">
        <v>3049900</v>
      </c>
      <c r="AA2736">
        <v>729700</v>
      </c>
      <c r="AB2736" t="str">
        <f>(VLOOKUP(SalesData[[#This Row],[Month Number]],Reference!C$5:E$16,2,FALSE))</f>
        <v>Feb</v>
      </c>
      <c r="AC2736">
        <f>MONTH(SalesData[[#This Row],[Date]])</f>
        <v>2</v>
      </c>
      <c r="AD2736">
        <f>Reference!F$4</f>
        <v>2026</v>
      </c>
      <c r="AE2736" t="str">
        <f>IF(OR(SalesData[[#This Row],[Day]]="Saturday",SalesData[[#This Row],[Day]]="Sunday"),"Weekend","Weekday")</f>
        <v>Weekday</v>
      </c>
      <c r="AF2736" s="5">
        <f>IF(SalesData[[#This Row],[Contracts Offered]]=0,0,SalesData[[#This Row],[Contracts Signed]]/SalesData[[#This Row],[Contracts Offered]])</f>
        <v>0.38461538461538464</v>
      </c>
      <c r="AG2736" s="5">
        <f>IF(SalesData[[#This Row],[Customers Visited]]=0,0,SalesData[[#This Row],[Test Drives]]/SalesData[[#This Row],[Customers Visited]])</f>
        <v>0.59778597785977861</v>
      </c>
      <c r="AH2736" s="5">
        <f>IF(SalesData[[#This Row],[Customers Visited]]=0,0,SalesData[[#This Row],[Contracts Signed]]/SalesData[[#This Row],[Customers Visited]])</f>
        <v>0.18450184501845018</v>
      </c>
      <c r="AI2736" s="6">
        <f>IF(SalesData[[#This Row],[Contracts Signed]]=0,0,SalesData[[#This Row],[Profit(€)]]/SalesData[[#This Row],[Contracts Signed]])</f>
        <v>14594</v>
      </c>
      <c r="AJ2736" s="5" t="str">
        <f>TRIM(CLEAN(SalesData[[#This Row],[Retailer]]))</f>
        <v>Rhein Auto Group</v>
      </c>
    </row>
    <row r="2737" spans="1:36" ht="14.25" hidden="1" x14ac:dyDescent="0.2">
      <c r="A2737" t="s">
        <v>3857</v>
      </c>
      <c r="B2737" s="1">
        <v>46070</v>
      </c>
      <c r="C2737" t="s">
        <v>62</v>
      </c>
      <c r="D2737" t="s">
        <v>63</v>
      </c>
      <c r="E2737" t="s">
        <v>26</v>
      </c>
      <c r="F2737" t="s">
        <v>101</v>
      </c>
      <c r="G2737" t="s">
        <v>102</v>
      </c>
      <c r="H2737" t="s">
        <v>103</v>
      </c>
      <c r="I2737" t="s">
        <v>64</v>
      </c>
      <c r="J2737" t="s">
        <v>111</v>
      </c>
      <c r="K2737" t="s">
        <v>66</v>
      </c>
      <c r="L2737" t="s">
        <v>46</v>
      </c>
      <c r="M2737" t="s">
        <v>68</v>
      </c>
      <c r="N2737" t="s">
        <v>48</v>
      </c>
      <c r="O2737" t="s">
        <v>36</v>
      </c>
      <c r="P2737" t="s">
        <v>71</v>
      </c>
      <c r="Q2737" t="s">
        <v>240</v>
      </c>
      <c r="R2737">
        <v>194</v>
      </c>
      <c r="S2737">
        <v>93</v>
      </c>
      <c r="T2737">
        <v>65</v>
      </c>
      <c r="U2737">
        <v>23</v>
      </c>
      <c r="V2737" t="s">
        <v>6453</v>
      </c>
      <c r="W2737">
        <v>60385</v>
      </c>
      <c r="X2737" t="s">
        <v>5727</v>
      </c>
      <c r="Y2737">
        <v>45908</v>
      </c>
      <c r="Z2737">
        <v>1388855</v>
      </c>
      <c r="AA2737">
        <v>332971</v>
      </c>
      <c r="AB2737" t="str">
        <f>(VLOOKUP(SalesData[[#This Row],[Month Number]],Reference!C$5:E$16,2,FALSE))</f>
        <v>Feb</v>
      </c>
      <c r="AC2737">
        <f>MONTH(SalesData[[#This Row],[Date]])</f>
        <v>2</v>
      </c>
      <c r="AD2737">
        <f>Reference!F$4</f>
        <v>2026</v>
      </c>
      <c r="AE2737" t="str">
        <f>IF(OR(SalesData[[#This Row],[Day]]="Saturday",SalesData[[#This Row],[Day]]="Sunday"),"Weekend","Weekday")</f>
        <v>Weekday</v>
      </c>
      <c r="AF2737" s="5">
        <f>IF(SalesData[[#This Row],[Contracts Offered]]=0,0,SalesData[[#This Row],[Contracts Signed]]/SalesData[[#This Row],[Contracts Offered]])</f>
        <v>0.35384615384615387</v>
      </c>
      <c r="AG2737" s="5">
        <f>IF(SalesData[[#This Row],[Customers Visited]]=0,0,SalesData[[#This Row],[Test Drives]]/SalesData[[#This Row],[Customers Visited]])</f>
        <v>0.47938144329896909</v>
      </c>
      <c r="AH2737" s="5">
        <f>IF(SalesData[[#This Row],[Customers Visited]]=0,0,SalesData[[#This Row],[Contracts Signed]]/SalesData[[#This Row],[Customers Visited]])</f>
        <v>0.11855670103092783</v>
      </c>
      <c r="AI2737" s="6">
        <f>IF(SalesData[[#This Row],[Contracts Signed]]=0,0,SalesData[[#This Row],[Profit(€)]]/SalesData[[#This Row],[Contracts Signed]])</f>
        <v>14477</v>
      </c>
      <c r="AJ2737" s="5" t="str">
        <f>TRIM(CLEAN(SalesData[[#This Row],[Retailer]]))</f>
        <v>Ruhr Auto Plaza</v>
      </c>
    </row>
    <row r="2738" spans="1:36" ht="14.25" hidden="1" x14ac:dyDescent="0.2">
      <c r="A2738" t="s">
        <v>3858</v>
      </c>
      <c r="B2738" s="1">
        <v>46059</v>
      </c>
      <c r="C2738" t="s">
        <v>24</v>
      </c>
      <c r="D2738" t="s">
        <v>54</v>
      </c>
      <c r="E2738" t="s">
        <v>26</v>
      </c>
      <c r="F2738" t="s">
        <v>7649</v>
      </c>
      <c r="G2738" t="s">
        <v>55</v>
      </c>
      <c r="H2738" t="s">
        <v>55</v>
      </c>
      <c r="I2738" t="s">
        <v>56</v>
      </c>
      <c r="J2738" t="s">
        <v>137</v>
      </c>
      <c r="K2738" t="s">
        <v>66</v>
      </c>
      <c r="L2738" t="s">
        <v>46</v>
      </c>
      <c r="M2738" t="s">
        <v>87</v>
      </c>
      <c r="N2738" t="s">
        <v>35</v>
      </c>
      <c r="O2738" t="s">
        <v>36</v>
      </c>
      <c r="P2738" t="s">
        <v>37</v>
      </c>
      <c r="Q2738" t="s">
        <v>129</v>
      </c>
      <c r="R2738">
        <v>282</v>
      </c>
      <c r="S2738">
        <v>165</v>
      </c>
      <c r="T2738">
        <v>105</v>
      </c>
      <c r="U2738">
        <v>37</v>
      </c>
      <c r="V2738" t="s">
        <v>6472</v>
      </c>
      <c r="W2738">
        <v>53319</v>
      </c>
      <c r="X2738" t="s">
        <v>861</v>
      </c>
      <c r="Y2738">
        <v>42775</v>
      </c>
      <c r="Z2738">
        <v>1972803</v>
      </c>
      <c r="AA2738">
        <v>390128</v>
      </c>
      <c r="AB2738" t="str">
        <f>(VLOOKUP(SalesData[[#This Row],[Month Number]],Reference!C$5:E$16,2,FALSE))</f>
        <v>Feb</v>
      </c>
      <c r="AC2738">
        <f>MONTH(SalesData[[#This Row],[Date]])</f>
        <v>2</v>
      </c>
      <c r="AD2738">
        <f>Reference!F$4</f>
        <v>2026</v>
      </c>
      <c r="AE2738" t="str">
        <f>IF(OR(SalesData[[#This Row],[Day]]="Saturday",SalesData[[#This Row],[Day]]="Sunday"),"Weekend","Weekday")</f>
        <v>Weekday</v>
      </c>
      <c r="AF2738" s="5">
        <f>IF(SalesData[[#This Row],[Contracts Offered]]=0,0,SalesData[[#This Row],[Contracts Signed]]/SalesData[[#This Row],[Contracts Offered]])</f>
        <v>0.35238095238095241</v>
      </c>
      <c r="AG2738" s="5">
        <f>IF(SalesData[[#This Row],[Customers Visited]]=0,0,SalesData[[#This Row],[Test Drives]]/SalesData[[#This Row],[Customers Visited]])</f>
        <v>0.58510638297872342</v>
      </c>
      <c r="AH2738" s="5">
        <f>IF(SalesData[[#This Row],[Customers Visited]]=0,0,SalesData[[#This Row],[Contracts Signed]]/SalesData[[#This Row],[Customers Visited]])</f>
        <v>0.13120567375886524</v>
      </c>
      <c r="AI2738" s="6">
        <f>IF(SalesData[[#This Row],[Contracts Signed]]=0,0,SalesData[[#This Row],[Profit(€)]]/SalesData[[#This Row],[Contracts Signed]])</f>
        <v>10544</v>
      </c>
      <c r="AJ2738" s="5" t="str">
        <f>TRIM(CLEAN(SalesData[[#This Row],[Retailer]]))</f>
        <v>Autohaus Berlin</v>
      </c>
    </row>
    <row r="2739" spans="1:36" ht="14.25" x14ac:dyDescent="0.2">
      <c r="A2739" t="s">
        <v>3860</v>
      </c>
      <c r="B2739" s="1">
        <v>46057</v>
      </c>
      <c r="C2739" t="s">
        <v>24</v>
      </c>
      <c r="D2739" t="s">
        <v>82</v>
      </c>
      <c r="E2739" t="s">
        <v>26</v>
      </c>
      <c r="F2739" t="s">
        <v>127</v>
      </c>
      <c r="G2739" t="s">
        <v>128</v>
      </c>
      <c r="H2739" t="s">
        <v>103</v>
      </c>
      <c r="I2739" t="s">
        <v>30</v>
      </c>
      <c r="J2739" t="s">
        <v>31</v>
      </c>
      <c r="K2739" t="s">
        <v>91</v>
      </c>
      <c r="L2739" t="s">
        <v>46</v>
      </c>
      <c r="M2739" t="s">
        <v>47</v>
      </c>
      <c r="N2739" t="s">
        <v>48</v>
      </c>
      <c r="O2739" t="s">
        <v>36</v>
      </c>
      <c r="P2739" t="s">
        <v>49</v>
      </c>
      <c r="Q2739" t="s">
        <v>118</v>
      </c>
      <c r="R2739">
        <v>280</v>
      </c>
      <c r="S2739">
        <v>146</v>
      </c>
      <c r="T2739">
        <v>101</v>
      </c>
      <c r="U2739">
        <v>42</v>
      </c>
      <c r="V2739" t="s">
        <v>6407</v>
      </c>
      <c r="W2739">
        <v>67185</v>
      </c>
      <c r="X2739" t="s">
        <v>7536</v>
      </c>
      <c r="Y2739">
        <v>50543</v>
      </c>
      <c r="Z2739">
        <v>2821770</v>
      </c>
      <c r="AA2739">
        <v>698964</v>
      </c>
      <c r="AB2739" t="str">
        <f>(VLOOKUP(SalesData[[#This Row],[Month Number]],Reference!C$5:E$16,2,FALSE))</f>
        <v>Feb</v>
      </c>
      <c r="AC2739">
        <f>MONTH(SalesData[[#This Row],[Date]])</f>
        <v>2</v>
      </c>
      <c r="AD2739">
        <f>Reference!F$4</f>
        <v>2026</v>
      </c>
      <c r="AE2739" t="str">
        <f>IF(OR(SalesData[[#This Row],[Day]]="Saturday",SalesData[[#This Row],[Day]]="Sunday"),"Weekend","Weekday")</f>
        <v>Weekday</v>
      </c>
      <c r="AF2739" s="5">
        <f>IF(SalesData[[#This Row],[Contracts Offered]]=0,0,SalesData[[#This Row],[Contracts Signed]]/SalesData[[#This Row],[Contracts Offered]])</f>
        <v>0.41584158415841582</v>
      </c>
      <c r="AG2739" s="5">
        <f>IF(SalesData[[#This Row],[Customers Visited]]=0,0,SalesData[[#This Row],[Test Drives]]/SalesData[[#This Row],[Customers Visited]])</f>
        <v>0.52142857142857146</v>
      </c>
      <c r="AH2739" s="5">
        <f>IF(SalesData[[#This Row],[Customers Visited]]=0,0,SalesData[[#This Row],[Contracts Signed]]/SalesData[[#This Row],[Customers Visited]])</f>
        <v>0.15</v>
      </c>
      <c r="AI2739" s="6">
        <f>IF(SalesData[[#This Row],[Contracts Signed]]=0,0,SalesData[[#This Row],[Profit(€)]]/SalesData[[#This Row],[Contracts Signed]])</f>
        <v>16642</v>
      </c>
      <c r="AJ2739" s="5" t="str">
        <f>TRIM(CLEAN(SalesData[[#This Row],[Retailer]]))</f>
        <v>Rhein Auto Group</v>
      </c>
    </row>
    <row r="2740" spans="1:36" ht="14.25" hidden="1" x14ac:dyDescent="0.2">
      <c r="A2740" t="s">
        <v>3861</v>
      </c>
      <c r="B2740" s="1">
        <v>46058</v>
      </c>
      <c r="C2740" t="s">
        <v>24</v>
      </c>
      <c r="D2740" t="s">
        <v>100</v>
      </c>
      <c r="E2740" t="s">
        <v>26</v>
      </c>
      <c r="F2740" t="s">
        <v>114</v>
      </c>
      <c r="G2740" t="s">
        <v>115</v>
      </c>
      <c r="H2740" t="s">
        <v>115</v>
      </c>
      <c r="I2740" t="s">
        <v>56</v>
      </c>
      <c r="J2740" t="s">
        <v>57</v>
      </c>
      <c r="K2740" t="s">
        <v>78</v>
      </c>
      <c r="L2740" t="s">
        <v>46</v>
      </c>
      <c r="M2740" t="s">
        <v>68</v>
      </c>
      <c r="N2740" t="s">
        <v>48</v>
      </c>
      <c r="O2740" t="s">
        <v>70</v>
      </c>
      <c r="P2740" t="s">
        <v>71</v>
      </c>
      <c r="Q2740" t="s">
        <v>106</v>
      </c>
      <c r="R2740">
        <v>172</v>
      </c>
      <c r="S2740">
        <v>103</v>
      </c>
      <c r="T2740">
        <v>78</v>
      </c>
      <c r="U2740">
        <v>23</v>
      </c>
      <c r="V2740" t="s">
        <v>6642</v>
      </c>
      <c r="W2740">
        <v>52988</v>
      </c>
      <c r="X2740" t="s">
        <v>3704</v>
      </c>
      <c r="Y2740">
        <v>42481</v>
      </c>
      <c r="Z2740">
        <v>1218724</v>
      </c>
      <c r="AA2740">
        <v>241661</v>
      </c>
      <c r="AB2740" t="str">
        <f>(VLOOKUP(SalesData[[#This Row],[Month Number]],Reference!C$5:E$16,2,FALSE))</f>
        <v>Feb</v>
      </c>
      <c r="AC2740">
        <f>MONTH(SalesData[[#This Row],[Date]])</f>
        <v>2</v>
      </c>
      <c r="AD2740">
        <f>Reference!F$4</f>
        <v>2026</v>
      </c>
      <c r="AE2740" t="str">
        <f>IF(OR(SalesData[[#This Row],[Day]]="Saturday",SalesData[[#This Row],[Day]]="Sunday"),"Weekend","Weekday")</f>
        <v>Weekday</v>
      </c>
      <c r="AF2740" s="5">
        <f>IF(SalesData[[#This Row],[Contracts Offered]]=0,0,SalesData[[#This Row],[Contracts Signed]]/SalesData[[#This Row],[Contracts Offered]])</f>
        <v>0.29487179487179488</v>
      </c>
      <c r="AG2740" s="5">
        <f>IF(SalesData[[#This Row],[Customers Visited]]=0,0,SalesData[[#This Row],[Test Drives]]/SalesData[[#This Row],[Customers Visited]])</f>
        <v>0.59883720930232553</v>
      </c>
      <c r="AH2740" s="5">
        <f>IF(SalesData[[#This Row],[Customers Visited]]=0,0,SalesData[[#This Row],[Contracts Signed]]/SalesData[[#This Row],[Customers Visited]])</f>
        <v>0.13372093023255813</v>
      </c>
      <c r="AI2740" s="6">
        <f>IF(SalesData[[#This Row],[Contracts Signed]]=0,0,SalesData[[#This Row],[Profit(€)]]/SalesData[[#This Row],[Contracts Signed]])</f>
        <v>10507</v>
      </c>
      <c r="AJ2740" s="5" t="str">
        <f>TRIM(CLEAN(SalesData[[#This Row],[Retailer]]))</f>
        <v>Elbe Drive</v>
      </c>
    </row>
    <row r="2741" spans="1:36" ht="14.25" hidden="1" x14ac:dyDescent="0.2">
      <c r="A2741" t="s">
        <v>3862</v>
      </c>
      <c r="B2741" s="1">
        <v>46071</v>
      </c>
      <c r="C2741" t="s">
        <v>62</v>
      </c>
      <c r="D2741" t="s">
        <v>82</v>
      </c>
      <c r="E2741" t="s">
        <v>26</v>
      </c>
      <c r="F2741" t="s">
        <v>43</v>
      </c>
      <c r="G2741" t="s">
        <v>44</v>
      </c>
      <c r="H2741" t="s">
        <v>45</v>
      </c>
      <c r="I2741" t="s">
        <v>56</v>
      </c>
      <c r="J2741" t="s">
        <v>7028</v>
      </c>
      <c r="K2741" t="s">
        <v>78</v>
      </c>
      <c r="L2741" t="s">
        <v>46</v>
      </c>
      <c r="M2741" t="s">
        <v>34</v>
      </c>
      <c r="N2741" t="s">
        <v>48</v>
      </c>
      <c r="O2741" t="s">
        <v>70</v>
      </c>
      <c r="P2741" t="s">
        <v>71</v>
      </c>
      <c r="Q2741" t="s">
        <v>59</v>
      </c>
      <c r="R2741">
        <v>194</v>
      </c>
      <c r="S2741">
        <v>110</v>
      </c>
      <c r="T2741">
        <v>80</v>
      </c>
      <c r="U2741">
        <v>27</v>
      </c>
      <c r="V2741" t="s">
        <v>6797</v>
      </c>
      <c r="W2741">
        <v>53068</v>
      </c>
      <c r="X2741" t="s">
        <v>80</v>
      </c>
      <c r="Y2741">
        <v>39859</v>
      </c>
      <c r="Z2741">
        <v>1432836</v>
      </c>
      <c r="AA2741">
        <v>356643</v>
      </c>
      <c r="AB2741" t="str">
        <f>(VLOOKUP(SalesData[[#This Row],[Month Number]],Reference!C$5:E$16,2,FALSE))</f>
        <v>Feb</v>
      </c>
      <c r="AC2741">
        <f>MONTH(SalesData[[#This Row],[Date]])</f>
        <v>2</v>
      </c>
      <c r="AD2741">
        <f>Reference!F$4</f>
        <v>2026</v>
      </c>
      <c r="AE2741" t="str">
        <f>IF(OR(SalesData[[#This Row],[Day]]="Saturday",SalesData[[#This Row],[Day]]="Sunday"),"Weekend","Weekday")</f>
        <v>Weekday</v>
      </c>
      <c r="AF2741" s="5">
        <f>IF(SalesData[[#This Row],[Contracts Offered]]=0,0,SalesData[[#This Row],[Contracts Signed]]/SalesData[[#This Row],[Contracts Offered]])</f>
        <v>0.33750000000000002</v>
      </c>
      <c r="AG2741" s="5">
        <f>IF(SalesData[[#This Row],[Customers Visited]]=0,0,SalesData[[#This Row],[Test Drives]]/SalesData[[#This Row],[Customers Visited]])</f>
        <v>0.5670103092783505</v>
      </c>
      <c r="AH2741" s="5">
        <f>IF(SalesData[[#This Row],[Customers Visited]]=0,0,SalesData[[#This Row],[Contracts Signed]]/SalesData[[#This Row],[Customers Visited]])</f>
        <v>0.13917525773195877</v>
      </c>
      <c r="AI2741" s="6">
        <f>IF(SalesData[[#This Row],[Contracts Signed]]=0,0,SalesData[[#This Row],[Profit(€)]]/SalesData[[#This Row],[Contracts Signed]])</f>
        <v>13209</v>
      </c>
      <c r="AJ2741" s="5" t="str">
        <f>TRIM(CLEAN(SalesData[[#This Row],[Retailer]]))</f>
        <v>Saxon Wheels</v>
      </c>
    </row>
    <row r="2742" spans="1:36" ht="14.25" hidden="1" x14ac:dyDescent="0.2">
      <c r="A2742" t="s">
        <v>3863</v>
      </c>
      <c r="B2742" s="1">
        <v>46061</v>
      </c>
      <c r="C2742" t="s">
        <v>121</v>
      </c>
      <c r="D2742" t="s">
        <v>41</v>
      </c>
      <c r="E2742" t="s">
        <v>42</v>
      </c>
      <c r="F2742" t="s">
        <v>101</v>
      </c>
      <c r="G2742" t="s">
        <v>102</v>
      </c>
      <c r="H2742" t="s">
        <v>103</v>
      </c>
      <c r="I2742" t="s">
        <v>64</v>
      </c>
      <c r="J2742" t="s">
        <v>77</v>
      </c>
      <c r="K2742" t="s">
        <v>32</v>
      </c>
      <c r="L2742" t="s">
        <v>46</v>
      </c>
      <c r="M2742" t="s">
        <v>68</v>
      </c>
      <c r="N2742" t="s">
        <v>35</v>
      </c>
      <c r="O2742" t="s">
        <v>36</v>
      </c>
      <c r="P2742" t="s">
        <v>58</v>
      </c>
      <c r="Q2742" t="s">
        <v>122</v>
      </c>
      <c r="R2742">
        <v>195</v>
      </c>
      <c r="S2742">
        <v>104</v>
      </c>
      <c r="T2742">
        <v>69</v>
      </c>
      <c r="U2742">
        <v>28</v>
      </c>
      <c r="V2742" t="s">
        <v>6476</v>
      </c>
      <c r="W2742">
        <v>69115</v>
      </c>
      <c r="X2742" t="s">
        <v>7222</v>
      </c>
      <c r="Y2742">
        <v>53200</v>
      </c>
      <c r="Z2742">
        <v>1935220</v>
      </c>
      <c r="AA2742">
        <v>445620</v>
      </c>
      <c r="AB2742" t="str">
        <f>(VLOOKUP(SalesData[[#This Row],[Month Number]],Reference!C$5:E$16,2,FALSE))</f>
        <v>Feb</v>
      </c>
      <c r="AC2742">
        <f>MONTH(SalesData[[#This Row],[Date]])</f>
        <v>2</v>
      </c>
      <c r="AD2742">
        <f>Reference!F$4</f>
        <v>2026</v>
      </c>
      <c r="AE2742" t="str">
        <f>IF(OR(SalesData[[#This Row],[Day]]="Saturday",SalesData[[#This Row],[Day]]="Sunday"),"Weekend","Weekday")</f>
        <v>Weekend</v>
      </c>
      <c r="AF2742" s="5">
        <f>IF(SalesData[[#This Row],[Contracts Offered]]=0,0,SalesData[[#This Row],[Contracts Signed]]/SalesData[[#This Row],[Contracts Offered]])</f>
        <v>0.40579710144927539</v>
      </c>
      <c r="AG2742" s="5">
        <f>IF(SalesData[[#This Row],[Customers Visited]]=0,0,SalesData[[#This Row],[Test Drives]]/SalesData[[#This Row],[Customers Visited]])</f>
        <v>0.53333333333333333</v>
      </c>
      <c r="AH2742" s="5">
        <f>IF(SalesData[[#This Row],[Customers Visited]]=0,0,SalesData[[#This Row],[Contracts Signed]]/SalesData[[#This Row],[Customers Visited]])</f>
        <v>0.14358974358974358</v>
      </c>
      <c r="AI2742" s="6">
        <f>IF(SalesData[[#This Row],[Contracts Signed]]=0,0,SalesData[[#This Row],[Profit(€)]]/SalesData[[#This Row],[Contracts Signed]])</f>
        <v>15915</v>
      </c>
      <c r="AJ2742" s="5" t="str">
        <f>TRIM(CLEAN(SalesData[[#This Row],[Retailer]]))</f>
        <v>Ruhr Auto Plaza</v>
      </c>
    </row>
    <row r="2743" spans="1:36" ht="14.25" hidden="1" x14ac:dyDescent="0.2">
      <c r="A2743" t="s">
        <v>3864</v>
      </c>
      <c r="B2743" s="1">
        <v>46065</v>
      </c>
      <c r="C2743" t="s">
        <v>121</v>
      </c>
      <c r="D2743" t="s">
        <v>100</v>
      </c>
      <c r="E2743" t="s">
        <v>26</v>
      </c>
      <c r="F2743" t="s">
        <v>74</v>
      </c>
      <c r="G2743" t="s">
        <v>75</v>
      </c>
      <c r="H2743" t="s">
        <v>76</v>
      </c>
      <c r="I2743" t="s">
        <v>116</v>
      </c>
      <c r="J2743" t="s">
        <v>7090</v>
      </c>
      <c r="K2743" t="s">
        <v>66</v>
      </c>
      <c r="L2743" t="s">
        <v>46</v>
      </c>
      <c r="M2743" t="s">
        <v>68</v>
      </c>
      <c r="N2743" t="s">
        <v>35</v>
      </c>
      <c r="O2743" t="s">
        <v>70</v>
      </c>
      <c r="P2743" t="s">
        <v>49</v>
      </c>
      <c r="Q2743" t="s">
        <v>169</v>
      </c>
      <c r="R2743">
        <v>267</v>
      </c>
      <c r="S2743">
        <v>133</v>
      </c>
      <c r="T2743">
        <v>92</v>
      </c>
      <c r="U2743">
        <v>21</v>
      </c>
      <c r="V2743" t="s">
        <v>456</v>
      </c>
      <c r="W2743">
        <v>26871</v>
      </c>
      <c r="X2743" t="s">
        <v>421</v>
      </c>
      <c r="Y2743">
        <v>24620</v>
      </c>
      <c r="Z2743">
        <v>564291</v>
      </c>
      <c r="AA2743">
        <v>47271</v>
      </c>
      <c r="AB2743" t="str">
        <f>(VLOOKUP(SalesData[[#This Row],[Month Number]],Reference!C$5:E$16,2,FALSE))</f>
        <v>Feb</v>
      </c>
      <c r="AC2743">
        <f>MONTH(SalesData[[#This Row],[Date]])</f>
        <v>2</v>
      </c>
      <c r="AD2743">
        <f>Reference!F$4</f>
        <v>2026</v>
      </c>
      <c r="AE2743" t="str">
        <f>IF(OR(SalesData[[#This Row],[Day]]="Saturday",SalesData[[#This Row],[Day]]="Sunday"),"Weekend","Weekday")</f>
        <v>Weekday</v>
      </c>
      <c r="AF2743" s="5">
        <f>IF(SalesData[[#This Row],[Contracts Offered]]=0,0,SalesData[[#This Row],[Contracts Signed]]/SalesData[[#This Row],[Contracts Offered]])</f>
        <v>0.22826086956521738</v>
      </c>
      <c r="AG2743" s="5">
        <f>IF(SalesData[[#This Row],[Customers Visited]]=0,0,SalesData[[#This Row],[Test Drives]]/SalesData[[#This Row],[Customers Visited]])</f>
        <v>0.49812734082397003</v>
      </c>
      <c r="AH2743" s="5">
        <f>IF(SalesData[[#This Row],[Customers Visited]]=0,0,SalesData[[#This Row],[Contracts Signed]]/SalesData[[#This Row],[Customers Visited]])</f>
        <v>7.8651685393258425E-2</v>
      </c>
      <c r="AI2743" s="6">
        <f>IF(SalesData[[#This Row],[Contracts Signed]]=0,0,SalesData[[#This Row],[Profit(€)]]/SalesData[[#This Row],[Contracts Signed]])</f>
        <v>2251</v>
      </c>
      <c r="AJ2743" s="5" t="str">
        <f>TRIM(CLEAN(SalesData[[#This Row],[Retailer]]))</f>
        <v>Stuttgart Auto Center</v>
      </c>
    </row>
    <row r="2744" spans="1:36" ht="14.25" hidden="1" x14ac:dyDescent="0.2">
      <c r="A2744" t="s">
        <v>3865</v>
      </c>
      <c r="B2744" s="1">
        <v>46074</v>
      </c>
      <c r="C2744" t="s">
        <v>62</v>
      </c>
      <c r="D2744" t="s">
        <v>151</v>
      </c>
      <c r="E2744" t="s">
        <v>42</v>
      </c>
      <c r="F2744" t="s">
        <v>101</v>
      </c>
      <c r="G2744" t="s">
        <v>102</v>
      </c>
      <c r="H2744" t="s">
        <v>103</v>
      </c>
      <c r="I2744" t="s">
        <v>104</v>
      </c>
      <c r="J2744" t="s">
        <v>105</v>
      </c>
      <c r="K2744" t="s">
        <v>32</v>
      </c>
      <c r="L2744" t="s">
        <v>33</v>
      </c>
      <c r="M2744" t="s">
        <v>68</v>
      </c>
      <c r="N2744" t="s">
        <v>48</v>
      </c>
      <c r="O2744" t="s">
        <v>36</v>
      </c>
      <c r="P2744" t="s">
        <v>58</v>
      </c>
      <c r="Q2744" t="s">
        <v>240</v>
      </c>
      <c r="R2744">
        <v>475</v>
      </c>
      <c r="S2744">
        <v>267</v>
      </c>
      <c r="T2744">
        <v>183</v>
      </c>
      <c r="U2744">
        <v>53</v>
      </c>
      <c r="V2744" t="s">
        <v>7557</v>
      </c>
      <c r="W2744">
        <v>31225</v>
      </c>
      <c r="X2744" t="s">
        <v>354</v>
      </c>
      <c r="Y2744">
        <v>27108</v>
      </c>
      <c r="Z2744">
        <v>1654925</v>
      </c>
      <c r="AA2744">
        <v>218201</v>
      </c>
      <c r="AB2744" t="str">
        <f>(VLOOKUP(SalesData[[#This Row],[Month Number]],Reference!C$5:E$16,2,FALSE))</f>
        <v>Feb</v>
      </c>
      <c r="AC2744">
        <f>MONTH(SalesData[[#This Row],[Date]])</f>
        <v>2</v>
      </c>
      <c r="AD2744">
        <f>Reference!F$4</f>
        <v>2026</v>
      </c>
      <c r="AE2744" t="str">
        <f>IF(OR(SalesData[[#This Row],[Day]]="Saturday",SalesData[[#This Row],[Day]]="Sunday"),"Weekend","Weekday")</f>
        <v>Weekend</v>
      </c>
      <c r="AF2744" s="5">
        <f>IF(SalesData[[#This Row],[Contracts Offered]]=0,0,SalesData[[#This Row],[Contracts Signed]]/SalesData[[#This Row],[Contracts Offered]])</f>
        <v>0.2896174863387978</v>
      </c>
      <c r="AG2744" s="5">
        <f>IF(SalesData[[#This Row],[Customers Visited]]=0,0,SalesData[[#This Row],[Test Drives]]/SalesData[[#This Row],[Customers Visited]])</f>
        <v>0.56210526315789477</v>
      </c>
      <c r="AH2744" s="5">
        <f>IF(SalesData[[#This Row],[Customers Visited]]=0,0,SalesData[[#This Row],[Contracts Signed]]/SalesData[[#This Row],[Customers Visited]])</f>
        <v>0.11157894736842106</v>
      </c>
      <c r="AI2744" s="6">
        <f>IF(SalesData[[#This Row],[Contracts Signed]]=0,0,SalesData[[#This Row],[Profit(€)]]/SalesData[[#This Row],[Contracts Signed]])</f>
        <v>4117</v>
      </c>
      <c r="AJ2744" s="5" t="str">
        <f>TRIM(CLEAN(SalesData[[#This Row],[Retailer]]))</f>
        <v>Ruhr Auto Plaza</v>
      </c>
    </row>
    <row r="2745" spans="1:36" ht="14.25" hidden="1" x14ac:dyDescent="0.2">
      <c r="A2745" t="s">
        <v>3866</v>
      </c>
      <c r="B2745" s="1">
        <v>46070</v>
      </c>
      <c r="C2745" t="s">
        <v>62</v>
      </c>
      <c r="D2745" t="s">
        <v>63</v>
      </c>
      <c r="E2745" t="s">
        <v>26</v>
      </c>
      <c r="F2745" t="s">
        <v>74</v>
      </c>
      <c r="G2745" t="s">
        <v>75</v>
      </c>
      <c r="H2745" t="s">
        <v>76</v>
      </c>
      <c r="I2745" t="s">
        <v>64</v>
      </c>
      <c r="J2745" t="s">
        <v>111</v>
      </c>
      <c r="K2745" t="s">
        <v>66</v>
      </c>
      <c r="L2745" t="s">
        <v>46</v>
      </c>
      <c r="M2745" t="s">
        <v>34</v>
      </c>
      <c r="N2745" t="s">
        <v>69</v>
      </c>
      <c r="O2745" t="s">
        <v>36</v>
      </c>
      <c r="P2745" t="s">
        <v>37</v>
      </c>
      <c r="Q2745" t="s">
        <v>59</v>
      </c>
      <c r="R2745">
        <v>212</v>
      </c>
      <c r="S2745">
        <v>117</v>
      </c>
      <c r="T2745">
        <v>84</v>
      </c>
      <c r="U2745">
        <v>29</v>
      </c>
      <c r="V2745" t="s">
        <v>6927</v>
      </c>
      <c r="W2745">
        <v>68647</v>
      </c>
      <c r="X2745" t="s">
        <v>7126</v>
      </c>
      <c r="Y2745">
        <v>53563</v>
      </c>
      <c r="Z2745">
        <v>1990763</v>
      </c>
      <c r="AA2745">
        <v>437436</v>
      </c>
      <c r="AB2745" t="str">
        <f>(VLOOKUP(SalesData[[#This Row],[Month Number]],Reference!C$5:E$16,2,FALSE))</f>
        <v>Feb</v>
      </c>
      <c r="AC2745">
        <f>MONTH(SalesData[[#This Row],[Date]])</f>
        <v>2</v>
      </c>
      <c r="AD2745">
        <f>Reference!F$4</f>
        <v>2026</v>
      </c>
      <c r="AE2745" t="str">
        <f>IF(OR(SalesData[[#This Row],[Day]]="Saturday",SalesData[[#This Row],[Day]]="Sunday"),"Weekend","Weekday")</f>
        <v>Weekday</v>
      </c>
      <c r="AF2745" s="5">
        <f>IF(SalesData[[#This Row],[Contracts Offered]]=0,0,SalesData[[#This Row],[Contracts Signed]]/SalesData[[#This Row],[Contracts Offered]])</f>
        <v>0.34523809523809523</v>
      </c>
      <c r="AG2745" s="5">
        <f>IF(SalesData[[#This Row],[Customers Visited]]=0,0,SalesData[[#This Row],[Test Drives]]/SalesData[[#This Row],[Customers Visited]])</f>
        <v>0.55188679245283023</v>
      </c>
      <c r="AH2745" s="5">
        <f>IF(SalesData[[#This Row],[Customers Visited]]=0,0,SalesData[[#This Row],[Contracts Signed]]/SalesData[[#This Row],[Customers Visited]])</f>
        <v>0.13679245283018868</v>
      </c>
      <c r="AI2745" s="6">
        <f>IF(SalesData[[#This Row],[Contracts Signed]]=0,0,SalesData[[#This Row],[Profit(€)]]/SalesData[[#This Row],[Contracts Signed]])</f>
        <v>15084</v>
      </c>
      <c r="AJ2745" s="5" t="str">
        <f>TRIM(CLEAN(SalesData[[#This Row],[Retailer]]))</f>
        <v>Stuttgart Auto Center</v>
      </c>
    </row>
    <row r="2746" spans="1:36" ht="14.25" hidden="1" x14ac:dyDescent="0.2">
      <c r="A2746" t="s">
        <v>3867</v>
      </c>
      <c r="B2746" s="1">
        <v>46068</v>
      </c>
      <c r="C2746" t="s">
        <v>62</v>
      </c>
      <c r="D2746" t="s">
        <v>41</v>
      </c>
      <c r="E2746" t="s">
        <v>42</v>
      </c>
      <c r="F2746" t="s">
        <v>101</v>
      </c>
      <c r="G2746" t="s">
        <v>102</v>
      </c>
      <c r="H2746" t="s">
        <v>103</v>
      </c>
      <c r="I2746" t="s">
        <v>116</v>
      </c>
      <c r="J2746" t="s">
        <v>203</v>
      </c>
      <c r="K2746" t="s">
        <v>32</v>
      </c>
      <c r="L2746" t="s">
        <v>67</v>
      </c>
      <c r="M2746" t="s">
        <v>68</v>
      </c>
      <c r="N2746" t="s">
        <v>35</v>
      </c>
      <c r="O2746" t="s">
        <v>70</v>
      </c>
      <c r="P2746" t="s">
        <v>71</v>
      </c>
      <c r="Q2746" t="s">
        <v>347</v>
      </c>
      <c r="R2746">
        <v>289</v>
      </c>
      <c r="S2746">
        <v>145</v>
      </c>
      <c r="T2746">
        <v>89</v>
      </c>
      <c r="U2746">
        <v>18</v>
      </c>
      <c r="V2746" t="s">
        <v>2222</v>
      </c>
      <c r="W2746">
        <v>20809</v>
      </c>
      <c r="X2746" t="s">
        <v>2994</v>
      </c>
      <c r="Y2746">
        <v>18625</v>
      </c>
      <c r="Z2746">
        <v>374562</v>
      </c>
      <c r="AA2746">
        <v>39312</v>
      </c>
      <c r="AB2746" t="str">
        <f>(VLOOKUP(SalesData[[#This Row],[Month Number]],Reference!C$5:E$16,2,FALSE))</f>
        <v>Feb</v>
      </c>
      <c r="AC2746">
        <f>MONTH(SalesData[[#This Row],[Date]])</f>
        <v>2</v>
      </c>
      <c r="AD2746">
        <f>Reference!F$4</f>
        <v>2026</v>
      </c>
      <c r="AE2746" t="str">
        <f>IF(OR(SalesData[[#This Row],[Day]]="Saturday",SalesData[[#This Row],[Day]]="Sunday"),"Weekend","Weekday")</f>
        <v>Weekend</v>
      </c>
      <c r="AF2746" s="5">
        <f>IF(SalesData[[#This Row],[Contracts Offered]]=0,0,SalesData[[#This Row],[Contracts Signed]]/SalesData[[#This Row],[Contracts Offered]])</f>
        <v>0.20224719101123595</v>
      </c>
      <c r="AG2746" s="5">
        <f>IF(SalesData[[#This Row],[Customers Visited]]=0,0,SalesData[[#This Row],[Test Drives]]/SalesData[[#This Row],[Customers Visited]])</f>
        <v>0.5017301038062284</v>
      </c>
      <c r="AH2746" s="5">
        <f>IF(SalesData[[#This Row],[Customers Visited]]=0,0,SalesData[[#This Row],[Contracts Signed]]/SalesData[[#This Row],[Customers Visited]])</f>
        <v>6.228373702422145E-2</v>
      </c>
      <c r="AI2746" s="6">
        <f>IF(SalesData[[#This Row],[Contracts Signed]]=0,0,SalesData[[#This Row],[Profit(€)]]/SalesData[[#This Row],[Contracts Signed]])</f>
        <v>2184</v>
      </c>
      <c r="AJ2746" s="5" t="str">
        <f>TRIM(CLEAN(SalesData[[#This Row],[Retailer]]))</f>
        <v>Ruhr Auto Plaza</v>
      </c>
    </row>
    <row r="2747" spans="1:36" ht="14.25" hidden="1" x14ac:dyDescent="0.2">
      <c r="A2747" t="s">
        <v>3868</v>
      </c>
      <c r="B2747" s="1">
        <v>46077</v>
      </c>
      <c r="C2747" t="s">
        <v>53</v>
      </c>
      <c r="D2747" t="s">
        <v>63</v>
      </c>
      <c r="E2747" t="s">
        <v>26</v>
      </c>
      <c r="F2747" t="s">
        <v>83</v>
      </c>
      <c r="G2747" t="s">
        <v>84</v>
      </c>
      <c r="H2747" t="s">
        <v>85</v>
      </c>
      <c r="I2747" t="s">
        <v>64</v>
      </c>
      <c r="J2747" t="s">
        <v>7029</v>
      </c>
      <c r="K2747" t="s">
        <v>32</v>
      </c>
      <c r="L2747" t="s">
        <v>33</v>
      </c>
      <c r="M2747" t="s">
        <v>47</v>
      </c>
      <c r="N2747" t="s">
        <v>69</v>
      </c>
      <c r="O2747" t="s">
        <v>36</v>
      </c>
      <c r="P2747" t="s">
        <v>37</v>
      </c>
      <c r="Q2747" t="s">
        <v>79</v>
      </c>
      <c r="R2747">
        <v>162</v>
      </c>
      <c r="S2747">
        <v>84</v>
      </c>
      <c r="T2747">
        <v>65</v>
      </c>
      <c r="U2747">
        <v>18</v>
      </c>
      <c r="V2747" t="s">
        <v>6452</v>
      </c>
      <c r="W2747">
        <v>56023</v>
      </c>
      <c r="X2747" t="s">
        <v>7274</v>
      </c>
      <c r="Y2747">
        <v>43643</v>
      </c>
      <c r="Z2747">
        <v>1008414</v>
      </c>
      <c r="AA2747">
        <v>222840</v>
      </c>
      <c r="AB2747" t="str">
        <f>(VLOOKUP(SalesData[[#This Row],[Month Number]],Reference!C$5:E$16,2,FALSE))</f>
        <v>Feb</v>
      </c>
      <c r="AC2747">
        <f>MONTH(SalesData[[#This Row],[Date]])</f>
        <v>2</v>
      </c>
      <c r="AD2747">
        <f>Reference!F$4</f>
        <v>2026</v>
      </c>
      <c r="AE2747" t="str">
        <f>IF(OR(SalesData[[#This Row],[Day]]="Saturday",SalesData[[#This Row],[Day]]="Sunday"),"Weekend","Weekday")</f>
        <v>Weekday</v>
      </c>
      <c r="AF2747" s="5">
        <f>IF(SalesData[[#This Row],[Contracts Offered]]=0,0,SalesData[[#This Row],[Contracts Signed]]/SalesData[[#This Row],[Contracts Offered]])</f>
        <v>0.27692307692307694</v>
      </c>
      <c r="AG2747" s="5">
        <f>IF(SalesData[[#This Row],[Customers Visited]]=0,0,SalesData[[#This Row],[Test Drives]]/SalesData[[#This Row],[Customers Visited]])</f>
        <v>0.51851851851851849</v>
      </c>
      <c r="AH2747" s="5">
        <f>IF(SalesData[[#This Row],[Customers Visited]]=0,0,SalesData[[#This Row],[Contracts Signed]]/SalesData[[#This Row],[Customers Visited]])</f>
        <v>0.1111111111111111</v>
      </c>
      <c r="AI2747" s="6">
        <f>IF(SalesData[[#This Row],[Contracts Signed]]=0,0,SalesData[[#This Row],[Profit(€)]]/SalesData[[#This Row],[Contracts Signed]])</f>
        <v>12380</v>
      </c>
      <c r="AJ2747" s="5" t="str">
        <f>TRIM(CLEAN(SalesData[[#This Row],[Retailer]]))</f>
        <v>Hannover Cars</v>
      </c>
    </row>
    <row r="2748" spans="1:36" ht="14.25" x14ac:dyDescent="0.2">
      <c r="A2748" t="s">
        <v>3869</v>
      </c>
      <c r="B2748" s="1">
        <v>46080</v>
      </c>
      <c r="C2748" t="s">
        <v>53</v>
      </c>
      <c r="D2748" t="s">
        <v>54</v>
      </c>
      <c r="E2748" t="s">
        <v>26</v>
      </c>
      <c r="F2748" t="s">
        <v>127</v>
      </c>
      <c r="G2748" t="s">
        <v>128</v>
      </c>
      <c r="H2748" t="s">
        <v>103</v>
      </c>
      <c r="I2748" t="s">
        <v>30</v>
      </c>
      <c r="J2748" t="s">
        <v>31</v>
      </c>
      <c r="K2748" t="s">
        <v>91</v>
      </c>
      <c r="L2748" t="s">
        <v>46</v>
      </c>
      <c r="M2748" t="s">
        <v>68</v>
      </c>
      <c r="N2748" t="s">
        <v>48</v>
      </c>
      <c r="O2748" t="s">
        <v>36</v>
      </c>
      <c r="P2748" t="s">
        <v>49</v>
      </c>
      <c r="Q2748" t="s">
        <v>204</v>
      </c>
      <c r="R2748">
        <v>150</v>
      </c>
      <c r="S2748">
        <v>69</v>
      </c>
      <c r="T2748">
        <v>49</v>
      </c>
      <c r="U2748">
        <v>17</v>
      </c>
      <c r="V2748" t="s">
        <v>6473</v>
      </c>
      <c r="W2748">
        <v>55265</v>
      </c>
      <c r="X2748" t="s">
        <v>3593</v>
      </c>
      <c r="Y2748">
        <v>41833</v>
      </c>
      <c r="Z2748">
        <v>939505</v>
      </c>
      <c r="AA2748">
        <v>228344</v>
      </c>
      <c r="AB2748" t="str">
        <f>(VLOOKUP(SalesData[[#This Row],[Month Number]],Reference!C$5:E$16,2,FALSE))</f>
        <v>Feb</v>
      </c>
      <c r="AC2748">
        <f>MONTH(SalesData[[#This Row],[Date]])</f>
        <v>2</v>
      </c>
      <c r="AD2748">
        <f>Reference!F$4</f>
        <v>2026</v>
      </c>
      <c r="AE2748" t="str">
        <f>IF(OR(SalesData[[#This Row],[Day]]="Saturday",SalesData[[#This Row],[Day]]="Sunday"),"Weekend","Weekday")</f>
        <v>Weekday</v>
      </c>
      <c r="AF2748" s="5">
        <f>IF(SalesData[[#This Row],[Contracts Offered]]=0,0,SalesData[[#This Row],[Contracts Signed]]/SalesData[[#This Row],[Contracts Offered]])</f>
        <v>0.34693877551020408</v>
      </c>
      <c r="AG2748" s="5">
        <f>IF(SalesData[[#This Row],[Customers Visited]]=0,0,SalesData[[#This Row],[Test Drives]]/SalesData[[#This Row],[Customers Visited]])</f>
        <v>0.46</v>
      </c>
      <c r="AH2748" s="5">
        <f>IF(SalesData[[#This Row],[Customers Visited]]=0,0,SalesData[[#This Row],[Contracts Signed]]/SalesData[[#This Row],[Customers Visited]])</f>
        <v>0.11333333333333333</v>
      </c>
      <c r="AI2748" s="6">
        <f>IF(SalesData[[#This Row],[Contracts Signed]]=0,0,SalesData[[#This Row],[Profit(€)]]/SalesData[[#This Row],[Contracts Signed]])</f>
        <v>13432</v>
      </c>
      <c r="AJ2748" s="5" t="str">
        <f>TRIM(CLEAN(SalesData[[#This Row],[Retailer]]))</f>
        <v>Rhein Auto Group</v>
      </c>
    </row>
    <row r="2749" spans="1:36" ht="14.25" x14ac:dyDescent="0.2">
      <c r="A2749" t="s">
        <v>3870</v>
      </c>
      <c r="B2749" s="1">
        <v>46061</v>
      </c>
      <c r="C2749" t="s">
        <v>121</v>
      </c>
      <c r="D2749" t="s">
        <v>41</v>
      </c>
      <c r="E2749" t="s">
        <v>42</v>
      </c>
      <c r="F2749" t="s">
        <v>127</v>
      </c>
      <c r="G2749" t="s">
        <v>128</v>
      </c>
      <c r="H2749" t="s">
        <v>103</v>
      </c>
      <c r="I2749" t="s">
        <v>30</v>
      </c>
      <c r="J2749" t="s">
        <v>7075</v>
      </c>
      <c r="K2749" t="s">
        <v>32</v>
      </c>
      <c r="L2749" t="s">
        <v>33</v>
      </c>
      <c r="M2749" t="s">
        <v>68</v>
      </c>
      <c r="N2749" t="s">
        <v>69</v>
      </c>
      <c r="O2749" t="s">
        <v>70</v>
      </c>
      <c r="P2749" t="s">
        <v>58</v>
      </c>
      <c r="Q2749" t="s">
        <v>189</v>
      </c>
      <c r="R2749">
        <v>227</v>
      </c>
      <c r="S2749">
        <v>104</v>
      </c>
      <c r="T2749">
        <v>81</v>
      </c>
      <c r="U2749">
        <v>31</v>
      </c>
      <c r="V2749" t="s">
        <v>7433</v>
      </c>
      <c r="W2749">
        <v>63679</v>
      </c>
      <c r="X2749" t="s">
        <v>7232</v>
      </c>
      <c r="Y2749">
        <v>48825</v>
      </c>
      <c r="Z2749">
        <v>1974049</v>
      </c>
      <c r="AA2749">
        <v>460474</v>
      </c>
      <c r="AB2749" t="str">
        <f>(VLOOKUP(SalesData[[#This Row],[Month Number]],Reference!C$5:E$16,2,FALSE))</f>
        <v>Feb</v>
      </c>
      <c r="AC2749">
        <f>MONTH(SalesData[[#This Row],[Date]])</f>
        <v>2</v>
      </c>
      <c r="AD2749">
        <f>Reference!F$4</f>
        <v>2026</v>
      </c>
      <c r="AE2749" t="str">
        <f>IF(OR(SalesData[[#This Row],[Day]]="Saturday",SalesData[[#This Row],[Day]]="Sunday"),"Weekend","Weekday")</f>
        <v>Weekend</v>
      </c>
      <c r="AF2749" s="5">
        <f>IF(SalesData[[#This Row],[Contracts Offered]]=0,0,SalesData[[#This Row],[Contracts Signed]]/SalesData[[#This Row],[Contracts Offered]])</f>
        <v>0.38271604938271603</v>
      </c>
      <c r="AG2749" s="5">
        <f>IF(SalesData[[#This Row],[Customers Visited]]=0,0,SalesData[[#This Row],[Test Drives]]/SalesData[[#This Row],[Customers Visited]])</f>
        <v>0.45814977973568283</v>
      </c>
      <c r="AH2749" s="5">
        <f>IF(SalesData[[#This Row],[Customers Visited]]=0,0,SalesData[[#This Row],[Contracts Signed]]/SalesData[[#This Row],[Customers Visited]])</f>
        <v>0.13656387665198239</v>
      </c>
      <c r="AI2749" s="6">
        <f>IF(SalesData[[#This Row],[Contracts Signed]]=0,0,SalesData[[#This Row],[Profit(€)]]/SalesData[[#This Row],[Contracts Signed]])</f>
        <v>14854</v>
      </c>
      <c r="AJ2749" s="5" t="str">
        <f>TRIM(CLEAN(SalesData[[#This Row],[Retailer]]))</f>
        <v>Rhein Auto Group</v>
      </c>
    </row>
    <row r="2750" spans="1:36" ht="14.25" hidden="1" x14ac:dyDescent="0.2">
      <c r="A2750" t="s">
        <v>3871</v>
      </c>
      <c r="B2750" s="1">
        <v>46055</v>
      </c>
      <c r="C2750" t="s">
        <v>24</v>
      </c>
      <c r="D2750" t="s">
        <v>25</v>
      </c>
      <c r="E2750" t="s">
        <v>26</v>
      </c>
      <c r="F2750" t="s">
        <v>94</v>
      </c>
      <c r="G2750" t="s">
        <v>95</v>
      </c>
      <c r="H2750" t="s">
        <v>96</v>
      </c>
      <c r="I2750" t="s">
        <v>116</v>
      </c>
      <c r="J2750" t="s">
        <v>203</v>
      </c>
      <c r="K2750" t="s">
        <v>91</v>
      </c>
      <c r="L2750" t="s">
        <v>67</v>
      </c>
      <c r="M2750" t="s">
        <v>68</v>
      </c>
      <c r="N2750" t="s">
        <v>48</v>
      </c>
      <c r="O2750" t="s">
        <v>36</v>
      </c>
      <c r="P2750" t="s">
        <v>71</v>
      </c>
      <c r="Q2750" t="s">
        <v>38</v>
      </c>
      <c r="R2750">
        <v>330</v>
      </c>
      <c r="S2750">
        <v>166</v>
      </c>
      <c r="T2750">
        <v>113</v>
      </c>
      <c r="U2750">
        <v>32</v>
      </c>
      <c r="V2750" t="s">
        <v>886</v>
      </c>
      <c r="W2750">
        <v>22291</v>
      </c>
      <c r="X2750" t="s">
        <v>854</v>
      </c>
      <c r="Y2750">
        <v>19901</v>
      </c>
      <c r="Z2750">
        <v>713312</v>
      </c>
      <c r="AA2750">
        <v>76480</v>
      </c>
      <c r="AB2750" t="str">
        <f>(VLOOKUP(SalesData[[#This Row],[Month Number]],Reference!C$5:E$16,2,FALSE))</f>
        <v>Feb</v>
      </c>
      <c r="AC2750">
        <f>MONTH(SalesData[[#This Row],[Date]])</f>
        <v>2</v>
      </c>
      <c r="AD2750">
        <f>Reference!F$4</f>
        <v>2026</v>
      </c>
      <c r="AE2750" t="str">
        <f>IF(OR(SalesData[[#This Row],[Day]]="Saturday",SalesData[[#This Row],[Day]]="Sunday"),"Weekend","Weekday")</f>
        <v>Weekday</v>
      </c>
      <c r="AF2750" s="5">
        <f>IF(SalesData[[#This Row],[Contracts Offered]]=0,0,SalesData[[#This Row],[Contracts Signed]]/SalesData[[#This Row],[Contracts Offered]])</f>
        <v>0.2831858407079646</v>
      </c>
      <c r="AG2750" s="5">
        <f>IF(SalesData[[#This Row],[Customers Visited]]=0,0,SalesData[[#This Row],[Test Drives]]/SalesData[[#This Row],[Customers Visited]])</f>
        <v>0.50303030303030305</v>
      </c>
      <c r="AH2750" s="5">
        <f>IF(SalesData[[#This Row],[Customers Visited]]=0,0,SalesData[[#This Row],[Contracts Signed]]/SalesData[[#This Row],[Customers Visited]])</f>
        <v>9.696969696969697E-2</v>
      </c>
      <c r="AI2750" s="6">
        <f>IF(SalesData[[#This Row],[Contracts Signed]]=0,0,SalesData[[#This Row],[Profit(€)]]/SalesData[[#This Row],[Contracts Signed]])</f>
        <v>2390</v>
      </c>
      <c r="AJ2750" s="5" t="str">
        <f>TRIM(CLEAN(SalesData[[#This Row],[Retailer]]))</f>
        <v>Bavaria Motors</v>
      </c>
    </row>
    <row r="2751" spans="1:36" ht="14.25" hidden="1" x14ac:dyDescent="0.2">
      <c r="A2751" t="s">
        <v>3872</v>
      </c>
      <c r="B2751" s="1">
        <v>46061</v>
      </c>
      <c r="C2751" t="s">
        <v>121</v>
      </c>
      <c r="D2751" t="s">
        <v>41</v>
      </c>
      <c r="E2751" t="s">
        <v>42</v>
      </c>
      <c r="F2751" t="s">
        <v>43</v>
      </c>
      <c r="G2751" t="s">
        <v>44</v>
      </c>
      <c r="H2751" t="s">
        <v>45</v>
      </c>
      <c r="I2751" t="s">
        <v>56</v>
      </c>
      <c r="J2751" t="s">
        <v>137</v>
      </c>
      <c r="K2751" t="s">
        <v>66</v>
      </c>
      <c r="L2751" t="s">
        <v>46</v>
      </c>
      <c r="M2751" t="s">
        <v>34</v>
      </c>
      <c r="N2751" t="s">
        <v>69</v>
      </c>
      <c r="O2751" t="s">
        <v>70</v>
      </c>
      <c r="P2751" t="s">
        <v>71</v>
      </c>
      <c r="Q2751" t="s">
        <v>167</v>
      </c>
      <c r="R2751">
        <v>237</v>
      </c>
      <c r="S2751">
        <v>127</v>
      </c>
      <c r="T2751">
        <v>90</v>
      </c>
      <c r="U2751">
        <v>29</v>
      </c>
      <c r="V2751" t="s">
        <v>6711</v>
      </c>
      <c r="W2751">
        <v>53076</v>
      </c>
      <c r="X2751" t="s">
        <v>7036</v>
      </c>
      <c r="Y2751">
        <v>41889</v>
      </c>
      <c r="Z2751">
        <v>1539204</v>
      </c>
      <c r="AA2751">
        <v>324423</v>
      </c>
      <c r="AB2751" t="str">
        <f>(VLOOKUP(SalesData[[#This Row],[Month Number]],Reference!C$5:E$16,2,FALSE))</f>
        <v>Feb</v>
      </c>
      <c r="AC2751">
        <f>MONTH(SalesData[[#This Row],[Date]])</f>
        <v>2</v>
      </c>
      <c r="AD2751">
        <f>Reference!F$4</f>
        <v>2026</v>
      </c>
      <c r="AE2751" t="str">
        <f>IF(OR(SalesData[[#This Row],[Day]]="Saturday",SalesData[[#This Row],[Day]]="Sunday"),"Weekend","Weekday")</f>
        <v>Weekend</v>
      </c>
      <c r="AF2751" s="5">
        <f>IF(SalesData[[#This Row],[Contracts Offered]]=0,0,SalesData[[#This Row],[Contracts Signed]]/SalesData[[#This Row],[Contracts Offered]])</f>
        <v>0.32222222222222224</v>
      </c>
      <c r="AG2751" s="5">
        <f>IF(SalesData[[#This Row],[Customers Visited]]=0,0,SalesData[[#This Row],[Test Drives]]/SalesData[[#This Row],[Customers Visited]])</f>
        <v>0.53586497890295359</v>
      </c>
      <c r="AH2751" s="5">
        <f>IF(SalesData[[#This Row],[Customers Visited]]=0,0,SalesData[[#This Row],[Contracts Signed]]/SalesData[[#This Row],[Customers Visited]])</f>
        <v>0.12236286919831224</v>
      </c>
      <c r="AI2751" s="6">
        <f>IF(SalesData[[#This Row],[Contracts Signed]]=0,0,SalesData[[#This Row],[Profit(€)]]/SalesData[[#This Row],[Contracts Signed]])</f>
        <v>11187</v>
      </c>
      <c r="AJ2751" s="5" t="str">
        <f>TRIM(CLEAN(SalesData[[#This Row],[Retailer]]))</f>
        <v>Saxon Wheels</v>
      </c>
    </row>
    <row r="2752" spans="1:36" ht="14.25" x14ac:dyDescent="0.2">
      <c r="A2752" t="s">
        <v>3873</v>
      </c>
      <c r="B2752" s="1">
        <v>46067</v>
      </c>
      <c r="C2752" t="s">
        <v>121</v>
      </c>
      <c r="D2752" t="s">
        <v>151</v>
      </c>
      <c r="E2752" t="s">
        <v>42</v>
      </c>
      <c r="F2752" t="s">
        <v>94</v>
      </c>
      <c r="G2752" t="s">
        <v>95</v>
      </c>
      <c r="H2752" t="s">
        <v>96</v>
      </c>
      <c r="I2752" t="s">
        <v>30</v>
      </c>
      <c r="J2752" t="s">
        <v>188</v>
      </c>
      <c r="K2752" t="s">
        <v>32</v>
      </c>
      <c r="L2752" t="s">
        <v>33</v>
      </c>
      <c r="M2752" t="s">
        <v>34</v>
      </c>
      <c r="N2752" t="s">
        <v>35</v>
      </c>
      <c r="O2752" t="s">
        <v>36</v>
      </c>
      <c r="P2752" t="s">
        <v>37</v>
      </c>
      <c r="Q2752" t="s">
        <v>129</v>
      </c>
      <c r="R2752">
        <v>198</v>
      </c>
      <c r="S2752">
        <v>119</v>
      </c>
      <c r="T2752">
        <v>83</v>
      </c>
      <c r="U2752">
        <v>35</v>
      </c>
      <c r="V2752" t="s">
        <v>6966</v>
      </c>
      <c r="W2752">
        <v>61847</v>
      </c>
      <c r="X2752" t="s">
        <v>7190</v>
      </c>
      <c r="Y2752">
        <v>43405</v>
      </c>
      <c r="Z2752">
        <v>2164645</v>
      </c>
      <c r="AA2752">
        <v>645470</v>
      </c>
      <c r="AB2752" t="str">
        <f>(VLOOKUP(SalesData[[#This Row],[Month Number]],Reference!C$5:E$16,2,FALSE))</f>
        <v>Feb</v>
      </c>
      <c r="AC2752">
        <f>MONTH(SalesData[[#This Row],[Date]])</f>
        <v>2</v>
      </c>
      <c r="AD2752">
        <f>Reference!F$4</f>
        <v>2026</v>
      </c>
      <c r="AE2752" t="str">
        <f>IF(OR(SalesData[[#This Row],[Day]]="Saturday",SalesData[[#This Row],[Day]]="Sunday"),"Weekend","Weekday")</f>
        <v>Weekend</v>
      </c>
      <c r="AF2752" s="5">
        <f>IF(SalesData[[#This Row],[Contracts Offered]]=0,0,SalesData[[#This Row],[Contracts Signed]]/SalesData[[#This Row],[Contracts Offered]])</f>
        <v>0.42168674698795183</v>
      </c>
      <c r="AG2752" s="5">
        <f>IF(SalesData[[#This Row],[Customers Visited]]=0,0,SalesData[[#This Row],[Test Drives]]/SalesData[[#This Row],[Customers Visited]])</f>
        <v>0.60101010101010099</v>
      </c>
      <c r="AH2752" s="5">
        <f>IF(SalesData[[#This Row],[Customers Visited]]=0,0,SalesData[[#This Row],[Contracts Signed]]/SalesData[[#This Row],[Customers Visited]])</f>
        <v>0.17676767676767677</v>
      </c>
      <c r="AI2752" s="6">
        <f>IF(SalesData[[#This Row],[Contracts Signed]]=0,0,SalesData[[#This Row],[Profit(€)]]/SalesData[[#This Row],[Contracts Signed]])</f>
        <v>18442</v>
      </c>
      <c r="AJ2752" s="5" t="str">
        <f>TRIM(CLEAN(SalesData[[#This Row],[Retailer]]))</f>
        <v>Bavaria Motors</v>
      </c>
    </row>
    <row r="2753" spans="1:36" ht="14.25" x14ac:dyDescent="0.2">
      <c r="A2753" t="s">
        <v>3874</v>
      </c>
      <c r="B2753" s="1">
        <v>46054</v>
      </c>
      <c r="C2753" t="s">
        <v>24</v>
      </c>
      <c r="D2753" t="s">
        <v>41</v>
      </c>
      <c r="E2753" t="s">
        <v>42</v>
      </c>
      <c r="F2753" t="s">
        <v>43</v>
      </c>
      <c r="G2753" t="s">
        <v>44</v>
      </c>
      <c r="H2753" t="s">
        <v>45</v>
      </c>
      <c r="I2753" t="s">
        <v>30</v>
      </c>
      <c r="J2753" t="s">
        <v>31</v>
      </c>
      <c r="K2753" t="s">
        <v>66</v>
      </c>
      <c r="L2753" t="s">
        <v>46</v>
      </c>
      <c r="M2753" t="s">
        <v>68</v>
      </c>
      <c r="N2753" t="s">
        <v>35</v>
      </c>
      <c r="O2753" t="s">
        <v>70</v>
      </c>
      <c r="P2753" t="s">
        <v>58</v>
      </c>
      <c r="Q2753" t="s">
        <v>172</v>
      </c>
      <c r="R2753">
        <v>201</v>
      </c>
      <c r="S2753">
        <v>115</v>
      </c>
      <c r="T2753">
        <v>81</v>
      </c>
      <c r="U2753">
        <v>34</v>
      </c>
      <c r="V2753" t="s">
        <v>6656</v>
      </c>
      <c r="W2753">
        <v>51903</v>
      </c>
      <c r="X2753" t="s">
        <v>7166</v>
      </c>
      <c r="Y2753">
        <v>39377</v>
      </c>
      <c r="Z2753">
        <v>1764702</v>
      </c>
      <c r="AA2753">
        <v>425884</v>
      </c>
      <c r="AB2753" t="str">
        <f>(VLOOKUP(SalesData[[#This Row],[Month Number]],Reference!C$5:E$16,2,FALSE))</f>
        <v>Feb</v>
      </c>
      <c r="AC2753">
        <f>MONTH(SalesData[[#This Row],[Date]])</f>
        <v>2</v>
      </c>
      <c r="AD2753">
        <f>Reference!F$4</f>
        <v>2026</v>
      </c>
      <c r="AE2753" t="str">
        <f>IF(OR(SalesData[[#This Row],[Day]]="Saturday",SalesData[[#This Row],[Day]]="Sunday"),"Weekend","Weekday")</f>
        <v>Weekend</v>
      </c>
      <c r="AF2753" s="5">
        <f>IF(SalesData[[#This Row],[Contracts Offered]]=0,0,SalesData[[#This Row],[Contracts Signed]]/SalesData[[#This Row],[Contracts Offered]])</f>
        <v>0.41975308641975306</v>
      </c>
      <c r="AG2753" s="5">
        <f>IF(SalesData[[#This Row],[Customers Visited]]=0,0,SalesData[[#This Row],[Test Drives]]/SalesData[[#This Row],[Customers Visited]])</f>
        <v>0.57213930348258701</v>
      </c>
      <c r="AH2753" s="5">
        <f>IF(SalesData[[#This Row],[Customers Visited]]=0,0,SalesData[[#This Row],[Contracts Signed]]/SalesData[[#This Row],[Customers Visited]])</f>
        <v>0.1691542288557214</v>
      </c>
      <c r="AI2753" s="6">
        <f>IF(SalesData[[#This Row],[Contracts Signed]]=0,0,SalesData[[#This Row],[Profit(€)]]/SalesData[[#This Row],[Contracts Signed]])</f>
        <v>12526</v>
      </c>
      <c r="AJ2753" s="5" t="str">
        <f>TRIM(CLEAN(SalesData[[#This Row],[Retailer]]))</f>
        <v>Saxon Wheels</v>
      </c>
    </row>
    <row r="2754" spans="1:36" ht="14.25" hidden="1" x14ac:dyDescent="0.2">
      <c r="A2754" t="s">
        <v>3875</v>
      </c>
      <c r="B2754" s="1">
        <v>46065</v>
      </c>
      <c r="C2754" t="s">
        <v>121</v>
      </c>
      <c r="D2754" t="s">
        <v>100</v>
      </c>
      <c r="E2754" t="s">
        <v>26</v>
      </c>
      <c r="F2754" t="s">
        <v>114</v>
      </c>
      <c r="G2754" t="s">
        <v>115</v>
      </c>
      <c r="H2754" t="s">
        <v>115</v>
      </c>
      <c r="I2754" t="s">
        <v>64</v>
      </c>
      <c r="J2754" t="s">
        <v>7029</v>
      </c>
      <c r="K2754" t="s">
        <v>78</v>
      </c>
      <c r="L2754" t="s">
        <v>33</v>
      </c>
      <c r="M2754" t="s">
        <v>68</v>
      </c>
      <c r="N2754" t="s">
        <v>69</v>
      </c>
      <c r="O2754" t="s">
        <v>70</v>
      </c>
      <c r="P2754" t="s">
        <v>58</v>
      </c>
      <c r="Q2754" t="s">
        <v>347</v>
      </c>
      <c r="R2754">
        <v>254</v>
      </c>
      <c r="S2754">
        <v>115</v>
      </c>
      <c r="T2754">
        <v>88</v>
      </c>
      <c r="U2754">
        <v>33</v>
      </c>
      <c r="V2754" t="s">
        <v>6511</v>
      </c>
      <c r="W2754">
        <v>56112</v>
      </c>
      <c r="X2754" t="s">
        <v>7033</v>
      </c>
      <c r="Y2754">
        <v>42266</v>
      </c>
      <c r="Z2754">
        <v>1851696</v>
      </c>
      <c r="AA2754">
        <v>456918</v>
      </c>
      <c r="AB2754" t="str">
        <f>(VLOOKUP(SalesData[[#This Row],[Month Number]],Reference!C$5:E$16,2,FALSE))</f>
        <v>Feb</v>
      </c>
      <c r="AC2754">
        <f>MONTH(SalesData[[#This Row],[Date]])</f>
        <v>2</v>
      </c>
      <c r="AD2754">
        <f>Reference!F$4</f>
        <v>2026</v>
      </c>
      <c r="AE2754" t="str">
        <f>IF(OR(SalesData[[#This Row],[Day]]="Saturday",SalesData[[#This Row],[Day]]="Sunday"),"Weekend","Weekday")</f>
        <v>Weekday</v>
      </c>
      <c r="AF2754" s="5">
        <f>IF(SalesData[[#This Row],[Contracts Offered]]=0,0,SalesData[[#This Row],[Contracts Signed]]/SalesData[[#This Row],[Contracts Offered]])</f>
        <v>0.375</v>
      </c>
      <c r="AG2754" s="5">
        <f>IF(SalesData[[#This Row],[Customers Visited]]=0,0,SalesData[[#This Row],[Test Drives]]/SalesData[[#This Row],[Customers Visited]])</f>
        <v>0.452755905511811</v>
      </c>
      <c r="AH2754" s="5">
        <f>IF(SalesData[[#This Row],[Customers Visited]]=0,0,SalesData[[#This Row],[Contracts Signed]]/SalesData[[#This Row],[Customers Visited]])</f>
        <v>0.12992125984251968</v>
      </c>
      <c r="AI2754" s="6">
        <f>IF(SalesData[[#This Row],[Contracts Signed]]=0,0,SalesData[[#This Row],[Profit(€)]]/SalesData[[#This Row],[Contracts Signed]])</f>
        <v>13846</v>
      </c>
      <c r="AJ2754" s="5" t="str">
        <f>TRIM(CLEAN(SalesData[[#This Row],[Retailer]]))</f>
        <v>Elbe Drive</v>
      </c>
    </row>
    <row r="2755" spans="1:36" ht="14.25" x14ac:dyDescent="0.2">
      <c r="A2755" t="s">
        <v>3876</v>
      </c>
      <c r="B2755" s="1">
        <v>46068</v>
      </c>
      <c r="C2755" t="s">
        <v>62</v>
      </c>
      <c r="D2755" t="s">
        <v>41</v>
      </c>
      <c r="E2755" t="s">
        <v>42</v>
      </c>
      <c r="F2755" t="s">
        <v>114</v>
      </c>
      <c r="G2755" t="s">
        <v>115</v>
      </c>
      <c r="H2755" t="s">
        <v>115</v>
      </c>
      <c r="I2755" t="s">
        <v>30</v>
      </c>
      <c r="J2755" t="s">
        <v>166</v>
      </c>
      <c r="K2755" t="s">
        <v>78</v>
      </c>
      <c r="L2755" t="s">
        <v>46</v>
      </c>
      <c r="M2755" t="s">
        <v>47</v>
      </c>
      <c r="N2755" t="s">
        <v>35</v>
      </c>
      <c r="O2755" t="s">
        <v>36</v>
      </c>
      <c r="P2755" t="s">
        <v>71</v>
      </c>
      <c r="Q2755" t="s">
        <v>122</v>
      </c>
      <c r="R2755">
        <v>217</v>
      </c>
      <c r="S2755">
        <v>114</v>
      </c>
      <c r="T2755">
        <v>89</v>
      </c>
      <c r="U2755">
        <v>31</v>
      </c>
      <c r="V2755" t="s">
        <v>6500</v>
      </c>
      <c r="W2755">
        <v>51510</v>
      </c>
      <c r="X2755" t="s">
        <v>7034</v>
      </c>
      <c r="Y2755">
        <v>36349</v>
      </c>
      <c r="Z2755">
        <v>1596810</v>
      </c>
      <c r="AA2755">
        <v>469991</v>
      </c>
      <c r="AB2755" t="str">
        <f>(VLOOKUP(SalesData[[#This Row],[Month Number]],Reference!C$5:E$16,2,FALSE))</f>
        <v>Feb</v>
      </c>
      <c r="AC2755">
        <f>MONTH(SalesData[[#This Row],[Date]])</f>
        <v>2</v>
      </c>
      <c r="AD2755">
        <f>Reference!F$4</f>
        <v>2026</v>
      </c>
      <c r="AE2755" t="str">
        <f>IF(OR(SalesData[[#This Row],[Day]]="Saturday",SalesData[[#This Row],[Day]]="Sunday"),"Weekend","Weekday")</f>
        <v>Weekend</v>
      </c>
      <c r="AF2755" s="5">
        <f>IF(SalesData[[#This Row],[Contracts Offered]]=0,0,SalesData[[#This Row],[Contracts Signed]]/SalesData[[#This Row],[Contracts Offered]])</f>
        <v>0.34831460674157305</v>
      </c>
      <c r="AG2755" s="5">
        <f>IF(SalesData[[#This Row],[Customers Visited]]=0,0,SalesData[[#This Row],[Test Drives]]/SalesData[[#This Row],[Customers Visited]])</f>
        <v>0.52534562211981561</v>
      </c>
      <c r="AH2755" s="5">
        <f>IF(SalesData[[#This Row],[Customers Visited]]=0,0,SalesData[[#This Row],[Contracts Signed]]/SalesData[[#This Row],[Customers Visited]])</f>
        <v>0.14285714285714285</v>
      </c>
      <c r="AI2755" s="6">
        <f>IF(SalesData[[#This Row],[Contracts Signed]]=0,0,SalesData[[#This Row],[Profit(€)]]/SalesData[[#This Row],[Contracts Signed]])</f>
        <v>15161</v>
      </c>
      <c r="AJ2755" s="5" t="str">
        <f>TRIM(CLEAN(SalesData[[#This Row],[Retailer]]))</f>
        <v>Elbe Drive</v>
      </c>
    </row>
    <row r="2756" spans="1:36" ht="14.25" hidden="1" x14ac:dyDescent="0.2">
      <c r="A2756" t="s">
        <v>3878</v>
      </c>
      <c r="B2756" s="1">
        <v>46065</v>
      </c>
      <c r="C2756" t="s">
        <v>121</v>
      </c>
      <c r="D2756" t="s">
        <v>100</v>
      </c>
      <c r="E2756" t="s">
        <v>26</v>
      </c>
      <c r="F2756" t="s">
        <v>74</v>
      </c>
      <c r="G2756" t="s">
        <v>75</v>
      </c>
      <c r="H2756" t="s">
        <v>76</v>
      </c>
      <c r="I2756" t="s">
        <v>64</v>
      </c>
      <c r="J2756" t="s">
        <v>77</v>
      </c>
      <c r="K2756" t="s">
        <v>66</v>
      </c>
      <c r="L2756" t="s">
        <v>46</v>
      </c>
      <c r="M2756" t="s">
        <v>47</v>
      </c>
      <c r="N2756" t="s">
        <v>69</v>
      </c>
      <c r="O2756" t="s">
        <v>36</v>
      </c>
      <c r="P2756" t="s">
        <v>37</v>
      </c>
      <c r="Q2756" t="s">
        <v>167</v>
      </c>
      <c r="R2756">
        <v>207</v>
      </c>
      <c r="S2756">
        <v>110</v>
      </c>
      <c r="T2756">
        <v>83</v>
      </c>
      <c r="U2756">
        <v>29</v>
      </c>
      <c r="V2756" t="s">
        <v>6522</v>
      </c>
      <c r="W2756">
        <v>63567</v>
      </c>
      <c r="X2756" t="s">
        <v>7102</v>
      </c>
      <c r="Y2756">
        <v>49968</v>
      </c>
      <c r="Z2756">
        <v>1843443</v>
      </c>
      <c r="AA2756">
        <v>394371</v>
      </c>
      <c r="AB2756" t="str">
        <f>(VLOOKUP(SalesData[[#This Row],[Month Number]],Reference!C$5:E$16,2,FALSE))</f>
        <v>Feb</v>
      </c>
      <c r="AC2756">
        <f>MONTH(SalesData[[#This Row],[Date]])</f>
        <v>2</v>
      </c>
      <c r="AD2756">
        <f>Reference!F$4</f>
        <v>2026</v>
      </c>
      <c r="AE2756" t="str">
        <f>IF(OR(SalesData[[#This Row],[Day]]="Saturday",SalesData[[#This Row],[Day]]="Sunday"),"Weekend","Weekday")</f>
        <v>Weekday</v>
      </c>
      <c r="AF2756" s="5">
        <f>IF(SalesData[[#This Row],[Contracts Offered]]=0,0,SalesData[[#This Row],[Contracts Signed]]/SalesData[[#This Row],[Contracts Offered]])</f>
        <v>0.3493975903614458</v>
      </c>
      <c r="AG2756" s="5">
        <f>IF(SalesData[[#This Row],[Customers Visited]]=0,0,SalesData[[#This Row],[Test Drives]]/SalesData[[#This Row],[Customers Visited]])</f>
        <v>0.53140096618357491</v>
      </c>
      <c r="AH2756" s="5">
        <f>IF(SalesData[[#This Row],[Customers Visited]]=0,0,SalesData[[#This Row],[Contracts Signed]]/SalesData[[#This Row],[Customers Visited]])</f>
        <v>0.14009661835748793</v>
      </c>
      <c r="AI2756" s="6">
        <f>IF(SalesData[[#This Row],[Contracts Signed]]=0,0,SalesData[[#This Row],[Profit(€)]]/SalesData[[#This Row],[Contracts Signed]])</f>
        <v>13599</v>
      </c>
      <c r="AJ2756" s="5" t="str">
        <f>TRIM(CLEAN(SalesData[[#This Row],[Retailer]]))</f>
        <v>Stuttgart Auto Center</v>
      </c>
    </row>
    <row r="2757" spans="1:36" ht="14.25" hidden="1" x14ac:dyDescent="0.2">
      <c r="A2757" t="s">
        <v>3879</v>
      </c>
      <c r="B2757" s="1">
        <v>46060</v>
      </c>
      <c r="C2757" t="s">
        <v>24</v>
      </c>
      <c r="D2757" t="s">
        <v>151</v>
      </c>
      <c r="E2757" t="s">
        <v>42</v>
      </c>
      <c r="F2757" t="s">
        <v>127</v>
      </c>
      <c r="G2757" t="s">
        <v>128</v>
      </c>
      <c r="H2757" t="s">
        <v>103</v>
      </c>
      <c r="I2757" t="s">
        <v>56</v>
      </c>
      <c r="J2757" t="s">
        <v>97</v>
      </c>
      <c r="K2757" t="s">
        <v>78</v>
      </c>
      <c r="L2757" t="s">
        <v>33</v>
      </c>
      <c r="M2757" t="s">
        <v>68</v>
      </c>
      <c r="N2757" t="s">
        <v>35</v>
      </c>
      <c r="O2757" t="s">
        <v>36</v>
      </c>
      <c r="P2757" t="s">
        <v>71</v>
      </c>
      <c r="Q2757" t="s">
        <v>50</v>
      </c>
      <c r="R2757">
        <v>230</v>
      </c>
      <c r="S2757">
        <v>117</v>
      </c>
      <c r="T2757">
        <v>82</v>
      </c>
      <c r="U2757">
        <v>30</v>
      </c>
      <c r="V2757" t="s">
        <v>6405</v>
      </c>
      <c r="W2757">
        <v>39833</v>
      </c>
      <c r="X2757" t="s">
        <v>7339</v>
      </c>
      <c r="Y2757">
        <v>31346</v>
      </c>
      <c r="Z2757">
        <v>1194990</v>
      </c>
      <c r="AA2757">
        <v>254610</v>
      </c>
      <c r="AB2757" t="str">
        <f>(VLOOKUP(SalesData[[#This Row],[Month Number]],Reference!C$5:E$16,2,FALSE))</f>
        <v>Feb</v>
      </c>
      <c r="AC2757">
        <f>MONTH(SalesData[[#This Row],[Date]])</f>
        <v>2</v>
      </c>
      <c r="AD2757">
        <f>Reference!F$4</f>
        <v>2026</v>
      </c>
      <c r="AE2757" t="str">
        <f>IF(OR(SalesData[[#This Row],[Day]]="Saturday",SalesData[[#This Row],[Day]]="Sunday"),"Weekend","Weekday")</f>
        <v>Weekend</v>
      </c>
      <c r="AF2757" s="5">
        <f>IF(SalesData[[#This Row],[Contracts Offered]]=0,0,SalesData[[#This Row],[Contracts Signed]]/SalesData[[#This Row],[Contracts Offered]])</f>
        <v>0.36585365853658536</v>
      </c>
      <c r="AG2757" s="5">
        <f>IF(SalesData[[#This Row],[Customers Visited]]=0,0,SalesData[[#This Row],[Test Drives]]/SalesData[[#This Row],[Customers Visited]])</f>
        <v>0.50869565217391299</v>
      </c>
      <c r="AH2757" s="5">
        <f>IF(SalesData[[#This Row],[Customers Visited]]=0,0,SalesData[[#This Row],[Contracts Signed]]/SalesData[[#This Row],[Customers Visited]])</f>
        <v>0.13043478260869565</v>
      </c>
      <c r="AI2757" s="6">
        <f>IF(SalesData[[#This Row],[Contracts Signed]]=0,0,SalesData[[#This Row],[Profit(€)]]/SalesData[[#This Row],[Contracts Signed]])</f>
        <v>8487</v>
      </c>
      <c r="AJ2757" s="5" t="str">
        <f>TRIM(CLEAN(SalesData[[#This Row],[Retailer]]))</f>
        <v>Rhein Auto Group</v>
      </c>
    </row>
    <row r="2758" spans="1:36" ht="14.25" hidden="1" x14ac:dyDescent="0.2">
      <c r="A2758" t="s">
        <v>3880</v>
      </c>
      <c r="B2758" s="1">
        <v>46073</v>
      </c>
      <c r="C2758" t="s">
        <v>62</v>
      </c>
      <c r="D2758" t="s">
        <v>54</v>
      </c>
      <c r="E2758" t="s">
        <v>26</v>
      </c>
      <c r="F2758" t="s">
        <v>109</v>
      </c>
      <c r="G2758" t="s">
        <v>110</v>
      </c>
      <c r="H2758" t="s">
        <v>45</v>
      </c>
      <c r="I2758" t="s">
        <v>104</v>
      </c>
      <c r="J2758" t="s">
        <v>7061</v>
      </c>
      <c r="K2758" t="s">
        <v>32</v>
      </c>
      <c r="L2758" t="s">
        <v>46</v>
      </c>
      <c r="M2758" t="s">
        <v>87</v>
      </c>
      <c r="N2758" t="s">
        <v>48</v>
      </c>
      <c r="O2758" t="s">
        <v>70</v>
      </c>
      <c r="P2758" t="s">
        <v>37</v>
      </c>
      <c r="Q2758" t="s">
        <v>118</v>
      </c>
      <c r="R2758">
        <v>424</v>
      </c>
      <c r="S2758">
        <v>242</v>
      </c>
      <c r="T2758">
        <v>146</v>
      </c>
      <c r="U2758">
        <v>31</v>
      </c>
      <c r="V2758" t="s">
        <v>1872</v>
      </c>
      <c r="W2758">
        <v>26674</v>
      </c>
      <c r="X2758" t="s">
        <v>7428</v>
      </c>
      <c r="Y2758">
        <v>22971</v>
      </c>
      <c r="Z2758">
        <v>826894</v>
      </c>
      <c r="AA2758">
        <v>114793</v>
      </c>
      <c r="AB2758" t="str">
        <f>(VLOOKUP(SalesData[[#This Row],[Month Number]],Reference!C$5:E$16,2,FALSE))</f>
        <v>Feb</v>
      </c>
      <c r="AC2758">
        <f>MONTH(SalesData[[#This Row],[Date]])</f>
        <v>2</v>
      </c>
      <c r="AD2758">
        <f>Reference!F$4</f>
        <v>2026</v>
      </c>
      <c r="AE2758" t="str">
        <f>IF(OR(SalesData[[#This Row],[Day]]="Saturday",SalesData[[#This Row],[Day]]="Sunday"),"Weekend","Weekday")</f>
        <v>Weekday</v>
      </c>
      <c r="AF2758" s="5">
        <f>IF(SalesData[[#This Row],[Contracts Offered]]=0,0,SalesData[[#This Row],[Contracts Signed]]/SalesData[[#This Row],[Contracts Offered]])</f>
        <v>0.21232876712328766</v>
      </c>
      <c r="AG2758" s="5">
        <f>IF(SalesData[[#This Row],[Customers Visited]]=0,0,SalesData[[#This Row],[Test Drives]]/SalesData[[#This Row],[Customers Visited]])</f>
        <v>0.57075471698113212</v>
      </c>
      <c r="AH2758" s="5">
        <f>IF(SalesData[[#This Row],[Customers Visited]]=0,0,SalesData[[#This Row],[Contracts Signed]]/SalesData[[#This Row],[Customers Visited]])</f>
        <v>7.3113207547169809E-2</v>
      </c>
      <c r="AI2758" s="6">
        <f>IF(SalesData[[#This Row],[Contracts Signed]]=0,0,SalesData[[#This Row],[Profit(€)]]/SalesData[[#This Row],[Contracts Signed]])</f>
        <v>3703</v>
      </c>
      <c r="AJ2758" s="5" t="str">
        <f>TRIM(CLEAN(SalesData[[#This Row],[Retailer]]))</f>
        <v>Leipzig Mobility</v>
      </c>
    </row>
    <row r="2759" spans="1:36" ht="14.25" hidden="1" x14ac:dyDescent="0.2">
      <c r="A2759" t="s">
        <v>3881</v>
      </c>
      <c r="B2759" s="1">
        <v>46055</v>
      </c>
      <c r="C2759" t="s">
        <v>24</v>
      </c>
      <c r="D2759" t="s">
        <v>25</v>
      </c>
      <c r="E2759" t="s">
        <v>26</v>
      </c>
      <c r="F2759" t="s">
        <v>27</v>
      </c>
      <c r="G2759" t="s">
        <v>28</v>
      </c>
      <c r="H2759" t="s">
        <v>29</v>
      </c>
      <c r="I2759" t="s">
        <v>104</v>
      </c>
      <c r="J2759" t="s">
        <v>7031</v>
      </c>
      <c r="K2759" t="s">
        <v>91</v>
      </c>
      <c r="L2759" t="s">
        <v>46</v>
      </c>
      <c r="M2759" t="s">
        <v>47</v>
      </c>
      <c r="N2759" t="s">
        <v>69</v>
      </c>
      <c r="O2759" t="s">
        <v>70</v>
      </c>
      <c r="P2759" t="s">
        <v>71</v>
      </c>
      <c r="Q2759" t="s">
        <v>189</v>
      </c>
      <c r="R2759">
        <v>403</v>
      </c>
      <c r="S2759">
        <v>169</v>
      </c>
      <c r="T2759">
        <v>103</v>
      </c>
      <c r="U2759">
        <v>26</v>
      </c>
      <c r="V2759" t="s">
        <v>1109</v>
      </c>
      <c r="W2759">
        <v>26425</v>
      </c>
      <c r="X2759" t="s">
        <v>5384</v>
      </c>
      <c r="Y2759">
        <v>22961</v>
      </c>
      <c r="Z2759">
        <v>687050</v>
      </c>
      <c r="AA2759">
        <v>90064</v>
      </c>
      <c r="AB2759" t="str">
        <f>(VLOOKUP(SalesData[[#This Row],[Month Number]],Reference!C$5:E$16,2,FALSE))</f>
        <v>Feb</v>
      </c>
      <c r="AC2759">
        <f>MONTH(SalesData[[#This Row],[Date]])</f>
        <v>2</v>
      </c>
      <c r="AD2759">
        <f>Reference!F$4</f>
        <v>2026</v>
      </c>
      <c r="AE2759" t="str">
        <f>IF(OR(SalesData[[#This Row],[Day]]="Saturday",SalesData[[#This Row],[Day]]="Sunday"),"Weekend","Weekday")</f>
        <v>Weekday</v>
      </c>
      <c r="AF2759" s="5">
        <f>IF(SalesData[[#This Row],[Contracts Offered]]=0,0,SalesData[[#This Row],[Contracts Signed]]/SalesData[[#This Row],[Contracts Offered]])</f>
        <v>0.25242718446601942</v>
      </c>
      <c r="AG2759" s="5">
        <f>IF(SalesData[[#This Row],[Customers Visited]]=0,0,SalesData[[#This Row],[Test Drives]]/SalesData[[#This Row],[Customers Visited]])</f>
        <v>0.41935483870967744</v>
      </c>
      <c r="AH2759" s="5">
        <f>IF(SalesData[[#This Row],[Customers Visited]]=0,0,SalesData[[#This Row],[Contracts Signed]]/SalesData[[#This Row],[Customers Visited]])</f>
        <v>6.4516129032258063E-2</v>
      </c>
      <c r="AI2759" s="6">
        <f>IF(SalesData[[#This Row],[Contracts Signed]]=0,0,SalesData[[#This Row],[Profit(€)]]/SalesData[[#This Row],[Contracts Signed]])</f>
        <v>3464</v>
      </c>
      <c r="AJ2759" s="5" t="str">
        <f>TRIM(CLEAN(SalesData[[#This Row],[Retailer]]))</f>
        <v>Main Auto Hub</v>
      </c>
    </row>
    <row r="2760" spans="1:36" ht="14.25" x14ac:dyDescent="0.2">
      <c r="A2760" t="s">
        <v>3882</v>
      </c>
      <c r="B2760" s="1">
        <v>46058</v>
      </c>
      <c r="C2760" t="s">
        <v>24</v>
      </c>
      <c r="D2760" t="s">
        <v>100</v>
      </c>
      <c r="E2760" t="s">
        <v>26</v>
      </c>
      <c r="F2760" t="s">
        <v>94</v>
      </c>
      <c r="G2760" t="s">
        <v>95</v>
      </c>
      <c r="H2760" t="s">
        <v>96</v>
      </c>
      <c r="I2760" t="s">
        <v>30</v>
      </c>
      <c r="J2760" t="s">
        <v>31</v>
      </c>
      <c r="K2760" t="s">
        <v>91</v>
      </c>
      <c r="L2760" t="s">
        <v>46</v>
      </c>
      <c r="M2760" t="s">
        <v>47</v>
      </c>
      <c r="N2760" t="s">
        <v>48</v>
      </c>
      <c r="O2760" t="s">
        <v>36</v>
      </c>
      <c r="P2760" t="s">
        <v>37</v>
      </c>
      <c r="Q2760" t="s">
        <v>347</v>
      </c>
      <c r="R2760">
        <v>173</v>
      </c>
      <c r="S2760">
        <v>78</v>
      </c>
      <c r="T2760">
        <v>55</v>
      </c>
      <c r="U2760">
        <v>23</v>
      </c>
      <c r="V2760" t="s">
        <v>6963</v>
      </c>
      <c r="W2760">
        <v>64072</v>
      </c>
      <c r="X2760" t="s">
        <v>3642</v>
      </c>
      <c r="Y2760">
        <v>47731</v>
      </c>
      <c r="Z2760">
        <v>1473656</v>
      </c>
      <c r="AA2760">
        <v>375843</v>
      </c>
      <c r="AB2760" t="str">
        <f>(VLOOKUP(SalesData[[#This Row],[Month Number]],Reference!C$5:E$16,2,FALSE))</f>
        <v>Feb</v>
      </c>
      <c r="AC2760">
        <f>MONTH(SalesData[[#This Row],[Date]])</f>
        <v>2</v>
      </c>
      <c r="AD2760">
        <f>Reference!F$4</f>
        <v>2026</v>
      </c>
      <c r="AE2760" t="str">
        <f>IF(OR(SalesData[[#This Row],[Day]]="Saturday",SalesData[[#This Row],[Day]]="Sunday"),"Weekend","Weekday")</f>
        <v>Weekday</v>
      </c>
      <c r="AF2760" s="5">
        <f>IF(SalesData[[#This Row],[Contracts Offered]]=0,0,SalesData[[#This Row],[Contracts Signed]]/SalesData[[#This Row],[Contracts Offered]])</f>
        <v>0.41818181818181815</v>
      </c>
      <c r="AG2760" s="5">
        <f>IF(SalesData[[#This Row],[Customers Visited]]=0,0,SalesData[[#This Row],[Test Drives]]/SalesData[[#This Row],[Customers Visited]])</f>
        <v>0.45086705202312138</v>
      </c>
      <c r="AH2760" s="5">
        <f>IF(SalesData[[#This Row],[Customers Visited]]=0,0,SalesData[[#This Row],[Contracts Signed]]/SalesData[[#This Row],[Customers Visited]])</f>
        <v>0.13294797687861271</v>
      </c>
      <c r="AI2760" s="6">
        <f>IF(SalesData[[#This Row],[Contracts Signed]]=0,0,SalesData[[#This Row],[Profit(€)]]/SalesData[[#This Row],[Contracts Signed]])</f>
        <v>16341</v>
      </c>
      <c r="AJ2760" s="5" t="str">
        <f>TRIM(CLEAN(SalesData[[#This Row],[Retailer]]))</f>
        <v>Bavaria Motors</v>
      </c>
    </row>
    <row r="2761" spans="1:36" ht="14.25" hidden="1" x14ac:dyDescent="0.2">
      <c r="A2761" t="s">
        <v>3883</v>
      </c>
      <c r="B2761" s="1">
        <v>46055</v>
      </c>
      <c r="C2761" t="s">
        <v>24</v>
      </c>
      <c r="D2761" t="s">
        <v>25</v>
      </c>
      <c r="E2761" t="s">
        <v>26</v>
      </c>
      <c r="F2761" t="s">
        <v>101</v>
      </c>
      <c r="G2761" t="s">
        <v>102</v>
      </c>
      <c r="H2761" t="s">
        <v>103</v>
      </c>
      <c r="I2761" t="s">
        <v>64</v>
      </c>
      <c r="J2761" t="s">
        <v>65</v>
      </c>
      <c r="K2761" t="s">
        <v>66</v>
      </c>
      <c r="L2761" t="s">
        <v>33</v>
      </c>
      <c r="M2761" t="s">
        <v>47</v>
      </c>
      <c r="N2761" t="s">
        <v>69</v>
      </c>
      <c r="O2761" t="s">
        <v>36</v>
      </c>
      <c r="P2761" t="s">
        <v>58</v>
      </c>
      <c r="Q2761" t="s">
        <v>129</v>
      </c>
      <c r="R2761">
        <v>145</v>
      </c>
      <c r="S2761">
        <v>68</v>
      </c>
      <c r="T2761">
        <v>47</v>
      </c>
      <c r="U2761">
        <v>19</v>
      </c>
      <c r="V2761" t="s">
        <v>6589</v>
      </c>
      <c r="W2761">
        <v>71608</v>
      </c>
      <c r="X2761" t="s">
        <v>7165</v>
      </c>
      <c r="Y2761">
        <v>51549</v>
      </c>
      <c r="Z2761">
        <v>1360552</v>
      </c>
      <c r="AA2761">
        <v>381121</v>
      </c>
      <c r="AB2761" t="str">
        <f>(VLOOKUP(SalesData[[#This Row],[Month Number]],Reference!C$5:E$16,2,FALSE))</f>
        <v>Feb</v>
      </c>
      <c r="AC2761">
        <f>MONTH(SalesData[[#This Row],[Date]])</f>
        <v>2</v>
      </c>
      <c r="AD2761">
        <f>Reference!F$4</f>
        <v>2026</v>
      </c>
      <c r="AE2761" t="str">
        <f>IF(OR(SalesData[[#This Row],[Day]]="Saturday",SalesData[[#This Row],[Day]]="Sunday"),"Weekend","Weekday")</f>
        <v>Weekday</v>
      </c>
      <c r="AF2761" s="5">
        <f>IF(SalesData[[#This Row],[Contracts Offered]]=0,0,SalesData[[#This Row],[Contracts Signed]]/SalesData[[#This Row],[Contracts Offered]])</f>
        <v>0.40425531914893614</v>
      </c>
      <c r="AG2761" s="5">
        <f>IF(SalesData[[#This Row],[Customers Visited]]=0,0,SalesData[[#This Row],[Test Drives]]/SalesData[[#This Row],[Customers Visited]])</f>
        <v>0.4689655172413793</v>
      </c>
      <c r="AH2761" s="5">
        <f>IF(SalesData[[#This Row],[Customers Visited]]=0,0,SalesData[[#This Row],[Contracts Signed]]/SalesData[[#This Row],[Customers Visited]])</f>
        <v>0.1310344827586207</v>
      </c>
      <c r="AI2761" s="6">
        <f>IF(SalesData[[#This Row],[Contracts Signed]]=0,0,SalesData[[#This Row],[Profit(€)]]/SalesData[[#This Row],[Contracts Signed]])</f>
        <v>20059</v>
      </c>
      <c r="AJ2761" s="5" t="str">
        <f>TRIM(CLEAN(SalesData[[#This Row],[Retailer]]))</f>
        <v>Ruhr Auto Plaza</v>
      </c>
    </row>
    <row r="2762" spans="1:36" ht="14.25" hidden="1" x14ac:dyDescent="0.2">
      <c r="A2762" t="s">
        <v>3884</v>
      </c>
      <c r="B2762" s="1">
        <v>46060</v>
      </c>
      <c r="C2762" t="s">
        <v>24</v>
      </c>
      <c r="D2762" t="s">
        <v>151</v>
      </c>
      <c r="E2762" t="s">
        <v>42</v>
      </c>
      <c r="F2762" t="s">
        <v>94</v>
      </c>
      <c r="G2762" t="s">
        <v>95</v>
      </c>
      <c r="H2762" t="s">
        <v>96</v>
      </c>
      <c r="I2762" t="s">
        <v>64</v>
      </c>
      <c r="J2762" t="s">
        <v>111</v>
      </c>
      <c r="K2762" t="s">
        <v>78</v>
      </c>
      <c r="L2762" t="s">
        <v>46</v>
      </c>
      <c r="M2762" t="s">
        <v>68</v>
      </c>
      <c r="N2762" t="s">
        <v>48</v>
      </c>
      <c r="O2762" t="s">
        <v>70</v>
      </c>
      <c r="P2762" t="s">
        <v>49</v>
      </c>
      <c r="Q2762" t="s">
        <v>172</v>
      </c>
      <c r="R2762">
        <v>290</v>
      </c>
      <c r="S2762">
        <v>141</v>
      </c>
      <c r="T2762">
        <v>101</v>
      </c>
      <c r="U2762">
        <v>37</v>
      </c>
      <c r="V2762" t="s">
        <v>6901</v>
      </c>
      <c r="W2762">
        <v>71787</v>
      </c>
      <c r="X2762" t="s">
        <v>7437</v>
      </c>
      <c r="Y2762">
        <v>51685</v>
      </c>
      <c r="Z2762">
        <v>2656119</v>
      </c>
      <c r="AA2762">
        <v>743774</v>
      </c>
      <c r="AB2762" t="str">
        <f>(VLOOKUP(SalesData[[#This Row],[Month Number]],Reference!C$5:E$16,2,FALSE))</f>
        <v>Feb</v>
      </c>
      <c r="AC2762">
        <f>MONTH(SalesData[[#This Row],[Date]])</f>
        <v>2</v>
      </c>
      <c r="AD2762">
        <f>Reference!F$4</f>
        <v>2026</v>
      </c>
      <c r="AE2762" t="str">
        <f>IF(OR(SalesData[[#This Row],[Day]]="Saturday",SalesData[[#This Row],[Day]]="Sunday"),"Weekend","Weekday")</f>
        <v>Weekend</v>
      </c>
      <c r="AF2762" s="5">
        <f>IF(SalesData[[#This Row],[Contracts Offered]]=0,0,SalesData[[#This Row],[Contracts Signed]]/SalesData[[#This Row],[Contracts Offered]])</f>
        <v>0.36633663366336633</v>
      </c>
      <c r="AG2762" s="5">
        <f>IF(SalesData[[#This Row],[Customers Visited]]=0,0,SalesData[[#This Row],[Test Drives]]/SalesData[[#This Row],[Customers Visited]])</f>
        <v>0.48620689655172411</v>
      </c>
      <c r="AH2762" s="5">
        <f>IF(SalesData[[#This Row],[Customers Visited]]=0,0,SalesData[[#This Row],[Contracts Signed]]/SalesData[[#This Row],[Customers Visited]])</f>
        <v>0.12758620689655173</v>
      </c>
      <c r="AI2762" s="6">
        <f>IF(SalesData[[#This Row],[Contracts Signed]]=0,0,SalesData[[#This Row],[Profit(€)]]/SalesData[[#This Row],[Contracts Signed]])</f>
        <v>20102</v>
      </c>
      <c r="AJ2762" s="5" t="str">
        <f>TRIM(CLEAN(SalesData[[#This Row],[Retailer]]))</f>
        <v>Bavaria Motors</v>
      </c>
    </row>
    <row r="2763" spans="1:36" ht="14.25" x14ac:dyDescent="0.2">
      <c r="A2763" t="s">
        <v>3885</v>
      </c>
      <c r="B2763" s="1">
        <v>46058</v>
      </c>
      <c r="C2763" t="s">
        <v>24</v>
      </c>
      <c r="D2763" t="s">
        <v>100</v>
      </c>
      <c r="E2763" t="s">
        <v>26</v>
      </c>
      <c r="F2763" t="s">
        <v>127</v>
      </c>
      <c r="G2763" t="s">
        <v>128</v>
      </c>
      <c r="H2763" t="s">
        <v>103</v>
      </c>
      <c r="I2763" t="s">
        <v>30</v>
      </c>
      <c r="J2763" t="s">
        <v>31</v>
      </c>
      <c r="K2763" t="s">
        <v>78</v>
      </c>
      <c r="L2763" t="s">
        <v>46</v>
      </c>
      <c r="M2763" t="s">
        <v>47</v>
      </c>
      <c r="N2763" t="s">
        <v>69</v>
      </c>
      <c r="O2763" t="s">
        <v>70</v>
      </c>
      <c r="P2763" t="s">
        <v>37</v>
      </c>
      <c r="Q2763" t="s">
        <v>122</v>
      </c>
      <c r="R2763">
        <v>146</v>
      </c>
      <c r="S2763">
        <v>76</v>
      </c>
      <c r="T2763">
        <v>53</v>
      </c>
      <c r="U2763">
        <v>21</v>
      </c>
      <c r="V2763" t="s">
        <v>6349</v>
      </c>
      <c r="W2763">
        <v>57736</v>
      </c>
      <c r="X2763" t="s">
        <v>7340</v>
      </c>
      <c r="Y2763">
        <v>43570</v>
      </c>
      <c r="Z2763">
        <v>1212456</v>
      </c>
      <c r="AA2763">
        <v>297486</v>
      </c>
      <c r="AB2763" t="str">
        <f>(VLOOKUP(SalesData[[#This Row],[Month Number]],Reference!C$5:E$16,2,FALSE))</f>
        <v>Feb</v>
      </c>
      <c r="AC2763">
        <f>MONTH(SalesData[[#This Row],[Date]])</f>
        <v>2</v>
      </c>
      <c r="AD2763">
        <f>Reference!F$4</f>
        <v>2026</v>
      </c>
      <c r="AE2763" t="str">
        <f>IF(OR(SalesData[[#This Row],[Day]]="Saturday",SalesData[[#This Row],[Day]]="Sunday"),"Weekend","Weekday")</f>
        <v>Weekday</v>
      </c>
      <c r="AF2763" s="5">
        <f>IF(SalesData[[#This Row],[Contracts Offered]]=0,0,SalesData[[#This Row],[Contracts Signed]]/SalesData[[#This Row],[Contracts Offered]])</f>
        <v>0.39622641509433965</v>
      </c>
      <c r="AG2763" s="5">
        <f>IF(SalesData[[#This Row],[Customers Visited]]=0,0,SalesData[[#This Row],[Test Drives]]/SalesData[[#This Row],[Customers Visited]])</f>
        <v>0.52054794520547942</v>
      </c>
      <c r="AH2763" s="5">
        <f>IF(SalesData[[#This Row],[Customers Visited]]=0,0,SalesData[[#This Row],[Contracts Signed]]/SalesData[[#This Row],[Customers Visited]])</f>
        <v>0.14383561643835616</v>
      </c>
      <c r="AI2763" s="6">
        <f>IF(SalesData[[#This Row],[Contracts Signed]]=0,0,SalesData[[#This Row],[Profit(€)]]/SalesData[[#This Row],[Contracts Signed]])</f>
        <v>14166</v>
      </c>
      <c r="AJ2763" s="5" t="str">
        <f>TRIM(CLEAN(SalesData[[#This Row],[Retailer]]))</f>
        <v>Rhein Auto Group</v>
      </c>
    </row>
    <row r="2764" spans="1:36" ht="14.25" hidden="1" x14ac:dyDescent="0.2">
      <c r="A2764" t="s">
        <v>3886</v>
      </c>
      <c r="B2764" s="1">
        <v>46068</v>
      </c>
      <c r="C2764" t="s">
        <v>62</v>
      </c>
      <c r="D2764" t="s">
        <v>41</v>
      </c>
      <c r="E2764" t="s">
        <v>42</v>
      </c>
      <c r="F2764" t="s">
        <v>74</v>
      </c>
      <c r="G2764" t="s">
        <v>75</v>
      </c>
      <c r="H2764" t="s">
        <v>76</v>
      </c>
      <c r="I2764" t="s">
        <v>104</v>
      </c>
      <c r="J2764" t="s">
        <v>143</v>
      </c>
      <c r="K2764" t="s">
        <v>78</v>
      </c>
      <c r="L2764" t="s">
        <v>67</v>
      </c>
      <c r="M2764" t="s">
        <v>34</v>
      </c>
      <c r="N2764" t="s">
        <v>35</v>
      </c>
      <c r="O2764" t="s">
        <v>70</v>
      </c>
      <c r="P2764" t="s">
        <v>49</v>
      </c>
      <c r="Q2764" t="s">
        <v>167</v>
      </c>
      <c r="R2764">
        <v>339</v>
      </c>
      <c r="S2764">
        <v>189</v>
      </c>
      <c r="T2764">
        <v>119</v>
      </c>
      <c r="U2764">
        <v>22</v>
      </c>
      <c r="V2764" t="s">
        <v>2739</v>
      </c>
      <c r="W2764">
        <v>26816</v>
      </c>
      <c r="X2764" t="s">
        <v>1789</v>
      </c>
      <c r="Y2764">
        <v>24288</v>
      </c>
      <c r="Z2764">
        <v>589952</v>
      </c>
      <c r="AA2764">
        <v>55616</v>
      </c>
      <c r="AB2764" t="str">
        <f>(VLOOKUP(SalesData[[#This Row],[Month Number]],Reference!C$5:E$16,2,FALSE))</f>
        <v>Feb</v>
      </c>
      <c r="AC2764">
        <f>MONTH(SalesData[[#This Row],[Date]])</f>
        <v>2</v>
      </c>
      <c r="AD2764">
        <f>Reference!F$4</f>
        <v>2026</v>
      </c>
      <c r="AE2764" t="str">
        <f>IF(OR(SalesData[[#This Row],[Day]]="Saturday",SalesData[[#This Row],[Day]]="Sunday"),"Weekend","Weekday")</f>
        <v>Weekend</v>
      </c>
      <c r="AF2764" s="5">
        <f>IF(SalesData[[#This Row],[Contracts Offered]]=0,0,SalesData[[#This Row],[Contracts Signed]]/SalesData[[#This Row],[Contracts Offered]])</f>
        <v>0.18487394957983194</v>
      </c>
      <c r="AG2764" s="5">
        <f>IF(SalesData[[#This Row],[Customers Visited]]=0,0,SalesData[[#This Row],[Test Drives]]/SalesData[[#This Row],[Customers Visited]])</f>
        <v>0.55752212389380529</v>
      </c>
      <c r="AH2764" s="5">
        <f>IF(SalesData[[#This Row],[Customers Visited]]=0,0,SalesData[[#This Row],[Contracts Signed]]/SalesData[[#This Row],[Customers Visited]])</f>
        <v>6.4896755162241887E-2</v>
      </c>
      <c r="AI2764" s="6">
        <f>IF(SalesData[[#This Row],[Contracts Signed]]=0,0,SalesData[[#This Row],[Profit(€)]]/SalesData[[#This Row],[Contracts Signed]])</f>
        <v>2528</v>
      </c>
      <c r="AJ2764" s="5" t="str">
        <f>TRIM(CLEAN(SalesData[[#This Row],[Retailer]]))</f>
        <v>Stuttgart Auto Center</v>
      </c>
    </row>
    <row r="2765" spans="1:36" ht="14.25" hidden="1" x14ac:dyDescent="0.2">
      <c r="A2765" t="s">
        <v>3887</v>
      </c>
      <c r="B2765" s="1">
        <v>46070</v>
      </c>
      <c r="C2765" t="s">
        <v>62</v>
      </c>
      <c r="D2765" t="s">
        <v>63</v>
      </c>
      <c r="E2765" t="s">
        <v>26</v>
      </c>
      <c r="F2765" t="s">
        <v>101</v>
      </c>
      <c r="G2765" t="s">
        <v>102</v>
      </c>
      <c r="H2765" t="s">
        <v>103</v>
      </c>
      <c r="I2765" t="s">
        <v>104</v>
      </c>
      <c r="J2765" t="s">
        <v>143</v>
      </c>
      <c r="K2765" t="s">
        <v>66</v>
      </c>
      <c r="L2765" t="s">
        <v>67</v>
      </c>
      <c r="M2765" t="s">
        <v>68</v>
      </c>
      <c r="N2765" t="s">
        <v>48</v>
      </c>
      <c r="O2765" t="s">
        <v>70</v>
      </c>
      <c r="P2765" t="s">
        <v>37</v>
      </c>
      <c r="Q2765" t="s">
        <v>172</v>
      </c>
      <c r="R2765">
        <v>413</v>
      </c>
      <c r="S2765">
        <v>221</v>
      </c>
      <c r="T2765">
        <v>148</v>
      </c>
      <c r="U2765">
        <v>34</v>
      </c>
      <c r="V2765" t="s">
        <v>1109</v>
      </c>
      <c r="W2765">
        <v>27736</v>
      </c>
      <c r="X2765" t="s">
        <v>7234</v>
      </c>
      <c r="Y2765">
        <v>23976</v>
      </c>
      <c r="Z2765">
        <v>943024</v>
      </c>
      <c r="AA2765">
        <v>127840</v>
      </c>
      <c r="AB2765" t="str">
        <f>(VLOOKUP(SalesData[[#This Row],[Month Number]],Reference!C$5:E$16,2,FALSE))</f>
        <v>Feb</v>
      </c>
      <c r="AC2765">
        <f>MONTH(SalesData[[#This Row],[Date]])</f>
        <v>2</v>
      </c>
      <c r="AD2765">
        <f>Reference!F$4</f>
        <v>2026</v>
      </c>
      <c r="AE2765" t="str">
        <f>IF(OR(SalesData[[#This Row],[Day]]="Saturday",SalesData[[#This Row],[Day]]="Sunday"),"Weekend","Weekday")</f>
        <v>Weekday</v>
      </c>
      <c r="AF2765" s="5">
        <f>IF(SalesData[[#This Row],[Contracts Offered]]=0,0,SalesData[[#This Row],[Contracts Signed]]/SalesData[[#This Row],[Contracts Offered]])</f>
        <v>0.22972972972972974</v>
      </c>
      <c r="AG2765" s="5">
        <f>IF(SalesData[[#This Row],[Customers Visited]]=0,0,SalesData[[#This Row],[Test Drives]]/SalesData[[#This Row],[Customers Visited]])</f>
        <v>0.53510895883777243</v>
      </c>
      <c r="AH2765" s="5">
        <f>IF(SalesData[[#This Row],[Customers Visited]]=0,0,SalesData[[#This Row],[Contracts Signed]]/SalesData[[#This Row],[Customers Visited]])</f>
        <v>8.2324455205811137E-2</v>
      </c>
      <c r="AI2765" s="6">
        <f>IF(SalesData[[#This Row],[Contracts Signed]]=0,0,SalesData[[#This Row],[Profit(€)]]/SalesData[[#This Row],[Contracts Signed]])</f>
        <v>3760</v>
      </c>
      <c r="AJ2765" s="5" t="str">
        <f>TRIM(CLEAN(SalesData[[#This Row],[Retailer]]))</f>
        <v>Ruhr Auto Plaza</v>
      </c>
    </row>
    <row r="2766" spans="1:36" ht="14.25" hidden="1" x14ac:dyDescent="0.2">
      <c r="A2766" t="s">
        <v>3888</v>
      </c>
      <c r="B2766" s="1">
        <v>46062</v>
      </c>
      <c r="C2766" t="s">
        <v>121</v>
      </c>
      <c r="D2766" t="s">
        <v>25</v>
      </c>
      <c r="E2766" t="s">
        <v>26</v>
      </c>
      <c r="F2766" t="s">
        <v>27</v>
      </c>
      <c r="G2766" t="s">
        <v>28</v>
      </c>
      <c r="H2766" t="s">
        <v>29</v>
      </c>
      <c r="I2766" t="s">
        <v>116</v>
      </c>
      <c r="J2766" t="s">
        <v>7090</v>
      </c>
      <c r="K2766" t="s">
        <v>66</v>
      </c>
      <c r="L2766" t="s">
        <v>46</v>
      </c>
      <c r="M2766" t="s">
        <v>68</v>
      </c>
      <c r="N2766" t="s">
        <v>35</v>
      </c>
      <c r="O2766" t="s">
        <v>70</v>
      </c>
      <c r="P2766" t="s">
        <v>58</v>
      </c>
      <c r="Q2766" t="s">
        <v>240</v>
      </c>
      <c r="R2766">
        <v>394</v>
      </c>
      <c r="S2766">
        <v>176</v>
      </c>
      <c r="T2766">
        <v>101</v>
      </c>
      <c r="U2766">
        <v>28</v>
      </c>
      <c r="V2766" t="s">
        <v>696</v>
      </c>
      <c r="W2766">
        <v>26950</v>
      </c>
      <c r="X2766" t="s">
        <v>896</v>
      </c>
      <c r="Y2766">
        <v>24333</v>
      </c>
      <c r="Z2766">
        <v>754600</v>
      </c>
      <c r="AA2766">
        <v>73276</v>
      </c>
      <c r="AB2766" t="str">
        <f>(VLOOKUP(SalesData[[#This Row],[Month Number]],Reference!C$5:E$16,2,FALSE))</f>
        <v>Feb</v>
      </c>
      <c r="AC2766">
        <f>MONTH(SalesData[[#This Row],[Date]])</f>
        <v>2</v>
      </c>
      <c r="AD2766">
        <f>Reference!F$4</f>
        <v>2026</v>
      </c>
      <c r="AE2766" t="str">
        <f>IF(OR(SalesData[[#This Row],[Day]]="Saturday",SalesData[[#This Row],[Day]]="Sunday"),"Weekend","Weekday")</f>
        <v>Weekday</v>
      </c>
      <c r="AF2766" s="5">
        <f>IF(SalesData[[#This Row],[Contracts Offered]]=0,0,SalesData[[#This Row],[Contracts Signed]]/SalesData[[#This Row],[Contracts Offered]])</f>
        <v>0.27722772277227725</v>
      </c>
      <c r="AG2766" s="5">
        <f>IF(SalesData[[#This Row],[Customers Visited]]=0,0,SalesData[[#This Row],[Test Drives]]/SalesData[[#This Row],[Customers Visited]])</f>
        <v>0.4467005076142132</v>
      </c>
      <c r="AH2766" s="5">
        <f>IF(SalesData[[#This Row],[Customers Visited]]=0,0,SalesData[[#This Row],[Contracts Signed]]/SalesData[[#This Row],[Customers Visited]])</f>
        <v>7.1065989847715741E-2</v>
      </c>
      <c r="AI2766" s="6">
        <f>IF(SalesData[[#This Row],[Contracts Signed]]=0,0,SalesData[[#This Row],[Profit(€)]]/SalesData[[#This Row],[Contracts Signed]])</f>
        <v>2617</v>
      </c>
      <c r="AJ2766" s="5" t="str">
        <f>TRIM(CLEAN(SalesData[[#This Row],[Retailer]]))</f>
        <v>Main Auto Hub</v>
      </c>
    </row>
    <row r="2767" spans="1:36" ht="14.25" hidden="1" x14ac:dyDescent="0.2">
      <c r="A2767" t="s">
        <v>3889</v>
      </c>
      <c r="B2767" s="1">
        <v>46068</v>
      </c>
      <c r="C2767" t="s">
        <v>62</v>
      </c>
      <c r="D2767" t="s">
        <v>41</v>
      </c>
      <c r="E2767" t="s">
        <v>42</v>
      </c>
      <c r="F2767" t="s">
        <v>127</v>
      </c>
      <c r="G2767" t="s">
        <v>128</v>
      </c>
      <c r="H2767" t="s">
        <v>103</v>
      </c>
      <c r="I2767" t="s">
        <v>64</v>
      </c>
      <c r="J2767" t="s">
        <v>157</v>
      </c>
      <c r="K2767" t="s">
        <v>66</v>
      </c>
      <c r="L2767" t="s">
        <v>33</v>
      </c>
      <c r="M2767" t="s">
        <v>34</v>
      </c>
      <c r="N2767" t="s">
        <v>69</v>
      </c>
      <c r="O2767" t="s">
        <v>70</v>
      </c>
      <c r="P2767" t="s">
        <v>37</v>
      </c>
      <c r="Q2767" t="s">
        <v>158</v>
      </c>
      <c r="R2767">
        <v>233</v>
      </c>
      <c r="S2767">
        <v>118</v>
      </c>
      <c r="T2767">
        <v>79</v>
      </c>
      <c r="U2767">
        <v>30</v>
      </c>
      <c r="V2767" t="s">
        <v>6820</v>
      </c>
      <c r="W2767">
        <v>70286</v>
      </c>
      <c r="X2767" t="s">
        <v>2561</v>
      </c>
      <c r="Y2767">
        <v>50619</v>
      </c>
      <c r="Z2767">
        <v>2108580</v>
      </c>
      <c r="AA2767">
        <v>590010</v>
      </c>
      <c r="AB2767" t="str">
        <f>(VLOOKUP(SalesData[[#This Row],[Month Number]],Reference!C$5:E$16,2,FALSE))</f>
        <v>Feb</v>
      </c>
      <c r="AC2767">
        <f>MONTH(SalesData[[#This Row],[Date]])</f>
        <v>2</v>
      </c>
      <c r="AD2767">
        <f>Reference!F$4</f>
        <v>2026</v>
      </c>
      <c r="AE2767" t="str">
        <f>IF(OR(SalesData[[#This Row],[Day]]="Saturday",SalesData[[#This Row],[Day]]="Sunday"),"Weekend","Weekday")</f>
        <v>Weekend</v>
      </c>
      <c r="AF2767" s="5">
        <f>IF(SalesData[[#This Row],[Contracts Offered]]=0,0,SalesData[[#This Row],[Contracts Signed]]/SalesData[[#This Row],[Contracts Offered]])</f>
        <v>0.379746835443038</v>
      </c>
      <c r="AG2767" s="5">
        <f>IF(SalesData[[#This Row],[Customers Visited]]=0,0,SalesData[[#This Row],[Test Drives]]/SalesData[[#This Row],[Customers Visited]])</f>
        <v>0.50643776824034337</v>
      </c>
      <c r="AH2767" s="5">
        <f>IF(SalesData[[#This Row],[Customers Visited]]=0,0,SalesData[[#This Row],[Contracts Signed]]/SalesData[[#This Row],[Customers Visited]])</f>
        <v>0.12875536480686695</v>
      </c>
      <c r="AI2767" s="6">
        <f>IF(SalesData[[#This Row],[Contracts Signed]]=0,0,SalesData[[#This Row],[Profit(€)]]/SalesData[[#This Row],[Contracts Signed]])</f>
        <v>19667</v>
      </c>
      <c r="AJ2767" s="5" t="str">
        <f>TRIM(CLEAN(SalesData[[#This Row],[Retailer]]))</f>
        <v>Rhein Auto Group</v>
      </c>
    </row>
    <row r="2768" spans="1:36" ht="14.25" hidden="1" x14ac:dyDescent="0.2">
      <c r="A2768" t="s">
        <v>3890</v>
      </c>
      <c r="B2768" s="1">
        <v>46070</v>
      </c>
      <c r="C2768" t="s">
        <v>62</v>
      </c>
      <c r="D2768" t="s">
        <v>63</v>
      </c>
      <c r="E2768" t="s">
        <v>26</v>
      </c>
      <c r="F2768" t="s">
        <v>27</v>
      </c>
      <c r="G2768" t="s">
        <v>28</v>
      </c>
      <c r="H2768" t="s">
        <v>29</v>
      </c>
      <c r="I2768" t="s">
        <v>116</v>
      </c>
      <c r="J2768" t="s">
        <v>203</v>
      </c>
      <c r="K2768" t="s">
        <v>32</v>
      </c>
      <c r="L2768" t="s">
        <v>67</v>
      </c>
      <c r="M2768" t="s">
        <v>87</v>
      </c>
      <c r="N2768" t="s">
        <v>35</v>
      </c>
      <c r="O2768" t="s">
        <v>36</v>
      </c>
      <c r="P2768" t="s">
        <v>49</v>
      </c>
      <c r="Q2768" t="s">
        <v>50</v>
      </c>
      <c r="R2768">
        <v>411</v>
      </c>
      <c r="S2768">
        <v>223</v>
      </c>
      <c r="T2768">
        <v>124</v>
      </c>
      <c r="U2768">
        <v>31</v>
      </c>
      <c r="V2768" t="s">
        <v>6912</v>
      </c>
      <c r="W2768">
        <v>22400</v>
      </c>
      <c r="X2768" t="s">
        <v>3370</v>
      </c>
      <c r="Y2768">
        <v>20098</v>
      </c>
      <c r="Z2768">
        <v>694400</v>
      </c>
      <c r="AA2768">
        <v>71362</v>
      </c>
      <c r="AB2768" t="str">
        <f>(VLOOKUP(SalesData[[#This Row],[Month Number]],Reference!C$5:E$16,2,FALSE))</f>
        <v>Feb</v>
      </c>
      <c r="AC2768">
        <f>MONTH(SalesData[[#This Row],[Date]])</f>
        <v>2</v>
      </c>
      <c r="AD2768">
        <f>Reference!F$4</f>
        <v>2026</v>
      </c>
      <c r="AE2768" t="str">
        <f>IF(OR(SalesData[[#This Row],[Day]]="Saturday",SalesData[[#This Row],[Day]]="Sunday"),"Weekend","Weekday")</f>
        <v>Weekday</v>
      </c>
      <c r="AF2768" s="5">
        <f>IF(SalesData[[#This Row],[Contracts Offered]]=0,0,SalesData[[#This Row],[Contracts Signed]]/SalesData[[#This Row],[Contracts Offered]])</f>
        <v>0.25</v>
      </c>
      <c r="AG2768" s="5">
        <f>IF(SalesData[[#This Row],[Customers Visited]]=0,0,SalesData[[#This Row],[Test Drives]]/SalesData[[#This Row],[Customers Visited]])</f>
        <v>0.54257907542579076</v>
      </c>
      <c r="AH2768" s="5">
        <f>IF(SalesData[[#This Row],[Customers Visited]]=0,0,SalesData[[#This Row],[Contracts Signed]]/SalesData[[#This Row],[Customers Visited]])</f>
        <v>7.5425790754257913E-2</v>
      </c>
      <c r="AI2768" s="6">
        <f>IF(SalesData[[#This Row],[Contracts Signed]]=0,0,SalesData[[#This Row],[Profit(€)]]/SalesData[[#This Row],[Contracts Signed]])</f>
        <v>2302</v>
      </c>
      <c r="AJ2768" s="5" t="str">
        <f>TRIM(CLEAN(SalesData[[#This Row],[Retailer]]))</f>
        <v>Main Auto Hub</v>
      </c>
    </row>
    <row r="2769" spans="1:36" ht="14.25" hidden="1" x14ac:dyDescent="0.2">
      <c r="A2769" t="s">
        <v>3892</v>
      </c>
      <c r="B2769" s="1">
        <v>46068</v>
      </c>
      <c r="C2769" t="s">
        <v>62</v>
      </c>
      <c r="D2769" t="s">
        <v>41</v>
      </c>
      <c r="E2769" t="s">
        <v>42</v>
      </c>
      <c r="F2769" t="s">
        <v>83</v>
      </c>
      <c r="G2769" t="s">
        <v>84</v>
      </c>
      <c r="H2769" t="s">
        <v>85</v>
      </c>
      <c r="I2769" t="s">
        <v>64</v>
      </c>
      <c r="J2769" t="s">
        <v>77</v>
      </c>
      <c r="K2769" t="s">
        <v>66</v>
      </c>
      <c r="L2769" t="s">
        <v>46</v>
      </c>
      <c r="M2769" t="s">
        <v>87</v>
      </c>
      <c r="N2769" t="s">
        <v>35</v>
      </c>
      <c r="O2769" t="s">
        <v>70</v>
      </c>
      <c r="P2769" t="s">
        <v>37</v>
      </c>
      <c r="Q2769" t="s">
        <v>135</v>
      </c>
      <c r="R2769">
        <v>273</v>
      </c>
      <c r="S2769">
        <v>152</v>
      </c>
      <c r="T2769">
        <v>110</v>
      </c>
      <c r="U2769">
        <v>33</v>
      </c>
      <c r="V2769" t="s">
        <v>6731</v>
      </c>
      <c r="W2769">
        <v>63598</v>
      </c>
      <c r="X2769" t="s">
        <v>7381</v>
      </c>
      <c r="Y2769">
        <v>47614</v>
      </c>
      <c r="Z2769">
        <v>2098734</v>
      </c>
      <c r="AA2769">
        <v>527472</v>
      </c>
      <c r="AB2769" t="str">
        <f>(VLOOKUP(SalesData[[#This Row],[Month Number]],Reference!C$5:E$16,2,FALSE))</f>
        <v>Feb</v>
      </c>
      <c r="AC2769">
        <f>MONTH(SalesData[[#This Row],[Date]])</f>
        <v>2</v>
      </c>
      <c r="AD2769">
        <f>Reference!F$4</f>
        <v>2026</v>
      </c>
      <c r="AE2769" t="str">
        <f>IF(OR(SalesData[[#This Row],[Day]]="Saturday",SalesData[[#This Row],[Day]]="Sunday"),"Weekend","Weekday")</f>
        <v>Weekend</v>
      </c>
      <c r="AF2769" s="5">
        <f>IF(SalesData[[#This Row],[Contracts Offered]]=0,0,SalesData[[#This Row],[Contracts Signed]]/SalesData[[#This Row],[Contracts Offered]])</f>
        <v>0.3</v>
      </c>
      <c r="AG2769" s="5">
        <f>IF(SalesData[[#This Row],[Customers Visited]]=0,0,SalesData[[#This Row],[Test Drives]]/SalesData[[#This Row],[Customers Visited]])</f>
        <v>0.5567765567765568</v>
      </c>
      <c r="AH2769" s="5">
        <f>IF(SalesData[[#This Row],[Customers Visited]]=0,0,SalesData[[#This Row],[Contracts Signed]]/SalesData[[#This Row],[Customers Visited]])</f>
        <v>0.12087912087912088</v>
      </c>
      <c r="AI2769" s="6">
        <f>IF(SalesData[[#This Row],[Contracts Signed]]=0,0,SalesData[[#This Row],[Profit(€)]]/SalesData[[#This Row],[Contracts Signed]])</f>
        <v>15984</v>
      </c>
      <c r="AJ2769" s="5" t="str">
        <f>TRIM(CLEAN(SalesData[[#This Row],[Retailer]]))</f>
        <v>Hannover Cars</v>
      </c>
    </row>
    <row r="2770" spans="1:36" ht="14.25" hidden="1" x14ac:dyDescent="0.2">
      <c r="A2770" t="s">
        <v>3893</v>
      </c>
      <c r="B2770" s="1">
        <v>46069</v>
      </c>
      <c r="C2770" t="s">
        <v>62</v>
      </c>
      <c r="D2770" t="s">
        <v>25</v>
      </c>
      <c r="E2770" t="s">
        <v>26</v>
      </c>
      <c r="F2770" t="s">
        <v>43</v>
      </c>
      <c r="G2770" t="s">
        <v>44</v>
      </c>
      <c r="H2770" t="s">
        <v>45</v>
      </c>
      <c r="I2770" t="s">
        <v>64</v>
      </c>
      <c r="J2770" t="s">
        <v>65</v>
      </c>
      <c r="K2770" t="s">
        <v>78</v>
      </c>
      <c r="L2770" t="s">
        <v>33</v>
      </c>
      <c r="M2770" t="s">
        <v>34</v>
      </c>
      <c r="N2770" t="s">
        <v>48</v>
      </c>
      <c r="O2770" t="s">
        <v>70</v>
      </c>
      <c r="P2770" t="s">
        <v>58</v>
      </c>
      <c r="Q2770" t="s">
        <v>169</v>
      </c>
      <c r="R2770">
        <v>244</v>
      </c>
      <c r="S2770">
        <v>135</v>
      </c>
      <c r="T2770">
        <v>90</v>
      </c>
      <c r="U2770">
        <v>33</v>
      </c>
      <c r="V2770" t="s">
        <v>6705</v>
      </c>
      <c r="W2770">
        <v>55961</v>
      </c>
      <c r="X2770" t="s">
        <v>7176</v>
      </c>
      <c r="Y2770">
        <v>40053</v>
      </c>
      <c r="Z2770">
        <v>1846713</v>
      </c>
      <c r="AA2770">
        <v>524964</v>
      </c>
      <c r="AB2770" t="str">
        <f>(VLOOKUP(SalesData[[#This Row],[Month Number]],Reference!C$5:E$16,2,FALSE))</f>
        <v>Feb</v>
      </c>
      <c r="AC2770">
        <f>MONTH(SalesData[[#This Row],[Date]])</f>
        <v>2</v>
      </c>
      <c r="AD2770">
        <f>Reference!F$4</f>
        <v>2026</v>
      </c>
      <c r="AE2770" t="str">
        <f>IF(OR(SalesData[[#This Row],[Day]]="Saturday",SalesData[[#This Row],[Day]]="Sunday"),"Weekend","Weekday")</f>
        <v>Weekday</v>
      </c>
      <c r="AF2770" s="5">
        <f>IF(SalesData[[#This Row],[Contracts Offered]]=0,0,SalesData[[#This Row],[Contracts Signed]]/SalesData[[#This Row],[Contracts Offered]])</f>
        <v>0.36666666666666664</v>
      </c>
      <c r="AG2770" s="5">
        <f>IF(SalesData[[#This Row],[Customers Visited]]=0,0,SalesData[[#This Row],[Test Drives]]/SalesData[[#This Row],[Customers Visited]])</f>
        <v>0.55327868852459017</v>
      </c>
      <c r="AH2770" s="5">
        <f>IF(SalesData[[#This Row],[Customers Visited]]=0,0,SalesData[[#This Row],[Contracts Signed]]/SalesData[[#This Row],[Customers Visited]])</f>
        <v>0.13524590163934427</v>
      </c>
      <c r="AI2770" s="6">
        <f>IF(SalesData[[#This Row],[Contracts Signed]]=0,0,SalesData[[#This Row],[Profit(€)]]/SalesData[[#This Row],[Contracts Signed]])</f>
        <v>15908</v>
      </c>
      <c r="AJ2770" s="5" t="str">
        <f>TRIM(CLEAN(SalesData[[#This Row],[Retailer]]))</f>
        <v>Saxon Wheels</v>
      </c>
    </row>
    <row r="2771" spans="1:36" ht="14.25" hidden="1" x14ac:dyDescent="0.2">
      <c r="A2771" t="s">
        <v>3894</v>
      </c>
      <c r="B2771" s="1">
        <v>46057</v>
      </c>
      <c r="C2771" t="s">
        <v>24</v>
      </c>
      <c r="D2771" t="s">
        <v>82</v>
      </c>
      <c r="E2771" t="s">
        <v>26</v>
      </c>
      <c r="F2771" t="s">
        <v>7649</v>
      </c>
      <c r="G2771" t="s">
        <v>55</v>
      </c>
      <c r="H2771" t="s">
        <v>55</v>
      </c>
      <c r="I2771" t="s">
        <v>116</v>
      </c>
      <c r="J2771" t="s">
        <v>117</v>
      </c>
      <c r="K2771" t="s">
        <v>32</v>
      </c>
      <c r="L2771" t="s">
        <v>67</v>
      </c>
      <c r="M2771" t="s">
        <v>34</v>
      </c>
      <c r="N2771" t="s">
        <v>35</v>
      </c>
      <c r="O2771" t="s">
        <v>36</v>
      </c>
      <c r="P2771" t="s">
        <v>71</v>
      </c>
      <c r="Q2771" t="s">
        <v>50</v>
      </c>
      <c r="R2771">
        <v>358</v>
      </c>
      <c r="S2771">
        <v>163</v>
      </c>
      <c r="T2771">
        <v>111</v>
      </c>
      <c r="U2771">
        <v>29</v>
      </c>
      <c r="V2771" t="s">
        <v>6482</v>
      </c>
      <c r="W2771">
        <v>26365</v>
      </c>
      <c r="X2771" t="s">
        <v>1457</v>
      </c>
      <c r="Y2771">
        <v>23848</v>
      </c>
      <c r="Z2771">
        <v>764585</v>
      </c>
      <c r="AA2771">
        <v>72993</v>
      </c>
      <c r="AB2771" t="str">
        <f>(VLOOKUP(SalesData[[#This Row],[Month Number]],Reference!C$5:E$16,2,FALSE))</f>
        <v>Feb</v>
      </c>
      <c r="AC2771">
        <f>MONTH(SalesData[[#This Row],[Date]])</f>
        <v>2</v>
      </c>
      <c r="AD2771">
        <f>Reference!F$4</f>
        <v>2026</v>
      </c>
      <c r="AE2771" t="str">
        <f>IF(OR(SalesData[[#This Row],[Day]]="Saturday",SalesData[[#This Row],[Day]]="Sunday"),"Weekend","Weekday")</f>
        <v>Weekday</v>
      </c>
      <c r="AF2771" s="5">
        <f>IF(SalesData[[#This Row],[Contracts Offered]]=0,0,SalesData[[#This Row],[Contracts Signed]]/SalesData[[#This Row],[Contracts Offered]])</f>
        <v>0.26126126126126126</v>
      </c>
      <c r="AG2771" s="5">
        <f>IF(SalesData[[#This Row],[Customers Visited]]=0,0,SalesData[[#This Row],[Test Drives]]/SalesData[[#This Row],[Customers Visited]])</f>
        <v>0.45530726256983239</v>
      </c>
      <c r="AH2771" s="5">
        <f>IF(SalesData[[#This Row],[Customers Visited]]=0,0,SalesData[[#This Row],[Contracts Signed]]/SalesData[[#This Row],[Customers Visited]])</f>
        <v>8.1005586592178769E-2</v>
      </c>
      <c r="AI2771" s="6">
        <f>IF(SalesData[[#This Row],[Contracts Signed]]=0,0,SalesData[[#This Row],[Profit(€)]]/SalesData[[#This Row],[Contracts Signed]])</f>
        <v>2517</v>
      </c>
      <c r="AJ2771" s="5" t="str">
        <f>TRIM(CLEAN(SalesData[[#This Row],[Retailer]]))</f>
        <v>Autohaus Berlin</v>
      </c>
    </row>
    <row r="2772" spans="1:36" ht="14.25" hidden="1" x14ac:dyDescent="0.2">
      <c r="A2772" t="s">
        <v>3895</v>
      </c>
      <c r="B2772" s="1">
        <v>46072</v>
      </c>
      <c r="C2772" t="s">
        <v>62</v>
      </c>
      <c r="D2772" t="s">
        <v>100</v>
      </c>
      <c r="E2772" t="s">
        <v>26</v>
      </c>
      <c r="F2772" t="s">
        <v>27</v>
      </c>
      <c r="G2772" t="s">
        <v>28</v>
      </c>
      <c r="H2772" t="s">
        <v>29</v>
      </c>
      <c r="I2772" t="s">
        <v>64</v>
      </c>
      <c r="J2772" t="s">
        <v>111</v>
      </c>
      <c r="K2772" t="s">
        <v>66</v>
      </c>
      <c r="L2772" t="s">
        <v>46</v>
      </c>
      <c r="M2772" t="s">
        <v>68</v>
      </c>
      <c r="N2772" t="s">
        <v>69</v>
      </c>
      <c r="O2772" t="s">
        <v>36</v>
      </c>
      <c r="P2772" t="s">
        <v>49</v>
      </c>
      <c r="Q2772" t="s">
        <v>59</v>
      </c>
      <c r="R2772">
        <v>268</v>
      </c>
      <c r="S2772">
        <v>118</v>
      </c>
      <c r="T2772">
        <v>90</v>
      </c>
      <c r="U2772">
        <v>28</v>
      </c>
      <c r="V2772" t="s">
        <v>6917</v>
      </c>
      <c r="W2772">
        <v>66918</v>
      </c>
      <c r="X2772" t="s">
        <v>2386</v>
      </c>
      <c r="Y2772">
        <v>52208</v>
      </c>
      <c r="Z2772">
        <v>1873704</v>
      </c>
      <c r="AA2772">
        <v>411880</v>
      </c>
      <c r="AB2772" t="str">
        <f>(VLOOKUP(SalesData[[#This Row],[Month Number]],Reference!C$5:E$16,2,FALSE))</f>
        <v>Feb</v>
      </c>
      <c r="AC2772">
        <f>MONTH(SalesData[[#This Row],[Date]])</f>
        <v>2</v>
      </c>
      <c r="AD2772">
        <f>Reference!F$4</f>
        <v>2026</v>
      </c>
      <c r="AE2772" t="str">
        <f>IF(OR(SalesData[[#This Row],[Day]]="Saturday",SalesData[[#This Row],[Day]]="Sunday"),"Weekend","Weekday")</f>
        <v>Weekday</v>
      </c>
      <c r="AF2772" s="5">
        <f>IF(SalesData[[#This Row],[Contracts Offered]]=0,0,SalesData[[#This Row],[Contracts Signed]]/SalesData[[#This Row],[Contracts Offered]])</f>
        <v>0.31111111111111112</v>
      </c>
      <c r="AG2772" s="5">
        <f>IF(SalesData[[#This Row],[Customers Visited]]=0,0,SalesData[[#This Row],[Test Drives]]/SalesData[[#This Row],[Customers Visited]])</f>
        <v>0.44029850746268656</v>
      </c>
      <c r="AH2772" s="5">
        <f>IF(SalesData[[#This Row],[Customers Visited]]=0,0,SalesData[[#This Row],[Contracts Signed]]/SalesData[[#This Row],[Customers Visited]])</f>
        <v>0.1044776119402985</v>
      </c>
      <c r="AI2772" s="6">
        <f>IF(SalesData[[#This Row],[Contracts Signed]]=0,0,SalesData[[#This Row],[Profit(€)]]/SalesData[[#This Row],[Contracts Signed]])</f>
        <v>14710</v>
      </c>
      <c r="AJ2772" s="5" t="str">
        <f>TRIM(CLEAN(SalesData[[#This Row],[Retailer]]))</f>
        <v>Main Auto Hub</v>
      </c>
    </row>
    <row r="2773" spans="1:36" ht="14.25" hidden="1" x14ac:dyDescent="0.2">
      <c r="A2773" t="s">
        <v>3896</v>
      </c>
      <c r="B2773" s="1">
        <v>46066</v>
      </c>
      <c r="C2773" t="s">
        <v>121</v>
      </c>
      <c r="D2773" t="s">
        <v>54</v>
      </c>
      <c r="E2773" t="s">
        <v>26</v>
      </c>
      <c r="F2773" t="s">
        <v>101</v>
      </c>
      <c r="G2773" t="s">
        <v>102</v>
      </c>
      <c r="H2773" t="s">
        <v>103</v>
      </c>
      <c r="I2773" t="s">
        <v>64</v>
      </c>
      <c r="J2773" t="s">
        <v>65</v>
      </c>
      <c r="K2773" t="s">
        <v>78</v>
      </c>
      <c r="L2773" t="s">
        <v>33</v>
      </c>
      <c r="M2773" t="s">
        <v>68</v>
      </c>
      <c r="N2773" t="s">
        <v>69</v>
      </c>
      <c r="O2773" t="s">
        <v>70</v>
      </c>
      <c r="P2773" t="s">
        <v>37</v>
      </c>
      <c r="Q2773" t="s">
        <v>189</v>
      </c>
      <c r="R2773">
        <v>184</v>
      </c>
      <c r="S2773">
        <v>110</v>
      </c>
      <c r="T2773">
        <v>80</v>
      </c>
      <c r="U2773">
        <v>23</v>
      </c>
      <c r="V2773" t="s">
        <v>6755</v>
      </c>
      <c r="W2773">
        <v>62599</v>
      </c>
      <c r="X2773" t="s">
        <v>2861</v>
      </c>
      <c r="Y2773">
        <v>46893</v>
      </c>
      <c r="Z2773">
        <v>1439777</v>
      </c>
      <c r="AA2773">
        <v>361238</v>
      </c>
      <c r="AB2773" t="str">
        <f>(VLOOKUP(SalesData[[#This Row],[Month Number]],Reference!C$5:E$16,2,FALSE))</f>
        <v>Feb</v>
      </c>
      <c r="AC2773">
        <f>MONTH(SalesData[[#This Row],[Date]])</f>
        <v>2</v>
      </c>
      <c r="AD2773">
        <f>Reference!F$4</f>
        <v>2026</v>
      </c>
      <c r="AE2773" t="str">
        <f>IF(OR(SalesData[[#This Row],[Day]]="Saturday",SalesData[[#This Row],[Day]]="Sunday"),"Weekend","Weekday")</f>
        <v>Weekday</v>
      </c>
      <c r="AF2773" s="5">
        <f>IF(SalesData[[#This Row],[Contracts Offered]]=0,0,SalesData[[#This Row],[Contracts Signed]]/SalesData[[#This Row],[Contracts Offered]])</f>
        <v>0.28749999999999998</v>
      </c>
      <c r="AG2773" s="5">
        <f>IF(SalesData[[#This Row],[Customers Visited]]=0,0,SalesData[[#This Row],[Test Drives]]/SalesData[[#This Row],[Customers Visited]])</f>
        <v>0.59782608695652173</v>
      </c>
      <c r="AH2773" s="5">
        <f>IF(SalesData[[#This Row],[Customers Visited]]=0,0,SalesData[[#This Row],[Contracts Signed]]/SalesData[[#This Row],[Customers Visited]])</f>
        <v>0.125</v>
      </c>
      <c r="AI2773" s="6">
        <f>IF(SalesData[[#This Row],[Contracts Signed]]=0,0,SalesData[[#This Row],[Profit(€)]]/SalesData[[#This Row],[Contracts Signed]])</f>
        <v>15706</v>
      </c>
      <c r="AJ2773" s="5" t="str">
        <f>TRIM(CLEAN(SalesData[[#This Row],[Retailer]]))</f>
        <v>Ruhr Auto Plaza</v>
      </c>
    </row>
    <row r="2774" spans="1:36" ht="14.25" x14ac:dyDescent="0.2">
      <c r="A2774" t="s">
        <v>3897</v>
      </c>
      <c r="B2774" s="1">
        <v>46054</v>
      </c>
      <c r="C2774" t="s">
        <v>24</v>
      </c>
      <c r="D2774" t="s">
        <v>41</v>
      </c>
      <c r="E2774" t="s">
        <v>42</v>
      </c>
      <c r="F2774" t="s">
        <v>109</v>
      </c>
      <c r="G2774" t="s">
        <v>110</v>
      </c>
      <c r="H2774" t="s">
        <v>45</v>
      </c>
      <c r="I2774" t="s">
        <v>30</v>
      </c>
      <c r="J2774" t="s">
        <v>86</v>
      </c>
      <c r="K2774" t="s">
        <v>78</v>
      </c>
      <c r="L2774" t="s">
        <v>33</v>
      </c>
      <c r="M2774" t="s">
        <v>87</v>
      </c>
      <c r="N2774" t="s">
        <v>48</v>
      </c>
      <c r="O2774" t="s">
        <v>70</v>
      </c>
      <c r="P2774" t="s">
        <v>58</v>
      </c>
      <c r="Q2774" t="s">
        <v>172</v>
      </c>
      <c r="R2774">
        <v>141</v>
      </c>
      <c r="S2774">
        <v>73</v>
      </c>
      <c r="T2774">
        <v>59</v>
      </c>
      <c r="U2774">
        <v>22</v>
      </c>
      <c r="V2774" t="s">
        <v>7558</v>
      </c>
      <c r="W2774">
        <v>64350</v>
      </c>
      <c r="X2774" t="s">
        <v>7535</v>
      </c>
      <c r="Y2774">
        <v>50163</v>
      </c>
      <c r="Z2774">
        <v>1415700</v>
      </c>
      <c r="AA2774">
        <v>312114</v>
      </c>
      <c r="AB2774" t="str">
        <f>(VLOOKUP(SalesData[[#This Row],[Month Number]],Reference!C$5:E$16,2,FALSE))</f>
        <v>Feb</v>
      </c>
      <c r="AC2774">
        <f>MONTH(SalesData[[#This Row],[Date]])</f>
        <v>2</v>
      </c>
      <c r="AD2774">
        <f>Reference!F$4</f>
        <v>2026</v>
      </c>
      <c r="AE2774" t="str">
        <f>IF(OR(SalesData[[#This Row],[Day]]="Saturday",SalesData[[#This Row],[Day]]="Sunday"),"Weekend","Weekday")</f>
        <v>Weekend</v>
      </c>
      <c r="AF2774" s="5">
        <f>IF(SalesData[[#This Row],[Contracts Offered]]=0,0,SalesData[[#This Row],[Contracts Signed]]/SalesData[[#This Row],[Contracts Offered]])</f>
        <v>0.3728813559322034</v>
      </c>
      <c r="AG2774" s="5">
        <f>IF(SalesData[[#This Row],[Customers Visited]]=0,0,SalesData[[#This Row],[Test Drives]]/SalesData[[#This Row],[Customers Visited]])</f>
        <v>0.51773049645390068</v>
      </c>
      <c r="AH2774" s="5">
        <f>IF(SalesData[[#This Row],[Customers Visited]]=0,0,SalesData[[#This Row],[Contracts Signed]]/SalesData[[#This Row],[Customers Visited]])</f>
        <v>0.15602836879432624</v>
      </c>
      <c r="AI2774" s="6">
        <f>IF(SalesData[[#This Row],[Contracts Signed]]=0,0,SalesData[[#This Row],[Profit(€)]]/SalesData[[#This Row],[Contracts Signed]])</f>
        <v>14187</v>
      </c>
      <c r="AJ2774" s="5" t="str">
        <f>TRIM(CLEAN(SalesData[[#This Row],[Retailer]]))</f>
        <v>Leipzig Mobility</v>
      </c>
    </row>
    <row r="2775" spans="1:36" ht="14.25" x14ac:dyDescent="0.2">
      <c r="A2775" t="s">
        <v>3898</v>
      </c>
      <c r="B2775" s="1">
        <v>46080</v>
      </c>
      <c r="C2775" t="s">
        <v>53</v>
      </c>
      <c r="D2775" t="s">
        <v>54</v>
      </c>
      <c r="E2775" t="s">
        <v>26</v>
      </c>
      <c r="F2775" t="s">
        <v>43</v>
      </c>
      <c r="G2775" t="s">
        <v>44</v>
      </c>
      <c r="H2775" t="s">
        <v>45</v>
      </c>
      <c r="I2775" t="s">
        <v>30</v>
      </c>
      <c r="J2775" t="s">
        <v>188</v>
      </c>
      <c r="K2775" t="s">
        <v>32</v>
      </c>
      <c r="L2775" t="s">
        <v>33</v>
      </c>
      <c r="M2775" t="s">
        <v>47</v>
      </c>
      <c r="N2775" t="s">
        <v>48</v>
      </c>
      <c r="O2775" t="s">
        <v>70</v>
      </c>
      <c r="P2775" t="s">
        <v>49</v>
      </c>
      <c r="Q2775" t="s">
        <v>118</v>
      </c>
      <c r="R2775">
        <v>178</v>
      </c>
      <c r="S2775">
        <v>80</v>
      </c>
      <c r="T2775">
        <v>65</v>
      </c>
      <c r="U2775">
        <v>20</v>
      </c>
      <c r="V2775" t="s">
        <v>6403</v>
      </c>
      <c r="W2775">
        <v>59509</v>
      </c>
      <c r="X2775" t="s">
        <v>7335</v>
      </c>
      <c r="Y2775">
        <v>42781</v>
      </c>
      <c r="Z2775">
        <v>1190180</v>
      </c>
      <c r="AA2775">
        <v>334560</v>
      </c>
      <c r="AB2775" t="str">
        <f>(VLOOKUP(SalesData[[#This Row],[Month Number]],Reference!C$5:E$16,2,FALSE))</f>
        <v>Feb</v>
      </c>
      <c r="AC2775">
        <f>MONTH(SalesData[[#This Row],[Date]])</f>
        <v>2</v>
      </c>
      <c r="AD2775">
        <f>Reference!F$4</f>
        <v>2026</v>
      </c>
      <c r="AE2775" t="str">
        <f>IF(OR(SalesData[[#This Row],[Day]]="Saturday",SalesData[[#This Row],[Day]]="Sunday"),"Weekend","Weekday")</f>
        <v>Weekday</v>
      </c>
      <c r="AF2775" s="5">
        <f>IF(SalesData[[#This Row],[Contracts Offered]]=0,0,SalesData[[#This Row],[Contracts Signed]]/SalesData[[#This Row],[Contracts Offered]])</f>
        <v>0.30769230769230771</v>
      </c>
      <c r="AG2775" s="5">
        <f>IF(SalesData[[#This Row],[Customers Visited]]=0,0,SalesData[[#This Row],[Test Drives]]/SalesData[[#This Row],[Customers Visited]])</f>
        <v>0.449438202247191</v>
      </c>
      <c r="AH2775" s="5">
        <f>IF(SalesData[[#This Row],[Customers Visited]]=0,0,SalesData[[#This Row],[Contracts Signed]]/SalesData[[#This Row],[Customers Visited]])</f>
        <v>0.11235955056179775</v>
      </c>
      <c r="AI2775" s="6">
        <f>IF(SalesData[[#This Row],[Contracts Signed]]=0,0,SalesData[[#This Row],[Profit(€)]]/SalesData[[#This Row],[Contracts Signed]])</f>
        <v>16728</v>
      </c>
      <c r="AJ2775" s="5" t="str">
        <f>TRIM(CLEAN(SalesData[[#This Row],[Retailer]]))</f>
        <v>Saxon Wheels</v>
      </c>
    </row>
    <row r="2776" spans="1:36" ht="14.25" x14ac:dyDescent="0.2">
      <c r="A2776" t="s">
        <v>3900</v>
      </c>
      <c r="B2776" s="1">
        <v>46075</v>
      </c>
      <c r="C2776" t="s">
        <v>53</v>
      </c>
      <c r="D2776" t="s">
        <v>41</v>
      </c>
      <c r="E2776" t="s">
        <v>42</v>
      </c>
      <c r="F2776" t="s">
        <v>101</v>
      </c>
      <c r="G2776" t="s">
        <v>102</v>
      </c>
      <c r="H2776" t="s">
        <v>103</v>
      </c>
      <c r="I2776" t="s">
        <v>30</v>
      </c>
      <c r="J2776" t="s">
        <v>86</v>
      </c>
      <c r="K2776" t="s">
        <v>78</v>
      </c>
      <c r="L2776" t="s">
        <v>33</v>
      </c>
      <c r="M2776" t="s">
        <v>68</v>
      </c>
      <c r="N2776" t="s">
        <v>35</v>
      </c>
      <c r="O2776" t="s">
        <v>70</v>
      </c>
      <c r="P2776" t="s">
        <v>37</v>
      </c>
      <c r="Q2776" t="s">
        <v>135</v>
      </c>
      <c r="R2776">
        <v>260</v>
      </c>
      <c r="S2776">
        <v>133</v>
      </c>
      <c r="T2776">
        <v>102</v>
      </c>
      <c r="U2776">
        <v>34</v>
      </c>
      <c r="V2776" t="s">
        <v>6344</v>
      </c>
      <c r="W2776">
        <v>54558</v>
      </c>
      <c r="X2776" t="s">
        <v>4550</v>
      </c>
      <c r="Y2776">
        <v>40205</v>
      </c>
      <c r="Z2776">
        <v>1854972</v>
      </c>
      <c r="AA2776">
        <v>488002</v>
      </c>
      <c r="AB2776" t="str">
        <f>(VLOOKUP(SalesData[[#This Row],[Month Number]],Reference!C$5:E$16,2,FALSE))</f>
        <v>Feb</v>
      </c>
      <c r="AC2776">
        <f>MONTH(SalesData[[#This Row],[Date]])</f>
        <v>2</v>
      </c>
      <c r="AD2776">
        <f>Reference!F$4</f>
        <v>2026</v>
      </c>
      <c r="AE2776" t="str">
        <f>IF(OR(SalesData[[#This Row],[Day]]="Saturday",SalesData[[#This Row],[Day]]="Sunday"),"Weekend","Weekday")</f>
        <v>Weekend</v>
      </c>
      <c r="AF2776" s="5">
        <f>IF(SalesData[[#This Row],[Contracts Offered]]=0,0,SalesData[[#This Row],[Contracts Signed]]/SalesData[[#This Row],[Contracts Offered]])</f>
        <v>0.33333333333333331</v>
      </c>
      <c r="AG2776" s="5">
        <f>IF(SalesData[[#This Row],[Customers Visited]]=0,0,SalesData[[#This Row],[Test Drives]]/SalesData[[#This Row],[Customers Visited]])</f>
        <v>0.5115384615384615</v>
      </c>
      <c r="AH2776" s="5">
        <f>IF(SalesData[[#This Row],[Customers Visited]]=0,0,SalesData[[#This Row],[Contracts Signed]]/SalesData[[#This Row],[Customers Visited]])</f>
        <v>0.13076923076923078</v>
      </c>
      <c r="AI2776" s="6">
        <f>IF(SalesData[[#This Row],[Contracts Signed]]=0,0,SalesData[[#This Row],[Profit(€)]]/SalesData[[#This Row],[Contracts Signed]])</f>
        <v>14353</v>
      </c>
      <c r="AJ2776" s="5" t="str">
        <f>TRIM(CLEAN(SalesData[[#This Row],[Retailer]]))</f>
        <v>Ruhr Auto Plaza</v>
      </c>
    </row>
    <row r="2777" spans="1:36" ht="14.25" x14ac:dyDescent="0.2">
      <c r="A2777" t="s">
        <v>3901</v>
      </c>
      <c r="B2777" s="1">
        <v>46055</v>
      </c>
      <c r="C2777" t="s">
        <v>24</v>
      </c>
      <c r="D2777" t="s">
        <v>25</v>
      </c>
      <c r="E2777" t="s">
        <v>26</v>
      </c>
      <c r="F2777" t="s">
        <v>83</v>
      </c>
      <c r="G2777" t="s">
        <v>84</v>
      </c>
      <c r="H2777" t="s">
        <v>85</v>
      </c>
      <c r="I2777" t="s">
        <v>30</v>
      </c>
      <c r="J2777" t="s">
        <v>166</v>
      </c>
      <c r="K2777" t="s">
        <v>66</v>
      </c>
      <c r="L2777" t="s">
        <v>46</v>
      </c>
      <c r="M2777" t="s">
        <v>68</v>
      </c>
      <c r="N2777" t="s">
        <v>48</v>
      </c>
      <c r="O2777" t="s">
        <v>70</v>
      </c>
      <c r="P2777" t="s">
        <v>49</v>
      </c>
      <c r="Q2777" t="s">
        <v>347</v>
      </c>
      <c r="R2777">
        <v>270</v>
      </c>
      <c r="S2777">
        <v>141</v>
      </c>
      <c r="T2777">
        <v>112</v>
      </c>
      <c r="U2777">
        <v>35</v>
      </c>
      <c r="V2777" t="s">
        <v>6701</v>
      </c>
      <c r="W2777">
        <v>54563</v>
      </c>
      <c r="X2777" t="s">
        <v>7435</v>
      </c>
      <c r="Y2777">
        <v>42515</v>
      </c>
      <c r="Z2777">
        <v>1909705</v>
      </c>
      <c r="AA2777">
        <v>421680</v>
      </c>
      <c r="AB2777" t="str">
        <f>(VLOOKUP(SalesData[[#This Row],[Month Number]],Reference!C$5:E$16,2,FALSE))</f>
        <v>Feb</v>
      </c>
      <c r="AC2777">
        <f>MONTH(SalesData[[#This Row],[Date]])</f>
        <v>2</v>
      </c>
      <c r="AD2777">
        <f>Reference!F$4</f>
        <v>2026</v>
      </c>
      <c r="AE2777" t="str">
        <f>IF(OR(SalesData[[#This Row],[Day]]="Saturday",SalesData[[#This Row],[Day]]="Sunday"),"Weekend","Weekday")</f>
        <v>Weekday</v>
      </c>
      <c r="AF2777" s="5">
        <f>IF(SalesData[[#This Row],[Contracts Offered]]=0,0,SalesData[[#This Row],[Contracts Signed]]/SalesData[[#This Row],[Contracts Offered]])</f>
        <v>0.3125</v>
      </c>
      <c r="AG2777" s="5">
        <f>IF(SalesData[[#This Row],[Customers Visited]]=0,0,SalesData[[#This Row],[Test Drives]]/SalesData[[#This Row],[Customers Visited]])</f>
        <v>0.52222222222222225</v>
      </c>
      <c r="AH2777" s="5">
        <f>IF(SalesData[[#This Row],[Customers Visited]]=0,0,SalesData[[#This Row],[Contracts Signed]]/SalesData[[#This Row],[Customers Visited]])</f>
        <v>0.12962962962962962</v>
      </c>
      <c r="AI2777" s="6">
        <f>IF(SalesData[[#This Row],[Contracts Signed]]=0,0,SalesData[[#This Row],[Profit(€)]]/SalesData[[#This Row],[Contracts Signed]])</f>
        <v>12048</v>
      </c>
      <c r="AJ2777" s="5" t="str">
        <f>TRIM(CLEAN(SalesData[[#This Row],[Retailer]]))</f>
        <v>Hannover Cars</v>
      </c>
    </row>
    <row r="2778" spans="1:36" ht="14.25" hidden="1" x14ac:dyDescent="0.2">
      <c r="A2778" t="s">
        <v>3902</v>
      </c>
      <c r="B2778" s="1">
        <v>46054</v>
      </c>
      <c r="C2778" t="s">
        <v>24</v>
      </c>
      <c r="D2778" t="s">
        <v>41</v>
      </c>
      <c r="E2778" t="s">
        <v>42</v>
      </c>
      <c r="F2778" t="s">
        <v>27</v>
      </c>
      <c r="G2778" t="s">
        <v>28</v>
      </c>
      <c r="H2778" t="s">
        <v>29</v>
      </c>
      <c r="I2778" t="s">
        <v>64</v>
      </c>
      <c r="J2778" t="s">
        <v>7029</v>
      </c>
      <c r="K2778" t="s">
        <v>78</v>
      </c>
      <c r="L2778" t="s">
        <v>33</v>
      </c>
      <c r="M2778" t="s">
        <v>68</v>
      </c>
      <c r="N2778" t="s">
        <v>69</v>
      </c>
      <c r="O2778" t="s">
        <v>36</v>
      </c>
      <c r="P2778" t="s">
        <v>37</v>
      </c>
      <c r="Q2778" t="s">
        <v>169</v>
      </c>
      <c r="R2778">
        <v>152</v>
      </c>
      <c r="S2778">
        <v>87</v>
      </c>
      <c r="T2778">
        <v>63</v>
      </c>
      <c r="U2778">
        <v>20</v>
      </c>
      <c r="V2778" t="s">
        <v>6489</v>
      </c>
      <c r="W2778">
        <v>71717</v>
      </c>
      <c r="X2778" t="s">
        <v>7393</v>
      </c>
      <c r="Y2778">
        <v>56029</v>
      </c>
      <c r="Z2778">
        <v>1434340</v>
      </c>
      <c r="AA2778">
        <v>313760</v>
      </c>
      <c r="AB2778" t="str">
        <f>(VLOOKUP(SalesData[[#This Row],[Month Number]],Reference!C$5:E$16,2,FALSE))</f>
        <v>Feb</v>
      </c>
      <c r="AC2778">
        <f>MONTH(SalesData[[#This Row],[Date]])</f>
        <v>2</v>
      </c>
      <c r="AD2778">
        <f>Reference!F$4</f>
        <v>2026</v>
      </c>
      <c r="AE2778" t="str">
        <f>IF(OR(SalesData[[#This Row],[Day]]="Saturday",SalesData[[#This Row],[Day]]="Sunday"),"Weekend","Weekday")</f>
        <v>Weekend</v>
      </c>
      <c r="AF2778" s="5">
        <f>IF(SalesData[[#This Row],[Contracts Offered]]=0,0,SalesData[[#This Row],[Contracts Signed]]/SalesData[[#This Row],[Contracts Offered]])</f>
        <v>0.31746031746031744</v>
      </c>
      <c r="AG2778" s="5">
        <f>IF(SalesData[[#This Row],[Customers Visited]]=0,0,SalesData[[#This Row],[Test Drives]]/SalesData[[#This Row],[Customers Visited]])</f>
        <v>0.57236842105263153</v>
      </c>
      <c r="AH2778" s="5">
        <f>IF(SalesData[[#This Row],[Customers Visited]]=0,0,SalesData[[#This Row],[Contracts Signed]]/SalesData[[#This Row],[Customers Visited]])</f>
        <v>0.13157894736842105</v>
      </c>
      <c r="AI2778" s="6">
        <f>IF(SalesData[[#This Row],[Contracts Signed]]=0,0,SalesData[[#This Row],[Profit(€)]]/SalesData[[#This Row],[Contracts Signed]])</f>
        <v>15688</v>
      </c>
      <c r="AJ2778" s="5" t="str">
        <f>TRIM(CLEAN(SalesData[[#This Row],[Retailer]]))</f>
        <v>Main Auto Hub</v>
      </c>
    </row>
    <row r="2779" spans="1:36" ht="14.25" hidden="1" x14ac:dyDescent="0.2">
      <c r="A2779" t="s">
        <v>3903</v>
      </c>
      <c r="B2779" s="1">
        <v>46069</v>
      </c>
      <c r="C2779" t="s">
        <v>62</v>
      </c>
      <c r="D2779" t="s">
        <v>25</v>
      </c>
      <c r="E2779" t="s">
        <v>26</v>
      </c>
      <c r="F2779" t="s">
        <v>101</v>
      </c>
      <c r="G2779" t="s">
        <v>102</v>
      </c>
      <c r="H2779" t="s">
        <v>103</v>
      </c>
      <c r="I2779" t="s">
        <v>56</v>
      </c>
      <c r="J2779" t="s">
        <v>57</v>
      </c>
      <c r="K2779" t="s">
        <v>91</v>
      </c>
      <c r="L2779" t="s">
        <v>46</v>
      </c>
      <c r="M2779" t="s">
        <v>34</v>
      </c>
      <c r="N2779" t="s">
        <v>35</v>
      </c>
      <c r="O2779" t="s">
        <v>70</v>
      </c>
      <c r="P2779" t="s">
        <v>58</v>
      </c>
      <c r="Q2779" t="s">
        <v>172</v>
      </c>
      <c r="R2779">
        <v>269</v>
      </c>
      <c r="S2779">
        <v>143</v>
      </c>
      <c r="T2779">
        <v>110</v>
      </c>
      <c r="U2779">
        <v>33</v>
      </c>
      <c r="V2779" t="s">
        <v>6386</v>
      </c>
      <c r="W2779">
        <v>45638</v>
      </c>
      <c r="X2779" t="s">
        <v>7161</v>
      </c>
      <c r="Y2779">
        <v>34776</v>
      </c>
      <c r="Z2779">
        <v>1506054</v>
      </c>
      <c r="AA2779">
        <v>358446</v>
      </c>
      <c r="AB2779" t="str">
        <f>(VLOOKUP(SalesData[[#This Row],[Month Number]],Reference!C$5:E$16,2,FALSE))</f>
        <v>Feb</v>
      </c>
      <c r="AC2779">
        <f>MONTH(SalesData[[#This Row],[Date]])</f>
        <v>2</v>
      </c>
      <c r="AD2779">
        <f>Reference!F$4</f>
        <v>2026</v>
      </c>
      <c r="AE2779" t="str">
        <f>IF(OR(SalesData[[#This Row],[Day]]="Saturday",SalesData[[#This Row],[Day]]="Sunday"),"Weekend","Weekday")</f>
        <v>Weekday</v>
      </c>
      <c r="AF2779" s="5">
        <f>IF(SalesData[[#This Row],[Contracts Offered]]=0,0,SalesData[[#This Row],[Contracts Signed]]/SalesData[[#This Row],[Contracts Offered]])</f>
        <v>0.3</v>
      </c>
      <c r="AG2779" s="5">
        <f>IF(SalesData[[#This Row],[Customers Visited]]=0,0,SalesData[[#This Row],[Test Drives]]/SalesData[[#This Row],[Customers Visited]])</f>
        <v>0.53159851301115246</v>
      </c>
      <c r="AH2779" s="5">
        <f>IF(SalesData[[#This Row],[Customers Visited]]=0,0,SalesData[[#This Row],[Contracts Signed]]/SalesData[[#This Row],[Customers Visited]])</f>
        <v>0.12267657992565056</v>
      </c>
      <c r="AI2779" s="6">
        <f>IF(SalesData[[#This Row],[Contracts Signed]]=0,0,SalesData[[#This Row],[Profit(€)]]/SalesData[[#This Row],[Contracts Signed]])</f>
        <v>10862</v>
      </c>
      <c r="AJ2779" s="5" t="str">
        <f>TRIM(CLEAN(SalesData[[#This Row],[Retailer]]))</f>
        <v>Ruhr Auto Plaza</v>
      </c>
    </row>
    <row r="2780" spans="1:36" ht="14.25" hidden="1" x14ac:dyDescent="0.2">
      <c r="A2780" t="s">
        <v>3905</v>
      </c>
      <c r="B2780" s="1">
        <v>46074</v>
      </c>
      <c r="C2780" t="s">
        <v>62</v>
      </c>
      <c r="D2780" t="s">
        <v>151</v>
      </c>
      <c r="E2780" t="s">
        <v>42</v>
      </c>
      <c r="F2780" t="s">
        <v>27</v>
      </c>
      <c r="G2780" t="s">
        <v>28</v>
      </c>
      <c r="H2780" t="s">
        <v>29</v>
      </c>
      <c r="I2780" t="s">
        <v>104</v>
      </c>
      <c r="J2780" t="s">
        <v>105</v>
      </c>
      <c r="K2780" t="s">
        <v>78</v>
      </c>
      <c r="L2780" t="s">
        <v>33</v>
      </c>
      <c r="M2780" t="s">
        <v>87</v>
      </c>
      <c r="N2780" t="s">
        <v>69</v>
      </c>
      <c r="O2780" t="s">
        <v>70</v>
      </c>
      <c r="P2780" t="s">
        <v>49</v>
      </c>
      <c r="Q2780" t="s">
        <v>135</v>
      </c>
      <c r="R2780">
        <v>330</v>
      </c>
      <c r="S2780">
        <v>155</v>
      </c>
      <c r="T2780">
        <v>104</v>
      </c>
      <c r="U2780">
        <v>19</v>
      </c>
      <c r="V2780" t="s">
        <v>2121</v>
      </c>
      <c r="W2780">
        <v>28479</v>
      </c>
      <c r="X2780" t="s">
        <v>2006</v>
      </c>
      <c r="Y2780">
        <v>24879</v>
      </c>
      <c r="Z2780">
        <v>541101</v>
      </c>
      <c r="AA2780">
        <v>68400</v>
      </c>
      <c r="AB2780" t="str">
        <f>(VLOOKUP(SalesData[[#This Row],[Month Number]],Reference!C$5:E$16,2,FALSE))</f>
        <v>Feb</v>
      </c>
      <c r="AC2780">
        <f>MONTH(SalesData[[#This Row],[Date]])</f>
        <v>2</v>
      </c>
      <c r="AD2780">
        <f>Reference!F$4</f>
        <v>2026</v>
      </c>
      <c r="AE2780" t="str">
        <f>IF(OR(SalesData[[#This Row],[Day]]="Saturday",SalesData[[#This Row],[Day]]="Sunday"),"Weekend","Weekday")</f>
        <v>Weekend</v>
      </c>
      <c r="AF2780" s="5">
        <f>IF(SalesData[[#This Row],[Contracts Offered]]=0,0,SalesData[[#This Row],[Contracts Signed]]/SalesData[[#This Row],[Contracts Offered]])</f>
        <v>0.18269230769230768</v>
      </c>
      <c r="AG2780" s="5">
        <f>IF(SalesData[[#This Row],[Customers Visited]]=0,0,SalesData[[#This Row],[Test Drives]]/SalesData[[#This Row],[Customers Visited]])</f>
        <v>0.46969696969696972</v>
      </c>
      <c r="AH2780" s="5">
        <f>IF(SalesData[[#This Row],[Customers Visited]]=0,0,SalesData[[#This Row],[Contracts Signed]]/SalesData[[#This Row],[Customers Visited]])</f>
        <v>5.7575757575757579E-2</v>
      </c>
      <c r="AI2780" s="6">
        <f>IF(SalesData[[#This Row],[Contracts Signed]]=0,0,SalesData[[#This Row],[Profit(€)]]/SalesData[[#This Row],[Contracts Signed]])</f>
        <v>3600</v>
      </c>
      <c r="AJ2780" s="5" t="str">
        <f>TRIM(CLEAN(SalesData[[#This Row],[Retailer]]))</f>
        <v>Main Auto Hub</v>
      </c>
    </row>
    <row r="2781" spans="1:36" ht="14.25" hidden="1" x14ac:dyDescent="0.2">
      <c r="A2781" t="s">
        <v>3907</v>
      </c>
      <c r="B2781" s="1">
        <v>46069</v>
      </c>
      <c r="C2781" t="s">
        <v>62</v>
      </c>
      <c r="D2781" t="s">
        <v>25</v>
      </c>
      <c r="E2781" t="s">
        <v>26</v>
      </c>
      <c r="F2781" t="s">
        <v>109</v>
      </c>
      <c r="G2781" t="s">
        <v>110</v>
      </c>
      <c r="H2781" t="s">
        <v>45</v>
      </c>
      <c r="I2781" t="s">
        <v>56</v>
      </c>
      <c r="J2781" t="s">
        <v>7028</v>
      </c>
      <c r="K2781" t="s">
        <v>78</v>
      </c>
      <c r="L2781" t="s">
        <v>46</v>
      </c>
      <c r="M2781" t="s">
        <v>47</v>
      </c>
      <c r="N2781" t="s">
        <v>35</v>
      </c>
      <c r="O2781" t="s">
        <v>70</v>
      </c>
      <c r="P2781" t="s">
        <v>58</v>
      </c>
      <c r="Q2781" t="s">
        <v>172</v>
      </c>
      <c r="R2781">
        <v>167</v>
      </c>
      <c r="S2781">
        <v>100</v>
      </c>
      <c r="T2781">
        <v>64</v>
      </c>
      <c r="U2781">
        <v>26</v>
      </c>
      <c r="V2781" t="s">
        <v>6519</v>
      </c>
      <c r="W2781">
        <v>45116</v>
      </c>
      <c r="X2781" t="s">
        <v>7095</v>
      </c>
      <c r="Y2781">
        <v>34920</v>
      </c>
      <c r="Z2781">
        <v>1173016</v>
      </c>
      <c r="AA2781">
        <v>265096</v>
      </c>
      <c r="AB2781" t="str">
        <f>(VLOOKUP(SalesData[[#This Row],[Month Number]],Reference!C$5:E$16,2,FALSE))</f>
        <v>Feb</v>
      </c>
      <c r="AC2781">
        <f>MONTH(SalesData[[#This Row],[Date]])</f>
        <v>2</v>
      </c>
      <c r="AD2781">
        <f>Reference!F$4</f>
        <v>2026</v>
      </c>
      <c r="AE2781" t="str">
        <f>IF(OR(SalesData[[#This Row],[Day]]="Saturday",SalesData[[#This Row],[Day]]="Sunday"),"Weekend","Weekday")</f>
        <v>Weekday</v>
      </c>
      <c r="AF2781" s="5">
        <f>IF(SalesData[[#This Row],[Contracts Offered]]=0,0,SalesData[[#This Row],[Contracts Signed]]/SalesData[[#This Row],[Contracts Offered]])</f>
        <v>0.40625</v>
      </c>
      <c r="AG2781" s="5">
        <f>IF(SalesData[[#This Row],[Customers Visited]]=0,0,SalesData[[#This Row],[Test Drives]]/SalesData[[#This Row],[Customers Visited]])</f>
        <v>0.59880239520958078</v>
      </c>
      <c r="AH2781" s="5">
        <f>IF(SalesData[[#This Row],[Customers Visited]]=0,0,SalesData[[#This Row],[Contracts Signed]]/SalesData[[#This Row],[Customers Visited]])</f>
        <v>0.15568862275449102</v>
      </c>
      <c r="AI2781" s="6">
        <f>IF(SalesData[[#This Row],[Contracts Signed]]=0,0,SalesData[[#This Row],[Profit(€)]]/SalesData[[#This Row],[Contracts Signed]])</f>
        <v>10196</v>
      </c>
      <c r="AJ2781" s="5" t="str">
        <f>TRIM(CLEAN(SalesData[[#This Row],[Retailer]]))</f>
        <v>Leipzig Mobility</v>
      </c>
    </row>
    <row r="2782" spans="1:36" ht="14.25" hidden="1" x14ac:dyDescent="0.2">
      <c r="A2782" t="s">
        <v>3908</v>
      </c>
      <c r="B2782" s="1">
        <v>46078</v>
      </c>
      <c r="C2782" t="s">
        <v>53</v>
      </c>
      <c r="D2782" t="s">
        <v>82</v>
      </c>
      <c r="E2782" t="s">
        <v>26</v>
      </c>
      <c r="F2782" t="s">
        <v>101</v>
      </c>
      <c r="G2782" t="s">
        <v>102</v>
      </c>
      <c r="H2782" t="s">
        <v>103</v>
      </c>
      <c r="I2782" t="s">
        <v>116</v>
      </c>
      <c r="J2782" t="s">
        <v>132</v>
      </c>
      <c r="K2782" t="s">
        <v>32</v>
      </c>
      <c r="L2782" t="s">
        <v>46</v>
      </c>
      <c r="M2782" t="s">
        <v>47</v>
      </c>
      <c r="N2782" t="s">
        <v>69</v>
      </c>
      <c r="O2782" t="s">
        <v>36</v>
      </c>
      <c r="P2782" t="s">
        <v>37</v>
      </c>
      <c r="Q2782" t="s">
        <v>189</v>
      </c>
      <c r="R2782">
        <v>339</v>
      </c>
      <c r="S2782">
        <v>147</v>
      </c>
      <c r="T2782">
        <v>86</v>
      </c>
      <c r="U2782">
        <v>20</v>
      </c>
      <c r="V2782" t="s">
        <v>2357</v>
      </c>
      <c r="W2782">
        <v>25709</v>
      </c>
      <c r="X2782" t="s">
        <v>1052</v>
      </c>
      <c r="Y2782">
        <v>23426</v>
      </c>
      <c r="Z2782">
        <v>514180</v>
      </c>
      <c r="AA2782">
        <v>45660</v>
      </c>
      <c r="AB2782" t="str">
        <f>(VLOOKUP(SalesData[[#This Row],[Month Number]],Reference!C$5:E$16,2,FALSE))</f>
        <v>Feb</v>
      </c>
      <c r="AC2782">
        <f>MONTH(SalesData[[#This Row],[Date]])</f>
        <v>2</v>
      </c>
      <c r="AD2782">
        <f>Reference!F$4</f>
        <v>2026</v>
      </c>
      <c r="AE2782" t="str">
        <f>IF(OR(SalesData[[#This Row],[Day]]="Saturday",SalesData[[#This Row],[Day]]="Sunday"),"Weekend","Weekday")</f>
        <v>Weekday</v>
      </c>
      <c r="AF2782" s="5">
        <f>IF(SalesData[[#This Row],[Contracts Offered]]=0,0,SalesData[[#This Row],[Contracts Signed]]/SalesData[[#This Row],[Contracts Offered]])</f>
        <v>0.23255813953488372</v>
      </c>
      <c r="AG2782" s="5">
        <f>IF(SalesData[[#This Row],[Customers Visited]]=0,0,SalesData[[#This Row],[Test Drives]]/SalesData[[#This Row],[Customers Visited]])</f>
        <v>0.4336283185840708</v>
      </c>
      <c r="AH2782" s="5">
        <f>IF(SalesData[[#This Row],[Customers Visited]]=0,0,SalesData[[#This Row],[Contracts Signed]]/SalesData[[#This Row],[Customers Visited]])</f>
        <v>5.8997050147492625E-2</v>
      </c>
      <c r="AI2782" s="6">
        <f>IF(SalesData[[#This Row],[Contracts Signed]]=0,0,SalesData[[#This Row],[Profit(€)]]/SalesData[[#This Row],[Contracts Signed]])</f>
        <v>2283</v>
      </c>
      <c r="AJ2782" s="5" t="str">
        <f>TRIM(CLEAN(SalesData[[#This Row],[Retailer]]))</f>
        <v>Ruhr Auto Plaza</v>
      </c>
    </row>
    <row r="2783" spans="1:36" ht="14.25" hidden="1" x14ac:dyDescent="0.2">
      <c r="A2783" t="s">
        <v>3909</v>
      </c>
      <c r="B2783" s="1">
        <v>46072</v>
      </c>
      <c r="C2783" t="s">
        <v>62</v>
      </c>
      <c r="D2783" t="s">
        <v>100</v>
      </c>
      <c r="E2783" t="s">
        <v>26</v>
      </c>
      <c r="F2783" t="s">
        <v>109</v>
      </c>
      <c r="G2783" t="s">
        <v>110</v>
      </c>
      <c r="H2783" t="s">
        <v>45</v>
      </c>
      <c r="I2783" t="s">
        <v>64</v>
      </c>
      <c r="J2783" t="s">
        <v>157</v>
      </c>
      <c r="K2783" t="s">
        <v>32</v>
      </c>
      <c r="L2783" t="s">
        <v>33</v>
      </c>
      <c r="M2783" t="s">
        <v>34</v>
      </c>
      <c r="N2783" t="s">
        <v>48</v>
      </c>
      <c r="O2783" t="s">
        <v>70</v>
      </c>
      <c r="P2783" t="s">
        <v>71</v>
      </c>
      <c r="Q2783" t="s">
        <v>172</v>
      </c>
      <c r="R2783">
        <v>166</v>
      </c>
      <c r="S2783">
        <v>97</v>
      </c>
      <c r="T2783">
        <v>67</v>
      </c>
      <c r="U2783">
        <v>24</v>
      </c>
      <c r="V2783" t="s">
        <v>6892</v>
      </c>
      <c r="W2783">
        <v>69458</v>
      </c>
      <c r="X2783" t="s">
        <v>7154</v>
      </c>
      <c r="Y2783">
        <v>54351</v>
      </c>
      <c r="Z2783">
        <v>1666992</v>
      </c>
      <c r="AA2783">
        <v>362568</v>
      </c>
      <c r="AB2783" t="str">
        <f>(VLOOKUP(SalesData[[#This Row],[Month Number]],Reference!C$5:E$16,2,FALSE))</f>
        <v>Feb</v>
      </c>
      <c r="AC2783">
        <f>MONTH(SalesData[[#This Row],[Date]])</f>
        <v>2</v>
      </c>
      <c r="AD2783">
        <f>Reference!F$4</f>
        <v>2026</v>
      </c>
      <c r="AE2783" t="str">
        <f>IF(OR(SalesData[[#This Row],[Day]]="Saturday",SalesData[[#This Row],[Day]]="Sunday"),"Weekend","Weekday")</f>
        <v>Weekday</v>
      </c>
      <c r="AF2783" s="5">
        <f>IF(SalesData[[#This Row],[Contracts Offered]]=0,0,SalesData[[#This Row],[Contracts Signed]]/SalesData[[#This Row],[Contracts Offered]])</f>
        <v>0.35820895522388058</v>
      </c>
      <c r="AG2783" s="5">
        <f>IF(SalesData[[#This Row],[Customers Visited]]=0,0,SalesData[[#This Row],[Test Drives]]/SalesData[[#This Row],[Customers Visited]])</f>
        <v>0.58433734939759041</v>
      </c>
      <c r="AH2783" s="5">
        <f>IF(SalesData[[#This Row],[Customers Visited]]=0,0,SalesData[[#This Row],[Contracts Signed]]/SalesData[[#This Row],[Customers Visited]])</f>
        <v>0.14457831325301204</v>
      </c>
      <c r="AI2783" s="6">
        <f>IF(SalesData[[#This Row],[Contracts Signed]]=0,0,SalesData[[#This Row],[Profit(€)]]/SalesData[[#This Row],[Contracts Signed]])</f>
        <v>15107</v>
      </c>
      <c r="AJ2783" s="5" t="str">
        <f>TRIM(CLEAN(SalesData[[#This Row],[Retailer]]))</f>
        <v>Leipzig Mobility</v>
      </c>
    </row>
    <row r="2784" spans="1:36" ht="14.25" hidden="1" x14ac:dyDescent="0.2">
      <c r="A2784" t="s">
        <v>3910</v>
      </c>
      <c r="B2784" s="1">
        <v>46068</v>
      </c>
      <c r="C2784" t="s">
        <v>62</v>
      </c>
      <c r="D2784" t="s">
        <v>41</v>
      </c>
      <c r="E2784" t="s">
        <v>42</v>
      </c>
      <c r="F2784" t="s">
        <v>74</v>
      </c>
      <c r="G2784" t="s">
        <v>75</v>
      </c>
      <c r="H2784" t="s">
        <v>76</v>
      </c>
      <c r="I2784" t="s">
        <v>56</v>
      </c>
      <c r="J2784" t="s">
        <v>97</v>
      </c>
      <c r="K2784" t="s">
        <v>32</v>
      </c>
      <c r="L2784" t="s">
        <v>33</v>
      </c>
      <c r="M2784" t="s">
        <v>34</v>
      </c>
      <c r="N2784" t="s">
        <v>69</v>
      </c>
      <c r="O2784" t="s">
        <v>70</v>
      </c>
      <c r="P2784" t="s">
        <v>58</v>
      </c>
      <c r="Q2784" t="s">
        <v>50</v>
      </c>
      <c r="R2784">
        <v>312</v>
      </c>
      <c r="S2784">
        <v>150</v>
      </c>
      <c r="T2784">
        <v>115</v>
      </c>
      <c r="U2784">
        <v>35</v>
      </c>
      <c r="V2784" t="s">
        <v>6365</v>
      </c>
      <c r="W2784">
        <v>44446</v>
      </c>
      <c r="X2784" t="s">
        <v>7352</v>
      </c>
      <c r="Y2784">
        <v>36392</v>
      </c>
      <c r="Z2784">
        <v>1555610</v>
      </c>
      <c r="AA2784">
        <v>281890</v>
      </c>
      <c r="AB2784" t="str">
        <f>(VLOOKUP(SalesData[[#This Row],[Month Number]],Reference!C$5:E$16,2,FALSE))</f>
        <v>Feb</v>
      </c>
      <c r="AC2784">
        <f>MONTH(SalesData[[#This Row],[Date]])</f>
        <v>2</v>
      </c>
      <c r="AD2784">
        <f>Reference!F$4</f>
        <v>2026</v>
      </c>
      <c r="AE2784" t="str">
        <f>IF(OR(SalesData[[#This Row],[Day]]="Saturday",SalesData[[#This Row],[Day]]="Sunday"),"Weekend","Weekday")</f>
        <v>Weekend</v>
      </c>
      <c r="AF2784" s="5">
        <f>IF(SalesData[[#This Row],[Contracts Offered]]=0,0,SalesData[[#This Row],[Contracts Signed]]/SalesData[[#This Row],[Contracts Offered]])</f>
        <v>0.30434782608695654</v>
      </c>
      <c r="AG2784" s="5">
        <f>IF(SalesData[[#This Row],[Customers Visited]]=0,0,SalesData[[#This Row],[Test Drives]]/SalesData[[#This Row],[Customers Visited]])</f>
        <v>0.48076923076923078</v>
      </c>
      <c r="AH2784" s="5">
        <f>IF(SalesData[[#This Row],[Customers Visited]]=0,0,SalesData[[#This Row],[Contracts Signed]]/SalesData[[#This Row],[Customers Visited]])</f>
        <v>0.11217948717948718</v>
      </c>
      <c r="AI2784" s="6">
        <f>IF(SalesData[[#This Row],[Contracts Signed]]=0,0,SalesData[[#This Row],[Profit(€)]]/SalesData[[#This Row],[Contracts Signed]])</f>
        <v>8054</v>
      </c>
      <c r="AJ2784" s="5" t="str">
        <f>TRIM(CLEAN(SalesData[[#This Row],[Retailer]]))</f>
        <v>Stuttgart Auto Center</v>
      </c>
    </row>
    <row r="2785" spans="1:36" ht="14.25" hidden="1" x14ac:dyDescent="0.2">
      <c r="A2785" t="s">
        <v>3911</v>
      </c>
      <c r="B2785" s="1">
        <v>46067</v>
      </c>
      <c r="C2785" t="s">
        <v>121</v>
      </c>
      <c r="D2785" t="s">
        <v>151</v>
      </c>
      <c r="E2785" t="s">
        <v>42</v>
      </c>
      <c r="F2785" t="s">
        <v>114</v>
      </c>
      <c r="G2785" t="s">
        <v>115</v>
      </c>
      <c r="H2785" t="s">
        <v>115</v>
      </c>
      <c r="I2785" t="s">
        <v>64</v>
      </c>
      <c r="J2785" t="s">
        <v>77</v>
      </c>
      <c r="K2785" t="s">
        <v>91</v>
      </c>
      <c r="L2785" t="s">
        <v>46</v>
      </c>
      <c r="M2785" t="s">
        <v>87</v>
      </c>
      <c r="N2785" t="s">
        <v>35</v>
      </c>
      <c r="O2785" t="s">
        <v>36</v>
      </c>
      <c r="P2785" t="s">
        <v>49</v>
      </c>
      <c r="Q2785" t="s">
        <v>38</v>
      </c>
      <c r="R2785">
        <v>246</v>
      </c>
      <c r="S2785">
        <v>146</v>
      </c>
      <c r="T2785">
        <v>106</v>
      </c>
      <c r="U2785">
        <v>36</v>
      </c>
      <c r="V2785" t="s">
        <v>6356</v>
      </c>
      <c r="W2785">
        <v>52569</v>
      </c>
      <c r="X2785" t="s">
        <v>7227</v>
      </c>
      <c r="Y2785">
        <v>39333</v>
      </c>
      <c r="Z2785">
        <v>1892484</v>
      </c>
      <c r="AA2785">
        <v>476496</v>
      </c>
      <c r="AB2785" t="str">
        <f>(VLOOKUP(SalesData[[#This Row],[Month Number]],Reference!C$5:E$16,2,FALSE))</f>
        <v>Feb</v>
      </c>
      <c r="AC2785">
        <f>MONTH(SalesData[[#This Row],[Date]])</f>
        <v>2</v>
      </c>
      <c r="AD2785">
        <f>Reference!F$4</f>
        <v>2026</v>
      </c>
      <c r="AE2785" t="str">
        <f>IF(OR(SalesData[[#This Row],[Day]]="Saturday",SalesData[[#This Row],[Day]]="Sunday"),"Weekend","Weekday")</f>
        <v>Weekend</v>
      </c>
      <c r="AF2785" s="5">
        <f>IF(SalesData[[#This Row],[Contracts Offered]]=0,0,SalesData[[#This Row],[Contracts Signed]]/SalesData[[#This Row],[Contracts Offered]])</f>
        <v>0.33962264150943394</v>
      </c>
      <c r="AG2785" s="5">
        <f>IF(SalesData[[#This Row],[Customers Visited]]=0,0,SalesData[[#This Row],[Test Drives]]/SalesData[[#This Row],[Customers Visited]])</f>
        <v>0.5934959349593496</v>
      </c>
      <c r="AH2785" s="5">
        <f>IF(SalesData[[#This Row],[Customers Visited]]=0,0,SalesData[[#This Row],[Contracts Signed]]/SalesData[[#This Row],[Customers Visited]])</f>
        <v>0.14634146341463414</v>
      </c>
      <c r="AI2785" s="6">
        <f>IF(SalesData[[#This Row],[Contracts Signed]]=0,0,SalesData[[#This Row],[Profit(€)]]/SalesData[[#This Row],[Contracts Signed]])</f>
        <v>13236</v>
      </c>
      <c r="AJ2785" s="5" t="str">
        <f>TRIM(CLEAN(SalesData[[#This Row],[Retailer]]))</f>
        <v>Elbe Drive</v>
      </c>
    </row>
    <row r="2786" spans="1:36" ht="14.25" hidden="1" x14ac:dyDescent="0.2">
      <c r="A2786" t="s">
        <v>3912</v>
      </c>
      <c r="B2786" s="1">
        <v>46068</v>
      </c>
      <c r="C2786" t="s">
        <v>62</v>
      </c>
      <c r="D2786" t="s">
        <v>41</v>
      </c>
      <c r="E2786" t="s">
        <v>42</v>
      </c>
      <c r="F2786" t="s">
        <v>127</v>
      </c>
      <c r="G2786" t="s">
        <v>128</v>
      </c>
      <c r="H2786" t="s">
        <v>103</v>
      </c>
      <c r="I2786" t="s">
        <v>56</v>
      </c>
      <c r="J2786" t="s">
        <v>7028</v>
      </c>
      <c r="K2786" t="s">
        <v>32</v>
      </c>
      <c r="L2786" t="s">
        <v>46</v>
      </c>
      <c r="M2786" t="s">
        <v>34</v>
      </c>
      <c r="N2786" t="s">
        <v>48</v>
      </c>
      <c r="O2786" t="s">
        <v>70</v>
      </c>
      <c r="P2786" t="s">
        <v>49</v>
      </c>
      <c r="Q2786" t="s">
        <v>118</v>
      </c>
      <c r="R2786">
        <v>288</v>
      </c>
      <c r="S2786">
        <v>133</v>
      </c>
      <c r="T2786">
        <v>96</v>
      </c>
      <c r="U2786">
        <v>28</v>
      </c>
      <c r="V2786" t="s">
        <v>6421</v>
      </c>
      <c r="W2786">
        <v>46698</v>
      </c>
      <c r="X2786" t="s">
        <v>331</v>
      </c>
      <c r="Y2786">
        <v>37543</v>
      </c>
      <c r="Z2786">
        <v>1307544</v>
      </c>
      <c r="AA2786">
        <v>256340</v>
      </c>
      <c r="AB2786" t="str">
        <f>(VLOOKUP(SalesData[[#This Row],[Month Number]],Reference!C$5:E$16,2,FALSE))</f>
        <v>Feb</v>
      </c>
      <c r="AC2786">
        <f>MONTH(SalesData[[#This Row],[Date]])</f>
        <v>2</v>
      </c>
      <c r="AD2786">
        <f>Reference!F$4</f>
        <v>2026</v>
      </c>
      <c r="AE2786" t="str">
        <f>IF(OR(SalesData[[#This Row],[Day]]="Saturday",SalesData[[#This Row],[Day]]="Sunday"),"Weekend","Weekday")</f>
        <v>Weekend</v>
      </c>
      <c r="AF2786" s="5">
        <f>IF(SalesData[[#This Row],[Contracts Offered]]=0,0,SalesData[[#This Row],[Contracts Signed]]/SalesData[[#This Row],[Contracts Offered]])</f>
        <v>0.29166666666666669</v>
      </c>
      <c r="AG2786" s="5">
        <f>IF(SalesData[[#This Row],[Customers Visited]]=0,0,SalesData[[#This Row],[Test Drives]]/SalesData[[#This Row],[Customers Visited]])</f>
        <v>0.46180555555555558</v>
      </c>
      <c r="AH2786" s="5">
        <f>IF(SalesData[[#This Row],[Customers Visited]]=0,0,SalesData[[#This Row],[Contracts Signed]]/SalesData[[#This Row],[Customers Visited]])</f>
        <v>9.7222222222222224E-2</v>
      </c>
      <c r="AI2786" s="6">
        <f>IF(SalesData[[#This Row],[Contracts Signed]]=0,0,SalesData[[#This Row],[Profit(€)]]/SalesData[[#This Row],[Contracts Signed]])</f>
        <v>9155</v>
      </c>
      <c r="AJ2786" s="5" t="str">
        <f>TRIM(CLEAN(SalesData[[#This Row],[Retailer]]))</f>
        <v>Rhein Auto Group</v>
      </c>
    </row>
    <row r="2787" spans="1:36" ht="14.25" hidden="1" x14ac:dyDescent="0.2">
      <c r="A2787" t="s">
        <v>3913</v>
      </c>
      <c r="B2787" s="1">
        <v>46079</v>
      </c>
      <c r="C2787" t="s">
        <v>53</v>
      </c>
      <c r="D2787" t="s">
        <v>100</v>
      </c>
      <c r="E2787" t="s">
        <v>26</v>
      </c>
      <c r="F2787" t="s">
        <v>43</v>
      </c>
      <c r="G2787" t="s">
        <v>44</v>
      </c>
      <c r="H2787" t="s">
        <v>45</v>
      </c>
      <c r="I2787" t="s">
        <v>64</v>
      </c>
      <c r="J2787" t="s">
        <v>65</v>
      </c>
      <c r="K2787" t="s">
        <v>78</v>
      </c>
      <c r="L2787" t="s">
        <v>33</v>
      </c>
      <c r="M2787" t="s">
        <v>47</v>
      </c>
      <c r="N2787" t="s">
        <v>48</v>
      </c>
      <c r="O2787" t="s">
        <v>36</v>
      </c>
      <c r="P2787" t="s">
        <v>58</v>
      </c>
      <c r="Q2787" t="s">
        <v>204</v>
      </c>
      <c r="R2787">
        <v>149</v>
      </c>
      <c r="S2787">
        <v>71</v>
      </c>
      <c r="T2787">
        <v>47</v>
      </c>
      <c r="U2787">
        <v>19</v>
      </c>
      <c r="V2787" t="s">
        <v>6829</v>
      </c>
      <c r="W2787">
        <v>65807</v>
      </c>
      <c r="X2787" t="s">
        <v>7291</v>
      </c>
      <c r="Y2787">
        <v>49028</v>
      </c>
      <c r="Z2787">
        <v>1250333</v>
      </c>
      <c r="AA2787">
        <v>318801</v>
      </c>
      <c r="AB2787" t="str">
        <f>(VLOOKUP(SalesData[[#This Row],[Month Number]],Reference!C$5:E$16,2,FALSE))</f>
        <v>Feb</v>
      </c>
      <c r="AC2787">
        <f>MONTH(SalesData[[#This Row],[Date]])</f>
        <v>2</v>
      </c>
      <c r="AD2787">
        <f>Reference!F$4</f>
        <v>2026</v>
      </c>
      <c r="AE2787" t="str">
        <f>IF(OR(SalesData[[#This Row],[Day]]="Saturday",SalesData[[#This Row],[Day]]="Sunday"),"Weekend","Weekday")</f>
        <v>Weekday</v>
      </c>
      <c r="AF2787" s="5">
        <f>IF(SalesData[[#This Row],[Contracts Offered]]=0,0,SalesData[[#This Row],[Contracts Signed]]/SalesData[[#This Row],[Contracts Offered]])</f>
        <v>0.40425531914893614</v>
      </c>
      <c r="AG2787" s="5">
        <f>IF(SalesData[[#This Row],[Customers Visited]]=0,0,SalesData[[#This Row],[Test Drives]]/SalesData[[#This Row],[Customers Visited]])</f>
        <v>0.47651006711409394</v>
      </c>
      <c r="AH2787" s="5">
        <f>IF(SalesData[[#This Row],[Customers Visited]]=0,0,SalesData[[#This Row],[Contracts Signed]]/SalesData[[#This Row],[Customers Visited]])</f>
        <v>0.12751677852348994</v>
      </c>
      <c r="AI2787" s="6">
        <f>IF(SalesData[[#This Row],[Contracts Signed]]=0,0,SalesData[[#This Row],[Profit(€)]]/SalesData[[#This Row],[Contracts Signed]])</f>
        <v>16779</v>
      </c>
      <c r="AJ2787" s="5" t="str">
        <f>TRIM(CLEAN(SalesData[[#This Row],[Retailer]]))</f>
        <v>Saxon Wheels</v>
      </c>
    </row>
    <row r="2788" spans="1:36" ht="14.25" hidden="1" x14ac:dyDescent="0.2">
      <c r="A2788" t="s">
        <v>3914</v>
      </c>
      <c r="B2788" s="1">
        <v>46078</v>
      </c>
      <c r="C2788" t="s">
        <v>53</v>
      </c>
      <c r="D2788" t="s">
        <v>82</v>
      </c>
      <c r="E2788" t="s">
        <v>26</v>
      </c>
      <c r="F2788" t="s">
        <v>127</v>
      </c>
      <c r="G2788" t="s">
        <v>128</v>
      </c>
      <c r="H2788" t="s">
        <v>103</v>
      </c>
      <c r="I2788" t="s">
        <v>64</v>
      </c>
      <c r="J2788" t="s">
        <v>77</v>
      </c>
      <c r="K2788" t="s">
        <v>32</v>
      </c>
      <c r="L2788" t="s">
        <v>46</v>
      </c>
      <c r="M2788" t="s">
        <v>68</v>
      </c>
      <c r="N2788" t="s">
        <v>48</v>
      </c>
      <c r="O2788" t="s">
        <v>70</v>
      </c>
      <c r="P2788" t="s">
        <v>49</v>
      </c>
      <c r="Q2788" t="s">
        <v>172</v>
      </c>
      <c r="R2788">
        <v>148</v>
      </c>
      <c r="S2788">
        <v>86</v>
      </c>
      <c r="T2788">
        <v>58</v>
      </c>
      <c r="U2788">
        <v>20</v>
      </c>
      <c r="V2788" t="s">
        <v>6726</v>
      </c>
      <c r="W2788">
        <v>57302</v>
      </c>
      <c r="X2788" t="s">
        <v>7054</v>
      </c>
      <c r="Y2788">
        <v>42563</v>
      </c>
      <c r="Z2788">
        <v>1146040</v>
      </c>
      <c r="AA2788">
        <v>294780</v>
      </c>
      <c r="AB2788" t="str">
        <f>(VLOOKUP(SalesData[[#This Row],[Month Number]],Reference!C$5:E$16,2,FALSE))</f>
        <v>Feb</v>
      </c>
      <c r="AC2788">
        <f>MONTH(SalesData[[#This Row],[Date]])</f>
        <v>2</v>
      </c>
      <c r="AD2788">
        <f>Reference!F$4</f>
        <v>2026</v>
      </c>
      <c r="AE2788" t="str">
        <f>IF(OR(SalesData[[#This Row],[Day]]="Saturday",SalesData[[#This Row],[Day]]="Sunday"),"Weekend","Weekday")</f>
        <v>Weekday</v>
      </c>
      <c r="AF2788" s="5">
        <f>IF(SalesData[[#This Row],[Contracts Offered]]=0,0,SalesData[[#This Row],[Contracts Signed]]/SalesData[[#This Row],[Contracts Offered]])</f>
        <v>0.34482758620689657</v>
      </c>
      <c r="AG2788" s="5">
        <f>IF(SalesData[[#This Row],[Customers Visited]]=0,0,SalesData[[#This Row],[Test Drives]]/SalesData[[#This Row],[Customers Visited]])</f>
        <v>0.58108108108108103</v>
      </c>
      <c r="AH2788" s="5">
        <f>IF(SalesData[[#This Row],[Customers Visited]]=0,0,SalesData[[#This Row],[Contracts Signed]]/SalesData[[#This Row],[Customers Visited]])</f>
        <v>0.13513513513513514</v>
      </c>
      <c r="AI2788" s="6">
        <f>IF(SalesData[[#This Row],[Contracts Signed]]=0,0,SalesData[[#This Row],[Profit(€)]]/SalesData[[#This Row],[Contracts Signed]])</f>
        <v>14739</v>
      </c>
      <c r="AJ2788" s="5" t="str">
        <f>TRIM(CLEAN(SalesData[[#This Row],[Retailer]]))</f>
        <v>Rhein Auto Group</v>
      </c>
    </row>
    <row r="2789" spans="1:36" ht="14.25" hidden="1" x14ac:dyDescent="0.2">
      <c r="A2789" t="s">
        <v>3915</v>
      </c>
      <c r="B2789" s="1">
        <v>46066</v>
      </c>
      <c r="C2789" t="s">
        <v>121</v>
      </c>
      <c r="D2789" t="s">
        <v>54</v>
      </c>
      <c r="E2789" t="s">
        <v>26</v>
      </c>
      <c r="F2789" t="s">
        <v>101</v>
      </c>
      <c r="G2789" t="s">
        <v>102</v>
      </c>
      <c r="H2789" t="s">
        <v>103</v>
      </c>
      <c r="I2789" t="s">
        <v>116</v>
      </c>
      <c r="J2789" t="s">
        <v>7026</v>
      </c>
      <c r="K2789" t="s">
        <v>78</v>
      </c>
      <c r="L2789" t="s">
        <v>46</v>
      </c>
      <c r="M2789" t="s">
        <v>34</v>
      </c>
      <c r="N2789" t="s">
        <v>69</v>
      </c>
      <c r="O2789" t="s">
        <v>36</v>
      </c>
      <c r="P2789" t="s">
        <v>49</v>
      </c>
      <c r="Q2789" t="s">
        <v>152</v>
      </c>
      <c r="R2789">
        <v>415</v>
      </c>
      <c r="S2789">
        <v>196</v>
      </c>
      <c r="T2789">
        <v>116</v>
      </c>
      <c r="U2789">
        <v>24</v>
      </c>
      <c r="V2789" t="s">
        <v>1237</v>
      </c>
      <c r="W2789">
        <v>20568</v>
      </c>
      <c r="X2789" t="s">
        <v>2121</v>
      </c>
      <c r="Y2789">
        <v>18878</v>
      </c>
      <c r="Z2789">
        <v>493632</v>
      </c>
      <c r="AA2789">
        <v>40560</v>
      </c>
      <c r="AB2789" t="str">
        <f>(VLOOKUP(SalesData[[#This Row],[Month Number]],Reference!C$5:E$16,2,FALSE))</f>
        <v>Feb</v>
      </c>
      <c r="AC2789">
        <f>MONTH(SalesData[[#This Row],[Date]])</f>
        <v>2</v>
      </c>
      <c r="AD2789">
        <f>Reference!F$4</f>
        <v>2026</v>
      </c>
      <c r="AE2789" t="str">
        <f>IF(OR(SalesData[[#This Row],[Day]]="Saturday",SalesData[[#This Row],[Day]]="Sunday"),"Weekend","Weekday")</f>
        <v>Weekday</v>
      </c>
      <c r="AF2789" s="5">
        <f>IF(SalesData[[#This Row],[Contracts Offered]]=0,0,SalesData[[#This Row],[Contracts Signed]]/SalesData[[#This Row],[Contracts Offered]])</f>
        <v>0.20689655172413793</v>
      </c>
      <c r="AG2789" s="5">
        <f>IF(SalesData[[#This Row],[Customers Visited]]=0,0,SalesData[[#This Row],[Test Drives]]/SalesData[[#This Row],[Customers Visited]])</f>
        <v>0.472289156626506</v>
      </c>
      <c r="AH2789" s="5">
        <f>IF(SalesData[[#This Row],[Customers Visited]]=0,0,SalesData[[#This Row],[Contracts Signed]]/SalesData[[#This Row],[Customers Visited]])</f>
        <v>5.7831325301204821E-2</v>
      </c>
      <c r="AI2789" s="6">
        <f>IF(SalesData[[#This Row],[Contracts Signed]]=0,0,SalesData[[#This Row],[Profit(€)]]/SalesData[[#This Row],[Contracts Signed]])</f>
        <v>1690</v>
      </c>
      <c r="AJ2789" s="5" t="str">
        <f>TRIM(CLEAN(SalesData[[#This Row],[Retailer]]))</f>
        <v>Ruhr Auto Plaza</v>
      </c>
    </row>
    <row r="2790" spans="1:36" ht="14.25" x14ac:dyDescent="0.2">
      <c r="A2790" t="s">
        <v>3916</v>
      </c>
      <c r="B2790" s="1">
        <v>46068</v>
      </c>
      <c r="C2790" t="s">
        <v>62</v>
      </c>
      <c r="D2790" t="s">
        <v>41</v>
      </c>
      <c r="E2790" t="s">
        <v>42</v>
      </c>
      <c r="F2790" t="s">
        <v>94</v>
      </c>
      <c r="G2790" t="s">
        <v>95</v>
      </c>
      <c r="H2790" t="s">
        <v>96</v>
      </c>
      <c r="I2790" t="s">
        <v>30</v>
      </c>
      <c r="J2790" t="s">
        <v>7075</v>
      </c>
      <c r="K2790" t="s">
        <v>78</v>
      </c>
      <c r="L2790" t="s">
        <v>33</v>
      </c>
      <c r="M2790" t="s">
        <v>87</v>
      </c>
      <c r="N2790" t="s">
        <v>35</v>
      </c>
      <c r="O2790" t="s">
        <v>70</v>
      </c>
      <c r="P2790" t="s">
        <v>49</v>
      </c>
      <c r="Q2790" t="s">
        <v>240</v>
      </c>
      <c r="R2790">
        <v>236</v>
      </c>
      <c r="S2790">
        <v>135</v>
      </c>
      <c r="T2790">
        <v>95</v>
      </c>
      <c r="U2790">
        <v>40</v>
      </c>
      <c r="V2790" t="s">
        <v>7052</v>
      </c>
      <c r="W2790">
        <v>64580</v>
      </c>
      <c r="X2790" t="s">
        <v>7333</v>
      </c>
      <c r="Y2790">
        <v>50305</v>
      </c>
      <c r="Z2790">
        <v>2583200</v>
      </c>
      <c r="AA2790">
        <v>571000</v>
      </c>
      <c r="AB2790" t="str">
        <f>(VLOOKUP(SalesData[[#This Row],[Month Number]],Reference!C$5:E$16,2,FALSE))</f>
        <v>Feb</v>
      </c>
      <c r="AC2790">
        <f>MONTH(SalesData[[#This Row],[Date]])</f>
        <v>2</v>
      </c>
      <c r="AD2790">
        <f>Reference!F$4</f>
        <v>2026</v>
      </c>
      <c r="AE2790" t="str">
        <f>IF(OR(SalesData[[#This Row],[Day]]="Saturday",SalesData[[#This Row],[Day]]="Sunday"),"Weekend","Weekday")</f>
        <v>Weekend</v>
      </c>
      <c r="AF2790" s="5">
        <f>IF(SalesData[[#This Row],[Contracts Offered]]=0,0,SalesData[[#This Row],[Contracts Signed]]/SalesData[[#This Row],[Contracts Offered]])</f>
        <v>0.42105263157894735</v>
      </c>
      <c r="AG2790" s="5">
        <f>IF(SalesData[[#This Row],[Customers Visited]]=0,0,SalesData[[#This Row],[Test Drives]]/SalesData[[#This Row],[Customers Visited]])</f>
        <v>0.57203389830508478</v>
      </c>
      <c r="AH2790" s="5">
        <f>IF(SalesData[[#This Row],[Customers Visited]]=0,0,SalesData[[#This Row],[Contracts Signed]]/SalesData[[#This Row],[Customers Visited]])</f>
        <v>0.16949152542372881</v>
      </c>
      <c r="AI2790" s="6">
        <f>IF(SalesData[[#This Row],[Contracts Signed]]=0,0,SalesData[[#This Row],[Profit(€)]]/SalesData[[#This Row],[Contracts Signed]])</f>
        <v>14275</v>
      </c>
      <c r="AJ2790" s="5" t="str">
        <f>TRIM(CLEAN(SalesData[[#This Row],[Retailer]]))</f>
        <v>Bavaria Motors</v>
      </c>
    </row>
    <row r="2791" spans="1:36" ht="14.25" x14ac:dyDescent="0.2">
      <c r="A2791" t="s">
        <v>3917</v>
      </c>
      <c r="B2791" s="1">
        <v>46080</v>
      </c>
      <c r="C2791" t="s">
        <v>53</v>
      </c>
      <c r="D2791" t="s">
        <v>54</v>
      </c>
      <c r="E2791" t="s">
        <v>26</v>
      </c>
      <c r="F2791" t="s">
        <v>101</v>
      </c>
      <c r="G2791" t="s">
        <v>102</v>
      </c>
      <c r="H2791" t="s">
        <v>103</v>
      </c>
      <c r="I2791" t="s">
        <v>30</v>
      </c>
      <c r="J2791" t="s">
        <v>166</v>
      </c>
      <c r="K2791" t="s">
        <v>78</v>
      </c>
      <c r="L2791" t="s">
        <v>46</v>
      </c>
      <c r="M2791" t="s">
        <v>68</v>
      </c>
      <c r="N2791" t="s">
        <v>35</v>
      </c>
      <c r="O2791" t="s">
        <v>70</v>
      </c>
      <c r="P2791" t="s">
        <v>49</v>
      </c>
      <c r="Q2791" t="s">
        <v>347</v>
      </c>
      <c r="R2791">
        <v>200</v>
      </c>
      <c r="S2791">
        <v>111</v>
      </c>
      <c r="T2791">
        <v>84</v>
      </c>
      <c r="U2791">
        <v>28</v>
      </c>
      <c r="V2791" t="s">
        <v>6674</v>
      </c>
      <c r="W2791">
        <v>51857</v>
      </c>
      <c r="X2791" t="s">
        <v>7198</v>
      </c>
      <c r="Y2791">
        <v>38136</v>
      </c>
      <c r="Z2791">
        <v>1451996</v>
      </c>
      <c r="AA2791">
        <v>384188</v>
      </c>
      <c r="AB2791" t="str">
        <f>(VLOOKUP(SalesData[[#This Row],[Month Number]],Reference!C$5:E$16,2,FALSE))</f>
        <v>Feb</v>
      </c>
      <c r="AC2791">
        <f>MONTH(SalesData[[#This Row],[Date]])</f>
        <v>2</v>
      </c>
      <c r="AD2791">
        <f>Reference!F$4</f>
        <v>2026</v>
      </c>
      <c r="AE2791" t="str">
        <f>IF(OR(SalesData[[#This Row],[Day]]="Saturday",SalesData[[#This Row],[Day]]="Sunday"),"Weekend","Weekday")</f>
        <v>Weekday</v>
      </c>
      <c r="AF2791" s="5">
        <f>IF(SalesData[[#This Row],[Contracts Offered]]=0,0,SalesData[[#This Row],[Contracts Signed]]/SalesData[[#This Row],[Contracts Offered]])</f>
        <v>0.33333333333333331</v>
      </c>
      <c r="AG2791" s="5">
        <f>IF(SalesData[[#This Row],[Customers Visited]]=0,0,SalesData[[#This Row],[Test Drives]]/SalesData[[#This Row],[Customers Visited]])</f>
        <v>0.55500000000000005</v>
      </c>
      <c r="AH2791" s="5">
        <f>IF(SalesData[[#This Row],[Customers Visited]]=0,0,SalesData[[#This Row],[Contracts Signed]]/SalesData[[#This Row],[Customers Visited]])</f>
        <v>0.14000000000000001</v>
      </c>
      <c r="AI2791" s="6">
        <f>IF(SalesData[[#This Row],[Contracts Signed]]=0,0,SalesData[[#This Row],[Profit(€)]]/SalesData[[#This Row],[Contracts Signed]])</f>
        <v>13721</v>
      </c>
      <c r="AJ2791" s="5" t="str">
        <f>TRIM(CLEAN(SalesData[[#This Row],[Retailer]]))</f>
        <v>Ruhr Auto Plaza</v>
      </c>
    </row>
    <row r="2792" spans="1:36" ht="14.25" hidden="1" x14ac:dyDescent="0.2">
      <c r="A2792" t="s">
        <v>3918</v>
      </c>
      <c r="B2792" s="1">
        <v>46067</v>
      </c>
      <c r="C2792" t="s">
        <v>121</v>
      </c>
      <c r="D2792" t="s">
        <v>151</v>
      </c>
      <c r="E2792" t="s">
        <v>42</v>
      </c>
      <c r="F2792" t="s">
        <v>7649</v>
      </c>
      <c r="G2792" t="s">
        <v>55</v>
      </c>
      <c r="H2792" t="s">
        <v>55</v>
      </c>
      <c r="I2792" t="s">
        <v>116</v>
      </c>
      <c r="J2792" t="s">
        <v>117</v>
      </c>
      <c r="K2792" t="s">
        <v>32</v>
      </c>
      <c r="L2792" t="s">
        <v>67</v>
      </c>
      <c r="M2792" t="s">
        <v>87</v>
      </c>
      <c r="N2792" t="s">
        <v>35</v>
      </c>
      <c r="O2792" t="s">
        <v>70</v>
      </c>
      <c r="P2792" t="s">
        <v>71</v>
      </c>
      <c r="Q2792" t="s">
        <v>158</v>
      </c>
      <c r="R2792">
        <v>375</v>
      </c>
      <c r="S2792">
        <v>165</v>
      </c>
      <c r="T2792">
        <v>96</v>
      </c>
      <c r="U2792">
        <v>30</v>
      </c>
      <c r="V2792" t="s">
        <v>752</v>
      </c>
      <c r="W2792">
        <v>20192</v>
      </c>
      <c r="X2792" t="s">
        <v>1505</v>
      </c>
      <c r="Y2792">
        <v>18311</v>
      </c>
      <c r="Z2792">
        <v>605760</v>
      </c>
      <c r="AA2792">
        <v>56430</v>
      </c>
      <c r="AB2792" t="str">
        <f>(VLOOKUP(SalesData[[#This Row],[Month Number]],Reference!C$5:E$16,2,FALSE))</f>
        <v>Feb</v>
      </c>
      <c r="AC2792">
        <f>MONTH(SalesData[[#This Row],[Date]])</f>
        <v>2</v>
      </c>
      <c r="AD2792">
        <f>Reference!F$4</f>
        <v>2026</v>
      </c>
      <c r="AE2792" t="str">
        <f>IF(OR(SalesData[[#This Row],[Day]]="Saturday",SalesData[[#This Row],[Day]]="Sunday"),"Weekend","Weekday")</f>
        <v>Weekend</v>
      </c>
      <c r="AF2792" s="5">
        <f>IF(SalesData[[#This Row],[Contracts Offered]]=0,0,SalesData[[#This Row],[Contracts Signed]]/SalesData[[#This Row],[Contracts Offered]])</f>
        <v>0.3125</v>
      </c>
      <c r="AG2792" s="5">
        <f>IF(SalesData[[#This Row],[Customers Visited]]=0,0,SalesData[[#This Row],[Test Drives]]/SalesData[[#This Row],[Customers Visited]])</f>
        <v>0.44</v>
      </c>
      <c r="AH2792" s="5">
        <f>IF(SalesData[[#This Row],[Customers Visited]]=0,0,SalesData[[#This Row],[Contracts Signed]]/SalesData[[#This Row],[Customers Visited]])</f>
        <v>0.08</v>
      </c>
      <c r="AI2792" s="6">
        <f>IF(SalesData[[#This Row],[Contracts Signed]]=0,0,SalesData[[#This Row],[Profit(€)]]/SalesData[[#This Row],[Contracts Signed]])</f>
        <v>1881</v>
      </c>
      <c r="AJ2792" s="5" t="str">
        <f>TRIM(CLEAN(SalesData[[#This Row],[Retailer]]))</f>
        <v>Autohaus Berlin</v>
      </c>
    </row>
    <row r="2793" spans="1:36" ht="14.25" hidden="1" x14ac:dyDescent="0.2">
      <c r="A2793" t="s">
        <v>3919</v>
      </c>
      <c r="B2793" s="1">
        <v>46059</v>
      </c>
      <c r="C2793" t="s">
        <v>24</v>
      </c>
      <c r="D2793" t="s">
        <v>54</v>
      </c>
      <c r="E2793" t="s">
        <v>26</v>
      </c>
      <c r="F2793" t="s">
        <v>74</v>
      </c>
      <c r="G2793" t="s">
        <v>75</v>
      </c>
      <c r="H2793" t="s">
        <v>76</v>
      </c>
      <c r="I2793" t="s">
        <v>56</v>
      </c>
      <c r="J2793" t="s">
        <v>179</v>
      </c>
      <c r="K2793" t="s">
        <v>91</v>
      </c>
      <c r="L2793" t="s">
        <v>67</v>
      </c>
      <c r="M2793" t="s">
        <v>34</v>
      </c>
      <c r="N2793" t="s">
        <v>48</v>
      </c>
      <c r="O2793" t="s">
        <v>36</v>
      </c>
      <c r="P2793" t="s">
        <v>58</v>
      </c>
      <c r="Q2793" t="s">
        <v>135</v>
      </c>
      <c r="R2793">
        <v>260</v>
      </c>
      <c r="S2793">
        <v>119</v>
      </c>
      <c r="T2793">
        <v>81</v>
      </c>
      <c r="U2793">
        <v>32</v>
      </c>
      <c r="V2793" t="s">
        <v>6632</v>
      </c>
      <c r="W2793">
        <v>51139</v>
      </c>
      <c r="X2793" t="s">
        <v>7262</v>
      </c>
      <c r="Y2793">
        <v>39787</v>
      </c>
      <c r="Z2793">
        <v>1636448</v>
      </c>
      <c r="AA2793">
        <v>363264</v>
      </c>
      <c r="AB2793" t="str">
        <f>(VLOOKUP(SalesData[[#This Row],[Month Number]],Reference!C$5:E$16,2,FALSE))</f>
        <v>Feb</v>
      </c>
      <c r="AC2793">
        <f>MONTH(SalesData[[#This Row],[Date]])</f>
        <v>2</v>
      </c>
      <c r="AD2793">
        <f>Reference!F$4</f>
        <v>2026</v>
      </c>
      <c r="AE2793" t="str">
        <f>IF(OR(SalesData[[#This Row],[Day]]="Saturday",SalesData[[#This Row],[Day]]="Sunday"),"Weekend","Weekday")</f>
        <v>Weekday</v>
      </c>
      <c r="AF2793" s="5">
        <f>IF(SalesData[[#This Row],[Contracts Offered]]=0,0,SalesData[[#This Row],[Contracts Signed]]/SalesData[[#This Row],[Contracts Offered]])</f>
        <v>0.39506172839506171</v>
      </c>
      <c r="AG2793" s="5">
        <f>IF(SalesData[[#This Row],[Customers Visited]]=0,0,SalesData[[#This Row],[Test Drives]]/SalesData[[#This Row],[Customers Visited]])</f>
        <v>0.45769230769230768</v>
      </c>
      <c r="AH2793" s="5">
        <f>IF(SalesData[[#This Row],[Customers Visited]]=0,0,SalesData[[#This Row],[Contracts Signed]]/SalesData[[#This Row],[Customers Visited]])</f>
        <v>0.12307692307692308</v>
      </c>
      <c r="AI2793" s="6">
        <f>IF(SalesData[[#This Row],[Contracts Signed]]=0,0,SalesData[[#This Row],[Profit(€)]]/SalesData[[#This Row],[Contracts Signed]])</f>
        <v>11352</v>
      </c>
      <c r="AJ2793" s="5" t="str">
        <f>TRIM(CLEAN(SalesData[[#This Row],[Retailer]]))</f>
        <v>Stuttgart Auto Center</v>
      </c>
    </row>
    <row r="2794" spans="1:36" ht="14.25" hidden="1" x14ac:dyDescent="0.2">
      <c r="A2794" t="s">
        <v>3920</v>
      </c>
      <c r="B2794" s="1">
        <v>46060</v>
      </c>
      <c r="C2794" t="s">
        <v>24</v>
      </c>
      <c r="D2794" t="s">
        <v>151</v>
      </c>
      <c r="E2794" t="s">
        <v>42</v>
      </c>
      <c r="F2794" t="s">
        <v>7649</v>
      </c>
      <c r="G2794" t="s">
        <v>55</v>
      </c>
      <c r="H2794" t="s">
        <v>55</v>
      </c>
      <c r="I2794" t="s">
        <v>116</v>
      </c>
      <c r="J2794" t="s">
        <v>7026</v>
      </c>
      <c r="K2794" t="s">
        <v>91</v>
      </c>
      <c r="L2794" t="s">
        <v>46</v>
      </c>
      <c r="M2794" t="s">
        <v>47</v>
      </c>
      <c r="N2794" t="s">
        <v>35</v>
      </c>
      <c r="O2794" t="s">
        <v>70</v>
      </c>
      <c r="P2794" t="s">
        <v>58</v>
      </c>
      <c r="Q2794" t="s">
        <v>106</v>
      </c>
      <c r="R2794">
        <v>286</v>
      </c>
      <c r="S2794">
        <v>117</v>
      </c>
      <c r="T2794">
        <v>70</v>
      </c>
      <c r="U2794">
        <v>22</v>
      </c>
      <c r="V2794" t="s">
        <v>2639</v>
      </c>
      <c r="W2794">
        <v>20025</v>
      </c>
      <c r="X2794" t="s">
        <v>3120</v>
      </c>
      <c r="Y2794">
        <v>17937</v>
      </c>
      <c r="Z2794">
        <v>440550</v>
      </c>
      <c r="AA2794">
        <v>45936</v>
      </c>
      <c r="AB2794" t="str">
        <f>(VLOOKUP(SalesData[[#This Row],[Month Number]],Reference!C$5:E$16,2,FALSE))</f>
        <v>Feb</v>
      </c>
      <c r="AC2794">
        <f>MONTH(SalesData[[#This Row],[Date]])</f>
        <v>2</v>
      </c>
      <c r="AD2794">
        <f>Reference!F$4</f>
        <v>2026</v>
      </c>
      <c r="AE2794" t="str">
        <f>IF(OR(SalesData[[#This Row],[Day]]="Saturday",SalesData[[#This Row],[Day]]="Sunday"),"Weekend","Weekday")</f>
        <v>Weekend</v>
      </c>
      <c r="AF2794" s="5">
        <f>IF(SalesData[[#This Row],[Contracts Offered]]=0,0,SalesData[[#This Row],[Contracts Signed]]/SalesData[[#This Row],[Contracts Offered]])</f>
        <v>0.31428571428571428</v>
      </c>
      <c r="AG2794" s="5">
        <f>IF(SalesData[[#This Row],[Customers Visited]]=0,0,SalesData[[#This Row],[Test Drives]]/SalesData[[#This Row],[Customers Visited]])</f>
        <v>0.40909090909090912</v>
      </c>
      <c r="AH2794" s="5">
        <f>IF(SalesData[[#This Row],[Customers Visited]]=0,0,SalesData[[#This Row],[Contracts Signed]]/SalesData[[#This Row],[Customers Visited]])</f>
        <v>7.6923076923076927E-2</v>
      </c>
      <c r="AI2794" s="6">
        <f>IF(SalesData[[#This Row],[Contracts Signed]]=0,0,SalesData[[#This Row],[Profit(€)]]/SalesData[[#This Row],[Contracts Signed]])</f>
        <v>2088</v>
      </c>
      <c r="AJ2794" s="5" t="str">
        <f>TRIM(CLEAN(SalesData[[#This Row],[Retailer]]))</f>
        <v>Autohaus Berlin</v>
      </c>
    </row>
    <row r="2795" spans="1:36" ht="14.25" hidden="1" x14ac:dyDescent="0.2">
      <c r="A2795" t="s">
        <v>3921</v>
      </c>
      <c r="B2795" s="1">
        <v>46063</v>
      </c>
      <c r="C2795" t="s">
        <v>121</v>
      </c>
      <c r="D2795" t="s">
        <v>63</v>
      </c>
      <c r="E2795" t="s">
        <v>26</v>
      </c>
      <c r="F2795" t="s">
        <v>94</v>
      </c>
      <c r="G2795" t="s">
        <v>95</v>
      </c>
      <c r="H2795" t="s">
        <v>96</v>
      </c>
      <c r="I2795" t="s">
        <v>116</v>
      </c>
      <c r="J2795" t="s">
        <v>117</v>
      </c>
      <c r="K2795" t="s">
        <v>78</v>
      </c>
      <c r="L2795" t="s">
        <v>67</v>
      </c>
      <c r="M2795" t="s">
        <v>34</v>
      </c>
      <c r="N2795" t="s">
        <v>69</v>
      </c>
      <c r="O2795" t="s">
        <v>36</v>
      </c>
      <c r="P2795" t="s">
        <v>49</v>
      </c>
      <c r="Q2795" t="s">
        <v>152</v>
      </c>
      <c r="R2795">
        <v>227</v>
      </c>
      <c r="S2795">
        <v>102</v>
      </c>
      <c r="T2795">
        <v>59</v>
      </c>
      <c r="U2795">
        <v>15</v>
      </c>
      <c r="V2795" t="s">
        <v>415</v>
      </c>
      <c r="W2795">
        <v>23738</v>
      </c>
      <c r="X2795" t="s">
        <v>2144</v>
      </c>
      <c r="Y2795">
        <v>21867</v>
      </c>
      <c r="Z2795">
        <v>356070</v>
      </c>
      <c r="AA2795">
        <v>28065</v>
      </c>
      <c r="AB2795" t="str">
        <f>(VLOOKUP(SalesData[[#This Row],[Month Number]],Reference!C$5:E$16,2,FALSE))</f>
        <v>Feb</v>
      </c>
      <c r="AC2795">
        <f>MONTH(SalesData[[#This Row],[Date]])</f>
        <v>2</v>
      </c>
      <c r="AD2795">
        <f>Reference!F$4</f>
        <v>2026</v>
      </c>
      <c r="AE2795" t="str">
        <f>IF(OR(SalesData[[#This Row],[Day]]="Saturday",SalesData[[#This Row],[Day]]="Sunday"),"Weekend","Weekday")</f>
        <v>Weekday</v>
      </c>
      <c r="AF2795" s="5">
        <f>IF(SalesData[[#This Row],[Contracts Offered]]=0,0,SalesData[[#This Row],[Contracts Signed]]/SalesData[[#This Row],[Contracts Offered]])</f>
        <v>0.25423728813559321</v>
      </c>
      <c r="AG2795" s="5">
        <f>IF(SalesData[[#This Row],[Customers Visited]]=0,0,SalesData[[#This Row],[Test Drives]]/SalesData[[#This Row],[Customers Visited]])</f>
        <v>0.44933920704845814</v>
      </c>
      <c r="AH2795" s="5">
        <f>IF(SalesData[[#This Row],[Customers Visited]]=0,0,SalesData[[#This Row],[Contracts Signed]]/SalesData[[#This Row],[Customers Visited]])</f>
        <v>6.6079295154185022E-2</v>
      </c>
      <c r="AI2795" s="6">
        <f>IF(SalesData[[#This Row],[Contracts Signed]]=0,0,SalesData[[#This Row],[Profit(€)]]/SalesData[[#This Row],[Contracts Signed]])</f>
        <v>1871</v>
      </c>
      <c r="AJ2795" s="5" t="str">
        <f>TRIM(CLEAN(SalesData[[#This Row],[Retailer]]))</f>
        <v>Bavaria Motors</v>
      </c>
    </row>
    <row r="2796" spans="1:36" ht="14.25" hidden="1" x14ac:dyDescent="0.2">
      <c r="A2796" t="s">
        <v>3922</v>
      </c>
      <c r="B2796" s="1">
        <v>46059</v>
      </c>
      <c r="C2796" t="s">
        <v>24</v>
      </c>
      <c r="D2796" t="s">
        <v>54</v>
      </c>
      <c r="E2796" t="s">
        <v>26</v>
      </c>
      <c r="F2796" t="s">
        <v>109</v>
      </c>
      <c r="G2796" t="s">
        <v>110</v>
      </c>
      <c r="H2796" t="s">
        <v>45</v>
      </c>
      <c r="I2796" t="s">
        <v>104</v>
      </c>
      <c r="J2796" t="s">
        <v>140</v>
      </c>
      <c r="K2796" t="s">
        <v>78</v>
      </c>
      <c r="L2796" t="s">
        <v>46</v>
      </c>
      <c r="M2796" t="s">
        <v>68</v>
      </c>
      <c r="N2796" t="s">
        <v>35</v>
      </c>
      <c r="O2796" t="s">
        <v>70</v>
      </c>
      <c r="P2796" t="s">
        <v>49</v>
      </c>
      <c r="Q2796" t="s">
        <v>152</v>
      </c>
      <c r="R2796">
        <v>352</v>
      </c>
      <c r="S2796">
        <v>184</v>
      </c>
      <c r="T2796">
        <v>120</v>
      </c>
      <c r="U2796">
        <v>28</v>
      </c>
      <c r="V2796" t="s">
        <v>1453</v>
      </c>
      <c r="W2796">
        <v>33495</v>
      </c>
      <c r="X2796" t="s">
        <v>4652</v>
      </c>
      <c r="Y2796">
        <v>29707</v>
      </c>
      <c r="Z2796">
        <v>937860</v>
      </c>
      <c r="AA2796">
        <v>106064</v>
      </c>
      <c r="AB2796" t="str">
        <f>(VLOOKUP(SalesData[[#This Row],[Month Number]],Reference!C$5:E$16,2,FALSE))</f>
        <v>Feb</v>
      </c>
      <c r="AC2796">
        <f>MONTH(SalesData[[#This Row],[Date]])</f>
        <v>2</v>
      </c>
      <c r="AD2796">
        <f>Reference!F$4</f>
        <v>2026</v>
      </c>
      <c r="AE2796" t="str">
        <f>IF(OR(SalesData[[#This Row],[Day]]="Saturday",SalesData[[#This Row],[Day]]="Sunday"),"Weekend","Weekday")</f>
        <v>Weekday</v>
      </c>
      <c r="AF2796" s="5">
        <f>IF(SalesData[[#This Row],[Contracts Offered]]=0,0,SalesData[[#This Row],[Contracts Signed]]/SalesData[[#This Row],[Contracts Offered]])</f>
        <v>0.23333333333333334</v>
      </c>
      <c r="AG2796" s="5">
        <f>IF(SalesData[[#This Row],[Customers Visited]]=0,0,SalesData[[#This Row],[Test Drives]]/SalesData[[#This Row],[Customers Visited]])</f>
        <v>0.52272727272727271</v>
      </c>
      <c r="AH2796" s="5">
        <f>IF(SalesData[[#This Row],[Customers Visited]]=0,0,SalesData[[#This Row],[Contracts Signed]]/SalesData[[#This Row],[Customers Visited]])</f>
        <v>7.9545454545454544E-2</v>
      </c>
      <c r="AI2796" s="6">
        <f>IF(SalesData[[#This Row],[Contracts Signed]]=0,0,SalesData[[#This Row],[Profit(€)]]/SalesData[[#This Row],[Contracts Signed]])</f>
        <v>3788</v>
      </c>
      <c r="AJ2796" s="5" t="str">
        <f>TRIM(CLEAN(SalesData[[#This Row],[Retailer]]))</f>
        <v>Leipzig Mobility</v>
      </c>
    </row>
    <row r="2797" spans="1:36" ht="14.25" x14ac:dyDescent="0.2">
      <c r="A2797" t="s">
        <v>3923</v>
      </c>
      <c r="B2797" s="1">
        <v>46078</v>
      </c>
      <c r="C2797" t="s">
        <v>53</v>
      </c>
      <c r="D2797" t="s">
        <v>82</v>
      </c>
      <c r="E2797" t="s">
        <v>26</v>
      </c>
      <c r="F2797" t="s">
        <v>114</v>
      </c>
      <c r="G2797" t="s">
        <v>115</v>
      </c>
      <c r="H2797" t="s">
        <v>115</v>
      </c>
      <c r="I2797" t="s">
        <v>30</v>
      </c>
      <c r="J2797" t="s">
        <v>188</v>
      </c>
      <c r="K2797" t="s">
        <v>66</v>
      </c>
      <c r="L2797" t="s">
        <v>33</v>
      </c>
      <c r="M2797" t="s">
        <v>87</v>
      </c>
      <c r="N2797" t="s">
        <v>35</v>
      </c>
      <c r="O2797" t="s">
        <v>36</v>
      </c>
      <c r="P2797" t="s">
        <v>49</v>
      </c>
      <c r="Q2797" t="s">
        <v>189</v>
      </c>
      <c r="R2797">
        <v>229</v>
      </c>
      <c r="S2797">
        <v>138</v>
      </c>
      <c r="T2797">
        <v>97</v>
      </c>
      <c r="U2797">
        <v>40</v>
      </c>
      <c r="V2797" t="s">
        <v>6362</v>
      </c>
      <c r="W2797">
        <v>50821</v>
      </c>
      <c r="X2797" t="s">
        <v>7182</v>
      </c>
      <c r="Y2797">
        <v>36380</v>
      </c>
      <c r="Z2797">
        <v>2032840</v>
      </c>
      <c r="AA2797">
        <v>577640</v>
      </c>
      <c r="AB2797" t="str">
        <f>(VLOOKUP(SalesData[[#This Row],[Month Number]],Reference!C$5:E$16,2,FALSE))</f>
        <v>Feb</v>
      </c>
      <c r="AC2797">
        <f>MONTH(SalesData[[#This Row],[Date]])</f>
        <v>2</v>
      </c>
      <c r="AD2797">
        <f>Reference!F$4</f>
        <v>2026</v>
      </c>
      <c r="AE2797" t="str">
        <f>IF(OR(SalesData[[#This Row],[Day]]="Saturday",SalesData[[#This Row],[Day]]="Sunday"),"Weekend","Weekday")</f>
        <v>Weekday</v>
      </c>
      <c r="AF2797" s="5">
        <f>IF(SalesData[[#This Row],[Contracts Offered]]=0,0,SalesData[[#This Row],[Contracts Signed]]/SalesData[[#This Row],[Contracts Offered]])</f>
        <v>0.41237113402061853</v>
      </c>
      <c r="AG2797" s="5">
        <f>IF(SalesData[[#This Row],[Customers Visited]]=0,0,SalesData[[#This Row],[Test Drives]]/SalesData[[#This Row],[Customers Visited]])</f>
        <v>0.6026200873362445</v>
      </c>
      <c r="AH2797" s="5">
        <f>IF(SalesData[[#This Row],[Customers Visited]]=0,0,SalesData[[#This Row],[Contracts Signed]]/SalesData[[#This Row],[Customers Visited]])</f>
        <v>0.17467248908296942</v>
      </c>
      <c r="AI2797" s="6">
        <f>IF(SalesData[[#This Row],[Contracts Signed]]=0,0,SalesData[[#This Row],[Profit(€)]]/SalesData[[#This Row],[Contracts Signed]])</f>
        <v>14441</v>
      </c>
      <c r="AJ2797" s="5" t="str">
        <f>TRIM(CLEAN(SalesData[[#This Row],[Retailer]]))</f>
        <v>Elbe Drive</v>
      </c>
    </row>
    <row r="2798" spans="1:36" ht="14.25" x14ac:dyDescent="0.2">
      <c r="A2798" t="s">
        <v>3924</v>
      </c>
      <c r="B2798" s="1">
        <v>46058</v>
      </c>
      <c r="C2798" t="s">
        <v>24</v>
      </c>
      <c r="D2798" t="s">
        <v>100</v>
      </c>
      <c r="E2798" t="s">
        <v>26</v>
      </c>
      <c r="F2798" t="s">
        <v>127</v>
      </c>
      <c r="G2798" t="s">
        <v>128</v>
      </c>
      <c r="H2798" t="s">
        <v>103</v>
      </c>
      <c r="I2798" t="s">
        <v>30</v>
      </c>
      <c r="J2798" t="s">
        <v>31</v>
      </c>
      <c r="K2798" t="s">
        <v>91</v>
      </c>
      <c r="L2798" t="s">
        <v>46</v>
      </c>
      <c r="M2798" t="s">
        <v>87</v>
      </c>
      <c r="N2798" t="s">
        <v>69</v>
      </c>
      <c r="O2798" t="s">
        <v>36</v>
      </c>
      <c r="P2798" t="s">
        <v>49</v>
      </c>
      <c r="Q2798" t="s">
        <v>152</v>
      </c>
      <c r="R2798">
        <v>244</v>
      </c>
      <c r="S2798">
        <v>126</v>
      </c>
      <c r="T2798">
        <v>88</v>
      </c>
      <c r="U2798">
        <v>35</v>
      </c>
      <c r="V2798" t="s">
        <v>6351</v>
      </c>
      <c r="W2798">
        <v>52551</v>
      </c>
      <c r="X2798" t="s">
        <v>7038</v>
      </c>
      <c r="Y2798">
        <v>37222</v>
      </c>
      <c r="Z2798">
        <v>1839285</v>
      </c>
      <c r="AA2798">
        <v>536515</v>
      </c>
      <c r="AB2798" t="str">
        <f>(VLOOKUP(SalesData[[#This Row],[Month Number]],Reference!C$5:E$16,2,FALSE))</f>
        <v>Feb</v>
      </c>
      <c r="AC2798">
        <f>MONTH(SalesData[[#This Row],[Date]])</f>
        <v>2</v>
      </c>
      <c r="AD2798">
        <f>Reference!F$4</f>
        <v>2026</v>
      </c>
      <c r="AE2798" t="str">
        <f>IF(OR(SalesData[[#This Row],[Day]]="Saturday",SalesData[[#This Row],[Day]]="Sunday"),"Weekend","Weekday")</f>
        <v>Weekday</v>
      </c>
      <c r="AF2798" s="5">
        <f>IF(SalesData[[#This Row],[Contracts Offered]]=0,0,SalesData[[#This Row],[Contracts Signed]]/SalesData[[#This Row],[Contracts Offered]])</f>
        <v>0.39772727272727271</v>
      </c>
      <c r="AG2798" s="5">
        <f>IF(SalesData[[#This Row],[Customers Visited]]=0,0,SalesData[[#This Row],[Test Drives]]/SalesData[[#This Row],[Customers Visited]])</f>
        <v>0.51639344262295084</v>
      </c>
      <c r="AH2798" s="5">
        <f>IF(SalesData[[#This Row],[Customers Visited]]=0,0,SalesData[[#This Row],[Contracts Signed]]/SalesData[[#This Row],[Customers Visited]])</f>
        <v>0.14344262295081966</v>
      </c>
      <c r="AI2798" s="6">
        <f>IF(SalesData[[#This Row],[Contracts Signed]]=0,0,SalesData[[#This Row],[Profit(€)]]/SalesData[[#This Row],[Contracts Signed]])</f>
        <v>15329</v>
      </c>
      <c r="AJ2798" s="5" t="str">
        <f>TRIM(CLEAN(SalesData[[#This Row],[Retailer]]))</f>
        <v>Rhein Auto Group</v>
      </c>
    </row>
    <row r="2799" spans="1:36" ht="14.25" hidden="1" x14ac:dyDescent="0.2">
      <c r="A2799" t="s">
        <v>3925</v>
      </c>
      <c r="B2799" s="1">
        <v>46067</v>
      </c>
      <c r="C2799" t="s">
        <v>121</v>
      </c>
      <c r="D2799" t="s">
        <v>151</v>
      </c>
      <c r="E2799" t="s">
        <v>42</v>
      </c>
      <c r="F2799" t="s">
        <v>114</v>
      </c>
      <c r="G2799" t="s">
        <v>115</v>
      </c>
      <c r="H2799" t="s">
        <v>115</v>
      </c>
      <c r="I2799" t="s">
        <v>116</v>
      </c>
      <c r="J2799" t="s">
        <v>117</v>
      </c>
      <c r="K2799" t="s">
        <v>78</v>
      </c>
      <c r="L2799" t="s">
        <v>67</v>
      </c>
      <c r="M2799" t="s">
        <v>34</v>
      </c>
      <c r="N2799" t="s">
        <v>35</v>
      </c>
      <c r="O2799" t="s">
        <v>70</v>
      </c>
      <c r="P2799" t="s">
        <v>58</v>
      </c>
      <c r="Q2799" t="s">
        <v>347</v>
      </c>
      <c r="R2799">
        <v>411</v>
      </c>
      <c r="S2799">
        <v>215</v>
      </c>
      <c r="T2799">
        <v>126</v>
      </c>
      <c r="U2799">
        <v>36</v>
      </c>
      <c r="V2799" t="s">
        <v>6986</v>
      </c>
      <c r="W2799">
        <v>26273</v>
      </c>
      <c r="X2799" t="s">
        <v>3707</v>
      </c>
      <c r="Y2799">
        <v>23923</v>
      </c>
      <c r="Z2799">
        <v>945828</v>
      </c>
      <c r="AA2799">
        <v>84600</v>
      </c>
      <c r="AB2799" t="str">
        <f>(VLOOKUP(SalesData[[#This Row],[Month Number]],Reference!C$5:E$16,2,FALSE))</f>
        <v>Feb</v>
      </c>
      <c r="AC2799">
        <f>MONTH(SalesData[[#This Row],[Date]])</f>
        <v>2</v>
      </c>
      <c r="AD2799">
        <f>Reference!F$4</f>
        <v>2026</v>
      </c>
      <c r="AE2799" t="str">
        <f>IF(OR(SalesData[[#This Row],[Day]]="Saturday",SalesData[[#This Row],[Day]]="Sunday"),"Weekend","Weekday")</f>
        <v>Weekend</v>
      </c>
      <c r="AF2799" s="5">
        <f>IF(SalesData[[#This Row],[Contracts Offered]]=0,0,SalesData[[#This Row],[Contracts Signed]]/SalesData[[#This Row],[Contracts Offered]])</f>
        <v>0.2857142857142857</v>
      </c>
      <c r="AG2799" s="5">
        <f>IF(SalesData[[#This Row],[Customers Visited]]=0,0,SalesData[[#This Row],[Test Drives]]/SalesData[[#This Row],[Customers Visited]])</f>
        <v>0.52311435523114358</v>
      </c>
      <c r="AH2799" s="5">
        <f>IF(SalesData[[#This Row],[Customers Visited]]=0,0,SalesData[[#This Row],[Contracts Signed]]/SalesData[[#This Row],[Customers Visited]])</f>
        <v>8.7591240875912413E-2</v>
      </c>
      <c r="AI2799" s="6">
        <f>IF(SalesData[[#This Row],[Contracts Signed]]=0,0,SalesData[[#This Row],[Profit(€)]]/SalesData[[#This Row],[Contracts Signed]])</f>
        <v>2350</v>
      </c>
      <c r="AJ2799" s="5" t="str">
        <f>TRIM(CLEAN(SalesData[[#This Row],[Retailer]]))</f>
        <v>Elbe Drive</v>
      </c>
    </row>
    <row r="2800" spans="1:36" ht="14.25" hidden="1" x14ac:dyDescent="0.2">
      <c r="A2800" t="s">
        <v>3926</v>
      </c>
      <c r="B2800" s="1">
        <v>46080</v>
      </c>
      <c r="C2800" t="s">
        <v>53</v>
      </c>
      <c r="D2800" t="s">
        <v>54</v>
      </c>
      <c r="E2800" t="s">
        <v>26</v>
      </c>
      <c r="F2800" t="s">
        <v>109</v>
      </c>
      <c r="G2800" t="s">
        <v>110</v>
      </c>
      <c r="H2800" t="s">
        <v>45</v>
      </c>
      <c r="I2800" t="s">
        <v>116</v>
      </c>
      <c r="J2800" t="s">
        <v>7090</v>
      </c>
      <c r="K2800" t="s">
        <v>91</v>
      </c>
      <c r="L2800" t="s">
        <v>46</v>
      </c>
      <c r="M2800" t="s">
        <v>47</v>
      </c>
      <c r="N2800" t="s">
        <v>35</v>
      </c>
      <c r="O2800" t="s">
        <v>70</v>
      </c>
      <c r="P2800" t="s">
        <v>49</v>
      </c>
      <c r="Q2800" t="s">
        <v>135</v>
      </c>
      <c r="R2800">
        <v>406</v>
      </c>
      <c r="S2800">
        <v>215</v>
      </c>
      <c r="T2800">
        <v>121</v>
      </c>
      <c r="U2800">
        <v>32</v>
      </c>
      <c r="V2800" t="s">
        <v>2480</v>
      </c>
      <c r="W2800">
        <v>19684</v>
      </c>
      <c r="X2800" t="s">
        <v>2739</v>
      </c>
      <c r="Y2800">
        <v>18091</v>
      </c>
      <c r="Z2800">
        <v>629888</v>
      </c>
      <c r="AA2800">
        <v>50976</v>
      </c>
      <c r="AB2800" t="str">
        <f>(VLOOKUP(SalesData[[#This Row],[Month Number]],Reference!C$5:E$16,2,FALSE))</f>
        <v>Feb</v>
      </c>
      <c r="AC2800">
        <f>MONTH(SalesData[[#This Row],[Date]])</f>
        <v>2</v>
      </c>
      <c r="AD2800">
        <f>Reference!F$4</f>
        <v>2026</v>
      </c>
      <c r="AE2800" t="str">
        <f>IF(OR(SalesData[[#This Row],[Day]]="Saturday",SalesData[[#This Row],[Day]]="Sunday"),"Weekend","Weekday")</f>
        <v>Weekday</v>
      </c>
      <c r="AF2800" s="5">
        <f>IF(SalesData[[#This Row],[Contracts Offered]]=0,0,SalesData[[#This Row],[Contracts Signed]]/SalesData[[#This Row],[Contracts Offered]])</f>
        <v>0.26446280991735538</v>
      </c>
      <c r="AG2800" s="5">
        <f>IF(SalesData[[#This Row],[Customers Visited]]=0,0,SalesData[[#This Row],[Test Drives]]/SalesData[[#This Row],[Customers Visited]])</f>
        <v>0.52955665024630538</v>
      </c>
      <c r="AH2800" s="5">
        <f>IF(SalesData[[#This Row],[Customers Visited]]=0,0,SalesData[[#This Row],[Contracts Signed]]/SalesData[[#This Row],[Customers Visited]])</f>
        <v>7.8817733990147784E-2</v>
      </c>
      <c r="AI2800" s="6">
        <f>IF(SalesData[[#This Row],[Contracts Signed]]=0,0,SalesData[[#This Row],[Profit(€)]]/SalesData[[#This Row],[Contracts Signed]])</f>
        <v>1593</v>
      </c>
      <c r="AJ2800" s="5" t="str">
        <f>TRIM(CLEAN(SalesData[[#This Row],[Retailer]]))</f>
        <v>Leipzig Mobility</v>
      </c>
    </row>
    <row r="2801" spans="1:36" ht="14.25" hidden="1" x14ac:dyDescent="0.2">
      <c r="A2801" t="s">
        <v>3927</v>
      </c>
      <c r="B2801" s="1">
        <v>46058</v>
      </c>
      <c r="C2801" t="s">
        <v>24</v>
      </c>
      <c r="D2801" t="s">
        <v>100</v>
      </c>
      <c r="E2801" t="s">
        <v>26</v>
      </c>
      <c r="F2801" t="s">
        <v>114</v>
      </c>
      <c r="G2801" t="s">
        <v>115</v>
      </c>
      <c r="H2801" t="s">
        <v>115</v>
      </c>
      <c r="I2801" t="s">
        <v>116</v>
      </c>
      <c r="J2801" t="s">
        <v>203</v>
      </c>
      <c r="K2801" t="s">
        <v>78</v>
      </c>
      <c r="L2801" t="s">
        <v>67</v>
      </c>
      <c r="M2801" t="s">
        <v>87</v>
      </c>
      <c r="N2801" t="s">
        <v>69</v>
      </c>
      <c r="O2801" t="s">
        <v>36</v>
      </c>
      <c r="P2801" t="s">
        <v>49</v>
      </c>
      <c r="Q2801" t="s">
        <v>144</v>
      </c>
      <c r="R2801">
        <v>372</v>
      </c>
      <c r="S2801">
        <v>199</v>
      </c>
      <c r="T2801">
        <v>133</v>
      </c>
      <c r="U2801">
        <v>36</v>
      </c>
      <c r="V2801" t="s">
        <v>3779</v>
      </c>
      <c r="W2801">
        <v>23701</v>
      </c>
      <c r="X2801" t="s">
        <v>3505</v>
      </c>
      <c r="Y2801">
        <v>21160</v>
      </c>
      <c r="Z2801">
        <v>853236</v>
      </c>
      <c r="AA2801">
        <v>91476</v>
      </c>
      <c r="AB2801" t="str">
        <f>(VLOOKUP(SalesData[[#This Row],[Month Number]],Reference!C$5:E$16,2,FALSE))</f>
        <v>Feb</v>
      </c>
      <c r="AC2801">
        <f>MONTH(SalesData[[#This Row],[Date]])</f>
        <v>2</v>
      </c>
      <c r="AD2801">
        <f>Reference!F$4</f>
        <v>2026</v>
      </c>
      <c r="AE2801" t="str">
        <f>IF(OR(SalesData[[#This Row],[Day]]="Saturday",SalesData[[#This Row],[Day]]="Sunday"),"Weekend","Weekday")</f>
        <v>Weekday</v>
      </c>
      <c r="AF2801" s="5">
        <f>IF(SalesData[[#This Row],[Contracts Offered]]=0,0,SalesData[[#This Row],[Contracts Signed]]/SalesData[[#This Row],[Contracts Offered]])</f>
        <v>0.27067669172932329</v>
      </c>
      <c r="AG2801" s="5">
        <f>IF(SalesData[[#This Row],[Customers Visited]]=0,0,SalesData[[#This Row],[Test Drives]]/SalesData[[#This Row],[Customers Visited]])</f>
        <v>0.53494623655913975</v>
      </c>
      <c r="AH2801" s="5">
        <f>IF(SalesData[[#This Row],[Customers Visited]]=0,0,SalesData[[#This Row],[Contracts Signed]]/SalesData[[#This Row],[Customers Visited]])</f>
        <v>9.6774193548387094E-2</v>
      </c>
      <c r="AI2801" s="6">
        <f>IF(SalesData[[#This Row],[Contracts Signed]]=0,0,SalesData[[#This Row],[Profit(€)]]/SalesData[[#This Row],[Contracts Signed]])</f>
        <v>2541</v>
      </c>
      <c r="AJ2801" s="5" t="str">
        <f>TRIM(CLEAN(SalesData[[#This Row],[Retailer]]))</f>
        <v>Elbe Drive</v>
      </c>
    </row>
    <row r="2802" spans="1:36" ht="14.25" hidden="1" x14ac:dyDescent="0.2">
      <c r="A2802" t="s">
        <v>3928</v>
      </c>
      <c r="B2802" s="1">
        <v>46076</v>
      </c>
      <c r="C2802" t="s">
        <v>53</v>
      </c>
      <c r="D2802" t="s">
        <v>25</v>
      </c>
      <c r="E2802" t="s">
        <v>26</v>
      </c>
      <c r="F2802" t="s">
        <v>83</v>
      </c>
      <c r="G2802" t="s">
        <v>84</v>
      </c>
      <c r="H2802" t="s">
        <v>85</v>
      </c>
      <c r="I2802" t="s">
        <v>104</v>
      </c>
      <c r="J2802" t="s">
        <v>7061</v>
      </c>
      <c r="K2802" t="s">
        <v>91</v>
      </c>
      <c r="L2802" t="s">
        <v>46</v>
      </c>
      <c r="M2802" t="s">
        <v>34</v>
      </c>
      <c r="N2802" t="s">
        <v>35</v>
      </c>
      <c r="O2802" t="s">
        <v>70</v>
      </c>
      <c r="P2802" t="s">
        <v>49</v>
      </c>
      <c r="Q2802" t="s">
        <v>169</v>
      </c>
      <c r="R2802">
        <v>307</v>
      </c>
      <c r="S2802">
        <v>126</v>
      </c>
      <c r="T2802">
        <v>86</v>
      </c>
      <c r="U2802">
        <v>18</v>
      </c>
      <c r="V2802" t="s">
        <v>527</v>
      </c>
      <c r="W2802">
        <v>29281</v>
      </c>
      <c r="X2802" t="s">
        <v>1913</v>
      </c>
      <c r="Y2802">
        <v>26491</v>
      </c>
      <c r="Z2802">
        <v>527058</v>
      </c>
      <c r="AA2802">
        <v>50220</v>
      </c>
      <c r="AB2802" t="str">
        <f>(VLOOKUP(SalesData[[#This Row],[Month Number]],Reference!C$5:E$16,2,FALSE))</f>
        <v>Feb</v>
      </c>
      <c r="AC2802">
        <f>MONTH(SalesData[[#This Row],[Date]])</f>
        <v>2</v>
      </c>
      <c r="AD2802">
        <f>Reference!F$4</f>
        <v>2026</v>
      </c>
      <c r="AE2802" t="str">
        <f>IF(OR(SalesData[[#This Row],[Day]]="Saturday",SalesData[[#This Row],[Day]]="Sunday"),"Weekend","Weekday")</f>
        <v>Weekday</v>
      </c>
      <c r="AF2802" s="5">
        <f>IF(SalesData[[#This Row],[Contracts Offered]]=0,0,SalesData[[#This Row],[Contracts Signed]]/SalesData[[#This Row],[Contracts Offered]])</f>
        <v>0.20930232558139536</v>
      </c>
      <c r="AG2802" s="5">
        <f>IF(SalesData[[#This Row],[Customers Visited]]=0,0,SalesData[[#This Row],[Test Drives]]/SalesData[[#This Row],[Customers Visited]])</f>
        <v>0.41042345276872966</v>
      </c>
      <c r="AH2802" s="5">
        <f>IF(SalesData[[#This Row],[Customers Visited]]=0,0,SalesData[[#This Row],[Contracts Signed]]/SalesData[[#This Row],[Customers Visited]])</f>
        <v>5.8631921824104233E-2</v>
      </c>
      <c r="AI2802" s="6">
        <f>IF(SalesData[[#This Row],[Contracts Signed]]=0,0,SalesData[[#This Row],[Profit(€)]]/SalesData[[#This Row],[Contracts Signed]])</f>
        <v>2790</v>
      </c>
      <c r="AJ2802" s="5" t="str">
        <f>TRIM(CLEAN(SalesData[[#This Row],[Retailer]]))</f>
        <v>Hannover Cars</v>
      </c>
    </row>
    <row r="2803" spans="1:36" ht="14.25" hidden="1" x14ac:dyDescent="0.2">
      <c r="A2803" t="s">
        <v>3929</v>
      </c>
      <c r="B2803" s="1">
        <v>46062</v>
      </c>
      <c r="C2803" t="s">
        <v>121</v>
      </c>
      <c r="D2803" t="s">
        <v>25</v>
      </c>
      <c r="E2803" t="s">
        <v>26</v>
      </c>
      <c r="F2803" t="s">
        <v>27</v>
      </c>
      <c r="G2803" t="s">
        <v>28</v>
      </c>
      <c r="H2803" t="s">
        <v>29</v>
      </c>
      <c r="I2803" t="s">
        <v>64</v>
      </c>
      <c r="J2803" t="s">
        <v>65</v>
      </c>
      <c r="K2803" t="s">
        <v>32</v>
      </c>
      <c r="L2803" t="s">
        <v>33</v>
      </c>
      <c r="M2803" t="s">
        <v>47</v>
      </c>
      <c r="N2803" t="s">
        <v>48</v>
      </c>
      <c r="O2803" t="s">
        <v>36</v>
      </c>
      <c r="P2803" t="s">
        <v>37</v>
      </c>
      <c r="Q2803" t="s">
        <v>59</v>
      </c>
      <c r="R2803">
        <v>265</v>
      </c>
      <c r="S2803">
        <v>149</v>
      </c>
      <c r="T2803">
        <v>101</v>
      </c>
      <c r="U2803">
        <v>34</v>
      </c>
      <c r="V2803" t="s">
        <v>6746</v>
      </c>
      <c r="W2803">
        <v>69054</v>
      </c>
      <c r="X2803" t="s">
        <v>2192</v>
      </c>
      <c r="Y2803">
        <v>50349</v>
      </c>
      <c r="Z2803">
        <v>2347836</v>
      </c>
      <c r="AA2803">
        <v>635970</v>
      </c>
      <c r="AB2803" t="str">
        <f>(VLOOKUP(SalesData[[#This Row],[Month Number]],Reference!C$5:E$16,2,FALSE))</f>
        <v>Feb</v>
      </c>
      <c r="AC2803">
        <f>MONTH(SalesData[[#This Row],[Date]])</f>
        <v>2</v>
      </c>
      <c r="AD2803">
        <f>Reference!F$4</f>
        <v>2026</v>
      </c>
      <c r="AE2803" t="str">
        <f>IF(OR(SalesData[[#This Row],[Day]]="Saturday",SalesData[[#This Row],[Day]]="Sunday"),"Weekend","Weekday")</f>
        <v>Weekday</v>
      </c>
      <c r="AF2803" s="5">
        <f>IF(SalesData[[#This Row],[Contracts Offered]]=0,0,SalesData[[#This Row],[Contracts Signed]]/SalesData[[#This Row],[Contracts Offered]])</f>
        <v>0.33663366336633666</v>
      </c>
      <c r="AG2803" s="5">
        <f>IF(SalesData[[#This Row],[Customers Visited]]=0,0,SalesData[[#This Row],[Test Drives]]/SalesData[[#This Row],[Customers Visited]])</f>
        <v>0.56226415094339621</v>
      </c>
      <c r="AH2803" s="5">
        <f>IF(SalesData[[#This Row],[Customers Visited]]=0,0,SalesData[[#This Row],[Contracts Signed]]/SalesData[[#This Row],[Customers Visited]])</f>
        <v>0.12830188679245283</v>
      </c>
      <c r="AI2803" s="6">
        <f>IF(SalesData[[#This Row],[Contracts Signed]]=0,0,SalesData[[#This Row],[Profit(€)]]/SalesData[[#This Row],[Contracts Signed]])</f>
        <v>18705</v>
      </c>
      <c r="AJ2803" s="5" t="str">
        <f>TRIM(CLEAN(SalesData[[#This Row],[Retailer]]))</f>
        <v>Main Auto Hub</v>
      </c>
    </row>
    <row r="2804" spans="1:36" ht="14.25" hidden="1" x14ac:dyDescent="0.2">
      <c r="A2804" t="s">
        <v>3930</v>
      </c>
      <c r="B2804" s="1">
        <v>46072</v>
      </c>
      <c r="C2804" t="s">
        <v>62</v>
      </c>
      <c r="D2804" t="s">
        <v>100</v>
      </c>
      <c r="E2804" t="s">
        <v>26</v>
      </c>
      <c r="F2804" t="s">
        <v>43</v>
      </c>
      <c r="G2804" t="s">
        <v>44</v>
      </c>
      <c r="H2804" t="s">
        <v>45</v>
      </c>
      <c r="I2804" t="s">
        <v>104</v>
      </c>
      <c r="J2804" t="s">
        <v>140</v>
      </c>
      <c r="K2804" t="s">
        <v>66</v>
      </c>
      <c r="L2804" t="s">
        <v>46</v>
      </c>
      <c r="M2804" t="s">
        <v>87</v>
      </c>
      <c r="N2804" t="s">
        <v>48</v>
      </c>
      <c r="O2804" t="s">
        <v>70</v>
      </c>
      <c r="P2804" t="s">
        <v>37</v>
      </c>
      <c r="Q2804" t="s">
        <v>169</v>
      </c>
      <c r="R2804">
        <v>281</v>
      </c>
      <c r="S2804">
        <v>160</v>
      </c>
      <c r="T2804">
        <v>104</v>
      </c>
      <c r="U2804">
        <v>25</v>
      </c>
      <c r="V2804" t="s">
        <v>1495</v>
      </c>
      <c r="W2804">
        <v>30566</v>
      </c>
      <c r="X2804" t="s">
        <v>1351</v>
      </c>
      <c r="Y2804">
        <v>27586</v>
      </c>
      <c r="Z2804">
        <v>764150</v>
      </c>
      <c r="AA2804">
        <v>74500</v>
      </c>
      <c r="AB2804" t="str">
        <f>(VLOOKUP(SalesData[[#This Row],[Month Number]],Reference!C$5:E$16,2,FALSE))</f>
        <v>Feb</v>
      </c>
      <c r="AC2804">
        <f>MONTH(SalesData[[#This Row],[Date]])</f>
        <v>2</v>
      </c>
      <c r="AD2804">
        <f>Reference!F$4</f>
        <v>2026</v>
      </c>
      <c r="AE2804" t="str">
        <f>IF(OR(SalesData[[#This Row],[Day]]="Saturday",SalesData[[#This Row],[Day]]="Sunday"),"Weekend","Weekday")</f>
        <v>Weekday</v>
      </c>
      <c r="AF2804" s="5">
        <f>IF(SalesData[[#This Row],[Contracts Offered]]=0,0,SalesData[[#This Row],[Contracts Signed]]/SalesData[[#This Row],[Contracts Offered]])</f>
        <v>0.24038461538461539</v>
      </c>
      <c r="AG2804" s="5">
        <f>IF(SalesData[[#This Row],[Customers Visited]]=0,0,SalesData[[#This Row],[Test Drives]]/SalesData[[#This Row],[Customers Visited]])</f>
        <v>0.56939501779359436</v>
      </c>
      <c r="AH2804" s="5">
        <f>IF(SalesData[[#This Row],[Customers Visited]]=0,0,SalesData[[#This Row],[Contracts Signed]]/SalesData[[#This Row],[Customers Visited]])</f>
        <v>8.8967971530249115E-2</v>
      </c>
      <c r="AI2804" s="6">
        <f>IF(SalesData[[#This Row],[Contracts Signed]]=0,0,SalesData[[#This Row],[Profit(€)]]/SalesData[[#This Row],[Contracts Signed]])</f>
        <v>2980</v>
      </c>
      <c r="AJ2804" s="5" t="str">
        <f>TRIM(CLEAN(SalesData[[#This Row],[Retailer]]))</f>
        <v>Saxon Wheels</v>
      </c>
    </row>
    <row r="2805" spans="1:36" ht="14.25" hidden="1" x14ac:dyDescent="0.2">
      <c r="A2805" t="s">
        <v>3931</v>
      </c>
      <c r="B2805" s="1">
        <v>46057</v>
      </c>
      <c r="C2805" t="s">
        <v>24</v>
      </c>
      <c r="D2805" t="s">
        <v>82</v>
      </c>
      <c r="E2805" t="s">
        <v>26</v>
      </c>
      <c r="F2805" t="s">
        <v>127</v>
      </c>
      <c r="G2805" t="s">
        <v>128</v>
      </c>
      <c r="H2805" t="s">
        <v>103</v>
      </c>
      <c r="I2805" t="s">
        <v>64</v>
      </c>
      <c r="J2805" t="s">
        <v>157</v>
      </c>
      <c r="K2805" t="s">
        <v>78</v>
      </c>
      <c r="L2805" t="s">
        <v>33</v>
      </c>
      <c r="M2805" t="s">
        <v>34</v>
      </c>
      <c r="N2805" t="s">
        <v>69</v>
      </c>
      <c r="O2805" t="s">
        <v>36</v>
      </c>
      <c r="P2805" t="s">
        <v>58</v>
      </c>
      <c r="Q2805" t="s">
        <v>50</v>
      </c>
      <c r="R2805">
        <v>233</v>
      </c>
      <c r="S2805">
        <v>126</v>
      </c>
      <c r="T2805">
        <v>90</v>
      </c>
      <c r="U2805">
        <v>38</v>
      </c>
      <c r="V2805" t="s">
        <v>7559</v>
      </c>
      <c r="W2805">
        <v>73174</v>
      </c>
      <c r="X2805" t="s">
        <v>7074</v>
      </c>
      <c r="Y2805">
        <v>57215</v>
      </c>
      <c r="Z2805">
        <v>2780612</v>
      </c>
      <c r="AA2805">
        <v>606442</v>
      </c>
      <c r="AB2805" t="str">
        <f>(VLOOKUP(SalesData[[#This Row],[Month Number]],Reference!C$5:E$16,2,FALSE))</f>
        <v>Feb</v>
      </c>
      <c r="AC2805">
        <f>MONTH(SalesData[[#This Row],[Date]])</f>
        <v>2</v>
      </c>
      <c r="AD2805">
        <f>Reference!F$4</f>
        <v>2026</v>
      </c>
      <c r="AE2805" t="str">
        <f>IF(OR(SalesData[[#This Row],[Day]]="Saturday",SalesData[[#This Row],[Day]]="Sunday"),"Weekend","Weekday")</f>
        <v>Weekday</v>
      </c>
      <c r="AF2805" s="5">
        <f>IF(SalesData[[#This Row],[Contracts Offered]]=0,0,SalesData[[#This Row],[Contracts Signed]]/SalesData[[#This Row],[Contracts Offered]])</f>
        <v>0.42222222222222222</v>
      </c>
      <c r="AG2805" s="5">
        <f>IF(SalesData[[#This Row],[Customers Visited]]=0,0,SalesData[[#This Row],[Test Drives]]/SalesData[[#This Row],[Customers Visited]])</f>
        <v>0.54077253218884125</v>
      </c>
      <c r="AH2805" s="5">
        <f>IF(SalesData[[#This Row],[Customers Visited]]=0,0,SalesData[[#This Row],[Contracts Signed]]/SalesData[[#This Row],[Customers Visited]])</f>
        <v>0.1630901287553648</v>
      </c>
      <c r="AI2805" s="6">
        <f>IF(SalesData[[#This Row],[Contracts Signed]]=0,0,SalesData[[#This Row],[Profit(€)]]/SalesData[[#This Row],[Contracts Signed]])</f>
        <v>15959</v>
      </c>
      <c r="AJ2805" s="5" t="str">
        <f>TRIM(CLEAN(SalesData[[#This Row],[Retailer]]))</f>
        <v>Rhein Auto Group</v>
      </c>
    </row>
    <row r="2806" spans="1:36" ht="14.25" hidden="1" x14ac:dyDescent="0.2">
      <c r="A2806" t="s">
        <v>3933</v>
      </c>
      <c r="B2806" s="1">
        <v>46072</v>
      </c>
      <c r="C2806" t="s">
        <v>62</v>
      </c>
      <c r="D2806" t="s">
        <v>100</v>
      </c>
      <c r="E2806" t="s">
        <v>26</v>
      </c>
      <c r="F2806" t="s">
        <v>94</v>
      </c>
      <c r="G2806" t="s">
        <v>95</v>
      </c>
      <c r="H2806" t="s">
        <v>96</v>
      </c>
      <c r="I2806" t="s">
        <v>104</v>
      </c>
      <c r="J2806" t="s">
        <v>105</v>
      </c>
      <c r="K2806" t="s">
        <v>32</v>
      </c>
      <c r="L2806" t="s">
        <v>33</v>
      </c>
      <c r="M2806" t="s">
        <v>47</v>
      </c>
      <c r="N2806" t="s">
        <v>69</v>
      </c>
      <c r="O2806" t="s">
        <v>70</v>
      </c>
      <c r="P2806" t="s">
        <v>71</v>
      </c>
      <c r="Q2806" t="s">
        <v>122</v>
      </c>
      <c r="R2806">
        <v>413</v>
      </c>
      <c r="S2806">
        <v>230</v>
      </c>
      <c r="T2806">
        <v>135</v>
      </c>
      <c r="U2806">
        <v>45</v>
      </c>
      <c r="V2806" t="s">
        <v>2567</v>
      </c>
      <c r="W2806">
        <v>29319</v>
      </c>
      <c r="X2806" t="s">
        <v>670</v>
      </c>
      <c r="Y2806">
        <v>25762</v>
      </c>
      <c r="Z2806">
        <v>1319355</v>
      </c>
      <c r="AA2806">
        <v>160065</v>
      </c>
      <c r="AB2806" t="str">
        <f>(VLOOKUP(SalesData[[#This Row],[Month Number]],Reference!C$5:E$16,2,FALSE))</f>
        <v>Feb</v>
      </c>
      <c r="AC2806">
        <f>MONTH(SalesData[[#This Row],[Date]])</f>
        <v>2</v>
      </c>
      <c r="AD2806">
        <f>Reference!F$4</f>
        <v>2026</v>
      </c>
      <c r="AE2806" t="str">
        <f>IF(OR(SalesData[[#This Row],[Day]]="Saturday",SalesData[[#This Row],[Day]]="Sunday"),"Weekend","Weekday")</f>
        <v>Weekday</v>
      </c>
      <c r="AF2806" s="5">
        <f>IF(SalesData[[#This Row],[Contracts Offered]]=0,0,SalesData[[#This Row],[Contracts Signed]]/SalesData[[#This Row],[Contracts Offered]])</f>
        <v>0.33333333333333331</v>
      </c>
      <c r="AG2806" s="5">
        <f>IF(SalesData[[#This Row],[Customers Visited]]=0,0,SalesData[[#This Row],[Test Drives]]/SalesData[[#This Row],[Customers Visited]])</f>
        <v>0.55690072639225185</v>
      </c>
      <c r="AH2806" s="5">
        <f>IF(SalesData[[#This Row],[Customers Visited]]=0,0,SalesData[[#This Row],[Contracts Signed]]/SalesData[[#This Row],[Customers Visited]])</f>
        <v>0.10895883777239709</v>
      </c>
      <c r="AI2806" s="6">
        <f>IF(SalesData[[#This Row],[Contracts Signed]]=0,0,SalesData[[#This Row],[Profit(€)]]/SalesData[[#This Row],[Contracts Signed]])</f>
        <v>3557</v>
      </c>
      <c r="AJ2806" s="5" t="str">
        <f>TRIM(CLEAN(SalesData[[#This Row],[Retailer]]))</f>
        <v>Bavaria Motors</v>
      </c>
    </row>
    <row r="2807" spans="1:36" ht="14.25" x14ac:dyDescent="0.2">
      <c r="A2807" t="s">
        <v>3934</v>
      </c>
      <c r="B2807" s="1">
        <v>46066</v>
      </c>
      <c r="C2807" t="s">
        <v>121</v>
      </c>
      <c r="D2807" t="s">
        <v>54</v>
      </c>
      <c r="E2807" t="s">
        <v>26</v>
      </c>
      <c r="F2807" t="s">
        <v>27</v>
      </c>
      <c r="G2807" t="s">
        <v>28</v>
      </c>
      <c r="H2807" t="s">
        <v>29</v>
      </c>
      <c r="I2807" t="s">
        <v>30</v>
      </c>
      <c r="J2807" t="s">
        <v>188</v>
      </c>
      <c r="K2807" t="s">
        <v>91</v>
      </c>
      <c r="L2807" t="s">
        <v>33</v>
      </c>
      <c r="M2807" t="s">
        <v>87</v>
      </c>
      <c r="N2807" t="s">
        <v>35</v>
      </c>
      <c r="O2807" t="s">
        <v>36</v>
      </c>
      <c r="P2807" t="s">
        <v>58</v>
      </c>
      <c r="Q2807" t="s">
        <v>167</v>
      </c>
      <c r="R2807">
        <v>184</v>
      </c>
      <c r="S2807">
        <v>86</v>
      </c>
      <c r="T2807">
        <v>61</v>
      </c>
      <c r="U2807">
        <v>28</v>
      </c>
      <c r="V2807" t="s">
        <v>7560</v>
      </c>
      <c r="W2807">
        <v>56897</v>
      </c>
      <c r="X2807" t="s">
        <v>7191</v>
      </c>
      <c r="Y2807">
        <v>42471</v>
      </c>
      <c r="Z2807">
        <v>1593116</v>
      </c>
      <c r="AA2807">
        <v>403928</v>
      </c>
      <c r="AB2807" t="str">
        <f>(VLOOKUP(SalesData[[#This Row],[Month Number]],Reference!C$5:E$16,2,FALSE))</f>
        <v>Feb</v>
      </c>
      <c r="AC2807">
        <f>MONTH(SalesData[[#This Row],[Date]])</f>
        <v>2</v>
      </c>
      <c r="AD2807">
        <f>Reference!F$4</f>
        <v>2026</v>
      </c>
      <c r="AE2807" t="str">
        <f>IF(OR(SalesData[[#This Row],[Day]]="Saturday",SalesData[[#This Row],[Day]]="Sunday"),"Weekend","Weekday")</f>
        <v>Weekday</v>
      </c>
      <c r="AF2807" s="5">
        <f>IF(SalesData[[#This Row],[Contracts Offered]]=0,0,SalesData[[#This Row],[Contracts Signed]]/SalesData[[#This Row],[Contracts Offered]])</f>
        <v>0.45901639344262296</v>
      </c>
      <c r="AG2807" s="5">
        <f>IF(SalesData[[#This Row],[Customers Visited]]=0,0,SalesData[[#This Row],[Test Drives]]/SalesData[[#This Row],[Customers Visited]])</f>
        <v>0.46739130434782611</v>
      </c>
      <c r="AH2807" s="5">
        <f>IF(SalesData[[#This Row],[Customers Visited]]=0,0,SalesData[[#This Row],[Contracts Signed]]/SalesData[[#This Row],[Customers Visited]])</f>
        <v>0.15217391304347827</v>
      </c>
      <c r="AI2807" s="6">
        <f>IF(SalesData[[#This Row],[Contracts Signed]]=0,0,SalesData[[#This Row],[Profit(€)]]/SalesData[[#This Row],[Contracts Signed]])</f>
        <v>14426</v>
      </c>
      <c r="AJ2807" s="5" t="str">
        <f>TRIM(CLEAN(SalesData[[#This Row],[Retailer]]))</f>
        <v>Main Auto Hub</v>
      </c>
    </row>
    <row r="2808" spans="1:36" ht="14.25" hidden="1" x14ac:dyDescent="0.2">
      <c r="A2808" t="s">
        <v>3936</v>
      </c>
      <c r="B2808" s="1">
        <v>46061</v>
      </c>
      <c r="C2808" t="s">
        <v>121</v>
      </c>
      <c r="D2808" t="s">
        <v>41</v>
      </c>
      <c r="E2808" t="s">
        <v>42</v>
      </c>
      <c r="F2808" t="s">
        <v>101</v>
      </c>
      <c r="G2808" t="s">
        <v>102</v>
      </c>
      <c r="H2808" t="s">
        <v>103</v>
      </c>
      <c r="I2808" t="s">
        <v>64</v>
      </c>
      <c r="J2808" t="s">
        <v>157</v>
      </c>
      <c r="K2808" t="s">
        <v>32</v>
      </c>
      <c r="L2808" t="s">
        <v>33</v>
      </c>
      <c r="M2808" t="s">
        <v>34</v>
      </c>
      <c r="N2808" t="s">
        <v>48</v>
      </c>
      <c r="O2808" t="s">
        <v>36</v>
      </c>
      <c r="P2808" t="s">
        <v>49</v>
      </c>
      <c r="Q2808" t="s">
        <v>135</v>
      </c>
      <c r="R2808">
        <v>250</v>
      </c>
      <c r="S2808">
        <v>126</v>
      </c>
      <c r="T2808">
        <v>97</v>
      </c>
      <c r="U2808">
        <v>27</v>
      </c>
      <c r="V2808" t="s">
        <v>6452</v>
      </c>
      <c r="W2808">
        <v>69968</v>
      </c>
      <c r="X2808" t="s">
        <v>7400</v>
      </c>
      <c r="Y2808">
        <v>49784</v>
      </c>
      <c r="Z2808">
        <v>1889136</v>
      </c>
      <c r="AA2808">
        <v>544968</v>
      </c>
      <c r="AB2808" t="str">
        <f>(VLOOKUP(SalesData[[#This Row],[Month Number]],Reference!C$5:E$16,2,FALSE))</f>
        <v>Feb</v>
      </c>
      <c r="AC2808">
        <f>MONTH(SalesData[[#This Row],[Date]])</f>
        <v>2</v>
      </c>
      <c r="AD2808">
        <f>Reference!F$4</f>
        <v>2026</v>
      </c>
      <c r="AE2808" t="str">
        <f>IF(OR(SalesData[[#This Row],[Day]]="Saturday",SalesData[[#This Row],[Day]]="Sunday"),"Weekend","Weekday")</f>
        <v>Weekend</v>
      </c>
      <c r="AF2808" s="5">
        <f>IF(SalesData[[#This Row],[Contracts Offered]]=0,0,SalesData[[#This Row],[Contracts Signed]]/SalesData[[#This Row],[Contracts Offered]])</f>
        <v>0.27835051546391754</v>
      </c>
      <c r="AG2808" s="5">
        <f>IF(SalesData[[#This Row],[Customers Visited]]=0,0,SalesData[[#This Row],[Test Drives]]/SalesData[[#This Row],[Customers Visited]])</f>
        <v>0.504</v>
      </c>
      <c r="AH2808" s="5">
        <f>IF(SalesData[[#This Row],[Customers Visited]]=0,0,SalesData[[#This Row],[Contracts Signed]]/SalesData[[#This Row],[Customers Visited]])</f>
        <v>0.108</v>
      </c>
      <c r="AI2808" s="6">
        <f>IF(SalesData[[#This Row],[Contracts Signed]]=0,0,SalesData[[#This Row],[Profit(€)]]/SalesData[[#This Row],[Contracts Signed]])</f>
        <v>20184</v>
      </c>
      <c r="AJ2808" s="5" t="str">
        <f>TRIM(CLEAN(SalesData[[#This Row],[Retailer]]))</f>
        <v>Ruhr Auto Plaza</v>
      </c>
    </row>
    <row r="2809" spans="1:36" ht="14.25" x14ac:dyDescent="0.2">
      <c r="A2809" t="s">
        <v>3937</v>
      </c>
      <c r="B2809" s="1">
        <v>46080</v>
      </c>
      <c r="C2809" t="s">
        <v>53</v>
      </c>
      <c r="D2809" t="s">
        <v>54</v>
      </c>
      <c r="E2809" t="s">
        <v>26</v>
      </c>
      <c r="F2809" t="s">
        <v>109</v>
      </c>
      <c r="G2809" t="s">
        <v>110</v>
      </c>
      <c r="H2809" t="s">
        <v>45</v>
      </c>
      <c r="I2809" t="s">
        <v>30</v>
      </c>
      <c r="J2809" t="s">
        <v>31</v>
      </c>
      <c r="K2809" t="s">
        <v>32</v>
      </c>
      <c r="L2809" t="s">
        <v>46</v>
      </c>
      <c r="M2809" t="s">
        <v>34</v>
      </c>
      <c r="N2809" t="s">
        <v>35</v>
      </c>
      <c r="O2809" t="s">
        <v>70</v>
      </c>
      <c r="P2809" t="s">
        <v>58</v>
      </c>
      <c r="Q2809" t="s">
        <v>50</v>
      </c>
      <c r="R2809">
        <v>222</v>
      </c>
      <c r="S2809">
        <v>104</v>
      </c>
      <c r="T2809">
        <v>74</v>
      </c>
      <c r="U2809">
        <v>30</v>
      </c>
      <c r="V2809" t="s">
        <v>6532</v>
      </c>
      <c r="W2809">
        <v>66165</v>
      </c>
      <c r="X2809" t="s">
        <v>7041</v>
      </c>
      <c r="Y2809">
        <v>49636</v>
      </c>
      <c r="Z2809">
        <v>1984950</v>
      </c>
      <c r="AA2809">
        <v>495870</v>
      </c>
      <c r="AB2809" t="str">
        <f>(VLOOKUP(SalesData[[#This Row],[Month Number]],Reference!C$5:E$16,2,FALSE))</f>
        <v>Feb</v>
      </c>
      <c r="AC2809">
        <f>MONTH(SalesData[[#This Row],[Date]])</f>
        <v>2</v>
      </c>
      <c r="AD2809">
        <f>Reference!F$4</f>
        <v>2026</v>
      </c>
      <c r="AE2809" t="str">
        <f>IF(OR(SalesData[[#This Row],[Day]]="Saturday",SalesData[[#This Row],[Day]]="Sunday"),"Weekend","Weekday")</f>
        <v>Weekday</v>
      </c>
      <c r="AF2809" s="5">
        <f>IF(SalesData[[#This Row],[Contracts Offered]]=0,0,SalesData[[#This Row],[Contracts Signed]]/SalesData[[#This Row],[Contracts Offered]])</f>
        <v>0.40540540540540543</v>
      </c>
      <c r="AG2809" s="5">
        <f>IF(SalesData[[#This Row],[Customers Visited]]=0,0,SalesData[[#This Row],[Test Drives]]/SalesData[[#This Row],[Customers Visited]])</f>
        <v>0.46846846846846846</v>
      </c>
      <c r="AH2809" s="5">
        <f>IF(SalesData[[#This Row],[Customers Visited]]=0,0,SalesData[[#This Row],[Contracts Signed]]/SalesData[[#This Row],[Customers Visited]])</f>
        <v>0.13513513513513514</v>
      </c>
      <c r="AI2809" s="6">
        <f>IF(SalesData[[#This Row],[Contracts Signed]]=0,0,SalesData[[#This Row],[Profit(€)]]/SalesData[[#This Row],[Contracts Signed]])</f>
        <v>16529</v>
      </c>
      <c r="AJ2809" s="5" t="str">
        <f>TRIM(CLEAN(SalesData[[#This Row],[Retailer]]))</f>
        <v>Leipzig Mobility</v>
      </c>
    </row>
    <row r="2810" spans="1:36" ht="14.25" hidden="1" x14ac:dyDescent="0.2">
      <c r="A2810" t="s">
        <v>3938</v>
      </c>
      <c r="B2810" s="1">
        <v>46071</v>
      </c>
      <c r="C2810" t="s">
        <v>62</v>
      </c>
      <c r="D2810" t="s">
        <v>82</v>
      </c>
      <c r="E2810" t="s">
        <v>26</v>
      </c>
      <c r="F2810" t="s">
        <v>27</v>
      </c>
      <c r="G2810" t="s">
        <v>28</v>
      </c>
      <c r="H2810" t="s">
        <v>29</v>
      </c>
      <c r="I2810" t="s">
        <v>64</v>
      </c>
      <c r="J2810" t="s">
        <v>111</v>
      </c>
      <c r="K2810" t="s">
        <v>32</v>
      </c>
      <c r="L2810" t="s">
        <v>46</v>
      </c>
      <c r="M2810" t="s">
        <v>68</v>
      </c>
      <c r="N2810" t="s">
        <v>69</v>
      </c>
      <c r="O2810" t="s">
        <v>36</v>
      </c>
      <c r="P2810" t="s">
        <v>49</v>
      </c>
      <c r="Q2810" t="s">
        <v>144</v>
      </c>
      <c r="R2810">
        <v>172</v>
      </c>
      <c r="S2810">
        <v>91</v>
      </c>
      <c r="T2810">
        <v>66</v>
      </c>
      <c r="U2810">
        <v>21</v>
      </c>
      <c r="V2810" t="s">
        <v>6386</v>
      </c>
      <c r="W2810">
        <v>66251</v>
      </c>
      <c r="X2810" t="s">
        <v>1677</v>
      </c>
      <c r="Y2810">
        <v>49590</v>
      </c>
      <c r="Z2810">
        <v>1391271</v>
      </c>
      <c r="AA2810">
        <v>349881</v>
      </c>
      <c r="AB2810" t="str">
        <f>(VLOOKUP(SalesData[[#This Row],[Month Number]],Reference!C$5:E$16,2,FALSE))</f>
        <v>Feb</v>
      </c>
      <c r="AC2810">
        <f>MONTH(SalesData[[#This Row],[Date]])</f>
        <v>2</v>
      </c>
      <c r="AD2810">
        <f>Reference!F$4</f>
        <v>2026</v>
      </c>
      <c r="AE2810" t="str">
        <f>IF(OR(SalesData[[#This Row],[Day]]="Saturday",SalesData[[#This Row],[Day]]="Sunday"),"Weekend","Weekday")</f>
        <v>Weekday</v>
      </c>
      <c r="AF2810" s="5">
        <f>IF(SalesData[[#This Row],[Contracts Offered]]=0,0,SalesData[[#This Row],[Contracts Signed]]/SalesData[[#This Row],[Contracts Offered]])</f>
        <v>0.31818181818181818</v>
      </c>
      <c r="AG2810" s="5">
        <f>IF(SalesData[[#This Row],[Customers Visited]]=0,0,SalesData[[#This Row],[Test Drives]]/SalesData[[#This Row],[Customers Visited]])</f>
        <v>0.52906976744186052</v>
      </c>
      <c r="AH2810" s="5">
        <f>IF(SalesData[[#This Row],[Customers Visited]]=0,0,SalesData[[#This Row],[Contracts Signed]]/SalesData[[#This Row],[Customers Visited]])</f>
        <v>0.12209302325581395</v>
      </c>
      <c r="AI2810" s="6">
        <f>IF(SalesData[[#This Row],[Contracts Signed]]=0,0,SalesData[[#This Row],[Profit(€)]]/SalesData[[#This Row],[Contracts Signed]])</f>
        <v>16661</v>
      </c>
      <c r="AJ2810" s="5" t="str">
        <f>TRIM(CLEAN(SalesData[[#This Row],[Retailer]]))</f>
        <v>Main Auto Hub</v>
      </c>
    </row>
    <row r="2811" spans="1:36" ht="14.25" hidden="1" x14ac:dyDescent="0.2">
      <c r="A2811" t="s">
        <v>3939</v>
      </c>
      <c r="B2811" s="1">
        <v>46071</v>
      </c>
      <c r="C2811" t="s">
        <v>62</v>
      </c>
      <c r="D2811" t="s">
        <v>82</v>
      </c>
      <c r="E2811" t="s">
        <v>26</v>
      </c>
      <c r="F2811" t="s">
        <v>114</v>
      </c>
      <c r="G2811" t="s">
        <v>115</v>
      </c>
      <c r="H2811" t="s">
        <v>115</v>
      </c>
      <c r="I2811" t="s">
        <v>64</v>
      </c>
      <c r="J2811" t="s">
        <v>7029</v>
      </c>
      <c r="K2811" t="s">
        <v>78</v>
      </c>
      <c r="L2811" t="s">
        <v>33</v>
      </c>
      <c r="M2811" t="s">
        <v>87</v>
      </c>
      <c r="N2811" t="s">
        <v>69</v>
      </c>
      <c r="O2811" t="s">
        <v>70</v>
      </c>
      <c r="P2811" t="s">
        <v>37</v>
      </c>
      <c r="Q2811" t="s">
        <v>152</v>
      </c>
      <c r="R2811">
        <v>191</v>
      </c>
      <c r="S2811">
        <v>113</v>
      </c>
      <c r="T2811">
        <v>86</v>
      </c>
      <c r="U2811">
        <v>28</v>
      </c>
      <c r="V2811" t="s">
        <v>6418</v>
      </c>
      <c r="W2811">
        <v>65533</v>
      </c>
      <c r="X2811" t="s">
        <v>698</v>
      </c>
      <c r="Y2811">
        <v>47208</v>
      </c>
      <c r="Z2811">
        <v>1834924</v>
      </c>
      <c r="AA2811">
        <v>513100</v>
      </c>
      <c r="AB2811" t="str">
        <f>(VLOOKUP(SalesData[[#This Row],[Month Number]],Reference!C$5:E$16,2,FALSE))</f>
        <v>Feb</v>
      </c>
      <c r="AC2811">
        <f>MONTH(SalesData[[#This Row],[Date]])</f>
        <v>2</v>
      </c>
      <c r="AD2811">
        <f>Reference!F$4</f>
        <v>2026</v>
      </c>
      <c r="AE2811" t="str">
        <f>IF(OR(SalesData[[#This Row],[Day]]="Saturday",SalesData[[#This Row],[Day]]="Sunday"),"Weekend","Weekday")</f>
        <v>Weekday</v>
      </c>
      <c r="AF2811" s="5">
        <f>IF(SalesData[[#This Row],[Contracts Offered]]=0,0,SalesData[[#This Row],[Contracts Signed]]/SalesData[[#This Row],[Contracts Offered]])</f>
        <v>0.32558139534883723</v>
      </c>
      <c r="AG2811" s="5">
        <f>IF(SalesData[[#This Row],[Customers Visited]]=0,0,SalesData[[#This Row],[Test Drives]]/SalesData[[#This Row],[Customers Visited]])</f>
        <v>0.59162303664921467</v>
      </c>
      <c r="AH2811" s="5">
        <f>IF(SalesData[[#This Row],[Customers Visited]]=0,0,SalesData[[#This Row],[Contracts Signed]]/SalesData[[#This Row],[Customers Visited]])</f>
        <v>0.14659685863874344</v>
      </c>
      <c r="AI2811" s="6">
        <f>IF(SalesData[[#This Row],[Contracts Signed]]=0,0,SalesData[[#This Row],[Profit(€)]]/SalesData[[#This Row],[Contracts Signed]])</f>
        <v>18325</v>
      </c>
      <c r="AJ2811" s="5" t="str">
        <f>TRIM(CLEAN(SalesData[[#This Row],[Retailer]]))</f>
        <v>Elbe Drive</v>
      </c>
    </row>
    <row r="2812" spans="1:36" ht="14.25" hidden="1" x14ac:dyDescent="0.2">
      <c r="A2812" t="s">
        <v>3940</v>
      </c>
      <c r="B2812" s="1">
        <v>46081</v>
      </c>
      <c r="C2812" t="s">
        <v>53</v>
      </c>
      <c r="D2812" t="s">
        <v>151</v>
      </c>
      <c r="E2812" t="s">
        <v>42</v>
      </c>
      <c r="F2812" t="s">
        <v>109</v>
      </c>
      <c r="G2812" t="s">
        <v>110</v>
      </c>
      <c r="H2812" t="s">
        <v>45</v>
      </c>
      <c r="I2812" t="s">
        <v>116</v>
      </c>
      <c r="J2812" t="s">
        <v>132</v>
      </c>
      <c r="K2812" t="s">
        <v>78</v>
      </c>
      <c r="L2812" t="s">
        <v>46</v>
      </c>
      <c r="M2812" t="s">
        <v>68</v>
      </c>
      <c r="N2812" t="s">
        <v>48</v>
      </c>
      <c r="O2812" t="s">
        <v>36</v>
      </c>
      <c r="P2812" t="s">
        <v>58</v>
      </c>
      <c r="Q2812" t="s">
        <v>88</v>
      </c>
      <c r="R2812">
        <v>245</v>
      </c>
      <c r="S2812">
        <v>120</v>
      </c>
      <c r="T2812">
        <v>79</v>
      </c>
      <c r="U2812">
        <v>19</v>
      </c>
      <c r="V2812" t="s">
        <v>1698</v>
      </c>
      <c r="W2812">
        <v>24889</v>
      </c>
      <c r="X2812" t="s">
        <v>3756</v>
      </c>
      <c r="Y2812">
        <v>23046</v>
      </c>
      <c r="Z2812">
        <v>472891</v>
      </c>
      <c r="AA2812">
        <v>35017</v>
      </c>
      <c r="AB2812" t="str">
        <f>(VLOOKUP(SalesData[[#This Row],[Month Number]],Reference!C$5:E$16,2,FALSE))</f>
        <v>Feb</v>
      </c>
      <c r="AC2812">
        <f>MONTH(SalesData[[#This Row],[Date]])</f>
        <v>2</v>
      </c>
      <c r="AD2812">
        <f>Reference!F$4</f>
        <v>2026</v>
      </c>
      <c r="AE2812" t="str">
        <f>IF(OR(SalesData[[#This Row],[Day]]="Saturday",SalesData[[#This Row],[Day]]="Sunday"),"Weekend","Weekday")</f>
        <v>Weekend</v>
      </c>
      <c r="AF2812" s="5">
        <f>IF(SalesData[[#This Row],[Contracts Offered]]=0,0,SalesData[[#This Row],[Contracts Signed]]/SalesData[[#This Row],[Contracts Offered]])</f>
        <v>0.24050632911392406</v>
      </c>
      <c r="AG2812" s="5">
        <f>IF(SalesData[[#This Row],[Customers Visited]]=0,0,SalesData[[#This Row],[Test Drives]]/SalesData[[#This Row],[Customers Visited]])</f>
        <v>0.48979591836734693</v>
      </c>
      <c r="AH2812" s="5">
        <f>IF(SalesData[[#This Row],[Customers Visited]]=0,0,SalesData[[#This Row],[Contracts Signed]]/SalesData[[#This Row],[Customers Visited]])</f>
        <v>7.7551020408163265E-2</v>
      </c>
      <c r="AI2812" s="6">
        <f>IF(SalesData[[#This Row],[Contracts Signed]]=0,0,SalesData[[#This Row],[Profit(€)]]/SalesData[[#This Row],[Contracts Signed]])</f>
        <v>1843</v>
      </c>
      <c r="AJ2812" s="5" t="str">
        <f>TRIM(CLEAN(SalesData[[#This Row],[Retailer]]))</f>
        <v>Leipzig Mobility</v>
      </c>
    </row>
    <row r="2813" spans="1:36" ht="14.25" hidden="1" x14ac:dyDescent="0.2">
      <c r="A2813" t="s">
        <v>3941</v>
      </c>
      <c r="B2813" s="1">
        <v>46069</v>
      </c>
      <c r="C2813" t="s">
        <v>62</v>
      </c>
      <c r="D2813" t="s">
        <v>25</v>
      </c>
      <c r="E2813" t="s">
        <v>26</v>
      </c>
      <c r="F2813" t="s">
        <v>114</v>
      </c>
      <c r="G2813" t="s">
        <v>115</v>
      </c>
      <c r="H2813" t="s">
        <v>115</v>
      </c>
      <c r="I2813" t="s">
        <v>64</v>
      </c>
      <c r="J2813" t="s">
        <v>157</v>
      </c>
      <c r="K2813" t="s">
        <v>78</v>
      </c>
      <c r="L2813" t="s">
        <v>33</v>
      </c>
      <c r="M2813" t="s">
        <v>68</v>
      </c>
      <c r="N2813" t="s">
        <v>48</v>
      </c>
      <c r="O2813" t="s">
        <v>70</v>
      </c>
      <c r="P2813" t="s">
        <v>58</v>
      </c>
      <c r="Q2813" t="s">
        <v>59</v>
      </c>
      <c r="R2813">
        <v>272</v>
      </c>
      <c r="S2813">
        <v>130</v>
      </c>
      <c r="T2813">
        <v>96</v>
      </c>
      <c r="U2813">
        <v>35</v>
      </c>
      <c r="V2813" t="s">
        <v>6476</v>
      </c>
      <c r="W2813">
        <v>50314</v>
      </c>
      <c r="X2813" t="s">
        <v>1520</v>
      </c>
      <c r="Y2813">
        <v>37535</v>
      </c>
      <c r="Z2813">
        <v>1760990</v>
      </c>
      <c r="AA2813">
        <v>447265</v>
      </c>
      <c r="AB2813" t="str">
        <f>(VLOOKUP(SalesData[[#This Row],[Month Number]],Reference!C$5:E$16,2,FALSE))</f>
        <v>Feb</v>
      </c>
      <c r="AC2813">
        <f>MONTH(SalesData[[#This Row],[Date]])</f>
        <v>2</v>
      </c>
      <c r="AD2813">
        <f>Reference!F$4</f>
        <v>2026</v>
      </c>
      <c r="AE2813" t="str">
        <f>IF(OR(SalesData[[#This Row],[Day]]="Saturday",SalesData[[#This Row],[Day]]="Sunday"),"Weekend","Weekday")</f>
        <v>Weekday</v>
      </c>
      <c r="AF2813" s="5">
        <f>IF(SalesData[[#This Row],[Contracts Offered]]=0,0,SalesData[[#This Row],[Contracts Signed]]/SalesData[[#This Row],[Contracts Offered]])</f>
        <v>0.36458333333333331</v>
      </c>
      <c r="AG2813" s="5">
        <f>IF(SalesData[[#This Row],[Customers Visited]]=0,0,SalesData[[#This Row],[Test Drives]]/SalesData[[#This Row],[Customers Visited]])</f>
        <v>0.47794117647058826</v>
      </c>
      <c r="AH2813" s="5">
        <f>IF(SalesData[[#This Row],[Customers Visited]]=0,0,SalesData[[#This Row],[Contracts Signed]]/SalesData[[#This Row],[Customers Visited]])</f>
        <v>0.12867647058823528</v>
      </c>
      <c r="AI2813" s="6">
        <f>IF(SalesData[[#This Row],[Contracts Signed]]=0,0,SalesData[[#This Row],[Profit(€)]]/SalesData[[#This Row],[Contracts Signed]])</f>
        <v>12779</v>
      </c>
      <c r="AJ2813" s="5" t="str">
        <f>TRIM(CLEAN(SalesData[[#This Row],[Retailer]]))</f>
        <v>Elbe Drive</v>
      </c>
    </row>
    <row r="2814" spans="1:36" ht="14.25" hidden="1" x14ac:dyDescent="0.2">
      <c r="A2814" t="s">
        <v>3942</v>
      </c>
      <c r="B2814" s="1">
        <v>46058</v>
      </c>
      <c r="C2814" t="s">
        <v>24</v>
      </c>
      <c r="D2814" t="s">
        <v>100</v>
      </c>
      <c r="E2814" t="s">
        <v>26</v>
      </c>
      <c r="F2814" t="s">
        <v>27</v>
      </c>
      <c r="G2814" t="s">
        <v>28</v>
      </c>
      <c r="H2814" t="s">
        <v>29</v>
      </c>
      <c r="I2814" t="s">
        <v>116</v>
      </c>
      <c r="J2814" t="s">
        <v>117</v>
      </c>
      <c r="K2814" t="s">
        <v>91</v>
      </c>
      <c r="L2814" t="s">
        <v>67</v>
      </c>
      <c r="M2814" t="s">
        <v>68</v>
      </c>
      <c r="N2814" t="s">
        <v>35</v>
      </c>
      <c r="O2814" t="s">
        <v>36</v>
      </c>
      <c r="P2814" t="s">
        <v>49</v>
      </c>
      <c r="Q2814" t="s">
        <v>59</v>
      </c>
      <c r="R2814">
        <v>278</v>
      </c>
      <c r="S2814">
        <v>126</v>
      </c>
      <c r="T2814">
        <v>71</v>
      </c>
      <c r="U2814">
        <v>19</v>
      </c>
      <c r="V2814" t="s">
        <v>3005</v>
      </c>
      <c r="W2814">
        <v>23545</v>
      </c>
      <c r="X2814" t="s">
        <v>297</v>
      </c>
      <c r="Y2814">
        <v>21824</v>
      </c>
      <c r="Z2814">
        <v>447355</v>
      </c>
      <c r="AA2814">
        <v>32699</v>
      </c>
      <c r="AB2814" t="str">
        <f>(VLOOKUP(SalesData[[#This Row],[Month Number]],Reference!C$5:E$16,2,FALSE))</f>
        <v>Feb</v>
      </c>
      <c r="AC2814">
        <f>MONTH(SalesData[[#This Row],[Date]])</f>
        <v>2</v>
      </c>
      <c r="AD2814">
        <f>Reference!F$4</f>
        <v>2026</v>
      </c>
      <c r="AE2814" t="str">
        <f>IF(OR(SalesData[[#This Row],[Day]]="Saturday",SalesData[[#This Row],[Day]]="Sunday"),"Weekend","Weekday")</f>
        <v>Weekday</v>
      </c>
      <c r="AF2814" s="5">
        <f>IF(SalesData[[#This Row],[Contracts Offered]]=0,0,SalesData[[#This Row],[Contracts Signed]]/SalesData[[#This Row],[Contracts Offered]])</f>
        <v>0.26760563380281688</v>
      </c>
      <c r="AG2814" s="5">
        <f>IF(SalesData[[#This Row],[Customers Visited]]=0,0,SalesData[[#This Row],[Test Drives]]/SalesData[[#This Row],[Customers Visited]])</f>
        <v>0.45323741007194246</v>
      </c>
      <c r="AH2814" s="5">
        <f>IF(SalesData[[#This Row],[Customers Visited]]=0,0,SalesData[[#This Row],[Contracts Signed]]/SalesData[[#This Row],[Customers Visited]])</f>
        <v>6.83453237410072E-2</v>
      </c>
      <c r="AI2814" s="6">
        <f>IF(SalesData[[#This Row],[Contracts Signed]]=0,0,SalesData[[#This Row],[Profit(€)]]/SalesData[[#This Row],[Contracts Signed]])</f>
        <v>1721</v>
      </c>
      <c r="AJ2814" s="5" t="str">
        <f>TRIM(CLEAN(SalesData[[#This Row],[Retailer]]))</f>
        <v>Main Auto Hub</v>
      </c>
    </row>
    <row r="2815" spans="1:36" ht="14.25" x14ac:dyDescent="0.2">
      <c r="A2815" t="s">
        <v>3943</v>
      </c>
      <c r="B2815" s="1">
        <v>46062</v>
      </c>
      <c r="C2815" t="s">
        <v>121</v>
      </c>
      <c r="D2815" t="s">
        <v>25</v>
      </c>
      <c r="E2815" t="s">
        <v>26</v>
      </c>
      <c r="F2815" t="s">
        <v>83</v>
      </c>
      <c r="G2815" t="s">
        <v>84</v>
      </c>
      <c r="H2815" t="s">
        <v>85</v>
      </c>
      <c r="I2815" t="s">
        <v>30</v>
      </c>
      <c r="J2815" t="s">
        <v>166</v>
      </c>
      <c r="K2815" t="s">
        <v>66</v>
      </c>
      <c r="L2815" t="s">
        <v>46</v>
      </c>
      <c r="M2815" t="s">
        <v>47</v>
      </c>
      <c r="N2815" t="s">
        <v>48</v>
      </c>
      <c r="O2815" t="s">
        <v>36</v>
      </c>
      <c r="P2815" t="s">
        <v>49</v>
      </c>
      <c r="Q2815" t="s">
        <v>347</v>
      </c>
      <c r="R2815">
        <v>250</v>
      </c>
      <c r="S2815">
        <v>118</v>
      </c>
      <c r="T2815">
        <v>83</v>
      </c>
      <c r="U2815">
        <v>30</v>
      </c>
      <c r="V2815" t="s">
        <v>6820</v>
      </c>
      <c r="W2815">
        <v>62388</v>
      </c>
      <c r="X2815" t="s">
        <v>589</v>
      </c>
      <c r="Y2815">
        <v>47768</v>
      </c>
      <c r="Z2815">
        <v>1871640</v>
      </c>
      <c r="AA2815">
        <v>438600</v>
      </c>
      <c r="AB2815" t="str">
        <f>(VLOOKUP(SalesData[[#This Row],[Month Number]],Reference!C$5:E$16,2,FALSE))</f>
        <v>Feb</v>
      </c>
      <c r="AC2815">
        <f>MONTH(SalesData[[#This Row],[Date]])</f>
        <v>2</v>
      </c>
      <c r="AD2815">
        <f>Reference!F$4</f>
        <v>2026</v>
      </c>
      <c r="AE2815" t="str">
        <f>IF(OR(SalesData[[#This Row],[Day]]="Saturday",SalesData[[#This Row],[Day]]="Sunday"),"Weekend","Weekday")</f>
        <v>Weekday</v>
      </c>
      <c r="AF2815" s="5">
        <f>IF(SalesData[[#This Row],[Contracts Offered]]=0,0,SalesData[[#This Row],[Contracts Signed]]/SalesData[[#This Row],[Contracts Offered]])</f>
        <v>0.36144578313253012</v>
      </c>
      <c r="AG2815" s="5">
        <f>IF(SalesData[[#This Row],[Customers Visited]]=0,0,SalesData[[#This Row],[Test Drives]]/SalesData[[#This Row],[Customers Visited]])</f>
        <v>0.47199999999999998</v>
      </c>
      <c r="AH2815" s="5">
        <f>IF(SalesData[[#This Row],[Customers Visited]]=0,0,SalesData[[#This Row],[Contracts Signed]]/SalesData[[#This Row],[Customers Visited]])</f>
        <v>0.12</v>
      </c>
      <c r="AI2815" s="6">
        <f>IF(SalesData[[#This Row],[Contracts Signed]]=0,0,SalesData[[#This Row],[Profit(€)]]/SalesData[[#This Row],[Contracts Signed]])</f>
        <v>14620</v>
      </c>
      <c r="AJ2815" s="5" t="str">
        <f>TRIM(CLEAN(SalesData[[#This Row],[Retailer]]))</f>
        <v>Hannover Cars</v>
      </c>
    </row>
    <row r="2816" spans="1:36" ht="14.25" hidden="1" x14ac:dyDescent="0.2">
      <c r="A2816" t="s">
        <v>3944</v>
      </c>
      <c r="B2816" s="1">
        <v>46072</v>
      </c>
      <c r="C2816" t="s">
        <v>62</v>
      </c>
      <c r="D2816" t="s">
        <v>100</v>
      </c>
      <c r="E2816" t="s">
        <v>26</v>
      </c>
      <c r="F2816" t="s">
        <v>83</v>
      </c>
      <c r="G2816" t="s">
        <v>84</v>
      </c>
      <c r="H2816" t="s">
        <v>85</v>
      </c>
      <c r="I2816" t="s">
        <v>104</v>
      </c>
      <c r="J2816" t="s">
        <v>140</v>
      </c>
      <c r="K2816" t="s">
        <v>91</v>
      </c>
      <c r="L2816" t="s">
        <v>46</v>
      </c>
      <c r="M2816" t="s">
        <v>87</v>
      </c>
      <c r="N2816" t="s">
        <v>35</v>
      </c>
      <c r="O2816" t="s">
        <v>70</v>
      </c>
      <c r="P2816" t="s">
        <v>71</v>
      </c>
      <c r="Q2816" t="s">
        <v>59</v>
      </c>
      <c r="R2816">
        <v>469</v>
      </c>
      <c r="S2816">
        <v>234</v>
      </c>
      <c r="T2816">
        <v>152</v>
      </c>
      <c r="U2816">
        <v>42</v>
      </c>
      <c r="V2816" t="s">
        <v>2538</v>
      </c>
      <c r="W2816">
        <v>33752</v>
      </c>
      <c r="X2816" t="s">
        <v>1959</v>
      </c>
      <c r="Y2816">
        <v>30562</v>
      </c>
      <c r="Z2816">
        <v>1417584</v>
      </c>
      <c r="AA2816">
        <v>133980</v>
      </c>
      <c r="AB2816" t="str">
        <f>(VLOOKUP(SalesData[[#This Row],[Month Number]],Reference!C$5:E$16,2,FALSE))</f>
        <v>Feb</v>
      </c>
      <c r="AC2816">
        <f>MONTH(SalesData[[#This Row],[Date]])</f>
        <v>2</v>
      </c>
      <c r="AD2816">
        <f>Reference!F$4</f>
        <v>2026</v>
      </c>
      <c r="AE2816" t="str">
        <f>IF(OR(SalesData[[#This Row],[Day]]="Saturday",SalesData[[#This Row],[Day]]="Sunday"),"Weekend","Weekday")</f>
        <v>Weekday</v>
      </c>
      <c r="AF2816" s="5">
        <f>IF(SalesData[[#This Row],[Contracts Offered]]=0,0,SalesData[[#This Row],[Contracts Signed]]/SalesData[[#This Row],[Contracts Offered]])</f>
        <v>0.27631578947368424</v>
      </c>
      <c r="AG2816" s="5">
        <f>IF(SalesData[[#This Row],[Customers Visited]]=0,0,SalesData[[#This Row],[Test Drives]]/SalesData[[#This Row],[Customers Visited]])</f>
        <v>0.49893390191897652</v>
      </c>
      <c r="AH2816" s="5">
        <f>IF(SalesData[[#This Row],[Customers Visited]]=0,0,SalesData[[#This Row],[Contracts Signed]]/SalesData[[#This Row],[Customers Visited]])</f>
        <v>8.9552238805970144E-2</v>
      </c>
      <c r="AI2816" s="6">
        <f>IF(SalesData[[#This Row],[Contracts Signed]]=0,0,SalesData[[#This Row],[Profit(€)]]/SalesData[[#This Row],[Contracts Signed]])</f>
        <v>3190</v>
      </c>
      <c r="AJ2816" s="5" t="str">
        <f>TRIM(CLEAN(SalesData[[#This Row],[Retailer]]))</f>
        <v>Hannover Cars</v>
      </c>
    </row>
    <row r="2817" spans="1:36" ht="14.25" hidden="1" x14ac:dyDescent="0.2">
      <c r="A2817" t="s">
        <v>3945</v>
      </c>
      <c r="B2817" s="1">
        <v>46081</v>
      </c>
      <c r="C2817" t="s">
        <v>53</v>
      </c>
      <c r="D2817" t="s">
        <v>151</v>
      </c>
      <c r="E2817" t="s">
        <v>42</v>
      </c>
      <c r="F2817" t="s">
        <v>43</v>
      </c>
      <c r="G2817" t="s">
        <v>44</v>
      </c>
      <c r="H2817" t="s">
        <v>45</v>
      </c>
      <c r="I2817" t="s">
        <v>116</v>
      </c>
      <c r="J2817" t="s">
        <v>117</v>
      </c>
      <c r="K2817" t="s">
        <v>78</v>
      </c>
      <c r="L2817" t="s">
        <v>67</v>
      </c>
      <c r="M2817" t="s">
        <v>34</v>
      </c>
      <c r="N2817" t="s">
        <v>48</v>
      </c>
      <c r="O2817" t="s">
        <v>36</v>
      </c>
      <c r="P2817" t="s">
        <v>58</v>
      </c>
      <c r="Q2817" t="s">
        <v>135</v>
      </c>
      <c r="R2817">
        <v>237</v>
      </c>
      <c r="S2817">
        <v>120</v>
      </c>
      <c r="T2817">
        <v>75</v>
      </c>
      <c r="U2817">
        <v>23</v>
      </c>
      <c r="V2817" t="s">
        <v>5010</v>
      </c>
      <c r="W2817">
        <v>22563</v>
      </c>
      <c r="X2817" t="s">
        <v>1255</v>
      </c>
      <c r="Y2817">
        <v>20174</v>
      </c>
      <c r="Z2817">
        <v>518949</v>
      </c>
      <c r="AA2817">
        <v>54947</v>
      </c>
      <c r="AB2817" t="str">
        <f>(VLOOKUP(SalesData[[#This Row],[Month Number]],Reference!C$5:E$16,2,FALSE))</f>
        <v>Feb</v>
      </c>
      <c r="AC2817">
        <f>MONTH(SalesData[[#This Row],[Date]])</f>
        <v>2</v>
      </c>
      <c r="AD2817">
        <f>Reference!F$4</f>
        <v>2026</v>
      </c>
      <c r="AE2817" t="str">
        <f>IF(OR(SalesData[[#This Row],[Day]]="Saturday",SalesData[[#This Row],[Day]]="Sunday"),"Weekend","Weekday")</f>
        <v>Weekend</v>
      </c>
      <c r="AF2817" s="5">
        <f>IF(SalesData[[#This Row],[Contracts Offered]]=0,0,SalesData[[#This Row],[Contracts Signed]]/SalesData[[#This Row],[Contracts Offered]])</f>
        <v>0.30666666666666664</v>
      </c>
      <c r="AG2817" s="5">
        <f>IF(SalesData[[#This Row],[Customers Visited]]=0,0,SalesData[[#This Row],[Test Drives]]/SalesData[[#This Row],[Customers Visited]])</f>
        <v>0.50632911392405067</v>
      </c>
      <c r="AH2817" s="5">
        <f>IF(SalesData[[#This Row],[Customers Visited]]=0,0,SalesData[[#This Row],[Contracts Signed]]/SalesData[[#This Row],[Customers Visited]])</f>
        <v>9.7046413502109699E-2</v>
      </c>
      <c r="AI2817" s="6">
        <f>IF(SalesData[[#This Row],[Contracts Signed]]=0,0,SalesData[[#This Row],[Profit(€)]]/SalesData[[#This Row],[Contracts Signed]])</f>
        <v>2389</v>
      </c>
      <c r="AJ2817" s="5" t="str">
        <f>TRIM(CLEAN(SalesData[[#This Row],[Retailer]]))</f>
        <v>Saxon Wheels</v>
      </c>
    </row>
    <row r="2818" spans="1:36" ht="14.25" x14ac:dyDescent="0.2">
      <c r="A2818" t="s">
        <v>3946</v>
      </c>
      <c r="B2818" s="1">
        <v>46068</v>
      </c>
      <c r="C2818" t="s">
        <v>62</v>
      </c>
      <c r="D2818" t="s">
        <v>41</v>
      </c>
      <c r="E2818" t="s">
        <v>42</v>
      </c>
      <c r="F2818" t="s">
        <v>27</v>
      </c>
      <c r="G2818" t="s">
        <v>28</v>
      </c>
      <c r="H2818" t="s">
        <v>29</v>
      </c>
      <c r="I2818" t="s">
        <v>30</v>
      </c>
      <c r="J2818" t="s">
        <v>7075</v>
      </c>
      <c r="K2818" t="s">
        <v>32</v>
      </c>
      <c r="L2818" t="s">
        <v>33</v>
      </c>
      <c r="M2818" t="s">
        <v>47</v>
      </c>
      <c r="N2818" t="s">
        <v>69</v>
      </c>
      <c r="O2818" t="s">
        <v>36</v>
      </c>
      <c r="P2818" t="s">
        <v>71</v>
      </c>
      <c r="Q2818" t="s">
        <v>152</v>
      </c>
      <c r="R2818">
        <v>266</v>
      </c>
      <c r="S2818">
        <v>120</v>
      </c>
      <c r="T2818">
        <v>89</v>
      </c>
      <c r="U2818">
        <v>31</v>
      </c>
      <c r="V2818" t="s">
        <v>6350</v>
      </c>
      <c r="W2818">
        <v>66574</v>
      </c>
      <c r="X2818" t="s">
        <v>7118</v>
      </c>
      <c r="Y2818">
        <v>48268</v>
      </c>
      <c r="Z2818">
        <v>2063794</v>
      </c>
      <c r="AA2818">
        <v>567486</v>
      </c>
      <c r="AB2818" t="str">
        <f>(VLOOKUP(SalesData[[#This Row],[Month Number]],Reference!C$5:E$16,2,FALSE))</f>
        <v>Feb</v>
      </c>
      <c r="AC2818">
        <f>MONTH(SalesData[[#This Row],[Date]])</f>
        <v>2</v>
      </c>
      <c r="AD2818">
        <f>Reference!F$4</f>
        <v>2026</v>
      </c>
      <c r="AE2818" t="str">
        <f>IF(OR(SalesData[[#This Row],[Day]]="Saturday",SalesData[[#This Row],[Day]]="Sunday"),"Weekend","Weekday")</f>
        <v>Weekend</v>
      </c>
      <c r="AF2818" s="5">
        <f>IF(SalesData[[#This Row],[Contracts Offered]]=0,0,SalesData[[#This Row],[Contracts Signed]]/SalesData[[#This Row],[Contracts Offered]])</f>
        <v>0.34831460674157305</v>
      </c>
      <c r="AG2818" s="5">
        <f>IF(SalesData[[#This Row],[Customers Visited]]=0,0,SalesData[[#This Row],[Test Drives]]/SalesData[[#This Row],[Customers Visited]])</f>
        <v>0.45112781954887216</v>
      </c>
      <c r="AH2818" s="5">
        <f>IF(SalesData[[#This Row],[Customers Visited]]=0,0,SalesData[[#This Row],[Contracts Signed]]/SalesData[[#This Row],[Customers Visited]])</f>
        <v>0.11654135338345864</v>
      </c>
      <c r="AI2818" s="6">
        <f>IF(SalesData[[#This Row],[Contracts Signed]]=0,0,SalesData[[#This Row],[Profit(€)]]/SalesData[[#This Row],[Contracts Signed]])</f>
        <v>18306</v>
      </c>
      <c r="AJ2818" s="5" t="str">
        <f>TRIM(CLEAN(SalesData[[#This Row],[Retailer]]))</f>
        <v>Main Auto Hub</v>
      </c>
    </row>
    <row r="2819" spans="1:36" ht="14.25" hidden="1" x14ac:dyDescent="0.2">
      <c r="A2819" t="s">
        <v>3947</v>
      </c>
      <c r="B2819" s="1">
        <v>46064</v>
      </c>
      <c r="C2819" t="s">
        <v>121</v>
      </c>
      <c r="D2819" t="s">
        <v>82</v>
      </c>
      <c r="E2819" t="s">
        <v>26</v>
      </c>
      <c r="F2819" t="s">
        <v>94</v>
      </c>
      <c r="G2819" t="s">
        <v>95</v>
      </c>
      <c r="H2819" t="s">
        <v>96</v>
      </c>
      <c r="I2819" t="s">
        <v>56</v>
      </c>
      <c r="J2819" t="s">
        <v>7028</v>
      </c>
      <c r="K2819" t="s">
        <v>32</v>
      </c>
      <c r="L2819" t="s">
        <v>46</v>
      </c>
      <c r="M2819" t="s">
        <v>68</v>
      </c>
      <c r="N2819" t="s">
        <v>48</v>
      </c>
      <c r="O2819" t="s">
        <v>36</v>
      </c>
      <c r="P2819" t="s">
        <v>49</v>
      </c>
      <c r="Q2819" t="s">
        <v>347</v>
      </c>
      <c r="R2819">
        <v>223</v>
      </c>
      <c r="S2819">
        <v>106</v>
      </c>
      <c r="T2819">
        <v>75</v>
      </c>
      <c r="U2819">
        <v>23</v>
      </c>
      <c r="V2819" t="s">
        <v>6426</v>
      </c>
      <c r="W2819">
        <v>54282</v>
      </c>
      <c r="X2819" t="s">
        <v>2997</v>
      </c>
      <c r="Y2819">
        <v>41605</v>
      </c>
      <c r="Z2819">
        <v>1248486</v>
      </c>
      <c r="AA2819">
        <v>291571</v>
      </c>
      <c r="AB2819" t="str">
        <f>(VLOOKUP(SalesData[[#This Row],[Month Number]],Reference!C$5:E$16,2,FALSE))</f>
        <v>Feb</v>
      </c>
      <c r="AC2819">
        <f>MONTH(SalesData[[#This Row],[Date]])</f>
        <v>2</v>
      </c>
      <c r="AD2819">
        <f>Reference!F$4</f>
        <v>2026</v>
      </c>
      <c r="AE2819" t="str">
        <f>IF(OR(SalesData[[#This Row],[Day]]="Saturday",SalesData[[#This Row],[Day]]="Sunday"),"Weekend","Weekday")</f>
        <v>Weekday</v>
      </c>
      <c r="AF2819" s="5">
        <f>IF(SalesData[[#This Row],[Contracts Offered]]=0,0,SalesData[[#This Row],[Contracts Signed]]/SalesData[[#This Row],[Contracts Offered]])</f>
        <v>0.30666666666666664</v>
      </c>
      <c r="AG2819" s="5">
        <f>IF(SalesData[[#This Row],[Customers Visited]]=0,0,SalesData[[#This Row],[Test Drives]]/SalesData[[#This Row],[Customers Visited]])</f>
        <v>0.47533632286995514</v>
      </c>
      <c r="AH2819" s="5">
        <f>IF(SalesData[[#This Row],[Customers Visited]]=0,0,SalesData[[#This Row],[Contracts Signed]]/SalesData[[#This Row],[Customers Visited]])</f>
        <v>0.1031390134529148</v>
      </c>
      <c r="AI2819" s="6">
        <f>IF(SalesData[[#This Row],[Contracts Signed]]=0,0,SalesData[[#This Row],[Profit(€)]]/SalesData[[#This Row],[Contracts Signed]])</f>
        <v>12677</v>
      </c>
      <c r="AJ2819" s="5" t="str">
        <f>TRIM(CLEAN(SalesData[[#This Row],[Retailer]]))</f>
        <v>Bavaria Motors</v>
      </c>
    </row>
    <row r="2820" spans="1:36" ht="14.25" hidden="1" x14ac:dyDescent="0.2">
      <c r="A2820" t="s">
        <v>3948</v>
      </c>
      <c r="B2820" s="1">
        <v>46065</v>
      </c>
      <c r="C2820" t="s">
        <v>121</v>
      </c>
      <c r="D2820" t="s">
        <v>100</v>
      </c>
      <c r="E2820" t="s">
        <v>26</v>
      </c>
      <c r="F2820" t="s">
        <v>94</v>
      </c>
      <c r="G2820" t="s">
        <v>95</v>
      </c>
      <c r="H2820" t="s">
        <v>96</v>
      </c>
      <c r="I2820" t="s">
        <v>116</v>
      </c>
      <c r="J2820" t="s">
        <v>117</v>
      </c>
      <c r="K2820" t="s">
        <v>91</v>
      </c>
      <c r="L2820" t="s">
        <v>67</v>
      </c>
      <c r="M2820" t="s">
        <v>68</v>
      </c>
      <c r="N2820" t="s">
        <v>48</v>
      </c>
      <c r="O2820" t="s">
        <v>36</v>
      </c>
      <c r="P2820" t="s">
        <v>58</v>
      </c>
      <c r="Q2820" t="s">
        <v>135</v>
      </c>
      <c r="R2820">
        <v>408</v>
      </c>
      <c r="S2820">
        <v>178</v>
      </c>
      <c r="T2820">
        <v>107</v>
      </c>
      <c r="U2820">
        <v>37</v>
      </c>
      <c r="V2820" t="s">
        <v>6399</v>
      </c>
      <c r="W2820">
        <v>20763</v>
      </c>
      <c r="X2820" t="s">
        <v>1259</v>
      </c>
      <c r="Y2820">
        <v>18681</v>
      </c>
      <c r="Z2820">
        <v>768231</v>
      </c>
      <c r="AA2820">
        <v>77034</v>
      </c>
      <c r="AB2820" t="str">
        <f>(VLOOKUP(SalesData[[#This Row],[Month Number]],Reference!C$5:E$16,2,FALSE))</f>
        <v>Feb</v>
      </c>
      <c r="AC2820">
        <f>MONTH(SalesData[[#This Row],[Date]])</f>
        <v>2</v>
      </c>
      <c r="AD2820">
        <f>Reference!F$4</f>
        <v>2026</v>
      </c>
      <c r="AE2820" t="str">
        <f>IF(OR(SalesData[[#This Row],[Day]]="Saturday",SalesData[[#This Row],[Day]]="Sunday"),"Weekend","Weekday")</f>
        <v>Weekday</v>
      </c>
      <c r="AF2820" s="5">
        <f>IF(SalesData[[#This Row],[Contracts Offered]]=0,0,SalesData[[#This Row],[Contracts Signed]]/SalesData[[#This Row],[Contracts Offered]])</f>
        <v>0.34579439252336447</v>
      </c>
      <c r="AG2820" s="5">
        <f>IF(SalesData[[#This Row],[Customers Visited]]=0,0,SalesData[[#This Row],[Test Drives]]/SalesData[[#This Row],[Customers Visited]])</f>
        <v>0.43627450980392157</v>
      </c>
      <c r="AH2820" s="5">
        <f>IF(SalesData[[#This Row],[Customers Visited]]=0,0,SalesData[[#This Row],[Contracts Signed]]/SalesData[[#This Row],[Customers Visited]])</f>
        <v>9.0686274509803919E-2</v>
      </c>
      <c r="AI2820" s="6">
        <f>IF(SalesData[[#This Row],[Contracts Signed]]=0,0,SalesData[[#This Row],[Profit(€)]]/SalesData[[#This Row],[Contracts Signed]])</f>
        <v>2082</v>
      </c>
      <c r="AJ2820" s="5" t="str">
        <f>TRIM(CLEAN(SalesData[[#This Row],[Retailer]]))</f>
        <v>Bavaria Motors</v>
      </c>
    </row>
    <row r="2821" spans="1:36" ht="14.25" hidden="1" x14ac:dyDescent="0.2">
      <c r="A2821" t="s">
        <v>3949</v>
      </c>
      <c r="B2821" s="1">
        <v>46065</v>
      </c>
      <c r="C2821" t="s">
        <v>121</v>
      </c>
      <c r="D2821" t="s">
        <v>100</v>
      </c>
      <c r="E2821" t="s">
        <v>26</v>
      </c>
      <c r="F2821" t="s">
        <v>83</v>
      </c>
      <c r="G2821" t="s">
        <v>84</v>
      </c>
      <c r="H2821" t="s">
        <v>85</v>
      </c>
      <c r="I2821" t="s">
        <v>104</v>
      </c>
      <c r="J2821" t="s">
        <v>7061</v>
      </c>
      <c r="K2821" t="s">
        <v>66</v>
      </c>
      <c r="L2821" t="s">
        <v>46</v>
      </c>
      <c r="M2821" t="s">
        <v>87</v>
      </c>
      <c r="N2821" t="s">
        <v>48</v>
      </c>
      <c r="O2821" t="s">
        <v>70</v>
      </c>
      <c r="P2821" t="s">
        <v>58</v>
      </c>
      <c r="Q2821" t="s">
        <v>152</v>
      </c>
      <c r="R2821">
        <v>356</v>
      </c>
      <c r="S2821">
        <v>194</v>
      </c>
      <c r="T2821">
        <v>138</v>
      </c>
      <c r="U2821">
        <v>35</v>
      </c>
      <c r="V2821" t="s">
        <v>2909</v>
      </c>
      <c r="W2821">
        <v>32455</v>
      </c>
      <c r="X2821" t="s">
        <v>7358</v>
      </c>
      <c r="Y2821">
        <v>29082</v>
      </c>
      <c r="Z2821">
        <v>1135925</v>
      </c>
      <c r="AA2821">
        <v>118055</v>
      </c>
      <c r="AB2821" t="str">
        <f>(VLOOKUP(SalesData[[#This Row],[Month Number]],Reference!C$5:E$16,2,FALSE))</f>
        <v>Feb</v>
      </c>
      <c r="AC2821">
        <f>MONTH(SalesData[[#This Row],[Date]])</f>
        <v>2</v>
      </c>
      <c r="AD2821">
        <f>Reference!F$4</f>
        <v>2026</v>
      </c>
      <c r="AE2821" t="str">
        <f>IF(OR(SalesData[[#This Row],[Day]]="Saturday",SalesData[[#This Row],[Day]]="Sunday"),"Weekend","Weekday")</f>
        <v>Weekday</v>
      </c>
      <c r="AF2821" s="5">
        <f>IF(SalesData[[#This Row],[Contracts Offered]]=0,0,SalesData[[#This Row],[Contracts Signed]]/SalesData[[#This Row],[Contracts Offered]])</f>
        <v>0.25362318840579712</v>
      </c>
      <c r="AG2821" s="5">
        <f>IF(SalesData[[#This Row],[Customers Visited]]=0,0,SalesData[[#This Row],[Test Drives]]/SalesData[[#This Row],[Customers Visited]])</f>
        <v>0.5449438202247191</v>
      </c>
      <c r="AH2821" s="5">
        <f>IF(SalesData[[#This Row],[Customers Visited]]=0,0,SalesData[[#This Row],[Contracts Signed]]/SalesData[[#This Row],[Customers Visited]])</f>
        <v>9.8314606741573038E-2</v>
      </c>
      <c r="AI2821" s="6">
        <f>IF(SalesData[[#This Row],[Contracts Signed]]=0,0,SalesData[[#This Row],[Profit(€)]]/SalesData[[#This Row],[Contracts Signed]])</f>
        <v>3373</v>
      </c>
      <c r="AJ2821" s="5" t="str">
        <f>TRIM(CLEAN(SalesData[[#This Row],[Retailer]]))</f>
        <v>Hannover Cars</v>
      </c>
    </row>
    <row r="2822" spans="1:36" ht="14.25" x14ac:dyDescent="0.2">
      <c r="A2822" t="s">
        <v>3950</v>
      </c>
      <c r="B2822" s="1">
        <v>46076</v>
      </c>
      <c r="C2822" t="s">
        <v>53</v>
      </c>
      <c r="D2822" t="s">
        <v>25</v>
      </c>
      <c r="E2822" t="s">
        <v>26</v>
      </c>
      <c r="F2822" t="s">
        <v>43</v>
      </c>
      <c r="G2822" t="s">
        <v>44</v>
      </c>
      <c r="H2822" t="s">
        <v>45</v>
      </c>
      <c r="I2822" t="s">
        <v>30</v>
      </c>
      <c r="J2822" t="s">
        <v>86</v>
      </c>
      <c r="K2822" t="s">
        <v>32</v>
      </c>
      <c r="L2822" t="s">
        <v>33</v>
      </c>
      <c r="M2822" t="s">
        <v>47</v>
      </c>
      <c r="N2822" t="s">
        <v>35</v>
      </c>
      <c r="O2822" t="s">
        <v>70</v>
      </c>
      <c r="P2822" t="s">
        <v>58</v>
      </c>
      <c r="Q2822" t="s">
        <v>106</v>
      </c>
      <c r="R2822">
        <v>212</v>
      </c>
      <c r="S2822">
        <v>116</v>
      </c>
      <c r="T2822">
        <v>90</v>
      </c>
      <c r="U2822">
        <v>31</v>
      </c>
      <c r="V2822" t="s">
        <v>6607</v>
      </c>
      <c r="W2822">
        <v>58157</v>
      </c>
      <c r="X2822" t="s">
        <v>7224</v>
      </c>
      <c r="Y2822">
        <v>44555</v>
      </c>
      <c r="Z2822">
        <v>1802867</v>
      </c>
      <c r="AA2822">
        <v>421662</v>
      </c>
      <c r="AB2822" t="str">
        <f>(VLOOKUP(SalesData[[#This Row],[Month Number]],Reference!C$5:E$16,2,FALSE))</f>
        <v>Feb</v>
      </c>
      <c r="AC2822">
        <f>MONTH(SalesData[[#This Row],[Date]])</f>
        <v>2</v>
      </c>
      <c r="AD2822">
        <f>Reference!F$4</f>
        <v>2026</v>
      </c>
      <c r="AE2822" t="str">
        <f>IF(OR(SalesData[[#This Row],[Day]]="Saturday",SalesData[[#This Row],[Day]]="Sunday"),"Weekend","Weekday")</f>
        <v>Weekday</v>
      </c>
      <c r="AF2822" s="5">
        <f>IF(SalesData[[#This Row],[Contracts Offered]]=0,0,SalesData[[#This Row],[Contracts Signed]]/SalesData[[#This Row],[Contracts Offered]])</f>
        <v>0.34444444444444444</v>
      </c>
      <c r="AG2822" s="5">
        <f>IF(SalesData[[#This Row],[Customers Visited]]=0,0,SalesData[[#This Row],[Test Drives]]/SalesData[[#This Row],[Customers Visited]])</f>
        <v>0.54716981132075471</v>
      </c>
      <c r="AH2822" s="5">
        <f>IF(SalesData[[#This Row],[Customers Visited]]=0,0,SalesData[[#This Row],[Contracts Signed]]/SalesData[[#This Row],[Customers Visited]])</f>
        <v>0.14622641509433962</v>
      </c>
      <c r="AI2822" s="6">
        <f>IF(SalesData[[#This Row],[Contracts Signed]]=0,0,SalesData[[#This Row],[Profit(€)]]/SalesData[[#This Row],[Contracts Signed]])</f>
        <v>13602</v>
      </c>
      <c r="AJ2822" s="5" t="str">
        <f>TRIM(CLEAN(SalesData[[#This Row],[Retailer]]))</f>
        <v>Saxon Wheels</v>
      </c>
    </row>
    <row r="2823" spans="1:36" ht="14.25" hidden="1" x14ac:dyDescent="0.2">
      <c r="A2823" t="s">
        <v>3951</v>
      </c>
      <c r="B2823" s="1">
        <v>46077</v>
      </c>
      <c r="C2823" t="s">
        <v>53</v>
      </c>
      <c r="D2823" t="s">
        <v>63</v>
      </c>
      <c r="E2823" t="s">
        <v>26</v>
      </c>
      <c r="F2823" t="s">
        <v>127</v>
      </c>
      <c r="G2823" t="s">
        <v>128</v>
      </c>
      <c r="H2823" t="s">
        <v>103</v>
      </c>
      <c r="I2823" t="s">
        <v>104</v>
      </c>
      <c r="J2823" t="s">
        <v>143</v>
      </c>
      <c r="K2823" t="s">
        <v>66</v>
      </c>
      <c r="L2823" t="s">
        <v>67</v>
      </c>
      <c r="M2823" t="s">
        <v>68</v>
      </c>
      <c r="N2823" t="s">
        <v>69</v>
      </c>
      <c r="O2823" t="s">
        <v>70</v>
      </c>
      <c r="P2823" t="s">
        <v>49</v>
      </c>
      <c r="Q2823" t="s">
        <v>106</v>
      </c>
      <c r="R2823">
        <v>351</v>
      </c>
      <c r="S2823">
        <v>184</v>
      </c>
      <c r="T2823">
        <v>128</v>
      </c>
      <c r="U2823">
        <v>29</v>
      </c>
      <c r="V2823" t="s">
        <v>1327</v>
      </c>
      <c r="W2823">
        <v>27330</v>
      </c>
      <c r="X2823" t="s">
        <v>3596</v>
      </c>
      <c r="Y2823">
        <v>23693</v>
      </c>
      <c r="Z2823">
        <v>792570</v>
      </c>
      <c r="AA2823">
        <v>105473</v>
      </c>
      <c r="AB2823" t="str">
        <f>(VLOOKUP(SalesData[[#This Row],[Month Number]],Reference!C$5:E$16,2,FALSE))</f>
        <v>Feb</v>
      </c>
      <c r="AC2823">
        <f>MONTH(SalesData[[#This Row],[Date]])</f>
        <v>2</v>
      </c>
      <c r="AD2823">
        <f>Reference!F$4</f>
        <v>2026</v>
      </c>
      <c r="AE2823" t="str">
        <f>IF(OR(SalesData[[#This Row],[Day]]="Saturday",SalesData[[#This Row],[Day]]="Sunday"),"Weekend","Weekday")</f>
        <v>Weekday</v>
      </c>
      <c r="AF2823" s="5">
        <f>IF(SalesData[[#This Row],[Contracts Offered]]=0,0,SalesData[[#This Row],[Contracts Signed]]/SalesData[[#This Row],[Contracts Offered]])</f>
        <v>0.2265625</v>
      </c>
      <c r="AG2823" s="5">
        <f>IF(SalesData[[#This Row],[Customers Visited]]=0,0,SalesData[[#This Row],[Test Drives]]/SalesData[[#This Row],[Customers Visited]])</f>
        <v>0.5242165242165242</v>
      </c>
      <c r="AH2823" s="5">
        <f>IF(SalesData[[#This Row],[Customers Visited]]=0,0,SalesData[[#This Row],[Contracts Signed]]/SalesData[[#This Row],[Customers Visited]])</f>
        <v>8.2621082621082614E-2</v>
      </c>
      <c r="AI2823" s="6">
        <f>IF(SalesData[[#This Row],[Contracts Signed]]=0,0,SalesData[[#This Row],[Profit(€)]]/SalesData[[#This Row],[Contracts Signed]])</f>
        <v>3637</v>
      </c>
      <c r="AJ2823" s="5" t="str">
        <f>TRIM(CLEAN(SalesData[[#This Row],[Retailer]]))</f>
        <v>Rhein Auto Group</v>
      </c>
    </row>
    <row r="2824" spans="1:36" ht="14.25" hidden="1" x14ac:dyDescent="0.2">
      <c r="A2824" t="s">
        <v>3952</v>
      </c>
      <c r="B2824" s="1">
        <v>46079</v>
      </c>
      <c r="C2824" t="s">
        <v>53</v>
      </c>
      <c r="D2824" t="s">
        <v>100</v>
      </c>
      <c r="E2824" t="s">
        <v>26</v>
      </c>
      <c r="F2824" t="s">
        <v>101</v>
      </c>
      <c r="G2824" t="s">
        <v>102</v>
      </c>
      <c r="H2824" t="s">
        <v>103</v>
      </c>
      <c r="I2824" t="s">
        <v>64</v>
      </c>
      <c r="J2824" t="s">
        <v>111</v>
      </c>
      <c r="K2824" t="s">
        <v>32</v>
      </c>
      <c r="L2824" t="s">
        <v>46</v>
      </c>
      <c r="M2824" t="s">
        <v>47</v>
      </c>
      <c r="N2824" t="s">
        <v>69</v>
      </c>
      <c r="O2824" t="s">
        <v>70</v>
      </c>
      <c r="P2824" t="s">
        <v>58</v>
      </c>
      <c r="Q2824" t="s">
        <v>106</v>
      </c>
      <c r="R2824">
        <v>288</v>
      </c>
      <c r="S2824">
        <v>131</v>
      </c>
      <c r="T2824">
        <v>98</v>
      </c>
      <c r="U2824">
        <v>35</v>
      </c>
      <c r="V2824" t="s">
        <v>6607</v>
      </c>
      <c r="W2824">
        <v>53454</v>
      </c>
      <c r="X2824" t="s">
        <v>7179</v>
      </c>
      <c r="Y2824">
        <v>41071</v>
      </c>
      <c r="Z2824">
        <v>1870890</v>
      </c>
      <c r="AA2824">
        <v>433405</v>
      </c>
      <c r="AB2824" t="str">
        <f>(VLOOKUP(SalesData[[#This Row],[Month Number]],Reference!C$5:E$16,2,FALSE))</f>
        <v>Feb</v>
      </c>
      <c r="AC2824">
        <f>MONTH(SalesData[[#This Row],[Date]])</f>
        <v>2</v>
      </c>
      <c r="AD2824">
        <f>Reference!F$4</f>
        <v>2026</v>
      </c>
      <c r="AE2824" t="str">
        <f>IF(OR(SalesData[[#This Row],[Day]]="Saturday",SalesData[[#This Row],[Day]]="Sunday"),"Weekend","Weekday")</f>
        <v>Weekday</v>
      </c>
      <c r="AF2824" s="5">
        <f>IF(SalesData[[#This Row],[Contracts Offered]]=0,0,SalesData[[#This Row],[Contracts Signed]]/SalesData[[#This Row],[Contracts Offered]])</f>
        <v>0.35714285714285715</v>
      </c>
      <c r="AG2824" s="5">
        <f>IF(SalesData[[#This Row],[Customers Visited]]=0,0,SalesData[[#This Row],[Test Drives]]/SalesData[[#This Row],[Customers Visited]])</f>
        <v>0.4548611111111111</v>
      </c>
      <c r="AH2824" s="5">
        <f>IF(SalesData[[#This Row],[Customers Visited]]=0,0,SalesData[[#This Row],[Contracts Signed]]/SalesData[[#This Row],[Customers Visited]])</f>
        <v>0.12152777777777778</v>
      </c>
      <c r="AI2824" s="6">
        <f>IF(SalesData[[#This Row],[Contracts Signed]]=0,0,SalesData[[#This Row],[Profit(€)]]/SalesData[[#This Row],[Contracts Signed]])</f>
        <v>12383</v>
      </c>
      <c r="AJ2824" s="5" t="str">
        <f>TRIM(CLEAN(SalesData[[#This Row],[Retailer]]))</f>
        <v>Ruhr Auto Plaza</v>
      </c>
    </row>
    <row r="2825" spans="1:36" ht="14.25" hidden="1" x14ac:dyDescent="0.2">
      <c r="A2825" t="s">
        <v>3953</v>
      </c>
      <c r="B2825" s="1">
        <v>46057</v>
      </c>
      <c r="C2825" t="s">
        <v>24</v>
      </c>
      <c r="D2825" t="s">
        <v>82</v>
      </c>
      <c r="E2825" t="s">
        <v>26</v>
      </c>
      <c r="F2825" t="s">
        <v>27</v>
      </c>
      <c r="G2825" t="s">
        <v>28</v>
      </c>
      <c r="H2825" t="s">
        <v>29</v>
      </c>
      <c r="I2825" t="s">
        <v>116</v>
      </c>
      <c r="J2825" t="s">
        <v>7026</v>
      </c>
      <c r="K2825" t="s">
        <v>78</v>
      </c>
      <c r="L2825" t="s">
        <v>46</v>
      </c>
      <c r="M2825" t="s">
        <v>68</v>
      </c>
      <c r="N2825" t="s">
        <v>48</v>
      </c>
      <c r="O2825" t="s">
        <v>70</v>
      </c>
      <c r="P2825" t="s">
        <v>71</v>
      </c>
      <c r="Q2825" t="s">
        <v>204</v>
      </c>
      <c r="R2825">
        <v>310</v>
      </c>
      <c r="S2825">
        <v>124</v>
      </c>
      <c r="T2825">
        <v>73</v>
      </c>
      <c r="U2825">
        <v>21</v>
      </c>
      <c r="V2825" t="s">
        <v>413</v>
      </c>
      <c r="W2825">
        <v>24324</v>
      </c>
      <c r="X2825" t="s">
        <v>2404</v>
      </c>
      <c r="Y2825">
        <v>22214</v>
      </c>
      <c r="Z2825">
        <v>510804</v>
      </c>
      <c r="AA2825">
        <v>44310</v>
      </c>
      <c r="AB2825" t="str">
        <f>(VLOOKUP(SalesData[[#This Row],[Month Number]],Reference!C$5:E$16,2,FALSE))</f>
        <v>Feb</v>
      </c>
      <c r="AC2825">
        <f>MONTH(SalesData[[#This Row],[Date]])</f>
        <v>2</v>
      </c>
      <c r="AD2825">
        <f>Reference!F$4</f>
        <v>2026</v>
      </c>
      <c r="AE2825" t="str">
        <f>IF(OR(SalesData[[#This Row],[Day]]="Saturday",SalesData[[#This Row],[Day]]="Sunday"),"Weekend","Weekday")</f>
        <v>Weekday</v>
      </c>
      <c r="AF2825" s="5">
        <f>IF(SalesData[[#This Row],[Contracts Offered]]=0,0,SalesData[[#This Row],[Contracts Signed]]/SalesData[[#This Row],[Contracts Offered]])</f>
        <v>0.28767123287671231</v>
      </c>
      <c r="AG2825" s="5">
        <f>IF(SalesData[[#This Row],[Customers Visited]]=0,0,SalesData[[#This Row],[Test Drives]]/SalesData[[#This Row],[Customers Visited]])</f>
        <v>0.4</v>
      </c>
      <c r="AH2825" s="5">
        <f>IF(SalesData[[#This Row],[Customers Visited]]=0,0,SalesData[[#This Row],[Contracts Signed]]/SalesData[[#This Row],[Customers Visited]])</f>
        <v>6.7741935483870974E-2</v>
      </c>
      <c r="AI2825" s="6">
        <f>IF(SalesData[[#This Row],[Contracts Signed]]=0,0,SalesData[[#This Row],[Profit(€)]]/SalesData[[#This Row],[Contracts Signed]])</f>
        <v>2110</v>
      </c>
      <c r="AJ2825" s="5" t="str">
        <f>TRIM(CLEAN(SalesData[[#This Row],[Retailer]]))</f>
        <v>Main Auto Hub</v>
      </c>
    </row>
    <row r="2826" spans="1:36" ht="14.25" hidden="1" x14ac:dyDescent="0.2">
      <c r="A2826" t="s">
        <v>3954</v>
      </c>
      <c r="B2826" s="1">
        <v>46073</v>
      </c>
      <c r="C2826" t="s">
        <v>62</v>
      </c>
      <c r="D2826" t="s">
        <v>54</v>
      </c>
      <c r="E2826" t="s">
        <v>26</v>
      </c>
      <c r="F2826" t="s">
        <v>74</v>
      </c>
      <c r="G2826" t="s">
        <v>75</v>
      </c>
      <c r="H2826" t="s">
        <v>76</v>
      </c>
      <c r="I2826" t="s">
        <v>104</v>
      </c>
      <c r="J2826" t="s">
        <v>105</v>
      </c>
      <c r="K2826" t="s">
        <v>91</v>
      </c>
      <c r="L2826" t="s">
        <v>33</v>
      </c>
      <c r="M2826" t="s">
        <v>68</v>
      </c>
      <c r="N2826" t="s">
        <v>35</v>
      </c>
      <c r="O2826" t="s">
        <v>36</v>
      </c>
      <c r="P2826" t="s">
        <v>71</v>
      </c>
      <c r="Q2826" t="s">
        <v>122</v>
      </c>
      <c r="R2826">
        <v>436</v>
      </c>
      <c r="S2826">
        <v>191</v>
      </c>
      <c r="T2826">
        <v>114</v>
      </c>
      <c r="U2826">
        <v>35</v>
      </c>
      <c r="V2826" t="s">
        <v>1736</v>
      </c>
      <c r="W2826">
        <v>31747</v>
      </c>
      <c r="X2826" t="s">
        <v>1028</v>
      </c>
      <c r="Y2826">
        <v>28036</v>
      </c>
      <c r="Z2826">
        <v>1111145</v>
      </c>
      <c r="AA2826">
        <v>129885</v>
      </c>
      <c r="AB2826" t="str">
        <f>(VLOOKUP(SalesData[[#This Row],[Month Number]],Reference!C$5:E$16,2,FALSE))</f>
        <v>Feb</v>
      </c>
      <c r="AC2826">
        <f>MONTH(SalesData[[#This Row],[Date]])</f>
        <v>2</v>
      </c>
      <c r="AD2826">
        <f>Reference!F$4</f>
        <v>2026</v>
      </c>
      <c r="AE2826" t="str">
        <f>IF(OR(SalesData[[#This Row],[Day]]="Saturday",SalesData[[#This Row],[Day]]="Sunday"),"Weekend","Weekday")</f>
        <v>Weekday</v>
      </c>
      <c r="AF2826" s="5">
        <f>IF(SalesData[[#This Row],[Contracts Offered]]=0,0,SalesData[[#This Row],[Contracts Signed]]/SalesData[[#This Row],[Contracts Offered]])</f>
        <v>0.30701754385964913</v>
      </c>
      <c r="AG2826" s="5">
        <f>IF(SalesData[[#This Row],[Customers Visited]]=0,0,SalesData[[#This Row],[Test Drives]]/SalesData[[#This Row],[Customers Visited]])</f>
        <v>0.43807339449541283</v>
      </c>
      <c r="AH2826" s="5">
        <f>IF(SalesData[[#This Row],[Customers Visited]]=0,0,SalesData[[#This Row],[Contracts Signed]]/SalesData[[#This Row],[Customers Visited]])</f>
        <v>8.027522935779817E-2</v>
      </c>
      <c r="AI2826" s="6">
        <f>IF(SalesData[[#This Row],[Contracts Signed]]=0,0,SalesData[[#This Row],[Profit(€)]]/SalesData[[#This Row],[Contracts Signed]])</f>
        <v>3711</v>
      </c>
      <c r="AJ2826" s="5" t="str">
        <f>TRIM(CLEAN(SalesData[[#This Row],[Retailer]]))</f>
        <v>Stuttgart Auto Center</v>
      </c>
    </row>
    <row r="2827" spans="1:36" ht="14.25" hidden="1" x14ac:dyDescent="0.2">
      <c r="A2827" t="s">
        <v>3955</v>
      </c>
      <c r="B2827" s="1">
        <v>46075</v>
      </c>
      <c r="C2827" t="s">
        <v>53</v>
      </c>
      <c r="D2827" t="s">
        <v>41</v>
      </c>
      <c r="E2827" t="s">
        <v>42</v>
      </c>
      <c r="F2827" t="s">
        <v>114</v>
      </c>
      <c r="G2827" t="s">
        <v>115</v>
      </c>
      <c r="H2827" t="s">
        <v>115</v>
      </c>
      <c r="I2827" t="s">
        <v>56</v>
      </c>
      <c r="J2827" t="s">
        <v>137</v>
      </c>
      <c r="K2827" t="s">
        <v>32</v>
      </c>
      <c r="L2827" t="s">
        <v>46</v>
      </c>
      <c r="M2827" t="s">
        <v>87</v>
      </c>
      <c r="N2827" t="s">
        <v>69</v>
      </c>
      <c r="O2827" t="s">
        <v>36</v>
      </c>
      <c r="P2827" t="s">
        <v>71</v>
      </c>
      <c r="Q2827" t="s">
        <v>144</v>
      </c>
      <c r="R2827">
        <v>175</v>
      </c>
      <c r="S2827">
        <v>85</v>
      </c>
      <c r="T2827">
        <v>65</v>
      </c>
      <c r="U2827">
        <v>19</v>
      </c>
      <c r="V2827" t="s">
        <v>6744</v>
      </c>
      <c r="W2827">
        <v>55535</v>
      </c>
      <c r="X2827" t="s">
        <v>7536</v>
      </c>
      <c r="Y2827">
        <v>44909</v>
      </c>
      <c r="Z2827">
        <v>1055165</v>
      </c>
      <c r="AA2827">
        <v>201894</v>
      </c>
      <c r="AB2827" t="str">
        <f>(VLOOKUP(SalesData[[#This Row],[Month Number]],Reference!C$5:E$16,2,FALSE))</f>
        <v>Feb</v>
      </c>
      <c r="AC2827">
        <f>MONTH(SalesData[[#This Row],[Date]])</f>
        <v>2</v>
      </c>
      <c r="AD2827">
        <f>Reference!F$4</f>
        <v>2026</v>
      </c>
      <c r="AE2827" t="str">
        <f>IF(OR(SalesData[[#This Row],[Day]]="Saturday",SalesData[[#This Row],[Day]]="Sunday"),"Weekend","Weekday")</f>
        <v>Weekend</v>
      </c>
      <c r="AF2827" s="5">
        <f>IF(SalesData[[#This Row],[Contracts Offered]]=0,0,SalesData[[#This Row],[Contracts Signed]]/SalesData[[#This Row],[Contracts Offered]])</f>
        <v>0.29230769230769232</v>
      </c>
      <c r="AG2827" s="5">
        <f>IF(SalesData[[#This Row],[Customers Visited]]=0,0,SalesData[[#This Row],[Test Drives]]/SalesData[[#This Row],[Customers Visited]])</f>
        <v>0.48571428571428571</v>
      </c>
      <c r="AH2827" s="5">
        <f>IF(SalesData[[#This Row],[Customers Visited]]=0,0,SalesData[[#This Row],[Contracts Signed]]/SalesData[[#This Row],[Customers Visited]])</f>
        <v>0.10857142857142857</v>
      </c>
      <c r="AI2827" s="6">
        <f>IF(SalesData[[#This Row],[Contracts Signed]]=0,0,SalesData[[#This Row],[Profit(€)]]/SalesData[[#This Row],[Contracts Signed]])</f>
        <v>10626</v>
      </c>
      <c r="AJ2827" s="5" t="str">
        <f>TRIM(CLEAN(SalesData[[#This Row],[Retailer]]))</f>
        <v>Elbe Drive</v>
      </c>
    </row>
    <row r="2828" spans="1:36" ht="14.25" hidden="1" x14ac:dyDescent="0.2">
      <c r="A2828" t="s">
        <v>3956</v>
      </c>
      <c r="B2828" s="1">
        <v>46056</v>
      </c>
      <c r="C2828" t="s">
        <v>24</v>
      </c>
      <c r="D2828" t="s">
        <v>63</v>
      </c>
      <c r="E2828" t="s">
        <v>26</v>
      </c>
      <c r="F2828" t="s">
        <v>7649</v>
      </c>
      <c r="G2828" t="s">
        <v>55</v>
      </c>
      <c r="H2828" t="s">
        <v>55</v>
      </c>
      <c r="I2828" t="s">
        <v>104</v>
      </c>
      <c r="J2828" t="s">
        <v>140</v>
      </c>
      <c r="K2828" t="s">
        <v>66</v>
      </c>
      <c r="L2828" t="s">
        <v>46</v>
      </c>
      <c r="M2828" t="s">
        <v>87</v>
      </c>
      <c r="N2828" t="s">
        <v>48</v>
      </c>
      <c r="O2828" t="s">
        <v>36</v>
      </c>
      <c r="P2828" t="s">
        <v>49</v>
      </c>
      <c r="Q2828" t="s">
        <v>50</v>
      </c>
      <c r="R2828">
        <v>326</v>
      </c>
      <c r="S2828">
        <v>188</v>
      </c>
      <c r="T2828">
        <v>123</v>
      </c>
      <c r="U2828">
        <v>26</v>
      </c>
      <c r="V2828" t="s">
        <v>311</v>
      </c>
      <c r="W2828">
        <v>27936</v>
      </c>
      <c r="X2828" t="s">
        <v>544</v>
      </c>
      <c r="Y2828">
        <v>25010</v>
      </c>
      <c r="Z2828">
        <v>726336</v>
      </c>
      <c r="AA2828">
        <v>76076</v>
      </c>
      <c r="AB2828" t="str">
        <f>(VLOOKUP(SalesData[[#This Row],[Month Number]],Reference!C$5:E$16,2,FALSE))</f>
        <v>Feb</v>
      </c>
      <c r="AC2828">
        <f>MONTH(SalesData[[#This Row],[Date]])</f>
        <v>2</v>
      </c>
      <c r="AD2828">
        <f>Reference!F$4</f>
        <v>2026</v>
      </c>
      <c r="AE2828" t="str">
        <f>IF(OR(SalesData[[#This Row],[Day]]="Saturday",SalesData[[#This Row],[Day]]="Sunday"),"Weekend","Weekday")</f>
        <v>Weekday</v>
      </c>
      <c r="AF2828" s="5">
        <f>IF(SalesData[[#This Row],[Contracts Offered]]=0,0,SalesData[[#This Row],[Contracts Signed]]/SalesData[[#This Row],[Contracts Offered]])</f>
        <v>0.21138211382113822</v>
      </c>
      <c r="AG2828" s="5">
        <f>IF(SalesData[[#This Row],[Customers Visited]]=0,0,SalesData[[#This Row],[Test Drives]]/SalesData[[#This Row],[Customers Visited]])</f>
        <v>0.57668711656441718</v>
      </c>
      <c r="AH2828" s="5">
        <f>IF(SalesData[[#This Row],[Customers Visited]]=0,0,SalesData[[#This Row],[Contracts Signed]]/SalesData[[#This Row],[Customers Visited]])</f>
        <v>7.9754601226993863E-2</v>
      </c>
      <c r="AI2828" s="6">
        <f>IF(SalesData[[#This Row],[Contracts Signed]]=0,0,SalesData[[#This Row],[Profit(€)]]/SalesData[[#This Row],[Contracts Signed]])</f>
        <v>2926</v>
      </c>
      <c r="AJ2828" s="5" t="str">
        <f>TRIM(CLEAN(SalesData[[#This Row],[Retailer]]))</f>
        <v>Autohaus Berlin</v>
      </c>
    </row>
    <row r="2829" spans="1:36" ht="14.25" hidden="1" x14ac:dyDescent="0.2">
      <c r="A2829" t="s">
        <v>3957</v>
      </c>
      <c r="B2829" s="1">
        <v>46080</v>
      </c>
      <c r="C2829" t="s">
        <v>53</v>
      </c>
      <c r="D2829" t="s">
        <v>54</v>
      </c>
      <c r="E2829" t="s">
        <v>26</v>
      </c>
      <c r="F2829" t="s">
        <v>27</v>
      </c>
      <c r="G2829" t="s">
        <v>28</v>
      </c>
      <c r="H2829" t="s">
        <v>29</v>
      </c>
      <c r="I2829" t="s">
        <v>104</v>
      </c>
      <c r="J2829" t="s">
        <v>105</v>
      </c>
      <c r="K2829" t="s">
        <v>78</v>
      </c>
      <c r="L2829" t="s">
        <v>33</v>
      </c>
      <c r="M2829" t="s">
        <v>47</v>
      </c>
      <c r="N2829" t="s">
        <v>48</v>
      </c>
      <c r="O2829" t="s">
        <v>36</v>
      </c>
      <c r="P2829" t="s">
        <v>37</v>
      </c>
      <c r="Q2829" t="s">
        <v>158</v>
      </c>
      <c r="R2829">
        <v>489</v>
      </c>
      <c r="S2829">
        <v>238</v>
      </c>
      <c r="T2829">
        <v>156</v>
      </c>
      <c r="U2829">
        <v>39</v>
      </c>
      <c r="V2829" t="s">
        <v>4469</v>
      </c>
      <c r="W2829">
        <v>26740</v>
      </c>
      <c r="X2829" t="s">
        <v>1759</v>
      </c>
      <c r="Y2829">
        <v>23455</v>
      </c>
      <c r="Z2829">
        <v>1042860</v>
      </c>
      <c r="AA2829">
        <v>128115</v>
      </c>
      <c r="AB2829" t="str">
        <f>(VLOOKUP(SalesData[[#This Row],[Month Number]],Reference!C$5:E$16,2,FALSE))</f>
        <v>Feb</v>
      </c>
      <c r="AC2829">
        <f>MONTH(SalesData[[#This Row],[Date]])</f>
        <v>2</v>
      </c>
      <c r="AD2829">
        <f>Reference!F$4</f>
        <v>2026</v>
      </c>
      <c r="AE2829" t="str">
        <f>IF(OR(SalesData[[#This Row],[Day]]="Saturday",SalesData[[#This Row],[Day]]="Sunday"),"Weekend","Weekday")</f>
        <v>Weekday</v>
      </c>
      <c r="AF2829" s="5">
        <f>IF(SalesData[[#This Row],[Contracts Offered]]=0,0,SalesData[[#This Row],[Contracts Signed]]/SalesData[[#This Row],[Contracts Offered]])</f>
        <v>0.25</v>
      </c>
      <c r="AG2829" s="5">
        <f>IF(SalesData[[#This Row],[Customers Visited]]=0,0,SalesData[[#This Row],[Test Drives]]/SalesData[[#This Row],[Customers Visited]])</f>
        <v>0.48670756646216767</v>
      </c>
      <c r="AH2829" s="5">
        <f>IF(SalesData[[#This Row],[Customers Visited]]=0,0,SalesData[[#This Row],[Contracts Signed]]/SalesData[[#This Row],[Customers Visited]])</f>
        <v>7.9754601226993863E-2</v>
      </c>
      <c r="AI2829" s="6">
        <f>IF(SalesData[[#This Row],[Contracts Signed]]=0,0,SalesData[[#This Row],[Profit(€)]]/SalesData[[#This Row],[Contracts Signed]])</f>
        <v>3285</v>
      </c>
      <c r="AJ2829" s="5" t="str">
        <f>TRIM(CLEAN(SalesData[[#This Row],[Retailer]]))</f>
        <v>Main Auto Hub</v>
      </c>
    </row>
    <row r="2830" spans="1:36" ht="14.25" hidden="1" x14ac:dyDescent="0.2">
      <c r="A2830" t="s">
        <v>3958</v>
      </c>
      <c r="B2830" s="1">
        <v>46069</v>
      </c>
      <c r="C2830" t="s">
        <v>62</v>
      </c>
      <c r="D2830" t="s">
        <v>25</v>
      </c>
      <c r="E2830" t="s">
        <v>26</v>
      </c>
      <c r="F2830" t="s">
        <v>27</v>
      </c>
      <c r="G2830" t="s">
        <v>28</v>
      </c>
      <c r="H2830" t="s">
        <v>29</v>
      </c>
      <c r="I2830" t="s">
        <v>116</v>
      </c>
      <c r="J2830" t="s">
        <v>203</v>
      </c>
      <c r="K2830" t="s">
        <v>91</v>
      </c>
      <c r="L2830" t="s">
        <v>67</v>
      </c>
      <c r="M2830" t="s">
        <v>68</v>
      </c>
      <c r="N2830" t="s">
        <v>48</v>
      </c>
      <c r="O2830" t="s">
        <v>36</v>
      </c>
      <c r="P2830" t="s">
        <v>71</v>
      </c>
      <c r="Q2830" t="s">
        <v>88</v>
      </c>
      <c r="R2830">
        <v>425</v>
      </c>
      <c r="S2830">
        <v>178</v>
      </c>
      <c r="T2830">
        <v>117</v>
      </c>
      <c r="U2830">
        <v>28</v>
      </c>
      <c r="V2830" t="s">
        <v>3410</v>
      </c>
      <c r="W2830">
        <v>23843</v>
      </c>
      <c r="X2830" t="s">
        <v>2286</v>
      </c>
      <c r="Y2830">
        <v>21723</v>
      </c>
      <c r="Z2830">
        <v>667604</v>
      </c>
      <c r="AA2830">
        <v>59360</v>
      </c>
      <c r="AB2830" t="str">
        <f>(VLOOKUP(SalesData[[#This Row],[Month Number]],Reference!C$5:E$16,2,FALSE))</f>
        <v>Feb</v>
      </c>
      <c r="AC2830">
        <f>MONTH(SalesData[[#This Row],[Date]])</f>
        <v>2</v>
      </c>
      <c r="AD2830">
        <f>Reference!F$4</f>
        <v>2026</v>
      </c>
      <c r="AE2830" t="str">
        <f>IF(OR(SalesData[[#This Row],[Day]]="Saturday",SalesData[[#This Row],[Day]]="Sunday"),"Weekend","Weekday")</f>
        <v>Weekday</v>
      </c>
      <c r="AF2830" s="5">
        <f>IF(SalesData[[#This Row],[Contracts Offered]]=0,0,SalesData[[#This Row],[Contracts Signed]]/SalesData[[#This Row],[Contracts Offered]])</f>
        <v>0.23931623931623933</v>
      </c>
      <c r="AG2830" s="5">
        <f>IF(SalesData[[#This Row],[Customers Visited]]=0,0,SalesData[[#This Row],[Test Drives]]/SalesData[[#This Row],[Customers Visited]])</f>
        <v>0.41882352941176471</v>
      </c>
      <c r="AH2830" s="5">
        <f>IF(SalesData[[#This Row],[Customers Visited]]=0,0,SalesData[[#This Row],[Contracts Signed]]/SalesData[[#This Row],[Customers Visited]])</f>
        <v>6.5882352941176475E-2</v>
      </c>
      <c r="AI2830" s="6">
        <f>IF(SalesData[[#This Row],[Contracts Signed]]=0,0,SalesData[[#This Row],[Profit(€)]]/SalesData[[#This Row],[Contracts Signed]])</f>
        <v>2120</v>
      </c>
      <c r="AJ2830" s="5" t="str">
        <f>TRIM(CLEAN(SalesData[[#This Row],[Retailer]]))</f>
        <v>Main Auto Hub</v>
      </c>
    </row>
    <row r="2831" spans="1:36" ht="14.25" hidden="1" x14ac:dyDescent="0.2">
      <c r="A2831" t="s">
        <v>3959</v>
      </c>
      <c r="B2831" s="1">
        <v>46074</v>
      </c>
      <c r="C2831" t="s">
        <v>62</v>
      </c>
      <c r="D2831" t="s">
        <v>151</v>
      </c>
      <c r="E2831" t="s">
        <v>42</v>
      </c>
      <c r="F2831" t="s">
        <v>74</v>
      </c>
      <c r="G2831" t="s">
        <v>75</v>
      </c>
      <c r="H2831" t="s">
        <v>76</v>
      </c>
      <c r="I2831" t="s">
        <v>64</v>
      </c>
      <c r="J2831" t="s">
        <v>65</v>
      </c>
      <c r="K2831" t="s">
        <v>66</v>
      </c>
      <c r="L2831" t="s">
        <v>33</v>
      </c>
      <c r="M2831" t="s">
        <v>68</v>
      </c>
      <c r="N2831" t="s">
        <v>48</v>
      </c>
      <c r="O2831" t="s">
        <v>36</v>
      </c>
      <c r="P2831" t="s">
        <v>71</v>
      </c>
      <c r="Q2831" t="s">
        <v>135</v>
      </c>
      <c r="R2831">
        <v>204</v>
      </c>
      <c r="S2831">
        <v>103</v>
      </c>
      <c r="T2831">
        <v>80</v>
      </c>
      <c r="U2831">
        <v>27</v>
      </c>
      <c r="V2831" t="s">
        <v>6993</v>
      </c>
      <c r="W2831">
        <v>53055</v>
      </c>
      <c r="X2831" t="s">
        <v>2142</v>
      </c>
      <c r="Y2831">
        <v>37763</v>
      </c>
      <c r="Z2831">
        <v>1432485</v>
      </c>
      <c r="AA2831">
        <v>412884</v>
      </c>
      <c r="AB2831" t="str">
        <f>(VLOOKUP(SalesData[[#This Row],[Month Number]],Reference!C$5:E$16,2,FALSE))</f>
        <v>Feb</v>
      </c>
      <c r="AC2831">
        <f>MONTH(SalesData[[#This Row],[Date]])</f>
        <v>2</v>
      </c>
      <c r="AD2831">
        <f>Reference!F$4</f>
        <v>2026</v>
      </c>
      <c r="AE2831" t="str">
        <f>IF(OR(SalesData[[#This Row],[Day]]="Saturday",SalesData[[#This Row],[Day]]="Sunday"),"Weekend","Weekday")</f>
        <v>Weekend</v>
      </c>
      <c r="AF2831" s="5">
        <f>IF(SalesData[[#This Row],[Contracts Offered]]=0,0,SalesData[[#This Row],[Contracts Signed]]/SalesData[[#This Row],[Contracts Offered]])</f>
        <v>0.33750000000000002</v>
      </c>
      <c r="AG2831" s="5">
        <f>IF(SalesData[[#This Row],[Customers Visited]]=0,0,SalesData[[#This Row],[Test Drives]]/SalesData[[#This Row],[Customers Visited]])</f>
        <v>0.50490196078431371</v>
      </c>
      <c r="AH2831" s="5">
        <f>IF(SalesData[[#This Row],[Customers Visited]]=0,0,SalesData[[#This Row],[Contracts Signed]]/SalesData[[#This Row],[Customers Visited]])</f>
        <v>0.13235294117647059</v>
      </c>
      <c r="AI2831" s="6">
        <f>IF(SalesData[[#This Row],[Contracts Signed]]=0,0,SalesData[[#This Row],[Profit(€)]]/SalesData[[#This Row],[Contracts Signed]])</f>
        <v>15292</v>
      </c>
      <c r="AJ2831" s="5" t="str">
        <f>TRIM(CLEAN(SalesData[[#This Row],[Retailer]]))</f>
        <v>Stuttgart Auto Center</v>
      </c>
    </row>
    <row r="2832" spans="1:36" ht="14.25" hidden="1" x14ac:dyDescent="0.2">
      <c r="A2832" t="s">
        <v>3960</v>
      </c>
      <c r="B2832" s="1">
        <v>46079</v>
      </c>
      <c r="C2832" t="s">
        <v>53</v>
      </c>
      <c r="D2832" t="s">
        <v>100</v>
      </c>
      <c r="E2832" t="s">
        <v>26</v>
      </c>
      <c r="F2832" t="s">
        <v>109</v>
      </c>
      <c r="G2832" t="s">
        <v>110</v>
      </c>
      <c r="H2832" t="s">
        <v>45</v>
      </c>
      <c r="I2832" t="s">
        <v>64</v>
      </c>
      <c r="J2832" t="s">
        <v>7029</v>
      </c>
      <c r="K2832" t="s">
        <v>91</v>
      </c>
      <c r="L2832" t="s">
        <v>33</v>
      </c>
      <c r="M2832" t="s">
        <v>34</v>
      </c>
      <c r="N2832" t="s">
        <v>69</v>
      </c>
      <c r="O2832" t="s">
        <v>70</v>
      </c>
      <c r="P2832" t="s">
        <v>71</v>
      </c>
      <c r="Q2832" t="s">
        <v>135</v>
      </c>
      <c r="R2832">
        <v>157</v>
      </c>
      <c r="S2832">
        <v>86</v>
      </c>
      <c r="T2832">
        <v>62</v>
      </c>
      <c r="U2832">
        <v>21</v>
      </c>
      <c r="V2832" t="s">
        <v>6505</v>
      </c>
      <c r="W2832">
        <v>49969</v>
      </c>
      <c r="X2832" t="s">
        <v>554</v>
      </c>
      <c r="Y2832">
        <v>36956</v>
      </c>
      <c r="Z2832">
        <v>1049349</v>
      </c>
      <c r="AA2832">
        <v>273273</v>
      </c>
      <c r="AB2832" t="str">
        <f>(VLOOKUP(SalesData[[#This Row],[Month Number]],Reference!C$5:E$16,2,FALSE))</f>
        <v>Feb</v>
      </c>
      <c r="AC2832">
        <f>MONTH(SalesData[[#This Row],[Date]])</f>
        <v>2</v>
      </c>
      <c r="AD2832">
        <f>Reference!F$4</f>
        <v>2026</v>
      </c>
      <c r="AE2832" t="str">
        <f>IF(OR(SalesData[[#This Row],[Day]]="Saturday",SalesData[[#This Row],[Day]]="Sunday"),"Weekend","Weekday")</f>
        <v>Weekday</v>
      </c>
      <c r="AF2832" s="5">
        <f>IF(SalesData[[#This Row],[Contracts Offered]]=0,0,SalesData[[#This Row],[Contracts Signed]]/SalesData[[#This Row],[Contracts Offered]])</f>
        <v>0.33870967741935482</v>
      </c>
      <c r="AG2832" s="5">
        <f>IF(SalesData[[#This Row],[Customers Visited]]=0,0,SalesData[[#This Row],[Test Drives]]/SalesData[[#This Row],[Customers Visited]])</f>
        <v>0.54777070063694266</v>
      </c>
      <c r="AH2832" s="5">
        <f>IF(SalesData[[#This Row],[Customers Visited]]=0,0,SalesData[[#This Row],[Contracts Signed]]/SalesData[[#This Row],[Customers Visited]])</f>
        <v>0.13375796178343949</v>
      </c>
      <c r="AI2832" s="6">
        <f>IF(SalesData[[#This Row],[Contracts Signed]]=0,0,SalesData[[#This Row],[Profit(€)]]/SalesData[[#This Row],[Contracts Signed]])</f>
        <v>13013</v>
      </c>
      <c r="AJ2832" s="5" t="str">
        <f>TRIM(CLEAN(SalesData[[#This Row],[Retailer]]))</f>
        <v>Leipzig Mobility</v>
      </c>
    </row>
    <row r="2833" spans="1:36" ht="14.25" hidden="1" x14ac:dyDescent="0.2">
      <c r="A2833" t="s">
        <v>3961</v>
      </c>
      <c r="B2833" s="1">
        <v>46060</v>
      </c>
      <c r="C2833" t="s">
        <v>24</v>
      </c>
      <c r="D2833" t="s">
        <v>151</v>
      </c>
      <c r="E2833" t="s">
        <v>42</v>
      </c>
      <c r="F2833" t="s">
        <v>114</v>
      </c>
      <c r="G2833" t="s">
        <v>115</v>
      </c>
      <c r="H2833" t="s">
        <v>115</v>
      </c>
      <c r="I2833" t="s">
        <v>104</v>
      </c>
      <c r="J2833" t="s">
        <v>105</v>
      </c>
      <c r="K2833" t="s">
        <v>91</v>
      </c>
      <c r="L2833" t="s">
        <v>33</v>
      </c>
      <c r="M2833" t="s">
        <v>47</v>
      </c>
      <c r="N2833" t="s">
        <v>35</v>
      </c>
      <c r="O2833" t="s">
        <v>36</v>
      </c>
      <c r="P2833" t="s">
        <v>49</v>
      </c>
      <c r="Q2833" t="s">
        <v>144</v>
      </c>
      <c r="R2833">
        <v>262</v>
      </c>
      <c r="S2833">
        <v>136</v>
      </c>
      <c r="T2833">
        <v>89</v>
      </c>
      <c r="U2833">
        <v>21</v>
      </c>
      <c r="V2833" t="s">
        <v>3272</v>
      </c>
      <c r="W2833">
        <v>30351</v>
      </c>
      <c r="X2833" t="s">
        <v>5113</v>
      </c>
      <c r="Y2833">
        <v>26105</v>
      </c>
      <c r="Z2833">
        <v>637371</v>
      </c>
      <c r="AA2833">
        <v>89166</v>
      </c>
      <c r="AB2833" t="str">
        <f>(VLOOKUP(SalesData[[#This Row],[Month Number]],Reference!C$5:E$16,2,FALSE))</f>
        <v>Feb</v>
      </c>
      <c r="AC2833">
        <f>MONTH(SalesData[[#This Row],[Date]])</f>
        <v>2</v>
      </c>
      <c r="AD2833">
        <f>Reference!F$4</f>
        <v>2026</v>
      </c>
      <c r="AE2833" t="str">
        <f>IF(OR(SalesData[[#This Row],[Day]]="Saturday",SalesData[[#This Row],[Day]]="Sunday"),"Weekend","Weekday")</f>
        <v>Weekend</v>
      </c>
      <c r="AF2833" s="5">
        <f>IF(SalesData[[#This Row],[Contracts Offered]]=0,0,SalesData[[#This Row],[Contracts Signed]]/SalesData[[#This Row],[Contracts Offered]])</f>
        <v>0.23595505617977527</v>
      </c>
      <c r="AG2833" s="5">
        <f>IF(SalesData[[#This Row],[Customers Visited]]=0,0,SalesData[[#This Row],[Test Drives]]/SalesData[[#This Row],[Customers Visited]])</f>
        <v>0.51908396946564883</v>
      </c>
      <c r="AH2833" s="5">
        <f>IF(SalesData[[#This Row],[Customers Visited]]=0,0,SalesData[[#This Row],[Contracts Signed]]/SalesData[[#This Row],[Customers Visited]])</f>
        <v>8.0152671755725186E-2</v>
      </c>
      <c r="AI2833" s="6">
        <f>IF(SalesData[[#This Row],[Contracts Signed]]=0,0,SalesData[[#This Row],[Profit(€)]]/SalesData[[#This Row],[Contracts Signed]])</f>
        <v>4246</v>
      </c>
      <c r="AJ2833" s="5" t="str">
        <f>TRIM(CLEAN(SalesData[[#This Row],[Retailer]]))</f>
        <v>Elbe Drive</v>
      </c>
    </row>
    <row r="2834" spans="1:36" ht="14.25" hidden="1" x14ac:dyDescent="0.2">
      <c r="A2834" t="s">
        <v>3962</v>
      </c>
      <c r="B2834" s="1">
        <v>46068</v>
      </c>
      <c r="C2834" t="s">
        <v>62</v>
      </c>
      <c r="D2834" t="s">
        <v>41</v>
      </c>
      <c r="E2834" t="s">
        <v>42</v>
      </c>
      <c r="F2834" t="s">
        <v>114</v>
      </c>
      <c r="G2834" t="s">
        <v>115</v>
      </c>
      <c r="H2834" t="s">
        <v>115</v>
      </c>
      <c r="I2834" t="s">
        <v>64</v>
      </c>
      <c r="J2834" t="s">
        <v>157</v>
      </c>
      <c r="K2834" t="s">
        <v>91</v>
      </c>
      <c r="L2834" t="s">
        <v>33</v>
      </c>
      <c r="M2834" t="s">
        <v>68</v>
      </c>
      <c r="N2834" t="s">
        <v>48</v>
      </c>
      <c r="O2834" t="s">
        <v>36</v>
      </c>
      <c r="P2834" t="s">
        <v>49</v>
      </c>
      <c r="Q2834" t="s">
        <v>129</v>
      </c>
      <c r="R2834">
        <v>265</v>
      </c>
      <c r="S2834">
        <v>118</v>
      </c>
      <c r="T2834">
        <v>80</v>
      </c>
      <c r="U2834">
        <v>29</v>
      </c>
      <c r="V2834" t="s">
        <v>6406</v>
      </c>
      <c r="W2834">
        <v>70759</v>
      </c>
      <c r="X2834" t="s">
        <v>5727</v>
      </c>
      <c r="Y2834">
        <v>54256</v>
      </c>
      <c r="Z2834">
        <v>2052011</v>
      </c>
      <c r="AA2834">
        <v>478587</v>
      </c>
      <c r="AB2834" t="str">
        <f>(VLOOKUP(SalesData[[#This Row],[Month Number]],Reference!C$5:E$16,2,FALSE))</f>
        <v>Feb</v>
      </c>
      <c r="AC2834">
        <f>MONTH(SalesData[[#This Row],[Date]])</f>
        <v>2</v>
      </c>
      <c r="AD2834">
        <f>Reference!F$4</f>
        <v>2026</v>
      </c>
      <c r="AE2834" t="str">
        <f>IF(OR(SalesData[[#This Row],[Day]]="Saturday",SalesData[[#This Row],[Day]]="Sunday"),"Weekend","Weekday")</f>
        <v>Weekend</v>
      </c>
      <c r="AF2834" s="5">
        <f>IF(SalesData[[#This Row],[Contracts Offered]]=0,0,SalesData[[#This Row],[Contracts Signed]]/SalesData[[#This Row],[Contracts Offered]])</f>
        <v>0.36249999999999999</v>
      </c>
      <c r="AG2834" s="5">
        <f>IF(SalesData[[#This Row],[Customers Visited]]=0,0,SalesData[[#This Row],[Test Drives]]/SalesData[[#This Row],[Customers Visited]])</f>
        <v>0.44528301886792454</v>
      </c>
      <c r="AH2834" s="5">
        <f>IF(SalesData[[#This Row],[Customers Visited]]=0,0,SalesData[[#This Row],[Contracts Signed]]/SalesData[[#This Row],[Customers Visited]])</f>
        <v>0.10943396226415095</v>
      </c>
      <c r="AI2834" s="6">
        <f>IF(SalesData[[#This Row],[Contracts Signed]]=0,0,SalesData[[#This Row],[Profit(€)]]/SalesData[[#This Row],[Contracts Signed]])</f>
        <v>16503</v>
      </c>
      <c r="AJ2834" s="5" t="str">
        <f>TRIM(CLEAN(SalesData[[#This Row],[Retailer]]))</f>
        <v>Elbe Drive</v>
      </c>
    </row>
    <row r="2835" spans="1:36" ht="14.25" hidden="1" x14ac:dyDescent="0.2">
      <c r="A2835" t="s">
        <v>3963</v>
      </c>
      <c r="B2835" s="1">
        <v>46056</v>
      </c>
      <c r="C2835" t="s">
        <v>24</v>
      </c>
      <c r="D2835" t="s">
        <v>63</v>
      </c>
      <c r="E2835" t="s">
        <v>26</v>
      </c>
      <c r="F2835" t="s">
        <v>74</v>
      </c>
      <c r="G2835" t="s">
        <v>75</v>
      </c>
      <c r="H2835" t="s">
        <v>76</v>
      </c>
      <c r="I2835" t="s">
        <v>56</v>
      </c>
      <c r="J2835" t="s">
        <v>97</v>
      </c>
      <c r="K2835" t="s">
        <v>32</v>
      </c>
      <c r="L2835" t="s">
        <v>33</v>
      </c>
      <c r="M2835" t="s">
        <v>87</v>
      </c>
      <c r="N2835" t="s">
        <v>35</v>
      </c>
      <c r="O2835" t="s">
        <v>70</v>
      </c>
      <c r="P2835" t="s">
        <v>71</v>
      </c>
      <c r="Q2835" t="s">
        <v>106</v>
      </c>
      <c r="R2835">
        <v>166</v>
      </c>
      <c r="S2835">
        <v>102</v>
      </c>
      <c r="T2835">
        <v>73</v>
      </c>
      <c r="U2835">
        <v>24</v>
      </c>
      <c r="V2835" t="s">
        <v>6439</v>
      </c>
      <c r="W2835">
        <v>47179</v>
      </c>
      <c r="X2835" t="s">
        <v>1937</v>
      </c>
      <c r="Y2835">
        <v>37442</v>
      </c>
      <c r="Z2835">
        <v>1132296</v>
      </c>
      <c r="AA2835">
        <v>233688</v>
      </c>
      <c r="AB2835" t="str">
        <f>(VLOOKUP(SalesData[[#This Row],[Month Number]],Reference!C$5:E$16,2,FALSE))</f>
        <v>Feb</v>
      </c>
      <c r="AC2835">
        <f>MONTH(SalesData[[#This Row],[Date]])</f>
        <v>2</v>
      </c>
      <c r="AD2835">
        <f>Reference!F$4</f>
        <v>2026</v>
      </c>
      <c r="AE2835" t="str">
        <f>IF(OR(SalesData[[#This Row],[Day]]="Saturday",SalesData[[#This Row],[Day]]="Sunday"),"Weekend","Weekday")</f>
        <v>Weekday</v>
      </c>
      <c r="AF2835" s="5">
        <f>IF(SalesData[[#This Row],[Contracts Offered]]=0,0,SalesData[[#This Row],[Contracts Signed]]/SalesData[[#This Row],[Contracts Offered]])</f>
        <v>0.32876712328767121</v>
      </c>
      <c r="AG2835" s="5">
        <f>IF(SalesData[[#This Row],[Customers Visited]]=0,0,SalesData[[#This Row],[Test Drives]]/SalesData[[#This Row],[Customers Visited]])</f>
        <v>0.61445783132530118</v>
      </c>
      <c r="AH2835" s="5">
        <f>IF(SalesData[[#This Row],[Customers Visited]]=0,0,SalesData[[#This Row],[Contracts Signed]]/SalesData[[#This Row],[Customers Visited]])</f>
        <v>0.14457831325301204</v>
      </c>
      <c r="AI2835" s="6">
        <f>IF(SalesData[[#This Row],[Contracts Signed]]=0,0,SalesData[[#This Row],[Profit(€)]]/SalesData[[#This Row],[Contracts Signed]])</f>
        <v>9737</v>
      </c>
      <c r="AJ2835" s="5" t="str">
        <f>TRIM(CLEAN(SalesData[[#This Row],[Retailer]]))</f>
        <v>Stuttgart Auto Center</v>
      </c>
    </row>
    <row r="2836" spans="1:36" ht="14.25" hidden="1" x14ac:dyDescent="0.2">
      <c r="A2836" t="s">
        <v>3964</v>
      </c>
      <c r="B2836" s="1">
        <v>46071</v>
      </c>
      <c r="C2836" t="s">
        <v>62</v>
      </c>
      <c r="D2836" t="s">
        <v>82</v>
      </c>
      <c r="E2836" t="s">
        <v>26</v>
      </c>
      <c r="F2836" t="s">
        <v>83</v>
      </c>
      <c r="G2836" t="s">
        <v>84</v>
      </c>
      <c r="H2836" t="s">
        <v>85</v>
      </c>
      <c r="I2836" t="s">
        <v>64</v>
      </c>
      <c r="J2836" t="s">
        <v>77</v>
      </c>
      <c r="K2836" t="s">
        <v>91</v>
      </c>
      <c r="L2836" t="s">
        <v>46</v>
      </c>
      <c r="M2836" t="s">
        <v>68</v>
      </c>
      <c r="N2836" t="s">
        <v>35</v>
      </c>
      <c r="O2836" t="s">
        <v>36</v>
      </c>
      <c r="P2836" t="s">
        <v>71</v>
      </c>
      <c r="Q2836" t="s">
        <v>118</v>
      </c>
      <c r="R2836">
        <v>155</v>
      </c>
      <c r="S2836">
        <v>70</v>
      </c>
      <c r="T2836">
        <v>53</v>
      </c>
      <c r="U2836">
        <v>18</v>
      </c>
      <c r="V2836" t="s">
        <v>6889</v>
      </c>
      <c r="W2836">
        <v>68415</v>
      </c>
      <c r="X2836" t="s">
        <v>7316</v>
      </c>
      <c r="Y2836">
        <v>53598</v>
      </c>
      <c r="Z2836">
        <v>1231470</v>
      </c>
      <c r="AA2836">
        <v>266706</v>
      </c>
      <c r="AB2836" t="str">
        <f>(VLOOKUP(SalesData[[#This Row],[Month Number]],Reference!C$5:E$16,2,FALSE))</f>
        <v>Feb</v>
      </c>
      <c r="AC2836">
        <f>MONTH(SalesData[[#This Row],[Date]])</f>
        <v>2</v>
      </c>
      <c r="AD2836">
        <f>Reference!F$4</f>
        <v>2026</v>
      </c>
      <c r="AE2836" t="str">
        <f>IF(OR(SalesData[[#This Row],[Day]]="Saturday",SalesData[[#This Row],[Day]]="Sunday"),"Weekend","Weekday")</f>
        <v>Weekday</v>
      </c>
      <c r="AF2836" s="5">
        <f>IF(SalesData[[#This Row],[Contracts Offered]]=0,0,SalesData[[#This Row],[Contracts Signed]]/SalesData[[#This Row],[Contracts Offered]])</f>
        <v>0.33962264150943394</v>
      </c>
      <c r="AG2836" s="5">
        <f>IF(SalesData[[#This Row],[Customers Visited]]=0,0,SalesData[[#This Row],[Test Drives]]/SalesData[[#This Row],[Customers Visited]])</f>
        <v>0.45161290322580644</v>
      </c>
      <c r="AH2836" s="5">
        <f>IF(SalesData[[#This Row],[Customers Visited]]=0,0,SalesData[[#This Row],[Contracts Signed]]/SalesData[[#This Row],[Customers Visited]])</f>
        <v>0.11612903225806452</v>
      </c>
      <c r="AI2836" s="6">
        <f>IF(SalesData[[#This Row],[Contracts Signed]]=0,0,SalesData[[#This Row],[Profit(€)]]/SalesData[[#This Row],[Contracts Signed]])</f>
        <v>14817</v>
      </c>
      <c r="AJ2836" s="5" t="str">
        <f>TRIM(CLEAN(SalesData[[#This Row],[Retailer]]))</f>
        <v>Hannover Cars</v>
      </c>
    </row>
    <row r="2837" spans="1:36" ht="14.25" hidden="1" x14ac:dyDescent="0.2">
      <c r="A2837" t="s">
        <v>3965</v>
      </c>
      <c r="B2837" s="1">
        <v>46069</v>
      </c>
      <c r="C2837" t="s">
        <v>62</v>
      </c>
      <c r="D2837" t="s">
        <v>25</v>
      </c>
      <c r="E2837" t="s">
        <v>26</v>
      </c>
      <c r="F2837" t="s">
        <v>94</v>
      </c>
      <c r="G2837" t="s">
        <v>95</v>
      </c>
      <c r="H2837" t="s">
        <v>96</v>
      </c>
      <c r="I2837" t="s">
        <v>56</v>
      </c>
      <c r="J2837" t="s">
        <v>57</v>
      </c>
      <c r="K2837" t="s">
        <v>32</v>
      </c>
      <c r="L2837" t="s">
        <v>46</v>
      </c>
      <c r="M2837" t="s">
        <v>47</v>
      </c>
      <c r="N2837" t="s">
        <v>48</v>
      </c>
      <c r="O2837" t="s">
        <v>70</v>
      </c>
      <c r="P2837" t="s">
        <v>71</v>
      </c>
      <c r="Q2837" t="s">
        <v>135</v>
      </c>
      <c r="R2837">
        <v>239</v>
      </c>
      <c r="S2837">
        <v>118</v>
      </c>
      <c r="T2837">
        <v>88</v>
      </c>
      <c r="U2837">
        <v>27</v>
      </c>
      <c r="V2837" t="s">
        <v>6574</v>
      </c>
      <c r="W2837">
        <v>39981</v>
      </c>
      <c r="X2837" t="s">
        <v>2561</v>
      </c>
      <c r="Y2837">
        <v>30508</v>
      </c>
      <c r="Z2837">
        <v>1079487</v>
      </c>
      <c r="AA2837">
        <v>255771</v>
      </c>
      <c r="AB2837" t="str">
        <f>(VLOOKUP(SalesData[[#This Row],[Month Number]],Reference!C$5:E$16,2,FALSE))</f>
        <v>Feb</v>
      </c>
      <c r="AC2837">
        <f>MONTH(SalesData[[#This Row],[Date]])</f>
        <v>2</v>
      </c>
      <c r="AD2837">
        <f>Reference!F$4</f>
        <v>2026</v>
      </c>
      <c r="AE2837" t="str">
        <f>IF(OR(SalesData[[#This Row],[Day]]="Saturday",SalesData[[#This Row],[Day]]="Sunday"),"Weekend","Weekday")</f>
        <v>Weekday</v>
      </c>
      <c r="AF2837" s="5">
        <f>IF(SalesData[[#This Row],[Contracts Offered]]=0,0,SalesData[[#This Row],[Contracts Signed]]/SalesData[[#This Row],[Contracts Offered]])</f>
        <v>0.30681818181818182</v>
      </c>
      <c r="AG2837" s="5">
        <f>IF(SalesData[[#This Row],[Customers Visited]]=0,0,SalesData[[#This Row],[Test Drives]]/SalesData[[#This Row],[Customers Visited]])</f>
        <v>0.49372384937238495</v>
      </c>
      <c r="AH2837" s="5">
        <f>IF(SalesData[[#This Row],[Customers Visited]]=0,0,SalesData[[#This Row],[Contracts Signed]]/SalesData[[#This Row],[Customers Visited]])</f>
        <v>0.11297071129707113</v>
      </c>
      <c r="AI2837" s="6">
        <f>IF(SalesData[[#This Row],[Contracts Signed]]=0,0,SalesData[[#This Row],[Profit(€)]]/SalesData[[#This Row],[Contracts Signed]])</f>
        <v>9473</v>
      </c>
      <c r="AJ2837" s="5" t="str">
        <f>TRIM(CLEAN(SalesData[[#This Row],[Retailer]]))</f>
        <v>Bavaria Motors</v>
      </c>
    </row>
    <row r="2838" spans="1:36" ht="14.25" hidden="1" x14ac:dyDescent="0.2">
      <c r="A2838" t="s">
        <v>3966</v>
      </c>
      <c r="B2838" s="1">
        <v>46069</v>
      </c>
      <c r="C2838" t="s">
        <v>62</v>
      </c>
      <c r="D2838" t="s">
        <v>25</v>
      </c>
      <c r="E2838" t="s">
        <v>26</v>
      </c>
      <c r="F2838" t="s">
        <v>109</v>
      </c>
      <c r="G2838" t="s">
        <v>110</v>
      </c>
      <c r="H2838" t="s">
        <v>45</v>
      </c>
      <c r="I2838" t="s">
        <v>104</v>
      </c>
      <c r="J2838" t="s">
        <v>140</v>
      </c>
      <c r="K2838" t="s">
        <v>32</v>
      </c>
      <c r="L2838" t="s">
        <v>46</v>
      </c>
      <c r="M2838" t="s">
        <v>87</v>
      </c>
      <c r="N2838" t="s">
        <v>69</v>
      </c>
      <c r="O2838" t="s">
        <v>36</v>
      </c>
      <c r="P2838" t="s">
        <v>71</v>
      </c>
      <c r="Q2838" t="s">
        <v>88</v>
      </c>
      <c r="R2838">
        <v>345</v>
      </c>
      <c r="S2838">
        <v>179</v>
      </c>
      <c r="T2838">
        <v>104</v>
      </c>
      <c r="U2838">
        <v>33</v>
      </c>
      <c r="V2838" t="s">
        <v>309</v>
      </c>
      <c r="W2838">
        <v>31978</v>
      </c>
      <c r="X2838" t="s">
        <v>4169</v>
      </c>
      <c r="Y2838">
        <v>28454</v>
      </c>
      <c r="Z2838">
        <v>1055274</v>
      </c>
      <c r="AA2838">
        <v>116292</v>
      </c>
      <c r="AB2838" t="str">
        <f>(VLOOKUP(SalesData[[#This Row],[Month Number]],Reference!C$5:E$16,2,FALSE))</f>
        <v>Feb</v>
      </c>
      <c r="AC2838">
        <f>MONTH(SalesData[[#This Row],[Date]])</f>
        <v>2</v>
      </c>
      <c r="AD2838">
        <f>Reference!F$4</f>
        <v>2026</v>
      </c>
      <c r="AE2838" t="str">
        <f>IF(OR(SalesData[[#This Row],[Day]]="Saturday",SalesData[[#This Row],[Day]]="Sunday"),"Weekend","Weekday")</f>
        <v>Weekday</v>
      </c>
      <c r="AF2838" s="5">
        <f>IF(SalesData[[#This Row],[Contracts Offered]]=0,0,SalesData[[#This Row],[Contracts Signed]]/SalesData[[#This Row],[Contracts Offered]])</f>
        <v>0.31730769230769229</v>
      </c>
      <c r="AG2838" s="5">
        <f>IF(SalesData[[#This Row],[Customers Visited]]=0,0,SalesData[[#This Row],[Test Drives]]/SalesData[[#This Row],[Customers Visited]])</f>
        <v>0.51884057971014497</v>
      </c>
      <c r="AH2838" s="5">
        <f>IF(SalesData[[#This Row],[Customers Visited]]=0,0,SalesData[[#This Row],[Contracts Signed]]/SalesData[[#This Row],[Customers Visited]])</f>
        <v>9.5652173913043481E-2</v>
      </c>
      <c r="AI2838" s="6">
        <f>IF(SalesData[[#This Row],[Contracts Signed]]=0,0,SalesData[[#This Row],[Profit(€)]]/SalesData[[#This Row],[Contracts Signed]])</f>
        <v>3524</v>
      </c>
      <c r="AJ2838" s="5" t="str">
        <f>TRIM(CLEAN(SalesData[[#This Row],[Retailer]]))</f>
        <v>Leipzig Mobility</v>
      </c>
    </row>
    <row r="2839" spans="1:36" ht="14.25" x14ac:dyDescent="0.2">
      <c r="A2839" t="s">
        <v>3967</v>
      </c>
      <c r="B2839" s="1">
        <v>46078</v>
      </c>
      <c r="C2839" t="s">
        <v>53</v>
      </c>
      <c r="D2839" t="s">
        <v>82</v>
      </c>
      <c r="E2839" t="s">
        <v>26</v>
      </c>
      <c r="F2839" t="s">
        <v>43</v>
      </c>
      <c r="G2839" t="s">
        <v>44</v>
      </c>
      <c r="H2839" t="s">
        <v>45</v>
      </c>
      <c r="I2839" t="s">
        <v>30</v>
      </c>
      <c r="J2839" t="s">
        <v>31</v>
      </c>
      <c r="K2839" t="s">
        <v>91</v>
      </c>
      <c r="L2839" t="s">
        <v>46</v>
      </c>
      <c r="M2839" t="s">
        <v>34</v>
      </c>
      <c r="N2839" t="s">
        <v>69</v>
      </c>
      <c r="O2839" t="s">
        <v>36</v>
      </c>
      <c r="P2839" t="s">
        <v>58</v>
      </c>
      <c r="Q2839" t="s">
        <v>118</v>
      </c>
      <c r="R2839">
        <v>253</v>
      </c>
      <c r="S2839">
        <v>138</v>
      </c>
      <c r="T2839">
        <v>109</v>
      </c>
      <c r="U2839">
        <v>45</v>
      </c>
      <c r="V2839" t="s">
        <v>7561</v>
      </c>
      <c r="W2839">
        <v>60993</v>
      </c>
      <c r="X2839" t="s">
        <v>488</v>
      </c>
      <c r="Y2839">
        <v>43275</v>
      </c>
      <c r="Z2839">
        <v>2744685</v>
      </c>
      <c r="AA2839">
        <v>797310</v>
      </c>
      <c r="AB2839" t="str">
        <f>(VLOOKUP(SalesData[[#This Row],[Month Number]],Reference!C$5:E$16,2,FALSE))</f>
        <v>Feb</v>
      </c>
      <c r="AC2839">
        <f>MONTH(SalesData[[#This Row],[Date]])</f>
        <v>2</v>
      </c>
      <c r="AD2839">
        <f>Reference!F$4</f>
        <v>2026</v>
      </c>
      <c r="AE2839" t="str">
        <f>IF(OR(SalesData[[#This Row],[Day]]="Saturday",SalesData[[#This Row],[Day]]="Sunday"),"Weekend","Weekday")</f>
        <v>Weekday</v>
      </c>
      <c r="AF2839" s="5">
        <f>IF(SalesData[[#This Row],[Contracts Offered]]=0,0,SalesData[[#This Row],[Contracts Signed]]/SalesData[[#This Row],[Contracts Offered]])</f>
        <v>0.41284403669724773</v>
      </c>
      <c r="AG2839" s="5">
        <f>IF(SalesData[[#This Row],[Customers Visited]]=0,0,SalesData[[#This Row],[Test Drives]]/SalesData[[#This Row],[Customers Visited]])</f>
        <v>0.54545454545454541</v>
      </c>
      <c r="AH2839" s="5">
        <f>IF(SalesData[[#This Row],[Customers Visited]]=0,0,SalesData[[#This Row],[Contracts Signed]]/SalesData[[#This Row],[Customers Visited]])</f>
        <v>0.17786561264822134</v>
      </c>
      <c r="AI2839" s="6">
        <f>IF(SalesData[[#This Row],[Contracts Signed]]=0,0,SalesData[[#This Row],[Profit(€)]]/SalesData[[#This Row],[Contracts Signed]])</f>
        <v>17718</v>
      </c>
      <c r="AJ2839" s="5" t="str">
        <f>TRIM(CLEAN(SalesData[[#This Row],[Retailer]]))</f>
        <v>Saxon Wheels</v>
      </c>
    </row>
    <row r="2840" spans="1:36" ht="14.25" hidden="1" x14ac:dyDescent="0.2">
      <c r="A2840" t="s">
        <v>3968</v>
      </c>
      <c r="B2840" s="1">
        <v>46076</v>
      </c>
      <c r="C2840" t="s">
        <v>53</v>
      </c>
      <c r="D2840" t="s">
        <v>25</v>
      </c>
      <c r="E2840" t="s">
        <v>26</v>
      </c>
      <c r="F2840" t="s">
        <v>43</v>
      </c>
      <c r="G2840" t="s">
        <v>44</v>
      </c>
      <c r="H2840" t="s">
        <v>45</v>
      </c>
      <c r="I2840" t="s">
        <v>64</v>
      </c>
      <c r="J2840" t="s">
        <v>157</v>
      </c>
      <c r="K2840" t="s">
        <v>78</v>
      </c>
      <c r="L2840" t="s">
        <v>33</v>
      </c>
      <c r="M2840" t="s">
        <v>34</v>
      </c>
      <c r="N2840" t="s">
        <v>48</v>
      </c>
      <c r="O2840" t="s">
        <v>70</v>
      </c>
      <c r="P2840" t="s">
        <v>71</v>
      </c>
      <c r="Q2840" t="s">
        <v>79</v>
      </c>
      <c r="R2840">
        <v>179</v>
      </c>
      <c r="S2840">
        <v>101</v>
      </c>
      <c r="T2840">
        <v>68</v>
      </c>
      <c r="U2840">
        <v>24</v>
      </c>
      <c r="V2840" t="s">
        <v>6490</v>
      </c>
      <c r="W2840">
        <v>54778</v>
      </c>
      <c r="X2840" t="s">
        <v>3642</v>
      </c>
      <c r="Y2840">
        <v>42388</v>
      </c>
      <c r="Z2840">
        <v>1314672</v>
      </c>
      <c r="AA2840">
        <v>297360</v>
      </c>
      <c r="AB2840" t="str">
        <f>(VLOOKUP(SalesData[[#This Row],[Month Number]],Reference!C$5:E$16,2,FALSE))</f>
        <v>Feb</v>
      </c>
      <c r="AC2840">
        <f>MONTH(SalesData[[#This Row],[Date]])</f>
        <v>2</v>
      </c>
      <c r="AD2840">
        <f>Reference!F$4</f>
        <v>2026</v>
      </c>
      <c r="AE2840" t="str">
        <f>IF(OR(SalesData[[#This Row],[Day]]="Saturday",SalesData[[#This Row],[Day]]="Sunday"),"Weekend","Weekday")</f>
        <v>Weekday</v>
      </c>
      <c r="AF2840" s="5">
        <f>IF(SalesData[[#This Row],[Contracts Offered]]=0,0,SalesData[[#This Row],[Contracts Signed]]/SalesData[[#This Row],[Contracts Offered]])</f>
        <v>0.35294117647058826</v>
      </c>
      <c r="AG2840" s="5">
        <f>IF(SalesData[[#This Row],[Customers Visited]]=0,0,SalesData[[#This Row],[Test Drives]]/SalesData[[#This Row],[Customers Visited]])</f>
        <v>0.56424581005586594</v>
      </c>
      <c r="AH2840" s="5">
        <f>IF(SalesData[[#This Row],[Customers Visited]]=0,0,SalesData[[#This Row],[Contracts Signed]]/SalesData[[#This Row],[Customers Visited]])</f>
        <v>0.13407821229050279</v>
      </c>
      <c r="AI2840" s="6">
        <f>IF(SalesData[[#This Row],[Contracts Signed]]=0,0,SalesData[[#This Row],[Profit(€)]]/SalesData[[#This Row],[Contracts Signed]])</f>
        <v>12390</v>
      </c>
      <c r="AJ2840" s="5" t="str">
        <f>TRIM(CLEAN(SalesData[[#This Row],[Retailer]]))</f>
        <v>Saxon Wheels</v>
      </c>
    </row>
    <row r="2841" spans="1:36" ht="14.25" hidden="1" x14ac:dyDescent="0.2">
      <c r="A2841" t="s">
        <v>3969</v>
      </c>
      <c r="B2841" s="1">
        <v>46062</v>
      </c>
      <c r="C2841" t="s">
        <v>121</v>
      </c>
      <c r="D2841" t="s">
        <v>25</v>
      </c>
      <c r="E2841" t="s">
        <v>26</v>
      </c>
      <c r="F2841" t="s">
        <v>43</v>
      </c>
      <c r="G2841" t="s">
        <v>44</v>
      </c>
      <c r="H2841" t="s">
        <v>45</v>
      </c>
      <c r="I2841" t="s">
        <v>116</v>
      </c>
      <c r="J2841" t="s">
        <v>7090</v>
      </c>
      <c r="K2841" t="s">
        <v>91</v>
      </c>
      <c r="L2841" t="s">
        <v>46</v>
      </c>
      <c r="M2841" t="s">
        <v>34</v>
      </c>
      <c r="N2841" t="s">
        <v>35</v>
      </c>
      <c r="O2841" t="s">
        <v>70</v>
      </c>
      <c r="P2841" t="s">
        <v>71</v>
      </c>
      <c r="Q2841" t="s">
        <v>129</v>
      </c>
      <c r="R2841">
        <v>347</v>
      </c>
      <c r="S2841">
        <v>161</v>
      </c>
      <c r="T2841">
        <v>103</v>
      </c>
      <c r="U2841">
        <v>23</v>
      </c>
      <c r="V2841" t="s">
        <v>527</v>
      </c>
      <c r="W2841">
        <v>19567</v>
      </c>
      <c r="X2841" t="s">
        <v>5418</v>
      </c>
      <c r="Y2841">
        <v>17716</v>
      </c>
      <c r="Z2841">
        <v>450041</v>
      </c>
      <c r="AA2841">
        <v>42573</v>
      </c>
      <c r="AB2841" t="str">
        <f>(VLOOKUP(SalesData[[#This Row],[Month Number]],Reference!C$5:E$16,2,FALSE))</f>
        <v>Feb</v>
      </c>
      <c r="AC2841">
        <f>MONTH(SalesData[[#This Row],[Date]])</f>
        <v>2</v>
      </c>
      <c r="AD2841">
        <f>Reference!F$4</f>
        <v>2026</v>
      </c>
      <c r="AE2841" t="str">
        <f>IF(OR(SalesData[[#This Row],[Day]]="Saturday",SalesData[[#This Row],[Day]]="Sunday"),"Weekend","Weekday")</f>
        <v>Weekday</v>
      </c>
      <c r="AF2841" s="5">
        <f>IF(SalesData[[#This Row],[Contracts Offered]]=0,0,SalesData[[#This Row],[Contracts Signed]]/SalesData[[#This Row],[Contracts Offered]])</f>
        <v>0.22330097087378642</v>
      </c>
      <c r="AG2841" s="5">
        <f>IF(SalesData[[#This Row],[Customers Visited]]=0,0,SalesData[[#This Row],[Test Drives]]/SalesData[[#This Row],[Customers Visited]])</f>
        <v>0.46397694524495675</v>
      </c>
      <c r="AH2841" s="5">
        <f>IF(SalesData[[#This Row],[Customers Visited]]=0,0,SalesData[[#This Row],[Contracts Signed]]/SalesData[[#This Row],[Customers Visited]])</f>
        <v>6.6282420749279536E-2</v>
      </c>
      <c r="AI2841" s="6">
        <f>IF(SalesData[[#This Row],[Contracts Signed]]=0,0,SalesData[[#This Row],[Profit(€)]]/SalesData[[#This Row],[Contracts Signed]])</f>
        <v>1851</v>
      </c>
      <c r="AJ2841" s="5" t="str">
        <f>TRIM(CLEAN(SalesData[[#This Row],[Retailer]]))</f>
        <v>Saxon Wheels</v>
      </c>
    </row>
    <row r="2842" spans="1:36" ht="14.25" hidden="1" x14ac:dyDescent="0.2">
      <c r="A2842" t="s">
        <v>3970</v>
      </c>
      <c r="B2842" s="1">
        <v>46072</v>
      </c>
      <c r="C2842" t="s">
        <v>62</v>
      </c>
      <c r="D2842" t="s">
        <v>100</v>
      </c>
      <c r="E2842" t="s">
        <v>26</v>
      </c>
      <c r="F2842" t="s">
        <v>109</v>
      </c>
      <c r="G2842" t="s">
        <v>110</v>
      </c>
      <c r="H2842" t="s">
        <v>45</v>
      </c>
      <c r="I2842" t="s">
        <v>56</v>
      </c>
      <c r="J2842" t="s">
        <v>57</v>
      </c>
      <c r="K2842" t="s">
        <v>91</v>
      </c>
      <c r="L2842" t="s">
        <v>46</v>
      </c>
      <c r="M2842" t="s">
        <v>34</v>
      </c>
      <c r="N2842" t="s">
        <v>48</v>
      </c>
      <c r="O2842" t="s">
        <v>36</v>
      </c>
      <c r="P2842" t="s">
        <v>37</v>
      </c>
      <c r="Q2842" t="s">
        <v>167</v>
      </c>
      <c r="R2842">
        <v>171</v>
      </c>
      <c r="S2842">
        <v>103</v>
      </c>
      <c r="T2842">
        <v>76</v>
      </c>
      <c r="U2842">
        <v>20</v>
      </c>
      <c r="V2842" t="s">
        <v>3532</v>
      </c>
      <c r="W2842">
        <v>49098</v>
      </c>
      <c r="X2842" t="s">
        <v>273</v>
      </c>
      <c r="Y2842">
        <v>38295</v>
      </c>
      <c r="Z2842">
        <v>981960</v>
      </c>
      <c r="AA2842">
        <v>216060</v>
      </c>
      <c r="AB2842" t="str">
        <f>(VLOOKUP(SalesData[[#This Row],[Month Number]],Reference!C$5:E$16,2,FALSE))</f>
        <v>Feb</v>
      </c>
      <c r="AC2842">
        <f>MONTH(SalesData[[#This Row],[Date]])</f>
        <v>2</v>
      </c>
      <c r="AD2842">
        <f>Reference!F$4</f>
        <v>2026</v>
      </c>
      <c r="AE2842" t="str">
        <f>IF(OR(SalesData[[#This Row],[Day]]="Saturday",SalesData[[#This Row],[Day]]="Sunday"),"Weekend","Weekday")</f>
        <v>Weekday</v>
      </c>
      <c r="AF2842" s="5">
        <f>IF(SalesData[[#This Row],[Contracts Offered]]=0,0,SalesData[[#This Row],[Contracts Signed]]/SalesData[[#This Row],[Contracts Offered]])</f>
        <v>0.26315789473684209</v>
      </c>
      <c r="AG2842" s="5">
        <f>IF(SalesData[[#This Row],[Customers Visited]]=0,0,SalesData[[#This Row],[Test Drives]]/SalesData[[#This Row],[Customers Visited]])</f>
        <v>0.60233918128654973</v>
      </c>
      <c r="AH2842" s="5">
        <f>IF(SalesData[[#This Row],[Customers Visited]]=0,0,SalesData[[#This Row],[Contracts Signed]]/SalesData[[#This Row],[Customers Visited]])</f>
        <v>0.11695906432748537</v>
      </c>
      <c r="AI2842" s="6">
        <f>IF(SalesData[[#This Row],[Contracts Signed]]=0,0,SalesData[[#This Row],[Profit(€)]]/SalesData[[#This Row],[Contracts Signed]])</f>
        <v>10803</v>
      </c>
      <c r="AJ2842" s="5" t="str">
        <f>TRIM(CLEAN(SalesData[[#This Row],[Retailer]]))</f>
        <v>Leipzig Mobility</v>
      </c>
    </row>
    <row r="2843" spans="1:36" ht="14.25" hidden="1" x14ac:dyDescent="0.2">
      <c r="A2843" t="s">
        <v>3971</v>
      </c>
      <c r="B2843" s="1">
        <v>46072</v>
      </c>
      <c r="C2843" t="s">
        <v>62</v>
      </c>
      <c r="D2843" t="s">
        <v>100</v>
      </c>
      <c r="E2843" t="s">
        <v>26</v>
      </c>
      <c r="F2843" t="s">
        <v>127</v>
      </c>
      <c r="G2843" t="s">
        <v>128</v>
      </c>
      <c r="H2843" t="s">
        <v>103</v>
      </c>
      <c r="I2843" t="s">
        <v>104</v>
      </c>
      <c r="J2843" t="s">
        <v>143</v>
      </c>
      <c r="K2843" t="s">
        <v>78</v>
      </c>
      <c r="L2843" t="s">
        <v>67</v>
      </c>
      <c r="M2843" t="s">
        <v>34</v>
      </c>
      <c r="N2843" t="s">
        <v>35</v>
      </c>
      <c r="O2843" t="s">
        <v>70</v>
      </c>
      <c r="P2843" t="s">
        <v>58</v>
      </c>
      <c r="Q2843" t="s">
        <v>144</v>
      </c>
      <c r="R2843">
        <v>355</v>
      </c>
      <c r="S2843">
        <v>162</v>
      </c>
      <c r="T2843">
        <v>99</v>
      </c>
      <c r="U2843">
        <v>32</v>
      </c>
      <c r="V2843" t="s">
        <v>2805</v>
      </c>
      <c r="W2843">
        <v>33174</v>
      </c>
      <c r="X2843" t="s">
        <v>1398</v>
      </c>
      <c r="Y2843">
        <v>29722</v>
      </c>
      <c r="Z2843">
        <v>1061568</v>
      </c>
      <c r="AA2843">
        <v>110464</v>
      </c>
      <c r="AB2843" t="str">
        <f>(VLOOKUP(SalesData[[#This Row],[Month Number]],Reference!C$5:E$16,2,FALSE))</f>
        <v>Feb</v>
      </c>
      <c r="AC2843">
        <f>MONTH(SalesData[[#This Row],[Date]])</f>
        <v>2</v>
      </c>
      <c r="AD2843">
        <f>Reference!F$4</f>
        <v>2026</v>
      </c>
      <c r="AE2843" t="str">
        <f>IF(OR(SalesData[[#This Row],[Day]]="Saturday",SalesData[[#This Row],[Day]]="Sunday"),"Weekend","Weekday")</f>
        <v>Weekday</v>
      </c>
      <c r="AF2843" s="5">
        <f>IF(SalesData[[#This Row],[Contracts Offered]]=0,0,SalesData[[#This Row],[Contracts Signed]]/SalesData[[#This Row],[Contracts Offered]])</f>
        <v>0.32323232323232326</v>
      </c>
      <c r="AG2843" s="5">
        <f>IF(SalesData[[#This Row],[Customers Visited]]=0,0,SalesData[[#This Row],[Test Drives]]/SalesData[[#This Row],[Customers Visited]])</f>
        <v>0.45633802816901409</v>
      </c>
      <c r="AH2843" s="5">
        <f>IF(SalesData[[#This Row],[Customers Visited]]=0,0,SalesData[[#This Row],[Contracts Signed]]/SalesData[[#This Row],[Customers Visited]])</f>
        <v>9.014084507042254E-2</v>
      </c>
      <c r="AI2843" s="6">
        <f>IF(SalesData[[#This Row],[Contracts Signed]]=0,0,SalesData[[#This Row],[Profit(€)]]/SalesData[[#This Row],[Contracts Signed]])</f>
        <v>3452</v>
      </c>
      <c r="AJ2843" s="5" t="str">
        <f>TRIM(CLEAN(SalesData[[#This Row],[Retailer]]))</f>
        <v>Rhein Auto Group</v>
      </c>
    </row>
    <row r="2844" spans="1:36" ht="14.25" x14ac:dyDescent="0.2">
      <c r="A2844" t="s">
        <v>3972</v>
      </c>
      <c r="B2844" s="1">
        <v>46064</v>
      </c>
      <c r="C2844" t="s">
        <v>121</v>
      </c>
      <c r="D2844" t="s">
        <v>82</v>
      </c>
      <c r="E2844" t="s">
        <v>26</v>
      </c>
      <c r="F2844" t="s">
        <v>94</v>
      </c>
      <c r="G2844" t="s">
        <v>95</v>
      </c>
      <c r="H2844" t="s">
        <v>96</v>
      </c>
      <c r="I2844" t="s">
        <v>30</v>
      </c>
      <c r="J2844" t="s">
        <v>7075</v>
      </c>
      <c r="K2844" t="s">
        <v>66</v>
      </c>
      <c r="L2844" t="s">
        <v>33</v>
      </c>
      <c r="M2844" t="s">
        <v>68</v>
      </c>
      <c r="N2844" t="s">
        <v>35</v>
      </c>
      <c r="O2844" t="s">
        <v>36</v>
      </c>
      <c r="P2844" t="s">
        <v>37</v>
      </c>
      <c r="Q2844" t="s">
        <v>88</v>
      </c>
      <c r="R2844">
        <v>185</v>
      </c>
      <c r="S2844">
        <v>86</v>
      </c>
      <c r="T2844">
        <v>59</v>
      </c>
      <c r="U2844">
        <v>23</v>
      </c>
      <c r="V2844" t="s">
        <v>6416</v>
      </c>
      <c r="W2844">
        <v>51914</v>
      </c>
      <c r="X2844" t="s">
        <v>2887</v>
      </c>
      <c r="Y2844">
        <v>37243</v>
      </c>
      <c r="Z2844">
        <v>1194022</v>
      </c>
      <c r="AA2844">
        <v>337433</v>
      </c>
      <c r="AB2844" t="str">
        <f>(VLOOKUP(SalesData[[#This Row],[Month Number]],Reference!C$5:E$16,2,FALSE))</f>
        <v>Feb</v>
      </c>
      <c r="AC2844">
        <f>MONTH(SalesData[[#This Row],[Date]])</f>
        <v>2</v>
      </c>
      <c r="AD2844">
        <f>Reference!F$4</f>
        <v>2026</v>
      </c>
      <c r="AE2844" t="str">
        <f>IF(OR(SalesData[[#This Row],[Day]]="Saturday",SalesData[[#This Row],[Day]]="Sunday"),"Weekend","Weekday")</f>
        <v>Weekday</v>
      </c>
      <c r="AF2844" s="5">
        <f>IF(SalesData[[#This Row],[Contracts Offered]]=0,0,SalesData[[#This Row],[Contracts Signed]]/SalesData[[#This Row],[Contracts Offered]])</f>
        <v>0.38983050847457629</v>
      </c>
      <c r="AG2844" s="5">
        <f>IF(SalesData[[#This Row],[Customers Visited]]=0,0,SalesData[[#This Row],[Test Drives]]/SalesData[[#This Row],[Customers Visited]])</f>
        <v>0.46486486486486489</v>
      </c>
      <c r="AH2844" s="5">
        <f>IF(SalesData[[#This Row],[Customers Visited]]=0,0,SalesData[[#This Row],[Contracts Signed]]/SalesData[[#This Row],[Customers Visited]])</f>
        <v>0.12432432432432433</v>
      </c>
      <c r="AI2844" s="6">
        <f>IF(SalesData[[#This Row],[Contracts Signed]]=0,0,SalesData[[#This Row],[Profit(€)]]/SalesData[[#This Row],[Contracts Signed]])</f>
        <v>14671</v>
      </c>
      <c r="AJ2844" s="5" t="str">
        <f>TRIM(CLEAN(SalesData[[#This Row],[Retailer]]))</f>
        <v>Bavaria Motors</v>
      </c>
    </row>
    <row r="2845" spans="1:36" ht="14.25" hidden="1" x14ac:dyDescent="0.2">
      <c r="A2845" t="s">
        <v>3973</v>
      </c>
      <c r="B2845" s="1">
        <v>46054</v>
      </c>
      <c r="C2845" t="s">
        <v>24</v>
      </c>
      <c r="D2845" t="s">
        <v>41</v>
      </c>
      <c r="E2845" t="s">
        <v>42</v>
      </c>
      <c r="F2845" t="s">
        <v>94</v>
      </c>
      <c r="G2845" t="s">
        <v>95</v>
      </c>
      <c r="H2845" t="s">
        <v>96</v>
      </c>
      <c r="I2845" t="s">
        <v>116</v>
      </c>
      <c r="J2845" t="s">
        <v>132</v>
      </c>
      <c r="K2845" t="s">
        <v>91</v>
      </c>
      <c r="L2845" t="s">
        <v>46</v>
      </c>
      <c r="M2845" t="s">
        <v>68</v>
      </c>
      <c r="N2845" t="s">
        <v>48</v>
      </c>
      <c r="O2845" t="s">
        <v>70</v>
      </c>
      <c r="P2845" t="s">
        <v>49</v>
      </c>
      <c r="Q2845" t="s">
        <v>50</v>
      </c>
      <c r="R2845">
        <v>281</v>
      </c>
      <c r="S2845">
        <v>145</v>
      </c>
      <c r="T2845">
        <v>82</v>
      </c>
      <c r="U2845">
        <v>18</v>
      </c>
      <c r="V2845" t="s">
        <v>2222</v>
      </c>
      <c r="W2845">
        <v>21680</v>
      </c>
      <c r="X2845" t="s">
        <v>2782</v>
      </c>
      <c r="Y2845">
        <v>20138</v>
      </c>
      <c r="Z2845">
        <v>390240</v>
      </c>
      <c r="AA2845">
        <v>27756</v>
      </c>
      <c r="AB2845" t="str">
        <f>(VLOOKUP(SalesData[[#This Row],[Month Number]],Reference!C$5:E$16,2,FALSE))</f>
        <v>Feb</v>
      </c>
      <c r="AC2845">
        <f>MONTH(SalesData[[#This Row],[Date]])</f>
        <v>2</v>
      </c>
      <c r="AD2845">
        <f>Reference!F$4</f>
        <v>2026</v>
      </c>
      <c r="AE2845" t="str">
        <f>IF(OR(SalesData[[#This Row],[Day]]="Saturday",SalesData[[#This Row],[Day]]="Sunday"),"Weekend","Weekday")</f>
        <v>Weekend</v>
      </c>
      <c r="AF2845" s="5">
        <f>IF(SalesData[[#This Row],[Contracts Offered]]=0,0,SalesData[[#This Row],[Contracts Signed]]/SalesData[[#This Row],[Contracts Offered]])</f>
        <v>0.21951219512195122</v>
      </c>
      <c r="AG2845" s="5">
        <f>IF(SalesData[[#This Row],[Customers Visited]]=0,0,SalesData[[#This Row],[Test Drives]]/SalesData[[#This Row],[Customers Visited]])</f>
        <v>0.51601423487544484</v>
      </c>
      <c r="AH2845" s="5">
        <f>IF(SalesData[[#This Row],[Customers Visited]]=0,0,SalesData[[#This Row],[Contracts Signed]]/SalesData[[#This Row],[Customers Visited]])</f>
        <v>6.4056939501779361E-2</v>
      </c>
      <c r="AI2845" s="6">
        <f>IF(SalesData[[#This Row],[Contracts Signed]]=0,0,SalesData[[#This Row],[Profit(€)]]/SalesData[[#This Row],[Contracts Signed]])</f>
        <v>1542</v>
      </c>
      <c r="AJ2845" s="5" t="str">
        <f>TRIM(CLEAN(SalesData[[#This Row],[Retailer]]))</f>
        <v>Bavaria Motors</v>
      </c>
    </row>
    <row r="2846" spans="1:36" ht="14.25" hidden="1" x14ac:dyDescent="0.2">
      <c r="A2846" t="s">
        <v>3974</v>
      </c>
      <c r="B2846" s="1">
        <v>46055</v>
      </c>
      <c r="C2846" t="s">
        <v>24</v>
      </c>
      <c r="D2846" t="s">
        <v>25</v>
      </c>
      <c r="E2846" t="s">
        <v>26</v>
      </c>
      <c r="F2846" t="s">
        <v>127</v>
      </c>
      <c r="G2846" t="s">
        <v>128</v>
      </c>
      <c r="H2846" t="s">
        <v>103</v>
      </c>
      <c r="I2846" t="s">
        <v>56</v>
      </c>
      <c r="J2846" t="s">
        <v>97</v>
      </c>
      <c r="K2846" t="s">
        <v>78</v>
      </c>
      <c r="L2846" t="s">
        <v>33</v>
      </c>
      <c r="M2846" t="s">
        <v>87</v>
      </c>
      <c r="N2846" t="s">
        <v>35</v>
      </c>
      <c r="O2846" t="s">
        <v>70</v>
      </c>
      <c r="P2846" t="s">
        <v>37</v>
      </c>
      <c r="Q2846" t="s">
        <v>129</v>
      </c>
      <c r="R2846">
        <v>317</v>
      </c>
      <c r="S2846">
        <v>193</v>
      </c>
      <c r="T2846">
        <v>147</v>
      </c>
      <c r="U2846">
        <v>40</v>
      </c>
      <c r="V2846" t="s">
        <v>7498</v>
      </c>
      <c r="W2846">
        <v>56058</v>
      </c>
      <c r="X2846" t="s">
        <v>7135</v>
      </c>
      <c r="Y2846">
        <v>43642</v>
      </c>
      <c r="Z2846">
        <v>2242320</v>
      </c>
      <c r="AA2846">
        <v>496640</v>
      </c>
      <c r="AB2846" t="str">
        <f>(VLOOKUP(SalesData[[#This Row],[Month Number]],Reference!C$5:E$16,2,FALSE))</f>
        <v>Feb</v>
      </c>
      <c r="AC2846">
        <f>MONTH(SalesData[[#This Row],[Date]])</f>
        <v>2</v>
      </c>
      <c r="AD2846">
        <f>Reference!F$4</f>
        <v>2026</v>
      </c>
      <c r="AE2846" t="str">
        <f>IF(OR(SalesData[[#This Row],[Day]]="Saturday",SalesData[[#This Row],[Day]]="Sunday"),"Weekend","Weekday")</f>
        <v>Weekday</v>
      </c>
      <c r="AF2846" s="5">
        <f>IF(SalesData[[#This Row],[Contracts Offered]]=0,0,SalesData[[#This Row],[Contracts Signed]]/SalesData[[#This Row],[Contracts Offered]])</f>
        <v>0.27210884353741499</v>
      </c>
      <c r="AG2846" s="5">
        <f>IF(SalesData[[#This Row],[Customers Visited]]=0,0,SalesData[[#This Row],[Test Drives]]/SalesData[[#This Row],[Customers Visited]])</f>
        <v>0.60883280757097791</v>
      </c>
      <c r="AH2846" s="5">
        <f>IF(SalesData[[#This Row],[Customers Visited]]=0,0,SalesData[[#This Row],[Contracts Signed]]/SalesData[[#This Row],[Customers Visited]])</f>
        <v>0.12618296529968454</v>
      </c>
      <c r="AI2846" s="6">
        <f>IF(SalesData[[#This Row],[Contracts Signed]]=0,0,SalesData[[#This Row],[Profit(€)]]/SalesData[[#This Row],[Contracts Signed]])</f>
        <v>12416</v>
      </c>
      <c r="AJ2846" s="5" t="str">
        <f>TRIM(CLEAN(SalesData[[#This Row],[Retailer]]))</f>
        <v>Rhein Auto Group</v>
      </c>
    </row>
    <row r="2847" spans="1:36" ht="14.25" hidden="1" x14ac:dyDescent="0.2">
      <c r="A2847" t="s">
        <v>3975</v>
      </c>
      <c r="B2847" s="1">
        <v>46063</v>
      </c>
      <c r="C2847" t="s">
        <v>121</v>
      </c>
      <c r="D2847" t="s">
        <v>63</v>
      </c>
      <c r="E2847" t="s">
        <v>26</v>
      </c>
      <c r="F2847" t="s">
        <v>43</v>
      </c>
      <c r="G2847" t="s">
        <v>44</v>
      </c>
      <c r="H2847" t="s">
        <v>45</v>
      </c>
      <c r="I2847" t="s">
        <v>56</v>
      </c>
      <c r="J2847" t="s">
        <v>137</v>
      </c>
      <c r="K2847" t="s">
        <v>91</v>
      </c>
      <c r="L2847" t="s">
        <v>46</v>
      </c>
      <c r="M2847" t="s">
        <v>68</v>
      </c>
      <c r="N2847" t="s">
        <v>48</v>
      </c>
      <c r="O2847" t="s">
        <v>36</v>
      </c>
      <c r="P2847" t="s">
        <v>58</v>
      </c>
      <c r="Q2847" t="s">
        <v>129</v>
      </c>
      <c r="R2847">
        <v>246</v>
      </c>
      <c r="S2847">
        <v>143</v>
      </c>
      <c r="T2847">
        <v>98</v>
      </c>
      <c r="U2847">
        <v>37</v>
      </c>
      <c r="V2847" t="s">
        <v>6485</v>
      </c>
      <c r="W2847">
        <v>46813</v>
      </c>
      <c r="X2847" t="s">
        <v>1619</v>
      </c>
      <c r="Y2847">
        <v>37637</v>
      </c>
      <c r="Z2847">
        <v>1732081</v>
      </c>
      <c r="AA2847">
        <v>339512</v>
      </c>
      <c r="AB2847" t="str">
        <f>(VLOOKUP(SalesData[[#This Row],[Month Number]],Reference!C$5:E$16,2,FALSE))</f>
        <v>Feb</v>
      </c>
      <c r="AC2847">
        <f>MONTH(SalesData[[#This Row],[Date]])</f>
        <v>2</v>
      </c>
      <c r="AD2847">
        <f>Reference!F$4</f>
        <v>2026</v>
      </c>
      <c r="AE2847" t="str">
        <f>IF(OR(SalesData[[#This Row],[Day]]="Saturday",SalesData[[#This Row],[Day]]="Sunday"),"Weekend","Weekday")</f>
        <v>Weekday</v>
      </c>
      <c r="AF2847" s="5">
        <f>IF(SalesData[[#This Row],[Contracts Offered]]=0,0,SalesData[[#This Row],[Contracts Signed]]/SalesData[[#This Row],[Contracts Offered]])</f>
        <v>0.37755102040816324</v>
      </c>
      <c r="AG2847" s="5">
        <f>IF(SalesData[[#This Row],[Customers Visited]]=0,0,SalesData[[#This Row],[Test Drives]]/SalesData[[#This Row],[Customers Visited]])</f>
        <v>0.58130081300813008</v>
      </c>
      <c r="AH2847" s="5">
        <f>IF(SalesData[[#This Row],[Customers Visited]]=0,0,SalesData[[#This Row],[Contracts Signed]]/SalesData[[#This Row],[Customers Visited]])</f>
        <v>0.15040650406504066</v>
      </c>
      <c r="AI2847" s="6">
        <f>IF(SalesData[[#This Row],[Contracts Signed]]=0,0,SalesData[[#This Row],[Profit(€)]]/SalesData[[#This Row],[Contracts Signed]])</f>
        <v>9176</v>
      </c>
      <c r="AJ2847" s="5" t="str">
        <f>TRIM(CLEAN(SalesData[[#This Row],[Retailer]]))</f>
        <v>Saxon Wheels</v>
      </c>
    </row>
    <row r="2848" spans="1:36" ht="14.25" x14ac:dyDescent="0.2">
      <c r="A2848" t="s">
        <v>3976</v>
      </c>
      <c r="B2848" s="1">
        <v>46077</v>
      </c>
      <c r="C2848" t="s">
        <v>53</v>
      </c>
      <c r="D2848" t="s">
        <v>63</v>
      </c>
      <c r="E2848" t="s">
        <v>26</v>
      </c>
      <c r="F2848" t="s">
        <v>114</v>
      </c>
      <c r="G2848" t="s">
        <v>115</v>
      </c>
      <c r="H2848" t="s">
        <v>115</v>
      </c>
      <c r="I2848" t="s">
        <v>30</v>
      </c>
      <c r="J2848" t="s">
        <v>166</v>
      </c>
      <c r="K2848" t="s">
        <v>66</v>
      </c>
      <c r="L2848" t="s">
        <v>46</v>
      </c>
      <c r="M2848" t="s">
        <v>47</v>
      </c>
      <c r="N2848" t="s">
        <v>35</v>
      </c>
      <c r="O2848" t="s">
        <v>36</v>
      </c>
      <c r="P2848" t="s">
        <v>58</v>
      </c>
      <c r="Q2848" t="s">
        <v>240</v>
      </c>
      <c r="R2848">
        <v>279</v>
      </c>
      <c r="S2848">
        <v>127</v>
      </c>
      <c r="T2848">
        <v>94</v>
      </c>
      <c r="U2848">
        <v>38</v>
      </c>
      <c r="V2848" t="s">
        <v>7253</v>
      </c>
      <c r="W2848">
        <v>67010</v>
      </c>
      <c r="X2848" t="s">
        <v>3261</v>
      </c>
      <c r="Y2848">
        <v>48835</v>
      </c>
      <c r="Z2848">
        <v>2546380</v>
      </c>
      <c r="AA2848">
        <v>690650</v>
      </c>
      <c r="AB2848" t="str">
        <f>(VLOOKUP(SalesData[[#This Row],[Month Number]],Reference!C$5:E$16,2,FALSE))</f>
        <v>Feb</v>
      </c>
      <c r="AC2848">
        <f>MONTH(SalesData[[#This Row],[Date]])</f>
        <v>2</v>
      </c>
      <c r="AD2848">
        <f>Reference!F$4</f>
        <v>2026</v>
      </c>
      <c r="AE2848" t="str">
        <f>IF(OR(SalesData[[#This Row],[Day]]="Saturday",SalesData[[#This Row],[Day]]="Sunday"),"Weekend","Weekday")</f>
        <v>Weekday</v>
      </c>
      <c r="AF2848" s="5">
        <f>IF(SalesData[[#This Row],[Contracts Offered]]=0,0,SalesData[[#This Row],[Contracts Signed]]/SalesData[[#This Row],[Contracts Offered]])</f>
        <v>0.40425531914893614</v>
      </c>
      <c r="AG2848" s="5">
        <f>IF(SalesData[[#This Row],[Customers Visited]]=0,0,SalesData[[#This Row],[Test Drives]]/SalesData[[#This Row],[Customers Visited]])</f>
        <v>0.45519713261648748</v>
      </c>
      <c r="AH2848" s="5">
        <f>IF(SalesData[[#This Row],[Customers Visited]]=0,0,SalesData[[#This Row],[Contracts Signed]]/SalesData[[#This Row],[Customers Visited]])</f>
        <v>0.13620071684587814</v>
      </c>
      <c r="AI2848" s="6">
        <f>IF(SalesData[[#This Row],[Contracts Signed]]=0,0,SalesData[[#This Row],[Profit(€)]]/SalesData[[#This Row],[Contracts Signed]])</f>
        <v>18175</v>
      </c>
      <c r="AJ2848" s="5" t="str">
        <f>TRIM(CLEAN(SalesData[[#This Row],[Retailer]]))</f>
        <v>Elbe Drive</v>
      </c>
    </row>
    <row r="2849" spans="1:36" ht="14.25" hidden="1" x14ac:dyDescent="0.2">
      <c r="A2849" t="s">
        <v>3977</v>
      </c>
      <c r="B2849" s="1">
        <v>46062</v>
      </c>
      <c r="C2849" t="s">
        <v>121</v>
      </c>
      <c r="D2849" t="s">
        <v>25</v>
      </c>
      <c r="E2849" t="s">
        <v>26</v>
      </c>
      <c r="F2849" t="s">
        <v>114</v>
      </c>
      <c r="G2849" t="s">
        <v>115</v>
      </c>
      <c r="H2849" t="s">
        <v>115</v>
      </c>
      <c r="I2849" t="s">
        <v>56</v>
      </c>
      <c r="J2849" t="s">
        <v>57</v>
      </c>
      <c r="K2849" t="s">
        <v>78</v>
      </c>
      <c r="L2849" t="s">
        <v>46</v>
      </c>
      <c r="M2849" t="s">
        <v>34</v>
      </c>
      <c r="N2849" t="s">
        <v>48</v>
      </c>
      <c r="O2849" t="s">
        <v>36</v>
      </c>
      <c r="P2849" t="s">
        <v>58</v>
      </c>
      <c r="Q2849" t="s">
        <v>88</v>
      </c>
      <c r="R2849">
        <v>189</v>
      </c>
      <c r="S2849">
        <v>118</v>
      </c>
      <c r="T2849">
        <v>76</v>
      </c>
      <c r="U2849">
        <v>32</v>
      </c>
      <c r="V2849" t="s">
        <v>6858</v>
      </c>
      <c r="W2849">
        <v>47013</v>
      </c>
      <c r="X2849" t="s">
        <v>7165</v>
      </c>
      <c r="Y2849">
        <v>36712</v>
      </c>
      <c r="Z2849">
        <v>1504416</v>
      </c>
      <c r="AA2849">
        <v>329632</v>
      </c>
      <c r="AB2849" t="str">
        <f>(VLOOKUP(SalesData[[#This Row],[Month Number]],Reference!C$5:E$16,2,FALSE))</f>
        <v>Feb</v>
      </c>
      <c r="AC2849">
        <f>MONTH(SalesData[[#This Row],[Date]])</f>
        <v>2</v>
      </c>
      <c r="AD2849">
        <f>Reference!F$4</f>
        <v>2026</v>
      </c>
      <c r="AE2849" t="str">
        <f>IF(OR(SalesData[[#This Row],[Day]]="Saturday",SalesData[[#This Row],[Day]]="Sunday"),"Weekend","Weekday")</f>
        <v>Weekday</v>
      </c>
      <c r="AF2849" s="5">
        <f>IF(SalesData[[#This Row],[Contracts Offered]]=0,0,SalesData[[#This Row],[Contracts Signed]]/SalesData[[#This Row],[Contracts Offered]])</f>
        <v>0.42105263157894735</v>
      </c>
      <c r="AG2849" s="5">
        <f>IF(SalesData[[#This Row],[Customers Visited]]=0,0,SalesData[[#This Row],[Test Drives]]/SalesData[[#This Row],[Customers Visited]])</f>
        <v>0.6243386243386243</v>
      </c>
      <c r="AH2849" s="5">
        <f>IF(SalesData[[#This Row],[Customers Visited]]=0,0,SalesData[[#This Row],[Contracts Signed]]/SalesData[[#This Row],[Customers Visited]])</f>
        <v>0.1693121693121693</v>
      </c>
      <c r="AI2849" s="6">
        <f>IF(SalesData[[#This Row],[Contracts Signed]]=0,0,SalesData[[#This Row],[Profit(€)]]/SalesData[[#This Row],[Contracts Signed]])</f>
        <v>10301</v>
      </c>
      <c r="AJ2849" s="5" t="str">
        <f>TRIM(CLEAN(SalesData[[#This Row],[Retailer]]))</f>
        <v>Elbe Drive</v>
      </c>
    </row>
    <row r="2850" spans="1:36" ht="14.25" hidden="1" x14ac:dyDescent="0.2">
      <c r="A2850" t="s">
        <v>3978</v>
      </c>
      <c r="B2850" s="1">
        <v>46056</v>
      </c>
      <c r="C2850" t="s">
        <v>24</v>
      </c>
      <c r="D2850" t="s">
        <v>63</v>
      </c>
      <c r="E2850" t="s">
        <v>26</v>
      </c>
      <c r="F2850" t="s">
        <v>101</v>
      </c>
      <c r="G2850" t="s">
        <v>102</v>
      </c>
      <c r="H2850" t="s">
        <v>103</v>
      </c>
      <c r="I2850" t="s">
        <v>56</v>
      </c>
      <c r="J2850" t="s">
        <v>7028</v>
      </c>
      <c r="K2850" t="s">
        <v>32</v>
      </c>
      <c r="L2850" t="s">
        <v>46</v>
      </c>
      <c r="M2850" t="s">
        <v>34</v>
      </c>
      <c r="N2850" t="s">
        <v>69</v>
      </c>
      <c r="O2850" t="s">
        <v>70</v>
      </c>
      <c r="P2850" t="s">
        <v>58</v>
      </c>
      <c r="Q2850" t="s">
        <v>38</v>
      </c>
      <c r="R2850">
        <v>169</v>
      </c>
      <c r="S2850">
        <v>80</v>
      </c>
      <c r="T2850">
        <v>52</v>
      </c>
      <c r="U2850">
        <v>17</v>
      </c>
      <c r="V2850" t="s">
        <v>6978</v>
      </c>
      <c r="W2850">
        <v>47433</v>
      </c>
      <c r="X2850" t="s">
        <v>1440</v>
      </c>
      <c r="Y2850">
        <v>38499</v>
      </c>
      <c r="Z2850">
        <v>806361</v>
      </c>
      <c r="AA2850">
        <v>151878</v>
      </c>
      <c r="AB2850" t="str">
        <f>(VLOOKUP(SalesData[[#This Row],[Month Number]],Reference!C$5:E$16,2,FALSE))</f>
        <v>Feb</v>
      </c>
      <c r="AC2850">
        <f>MONTH(SalesData[[#This Row],[Date]])</f>
        <v>2</v>
      </c>
      <c r="AD2850">
        <f>Reference!F$4</f>
        <v>2026</v>
      </c>
      <c r="AE2850" t="str">
        <f>IF(OR(SalesData[[#This Row],[Day]]="Saturday",SalesData[[#This Row],[Day]]="Sunday"),"Weekend","Weekday")</f>
        <v>Weekday</v>
      </c>
      <c r="AF2850" s="5">
        <f>IF(SalesData[[#This Row],[Contracts Offered]]=0,0,SalesData[[#This Row],[Contracts Signed]]/SalesData[[#This Row],[Contracts Offered]])</f>
        <v>0.32692307692307693</v>
      </c>
      <c r="AG2850" s="5">
        <f>IF(SalesData[[#This Row],[Customers Visited]]=0,0,SalesData[[#This Row],[Test Drives]]/SalesData[[#This Row],[Customers Visited]])</f>
        <v>0.47337278106508873</v>
      </c>
      <c r="AH2850" s="5">
        <f>IF(SalesData[[#This Row],[Customers Visited]]=0,0,SalesData[[#This Row],[Contracts Signed]]/SalesData[[#This Row],[Customers Visited]])</f>
        <v>0.10059171597633136</v>
      </c>
      <c r="AI2850" s="6">
        <f>IF(SalesData[[#This Row],[Contracts Signed]]=0,0,SalesData[[#This Row],[Profit(€)]]/SalesData[[#This Row],[Contracts Signed]])</f>
        <v>8934</v>
      </c>
      <c r="AJ2850" s="5" t="str">
        <f>TRIM(CLEAN(SalesData[[#This Row],[Retailer]]))</f>
        <v>Ruhr Auto Plaza</v>
      </c>
    </row>
    <row r="2851" spans="1:36" ht="14.25" x14ac:dyDescent="0.2">
      <c r="A2851" t="s">
        <v>3979</v>
      </c>
      <c r="B2851" s="1">
        <v>46061</v>
      </c>
      <c r="C2851" t="s">
        <v>121</v>
      </c>
      <c r="D2851" t="s">
        <v>41</v>
      </c>
      <c r="E2851" t="s">
        <v>42</v>
      </c>
      <c r="F2851" t="s">
        <v>94</v>
      </c>
      <c r="G2851" t="s">
        <v>95</v>
      </c>
      <c r="H2851" t="s">
        <v>96</v>
      </c>
      <c r="I2851" t="s">
        <v>30</v>
      </c>
      <c r="J2851" t="s">
        <v>166</v>
      </c>
      <c r="K2851" t="s">
        <v>32</v>
      </c>
      <c r="L2851" t="s">
        <v>46</v>
      </c>
      <c r="M2851" t="s">
        <v>87</v>
      </c>
      <c r="N2851" t="s">
        <v>35</v>
      </c>
      <c r="O2851" t="s">
        <v>70</v>
      </c>
      <c r="P2851" t="s">
        <v>71</v>
      </c>
      <c r="Q2851" t="s">
        <v>135</v>
      </c>
      <c r="R2851">
        <v>182</v>
      </c>
      <c r="S2851">
        <v>92</v>
      </c>
      <c r="T2851">
        <v>69</v>
      </c>
      <c r="U2851">
        <v>26</v>
      </c>
      <c r="V2851" t="s">
        <v>6896</v>
      </c>
      <c r="W2851">
        <v>55508</v>
      </c>
      <c r="X2851" t="s">
        <v>7139</v>
      </c>
      <c r="Y2851">
        <v>39050</v>
      </c>
      <c r="Z2851">
        <v>1443208</v>
      </c>
      <c r="AA2851">
        <v>427908</v>
      </c>
      <c r="AB2851" t="str">
        <f>(VLOOKUP(SalesData[[#This Row],[Month Number]],Reference!C$5:E$16,2,FALSE))</f>
        <v>Feb</v>
      </c>
      <c r="AC2851">
        <f>MONTH(SalesData[[#This Row],[Date]])</f>
        <v>2</v>
      </c>
      <c r="AD2851">
        <f>Reference!F$4</f>
        <v>2026</v>
      </c>
      <c r="AE2851" t="str">
        <f>IF(OR(SalesData[[#This Row],[Day]]="Saturday",SalesData[[#This Row],[Day]]="Sunday"),"Weekend","Weekday")</f>
        <v>Weekend</v>
      </c>
      <c r="AF2851" s="5">
        <f>IF(SalesData[[#This Row],[Contracts Offered]]=0,0,SalesData[[#This Row],[Contracts Signed]]/SalesData[[#This Row],[Contracts Offered]])</f>
        <v>0.37681159420289856</v>
      </c>
      <c r="AG2851" s="5">
        <f>IF(SalesData[[#This Row],[Customers Visited]]=0,0,SalesData[[#This Row],[Test Drives]]/SalesData[[#This Row],[Customers Visited]])</f>
        <v>0.50549450549450547</v>
      </c>
      <c r="AH2851" s="5">
        <f>IF(SalesData[[#This Row],[Customers Visited]]=0,0,SalesData[[#This Row],[Contracts Signed]]/SalesData[[#This Row],[Customers Visited]])</f>
        <v>0.14285714285714285</v>
      </c>
      <c r="AI2851" s="6">
        <f>IF(SalesData[[#This Row],[Contracts Signed]]=0,0,SalesData[[#This Row],[Profit(€)]]/SalesData[[#This Row],[Contracts Signed]])</f>
        <v>16458</v>
      </c>
      <c r="AJ2851" s="5" t="str">
        <f>TRIM(CLEAN(SalesData[[#This Row],[Retailer]]))</f>
        <v>Bavaria Motors</v>
      </c>
    </row>
    <row r="2852" spans="1:36" ht="14.25" hidden="1" x14ac:dyDescent="0.2">
      <c r="A2852" t="s">
        <v>3981</v>
      </c>
      <c r="B2852" s="1">
        <v>46063</v>
      </c>
      <c r="C2852" t="s">
        <v>121</v>
      </c>
      <c r="D2852" t="s">
        <v>63</v>
      </c>
      <c r="E2852" t="s">
        <v>26</v>
      </c>
      <c r="F2852" t="s">
        <v>7649</v>
      </c>
      <c r="G2852" t="s">
        <v>55</v>
      </c>
      <c r="H2852" t="s">
        <v>55</v>
      </c>
      <c r="I2852" t="s">
        <v>64</v>
      </c>
      <c r="J2852" t="s">
        <v>111</v>
      </c>
      <c r="K2852" t="s">
        <v>66</v>
      </c>
      <c r="L2852" t="s">
        <v>46</v>
      </c>
      <c r="M2852" t="s">
        <v>68</v>
      </c>
      <c r="N2852" t="s">
        <v>69</v>
      </c>
      <c r="O2852" t="s">
        <v>36</v>
      </c>
      <c r="P2852" t="s">
        <v>49</v>
      </c>
      <c r="Q2852" t="s">
        <v>122</v>
      </c>
      <c r="R2852">
        <v>258</v>
      </c>
      <c r="S2852">
        <v>128</v>
      </c>
      <c r="T2852">
        <v>86</v>
      </c>
      <c r="U2852">
        <v>31</v>
      </c>
      <c r="V2852" t="s">
        <v>6536</v>
      </c>
      <c r="W2852">
        <v>69892</v>
      </c>
      <c r="X2852" t="s">
        <v>7263</v>
      </c>
      <c r="Y2852">
        <v>49808</v>
      </c>
      <c r="Z2852">
        <v>2166652</v>
      </c>
      <c r="AA2852">
        <v>622604</v>
      </c>
      <c r="AB2852" t="str">
        <f>(VLOOKUP(SalesData[[#This Row],[Month Number]],Reference!C$5:E$16,2,FALSE))</f>
        <v>Feb</v>
      </c>
      <c r="AC2852">
        <f>MONTH(SalesData[[#This Row],[Date]])</f>
        <v>2</v>
      </c>
      <c r="AD2852">
        <f>Reference!F$4</f>
        <v>2026</v>
      </c>
      <c r="AE2852" t="str">
        <f>IF(OR(SalesData[[#This Row],[Day]]="Saturday",SalesData[[#This Row],[Day]]="Sunday"),"Weekend","Weekday")</f>
        <v>Weekday</v>
      </c>
      <c r="AF2852" s="5">
        <f>IF(SalesData[[#This Row],[Contracts Offered]]=0,0,SalesData[[#This Row],[Contracts Signed]]/SalesData[[#This Row],[Contracts Offered]])</f>
        <v>0.36046511627906974</v>
      </c>
      <c r="AG2852" s="5">
        <f>IF(SalesData[[#This Row],[Customers Visited]]=0,0,SalesData[[#This Row],[Test Drives]]/SalesData[[#This Row],[Customers Visited]])</f>
        <v>0.49612403100775193</v>
      </c>
      <c r="AH2852" s="5">
        <f>IF(SalesData[[#This Row],[Customers Visited]]=0,0,SalesData[[#This Row],[Contracts Signed]]/SalesData[[#This Row],[Customers Visited]])</f>
        <v>0.12015503875968993</v>
      </c>
      <c r="AI2852" s="6">
        <f>IF(SalesData[[#This Row],[Contracts Signed]]=0,0,SalesData[[#This Row],[Profit(€)]]/SalesData[[#This Row],[Contracts Signed]])</f>
        <v>20084</v>
      </c>
      <c r="AJ2852" s="5" t="str">
        <f>TRIM(CLEAN(SalesData[[#This Row],[Retailer]]))</f>
        <v>Autohaus Berlin</v>
      </c>
    </row>
    <row r="2853" spans="1:36" ht="14.25" hidden="1" x14ac:dyDescent="0.2">
      <c r="A2853" t="s">
        <v>3982</v>
      </c>
      <c r="B2853" s="1">
        <v>46056</v>
      </c>
      <c r="C2853" t="s">
        <v>24</v>
      </c>
      <c r="D2853" t="s">
        <v>63</v>
      </c>
      <c r="E2853" t="s">
        <v>26</v>
      </c>
      <c r="F2853" t="s">
        <v>114</v>
      </c>
      <c r="G2853" t="s">
        <v>115</v>
      </c>
      <c r="H2853" t="s">
        <v>115</v>
      </c>
      <c r="I2853" t="s">
        <v>56</v>
      </c>
      <c r="J2853" t="s">
        <v>179</v>
      </c>
      <c r="K2853" t="s">
        <v>91</v>
      </c>
      <c r="L2853" t="s">
        <v>67</v>
      </c>
      <c r="M2853" t="s">
        <v>68</v>
      </c>
      <c r="N2853" t="s">
        <v>35</v>
      </c>
      <c r="O2853" t="s">
        <v>36</v>
      </c>
      <c r="P2853" t="s">
        <v>71</v>
      </c>
      <c r="Q2853" t="s">
        <v>204</v>
      </c>
      <c r="R2853">
        <v>240</v>
      </c>
      <c r="S2853">
        <v>130</v>
      </c>
      <c r="T2853">
        <v>94</v>
      </c>
      <c r="U2853">
        <v>36</v>
      </c>
      <c r="V2853" t="s">
        <v>6359</v>
      </c>
      <c r="W2853">
        <v>46643</v>
      </c>
      <c r="X2853" t="s">
        <v>589</v>
      </c>
      <c r="Y2853">
        <v>36674</v>
      </c>
      <c r="Z2853">
        <v>1679148</v>
      </c>
      <c r="AA2853">
        <v>358884</v>
      </c>
      <c r="AB2853" t="str">
        <f>(VLOOKUP(SalesData[[#This Row],[Month Number]],Reference!C$5:E$16,2,FALSE))</f>
        <v>Feb</v>
      </c>
      <c r="AC2853">
        <f>MONTH(SalesData[[#This Row],[Date]])</f>
        <v>2</v>
      </c>
      <c r="AD2853">
        <f>Reference!F$4</f>
        <v>2026</v>
      </c>
      <c r="AE2853" t="str">
        <f>IF(OR(SalesData[[#This Row],[Day]]="Saturday",SalesData[[#This Row],[Day]]="Sunday"),"Weekend","Weekday")</f>
        <v>Weekday</v>
      </c>
      <c r="AF2853" s="5">
        <f>IF(SalesData[[#This Row],[Contracts Offered]]=0,0,SalesData[[#This Row],[Contracts Signed]]/SalesData[[#This Row],[Contracts Offered]])</f>
        <v>0.38297872340425532</v>
      </c>
      <c r="AG2853" s="5">
        <f>IF(SalesData[[#This Row],[Customers Visited]]=0,0,SalesData[[#This Row],[Test Drives]]/SalesData[[#This Row],[Customers Visited]])</f>
        <v>0.54166666666666663</v>
      </c>
      <c r="AH2853" s="5">
        <f>IF(SalesData[[#This Row],[Customers Visited]]=0,0,SalesData[[#This Row],[Contracts Signed]]/SalesData[[#This Row],[Customers Visited]])</f>
        <v>0.15</v>
      </c>
      <c r="AI2853" s="6">
        <f>IF(SalesData[[#This Row],[Contracts Signed]]=0,0,SalesData[[#This Row],[Profit(€)]]/SalesData[[#This Row],[Contracts Signed]])</f>
        <v>9969</v>
      </c>
      <c r="AJ2853" s="5" t="str">
        <f>TRIM(CLEAN(SalesData[[#This Row],[Retailer]]))</f>
        <v>Elbe Drive</v>
      </c>
    </row>
    <row r="2854" spans="1:36" ht="14.25" hidden="1" x14ac:dyDescent="0.2">
      <c r="A2854" t="s">
        <v>3983</v>
      </c>
      <c r="B2854" s="1">
        <v>46064</v>
      </c>
      <c r="C2854" t="s">
        <v>121</v>
      </c>
      <c r="D2854" t="s">
        <v>82</v>
      </c>
      <c r="E2854" t="s">
        <v>26</v>
      </c>
      <c r="F2854" t="s">
        <v>74</v>
      </c>
      <c r="G2854" t="s">
        <v>75</v>
      </c>
      <c r="H2854" t="s">
        <v>76</v>
      </c>
      <c r="I2854" t="s">
        <v>64</v>
      </c>
      <c r="J2854" t="s">
        <v>111</v>
      </c>
      <c r="K2854" t="s">
        <v>78</v>
      </c>
      <c r="L2854" t="s">
        <v>46</v>
      </c>
      <c r="M2854" t="s">
        <v>68</v>
      </c>
      <c r="N2854" t="s">
        <v>69</v>
      </c>
      <c r="O2854" t="s">
        <v>70</v>
      </c>
      <c r="P2854" t="s">
        <v>37</v>
      </c>
      <c r="Q2854" t="s">
        <v>169</v>
      </c>
      <c r="R2854">
        <v>159</v>
      </c>
      <c r="S2854">
        <v>86</v>
      </c>
      <c r="T2854">
        <v>57</v>
      </c>
      <c r="U2854">
        <v>20</v>
      </c>
      <c r="V2854" t="s">
        <v>6726</v>
      </c>
      <c r="W2854">
        <v>58118</v>
      </c>
      <c r="X2854" t="s">
        <v>5237</v>
      </c>
      <c r="Y2854">
        <v>44011</v>
      </c>
      <c r="Z2854">
        <v>1162360</v>
      </c>
      <c r="AA2854">
        <v>282140</v>
      </c>
      <c r="AB2854" t="str">
        <f>(VLOOKUP(SalesData[[#This Row],[Month Number]],Reference!C$5:E$16,2,FALSE))</f>
        <v>Feb</v>
      </c>
      <c r="AC2854">
        <f>MONTH(SalesData[[#This Row],[Date]])</f>
        <v>2</v>
      </c>
      <c r="AD2854">
        <f>Reference!F$4</f>
        <v>2026</v>
      </c>
      <c r="AE2854" t="str">
        <f>IF(OR(SalesData[[#This Row],[Day]]="Saturday",SalesData[[#This Row],[Day]]="Sunday"),"Weekend","Weekday")</f>
        <v>Weekday</v>
      </c>
      <c r="AF2854" s="5">
        <f>IF(SalesData[[#This Row],[Contracts Offered]]=0,0,SalesData[[#This Row],[Contracts Signed]]/SalesData[[#This Row],[Contracts Offered]])</f>
        <v>0.35087719298245612</v>
      </c>
      <c r="AG2854" s="5">
        <f>IF(SalesData[[#This Row],[Customers Visited]]=0,0,SalesData[[#This Row],[Test Drives]]/SalesData[[#This Row],[Customers Visited]])</f>
        <v>0.54088050314465408</v>
      </c>
      <c r="AH2854" s="5">
        <f>IF(SalesData[[#This Row],[Customers Visited]]=0,0,SalesData[[#This Row],[Contracts Signed]]/SalesData[[#This Row],[Customers Visited]])</f>
        <v>0.12578616352201258</v>
      </c>
      <c r="AI2854" s="6">
        <f>IF(SalesData[[#This Row],[Contracts Signed]]=0,0,SalesData[[#This Row],[Profit(€)]]/SalesData[[#This Row],[Contracts Signed]])</f>
        <v>14107</v>
      </c>
      <c r="AJ2854" s="5" t="str">
        <f>TRIM(CLEAN(SalesData[[#This Row],[Retailer]]))</f>
        <v>Stuttgart Auto Center</v>
      </c>
    </row>
    <row r="2855" spans="1:36" ht="14.25" hidden="1" x14ac:dyDescent="0.2">
      <c r="A2855" t="s">
        <v>3984</v>
      </c>
      <c r="B2855" s="1">
        <v>46076</v>
      </c>
      <c r="C2855" t="s">
        <v>53</v>
      </c>
      <c r="D2855" t="s">
        <v>25</v>
      </c>
      <c r="E2855" t="s">
        <v>26</v>
      </c>
      <c r="F2855" t="s">
        <v>114</v>
      </c>
      <c r="G2855" t="s">
        <v>115</v>
      </c>
      <c r="H2855" t="s">
        <v>115</v>
      </c>
      <c r="I2855" t="s">
        <v>104</v>
      </c>
      <c r="J2855" t="s">
        <v>105</v>
      </c>
      <c r="K2855" t="s">
        <v>91</v>
      </c>
      <c r="L2855" t="s">
        <v>33</v>
      </c>
      <c r="M2855" t="s">
        <v>68</v>
      </c>
      <c r="N2855" t="s">
        <v>35</v>
      </c>
      <c r="O2855" t="s">
        <v>70</v>
      </c>
      <c r="P2855" t="s">
        <v>71</v>
      </c>
      <c r="Q2855" t="s">
        <v>38</v>
      </c>
      <c r="R2855">
        <v>494</v>
      </c>
      <c r="S2855">
        <v>262</v>
      </c>
      <c r="T2855">
        <v>155</v>
      </c>
      <c r="U2855">
        <v>49</v>
      </c>
      <c r="V2855" t="s">
        <v>3598</v>
      </c>
      <c r="W2855">
        <v>28649</v>
      </c>
      <c r="X2855" t="s">
        <v>1726</v>
      </c>
      <c r="Y2855">
        <v>25587</v>
      </c>
      <c r="Z2855">
        <v>1403801</v>
      </c>
      <c r="AA2855">
        <v>150038</v>
      </c>
      <c r="AB2855" t="str">
        <f>(VLOOKUP(SalesData[[#This Row],[Month Number]],Reference!C$5:E$16,2,FALSE))</f>
        <v>Feb</v>
      </c>
      <c r="AC2855">
        <f>MONTH(SalesData[[#This Row],[Date]])</f>
        <v>2</v>
      </c>
      <c r="AD2855">
        <f>Reference!F$4</f>
        <v>2026</v>
      </c>
      <c r="AE2855" t="str">
        <f>IF(OR(SalesData[[#This Row],[Day]]="Saturday",SalesData[[#This Row],[Day]]="Sunday"),"Weekend","Weekday")</f>
        <v>Weekday</v>
      </c>
      <c r="AF2855" s="5">
        <f>IF(SalesData[[#This Row],[Contracts Offered]]=0,0,SalesData[[#This Row],[Contracts Signed]]/SalesData[[#This Row],[Contracts Offered]])</f>
        <v>0.31612903225806449</v>
      </c>
      <c r="AG2855" s="5">
        <f>IF(SalesData[[#This Row],[Customers Visited]]=0,0,SalesData[[#This Row],[Test Drives]]/SalesData[[#This Row],[Customers Visited]])</f>
        <v>0.53036437246963564</v>
      </c>
      <c r="AH2855" s="5">
        <f>IF(SalesData[[#This Row],[Customers Visited]]=0,0,SalesData[[#This Row],[Contracts Signed]]/SalesData[[#This Row],[Customers Visited]])</f>
        <v>9.9190283400809723E-2</v>
      </c>
      <c r="AI2855" s="6">
        <f>IF(SalesData[[#This Row],[Contracts Signed]]=0,0,SalesData[[#This Row],[Profit(€)]]/SalesData[[#This Row],[Contracts Signed]])</f>
        <v>3062</v>
      </c>
      <c r="AJ2855" s="5" t="str">
        <f>TRIM(CLEAN(SalesData[[#This Row],[Retailer]]))</f>
        <v>Elbe Drive</v>
      </c>
    </row>
    <row r="2856" spans="1:36" ht="14.25" x14ac:dyDescent="0.2">
      <c r="A2856" t="s">
        <v>3985</v>
      </c>
      <c r="B2856" s="1">
        <v>46071</v>
      </c>
      <c r="C2856" t="s">
        <v>62</v>
      </c>
      <c r="D2856" t="s">
        <v>82</v>
      </c>
      <c r="E2856" t="s">
        <v>26</v>
      </c>
      <c r="F2856" t="s">
        <v>101</v>
      </c>
      <c r="G2856" t="s">
        <v>102</v>
      </c>
      <c r="H2856" t="s">
        <v>103</v>
      </c>
      <c r="I2856" t="s">
        <v>30</v>
      </c>
      <c r="J2856" t="s">
        <v>7075</v>
      </c>
      <c r="K2856" t="s">
        <v>91</v>
      </c>
      <c r="L2856" t="s">
        <v>33</v>
      </c>
      <c r="M2856" t="s">
        <v>87</v>
      </c>
      <c r="N2856" t="s">
        <v>69</v>
      </c>
      <c r="O2856" t="s">
        <v>70</v>
      </c>
      <c r="P2856" t="s">
        <v>49</v>
      </c>
      <c r="Q2856" t="s">
        <v>50</v>
      </c>
      <c r="R2856">
        <v>211</v>
      </c>
      <c r="S2856">
        <v>129</v>
      </c>
      <c r="T2856">
        <v>94</v>
      </c>
      <c r="U2856">
        <v>34</v>
      </c>
      <c r="V2856" t="s">
        <v>6522</v>
      </c>
      <c r="W2856">
        <v>62644</v>
      </c>
      <c r="X2856" t="s">
        <v>323</v>
      </c>
      <c r="Y2856">
        <v>44854</v>
      </c>
      <c r="Z2856">
        <v>2129896</v>
      </c>
      <c r="AA2856">
        <v>604860</v>
      </c>
      <c r="AB2856" t="str">
        <f>(VLOOKUP(SalesData[[#This Row],[Month Number]],Reference!C$5:E$16,2,FALSE))</f>
        <v>Feb</v>
      </c>
      <c r="AC2856">
        <f>MONTH(SalesData[[#This Row],[Date]])</f>
        <v>2</v>
      </c>
      <c r="AD2856">
        <f>Reference!F$4</f>
        <v>2026</v>
      </c>
      <c r="AE2856" t="str">
        <f>IF(OR(SalesData[[#This Row],[Day]]="Saturday",SalesData[[#This Row],[Day]]="Sunday"),"Weekend","Weekday")</f>
        <v>Weekday</v>
      </c>
      <c r="AF2856" s="5">
        <f>IF(SalesData[[#This Row],[Contracts Offered]]=0,0,SalesData[[#This Row],[Contracts Signed]]/SalesData[[#This Row],[Contracts Offered]])</f>
        <v>0.36170212765957449</v>
      </c>
      <c r="AG2856" s="5">
        <f>IF(SalesData[[#This Row],[Customers Visited]]=0,0,SalesData[[#This Row],[Test Drives]]/SalesData[[#This Row],[Customers Visited]])</f>
        <v>0.61137440758293837</v>
      </c>
      <c r="AH2856" s="5">
        <f>IF(SalesData[[#This Row],[Customers Visited]]=0,0,SalesData[[#This Row],[Contracts Signed]]/SalesData[[#This Row],[Customers Visited]])</f>
        <v>0.16113744075829384</v>
      </c>
      <c r="AI2856" s="6">
        <f>IF(SalesData[[#This Row],[Contracts Signed]]=0,0,SalesData[[#This Row],[Profit(€)]]/SalesData[[#This Row],[Contracts Signed]])</f>
        <v>17790</v>
      </c>
      <c r="AJ2856" s="5" t="str">
        <f>TRIM(CLEAN(SalesData[[#This Row],[Retailer]]))</f>
        <v>Ruhr Auto Plaza</v>
      </c>
    </row>
    <row r="2857" spans="1:36" ht="14.25" x14ac:dyDescent="0.2">
      <c r="A2857" t="s">
        <v>3986</v>
      </c>
      <c r="B2857" s="1">
        <v>46057</v>
      </c>
      <c r="C2857" t="s">
        <v>24</v>
      </c>
      <c r="D2857" t="s">
        <v>82</v>
      </c>
      <c r="E2857" t="s">
        <v>26</v>
      </c>
      <c r="F2857" t="s">
        <v>109</v>
      </c>
      <c r="G2857" t="s">
        <v>110</v>
      </c>
      <c r="H2857" t="s">
        <v>45</v>
      </c>
      <c r="I2857" t="s">
        <v>30</v>
      </c>
      <c r="J2857" t="s">
        <v>7075</v>
      </c>
      <c r="K2857" t="s">
        <v>32</v>
      </c>
      <c r="L2857" t="s">
        <v>33</v>
      </c>
      <c r="M2857" t="s">
        <v>34</v>
      </c>
      <c r="N2857" t="s">
        <v>48</v>
      </c>
      <c r="O2857" t="s">
        <v>70</v>
      </c>
      <c r="P2857" t="s">
        <v>37</v>
      </c>
      <c r="Q2857" t="s">
        <v>240</v>
      </c>
      <c r="R2857">
        <v>186</v>
      </c>
      <c r="S2857">
        <v>111</v>
      </c>
      <c r="T2857">
        <v>81</v>
      </c>
      <c r="U2857">
        <v>29</v>
      </c>
      <c r="V2857" t="s">
        <v>6950</v>
      </c>
      <c r="W2857">
        <v>64342</v>
      </c>
      <c r="X2857" t="s">
        <v>7483</v>
      </c>
      <c r="Y2857">
        <v>45217</v>
      </c>
      <c r="Z2857">
        <v>1865918</v>
      </c>
      <c r="AA2857">
        <v>554625</v>
      </c>
      <c r="AB2857" t="str">
        <f>(VLOOKUP(SalesData[[#This Row],[Month Number]],Reference!C$5:E$16,2,FALSE))</f>
        <v>Feb</v>
      </c>
      <c r="AC2857">
        <f>MONTH(SalesData[[#This Row],[Date]])</f>
        <v>2</v>
      </c>
      <c r="AD2857">
        <f>Reference!F$4</f>
        <v>2026</v>
      </c>
      <c r="AE2857" t="str">
        <f>IF(OR(SalesData[[#This Row],[Day]]="Saturday",SalesData[[#This Row],[Day]]="Sunday"),"Weekend","Weekday")</f>
        <v>Weekday</v>
      </c>
      <c r="AF2857" s="5">
        <f>IF(SalesData[[#This Row],[Contracts Offered]]=0,0,SalesData[[#This Row],[Contracts Signed]]/SalesData[[#This Row],[Contracts Offered]])</f>
        <v>0.35802469135802467</v>
      </c>
      <c r="AG2857" s="5">
        <f>IF(SalesData[[#This Row],[Customers Visited]]=0,0,SalesData[[#This Row],[Test Drives]]/SalesData[[#This Row],[Customers Visited]])</f>
        <v>0.59677419354838712</v>
      </c>
      <c r="AH2857" s="5">
        <f>IF(SalesData[[#This Row],[Customers Visited]]=0,0,SalesData[[#This Row],[Contracts Signed]]/SalesData[[#This Row],[Customers Visited]])</f>
        <v>0.15591397849462366</v>
      </c>
      <c r="AI2857" s="6">
        <f>IF(SalesData[[#This Row],[Contracts Signed]]=0,0,SalesData[[#This Row],[Profit(€)]]/SalesData[[#This Row],[Contracts Signed]])</f>
        <v>19125</v>
      </c>
      <c r="AJ2857" s="5" t="str">
        <f>TRIM(CLEAN(SalesData[[#This Row],[Retailer]]))</f>
        <v>Leipzig Mobility</v>
      </c>
    </row>
    <row r="2858" spans="1:36" ht="14.25" hidden="1" x14ac:dyDescent="0.2">
      <c r="A2858" t="s">
        <v>3987</v>
      </c>
      <c r="B2858" s="1">
        <v>46073</v>
      </c>
      <c r="C2858" t="s">
        <v>62</v>
      </c>
      <c r="D2858" t="s">
        <v>54</v>
      </c>
      <c r="E2858" t="s">
        <v>26</v>
      </c>
      <c r="F2858" t="s">
        <v>83</v>
      </c>
      <c r="G2858" t="s">
        <v>84</v>
      </c>
      <c r="H2858" t="s">
        <v>85</v>
      </c>
      <c r="I2858" t="s">
        <v>116</v>
      </c>
      <c r="J2858" t="s">
        <v>7090</v>
      </c>
      <c r="K2858" t="s">
        <v>32</v>
      </c>
      <c r="L2858" t="s">
        <v>46</v>
      </c>
      <c r="M2858" t="s">
        <v>68</v>
      </c>
      <c r="N2858" t="s">
        <v>69</v>
      </c>
      <c r="O2858" t="s">
        <v>70</v>
      </c>
      <c r="P2858" t="s">
        <v>49</v>
      </c>
      <c r="Q2858" t="s">
        <v>240</v>
      </c>
      <c r="R2858">
        <v>420</v>
      </c>
      <c r="S2858">
        <v>171</v>
      </c>
      <c r="T2858">
        <v>118</v>
      </c>
      <c r="U2858">
        <v>25</v>
      </c>
      <c r="V2858" t="s">
        <v>1773</v>
      </c>
      <c r="W2858">
        <v>25614</v>
      </c>
      <c r="X2858" t="s">
        <v>519</v>
      </c>
      <c r="Y2858">
        <v>23333</v>
      </c>
      <c r="Z2858">
        <v>640350</v>
      </c>
      <c r="AA2858">
        <v>57025</v>
      </c>
      <c r="AB2858" t="str">
        <f>(VLOOKUP(SalesData[[#This Row],[Month Number]],Reference!C$5:E$16,2,FALSE))</f>
        <v>Feb</v>
      </c>
      <c r="AC2858">
        <f>MONTH(SalesData[[#This Row],[Date]])</f>
        <v>2</v>
      </c>
      <c r="AD2858">
        <f>Reference!F$4</f>
        <v>2026</v>
      </c>
      <c r="AE2858" t="str">
        <f>IF(OR(SalesData[[#This Row],[Day]]="Saturday",SalesData[[#This Row],[Day]]="Sunday"),"Weekend","Weekday")</f>
        <v>Weekday</v>
      </c>
      <c r="AF2858" s="5">
        <f>IF(SalesData[[#This Row],[Contracts Offered]]=0,0,SalesData[[#This Row],[Contracts Signed]]/SalesData[[#This Row],[Contracts Offered]])</f>
        <v>0.21186440677966101</v>
      </c>
      <c r="AG2858" s="5">
        <f>IF(SalesData[[#This Row],[Customers Visited]]=0,0,SalesData[[#This Row],[Test Drives]]/SalesData[[#This Row],[Customers Visited]])</f>
        <v>0.40714285714285714</v>
      </c>
      <c r="AH2858" s="5">
        <f>IF(SalesData[[#This Row],[Customers Visited]]=0,0,SalesData[[#This Row],[Contracts Signed]]/SalesData[[#This Row],[Customers Visited]])</f>
        <v>5.9523809523809521E-2</v>
      </c>
      <c r="AI2858" s="6">
        <f>IF(SalesData[[#This Row],[Contracts Signed]]=0,0,SalesData[[#This Row],[Profit(€)]]/SalesData[[#This Row],[Contracts Signed]])</f>
        <v>2281</v>
      </c>
      <c r="AJ2858" s="5" t="str">
        <f>TRIM(CLEAN(SalesData[[#This Row],[Retailer]]))</f>
        <v>Hannover Cars</v>
      </c>
    </row>
    <row r="2859" spans="1:36" ht="14.25" hidden="1" x14ac:dyDescent="0.2">
      <c r="A2859" t="s">
        <v>3988</v>
      </c>
      <c r="B2859" s="1">
        <v>46075</v>
      </c>
      <c r="C2859" t="s">
        <v>53</v>
      </c>
      <c r="D2859" t="s">
        <v>41</v>
      </c>
      <c r="E2859" t="s">
        <v>42</v>
      </c>
      <c r="F2859" t="s">
        <v>94</v>
      </c>
      <c r="G2859" t="s">
        <v>95</v>
      </c>
      <c r="H2859" t="s">
        <v>96</v>
      </c>
      <c r="I2859" t="s">
        <v>116</v>
      </c>
      <c r="J2859" t="s">
        <v>7026</v>
      </c>
      <c r="K2859" t="s">
        <v>32</v>
      </c>
      <c r="L2859" t="s">
        <v>46</v>
      </c>
      <c r="M2859" t="s">
        <v>87</v>
      </c>
      <c r="N2859" t="s">
        <v>69</v>
      </c>
      <c r="O2859" t="s">
        <v>70</v>
      </c>
      <c r="P2859" t="s">
        <v>49</v>
      </c>
      <c r="Q2859" t="s">
        <v>172</v>
      </c>
      <c r="R2859">
        <v>236</v>
      </c>
      <c r="S2859">
        <v>132</v>
      </c>
      <c r="T2859">
        <v>87</v>
      </c>
      <c r="U2859">
        <v>23</v>
      </c>
      <c r="V2859" t="s">
        <v>1139</v>
      </c>
      <c r="W2859">
        <v>23486</v>
      </c>
      <c r="X2859" t="s">
        <v>5693</v>
      </c>
      <c r="Y2859">
        <v>21458</v>
      </c>
      <c r="Z2859">
        <v>540178</v>
      </c>
      <c r="AA2859">
        <v>46644</v>
      </c>
      <c r="AB2859" t="str">
        <f>(VLOOKUP(SalesData[[#This Row],[Month Number]],Reference!C$5:E$16,2,FALSE))</f>
        <v>Feb</v>
      </c>
      <c r="AC2859">
        <f>MONTH(SalesData[[#This Row],[Date]])</f>
        <v>2</v>
      </c>
      <c r="AD2859">
        <f>Reference!F$4</f>
        <v>2026</v>
      </c>
      <c r="AE2859" t="str">
        <f>IF(OR(SalesData[[#This Row],[Day]]="Saturday",SalesData[[#This Row],[Day]]="Sunday"),"Weekend","Weekday")</f>
        <v>Weekend</v>
      </c>
      <c r="AF2859" s="5">
        <f>IF(SalesData[[#This Row],[Contracts Offered]]=0,0,SalesData[[#This Row],[Contracts Signed]]/SalesData[[#This Row],[Contracts Offered]])</f>
        <v>0.26436781609195403</v>
      </c>
      <c r="AG2859" s="5">
        <f>IF(SalesData[[#This Row],[Customers Visited]]=0,0,SalesData[[#This Row],[Test Drives]]/SalesData[[#This Row],[Customers Visited]])</f>
        <v>0.55932203389830504</v>
      </c>
      <c r="AH2859" s="5">
        <f>IF(SalesData[[#This Row],[Customers Visited]]=0,0,SalesData[[#This Row],[Contracts Signed]]/SalesData[[#This Row],[Customers Visited]])</f>
        <v>9.7457627118644072E-2</v>
      </c>
      <c r="AI2859" s="6">
        <f>IF(SalesData[[#This Row],[Contracts Signed]]=0,0,SalesData[[#This Row],[Profit(€)]]/SalesData[[#This Row],[Contracts Signed]])</f>
        <v>2028</v>
      </c>
      <c r="AJ2859" s="5" t="str">
        <f>TRIM(CLEAN(SalesData[[#This Row],[Retailer]]))</f>
        <v>Bavaria Motors</v>
      </c>
    </row>
    <row r="2860" spans="1:36" ht="14.25" x14ac:dyDescent="0.2">
      <c r="A2860" t="s">
        <v>3989</v>
      </c>
      <c r="B2860" s="1">
        <v>46079</v>
      </c>
      <c r="C2860" t="s">
        <v>53</v>
      </c>
      <c r="D2860" t="s">
        <v>100</v>
      </c>
      <c r="E2860" t="s">
        <v>26</v>
      </c>
      <c r="F2860" t="s">
        <v>74</v>
      </c>
      <c r="G2860" t="s">
        <v>75</v>
      </c>
      <c r="H2860" t="s">
        <v>76</v>
      </c>
      <c r="I2860" t="s">
        <v>30</v>
      </c>
      <c r="J2860" t="s">
        <v>31</v>
      </c>
      <c r="K2860" t="s">
        <v>91</v>
      </c>
      <c r="L2860" t="s">
        <v>46</v>
      </c>
      <c r="M2860" t="s">
        <v>68</v>
      </c>
      <c r="N2860" t="s">
        <v>35</v>
      </c>
      <c r="O2860" t="s">
        <v>70</v>
      </c>
      <c r="P2860" t="s">
        <v>49</v>
      </c>
      <c r="Q2860" t="s">
        <v>118</v>
      </c>
      <c r="R2860">
        <v>277</v>
      </c>
      <c r="S2860">
        <v>145</v>
      </c>
      <c r="T2860">
        <v>101</v>
      </c>
      <c r="U2860">
        <v>38</v>
      </c>
      <c r="V2860" t="s">
        <v>6993</v>
      </c>
      <c r="W2860">
        <v>69227</v>
      </c>
      <c r="X2860" t="s">
        <v>7453</v>
      </c>
      <c r="Y2860">
        <v>53015</v>
      </c>
      <c r="Z2860">
        <v>2630626</v>
      </c>
      <c r="AA2860">
        <v>616056</v>
      </c>
      <c r="AB2860" t="str">
        <f>(VLOOKUP(SalesData[[#This Row],[Month Number]],Reference!C$5:E$16,2,FALSE))</f>
        <v>Feb</v>
      </c>
      <c r="AC2860">
        <f>MONTH(SalesData[[#This Row],[Date]])</f>
        <v>2</v>
      </c>
      <c r="AD2860">
        <f>Reference!F$4</f>
        <v>2026</v>
      </c>
      <c r="AE2860" t="str">
        <f>IF(OR(SalesData[[#This Row],[Day]]="Saturday",SalesData[[#This Row],[Day]]="Sunday"),"Weekend","Weekday")</f>
        <v>Weekday</v>
      </c>
      <c r="AF2860" s="5">
        <f>IF(SalesData[[#This Row],[Contracts Offered]]=0,0,SalesData[[#This Row],[Contracts Signed]]/SalesData[[#This Row],[Contracts Offered]])</f>
        <v>0.37623762376237624</v>
      </c>
      <c r="AG2860" s="5">
        <f>IF(SalesData[[#This Row],[Customers Visited]]=0,0,SalesData[[#This Row],[Test Drives]]/SalesData[[#This Row],[Customers Visited]])</f>
        <v>0.52346570397111913</v>
      </c>
      <c r="AH2860" s="5">
        <f>IF(SalesData[[#This Row],[Customers Visited]]=0,0,SalesData[[#This Row],[Contracts Signed]]/SalesData[[#This Row],[Customers Visited]])</f>
        <v>0.13718411552346571</v>
      </c>
      <c r="AI2860" s="6">
        <f>IF(SalesData[[#This Row],[Contracts Signed]]=0,0,SalesData[[#This Row],[Profit(€)]]/SalesData[[#This Row],[Contracts Signed]])</f>
        <v>16212</v>
      </c>
      <c r="AJ2860" s="5" t="str">
        <f>TRIM(CLEAN(SalesData[[#This Row],[Retailer]]))</f>
        <v>Stuttgart Auto Center</v>
      </c>
    </row>
    <row r="2861" spans="1:36" ht="14.25" hidden="1" x14ac:dyDescent="0.2">
      <c r="A2861" t="s">
        <v>3990</v>
      </c>
      <c r="B2861" s="1">
        <v>46072</v>
      </c>
      <c r="C2861" t="s">
        <v>62</v>
      </c>
      <c r="D2861" t="s">
        <v>100</v>
      </c>
      <c r="E2861" t="s">
        <v>26</v>
      </c>
      <c r="F2861" t="s">
        <v>74</v>
      </c>
      <c r="G2861" t="s">
        <v>75</v>
      </c>
      <c r="H2861" t="s">
        <v>76</v>
      </c>
      <c r="I2861" t="s">
        <v>104</v>
      </c>
      <c r="J2861" t="s">
        <v>105</v>
      </c>
      <c r="K2861" t="s">
        <v>91</v>
      </c>
      <c r="L2861" t="s">
        <v>33</v>
      </c>
      <c r="M2861" t="s">
        <v>34</v>
      </c>
      <c r="N2861" t="s">
        <v>48</v>
      </c>
      <c r="O2861" t="s">
        <v>36</v>
      </c>
      <c r="P2861" t="s">
        <v>71</v>
      </c>
      <c r="Q2861" t="s">
        <v>38</v>
      </c>
      <c r="R2861">
        <v>320</v>
      </c>
      <c r="S2861">
        <v>144</v>
      </c>
      <c r="T2861">
        <v>86</v>
      </c>
      <c r="U2861">
        <v>29</v>
      </c>
      <c r="V2861" t="s">
        <v>6681</v>
      </c>
      <c r="W2861">
        <v>27499</v>
      </c>
      <c r="X2861" t="s">
        <v>5619</v>
      </c>
      <c r="Y2861">
        <v>24282</v>
      </c>
      <c r="Z2861">
        <v>797471</v>
      </c>
      <c r="AA2861">
        <v>93293</v>
      </c>
      <c r="AB2861" t="str">
        <f>(VLOOKUP(SalesData[[#This Row],[Month Number]],Reference!C$5:E$16,2,FALSE))</f>
        <v>Feb</v>
      </c>
      <c r="AC2861">
        <f>MONTH(SalesData[[#This Row],[Date]])</f>
        <v>2</v>
      </c>
      <c r="AD2861">
        <f>Reference!F$4</f>
        <v>2026</v>
      </c>
      <c r="AE2861" t="str">
        <f>IF(OR(SalesData[[#This Row],[Day]]="Saturday",SalesData[[#This Row],[Day]]="Sunday"),"Weekend","Weekday")</f>
        <v>Weekday</v>
      </c>
      <c r="AF2861" s="5">
        <f>IF(SalesData[[#This Row],[Contracts Offered]]=0,0,SalesData[[#This Row],[Contracts Signed]]/SalesData[[#This Row],[Contracts Offered]])</f>
        <v>0.33720930232558138</v>
      </c>
      <c r="AG2861" s="5">
        <f>IF(SalesData[[#This Row],[Customers Visited]]=0,0,SalesData[[#This Row],[Test Drives]]/SalesData[[#This Row],[Customers Visited]])</f>
        <v>0.45</v>
      </c>
      <c r="AH2861" s="5">
        <f>IF(SalesData[[#This Row],[Customers Visited]]=0,0,SalesData[[#This Row],[Contracts Signed]]/SalesData[[#This Row],[Customers Visited]])</f>
        <v>9.0624999999999997E-2</v>
      </c>
      <c r="AI2861" s="6">
        <f>IF(SalesData[[#This Row],[Contracts Signed]]=0,0,SalesData[[#This Row],[Profit(€)]]/SalesData[[#This Row],[Contracts Signed]])</f>
        <v>3217</v>
      </c>
      <c r="AJ2861" s="5" t="str">
        <f>TRIM(CLEAN(SalesData[[#This Row],[Retailer]]))</f>
        <v>Stuttgart Auto Center</v>
      </c>
    </row>
    <row r="2862" spans="1:36" ht="14.25" hidden="1" x14ac:dyDescent="0.2">
      <c r="A2862" t="s">
        <v>3991</v>
      </c>
      <c r="B2862" s="1">
        <v>46080</v>
      </c>
      <c r="C2862" t="s">
        <v>53</v>
      </c>
      <c r="D2862" t="s">
        <v>54</v>
      </c>
      <c r="E2862" t="s">
        <v>26</v>
      </c>
      <c r="F2862" t="s">
        <v>43</v>
      </c>
      <c r="G2862" t="s">
        <v>44</v>
      </c>
      <c r="H2862" t="s">
        <v>45</v>
      </c>
      <c r="I2862" t="s">
        <v>116</v>
      </c>
      <c r="J2862" t="s">
        <v>132</v>
      </c>
      <c r="K2862" t="s">
        <v>32</v>
      </c>
      <c r="L2862" t="s">
        <v>46</v>
      </c>
      <c r="M2862" t="s">
        <v>47</v>
      </c>
      <c r="N2862" t="s">
        <v>35</v>
      </c>
      <c r="O2862" t="s">
        <v>70</v>
      </c>
      <c r="P2862" t="s">
        <v>58</v>
      </c>
      <c r="Q2862" t="s">
        <v>129</v>
      </c>
      <c r="R2862">
        <v>279</v>
      </c>
      <c r="S2862">
        <v>124</v>
      </c>
      <c r="T2862">
        <v>83</v>
      </c>
      <c r="U2862">
        <v>22</v>
      </c>
      <c r="V2862" t="s">
        <v>1221</v>
      </c>
      <c r="W2862">
        <v>25793</v>
      </c>
      <c r="X2862" t="s">
        <v>1133</v>
      </c>
      <c r="Y2862">
        <v>23966</v>
      </c>
      <c r="Z2862">
        <v>567446</v>
      </c>
      <c r="AA2862">
        <v>40194</v>
      </c>
      <c r="AB2862" t="str">
        <f>(VLOOKUP(SalesData[[#This Row],[Month Number]],Reference!C$5:E$16,2,FALSE))</f>
        <v>Feb</v>
      </c>
      <c r="AC2862">
        <f>MONTH(SalesData[[#This Row],[Date]])</f>
        <v>2</v>
      </c>
      <c r="AD2862">
        <f>Reference!F$4</f>
        <v>2026</v>
      </c>
      <c r="AE2862" t="str">
        <f>IF(OR(SalesData[[#This Row],[Day]]="Saturday",SalesData[[#This Row],[Day]]="Sunday"),"Weekend","Weekday")</f>
        <v>Weekday</v>
      </c>
      <c r="AF2862" s="5">
        <f>IF(SalesData[[#This Row],[Contracts Offered]]=0,0,SalesData[[#This Row],[Contracts Signed]]/SalesData[[#This Row],[Contracts Offered]])</f>
        <v>0.26506024096385544</v>
      </c>
      <c r="AG2862" s="5">
        <f>IF(SalesData[[#This Row],[Customers Visited]]=0,0,SalesData[[#This Row],[Test Drives]]/SalesData[[#This Row],[Customers Visited]])</f>
        <v>0.44444444444444442</v>
      </c>
      <c r="AH2862" s="5">
        <f>IF(SalesData[[#This Row],[Customers Visited]]=0,0,SalesData[[#This Row],[Contracts Signed]]/SalesData[[#This Row],[Customers Visited]])</f>
        <v>7.8853046594982074E-2</v>
      </c>
      <c r="AI2862" s="6">
        <f>IF(SalesData[[#This Row],[Contracts Signed]]=0,0,SalesData[[#This Row],[Profit(€)]]/SalesData[[#This Row],[Contracts Signed]])</f>
        <v>1827</v>
      </c>
      <c r="AJ2862" s="5" t="str">
        <f>TRIM(CLEAN(SalesData[[#This Row],[Retailer]]))</f>
        <v>Saxon Wheels</v>
      </c>
    </row>
    <row r="2863" spans="1:36" ht="14.25" hidden="1" x14ac:dyDescent="0.2">
      <c r="A2863" t="s">
        <v>3992</v>
      </c>
      <c r="B2863" s="1">
        <v>46064</v>
      </c>
      <c r="C2863" t="s">
        <v>121</v>
      </c>
      <c r="D2863" t="s">
        <v>82</v>
      </c>
      <c r="E2863" t="s">
        <v>26</v>
      </c>
      <c r="F2863" t="s">
        <v>7649</v>
      </c>
      <c r="G2863" t="s">
        <v>55</v>
      </c>
      <c r="H2863" t="s">
        <v>55</v>
      </c>
      <c r="I2863" t="s">
        <v>116</v>
      </c>
      <c r="J2863" t="s">
        <v>117</v>
      </c>
      <c r="K2863" t="s">
        <v>78</v>
      </c>
      <c r="L2863" t="s">
        <v>67</v>
      </c>
      <c r="M2863" t="s">
        <v>87</v>
      </c>
      <c r="N2863" t="s">
        <v>48</v>
      </c>
      <c r="O2863" t="s">
        <v>36</v>
      </c>
      <c r="P2863" t="s">
        <v>37</v>
      </c>
      <c r="Q2863" t="s">
        <v>158</v>
      </c>
      <c r="R2863">
        <v>383</v>
      </c>
      <c r="S2863">
        <v>211</v>
      </c>
      <c r="T2863">
        <v>121</v>
      </c>
      <c r="U2863">
        <v>34</v>
      </c>
      <c r="V2863" t="s">
        <v>4155</v>
      </c>
      <c r="W2863">
        <v>26415</v>
      </c>
      <c r="X2863" t="s">
        <v>904</v>
      </c>
      <c r="Y2863">
        <v>24559</v>
      </c>
      <c r="Z2863">
        <v>898110</v>
      </c>
      <c r="AA2863">
        <v>63104</v>
      </c>
      <c r="AB2863" t="str">
        <f>(VLOOKUP(SalesData[[#This Row],[Month Number]],Reference!C$5:E$16,2,FALSE))</f>
        <v>Feb</v>
      </c>
      <c r="AC2863">
        <f>MONTH(SalesData[[#This Row],[Date]])</f>
        <v>2</v>
      </c>
      <c r="AD2863">
        <f>Reference!F$4</f>
        <v>2026</v>
      </c>
      <c r="AE2863" t="str">
        <f>IF(OR(SalesData[[#This Row],[Day]]="Saturday",SalesData[[#This Row],[Day]]="Sunday"),"Weekend","Weekday")</f>
        <v>Weekday</v>
      </c>
      <c r="AF2863" s="5">
        <f>IF(SalesData[[#This Row],[Contracts Offered]]=0,0,SalesData[[#This Row],[Contracts Signed]]/SalesData[[#This Row],[Contracts Offered]])</f>
        <v>0.28099173553719009</v>
      </c>
      <c r="AG2863" s="5">
        <f>IF(SalesData[[#This Row],[Customers Visited]]=0,0,SalesData[[#This Row],[Test Drives]]/SalesData[[#This Row],[Customers Visited]])</f>
        <v>0.55091383812010442</v>
      </c>
      <c r="AH2863" s="5">
        <f>IF(SalesData[[#This Row],[Customers Visited]]=0,0,SalesData[[#This Row],[Contracts Signed]]/SalesData[[#This Row],[Customers Visited]])</f>
        <v>8.877284595300261E-2</v>
      </c>
      <c r="AI2863" s="6">
        <f>IF(SalesData[[#This Row],[Contracts Signed]]=0,0,SalesData[[#This Row],[Profit(€)]]/SalesData[[#This Row],[Contracts Signed]])</f>
        <v>1856</v>
      </c>
      <c r="AJ2863" s="5" t="str">
        <f>TRIM(CLEAN(SalesData[[#This Row],[Retailer]]))</f>
        <v>Autohaus Berlin</v>
      </c>
    </row>
    <row r="2864" spans="1:36" ht="14.25" x14ac:dyDescent="0.2">
      <c r="A2864" t="s">
        <v>3993</v>
      </c>
      <c r="B2864" s="1">
        <v>46076</v>
      </c>
      <c r="C2864" t="s">
        <v>53</v>
      </c>
      <c r="D2864" t="s">
        <v>25</v>
      </c>
      <c r="E2864" t="s">
        <v>26</v>
      </c>
      <c r="F2864" t="s">
        <v>7649</v>
      </c>
      <c r="G2864" t="s">
        <v>55</v>
      </c>
      <c r="H2864" t="s">
        <v>55</v>
      </c>
      <c r="I2864" t="s">
        <v>30</v>
      </c>
      <c r="J2864" t="s">
        <v>86</v>
      </c>
      <c r="K2864" t="s">
        <v>78</v>
      </c>
      <c r="L2864" t="s">
        <v>33</v>
      </c>
      <c r="M2864" t="s">
        <v>34</v>
      </c>
      <c r="N2864" t="s">
        <v>35</v>
      </c>
      <c r="O2864" t="s">
        <v>36</v>
      </c>
      <c r="P2864" t="s">
        <v>58</v>
      </c>
      <c r="Q2864" t="s">
        <v>167</v>
      </c>
      <c r="R2864">
        <v>190</v>
      </c>
      <c r="S2864">
        <v>96</v>
      </c>
      <c r="T2864">
        <v>74</v>
      </c>
      <c r="U2864">
        <v>29</v>
      </c>
      <c r="V2864" t="s">
        <v>7562</v>
      </c>
      <c r="W2864">
        <v>55633</v>
      </c>
      <c r="X2864" t="s">
        <v>7108</v>
      </c>
      <c r="Y2864">
        <v>43070</v>
      </c>
      <c r="Z2864">
        <v>1613357</v>
      </c>
      <c r="AA2864">
        <v>364327</v>
      </c>
      <c r="AB2864" t="str">
        <f>(VLOOKUP(SalesData[[#This Row],[Month Number]],Reference!C$5:E$16,2,FALSE))</f>
        <v>Feb</v>
      </c>
      <c r="AC2864">
        <f>MONTH(SalesData[[#This Row],[Date]])</f>
        <v>2</v>
      </c>
      <c r="AD2864">
        <f>Reference!F$4</f>
        <v>2026</v>
      </c>
      <c r="AE2864" t="str">
        <f>IF(OR(SalesData[[#This Row],[Day]]="Saturday",SalesData[[#This Row],[Day]]="Sunday"),"Weekend","Weekday")</f>
        <v>Weekday</v>
      </c>
      <c r="AF2864" s="5">
        <f>IF(SalesData[[#This Row],[Contracts Offered]]=0,0,SalesData[[#This Row],[Contracts Signed]]/SalesData[[#This Row],[Contracts Offered]])</f>
        <v>0.39189189189189189</v>
      </c>
      <c r="AG2864" s="5">
        <f>IF(SalesData[[#This Row],[Customers Visited]]=0,0,SalesData[[#This Row],[Test Drives]]/SalesData[[#This Row],[Customers Visited]])</f>
        <v>0.50526315789473686</v>
      </c>
      <c r="AH2864" s="5">
        <f>IF(SalesData[[#This Row],[Customers Visited]]=0,0,SalesData[[#This Row],[Contracts Signed]]/SalesData[[#This Row],[Customers Visited]])</f>
        <v>0.15263157894736842</v>
      </c>
      <c r="AI2864" s="6">
        <f>IF(SalesData[[#This Row],[Contracts Signed]]=0,0,SalesData[[#This Row],[Profit(€)]]/SalesData[[#This Row],[Contracts Signed]])</f>
        <v>12563</v>
      </c>
      <c r="AJ2864" s="5" t="str">
        <f>TRIM(CLEAN(SalesData[[#This Row],[Retailer]]))</f>
        <v>Autohaus Berlin</v>
      </c>
    </row>
    <row r="2865" spans="1:36" ht="14.25" hidden="1" x14ac:dyDescent="0.2">
      <c r="A2865" t="s">
        <v>3994</v>
      </c>
      <c r="B2865" s="1">
        <v>46058</v>
      </c>
      <c r="C2865" t="s">
        <v>24</v>
      </c>
      <c r="D2865" t="s">
        <v>100</v>
      </c>
      <c r="E2865" t="s">
        <v>26</v>
      </c>
      <c r="F2865" t="s">
        <v>7649</v>
      </c>
      <c r="G2865" t="s">
        <v>55</v>
      </c>
      <c r="H2865" t="s">
        <v>55</v>
      </c>
      <c r="I2865" t="s">
        <v>104</v>
      </c>
      <c r="J2865" t="s">
        <v>105</v>
      </c>
      <c r="K2865" t="s">
        <v>32</v>
      </c>
      <c r="L2865" t="s">
        <v>33</v>
      </c>
      <c r="M2865" t="s">
        <v>34</v>
      </c>
      <c r="N2865" t="s">
        <v>48</v>
      </c>
      <c r="O2865" t="s">
        <v>36</v>
      </c>
      <c r="P2865" t="s">
        <v>49</v>
      </c>
      <c r="Q2865" t="s">
        <v>88</v>
      </c>
      <c r="R2865">
        <v>284</v>
      </c>
      <c r="S2865">
        <v>149</v>
      </c>
      <c r="T2865">
        <v>100</v>
      </c>
      <c r="U2865">
        <v>22</v>
      </c>
      <c r="V2865" t="s">
        <v>192</v>
      </c>
      <c r="W2865">
        <v>27641</v>
      </c>
      <c r="X2865" t="s">
        <v>2890</v>
      </c>
      <c r="Y2865">
        <v>24432</v>
      </c>
      <c r="Z2865">
        <v>608102</v>
      </c>
      <c r="AA2865">
        <v>70598</v>
      </c>
      <c r="AB2865" t="str">
        <f>(VLOOKUP(SalesData[[#This Row],[Month Number]],Reference!C$5:E$16,2,FALSE))</f>
        <v>Feb</v>
      </c>
      <c r="AC2865">
        <f>MONTH(SalesData[[#This Row],[Date]])</f>
        <v>2</v>
      </c>
      <c r="AD2865">
        <f>Reference!F$4</f>
        <v>2026</v>
      </c>
      <c r="AE2865" t="str">
        <f>IF(OR(SalesData[[#This Row],[Day]]="Saturday",SalesData[[#This Row],[Day]]="Sunday"),"Weekend","Weekday")</f>
        <v>Weekday</v>
      </c>
      <c r="AF2865" s="5">
        <f>IF(SalesData[[#This Row],[Contracts Offered]]=0,0,SalesData[[#This Row],[Contracts Signed]]/SalesData[[#This Row],[Contracts Offered]])</f>
        <v>0.22</v>
      </c>
      <c r="AG2865" s="5">
        <f>IF(SalesData[[#This Row],[Customers Visited]]=0,0,SalesData[[#This Row],[Test Drives]]/SalesData[[#This Row],[Customers Visited]])</f>
        <v>0.52464788732394363</v>
      </c>
      <c r="AH2865" s="5">
        <f>IF(SalesData[[#This Row],[Customers Visited]]=0,0,SalesData[[#This Row],[Contracts Signed]]/SalesData[[#This Row],[Customers Visited]])</f>
        <v>7.746478873239436E-2</v>
      </c>
      <c r="AI2865" s="6">
        <f>IF(SalesData[[#This Row],[Contracts Signed]]=0,0,SalesData[[#This Row],[Profit(€)]]/SalesData[[#This Row],[Contracts Signed]])</f>
        <v>3209</v>
      </c>
      <c r="AJ2865" s="5" t="str">
        <f>TRIM(CLEAN(SalesData[[#This Row],[Retailer]]))</f>
        <v>Autohaus Berlin</v>
      </c>
    </row>
    <row r="2866" spans="1:36" ht="14.25" hidden="1" x14ac:dyDescent="0.2">
      <c r="A2866" t="s">
        <v>3995</v>
      </c>
      <c r="B2866" s="1">
        <v>46071</v>
      </c>
      <c r="C2866" t="s">
        <v>62</v>
      </c>
      <c r="D2866" t="s">
        <v>82</v>
      </c>
      <c r="E2866" t="s">
        <v>26</v>
      </c>
      <c r="F2866" t="s">
        <v>109</v>
      </c>
      <c r="G2866" t="s">
        <v>110</v>
      </c>
      <c r="H2866" t="s">
        <v>45</v>
      </c>
      <c r="I2866" t="s">
        <v>56</v>
      </c>
      <c r="J2866" t="s">
        <v>179</v>
      </c>
      <c r="K2866" t="s">
        <v>66</v>
      </c>
      <c r="L2866" t="s">
        <v>67</v>
      </c>
      <c r="M2866" t="s">
        <v>87</v>
      </c>
      <c r="N2866" t="s">
        <v>35</v>
      </c>
      <c r="O2866" t="s">
        <v>70</v>
      </c>
      <c r="P2866" t="s">
        <v>58</v>
      </c>
      <c r="Q2866" t="s">
        <v>189</v>
      </c>
      <c r="R2866">
        <v>302</v>
      </c>
      <c r="S2866">
        <v>160</v>
      </c>
      <c r="T2866">
        <v>106</v>
      </c>
      <c r="U2866">
        <v>42</v>
      </c>
      <c r="V2866" t="s">
        <v>6824</v>
      </c>
      <c r="W2866">
        <v>41911</v>
      </c>
      <c r="X2866" t="s">
        <v>307</v>
      </c>
      <c r="Y2866">
        <v>33634</v>
      </c>
      <c r="Z2866">
        <v>1760262</v>
      </c>
      <c r="AA2866">
        <v>347634</v>
      </c>
      <c r="AB2866" t="str">
        <f>(VLOOKUP(SalesData[[#This Row],[Month Number]],Reference!C$5:E$16,2,FALSE))</f>
        <v>Feb</v>
      </c>
      <c r="AC2866">
        <f>MONTH(SalesData[[#This Row],[Date]])</f>
        <v>2</v>
      </c>
      <c r="AD2866">
        <f>Reference!F$4</f>
        <v>2026</v>
      </c>
      <c r="AE2866" t="str">
        <f>IF(OR(SalesData[[#This Row],[Day]]="Saturday",SalesData[[#This Row],[Day]]="Sunday"),"Weekend","Weekday")</f>
        <v>Weekday</v>
      </c>
      <c r="AF2866" s="5">
        <f>IF(SalesData[[#This Row],[Contracts Offered]]=0,0,SalesData[[#This Row],[Contracts Signed]]/SalesData[[#This Row],[Contracts Offered]])</f>
        <v>0.39622641509433965</v>
      </c>
      <c r="AG2866" s="5">
        <f>IF(SalesData[[#This Row],[Customers Visited]]=0,0,SalesData[[#This Row],[Test Drives]]/SalesData[[#This Row],[Customers Visited]])</f>
        <v>0.5298013245033113</v>
      </c>
      <c r="AH2866" s="5">
        <f>IF(SalesData[[#This Row],[Customers Visited]]=0,0,SalesData[[#This Row],[Contracts Signed]]/SalesData[[#This Row],[Customers Visited]])</f>
        <v>0.13907284768211919</v>
      </c>
      <c r="AI2866" s="6">
        <f>IF(SalesData[[#This Row],[Contracts Signed]]=0,0,SalesData[[#This Row],[Profit(€)]]/SalesData[[#This Row],[Contracts Signed]])</f>
        <v>8277</v>
      </c>
      <c r="AJ2866" s="5" t="str">
        <f>TRIM(CLEAN(SalesData[[#This Row],[Retailer]]))</f>
        <v>Leipzig Mobility</v>
      </c>
    </row>
    <row r="2867" spans="1:36" ht="14.25" x14ac:dyDescent="0.2">
      <c r="A2867" t="s">
        <v>3996</v>
      </c>
      <c r="B2867" s="1">
        <v>46070</v>
      </c>
      <c r="C2867" t="s">
        <v>62</v>
      </c>
      <c r="D2867" t="s">
        <v>63</v>
      </c>
      <c r="E2867" t="s">
        <v>26</v>
      </c>
      <c r="F2867" t="s">
        <v>27</v>
      </c>
      <c r="G2867" t="s">
        <v>28</v>
      </c>
      <c r="H2867" t="s">
        <v>29</v>
      </c>
      <c r="I2867" t="s">
        <v>30</v>
      </c>
      <c r="J2867" t="s">
        <v>188</v>
      </c>
      <c r="K2867" t="s">
        <v>91</v>
      </c>
      <c r="L2867" t="s">
        <v>33</v>
      </c>
      <c r="M2867" t="s">
        <v>34</v>
      </c>
      <c r="N2867" t="s">
        <v>35</v>
      </c>
      <c r="O2867" t="s">
        <v>36</v>
      </c>
      <c r="P2867" t="s">
        <v>58</v>
      </c>
      <c r="Q2867" t="s">
        <v>59</v>
      </c>
      <c r="R2867">
        <v>239</v>
      </c>
      <c r="S2867">
        <v>123</v>
      </c>
      <c r="T2867">
        <v>84</v>
      </c>
      <c r="U2867">
        <v>36</v>
      </c>
      <c r="V2867" t="s">
        <v>6419</v>
      </c>
      <c r="W2867">
        <v>60675</v>
      </c>
      <c r="X2867" t="s">
        <v>698</v>
      </c>
      <c r="Y2867">
        <v>43964</v>
      </c>
      <c r="Z2867">
        <v>2184300</v>
      </c>
      <c r="AA2867">
        <v>601596</v>
      </c>
      <c r="AB2867" t="str">
        <f>(VLOOKUP(SalesData[[#This Row],[Month Number]],Reference!C$5:E$16,2,FALSE))</f>
        <v>Feb</v>
      </c>
      <c r="AC2867">
        <f>MONTH(SalesData[[#This Row],[Date]])</f>
        <v>2</v>
      </c>
      <c r="AD2867">
        <f>Reference!F$4</f>
        <v>2026</v>
      </c>
      <c r="AE2867" t="str">
        <f>IF(OR(SalesData[[#This Row],[Day]]="Saturday",SalesData[[#This Row],[Day]]="Sunday"),"Weekend","Weekday")</f>
        <v>Weekday</v>
      </c>
      <c r="AF2867" s="5">
        <f>IF(SalesData[[#This Row],[Contracts Offered]]=0,0,SalesData[[#This Row],[Contracts Signed]]/SalesData[[#This Row],[Contracts Offered]])</f>
        <v>0.42857142857142855</v>
      </c>
      <c r="AG2867" s="5">
        <f>IF(SalesData[[#This Row],[Customers Visited]]=0,0,SalesData[[#This Row],[Test Drives]]/SalesData[[#This Row],[Customers Visited]])</f>
        <v>0.5146443514644351</v>
      </c>
      <c r="AH2867" s="5">
        <f>IF(SalesData[[#This Row],[Customers Visited]]=0,0,SalesData[[#This Row],[Contracts Signed]]/SalesData[[#This Row],[Customers Visited]])</f>
        <v>0.15062761506276151</v>
      </c>
      <c r="AI2867" s="6">
        <f>IF(SalesData[[#This Row],[Contracts Signed]]=0,0,SalesData[[#This Row],[Profit(€)]]/SalesData[[#This Row],[Contracts Signed]])</f>
        <v>16711</v>
      </c>
      <c r="AJ2867" s="5" t="str">
        <f>TRIM(CLEAN(SalesData[[#This Row],[Retailer]]))</f>
        <v>Main Auto Hub</v>
      </c>
    </row>
    <row r="2868" spans="1:36" ht="14.25" hidden="1" x14ac:dyDescent="0.2">
      <c r="A2868" t="s">
        <v>3998</v>
      </c>
      <c r="B2868" s="1">
        <v>46054</v>
      </c>
      <c r="C2868" t="s">
        <v>24</v>
      </c>
      <c r="D2868" t="s">
        <v>41</v>
      </c>
      <c r="E2868" t="s">
        <v>42</v>
      </c>
      <c r="F2868" t="s">
        <v>27</v>
      </c>
      <c r="G2868" t="s">
        <v>28</v>
      </c>
      <c r="H2868" t="s">
        <v>29</v>
      </c>
      <c r="I2868" t="s">
        <v>116</v>
      </c>
      <c r="J2868" t="s">
        <v>117</v>
      </c>
      <c r="K2868" t="s">
        <v>66</v>
      </c>
      <c r="L2868" t="s">
        <v>67</v>
      </c>
      <c r="M2868" t="s">
        <v>87</v>
      </c>
      <c r="N2868" t="s">
        <v>69</v>
      </c>
      <c r="O2868" t="s">
        <v>70</v>
      </c>
      <c r="P2868" t="s">
        <v>71</v>
      </c>
      <c r="Q2868" t="s">
        <v>167</v>
      </c>
      <c r="R2868">
        <v>238</v>
      </c>
      <c r="S2868">
        <v>93</v>
      </c>
      <c r="T2868">
        <v>53</v>
      </c>
      <c r="U2868">
        <v>16</v>
      </c>
      <c r="V2868" t="s">
        <v>1642</v>
      </c>
      <c r="W2868">
        <v>22603</v>
      </c>
      <c r="X2868" t="s">
        <v>583</v>
      </c>
      <c r="Y2868">
        <v>20410</v>
      </c>
      <c r="Z2868">
        <v>361648</v>
      </c>
      <c r="AA2868">
        <v>35088</v>
      </c>
      <c r="AB2868" t="str">
        <f>(VLOOKUP(SalesData[[#This Row],[Month Number]],Reference!C$5:E$16,2,FALSE))</f>
        <v>Feb</v>
      </c>
      <c r="AC2868">
        <f>MONTH(SalesData[[#This Row],[Date]])</f>
        <v>2</v>
      </c>
      <c r="AD2868">
        <f>Reference!F$4</f>
        <v>2026</v>
      </c>
      <c r="AE2868" t="str">
        <f>IF(OR(SalesData[[#This Row],[Day]]="Saturday",SalesData[[#This Row],[Day]]="Sunday"),"Weekend","Weekday")</f>
        <v>Weekend</v>
      </c>
      <c r="AF2868" s="5">
        <f>IF(SalesData[[#This Row],[Contracts Offered]]=0,0,SalesData[[#This Row],[Contracts Signed]]/SalesData[[#This Row],[Contracts Offered]])</f>
        <v>0.30188679245283018</v>
      </c>
      <c r="AG2868" s="5">
        <f>IF(SalesData[[#This Row],[Customers Visited]]=0,0,SalesData[[#This Row],[Test Drives]]/SalesData[[#This Row],[Customers Visited]])</f>
        <v>0.3907563025210084</v>
      </c>
      <c r="AH2868" s="5">
        <f>IF(SalesData[[#This Row],[Customers Visited]]=0,0,SalesData[[#This Row],[Contracts Signed]]/SalesData[[#This Row],[Customers Visited]])</f>
        <v>6.7226890756302518E-2</v>
      </c>
      <c r="AI2868" s="6">
        <f>IF(SalesData[[#This Row],[Contracts Signed]]=0,0,SalesData[[#This Row],[Profit(€)]]/SalesData[[#This Row],[Contracts Signed]])</f>
        <v>2193</v>
      </c>
      <c r="AJ2868" s="5" t="str">
        <f>TRIM(CLEAN(SalesData[[#This Row],[Retailer]]))</f>
        <v>Main Auto Hub</v>
      </c>
    </row>
    <row r="2869" spans="1:36" ht="14.25" hidden="1" x14ac:dyDescent="0.2">
      <c r="A2869" t="s">
        <v>3999</v>
      </c>
      <c r="B2869" s="1">
        <v>46054</v>
      </c>
      <c r="C2869" t="s">
        <v>24</v>
      </c>
      <c r="D2869" t="s">
        <v>41</v>
      </c>
      <c r="E2869" t="s">
        <v>42</v>
      </c>
      <c r="F2869" t="s">
        <v>7649</v>
      </c>
      <c r="G2869" t="s">
        <v>55</v>
      </c>
      <c r="H2869" t="s">
        <v>55</v>
      </c>
      <c r="I2869" t="s">
        <v>116</v>
      </c>
      <c r="J2869" t="s">
        <v>117</v>
      </c>
      <c r="K2869" t="s">
        <v>32</v>
      </c>
      <c r="L2869" t="s">
        <v>67</v>
      </c>
      <c r="M2869" t="s">
        <v>68</v>
      </c>
      <c r="N2869" t="s">
        <v>69</v>
      </c>
      <c r="O2869" t="s">
        <v>36</v>
      </c>
      <c r="P2869" t="s">
        <v>71</v>
      </c>
      <c r="Q2869" t="s">
        <v>152</v>
      </c>
      <c r="R2869">
        <v>251</v>
      </c>
      <c r="S2869">
        <v>128</v>
      </c>
      <c r="T2869">
        <v>86</v>
      </c>
      <c r="U2869">
        <v>22</v>
      </c>
      <c r="V2869" t="s">
        <v>2987</v>
      </c>
      <c r="W2869">
        <v>21498</v>
      </c>
      <c r="X2869" t="s">
        <v>2404</v>
      </c>
      <c r="Y2869">
        <v>19646</v>
      </c>
      <c r="Z2869">
        <v>472956</v>
      </c>
      <c r="AA2869">
        <v>40744</v>
      </c>
      <c r="AB2869" t="str">
        <f>(VLOOKUP(SalesData[[#This Row],[Month Number]],Reference!C$5:E$16,2,FALSE))</f>
        <v>Feb</v>
      </c>
      <c r="AC2869">
        <f>MONTH(SalesData[[#This Row],[Date]])</f>
        <v>2</v>
      </c>
      <c r="AD2869">
        <f>Reference!F$4</f>
        <v>2026</v>
      </c>
      <c r="AE2869" t="str">
        <f>IF(OR(SalesData[[#This Row],[Day]]="Saturday",SalesData[[#This Row],[Day]]="Sunday"),"Weekend","Weekday")</f>
        <v>Weekend</v>
      </c>
      <c r="AF2869" s="5">
        <f>IF(SalesData[[#This Row],[Contracts Offered]]=0,0,SalesData[[#This Row],[Contracts Signed]]/SalesData[[#This Row],[Contracts Offered]])</f>
        <v>0.2558139534883721</v>
      </c>
      <c r="AG2869" s="5">
        <f>IF(SalesData[[#This Row],[Customers Visited]]=0,0,SalesData[[#This Row],[Test Drives]]/SalesData[[#This Row],[Customers Visited]])</f>
        <v>0.50996015936254979</v>
      </c>
      <c r="AH2869" s="5">
        <f>IF(SalesData[[#This Row],[Customers Visited]]=0,0,SalesData[[#This Row],[Contracts Signed]]/SalesData[[#This Row],[Customers Visited]])</f>
        <v>8.7649402390438252E-2</v>
      </c>
      <c r="AI2869" s="6">
        <f>IF(SalesData[[#This Row],[Contracts Signed]]=0,0,SalesData[[#This Row],[Profit(€)]]/SalesData[[#This Row],[Contracts Signed]])</f>
        <v>1852</v>
      </c>
      <c r="AJ2869" s="5" t="str">
        <f>TRIM(CLEAN(SalesData[[#This Row],[Retailer]]))</f>
        <v>Autohaus Berlin</v>
      </c>
    </row>
    <row r="2870" spans="1:36" ht="14.25" hidden="1" x14ac:dyDescent="0.2">
      <c r="A2870" t="s">
        <v>4000</v>
      </c>
      <c r="B2870" s="1">
        <v>46064</v>
      </c>
      <c r="C2870" t="s">
        <v>121</v>
      </c>
      <c r="D2870" t="s">
        <v>82</v>
      </c>
      <c r="E2870" t="s">
        <v>26</v>
      </c>
      <c r="F2870" t="s">
        <v>27</v>
      </c>
      <c r="G2870" t="s">
        <v>28</v>
      </c>
      <c r="H2870" t="s">
        <v>29</v>
      </c>
      <c r="I2870" t="s">
        <v>104</v>
      </c>
      <c r="J2870" t="s">
        <v>7031</v>
      </c>
      <c r="K2870" t="s">
        <v>32</v>
      </c>
      <c r="L2870" t="s">
        <v>46</v>
      </c>
      <c r="M2870" t="s">
        <v>87</v>
      </c>
      <c r="N2870" t="s">
        <v>35</v>
      </c>
      <c r="O2870" t="s">
        <v>36</v>
      </c>
      <c r="P2870" t="s">
        <v>71</v>
      </c>
      <c r="Q2870" t="s">
        <v>167</v>
      </c>
      <c r="R2870">
        <v>449</v>
      </c>
      <c r="S2870">
        <v>227</v>
      </c>
      <c r="T2870">
        <v>136</v>
      </c>
      <c r="U2870">
        <v>42</v>
      </c>
      <c r="V2870" t="s">
        <v>7293</v>
      </c>
      <c r="W2870">
        <v>28742</v>
      </c>
      <c r="X2870" t="s">
        <v>7548</v>
      </c>
      <c r="Y2870">
        <v>24965</v>
      </c>
      <c r="Z2870">
        <v>1207164</v>
      </c>
      <c r="AA2870">
        <v>158634</v>
      </c>
      <c r="AB2870" t="str">
        <f>(VLOOKUP(SalesData[[#This Row],[Month Number]],Reference!C$5:E$16,2,FALSE))</f>
        <v>Feb</v>
      </c>
      <c r="AC2870">
        <f>MONTH(SalesData[[#This Row],[Date]])</f>
        <v>2</v>
      </c>
      <c r="AD2870">
        <f>Reference!F$4</f>
        <v>2026</v>
      </c>
      <c r="AE2870" t="str">
        <f>IF(OR(SalesData[[#This Row],[Day]]="Saturday",SalesData[[#This Row],[Day]]="Sunday"),"Weekend","Weekday")</f>
        <v>Weekday</v>
      </c>
      <c r="AF2870" s="5">
        <f>IF(SalesData[[#This Row],[Contracts Offered]]=0,0,SalesData[[#This Row],[Contracts Signed]]/SalesData[[#This Row],[Contracts Offered]])</f>
        <v>0.30882352941176472</v>
      </c>
      <c r="AG2870" s="5">
        <f>IF(SalesData[[#This Row],[Customers Visited]]=0,0,SalesData[[#This Row],[Test Drives]]/SalesData[[#This Row],[Customers Visited]])</f>
        <v>0.50556792873051226</v>
      </c>
      <c r="AH2870" s="5">
        <f>IF(SalesData[[#This Row],[Customers Visited]]=0,0,SalesData[[#This Row],[Contracts Signed]]/SalesData[[#This Row],[Customers Visited]])</f>
        <v>9.3541202672605794E-2</v>
      </c>
      <c r="AI2870" s="6">
        <f>IF(SalesData[[#This Row],[Contracts Signed]]=0,0,SalesData[[#This Row],[Profit(€)]]/SalesData[[#This Row],[Contracts Signed]])</f>
        <v>3777</v>
      </c>
      <c r="AJ2870" s="5" t="str">
        <f>TRIM(CLEAN(SalesData[[#This Row],[Retailer]]))</f>
        <v>Main Auto Hub</v>
      </c>
    </row>
    <row r="2871" spans="1:36" ht="14.25" hidden="1" x14ac:dyDescent="0.2">
      <c r="A2871" t="s">
        <v>4001</v>
      </c>
      <c r="B2871" s="1">
        <v>46064</v>
      </c>
      <c r="C2871" t="s">
        <v>121</v>
      </c>
      <c r="D2871" t="s">
        <v>82</v>
      </c>
      <c r="E2871" t="s">
        <v>26</v>
      </c>
      <c r="F2871" t="s">
        <v>43</v>
      </c>
      <c r="G2871" t="s">
        <v>44</v>
      </c>
      <c r="H2871" t="s">
        <v>45</v>
      </c>
      <c r="I2871" t="s">
        <v>56</v>
      </c>
      <c r="J2871" t="s">
        <v>57</v>
      </c>
      <c r="K2871" t="s">
        <v>91</v>
      </c>
      <c r="L2871" t="s">
        <v>46</v>
      </c>
      <c r="M2871" t="s">
        <v>87</v>
      </c>
      <c r="N2871" t="s">
        <v>69</v>
      </c>
      <c r="O2871" t="s">
        <v>70</v>
      </c>
      <c r="P2871" t="s">
        <v>37</v>
      </c>
      <c r="Q2871" t="s">
        <v>167</v>
      </c>
      <c r="R2871">
        <v>235</v>
      </c>
      <c r="S2871">
        <v>145</v>
      </c>
      <c r="T2871">
        <v>110</v>
      </c>
      <c r="U2871">
        <v>31</v>
      </c>
      <c r="V2871" t="s">
        <v>6716</v>
      </c>
      <c r="W2871">
        <v>46281</v>
      </c>
      <c r="X2871" t="s">
        <v>5891</v>
      </c>
      <c r="Y2871">
        <v>37927</v>
      </c>
      <c r="Z2871">
        <v>1434711</v>
      </c>
      <c r="AA2871">
        <v>258974</v>
      </c>
      <c r="AB2871" t="str">
        <f>(VLOOKUP(SalesData[[#This Row],[Month Number]],Reference!C$5:E$16,2,FALSE))</f>
        <v>Feb</v>
      </c>
      <c r="AC2871">
        <f>MONTH(SalesData[[#This Row],[Date]])</f>
        <v>2</v>
      </c>
      <c r="AD2871">
        <f>Reference!F$4</f>
        <v>2026</v>
      </c>
      <c r="AE2871" t="str">
        <f>IF(OR(SalesData[[#This Row],[Day]]="Saturday",SalesData[[#This Row],[Day]]="Sunday"),"Weekend","Weekday")</f>
        <v>Weekday</v>
      </c>
      <c r="AF2871" s="5">
        <f>IF(SalesData[[#This Row],[Contracts Offered]]=0,0,SalesData[[#This Row],[Contracts Signed]]/SalesData[[#This Row],[Contracts Offered]])</f>
        <v>0.2818181818181818</v>
      </c>
      <c r="AG2871" s="5">
        <f>IF(SalesData[[#This Row],[Customers Visited]]=0,0,SalesData[[#This Row],[Test Drives]]/SalesData[[#This Row],[Customers Visited]])</f>
        <v>0.61702127659574468</v>
      </c>
      <c r="AH2871" s="5">
        <f>IF(SalesData[[#This Row],[Customers Visited]]=0,0,SalesData[[#This Row],[Contracts Signed]]/SalesData[[#This Row],[Customers Visited]])</f>
        <v>0.13191489361702127</v>
      </c>
      <c r="AI2871" s="6">
        <f>IF(SalesData[[#This Row],[Contracts Signed]]=0,0,SalesData[[#This Row],[Profit(€)]]/SalesData[[#This Row],[Contracts Signed]])</f>
        <v>8354</v>
      </c>
      <c r="AJ2871" s="5" t="str">
        <f>TRIM(CLEAN(SalesData[[#This Row],[Retailer]]))</f>
        <v>Saxon Wheels</v>
      </c>
    </row>
    <row r="2872" spans="1:36" ht="14.25" hidden="1" x14ac:dyDescent="0.2">
      <c r="A2872" t="s">
        <v>4002</v>
      </c>
      <c r="B2872" s="1">
        <v>46080</v>
      </c>
      <c r="C2872" t="s">
        <v>53</v>
      </c>
      <c r="D2872" t="s">
        <v>54</v>
      </c>
      <c r="E2872" t="s">
        <v>26</v>
      </c>
      <c r="F2872" t="s">
        <v>83</v>
      </c>
      <c r="G2872" t="s">
        <v>84</v>
      </c>
      <c r="H2872" t="s">
        <v>85</v>
      </c>
      <c r="I2872" t="s">
        <v>116</v>
      </c>
      <c r="J2872" t="s">
        <v>203</v>
      </c>
      <c r="K2872" t="s">
        <v>78</v>
      </c>
      <c r="L2872" t="s">
        <v>67</v>
      </c>
      <c r="M2872" t="s">
        <v>47</v>
      </c>
      <c r="N2872" t="s">
        <v>35</v>
      </c>
      <c r="O2872" t="s">
        <v>70</v>
      </c>
      <c r="P2872" t="s">
        <v>37</v>
      </c>
      <c r="Q2872" t="s">
        <v>129</v>
      </c>
      <c r="R2872">
        <v>352</v>
      </c>
      <c r="S2872">
        <v>187</v>
      </c>
      <c r="T2872">
        <v>128</v>
      </c>
      <c r="U2872">
        <v>22</v>
      </c>
      <c r="V2872" t="s">
        <v>313</v>
      </c>
      <c r="W2872">
        <v>24337</v>
      </c>
      <c r="X2872" t="s">
        <v>7563</v>
      </c>
      <c r="Y2872">
        <v>21900</v>
      </c>
      <c r="Z2872">
        <v>535414</v>
      </c>
      <c r="AA2872">
        <v>53614</v>
      </c>
      <c r="AB2872" t="str">
        <f>(VLOOKUP(SalesData[[#This Row],[Month Number]],Reference!C$5:E$16,2,FALSE))</f>
        <v>Feb</v>
      </c>
      <c r="AC2872">
        <f>MONTH(SalesData[[#This Row],[Date]])</f>
        <v>2</v>
      </c>
      <c r="AD2872">
        <f>Reference!F$4</f>
        <v>2026</v>
      </c>
      <c r="AE2872" t="str">
        <f>IF(OR(SalesData[[#This Row],[Day]]="Saturday",SalesData[[#This Row],[Day]]="Sunday"),"Weekend","Weekday")</f>
        <v>Weekday</v>
      </c>
      <c r="AF2872" s="5">
        <f>IF(SalesData[[#This Row],[Contracts Offered]]=0,0,SalesData[[#This Row],[Contracts Signed]]/SalesData[[#This Row],[Contracts Offered]])</f>
        <v>0.171875</v>
      </c>
      <c r="AG2872" s="5">
        <f>IF(SalesData[[#This Row],[Customers Visited]]=0,0,SalesData[[#This Row],[Test Drives]]/SalesData[[#This Row],[Customers Visited]])</f>
        <v>0.53125</v>
      </c>
      <c r="AH2872" s="5">
        <f>IF(SalesData[[#This Row],[Customers Visited]]=0,0,SalesData[[#This Row],[Contracts Signed]]/SalesData[[#This Row],[Customers Visited]])</f>
        <v>6.25E-2</v>
      </c>
      <c r="AI2872" s="6">
        <f>IF(SalesData[[#This Row],[Contracts Signed]]=0,0,SalesData[[#This Row],[Profit(€)]]/SalesData[[#This Row],[Contracts Signed]])</f>
        <v>2437</v>
      </c>
      <c r="AJ2872" s="5" t="str">
        <f>TRIM(CLEAN(SalesData[[#This Row],[Retailer]]))</f>
        <v>Hannover Cars</v>
      </c>
    </row>
    <row r="2873" spans="1:36" ht="14.25" hidden="1" x14ac:dyDescent="0.2">
      <c r="A2873" t="s">
        <v>4003</v>
      </c>
      <c r="B2873" s="1">
        <v>46055</v>
      </c>
      <c r="C2873" t="s">
        <v>24</v>
      </c>
      <c r="D2873" t="s">
        <v>25</v>
      </c>
      <c r="E2873" t="s">
        <v>26</v>
      </c>
      <c r="F2873" t="s">
        <v>94</v>
      </c>
      <c r="G2873" t="s">
        <v>95</v>
      </c>
      <c r="H2873" t="s">
        <v>96</v>
      </c>
      <c r="I2873" t="s">
        <v>56</v>
      </c>
      <c r="J2873" t="s">
        <v>97</v>
      </c>
      <c r="K2873" t="s">
        <v>66</v>
      </c>
      <c r="L2873" t="s">
        <v>33</v>
      </c>
      <c r="M2873" t="s">
        <v>68</v>
      </c>
      <c r="N2873" t="s">
        <v>69</v>
      </c>
      <c r="O2873" t="s">
        <v>36</v>
      </c>
      <c r="P2873" t="s">
        <v>71</v>
      </c>
      <c r="Q2873" t="s">
        <v>106</v>
      </c>
      <c r="R2873">
        <v>194</v>
      </c>
      <c r="S2873">
        <v>93</v>
      </c>
      <c r="T2873">
        <v>66</v>
      </c>
      <c r="U2873">
        <v>22</v>
      </c>
      <c r="V2873" t="s">
        <v>6474</v>
      </c>
      <c r="W2873">
        <v>45844</v>
      </c>
      <c r="X2873" t="s">
        <v>7176</v>
      </c>
      <c r="Y2873">
        <v>36179</v>
      </c>
      <c r="Z2873">
        <v>1008568</v>
      </c>
      <c r="AA2873">
        <v>212630</v>
      </c>
      <c r="AB2873" t="str">
        <f>(VLOOKUP(SalesData[[#This Row],[Month Number]],Reference!C$5:E$16,2,FALSE))</f>
        <v>Feb</v>
      </c>
      <c r="AC2873">
        <f>MONTH(SalesData[[#This Row],[Date]])</f>
        <v>2</v>
      </c>
      <c r="AD2873">
        <f>Reference!F$4</f>
        <v>2026</v>
      </c>
      <c r="AE2873" t="str">
        <f>IF(OR(SalesData[[#This Row],[Day]]="Saturday",SalesData[[#This Row],[Day]]="Sunday"),"Weekend","Weekday")</f>
        <v>Weekday</v>
      </c>
      <c r="AF2873" s="5">
        <f>IF(SalesData[[#This Row],[Contracts Offered]]=0,0,SalesData[[#This Row],[Contracts Signed]]/SalesData[[#This Row],[Contracts Offered]])</f>
        <v>0.33333333333333331</v>
      </c>
      <c r="AG2873" s="5">
        <f>IF(SalesData[[#This Row],[Customers Visited]]=0,0,SalesData[[#This Row],[Test Drives]]/SalesData[[#This Row],[Customers Visited]])</f>
        <v>0.47938144329896909</v>
      </c>
      <c r="AH2873" s="5">
        <f>IF(SalesData[[#This Row],[Customers Visited]]=0,0,SalesData[[#This Row],[Contracts Signed]]/SalesData[[#This Row],[Customers Visited]])</f>
        <v>0.1134020618556701</v>
      </c>
      <c r="AI2873" s="6">
        <f>IF(SalesData[[#This Row],[Contracts Signed]]=0,0,SalesData[[#This Row],[Profit(€)]]/SalesData[[#This Row],[Contracts Signed]])</f>
        <v>9665</v>
      </c>
      <c r="AJ2873" s="5" t="str">
        <f>TRIM(CLEAN(SalesData[[#This Row],[Retailer]]))</f>
        <v>Bavaria Motors</v>
      </c>
    </row>
    <row r="2874" spans="1:36" ht="14.25" hidden="1" x14ac:dyDescent="0.2">
      <c r="A2874" t="s">
        <v>4004</v>
      </c>
      <c r="B2874" s="1">
        <v>46056</v>
      </c>
      <c r="C2874" t="s">
        <v>24</v>
      </c>
      <c r="D2874" t="s">
        <v>63</v>
      </c>
      <c r="E2874" t="s">
        <v>26</v>
      </c>
      <c r="F2874" t="s">
        <v>27</v>
      </c>
      <c r="G2874" t="s">
        <v>28</v>
      </c>
      <c r="H2874" t="s">
        <v>29</v>
      </c>
      <c r="I2874" t="s">
        <v>116</v>
      </c>
      <c r="J2874" t="s">
        <v>7026</v>
      </c>
      <c r="K2874" t="s">
        <v>91</v>
      </c>
      <c r="L2874" t="s">
        <v>46</v>
      </c>
      <c r="M2874" t="s">
        <v>87</v>
      </c>
      <c r="N2874" t="s">
        <v>48</v>
      </c>
      <c r="O2874" t="s">
        <v>36</v>
      </c>
      <c r="P2874" t="s">
        <v>58</v>
      </c>
      <c r="Q2874" t="s">
        <v>204</v>
      </c>
      <c r="R2874">
        <v>364</v>
      </c>
      <c r="S2874">
        <v>197</v>
      </c>
      <c r="T2874">
        <v>123</v>
      </c>
      <c r="U2874">
        <v>42</v>
      </c>
      <c r="V2874" t="s">
        <v>7215</v>
      </c>
      <c r="W2874">
        <v>19351</v>
      </c>
      <c r="X2874" t="s">
        <v>3257</v>
      </c>
      <c r="Y2874">
        <v>17710</v>
      </c>
      <c r="Z2874">
        <v>812742</v>
      </c>
      <c r="AA2874">
        <v>68922</v>
      </c>
      <c r="AB2874" t="str">
        <f>(VLOOKUP(SalesData[[#This Row],[Month Number]],Reference!C$5:E$16,2,FALSE))</f>
        <v>Feb</v>
      </c>
      <c r="AC2874">
        <f>MONTH(SalesData[[#This Row],[Date]])</f>
        <v>2</v>
      </c>
      <c r="AD2874">
        <f>Reference!F$4</f>
        <v>2026</v>
      </c>
      <c r="AE2874" t="str">
        <f>IF(OR(SalesData[[#This Row],[Day]]="Saturday",SalesData[[#This Row],[Day]]="Sunday"),"Weekend","Weekday")</f>
        <v>Weekday</v>
      </c>
      <c r="AF2874" s="5">
        <f>IF(SalesData[[#This Row],[Contracts Offered]]=0,0,SalesData[[#This Row],[Contracts Signed]]/SalesData[[#This Row],[Contracts Offered]])</f>
        <v>0.34146341463414637</v>
      </c>
      <c r="AG2874" s="5">
        <f>IF(SalesData[[#This Row],[Customers Visited]]=0,0,SalesData[[#This Row],[Test Drives]]/SalesData[[#This Row],[Customers Visited]])</f>
        <v>0.54120879120879117</v>
      </c>
      <c r="AH2874" s="5">
        <f>IF(SalesData[[#This Row],[Customers Visited]]=0,0,SalesData[[#This Row],[Contracts Signed]]/SalesData[[#This Row],[Customers Visited]])</f>
        <v>0.11538461538461539</v>
      </c>
      <c r="AI2874" s="6">
        <f>IF(SalesData[[#This Row],[Contracts Signed]]=0,0,SalesData[[#This Row],[Profit(€)]]/SalesData[[#This Row],[Contracts Signed]])</f>
        <v>1641</v>
      </c>
      <c r="AJ2874" s="5" t="str">
        <f>TRIM(CLEAN(SalesData[[#This Row],[Retailer]]))</f>
        <v>Main Auto Hub</v>
      </c>
    </row>
    <row r="2875" spans="1:36" ht="14.25" hidden="1" x14ac:dyDescent="0.2">
      <c r="A2875" t="s">
        <v>4005</v>
      </c>
      <c r="B2875" s="1">
        <v>46080</v>
      </c>
      <c r="C2875" t="s">
        <v>53</v>
      </c>
      <c r="D2875" t="s">
        <v>54</v>
      </c>
      <c r="E2875" t="s">
        <v>26</v>
      </c>
      <c r="F2875" t="s">
        <v>7649</v>
      </c>
      <c r="G2875" t="s">
        <v>55</v>
      </c>
      <c r="H2875" t="s">
        <v>55</v>
      </c>
      <c r="I2875" t="s">
        <v>64</v>
      </c>
      <c r="J2875" t="s">
        <v>157</v>
      </c>
      <c r="K2875" t="s">
        <v>91</v>
      </c>
      <c r="L2875" t="s">
        <v>33</v>
      </c>
      <c r="M2875" t="s">
        <v>34</v>
      </c>
      <c r="N2875" t="s">
        <v>35</v>
      </c>
      <c r="O2875" t="s">
        <v>70</v>
      </c>
      <c r="P2875" t="s">
        <v>49</v>
      </c>
      <c r="Q2875" t="s">
        <v>158</v>
      </c>
      <c r="R2875">
        <v>190</v>
      </c>
      <c r="S2875">
        <v>112</v>
      </c>
      <c r="T2875">
        <v>88</v>
      </c>
      <c r="U2875">
        <v>26</v>
      </c>
      <c r="V2875" t="s">
        <v>6557</v>
      </c>
      <c r="W2875">
        <v>68847</v>
      </c>
      <c r="X2875" t="s">
        <v>7122</v>
      </c>
      <c r="Y2875">
        <v>51152</v>
      </c>
      <c r="Z2875">
        <v>1790022</v>
      </c>
      <c r="AA2875">
        <v>460070</v>
      </c>
      <c r="AB2875" t="str">
        <f>(VLOOKUP(SalesData[[#This Row],[Month Number]],Reference!C$5:E$16,2,FALSE))</f>
        <v>Feb</v>
      </c>
      <c r="AC2875">
        <f>MONTH(SalesData[[#This Row],[Date]])</f>
        <v>2</v>
      </c>
      <c r="AD2875">
        <f>Reference!F$4</f>
        <v>2026</v>
      </c>
      <c r="AE2875" t="str">
        <f>IF(OR(SalesData[[#This Row],[Day]]="Saturday",SalesData[[#This Row],[Day]]="Sunday"),"Weekend","Weekday")</f>
        <v>Weekday</v>
      </c>
      <c r="AF2875" s="5">
        <f>IF(SalesData[[#This Row],[Contracts Offered]]=0,0,SalesData[[#This Row],[Contracts Signed]]/SalesData[[#This Row],[Contracts Offered]])</f>
        <v>0.29545454545454547</v>
      </c>
      <c r="AG2875" s="5">
        <f>IF(SalesData[[#This Row],[Customers Visited]]=0,0,SalesData[[#This Row],[Test Drives]]/SalesData[[#This Row],[Customers Visited]])</f>
        <v>0.58947368421052626</v>
      </c>
      <c r="AH2875" s="5">
        <f>IF(SalesData[[#This Row],[Customers Visited]]=0,0,SalesData[[#This Row],[Contracts Signed]]/SalesData[[#This Row],[Customers Visited]])</f>
        <v>0.1368421052631579</v>
      </c>
      <c r="AI2875" s="6">
        <f>IF(SalesData[[#This Row],[Contracts Signed]]=0,0,SalesData[[#This Row],[Profit(€)]]/SalesData[[#This Row],[Contracts Signed]])</f>
        <v>17695</v>
      </c>
      <c r="AJ2875" s="5" t="str">
        <f>TRIM(CLEAN(SalesData[[#This Row],[Retailer]]))</f>
        <v>Autohaus Berlin</v>
      </c>
    </row>
    <row r="2876" spans="1:36" ht="14.25" hidden="1" x14ac:dyDescent="0.2">
      <c r="A2876" t="s">
        <v>4007</v>
      </c>
      <c r="B2876" s="1">
        <v>46080</v>
      </c>
      <c r="C2876" t="s">
        <v>53</v>
      </c>
      <c r="D2876" t="s">
        <v>54</v>
      </c>
      <c r="E2876" t="s">
        <v>26</v>
      </c>
      <c r="F2876" t="s">
        <v>101</v>
      </c>
      <c r="G2876" t="s">
        <v>102</v>
      </c>
      <c r="H2876" t="s">
        <v>103</v>
      </c>
      <c r="I2876" t="s">
        <v>116</v>
      </c>
      <c r="J2876" t="s">
        <v>132</v>
      </c>
      <c r="K2876" t="s">
        <v>32</v>
      </c>
      <c r="L2876" t="s">
        <v>46</v>
      </c>
      <c r="M2876" t="s">
        <v>87</v>
      </c>
      <c r="N2876" t="s">
        <v>35</v>
      </c>
      <c r="O2876" t="s">
        <v>70</v>
      </c>
      <c r="P2876" t="s">
        <v>58</v>
      </c>
      <c r="Q2876" t="s">
        <v>167</v>
      </c>
      <c r="R2876">
        <v>267</v>
      </c>
      <c r="S2876">
        <v>116</v>
      </c>
      <c r="T2876">
        <v>73</v>
      </c>
      <c r="U2876">
        <v>19</v>
      </c>
      <c r="V2876" t="s">
        <v>1307</v>
      </c>
      <c r="W2876">
        <v>20909</v>
      </c>
      <c r="X2876" t="s">
        <v>7002</v>
      </c>
      <c r="Y2876">
        <v>19046</v>
      </c>
      <c r="Z2876">
        <v>397271</v>
      </c>
      <c r="AA2876">
        <v>35397</v>
      </c>
      <c r="AB2876" t="str">
        <f>(VLOOKUP(SalesData[[#This Row],[Month Number]],Reference!C$5:E$16,2,FALSE))</f>
        <v>Feb</v>
      </c>
      <c r="AC2876">
        <f>MONTH(SalesData[[#This Row],[Date]])</f>
        <v>2</v>
      </c>
      <c r="AD2876">
        <f>Reference!F$4</f>
        <v>2026</v>
      </c>
      <c r="AE2876" t="str">
        <f>IF(OR(SalesData[[#This Row],[Day]]="Saturday",SalesData[[#This Row],[Day]]="Sunday"),"Weekend","Weekday")</f>
        <v>Weekday</v>
      </c>
      <c r="AF2876" s="5">
        <f>IF(SalesData[[#This Row],[Contracts Offered]]=0,0,SalesData[[#This Row],[Contracts Signed]]/SalesData[[#This Row],[Contracts Offered]])</f>
        <v>0.26027397260273971</v>
      </c>
      <c r="AG2876" s="5">
        <f>IF(SalesData[[#This Row],[Customers Visited]]=0,0,SalesData[[#This Row],[Test Drives]]/SalesData[[#This Row],[Customers Visited]])</f>
        <v>0.43445692883895132</v>
      </c>
      <c r="AH2876" s="5">
        <f>IF(SalesData[[#This Row],[Customers Visited]]=0,0,SalesData[[#This Row],[Contracts Signed]]/SalesData[[#This Row],[Customers Visited]])</f>
        <v>7.116104868913857E-2</v>
      </c>
      <c r="AI2876" s="6">
        <f>IF(SalesData[[#This Row],[Contracts Signed]]=0,0,SalesData[[#This Row],[Profit(€)]]/SalesData[[#This Row],[Contracts Signed]])</f>
        <v>1863</v>
      </c>
      <c r="AJ2876" s="5" t="str">
        <f>TRIM(CLEAN(SalesData[[#This Row],[Retailer]]))</f>
        <v>Ruhr Auto Plaza</v>
      </c>
    </row>
    <row r="2877" spans="1:36" ht="14.25" hidden="1" x14ac:dyDescent="0.2">
      <c r="A2877" t="s">
        <v>4009</v>
      </c>
      <c r="B2877" s="1">
        <v>46064</v>
      </c>
      <c r="C2877" t="s">
        <v>121</v>
      </c>
      <c r="D2877" t="s">
        <v>82</v>
      </c>
      <c r="E2877" t="s">
        <v>26</v>
      </c>
      <c r="F2877" t="s">
        <v>114</v>
      </c>
      <c r="G2877" t="s">
        <v>115</v>
      </c>
      <c r="H2877" t="s">
        <v>115</v>
      </c>
      <c r="I2877" t="s">
        <v>64</v>
      </c>
      <c r="J2877" t="s">
        <v>77</v>
      </c>
      <c r="K2877" t="s">
        <v>66</v>
      </c>
      <c r="L2877" t="s">
        <v>46</v>
      </c>
      <c r="M2877" t="s">
        <v>68</v>
      </c>
      <c r="N2877" t="s">
        <v>35</v>
      </c>
      <c r="O2877" t="s">
        <v>70</v>
      </c>
      <c r="P2877" t="s">
        <v>37</v>
      </c>
      <c r="Q2877" t="s">
        <v>240</v>
      </c>
      <c r="R2877">
        <v>146</v>
      </c>
      <c r="S2877">
        <v>83</v>
      </c>
      <c r="T2877">
        <v>64</v>
      </c>
      <c r="U2877">
        <v>20</v>
      </c>
      <c r="V2877" t="s">
        <v>6361</v>
      </c>
      <c r="W2877">
        <v>57139</v>
      </c>
      <c r="X2877" t="s">
        <v>7183</v>
      </c>
      <c r="Y2877">
        <v>40932</v>
      </c>
      <c r="Z2877">
        <v>1142780</v>
      </c>
      <c r="AA2877">
        <v>324140</v>
      </c>
      <c r="AB2877" t="str">
        <f>(VLOOKUP(SalesData[[#This Row],[Month Number]],Reference!C$5:E$16,2,FALSE))</f>
        <v>Feb</v>
      </c>
      <c r="AC2877">
        <f>MONTH(SalesData[[#This Row],[Date]])</f>
        <v>2</v>
      </c>
      <c r="AD2877">
        <f>Reference!F$4</f>
        <v>2026</v>
      </c>
      <c r="AE2877" t="str">
        <f>IF(OR(SalesData[[#This Row],[Day]]="Saturday",SalesData[[#This Row],[Day]]="Sunday"),"Weekend","Weekday")</f>
        <v>Weekday</v>
      </c>
      <c r="AF2877" s="5">
        <f>IF(SalesData[[#This Row],[Contracts Offered]]=0,0,SalesData[[#This Row],[Contracts Signed]]/SalesData[[#This Row],[Contracts Offered]])</f>
        <v>0.3125</v>
      </c>
      <c r="AG2877" s="5">
        <f>IF(SalesData[[#This Row],[Customers Visited]]=0,0,SalesData[[#This Row],[Test Drives]]/SalesData[[#This Row],[Customers Visited]])</f>
        <v>0.56849315068493156</v>
      </c>
      <c r="AH2877" s="5">
        <f>IF(SalesData[[#This Row],[Customers Visited]]=0,0,SalesData[[#This Row],[Contracts Signed]]/SalesData[[#This Row],[Customers Visited]])</f>
        <v>0.13698630136986301</v>
      </c>
      <c r="AI2877" s="6">
        <f>IF(SalesData[[#This Row],[Contracts Signed]]=0,0,SalesData[[#This Row],[Profit(€)]]/SalesData[[#This Row],[Contracts Signed]])</f>
        <v>16207</v>
      </c>
      <c r="AJ2877" s="5" t="str">
        <f>TRIM(CLEAN(SalesData[[#This Row],[Retailer]]))</f>
        <v>Elbe Drive</v>
      </c>
    </row>
    <row r="2878" spans="1:36" ht="14.25" hidden="1" x14ac:dyDescent="0.2">
      <c r="A2878" t="s">
        <v>4010</v>
      </c>
      <c r="B2878" s="1">
        <v>46080</v>
      </c>
      <c r="C2878" t="s">
        <v>53</v>
      </c>
      <c r="D2878" t="s">
        <v>54</v>
      </c>
      <c r="E2878" t="s">
        <v>26</v>
      </c>
      <c r="F2878" t="s">
        <v>7649</v>
      </c>
      <c r="G2878" t="s">
        <v>55</v>
      </c>
      <c r="H2878" t="s">
        <v>55</v>
      </c>
      <c r="I2878" t="s">
        <v>64</v>
      </c>
      <c r="J2878" t="s">
        <v>77</v>
      </c>
      <c r="K2878" t="s">
        <v>66</v>
      </c>
      <c r="L2878" t="s">
        <v>46</v>
      </c>
      <c r="M2878" t="s">
        <v>87</v>
      </c>
      <c r="N2878" t="s">
        <v>48</v>
      </c>
      <c r="O2878" t="s">
        <v>36</v>
      </c>
      <c r="P2878" t="s">
        <v>71</v>
      </c>
      <c r="Q2878" t="s">
        <v>59</v>
      </c>
      <c r="R2878">
        <v>164</v>
      </c>
      <c r="S2878">
        <v>88</v>
      </c>
      <c r="T2878">
        <v>68</v>
      </c>
      <c r="U2878">
        <v>25</v>
      </c>
      <c r="V2878" t="s">
        <v>7088</v>
      </c>
      <c r="W2878">
        <v>54039</v>
      </c>
      <c r="X2878" t="s">
        <v>1101</v>
      </c>
      <c r="Y2878">
        <v>41478</v>
      </c>
      <c r="Z2878">
        <v>1350975</v>
      </c>
      <c r="AA2878">
        <v>314025</v>
      </c>
      <c r="AB2878" t="str">
        <f>(VLOOKUP(SalesData[[#This Row],[Month Number]],Reference!C$5:E$16,2,FALSE))</f>
        <v>Feb</v>
      </c>
      <c r="AC2878">
        <f>MONTH(SalesData[[#This Row],[Date]])</f>
        <v>2</v>
      </c>
      <c r="AD2878">
        <f>Reference!F$4</f>
        <v>2026</v>
      </c>
      <c r="AE2878" t="str">
        <f>IF(OR(SalesData[[#This Row],[Day]]="Saturday",SalesData[[#This Row],[Day]]="Sunday"),"Weekend","Weekday")</f>
        <v>Weekday</v>
      </c>
      <c r="AF2878" s="5">
        <f>IF(SalesData[[#This Row],[Contracts Offered]]=0,0,SalesData[[#This Row],[Contracts Signed]]/SalesData[[#This Row],[Contracts Offered]])</f>
        <v>0.36764705882352944</v>
      </c>
      <c r="AG2878" s="5">
        <f>IF(SalesData[[#This Row],[Customers Visited]]=0,0,SalesData[[#This Row],[Test Drives]]/SalesData[[#This Row],[Customers Visited]])</f>
        <v>0.53658536585365857</v>
      </c>
      <c r="AH2878" s="5">
        <f>IF(SalesData[[#This Row],[Customers Visited]]=0,0,SalesData[[#This Row],[Contracts Signed]]/SalesData[[#This Row],[Customers Visited]])</f>
        <v>0.1524390243902439</v>
      </c>
      <c r="AI2878" s="6">
        <f>IF(SalesData[[#This Row],[Contracts Signed]]=0,0,SalesData[[#This Row],[Profit(€)]]/SalesData[[#This Row],[Contracts Signed]])</f>
        <v>12561</v>
      </c>
      <c r="AJ2878" s="5" t="str">
        <f>TRIM(CLEAN(SalesData[[#This Row],[Retailer]]))</f>
        <v>Autohaus Berlin</v>
      </c>
    </row>
    <row r="2879" spans="1:36" ht="14.25" hidden="1" x14ac:dyDescent="0.2">
      <c r="A2879" t="s">
        <v>4011</v>
      </c>
      <c r="B2879" s="1">
        <v>46071</v>
      </c>
      <c r="C2879" t="s">
        <v>62</v>
      </c>
      <c r="D2879" t="s">
        <v>82</v>
      </c>
      <c r="E2879" t="s">
        <v>26</v>
      </c>
      <c r="F2879" t="s">
        <v>94</v>
      </c>
      <c r="G2879" t="s">
        <v>95</v>
      </c>
      <c r="H2879" t="s">
        <v>96</v>
      </c>
      <c r="I2879" t="s">
        <v>104</v>
      </c>
      <c r="J2879" t="s">
        <v>143</v>
      </c>
      <c r="K2879" t="s">
        <v>32</v>
      </c>
      <c r="L2879" t="s">
        <v>67</v>
      </c>
      <c r="M2879" t="s">
        <v>68</v>
      </c>
      <c r="N2879" t="s">
        <v>69</v>
      </c>
      <c r="O2879" t="s">
        <v>36</v>
      </c>
      <c r="P2879" t="s">
        <v>71</v>
      </c>
      <c r="Q2879" t="s">
        <v>158</v>
      </c>
      <c r="R2879">
        <v>401</v>
      </c>
      <c r="S2879">
        <v>211</v>
      </c>
      <c r="T2879">
        <v>133</v>
      </c>
      <c r="U2879">
        <v>40</v>
      </c>
      <c r="V2879" t="s">
        <v>7564</v>
      </c>
      <c r="W2879">
        <v>31386</v>
      </c>
      <c r="X2879" t="s">
        <v>267</v>
      </c>
      <c r="Y2879">
        <v>27642</v>
      </c>
      <c r="Z2879">
        <v>1255440</v>
      </c>
      <c r="AA2879">
        <v>149760</v>
      </c>
      <c r="AB2879" t="str">
        <f>(VLOOKUP(SalesData[[#This Row],[Month Number]],Reference!C$5:E$16,2,FALSE))</f>
        <v>Feb</v>
      </c>
      <c r="AC2879">
        <f>MONTH(SalesData[[#This Row],[Date]])</f>
        <v>2</v>
      </c>
      <c r="AD2879">
        <f>Reference!F$4</f>
        <v>2026</v>
      </c>
      <c r="AE2879" t="str">
        <f>IF(OR(SalesData[[#This Row],[Day]]="Saturday",SalesData[[#This Row],[Day]]="Sunday"),"Weekend","Weekday")</f>
        <v>Weekday</v>
      </c>
      <c r="AF2879" s="5">
        <f>IF(SalesData[[#This Row],[Contracts Offered]]=0,0,SalesData[[#This Row],[Contracts Signed]]/SalesData[[#This Row],[Contracts Offered]])</f>
        <v>0.3007518796992481</v>
      </c>
      <c r="AG2879" s="5">
        <f>IF(SalesData[[#This Row],[Customers Visited]]=0,0,SalesData[[#This Row],[Test Drives]]/SalesData[[#This Row],[Customers Visited]])</f>
        <v>0.52618453865336656</v>
      </c>
      <c r="AH2879" s="5">
        <f>IF(SalesData[[#This Row],[Customers Visited]]=0,0,SalesData[[#This Row],[Contracts Signed]]/SalesData[[#This Row],[Customers Visited]])</f>
        <v>9.9750623441396513E-2</v>
      </c>
      <c r="AI2879" s="6">
        <f>IF(SalesData[[#This Row],[Contracts Signed]]=0,0,SalesData[[#This Row],[Profit(€)]]/SalesData[[#This Row],[Contracts Signed]])</f>
        <v>3744</v>
      </c>
      <c r="AJ2879" s="5" t="str">
        <f>TRIM(CLEAN(SalesData[[#This Row],[Retailer]]))</f>
        <v>Bavaria Motors</v>
      </c>
    </row>
    <row r="2880" spans="1:36" ht="14.25" hidden="1" x14ac:dyDescent="0.2">
      <c r="A2880" t="s">
        <v>4012</v>
      </c>
      <c r="B2880" s="1">
        <v>46070</v>
      </c>
      <c r="C2880" t="s">
        <v>62</v>
      </c>
      <c r="D2880" t="s">
        <v>63</v>
      </c>
      <c r="E2880" t="s">
        <v>26</v>
      </c>
      <c r="F2880" t="s">
        <v>7649</v>
      </c>
      <c r="G2880" t="s">
        <v>55</v>
      </c>
      <c r="H2880" t="s">
        <v>55</v>
      </c>
      <c r="I2880" t="s">
        <v>116</v>
      </c>
      <c r="J2880" t="s">
        <v>117</v>
      </c>
      <c r="K2880" t="s">
        <v>78</v>
      </c>
      <c r="L2880" t="s">
        <v>67</v>
      </c>
      <c r="M2880" t="s">
        <v>87</v>
      </c>
      <c r="N2880" t="s">
        <v>69</v>
      </c>
      <c r="O2880" t="s">
        <v>36</v>
      </c>
      <c r="P2880" t="s">
        <v>49</v>
      </c>
      <c r="Q2880" t="s">
        <v>106</v>
      </c>
      <c r="R2880">
        <v>220</v>
      </c>
      <c r="S2880">
        <v>96</v>
      </c>
      <c r="T2880">
        <v>64</v>
      </c>
      <c r="U2880">
        <v>17</v>
      </c>
      <c r="V2880" t="s">
        <v>4445</v>
      </c>
      <c r="W2880">
        <v>20707</v>
      </c>
      <c r="X2880" t="s">
        <v>1605</v>
      </c>
      <c r="Y2880">
        <v>18645</v>
      </c>
      <c r="Z2880">
        <v>352019</v>
      </c>
      <c r="AA2880">
        <v>35054</v>
      </c>
      <c r="AB2880" t="str">
        <f>(VLOOKUP(SalesData[[#This Row],[Month Number]],Reference!C$5:E$16,2,FALSE))</f>
        <v>Feb</v>
      </c>
      <c r="AC2880">
        <f>MONTH(SalesData[[#This Row],[Date]])</f>
        <v>2</v>
      </c>
      <c r="AD2880">
        <f>Reference!F$4</f>
        <v>2026</v>
      </c>
      <c r="AE2880" t="str">
        <f>IF(OR(SalesData[[#This Row],[Day]]="Saturday",SalesData[[#This Row],[Day]]="Sunday"),"Weekend","Weekday")</f>
        <v>Weekday</v>
      </c>
      <c r="AF2880" s="5">
        <f>IF(SalesData[[#This Row],[Contracts Offered]]=0,0,SalesData[[#This Row],[Contracts Signed]]/SalesData[[#This Row],[Contracts Offered]])</f>
        <v>0.265625</v>
      </c>
      <c r="AG2880" s="5">
        <f>IF(SalesData[[#This Row],[Customers Visited]]=0,0,SalesData[[#This Row],[Test Drives]]/SalesData[[#This Row],[Customers Visited]])</f>
        <v>0.43636363636363634</v>
      </c>
      <c r="AH2880" s="5">
        <f>IF(SalesData[[#This Row],[Customers Visited]]=0,0,SalesData[[#This Row],[Contracts Signed]]/SalesData[[#This Row],[Customers Visited]])</f>
        <v>7.7272727272727271E-2</v>
      </c>
      <c r="AI2880" s="6">
        <f>IF(SalesData[[#This Row],[Contracts Signed]]=0,0,SalesData[[#This Row],[Profit(€)]]/SalesData[[#This Row],[Contracts Signed]])</f>
        <v>2062</v>
      </c>
      <c r="AJ2880" s="5" t="str">
        <f>TRIM(CLEAN(SalesData[[#This Row],[Retailer]]))</f>
        <v>Autohaus Berlin</v>
      </c>
    </row>
    <row r="2881" spans="1:36" ht="14.25" hidden="1" x14ac:dyDescent="0.2">
      <c r="A2881" t="s">
        <v>4013</v>
      </c>
      <c r="B2881" s="1">
        <v>46063</v>
      </c>
      <c r="C2881" t="s">
        <v>121</v>
      </c>
      <c r="D2881" t="s">
        <v>63</v>
      </c>
      <c r="E2881" t="s">
        <v>26</v>
      </c>
      <c r="F2881" t="s">
        <v>109</v>
      </c>
      <c r="G2881" t="s">
        <v>110</v>
      </c>
      <c r="H2881" t="s">
        <v>45</v>
      </c>
      <c r="I2881" t="s">
        <v>64</v>
      </c>
      <c r="J2881" t="s">
        <v>7029</v>
      </c>
      <c r="K2881" t="s">
        <v>32</v>
      </c>
      <c r="L2881" t="s">
        <v>33</v>
      </c>
      <c r="M2881" t="s">
        <v>47</v>
      </c>
      <c r="N2881" t="s">
        <v>48</v>
      </c>
      <c r="O2881" t="s">
        <v>36</v>
      </c>
      <c r="P2881" t="s">
        <v>71</v>
      </c>
      <c r="Q2881" t="s">
        <v>122</v>
      </c>
      <c r="R2881">
        <v>240</v>
      </c>
      <c r="S2881">
        <v>142</v>
      </c>
      <c r="T2881">
        <v>102</v>
      </c>
      <c r="U2881">
        <v>38</v>
      </c>
      <c r="V2881" t="s">
        <v>6829</v>
      </c>
      <c r="W2881">
        <v>69989</v>
      </c>
      <c r="X2881" t="s">
        <v>7565</v>
      </c>
      <c r="Y2881">
        <v>53851</v>
      </c>
      <c r="Z2881">
        <v>2659582</v>
      </c>
      <c r="AA2881">
        <v>613244</v>
      </c>
      <c r="AB2881" t="str">
        <f>(VLOOKUP(SalesData[[#This Row],[Month Number]],Reference!C$5:E$16,2,FALSE))</f>
        <v>Feb</v>
      </c>
      <c r="AC2881">
        <f>MONTH(SalesData[[#This Row],[Date]])</f>
        <v>2</v>
      </c>
      <c r="AD2881">
        <f>Reference!F$4</f>
        <v>2026</v>
      </c>
      <c r="AE2881" t="str">
        <f>IF(OR(SalesData[[#This Row],[Day]]="Saturday",SalesData[[#This Row],[Day]]="Sunday"),"Weekend","Weekday")</f>
        <v>Weekday</v>
      </c>
      <c r="AF2881" s="5">
        <f>IF(SalesData[[#This Row],[Contracts Offered]]=0,0,SalesData[[#This Row],[Contracts Signed]]/SalesData[[#This Row],[Contracts Offered]])</f>
        <v>0.37254901960784315</v>
      </c>
      <c r="AG2881" s="5">
        <f>IF(SalesData[[#This Row],[Customers Visited]]=0,0,SalesData[[#This Row],[Test Drives]]/SalesData[[#This Row],[Customers Visited]])</f>
        <v>0.59166666666666667</v>
      </c>
      <c r="AH2881" s="5">
        <f>IF(SalesData[[#This Row],[Customers Visited]]=0,0,SalesData[[#This Row],[Contracts Signed]]/SalesData[[#This Row],[Customers Visited]])</f>
        <v>0.15833333333333333</v>
      </c>
      <c r="AI2881" s="6">
        <f>IF(SalesData[[#This Row],[Contracts Signed]]=0,0,SalesData[[#This Row],[Profit(€)]]/SalesData[[#This Row],[Contracts Signed]])</f>
        <v>16138</v>
      </c>
      <c r="AJ2881" s="5" t="str">
        <f>TRIM(CLEAN(SalesData[[#This Row],[Retailer]]))</f>
        <v>Leipzig Mobility</v>
      </c>
    </row>
    <row r="2882" spans="1:36" ht="14.25" hidden="1" x14ac:dyDescent="0.2">
      <c r="A2882" t="s">
        <v>4014</v>
      </c>
      <c r="B2882" s="1">
        <v>46074</v>
      </c>
      <c r="C2882" t="s">
        <v>62</v>
      </c>
      <c r="D2882" t="s">
        <v>151</v>
      </c>
      <c r="E2882" t="s">
        <v>42</v>
      </c>
      <c r="F2882" t="s">
        <v>27</v>
      </c>
      <c r="G2882" t="s">
        <v>28</v>
      </c>
      <c r="H2882" t="s">
        <v>29</v>
      </c>
      <c r="I2882" t="s">
        <v>64</v>
      </c>
      <c r="J2882" t="s">
        <v>7029</v>
      </c>
      <c r="K2882" t="s">
        <v>78</v>
      </c>
      <c r="L2882" t="s">
        <v>33</v>
      </c>
      <c r="M2882" t="s">
        <v>68</v>
      </c>
      <c r="N2882" t="s">
        <v>48</v>
      </c>
      <c r="O2882" t="s">
        <v>36</v>
      </c>
      <c r="P2882" t="s">
        <v>58</v>
      </c>
      <c r="Q2882" t="s">
        <v>240</v>
      </c>
      <c r="R2882">
        <v>168</v>
      </c>
      <c r="S2882">
        <v>94</v>
      </c>
      <c r="T2882">
        <v>65</v>
      </c>
      <c r="U2882">
        <v>24</v>
      </c>
      <c r="V2882" t="s">
        <v>6461</v>
      </c>
      <c r="W2882">
        <v>61764</v>
      </c>
      <c r="X2882" t="s">
        <v>7472</v>
      </c>
      <c r="Y2882">
        <v>47594</v>
      </c>
      <c r="Z2882">
        <v>1482336</v>
      </c>
      <c r="AA2882">
        <v>340080</v>
      </c>
      <c r="AB2882" t="str">
        <f>(VLOOKUP(SalesData[[#This Row],[Month Number]],Reference!C$5:E$16,2,FALSE))</f>
        <v>Feb</v>
      </c>
      <c r="AC2882">
        <f>MONTH(SalesData[[#This Row],[Date]])</f>
        <v>2</v>
      </c>
      <c r="AD2882">
        <f>Reference!F$4</f>
        <v>2026</v>
      </c>
      <c r="AE2882" t="str">
        <f>IF(OR(SalesData[[#This Row],[Day]]="Saturday",SalesData[[#This Row],[Day]]="Sunday"),"Weekend","Weekday")</f>
        <v>Weekend</v>
      </c>
      <c r="AF2882" s="5">
        <f>IF(SalesData[[#This Row],[Contracts Offered]]=0,0,SalesData[[#This Row],[Contracts Signed]]/SalesData[[#This Row],[Contracts Offered]])</f>
        <v>0.36923076923076925</v>
      </c>
      <c r="AG2882" s="5">
        <f>IF(SalesData[[#This Row],[Customers Visited]]=0,0,SalesData[[#This Row],[Test Drives]]/SalesData[[#This Row],[Customers Visited]])</f>
        <v>0.55952380952380953</v>
      </c>
      <c r="AH2882" s="5">
        <f>IF(SalesData[[#This Row],[Customers Visited]]=0,0,SalesData[[#This Row],[Contracts Signed]]/SalesData[[#This Row],[Customers Visited]])</f>
        <v>0.14285714285714285</v>
      </c>
      <c r="AI2882" s="6">
        <f>IF(SalesData[[#This Row],[Contracts Signed]]=0,0,SalesData[[#This Row],[Profit(€)]]/SalesData[[#This Row],[Contracts Signed]])</f>
        <v>14170</v>
      </c>
      <c r="AJ2882" s="5" t="str">
        <f>TRIM(CLEAN(SalesData[[#This Row],[Retailer]]))</f>
        <v>Main Auto Hub</v>
      </c>
    </row>
    <row r="2883" spans="1:36" ht="14.25" hidden="1" x14ac:dyDescent="0.2">
      <c r="A2883" t="s">
        <v>4015</v>
      </c>
      <c r="B2883" s="1">
        <v>46075</v>
      </c>
      <c r="C2883" t="s">
        <v>53</v>
      </c>
      <c r="D2883" t="s">
        <v>41</v>
      </c>
      <c r="E2883" t="s">
        <v>42</v>
      </c>
      <c r="F2883" t="s">
        <v>43</v>
      </c>
      <c r="G2883" t="s">
        <v>44</v>
      </c>
      <c r="H2883" t="s">
        <v>45</v>
      </c>
      <c r="I2883" t="s">
        <v>64</v>
      </c>
      <c r="J2883" t="s">
        <v>65</v>
      </c>
      <c r="K2883" t="s">
        <v>66</v>
      </c>
      <c r="L2883" t="s">
        <v>33</v>
      </c>
      <c r="M2883" t="s">
        <v>87</v>
      </c>
      <c r="N2883" t="s">
        <v>48</v>
      </c>
      <c r="O2883" t="s">
        <v>36</v>
      </c>
      <c r="P2883" t="s">
        <v>49</v>
      </c>
      <c r="Q2883" t="s">
        <v>204</v>
      </c>
      <c r="R2883">
        <v>188</v>
      </c>
      <c r="S2883">
        <v>108</v>
      </c>
      <c r="T2883">
        <v>79</v>
      </c>
      <c r="U2883">
        <v>23</v>
      </c>
      <c r="V2883" t="s">
        <v>6592</v>
      </c>
      <c r="W2883">
        <v>61902</v>
      </c>
      <c r="X2883" t="s">
        <v>7566</v>
      </c>
      <c r="Y2883">
        <v>47414</v>
      </c>
      <c r="Z2883">
        <v>1423746</v>
      </c>
      <c r="AA2883">
        <v>333224</v>
      </c>
      <c r="AB2883" t="str">
        <f>(VLOOKUP(SalesData[[#This Row],[Month Number]],Reference!C$5:E$16,2,FALSE))</f>
        <v>Feb</v>
      </c>
      <c r="AC2883">
        <f>MONTH(SalesData[[#This Row],[Date]])</f>
        <v>2</v>
      </c>
      <c r="AD2883">
        <f>Reference!F$4</f>
        <v>2026</v>
      </c>
      <c r="AE2883" t="str">
        <f>IF(OR(SalesData[[#This Row],[Day]]="Saturday",SalesData[[#This Row],[Day]]="Sunday"),"Weekend","Weekday")</f>
        <v>Weekend</v>
      </c>
      <c r="AF2883" s="5">
        <f>IF(SalesData[[#This Row],[Contracts Offered]]=0,0,SalesData[[#This Row],[Contracts Signed]]/SalesData[[#This Row],[Contracts Offered]])</f>
        <v>0.29113924050632911</v>
      </c>
      <c r="AG2883" s="5">
        <f>IF(SalesData[[#This Row],[Customers Visited]]=0,0,SalesData[[#This Row],[Test Drives]]/SalesData[[#This Row],[Customers Visited]])</f>
        <v>0.57446808510638303</v>
      </c>
      <c r="AH2883" s="5">
        <f>IF(SalesData[[#This Row],[Customers Visited]]=0,0,SalesData[[#This Row],[Contracts Signed]]/SalesData[[#This Row],[Customers Visited]])</f>
        <v>0.12234042553191489</v>
      </c>
      <c r="AI2883" s="6">
        <f>IF(SalesData[[#This Row],[Contracts Signed]]=0,0,SalesData[[#This Row],[Profit(€)]]/SalesData[[#This Row],[Contracts Signed]])</f>
        <v>14488</v>
      </c>
      <c r="AJ2883" s="5" t="str">
        <f>TRIM(CLEAN(SalesData[[#This Row],[Retailer]]))</f>
        <v>Saxon Wheels</v>
      </c>
    </row>
    <row r="2884" spans="1:36" ht="14.25" hidden="1" x14ac:dyDescent="0.2">
      <c r="A2884" t="s">
        <v>4016</v>
      </c>
      <c r="B2884" s="1">
        <v>46063</v>
      </c>
      <c r="C2884" t="s">
        <v>121</v>
      </c>
      <c r="D2884" t="s">
        <v>63</v>
      </c>
      <c r="E2884" t="s">
        <v>26</v>
      </c>
      <c r="F2884" t="s">
        <v>127</v>
      </c>
      <c r="G2884" t="s">
        <v>128</v>
      </c>
      <c r="H2884" t="s">
        <v>103</v>
      </c>
      <c r="I2884" t="s">
        <v>116</v>
      </c>
      <c r="J2884" t="s">
        <v>132</v>
      </c>
      <c r="K2884" t="s">
        <v>66</v>
      </c>
      <c r="L2884" t="s">
        <v>46</v>
      </c>
      <c r="M2884" t="s">
        <v>34</v>
      </c>
      <c r="N2884" t="s">
        <v>69</v>
      </c>
      <c r="O2884" t="s">
        <v>36</v>
      </c>
      <c r="P2884" t="s">
        <v>71</v>
      </c>
      <c r="Q2884" t="s">
        <v>152</v>
      </c>
      <c r="R2884">
        <v>279</v>
      </c>
      <c r="S2884">
        <v>146</v>
      </c>
      <c r="T2884">
        <v>85</v>
      </c>
      <c r="U2884">
        <v>24</v>
      </c>
      <c r="V2884" t="s">
        <v>2856</v>
      </c>
      <c r="W2884">
        <v>27293</v>
      </c>
      <c r="X2884" t="s">
        <v>2994</v>
      </c>
      <c r="Y2884">
        <v>25295</v>
      </c>
      <c r="Z2884">
        <v>655032</v>
      </c>
      <c r="AA2884">
        <v>47952</v>
      </c>
      <c r="AB2884" t="str">
        <f>(VLOOKUP(SalesData[[#This Row],[Month Number]],Reference!C$5:E$16,2,FALSE))</f>
        <v>Feb</v>
      </c>
      <c r="AC2884">
        <f>MONTH(SalesData[[#This Row],[Date]])</f>
        <v>2</v>
      </c>
      <c r="AD2884">
        <f>Reference!F$4</f>
        <v>2026</v>
      </c>
      <c r="AE2884" t="str">
        <f>IF(OR(SalesData[[#This Row],[Day]]="Saturday",SalesData[[#This Row],[Day]]="Sunday"),"Weekend","Weekday")</f>
        <v>Weekday</v>
      </c>
      <c r="AF2884" s="5">
        <f>IF(SalesData[[#This Row],[Contracts Offered]]=0,0,SalesData[[#This Row],[Contracts Signed]]/SalesData[[#This Row],[Contracts Offered]])</f>
        <v>0.28235294117647058</v>
      </c>
      <c r="AG2884" s="5">
        <f>IF(SalesData[[#This Row],[Customers Visited]]=0,0,SalesData[[#This Row],[Test Drives]]/SalesData[[#This Row],[Customers Visited]])</f>
        <v>0.52329749103942658</v>
      </c>
      <c r="AH2884" s="5">
        <f>IF(SalesData[[#This Row],[Customers Visited]]=0,0,SalesData[[#This Row],[Contracts Signed]]/SalesData[[#This Row],[Customers Visited]])</f>
        <v>8.6021505376344093E-2</v>
      </c>
      <c r="AI2884" s="6">
        <f>IF(SalesData[[#This Row],[Contracts Signed]]=0,0,SalesData[[#This Row],[Profit(€)]]/SalesData[[#This Row],[Contracts Signed]])</f>
        <v>1998</v>
      </c>
      <c r="AJ2884" s="5" t="str">
        <f>TRIM(CLEAN(SalesData[[#This Row],[Retailer]]))</f>
        <v>Rhein Auto Group</v>
      </c>
    </row>
    <row r="2885" spans="1:36" ht="14.25" hidden="1" x14ac:dyDescent="0.2">
      <c r="A2885" t="s">
        <v>4018</v>
      </c>
      <c r="B2885" s="1">
        <v>46054</v>
      </c>
      <c r="C2885" t="s">
        <v>24</v>
      </c>
      <c r="D2885" t="s">
        <v>41</v>
      </c>
      <c r="E2885" t="s">
        <v>42</v>
      </c>
      <c r="F2885" t="s">
        <v>74</v>
      </c>
      <c r="G2885" t="s">
        <v>75</v>
      </c>
      <c r="H2885" t="s">
        <v>76</v>
      </c>
      <c r="I2885" t="s">
        <v>56</v>
      </c>
      <c r="J2885" t="s">
        <v>57</v>
      </c>
      <c r="K2885" t="s">
        <v>91</v>
      </c>
      <c r="L2885" t="s">
        <v>46</v>
      </c>
      <c r="M2885" t="s">
        <v>68</v>
      </c>
      <c r="N2885" t="s">
        <v>35</v>
      </c>
      <c r="O2885" t="s">
        <v>36</v>
      </c>
      <c r="P2885" t="s">
        <v>71</v>
      </c>
      <c r="Q2885" t="s">
        <v>167</v>
      </c>
      <c r="R2885">
        <v>262</v>
      </c>
      <c r="S2885">
        <v>130</v>
      </c>
      <c r="T2885">
        <v>99</v>
      </c>
      <c r="U2885">
        <v>30</v>
      </c>
      <c r="V2885" t="s">
        <v>6386</v>
      </c>
      <c r="W2885">
        <v>42954</v>
      </c>
      <c r="X2885" t="s">
        <v>1734</v>
      </c>
      <c r="Y2885">
        <v>34879</v>
      </c>
      <c r="Z2885">
        <v>1288620</v>
      </c>
      <c r="AA2885">
        <v>242250</v>
      </c>
      <c r="AB2885" t="str">
        <f>(VLOOKUP(SalesData[[#This Row],[Month Number]],Reference!C$5:E$16,2,FALSE))</f>
        <v>Feb</v>
      </c>
      <c r="AC2885">
        <f>MONTH(SalesData[[#This Row],[Date]])</f>
        <v>2</v>
      </c>
      <c r="AD2885">
        <f>Reference!F$4</f>
        <v>2026</v>
      </c>
      <c r="AE2885" t="str">
        <f>IF(OR(SalesData[[#This Row],[Day]]="Saturday",SalesData[[#This Row],[Day]]="Sunday"),"Weekend","Weekday")</f>
        <v>Weekend</v>
      </c>
      <c r="AF2885" s="5">
        <f>IF(SalesData[[#This Row],[Contracts Offered]]=0,0,SalesData[[#This Row],[Contracts Signed]]/SalesData[[#This Row],[Contracts Offered]])</f>
        <v>0.30303030303030304</v>
      </c>
      <c r="AG2885" s="5">
        <f>IF(SalesData[[#This Row],[Customers Visited]]=0,0,SalesData[[#This Row],[Test Drives]]/SalesData[[#This Row],[Customers Visited]])</f>
        <v>0.49618320610687022</v>
      </c>
      <c r="AH2885" s="5">
        <f>IF(SalesData[[#This Row],[Customers Visited]]=0,0,SalesData[[#This Row],[Contracts Signed]]/SalesData[[#This Row],[Customers Visited]])</f>
        <v>0.11450381679389313</v>
      </c>
      <c r="AI2885" s="6">
        <f>IF(SalesData[[#This Row],[Contracts Signed]]=0,0,SalesData[[#This Row],[Profit(€)]]/SalesData[[#This Row],[Contracts Signed]])</f>
        <v>8075</v>
      </c>
      <c r="AJ2885" s="5" t="str">
        <f>TRIM(CLEAN(SalesData[[#This Row],[Retailer]]))</f>
        <v>Stuttgart Auto Center</v>
      </c>
    </row>
    <row r="2886" spans="1:36" ht="14.25" hidden="1" x14ac:dyDescent="0.2">
      <c r="A2886" t="s">
        <v>4019</v>
      </c>
      <c r="B2886" s="1">
        <v>46072</v>
      </c>
      <c r="C2886" t="s">
        <v>62</v>
      </c>
      <c r="D2886" t="s">
        <v>100</v>
      </c>
      <c r="E2886" t="s">
        <v>26</v>
      </c>
      <c r="F2886" t="s">
        <v>27</v>
      </c>
      <c r="G2886" t="s">
        <v>28</v>
      </c>
      <c r="H2886" t="s">
        <v>29</v>
      </c>
      <c r="I2886" t="s">
        <v>56</v>
      </c>
      <c r="J2886" t="s">
        <v>137</v>
      </c>
      <c r="K2886" t="s">
        <v>91</v>
      </c>
      <c r="L2886" t="s">
        <v>46</v>
      </c>
      <c r="M2886" t="s">
        <v>68</v>
      </c>
      <c r="N2886" t="s">
        <v>35</v>
      </c>
      <c r="O2886" t="s">
        <v>70</v>
      </c>
      <c r="P2886" t="s">
        <v>71</v>
      </c>
      <c r="Q2886" t="s">
        <v>152</v>
      </c>
      <c r="R2886">
        <v>252</v>
      </c>
      <c r="S2886">
        <v>123</v>
      </c>
      <c r="T2886">
        <v>87</v>
      </c>
      <c r="U2886">
        <v>31</v>
      </c>
      <c r="V2886" t="s">
        <v>6352</v>
      </c>
      <c r="W2886">
        <v>47513</v>
      </c>
      <c r="X2886" t="s">
        <v>4529</v>
      </c>
      <c r="Y2886">
        <v>37281</v>
      </c>
      <c r="Z2886">
        <v>1472903</v>
      </c>
      <c r="AA2886">
        <v>317192</v>
      </c>
      <c r="AB2886" t="str">
        <f>(VLOOKUP(SalesData[[#This Row],[Month Number]],Reference!C$5:E$16,2,FALSE))</f>
        <v>Feb</v>
      </c>
      <c r="AC2886">
        <f>MONTH(SalesData[[#This Row],[Date]])</f>
        <v>2</v>
      </c>
      <c r="AD2886">
        <f>Reference!F$4</f>
        <v>2026</v>
      </c>
      <c r="AE2886" t="str">
        <f>IF(OR(SalesData[[#This Row],[Day]]="Saturday",SalesData[[#This Row],[Day]]="Sunday"),"Weekend","Weekday")</f>
        <v>Weekday</v>
      </c>
      <c r="AF2886" s="5">
        <f>IF(SalesData[[#This Row],[Contracts Offered]]=0,0,SalesData[[#This Row],[Contracts Signed]]/SalesData[[#This Row],[Contracts Offered]])</f>
        <v>0.35632183908045978</v>
      </c>
      <c r="AG2886" s="5">
        <f>IF(SalesData[[#This Row],[Customers Visited]]=0,0,SalesData[[#This Row],[Test Drives]]/SalesData[[#This Row],[Customers Visited]])</f>
        <v>0.48809523809523808</v>
      </c>
      <c r="AH2886" s="5">
        <f>IF(SalesData[[#This Row],[Customers Visited]]=0,0,SalesData[[#This Row],[Contracts Signed]]/SalesData[[#This Row],[Customers Visited]])</f>
        <v>0.12301587301587301</v>
      </c>
      <c r="AI2886" s="6">
        <f>IF(SalesData[[#This Row],[Contracts Signed]]=0,0,SalesData[[#This Row],[Profit(€)]]/SalesData[[#This Row],[Contracts Signed]])</f>
        <v>10232</v>
      </c>
      <c r="AJ2886" s="5" t="str">
        <f>TRIM(CLEAN(SalesData[[#This Row],[Retailer]]))</f>
        <v>Main Auto Hub</v>
      </c>
    </row>
    <row r="2887" spans="1:36" ht="14.25" x14ac:dyDescent="0.2">
      <c r="A2887" t="s">
        <v>4020</v>
      </c>
      <c r="B2887" s="1">
        <v>46061</v>
      </c>
      <c r="C2887" t="s">
        <v>121</v>
      </c>
      <c r="D2887" t="s">
        <v>41</v>
      </c>
      <c r="E2887" t="s">
        <v>42</v>
      </c>
      <c r="F2887" t="s">
        <v>114</v>
      </c>
      <c r="G2887" t="s">
        <v>115</v>
      </c>
      <c r="H2887" t="s">
        <v>115</v>
      </c>
      <c r="I2887" t="s">
        <v>30</v>
      </c>
      <c r="J2887" t="s">
        <v>7075</v>
      </c>
      <c r="K2887" t="s">
        <v>32</v>
      </c>
      <c r="L2887" t="s">
        <v>33</v>
      </c>
      <c r="M2887" t="s">
        <v>47</v>
      </c>
      <c r="N2887" t="s">
        <v>35</v>
      </c>
      <c r="O2887" t="s">
        <v>70</v>
      </c>
      <c r="P2887" t="s">
        <v>71</v>
      </c>
      <c r="Q2887" t="s">
        <v>106</v>
      </c>
      <c r="R2887">
        <v>189</v>
      </c>
      <c r="S2887">
        <v>91</v>
      </c>
      <c r="T2887">
        <v>74</v>
      </c>
      <c r="U2887">
        <v>27</v>
      </c>
      <c r="V2887" t="s">
        <v>6763</v>
      </c>
      <c r="W2887">
        <v>50435</v>
      </c>
      <c r="X2887" t="s">
        <v>7222</v>
      </c>
      <c r="Y2887">
        <v>36258</v>
      </c>
      <c r="Z2887">
        <v>1361745</v>
      </c>
      <c r="AA2887">
        <v>382779</v>
      </c>
      <c r="AB2887" t="str">
        <f>(VLOOKUP(SalesData[[#This Row],[Month Number]],Reference!C$5:E$16,2,FALSE))</f>
        <v>Feb</v>
      </c>
      <c r="AC2887">
        <f>MONTH(SalesData[[#This Row],[Date]])</f>
        <v>2</v>
      </c>
      <c r="AD2887">
        <f>Reference!F$4</f>
        <v>2026</v>
      </c>
      <c r="AE2887" t="str">
        <f>IF(OR(SalesData[[#This Row],[Day]]="Saturday",SalesData[[#This Row],[Day]]="Sunday"),"Weekend","Weekday")</f>
        <v>Weekend</v>
      </c>
      <c r="AF2887" s="5">
        <f>IF(SalesData[[#This Row],[Contracts Offered]]=0,0,SalesData[[#This Row],[Contracts Signed]]/SalesData[[#This Row],[Contracts Offered]])</f>
        <v>0.36486486486486486</v>
      </c>
      <c r="AG2887" s="5">
        <f>IF(SalesData[[#This Row],[Customers Visited]]=0,0,SalesData[[#This Row],[Test Drives]]/SalesData[[#This Row],[Customers Visited]])</f>
        <v>0.48148148148148145</v>
      </c>
      <c r="AH2887" s="5">
        <f>IF(SalesData[[#This Row],[Customers Visited]]=0,0,SalesData[[#This Row],[Contracts Signed]]/SalesData[[#This Row],[Customers Visited]])</f>
        <v>0.14285714285714285</v>
      </c>
      <c r="AI2887" s="6">
        <f>IF(SalesData[[#This Row],[Contracts Signed]]=0,0,SalesData[[#This Row],[Profit(€)]]/SalesData[[#This Row],[Contracts Signed]])</f>
        <v>14177</v>
      </c>
      <c r="AJ2887" s="5" t="str">
        <f>TRIM(CLEAN(SalesData[[#This Row],[Retailer]]))</f>
        <v>Elbe Drive</v>
      </c>
    </row>
    <row r="2888" spans="1:36" ht="14.25" x14ac:dyDescent="0.2">
      <c r="A2888" t="s">
        <v>4021</v>
      </c>
      <c r="B2888" s="1">
        <v>46055</v>
      </c>
      <c r="C2888" t="s">
        <v>24</v>
      </c>
      <c r="D2888" t="s">
        <v>25</v>
      </c>
      <c r="E2888" t="s">
        <v>26</v>
      </c>
      <c r="F2888" t="s">
        <v>83</v>
      </c>
      <c r="G2888" t="s">
        <v>84</v>
      </c>
      <c r="H2888" t="s">
        <v>85</v>
      </c>
      <c r="I2888" t="s">
        <v>30</v>
      </c>
      <c r="J2888" t="s">
        <v>86</v>
      </c>
      <c r="K2888" t="s">
        <v>91</v>
      </c>
      <c r="L2888" t="s">
        <v>33</v>
      </c>
      <c r="M2888" t="s">
        <v>34</v>
      </c>
      <c r="N2888" t="s">
        <v>69</v>
      </c>
      <c r="O2888" t="s">
        <v>36</v>
      </c>
      <c r="P2888" t="s">
        <v>49</v>
      </c>
      <c r="Q2888" t="s">
        <v>88</v>
      </c>
      <c r="R2888">
        <v>161</v>
      </c>
      <c r="S2888">
        <v>96</v>
      </c>
      <c r="T2888">
        <v>76</v>
      </c>
      <c r="U2888">
        <v>27</v>
      </c>
      <c r="V2888" t="s">
        <v>6514</v>
      </c>
      <c r="W2888">
        <v>61427</v>
      </c>
      <c r="X2888" t="s">
        <v>1830</v>
      </c>
      <c r="Y2888">
        <v>45568</v>
      </c>
      <c r="Z2888">
        <v>1658529</v>
      </c>
      <c r="AA2888">
        <v>428193</v>
      </c>
      <c r="AB2888" t="str">
        <f>(VLOOKUP(SalesData[[#This Row],[Month Number]],Reference!C$5:E$16,2,FALSE))</f>
        <v>Feb</v>
      </c>
      <c r="AC2888">
        <f>MONTH(SalesData[[#This Row],[Date]])</f>
        <v>2</v>
      </c>
      <c r="AD2888">
        <f>Reference!F$4</f>
        <v>2026</v>
      </c>
      <c r="AE2888" t="str">
        <f>IF(OR(SalesData[[#This Row],[Day]]="Saturday",SalesData[[#This Row],[Day]]="Sunday"),"Weekend","Weekday")</f>
        <v>Weekday</v>
      </c>
      <c r="AF2888" s="5">
        <f>IF(SalesData[[#This Row],[Contracts Offered]]=0,0,SalesData[[#This Row],[Contracts Signed]]/SalesData[[#This Row],[Contracts Offered]])</f>
        <v>0.35526315789473684</v>
      </c>
      <c r="AG2888" s="5">
        <f>IF(SalesData[[#This Row],[Customers Visited]]=0,0,SalesData[[#This Row],[Test Drives]]/SalesData[[#This Row],[Customers Visited]])</f>
        <v>0.59627329192546585</v>
      </c>
      <c r="AH2888" s="5">
        <f>IF(SalesData[[#This Row],[Customers Visited]]=0,0,SalesData[[#This Row],[Contracts Signed]]/SalesData[[#This Row],[Customers Visited]])</f>
        <v>0.16770186335403728</v>
      </c>
      <c r="AI2888" s="6">
        <f>IF(SalesData[[#This Row],[Contracts Signed]]=0,0,SalesData[[#This Row],[Profit(€)]]/SalesData[[#This Row],[Contracts Signed]])</f>
        <v>15859</v>
      </c>
      <c r="AJ2888" s="5" t="str">
        <f>TRIM(CLEAN(SalesData[[#This Row],[Retailer]]))</f>
        <v>Hannover Cars</v>
      </c>
    </row>
    <row r="2889" spans="1:36" ht="14.25" hidden="1" x14ac:dyDescent="0.2">
      <c r="A2889" t="s">
        <v>4022</v>
      </c>
      <c r="B2889" s="1">
        <v>46061</v>
      </c>
      <c r="C2889" t="s">
        <v>121</v>
      </c>
      <c r="D2889" t="s">
        <v>41</v>
      </c>
      <c r="E2889" t="s">
        <v>42</v>
      </c>
      <c r="F2889" t="s">
        <v>101</v>
      </c>
      <c r="G2889" t="s">
        <v>102</v>
      </c>
      <c r="H2889" t="s">
        <v>103</v>
      </c>
      <c r="I2889" t="s">
        <v>116</v>
      </c>
      <c r="J2889" t="s">
        <v>132</v>
      </c>
      <c r="K2889" t="s">
        <v>78</v>
      </c>
      <c r="L2889" t="s">
        <v>46</v>
      </c>
      <c r="M2889" t="s">
        <v>87</v>
      </c>
      <c r="N2889" t="s">
        <v>35</v>
      </c>
      <c r="O2889" t="s">
        <v>36</v>
      </c>
      <c r="P2889" t="s">
        <v>49</v>
      </c>
      <c r="Q2889" t="s">
        <v>38</v>
      </c>
      <c r="R2889">
        <v>246</v>
      </c>
      <c r="S2889">
        <v>123</v>
      </c>
      <c r="T2889">
        <v>69</v>
      </c>
      <c r="U2889">
        <v>15</v>
      </c>
      <c r="V2889" t="s">
        <v>1124</v>
      </c>
      <c r="W2889">
        <v>22969</v>
      </c>
      <c r="X2889" t="s">
        <v>7509</v>
      </c>
      <c r="Y2889">
        <v>20710</v>
      </c>
      <c r="Z2889">
        <v>344535</v>
      </c>
      <c r="AA2889">
        <v>33885</v>
      </c>
      <c r="AB2889" t="str">
        <f>(VLOOKUP(SalesData[[#This Row],[Month Number]],Reference!C$5:E$16,2,FALSE))</f>
        <v>Feb</v>
      </c>
      <c r="AC2889">
        <f>MONTH(SalesData[[#This Row],[Date]])</f>
        <v>2</v>
      </c>
      <c r="AD2889">
        <f>Reference!F$4</f>
        <v>2026</v>
      </c>
      <c r="AE2889" t="str">
        <f>IF(OR(SalesData[[#This Row],[Day]]="Saturday",SalesData[[#This Row],[Day]]="Sunday"),"Weekend","Weekday")</f>
        <v>Weekend</v>
      </c>
      <c r="AF2889" s="5">
        <f>IF(SalesData[[#This Row],[Contracts Offered]]=0,0,SalesData[[#This Row],[Contracts Signed]]/SalesData[[#This Row],[Contracts Offered]])</f>
        <v>0.21739130434782608</v>
      </c>
      <c r="AG2889" s="5">
        <f>IF(SalesData[[#This Row],[Customers Visited]]=0,0,SalesData[[#This Row],[Test Drives]]/SalesData[[#This Row],[Customers Visited]])</f>
        <v>0.5</v>
      </c>
      <c r="AH2889" s="5">
        <f>IF(SalesData[[#This Row],[Customers Visited]]=0,0,SalesData[[#This Row],[Contracts Signed]]/SalesData[[#This Row],[Customers Visited]])</f>
        <v>6.097560975609756E-2</v>
      </c>
      <c r="AI2889" s="6">
        <f>IF(SalesData[[#This Row],[Contracts Signed]]=0,0,SalesData[[#This Row],[Profit(€)]]/SalesData[[#This Row],[Contracts Signed]])</f>
        <v>2259</v>
      </c>
      <c r="AJ2889" s="5" t="str">
        <f>TRIM(CLEAN(SalesData[[#This Row],[Retailer]]))</f>
        <v>Ruhr Auto Plaza</v>
      </c>
    </row>
    <row r="2890" spans="1:36" ht="14.25" hidden="1" x14ac:dyDescent="0.2">
      <c r="A2890" t="s">
        <v>4023</v>
      </c>
      <c r="B2890" s="1">
        <v>46081</v>
      </c>
      <c r="C2890" t="s">
        <v>53</v>
      </c>
      <c r="D2890" t="s">
        <v>151</v>
      </c>
      <c r="E2890" t="s">
        <v>42</v>
      </c>
      <c r="F2890" t="s">
        <v>101</v>
      </c>
      <c r="G2890" t="s">
        <v>102</v>
      </c>
      <c r="H2890" t="s">
        <v>103</v>
      </c>
      <c r="I2890" t="s">
        <v>64</v>
      </c>
      <c r="J2890" t="s">
        <v>7029</v>
      </c>
      <c r="K2890" t="s">
        <v>66</v>
      </c>
      <c r="L2890" t="s">
        <v>33</v>
      </c>
      <c r="M2890" t="s">
        <v>47</v>
      </c>
      <c r="N2890" t="s">
        <v>35</v>
      </c>
      <c r="O2890" t="s">
        <v>70</v>
      </c>
      <c r="P2890" t="s">
        <v>58</v>
      </c>
      <c r="Q2890" t="s">
        <v>38</v>
      </c>
      <c r="R2890">
        <v>198</v>
      </c>
      <c r="S2890">
        <v>107</v>
      </c>
      <c r="T2890">
        <v>73</v>
      </c>
      <c r="U2890">
        <v>27</v>
      </c>
      <c r="V2890" t="s">
        <v>6674</v>
      </c>
      <c r="W2890">
        <v>71149</v>
      </c>
      <c r="X2890" t="s">
        <v>7348</v>
      </c>
      <c r="Y2890">
        <v>53108</v>
      </c>
      <c r="Z2890">
        <v>1921023</v>
      </c>
      <c r="AA2890">
        <v>487107</v>
      </c>
      <c r="AB2890" t="str">
        <f>(VLOOKUP(SalesData[[#This Row],[Month Number]],Reference!C$5:E$16,2,FALSE))</f>
        <v>Feb</v>
      </c>
      <c r="AC2890">
        <f>MONTH(SalesData[[#This Row],[Date]])</f>
        <v>2</v>
      </c>
      <c r="AD2890">
        <f>Reference!F$4</f>
        <v>2026</v>
      </c>
      <c r="AE2890" t="str">
        <f>IF(OR(SalesData[[#This Row],[Day]]="Saturday",SalesData[[#This Row],[Day]]="Sunday"),"Weekend","Weekday")</f>
        <v>Weekend</v>
      </c>
      <c r="AF2890" s="5">
        <f>IF(SalesData[[#This Row],[Contracts Offered]]=0,0,SalesData[[#This Row],[Contracts Signed]]/SalesData[[#This Row],[Contracts Offered]])</f>
        <v>0.36986301369863012</v>
      </c>
      <c r="AG2890" s="5">
        <f>IF(SalesData[[#This Row],[Customers Visited]]=0,0,SalesData[[#This Row],[Test Drives]]/SalesData[[#This Row],[Customers Visited]])</f>
        <v>0.54040404040404044</v>
      </c>
      <c r="AH2890" s="5">
        <f>IF(SalesData[[#This Row],[Customers Visited]]=0,0,SalesData[[#This Row],[Contracts Signed]]/SalesData[[#This Row],[Customers Visited]])</f>
        <v>0.13636363636363635</v>
      </c>
      <c r="AI2890" s="6">
        <f>IF(SalesData[[#This Row],[Contracts Signed]]=0,0,SalesData[[#This Row],[Profit(€)]]/SalesData[[#This Row],[Contracts Signed]])</f>
        <v>18041</v>
      </c>
      <c r="AJ2890" s="5" t="str">
        <f>TRIM(CLEAN(SalesData[[#This Row],[Retailer]]))</f>
        <v>Ruhr Auto Plaza</v>
      </c>
    </row>
    <row r="2891" spans="1:36" ht="14.25" hidden="1" x14ac:dyDescent="0.2">
      <c r="A2891" t="s">
        <v>4024</v>
      </c>
      <c r="B2891" s="1">
        <v>46068</v>
      </c>
      <c r="C2891" t="s">
        <v>62</v>
      </c>
      <c r="D2891" t="s">
        <v>41</v>
      </c>
      <c r="E2891" t="s">
        <v>42</v>
      </c>
      <c r="F2891" t="s">
        <v>94</v>
      </c>
      <c r="G2891" t="s">
        <v>95</v>
      </c>
      <c r="H2891" t="s">
        <v>96</v>
      </c>
      <c r="I2891" t="s">
        <v>116</v>
      </c>
      <c r="J2891" t="s">
        <v>117</v>
      </c>
      <c r="K2891" t="s">
        <v>66</v>
      </c>
      <c r="L2891" t="s">
        <v>67</v>
      </c>
      <c r="M2891" t="s">
        <v>34</v>
      </c>
      <c r="N2891" t="s">
        <v>69</v>
      </c>
      <c r="O2891" t="s">
        <v>70</v>
      </c>
      <c r="P2891" t="s">
        <v>49</v>
      </c>
      <c r="Q2891" t="s">
        <v>172</v>
      </c>
      <c r="R2891">
        <v>384</v>
      </c>
      <c r="S2891">
        <v>192</v>
      </c>
      <c r="T2891">
        <v>129</v>
      </c>
      <c r="U2891">
        <v>28</v>
      </c>
      <c r="V2891" t="s">
        <v>661</v>
      </c>
      <c r="W2891">
        <v>21122</v>
      </c>
      <c r="X2891" t="s">
        <v>222</v>
      </c>
      <c r="Y2891">
        <v>19407</v>
      </c>
      <c r="Z2891">
        <v>591416</v>
      </c>
      <c r="AA2891">
        <v>48020</v>
      </c>
      <c r="AB2891" t="str">
        <f>(VLOOKUP(SalesData[[#This Row],[Month Number]],Reference!C$5:E$16,2,FALSE))</f>
        <v>Feb</v>
      </c>
      <c r="AC2891">
        <f>MONTH(SalesData[[#This Row],[Date]])</f>
        <v>2</v>
      </c>
      <c r="AD2891">
        <f>Reference!F$4</f>
        <v>2026</v>
      </c>
      <c r="AE2891" t="str">
        <f>IF(OR(SalesData[[#This Row],[Day]]="Saturday",SalesData[[#This Row],[Day]]="Sunday"),"Weekend","Weekday")</f>
        <v>Weekend</v>
      </c>
      <c r="AF2891" s="5">
        <f>IF(SalesData[[#This Row],[Contracts Offered]]=0,0,SalesData[[#This Row],[Contracts Signed]]/SalesData[[#This Row],[Contracts Offered]])</f>
        <v>0.21705426356589147</v>
      </c>
      <c r="AG2891" s="5">
        <f>IF(SalesData[[#This Row],[Customers Visited]]=0,0,SalesData[[#This Row],[Test Drives]]/SalesData[[#This Row],[Customers Visited]])</f>
        <v>0.5</v>
      </c>
      <c r="AH2891" s="5">
        <f>IF(SalesData[[#This Row],[Customers Visited]]=0,0,SalesData[[#This Row],[Contracts Signed]]/SalesData[[#This Row],[Customers Visited]])</f>
        <v>7.2916666666666671E-2</v>
      </c>
      <c r="AI2891" s="6">
        <f>IF(SalesData[[#This Row],[Contracts Signed]]=0,0,SalesData[[#This Row],[Profit(€)]]/SalesData[[#This Row],[Contracts Signed]])</f>
        <v>1715</v>
      </c>
      <c r="AJ2891" s="5" t="str">
        <f>TRIM(CLEAN(SalesData[[#This Row],[Retailer]]))</f>
        <v>Bavaria Motors</v>
      </c>
    </row>
    <row r="2892" spans="1:36" ht="14.25" hidden="1" x14ac:dyDescent="0.2">
      <c r="A2892" t="s">
        <v>4026</v>
      </c>
      <c r="B2892" s="1">
        <v>46067</v>
      </c>
      <c r="C2892" t="s">
        <v>121</v>
      </c>
      <c r="D2892" t="s">
        <v>151</v>
      </c>
      <c r="E2892" t="s">
        <v>42</v>
      </c>
      <c r="F2892" t="s">
        <v>83</v>
      </c>
      <c r="G2892" t="s">
        <v>84</v>
      </c>
      <c r="H2892" t="s">
        <v>85</v>
      </c>
      <c r="I2892" t="s">
        <v>116</v>
      </c>
      <c r="J2892" t="s">
        <v>203</v>
      </c>
      <c r="K2892" t="s">
        <v>32</v>
      </c>
      <c r="L2892" t="s">
        <v>67</v>
      </c>
      <c r="M2892" t="s">
        <v>47</v>
      </c>
      <c r="N2892" t="s">
        <v>35</v>
      </c>
      <c r="O2892" t="s">
        <v>70</v>
      </c>
      <c r="P2892" t="s">
        <v>49</v>
      </c>
      <c r="Q2892" t="s">
        <v>79</v>
      </c>
      <c r="R2892">
        <v>265</v>
      </c>
      <c r="S2892">
        <v>110</v>
      </c>
      <c r="T2892">
        <v>65</v>
      </c>
      <c r="U2892">
        <v>13</v>
      </c>
      <c r="V2892" t="s">
        <v>258</v>
      </c>
      <c r="W2892">
        <v>25598</v>
      </c>
      <c r="X2892" t="s">
        <v>1297</v>
      </c>
      <c r="Y2892">
        <v>23097</v>
      </c>
      <c r="Z2892">
        <v>332774</v>
      </c>
      <c r="AA2892">
        <v>32513</v>
      </c>
      <c r="AB2892" t="str">
        <f>(VLOOKUP(SalesData[[#This Row],[Month Number]],Reference!C$5:E$16,2,FALSE))</f>
        <v>Feb</v>
      </c>
      <c r="AC2892">
        <f>MONTH(SalesData[[#This Row],[Date]])</f>
        <v>2</v>
      </c>
      <c r="AD2892">
        <f>Reference!F$4</f>
        <v>2026</v>
      </c>
      <c r="AE2892" t="str">
        <f>IF(OR(SalesData[[#This Row],[Day]]="Saturday",SalesData[[#This Row],[Day]]="Sunday"),"Weekend","Weekday")</f>
        <v>Weekend</v>
      </c>
      <c r="AF2892" s="5">
        <f>IF(SalesData[[#This Row],[Contracts Offered]]=0,0,SalesData[[#This Row],[Contracts Signed]]/SalesData[[#This Row],[Contracts Offered]])</f>
        <v>0.2</v>
      </c>
      <c r="AG2892" s="5">
        <f>IF(SalesData[[#This Row],[Customers Visited]]=0,0,SalesData[[#This Row],[Test Drives]]/SalesData[[#This Row],[Customers Visited]])</f>
        <v>0.41509433962264153</v>
      </c>
      <c r="AH2892" s="5">
        <f>IF(SalesData[[#This Row],[Customers Visited]]=0,0,SalesData[[#This Row],[Contracts Signed]]/SalesData[[#This Row],[Customers Visited]])</f>
        <v>4.9056603773584909E-2</v>
      </c>
      <c r="AI2892" s="6">
        <f>IF(SalesData[[#This Row],[Contracts Signed]]=0,0,SalesData[[#This Row],[Profit(€)]]/SalesData[[#This Row],[Contracts Signed]])</f>
        <v>2501</v>
      </c>
      <c r="AJ2892" s="5" t="str">
        <f>TRIM(CLEAN(SalesData[[#This Row],[Retailer]]))</f>
        <v>Hannover Cars</v>
      </c>
    </row>
    <row r="2893" spans="1:36" ht="14.25" hidden="1" x14ac:dyDescent="0.2">
      <c r="A2893" t="s">
        <v>4027</v>
      </c>
      <c r="B2893" s="1">
        <v>46056</v>
      </c>
      <c r="C2893" t="s">
        <v>24</v>
      </c>
      <c r="D2893" t="s">
        <v>63</v>
      </c>
      <c r="E2893" t="s">
        <v>26</v>
      </c>
      <c r="F2893" t="s">
        <v>101</v>
      </c>
      <c r="G2893" t="s">
        <v>102</v>
      </c>
      <c r="H2893" t="s">
        <v>103</v>
      </c>
      <c r="I2893" t="s">
        <v>56</v>
      </c>
      <c r="J2893" t="s">
        <v>137</v>
      </c>
      <c r="K2893" t="s">
        <v>78</v>
      </c>
      <c r="L2893" t="s">
        <v>46</v>
      </c>
      <c r="M2893" t="s">
        <v>47</v>
      </c>
      <c r="N2893" t="s">
        <v>35</v>
      </c>
      <c r="O2893" t="s">
        <v>36</v>
      </c>
      <c r="P2893" t="s">
        <v>71</v>
      </c>
      <c r="Q2893" t="s">
        <v>88</v>
      </c>
      <c r="R2893">
        <v>194</v>
      </c>
      <c r="S2893">
        <v>92</v>
      </c>
      <c r="T2893">
        <v>59</v>
      </c>
      <c r="U2893">
        <v>22</v>
      </c>
      <c r="V2893" t="s">
        <v>6556</v>
      </c>
      <c r="W2893">
        <v>47085</v>
      </c>
      <c r="X2893" t="s">
        <v>2035</v>
      </c>
      <c r="Y2893">
        <v>37957</v>
      </c>
      <c r="Z2893">
        <v>1035870</v>
      </c>
      <c r="AA2893">
        <v>200816</v>
      </c>
      <c r="AB2893" t="str">
        <f>(VLOOKUP(SalesData[[#This Row],[Month Number]],Reference!C$5:E$16,2,FALSE))</f>
        <v>Feb</v>
      </c>
      <c r="AC2893">
        <f>MONTH(SalesData[[#This Row],[Date]])</f>
        <v>2</v>
      </c>
      <c r="AD2893">
        <f>Reference!F$4</f>
        <v>2026</v>
      </c>
      <c r="AE2893" t="str">
        <f>IF(OR(SalesData[[#This Row],[Day]]="Saturday",SalesData[[#This Row],[Day]]="Sunday"),"Weekend","Weekday")</f>
        <v>Weekday</v>
      </c>
      <c r="AF2893" s="5">
        <f>IF(SalesData[[#This Row],[Contracts Offered]]=0,0,SalesData[[#This Row],[Contracts Signed]]/SalesData[[#This Row],[Contracts Offered]])</f>
        <v>0.3728813559322034</v>
      </c>
      <c r="AG2893" s="5">
        <f>IF(SalesData[[#This Row],[Customers Visited]]=0,0,SalesData[[#This Row],[Test Drives]]/SalesData[[#This Row],[Customers Visited]])</f>
        <v>0.47422680412371132</v>
      </c>
      <c r="AH2893" s="5">
        <f>IF(SalesData[[#This Row],[Customers Visited]]=0,0,SalesData[[#This Row],[Contracts Signed]]/SalesData[[#This Row],[Customers Visited]])</f>
        <v>0.1134020618556701</v>
      </c>
      <c r="AI2893" s="6">
        <f>IF(SalesData[[#This Row],[Contracts Signed]]=0,0,SalesData[[#This Row],[Profit(€)]]/SalesData[[#This Row],[Contracts Signed]])</f>
        <v>9128</v>
      </c>
      <c r="AJ2893" s="5" t="str">
        <f>TRIM(CLEAN(SalesData[[#This Row],[Retailer]]))</f>
        <v>Ruhr Auto Plaza</v>
      </c>
    </row>
    <row r="2894" spans="1:36" ht="14.25" x14ac:dyDescent="0.2">
      <c r="A2894" t="s">
        <v>4028</v>
      </c>
      <c r="B2894" s="1">
        <v>46059</v>
      </c>
      <c r="C2894" t="s">
        <v>24</v>
      </c>
      <c r="D2894" t="s">
        <v>54</v>
      </c>
      <c r="E2894" t="s">
        <v>26</v>
      </c>
      <c r="F2894" t="s">
        <v>74</v>
      </c>
      <c r="G2894" t="s">
        <v>75</v>
      </c>
      <c r="H2894" t="s">
        <v>76</v>
      </c>
      <c r="I2894" t="s">
        <v>30</v>
      </c>
      <c r="J2894" t="s">
        <v>7075</v>
      </c>
      <c r="K2894" t="s">
        <v>32</v>
      </c>
      <c r="L2894" t="s">
        <v>33</v>
      </c>
      <c r="M2894" t="s">
        <v>68</v>
      </c>
      <c r="N2894" t="s">
        <v>35</v>
      </c>
      <c r="O2894" t="s">
        <v>36</v>
      </c>
      <c r="P2894" t="s">
        <v>49</v>
      </c>
      <c r="Q2894" t="s">
        <v>240</v>
      </c>
      <c r="R2894">
        <v>217</v>
      </c>
      <c r="S2894">
        <v>98</v>
      </c>
      <c r="T2894">
        <v>79</v>
      </c>
      <c r="U2894">
        <v>25</v>
      </c>
      <c r="V2894" t="s">
        <v>6742</v>
      </c>
      <c r="W2894">
        <v>51542</v>
      </c>
      <c r="X2894" t="s">
        <v>7321</v>
      </c>
      <c r="Y2894">
        <v>36831</v>
      </c>
      <c r="Z2894">
        <v>1288550</v>
      </c>
      <c r="AA2894">
        <v>367775</v>
      </c>
      <c r="AB2894" t="str">
        <f>(VLOOKUP(SalesData[[#This Row],[Month Number]],Reference!C$5:E$16,2,FALSE))</f>
        <v>Feb</v>
      </c>
      <c r="AC2894">
        <f>MONTH(SalesData[[#This Row],[Date]])</f>
        <v>2</v>
      </c>
      <c r="AD2894">
        <f>Reference!F$4</f>
        <v>2026</v>
      </c>
      <c r="AE2894" t="str">
        <f>IF(OR(SalesData[[#This Row],[Day]]="Saturday",SalesData[[#This Row],[Day]]="Sunday"),"Weekend","Weekday")</f>
        <v>Weekday</v>
      </c>
      <c r="AF2894" s="5">
        <f>IF(SalesData[[#This Row],[Contracts Offered]]=0,0,SalesData[[#This Row],[Contracts Signed]]/SalesData[[#This Row],[Contracts Offered]])</f>
        <v>0.31645569620253167</v>
      </c>
      <c r="AG2894" s="5">
        <f>IF(SalesData[[#This Row],[Customers Visited]]=0,0,SalesData[[#This Row],[Test Drives]]/SalesData[[#This Row],[Customers Visited]])</f>
        <v>0.45161290322580644</v>
      </c>
      <c r="AH2894" s="5">
        <f>IF(SalesData[[#This Row],[Customers Visited]]=0,0,SalesData[[#This Row],[Contracts Signed]]/SalesData[[#This Row],[Customers Visited]])</f>
        <v>0.1152073732718894</v>
      </c>
      <c r="AI2894" s="6">
        <f>IF(SalesData[[#This Row],[Contracts Signed]]=0,0,SalesData[[#This Row],[Profit(€)]]/SalesData[[#This Row],[Contracts Signed]])</f>
        <v>14711</v>
      </c>
      <c r="AJ2894" s="5" t="str">
        <f>TRIM(CLEAN(SalesData[[#This Row],[Retailer]]))</f>
        <v>Stuttgart Auto Center</v>
      </c>
    </row>
    <row r="2895" spans="1:36" ht="14.25" x14ac:dyDescent="0.2">
      <c r="A2895" t="s">
        <v>4029</v>
      </c>
      <c r="B2895" s="1">
        <v>46058</v>
      </c>
      <c r="C2895" t="s">
        <v>24</v>
      </c>
      <c r="D2895" t="s">
        <v>100</v>
      </c>
      <c r="E2895" t="s">
        <v>26</v>
      </c>
      <c r="F2895" t="s">
        <v>101</v>
      </c>
      <c r="G2895" t="s">
        <v>102</v>
      </c>
      <c r="H2895" t="s">
        <v>103</v>
      </c>
      <c r="I2895" t="s">
        <v>30</v>
      </c>
      <c r="J2895" t="s">
        <v>188</v>
      </c>
      <c r="K2895" t="s">
        <v>78</v>
      </c>
      <c r="L2895" t="s">
        <v>33</v>
      </c>
      <c r="M2895" t="s">
        <v>87</v>
      </c>
      <c r="N2895" t="s">
        <v>48</v>
      </c>
      <c r="O2895" t="s">
        <v>70</v>
      </c>
      <c r="P2895" t="s">
        <v>49</v>
      </c>
      <c r="Q2895" t="s">
        <v>172</v>
      </c>
      <c r="R2895">
        <v>183</v>
      </c>
      <c r="S2895">
        <v>87</v>
      </c>
      <c r="T2895">
        <v>61</v>
      </c>
      <c r="U2895">
        <v>23</v>
      </c>
      <c r="V2895" t="s">
        <v>6601</v>
      </c>
      <c r="W2895">
        <v>60251</v>
      </c>
      <c r="X2895" t="s">
        <v>7567</v>
      </c>
      <c r="Y2895">
        <v>46697</v>
      </c>
      <c r="Z2895">
        <v>1385773</v>
      </c>
      <c r="AA2895">
        <v>311742</v>
      </c>
      <c r="AB2895" t="str">
        <f>(VLOOKUP(SalesData[[#This Row],[Month Number]],Reference!C$5:E$16,2,FALSE))</f>
        <v>Feb</v>
      </c>
      <c r="AC2895">
        <f>MONTH(SalesData[[#This Row],[Date]])</f>
        <v>2</v>
      </c>
      <c r="AD2895">
        <f>Reference!F$4</f>
        <v>2026</v>
      </c>
      <c r="AE2895" t="str">
        <f>IF(OR(SalesData[[#This Row],[Day]]="Saturday",SalesData[[#This Row],[Day]]="Sunday"),"Weekend","Weekday")</f>
        <v>Weekday</v>
      </c>
      <c r="AF2895" s="5">
        <f>IF(SalesData[[#This Row],[Contracts Offered]]=0,0,SalesData[[#This Row],[Contracts Signed]]/SalesData[[#This Row],[Contracts Offered]])</f>
        <v>0.37704918032786883</v>
      </c>
      <c r="AG2895" s="5">
        <f>IF(SalesData[[#This Row],[Customers Visited]]=0,0,SalesData[[#This Row],[Test Drives]]/SalesData[[#This Row],[Customers Visited]])</f>
        <v>0.47540983606557374</v>
      </c>
      <c r="AH2895" s="5">
        <f>IF(SalesData[[#This Row],[Customers Visited]]=0,0,SalesData[[#This Row],[Contracts Signed]]/SalesData[[#This Row],[Customers Visited]])</f>
        <v>0.12568306010928962</v>
      </c>
      <c r="AI2895" s="6">
        <f>IF(SalesData[[#This Row],[Contracts Signed]]=0,0,SalesData[[#This Row],[Profit(€)]]/SalesData[[#This Row],[Contracts Signed]])</f>
        <v>13554</v>
      </c>
      <c r="AJ2895" s="5" t="str">
        <f>TRIM(CLEAN(SalesData[[#This Row],[Retailer]]))</f>
        <v>Ruhr Auto Plaza</v>
      </c>
    </row>
    <row r="2896" spans="1:36" ht="14.25" x14ac:dyDescent="0.2">
      <c r="A2896" t="s">
        <v>4030</v>
      </c>
      <c r="B2896" s="1">
        <v>46069</v>
      </c>
      <c r="C2896" t="s">
        <v>62</v>
      </c>
      <c r="D2896" t="s">
        <v>25</v>
      </c>
      <c r="E2896" t="s">
        <v>26</v>
      </c>
      <c r="F2896" t="s">
        <v>127</v>
      </c>
      <c r="G2896" t="s">
        <v>128</v>
      </c>
      <c r="H2896" t="s">
        <v>103</v>
      </c>
      <c r="I2896" t="s">
        <v>30</v>
      </c>
      <c r="J2896" t="s">
        <v>31</v>
      </c>
      <c r="K2896" t="s">
        <v>91</v>
      </c>
      <c r="L2896" t="s">
        <v>46</v>
      </c>
      <c r="M2896" t="s">
        <v>34</v>
      </c>
      <c r="N2896" t="s">
        <v>69</v>
      </c>
      <c r="O2896" t="s">
        <v>70</v>
      </c>
      <c r="P2896" t="s">
        <v>58</v>
      </c>
      <c r="Q2896" t="s">
        <v>158</v>
      </c>
      <c r="R2896">
        <v>227</v>
      </c>
      <c r="S2896">
        <v>118</v>
      </c>
      <c r="T2896">
        <v>91</v>
      </c>
      <c r="U2896">
        <v>37</v>
      </c>
      <c r="V2896" t="s">
        <v>7568</v>
      </c>
      <c r="W2896">
        <v>65550</v>
      </c>
      <c r="X2896" t="s">
        <v>488</v>
      </c>
      <c r="Y2896">
        <v>46085</v>
      </c>
      <c r="Z2896">
        <v>2425350</v>
      </c>
      <c r="AA2896">
        <v>720205</v>
      </c>
      <c r="AB2896" t="str">
        <f>(VLOOKUP(SalesData[[#This Row],[Month Number]],Reference!C$5:E$16,2,FALSE))</f>
        <v>Feb</v>
      </c>
      <c r="AC2896">
        <f>MONTH(SalesData[[#This Row],[Date]])</f>
        <v>2</v>
      </c>
      <c r="AD2896">
        <f>Reference!F$4</f>
        <v>2026</v>
      </c>
      <c r="AE2896" t="str">
        <f>IF(OR(SalesData[[#This Row],[Day]]="Saturday",SalesData[[#This Row],[Day]]="Sunday"),"Weekend","Weekday")</f>
        <v>Weekday</v>
      </c>
      <c r="AF2896" s="5">
        <f>IF(SalesData[[#This Row],[Contracts Offered]]=0,0,SalesData[[#This Row],[Contracts Signed]]/SalesData[[#This Row],[Contracts Offered]])</f>
        <v>0.40659340659340659</v>
      </c>
      <c r="AG2896" s="5">
        <f>IF(SalesData[[#This Row],[Customers Visited]]=0,0,SalesData[[#This Row],[Test Drives]]/SalesData[[#This Row],[Customers Visited]])</f>
        <v>0.51982378854625555</v>
      </c>
      <c r="AH2896" s="5">
        <f>IF(SalesData[[#This Row],[Customers Visited]]=0,0,SalesData[[#This Row],[Contracts Signed]]/SalesData[[#This Row],[Customers Visited]])</f>
        <v>0.16299559471365638</v>
      </c>
      <c r="AI2896" s="6">
        <f>IF(SalesData[[#This Row],[Contracts Signed]]=0,0,SalesData[[#This Row],[Profit(€)]]/SalesData[[#This Row],[Contracts Signed]])</f>
        <v>19465</v>
      </c>
      <c r="AJ2896" s="5" t="str">
        <f>TRIM(CLEAN(SalesData[[#This Row],[Retailer]]))</f>
        <v>Rhein Auto Group</v>
      </c>
    </row>
    <row r="2897" spans="1:36" ht="14.25" hidden="1" x14ac:dyDescent="0.2">
      <c r="A2897" t="s">
        <v>4031</v>
      </c>
      <c r="B2897" s="1">
        <v>46075</v>
      </c>
      <c r="C2897" t="s">
        <v>53</v>
      </c>
      <c r="D2897" t="s">
        <v>41</v>
      </c>
      <c r="E2897" t="s">
        <v>42</v>
      </c>
      <c r="F2897" t="s">
        <v>83</v>
      </c>
      <c r="G2897" t="s">
        <v>84</v>
      </c>
      <c r="H2897" t="s">
        <v>85</v>
      </c>
      <c r="I2897" t="s">
        <v>116</v>
      </c>
      <c r="J2897" t="s">
        <v>203</v>
      </c>
      <c r="K2897" t="s">
        <v>32</v>
      </c>
      <c r="L2897" t="s">
        <v>67</v>
      </c>
      <c r="M2897" t="s">
        <v>68</v>
      </c>
      <c r="N2897" t="s">
        <v>35</v>
      </c>
      <c r="O2897" t="s">
        <v>70</v>
      </c>
      <c r="P2897" t="s">
        <v>58</v>
      </c>
      <c r="Q2897" t="s">
        <v>204</v>
      </c>
      <c r="R2897">
        <v>242</v>
      </c>
      <c r="S2897">
        <v>101</v>
      </c>
      <c r="T2897">
        <v>62</v>
      </c>
      <c r="U2897">
        <v>15</v>
      </c>
      <c r="V2897" t="s">
        <v>1319</v>
      </c>
      <c r="W2897">
        <v>20585</v>
      </c>
      <c r="X2897" t="s">
        <v>5994</v>
      </c>
      <c r="Y2897">
        <v>18556</v>
      </c>
      <c r="Z2897">
        <v>308775</v>
      </c>
      <c r="AA2897">
        <v>30435</v>
      </c>
      <c r="AB2897" t="str">
        <f>(VLOOKUP(SalesData[[#This Row],[Month Number]],Reference!C$5:E$16,2,FALSE))</f>
        <v>Feb</v>
      </c>
      <c r="AC2897">
        <f>MONTH(SalesData[[#This Row],[Date]])</f>
        <v>2</v>
      </c>
      <c r="AD2897">
        <f>Reference!F$4</f>
        <v>2026</v>
      </c>
      <c r="AE2897" t="str">
        <f>IF(OR(SalesData[[#This Row],[Day]]="Saturday",SalesData[[#This Row],[Day]]="Sunday"),"Weekend","Weekday")</f>
        <v>Weekend</v>
      </c>
      <c r="AF2897" s="5">
        <f>IF(SalesData[[#This Row],[Contracts Offered]]=0,0,SalesData[[#This Row],[Contracts Signed]]/SalesData[[#This Row],[Contracts Offered]])</f>
        <v>0.24193548387096775</v>
      </c>
      <c r="AG2897" s="5">
        <f>IF(SalesData[[#This Row],[Customers Visited]]=0,0,SalesData[[#This Row],[Test Drives]]/SalesData[[#This Row],[Customers Visited]])</f>
        <v>0.41735537190082644</v>
      </c>
      <c r="AH2897" s="5">
        <f>IF(SalesData[[#This Row],[Customers Visited]]=0,0,SalesData[[#This Row],[Contracts Signed]]/SalesData[[#This Row],[Customers Visited]])</f>
        <v>6.1983471074380167E-2</v>
      </c>
      <c r="AI2897" s="6">
        <f>IF(SalesData[[#This Row],[Contracts Signed]]=0,0,SalesData[[#This Row],[Profit(€)]]/SalesData[[#This Row],[Contracts Signed]])</f>
        <v>2029</v>
      </c>
      <c r="AJ2897" s="5" t="str">
        <f>TRIM(CLEAN(SalesData[[#This Row],[Retailer]]))</f>
        <v>Hannover Cars</v>
      </c>
    </row>
    <row r="2898" spans="1:36" ht="14.25" x14ac:dyDescent="0.2">
      <c r="A2898" t="s">
        <v>4032</v>
      </c>
      <c r="B2898" s="1">
        <v>46059</v>
      </c>
      <c r="C2898" t="s">
        <v>24</v>
      </c>
      <c r="D2898" t="s">
        <v>54</v>
      </c>
      <c r="E2898" t="s">
        <v>26</v>
      </c>
      <c r="F2898" t="s">
        <v>101</v>
      </c>
      <c r="G2898" t="s">
        <v>102</v>
      </c>
      <c r="H2898" t="s">
        <v>103</v>
      </c>
      <c r="I2898" t="s">
        <v>30</v>
      </c>
      <c r="J2898" t="s">
        <v>7075</v>
      </c>
      <c r="K2898" t="s">
        <v>78</v>
      </c>
      <c r="L2898" t="s">
        <v>33</v>
      </c>
      <c r="M2898" t="s">
        <v>87</v>
      </c>
      <c r="N2898" t="s">
        <v>35</v>
      </c>
      <c r="O2898" t="s">
        <v>70</v>
      </c>
      <c r="P2898" t="s">
        <v>49</v>
      </c>
      <c r="Q2898" t="s">
        <v>240</v>
      </c>
      <c r="R2898">
        <v>144</v>
      </c>
      <c r="S2898">
        <v>69</v>
      </c>
      <c r="T2898">
        <v>53</v>
      </c>
      <c r="U2898">
        <v>17</v>
      </c>
      <c r="V2898" t="s">
        <v>6473</v>
      </c>
      <c r="W2898">
        <v>62077</v>
      </c>
      <c r="X2898" t="s">
        <v>7054</v>
      </c>
      <c r="Y2898">
        <v>47994</v>
      </c>
      <c r="Z2898">
        <v>1055309</v>
      </c>
      <c r="AA2898">
        <v>239411</v>
      </c>
      <c r="AB2898" t="str">
        <f>(VLOOKUP(SalesData[[#This Row],[Month Number]],Reference!C$5:E$16,2,FALSE))</f>
        <v>Feb</v>
      </c>
      <c r="AC2898">
        <f>MONTH(SalesData[[#This Row],[Date]])</f>
        <v>2</v>
      </c>
      <c r="AD2898">
        <f>Reference!F$4</f>
        <v>2026</v>
      </c>
      <c r="AE2898" t="str">
        <f>IF(OR(SalesData[[#This Row],[Day]]="Saturday",SalesData[[#This Row],[Day]]="Sunday"),"Weekend","Weekday")</f>
        <v>Weekday</v>
      </c>
      <c r="AF2898" s="5">
        <f>IF(SalesData[[#This Row],[Contracts Offered]]=0,0,SalesData[[#This Row],[Contracts Signed]]/SalesData[[#This Row],[Contracts Offered]])</f>
        <v>0.32075471698113206</v>
      </c>
      <c r="AG2898" s="5">
        <f>IF(SalesData[[#This Row],[Customers Visited]]=0,0,SalesData[[#This Row],[Test Drives]]/SalesData[[#This Row],[Customers Visited]])</f>
        <v>0.47916666666666669</v>
      </c>
      <c r="AH2898" s="5">
        <f>IF(SalesData[[#This Row],[Customers Visited]]=0,0,SalesData[[#This Row],[Contracts Signed]]/SalesData[[#This Row],[Customers Visited]])</f>
        <v>0.11805555555555555</v>
      </c>
      <c r="AI2898" s="6">
        <f>IF(SalesData[[#This Row],[Contracts Signed]]=0,0,SalesData[[#This Row],[Profit(€)]]/SalesData[[#This Row],[Contracts Signed]])</f>
        <v>14083</v>
      </c>
      <c r="AJ2898" s="5" t="str">
        <f>TRIM(CLEAN(SalesData[[#This Row],[Retailer]]))</f>
        <v>Ruhr Auto Plaza</v>
      </c>
    </row>
    <row r="2899" spans="1:36" ht="14.25" hidden="1" x14ac:dyDescent="0.2">
      <c r="A2899" t="s">
        <v>4033</v>
      </c>
      <c r="B2899" s="1">
        <v>46066</v>
      </c>
      <c r="C2899" t="s">
        <v>121</v>
      </c>
      <c r="D2899" t="s">
        <v>54</v>
      </c>
      <c r="E2899" t="s">
        <v>26</v>
      </c>
      <c r="F2899" t="s">
        <v>127</v>
      </c>
      <c r="G2899" t="s">
        <v>128</v>
      </c>
      <c r="H2899" t="s">
        <v>103</v>
      </c>
      <c r="I2899" t="s">
        <v>104</v>
      </c>
      <c r="J2899" t="s">
        <v>7061</v>
      </c>
      <c r="K2899" t="s">
        <v>91</v>
      </c>
      <c r="L2899" t="s">
        <v>46</v>
      </c>
      <c r="M2899" t="s">
        <v>47</v>
      </c>
      <c r="N2899" t="s">
        <v>69</v>
      </c>
      <c r="O2899" t="s">
        <v>36</v>
      </c>
      <c r="P2899" t="s">
        <v>71</v>
      </c>
      <c r="Q2899" t="s">
        <v>169</v>
      </c>
      <c r="R2899">
        <v>263</v>
      </c>
      <c r="S2899">
        <v>152</v>
      </c>
      <c r="T2899">
        <v>94</v>
      </c>
      <c r="U2899">
        <v>30</v>
      </c>
      <c r="V2899" t="s">
        <v>3828</v>
      </c>
      <c r="W2899">
        <v>34054</v>
      </c>
      <c r="X2899" t="s">
        <v>7267</v>
      </c>
      <c r="Y2899">
        <v>30793</v>
      </c>
      <c r="Z2899">
        <v>1021620</v>
      </c>
      <c r="AA2899">
        <v>97830</v>
      </c>
      <c r="AB2899" t="str">
        <f>(VLOOKUP(SalesData[[#This Row],[Month Number]],Reference!C$5:E$16,2,FALSE))</f>
        <v>Feb</v>
      </c>
      <c r="AC2899">
        <f>MONTH(SalesData[[#This Row],[Date]])</f>
        <v>2</v>
      </c>
      <c r="AD2899">
        <f>Reference!F$4</f>
        <v>2026</v>
      </c>
      <c r="AE2899" t="str">
        <f>IF(OR(SalesData[[#This Row],[Day]]="Saturday",SalesData[[#This Row],[Day]]="Sunday"),"Weekend","Weekday")</f>
        <v>Weekday</v>
      </c>
      <c r="AF2899" s="5">
        <f>IF(SalesData[[#This Row],[Contracts Offered]]=0,0,SalesData[[#This Row],[Contracts Signed]]/SalesData[[#This Row],[Contracts Offered]])</f>
        <v>0.31914893617021278</v>
      </c>
      <c r="AG2899" s="5">
        <f>IF(SalesData[[#This Row],[Customers Visited]]=0,0,SalesData[[#This Row],[Test Drives]]/SalesData[[#This Row],[Customers Visited]])</f>
        <v>0.57794676806083645</v>
      </c>
      <c r="AH2899" s="5">
        <f>IF(SalesData[[#This Row],[Customers Visited]]=0,0,SalesData[[#This Row],[Contracts Signed]]/SalesData[[#This Row],[Customers Visited]])</f>
        <v>0.11406844106463879</v>
      </c>
      <c r="AI2899" s="6">
        <f>IF(SalesData[[#This Row],[Contracts Signed]]=0,0,SalesData[[#This Row],[Profit(€)]]/SalesData[[#This Row],[Contracts Signed]])</f>
        <v>3261</v>
      </c>
      <c r="AJ2899" s="5" t="str">
        <f>TRIM(CLEAN(SalesData[[#This Row],[Retailer]]))</f>
        <v>Rhein Auto Group</v>
      </c>
    </row>
    <row r="2900" spans="1:36" ht="14.25" hidden="1" x14ac:dyDescent="0.2">
      <c r="A2900" t="s">
        <v>4034</v>
      </c>
      <c r="B2900" s="1">
        <v>46057</v>
      </c>
      <c r="C2900" t="s">
        <v>24</v>
      </c>
      <c r="D2900" t="s">
        <v>82</v>
      </c>
      <c r="E2900" t="s">
        <v>26</v>
      </c>
      <c r="F2900" t="s">
        <v>114</v>
      </c>
      <c r="G2900" t="s">
        <v>115</v>
      </c>
      <c r="H2900" t="s">
        <v>115</v>
      </c>
      <c r="I2900" t="s">
        <v>56</v>
      </c>
      <c r="J2900" t="s">
        <v>7028</v>
      </c>
      <c r="K2900" t="s">
        <v>91</v>
      </c>
      <c r="L2900" t="s">
        <v>46</v>
      </c>
      <c r="M2900" t="s">
        <v>68</v>
      </c>
      <c r="N2900" t="s">
        <v>35</v>
      </c>
      <c r="O2900" t="s">
        <v>70</v>
      </c>
      <c r="P2900" t="s">
        <v>71</v>
      </c>
      <c r="Q2900" t="s">
        <v>135</v>
      </c>
      <c r="R2900">
        <v>191</v>
      </c>
      <c r="S2900">
        <v>109</v>
      </c>
      <c r="T2900">
        <v>83</v>
      </c>
      <c r="U2900">
        <v>28</v>
      </c>
      <c r="V2900" t="s">
        <v>6593</v>
      </c>
      <c r="W2900">
        <v>50316</v>
      </c>
      <c r="X2900" t="s">
        <v>7279</v>
      </c>
      <c r="Y2900">
        <v>39141</v>
      </c>
      <c r="Z2900">
        <v>1408848</v>
      </c>
      <c r="AA2900">
        <v>312900</v>
      </c>
      <c r="AB2900" t="str">
        <f>(VLOOKUP(SalesData[[#This Row],[Month Number]],Reference!C$5:E$16,2,FALSE))</f>
        <v>Feb</v>
      </c>
      <c r="AC2900">
        <f>MONTH(SalesData[[#This Row],[Date]])</f>
        <v>2</v>
      </c>
      <c r="AD2900">
        <f>Reference!F$4</f>
        <v>2026</v>
      </c>
      <c r="AE2900" t="str">
        <f>IF(OR(SalesData[[#This Row],[Day]]="Saturday",SalesData[[#This Row],[Day]]="Sunday"),"Weekend","Weekday")</f>
        <v>Weekday</v>
      </c>
      <c r="AF2900" s="5">
        <f>IF(SalesData[[#This Row],[Contracts Offered]]=0,0,SalesData[[#This Row],[Contracts Signed]]/SalesData[[#This Row],[Contracts Offered]])</f>
        <v>0.33734939759036142</v>
      </c>
      <c r="AG2900" s="5">
        <f>IF(SalesData[[#This Row],[Customers Visited]]=0,0,SalesData[[#This Row],[Test Drives]]/SalesData[[#This Row],[Customers Visited]])</f>
        <v>0.5706806282722513</v>
      </c>
      <c r="AH2900" s="5">
        <f>IF(SalesData[[#This Row],[Customers Visited]]=0,0,SalesData[[#This Row],[Contracts Signed]]/SalesData[[#This Row],[Customers Visited]])</f>
        <v>0.14659685863874344</v>
      </c>
      <c r="AI2900" s="6">
        <f>IF(SalesData[[#This Row],[Contracts Signed]]=0,0,SalesData[[#This Row],[Profit(€)]]/SalesData[[#This Row],[Contracts Signed]])</f>
        <v>11175</v>
      </c>
      <c r="AJ2900" s="5" t="str">
        <f>TRIM(CLEAN(SalesData[[#This Row],[Retailer]]))</f>
        <v>Elbe Drive</v>
      </c>
    </row>
    <row r="2901" spans="1:36" ht="14.25" x14ac:dyDescent="0.2">
      <c r="A2901" t="s">
        <v>4035</v>
      </c>
      <c r="B2901" s="1">
        <v>46069</v>
      </c>
      <c r="C2901" t="s">
        <v>62</v>
      </c>
      <c r="D2901" t="s">
        <v>25</v>
      </c>
      <c r="E2901" t="s">
        <v>26</v>
      </c>
      <c r="F2901" t="s">
        <v>109</v>
      </c>
      <c r="G2901" t="s">
        <v>110</v>
      </c>
      <c r="H2901" t="s">
        <v>45</v>
      </c>
      <c r="I2901" t="s">
        <v>30</v>
      </c>
      <c r="J2901" t="s">
        <v>31</v>
      </c>
      <c r="K2901" t="s">
        <v>32</v>
      </c>
      <c r="L2901" t="s">
        <v>46</v>
      </c>
      <c r="M2901" t="s">
        <v>34</v>
      </c>
      <c r="N2901" t="s">
        <v>48</v>
      </c>
      <c r="O2901" t="s">
        <v>70</v>
      </c>
      <c r="P2901" t="s">
        <v>58</v>
      </c>
      <c r="Q2901" t="s">
        <v>347</v>
      </c>
      <c r="R2901">
        <v>176</v>
      </c>
      <c r="S2901">
        <v>96</v>
      </c>
      <c r="T2901">
        <v>73</v>
      </c>
      <c r="U2901">
        <v>28</v>
      </c>
      <c r="V2901" t="s">
        <v>6395</v>
      </c>
      <c r="W2901">
        <v>58508</v>
      </c>
      <c r="X2901" t="s">
        <v>2728</v>
      </c>
      <c r="Y2901">
        <v>43738</v>
      </c>
      <c r="Z2901">
        <v>1638224</v>
      </c>
      <c r="AA2901">
        <v>413560</v>
      </c>
      <c r="AB2901" t="str">
        <f>(VLOOKUP(SalesData[[#This Row],[Month Number]],Reference!C$5:E$16,2,FALSE))</f>
        <v>Feb</v>
      </c>
      <c r="AC2901">
        <f>MONTH(SalesData[[#This Row],[Date]])</f>
        <v>2</v>
      </c>
      <c r="AD2901">
        <f>Reference!F$4</f>
        <v>2026</v>
      </c>
      <c r="AE2901" t="str">
        <f>IF(OR(SalesData[[#This Row],[Day]]="Saturday",SalesData[[#This Row],[Day]]="Sunday"),"Weekend","Weekday")</f>
        <v>Weekday</v>
      </c>
      <c r="AF2901" s="5">
        <f>IF(SalesData[[#This Row],[Contracts Offered]]=0,0,SalesData[[#This Row],[Contracts Signed]]/SalesData[[#This Row],[Contracts Offered]])</f>
        <v>0.38356164383561642</v>
      </c>
      <c r="AG2901" s="5">
        <f>IF(SalesData[[#This Row],[Customers Visited]]=0,0,SalesData[[#This Row],[Test Drives]]/SalesData[[#This Row],[Customers Visited]])</f>
        <v>0.54545454545454541</v>
      </c>
      <c r="AH2901" s="5">
        <f>IF(SalesData[[#This Row],[Customers Visited]]=0,0,SalesData[[#This Row],[Contracts Signed]]/SalesData[[#This Row],[Customers Visited]])</f>
        <v>0.15909090909090909</v>
      </c>
      <c r="AI2901" s="6">
        <f>IF(SalesData[[#This Row],[Contracts Signed]]=0,0,SalesData[[#This Row],[Profit(€)]]/SalesData[[#This Row],[Contracts Signed]])</f>
        <v>14770</v>
      </c>
      <c r="AJ2901" s="5" t="str">
        <f>TRIM(CLEAN(SalesData[[#This Row],[Retailer]]))</f>
        <v>Leipzig Mobility</v>
      </c>
    </row>
    <row r="2902" spans="1:36" ht="14.25" hidden="1" x14ac:dyDescent="0.2">
      <c r="A2902" t="s">
        <v>4036</v>
      </c>
      <c r="B2902" s="1">
        <v>46059</v>
      </c>
      <c r="C2902" t="s">
        <v>24</v>
      </c>
      <c r="D2902" t="s">
        <v>54</v>
      </c>
      <c r="E2902" t="s">
        <v>26</v>
      </c>
      <c r="F2902" t="s">
        <v>7649</v>
      </c>
      <c r="G2902" t="s">
        <v>55</v>
      </c>
      <c r="H2902" t="s">
        <v>55</v>
      </c>
      <c r="I2902" t="s">
        <v>116</v>
      </c>
      <c r="J2902" t="s">
        <v>7090</v>
      </c>
      <c r="K2902" t="s">
        <v>91</v>
      </c>
      <c r="L2902" t="s">
        <v>46</v>
      </c>
      <c r="M2902" t="s">
        <v>87</v>
      </c>
      <c r="N2902" t="s">
        <v>69</v>
      </c>
      <c r="O2902" t="s">
        <v>70</v>
      </c>
      <c r="P2902" t="s">
        <v>37</v>
      </c>
      <c r="Q2902" t="s">
        <v>79</v>
      </c>
      <c r="R2902">
        <v>359</v>
      </c>
      <c r="S2902">
        <v>136</v>
      </c>
      <c r="T2902">
        <v>76</v>
      </c>
      <c r="U2902">
        <v>19</v>
      </c>
      <c r="V2902" t="s">
        <v>1509</v>
      </c>
      <c r="W2902">
        <v>22524</v>
      </c>
      <c r="X2902" t="s">
        <v>2012</v>
      </c>
      <c r="Y2902">
        <v>20105</v>
      </c>
      <c r="Z2902">
        <v>427956</v>
      </c>
      <c r="AA2902">
        <v>45961</v>
      </c>
      <c r="AB2902" t="str">
        <f>(VLOOKUP(SalesData[[#This Row],[Month Number]],Reference!C$5:E$16,2,FALSE))</f>
        <v>Feb</v>
      </c>
      <c r="AC2902">
        <f>MONTH(SalesData[[#This Row],[Date]])</f>
        <v>2</v>
      </c>
      <c r="AD2902">
        <f>Reference!F$4</f>
        <v>2026</v>
      </c>
      <c r="AE2902" t="str">
        <f>IF(OR(SalesData[[#This Row],[Day]]="Saturday",SalesData[[#This Row],[Day]]="Sunday"),"Weekend","Weekday")</f>
        <v>Weekday</v>
      </c>
      <c r="AF2902" s="5">
        <f>IF(SalesData[[#This Row],[Contracts Offered]]=0,0,SalesData[[#This Row],[Contracts Signed]]/SalesData[[#This Row],[Contracts Offered]])</f>
        <v>0.25</v>
      </c>
      <c r="AG2902" s="5">
        <f>IF(SalesData[[#This Row],[Customers Visited]]=0,0,SalesData[[#This Row],[Test Drives]]/SalesData[[#This Row],[Customers Visited]])</f>
        <v>0.37883008356545961</v>
      </c>
      <c r="AH2902" s="5">
        <f>IF(SalesData[[#This Row],[Customers Visited]]=0,0,SalesData[[#This Row],[Contracts Signed]]/SalesData[[#This Row],[Customers Visited]])</f>
        <v>5.2924791086350974E-2</v>
      </c>
      <c r="AI2902" s="6">
        <f>IF(SalesData[[#This Row],[Contracts Signed]]=0,0,SalesData[[#This Row],[Profit(€)]]/SalesData[[#This Row],[Contracts Signed]])</f>
        <v>2419</v>
      </c>
      <c r="AJ2902" s="5" t="str">
        <f>TRIM(CLEAN(SalesData[[#This Row],[Retailer]]))</f>
        <v>Autohaus Berlin</v>
      </c>
    </row>
    <row r="2903" spans="1:36" ht="14.25" hidden="1" x14ac:dyDescent="0.2">
      <c r="A2903" t="s">
        <v>4037</v>
      </c>
      <c r="B2903" s="1">
        <v>46080</v>
      </c>
      <c r="C2903" t="s">
        <v>53</v>
      </c>
      <c r="D2903" t="s">
        <v>54</v>
      </c>
      <c r="E2903" t="s">
        <v>26</v>
      </c>
      <c r="F2903" t="s">
        <v>94</v>
      </c>
      <c r="G2903" t="s">
        <v>95</v>
      </c>
      <c r="H2903" t="s">
        <v>96</v>
      </c>
      <c r="I2903" t="s">
        <v>56</v>
      </c>
      <c r="J2903" t="s">
        <v>57</v>
      </c>
      <c r="K2903" t="s">
        <v>78</v>
      </c>
      <c r="L2903" t="s">
        <v>46</v>
      </c>
      <c r="M2903" t="s">
        <v>87</v>
      </c>
      <c r="N2903" t="s">
        <v>69</v>
      </c>
      <c r="O2903" t="s">
        <v>70</v>
      </c>
      <c r="P2903" t="s">
        <v>49</v>
      </c>
      <c r="Q2903" t="s">
        <v>129</v>
      </c>
      <c r="R2903">
        <v>177</v>
      </c>
      <c r="S2903">
        <v>88</v>
      </c>
      <c r="T2903">
        <v>56</v>
      </c>
      <c r="U2903">
        <v>20</v>
      </c>
      <c r="V2903" t="s">
        <v>6591</v>
      </c>
      <c r="W2903">
        <v>55156</v>
      </c>
      <c r="X2903" t="s">
        <v>7270</v>
      </c>
      <c r="Y2903">
        <v>42392</v>
      </c>
      <c r="Z2903">
        <v>1103120</v>
      </c>
      <c r="AA2903">
        <v>255280</v>
      </c>
      <c r="AB2903" t="str">
        <f>(VLOOKUP(SalesData[[#This Row],[Month Number]],Reference!C$5:E$16,2,FALSE))</f>
        <v>Feb</v>
      </c>
      <c r="AC2903">
        <f>MONTH(SalesData[[#This Row],[Date]])</f>
        <v>2</v>
      </c>
      <c r="AD2903">
        <f>Reference!F$4</f>
        <v>2026</v>
      </c>
      <c r="AE2903" t="str">
        <f>IF(OR(SalesData[[#This Row],[Day]]="Saturday",SalesData[[#This Row],[Day]]="Sunday"),"Weekend","Weekday")</f>
        <v>Weekday</v>
      </c>
      <c r="AF2903" s="5">
        <f>IF(SalesData[[#This Row],[Contracts Offered]]=0,0,SalesData[[#This Row],[Contracts Signed]]/SalesData[[#This Row],[Contracts Offered]])</f>
        <v>0.35714285714285715</v>
      </c>
      <c r="AG2903" s="5">
        <f>IF(SalesData[[#This Row],[Customers Visited]]=0,0,SalesData[[#This Row],[Test Drives]]/SalesData[[#This Row],[Customers Visited]])</f>
        <v>0.49717514124293788</v>
      </c>
      <c r="AH2903" s="5">
        <f>IF(SalesData[[#This Row],[Customers Visited]]=0,0,SalesData[[#This Row],[Contracts Signed]]/SalesData[[#This Row],[Customers Visited]])</f>
        <v>0.11299435028248588</v>
      </c>
      <c r="AI2903" s="6">
        <f>IF(SalesData[[#This Row],[Contracts Signed]]=0,0,SalesData[[#This Row],[Profit(€)]]/SalesData[[#This Row],[Contracts Signed]])</f>
        <v>12764</v>
      </c>
      <c r="AJ2903" s="5" t="str">
        <f>TRIM(CLEAN(SalesData[[#This Row],[Retailer]]))</f>
        <v>Bavaria Motors</v>
      </c>
    </row>
    <row r="2904" spans="1:36" ht="14.25" hidden="1" x14ac:dyDescent="0.2">
      <c r="A2904" t="s">
        <v>4038</v>
      </c>
      <c r="B2904" s="1">
        <v>46068</v>
      </c>
      <c r="C2904" t="s">
        <v>62</v>
      </c>
      <c r="D2904" t="s">
        <v>41</v>
      </c>
      <c r="E2904" t="s">
        <v>42</v>
      </c>
      <c r="F2904" t="s">
        <v>74</v>
      </c>
      <c r="G2904" t="s">
        <v>75</v>
      </c>
      <c r="H2904" t="s">
        <v>76</v>
      </c>
      <c r="I2904" t="s">
        <v>116</v>
      </c>
      <c r="J2904" t="s">
        <v>203</v>
      </c>
      <c r="K2904" t="s">
        <v>66</v>
      </c>
      <c r="L2904" t="s">
        <v>67</v>
      </c>
      <c r="M2904" t="s">
        <v>34</v>
      </c>
      <c r="N2904" t="s">
        <v>35</v>
      </c>
      <c r="O2904" t="s">
        <v>36</v>
      </c>
      <c r="P2904" t="s">
        <v>49</v>
      </c>
      <c r="Q2904" t="s">
        <v>204</v>
      </c>
      <c r="R2904">
        <v>363</v>
      </c>
      <c r="S2904">
        <v>174</v>
      </c>
      <c r="T2904">
        <v>104</v>
      </c>
      <c r="U2904">
        <v>22</v>
      </c>
      <c r="V2904" t="s">
        <v>2012</v>
      </c>
      <c r="W2904">
        <v>24318</v>
      </c>
      <c r="X2904" t="s">
        <v>2529</v>
      </c>
      <c r="Y2904">
        <v>22423</v>
      </c>
      <c r="Z2904">
        <v>534996</v>
      </c>
      <c r="AA2904">
        <v>41690</v>
      </c>
      <c r="AB2904" t="str">
        <f>(VLOOKUP(SalesData[[#This Row],[Month Number]],Reference!C$5:E$16,2,FALSE))</f>
        <v>Feb</v>
      </c>
      <c r="AC2904">
        <f>MONTH(SalesData[[#This Row],[Date]])</f>
        <v>2</v>
      </c>
      <c r="AD2904">
        <f>Reference!F$4</f>
        <v>2026</v>
      </c>
      <c r="AE2904" t="str">
        <f>IF(OR(SalesData[[#This Row],[Day]]="Saturday",SalesData[[#This Row],[Day]]="Sunday"),"Weekend","Weekday")</f>
        <v>Weekend</v>
      </c>
      <c r="AF2904" s="5">
        <f>IF(SalesData[[#This Row],[Contracts Offered]]=0,0,SalesData[[#This Row],[Contracts Signed]]/SalesData[[#This Row],[Contracts Offered]])</f>
        <v>0.21153846153846154</v>
      </c>
      <c r="AG2904" s="5">
        <f>IF(SalesData[[#This Row],[Customers Visited]]=0,0,SalesData[[#This Row],[Test Drives]]/SalesData[[#This Row],[Customers Visited]])</f>
        <v>0.47933884297520662</v>
      </c>
      <c r="AH2904" s="5">
        <f>IF(SalesData[[#This Row],[Customers Visited]]=0,0,SalesData[[#This Row],[Contracts Signed]]/SalesData[[#This Row],[Customers Visited]])</f>
        <v>6.0606060606060608E-2</v>
      </c>
      <c r="AI2904" s="6">
        <f>IF(SalesData[[#This Row],[Contracts Signed]]=0,0,SalesData[[#This Row],[Profit(€)]]/SalesData[[#This Row],[Contracts Signed]])</f>
        <v>1895</v>
      </c>
      <c r="AJ2904" s="5" t="str">
        <f>TRIM(CLEAN(SalesData[[#This Row],[Retailer]]))</f>
        <v>Stuttgart Auto Center</v>
      </c>
    </row>
    <row r="2905" spans="1:36" ht="14.25" hidden="1" x14ac:dyDescent="0.2">
      <c r="A2905" t="s">
        <v>4040</v>
      </c>
      <c r="B2905" s="1">
        <v>46070</v>
      </c>
      <c r="C2905" t="s">
        <v>62</v>
      </c>
      <c r="D2905" t="s">
        <v>63</v>
      </c>
      <c r="E2905" t="s">
        <v>26</v>
      </c>
      <c r="F2905" t="s">
        <v>43</v>
      </c>
      <c r="G2905" t="s">
        <v>44</v>
      </c>
      <c r="H2905" t="s">
        <v>45</v>
      </c>
      <c r="I2905" t="s">
        <v>116</v>
      </c>
      <c r="J2905" t="s">
        <v>203</v>
      </c>
      <c r="K2905" t="s">
        <v>91</v>
      </c>
      <c r="L2905" t="s">
        <v>67</v>
      </c>
      <c r="M2905" t="s">
        <v>34</v>
      </c>
      <c r="N2905" t="s">
        <v>48</v>
      </c>
      <c r="O2905" t="s">
        <v>36</v>
      </c>
      <c r="P2905" t="s">
        <v>49</v>
      </c>
      <c r="Q2905" t="s">
        <v>169</v>
      </c>
      <c r="R2905">
        <v>385</v>
      </c>
      <c r="S2905">
        <v>164</v>
      </c>
      <c r="T2905">
        <v>93</v>
      </c>
      <c r="U2905">
        <v>21</v>
      </c>
      <c r="V2905" t="s">
        <v>2497</v>
      </c>
      <c r="W2905">
        <v>20679</v>
      </c>
      <c r="X2905" t="s">
        <v>177</v>
      </c>
      <c r="Y2905">
        <v>18411</v>
      </c>
      <c r="Z2905">
        <v>434259</v>
      </c>
      <c r="AA2905">
        <v>47628</v>
      </c>
      <c r="AB2905" t="str">
        <f>(VLOOKUP(SalesData[[#This Row],[Month Number]],Reference!C$5:E$16,2,FALSE))</f>
        <v>Feb</v>
      </c>
      <c r="AC2905">
        <f>MONTH(SalesData[[#This Row],[Date]])</f>
        <v>2</v>
      </c>
      <c r="AD2905">
        <f>Reference!F$4</f>
        <v>2026</v>
      </c>
      <c r="AE2905" t="str">
        <f>IF(OR(SalesData[[#This Row],[Day]]="Saturday",SalesData[[#This Row],[Day]]="Sunday"),"Weekend","Weekday")</f>
        <v>Weekday</v>
      </c>
      <c r="AF2905" s="5">
        <f>IF(SalesData[[#This Row],[Contracts Offered]]=0,0,SalesData[[#This Row],[Contracts Signed]]/SalesData[[#This Row],[Contracts Offered]])</f>
        <v>0.22580645161290322</v>
      </c>
      <c r="AG2905" s="5">
        <f>IF(SalesData[[#This Row],[Customers Visited]]=0,0,SalesData[[#This Row],[Test Drives]]/SalesData[[#This Row],[Customers Visited]])</f>
        <v>0.42597402597402595</v>
      </c>
      <c r="AH2905" s="5">
        <f>IF(SalesData[[#This Row],[Customers Visited]]=0,0,SalesData[[#This Row],[Contracts Signed]]/SalesData[[#This Row],[Customers Visited]])</f>
        <v>5.4545454545454543E-2</v>
      </c>
      <c r="AI2905" s="6">
        <f>IF(SalesData[[#This Row],[Contracts Signed]]=0,0,SalesData[[#This Row],[Profit(€)]]/SalesData[[#This Row],[Contracts Signed]])</f>
        <v>2268</v>
      </c>
      <c r="AJ2905" s="5" t="str">
        <f>TRIM(CLEAN(SalesData[[#This Row],[Retailer]]))</f>
        <v>Saxon Wheels</v>
      </c>
    </row>
    <row r="2906" spans="1:36" ht="14.25" hidden="1" x14ac:dyDescent="0.2">
      <c r="A2906" t="s">
        <v>4041</v>
      </c>
      <c r="B2906" s="1">
        <v>46063</v>
      </c>
      <c r="C2906" t="s">
        <v>121</v>
      </c>
      <c r="D2906" t="s">
        <v>63</v>
      </c>
      <c r="E2906" t="s">
        <v>26</v>
      </c>
      <c r="F2906" t="s">
        <v>94</v>
      </c>
      <c r="G2906" t="s">
        <v>95</v>
      </c>
      <c r="H2906" t="s">
        <v>96</v>
      </c>
      <c r="I2906" t="s">
        <v>64</v>
      </c>
      <c r="J2906" t="s">
        <v>65</v>
      </c>
      <c r="K2906" t="s">
        <v>91</v>
      </c>
      <c r="L2906" t="s">
        <v>33</v>
      </c>
      <c r="M2906" t="s">
        <v>87</v>
      </c>
      <c r="N2906" t="s">
        <v>35</v>
      </c>
      <c r="O2906" t="s">
        <v>70</v>
      </c>
      <c r="P2906" t="s">
        <v>71</v>
      </c>
      <c r="Q2906" t="s">
        <v>152</v>
      </c>
      <c r="R2906">
        <v>286</v>
      </c>
      <c r="S2906">
        <v>136</v>
      </c>
      <c r="T2906">
        <v>106</v>
      </c>
      <c r="U2906">
        <v>38</v>
      </c>
      <c r="V2906" t="s">
        <v>6589</v>
      </c>
      <c r="W2906">
        <v>55478</v>
      </c>
      <c r="X2906" t="s">
        <v>7169</v>
      </c>
      <c r="Y2906">
        <v>41690</v>
      </c>
      <c r="Z2906">
        <v>2108164</v>
      </c>
      <c r="AA2906">
        <v>523944</v>
      </c>
      <c r="AB2906" t="str">
        <f>(VLOOKUP(SalesData[[#This Row],[Month Number]],Reference!C$5:E$16,2,FALSE))</f>
        <v>Feb</v>
      </c>
      <c r="AC2906">
        <f>MONTH(SalesData[[#This Row],[Date]])</f>
        <v>2</v>
      </c>
      <c r="AD2906">
        <f>Reference!F$4</f>
        <v>2026</v>
      </c>
      <c r="AE2906" t="str">
        <f>IF(OR(SalesData[[#This Row],[Day]]="Saturday",SalesData[[#This Row],[Day]]="Sunday"),"Weekend","Weekday")</f>
        <v>Weekday</v>
      </c>
      <c r="AF2906" s="5">
        <f>IF(SalesData[[#This Row],[Contracts Offered]]=0,0,SalesData[[#This Row],[Contracts Signed]]/SalesData[[#This Row],[Contracts Offered]])</f>
        <v>0.35849056603773582</v>
      </c>
      <c r="AG2906" s="5">
        <f>IF(SalesData[[#This Row],[Customers Visited]]=0,0,SalesData[[#This Row],[Test Drives]]/SalesData[[#This Row],[Customers Visited]])</f>
        <v>0.47552447552447552</v>
      </c>
      <c r="AH2906" s="5">
        <f>IF(SalesData[[#This Row],[Customers Visited]]=0,0,SalesData[[#This Row],[Contracts Signed]]/SalesData[[#This Row],[Customers Visited]])</f>
        <v>0.13286713286713286</v>
      </c>
      <c r="AI2906" s="6">
        <f>IF(SalesData[[#This Row],[Contracts Signed]]=0,0,SalesData[[#This Row],[Profit(€)]]/SalesData[[#This Row],[Contracts Signed]])</f>
        <v>13788</v>
      </c>
      <c r="AJ2906" s="5" t="str">
        <f>TRIM(CLEAN(SalesData[[#This Row],[Retailer]]))</f>
        <v>Bavaria Motors</v>
      </c>
    </row>
    <row r="2907" spans="1:36" ht="14.25" x14ac:dyDescent="0.2">
      <c r="A2907" t="s">
        <v>4042</v>
      </c>
      <c r="B2907" s="1">
        <v>46058</v>
      </c>
      <c r="C2907" t="s">
        <v>24</v>
      </c>
      <c r="D2907" t="s">
        <v>100</v>
      </c>
      <c r="E2907" t="s">
        <v>26</v>
      </c>
      <c r="F2907" t="s">
        <v>94</v>
      </c>
      <c r="G2907" t="s">
        <v>95</v>
      </c>
      <c r="H2907" t="s">
        <v>96</v>
      </c>
      <c r="I2907" t="s">
        <v>30</v>
      </c>
      <c r="J2907" t="s">
        <v>31</v>
      </c>
      <c r="K2907" t="s">
        <v>91</v>
      </c>
      <c r="L2907" t="s">
        <v>46</v>
      </c>
      <c r="M2907" t="s">
        <v>68</v>
      </c>
      <c r="N2907" t="s">
        <v>48</v>
      </c>
      <c r="O2907" t="s">
        <v>36</v>
      </c>
      <c r="P2907" t="s">
        <v>37</v>
      </c>
      <c r="Q2907" t="s">
        <v>122</v>
      </c>
      <c r="R2907">
        <v>159</v>
      </c>
      <c r="S2907">
        <v>73</v>
      </c>
      <c r="T2907">
        <v>57</v>
      </c>
      <c r="U2907">
        <v>22</v>
      </c>
      <c r="V2907" t="s">
        <v>7558</v>
      </c>
      <c r="W2907">
        <v>68954</v>
      </c>
      <c r="X2907" t="s">
        <v>2348</v>
      </c>
      <c r="Y2907">
        <v>53509</v>
      </c>
      <c r="Z2907">
        <v>1516988</v>
      </c>
      <c r="AA2907">
        <v>339790</v>
      </c>
      <c r="AB2907" t="str">
        <f>(VLOOKUP(SalesData[[#This Row],[Month Number]],Reference!C$5:E$16,2,FALSE))</f>
        <v>Feb</v>
      </c>
      <c r="AC2907">
        <f>MONTH(SalesData[[#This Row],[Date]])</f>
        <v>2</v>
      </c>
      <c r="AD2907">
        <f>Reference!F$4</f>
        <v>2026</v>
      </c>
      <c r="AE2907" t="str">
        <f>IF(OR(SalesData[[#This Row],[Day]]="Saturday",SalesData[[#This Row],[Day]]="Sunday"),"Weekend","Weekday")</f>
        <v>Weekday</v>
      </c>
      <c r="AF2907" s="5">
        <f>IF(SalesData[[#This Row],[Contracts Offered]]=0,0,SalesData[[#This Row],[Contracts Signed]]/SalesData[[#This Row],[Contracts Offered]])</f>
        <v>0.38596491228070173</v>
      </c>
      <c r="AG2907" s="5">
        <f>IF(SalesData[[#This Row],[Customers Visited]]=0,0,SalesData[[#This Row],[Test Drives]]/SalesData[[#This Row],[Customers Visited]])</f>
        <v>0.45911949685534592</v>
      </c>
      <c r="AH2907" s="5">
        <f>IF(SalesData[[#This Row],[Customers Visited]]=0,0,SalesData[[#This Row],[Contracts Signed]]/SalesData[[#This Row],[Customers Visited]])</f>
        <v>0.13836477987421383</v>
      </c>
      <c r="AI2907" s="6">
        <f>IF(SalesData[[#This Row],[Contracts Signed]]=0,0,SalesData[[#This Row],[Profit(€)]]/SalesData[[#This Row],[Contracts Signed]])</f>
        <v>15445</v>
      </c>
      <c r="AJ2907" s="5" t="str">
        <f>TRIM(CLEAN(SalesData[[#This Row],[Retailer]]))</f>
        <v>Bavaria Motors</v>
      </c>
    </row>
    <row r="2908" spans="1:36" ht="14.25" hidden="1" x14ac:dyDescent="0.2">
      <c r="A2908" t="s">
        <v>4043</v>
      </c>
      <c r="B2908" s="1">
        <v>46069</v>
      </c>
      <c r="C2908" t="s">
        <v>62</v>
      </c>
      <c r="D2908" t="s">
        <v>25</v>
      </c>
      <c r="E2908" t="s">
        <v>26</v>
      </c>
      <c r="F2908" t="s">
        <v>127</v>
      </c>
      <c r="G2908" t="s">
        <v>128</v>
      </c>
      <c r="H2908" t="s">
        <v>103</v>
      </c>
      <c r="I2908" t="s">
        <v>104</v>
      </c>
      <c r="J2908" t="s">
        <v>7031</v>
      </c>
      <c r="K2908" t="s">
        <v>66</v>
      </c>
      <c r="L2908" t="s">
        <v>46</v>
      </c>
      <c r="M2908" t="s">
        <v>34</v>
      </c>
      <c r="N2908" t="s">
        <v>48</v>
      </c>
      <c r="O2908" t="s">
        <v>70</v>
      </c>
      <c r="P2908" t="s">
        <v>49</v>
      </c>
      <c r="Q2908" t="s">
        <v>59</v>
      </c>
      <c r="R2908">
        <v>428</v>
      </c>
      <c r="S2908">
        <v>210</v>
      </c>
      <c r="T2908">
        <v>124</v>
      </c>
      <c r="U2908">
        <v>29</v>
      </c>
      <c r="V2908" t="s">
        <v>3257</v>
      </c>
      <c r="W2908">
        <v>28777</v>
      </c>
      <c r="X2908" t="s">
        <v>4169</v>
      </c>
      <c r="Y2908">
        <v>25625</v>
      </c>
      <c r="Z2908">
        <v>834533</v>
      </c>
      <c r="AA2908">
        <v>91408</v>
      </c>
      <c r="AB2908" t="str">
        <f>(VLOOKUP(SalesData[[#This Row],[Month Number]],Reference!C$5:E$16,2,FALSE))</f>
        <v>Feb</v>
      </c>
      <c r="AC2908">
        <f>MONTH(SalesData[[#This Row],[Date]])</f>
        <v>2</v>
      </c>
      <c r="AD2908">
        <f>Reference!F$4</f>
        <v>2026</v>
      </c>
      <c r="AE2908" t="str">
        <f>IF(OR(SalesData[[#This Row],[Day]]="Saturday",SalesData[[#This Row],[Day]]="Sunday"),"Weekend","Weekday")</f>
        <v>Weekday</v>
      </c>
      <c r="AF2908" s="5">
        <f>IF(SalesData[[#This Row],[Contracts Offered]]=0,0,SalesData[[#This Row],[Contracts Signed]]/SalesData[[#This Row],[Contracts Offered]])</f>
        <v>0.23387096774193547</v>
      </c>
      <c r="AG2908" s="5">
        <f>IF(SalesData[[#This Row],[Customers Visited]]=0,0,SalesData[[#This Row],[Test Drives]]/SalesData[[#This Row],[Customers Visited]])</f>
        <v>0.49065420560747663</v>
      </c>
      <c r="AH2908" s="5">
        <f>IF(SalesData[[#This Row],[Customers Visited]]=0,0,SalesData[[#This Row],[Contracts Signed]]/SalesData[[#This Row],[Customers Visited]])</f>
        <v>6.7757009345794386E-2</v>
      </c>
      <c r="AI2908" s="6">
        <f>IF(SalesData[[#This Row],[Contracts Signed]]=0,0,SalesData[[#This Row],[Profit(€)]]/SalesData[[#This Row],[Contracts Signed]])</f>
        <v>3152</v>
      </c>
      <c r="AJ2908" s="5" t="str">
        <f>TRIM(CLEAN(SalesData[[#This Row],[Retailer]]))</f>
        <v>Rhein Auto Group</v>
      </c>
    </row>
    <row r="2909" spans="1:36" ht="14.25" hidden="1" x14ac:dyDescent="0.2">
      <c r="A2909" t="s">
        <v>4044</v>
      </c>
      <c r="B2909" s="1">
        <v>46074</v>
      </c>
      <c r="C2909" t="s">
        <v>62</v>
      </c>
      <c r="D2909" t="s">
        <v>151</v>
      </c>
      <c r="E2909" t="s">
        <v>42</v>
      </c>
      <c r="F2909" t="s">
        <v>83</v>
      </c>
      <c r="G2909" t="s">
        <v>84</v>
      </c>
      <c r="H2909" t="s">
        <v>85</v>
      </c>
      <c r="I2909" t="s">
        <v>64</v>
      </c>
      <c r="J2909" t="s">
        <v>77</v>
      </c>
      <c r="K2909" t="s">
        <v>66</v>
      </c>
      <c r="L2909" t="s">
        <v>46</v>
      </c>
      <c r="M2909" t="s">
        <v>68</v>
      </c>
      <c r="N2909" t="s">
        <v>48</v>
      </c>
      <c r="O2909" t="s">
        <v>70</v>
      </c>
      <c r="P2909" t="s">
        <v>71</v>
      </c>
      <c r="Q2909" t="s">
        <v>129</v>
      </c>
      <c r="R2909">
        <v>256</v>
      </c>
      <c r="S2909">
        <v>151</v>
      </c>
      <c r="T2909">
        <v>117</v>
      </c>
      <c r="U2909">
        <v>40</v>
      </c>
      <c r="V2909" t="s">
        <v>7018</v>
      </c>
      <c r="W2909">
        <v>65601</v>
      </c>
      <c r="X2909" t="s">
        <v>4696</v>
      </c>
      <c r="Y2909">
        <v>50790</v>
      </c>
      <c r="Z2909">
        <v>2624040</v>
      </c>
      <c r="AA2909">
        <v>592440</v>
      </c>
      <c r="AB2909" t="str">
        <f>(VLOOKUP(SalesData[[#This Row],[Month Number]],Reference!C$5:E$16,2,FALSE))</f>
        <v>Feb</v>
      </c>
      <c r="AC2909">
        <f>MONTH(SalesData[[#This Row],[Date]])</f>
        <v>2</v>
      </c>
      <c r="AD2909">
        <f>Reference!F$4</f>
        <v>2026</v>
      </c>
      <c r="AE2909" t="str">
        <f>IF(OR(SalesData[[#This Row],[Day]]="Saturday",SalesData[[#This Row],[Day]]="Sunday"),"Weekend","Weekday")</f>
        <v>Weekend</v>
      </c>
      <c r="AF2909" s="5">
        <f>IF(SalesData[[#This Row],[Contracts Offered]]=0,0,SalesData[[#This Row],[Contracts Signed]]/SalesData[[#This Row],[Contracts Offered]])</f>
        <v>0.34188034188034189</v>
      </c>
      <c r="AG2909" s="5">
        <f>IF(SalesData[[#This Row],[Customers Visited]]=0,0,SalesData[[#This Row],[Test Drives]]/SalesData[[#This Row],[Customers Visited]])</f>
        <v>0.58984375</v>
      </c>
      <c r="AH2909" s="5">
        <f>IF(SalesData[[#This Row],[Customers Visited]]=0,0,SalesData[[#This Row],[Contracts Signed]]/SalesData[[#This Row],[Customers Visited]])</f>
        <v>0.15625</v>
      </c>
      <c r="AI2909" s="6">
        <f>IF(SalesData[[#This Row],[Contracts Signed]]=0,0,SalesData[[#This Row],[Profit(€)]]/SalesData[[#This Row],[Contracts Signed]])</f>
        <v>14811</v>
      </c>
      <c r="AJ2909" s="5" t="str">
        <f>TRIM(CLEAN(SalesData[[#This Row],[Retailer]]))</f>
        <v>Hannover Cars</v>
      </c>
    </row>
    <row r="2910" spans="1:36" ht="14.25" hidden="1" x14ac:dyDescent="0.2">
      <c r="A2910" t="s">
        <v>4046</v>
      </c>
      <c r="B2910" s="1">
        <v>46079</v>
      </c>
      <c r="C2910" t="s">
        <v>53</v>
      </c>
      <c r="D2910" t="s">
        <v>100</v>
      </c>
      <c r="E2910" t="s">
        <v>26</v>
      </c>
      <c r="F2910" t="s">
        <v>101</v>
      </c>
      <c r="G2910" t="s">
        <v>102</v>
      </c>
      <c r="H2910" t="s">
        <v>103</v>
      </c>
      <c r="I2910" t="s">
        <v>64</v>
      </c>
      <c r="J2910" t="s">
        <v>77</v>
      </c>
      <c r="K2910" t="s">
        <v>66</v>
      </c>
      <c r="L2910" t="s">
        <v>46</v>
      </c>
      <c r="M2910" t="s">
        <v>87</v>
      </c>
      <c r="N2910" t="s">
        <v>48</v>
      </c>
      <c r="O2910" t="s">
        <v>36</v>
      </c>
      <c r="P2910" t="s">
        <v>49</v>
      </c>
      <c r="Q2910" t="s">
        <v>144</v>
      </c>
      <c r="R2910">
        <v>238</v>
      </c>
      <c r="S2910">
        <v>113</v>
      </c>
      <c r="T2910">
        <v>83</v>
      </c>
      <c r="U2910">
        <v>27</v>
      </c>
      <c r="V2910" t="s">
        <v>6640</v>
      </c>
      <c r="W2910">
        <v>50383</v>
      </c>
      <c r="X2910" t="s">
        <v>698</v>
      </c>
      <c r="Y2910">
        <v>39604</v>
      </c>
      <c r="Z2910">
        <v>1360341</v>
      </c>
      <c r="AA2910">
        <v>291033</v>
      </c>
      <c r="AB2910" t="str">
        <f>(VLOOKUP(SalesData[[#This Row],[Month Number]],Reference!C$5:E$16,2,FALSE))</f>
        <v>Feb</v>
      </c>
      <c r="AC2910">
        <f>MONTH(SalesData[[#This Row],[Date]])</f>
        <v>2</v>
      </c>
      <c r="AD2910">
        <f>Reference!F$4</f>
        <v>2026</v>
      </c>
      <c r="AE2910" t="str">
        <f>IF(OR(SalesData[[#This Row],[Day]]="Saturday",SalesData[[#This Row],[Day]]="Sunday"),"Weekend","Weekday")</f>
        <v>Weekday</v>
      </c>
      <c r="AF2910" s="5">
        <f>IF(SalesData[[#This Row],[Contracts Offered]]=0,0,SalesData[[#This Row],[Contracts Signed]]/SalesData[[#This Row],[Contracts Offered]])</f>
        <v>0.3253012048192771</v>
      </c>
      <c r="AG2910" s="5">
        <f>IF(SalesData[[#This Row],[Customers Visited]]=0,0,SalesData[[#This Row],[Test Drives]]/SalesData[[#This Row],[Customers Visited]])</f>
        <v>0.47478991596638653</v>
      </c>
      <c r="AH2910" s="5">
        <f>IF(SalesData[[#This Row],[Customers Visited]]=0,0,SalesData[[#This Row],[Contracts Signed]]/SalesData[[#This Row],[Customers Visited]])</f>
        <v>0.1134453781512605</v>
      </c>
      <c r="AI2910" s="6">
        <f>IF(SalesData[[#This Row],[Contracts Signed]]=0,0,SalesData[[#This Row],[Profit(€)]]/SalesData[[#This Row],[Contracts Signed]])</f>
        <v>10779</v>
      </c>
      <c r="AJ2910" s="5" t="str">
        <f>TRIM(CLEAN(SalesData[[#This Row],[Retailer]]))</f>
        <v>Ruhr Auto Plaza</v>
      </c>
    </row>
    <row r="2911" spans="1:36" ht="14.25" hidden="1" x14ac:dyDescent="0.2">
      <c r="A2911" t="s">
        <v>4047</v>
      </c>
      <c r="B2911" s="1">
        <v>46058</v>
      </c>
      <c r="C2911" t="s">
        <v>24</v>
      </c>
      <c r="D2911" t="s">
        <v>100</v>
      </c>
      <c r="E2911" t="s">
        <v>26</v>
      </c>
      <c r="F2911" t="s">
        <v>109</v>
      </c>
      <c r="G2911" t="s">
        <v>110</v>
      </c>
      <c r="H2911" t="s">
        <v>45</v>
      </c>
      <c r="I2911" t="s">
        <v>64</v>
      </c>
      <c r="J2911" t="s">
        <v>111</v>
      </c>
      <c r="K2911" t="s">
        <v>32</v>
      </c>
      <c r="L2911" t="s">
        <v>46</v>
      </c>
      <c r="M2911" t="s">
        <v>87</v>
      </c>
      <c r="N2911" t="s">
        <v>35</v>
      </c>
      <c r="O2911" t="s">
        <v>70</v>
      </c>
      <c r="P2911" t="s">
        <v>58</v>
      </c>
      <c r="Q2911" t="s">
        <v>50</v>
      </c>
      <c r="R2911">
        <v>228</v>
      </c>
      <c r="S2911">
        <v>129</v>
      </c>
      <c r="T2911">
        <v>100</v>
      </c>
      <c r="U2911">
        <v>34</v>
      </c>
      <c r="V2911" t="s">
        <v>6522</v>
      </c>
      <c r="W2911">
        <v>55122</v>
      </c>
      <c r="X2911" t="s">
        <v>7220</v>
      </c>
      <c r="Y2911">
        <v>41830</v>
      </c>
      <c r="Z2911">
        <v>1874148</v>
      </c>
      <c r="AA2911">
        <v>451928</v>
      </c>
      <c r="AB2911" t="str">
        <f>(VLOOKUP(SalesData[[#This Row],[Month Number]],Reference!C$5:E$16,2,FALSE))</f>
        <v>Feb</v>
      </c>
      <c r="AC2911">
        <f>MONTH(SalesData[[#This Row],[Date]])</f>
        <v>2</v>
      </c>
      <c r="AD2911">
        <f>Reference!F$4</f>
        <v>2026</v>
      </c>
      <c r="AE2911" t="str">
        <f>IF(OR(SalesData[[#This Row],[Day]]="Saturday",SalesData[[#This Row],[Day]]="Sunday"),"Weekend","Weekday")</f>
        <v>Weekday</v>
      </c>
      <c r="AF2911" s="5">
        <f>IF(SalesData[[#This Row],[Contracts Offered]]=0,0,SalesData[[#This Row],[Contracts Signed]]/SalesData[[#This Row],[Contracts Offered]])</f>
        <v>0.34</v>
      </c>
      <c r="AG2911" s="5">
        <f>IF(SalesData[[#This Row],[Customers Visited]]=0,0,SalesData[[#This Row],[Test Drives]]/SalesData[[#This Row],[Customers Visited]])</f>
        <v>0.56578947368421051</v>
      </c>
      <c r="AH2911" s="5">
        <f>IF(SalesData[[#This Row],[Customers Visited]]=0,0,SalesData[[#This Row],[Contracts Signed]]/SalesData[[#This Row],[Customers Visited]])</f>
        <v>0.14912280701754385</v>
      </c>
      <c r="AI2911" s="6">
        <f>IF(SalesData[[#This Row],[Contracts Signed]]=0,0,SalesData[[#This Row],[Profit(€)]]/SalesData[[#This Row],[Contracts Signed]])</f>
        <v>13292</v>
      </c>
      <c r="AJ2911" s="5" t="str">
        <f>TRIM(CLEAN(SalesData[[#This Row],[Retailer]]))</f>
        <v>Leipzig Mobility</v>
      </c>
    </row>
    <row r="2912" spans="1:36" ht="14.25" x14ac:dyDescent="0.2">
      <c r="A2912" t="s">
        <v>4048</v>
      </c>
      <c r="B2912" s="1">
        <v>46062</v>
      </c>
      <c r="C2912" t="s">
        <v>121</v>
      </c>
      <c r="D2912" t="s">
        <v>25</v>
      </c>
      <c r="E2912" t="s">
        <v>26</v>
      </c>
      <c r="F2912" t="s">
        <v>114</v>
      </c>
      <c r="G2912" t="s">
        <v>115</v>
      </c>
      <c r="H2912" t="s">
        <v>115</v>
      </c>
      <c r="I2912" t="s">
        <v>30</v>
      </c>
      <c r="J2912" t="s">
        <v>7075</v>
      </c>
      <c r="K2912" t="s">
        <v>32</v>
      </c>
      <c r="L2912" t="s">
        <v>33</v>
      </c>
      <c r="M2912" t="s">
        <v>34</v>
      </c>
      <c r="N2912" t="s">
        <v>35</v>
      </c>
      <c r="O2912" t="s">
        <v>70</v>
      </c>
      <c r="P2912" t="s">
        <v>37</v>
      </c>
      <c r="Q2912" t="s">
        <v>152</v>
      </c>
      <c r="R2912">
        <v>274</v>
      </c>
      <c r="S2912">
        <v>168</v>
      </c>
      <c r="T2912">
        <v>130</v>
      </c>
      <c r="U2912">
        <v>46</v>
      </c>
      <c r="V2912" t="s">
        <v>6944</v>
      </c>
      <c r="W2912">
        <v>67610</v>
      </c>
      <c r="X2912" t="s">
        <v>7535</v>
      </c>
      <c r="Y2912">
        <v>51834</v>
      </c>
      <c r="Z2912">
        <v>3110060</v>
      </c>
      <c r="AA2912">
        <v>725696</v>
      </c>
      <c r="AB2912" t="str">
        <f>(VLOOKUP(SalesData[[#This Row],[Month Number]],Reference!C$5:E$16,2,FALSE))</f>
        <v>Feb</v>
      </c>
      <c r="AC2912">
        <f>MONTH(SalesData[[#This Row],[Date]])</f>
        <v>2</v>
      </c>
      <c r="AD2912">
        <f>Reference!F$4</f>
        <v>2026</v>
      </c>
      <c r="AE2912" t="str">
        <f>IF(OR(SalesData[[#This Row],[Day]]="Saturday",SalesData[[#This Row],[Day]]="Sunday"),"Weekend","Weekday")</f>
        <v>Weekday</v>
      </c>
      <c r="AF2912" s="5">
        <f>IF(SalesData[[#This Row],[Contracts Offered]]=0,0,SalesData[[#This Row],[Contracts Signed]]/SalesData[[#This Row],[Contracts Offered]])</f>
        <v>0.35384615384615387</v>
      </c>
      <c r="AG2912" s="5">
        <f>IF(SalesData[[#This Row],[Customers Visited]]=0,0,SalesData[[#This Row],[Test Drives]]/SalesData[[#This Row],[Customers Visited]])</f>
        <v>0.61313868613138689</v>
      </c>
      <c r="AH2912" s="5">
        <f>IF(SalesData[[#This Row],[Customers Visited]]=0,0,SalesData[[#This Row],[Contracts Signed]]/SalesData[[#This Row],[Customers Visited]])</f>
        <v>0.16788321167883211</v>
      </c>
      <c r="AI2912" s="6">
        <f>IF(SalesData[[#This Row],[Contracts Signed]]=0,0,SalesData[[#This Row],[Profit(€)]]/SalesData[[#This Row],[Contracts Signed]])</f>
        <v>15776</v>
      </c>
      <c r="AJ2912" s="5" t="str">
        <f>TRIM(CLEAN(SalesData[[#This Row],[Retailer]]))</f>
        <v>Elbe Drive</v>
      </c>
    </row>
    <row r="2913" spans="1:36" ht="14.25" hidden="1" x14ac:dyDescent="0.2">
      <c r="A2913" t="s">
        <v>4049</v>
      </c>
      <c r="B2913" s="1">
        <v>46076</v>
      </c>
      <c r="C2913" t="s">
        <v>53</v>
      </c>
      <c r="D2913" t="s">
        <v>25</v>
      </c>
      <c r="E2913" t="s">
        <v>26</v>
      </c>
      <c r="F2913" t="s">
        <v>94</v>
      </c>
      <c r="G2913" t="s">
        <v>95</v>
      </c>
      <c r="H2913" t="s">
        <v>96</v>
      </c>
      <c r="I2913" t="s">
        <v>116</v>
      </c>
      <c r="J2913" t="s">
        <v>203</v>
      </c>
      <c r="K2913" t="s">
        <v>32</v>
      </c>
      <c r="L2913" t="s">
        <v>67</v>
      </c>
      <c r="M2913" t="s">
        <v>87</v>
      </c>
      <c r="N2913" t="s">
        <v>48</v>
      </c>
      <c r="O2913" t="s">
        <v>36</v>
      </c>
      <c r="P2913" t="s">
        <v>37</v>
      </c>
      <c r="Q2913" t="s">
        <v>88</v>
      </c>
      <c r="R2913">
        <v>380</v>
      </c>
      <c r="S2913">
        <v>163</v>
      </c>
      <c r="T2913">
        <v>98</v>
      </c>
      <c r="U2913">
        <v>30</v>
      </c>
      <c r="V2913" t="s">
        <v>1170</v>
      </c>
      <c r="W2913">
        <v>27389</v>
      </c>
      <c r="X2913" t="s">
        <v>5036</v>
      </c>
      <c r="Y2913">
        <v>24504</v>
      </c>
      <c r="Z2913">
        <v>821670</v>
      </c>
      <c r="AA2913">
        <v>86550</v>
      </c>
      <c r="AB2913" t="str">
        <f>(VLOOKUP(SalesData[[#This Row],[Month Number]],Reference!C$5:E$16,2,FALSE))</f>
        <v>Feb</v>
      </c>
      <c r="AC2913">
        <f>MONTH(SalesData[[#This Row],[Date]])</f>
        <v>2</v>
      </c>
      <c r="AD2913">
        <f>Reference!F$4</f>
        <v>2026</v>
      </c>
      <c r="AE2913" t="str">
        <f>IF(OR(SalesData[[#This Row],[Day]]="Saturday",SalesData[[#This Row],[Day]]="Sunday"),"Weekend","Weekday")</f>
        <v>Weekday</v>
      </c>
      <c r="AF2913" s="5">
        <f>IF(SalesData[[#This Row],[Contracts Offered]]=0,0,SalesData[[#This Row],[Contracts Signed]]/SalesData[[#This Row],[Contracts Offered]])</f>
        <v>0.30612244897959184</v>
      </c>
      <c r="AG2913" s="5">
        <f>IF(SalesData[[#This Row],[Customers Visited]]=0,0,SalesData[[#This Row],[Test Drives]]/SalesData[[#This Row],[Customers Visited]])</f>
        <v>0.42894736842105263</v>
      </c>
      <c r="AH2913" s="5">
        <f>IF(SalesData[[#This Row],[Customers Visited]]=0,0,SalesData[[#This Row],[Contracts Signed]]/SalesData[[#This Row],[Customers Visited]])</f>
        <v>7.8947368421052627E-2</v>
      </c>
      <c r="AI2913" s="6">
        <f>IF(SalesData[[#This Row],[Contracts Signed]]=0,0,SalesData[[#This Row],[Profit(€)]]/SalesData[[#This Row],[Contracts Signed]])</f>
        <v>2885</v>
      </c>
      <c r="AJ2913" s="5" t="str">
        <f>TRIM(CLEAN(SalesData[[#This Row],[Retailer]]))</f>
        <v>Bavaria Motors</v>
      </c>
    </row>
    <row r="2914" spans="1:36" ht="14.25" hidden="1" x14ac:dyDescent="0.2">
      <c r="A2914" t="s">
        <v>4050</v>
      </c>
      <c r="B2914" s="1">
        <v>46073</v>
      </c>
      <c r="C2914" t="s">
        <v>62</v>
      </c>
      <c r="D2914" t="s">
        <v>54</v>
      </c>
      <c r="E2914" t="s">
        <v>26</v>
      </c>
      <c r="F2914" t="s">
        <v>27</v>
      </c>
      <c r="G2914" t="s">
        <v>28</v>
      </c>
      <c r="H2914" t="s">
        <v>29</v>
      </c>
      <c r="I2914" t="s">
        <v>56</v>
      </c>
      <c r="J2914" t="s">
        <v>179</v>
      </c>
      <c r="K2914" t="s">
        <v>78</v>
      </c>
      <c r="L2914" t="s">
        <v>67</v>
      </c>
      <c r="M2914" t="s">
        <v>34</v>
      </c>
      <c r="N2914" t="s">
        <v>48</v>
      </c>
      <c r="O2914" t="s">
        <v>70</v>
      </c>
      <c r="P2914" t="s">
        <v>49</v>
      </c>
      <c r="Q2914" t="s">
        <v>204</v>
      </c>
      <c r="R2914">
        <v>252</v>
      </c>
      <c r="S2914">
        <v>147</v>
      </c>
      <c r="T2914">
        <v>112</v>
      </c>
      <c r="U2914">
        <v>29</v>
      </c>
      <c r="V2914" t="s">
        <v>3493</v>
      </c>
      <c r="W2914">
        <v>50446</v>
      </c>
      <c r="X2914" t="s">
        <v>7079</v>
      </c>
      <c r="Y2914">
        <v>38477</v>
      </c>
      <c r="Z2914">
        <v>1462934</v>
      </c>
      <c r="AA2914">
        <v>347101</v>
      </c>
      <c r="AB2914" t="str">
        <f>(VLOOKUP(SalesData[[#This Row],[Month Number]],Reference!C$5:E$16,2,FALSE))</f>
        <v>Feb</v>
      </c>
      <c r="AC2914">
        <f>MONTH(SalesData[[#This Row],[Date]])</f>
        <v>2</v>
      </c>
      <c r="AD2914">
        <f>Reference!F$4</f>
        <v>2026</v>
      </c>
      <c r="AE2914" t="str">
        <f>IF(OR(SalesData[[#This Row],[Day]]="Saturday",SalesData[[#This Row],[Day]]="Sunday"),"Weekend","Weekday")</f>
        <v>Weekday</v>
      </c>
      <c r="AF2914" s="5">
        <f>IF(SalesData[[#This Row],[Contracts Offered]]=0,0,SalesData[[#This Row],[Contracts Signed]]/SalesData[[#This Row],[Contracts Offered]])</f>
        <v>0.25892857142857145</v>
      </c>
      <c r="AG2914" s="5">
        <f>IF(SalesData[[#This Row],[Customers Visited]]=0,0,SalesData[[#This Row],[Test Drives]]/SalesData[[#This Row],[Customers Visited]])</f>
        <v>0.58333333333333337</v>
      </c>
      <c r="AH2914" s="5">
        <f>IF(SalesData[[#This Row],[Customers Visited]]=0,0,SalesData[[#This Row],[Contracts Signed]]/SalesData[[#This Row],[Customers Visited]])</f>
        <v>0.11507936507936507</v>
      </c>
      <c r="AI2914" s="6">
        <f>IF(SalesData[[#This Row],[Contracts Signed]]=0,0,SalesData[[#This Row],[Profit(€)]]/SalesData[[#This Row],[Contracts Signed]])</f>
        <v>11969</v>
      </c>
      <c r="AJ2914" s="5" t="str">
        <f>TRIM(CLEAN(SalesData[[#This Row],[Retailer]]))</f>
        <v>Main Auto Hub</v>
      </c>
    </row>
    <row r="2915" spans="1:36" ht="14.25" hidden="1" x14ac:dyDescent="0.2">
      <c r="A2915" t="s">
        <v>4051</v>
      </c>
      <c r="B2915" s="1">
        <v>46064</v>
      </c>
      <c r="C2915" t="s">
        <v>121</v>
      </c>
      <c r="D2915" t="s">
        <v>82</v>
      </c>
      <c r="E2915" t="s">
        <v>26</v>
      </c>
      <c r="F2915" t="s">
        <v>43</v>
      </c>
      <c r="G2915" t="s">
        <v>44</v>
      </c>
      <c r="H2915" t="s">
        <v>45</v>
      </c>
      <c r="I2915" t="s">
        <v>116</v>
      </c>
      <c r="J2915" t="s">
        <v>7026</v>
      </c>
      <c r="K2915" t="s">
        <v>32</v>
      </c>
      <c r="L2915" t="s">
        <v>46</v>
      </c>
      <c r="M2915" t="s">
        <v>47</v>
      </c>
      <c r="N2915" t="s">
        <v>69</v>
      </c>
      <c r="O2915" t="s">
        <v>70</v>
      </c>
      <c r="P2915" t="s">
        <v>37</v>
      </c>
      <c r="Q2915" t="s">
        <v>38</v>
      </c>
      <c r="R2915">
        <v>382</v>
      </c>
      <c r="S2915">
        <v>197</v>
      </c>
      <c r="T2915">
        <v>126</v>
      </c>
      <c r="U2915">
        <v>26</v>
      </c>
      <c r="V2915" t="s">
        <v>6983</v>
      </c>
      <c r="W2915">
        <v>20321</v>
      </c>
      <c r="X2915" t="s">
        <v>1068</v>
      </c>
      <c r="Y2915">
        <v>18615</v>
      </c>
      <c r="Z2915">
        <v>528346</v>
      </c>
      <c r="AA2915">
        <v>44356</v>
      </c>
      <c r="AB2915" t="str">
        <f>(VLOOKUP(SalesData[[#This Row],[Month Number]],Reference!C$5:E$16,2,FALSE))</f>
        <v>Feb</v>
      </c>
      <c r="AC2915">
        <f>MONTH(SalesData[[#This Row],[Date]])</f>
        <v>2</v>
      </c>
      <c r="AD2915">
        <f>Reference!F$4</f>
        <v>2026</v>
      </c>
      <c r="AE2915" t="str">
        <f>IF(OR(SalesData[[#This Row],[Day]]="Saturday",SalesData[[#This Row],[Day]]="Sunday"),"Weekend","Weekday")</f>
        <v>Weekday</v>
      </c>
      <c r="AF2915" s="5">
        <f>IF(SalesData[[#This Row],[Contracts Offered]]=0,0,SalesData[[#This Row],[Contracts Signed]]/SalesData[[#This Row],[Contracts Offered]])</f>
        <v>0.20634920634920634</v>
      </c>
      <c r="AG2915" s="5">
        <f>IF(SalesData[[#This Row],[Customers Visited]]=0,0,SalesData[[#This Row],[Test Drives]]/SalesData[[#This Row],[Customers Visited]])</f>
        <v>0.51570680628272247</v>
      </c>
      <c r="AH2915" s="5">
        <f>IF(SalesData[[#This Row],[Customers Visited]]=0,0,SalesData[[#This Row],[Contracts Signed]]/SalesData[[#This Row],[Customers Visited]])</f>
        <v>6.8062827225130892E-2</v>
      </c>
      <c r="AI2915" s="6">
        <f>IF(SalesData[[#This Row],[Contracts Signed]]=0,0,SalesData[[#This Row],[Profit(€)]]/SalesData[[#This Row],[Contracts Signed]])</f>
        <v>1706</v>
      </c>
      <c r="AJ2915" s="5" t="str">
        <f>TRIM(CLEAN(SalesData[[#This Row],[Retailer]]))</f>
        <v>Saxon Wheels</v>
      </c>
    </row>
    <row r="2916" spans="1:36" ht="14.25" hidden="1" x14ac:dyDescent="0.2">
      <c r="A2916" t="s">
        <v>4052</v>
      </c>
      <c r="B2916" s="1">
        <v>46072</v>
      </c>
      <c r="C2916" t="s">
        <v>62</v>
      </c>
      <c r="D2916" t="s">
        <v>100</v>
      </c>
      <c r="E2916" t="s">
        <v>26</v>
      </c>
      <c r="F2916" t="s">
        <v>94</v>
      </c>
      <c r="G2916" t="s">
        <v>95</v>
      </c>
      <c r="H2916" t="s">
        <v>96</v>
      </c>
      <c r="I2916" t="s">
        <v>56</v>
      </c>
      <c r="J2916" t="s">
        <v>57</v>
      </c>
      <c r="K2916" t="s">
        <v>66</v>
      </c>
      <c r="L2916" t="s">
        <v>46</v>
      </c>
      <c r="M2916" t="s">
        <v>87</v>
      </c>
      <c r="N2916" t="s">
        <v>48</v>
      </c>
      <c r="O2916" t="s">
        <v>70</v>
      </c>
      <c r="P2916" t="s">
        <v>49</v>
      </c>
      <c r="Q2916" t="s">
        <v>106</v>
      </c>
      <c r="R2916">
        <v>197</v>
      </c>
      <c r="S2916">
        <v>119</v>
      </c>
      <c r="T2916">
        <v>89</v>
      </c>
      <c r="U2916">
        <v>24</v>
      </c>
      <c r="V2916" t="s">
        <v>7569</v>
      </c>
      <c r="W2916">
        <v>44951</v>
      </c>
      <c r="X2916" t="s">
        <v>1199</v>
      </c>
      <c r="Y2916">
        <v>36830</v>
      </c>
      <c r="Z2916">
        <v>1078824</v>
      </c>
      <c r="AA2916">
        <v>194904</v>
      </c>
      <c r="AB2916" t="str">
        <f>(VLOOKUP(SalesData[[#This Row],[Month Number]],Reference!C$5:E$16,2,FALSE))</f>
        <v>Feb</v>
      </c>
      <c r="AC2916">
        <f>MONTH(SalesData[[#This Row],[Date]])</f>
        <v>2</v>
      </c>
      <c r="AD2916">
        <f>Reference!F$4</f>
        <v>2026</v>
      </c>
      <c r="AE2916" t="str">
        <f>IF(OR(SalesData[[#This Row],[Day]]="Saturday",SalesData[[#This Row],[Day]]="Sunday"),"Weekend","Weekday")</f>
        <v>Weekday</v>
      </c>
      <c r="AF2916" s="5">
        <f>IF(SalesData[[#This Row],[Contracts Offered]]=0,0,SalesData[[#This Row],[Contracts Signed]]/SalesData[[#This Row],[Contracts Offered]])</f>
        <v>0.2696629213483146</v>
      </c>
      <c r="AG2916" s="5">
        <f>IF(SalesData[[#This Row],[Customers Visited]]=0,0,SalesData[[#This Row],[Test Drives]]/SalesData[[#This Row],[Customers Visited]])</f>
        <v>0.60406091370558379</v>
      </c>
      <c r="AH2916" s="5">
        <f>IF(SalesData[[#This Row],[Customers Visited]]=0,0,SalesData[[#This Row],[Contracts Signed]]/SalesData[[#This Row],[Customers Visited]])</f>
        <v>0.12182741116751269</v>
      </c>
      <c r="AI2916" s="6">
        <f>IF(SalesData[[#This Row],[Contracts Signed]]=0,0,SalesData[[#This Row],[Profit(€)]]/SalesData[[#This Row],[Contracts Signed]])</f>
        <v>8121</v>
      </c>
      <c r="AJ2916" s="5" t="str">
        <f>TRIM(CLEAN(SalesData[[#This Row],[Retailer]]))</f>
        <v>Bavaria Motors</v>
      </c>
    </row>
    <row r="2917" spans="1:36" ht="14.25" hidden="1" x14ac:dyDescent="0.2">
      <c r="A2917" t="s">
        <v>4053</v>
      </c>
      <c r="B2917" s="1">
        <v>46058</v>
      </c>
      <c r="C2917" t="s">
        <v>24</v>
      </c>
      <c r="D2917" t="s">
        <v>100</v>
      </c>
      <c r="E2917" t="s">
        <v>26</v>
      </c>
      <c r="F2917" t="s">
        <v>109</v>
      </c>
      <c r="G2917" t="s">
        <v>110</v>
      </c>
      <c r="H2917" t="s">
        <v>45</v>
      </c>
      <c r="I2917" t="s">
        <v>64</v>
      </c>
      <c r="J2917" t="s">
        <v>157</v>
      </c>
      <c r="K2917" t="s">
        <v>66</v>
      </c>
      <c r="L2917" t="s">
        <v>33</v>
      </c>
      <c r="M2917" t="s">
        <v>87</v>
      </c>
      <c r="N2917" t="s">
        <v>69</v>
      </c>
      <c r="O2917" t="s">
        <v>36</v>
      </c>
      <c r="P2917" t="s">
        <v>37</v>
      </c>
      <c r="Q2917" t="s">
        <v>189</v>
      </c>
      <c r="R2917">
        <v>167</v>
      </c>
      <c r="S2917">
        <v>94</v>
      </c>
      <c r="T2917">
        <v>74</v>
      </c>
      <c r="U2917">
        <v>22</v>
      </c>
      <c r="V2917" t="s">
        <v>6801</v>
      </c>
      <c r="W2917">
        <v>58656</v>
      </c>
      <c r="X2917" t="s">
        <v>2142</v>
      </c>
      <c r="Y2917">
        <v>45599</v>
      </c>
      <c r="Z2917">
        <v>1290432</v>
      </c>
      <c r="AA2917">
        <v>287254</v>
      </c>
      <c r="AB2917" t="str">
        <f>(VLOOKUP(SalesData[[#This Row],[Month Number]],Reference!C$5:E$16,2,FALSE))</f>
        <v>Feb</v>
      </c>
      <c r="AC2917">
        <f>MONTH(SalesData[[#This Row],[Date]])</f>
        <v>2</v>
      </c>
      <c r="AD2917">
        <f>Reference!F$4</f>
        <v>2026</v>
      </c>
      <c r="AE2917" t="str">
        <f>IF(OR(SalesData[[#This Row],[Day]]="Saturday",SalesData[[#This Row],[Day]]="Sunday"),"Weekend","Weekday")</f>
        <v>Weekday</v>
      </c>
      <c r="AF2917" s="5">
        <f>IF(SalesData[[#This Row],[Contracts Offered]]=0,0,SalesData[[#This Row],[Contracts Signed]]/SalesData[[#This Row],[Contracts Offered]])</f>
        <v>0.29729729729729731</v>
      </c>
      <c r="AG2917" s="5">
        <f>IF(SalesData[[#This Row],[Customers Visited]]=0,0,SalesData[[#This Row],[Test Drives]]/SalesData[[#This Row],[Customers Visited]])</f>
        <v>0.56287425149700598</v>
      </c>
      <c r="AH2917" s="5">
        <f>IF(SalesData[[#This Row],[Customers Visited]]=0,0,SalesData[[#This Row],[Contracts Signed]]/SalesData[[#This Row],[Customers Visited]])</f>
        <v>0.1317365269461078</v>
      </c>
      <c r="AI2917" s="6">
        <f>IF(SalesData[[#This Row],[Contracts Signed]]=0,0,SalesData[[#This Row],[Profit(€)]]/SalesData[[#This Row],[Contracts Signed]])</f>
        <v>13057</v>
      </c>
      <c r="AJ2917" s="5" t="str">
        <f>TRIM(CLEAN(SalesData[[#This Row],[Retailer]]))</f>
        <v>Leipzig Mobility</v>
      </c>
    </row>
    <row r="2918" spans="1:36" ht="14.25" hidden="1" x14ac:dyDescent="0.2">
      <c r="A2918" t="s">
        <v>4054</v>
      </c>
      <c r="B2918" s="1">
        <v>46067</v>
      </c>
      <c r="C2918" t="s">
        <v>121</v>
      </c>
      <c r="D2918" t="s">
        <v>151</v>
      </c>
      <c r="E2918" t="s">
        <v>42</v>
      </c>
      <c r="F2918" t="s">
        <v>74</v>
      </c>
      <c r="G2918" t="s">
        <v>75</v>
      </c>
      <c r="H2918" t="s">
        <v>76</v>
      </c>
      <c r="I2918" t="s">
        <v>56</v>
      </c>
      <c r="J2918" t="s">
        <v>179</v>
      </c>
      <c r="K2918" t="s">
        <v>66</v>
      </c>
      <c r="L2918" t="s">
        <v>67</v>
      </c>
      <c r="M2918" t="s">
        <v>47</v>
      </c>
      <c r="N2918" t="s">
        <v>35</v>
      </c>
      <c r="O2918" t="s">
        <v>36</v>
      </c>
      <c r="P2918" t="s">
        <v>37</v>
      </c>
      <c r="Q2918" t="s">
        <v>79</v>
      </c>
      <c r="R2918">
        <v>176</v>
      </c>
      <c r="S2918">
        <v>109</v>
      </c>
      <c r="T2918">
        <v>77</v>
      </c>
      <c r="U2918">
        <v>25</v>
      </c>
      <c r="V2918" t="s">
        <v>6664</v>
      </c>
      <c r="W2918">
        <v>45574</v>
      </c>
      <c r="X2918" t="s">
        <v>1002</v>
      </c>
      <c r="Y2918">
        <v>36141</v>
      </c>
      <c r="Z2918">
        <v>1139350</v>
      </c>
      <c r="AA2918">
        <v>235825</v>
      </c>
      <c r="AB2918" t="str">
        <f>(VLOOKUP(SalesData[[#This Row],[Month Number]],Reference!C$5:E$16,2,FALSE))</f>
        <v>Feb</v>
      </c>
      <c r="AC2918">
        <f>MONTH(SalesData[[#This Row],[Date]])</f>
        <v>2</v>
      </c>
      <c r="AD2918">
        <f>Reference!F$4</f>
        <v>2026</v>
      </c>
      <c r="AE2918" t="str">
        <f>IF(OR(SalesData[[#This Row],[Day]]="Saturday",SalesData[[#This Row],[Day]]="Sunday"),"Weekend","Weekday")</f>
        <v>Weekend</v>
      </c>
      <c r="AF2918" s="5">
        <f>IF(SalesData[[#This Row],[Contracts Offered]]=0,0,SalesData[[#This Row],[Contracts Signed]]/SalesData[[#This Row],[Contracts Offered]])</f>
        <v>0.32467532467532467</v>
      </c>
      <c r="AG2918" s="5">
        <f>IF(SalesData[[#This Row],[Customers Visited]]=0,0,SalesData[[#This Row],[Test Drives]]/SalesData[[#This Row],[Customers Visited]])</f>
        <v>0.61931818181818177</v>
      </c>
      <c r="AH2918" s="5">
        <f>IF(SalesData[[#This Row],[Customers Visited]]=0,0,SalesData[[#This Row],[Contracts Signed]]/SalesData[[#This Row],[Customers Visited]])</f>
        <v>0.14204545454545456</v>
      </c>
      <c r="AI2918" s="6">
        <f>IF(SalesData[[#This Row],[Contracts Signed]]=0,0,SalesData[[#This Row],[Profit(€)]]/SalesData[[#This Row],[Contracts Signed]])</f>
        <v>9433</v>
      </c>
      <c r="AJ2918" s="5" t="str">
        <f>TRIM(CLEAN(SalesData[[#This Row],[Retailer]]))</f>
        <v>Stuttgart Auto Center</v>
      </c>
    </row>
    <row r="2919" spans="1:36" ht="14.25" hidden="1" x14ac:dyDescent="0.2">
      <c r="A2919" t="s">
        <v>4055</v>
      </c>
      <c r="B2919" s="1">
        <v>46077</v>
      </c>
      <c r="C2919" t="s">
        <v>53</v>
      </c>
      <c r="D2919" t="s">
        <v>63</v>
      </c>
      <c r="E2919" t="s">
        <v>26</v>
      </c>
      <c r="F2919" t="s">
        <v>43</v>
      </c>
      <c r="G2919" t="s">
        <v>44</v>
      </c>
      <c r="H2919" t="s">
        <v>45</v>
      </c>
      <c r="I2919" t="s">
        <v>116</v>
      </c>
      <c r="J2919" t="s">
        <v>7090</v>
      </c>
      <c r="K2919" t="s">
        <v>91</v>
      </c>
      <c r="L2919" t="s">
        <v>46</v>
      </c>
      <c r="M2919" t="s">
        <v>87</v>
      </c>
      <c r="N2919" t="s">
        <v>69</v>
      </c>
      <c r="O2919" t="s">
        <v>36</v>
      </c>
      <c r="P2919" t="s">
        <v>37</v>
      </c>
      <c r="Q2919" t="s">
        <v>88</v>
      </c>
      <c r="R2919">
        <v>385</v>
      </c>
      <c r="S2919">
        <v>154</v>
      </c>
      <c r="T2919">
        <v>101</v>
      </c>
      <c r="U2919">
        <v>19</v>
      </c>
      <c r="V2919" t="s">
        <v>3632</v>
      </c>
      <c r="W2919">
        <v>24927</v>
      </c>
      <c r="X2919" t="s">
        <v>7551</v>
      </c>
      <c r="Y2919">
        <v>22757</v>
      </c>
      <c r="Z2919">
        <v>473613</v>
      </c>
      <c r="AA2919">
        <v>41230</v>
      </c>
      <c r="AB2919" t="str">
        <f>(VLOOKUP(SalesData[[#This Row],[Month Number]],Reference!C$5:E$16,2,FALSE))</f>
        <v>Feb</v>
      </c>
      <c r="AC2919">
        <f>MONTH(SalesData[[#This Row],[Date]])</f>
        <v>2</v>
      </c>
      <c r="AD2919">
        <f>Reference!F$4</f>
        <v>2026</v>
      </c>
      <c r="AE2919" t="str">
        <f>IF(OR(SalesData[[#This Row],[Day]]="Saturday",SalesData[[#This Row],[Day]]="Sunday"),"Weekend","Weekday")</f>
        <v>Weekday</v>
      </c>
      <c r="AF2919" s="5">
        <f>IF(SalesData[[#This Row],[Contracts Offered]]=0,0,SalesData[[#This Row],[Contracts Signed]]/SalesData[[#This Row],[Contracts Offered]])</f>
        <v>0.18811881188118812</v>
      </c>
      <c r="AG2919" s="5">
        <f>IF(SalesData[[#This Row],[Customers Visited]]=0,0,SalesData[[#This Row],[Test Drives]]/SalesData[[#This Row],[Customers Visited]])</f>
        <v>0.4</v>
      </c>
      <c r="AH2919" s="5">
        <f>IF(SalesData[[#This Row],[Customers Visited]]=0,0,SalesData[[#This Row],[Contracts Signed]]/SalesData[[#This Row],[Customers Visited]])</f>
        <v>4.9350649350649353E-2</v>
      </c>
      <c r="AI2919" s="6">
        <f>IF(SalesData[[#This Row],[Contracts Signed]]=0,0,SalesData[[#This Row],[Profit(€)]]/SalesData[[#This Row],[Contracts Signed]])</f>
        <v>2170</v>
      </c>
      <c r="AJ2919" s="5" t="str">
        <f>TRIM(CLEAN(SalesData[[#This Row],[Retailer]]))</f>
        <v>Saxon Wheels</v>
      </c>
    </row>
    <row r="2920" spans="1:36" ht="14.25" x14ac:dyDescent="0.2">
      <c r="A2920" t="s">
        <v>4056</v>
      </c>
      <c r="B2920" s="1">
        <v>46067</v>
      </c>
      <c r="C2920" t="s">
        <v>121</v>
      </c>
      <c r="D2920" t="s">
        <v>151</v>
      </c>
      <c r="E2920" t="s">
        <v>42</v>
      </c>
      <c r="F2920" t="s">
        <v>27</v>
      </c>
      <c r="G2920" t="s">
        <v>28</v>
      </c>
      <c r="H2920" t="s">
        <v>29</v>
      </c>
      <c r="I2920" t="s">
        <v>30</v>
      </c>
      <c r="J2920" t="s">
        <v>31</v>
      </c>
      <c r="K2920" t="s">
        <v>32</v>
      </c>
      <c r="L2920" t="s">
        <v>46</v>
      </c>
      <c r="M2920" t="s">
        <v>34</v>
      </c>
      <c r="N2920" t="s">
        <v>69</v>
      </c>
      <c r="O2920" t="s">
        <v>70</v>
      </c>
      <c r="P2920" t="s">
        <v>58</v>
      </c>
      <c r="Q2920" t="s">
        <v>167</v>
      </c>
      <c r="R2920">
        <v>199</v>
      </c>
      <c r="S2920">
        <v>102</v>
      </c>
      <c r="T2920">
        <v>71</v>
      </c>
      <c r="U2920">
        <v>28</v>
      </c>
      <c r="V2920" t="s">
        <v>6975</v>
      </c>
      <c r="W2920">
        <v>61187</v>
      </c>
      <c r="X2920" t="s">
        <v>702</v>
      </c>
      <c r="Y2920">
        <v>46208</v>
      </c>
      <c r="Z2920">
        <v>1713236</v>
      </c>
      <c r="AA2920">
        <v>419412</v>
      </c>
      <c r="AB2920" t="str">
        <f>(VLOOKUP(SalesData[[#This Row],[Month Number]],Reference!C$5:E$16,2,FALSE))</f>
        <v>Feb</v>
      </c>
      <c r="AC2920">
        <f>MONTH(SalesData[[#This Row],[Date]])</f>
        <v>2</v>
      </c>
      <c r="AD2920">
        <f>Reference!F$4</f>
        <v>2026</v>
      </c>
      <c r="AE2920" t="str">
        <f>IF(OR(SalesData[[#This Row],[Day]]="Saturday",SalesData[[#This Row],[Day]]="Sunday"),"Weekend","Weekday")</f>
        <v>Weekend</v>
      </c>
      <c r="AF2920" s="5">
        <f>IF(SalesData[[#This Row],[Contracts Offered]]=0,0,SalesData[[#This Row],[Contracts Signed]]/SalesData[[#This Row],[Contracts Offered]])</f>
        <v>0.39436619718309857</v>
      </c>
      <c r="AG2920" s="5">
        <f>IF(SalesData[[#This Row],[Customers Visited]]=0,0,SalesData[[#This Row],[Test Drives]]/SalesData[[#This Row],[Customers Visited]])</f>
        <v>0.51256281407035176</v>
      </c>
      <c r="AH2920" s="5">
        <f>IF(SalesData[[#This Row],[Customers Visited]]=0,0,SalesData[[#This Row],[Contracts Signed]]/SalesData[[#This Row],[Customers Visited]])</f>
        <v>0.1407035175879397</v>
      </c>
      <c r="AI2920" s="6">
        <f>IF(SalesData[[#This Row],[Contracts Signed]]=0,0,SalesData[[#This Row],[Profit(€)]]/SalesData[[#This Row],[Contracts Signed]])</f>
        <v>14979</v>
      </c>
      <c r="AJ2920" s="5" t="str">
        <f>TRIM(CLEAN(SalesData[[#This Row],[Retailer]]))</f>
        <v>Main Auto Hub</v>
      </c>
    </row>
    <row r="2921" spans="1:36" ht="14.25" hidden="1" x14ac:dyDescent="0.2">
      <c r="A2921" t="s">
        <v>4057</v>
      </c>
      <c r="B2921" s="1">
        <v>46071</v>
      </c>
      <c r="C2921" t="s">
        <v>62</v>
      </c>
      <c r="D2921" t="s">
        <v>82</v>
      </c>
      <c r="E2921" t="s">
        <v>26</v>
      </c>
      <c r="F2921" t="s">
        <v>27</v>
      </c>
      <c r="G2921" t="s">
        <v>28</v>
      </c>
      <c r="H2921" t="s">
        <v>29</v>
      </c>
      <c r="I2921" t="s">
        <v>56</v>
      </c>
      <c r="J2921" t="s">
        <v>137</v>
      </c>
      <c r="K2921" t="s">
        <v>32</v>
      </c>
      <c r="L2921" t="s">
        <v>46</v>
      </c>
      <c r="M2921" t="s">
        <v>87</v>
      </c>
      <c r="N2921" t="s">
        <v>48</v>
      </c>
      <c r="O2921" t="s">
        <v>70</v>
      </c>
      <c r="P2921" t="s">
        <v>58</v>
      </c>
      <c r="Q2921" t="s">
        <v>50</v>
      </c>
      <c r="R2921">
        <v>208</v>
      </c>
      <c r="S2921">
        <v>112</v>
      </c>
      <c r="T2921">
        <v>82</v>
      </c>
      <c r="U2921">
        <v>28</v>
      </c>
      <c r="V2921" t="s">
        <v>6403</v>
      </c>
      <c r="W2921">
        <v>41829</v>
      </c>
      <c r="X2921" t="s">
        <v>7296</v>
      </c>
      <c r="Y2921">
        <v>33371</v>
      </c>
      <c r="Z2921">
        <v>1171212</v>
      </c>
      <c r="AA2921">
        <v>236824</v>
      </c>
      <c r="AB2921" t="str">
        <f>(VLOOKUP(SalesData[[#This Row],[Month Number]],Reference!C$5:E$16,2,FALSE))</f>
        <v>Feb</v>
      </c>
      <c r="AC2921">
        <f>MONTH(SalesData[[#This Row],[Date]])</f>
        <v>2</v>
      </c>
      <c r="AD2921">
        <f>Reference!F$4</f>
        <v>2026</v>
      </c>
      <c r="AE2921" t="str">
        <f>IF(OR(SalesData[[#This Row],[Day]]="Saturday",SalesData[[#This Row],[Day]]="Sunday"),"Weekend","Weekday")</f>
        <v>Weekday</v>
      </c>
      <c r="AF2921" s="5">
        <f>IF(SalesData[[#This Row],[Contracts Offered]]=0,0,SalesData[[#This Row],[Contracts Signed]]/SalesData[[#This Row],[Contracts Offered]])</f>
        <v>0.34146341463414637</v>
      </c>
      <c r="AG2921" s="5">
        <f>IF(SalesData[[#This Row],[Customers Visited]]=0,0,SalesData[[#This Row],[Test Drives]]/SalesData[[#This Row],[Customers Visited]])</f>
        <v>0.53846153846153844</v>
      </c>
      <c r="AH2921" s="5">
        <f>IF(SalesData[[#This Row],[Customers Visited]]=0,0,SalesData[[#This Row],[Contracts Signed]]/SalesData[[#This Row],[Customers Visited]])</f>
        <v>0.13461538461538461</v>
      </c>
      <c r="AI2921" s="6">
        <f>IF(SalesData[[#This Row],[Contracts Signed]]=0,0,SalesData[[#This Row],[Profit(€)]]/SalesData[[#This Row],[Contracts Signed]])</f>
        <v>8458</v>
      </c>
      <c r="AJ2921" s="5" t="str">
        <f>TRIM(CLEAN(SalesData[[#This Row],[Retailer]]))</f>
        <v>Main Auto Hub</v>
      </c>
    </row>
    <row r="2922" spans="1:36" ht="14.25" hidden="1" x14ac:dyDescent="0.2">
      <c r="A2922" t="s">
        <v>4058</v>
      </c>
      <c r="B2922" s="1">
        <v>46063</v>
      </c>
      <c r="C2922" t="s">
        <v>121</v>
      </c>
      <c r="D2922" t="s">
        <v>63</v>
      </c>
      <c r="E2922" t="s">
        <v>26</v>
      </c>
      <c r="F2922" t="s">
        <v>27</v>
      </c>
      <c r="G2922" t="s">
        <v>28</v>
      </c>
      <c r="H2922" t="s">
        <v>29</v>
      </c>
      <c r="I2922" t="s">
        <v>104</v>
      </c>
      <c r="J2922" t="s">
        <v>7031</v>
      </c>
      <c r="K2922" t="s">
        <v>66</v>
      </c>
      <c r="L2922" t="s">
        <v>46</v>
      </c>
      <c r="M2922" t="s">
        <v>68</v>
      </c>
      <c r="N2922" t="s">
        <v>69</v>
      </c>
      <c r="O2922" t="s">
        <v>70</v>
      </c>
      <c r="P2922" t="s">
        <v>49</v>
      </c>
      <c r="Q2922" t="s">
        <v>59</v>
      </c>
      <c r="R2922">
        <v>346</v>
      </c>
      <c r="S2922">
        <v>138</v>
      </c>
      <c r="T2922">
        <v>82</v>
      </c>
      <c r="U2922">
        <v>17</v>
      </c>
      <c r="V2922" t="s">
        <v>3337</v>
      </c>
      <c r="W2922">
        <v>30973</v>
      </c>
      <c r="X2922" t="s">
        <v>2994</v>
      </c>
      <c r="Y2922">
        <v>27238</v>
      </c>
      <c r="Z2922">
        <v>526541</v>
      </c>
      <c r="AA2922">
        <v>63495</v>
      </c>
      <c r="AB2922" t="str">
        <f>(VLOOKUP(SalesData[[#This Row],[Month Number]],Reference!C$5:E$16,2,FALSE))</f>
        <v>Feb</v>
      </c>
      <c r="AC2922">
        <f>MONTH(SalesData[[#This Row],[Date]])</f>
        <v>2</v>
      </c>
      <c r="AD2922">
        <f>Reference!F$4</f>
        <v>2026</v>
      </c>
      <c r="AE2922" t="str">
        <f>IF(OR(SalesData[[#This Row],[Day]]="Saturday",SalesData[[#This Row],[Day]]="Sunday"),"Weekend","Weekday")</f>
        <v>Weekday</v>
      </c>
      <c r="AF2922" s="5">
        <f>IF(SalesData[[#This Row],[Contracts Offered]]=0,0,SalesData[[#This Row],[Contracts Signed]]/SalesData[[#This Row],[Contracts Offered]])</f>
        <v>0.2073170731707317</v>
      </c>
      <c r="AG2922" s="5">
        <f>IF(SalesData[[#This Row],[Customers Visited]]=0,0,SalesData[[#This Row],[Test Drives]]/SalesData[[#This Row],[Customers Visited]])</f>
        <v>0.39884393063583817</v>
      </c>
      <c r="AH2922" s="5">
        <f>IF(SalesData[[#This Row],[Customers Visited]]=0,0,SalesData[[#This Row],[Contracts Signed]]/SalesData[[#This Row],[Customers Visited]])</f>
        <v>4.9132947976878616E-2</v>
      </c>
      <c r="AI2922" s="6">
        <f>IF(SalesData[[#This Row],[Contracts Signed]]=0,0,SalesData[[#This Row],[Profit(€)]]/SalesData[[#This Row],[Contracts Signed]])</f>
        <v>3735</v>
      </c>
      <c r="AJ2922" s="5" t="str">
        <f>TRIM(CLEAN(SalesData[[#This Row],[Retailer]]))</f>
        <v>Main Auto Hub</v>
      </c>
    </row>
    <row r="2923" spans="1:36" ht="14.25" hidden="1" x14ac:dyDescent="0.2">
      <c r="A2923" t="s">
        <v>4059</v>
      </c>
      <c r="B2923" s="1">
        <v>46075</v>
      </c>
      <c r="C2923" t="s">
        <v>53</v>
      </c>
      <c r="D2923" t="s">
        <v>41</v>
      </c>
      <c r="E2923" t="s">
        <v>42</v>
      </c>
      <c r="F2923" t="s">
        <v>109</v>
      </c>
      <c r="G2923" t="s">
        <v>110</v>
      </c>
      <c r="H2923" t="s">
        <v>45</v>
      </c>
      <c r="I2923" t="s">
        <v>56</v>
      </c>
      <c r="J2923" t="s">
        <v>137</v>
      </c>
      <c r="K2923" t="s">
        <v>91</v>
      </c>
      <c r="L2923" t="s">
        <v>46</v>
      </c>
      <c r="M2923" t="s">
        <v>87</v>
      </c>
      <c r="N2923" t="s">
        <v>35</v>
      </c>
      <c r="O2923" t="s">
        <v>36</v>
      </c>
      <c r="P2923" t="s">
        <v>49</v>
      </c>
      <c r="Q2923" t="s">
        <v>135</v>
      </c>
      <c r="R2923">
        <v>261</v>
      </c>
      <c r="S2923">
        <v>145</v>
      </c>
      <c r="T2923">
        <v>111</v>
      </c>
      <c r="U2923">
        <v>31</v>
      </c>
      <c r="V2923" t="s">
        <v>6716</v>
      </c>
      <c r="W2923">
        <v>53284</v>
      </c>
      <c r="X2923" t="s">
        <v>7294</v>
      </c>
      <c r="Y2923">
        <v>40023</v>
      </c>
      <c r="Z2923">
        <v>1651804</v>
      </c>
      <c r="AA2923">
        <v>411091</v>
      </c>
      <c r="AB2923" t="str">
        <f>(VLOOKUP(SalesData[[#This Row],[Month Number]],Reference!C$5:E$16,2,FALSE))</f>
        <v>Feb</v>
      </c>
      <c r="AC2923">
        <f>MONTH(SalesData[[#This Row],[Date]])</f>
        <v>2</v>
      </c>
      <c r="AD2923">
        <f>Reference!F$4</f>
        <v>2026</v>
      </c>
      <c r="AE2923" t="str">
        <f>IF(OR(SalesData[[#This Row],[Day]]="Saturday",SalesData[[#This Row],[Day]]="Sunday"),"Weekend","Weekday")</f>
        <v>Weekend</v>
      </c>
      <c r="AF2923" s="5">
        <f>IF(SalesData[[#This Row],[Contracts Offered]]=0,0,SalesData[[#This Row],[Contracts Signed]]/SalesData[[#This Row],[Contracts Offered]])</f>
        <v>0.27927927927927926</v>
      </c>
      <c r="AG2923" s="5">
        <f>IF(SalesData[[#This Row],[Customers Visited]]=0,0,SalesData[[#This Row],[Test Drives]]/SalesData[[#This Row],[Customers Visited]])</f>
        <v>0.55555555555555558</v>
      </c>
      <c r="AH2923" s="5">
        <f>IF(SalesData[[#This Row],[Customers Visited]]=0,0,SalesData[[#This Row],[Contracts Signed]]/SalesData[[#This Row],[Customers Visited]])</f>
        <v>0.11877394636015326</v>
      </c>
      <c r="AI2923" s="6">
        <f>IF(SalesData[[#This Row],[Contracts Signed]]=0,0,SalesData[[#This Row],[Profit(€)]]/SalesData[[#This Row],[Contracts Signed]])</f>
        <v>13261</v>
      </c>
      <c r="AJ2923" s="5" t="str">
        <f>TRIM(CLEAN(SalesData[[#This Row],[Retailer]]))</f>
        <v>Leipzig Mobility</v>
      </c>
    </row>
    <row r="2924" spans="1:36" ht="14.25" hidden="1" x14ac:dyDescent="0.2">
      <c r="A2924" t="s">
        <v>4060</v>
      </c>
      <c r="B2924" s="1">
        <v>46070</v>
      </c>
      <c r="C2924" t="s">
        <v>62</v>
      </c>
      <c r="D2924" t="s">
        <v>63</v>
      </c>
      <c r="E2924" t="s">
        <v>26</v>
      </c>
      <c r="F2924" t="s">
        <v>109</v>
      </c>
      <c r="G2924" t="s">
        <v>110</v>
      </c>
      <c r="H2924" t="s">
        <v>45</v>
      </c>
      <c r="I2924" t="s">
        <v>116</v>
      </c>
      <c r="J2924" t="s">
        <v>132</v>
      </c>
      <c r="K2924" t="s">
        <v>78</v>
      </c>
      <c r="L2924" t="s">
        <v>46</v>
      </c>
      <c r="M2924" t="s">
        <v>34</v>
      </c>
      <c r="N2924" t="s">
        <v>35</v>
      </c>
      <c r="O2924" t="s">
        <v>36</v>
      </c>
      <c r="P2924" t="s">
        <v>37</v>
      </c>
      <c r="Q2924" t="s">
        <v>118</v>
      </c>
      <c r="R2924">
        <v>406</v>
      </c>
      <c r="S2924">
        <v>209</v>
      </c>
      <c r="T2924">
        <v>140</v>
      </c>
      <c r="U2924">
        <v>33</v>
      </c>
      <c r="V2924" t="s">
        <v>456</v>
      </c>
      <c r="W2924">
        <v>20131</v>
      </c>
      <c r="X2924" t="s">
        <v>305</v>
      </c>
      <c r="Y2924">
        <v>18400</v>
      </c>
      <c r="Z2924">
        <v>664323</v>
      </c>
      <c r="AA2924">
        <v>57123</v>
      </c>
      <c r="AB2924" t="str">
        <f>(VLOOKUP(SalesData[[#This Row],[Month Number]],Reference!C$5:E$16,2,FALSE))</f>
        <v>Feb</v>
      </c>
      <c r="AC2924">
        <f>MONTH(SalesData[[#This Row],[Date]])</f>
        <v>2</v>
      </c>
      <c r="AD2924">
        <f>Reference!F$4</f>
        <v>2026</v>
      </c>
      <c r="AE2924" t="str">
        <f>IF(OR(SalesData[[#This Row],[Day]]="Saturday",SalesData[[#This Row],[Day]]="Sunday"),"Weekend","Weekday")</f>
        <v>Weekday</v>
      </c>
      <c r="AF2924" s="5">
        <f>IF(SalesData[[#This Row],[Contracts Offered]]=0,0,SalesData[[#This Row],[Contracts Signed]]/SalesData[[#This Row],[Contracts Offered]])</f>
        <v>0.23571428571428571</v>
      </c>
      <c r="AG2924" s="5">
        <f>IF(SalesData[[#This Row],[Customers Visited]]=0,0,SalesData[[#This Row],[Test Drives]]/SalesData[[#This Row],[Customers Visited]])</f>
        <v>0.51477832512315269</v>
      </c>
      <c r="AH2924" s="5">
        <f>IF(SalesData[[#This Row],[Customers Visited]]=0,0,SalesData[[#This Row],[Contracts Signed]]/SalesData[[#This Row],[Customers Visited]])</f>
        <v>8.1280788177339899E-2</v>
      </c>
      <c r="AI2924" s="6">
        <f>IF(SalesData[[#This Row],[Contracts Signed]]=0,0,SalesData[[#This Row],[Profit(€)]]/SalesData[[#This Row],[Contracts Signed]])</f>
        <v>1731</v>
      </c>
      <c r="AJ2924" s="5" t="str">
        <f>TRIM(CLEAN(SalesData[[#This Row],[Retailer]]))</f>
        <v>Leipzig Mobility</v>
      </c>
    </row>
    <row r="2925" spans="1:36" ht="14.25" hidden="1" x14ac:dyDescent="0.2">
      <c r="A2925" t="s">
        <v>4061</v>
      </c>
      <c r="B2925" s="1">
        <v>46054</v>
      </c>
      <c r="C2925" t="s">
        <v>24</v>
      </c>
      <c r="D2925" t="s">
        <v>41</v>
      </c>
      <c r="E2925" t="s">
        <v>42</v>
      </c>
      <c r="F2925" t="s">
        <v>114</v>
      </c>
      <c r="G2925" t="s">
        <v>115</v>
      </c>
      <c r="H2925" t="s">
        <v>115</v>
      </c>
      <c r="I2925" t="s">
        <v>116</v>
      </c>
      <c r="J2925" t="s">
        <v>203</v>
      </c>
      <c r="K2925" t="s">
        <v>66</v>
      </c>
      <c r="L2925" t="s">
        <v>67</v>
      </c>
      <c r="M2925" t="s">
        <v>68</v>
      </c>
      <c r="N2925" t="s">
        <v>48</v>
      </c>
      <c r="O2925" t="s">
        <v>70</v>
      </c>
      <c r="P2925" t="s">
        <v>37</v>
      </c>
      <c r="Q2925" t="s">
        <v>189</v>
      </c>
      <c r="R2925">
        <v>363</v>
      </c>
      <c r="S2925">
        <v>187</v>
      </c>
      <c r="T2925">
        <v>120</v>
      </c>
      <c r="U2925">
        <v>23</v>
      </c>
      <c r="V2925" t="s">
        <v>1209</v>
      </c>
      <c r="W2925">
        <v>20193</v>
      </c>
      <c r="X2925" t="s">
        <v>258</v>
      </c>
      <c r="Y2925">
        <v>18041</v>
      </c>
      <c r="Z2925">
        <v>464439</v>
      </c>
      <c r="AA2925">
        <v>49496</v>
      </c>
      <c r="AB2925" t="str">
        <f>(VLOOKUP(SalesData[[#This Row],[Month Number]],Reference!C$5:E$16,2,FALSE))</f>
        <v>Feb</v>
      </c>
      <c r="AC2925">
        <f>MONTH(SalesData[[#This Row],[Date]])</f>
        <v>2</v>
      </c>
      <c r="AD2925">
        <f>Reference!F$4</f>
        <v>2026</v>
      </c>
      <c r="AE2925" t="str">
        <f>IF(OR(SalesData[[#This Row],[Day]]="Saturday",SalesData[[#This Row],[Day]]="Sunday"),"Weekend","Weekday")</f>
        <v>Weekend</v>
      </c>
      <c r="AF2925" s="5">
        <f>IF(SalesData[[#This Row],[Contracts Offered]]=0,0,SalesData[[#This Row],[Contracts Signed]]/SalesData[[#This Row],[Contracts Offered]])</f>
        <v>0.19166666666666668</v>
      </c>
      <c r="AG2925" s="5">
        <f>IF(SalesData[[#This Row],[Customers Visited]]=0,0,SalesData[[#This Row],[Test Drives]]/SalesData[[#This Row],[Customers Visited]])</f>
        <v>0.51515151515151514</v>
      </c>
      <c r="AH2925" s="5">
        <f>IF(SalesData[[#This Row],[Customers Visited]]=0,0,SalesData[[#This Row],[Contracts Signed]]/SalesData[[#This Row],[Customers Visited]])</f>
        <v>6.3360881542699726E-2</v>
      </c>
      <c r="AI2925" s="6">
        <f>IF(SalesData[[#This Row],[Contracts Signed]]=0,0,SalesData[[#This Row],[Profit(€)]]/SalesData[[#This Row],[Contracts Signed]])</f>
        <v>2152</v>
      </c>
      <c r="AJ2925" s="5" t="str">
        <f>TRIM(CLEAN(SalesData[[#This Row],[Retailer]]))</f>
        <v>Elbe Drive</v>
      </c>
    </row>
    <row r="2926" spans="1:36" ht="14.25" x14ac:dyDescent="0.2">
      <c r="A2926" t="s">
        <v>4062</v>
      </c>
      <c r="B2926" s="1">
        <v>46061</v>
      </c>
      <c r="C2926" t="s">
        <v>121</v>
      </c>
      <c r="D2926" t="s">
        <v>41</v>
      </c>
      <c r="E2926" t="s">
        <v>42</v>
      </c>
      <c r="F2926" t="s">
        <v>114</v>
      </c>
      <c r="G2926" t="s">
        <v>115</v>
      </c>
      <c r="H2926" t="s">
        <v>115</v>
      </c>
      <c r="I2926" t="s">
        <v>30</v>
      </c>
      <c r="J2926" t="s">
        <v>86</v>
      </c>
      <c r="K2926" t="s">
        <v>78</v>
      </c>
      <c r="L2926" t="s">
        <v>33</v>
      </c>
      <c r="M2926" t="s">
        <v>87</v>
      </c>
      <c r="N2926" t="s">
        <v>48</v>
      </c>
      <c r="O2926" t="s">
        <v>36</v>
      </c>
      <c r="P2926" t="s">
        <v>58</v>
      </c>
      <c r="Q2926" t="s">
        <v>240</v>
      </c>
      <c r="R2926">
        <v>223</v>
      </c>
      <c r="S2926">
        <v>109</v>
      </c>
      <c r="T2926">
        <v>75</v>
      </c>
      <c r="U2926">
        <v>34</v>
      </c>
      <c r="V2926" t="s">
        <v>7187</v>
      </c>
      <c r="W2926">
        <v>57871</v>
      </c>
      <c r="X2926" t="s">
        <v>638</v>
      </c>
      <c r="Y2926">
        <v>42910</v>
      </c>
      <c r="Z2926">
        <v>1967614</v>
      </c>
      <c r="AA2926">
        <v>508674</v>
      </c>
      <c r="AB2926" t="str">
        <f>(VLOOKUP(SalesData[[#This Row],[Month Number]],Reference!C$5:E$16,2,FALSE))</f>
        <v>Feb</v>
      </c>
      <c r="AC2926">
        <f>MONTH(SalesData[[#This Row],[Date]])</f>
        <v>2</v>
      </c>
      <c r="AD2926">
        <f>Reference!F$4</f>
        <v>2026</v>
      </c>
      <c r="AE2926" t="str">
        <f>IF(OR(SalesData[[#This Row],[Day]]="Saturday",SalesData[[#This Row],[Day]]="Sunday"),"Weekend","Weekday")</f>
        <v>Weekend</v>
      </c>
      <c r="AF2926" s="5">
        <f>IF(SalesData[[#This Row],[Contracts Offered]]=0,0,SalesData[[#This Row],[Contracts Signed]]/SalesData[[#This Row],[Contracts Offered]])</f>
        <v>0.45333333333333331</v>
      </c>
      <c r="AG2926" s="5">
        <f>IF(SalesData[[#This Row],[Customers Visited]]=0,0,SalesData[[#This Row],[Test Drives]]/SalesData[[#This Row],[Customers Visited]])</f>
        <v>0.48878923766816146</v>
      </c>
      <c r="AH2926" s="5">
        <f>IF(SalesData[[#This Row],[Customers Visited]]=0,0,SalesData[[#This Row],[Contracts Signed]]/SalesData[[#This Row],[Customers Visited]])</f>
        <v>0.15246636771300448</v>
      </c>
      <c r="AI2926" s="6">
        <f>IF(SalesData[[#This Row],[Contracts Signed]]=0,0,SalesData[[#This Row],[Profit(€)]]/SalesData[[#This Row],[Contracts Signed]])</f>
        <v>14961</v>
      </c>
      <c r="AJ2926" s="5" t="str">
        <f>TRIM(CLEAN(SalesData[[#This Row],[Retailer]]))</f>
        <v>Elbe Drive</v>
      </c>
    </row>
    <row r="2927" spans="1:36" ht="14.25" hidden="1" x14ac:dyDescent="0.2">
      <c r="A2927" t="s">
        <v>4063</v>
      </c>
      <c r="B2927" s="1">
        <v>46068</v>
      </c>
      <c r="C2927" t="s">
        <v>62</v>
      </c>
      <c r="D2927" t="s">
        <v>41</v>
      </c>
      <c r="E2927" t="s">
        <v>42</v>
      </c>
      <c r="F2927" t="s">
        <v>101</v>
      </c>
      <c r="G2927" t="s">
        <v>102</v>
      </c>
      <c r="H2927" t="s">
        <v>103</v>
      </c>
      <c r="I2927" t="s">
        <v>104</v>
      </c>
      <c r="J2927" t="s">
        <v>143</v>
      </c>
      <c r="K2927" t="s">
        <v>32</v>
      </c>
      <c r="L2927" t="s">
        <v>67</v>
      </c>
      <c r="M2927" t="s">
        <v>34</v>
      </c>
      <c r="N2927" t="s">
        <v>48</v>
      </c>
      <c r="O2927" t="s">
        <v>36</v>
      </c>
      <c r="P2927" t="s">
        <v>58</v>
      </c>
      <c r="Q2927" t="s">
        <v>106</v>
      </c>
      <c r="R2927">
        <v>448</v>
      </c>
      <c r="S2927">
        <v>244</v>
      </c>
      <c r="T2927">
        <v>148</v>
      </c>
      <c r="U2927">
        <v>48</v>
      </c>
      <c r="V2927" t="s">
        <v>849</v>
      </c>
      <c r="W2927">
        <v>29103</v>
      </c>
      <c r="X2927" t="s">
        <v>7140</v>
      </c>
      <c r="Y2927">
        <v>26478</v>
      </c>
      <c r="Z2927">
        <v>1396944</v>
      </c>
      <c r="AA2927">
        <v>126000</v>
      </c>
      <c r="AB2927" t="str">
        <f>(VLOOKUP(SalesData[[#This Row],[Month Number]],Reference!C$5:E$16,2,FALSE))</f>
        <v>Feb</v>
      </c>
      <c r="AC2927">
        <f>MONTH(SalesData[[#This Row],[Date]])</f>
        <v>2</v>
      </c>
      <c r="AD2927">
        <f>Reference!F$4</f>
        <v>2026</v>
      </c>
      <c r="AE2927" t="str">
        <f>IF(OR(SalesData[[#This Row],[Day]]="Saturday",SalesData[[#This Row],[Day]]="Sunday"),"Weekend","Weekday")</f>
        <v>Weekend</v>
      </c>
      <c r="AF2927" s="5">
        <f>IF(SalesData[[#This Row],[Contracts Offered]]=0,0,SalesData[[#This Row],[Contracts Signed]]/SalesData[[#This Row],[Contracts Offered]])</f>
        <v>0.32432432432432434</v>
      </c>
      <c r="AG2927" s="5">
        <f>IF(SalesData[[#This Row],[Customers Visited]]=0,0,SalesData[[#This Row],[Test Drives]]/SalesData[[#This Row],[Customers Visited]])</f>
        <v>0.5446428571428571</v>
      </c>
      <c r="AH2927" s="5">
        <f>IF(SalesData[[#This Row],[Customers Visited]]=0,0,SalesData[[#This Row],[Contracts Signed]]/SalesData[[#This Row],[Customers Visited]])</f>
        <v>0.10714285714285714</v>
      </c>
      <c r="AI2927" s="6">
        <f>IF(SalesData[[#This Row],[Contracts Signed]]=0,0,SalesData[[#This Row],[Profit(€)]]/SalesData[[#This Row],[Contracts Signed]])</f>
        <v>2625</v>
      </c>
      <c r="AJ2927" s="5" t="str">
        <f>TRIM(CLEAN(SalesData[[#This Row],[Retailer]]))</f>
        <v>Ruhr Auto Plaza</v>
      </c>
    </row>
    <row r="2928" spans="1:36" ht="14.25" hidden="1" x14ac:dyDescent="0.2">
      <c r="A2928" t="s">
        <v>4065</v>
      </c>
      <c r="B2928" s="1">
        <v>46059</v>
      </c>
      <c r="C2928" t="s">
        <v>24</v>
      </c>
      <c r="D2928" t="s">
        <v>54</v>
      </c>
      <c r="E2928" t="s">
        <v>26</v>
      </c>
      <c r="F2928" t="s">
        <v>101</v>
      </c>
      <c r="G2928" t="s">
        <v>102</v>
      </c>
      <c r="H2928" t="s">
        <v>103</v>
      </c>
      <c r="I2928" t="s">
        <v>64</v>
      </c>
      <c r="J2928" t="s">
        <v>7029</v>
      </c>
      <c r="K2928" t="s">
        <v>66</v>
      </c>
      <c r="L2928" t="s">
        <v>33</v>
      </c>
      <c r="M2928" t="s">
        <v>87</v>
      </c>
      <c r="N2928" t="s">
        <v>35</v>
      </c>
      <c r="O2928" t="s">
        <v>70</v>
      </c>
      <c r="P2928" t="s">
        <v>71</v>
      </c>
      <c r="Q2928" t="s">
        <v>59</v>
      </c>
      <c r="R2928">
        <v>203</v>
      </c>
      <c r="S2928">
        <v>119</v>
      </c>
      <c r="T2928">
        <v>91</v>
      </c>
      <c r="U2928">
        <v>26</v>
      </c>
      <c r="V2928" t="s">
        <v>6798</v>
      </c>
      <c r="W2928">
        <v>60769</v>
      </c>
      <c r="X2928" t="s">
        <v>7491</v>
      </c>
      <c r="Y2928">
        <v>47989</v>
      </c>
      <c r="Z2928">
        <v>1579994</v>
      </c>
      <c r="AA2928">
        <v>332280</v>
      </c>
      <c r="AB2928" t="str">
        <f>(VLOOKUP(SalesData[[#This Row],[Month Number]],Reference!C$5:E$16,2,FALSE))</f>
        <v>Feb</v>
      </c>
      <c r="AC2928">
        <f>MONTH(SalesData[[#This Row],[Date]])</f>
        <v>2</v>
      </c>
      <c r="AD2928">
        <f>Reference!F$4</f>
        <v>2026</v>
      </c>
      <c r="AE2928" t="str">
        <f>IF(OR(SalesData[[#This Row],[Day]]="Saturday",SalesData[[#This Row],[Day]]="Sunday"),"Weekend","Weekday")</f>
        <v>Weekday</v>
      </c>
      <c r="AF2928" s="5">
        <f>IF(SalesData[[#This Row],[Contracts Offered]]=0,0,SalesData[[#This Row],[Contracts Signed]]/SalesData[[#This Row],[Contracts Offered]])</f>
        <v>0.2857142857142857</v>
      </c>
      <c r="AG2928" s="5">
        <f>IF(SalesData[[#This Row],[Customers Visited]]=0,0,SalesData[[#This Row],[Test Drives]]/SalesData[[#This Row],[Customers Visited]])</f>
        <v>0.58620689655172409</v>
      </c>
      <c r="AH2928" s="5">
        <f>IF(SalesData[[#This Row],[Customers Visited]]=0,0,SalesData[[#This Row],[Contracts Signed]]/SalesData[[#This Row],[Customers Visited]])</f>
        <v>0.12807881773399016</v>
      </c>
      <c r="AI2928" s="6">
        <f>IF(SalesData[[#This Row],[Contracts Signed]]=0,0,SalesData[[#This Row],[Profit(€)]]/SalesData[[#This Row],[Contracts Signed]])</f>
        <v>12780</v>
      </c>
      <c r="AJ2928" s="5" t="str">
        <f>TRIM(CLEAN(SalesData[[#This Row],[Retailer]]))</f>
        <v>Ruhr Auto Plaza</v>
      </c>
    </row>
    <row r="2929" spans="1:36" ht="14.25" hidden="1" x14ac:dyDescent="0.2">
      <c r="A2929" t="s">
        <v>4067</v>
      </c>
      <c r="B2929" s="1">
        <v>46079</v>
      </c>
      <c r="C2929" t="s">
        <v>53</v>
      </c>
      <c r="D2929" t="s">
        <v>100</v>
      </c>
      <c r="E2929" t="s">
        <v>26</v>
      </c>
      <c r="F2929" t="s">
        <v>27</v>
      </c>
      <c r="G2929" t="s">
        <v>28</v>
      </c>
      <c r="H2929" t="s">
        <v>29</v>
      </c>
      <c r="I2929" t="s">
        <v>56</v>
      </c>
      <c r="J2929" t="s">
        <v>7028</v>
      </c>
      <c r="K2929" t="s">
        <v>66</v>
      </c>
      <c r="L2929" t="s">
        <v>46</v>
      </c>
      <c r="M2929" t="s">
        <v>34</v>
      </c>
      <c r="N2929" t="s">
        <v>69</v>
      </c>
      <c r="O2929" t="s">
        <v>70</v>
      </c>
      <c r="P2929" t="s">
        <v>37</v>
      </c>
      <c r="Q2929" t="s">
        <v>106</v>
      </c>
      <c r="R2929">
        <v>280</v>
      </c>
      <c r="S2929">
        <v>145</v>
      </c>
      <c r="T2929">
        <v>112</v>
      </c>
      <c r="U2929">
        <v>33</v>
      </c>
      <c r="V2929" t="s">
        <v>6521</v>
      </c>
      <c r="W2929">
        <v>45340</v>
      </c>
      <c r="X2929" t="s">
        <v>7069</v>
      </c>
      <c r="Y2929">
        <v>34609</v>
      </c>
      <c r="Z2929">
        <v>1496220</v>
      </c>
      <c r="AA2929">
        <v>354123</v>
      </c>
      <c r="AB2929" t="str">
        <f>(VLOOKUP(SalesData[[#This Row],[Month Number]],Reference!C$5:E$16,2,FALSE))</f>
        <v>Feb</v>
      </c>
      <c r="AC2929">
        <f>MONTH(SalesData[[#This Row],[Date]])</f>
        <v>2</v>
      </c>
      <c r="AD2929">
        <f>Reference!F$4</f>
        <v>2026</v>
      </c>
      <c r="AE2929" t="str">
        <f>IF(OR(SalesData[[#This Row],[Day]]="Saturday",SalesData[[#This Row],[Day]]="Sunday"),"Weekend","Weekday")</f>
        <v>Weekday</v>
      </c>
      <c r="AF2929" s="5">
        <f>IF(SalesData[[#This Row],[Contracts Offered]]=0,0,SalesData[[#This Row],[Contracts Signed]]/SalesData[[#This Row],[Contracts Offered]])</f>
        <v>0.29464285714285715</v>
      </c>
      <c r="AG2929" s="5">
        <f>IF(SalesData[[#This Row],[Customers Visited]]=0,0,SalesData[[#This Row],[Test Drives]]/SalesData[[#This Row],[Customers Visited]])</f>
        <v>0.5178571428571429</v>
      </c>
      <c r="AH2929" s="5">
        <f>IF(SalesData[[#This Row],[Customers Visited]]=0,0,SalesData[[#This Row],[Contracts Signed]]/SalesData[[#This Row],[Customers Visited]])</f>
        <v>0.11785714285714285</v>
      </c>
      <c r="AI2929" s="6">
        <f>IF(SalesData[[#This Row],[Contracts Signed]]=0,0,SalesData[[#This Row],[Profit(€)]]/SalesData[[#This Row],[Contracts Signed]])</f>
        <v>10731</v>
      </c>
      <c r="AJ2929" s="5" t="str">
        <f>TRIM(CLEAN(SalesData[[#This Row],[Retailer]]))</f>
        <v>Main Auto Hub</v>
      </c>
    </row>
    <row r="2930" spans="1:36" ht="14.25" hidden="1" x14ac:dyDescent="0.2">
      <c r="A2930" t="s">
        <v>4068</v>
      </c>
      <c r="B2930" s="1">
        <v>46077</v>
      </c>
      <c r="C2930" t="s">
        <v>53</v>
      </c>
      <c r="D2930" t="s">
        <v>63</v>
      </c>
      <c r="E2930" t="s">
        <v>26</v>
      </c>
      <c r="F2930" t="s">
        <v>74</v>
      </c>
      <c r="G2930" t="s">
        <v>75</v>
      </c>
      <c r="H2930" t="s">
        <v>76</v>
      </c>
      <c r="I2930" t="s">
        <v>56</v>
      </c>
      <c r="J2930" t="s">
        <v>57</v>
      </c>
      <c r="K2930" t="s">
        <v>66</v>
      </c>
      <c r="L2930" t="s">
        <v>46</v>
      </c>
      <c r="M2930" t="s">
        <v>68</v>
      </c>
      <c r="N2930" t="s">
        <v>69</v>
      </c>
      <c r="O2930" t="s">
        <v>70</v>
      </c>
      <c r="P2930" t="s">
        <v>71</v>
      </c>
      <c r="Q2930" t="s">
        <v>152</v>
      </c>
      <c r="R2930">
        <v>302</v>
      </c>
      <c r="S2930">
        <v>165</v>
      </c>
      <c r="T2930">
        <v>112</v>
      </c>
      <c r="U2930">
        <v>43</v>
      </c>
      <c r="V2930" t="s">
        <v>6843</v>
      </c>
      <c r="W2930">
        <v>53817</v>
      </c>
      <c r="X2930" t="s">
        <v>7380</v>
      </c>
      <c r="Y2930">
        <v>44033</v>
      </c>
      <c r="Z2930">
        <v>2314131</v>
      </c>
      <c r="AA2930">
        <v>420712</v>
      </c>
      <c r="AB2930" t="str">
        <f>(VLOOKUP(SalesData[[#This Row],[Month Number]],Reference!C$5:E$16,2,FALSE))</f>
        <v>Feb</v>
      </c>
      <c r="AC2930">
        <f>MONTH(SalesData[[#This Row],[Date]])</f>
        <v>2</v>
      </c>
      <c r="AD2930">
        <f>Reference!F$4</f>
        <v>2026</v>
      </c>
      <c r="AE2930" t="str">
        <f>IF(OR(SalesData[[#This Row],[Day]]="Saturday",SalesData[[#This Row],[Day]]="Sunday"),"Weekend","Weekday")</f>
        <v>Weekday</v>
      </c>
      <c r="AF2930" s="5">
        <f>IF(SalesData[[#This Row],[Contracts Offered]]=0,0,SalesData[[#This Row],[Contracts Signed]]/SalesData[[#This Row],[Contracts Offered]])</f>
        <v>0.38392857142857145</v>
      </c>
      <c r="AG2930" s="5">
        <f>IF(SalesData[[#This Row],[Customers Visited]]=0,0,SalesData[[#This Row],[Test Drives]]/SalesData[[#This Row],[Customers Visited]])</f>
        <v>0.54635761589403975</v>
      </c>
      <c r="AH2930" s="5">
        <f>IF(SalesData[[#This Row],[Customers Visited]]=0,0,SalesData[[#This Row],[Contracts Signed]]/SalesData[[#This Row],[Customers Visited]])</f>
        <v>0.14238410596026491</v>
      </c>
      <c r="AI2930" s="6">
        <f>IF(SalesData[[#This Row],[Contracts Signed]]=0,0,SalesData[[#This Row],[Profit(€)]]/SalesData[[#This Row],[Contracts Signed]])</f>
        <v>9784</v>
      </c>
      <c r="AJ2930" s="5" t="str">
        <f>TRIM(CLEAN(SalesData[[#This Row],[Retailer]]))</f>
        <v>Stuttgart Auto Center</v>
      </c>
    </row>
    <row r="2931" spans="1:36" ht="14.25" hidden="1" x14ac:dyDescent="0.2">
      <c r="A2931" t="s">
        <v>4070</v>
      </c>
      <c r="B2931" s="1">
        <v>46061</v>
      </c>
      <c r="C2931" t="s">
        <v>121</v>
      </c>
      <c r="D2931" t="s">
        <v>41</v>
      </c>
      <c r="E2931" t="s">
        <v>42</v>
      </c>
      <c r="F2931" t="s">
        <v>43</v>
      </c>
      <c r="G2931" t="s">
        <v>44</v>
      </c>
      <c r="H2931" t="s">
        <v>45</v>
      </c>
      <c r="I2931" t="s">
        <v>64</v>
      </c>
      <c r="J2931" t="s">
        <v>77</v>
      </c>
      <c r="K2931" t="s">
        <v>91</v>
      </c>
      <c r="L2931" t="s">
        <v>46</v>
      </c>
      <c r="M2931" t="s">
        <v>34</v>
      </c>
      <c r="N2931" t="s">
        <v>69</v>
      </c>
      <c r="O2931" t="s">
        <v>70</v>
      </c>
      <c r="P2931" t="s">
        <v>71</v>
      </c>
      <c r="Q2931" t="s">
        <v>144</v>
      </c>
      <c r="R2931">
        <v>150</v>
      </c>
      <c r="S2931">
        <v>84</v>
      </c>
      <c r="T2931">
        <v>59</v>
      </c>
      <c r="U2931">
        <v>22</v>
      </c>
      <c r="V2931" t="s">
        <v>6663</v>
      </c>
      <c r="W2931">
        <v>66705</v>
      </c>
      <c r="X2931" t="s">
        <v>7062</v>
      </c>
      <c r="Y2931">
        <v>52052</v>
      </c>
      <c r="Z2931">
        <v>1467510</v>
      </c>
      <c r="AA2931">
        <v>322366</v>
      </c>
      <c r="AB2931" t="str">
        <f>(VLOOKUP(SalesData[[#This Row],[Month Number]],Reference!C$5:E$16,2,FALSE))</f>
        <v>Feb</v>
      </c>
      <c r="AC2931">
        <f>MONTH(SalesData[[#This Row],[Date]])</f>
        <v>2</v>
      </c>
      <c r="AD2931">
        <f>Reference!F$4</f>
        <v>2026</v>
      </c>
      <c r="AE2931" t="str">
        <f>IF(OR(SalesData[[#This Row],[Day]]="Saturday",SalesData[[#This Row],[Day]]="Sunday"),"Weekend","Weekday")</f>
        <v>Weekend</v>
      </c>
      <c r="AF2931" s="5">
        <f>IF(SalesData[[#This Row],[Contracts Offered]]=0,0,SalesData[[#This Row],[Contracts Signed]]/SalesData[[#This Row],[Contracts Offered]])</f>
        <v>0.3728813559322034</v>
      </c>
      <c r="AG2931" s="5">
        <f>IF(SalesData[[#This Row],[Customers Visited]]=0,0,SalesData[[#This Row],[Test Drives]]/SalesData[[#This Row],[Customers Visited]])</f>
        <v>0.56000000000000005</v>
      </c>
      <c r="AH2931" s="5">
        <f>IF(SalesData[[#This Row],[Customers Visited]]=0,0,SalesData[[#This Row],[Contracts Signed]]/SalesData[[#This Row],[Customers Visited]])</f>
        <v>0.14666666666666667</v>
      </c>
      <c r="AI2931" s="6">
        <f>IF(SalesData[[#This Row],[Contracts Signed]]=0,0,SalesData[[#This Row],[Profit(€)]]/SalesData[[#This Row],[Contracts Signed]])</f>
        <v>14653</v>
      </c>
      <c r="AJ2931" s="5" t="str">
        <f>TRIM(CLEAN(SalesData[[#This Row],[Retailer]]))</f>
        <v>Saxon Wheels</v>
      </c>
    </row>
    <row r="2932" spans="1:36" ht="14.25" x14ac:dyDescent="0.2">
      <c r="A2932" t="s">
        <v>4072</v>
      </c>
      <c r="B2932" s="1">
        <v>46073</v>
      </c>
      <c r="C2932" t="s">
        <v>62</v>
      </c>
      <c r="D2932" t="s">
        <v>54</v>
      </c>
      <c r="E2932" t="s">
        <v>26</v>
      </c>
      <c r="F2932" t="s">
        <v>74</v>
      </c>
      <c r="G2932" t="s">
        <v>75</v>
      </c>
      <c r="H2932" t="s">
        <v>76</v>
      </c>
      <c r="I2932" t="s">
        <v>30</v>
      </c>
      <c r="J2932" t="s">
        <v>166</v>
      </c>
      <c r="K2932" t="s">
        <v>78</v>
      </c>
      <c r="L2932" t="s">
        <v>46</v>
      </c>
      <c r="M2932" t="s">
        <v>87</v>
      </c>
      <c r="N2932" t="s">
        <v>69</v>
      </c>
      <c r="O2932" t="s">
        <v>70</v>
      </c>
      <c r="P2932" t="s">
        <v>71</v>
      </c>
      <c r="Q2932" t="s">
        <v>59</v>
      </c>
      <c r="R2932">
        <v>157</v>
      </c>
      <c r="S2932">
        <v>80</v>
      </c>
      <c r="T2932">
        <v>55</v>
      </c>
      <c r="U2932">
        <v>22</v>
      </c>
      <c r="V2932" t="s">
        <v>6767</v>
      </c>
      <c r="W2932">
        <v>55907</v>
      </c>
      <c r="X2932" t="s">
        <v>51</v>
      </c>
      <c r="Y2932">
        <v>39218</v>
      </c>
      <c r="Z2932">
        <v>1229954</v>
      </c>
      <c r="AA2932">
        <v>367158</v>
      </c>
      <c r="AB2932" t="str">
        <f>(VLOOKUP(SalesData[[#This Row],[Month Number]],Reference!C$5:E$16,2,FALSE))</f>
        <v>Feb</v>
      </c>
      <c r="AC2932">
        <f>MONTH(SalesData[[#This Row],[Date]])</f>
        <v>2</v>
      </c>
      <c r="AD2932">
        <f>Reference!F$4</f>
        <v>2026</v>
      </c>
      <c r="AE2932" t="str">
        <f>IF(OR(SalesData[[#This Row],[Day]]="Saturday",SalesData[[#This Row],[Day]]="Sunday"),"Weekend","Weekday")</f>
        <v>Weekday</v>
      </c>
      <c r="AF2932" s="5">
        <f>IF(SalesData[[#This Row],[Contracts Offered]]=0,0,SalesData[[#This Row],[Contracts Signed]]/SalesData[[#This Row],[Contracts Offered]])</f>
        <v>0.4</v>
      </c>
      <c r="AG2932" s="5">
        <f>IF(SalesData[[#This Row],[Customers Visited]]=0,0,SalesData[[#This Row],[Test Drives]]/SalesData[[#This Row],[Customers Visited]])</f>
        <v>0.50955414012738853</v>
      </c>
      <c r="AH2932" s="5">
        <f>IF(SalesData[[#This Row],[Customers Visited]]=0,0,SalesData[[#This Row],[Contracts Signed]]/SalesData[[#This Row],[Customers Visited]])</f>
        <v>0.14012738853503184</v>
      </c>
      <c r="AI2932" s="6">
        <f>IF(SalesData[[#This Row],[Contracts Signed]]=0,0,SalesData[[#This Row],[Profit(€)]]/SalesData[[#This Row],[Contracts Signed]])</f>
        <v>16689</v>
      </c>
      <c r="AJ2932" s="5" t="str">
        <f>TRIM(CLEAN(SalesData[[#This Row],[Retailer]]))</f>
        <v>Stuttgart Auto Center</v>
      </c>
    </row>
    <row r="2933" spans="1:36" ht="14.25" hidden="1" x14ac:dyDescent="0.2">
      <c r="A2933" t="s">
        <v>4073</v>
      </c>
      <c r="B2933" s="1">
        <v>46071</v>
      </c>
      <c r="C2933" t="s">
        <v>62</v>
      </c>
      <c r="D2933" t="s">
        <v>82</v>
      </c>
      <c r="E2933" t="s">
        <v>26</v>
      </c>
      <c r="F2933" t="s">
        <v>109</v>
      </c>
      <c r="G2933" t="s">
        <v>110</v>
      </c>
      <c r="H2933" t="s">
        <v>45</v>
      </c>
      <c r="I2933" t="s">
        <v>56</v>
      </c>
      <c r="J2933" t="s">
        <v>137</v>
      </c>
      <c r="K2933" t="s">
        <v>66</v>
      </c>
      <c r="L2933" t="s">
        <v>46</v>
      </c>
      <c r="M2933" t="s">
        <v>34</v>
      </c>
      <c r="N2933" t="s">
        <v>48</v>
      </c>
      <c r="O2933" t="s">
        <v>70</v>
      </c>
      <c r="P2933" t="s">
        <v>49</v>
      </c>
      <c r="Q2933" t="s">
        <v>204</v>
      </c>
      <c r="R2933">
        <v>165</v>
      </c>
      <c r="S2933">
        <v>89</v>
      </c>
      <c r="T2933">
        <v>60</v>
      </c>
      <c r="U2933">
        <v>16</v>
      </c>
      <c r="V2933" t="s">
        <v>2580</v>
      </c>
      <c r="W2933">
        <v>49024</v>
      </c>
      <c r="X2933" t="s">
        <v>51</v>
      </c>
      <c r="Y2933">
        <v>38851</v>
      </c>
      <c r="Z2933">
        <v>784384</v>
      </c>
      <c r="AA2933">
        <v>162768</v>
      </c>
      <c r="AB2933" t="str">
        <f>(VLOOKUP(SalesData[[#This Row],[Month Number]],Reference!C$5:E$16,2,FALSE))</f>
        <v>Feb</v>
      </c>
      <c r="AC2933">
        <f>MONTH(SalesData[[#This Row],[Date]])</f>
        <v>2</v>
      </c>
      <c r="AD2933">
        <f>Reference!F$4</f>
        <v>2026</v>
      </c>
      <c r="AE2933" t="str">
        <f>IF(OR(SalesData[[#This Row],[Day]]="Saturday",SalesData[[#This Row],[Day]]="Sunday"),"Weekend","Weekday")</f>
        <v>Weekday</v>
      </c>
      <c r="AF2933" s="5">
        <f>IF(SalesData[[#This Row],[Contracts Offered]]=0,0,SalesData[[#This Row],[Contracts Signed]]/SalesData[[#This Row],[Contracts Offered]])</f>
        <v>0.26666666666666666</v>
      </c>
      <c r="AG2933" s="5">
        <f>IF(SalesData[[#This Row],[Customers Visited]]=0,0,SalesData[[#This Row],[Test Drives]]/SalesData[[#This Row],[Customers Visited]])</f>
        <v>0.53939393939393943</v>
      </c>
      <c r="AH2933" s="5">
        <f>IF(SalesData[[#This Row],[Customers Visited]]=0,0,SalesData[[#This Row],[Contracts Signed]]/SalesData[[#This Row],[Customers Visited]])</f>
        <v>9.696969696969697E-2</v>
      </c>
      <c r="AI2933" s="6">
        <f>IF(SalesData[[#This Row],[Contracts Signed]]=0,0,SalesData[[#This Row],[Profit(€)]]/SalesData[[#This Row],[Contracts Signed]])</f>
        <v>10173</v>
      </c>
      <c r="AJ2933" s="5" t="str">
        <f>TRIM(CLEAN(SalesData[[#This Row],[Retailer]]))</f>
        <v>Leipzig Mobility</v>
      </c>
    </row>
    <row r="2934" spans="1:36" ht="14.25" hidden="1" x14ac:dyDescent="0.2">
      <c r="A2934" t="s">
        <v>4074</v>
      </c>
      <c r="B2934" s="1">
        <v>46078</v>
      </c>
      <c r="C2934" t="s">
        <v>53</v>
      </c>
      <c r="D2934" t="s">
        <v>82</v>
      </c>
      <c r="E2934" t="s">
        <v>26</v>
      </c>
      <c r="F2934" t="s">
        <v>94</v>
      </c>
      <c r="G2934" t="s">
        <v>95</v>
      </c>
      <c r="H2934" t="s">
        <v>96</v>
      </c>
      <c r="I2934" t="s">
        <v>116</v>
      </c>
      <c r="J2934" t="s">
        <v>203</v>
      </c>
      <c r="K2934" t="s">
        <v>78</v>
      </c>
      <c r="L2934" t="s">
        <v>67</v>
      </c>
      <c r="M2934" t="s">
        <v>34</v>
      </c>
      <c r="N2934" t="s">
        <v>48</v>
      </c>
      <c r="O2934" t="s">
        <v>36</v>
      </c>
      <c r="P2934" t="s">
        <v>58</v>
      </c>
      <c r="Q2934" t="s">
        <v>158</v>
      </c>
      <c r="R2934">
        <v>344</v>
      </c>
      <c r="S2934">
        <v>166</v>
      </c>
      <c r="T2934">
        <v>100</v>
      </c>
      <c r="U2934">
        <v>37</v>
      </c>
      <c r="V2934" t="s">
        <v>6882</v>
      </c>
      <c r="W2934">
        <v>23882</v>
      </c>
      <c r="X2934" t="s">
        <v>7039</v>
      </c>
      <c r="Y2934">
        <v>21465</v>
      </c>
      <c r="Z2934">
        <v>883634</v>
      </c>
      <c r="AA2934">
        <v>89429</v>
      </c>
      <c r="AB2934" t="str">
        <f>(VLOOKUP(SalesData[[#This Row],[Month Number]],Reference!C$5:E$16,2,FALSE))</f>
        <v>Feb</v>
      </c>
      <c r="AC2934">
        <f>MONTH(SalesData[[#This Row],[Date]])</f>
        <v>2</v>
      </c>
      <c r="AD2934">
        <f>Reference!F$4</f>
        <v>2026</v>
      </c>
      <c r="AE2934" t="str">
        <f>IF(OR(SalesData[[#This Row],[Day]]="Saturday",SalesData[[#This Row],[Day]]="Sunday"),"Weekend","Weekday")</f>
        <v>Weekday</v>
      </c>
      <c r="AF2934" s="5">
        <f>IF(SalesData[[#This Row],[Contracts Offered]]=0,0,SalesData[[#This Row],[Contracts Signed]]/SalesData[[#This Row],[Contracts Offered]])</f>
        <v>0.37</v>
      </c>
      <c r="AG2934" s="5">
        <f>IF(SalesData[[#This Row],[Customers Visited]]=0,0,SalesData[[#This Row],[Test Drives]]/SalesData[[#This Row],[Customers Visited]])</f>
        <v>0.48255813953488375</v>
      </c>
      <c r="AH2934" s="5">
        <f>IF(SalesData[[#This Row],[Customers Visited]]=0,0,SalesData[[#This Row],[Contracts Signed]]/SalesData[[#This Row],[Customers Visited]])</f>
        <v>0.10755813953488372</v>
      </c>
      <c r="AI2934" s="6">
        <f>IF(SalesData[[#This Row],[Contracts Signed]]=0,0,SalesData[[#This Row],[Profit(€)]]/SalesData[[#This Row],[Contracts Signed]])</f>
        <v>2417</v>
      </c>
      <c r="AJ2934" s="5" t="str">
        <f>TRIM(CLEAN(SalesData[[#This Row],[Retailer]]))</f>
        <v>Bavaria Motors</v>
      </c>
    </row>
    <row r="2935" spans="1:36" ht="14.25" hidden="1" x14ac:dyDescent="0.2">
      <c r="A2935" t="s">
        <v>4075</v>
      </c>
      <c r="B2935" s="1">
        <v>46072</v>
      </c>
      <c r="C2935" t="s">
        <v>62</v>
      </c>
      <c r="D2935" t="s">
        <v>100</v>
      </c>
      <c r="E2935" t="s">
        <v>26</v>
      </c>
      <c r="F2935" t="s">
        <v>74</v>
      </c>
      <c r="G2935" t="s">
        <v>75</v>
      </c>
      <c r="H2935" t="s">
        <v>76</v>
      </c>
      <c r="I2935" t="s">
        <v>104</v>
      </c>
      <c r="J2935" t="s">
        <v>143</v>
      </c>
      <c r="K2935" t="s">
        <v>32</v>
      </c>
      <c r="L2935" t="s">
        <v>67</v>
      </c>
      <c r="M2935" t="s">
        <v>68</v>
      </c>
      <c r="N2935" t="s">
        <v>35</v>
      </c>
      <c r="O2935" t="s">
        <v>70</v>
      </c>
      <c r="P2935" t="s">
        <v>71</v>
      </c>
      <c r="Q2935" t="s">
        <v>169</v>
      </c>
      <c r="R2935">
        <v>264</v>
      </c>
      <c r="S2935">
        <v>146</v>
      </c>
      <c r="T2935">
        <v>91</v>
      </c>
      <c r="U2935">
        <v>25</v>
      </c>
      <c r="V2935" t="s">
        <v>1302</v>
      </c>
      <c r="W2935">
        <v>27419</v>
      </c>
      <c r="X2935" t="s">
        <v>7545</v>
      </c>
      <c r="Y2935">
        <v>23934</v>
      </c>
      <c r="Z2935">
        <v>685475</v>
      </c>
      <c r="AA2935">
        <v>87125</v>
      </c>
      <c r="AB2935" t="str">
        <f>(VLOOKUP(SalesData[[#This Row],[Month Number]],Reference!C$5:E$16,2,FALSE))</f>
        <v>Feb</v>
      </c>
      <c r="AC2935">
        <f>MONTH(SalesData[[#This Row],[Date]])</f>
        <v>2</v>
      </c>
      <c r="AD2935">
        <f>Reference!F$4</f>
        <v>2026</v>
      </c>
      <c r="AE2935" t="str">
        <f>IF(OR(SalesData[[#This Row],[Day]]="Saturday",SalesData[[#This Row],[Day]]="Sunday"),"Weekend","Weekday")</f>
        <v>Weekday</v>
      </c>
      <c r="AF2935" s="5">
        <f>IF(SalesData[[#This Row],[Contracts Offered]]=0,0,SalesData[[#This Row],[Contracts Signed]]/SalesData[[#This Row],[Contracts Offered]])</f>
        <v>0.27472527472527475</v>
      </c>
      <c r="AG2935" s="5">
        <f>IF(SalesData[[#This Row],[Customers Visited]]=0,0,SalesData[[#This Row],[Test Drives]]/SalesData[[#This Row],[Customers Visited]])</f>
        <v>0.55303030303030298</v>
      </c>
      <c r="AH2935" s="5">
        <f>IF(SalesData[[#This Row],[Customers Visited]]=0,0,SalesData[[#This Row],[Contracts Signed]]/SalesData[[#This Row],[Customers Visited]])</f>
        <v>9.4696969696969696E-2</v>
      </c>
      <c r="AI2935" s="6">
        <f>IF(SalesData[[#This Row],[Contracts Signed]]=0,0,SalesData[[#This Row],[Profit(€)]]/SalesData[[#This Row],[Contracts Signed]])</f>
        <v>3485</v>
      </c>
      <c r="AJ2935" s="5" t="str">
        <f>TRIM(CLEAN(SalesData[[#This Row],[Retailer]]))</f>
        <v>Stuttgart Auto Center</v>
      </c>
    </row>
    <row r="2936" spans="1:36" ht="14.25" x14ac:dyDescent="0.2">
      <c r="A2936" t="s">
        <v>4076</v>
      </c>
      <c r="B2936" s="1">
        <v>46067</v>
      </c>
      <c r="C2936" t="s">
        <v>121</v>
      </c>
      <c r="D2936" t="s">
        <v>151</v>
      </c>
      <c r="E2936" t="s">
        <v>42</v>
      </c>
      <c r="F2936" t="s">
        <v>43</v>
      </c>
      <c r="G2936" t="s">
        <v>44</v>
      </c>
      <c r="H2936" t="s">
        <v>45</v>
      </c>
      <c r="I2936" t="s">
        <v>30</v>
      </c>
      <c r="J2936" t="s">
        <v>7075</v>
      </c>
      <c r="K2936" t="s">
        <v>66</v>
      </c>
      <c r="L2936" t="s">
        <v>33</v>
      </c>
      <c r="M2936" t="s">
        <v>68</v>
      </c>
      <c r="N2936" t="s">
        <v>69</v>
      </c>
      <c r="O2936" t="s">
        <v>36</v>
      </c>
      <c r="P2936" t="s">
        <v>49</v>
      </c>
      <c r="Q2936" t="s">
        <v>88</v>
      </c>
      <c r="R2936">
        <v>170</v>
      </c>
      <c r="S2936">
        <v>92</v>
      </c>
      <c r="T2936">
        <v>65</v>
      </c>
      <c r="U2936">
        <v>25</v>
      </c>
      <c r="V2936" t="s">
        <v>6994</v>
      </c>
      <c r="W2936">
        <v>56205</v>
      </c>
      <c r="X2936" t="s">
        <v>4573</v>
      </c>
      <c r="Y2936">
        <v>40055</v>
      </c>
      <c r="Z2936">
        <v>1405125</v>
      </c>
      <c r="AA2936">
        <v>403750</v>
      </c>
      <c r="AB2936" t="str">
        <f>(VLOOKUP(SalesData[[#This Row],[Month Number]],Reference!C$5:E$16,2,FALSE))</f>
        <v>Feb</v>
      </c>
      <c r="AC2936">
        <f>MONTH(SalesData[[#This Row],[Date]])</f>
        <v>2</v>
      </c>
      <c r="AD2936">
        <f>Reference!F$4</f>
        <v>2026</v>
      </c>
      <c r="AE2936" t="str">
        <f>IF(OR(SalesData[[#This Row],[Day]]="Saturday",SalesData[[#This Row],[Day]]="Sunday"),"Weekend","Weekday")</f>
        <v>Weekend</v>
      </c>
      <c r="AF2936" s="5">
        <f>IF(SalesData[[#This Row],[Contracts Offered]]=0,0,SalesData[[#This Row],[Contracts Signed]]/SalesData[[#This Row],[Contracts Offered]])</f>
        <v>0.38461538461538464</v>
      </c>
      <c r="AG2936" s="5">
        <f>IF(SalesData[[#This Row],[Customers Visited]]=0,0,SalesData[[#This Row],[Test Drives]]/SalesData[[#This Row],[Customers Visited]])</f>
        <v>0.54117647058823526</v>
      </c>
      <c r="AH2936" s="5">
        <f>IF(SalesData[[#This Row],[Customers Visited]]=0,0,SalesData[[#This Row],[Contracts Signed]]/SalesData[[#This Row],[Customers Visited]])</f>
        <v>0.14705882352941177</v>
      </c>
      <c r="AI2936" s="6">
        <f>IF(SalesData[[#This Row],[Contracts Signed]]=0,0,SalesData[[#This Row],[Profit(€)]]/SalesData[[#This Row],[Contracts Signed]])</f>
        <v>16150</v>
      </c>
      <c r="AJ2936" s="5" t="str">
        <f>TRIM(CLEAN(SalesData[[#This Row],[Retailer]]))</f>
        <v>Saxon Wheels</v>
      </c>
    </row>
    <row r="2937" spans="1:36" ht="14.25" hidden="1" x14ac:dyDescent="0.2">
      <c r="A2937" t="s">
        <v>4077</v>
      </c>
      <c r="B2937" s="1">
        <v>46074</v>
      </c>
      <c r="C2937" t="s">
        <v>62</v>
      </c>
      <c r="D2937" t="s">
        <v>151</v>
      </c>
      <c r="E2937" t="s">
        <v>42</v>
      </c>
      <c r="F2937" t="s">
        <v>74</v>
      </c>
      <c r="G2937" t="s">
        <v>75</v>
      </c>
      <c r="H2937" t="s">
        <v>76</v>
      </c>
      <c r="I2937" t="s">
        <v>104</v>
      </c>
      <c r="J2937" t="s">
        <v>7061</v>
      </c>
      <c r="K2937" t="s">
        <v>78</v>
      </c>
      <c r="L2937" t="s">
        <v>46</v>
      </c>
      <c r="M2937" t="s">
        <v>47</v>
      </c>
      <c r="N2937" t="s">
        <v>69</v>
      </c>
      <c r="O2937" t="s">
        <v>70</v>
      </c>
      <c r="P2937" t="s">
        <v>71</v>
      </c>
      <c r="Q2937" t="s">
        <v>204</v>
      </c>
      <c r="R2937">
        <v>474</v>
      </c>
      <c r="S2937">
        <v>257</v>
      </c>
      <c r="T2937">
        <v>173</v>
      </c>
      <c r="U2937">
        <v>43</v>
      </c>
      <c r="V2937" t="s">
        <v>6964</v>
      </c>
      <c r="W2937">
        <v>26506</v>
      </c>
      <c r="X2937" t="s">
        <v>2543</v>
      </c>
      <c r="Y2937">
        <v>23525</v>
      </c>
      <c r="Z2937">
        <v>1139758</v>
      </c>
      <c r="AA2937">
        <v>128183</v>
      </c>
      <c r="AB2937" t="str">
        <f>(VLOOKUP(SalesData[[#This Row],[Month Number]],Reference!C$5:E$16,2,FALSE))</f>
        <v>Feb</v>
      </c>
      <c r="AC2937">
        <f>MONTH(SalesData[[#This Row],[Date]])</f>
        <v>2</v>
      </c>
      <c r="AD2937">
        <f>Reference!F$4</f>
        <v>2026</v>
      </c>
      <c r="AE2937" t="str">
        <f>IF(OR(SalesData[[#This Row],[Day]]="Saturday",SalesData[[#This Row],[Day]]="Sunday"),"Weekend","Weekday")</f>
        <v>Weekend</v>
      </c>
      <c r="AF2937" s="5">
        <f>IF(SalesData[[#This Row],[Contracts Offered]]=0,0,SalesData[[#This Row],[Contracts Signed]]/SalesData[[#This Row],[Contracts Offered]])</f>
        <v>0.24855491329479767</v>
      </c>
      <c r="AG2937" s="5">
        <f>IF(SalesData[[#This Row],[Customers Visited]]=0,0,SalesData[[#This Row],[Test Drives]]/SalesData[[#This Row],[Customers Visited]])</f>
        <v>0.54219409282700426</v>
      </c>
      <c r="AH2937" s="5">
        <f>IF(SalesData[[#This Row],[Customers Visited]]=0,0,SalesData[[#This Row],[Contracts Signed]]/SalesData[[#This Row],[Customers Visited]])</f>
        <v>9.0717299578059074E-2</v>
      </c>
      <c r="AI2937" s="6">
        <f>IF(SalesData[[#This Row],[Contracts Signed]]=0,0,SalesData[[#This Row],[Profit(€)]]/SalesData[[#This Row],[Contracts Signed]])</f>
        <v>2981</v>
      </c>
      <c r="AJ2937" s="5" t="str">
        <f>TRIM(CLEAN(SalesData[[#This Row],[Retailer]]))</f>
        <v>Stuttgart Auto Center</v>
      </c>
    </row>
    <row r="2938" spans="1:36" ht="14.25" hidden="1" x14ac:dyDescent="0.2">
      <c r="A2938" t="s">
        <v>4078</v>
      </c>
      <c r="B2938" s="1">
        <v>46069</v>
      </c>
      <c r="C2938" t="s">
        <v>62</v>
      </c>
      <c r="D2938" t="s">
        <v>25</v>
      </c>
      <c r="E2938" t="s">
        <v>26</v>
      </c>
      <c r="F2938" t="s">
        <v>27</v>
      </c>
      <c r="G2938" t="s">
        <v>28</v>
      </c>
      <c r="H2938" t="s">
        <v>29</v>
      </c>
      <c r="I2938" t="s">
        <v>64</v>
      </c>
      <c r="J2938" t="s">
        <v>77</v>
      </c>
      <c r="K2938" t="s">
        <v>32</v>
      </c>
      <c r="L2938" t="s">
        <v>46</v>
      </c>
      <c r="M2938" t="s">
        <v>47</v>
      </c>
      <c r="N2938" t="s">
        <v>48</v>
      </c>
      <c r="O2938" t="s">
        <v>70</v>
      </c>
      <c r="P2938" t="s">
        <v>58</v>
      </c>
      <c r="Q2938" t="s">
        <v>118</v>
      </c>
      <c r="R2938">
        <v>249</v>
      </c>
      <c r="S2938">
        <v>110</v>
      </c>
      <c r="T2938">
        <v>79</v>
      </c>
      <c r="U2938">
        <v>31</v>
      </c>
      <c r="V2938" t="s">
        <v>6530</v>
      </c>
      <c r="W2938">
        <v>69254</v>
      </c>
      <c r="X2938" t="s">
        <v>7062</v>
      </c>
      <c r="Y2938">
        <v>52466</v>
      </c>
      <c r="Z2938">
        <v>2146874</v>
      </c>
      <c r="AA2938">
        <v>520428</v>
      </c>
      <c r="AB2938" t="str">
        <f>(VLOOKUP(SalesData[[#This Row],[Month Number]],Reference!C$5:E$16,2,FALSE))</f>
        <v>Feb</v>
      </c>
      <c r="AC2938">
        <f>MONTH(SalesData[[#This Row],[Date]])</f>
        <v>2</v>
      </c>
      <c r="AD2938">
        <f>Reference!F$4</f>
        <v>2026</v>
      </c>
      <c r="AE2938" t="str">
        <f>IF(OR(SalesData[[#This Row],[Day]]="Saturday",SalesData[[#This Row],[Day]]="Sunday"),"Weekend","Weekday")</f>
        <v>Weekday</v>
      </c>
      <c r="AF2938" s="5">
        <f>IF(SalesData[[#This Row],[Contracts Offered]]=0,0,SalesData[[#This Row],[Contracts Signed]]/SalesData[[#This Row],[Contracts Offered]])</f>
        <v>0.39240506329113922</v>
      </c>
      <c r="AG2938" s="5">
        <f>IF(SalesData[[#This Row],[Customers Visited]]=0,0,SalesData[[#This Row],[Test Drives]]/SalesData[[#This Row],[Customers Visited]])</f>
        <v>0.44176706827309237</v>
      </c>
      <c r="AH2938" s="5">
        <f>IF(SalesData[[#This Row],[Customers Visited]]=0,0,SalesData[[#This Row],[Contracts Signed]]/SalesData[[#This Row],[Customers Visited]])</f>
        <v>0.12449799196787148</v>
      </c>
      <c r="AI2938" s="6">
        <f>IF(SalesData[[#This Row],[Contracts Signed]]=0,0,SalesData[[#This Row],[Profit(€)]]/SalesData[[#This Row],[Contracts Signed]])</f>
        <v>16788</v>
      </c>
      <c r="AJ2938" s="5" t="str">
        <f>TRIM(CLEAN(SalesData[[#This Row],[Retailer]]))</f>
        <v>Main Auto Hub</v>
      </c>
    </row>
    <row r="2939" spans="1:36" ht="14.25" hidden="1" x14ac:dyDescent="0.2">
      <c r="A2939" t="s">
        <v>4079</v>
      </c>
      <c r="B2939" s="1">
        <v>46080</v>
      </c>
      <c r="C2939" t="s">
        <v>53</v>
      </c>
      <c r="D2939" t="s">
        <v>54</v>
      </c>
      <c r="E2939" t="s">
        <v>26</v>
      </c>
      <c r="F2939" t="s">
        <v>101</v>
      </c>
      <c r="G2939" t="s">
        <v>102</v>
      </c>
      <c r="H2939" t="s">
        <v>103</v>
      </c>
      <c r="I2939" t="s">
        <v>56</v>
      </c>
      <c r="J2939" t="s">
        <v>179</v>
      </c>
      <c r="K2939" t="s">
        <v>78</v>
      </c>
      <c r="L2939" t="s">
        <v>67</v>
      </c>
      <c r="M2939" t="s">
        <v>47</v>
      </c>
      <c r="N2939" t="s">
        <v>69</v>
      </c>
      <c r="O2939" t="s">
        <v>70</v>
      </c>
      <c r="P2939" t="s">
        <v>71</v>
      </c>
      <c r="Q2939" t="s">
        <v>118</v>
      </c>
      <c r="R2939">
        <v>217</v>
      </c>
      <c r="S2939">
        <v>113</v>
      </c>
      <c r="T2939">
        <v>77</v>
      </c>
      <c r="U2939">
        <v>26</v>
      </c>
      <c r="V2939" t="s">
        <v>7570</v>
      </c>
      <c r="W2939">
        <v>40043</v>
      </c>
      <c r="X2939" t="s">
        <v>702</v>
      </c>
      <c r="Y2939">
        <v>30832</v>
      </c>
      <c r="Z2939">
        <v>1041118</v>
      </c>
      <c r="AA2939">
        <v>239486</v>
      </c>
      <c r="AB2939" t="str">
        <f>(VLOOKUP(SalesData[[#This Row],[Month Number]],Reference!C$5:E$16,2,FALSE))</f>
        <v>Feb</v>
      </c>
      <c r="AC2939">
        <f>MONTH(SalesData[[#This Row],[Date]])</f>
        <v>2</v>
      </c>
      <c r="AD2939">
        <f>Reference!F$4</f>
        <v>2026</v>
      </c>
      <c r="AE2939" t="str">
        <f>IF(OR(SalesData[[#This Row],[Day]]="Saturday",SalesData[[#This Row],[Day]]="Sunday"),"Weekend","Weekday")</f>
        <v>Weekday</v>
      </c>
      <c r="AF2939" s="5">
        <f>IF(SalesData[[#This Row],[Contracts Offered]]=0,0,SalesData[[#This Row],[Contracts Signed]]/SalesData[[#This Row],[Contracts Offered]])</f>
        <v>0.33766233766233766</v>
      </c>
      <c r="AG2939" s="5">
        <f>IF(SalesData[[#This Row],[Customers Visited]]=0,0,SalesData[[#This Row],[Test Drives]]/SalesData[[#This Row],[Customers Visited]])</f>
        <v>0.52073732718894006</v>
      </c>
      <c r="AH2939" s="5">
        <f>IF(SalesData[[#This Row],[Customers Visited]]=0,0,SalesData[[#This Row],[Contracts Signed]]/SalesData[[#This Row],[Customers Visited]])</f>
        <v>0.11981566820276497</v>
      </c>
      <c r="AI2939" s="6">
        <f>IF(SalesData[[#This Row],[Contracts Signed]]=0,0,SalesData[[#This Row],[Profit(€)]]/SalesData[[#This Row],[Contracts Signed]])</f>
        <v>9211</v>
      </c>
      <c r="AJ2939" s="5" t="str">
        <f>TRIM(CLEAN(SalesData[[#This Row],[Retailer]]))</f>
        <v>Ruhr Auto Plaza</v>
      </c>
    </row>
    <row r="2940" spans="1:36" ht="14.25" x14ac:dyDescent="0.2">
      <c r="A2940" t="s">
        <v>4080</v>
      </c>
      <c r="B2940" s="1">
        <v>46066</v>
      </c>
      <c r="C2940" t="s">
        <v>121</v>
      </c>
      <c r="D2940" t="s">
        <v>54</v>
      </c>
      <c r="E2940" t="s">
        <v>26</v>
      </c>
      <c r="F2940" t="s">
        <v>83</v>
      </c>
      <c r="G2940" t="s">
        <v>84</v>
      </c>
      <c r="H2940" t="s">
        <v>85</v>
      </c>
      <c r="I2940" t="s">
        <v>30</v>
      </c>
      <c r="J2940" t="s">
        <v>86</v>
      </c>
      <c r="K2940" t="s">
        <v>66</v>
      </c>
      <c r="L2940" t="s">
        <v>33</v>
      </c>
      <c r="M2940" t="s">
        <v>68</v>
      </c>
      <c r="N2940" t="s">
        <v>69</v>
      </c>
      <c r="O2940" t="s">
        <v>70</v>
      </c>
      <c r="P2940" t="s">
        <v>58</v>
      </c>
      <c r="Q2940" t="s">
        <v>144</v>
      </c>
      <c r="R2940">
        <v>247</v>
      </c>
      <c r="S2940">
        <v>143</v>
      </c>
      <c r="T2940">
        <v>109</v>
      </c>
      <c r="U2940">
        <v>45</v>
      </c>
      <c r="V2940" t="s">
        <v>7571</v>
      </c>
      <c r="W2940">
        <v>65477</v>
      </c>
      <c r="X2940" t="s">
        <v>1739</v>
      </c>
      <c r="Y2940">
        <v>49583</v>
      </c>
      <c r="Z2940">
        <v>2946465</v>
      </c>
      <c r="AA2940">
        <v>715230</v>
      </c>
      <c r="AB2940" t="str">
        <f>(VLOOKUP(SalesData[[#This Row],[Month Number]],Reference!C$5:E$16,2,FALSE))</f>
        <v>Feb</v>
      </c>
      <c r="AC2940">
        <f>MONTH(SalesData[[#This Row],[Date]])</f>
        <v>2</v>
      </c>
      <c r="AD2940">
        <f>Reference!F$4</f>
        <v>2026</v>
      </c>
      <c r="AE2940" t="str">
        <f>IF(OR(SalesData[[#This Row],[Day]]="Saturday",SalesData[[#This Row],[Day]]="Sunday"),"Weekend","Weekday")</f>
        <v>Weekday</v>
      </c>
      <c r="AF2940" s="5">
        <f>IF(SalesData[[#This Row],[Contracts Offered]]=0,0,SalesData[[#This Row],[Contracts Signed]]/SalesData[[#This Row],[Contracts Offered]])</f>
        <v>0.41284403669724773</v>
      </c>
      <c r="AG2940" s="5">
        <f>IF(SalesData[[#This Row],[Customers Visited]]=0,0,SalesData[[#This Row],[Test Drives]]/SalesData[[#This Row],[Customers Visited]])</f>
        <v>0.57894736842105265</v>
      </c>
      <c r="AH2940" s="5">
        <f>IF(SalesData[[#This Row],[Customers Visited]]=0,0,SalesData[[#This Row],[Contracts Signed]]/SalesData[[#This Row],[Customers Visited]])</f>
        <v>0.18218623481781376</v>
      </c>
      <c r="AI2940" s="6">
        <f>IF(SalesData[[#This Row],[Contracts Signed]]=0,0,SalesData[[#This Row],[Profit(€)]]/SalesData[[#This Row],[Contracts Signed]])</f>
        <v>15894</v>
      </c>
      <c r="AJ2940" s="5" t="str">
        <f>TRIM(CLEAN(SalesData[[#This Row],[Retailer]]))</f>
        <v>Hannover Cars</v>
      </c>
    </row>
    <row r="2941" spans="1:36" ht="14.25" hidden="1" x14ac:dyDescent="0.2">
      <c r="A2941" t="s">
        <v>4082</v>
      </c>
      <c r="B2941" s="1">
        <v>46069</v>
      </c>
      <c r="C2941" t="s">
        <v>62</v>
      </c>
      <c r="D2941" t="s">
        <v>25</v>
      </c>
      <c r="E2941" t="s">
        <v>26</v>
      </c>
      <c r="F2941" t="s">
        <v>43</v>
      </c>
      <c r="G2941" t="s">
        <v>44</v>
      </c>
      <c r="H2941" t="s">
        <v>45</v>
      </c>
      <c r="I2941" t="s">
        <v>56</v>
      </c>
      <c r="J2941" t="s">
        <v>179</v>
      </c>
      <c r="K2941" t="s">
        <v>78</v>
      </c>
      <c r="L2941" t="s">
        <v>67</v>
      </c>
      <c r="M2941" t="s">
        <v>87</v>
      </c>
      <c r="N2941" t="s">
        <v>48</v>
      </c>
      <c r="O2941" t="s">
        <v>70</v>
      </c>
      <c r="P2941" t="s">
        <v>71</v>
      </c>
      <c r="Q2941" t="s">
        <v>135</v>
      </c>
      <c r="R2941">
        <v>256</v>
      </c>
      <c r="S2941">
        <v>122</v>
      </c>
      <c r="T2941">
        <v>86</v>
      </c>
      <c r="U2941">
        <v>26</v>
      </c>
      <c r="V2941" t="s">
        <v>6587</v>
      </c>
      <c r="W2941">
        <v>43407</v>
      </c>
      <c r="X2941" t="s">
        <v>4982</v>
      </c>
      <c r="Y2941">
        <v>32984</v>
      </c>
      <c r="Z2941">
        <v>1128582</v>
      </c>
      <c r="AA2941">
        <v>270998</v>
      </c>
      <c r="AB2941" t="str">
        <f>(VLOOKUP(SalesData[[#This Row],[Month Number]],Reference!C$5:E$16,2,FALSE))</f>
        <v>Feb</v>
      </c>
      <c r="AC2941">
        <f>MONTH(SalesData[[#This Row],[Date]])</f>
        <v>2</v>
      </c>
      <c r="AD2941">
        <f>Reference!F$4</f>
        <v>2026</v>
      </c>
      <c r="AE2941" t="str">
        <f>IF(OR(SalesData[[#This Row],[Day]]="Saturday",SalesData[[#This Row],[Day]]="Sunday"),"Weekend","Weekday")</f>
        <v>Weekday</v>
      </c>
      <c r="AF2941" s="5">
        <f>IF(SalesData[[#This Row],[Contracts Offered]]=0,0,SalesData[[#This Row],[Contracts Signed]]/SalesData[[#This Row],[Contracts Offered]])</f>
        <v>0.30232558139534882</v>
      </c>
      <c r="AG2941" s="5">
        <f>IF(SalesData[[#This Row],[Customers Visited]]=0,0,SalesData[[#This Row],[Test Drives]]/SalesData[[#This Row],[Customers Visited]])</f>
        <v>0.4765625</v>
      </c>
      <c r="AH2941" s="5">
        <f>IF(SalesData[[#This Row],[Customers Visited]]=0,0,SalesData[[#This Row],[Contracts Signed]]/SalesData[[#This Row],[Customers Visited]])</f>
        <v>0.1015625</v>
      </c>
      <c r="AI2941" s="6">
        <f>IF(SalesData[[#This Row],[Contracts Signed]]=0,0,SalesData[[#This Row],[Profit(€)]]/SalesData[[#This Row],[Contracts Signed]])</f>
        <v>10423</v>
      </c>
      <c r="AJ2941" s="5" t="str">
        <f>TRIM(CLEAN(SalesData[[#This Row],[Retailer]]))</f>
        <v>Saxon Wheels</v>
      </c>
    </row>
    <row r="2942" spans="1:36" ht="14.25" hidden="1" x14ac:dyDescent="0.2">
      <c r="A2942" t="s">
        <v>4083</v>
      </c>
      <c r="B2942" s="1">
        <v>46054</v>
      </c>
      <c r="C2942" t="s">
        <v>24</v>
      </c>
      <c r="D2942" t="s">
        <v>41</v>
      </c>
      <c r="E2942" t="s">
        <v>42</v>
      </c>
      <c r="F2942" t="s">
        <v>74</v>
      </c>
      <c r="G2942" t="s">
        <v>75</v>
      </c>
      <c r="H2942" t="s">
        <v>76</v>
      </c>
      <c r="I2942" t="s">
        <v>56</v>
      </c>
      <c r="J2942" t="s">
        <v>57</v>
      </c>
      <c r="K2942" t="s">
        <v>91</v>
      </c>
      <c r="L2942" t="s">
        <v>46</v>
      </c>
      <c r="M2942" t="s">
        <v>34</v>
      </c>
      <c r="N2942" t="s">
        <v>69</v>
      </c>
      <c r="O2942" t="s">
        <v>36</v>
      </c>
      <c r="P2942" t="s">
        <v>37</v>
      </c>
      <c r="Q2942" t="s">
        <v>158</v>
      </c>
      <c r="R2942">
        <v>279</v>
      </c>
      <c r="S2942">
        <v>130</v>
      </c>
      <c r="T2942">
        <v>100</v>
      </c>
      <c r="U2942">
        <v>28</v>
      </c>
      <c r="V2942" t="s">
        <v>7014</v>
      </c>
      <c r="W2942">
        <v>47676</v>
      </c>
      <c r="X2942" t="s">
        <v>273</v>
      </c>
      <c r="Y2942">
        <v>37207</v>
      </c>
      <c r="Z2942">
        <v>1334928</v>
      </c>
      <c r="AA2942">
        <v>293132</v>
      </c>
      <c r="AB2942" t="str">
        <f>(VLOOKUP(SalesData[[#This Row],[Month Number]],Reference!C$5:E$16,2,FALSE))</f>
        <v>Feb</v>
      </c>
      <c r="AC2942">
        <f>MONTH(SalesData[[#This Row],[Date]])</f>
        <v>2</v>
      </c>
      <c r="AD2942">
        <f>Reference!F$4</f>
        <v>2026</v>
      </c>
      <c r="AE2942" t="str">
        <f>IF(OR(SalesData[[#This Row],[Day]]="Saturday",SalesData[[#This Row],[Day]]="Sunday"),"Weekend","Weekday")</f>
        <v>Weekend</v>
      </c>
      <c r="AF2942" s="5">
        <f>IF(SalesData[[#This Row],[Contracts Offered]]=0,0,SalesData[[#This Row],[Contracts Signed]]/SalesData[[#This Row],[Contracts Offered]])</f>
        <v>0.28000000000000003</v>
      </c>
      <c r="AG2942" s="5">
        <f>IF(SalesData[[#This Row],[Customers Visited]]=0,0,SalesData[[#This Row],[Test Drives]]/SalesData[[#This Row],[Customers Visited]])</f>
        <v>0.46594982078853048</v>
      </c>
      <c r="AH2942" s="5">
        <f>IF(SalesData[[#This Row],[Customers Visited]]=0,0,SalesData[[#This Row],[Contracts Signed]]/SalesData[[#This Row],[Customers Visited]])</f>
        <v>0.1003584229390681</v>
      </c>
      <c r="AI2942" s="6">
        <f>IF(SalesData[[#This Row],[Contracts Signed]]=0,0,SalesData[[#This Row],[Profit(€)]]/SalesData[[#This Row],[Contracts Signed]])</f>
        <v>10469</v>
      </c>
      <c r="AJ2942" s="5" t="str">
        <f>TRIM(CLEAN(SalesData[[#This Row],[Retailer]]))</f>
        <v>Stuttgart Auto Center</v>
      </c>
    </row>
    <row r="2943" spans="1:36" ht="14.25" hidden="1" x14ac:dyDescent="0.2">
      <c r="A2943" t="s">
        <v>4084</v>
      </c>
      <c r="B2943" s="1">
        <v>46069</v>
      </c>
      <c r="C2943" t="s">
        <v>62</v>
      </c>
      <c r="D2943" t="s">
        <v>25</v>
      </c>
      <c r="E2943" t="s">
        <v>26</v>
      </c>
      <c r="F2943" t="s">
        <v>109</v>
      </c>
      <c r="G2943" t="s">
        <v>110</v>
      </c>
      <c r="H2943" t="s">
        <v>45</v>
      </c>
      <c r="I2943" t="s">
        <v>116</v>
      </c>
      <c r="J2943" t="s">
        <v>117</v>
      </c>
      <c r="K2943" t="s">
        <v>66</v>
      </c>
      <c r="L2943" t="s">
        <v>67</v>
      </c>
      <c r="M2943" t="s">
        <v>34</v>
      </c>
      <c r="N2943" t="s">
        <v>69</v>
      </c>
      <c r="O2943" t="s">
        <v>70</v>
      </c>
      <c r="P2943" t="s">
        <v>71</v>
      </c>
      <c r="Q2943" t="s">
        <v>122</v>
      </c>
      <c r="R2943">
        <v>243</v>
      </c>
      <c r="S2943">
        <v>126</v>
      </c>
      <c r="T2943">
        <v>77</v>
      </c>
      <c r="U2943">
        <v>20</v>
      </c>
      <c r="V2943" t="s">
        <v>1723</v>
      </c>
      <c r="W2943">
        <v>22700</v>
      </c>
      <c r="X2943" t="s">
        <v>1951</v>
      </c>
      <c r="Y2943">
        <v>20825</v>
      </c>
      <c r="Z2943">
        <v>454000</v>
      </c>
      <c r="AA2943">
        <v>37500</v>
      </c>
      <c r="AB2943" t="str">
        <f>(VLOOKUP(SalesData[[#This Row],[Month Number]],Reference!C$5:E$16,2,FALSE))</f>
        <v>Feb</v>
      </c>
      <c r="AC2943">
        <f>MONTH(SalesData[[#This Row],[Date]])</f>
        <v>2</v>
      </c>
      <c r="AD2943">
        <f>Reference!F$4</f>
        <v>2026</v>
      </c>
      <c r="AE2943" t="str">
        <f>IF(OR(SalesData[[#This Row],[Day]]="Saturday",SalesData[[#This Row],[Day]]="Sunday"),"Weekend","Weekday")</f>
        <v>Weekday</v>
      </c>
      <c r="AF2943" s="5">
        <f>IF(SalesData[[#This Row],[Contracts Offered]]=0,0,SalesData[[#This Row],[Contracts Signed]]/SalesData[[#This Row],[Contracts Offered]])</f>
        <v>0.25974025974025972</v>
      </c>
      <c r="AG2943" s="5">
        <f>IF(SalesData[[#This Row],[Customers Visited]]=0,0,SalesData[[#This Row],[Test Drives]]/SalesData[[#This Row],[Customers Visited]])</f>
        <v>0.51851851851851849</v>
      </c>
      <c r="AH2943" s="5">
        <f>IF(SalesData[[#This Row],[Customers Visited]]=0,0,SalesData[[#This Row],[Contracts Signed]]/SalesData[[#This Row],[Customers Visited]])</f>
        <v>8.2304526748971193E-2</v>
      </c>
      <c r="AI2943" s="6">
        <f>IF(SalesData[[#This Row],[Contracts Signed]]=0,0,SalesData[[#This Row],[Profit(€)]]/SalesData[[#This Row],[Contracts Signed]])</f>
        <v>1875</v>
      </c>
      <c r="AJ2943" s="5" t="str">
        <f>TRIM(CLEAN(SalesData[[#This Row],[Retailer]]))</f>
        <v>Leipzig Mobility</v>
      </c>
    </row>
    <row r="2944" spans="1:36" ht="14.25" hidden="1" x14ac:dyDescent="0.2">
      <c r="A2944" t="s">
        <v>4085</v>
      </c>
      <c r="B2944" s="1">
        <v>46057</v>
      </c>
      <c r="C2944" t="s">
        <v>24</v>
      </c>
      <c r="D2944" t="s">
        <v>82</v>
      </c>
      <c r="E2944" t="s">
        <v>26</v>
      </c>
      <c r="F2944" t="s">
        <v>114</v>
      </c>
      <c r="G2944" t="s">
        <v>115</v>
      </c>
      <c r="H2944" t="s">
        <v>115</v>
      </c>
      <c r="I2944" t="s">
        <v>104</v>
      </c>
      <c r="J2944" t="s">
        <v>7031</v>
      </c>
      <c r="K2944" t="s">
        <v>66</v>
      </c>
      <c r="L2944" t="s">
        <v>46</v>
      </c>
      <c r="M2944" t="s">
        <v>87</v>
      </c>
      <c r="N2944" t="s">
        <v>35</v>
      </c>
      <c r="O2944" t="s">
        <v>70</v>
      </c>
      <c r="P2944" t="s">
        <v>49</v>
      </c>
      <c r="Q2944" t="s">
        <v>79</v>
      </c>
      <c r="R2944">
        <v>380</v>
      </c>
      <c r="S2944">
        <v>158</v>
      </c>
      <c r="T2944">
        <v>110</v>
      </c>
      <c r="U2944">
        <v>21</v>
      </c>
      <c r="V2944" t="s">
        <v>1436</v>
      </c>
      <c r="W2944">
        <v>30586</v>
      </c>
      <c r="X2944" t="s">
        <v>2706</v>
      </c>
      <c r="Y2944">
        <v>27583</v>
      </c>
      <c r="Z2944">
        <v>642306</v>
      </c>
      <c r="AA2944">
        <v>63063</v>
      </c>
      <c r="AB2944" t="str">
        <f>(VLOOKUP(SalesData[[#This Row],[Month Number]],Reference!C$5:E$16,2,FALSE))</f>
        <v>Feb</v>
      </c>
      <c r="AC2944">
        <f>MONTH(SalesData[[#This Row],[Date]])</f>
        <v>2</v>
      </c>
      <c r="AD2944">
        <f>Reference!F$4</f>
        <v>2026</v>
      </c>
      <c r="AE2944" t="str">
        <f>IF(OR(SalesData[[#This Row],[Day]]="Saturday",SalesData[[#This Row],[Day]]="Sunday"),"Weekend","Weekday")</f>
        <v>Weekday</v>
      </c>
      <c r="AF2944" s="5">
        <f>IF(SalesData[[#This Row],[Contracts Offered]]=0,0,SalesData[[#This Row],[Contracts Signed]]/SalesData[[#This Row],[Contracts Offered]])</f>
        <v>0.19090909090909092</v>
      </c>
      <c r="AG2944" s="5">
        <f>IF(SalesData[[#This Row],[Customers Visited]]=0,0,SalesData[[#This Row],[Test Drives]]/SalesData[[#This Row],[Customers Visited]])</f>
        <v>0.41578947368421054</v>
      </c>
      <c r="AH2944" s="5">
        <f>IF(SalesData[[#This Row],[Customers Visited]]=0,0,SalesData[[#This Row],[Contracts Signed]]/SalesData[[#This Row],[Customers Visited]])</f>
        <v>5.526315789473684E-2</v>
      </c>
      <c r="AI2944" s="6">
        <f>IF(SalesData[[#This Row],[Contracts Signed]]=0,0,SalesData[[#This Row],[Profit(€)]]/SalesData[[#This Row],[Contracts Signed]])</f>
        <v>3003</v>
      </c>
      <c r="AJ2944" s="5" t="str">
        <f>TRIM(CLEAN(SalesData[[#This Row],[Retailer]]))</f>
        <v>Elbe Drive</v>
      </c>
    </row>
    <row r="2945" spans="1:36" ht="14.25" hidden="1" x14ac:dyDescent="0.2">
      <c r="A2945" t="s">
        <v>4086</v>
      </c>
      <c r="B2945" s="1">
        <v>46065</v>
      </c>
      <c r="C2945" t="s">
        <v>121</v>
      </c>
      <c r="D2945" t="s">
        <v>100</v>
      </c>
      <c r="E2945" t="s">
        <v>26</v>
      </c>
      <c r="F2945" t="s">
        <v>7649</v>
      </c>
      <c r="G2945" t="s">
        <v>55</v>
      </c>
      <c r="H2945" t="s">
        <v>55</v>
      </c>
      <c r="I2945" t="s">
        <v>104</v>
      </c>
      <c r="J2945" t="s">
        <v>140</v>
      </c>
      <c r="K2945" t="s">
        <v>78</v>
      </c>
      <c r="L2945" t="s">
        <v>46</v>
      </c>
      <c r="M2945" t="s">
        <v>87</v>
      </c>
      <c r="N2945" t="s">
        <v>48</v>
      </c>
      <c r="O2945" t="s">
        <v>70</v>
      </c>
      <c r="P2945" t="s">
        <v>49</v>
      </c>
      <c r="Q2945" t="s">
        <v>240</v>
      </c>
      <c r="R2945">
        <v>373</v>
      </c>
      <c r="S2945">
        <v>170</v>
      </c>
      <c r="T2945">
        <v>102</v>
      </c>
      <c r="U2945">
        <v>26</v>
      </c>
      <c r="V2945" t="s">
        <v>1628</v>
      </c>
      <c r="W2945">
        <v>26055</v>
      </c>
      <c r="X2945" t="s">
        <v>1992</v>
      </c>
      <c r="Y2945">
        <v>22490</v>
      </c>
      <c r="Z2945">
        <v>677430</v>
      </c>
      <c r="AA2945">
        <v>92690</v>
      </c>
      <c r="AB2945" t="str">
        <f>(VLOOKUP(SalesData[[#This Row],[Month Number]],Reference!C$5:E$16,2,FALSE))</f>
        <v>Feb</v>
      </c>
      <c r="AC2945">
        <f>MONTH(SalesData[[#This Row],[Date]])</f>
        <v>2</v>
      </c>
      <c r="AD2945">
        <f>Reference!F$4</f>
        <v>2026</v>
      </c>
      <c r="AE2945" t="str">
        <f>IF(OR(SalesData[[#This Row],[Day]]="Saturday",SalesData[[#This Row],[Day]]="Sunday"),"Weekend","Weekday")</f>
        <v>Weekday</v>
      </c>
      <c r="AF2945" s="5">
        <f>IF(SalesData[[#This Row],[Contracts Offered]]=0,0,SalesData[[#This Row],[Contracts Signed]]/SalesData[[#This Row],[Contracts Offered]])</f>
        <v>0.25490196078431371</v>
      </c>
      <c r="AG2945" s="5">
        <f>IF(SalesData[[#This Row],[Customers Visited]]=0,0,SalesData[[#This Row],[Test Drives]]/SalesData[[#This Row],[Customers Visited]])</f>
        <v>0.45576407506702415</v>
      </c>
      <c r="AH2945" s="5">
        <f>IF(SalesData[[#This Row],[Customers Visited]]=0,0,SalesData[[#This Row],[Contracts Signed]]/SalesData[[#This Row],[Customers Visited]])</f>
        <v>6.9705093833780166E-2</v>
      </c>
      <c r="AI2945" s="6">
        <f>IF(SalesData[[#This Row],[Contracts Signed]]=0,0,SalesData[[#This Row],[Profit(€)]]/SalesData[[#This Row],[Contracts Signed]])</f>
        <v>3565</v>
      </c>
      <c r="AJ2945" s="5" t="str">
        <f>TRIM(CLEAN(SalesData[[#This Row],[Retailer]]))</f>
        <v>Autohaus Berlin</v>
      </c>
    </row>
    <row r="2946" spans="1:36" ht="14.25" hidden="1" x14ac:dyDescent="0.2">
      <c r="A2946" t="s">
        <v>4087</v>
      </c>
      <c r="B2946" s="1">
        <v>46057</v>
      </c>
      <c r="C2946" t="s">
        <v>24</v>
      </c>
      <c r="D2946" t="s">
        <v>82</v>
      </c>
      <c r="E2946" t="s">
        <v>26</v>
      </c>
      <c r="F2946" t="s">
        <v>7649</v>
      </c>
      <c r="G2946" t="s">
        <v>55</v>
      </c>
      <c r="H2946" t="s">
        <v>55</v>
      </c>
      <c r="I2946" t="s">
        <v>56</v>
      </c>
      <c r="J2946" t="s">
        <v>137</v>
      </c>
      <c r="K2946" t="s">
        <v>78</v>
      </c>
      <c r="L2946" t="s">
        <v>46</v>
      </c>
      <c r="M2946" t="s">
        <v>34</v>
      </c>
      <c r="N2946" t="s">
        <v>48</v>
      </c>
      <c r="O2946" t="s">
        <v>36</v>
      </c>
      <c r="P2946" t="s">
        <v>37</v>
      </c>
      <c r="Q2946" t="s">
        <v>158</v>
      </c>
      <c r="R2946">
        <v>273</v>
      </c>
      <c r="S2946">
        <v>160</v>
      </c>
      <c r="T2946">
        <v>108</v>
      </c>
      <c r="U2946">
        <v>37</v>
      </c>
      <c r="V2946" t="s">
        <v>6662</v>
      </c>
      <c r="W2946">
        <v>53057</v>
      </c>
      <c r="X2946" t="s">
        <v>7399</v>
      </c>
      <c r="Y2946">
        <v>41409</v>
      </c>
      <c r="Z2946">
        <v>1963109</v>
      </c>
      <c r="AA2946">
        <v>430976</v>
      </c>
      <c r="AB2946" t="str">
        <f>(VLOOKUP(SalesData[[#This Row],[Month Number]],Reference!C$5:E$16,2,FALSE))</f>
        <v>Feb</v>
      </c>
      <c r="AC2946">
        <f>MONTH(SalesData[[#This Row],[Date]])</f>
        <v>2</v>
      </c>
      <c r="AD2946">
        <f>Reference!F$4</f>
        <v>2026</v>
      </c>
      <c r="AE2946" t="str">
        <f>IF(OR(SalesData[[#This Row],[Day]]="Saturday",SalesData[[#This Row],[Day]]="Sunday"),"Weekend","Weekday")</f>
        <v>Weekday</v>
      </c>
      <c r="AF2946" s="5">
        <f>IF(SalesData[[#This Row],[Contracts Offered]]=0,0,SalesData[[#This Row],[Contracts Signed]]/SalesData[[#This Row],[Contracts Offered]])</f>
        <v>0.34259259259259262</v>
      </c>
      <c r="AG2946" s="5">
        <f>IF(SalesData[[#This Row],[Customers Visited]]=0,0,SalesData[[#This Row],[Test Drives]]/SalesData[[#This Row],[Customers Visited]])</f>
        <v>0.58608058608058611</v>
      </c>
      <c r="AH2946" s="5">
        <f>IF(SalesData[[#This Row],[Customers Visited]]=0,0,SalesData[[#This Row],[Contracts Signed]]/SalesData[[#This Row],[Customers Visited]])</f>
        <v>0.13553113553113552</v>
      </c>
      <c r="AI2946" s="6">
        <f>IF(SalesData[[#This Row],[Contracts Signed]]=0,0,SalesData[[#This Row],[Profit(€)]]/SalesData[[#This Row],[Contracts Signed]])</f>
        <v>11648</v>
      </c>
      <c r="AJ2946" s="5" t="str">
        <f>TRIM(CLEAN(SalesData[[#This Row],[Retailer]]))</f>
        <v>Autohaus Berlin</v>
      </c>
    </row>
    <row r="2947" spans="1:36" ht="14.25" hidden="1" x14ac:dyDescent="0.2">
      <c r="A2947" t="s">
        <v>4088</v>
      </c>
      <c r="B2947" s="1">
        <v>46075</v>
      </c>
      <c r="C2947" t="s">
        <v>53</v>
      </c>
      <c r="D2947" t="s">
        <v>41</v>
      </c>
      <c r="E2947" t="s">
        <v>42</v>
      </c>
      <c r="F2947" t="s">
        <v>43</v>
      </c>
      <c r="G2947" t="s">
        <v>44</v>
      </c>
      <c r="H2947" t="s">
        <v>45</v>
      </c>
      <c r="I2947" t="s">
        <v>56</v>
      </c>
      <c r="J2947" t="s">
        <v>7028</v>
      </c>
      <c r="K2947" t="s">
        <v>78</v>
      </c>
      <c r="L2947" t="s">
        <v>46</v>
      </c>
      <c r="M2947" t="s">
        <v>34</v>
      </c>
      <c r="N2947" t="s">
        <v>35</v>
      </c>
      <c r="O2947" t="s">
        <v>70</v>
      </c>
      <c r="P2947" t="s">
        <v>58</v>
      </c>
      <c r="Q2947" t="s">
        <v>189</v>
      </c>
      <c r="R2947">
        <v>278</v>
      </c>
      <c r="S2947">
        <v>145</v>
      </c>
      <c r="T2947">
        <v>102</v>
      </c>
      <c r="U2947">
        <v>35</v>
      </c>
      <c r="V2947" t="s">
        <v>6659</v>
      </c>
      <c r="W2947">
        <v>42187</v>
      </c>
      <c r="X2947" t="s">
        <v>3364</v>
      </c>
      <c r="Y2947">
        <v>32745</v>
      </c>
      <c r="Z2947">
        <v>1476545</v>
      </c>
      <c r="AA2947">
        <v>330470</v>
      </c>
      <c r="AB2947" t="str">
        <f>(VLOOKUP(SalesData[[#This Row],[Month Number]],Reference!C$5:E$16,2,FALSE))</f>
        <v>Feb</v>
      </c>
      <c r="AC2947">
        <f>MONTH(SalesData[[#This Row],[Date]])</f>
        <v>2</v>
      </c>
      <c r="AD2947">
        <f>Reference!F$4</f>
        <v>2026</v>
      </c>
      <c r="AE2947" t="str">
        <f>IF(OR(SalesData[[#This Row],[Day]]="Saturday",SalesData[[#This Row],[Day]]="Sunday"),"Weekend","Weekday")</f>
        <v>Weekend</v>
      </c>
      <c r="AF2947" s="5">
        <f>IF(SalesData[[#This Row],[Contracts Offered]]=0,0,SalesData[[#This Row],[Contracts Signed]]/SalesData[[#This Row],[Contracts Offered]])</f>
        <v>0.34313725490196079</v>
      </c>
      <c r="AG2947" s="5">
        <f>IF(SalesData[[#This Row],[Customers Visited]]=0,0,SalesData[[#This Row],[Test Drives]]/SalesData[[#This Row],[Customers Visited]])</f>
        <v>0.52158273381294962</v>
      </c>
      <c r="AH2947" s="5">
        <f>IF(SalesData[[#This Row],[Customers Visited]]=0,0,SalesData[[#This Row],[Contracts Signed]]/SalesData[[#This Row],[Customers Visited]])</f>
        <v>0.12589928057553956</v>
      </c>
      <c r="AI2947" s="6">
        <f>IF(SalesData[[#This Row],[Contracts Signed]]=0,0,SalesData[[#This Row],[Profit(€)]]/SalesData[[#This Row],[Contracts Signed]])</f>
        <v>9442</v>
      </c>
      <c r="AJ2947" s="5" t="str">
        <f>TRIM(CLEAN(SalesData[[#This Row],[Retailer]]))</f>
        <v>Saxon Wheels</v>
      </c>
    </row>
    <row r="2948" spans="1:36" ht="14.25" hidden="1" x14ac:dyDescent="0.2">
      <c r="A2948" t="s">
        <v>4089</v>
      </c>
      <c r="B2948" s="1">
        <v>46067</v>
      </c>
      <c r="C2948" t="s">
        <v>121</v>
      </c>
      <c r="D2948" t="s">
        <v>151</v>
      </c>
      <c r="E2948" t="s">
        <v>42</v>
      </c>
      <c r="F2948" t="s">
        <v>43</v>
      </c>
      <c r="G2948" t="s">
        <v>44</v>
      </c>
      <c r="H2948" t="s">
        <v>45</v>
      </c>
      <c r="I2948" t="s">
        <v>104</v>
      </c>
      <c r="J2948" t="s">
        <v>7031</v>
      </c>
      <c r="K2948" t="s">
        <v>32</v>
      </c>
      <c r="L2948" t="s">
        <v>46</v>
      </c>
      <c r="M2948" t="s">
        <v>87</v>
      </c>
      <c r="N2948" t="s">
        <v>35</v>
      </c>
      <c r="O2948" t="s">
        <v>36</v>
      </c>
      <c r="P2948" t="s">
        <v>58</v>
      </c>
      <c r="Q2948" t="s">
        <v>135</v>
      </c>
      <c r="R2948">
        <v>458</v>
      </c>
      <c r="S2948">
        <v>222</v>
      </c>
      <c r="T2948">
        <v>147</v>
      </c>
      <c r="U2948">
        <v>41</v>
      </c>
      <c r="V2948" t="s">
        <v>2042</v>
      </c>
      <c r="W2948">
        <v>29989</v>
      </c>
      <c r="X2948" t="s">
        <v>7572</v>
      </c>
      <c r="Y2948">
        <v>27247</v>
      </c>
      <c r="Z2948">
        <v>1229549</v>
      </c>
      <c r="AA2948">
        <v>112422</v>
      </c>
      <c r="AB2948" t="str">
        <f>(VLOOKUP(SalesData[[#This Row],[Month Number]],Reference!C$5:E$16,2,FALSE))</f>
        <v>Feb</v>
      </c>
      <c r="AC2948">
        <f>MONTH(SalesData[[#This Row],[Date]])</f>
        <v>2</v>
      </c>
      <c r="AD2948">
        <f>Reference!F$4</f>
        <v>2026</v>
      </c>
      <c r="AE2948" t="str">
        <f>IF(OR(SalesData[[#This Row],[Day]]="Saturday",SalesData[[#This Row],[Day]]="Sunday"),"Weekend","Weekday")</f>
        <v>Weekend</v>
      </c>
      <c r="AF2948" s="5">
        <f>IF(SalesData[[#This Row],[Contracts Offered]]=0,0,SalesData[[#This Row],[Contracts Signed]]/SalesData[[#This Row],[Contracts Offered]])</f>
        <v>0.27891156462585032</v>
      </c>
      <c r="AG2948" s="5">
        <f>IF(SalesData[[#This Row],[Customers Visited]]=0,0,SalesData[[#This Row],[Test Drives]]/SalesData[[#This Row],[Customers Visited]])</f>
        <v>0.48471615720524019</v>
      </c>
      <c r="AH2948" s="5">
        <f>IF(SalesData[[#This Row],[Customers Visited]]=0,0,SalesData[[#This Row],[Contracts Signed]]/SalesData[[#This Row],[Customers Visited]])</f>
        <v>8.9519650655021835E-2</v>
      </c>
      <c r="AI2948" s="6">
        <f>IF(SalesData[[#This Row],[Contracts Signed]]=0,0,SalesData[[#This Row],[Profit(€)]]/SalesData[[#This Row],[Contracts Signed]])</f>
        <v>2742</v>
      </c>
      <c r="AJ2948" s="5" t="str">
        <f>TRIM(CLEAN(SalesData[[#This Row],[Retailer]]))</f>
        <v>Saxon Wheels</v>
      </c>
    </row>
    <row r="2949" spans="1:36" ht="14.25" hidden="1" x14ac:dyDescent="0.2">
      <c r="A2949" t="s">
        <v>4090</v>
      </c>
      <c r="B2949" s="1">
        <v>46056</v>
      </c>
      <c r="C2949" t="s">
        <v>24</v>
      </c>
      <c r="D2949" t="s">
        <v>63</v>
      </c>
      <c r="E2949" t="s">
        <v>26</v>
      </c>
      <c r="F2949" t="s">
        <v>127</v>
      </c>
      <c r="G2949" t="s">
        <v>128</v>
      </c>
      <c r="H2949" t="s">
        <v>103</v>
      </c>
      <c r="I2949" t="s">
        <v>104</v>
      </c>
      <c r="J2949" t="s">
        <v>7061</v>
      </c>
      <c r="K2949" t="s">
        <v>32</v>
      </c>
      <c r="L2949" t="s">
        <v>46</v>
      </c>
      <c r="M2949" t="s">
        <v>68</v>
      </c>
      <c r="N2949" t="s">
        <v>69</v>
      </c>
      <c r="O2949" t="s">
        <v>36</v>
      </c>
      <c r="P2949" t="s">
        <v>71</v>
      </c>
      <c r="Q2949" t="s">
        <v>152</v>
      </c>
      <c r="R2949">
        <v>439</v>
      </c>
      <c r="S2949">
        <v>178</v>
      </c>
      <c r="T2949">
        <v>123</v>
      </c>
      <c r="U2949">
        <v>33</v>
      </c>
      <c r="V2949" t="s">
        <v>1103</v>
      </c>
      <c r="W2949">
        <v>29808</v>
      </c>
      <c r="X2949" t="s">
        <v>7481</v>
      </c>
      <c r="Y2949">
        <v>26914</v>
      </c>
      <c r="Z2949">
        <v>983664</v>
      </c>
      <c r="AA2949">
        <v>95502</v>
      </c>
      <c r="AB2949" t="str">
        <f>(VLOOKUP(SalesData[[#This Row],[Month Number]],Reference!C$5:E$16,2,FALSE))</f>
        <v>Feb</v>
      </c>
      <c r="AC2949">
        <f>MONTH(SalesData[[#This Row],[Date]])</f>
        <v>2</v>
      </c>
      <c r="AD2949">
        <f>Reference!F$4</f>
        <v>2026</v>
      </c>
      <c r="AE2949" t="str">
        <f>IF(OR(SalesData[[#This Row],[Day]]="Saturday",SalesData[[#This Row],[Day]]="Sunday"),"Weekend","Weekday")</f>
        <v>Weekday</v>
      </c>
      <c r="AF2949" s="5">
        <f>IF(SalesData[[#This Row],[Contracts Offered]]=0,0,SalesData[[#This Row],[Contracts Signed]]/SalesData[[#This Row],[Contracts Offered]])</f>
        <v>0.26829268292682928</v>
      </c>
      <c r="AG2949" s="5">
        <f>IF(SalesData[[#This Row],[Customers Visited]]=0,0,SalesData[[#This Row],[Test Drives]]/SalesData[[#This Row],[Customers Visited]])</f>
        <v>0.40546697038724372</v>
      </c>
      <c r="AH2949" s="5">
        <f>IF(SalesData[[#This Row],[Customers Visited]]=0,0,SalesData[[#This Row],[Contracts Signed]]/SalesData[[#This Row],[Customers Visited]])</f>
        <v>7.5170842824601361E-2</v>
      </c>
      <c r="AI2949" s="6">
        <f>IF(SalesData[[#This Row],[Contracts Signed]]=0,0,SalesData[[#This Row],[Profit(€)]]/SalesData[[#This Row],[Contracts Signed]])</f>
        <v>2894</v>
      </c>
      <c r="AJ2949" s="5" t="str">
        <f>TRIM(CLEAN(SalesData[[#This Row],[Retailer]]))</f>
        <v>Rhein Auto Group</v>
      </c>
    </row>
    <row r="2950" spans="1:36" ht="14.25" hidden="1" x14ac:dyDescent="0.2">
      <c r="A2950" t="s">
        <v>4091</v>
      </c>
      <c r="B2950" s="1">
        <v>46072</v>
      </c>
      <c r="C2950" t="s">
        <v>62</v>
      </c>
      <c r="D2950" t="s">
        <v>100</v>
      </c>
      <c r="E2950" t="s">
        <v>26</v>
      </c>
      <c r="F2950" t="s">
        <v>101</v>
      </c>
      <c r="G2950" t="s">
        <v>102</v>
      </c>
      <c r="H2950" t="s">
        <v>103</v>
      </c>
      <c r="I2950" t="s">
        <v>104</v>
      </c>
      <c r="J2950" t="s">
        <v>140</v>
      </c>
      <c r="K2950" t="s">
        <v>66</v>
      </c>
      <c r="L2950" t="s">
        <v>46</v>
      </c>
      <c r="M2950" t="s">
        <v>34</v>
      </c>
      <c r="N2950" t="s">
        <v>69</v>
      </c>
      <c r="O2950" t="s">
        <v>70</v>
      </c>
      <c r="P2950" t="s">
        <v>58</v>
      </c>
      <c r="Q2950" t="s">
        <v>204</v>
      </c>
      <c r="R2950">
        <v>424</v>
      </c>
      <c r="S2950">
        <v>176</v>
      </c>
      <c r="T2950">
        <v>119</v>
      </c>
      <c r="U2950">
        <v>29</v>
      </c>
      <c r="V2950" t="s">
        <v>1422</v>
      </c>
      <c r="W2950">
        <v>28110</v>
      </c>
      <c r="X2950" t="s">
        <v>4613</v>
      </c>
      <c r="Y2950">
        <v>25559</v>
      </c>
      <c r="Z2950">
        <v>815190</v>
      </c>
      <c r="AA2950">
        <v>73979</v>
      </c>
      <c r="AB2950" t="str">
        <f>(VLOOKUP(SalesData[[#This Row],[Month Number]],Reference!C$5:E$16,2,FALSE))</f>
        <v>Feb</v>
      </c>
      <c r="AC2950">
        <f>MONTH(SalesData[[#This Row],[Date]])</f>
        <v>2</v>
      </c>
      <c r="AD2950">
        <f>Reference!F$4</f>
        <v>2026</v>
      </c>
      <c r="AE2950" t="str">
        <f>IF(OR(SalesData[[#This Row],[Day]]="Saturday",SalesData[[#This Row],[Day]]="Sunday"),"Weekend","Weekday")</f>
        <v>Weekday</v>
      </c>
      <c r="AF2950" s="5">
        <f>IF(SalesData[[#This Row],[Contracts Offered]]=0,0,SalesData[[#This Row],[Contracts Signed]]/SalesData[[#This Row],[Contracts Offered]])</f>
        <v>0.24369747899159663</v>
      </c>
      <c r="AG2950" s="5">
        <f>IF(SalesData[[#This Row],[Customers Visited]]=0,0,SalesData[[#This Row],[Test Drives]]/SalesData[[#This Row],[Customers Visited]])</f>
        <v>0.41509433962264153</v>
      </c>
      <c r="AH2950" s="5">
        <f>IF(SalesData[[#This Row],[Customers Visited]]=0,0,SalesData[[#This Row],[Contracts Signed]]/SalesData[[#This Row],[Customers Visited]])</f>
        <v>6.8396226415094338E-2</v>
      </c>
      <c r="AI2950" s="6">
        <f>IF(SalesData[[#This Row],[Contracts Signed]]=0,0,SalesData[[#This Row],[Profit(€)]]/SalesData[[#This Row],[Contracts Signed]])</f>
        <v>2551</v>
      </c>
      <c r="AJ2950" s="5" t="str">
        <f>TRIM(CLEAN(SalesData[[#This Row],[Retailer]]))</f>
        <v>Ruhr Auto Plaza</v>
      </c>
    </row>
    <row r="2951" spans="1:36" ht="14.25" hidden="1" x14ac:dyDescent="0.2">
      <c r="A2951" t="s">
        <v>4092</v>
      </c>
      <c r="B2951" s="1">
        <v>46081</v>
      </c>
      <c r="C2951" t="s">
        <v>53</v>
      </c>
      <c r="D2951" t="s">
        <v>151</v>
      </c>
      <c r="E2951" t="s">
        <v>42</v>
      </c>
      <c r="F2951" t="s">
        <v>27</v>
      </c>
      <c r="G2951" t="s">
        <v>28</v>
      </c>
      <c r="H2951" t="s">
        <v>29</v>
      </c>
      <c r="I2951" t="s">
        <v>56</v>
      </c>
      <c r="J2951" t="s">
        <v>179</v>
      </c>
      <c r="K2951" t="s">
        <v>66</v>
      </c>
      <c r="L2951" t="s">
        <v>67</v>
      </c>
      <c r="M2951" t="s">
        <v>68</v>
      </c>
      <c r="N2951" t="s">
        <v>35</v>
      </c>
      <c r="O2951" t="s">
        <v>36</v>
      </c>
      <c r="P2951" t="s">
        <v>71</v>
      </c>
      <c r="Q2951" t="s">
        <v>152</v>
      </c>
      <c r="R2951">
        <v>320</v>
      </c>
      <c r="S2951">
        <v>201</v>
      </c>
      <c r="T2951">
        <v>148</v>
      </c>
      <c r="U2951">
        <v>47</v>
      </c>
      <c r="V2951" t="s">
        <v>6700</v>
      </c>
      <c r="W2951">
        <v>46543</v>
      </c>
      <c r="X2951" t="s">
        <v>7199</v>
      </c>
      <c r="Y2951">
        <v>37096</v>
      </c>
      <c r="Z2951">
        <v>2187521</v>
      </c>
      <c r="AA2951">
        <v>444009</v>
      </c>
      <c r="AB2951" t="str">
        <f>(VLOOKUP(SalesData[[#This Row],[Month Number]],Reference!C$5:E$16,2,FALSE))</f>
        <v>Feb</v>
      </c>
      <c r="AC2951">
        <f>MONTH(SalesData[[#This Row],[Date]])</f>
        <v>2</v>
      </c>
      <c r="AD2951">
        <f>Reference!F$4</f>
        <v>2026</v>
      </c>
      <c r="AE2951" t="str">
        <f>IF(OR(SalesData[[#This Row],[Day]]="Saturday",SalesData[[#This Row],[Day]]="Sunday"),"Weekend","Weekday")</f>
        <v>Weekend</v>
      </c>
      <c r="AF2951" s="5">
        <f>IF(SalesData[[#This Row],[Contracts Offered]]=0,0,SalesData[[#This Row],[Contracts Signed]]/SalesData[[#This Row],[Contracts Offered]])</f>
        <v>0.31756756756756754</v>
      </c>
      <c r="AG2951" s="5">
        <f>IF(SalesData[[#This Row],[Customers Visited]]=0,0,SalesData[[#This Row],[Test Drives]]/SalesData[[#This Row],[Customers Visited]])</f>
        <v>0.62812500000000004</v>
      </c>
      <c r="AH2951" s="5">
        <f>IF(SalesData[[#This Row],[Customers Visited]]=0,0,SalesData[[#This Row],[Contracts Signed]]/SalesData[[#This Row],[Customers Visited]])</f>
        <v>0.14687500000000001</v>
      </c>
      <c r="AI2951" s="6">
        <f>IF(SalesData[[#This Row],[Contracts Signed]]=0,0,SalesData[[#This Row],[Profit(€)]]/SalesData[[#This Row],[Contracts Signed]])</f>
        <v>9447</v>
      </c>
      <c r="AJ2951" s="5" t="str">
        <f>TRIM(CLEAN(SalesData[[#This Row],[Retailer]]))</f>
        <v>Main Auto Hub</v>
      </c>
    </row>
    <row r="2952" spans="1:36" ht="14.25" x14ac:dyDescent="0.2">
      <c r="A2952" t="s">
        <v>4094</v>
      </c>
      <c r="B2952" s="1">
        <v>46063</v>
      </c>
      <c r="C2952" t="s">
        <v>121</v>
      </c>
      <c r="D2952" t="s">
        <v>63</v>
      </c>
      <c r="E2952" t="s">
        <v>26</v>
      </c>
      <c r="F2952" t="s">
        <v>101</v>
      </c>
      <c r="G2952" t="s">
        <v>102</v>
      </c>
      <c r="H2952" t="s">
        <v>103</v>
      </c>
      <c r="I2952" t="s">
        <v>30</v>
      </c>
      <c r="J2952" t="s">
        <v>188</v>
      </c>
      <c r="K2952" t="s">
        <v>91</v>
      </c>
      <c r="L2952" t="s">
        <v>33</v>
      </c>
      <c r="M2952" t="s">
        <v>34</v>
      </c>
      <c r="N2952" t="s">
        <v>48</v>
      </c>
      <c r="O2952" t="s">
        <v>36</v>
      </c>
      <c r="P2952" t="s">
        <v>71</v>
      </c>
      <c r="Q2952" t="s">
        <v>172</v>
      </c>
      <c r="R2952">
        <v>169</v>
      </c>
      <c r="S2952">
        <v>104</v>
      </c>
      <c r="T2952">
        <v>85</v>
      </c>
      <c r="U2952">
        <v>31</v>
      </c>
      <c r="V2952" t="s">
        <v>7433</v>
      </c>
      <c r="W2952">
        <v>61752</v>
      </c>
      <c r="X2952" t="s">
        <v>7468</v>
      </c>
      <c r="Y2952">
        <v>45488</v>
      </c>
      <c r="Z2952">
        <v>1914312</v>
      </c>
      <c r="AA2952">
        <v>504184</v>
      </c>
      <c r="AB2952" t="str">
        <f>(VLOOKUP(SalesData[[#This Row],[Month Number]],Reference!C$5:E$16,2,FALSE))</f>
        <v>Feb</v>
      </c>
      <c r="AC2952">
        <f>MONTH(SalesData[[#This Row],[Date]])</f>
        <v>2</v>
      </c>
      <c r="AD2952">
        <f>Reference!F$4</f>
        <v>2026</v>
      </c>
      <c r="AE2952" t="str">
        <f>IF(OR(SalesData[[#This Row],[Day]]="Saturday",SalesData[[#This Row],[Day]]="Sunday"),"Weekend","Weekday")</f>
        <v>Weekday</v>
      </c>
      <c r="AF2952" s="5">
        <f>IF(SalesData[[#This Row],[Contracts Offered]]=0,0,SalesData[[#This Row],[Contracts Signed]]/SalesData[[#This Row],[Contracts Offered]])</f>
        <v>0.36470588235294116</v>
      </c>
      <c r="AG2952" s="5">
        <f>IF(SalesData[[#This Row],[Customers Visited]]=0,0,SalesData[[#This Row],[Test Drives]]/SalesData[[#This Row],[Customers Visited]])</f>
        <v>0.61538461538461542</v>
      </c>
      <c r="AH2952" s="5">
        <f>IF(SalesData[[#This Row],[Customers Visited]]=0,0,SalesData[[#This Row],[Contracts Signed]]/SalesData[[#This Row],[Customers Visited]])</f>
        <v>0.18343195266272189</v>
      </c>
      <c r="AI2952" s="6">
        <f>IF(SalesData[[#This Row],[Contracts Signed]]=0,0,SalesData[[#This Row],[Profit(€)]]/SalesData[[#This Row],[Contracts Signed]])</f>
        <v>16264</v>
      </c>
      <c r="AJ2952" s="5" t="str">
        <f>TRIM(CLEAN(SalesData[[#This Row],[Retailer]]))</f>
        <v>Ruhr Auto Plaza</v>
      </c>
    </row>
    <row r="2953" spans="1:36" ht="14.25" hidden="1" x14ac:dyDescent="0.2">
      <c r="A2953" t="s">
        <v>4095</v>
      </c>
      <c r="B2953" s="1">
        <v>46061</v>
      </c>
      <c r="C2953" t="s">
        <v>121</v>
      </c>
      <c r="D2953" t="s">
        <v>41</v>
      </c>
      <c r="E2953" t="s">
        <v>42</v>
      </c>
      <c r="F2953" t="s">
        <v>83</v>
      </c>
      <c r="G2953" t="s">
        <v>84</v>
      </c>
      <c r="H2953" t="s">
        <v>85</v>
      </c>
      <c r="I2953" t="s">
        <v>64</v>
      </c>
      <c r="J2953" t="s">
        <v>157</v>
      </c>
      <c r="K2953" t="s">
        <v>91</v>
      </c>
      <c r="L2953" t="s">
        <v>33</v>
      </c>
      <c r="M2953" t="s">
        <v>68</v>
      </c>
      <c r="N2953" t="s">
        <v>35</v>
      </c>
      <c r="O2953" t="s">
        <v>36</v>
      </c>
      <c r="P2953" t="s">
        <v>71</v>
      </c>
      <c r="Q2953" t="s">
        <v>135</v>
      </c>
      <c r="R2953">
        <v>258</v>
      </c>
      <c r="S2953">
        <v>120</v>
      </c>
      <c r="T2953">
        <v>80</v>
      </c>
      <c r="U2953">
        <v>33</v>
      </c>
      <c r="V2953" t="s">
        <v>6767</v>
      </c>
      <c r="W2953">
        <v>70671</v>
      </c>
      <c r="X2953" t="s">
        <v>7207</v>
      </c>
      <c r="Y2953">
        <v>54797</v>
      </c>
      <c r="Z2953">
        <v>2332143</v>
      </c>
      <c r="AA2953">
        <v>523842</v>
      </c>
      <c r="AB2953" t="str">
        <f>(VLOOKUP(SalesData[[#This Row],[Month Number]],Reference!C$5:E$16,2,FALSE))</f>
        <v>Feb</v>
      </c>
      <c r="AC2953">
        <f>MONTH(SalesData[[#This Row],[Date]])</f>
        <v>2</v>
      </c>
      <c r="AD2953">
        <f>Reference!F$4</f>
        <v>2026</v>
      </c>
      <c r="AE2953" t="str">
        <f>IF(OR(SalesData[[#This Row],[Day]]="Saturday",SalesData[[#This Row],[Day]]="Sunday"),"Weekend","Weekday")</f>
        <v>Weekend</v>
      </c>
      <c r="AF2953" s="5">
        <f>IF(SalesData[[#This Row],[Contracts Offered]]=0,0,SalesData[[#This Row],[Contracts Signed]]/SalesData[[#This Row],[Contracts Offered]])</f>
        <v>0.41249999999999998</v>
      </c>
      <c r="AG2953" s="5">
        <f>IF(SalesData[[#This Row],[Customers Visited]]=0,0,SalesData[[#This Row],[Test Drives]]/SalesData[[#This Row],[Customers Visited]])</f>
        <v>0.46511627906976744</v>
      </c>
      <c r="AH2953" s="5">
        <f>IF(SalesData[[#This Row],[Customers Visited]]=0,0,SalesData[[#This Row],[Contracts Signed]]/SalesData[[#This Row],[Customers Visited]])</f>
        <v>0.12790697674418605</v>
      </c>
      <c r="AI2953" s="6">
        <f>IF(SalesData[[#This Row],[Contracts Signed]]=0,0,SalesData[[#This Row],[Profit(€)]]/SalesData[[#This Row],[Contracts Signed]])</f>
        <v>15874</v>
      </c>
      <c r="AJ2953" s="5" t="str">
        <f>TRIM(CLEAN(SalesData[[#This Row],[Retailer]]))</f>
        <v>Hannover Cars</v>
      </c>
    </row>
    <row r="2954" spans="1:36" ht="14.25" hidden="1" x14ac:dyDescent="0.2">
      <c r="A2954" t="s">
        <v>4096</v>
      </c>
      <c r="B2954" s="1">
        <v>46065</v>
      </c>
      <c r="C2954" t="s">
        <v>121</v>
      </c>
      <c r="D2954" t="s">
        <v>100</v>
      </c>
      <c r="E2954" t="s">
        <v>26</v>
      </c>
      <c r="F2954" t="s">
        <v>101</v>
      </c>
      <c r="G2954" t="s">
        <v>102</v>
      </c>
      <c r="H2954" t="s">
        <v>103</v>
      </c>
      <c r="I2954" t="s">
        <v>104</v>
      </c>
      <c r="J2954" t="s">
        <v>105</v>
      </c>
      <c r="K2954" t="s">
        <v>91</v>
      </c>
      <c r="L2954" t="s">
        <v>33</v>
      </c>
      <c r="M2954" t="s">
        <v>47</v>
      </c>
      <c r="N2954" t="s">
        <v>35</v>
      </c>
      <c r="O2954" t="s">
        <v>36</v>
      </c>
      <c r="P2954" t="s">
        <v>71</v>
      </c>
      <c r="Q2954" t="s">
        <v>135</v>
      </c>
      <c r="R2954">
        <v>385</v>
      </c>
      <c r="S2954">
        <v>194</v>
      </c>
      <c r="T2954">
        <v>133</v>
      </c>
      <c r="U2954">
        <v>32</v>
      </c>
      <c r="V2954" t="s">
        <v>1562</v>
      </c>
      <c r="W2954">
        <v>27842</v>
      </c>
      <c r="X2954" t="s">
        <v>2942</v>
      </c>
      <c r="Y2954">
        <v>24409</v>
      </c>
      <c r="Z2954">
        <v>890944</v>
      </c>
      <c r="AA2954">
        <v>109856</v>
      </c>
      <c r="AB2954" t="str">
        <f>(VLOOKUP(SalesData[[#This Row],[Month Number]],Reference!C$5:E$16,2,FALSE))</f>
        <v>Feb</v>
      </c>
      <c r="AC2954">
        <f>MONTH(SalesData[[#This Row],[Date]])</f>
        <v>2</v>
      </c>
      <c r="AD2954">
        <f>Reference!F$4</f>
        <v>2026</v>
      </c>
      <c r="AE2954" t="str">
        <f>IF(OR(SalesData[[#This Row],[Day]]="Saturday",SalesData[[#This Row],[Day]]="Sunday"),"Weekend","Weekday")</f>
        <v>Weekday</v>
      </c>
      <c r="AF2954" s="5">
        <f>IF(SalesData[[#This Row],[Contracts Offered]]=0,0,SalesData[[#This Row],[Contracts Signed]]/SalesData[[#This Row],[Contracts Offered]])</f>
        <v>0.24060150375939848</v>
      </c>
      <c r="AG2954" s="5">
        <f>IF(SalesData[[#This Row],[Customers Visited]]=0,0,SalesData[[#This Row],[Test Drives]]/SalesData[[#This Row],[Customers Visited]])</f>
        <v>0.50389610389610384</v>
      </c>
      <c r="AH2954" s="5">
        <f>IF(SalesData[[#This Row],[Customers Visited]]=0,0,SalesData[[#This Row],[Contracts Signed]]/SalesData[[#This Row],[Customers Visited]])</f>
        <v>8.3116883116883117E-2</v>
      </c>
      <c r="AI2954" s="6">
        <f>IF(SalesData[[#This Row],[Contracts Signed]]=0,0,SalesData[[#This Row],[Profit(€)]]/SalesData[[#This Row],[Contracts Signed]])</f>
        <v>3433</v>
      </c>
      <c r="AJ2954" s="5" t="str">
        <f>TRIM(CLEAN(SalesData[[#This Row],[Retailer]]))</f>
        <v>Ruhr Auto Plaza</v>
      </c>
    </row>
    <row r="2955" spans="1:36" ht="14.25" hidden="1" x14ac:dyDescent="0.2">
      <c r="A2955" t="s">
        <v>4098</v>
      </c>
      <c r="B2955" s="1">
        <v>46081</v>
      </c>
      <c r="C2955" t="s">
        <v>53</v>
      </c>
      <c r="D2955" t="s">
        <v>151</v>
      </c>
      <c r="E2955" t="s">
        <v>42</v>
      </c>
      <c r="F2955" t="s">
        <v>94</v>
      </c>
      <c r="G2955" t="s">
        <v>95</v>
      </c>
      <c r="H2955" t="s">
        <v>96</v>
      </c>
      <c r="I2955" t="s">
        <v>116</v>
      </c>
      <c r="J2955" t="s">
        <v>7026</v>
      </c>
      <c r="K2955" t="s">
        <v>78</v>
      </c>
      <c r="L2955" t="s">
        <v>46</v>
      </c>
      <c r="M2955" t="s">
        <v>87</v>
      </c>
      <c r="N2955" t="s">
        <v>69</v>
      </c>
      <c r="O2955" t="s">
        <v>36</v>
      </c>
      <c r="P2955" t="s">
        <v>49</v>
      </c>
      <c r="Q2955" t="s">
        <v>59</v>
      </c>
      <c r="R2955">
        <v>394</v>
      </c>
      <c r="S2955">
        <v>170</v>
      </c>
      <c r="T2955">
        <v>100</v>
      </c>
      <c r="U2955">
        <v>28</v>
      </c>
      <c r="V2955" t="s">
        <v>4238</v>
      </c>
      <c r="W2955">
        <v>21700</v>
      </c>
      <c r="X2955" t="s">
        <v>7573</v>
      </c>
      <c r="Y2955">
        <v>19420</v>
      </c>
      <c r="Z2955">
        <v>607600</v>
      </c>
      <c r="AA2955">
        <v>63840</v>
      </c>
      <c r="AB2955" t="str">
        <f>(VLOOKUP(SalesData[[#This Row],[Month Number]],Reference!C$5:E$16,2,FALSE))</f>
        <v>Feb</v>
      </c>
      <c r="AC2955">
        <f>MONTH(SalesData[[#This Row],[Date]])</f>
        <v>2</v>
      </c>
      <c r="AD2955">
        <f>Reference!F$4</f>
        <v>2026</v>
      </c>
      <c r="AE2955" t="str">
        <f>IF(OR(SalesData[[#This Row],[Day]]="Saturday",SalesData[[#This Row],[Day]]="Sunday"),"Weekend","Weekday")</f>
        <v>Weekend</v>
      </c>
      <c r="AF2955" s="5">
        <f>IF(SalesData[[#This Row],[Contracts Offered]]=0,0,SalesData[[#This Row],[Contracts Signed]]/SalesData[[#This Row],[Contracts Offered]])</f>
        <v>0.28000000000000003</v>
      </c>
      <c r="AG2955" s="5">
        <f>IF(SalesData[[#This Row],[Customers Visited]]=0,0,SalesData[[#This Row],[Test Drives]]/SalesData[[#This Row],[Customers Visited]])</f>
        <v>0.43147208121827413</v>
      </c>
      <c r="AH2955" s="5">
        <f>IF(SalesData[[#This Row],[Customers Visited]]=0,0,SalesData[[#This Row],[Contracts Signed]]/SalesData[[#This Row],[Customers Visited]])</f>
        <v>7.1065989847715741E-2</v>
      </c>
      <c r="AI2955" s="6">
        <f>IF(SalesData[[#This Row],[Contracts Signed]]=0,0,SalesData[[#This Row],[Profit(€)]]/SalesData[[#This Row],[Contracts Signed]])</f>
        <v>2280</v>
      </c>
      <c r="AJ2955" s="5" t="str">
        <f>TRIM(CLEAN(SalesData[[#This Row],[Retailer]]))</f>
        <v>Bavaria Motors</v>
      </c>
    </row>
    <row r="2956" spans="1:36" ht="14.25" hidden="1" x14ac:dyDescent="0.2">
      <c r="A2956" t="s">
        <v>4099</v>
      </c>
      <c r="B2956" s="1">
        <v>46080</v>
      </c>
      <c r="C2956" t="s">
        <v>53</v>
      </c>
      <c r="D2956" t="s">
        <v>54</v>
      </c>
      <c r="E2956" t="s">
        <v>26</v>
      </c>
      <c r="F2956" t="s">
        <v>114</v>
      </c>
      <c r="G2956" t="s">
        <v>115</v>
      </c>
      <c r="H2956" t="s">
        <v>115</v>
      </c>
      <c r="I2956" t="s">
        <v>56</v>
      </c>
      <c r="J2956" t="s">
        <v>97</v>
      </c>
      <c r="K2956" t="s">
        <v>91</v>
      </c>
      <c r="L2956" t="s">
        <v>33</v>
      </c>
      <c r="M2956" t="s">
        <v>34</v>
      </c>
      <c r="N2956" t="s">
        <v>35</v>
      </c>
      <c r="O2956" t="s">
        <v>36</v>
      </c>
      <c r="P2956" t="s">
        <v>37</v>
      </c>
      <c r="Q2956" t="s">
        <v>189</v>
      </c>
      <c r="R2956">
        <v>210</v>
      </c>
      <c r="S2956">
        <v>106</v>
      </c>
      <c r="T2956">
        <v>76</v>
      </c>
      <c r="U2956">
        <v>27</v>
      </c>
      <c r="V2956" t="s">
        <v>6799</v>
      </c>
      <c r="W2956">
        <v>53305</v>
      </c>
      <c r="X2956" t="s">
        <v>7169</v>
      </c>
      <c r="Y2956">
        <v>40444</v>
      </c>
      <c r="Z2956">
        <v>1439235</v>
      </c>
      <c r="AA2956">
        <v>347247</v>
      </c>
      <c r="AB2956" t="str">
        <f>(VLOOKUP(SalesData[[#This Row],[Month Number]],Reference!C$5:E$16,2,FALSE))</f>
        <v>Feb</v>
      </c>
      <c r="AC2956">
        <f>MONTH(SalesData[[#This Row],[Date]])</f>
        <v>2</v>
      </c>
      <c r="AD2956">
        <f>Reference!F$4</f>
        <v>2026</v>
      </c>
      <c r="AE2956" t="str">
        <f>IF(OR(SalesData[[#This Row],[Day]]="Saturday",SalesData[[#This Row],[Day]]="Sunday"),"Weekend","Weekday")</f>
        <v>Weekday</v>
      </c>
      <c r="AF2956" s="5">
        <f>IF(SalesData[[#This Row],[Contracts Offered]]=0,0,SalesData[[#This Row],[Contracts Signed]]/SalesData[[#This Row],[Contracts Offered]])</f>
        <v>0.35526315789473684</v>
      </c>
      <c r="AG2956" s="5">
        <f>IF(SalesData[[#This Row],[Customers Visited]]=0,0,SalesData[[#This Row],[Test Drives]]/SalesData[[#This Row],[Customers Visited]])</f>
        <v>0.50476190476190474</v>
      </c>
      <c r="AH2956" s="5">
        <f>IF(SalesData[[#This Row],[Customers Visited]]=0,0,SalesData[[#This Row],[Contracts Signed]]/SalesData[[#This Row],[Customers Visited]])</f>
        <v>0.12857142857142856</v>
      </c>
      <c r="AI2956" s="6">
        <f>IF(SalesData[[#This Row],[Contracts Signed]]=0,0,SalesData[[#This Row],[Profit(€)]]/SalesData[[#This Row],[Contracts Signed]])</f>
        <v>12861</v>
      </c>
      <c r="AJ2956" s="5" t="str">
        <f>TRIM(CLEAN(SalesData[[#This Row],[Retailer]]))</f>
        <v>Elbe Drive</v>
      </c>
    </row>
    <row r="2957" spans="1:36" ht="14.25" hidden="1" x14ac:dyDescent="0.2">
      <c r="A2957" t="s">
        <v>4100</v>
      </c>
      <c r="B2957" s="1">
        <v>46056</v>
      </c>
      <c r="C2957" t="s">
        <v>24</v>
      </c>
      <c r="D2957" t="s">
        <v>63</v>
      </c>
      <c r="E2957" t="s">
        <v>26</v>
      </c>
      <c r="F2957" t="s">
        <v>7649</v>
      </c>
      <c r="G2957" t="s">
        <v>55</v>
      </c>
      <c r="H2957" t="s">
        <v>55</v>
      </c>
      <c r="I2957" t="s">
        <v>56</v>
      </c>
      <c r="J2957" t="s">
        <v>57</v>
      </c>
      <c r="K2957" t="s">
        <v>32</v>
      </c>
      <c r="L2957" t="s">
        <v>46</v>
      </c>
      <c r="M2957" t="s">
        <v>87</v>
      </c>
      <c r="N2957" t="s">
        <v>35</v>
      </c>
      <c r="O2957" t="s">
        <v>36</v>
      </c>
      <c r="P2957" t="s">
        <v>71</v>
      </c>
      <c r="Q2957" t="s">
        <v>167</v>
      </c>
      <c r="R2957">
        <v>182</v>
      </c>
      <c r="S2957">
        <v>103</v>
      </c>
      <c r="T2957">
        <v>80</v>
      </c>
      <c r="U2957">
        <v>29</v>
      </c>
      <c r="V2957" t="s">
        <v>6723</v>
      </c>
      <c r="W2957">
        <v>53990</v>
      </c>
      <c r="X2957" t="s">
        <v>7078</v>
      </c>
      <c r="Y2957">
        <v>42628</v>
      </c>
      <c r="Z2957">
        <v>1565710</v>
      </c>
      <c r="AA2957">
        <v>329498</v>
      </c>
      <c r="AB2957" t="str">
        <f>(VLOOKUP(SalesData[[#This Row],[Month Number]],Reference!C$5:E$16,2,FALSE))</f>
        <v>Feb</v>
      </c>
      <c r="AC2957">
        <f>MONTH(SalesData[[#This Row],[Date]])</f>
        <v>2</v>
      </c>
      <c r="AD2957">
        <f>Reference!F$4</f>
        <v>2026</v>
      </c>
      <c r="AE2957" t="str">
        <f>IF(OR(SalesData[[#This Row],[Day]]="Saturday",SalesData[[#This Row],[Day]]="Sunday"),"Weekend","Weekday")</f>
        <v>Weekday</v>
      </c>
      <c r="AF2957" s="5">
        <f>IF(SalesData[[#This Row],[Contracts Offered]]=0,0,SalesData[[#This Row],[Contracts Signed]]/SalesData[[#This Row],[Contracts Offered]])</f>
        <v>0.36249999999999999</v>
      </c>
      <c r="AG2957" s="5">
        <f>IF(SalesData[[#This Row],[Customers Visited]]=0,0,SalesData[[#This Row],[Test Drives]]/SalesData[[#This Row],[Customers Visited]])</f>
        <v>0.56593406593406592</v>
      </c>
      <c r="AH2957" s="5">
        <f>IF(SalesData[[#This Row],[Customers Visited]]=0,0,SalesData[[#This Row],[Contracts Signed]]/SalesData[[#This Row],[Customers Visited]])</f>
        <v>0.15934065934065933</v>
      </c>
      <c r="AI2957" s="6">
        <f>IF(SalesData[[#This Row],[Contracts Signed]]=0,0,SalesData[[#This Row],[Profit(€)]]/SalesData[[#This Row],[Contracts Signed]])</f>
        <v>11362</v>
      </c>
      <c r="AJ2957" s="5" t="str">
        <f>TRIM(CLEAN(SalesData[[#This Row],[Retailer]]))</f>
        <v>Autohaus Berlin</v>
      </c>
    </row>
    <row r="2958" spans="1:36" ht="14.25" hidden="1" x14ac:dyDescent="0.2">
      <c r="A2958" t="s">
        <v>4101</v>
      </c>
      <c r="B2958" s="1">
        <v>46061</v>
      </c>
      <c r="C2958" t="s">
        <v>121</v>
      </c>
      <c r="D2958" t="s">
        <v>41</v>
      </c>
      <c r="E2958" t="s">
        <v>42</v>
      </c>
      <c r="F2958" t="s">
        <v>27</v>
      </c>
      <c r="G2958" t="s">
        <v>28</v>
      </c>
      <c r="H2958" t="s">
        <v>29</v>
      </c>
      <c r="I2958" t="s">
        <v>56</v>
      </c>
      <c r="J2958" t="s">
        <v>57</v>
      </c>
      <c r="K2958" t="s">
        <v>66</v>
      </c>
      <c r="L2958" t="s">
        <v>46</v>
      </c>
      <c r="M2958" t="s">
        <v>87</v>
      </c>
      <c r="N2958" t="s">
        <v>48</v>
      </c>
      <c r="O2958" t="s">
        <v>70</v>
      </c>
      <c r="P2958" t="s">
        <v>37</v>
      </c>
      <c r="Q2958" t="s">
        <v>189</v>
      </c>
      <c r="R2958">
        <v>257</v>
      </c>
      <c r="S2958">
        <v>118</v>
      </c>
      <c r="T2958">
        <v>85</v>
      </c>
      <c r="U2958">
        <v>25</v>
      </c>
      <c r="V2958" t="s">
        <v>7077</v>
      </c>
      <c r="W2958">
        <v>53353</v>
      </c>
      <c r="X2958" t="s">
        <v>7191</v>
      </c>
      <c r="Y2958">
        <v>40980</v>
      </c>
      <c r="Z2958">
        <v>1333825</v>
      </c>
      <c r="AA2958">
        <v>309325</v>
      </c>
      <c r="AB2958" t="str">
        <f>(VLOOKUP(SalesData[[#This Row],[Month Number]],Reference!C$5:E$16,2,FALSE))</f>
        <v>Feb</v>
      </c>
      <c r="AC2958">
        <f>MONTH(SalesData[[#This Row],[Date]])</f>
        <v>2</v>
      </c>
      <c r="AD2958">
        <f>Reference!F$4</f>
        <v>2026</v>
      </c>
      <c r="AE2958" t="str">
        <f>IF(OR(SalesData[[#This Row],[Day]]="Saturday",SalesData[[#This Row],[Day]]="Sunday"),"Weekend","Weekday")</f>
        <v>Weekend</v>
      </c>
      <c r="AF2958" s="5">
        <f>IF(SalesData[[#This Row],[Contracts Offered]]=0,0,SalesData[[#This Row],[Contracts Signed]]/SalesData[[#This Row],[Contracts Offered]])</f>
        <v>0.29411764705882354</v>
      </c>
      <c r="AG2958" s="5">
        <f>IF(SalesData[[#This Row],[Customers Visited]]=0,0,SalesData[[#This Row],[Test Drives]]/SalesData[[#This Row],[Customers Visited]])</f>
        <v>0.45914396887159531</v>
      </c>
      <c r="AH2958" s="5">
        <f>IF(SalesData[[#This Row],[Customers Visited]]=0,0,SalesData[[#This Row],[Contracts Signed]]/SalesData[[#This Row],[Customers Visited]])</f>
        <v>9.727626459143969E-2</v>
      </c>
      <c r="AI2958" s="6">
        <f>IF(SalesData[[#This Row],[Contracts Signed]]=0,0,SalesData[[#This Row],[Profit(€)]]/SalesData[[#This Row],[Contracts Signed]])</f>
        <v>12373</v>
      </c>
      <c r="AJ2958" s="5" t="str">
        <f>TRIM(CLEAN(SalesData[[#This Row],[Retailer]]))</f>
        <v>Main Auto Hub</v>
      </c>
    </row>
    <row r="2959" spans="1:36" ht="14.25" hidden="1" x14ac:dyDescent="0.2">
      <c r="A2959" t="s">
        <v>4102</v>
      </c>
      <c r="B2959" s="1">
        <v>46062</v>
      </c>
      <c r="C2959" t="s">
        <v>121</v>
      </c>
      <c r="D2959" t="s">
        <v>25</v>
      </c>
      <c r="E2959" t="s">
        <v>26</v>
      </c>
      <c r="F2959" t="s">
        <v>27</v>
      </c>
      <c r="G2959" t="s">
        <v>28</v>
      </c>
      <c r="H2959" t="s">
        <v>29</v>
      </c>
      <c r="I2959" t="s">
        <v>116</v>
      </c>
      <c r="J2959" t="s">
        <v>132</v>
      </c>
      <c r="K2959" t="s">
        <v>32</v>
      </c>
      <c r="L2959" t="s">
        <v>46</v>
      </c>
      <c r="M2959" t="s">
        <v>47</v>
      </c>
      <c r="N2959" t="s">
        <v>48</v>
      </c>
      <c r="O2959" t="s">
        <v>70</v>
      </c>
      <c r="P2959" t="s">
        <v>49</v>
      </c>
      <c r="Q2959" t="s">
        <v>118</v>
      </c>
      <c r="R2959">
        <v>226</v>
      </c>
      <c r="S2959">
        <v>97</v>
      </c>
      <c r="T2959">
        <v>67</v>
      </c>
      <c r="U2959">
        <v>14</v>
      </c>
      <c r="V2959" t="s">
        <v>4123</v>
      </c>
      <c r="W2959">
        <v>26695</v>
      </c>
      <c r="X2959" t="s">
        <v>5464</v>
      </c>
      <c r="Y2959">
        <v>24024</v>
      </c>
      <c r="Z2959">
        <v>373730</v>
      </c>
      <c r="AA2959">
        <v>37394</v>
      </c>
      <c r="AB2959" t="str">
        <f>(VLOOKUP(SalesData[[#This Row],[Month Number]],Reference!C$5:E$16,2,FALSE))</f>
        <v>Feb</v>
      </c>
      <c r="AC2959">
        <f>MONTH(SalesData[[#This Row],[Date]])</f>
        <v>2</v>
      </c>
      <c r="AD2959">
        <f>Reference!F$4</f>
        <v>2026</v>
      </c>
      <c r="AE2959" t="str">
        <f>IF(OR(SalesData[[#This Row],[Day]]="Saturday",SalesData[[#This Row],[Day]]="Sunday"),"Weekend","Weekday")</f>
        <v>Weekday</v>
      </c>
      <c r="AF2959" s="5">
        <f>IF(SalesData[[#This Row],[Contracts Offered]]=0,0,SalesData[[#This Row],[Contracts Signed]]/SalesData[[#This Row],[Contracts Offered]])</f>
        <v>0.20895522388059701</v>
      </c>
      <c r="AG2959" s="5">
        <f>IF(SalesData[[#This Row],[Customers Visited]]=0,0,SalesData[[#This Row],[Test Drives]]/SalesData[[#This Row],[Customers Visited]])</f>
        <v>0.42920353982300885</v>
      </c>
      <c r="AH2959" s="5">
        <f>IF(SalesData[[#This Row],[Customers Visited]]=0,0,SalesData[[#This Row],[Contracts Signed]]/SalesData[[#This Row],[Customers Visited]])</f>
        <v>6.1946902654867256E-2</v>
      </c>
      <c r="AI2959" s="6">
        <f>IF(SalesData[[#This Row],[Contracts Signed]]=0,0,SalesData[[#This Row],[Profit(€)]]/SalesData[[#This Row],[Contracts Signed]])</f>
        <v>2671</v>
      </c>
      <c r="AJ2959" s="5" t="str">
        <f>TRIM(CLEAN(SalesData[[#This Row],[Retailer]]))</f>
        <v>Main Auto Hub</v>
      </c>
    </row>
    <row r="2960" spans="1:36" ht="14.25" hidden="1" x14ac:dyDescent="0.2">
      <c r="A2960" t="s">
        <v>4103</v>
      </c>
      <c r="B2960" s="1">
        <v>46073</v>
      </c>
      <c r="C2960" t="s">
        <v>62</v>
      </c>
      <c r="D2960" t="s">
        <v>54</v>
      </c>
      <c r="E2960" t="s">
        <v>26</v>
      </c>
      <c r="F2960" t="s">
        <v>101</v>
      </c>
      <c r="G2960" t="s">
        <v>102</v>
      </c>
      <c r="H2960" t="s">
        <v>103</v>
      </c>
      <c r="I2960" t="s">
        <v>64</v>
      </c>
      <c r="J2960" t="s">
        <v>111</v>
      </c>
      <c r="K2960" t="s">
        <v>91</v>
      </c>
      <c r="L2960" t="s">
        <v>46</v>
      </c>
      <c r="M2960" t="s">
        <v>47</v>
      </c>
      <c r="N2960" t="s">
        <v>48</v>
      </c>
      <c r="O2960" t="s">
        <v>70</v>
      </c>
      <c r="P2960" t="s">
        <v>71</v>
      </c>
      <c r="Q2960" t="s">
        <v>122</v>
      </c>
      <c r="R2960">
        <v>186</v>
      </c>
      <c r="S2960">
        <v>93</v>
      </c>
      <c r="T2960">
        <v>63</v>
      </c>
      <c r="U2960">
        <v>24</v>
      </c>
      <c r="V2960" t="s">
        <v>6546</v>
      </c>
      <c r="W2960">
        <v>68053</v>
      </c>
      <c r="X2960" t="s">
        <v>7404</v>
      </c>
      <c r="Y2960">
        <v>51313</v>
      </c>
      <c r="Z2960">
        <v>1633272</v>
      </c>
      <c r="AA2960">
        <v>401760</v>
      </c>
      <c r="AB2960" t="str">
        <f>(VLOOKUP(SalesData[[#This Row],[Month Number]],Reference!C$5:E$16,2,FALSE))</f>
        <v>Feb</v>
      </c>
      <c r="AC2960">
        <f>MONTH(SalesData[[#This Row],[Date]])</f>
        <v>2</v>
      </c>
      <c r="AD2960">
        <f>Reference!F$4</f>
        <v>2026</v>
      </c>
      <c r="AE2960" t="str">
        <f>IF(OR(SalesData[[#This Row],[Day]]="Saturday",SalesData[[#This Row],[Day]]="Sunday"),"Weekend","Weekday")</f>
        <v>Weekday</v>
      </c>
      <c r="AF2960" s="5">
        <f>IF(SalesData[[#This Row],[Contracts Offered]]=0,0,SalesData[[#This Row],[Contracts Signed]]/SalesData[[#This Row],[Contracts Offered]])</f>
        <v>0.38095238095238093</v>
      </c>
      <c r="AG2960" s="5">
        <f>IF(SalesData[[#This Row],[Customers Visited]]=0,0,SalesData[[#This Row],[Test Drives]]/SalesData[[#This Row],[Customers Visited]])</f>
        <v>0.5</v>
      </c>
      <c r="AH2960" s="5">
        <f>IF(SalesData[[#This Row],[Customers Visited]]=0,0,SalesData[[#This Row],[Contracts Signed]]/SalesData[[#This Row],[Customers Visited]])</f>
        <v>0.12903225806451613</v>
      </c>
      <c r="AI2960" s="6">
        <f>IF(SalesData[[#This Row],[Contracts Signed]]=0,0,SalesData[[#This Row],[Profit(€)]]/SalesData[[#This Row],[Contracts Signed]])</f>
        <v>16740</v>
      </c>
      <c r="AJ2960" s="5" t="str">
        <f>TRIM(CLEAN(SalesData[[#This Row],[Retailer]]))</f>
        <v>Ruhr Auto Plaza</v>
      </c>
    </row>
    <row r="2961" spans="1:36" ht="14.25" x14ac:dyDescent="0.2">
      <c r="A2961" t="s">
        <v>4104</v>
      </c>
      <c r="B2961" s="1">
        <v>46080</v>
      </c>
      <c r="C2961" t="s">
        <v>53</v>
      </c>
      <c r="D2961" t="s">
        <v>54</v>
      </c>
      <c r="E2961" t="s">
        <v>26</v>
      </c>
      <c r="F2961" t="s">
        <v>83</v>
      </c>
      <c r="G2961" t="s">
        <v>84</v>
      </c>
      <c r="H2961" t="s">
        <v>85</v>
      </c>
      <c r="I2961" t="s">
        <v>30</v>
      </c>
      <c r="J2961" t="s">
        <v>31</v>
      </c>
      <c r="K2961" t="s">
        <v>32</v>
      </c>
      <c r="L2961" t="s">
        <v>46</v>
      </c>
      <c r="M2961" t="s">
        <v>47</v>
      </c>
      <c r="N2961" t="s">
        <v>48</v>
      </c>
      <c r="O2961" t="s">
        <v>36</v>
      </c>
      <c r="P2961" t="s">
        <v>71</v>
      </c>
      <c r="Q2961" t="s">
        <v>59</v>
      </c>
      <c r="R2961">
        <v>233</v>
      </c>
      <c r="S2961">
        <v>115</v>
      </c>
      <c r="T2961">
        <v>81</v>
      </c>
      <c r="U2961">
        <v>32</v>
      </c>
      <c r="V2961" t="s">
        <v>6761</v>
      </c>
      <c r="W2961">
        <v>51652</v>
      </c>
      <c r="X2961" t="s">
        <v>7274</v>
      </c>
      <c r="Y2961">
        <v>39587</v>
      </c>
      <c r="Z2961">
        <v>1652864</v>
      </c>
      <c r="AA2961">
        <v>386080</v>
      </c>
      <c r="AB2961" t="str">
        <f>(VLOOKUP(SalesData[[#This Row],[Month Number]],Reference!C$5:E$16,2,FALSE))</f>
        <v>Feb</v>
      </c>
      <c r="AC2961">
        <f>MONTH(SalesData[[#This Row],[Date]])</f>
        <v>2</v>
      </c>
      <c r="AD2961">
        <f>Reference!F$4</f>
        <v>2026</v>
      </c>
      <c r="AE2961" t="str">
        <f>IF(OR(SalesData[[#This Row],[Day]]="Saturday",SalesData[[#This Row],[Day]]="Sunday"),"Weekend","Weekday")</f>
        <v>Weekday</v>
      </c>
      <c r="AF2961" s="5">
        <f>IF(SalesData[[#This Row],[Contracts Offered]]=0,0,SalesData[[#This Row],[Contracts Signed]]/SalesData[[#This Row],[Contracts Offered]])</f>
        <v>0.39506172839506171</v>
      </c>
      <c r="AG2961" s="5">
        <f>IF(SalesData[[#This Row],[Customers Visited]]=0,0,SalesData[[#This Row],[Test Drives]]/SalesData[[#This Row],[Customers Visited]])</f>
        <v>0.49356223175965663</v>
      </c>
      <c r="AH2961" s="5">
        <f>IF(SalesData[[#This Row],[Customers Visited]]=0,0,SalesData[[#This Row],[Contracts Signed]]/SalesData[[#This Row],[Customers Visited]])</f>
        <v>0.13733905579399142</v>
      </c>
      <c r="AI2961" s="6">
        <f>IF(SalesData[[#This Row],[Contracts Signed]]=0,0,SalesData[[#This Row],[Profit(€)]]/SalesData[[#This Row],[Contracts Signed]])</f>
        <v>12065</v>
      </c>
      <c r="AJ2961" s="5" t="str">
        <f>TRIM(CLEAN(SalesData[[#This Row],[Retailer]]))</f>
        <v>Hannover Cars</v>
      </c>
    </row>
    <row r="2962" spans="1:36" ht="14.25" hidden="1" x14ac:dyDescent="0.2">
      <c r="A2962" t="s">
        <v>4105</v>
      </c>
      <c r="B2962" s="1">
        <v>46067</v>
      </c>
      <c r="C2962" t="s">
        <v>121</v>
      </c>
      <c r="D2962" t="s">
        <v>151</v>
      </c>
      <c r="E2962" t="s">
        <v>42</v>
      </c>
      <c r="F2962" t="s">
        <v>43</v>
      </c>
      <c r="G2962" t="s">
        <v>44</v>
      </c>
      <c r="H2962" t="s">
        <v>45</v>
      </c>
      <c r="I2962" t="s">
        <v>104</v>
      </c>
      <c r="J2962" t="s">
        <v>7061</v>
      </c>
      <c r="K2962" t="s">
        <v>91</v>
      </c>
      <c r="L2962" t="s">
        <v>46</v>
      </c>
      <c r="M2962" t="s">
        <v>87</v>
      </c>
      <c r="N2962" t="s">
        <v>35</v>
      </c>
      <c r="O2962" t="s">
        <v>70</v>
      </c>
      <c r="P2962" t="s">
        <v>71</v>
      </c>
      <c r="Q2962" t="s">
        <v>79</v>
      </c>
      <c r="R2962">
        <v>291</v>
      </c>
      <c r="S2962">
        <v>167</v>
      </c>
      <c r="T2962">
        <v>97</v>
      </c>
      <c r="U2962">
        <v>27</v>
      </c>
      <c r="V2962" t="s">
        <v>4493</v>
      </c>
      <c r="W2962">
        <v>29944</v>
      </c>
      <c r="X2962" t="s">
        <v>337</v>
      </c>
      <c r="Y2962">
        <v>26608</v>
      </c>
      <c r="Z2962">
        <v>808488</v>
      </c>
      <c r="AA2962">
        <v>90072</v>
      </c>
      <c r="AB2962" t="str">
        <f>(VLOOKUP(SalesData[[#This Row],[Month Number]],Reference!C$5:E$16,2,FALSE))</f>
        <v>Feb</v>
      </c>
      <c r="AC2962">
        <f>MONTH(SalesData[[#This Row],[Date]])</f>
        <v>2</v>
      </c>
      <c r="AD2962">
        <f>Reference!F$4</f>
        <v>2026</v>
      </c>
      <c r="AE2962" t="str">
        <f>IF(OR(SalesData[[#This Row],[Day]]="Saturday",SalesData[[#This Row],[Day]]="Sunday"),"Weekend","Weekday")</f>
        <v>Weekend</v>
      </c>
      <c r="AF2962" s="5">
        <f>IF(SalesData[[#This Row],[Contracts Offered]]=0,0,SalesData[[#This Row],[Contracts Signed]]/SalesData[[#This Row],[Contracts Offered]])</f>
        <v>0.27835051546391754</v>
      </c>
      <c r="AG2962" s="5">
        <f>IF(SalesData[[#This Row],[Customers Visited]]=0,0,SalesData[[#This Row],[Test Drives]]/SalesData[[#This Row],[Customers Visited]])</f>
        <v>0.57388316151202745</v>
      </c>
      <c r="AH2962" s="5">
        <f>IF(SalesData[[#This Row],[Customers Visited]]=0,0,SalesData[[#This Row],[Contracts Signed]]/SalesData[[#This Row],[Customers Visited]])</f>
        <v>9.2783505154639179E-2</v>
      </c>
      <c r="AI2962" s="6">
        <f>IF(SalesData[[#This Row],[Contracts Signed]]=0,0,SalesData[[#This Row],[Profit(€)]]/SalesData[[#This Row],[Contracts Signed]])</f>
        <v>3336</v>
      </c>
      <c r="AJ2962" s="5" t="str">
        <f>TRIM(CLEAN(SalesData[[#This Row],[Retailer]]))</f>
        <v>Saxon Wheels</v>
      </c>
    </row>
    <row r="2963" spans="1:36" ht="14.25" hidden="1" x14ac:dyDescent="0.2">
      <c r="A2963" t="s">
        <v>4106</v>
      </c>
      <c r="B2963" s="1">
        <v>46077</v>
      </c>
      <c r="C2963" t="s">
        <v>53</v>
      </c>
      <c r="D2963" t="s">
        <v>63</v>
      </c>
      <c r="E2963" t="s">
        <v>26</v>
      </c>
      <c r="F2963" t="s">
        <v>94</v>
      </c>
      <c r="G2963" t="s">
        <v>95</v>
      </c>
      <c r="H2963" t="s">
        <v>96</v>
      </c>
      <c r="I2963" t="s">
        <v>104</v>
      </c>
      <c r="J2963" t="s">
        <v>7061</v>
      </c>
      <c r="K2963" t="s">
        <v>66</v>
      </c>
      <c r="L2963" t="s">
        <v>46</v>
      </c>
      <c r="M2963" t="s">
        <v>87</v>
      </c>
      <c r="N2963" t="s">
        <v>35</v>
      </c>
      <c r="O2963" t="s">
        <v>36</v>
      </c>
      <c r="P2963" t="s">
        <v>58</v>
      </c>
      <c r="Q2963" t="s">
        <v>38</v>
      </c>
      <c r="R2963">
        <v>457</v>
      </c>
      <c r="S2963">
        <v>250</v>
      </c>
      <c r="T2963">
        <v>179</v>
      </c>
      <c r="U2963">
        <v>49</v>
      </c>
      <c r="V2963" t="s">
        <v>3275</v>
      </c>
      <c r="W2963">
        <v>32373</v>
      </c>
      <c r="X2963" t="s">
        <v>1636</v>
      </c>
      <c r="Y2963">
        <v>28652</v>
      </c>
      <c r="Z2963">
        <v>1586277</v>
      </c>
      <c r="AA2963">
        <v>182329</v>
      </c>
      <c r="AB2963" t="str">
        <f>(VLOOKUP(SalesData[[#This Row],[Month Number]],Reference!C$5:E$16,2,FALSE))</f>
        <v>Feb</v>
      </c>
      <c r="AC2963">
        <f>MONTH(SalesData[[#This Row],[Date]])</f>
        <v>2</v>
      </c>
      <c r="AD2963">
        <f>Reference!F$4</f>
        <v>2026</v>
      </c>
      <c r="AE2963" t="str">
        <f>IF(OR(SalesData[[#This Row],[Day]]="Saturday",SalesData[[#This Row],[Day]]="Sunday"),"Weekend","Weekday")</f>
        <v>Weekday</v>
      </c>
      <c r="AF2963" s="5">
        <f>IF(SalesData[[#This Row],[Contracts Offered]]=0,0,SalesData[[#This Row],[Contracts Signed]]/SalesData[[#This Row],[Contracts Offered]])</f>
        <v>0.27374301675977653</v>
      </c>
      <c r="AG2963" s="5">
        <f>IF(SalesData[[#This Row],[Customers Visited]]=0,0,SalesData[[#This Row],[Test Drives]]/SalesData[[#This Row],[Customers Visited]])</f>
        <v>0.54704595185995619</v>
      </c>
      <c r="AH2963" s="5">
        <f>IF(SalesData[[#This Row],[Customers Visited]]=0,0,SalesData[[#This Row],[Contracts Signed]]/SalesData[[#This Row],[Customers Visited]])</f>
        <v>0.10722100656455143</v>
      </c>
      <c r="AI2963" s="6">
        <f>IF(SalesData[[#This Row],[Contracts Signed]]=0,0,SalesData[[#This Row],[Profit(€)]]/SalesData[[#This Row],[Contracts Signed]])</f>
        <v>3721</v>
      </c>
      <c r="AJ2963" s="5" t="str">
        <f>TRIM(CLEAN(SalesData[[#This Row],[Retailer]]))</f>
        <v>Bavaria Motors</v>
      </c>
    </row>
    <row r="2964" spans="1:36" ht="14.25" hidden="1" x14ac:dyDescent="0.2">
      <c r="A2964" t="s">
        <v>4107</v>
      </c>
      <c r="B2964" s="1">
        <v>46072</v>
      </c>
      <c r="C2964" t="s">
        <v>62</v>
      </c>
      <c r="D2964" t="s">
        <v>100</v>
      </c>
      <c r="E2964" t="s">
        <v>26</v>
      </c>
      <c r="F2964" t="s">
        <v>127</v>
      </c>
      <c r="G2964" t="s">
        <v>128</v>
      </c>
      <c r="H2964" t="s">
        <v>103</v>
      </c>
      <c r="I2964" t="s">
        <v>104</v>
      </c>
      <c r="J2964" t="s">
        <v>7061</v>
      </c>
      <c r="K2964" t="s">
        <v>32</v>
      </c>
      <c r="L2964" t="s">
        <v>46</v>
      </c>
      <c r="M2964" t="s">
        <v>87</v>
      </c>
      <c r="N2964" t="s">
        <v>35</v>
      </c>
      <c r="O2964" t="s">
        <v>70</v>
      </c>
      <c r="P2964" t="s">
        <v>58</v>
      </c>
      <c r="Q2964" t="s">
        <v>135</v>
      </c>
      <c r="R2964">
        <v>388</v>
      </c>
      <c r="S2964">
        <v>213</v>
      </c>
      <c r="T2964">
        <v>143</v>
      </c>
      <c r="U2964">
        <v>45</v>
      </c>
      <c r="V2964" t="s">
        <v>6943</v>
      </c>
      <c r="W2964">
        <v>33926</v>
      </c>
      <c r="X2964" t="s">
        <v>3629</v>
      </c>
      <c r="Y2964">
        <v>29435</v>
      </c>
      <c r="Z2964">
        <v>1526670</v>
      </c>
      <c r="AA2964">
        <v>202095</v>
      </c>
      <c r="AB2964" t="str">
        <f>(VLOOKUP(SalesData[[#This Row],[Month Number]],Reference!C$5:E$16,2,FALSE))</f>
        <v>Feb</v>
      </c>
      <c r="AC2964">
        <f>MONTH(SalesData[[#This Row],[Date]])</f>
        <v>2</v>
      </c>
      <c r="AD2964">
        <f>Reference!F$4</f>
        <v>2026</v>
      </c>
      <c r="AE2964" t="str">
        <f>IF(OR(SalesData[[#This Row],[Day]]="Saturday",SalesData[[#This Row],[Day]]="Sunday"),"Weekend","Weekday")</f>
        <v>Weekday</v>
      </c>
      <c r="AF2964" s="5">
        <f>IF(SalesData[[#This Row],[Contracts Offered]]=0,0,SalesData[[#This Row],[Contracts Signed]]/SalesData[[#This Row],[Contracts Offered]])</f>
        <v>0.31468531468531469</v>
      </c>
      <c r="AG2964" s="5">
        <f>IF(SalesData[[#This Row],[Customers Visited]]=0,0,SalesData[[#This Row],[Test Drives]]/SalesData[[#This Row],[Customers Visited]])</f>
        <v>0.5489690721649485</v>
      </c>
      <c r="AH2964" s="5">
        <f>IF(SalesData[[#This Row],[Customers Visited]]=0,0,SalesData[[#This Row],[Contracts Signed]]/SalesData[[#This Row],[Customers Visited]])</f>
        <v>0.11597938144329897</v>
      </c>
      <c r="AI2964" s="6">
        <f>IF(SalesData[[#This Row],[Contracts Signed]]=0,0,SalesData[[#This Row],[Profit(€)]]/SalesData[[#This Row],[Contracts Signed]])</f>
        <v>4491</v>
      </c>
      <c r="AJ2964" s="5" t="str">
        <f>TRIM(CLEAN(SalesData[[#This Row],[Retailer]]))</f>
        <v>Rhein Auto Group</v>
      </c>
    </row>
    <row r="2965" spans="1:36" ht="14.25" x14ac:dyDescent="0.2">
      <c r="A2965" t="s">
        <v>4108</v>
      </c>
      <c r="B2965" s="1">
        <v>46061</v>
      </c>
      <c r="C2965" t="s">
        <v>121</v>
      </c>
      <c r="D2965" t="s">
        <v>41</v>
      </c>
      <c r="E2965" t="s">
        <v>42</v>
      </c>
      <c r="F2965" t="s">
        <v>114</v>
      </c>
      <c r="G2965" t="s">
        <v>115</v>
      </c>
      <c r="H2965" t="s">
        <v>115</v>
      </c>
      <c r="I2965" t="s">
        <v>30</v>
      </c>
      <c r="J2965" t="s">
        <v>166</v>
      </c>
      <c r="K2965" t="s">
        <v>66</v>
      </c>
      <c r="L2965" t="s">
        <v>46</v>
      </c>
      <c r="M2965" t="s">
        <v>68</v>
      </c>
      <c r="N2965" t="s">
        <v>48</v>
      </c>
      <c r="O2965" t="s">
        <v>36</v>
      </c>
      <c r="P2965" t="s">
        <v>58</v>
      </c>
      <c r="Q2965" t="s">
        <v>79</v>
      </c>
      <c r="R2965">
        <v>143</v>
      </c>
      <c r="S2965">
        <v>86</v>
      </c>
      <c r="T2965">
        <v>60</v>
      </c>
      <c r="U2965">
        <v>28</v>
      </c>
      <c r="V2965" t="s">
        <v>7560</v>
      </c>
      <c r="W2965">
        <v>68826</v>
      </c>
      <c r="X2965" t="s">
        <v>7195</v>
      </c>
      <c r="Y2965">
        <v>52503</v>
      </c>
      <c r="Z2965">
        <v>1927128</v>
      </c>
      <c r="AA2965">
        <v>457044</v>
      </c>
      <c r="AB2965" t="str">
        <f>(VLOOKUP(SalesData[[#This Row],[Month Number]],Reference!C$5:E$16,2,FALSE))</f>
        <v>Feb</v>
      </c>
      <c r="AC2965">
        <f>MONTH(SalesData[[#This Row],[Date]])</f>
        <v>2</v>
      </c>
      <c r="AD2965">
        <f>Reference!F$4</f>
        <v>2026</v>
      </c>
      <c r="AE2965" t="str">
        <f>IF(OR(SalesData[[#This Row],[Day]]="Saturday",SalesData[[#This Row],[Day]]="Sunday"),"Weekend","Weekday")</f>
        <v>Weekend</v>
      </c>
      <c r="AF2965" s="5">
        <f>IF(SalesData[[#This Row],[Contracts Offered]]=0,0,SalesData[[#This Row],[Contracts Signed]]/SalesData[[#This Row],[Contracts Offered]])</f>
        <v>0.46666666666666667</v>
      </c>
      <c r="AG2965" s="5">
        <f>IF(SalesData[[#This Row],[Customers Visited]]=0,0,SalesData[[#This Row],[Test Drives]]/SalesData[[#This Row],[Customers Visited]])</f>
        <v>0.60139860139860135</v>
      </c>
      <c r="AH2965" s="5">
        <f>IF(SalesData[[#This Row],[Customers Visited]]=0,0,SalesData[[#This Row],[Contracts Signed]]/SalesData[[#This Row],[Customers Visited]])</f>
        <v>0.19580419580419581</v>
      </c>
      <c r="AI2965" s="6">
        <f>IF(SalesData[[#This Row],[Contracts Signed]]=0,0,SalesData[[#This Row],[Profit(€)]]/SalesData[[#This Row],[Contracts Signed]])</f>
        <v>16323</v>
      </c>
      <c r="AJ2965" s="5" t="str">
        <f>TRIM(CLEAN(SalesData[[#This Row],[Retailer]]))</f>
        <v>Elbe Drive</v>
      </c>
    </row>
    <row r="2966" spans="1:36" ht="14.25" hidden="1" x14ac:dyDescent="0.2">
      <c r="A2966" t="s">
        <v>4109</v>
      </c>
      <c r="B2966" s="1">
        <v>46071</v>
      </c>
      <c r="C2966" t="s">
        <v>62</v>
      </c>
      <c r="D2966" t="s">
        <v>82</v>
      </c>
      <c r="E2966" t="s">
        <v>26</v>
      </c>
      <c r="F2966" t="s">
        <v>27</v>
      </c>
      <c r="G2966" t="s">
        <v>28</v>
      </c>
      <c r="H2966" t="s">
        <v>29</v>
      </c>
      <c r="I2966" t="s">
        <v>104</v>
      </c>
      <c r="J2966" t="s">
        <v>7061</v>
      </c>
      <c r="K2966" t="s">
        <v>91</v>
      </c>
      <c r="L2966" t="s">
        <v>46</v>
      </c>
      <c r="M2966" t="s">
        <v>47</v>
      </c>
      <c r="N2966" t="s">
        <v>35</v>
      </c>
      <c r="O2966" t="s">
        <v>36</v>
      </c>
      <c r="P2966" t="s">
        <v>58</v>
      </c>
      <c r="Q2966" t="s">
        <v>118</v>
      </c>
      <c r="R2966">
        <v>298</v>
      </c>
      <c r="S2966">
        <v>153</v>
      </c>
      <c r="T2966">
        <v>106</v>
      </c>
      <c r="U2966">
        <v>30</v>
      </c>
      <c r="V2966" t="s">
        <v>1030</v>
      </c>
      <c r="W2966">
        <v>34719</v>
      </c>
      <c r="X2966" t="s">
        <v>7574</v>
      </c>
      <c r="Y2966">
        <v>31579</v>
      </c>
      <c r="Z2966">
        <v>1041570</v>
      </c>
      <c r="AA2966">
        <v>94200</v>
      </c>
      <c r="AB2966" t="str">
        <f>(VLOOKUP(SalesData[[#This Row],[Month Number]],Reference!C$5:E$16,2,FALSE))</f>
        <v>Feb</v>
      </c>
      <c r="AC2966">
        <f>MONTH(SalesData[[#This Row],[Date]])</f>
        <v>2</v>
      </c>
      <c r="AD2966">
        <f>Reference!F$4</f>
        <v>2026</v>
      </c>
      <c r="AE2966" t="str">
        <f>IF(OR(SalesData[[#This Row],[Day]]="Saturday",SalesData[[#This Row],[Day]]="Sunday"),"Weekend","Weekday")</f>
        <v>Weekday</v>
      </c>
      <c r="AF2966" s="5">
        <f>IF(SalesData[[#This Row],[Contracts Offered]]=0,0,SalesData[[#This Row],[Contracts Signed]]/SalesData[[#This Row],[Contracts Offered]])</f>
        <v>0.28301886792452829</v>
      </c>
      <c r="AG2966" s="5">
        <f>IF(SalesData[[#This Row],[Customers Visited]]=0,0,SalesData[[#This Row],[Test Drives]]/SalesData[[#This Row],[Customers Visited]])</f>
        <v>0.51342281879194629</v>
      </c>
      <c r="AH2966" s="5">
        <f>IF(SalesData[[#This Row],[Customers Visited]]=0,0,SalesData[[#This Row],[Contracts Signed]]/SalesData[[#This Row],[Customers Visited]])</f>
        <v>0.10067114093959731</v>
      </c>
      <c r="AI2966" s="6">
        <f>IF(SalesData[[#This Row],[Contracts Signed]]=0,0,SalesData[[#This Row],[Profit(€)]]/SalesData[[#This Row],[Contracts Signed]])</f>
        <v>3140</v>
      </c>
      <c r="AJ2966" s="5" t="str">
        <f>TRIM(CLEAN(SalesData[[#This Row],[Retailer]]))</f>
        <v>Main Auto Hub</v>
      </c>
    </row>
    <row r="2967" spans="1:36" ht="14.25" hidden="1" x14ac:dyDescent="0.2">
      <c r="A2967" t="s">
        <v>4110</v>
      </c>
      <c r="B2967" s="1">
        <v>46075</v>
      </c>
      <c r="C2967" t="s">
        <v>53</v>
      </c>
      <c r="D2967" t="s">
        <v>41</v>
      </c>
      <c r="E2967" t="s">
        <v>42</v>
      </c>
      <c r="F2967" t="s">
        <v>7649</v>
      </c>
      <c r="G2967" t="s">
        <v>55</v>
      </c>
      <c r="H2967" t="s">
        <v>55</v>
      </c>
      <c r="I2967" t="s">
        <v>64</v>
      </c>
      <c r="J2967" t="s">
        <v>157</v>
      </c>
      <c r="K2967" t="s">
        <v>78</v>
      </c>
      <c r="L2967" t="s">
        <v>33</v>
      </c>
      <c r="M2967" t="s">
        <v>34</v>
      </c>
      <c r="N2967" t="s">
        <v>69</v>
      </c>
      <c r="O2967" t="s">
        <v>70</v>
      </c>
      <c r="P2967" t="s">
        <v>71</v>
      </c>
      <c r="Q2967" t="s">
        <v>59</v>
      </c>
      <c r="R2967">
        <v>175</v>
      </c>
      <c r="S2967">
        <v>78</v>
      </c>
      <c r="T2967">
        <v>57</v>
      </c>
      <c r="U2967">
        <v>18</v>
      </c>
      <c r="V2967" t="s">
        <v>6386</v>
      </c>
      <c r="W2967">
        <v>49938</v>
      </c>
      <c r="X2967" t="s">
        <v>828</v>
      </c>
      <c r="Y2967">
        <v>39161</v>
      </c>
      <c r="Z2967">
        <v>898884</v>
      </c>
      <c r="AA2967">
        <v>193986</v>
      </c>
      <c r="AB2967" t="str">
        <f>(VLOOKUP(SalesData[[#This Row],[Month Number]],Reference!C$5:E$16,2,FALSE))</f>
        <v>Feb</v>
      </c>
      <c r="AC2967">
        <f>MONTH(SalesData[[#This Row],[Date]])</f>
        <v>2</v>
      </c>
      <c r="AD2967">
        <f>Reference!F$4</f>
        <v>2026</v>
      </c>
      <c r="AE2967" t="str">
        <f>IF(OR(SalesData[[#This Row],[Day]]="Saturday",SalesData[[#This Row],[Day]]="Sunday"),"Weekend","Weekday")</f>
        <v>Weekend</v>
      </c>
      <c r="AF2967" s="5">
        <f>IF(SalesData[[#This Row],[Contracts Offered]]=0,0,SalesData[[#This Row],[Contracts Signed]]/SalesData[[#This Row],[Contracts Offered]])</f>
        <v>0.31578947368421051</v>
      </c>
      <c r="AG2967" s="5">
        <f>IF(SalesData[[#This Row],[Customers Visited]]=0,0,SalesData[[#This Row],[Test Drives]]/SalesData[[#This Row],[Customers Visited]])</f>
        <v>0.44571428571428573</v>
      </c>
      <c r="AH2967" s="5">
        <f>IF(SalesData[[#This Row],[Customers Visited]]=0,0,SalesData[[#This Row],[Contracts Signed]]/SalesData[[#This Row],[Customers Visited]])</f>
        <v>0.10285714285714286</v>
      </c>
      <c r="AI2967" s="6">
        <f>IF(SalesData[[#This Row],[Contracts Signed]]=0,0,SalesData[[#This Row],[Profit(€)]]/SalesData[[#This Row],[Contracts Signed]])</f>
        <v>10777</v>
      </c>
      <c r="AJ2967" s="5" t="str">
        <f>TRIM(CLEAN(SalesData[[#This Row],[Retailer]]))</f>
        <v>Autohaus Berlin</v>
      </c>
    </row>
    <row r="2968" spans="1:36" ht="14.25" hidden="1" x14ac:dyDescent="0.2">
      <c r="A2968" t="s">
        <v>4111</v>
      </c>
      <c r="B2968" s="1">
        <v>46064</v>
      </c>
      <c r="C2968" t="s">
        <v>121</v>
      </c>
      <c r="D2968" t="s">
        <v>82</v>
      </c>
      <c r="E2968" t="s">
        <v>26</v>
      </c>
      <c r="F2968" t="s">
        <v>7649</v>
      </c>
      <c r="G2968" t="s">
        <v>55</v>
      </c>
      <c r="H2968" t="s">
        <v>55</v>
      </c>
      <c r="I2968" t="s">
        <v>56</v>
      </c>
      <c r="J2968" t="s">
        <v>7028</v>
      </c>
      <c r="K2968" t="s">
        <v>32</v>
      </c>
      <c r="L2968" t="s">
        <v>46</v>
      </c>
      <c r="M2968" t="s">
        <v>34</v>
      </c>
      <c r="N2968" t="s">
        <v>35</v>
      </c>
      <c r="O2968" t="s">
        <v>36</v>
      </c>
      <c r="P2968" t="s">
        <v>49</v>
      </c>
      <c r="Q2968" t="s">
        <v>189</v>
      </c>
      <c r="R2968">
        <v>295</v>
      </c>
      <c r="S2968">
        <v>154</v>
      </c>
      <c r="T2968">
        <v>118</v>
      </c>
      <c r="U2968">
        <v>39</v>
      </c>
      <c r="V2968" t="s">
        <v>6625</v>
      </c>
      <c r="W2968">
        <v>51435</v>
      </c>
      <c r="X2968" t="s">
        <v>7337</v>
      </c>
      <c r="Y2968">
        <v>41991</v>
      </c>
      <c r="Z2968">
        <v>2005965</v>
      </c>
      <c r="AA2968">
        <v>368316</v>
      </c>
      <c r="AB2968" t="str">
        <f>(VLOOKUP(SalesData[[#This Row],[Month Number]],Reference!C$5:E$16,2,FALSE))</f>
        <v>Feb</v>
      </c>
      <c r="AC2968">
        <f>MONTH(SalesData[[#This Row],[Date]])</f>
        <v>2</v>
      </c>
      <c r="AD2968">
        <f>Reference!F$4</f>
        <v>2026</v>
      </c>
      <c r="AE2968" t="str">
        <f>IF(OR(SalesData[[#This Row],[Day]]="Saturday",SalesData[[#This Row],[Day]]="Sunday"),"Weekend","Weekday")</f>
        <v>Weekday</v>
      </c>
      <c r="AF2968" s="5">
        <f>IF(SalesData[[#This Row],[Contracts Offered]]=0,0,SalesData[[#This Row],[Contracts Signed]]/SalesData[[#This Row],[Contracts Offered]])</f>
        <v>0.33050847457627119</v>
      </c>
      <c r="AG2968" s="5">
        <f>IF(SalesData[[#This Row],[Customers Visited]]=0,0,SalesData[[#This Row],[Test Drives]]/SalesData[[#This Row],[Customers Visited]])</f>
        <v>0.52203389830508473</v>
      </c>
      <c r="AH2968" s="5">
        <f>IF(SalesData[[#This Row],[Customers Visited]]=0,0,SalesData[[#This Row],[Contracts Signed]]/SalesData[[#This Row],[Customers Visited]])</f>
        <v>0.13220338983050847</v>
      </c>
      <c r="AI2968" s="6">
        <f>IF(SalesData[[#This Row],[Contracts Signed]]=0,0,SalesData[[#This Row],[Profit(€)]]/SalesData[[#This Row],[Contracts Signed]])</f>
        <v>9444</v>
      </c>
      <c r="AJ2968" s="5" t="str">
        <f>TRIM(CLEAN(SalesData[[#This Row],[Retailer]]))</f>
        <v>Autohaus Berlin</v>
      </c>
    </row>
    <row r="2969" spans="1:36" ht="14.25" hidden="1" x14ac:dyDescent="0.2">
      <c r="A2969" t="s">
        <v>4112</v>
      </c>
      <c r="B2969" s="1">
        <v>46061</v>
      </c>
      <c r="C2969" t="s">
        <v>121</v>
      </c>
      <c r="D2969" t="s">
        <v>41</v>
      </c>
      <c r="E2969" t="s">
        <v>42</v>
      </c>
      <c r="F2969" t="s">
        <v>101</v>
      </c>
      <c r="G2969" t="s">
        <v>102</v>
      </c>
      <c r="H2969" t="s">
        <v>103</v>
      </c>
      <c r="I2969" t="s">
        <v>116</v>
      </c>
      <c r="J2969" t="s">
        <v>7090</v>
      </c>
      <c r="K2969" t="s">
        <v>78</v>
      </c>
      <c r="L2969" t="s">
        <v>46</v>
      </c>
      <c r="M2969" t="s">
        <v>68</v>
      </c>
      <c r="N2969" t="s">
        <v>35</v>
      </c>
      <c r="O2969" t="s">
        <v>36</v>
      </c>
      <c r="P2969" t="s">
        <v>49</v>
      </c>
      <c r="Q2969" t="s">
        <v>152</v>
      </c>
      <c r="R2969">
        <v>395</v>
      </c>
      <c r="S2969">
        <v>188</v>
      </c>
      <c r="T2969">
        <v>130</v>
      </c>
      <c r="U2969">
        <v>22</v>
      </c>
      <c r="V2969" t="s">
        <v>1885</v>
      </c>
      <c r="W2969">
        <v>21079</v>
      </c>
      <c r="X2969" t="s">
        <v>7509</v>
      </c>
      <c r="Y2969">
        <v>18939</v>
      </c>
      <c r="Z2969">
        <v>463738</v>
      </c>
      <c r="AA2969">
        <v>47080</v>
      </c>
      <c r="AB2969" t="str">
        <f>(VLOOKUP(SalesData[[#This Row],[Month Number]],Reference!C$5:E$16,2,FALSE))</f>
        <v>Feb</v>
      </c>
      <c r="AC2969">
        <f>MONTH(SalesData[[#This Row],[Date]])</f>
        <v>2</v>
      </c>
      <c r="AD2969">
        <f>Reference!F$4</f>
        <v>2026</v>
      </c>
      <c r="AE2969" t="str">
        <f>IF(OR(SalesData[[#This Row],[Day]]="Saturday",SalesData[[#This Row],[Day]]="Sunday"),"Weekend","Weekday")</f>
        <v>Weekend</v>
      </c>
      <c r="AF2969" s="5">
        <f>IF(SalesData[[#This Row],[Contracts Offered]]=0,0,SalesData[[#This Row],[Contracts Signed]]/SalesData[[#This Row],[Contracts Offered]])</f>
        <v>0.16923076923076924</v>
      </c>
      <c r="AG2969" s="5">
        <f>IF(SalesData[[#This Row],[Customers Visited]]=0,0,SalesData[[#This Row],[Test Drives]]/SalesData[[#This Row],[Customers Visited]])</f>
        <v>0.47594936708860758</v>
      </c>
      <c r="AH2969" s="5">
        <f>IF(SalesData[[#This Row],[Customers Visited]]=0,0,SalesData[[#This Row],[Contracts Signed]]/SalesData[[#This Row],[Customers Visited]])</f>
        <v>5.5696202531645568E-2</v>
      </c>
      <c r="AI2969" s="6">
        <f>IF(SalesData[[#This Row],[Contracts Signed]]=0,0,SalesData[[#This Row],[Profit(€)]]/SalesData[[#This Row],[Contracts Signed]])</f>
        <v>2140</v>
      </c>
      <c r="AJ2969" s="5" t="str">
        <f>TRIM(CLEAN(SalesData[[#This Row],[Retailer]]))</f>
        <v>Ruhr Auto Plaza</v>
      </c>
    </row>
    <row r="2970" spans="1:36" ht="14.25" hidden="1" x14ac:dyDescent="0.2">
      <c r="A2970" t="s">
        <v>4113</v>
      </c>
      <c r="B2970" s="1">
        <v>46065</v>
      </c>
      <c r="C2970" t="s">
        <v>121</v>
      </c>
      <c r="D2970" t="s">
        <v>100</v>
      </c>
      <c r="E2970" t="s">
        <v>26</v>
      </c>
      <c r="F2970" t="s">
        <v>83</v>
      </c>
      <c r="G2970" t="s">
        <v>84</v>
      </c>
      <c r="H2970" t="s">
        <v>85</v>
      </c>
      <c r="I2970" t="s">
        <v>116</v>
      </c>
      <c r="J2970" t="s">
        <v>132</v>
      </c>
      <c r="K2970" t="s">
        <v>91</v>
      </c>
      <c r="L2970" t="s">
        <v>46</v>
      </c>
      <c r="M2970" t="s">
        <v>87</v>
      </c>
      <c r="N2970" t="s">
        <v>48</v>
      </c>
      <c r="O2970" t="s">
        <v>36</v>
      </c>
      <c r="P2970" t="s">
        <v>37</v>
      </c>
      <c r="Q2970" t="s">
        <v>347</v>
      </c>
      <c r="R2970">
        <v>391</v>
      </c>
      <c r="S2970">
        <v>179</v>
      </c>
      <c r="T2970">
        <v>112</v>
      </c>
      <c r="U2970">
        <v>23</v>
      </c>
      <c r="V2970" t="s">
        <v>6575</v>
      </c>
      <c r="W2970">
        <v>25465</v>
      </c>
      <c r="X2970" t="s">
        <v>3698</v>
      </c>
      <c r="Y2970">
        <v>22916</v>
      </c>
      <c r="Z2970">
        <v>585695</v>
      </c>
      <c r="AA2970">
        <v>58627</v>
      </c>
      <c r="AB2970" t="str">
        <f>(VLOOKUP(SalesData[[#This Row],[Month Number]],Reference!C$5:E$16,2,FALSE))</f>
        <v>Feb</v>
      </c>
      <c r="AC2970">
        <f>MONTH(SalesData[[#This Row],[Date]])</f>
        <v>2</v>
      </c>
      <c r="AD2970">
        <f>Reference!F$4</f>
        <v>2026</v>
      </c>
      <c r="AE2970" t="str">
        <f>IF(OR(SalesData[[#This Row],[Day]]="Saturday",SalesData[[#This Row],[Day]]="Sunday"),"Weekend","Weekday")</f>
        <v>Weekday</v>
      </c>
      <c r="AF2970" s="5">
        <f>IF(SalesData[[#This Row],[Contracts Offered]]=0,0,SalesData[[#This Row],[Contracts Signed]]/SalesData[[#This Row],[Contracts Offered]])</f>
        <v>0.20535714285714285</v>
      </c>
      <c r="AG2970" s="5">
        <f>IF(SalesData[[#This Row],[Customers Visited]]=0,0,SalesData[[#This Row],[Test Drives]]/SalesData[[#This Row],[Customers Visited]])</f>
        <v>0.4578005115089514</v>
      </c>
      <c r="AH2970" s="5">
        <f>IF(SalesData[[#This Row],[Customers Visited]]=0,0,SalesData[[#This Row],[Contracts Signed]]/SalesData[[#This Row],[Customers Visited]])</f>
        <v>5.8823529411764705E-2</v>
      </c>
      <c r="AI2970" s="6">
        <f>IF(SalesData[[#This Row],[Contracts Signed]]=0,0,SalesData[[#This Row],[Profit(€)]]/SalesData[[#This Row],[Contracts Signed]])</f>
        <v>2549</v>
      </c>
      <c r="AJ2970" s="5" t="str">
        <f>TRIM(CLEAN(SalesData[[#This Row],[Retailer]]))</f>
        <v>Hannover Cars</v>
      </c>
    </row>
    <row r="2971" spans="1:36" ht="14.25" hidden="1" x14ac:dyDescent="0.2">
      <c r="A2971" t="s">
        <v>4115</v>
      </c>
      <c r="B2971" s="1">
        <v>46079</v>
      </c>
      <c r="C2971" t="s">
        <v>53</v>
      </c>
      <c r="D2971" t="s">
        <v>100</v>
      </c>
      <c r="E2971" t="s">
        <v>26</v>
      </c>
      <c r="F2971" t="s">
        <v>114</v>
      </c>
      <c r="G2971" t="s">
        <v>115</v>
      </c>
      <c r="H2971" t="s">
        <v>115</v>
      </c>
      <c r="I2971" t="s">
        <v>104</v>
      </c>
      <c r="J2971" t="s">
        <v>105</v>
      </c>
      <c r="K2971" t="s">
        <v>66</v>
      </c>
      <c r="L2971" t="s">
        <v>33</v>
      </c>
      <c r="M2971" t="s">
        <v>68</v>
      </c>
      <c r="N2971" t="s">
        <v>35</v>
      </c>
      <c r="O2971" t="s">
        <v>70</v>
      </c>
      <c r="P2971" t="s">
        <v>37</v>
      </c>
      <c r="Q2971" t="s">
        <v>59</v>
      </c>
      <c r="R2971">
        <v>319</v>
      </c>
      <c r="S2971">
        <v>168</v>
      </c>
      <c r="T2971">
        <v>111</v>
      </c>
      <c r="U2971">
        <v>24</v>
      </c>
      <c r="V2971" t="s">
        <v>527</v>
      </c>
      <c r="W2971">
        <v>31434</v>
      </c>
      <c r="X2971" t="s">
        <v>787</v>
      </c>
      <c r="Y2971">
        <v>28142</v>
      </c>
      <c r="Z2971">
        <v>754416</v>
      </c>
      <c r="AA2971">
        <v>79008</v>
      </c>
      <c r="AB2971" t="str">
        <f>(VLOOKUP(SalesData[[#This Row],[Month Number]],Reference!C$5:E$16,2,FALSE))</f>
        <v>Feb</v>
      </c>
      <c r="AC2971">
        <f>MONTH(SalesData[[#This Row],[Date]])</f>
        <v>2</v>
      </c>
      <c r="AD2971">
        <f>Reference!F$4</f>
        <v>2026</v>
      </c>
      <c r="AE2971" t="str">
        <f>IF(OR(SalesData[[#This Row],[Day]]="Saturday",SalesData[[#This Row],[Day]]="Sunday"),"Weekend","Weekday")</f>
        <v>Weekday</v>
      </c>
      <c r="AF2971" s="5">
        <f>IF(SalesData[[#This Row],[Contracts Offered]]=0,0,SalesData[[#This Row],[Contracts Signed]]/SalesData[[#This Row],[Contracts Offered]])</f>
        <v>0.21621621621621623</v>
      </c>
      <c r="AG2971" s="5">
        <f>IF(SalesData[[#This Row],[Customers Visited]]=0,0,SalesData[[#This Row],[Test Drives]]/SalesData[[#This Row],[Customers Visited]])</f>
        <v>0.52664576802507834</v>
      </c>
      <c r="AH2971" s="5">
        <f>IF(SalesData[[#This Row],[Customers Visited]]=0,0,SalesData[[#This Row],[Contracts Signed]]/SalesData[[#This Row],[Customers Visited]])</f>
        <v>7.5235109717868343E-2</v>
      </c>
      <c r="AI2971" s="6">
        <f>IF(SalesData[[#This Row],[Contracts Signed]]=0,0,SalesData[[#This Row],[Profit(€)]]/SalesData[[#This Row],[Contracts Signed]])</f>
        <v>3292</v>
      </c>
      <c r="AJ2971" s="5" t="str">
        <f>TRIM(CLEAN(SalesData[[#This Row],[Retailer]]))</f>
        <v>Elbe Drive</v>
      </c>
    </row>
    <row r="2972" spans="1:36" ht="14.25" hidden="1" x14ac:dyDescent="0.2">
      <c r="A2972" t="s">
        <v>4116</v>
      </c>
      <c r="B2972" s="1">
        <v>46063</v>
      </c>
      <c r="C2972" t="s">
        <v>121</v>
      </c>
      <c r="D2972" t="s">
        <v>63</v>
      </c>
      <c r="E2972" t="s">
        <v>26</v>
      </c>
      <c r="F2972" t="s">
        <v>109</v>
      </c>
      <c r="G2972" t="s">
        <v>110</v>
      </c>
      <c r="H2972" t="s">
        <v>45</v>
      </c>
      <c r="I2972" t="s">
        <v>116</v>
      </c>
      <c r="J2972" t="s">
        <v>203</v>
      </c>
      <c r="K2972" t="s">
        <v>91</v>
      </c>
      <c r="L2972" t="s">
        <v>67</v>
      </c>
      <c r="M2972" t="s">
        <v>34</v>
      </c>
      <c r="N2972" t="s">
        <v>69</v>
      </c>
      <c r="O2972" t="s">
        <v>70</v>
      </c>
      <c r="P2972" t="s">
        <v>37</v>
      </c>
      <c r="Q2972" t="s">
        <v>59</v>
      </c>
      <c r="R2972">
        <v>418</v>
      </c>
      <c r="S2972">
        <v>184</v>
      </c>
      <c r="T2972">
        <v>113</v>
      </c>
      <c r="U2972">
        <v>21</v>
      </c>
      <c r="V2972" t="s">
        <v>7575</v>
      </c>
      <c r="W2972">
        <v>20412</v>
      </c>
      <c r="X2972" t="s">
        <v>294</v>
      </c>
      <c r="Y2972">
        <v>18658</v>
      </c>
      <c r="Z2972">
        <v>428652</v>
      </c>
      <c r="AA2972">
        <v>36834</v>
      </c>
      <c r="AB2972" t="str">
        <f>(VLOOKUP(SalesData[[#This Row],[Month Number]],Reference!C$5:E$16,2,FALSE))</f>
        <v>Feb</v>
      </c>
      <c r="AC2972">
        <f>MONTH(SalesData[[#This Row],[Date]])</f>
        <v>2</v>
      </c>
      <c r="AD2972">
        <f>Reference!F$4</f>
        <v>2026</v>
      </c>
      <c r="AE2972" t="str">
        <f>IF(OR(SalesData[[#This Row],[Day]]="Saturday",SalesData[[#This Row],[Day]]="Sunday"),"Weekend","Weekday")</f>
        <v>Weekday</v>
      </c>
      <c r="AF2972" s="5">
        <f>IF(SalesData[[#This Row],[Contracts Offered]]=0,0,SalesData[[#This Row],[Contracts Signed]]/SalesData[[#This Row],[Contracts Offered]])</f>
        <v>0.18584070796460178</v>
      </c>
      <c r="AG2972" s="5">
        <f>IF(SalesData[[#This Row],[Customers Visited]]=0,0,SalesData[[#This Row],[Test Drives]]/SalesData[[#This Row],[Customers Visited]])</f>
        <v>0.44019138755980863</v>
      </c>
      <c r="AH2972" s="5">
        <f>IF(SalesData[[#This Row],[Customers Visited]]=0,0,SalesData[[#This Row],[Contracts Signed]]/SalesData[[#This Row],[Customers Visited]])</f>
        <v>5.0239234449760764E-2</v>
      </c>
      <c r="AI2972" s="6">
        <f>IF(SalesData[[#This Row],[Contracts Signed]]=0,0,SalesData[[#This Row],[Profit(€)]]/SalesData[[#This Row],[Contracts Signed]])</f>
        <v>1754</v>
      </c>
      <c r="AJ2972" s="5" t="str">
        <f>TRIM(CLEAN(SalesData[[#This Row],[Retailer]]))</f>
        <v>Leipzig Mobility</v>
      </c>
    </row>
    <row r="2973" spans="1:36" ht="14.25" hidden="1" x14ac:dyDescent="0.2">
      <c r="A2973" t="s">
        <v>4118</v>
      </c>
      <c r="B2973" s="1">
        <v>46064</v>
      </c>
      <c r="C2973" t="s">
        <v>121</v>
      </c>
      <c r="D2973" t="s">
        <v>82</v>
      </c>
      <c r="E2973" t="s">
        <v>26</v>
      </c>
      <c r="F2973" t="s">
        <v>27</v>
      </c>
      <c r="G2973" t="s">
        <v>28</v>
      </c>
      <c r="H2973" t="s">
        <v>29</v>
      </c>
      <c r="I2973" t="s">
        <v>104</v>
      </c>
      <c r="J2973" t="s">
        <v>7061</v>
      </c>
      <c r="K2973" t="s">
        <v>32</v>
      </c>
      <c r="L2973" t="s">
        <v>46</v>
      </c>
      <c r="M2973" t="s">
        <v>87</v>
      </c>
      <c r="N2973" t="s">
        <v>35</v>
      </c>
      <c r="O2973" t="s">
        <v>70</v>
      </c>
      <c r="P2973" t="s">
        <v>71</v>
      </c>
      <c r="Q2973" t="s">
        <v>38</v>
      </c>
      <c r="R2973">
        <v>497</v>
      </c>
      <c r="S2973">
        <v>245</v>
      </c>
      <c r="T2973">
        <v>150</v>
      </c>
      <c r="U2973">
        <v>35</v>
      </c>
      <c r="V2973" t="s">
        <v>527</v>
      </c>
      <c r="W2973">
        <v>27752</v>
      </c>
      <c r="X2973" t="s">
        <v>149</v>
      </c>
      <c r="Y2973">
        <v>24926</v>
      </c>
      <c r="Z2973">
        <v>971320</v>
      </c>
      <c r="AA2973">
        <v>98910</v>
      </c>
      <c r="AB2973" t="str">
        <f>(VLOOKUP(SalesData[[#This Row],[Month Number]],Reference!C$5:E$16,2,FALSE))</f>
        <v>Feb</v>
      </c>
      <c r="AC2973">
        <f>MONTH(SalesData[[#This Row],[Date]])</f>
        <v>2</v>
      </c>
      <c r="AD2973">
        <f>Reference!F$4</f>
        <v>2026</v>
      </c>
      <c r="AE2973" t="str">
        <f>IF(OR(SalesData[[#This Row],[Day]]="Saturday",SalesData[[#This Row],[Day]]="Sunday"),"Weekend","Weekday")</f>
        <v>Weekday</v>
      </c>
      <c r="AF2973" s="5">
        <f>IF(SalesData[[#This Row],[Contracts Offered]]=0,0,SalesData[[#This Row],[Contracts Signed]]/SalesData[[#This Row],[Contracts Offered]])</f>
        <v>0.23333333333333334</v>
      </c>
      <c r="AG2973" s="5">
        <f>IF(SalesData[[#This Row],[Customers Visited]]=0,0,SalesData[[#This Row],[Test Drives]]/SalesData[[#This Row],[Customers Visited]])</f>
        <v>0.49295774647887325</v>
      </c>
      <c r="AH2973" s="5">
        <f>IF(SalesData[[#This Row],[Customers Visited]]=0,0,SalesData[[#This Row],[Contracts Signed]]/SalesData[[#This Row],[Customers Visited]])</f>
        <v>7.0422535211267609E-2</v>
      </c>
      <c r="AI2973" s="6">
        <f>IF(SalesData[[#This Row],[Contracts Signed]]=0,0,SalesData[[#This Row],[Profit(€)]]/SalesData[[#This Row],[Contracts Signed]])</f>
        <v>2826</v>
      </c>
      <c r="AJ2973" s="5" t="str">
        <f>TRIM(CLEAN(SalesData[[#This Row],[Retailer]]))</f>
        <v>Main Auto Hub</v>
      </c>
    </row>
    <row r="2974" spans="1:36" ht="14.25" hidden="1" x14ac:dyDescent="0.2">
      <c r="A2974" t="s">
        <v>4119</v>
      </c>
      <c r="B2974" s="1">
        <v>46080</v>
      </c>
      <c r="C2974" t="s">
        <v>53</v>
      </c>
      <c r="D2974" t="s">
        <v>54</v>
      </c>
      <c r="E2974" t="s">
        <v>26</v>
      </c>
      <c r="F2974" t="s">
        <v>127</v>
      </c>
      <c r="G2974" t="s">
        <v>128</v>
      </c>
      <c r="H2974" t="s">
        <v>103</v>
      </c>
      <c r="I2974" t="s">
        <v>116</v>
      </c>
      <c r="J2974" t="s">
        <v>7026</v>
      </c>
      <c r="K2974" t="s">
        <v>32</v>
      </c>
      <c r="L2974" t="s">
        <v>46</v>
      </c>
      <c r="M2974" t="s">
        <v>47</v>
      </c>
      <c r="N2974" t="s">
        <v>48</v>
      </c>
      <c r="O2974" t="s">
        <v>70</v>
      </c>
      <c r="P2974" t="s">
        <v>71</v>
      </c>
      <c r="Q2974" t="s">
        <v>106</v>
      </c>
      <c r="R2974">
        <v>405</v>
      </c>
      <c r="S2974">
        <v>159</v>
      </c>
      <c r="T2974">
        <v>101</v>
      </c>
      <c r="U2974">
        <v>29</v>
      </c>
      <c r="V2974" t="s">
        <v>799</v>
      </c>
      <c r="W2974">
        <v>22853</v>
      </c>
      <c r="X2974" t="s">
        <v>1957</v>
      </c>
      <c r="Y2974">
        <v>20887</v>
      </c>
      <c r="Z2974">
        <v>662737</v>
      </c>
      <c r="AA2974">
        <v>57014</v>
      </c>
      <c r="AB2974" t="str">
        <f>(VLOOKUP(SalesData[[#This Row],[Month Number]],Reference!C$5:E$16,2,FALSE))</f>
        <v>Feb</v>
      </c>
      <c r="AC2974">
        <f>MONTH(SalesData[[#This Row],[Date]])</f>
        <v>2</v>
      </c>
      <c r="AD2974">
        <f>Reference!F$4</f>
        <v>2026</v>
      </c>
      <c r="AE2974" t="str">
        <f>IF(OR(SalesData[[#This Row],[Day]]="Saturday",SalesData[[#This Row],[Day]]="Sunday"),"Weekend","Weekday")</f>
        <v>Weekday</v>
      </c>
      <c r="AF2974" s="5">
        <f>IF(SalesData[[#This Row],[Contracts Offered]]=0,0,SalesData[[#This Row],[Contracts Signed]]/SalesData[[#This Row],[Contracts Offered]])</f>
        <v>0.28712871287128711</v>
      </c>
      <c r="AG2974" s="5">
        <f>IF(SalesData[[#This Row],[Customers Visited]]=0,0,SalesData[[#This Row],[Test Drives]]/SalesData[[#This Row],[Customers Visited]])</f>
        <v>0.3925925925925926</v>
      </c>
      <c r="AH2974" s="5">
        <f>IF(SalesData[[#This Row],[Customers Visited]]=0,0,SalesData[[#This Row],[Contracts Signed]]/SalesData[[#This Row],[Customers Visited]])</f>
        <v>7.160493827160494E-2</v>
      </c>
      <c r="AI2974" s="6">
        <f>IF(SalesData[[#This Row],[Contracts Signed]]=0,0,SalesData[[#This Row],[Profit(€)]]/SalesData[[#This Row],[Contracts Signed]])</f>
        <v>1966</v>
      </c>
      <c r="AJ2974" s="5" t="str">
        <f>TRIM(CLEAN(SalesData[[#This Row],[Retailer]]))</f>
        <v>Rhein Auto Group</v>
      </c>
    </row>
    <row r="2975" spans="1:36" ht="14.25" hidden="1" x14ac:dyDescent="0.2">
      <c r="A2975" t="s">
        <v>4120</v>
      </c>
      <c r="B2975" s="1">
        <v>46061</v>
      </c>
      <c r="C2975" t="s">
        <v>121</v>
      </c>
      <c r="D2975" t="s">
        <v>41</v>
      </c>
      <c r="E2975" t="s">
        <v>42</v>
      </c>
      <c r="F2975" t="s">
        <v>127</v>
      </c>
      <c r="G2975" t="s">
        <v>128</v>
      </c>
      <c r="H2975" t="s">
        <v>103</v>
      </c>
      <c r="I2975" t="s">
        <v>64</v>
      </c>
      <c r="J2975" t="s">
        <v>65</v>
      </c>
      <c r="K2975" t="s">
        <v>66</v>
      </c>
      <c r="L2975" t="s">
        <v>33</v>
      </c>
      <c r="M2975" t="s">
        <v>87</v>
      </c>
      <c r="N2975" t="s">
        <v>35</v>
      </c>
      <c r="O2975" t="s">
        <v>70</v>
      </c>
      <c r="P2975" t="s">
        <v>49</v>
      </c>
      <c r="Q2975" t="s">
        <v>59</v>
      </c>
      <c r="R2975">
        <v>279</v>
      </c>
      <c r="S2975">
        <v>141</v>
      </c>
      <c r="T2975">
        <v>109</v>
      </c>
      <c r="U2975">
        <v>29</v>
      </c>
      <c r="V2975" t="s">
        <v>6502</v>
      </c>
      <c r="W2975">
        <v>63951</v>
      </c>
      <c r="X2975" t="s">
        <v>7138</v>
      </c>
      <c r="Y2975">
        <v>47601</v>
      </c>
      <c r="Z2975">
        <v>1854579</v>
      </c>
      <c r="AA2975">
        <v>474150</v>
      </c>
      <c r="AB2975" t="str">
        <f>(VLOOKUP(SalesData[[#This Row],[Month Number]],Reference!C$5:E$16,2,FALSE))</f>
        <v>Feb</v>
      </c>
      <c r="AC2975">
        <f>MONTH(SalesData[[#This Row],[Date]])</f>
        <v>2</v>
      </c>
      <c r="AD2975">
        <f>Reference!F$4</f>
        <v>2026</v>
      </c>
      <c r="AE2975" t="str">
        <f>IF(OR(SalesData[[#This Row],[Day]]="Saturday",SalesData[[#This Row],[Day]]="Sunday"),"Weekend","Weekday")</f>
        <v>Weekend</v>
      </c>
      <c r="AF2975" s="5">
        <f>IF(SalesData[[#This Row],[Contracts Offered]]=0,0,SalesData[[#This Row],[Contracts Signed]]/SalesData[[#This Row],[Contracts Offered]])</f>
        <v>0.26605504587155965</v>
      </c>
      <c r="AG2975" s="5">
        <f>IF(SalesData[[#This Row],[Customers Visited]]=0,0,SalesData[[#This Row],[Test Drives]]/SalesData[[#This Row],[Customers Visited]])</f>
        <v>0.5053763440860215</v>
      </c>
      <c r="AH2975" s="5">
        <f>IF(SalesData[[#This Row],[Customers Visited]]=0,0,SalesData[[#This Row],[Contracts Signed]]/SalesData[[#This Row],[Customers Visited]])</f>
        <v>0.1039426523297491</v>
      </c>
      <c r="AI2975" s="6">
        <f>IF(SalesData[[#This Row],[Contracts Signed]]=0,0,SalesData[[#This Row],[Profit(€)]]/SalesData[[#This Row],[Contracts Signed]])</f>
        <v>16350</v>
      </c>
      <c r="AJ2975" s="5" t="str">
        <f>TRIM(CLEAN(SalesData[[#This Row],[Retailer]]))</f>
        <v>Rhein Auto Group</v>
      </c>
    </row>
    <row r="2976" spans="1:36" ht="14.25" hidden="1" x14ac:dyDescent="0.2">
      <c r="A2976" t="s">
        <v>4122</v>
      </c>
      <c r="B2976" s="1">
        <v>46054</v>
      </c>
      <c r="C2976" t="s">
        <v>24</v>
      </c>
      <c r="D2976" t="s">
        <v>41</v>
      </c>
      <c r="E2976" t="s">
        <v>42</v>
      </c>
      <c r="F2976" t="s">
        <v>43</v>
      </c>
      <c r="G2976" t="s">
        <v>44</v>
      </c>
      <c r="H2976" t="s">
        <v>45</v>
      </c>
      <c r="I2976" t="s">
        <v>64</v>
      </c>
      <c r="J2976" t="s">
        <v>7029</v>
      </c>
      <c r="K2976" t="s">
        <v>78</v>
      </c>
      <c r="L2976" t="s">
        <v>33</v>
      </c>
      <c r="M2976" t="s">
        <v>47</v>
      </c>
      <c r="N2976" t="s">
        <v>35</v>
      </c>
      <c r="O2976" t="s">
        <v>36</v>
      </c>
      <c r="P2976" t="s">
        <v>71</v>
      </c>
      <c r="Q2976" t="s">
        <v>167</v>
      </c>
      <c r="R2976">
        <v>241</v>
      </c>
      <c r="S2976">
        <v>111</v>
      </c>
      <c r="T2976">
        <v>84</v>
      </c>
      <c r="U2976">
        <v>29</v>
      </c>
      <c r="V2976" t="s">
        <v>6950</v>
      </c>
      <c r="W2976">
        <v>67801</v>
      </c>
      <c r="X2976" t="s">
        <v>7229</v>
      </c>
      <c r="Y2976">
        <v>53399</v>
      </c>
      <c r="Z2976">
        <v>1966229</v>
      </c>
      <c r="AA2976">
        <v>417658</v>
      </c>
      <c r="AB2976" t="str">
        <f>(VLOOKUP(SalesData[[#This Row],[Month Number]],Reference!C$5:E$16,2,FALSE))</f>
        <v>Feb</v>
      </c>
      <c r="AC2976">
        <f>MONTH(SalesData[[#This Row],[Date]])</f>
        <v>2</v>
      </c>
      <c r="AD2976">
        <f>Reference!F$4</f>
        <v>2026</v>
      </c>
      <c r="AE2976" t="str">
        <f>IF(OR(SalesData[[#This Row],[Day]]="Saturday",SalesData[[#This Row],[Day]]="Sunday"),"Weekend","Weekday")</f>
        <v>Weekend</v>
      </c>
      <c r="AF2976" s="5">
        <f>IF(SalesData[[#This Row],[Contracts Offered]]=0,0,SalesData[[#This Row],[Contracts Signed]]/SalesData[[#This Row],[Contracts Offered]])</f>
        <v>0.34523809523809523</v>
      </c>
      <c r="AG2976" s="5">
        <f>IF(SalesData[[#This Row],[Customers Visited]]=0,0,SalesData[[#This Row],[Test Drives]]/SalesData[[#This Row],[Customers Visited]])</f>
        <v>0.46058091286307051</v>
      </c>
      <c r="AH2976" s="5">
        <f>IF(SalesData[[#This Row],[Customers Visited]]=0,0,SalesData[[#This Row],[Contracts Signed]]/SalesData[[#This Row],[Customers Visited]])</f>
        <v>0.12033195020746888</v>
      </c>
      <c r="AI2976" s="6">
        <f>IF(SalesData[[#This Row],[Contracts Signed]]=0,0,SalesData[[#This Row],[Profit(€)]]/SalesData[[#This Row],[Contracts Signed]])</f>
        <v>14402</v>
      </c>
      <c r="AJ2976" s="5" t="str">
        <f>TRIM(CLEAN(SalesData[[#This Row],[Retailer]]))</f>
        <v>Saxon Wheels</v>
      </c>
    </row>
    <row r="2977" spans="1:36" ht="14.25" x14ac:dyDescent="0.2">
      <c r="A2977" t="s">
        <v>4124</v>
      </c>
      <c r="B2977" s="1">
        <v>46070</v>
      </c>
      <c r="C2977" t="s">
        <v>62</v>
      </c>
      <c r="D2977" t="s">
        <v>63</v>
      </c>
      <c r="E2977" t="s">
        <v>26</v>
      </c>
      <c r="F2977" t="s">
        <v>83</v>
      </c>
      <c r="G2977" t="s">
        <v>84</v>
      </c>
      <c r="H2977" t="s">
        <v>85</v>
      </c>
      <c r="I2977" t="s">
        <v>30</v>
      </c>
      <c r="J2977" t="s">
        <v>166</v>
      </c>
      <c r="K2977" t="s">
        <v>78</v>
      </c>
      <c r="L2977" t="s">
        <v>46</v>
      </c>
      <c r="M2977" t="s">
        <v>87</v>
      </c>
      <c r="N2977" t="s">
        <v>35</v>
      </c>
      <c r="O2977" t="s">
        <v>70</v>
      </c>
      <c r="P2977" t="s">
        <v>49</v>
      </c>
      <c r="Q2977" t="s">
        <v>106</v>
      </c>
      <c r="R2977">
        <v>210</v>
      </c>
      <c r="S2977">
        <v>120</v>
      </c>
      <c r="T2977">
        <v>95</v>
      </c>
      <c r="U2977">
        <v>31</v>
      </c>
      <c r="V2977" t="s">
        <v>6350</v>
      </c>
      <c r="W2977">
        <v>56848</v>
      </c>
      <c r="X2977" t="s">
        <v>7144</v>
      </c>
      <c r="Y2977">
        <v>41862</v>
      </c>
      <c r="Z2977">
        <v>1762288</v>
      </c>
      <c r="AA2977">
        <v>464566</v>
      </c>
      <c r="AB2977" t="str">
        <f>(VLOOKUP(SalesData[[#This Row],[Month Number]],Reference!C$5:E$16,2,FALSE))</f>
        <v>Feb</v>
      </c>
      <c r="AC2977">
        <f>MONTH(SalesData[[#This Row],[Date]])</f>
        <v>2</v>
      </c>
      <c r="AD2977">
        <f>Reference!F$4</f>
        <v>2026</v>
      </c>
      <c r="AE2977" t="str">
        <f>IF(OR(SalesData[[#This Row],[Day]]="Saturday",SalesData[[#This Row],[Day]]="Sunday"),"Weekend","Weekday")</f>
        <v>Weekday</v>
      </c>
      <c r="AF2977" s="5">
        <f>IF(SalesData[[#This Row],[Contracts Offered]]=0,0,SalesData[[#This Row],[Contracts Signed]]/SalesData[[#This Row],[Contracts Offered]])</f>
        <v>0.32631578947368423</v>
      </c>
      <c r="AG2977" s="5">
        <f>IF(SalesData[[#This Row],[Customers Visited]]=0,0,SalesData[[#This Row],[Test Drives]]/SalesData[[#This Row],[Customers Visited]])</f>
        <v>0.5714285714285714</v>
      </c>
      <c r="AH2977" s="5">
        <f>IF(SalesData[[#This Row],[Customers Visited]]=0,0,SalesData[[#This Row],[Contracts Signed]]/SalesData[[#This Row],[Customers Visited]])</f>
        <v>0.14761904761904762</v>
      </c>
      <c r="AI2977" s="6">
        <f>IF(SalesData[[#This Row],[Contracts Signed]]=0,0,SalesData[[#This Row],[Profit(€)]]/SalesData[[#This Row],[Contracts Signed]])</f>
        <v>14986</v>
      </c>
      <c r="AJ2977" s="5" t="str">
        <f>TRIM(CLEAN(SalesData[[#This Row],[Retailer]]))</f>
        <v>Hannover Cars</v>
      </c>
    </row>
    <row r="2978" spans="1:36" ht="14.25" hidden="1" x14ac:dyDescent="0.2">
      <c r="A2978" t="s">
        <v>4125</v>
      </c>
      <c r="B2978" s="1">
        <v>46080</v>
      </c>
      <c r="C2978" t="s">
        <v>53</v>
      </c>
      <c r="D2978" t="s">
        <v>54</v>
      </c>
      <c r="E2978" t="s">
        <v>26</v>
      </c>
      <c r="F2978" t="s">
        <v>94</v>
      </c>
      <c r="G2978" t="s">
        <v>95</v>
      </c>
      <c r="H2978" t="s">
        <v>96</v>
      </c>
      <c r="I2978" t="s">
        <v>56</v>
      </c>
      <c r="J2978" t="s">
        <v>137</v>
      </c>
      <c r="K2978" t="s">
        <v>32</v>
      </c>
      <c r="L2978" t="s">
        <v>46</v>
      </c>
      <c r="M2978" t="s">
        <v>47</v>
      </c>
      <c r="N2978" t="s">
        <v>69</v>
      </c>
      <c r="O2978" t="s">
        <v>70</v>
      </c>
      <c r="P2978" t="s">
        <v>37</v>
      </c>
      <c r="Q2978" t="s">
        <v>135</v>
      </c>
      <c r="R2978">
        <v>267</v>
      </c>
      <c r="S2978">
        <v>126</v>
      </c>
      <c r="T2978">
        <v>87</v>
      </c>
      <c r="U2978">
        <v>31</v>
      </c>
      <c r="V2978" t="s">
        <v>6897</v>
      </c>
      <c r="W2978">
        <v>54815</v>
      </c>
      <c r="X2978" t="s">
        <v>5094</v>
      </c>
      <c r="Y2978">
        <v>44498</v>
      </c>
      <c r="Z2978">
        <v>1699265</v>
      </c>
      <c r="AA2978">
        <v>319827</v>
      </c>
      <c r="AB2978" t="str">
        <f>(VLOOKUP(SalesData[[#This Row],[Month Number]],Reference!C$5:E$16,2,FALSE))</f>
        <v>Feb</v>
      </c>
      <c r="AC2978">
        <f>MONTH(SalesData[[#This Row],[Date]])</f>
        <v>2</v>
      </c>
      <c r="AD2978">
        <f>Reference!F$4</f>
        <v>2026</v>
      </c>
      <c r="AE2978" t="str">
        <f>IF(OR(SalesData[[#This Row],[Day]]="Saturday",SalesData[[#This Row],[Day]]="Sunday"),"Weekend","Weekday")</f>
        <v>Weekday</v>
      </c>
      <c r="AF2978" s="5">
        <f>IF(SalesData[[#This Row],[Contracts Offered]]=0,0,SalesData[[#This Row],[Contracts Signed]]/SalesData[[#This Row],[Contracts Offered]])</f>
        <v>0.35632183908045978</v>
      </c>
      <c r="AG2978" s="5">
        <f>IF(SalesData[[#This Row],[Customers Visited]]=0,0,SalesData[[#This Row],[Test Drives]]/SalesData[[#This Row],[Customers Visited]])</f>
        <v>0.47191011235955055</v>
      </c>
      <c r="AH2978" s="5">
        <f>IF(SalesData[[#This Row],[Customers Visited]]=0,0,SalesData[[#This Row],[Contracts Signed]]/SalesData[[#This Row],[Customers Visited]])</f>
        <v>0.11610486891385768</v>
      </c>
      <c r="AI2978" s="6">
        <f>IF(SalesData[[#This Row],[Contracts Signed]]=0,0,SalesData[[#This Row],[Profit(€)]]/SalesData[[#This Row],[Contracts Signed]])</f>
        <v>10317</v>
      </c>
      <c r="AJ2978" s="5" t="str">
        <f>TRIM(CLEAN(SalesData[[#This Row],[Retailer]]))</f>
        <v>Bavaria Motors</v>
      </c>
    </row>
    <row r="2979" spans="1:36" ht="14.25" x14ac:dyDescent="0.2">
      <c r="A2979" t="s">
        <v>4126</v>
      </c>
      <c r="B2979" s="1">
        <v>46080</v>
      </c>
      <c r="C2979" t="s">
        <v>53</v>
      </c>
      <c r="D2979" t="s">
        <v>54</v>
      </c>
      <c r="E2979" t="s">
        <v>26</v>
      </c>
      <c r="F2979" t="s">
        <v>83</v>
      </c>
      <c r="G2979" t="s">
        <v>84</v>
      </c>
      <c r="H2979" t="s">
        <v>85</v>
      </c>
      <c r="I2979" t="s">
        <v>30</v>
      </c>
      <c r="J2979" t="s">
        <v>7075</v>
      </c>
      <c r="K2979" t="s">
        <v>66</v>
      </c>
      <c r="L2979" t="s">
        <v>33</v>
      </c>
      <c r="M2979" t="s">
        <v>34</v>
      </c>
      <c r="N2979" t="s">
        <v>35</v>
      </c>
      <c r="O2979" t="s">
        <v>70</v>
      </c>
      <c r="P2979" t="s">
        <v>49</v>
      </c>
      <c r="Q2979" t="s">
        <v>144</v>
      </c>
      <c r="R2979">
        <v>156</v>
      </c>
      <c r="S2979">
        <v>89</v>
      </c>
      <c r="T2979">
        <v>68</v>
      </c>
      <c r="U2979">
        <v>21</v>
      </c>
      <c r="V2979" t="s">
        <v>6487</v>
      </c>
      <c r="W2979">
        <v>58133</v>
      </c>
      <c r="X2979" t="s">
        <v>7299</v>
      </c>
      <c r="Y2979">
        <v>43937</v>
      </c>
      <c r="Z2979">
        <v>1220793</v>
      </c>
      <c r="AA2979">
        <v>298116</v>
      </c>
      <c r="AB2979" t="str">
        <f>(VLOOKUP(SalesData[[#This Row],[Month Number]],Reference!C$5:E$16,2,FALSE))</f>
        <v>Feb</v>
      </c>
      <c r="AC2979">
        <f>MONTH(SalesData[[#This Row],[Date]])</f>
        <v>2</v>
      </c>
      <c r="AD2979">
        <f>Reference!F$4</f>
        <v>2026</v>
      </c>
      <c r="AE2979" t="str">
        <f>IF(OR(SalesData[[#This Row],[Day]]="Saturday",SalesData[[#This Row],[Day]]="Sunday"),"Weekend","Weekday")</f>
        <v>Weekday</v>
      </c>
      <c r="AF2979" s="5">
        <f>IF(SalesData[[#This Row],[Contracts Offered]]=0,0,SalesData[[#This Row],[Contracts Signed]]/SalesData[[#This Row],[Contracts Offered]])</f>
        <v>0.30882352941176472</v>
      </c>
      <c r="AG2979" s="5">
        <f>IF(SalesData[[#This Row],[Customers Visited]]=0,0,SalesData[[#This Row],[Test Drives]]/SalesData[[#This Row],[Customers Visited]])</f>
        <v>0.57051282051282048</v>
      </c>
      <c r="AH2979" s="5">
        <f>IF(SalesData[[#This Row],[Customers Visited]]=0,0,SalesData[[#This Row],[Contracts Signed]]/SalesData[[#This Row],[Customers Visited]])</f>
        <v>0.13461538461538461</v>
      </c>
      <c r="AI2979" s="6">
        <f>IF(SalesData[[#This Row],[Contracts Signed]]=0,0,SalesData[[#This Row],[Profit(€)]]/SalesData[[#This Row],[Contracts Signed]])</f>
        <v>14196</v>
      </c>
      <c r="AJ2979" s="5" t="str">
        <f>TRIM(CLEAN(SalesData[[#This Row],[Retailer]]))</f>
        <v>Hannover Cars</v>
      </c>
    </row>
    <row r="2980" spans="1:36" ht="14.25" hidden="1" x14ac:dyDescent="0.2">
      <c r="A2980" t="s">
        <v>4127</v>
      </c>
      <c r="B2980" s="1">
        <v>46057</v>
      </c>
      <c r="C2980" t="s">
        <v>24</v>
      </c>
      <c r="D2980" t="s">
        <v>82</v>
      </c>
      <c r="E2980" t="s">
        <v>26</v>
      </c>
      <c r="F2980" t="s">
        <v>114</v>
      </c>
      <c r="G2980" t="s">
        <v>115</v>
      </c>
      <c r="H2980" t="s">
        <v>115</v>
      </c>
      <c r="I2980" t="s">
        <v>116</v>
      </c>
      <c r="J2980" t="s">
        <v>203</v>
      </c>
      <c r="K2980" t="s">
        <v>66</v>
      </c>
      <c r="L2980" t="s">
        <v>67</v>
      </c>
      <c r="M2980" t="s">
        <v>34</v>
      </c>
      <c r="N2980" t="s">
        <v>69</v>
      </c>
      <c r="O2980" t="s">
        <v>36</v>
      </c>
      <c r="P2980" t="s">
        <v>71</v>
      </c>
      <c r="Q2980" t="s">
        <v>38</v>
      </c>
      <c r="R2980">
        <v>256</v>
      </c>
      <c r="S2980">
        <v>138</v>
      </c>
      <c r="T2980">
        <v>93</v>
      </c>
      <c r="U2980">
        <v>28</v>
      </c>
      <c r="V2980" t="s">
        <v>6999</v>
      </c>
      <c r="W2980">
        <v>26451</v>
      </c>
      <c r="X2980" t="s">
        <v>7428</v>
      </c>
      <c r="Y2980">
        <v>23724</v>
      </c>
      <c r="Z2980">
        <v>740628</v>
      </c>
      <c r="AA2980">
        <v>76356</v>
      </c>
      <c r="AB2980" t="str">
        <f>(VLOOKUP(SalesData[[#This Row],[Month Number]],Reference!C$5:E$16,2,FALSE))</f>
        <v>Feb</v>
      </c>
      <c r="AC2980">
        <f>MONTH(SalesData[[#This Row],[Date]])</f>
        <v>2</v>
      </c>
      <c r="AD2980">
        <f>Reference!F$4</f>
        <v>2026</v>
      </c>
      <c r="AE2980" t="str">
        <f>IF(OR(SalesData[[#This Row],[Day]]="Saturday",SalesData[[#This Row],[Day]]="Sunday"),"Weekend","Weekday")</f>
        <v>Weekday</v>
      </c>
      <c r="AF2980" s="5">
        <f>IF(SalesData[[#This Row],[Contracts Offered]]=0,0,SalesData[[#This Row],[Contracts Signed]]/SalesData[[#This Row],[Contracts Offered]])</f>
        <v>0.30107526881720431</v>
      </c>
      <c r="AG2980" s="5">
        <f>IF(SalesData[[#This Row],[Customers Visited]]=0,0,SalesData[[#This Row],[Test Drives]]/SalesData[[#This Row],[Customers Visited]])</f>
        <v>0.5390625</v>
      </c>
      <c r="AH2980" s="5">
        <f>IF(SalesData[[#This Row],[Customers Visited]]=0,0,SalesData[[#This Row],[Contracts Signed]]/SalesData[[#This Row],[Customers Visited]])</f>
        <v>0.109375</v>
      </c>
      <c r="AI2980" s="6">
        <f>IF(SalesData[[#This Row],[Contracts Signed]]=0,0,SalesData[[#This Row],[Profit(€)]]/SalesData[[#This Row],[Contracts Signed]])</f>
        <v>2727</v>
      </c>
      <c r="AJ2980" s="5" t="str">
        <f>TRIM(CLEAN(SalesData[[#This Row],[Retailer]]))</f>
        <v>Elbe Drive</v>
      </c>
    </row>
    <row r="2981" spans="1:36" ht="14.25" hidden="1" x14ac:dyDescent="0.2">
      <c r="A2981" t="s">
        <v>4128</v>
      </c>
      <c r="B2981" s="1">
        <v>46077</v>
      </c>
      <c r="C2981" t="s">
        <v>53</v>
      </c>
      <c r="D2981" t="s">
        <v>63</v>
      </c>
      <c r="E2981" t="s">
        <v>26</v>
      </c>
      <c r="F2981" t="s">
        <v>114</v>
      </c>
      <c r="G2981" t="s">
        <v>115</v>
      </c>
      <c r="H2981" t="s">
        <v>115</v>
      </c>
      <c r="I2981" t="s">
        <v>116</v>
      </c>
      <c r="J2981" t="s">
        <v>7026</v>
      </c>
      <c r="K2981" t="s">
        <v>66</v>
      </c>
      <c r="L2981" t="s">
        <v>46</v>
      </c>
      <c r="M2981" t="s">
        <v>68</v>
      </c>
      <c r="N2981" t="s">
        <v>35</v>
      </c>
      <c r="O2981" t="s">
        <v>36</v>
      </c>
      <c r="P2981" t="s">
        <v>49</v>
      </c>
      <c r="Q2981" t="s">
        <v>158</v>
      </c>
      <c r="R2981">
        <v>400</v>
      </c>
      <c r="S2981">
        <v>168</v>
      </c>
      <c r="T2981">
        <v>96</v>
      </c>
      <c r="U2981">
        <v>25</v>
      </c>
      <c r="V2981" t="s">
        <v>2480</v>
      </c>
      <c r="W2981">
        <v>19933</v>
      </c>
      <c r="X2981" t="s">
        <v>1295</v>
      </c>
      <c r="Y2981">
        <v>17812</v>
      </c>
      <c r="Z2981">
        <v>498325</v>
      </c>
      <c r="AA2981">
        <v>53025</v>
      </c>
      <c r="AB2981" t="str">
        <f>(VLOOKUP(SalesData[[#This Row],[Month Number]],Reference!C$5:E$16,2,FALSE))</f>
        <v>Feb</v>
      </c>
      <c r="AC2981">
        <f>MONTH(SalesData[[#This Row],[Date]])</f>
        <v>2</v>
      </c>
      <c r="AD2981">
        <f>Reference!F$4</f>
        <v>2026</v>
      </c>
      <c r="AE2981" t="str">
        <f>IF(OR(SalesData[[#This Row],[Day]]="Saturday",SalesData[[#This Row],[Day]]="Sunday"),"Weekend","Weekday")</f>
        <v>Weekday</v>
      </c>
      <c r="AF2981" s="5">
        <f>IF(SalesData[[#This Row],[Contracts Offered]]=0,0,SalesData[[#This Row],[Contracts Signed]]/SalesData[[#This Row],[Contracts Offered]])</f>
        <v>0.26041666666666669</v>
      </c>
      <c r="AG2981" s="5">
        <f>IF(SalesData[[#This Row],[Customers Visited]]=0,0,SalesData[[#This Row],[Test Drives]]/SalesData[[#This Row],[Customers Visited]])</f>
        <v>0.42</v>
      </c>
      <c r="AH2981" s="5">
        <f>IF(SalesData[[#This Row],[Customers Visited]]=0,0,SalesData[[#This Row],[Contracts Signed]]/SalesData[[#This Row],[Customers Visited]])</f>
        <v>6.25E-2</v>
      </c>
      <c r="AI2981" s="6">
        <f>IF(SalesData[[#This Row],[Contracts Signed]]=0,0,SalesData[[#This Row],[Profit(€)]]/SalesData[[#This Row],[Contracts Signed]])</f>
        <v>2121</v>
      </c>
      <c r="AJ2981" s="5" t="str">
        <f>TRIM(CLEAN(SalesData[[#This Row],[Retailer]]))</f>
        <v>Elbe Drive</v>
      </c>
    </row>
    <row r="2982" spans="1:36" ht="14.25" x14ac:dyDescent="0.2">
      <c r="A2982" t="s">
        <v>4129</v>
      </c>
      <c r="B2982" s="1">
        <v>46065</v>
      </c>
      <c r="C2982" t="s">
        <v>121</v>
      </c>
      <c r="D2982" t="s">
        <v>100</v>
      </c>
      <c r="E2982" t="s">
        <v>26</v>
      </c>
      <c r="F2982" t="s">
        <v>7649</v>
      </c>
      <c r="G2982" t="s">
        <v>55</v>
      </c>
      <c r="H2982" t="s">
        <v>55</v>
      </c>
      <c r="I2982" t="s">
        <v>30</v>
      </c>
      <c r="J2982" t="s">
        <v>86</v>
      </c>
      <c r="K2982" t="s">
        <v>78</v>
      </c>
      <c r="L2982" t="s">
        <v>33</v>
      </c>
      <c r="M2982" t="s">
        <v>47</v>
      </c>
      <c r="N2982" t="s">
        <v>48</v>
      </c>
      <c r="O2982" t="s">
        <v>70</v>
      </c>
      <c r="P2982" t="s">
        <v>71</v>
      </c>
      <c r="Q2982" t="s">
        <v>169</v>
      </c>
      <c r="R2982">
        <v>163</v>
      </c>
      <c r="S2982">
        <v>91</v>
      </c>
      <c r="T2982">
        <v>73</v>
      </c>
      <c r="U2982">
        <v>27</v>
      </c>
      <c r="V2982" t="s">
        <v>6763</v>
      </c>
      <c r="W2982">
        <v>54975</v>
      </c>
      <c r="X2982" t="s">
        <v>876</v>
      </c>
      <c r="Y2982">
        <v>38798</v>
      </c>
      <c r="Z2982">
        <v>1484325</v>
      </c>
      <c r="AA2982">
        <v>436779</v>
      </c>
      <c r="AB2982" t="str">
        <f>(VLOOKUP(SalesData[[#This Row],[Month Number]],Reference!C$5:E$16,2,FALSE))</f>
        <v>Feb</v>
      </c>
      <c r="AC2982">
        <f>MONTH(SalesData[[#This Row],[Date]])</f>
        <v>2</v>
      </c>
      <c r="AD2982">
        <f>Reference!F$4</f>
        <v>2026</v>
      </c>
      <c r="AE2982" t="str">
        <f>IF(OR(SalesData[[#This Row],[Day]]="Saturday",SalesData[[#This Row],[Day]]="Sunday"),"Weekend","Weekday")</f>
        <v>Weekday</v>
      </c>
      <c r="AF2982" s="5">
        <f>IF(SalesData[[#This Row],[Contracts Offered]]=0,0,SalesData[[#This Row],[Contracts Signed]]/SalesData[[#This Row],[Contracts Offered]])</f>
        <v>0.36986301369863012</v>
      </c>
      <c r="AG2982" s="5">
        <f>IF(SalesData[[#This Row],[Customers Visited]]=0,0,SalesData[[#This Row],[Test Drives]]/SalesData[[#This Row],[Customers Visited]])</f>
        <v>0.55828220858895705</v>
      </c>
      <c r="AH2982" s="5">
        <f>IF(SalesData[[#This Row],[Customers Visited]]=0,0,SalesData[[#This Row],[Contracts Signed]]/SalesData[[#This Row],[Customers Visited]])</f>
        <v>0.16564417177914109</v>
      </c>
      <c r="AI2982" s="6">
        <f>IF(SalesData[[#This Row],[Contracts Signed]]=0,0,SalesData[[#This Row],[Profit(€)]]/SalesData[[#This Row],[Contracts Signed]])</f>
        <v>16177</v>
      </c>
      <c r="AJ2982" s="5" t="str">
        <f>TRIM(CLEAN(SalesData[[#This Row],[Retailer]]))</f>
        <v>Autohaus Berlin</v>
      </c>
    </row>
    <row r="2983" spans="1:36" ht="14.25" hidden="1" x14ac:dyDescent="0.2">
      <c r="A2983" t="s">
        <v>4130</v>
      </c>
      <c r="B2983" s="1">
        <v>46063</v>
      </c>
      <c r="C2983" t="s">
        <v>121</v>
      </c>
      <c r="D2983" t="s">
        <v>63</v>
      </c>
      <c r="E2983" t="s">
        <v>26</v>
      </c>
      <c r="F2983" t="s">
        <v>127</v>
      </c>
      <c r="G2983" t="s">
        <v>128</v>
      </c>
      <c r="H2983" t="s">
        <v>103</v>
      </c>
      <c r="I2983" t="s">
        <v>64</v>
      </c>
      <c r="J2983" t="s">
        <v>111</v>
      </c>
      <c r="K2983" t="s">
        <v>78</v>
      </c>
      <c r="L2983" t="s">
        <v>46</v>
      </c>
      <c r="M2983" t="s">
        <v>34</v>
      </c>
      <c r="N2983" t="s">
        <v>48</v>
      </c>
      <c r="O2983" t="s">
        <v>70</v>
      </c>
      <c r="P2983" t="s">
        <v>37</v>
      </c>
      <c r="Q2983" t="s">
        <v>240</v>
      </c>
      <c r="R2983">
        <v>237</v>
      </c>
      <c r="S2983">
        <v>136</v>
      </c>
      <c r="T2983">
        <v>91</v>
      </c>
      <c r="U2983">
        <v>31</v>
      </c>
      <c r="V2983" t="s">
        <v>6874</v>
      </c>
      <c r="W2983">
        <v>53922</v>
      </c>
      <c r="X2983" t="s">
        <v>7138</v>
      </c>
      <c r="Y2983">
        <v>40377</v>
      </c>
      <c r="Z2983">
        <v>1671582</v>
      </c>
      <c r="AA2983">
        <v>419895</v>
      </c>
      <c r="AB2983" t="str">
        <f>(VLOOKUP(SalesData[[#This Row],[Month Number]],Reference!C$5:E$16,2,FALSE))</f>
        <v>Feb</v>
      </c>
      <c r="AC2983">
        <f>MONTH(SalesData[[#This Row],[Date]])</f>
        <v>2</v>
      </c>
      <c r="AD2983">
        <f>Reference!F$4</f>
        <v>2026</v>
      </c>
      <c r="AE2983" t="str">
        <f>IF(OR(SalesData[[#This Row],[Day]]="Saturday",SalesData[[#This Row],[Day]]="Sunday"),"Weekend","Weekday")</f>
        <v>Weekday</v>
      </c>
      <c r="AF2983" s="5">
        <f>IF(SalesData[[#This Row],[Contracts Offered]]=0,0,SalesData[[#This Row],[Contracts Signed]]/SalesData[[#This Row],[Contracts Offered]])</f>
        <v>0.34065934065934067</v>
      </c>
      <c r="AG2983" s="5">
        <f>IF(SalesData[[#This Row],[Customers Visited]]=0,0,SalesData[[#This Row],[Test Drives]]/SalesData[[#This Row],[Customers Visited]])</f>
        <v>0.57383966244725737</v>
      </c>
      <c r="AH2983" s="5">
        <f>IF(SalesData[[#This Row],[Customers Visited]]=0,0,SalesData[[#This Row],[Contracts Signed]]/SalesData[[#This Row],[Customers Visited]])</f>
        <v>0.13080168776371309</v>
      </c>
      <c r="AI2983" s="6">
        <f>IF(SalesData[[#This Row],[Contracts Signed]]=0,0,SalesData[[#This Row],[Profit(€)]]/SalesData[[#This Row],[Contracts Signed]])</f>
        <v>13545</v>
      </c>
      <c r="AJ2983" s="5" t="str">
        <f>TRIM(CLEAN(SalesData[[#This Row],[Retailer]]))</f>
        <v>Rhein Auto Group</v>
      </c>
    </row>
    <row r="2984" spans="1:36" ht="14.25" hidden="1" x14ac:dyDescent="0.2">
      <c r="A2984" t="s">
        <v>4131</v>
      </c>
      <c r="B2984" s="1">
        <v>46071</v>
      </c>
      <c r="C2984" t="s">
        <v>62</v>
      </c>
      <c r="D2984" t="s">
        <v>82</v>
      </c>
      <c r="E2984" t="s">
        <v>26</v>
      </c>
      <c r="F2984" t="s">
        <v>43</v>
      </c>
      <c r="G2984" t="s">
        <v>44</v>
      </c>
      <c r="H2984" t="s">
        <v>45</v>
      </c>
      <c r="I2984" t="s">
        <v>56</v>
      </c>
      <c r="J2984" t="s">
        <v>97</v>
      </c>
      <c r="K2984" t="s">
        <v>32</v>
      </c>
      <c r="L2984" t="s">
        <v>33</v>
      </c>
      <c r="M2984" t="s">
        <v>68</v>
      </c>
      <c r="N2984" t="s">
        <v>35</v>
      </c>
      <c r="O2984" t="s">
        <v>36</v>
      </c>
      <c r="P2984" t="s">
        <v>49</v>
      </c>
      <c r="Q2984" t="s">
        <v>88</v>
      </c>
      <c r="R2984">
        <v>233</v>
      </c>
      <c r="S2984">
        <v>118</v>
      </c>
      <c r="T2984">
        <v>86</v>
      </c>
      <c r="U2984">
        <v>23</v>
      </c>
      <c r="V2984" t="s">
        <v>2768</v>
      </c>
      <c r="W2984">
        <v>45309</v>
      </c>
      <c r="X2984" t="s">
        <v>7343</v>
      </c>
      <c r="Y2984">
        <v>33997</v>
      </c>
      <c r="Z2984">
        <v>1042107</v>
      </c>
      <c r="AA2984">
        <v>260176</v>
      </c>
      <c r="AB2984" t="str">
        <f>(VLOOKUP(SalesData[[#This Row],[Month Number]],Reference!C$5:E$16,2,FALSE))</f>
        <v>Feb</v>
      </c>
      <c r="AC2984">
        <f>MONTH(SalesData[[#This Row],[Date]])</f>
        <v>2</v>
      </c>
      <c r="AD2984">
        <f>Reference!F$4</f>
        <v>2026</v>
      </c>
      <c r="AE2984" t="str">
        <f>IF(OR(SalesData[[#This Row],[Day]]="Saturday",SalesData[[#This Row],[Day]]="Sunday"),"Weekend","Weekday")</f>
        <v>Weekday</v>
      </c>
      <c r="AF2984" s="5">
        <f>IF(SalesData[[#This Row],[Contracts Offered]]=0,0,SalesData[[#This Row],[Contracts Signed]]/SalesData[[#This Row],[Contracts Offered]])</f>
        <v>0.26744186046511625</v>
      </c>
      <c r="AG2984" s="5">
        <f>IF(SalesData[[#This Row],[Customers Visited]]=0,0,SalesData[[#This Row],[Test Drives]]/SalesData[[#This Row],[Customers Visited]])</f>
        <v>0.50643776824034337</v>
      </c>
      <c r="AH2984" s="5">
        <f>IF(SalesData[[#This Row],[Customers Visited]]=0,0,SalesData[[#This Row],[Contracts Signed]]/SalesData[[#This Row],[Customers Visited]])</f>
        <v>9.8712446351931327E-2</v>
      </c>
      <c r="AI2984" s="6">
        <f>IF(SalesData[[#This Row],[Contracts Signed]]=0,0,SalesData[[#This Row],[Profit(€)]]/SalesData[[#This Row],[Contracts Signed]])</f>
        <v>11312</v>
      </c>
      <c r="AJ2984" s="5" t="str">
        <f>TRIM(CLEAN(SalesData[[#This Row],[Retailer]]))</f>
        <v>Saxon Wheels</v>
      </c>
    </row>
    <row r="2985" spans="1:36" ht="14.25" x14ac:dyDescent="0.2">
      <c r="A2985" t="s">
        <v>4132</v>
      </c>
      <c r="B2985" s="1">
        <v>46065</v>
      </c>
      <c r="C2985" t="s">
        <v>121</v>
      </c>
      <c r="D2985" t="s">
        <v>100</v>
      </c>
      <c r="E2985" t="s">
        <v>26</v>
      </c>
      <c r="F2985" t="s">
        <v>83</v>
      </c>
      <c r="G2985" t="s">
        <v>84</v>
      </c>
      <c r="H2985" t="s">
        <v>85</v>
      </c>
      <c r="I2985" t="s">
        <v>30</v>
      </c>
      <c r="J2985" t="s">
        <v>7075</v>
      </c>
      <c r="K2985" t="s">
        <v>32</v>
      </c>
      <c r="L2985" t="s">
        <v>33</v>
      </c>
      <c r="M2985" t="s">
        <v>68</v>
      </c>
      <c r="N2985" t="s">
        <v>48</v>
      </c>
      <c r="O2985" t="s">
        <v>36</v>
      </c>
      <c r="P2985" t="s">
        <v>58</v>
      </c>
      <c r="Q2985" t="s">
        <v>79</v>
      </c>
      <c r="R2985">
        <v>149</v>
      </c>
      <c r="S2985">
        <v>91</v>
      </c>
      <c r="T2985">
        <v>70</v>
      </c>
      <c r="U2985">
        <v>30</v>
      </c>
      <c r="V2985" t="s">
        <v>7576</v>
      </c>
      <c r="W2985">
        <v>60772</v>
      </c>
      <c r="X2985" t="s">
        <v>7283</v>
      </c>
      <c r="Y2985">
        <v>47013</v>
      </c>
      <c r="Z2985">
        <v>1823160</v>
      </c>
      <c r="AA2985">
        <v>412770</v>
      </c>
      <c r="AB2985" t="str">
        <f>(VLOOKUP(SalesData[[#This Row],[Month Number]],Reference!C$5:E$16,2,FALSE))</f>
        <v>Feb</v>
      </c>
      <c r="AC2985">
        <f>MONTH(SalesData[[#This Row],[Date]])</f>
        <v>2</v>
      </c>
      <c r="AD2985">
        <f>Reference!F$4</f>
        <v>2026</v>
      </c>
      <c r="AE2985" t="str">
        <f>IF(OR(SalesData[[#This Row],[Day]]="Saturday",SalesData[[#This Row],[Day]]="Sunday"),"Weekend","Weekday")</f>
        <v>Weekday</v>
      </c>
      <c r="AF2985" s="5">
        <f>IF(SalesData[[#This Row],[Contracts Offered]]=0,0,SalesData[[#This Row],[Contracts Signed]]/SalesData[[#This Row],[Contracts Offered]])</f>
        <v>0.42857142857142855</v>
      </c>
      <c r="AG2985" s="5">
        <f>IF(SalesData[[#This Row],[Customers Visited]]=0,0,SalesData[[#This Row],[Test Drives]]/SalesData[[#This Row],[Customers Visited]])</f>
        <v>0.61073825503355705</v>
      </c>
      <c r="AH2985" s="5">
        <f>IF(SalesData[[#This Row],[Customers Visited]]=0,0,SalesData[[#This Row],[Contracts Signed]]/SalesData[[#This Row],[Customers Visited]])</f>
        <v>0.20134228187919462</v>
      </c>
      <c r="AI2985" s="6">
        <f>IF(SalesData[[#This Row],[Contracts Signed]]=0,0,SalesData[[#This Row],[Profit(€)]]/SalesData[[#This Row],[Contracts Signed]])</f>
        <v>13759</v>
      </c>
      <c r="AJ2985" s="5" t="str">
        <f>TRIM(CLEAN(SalesData[[#This Row],[Retailer]]))</f>
        <v>Hannover Cars</v>
      </c>
    </row>
    <row r="2986" spans="1:36" ht="14.25" x14ac:dyDescent="0.2">
      <c r="A2986" t="s">
        <v>4133</v>
      </c>
      <c r="B2986" s="1">
        <v>46071</v>
      </c>
      <c r="C2986" t="s">
        <v>62</v>
      </c>
      <c r="D2986" t="s">
        <v>82</v>
      </c>
      <c r="E2986" t="s">
        <v>26</v>
      </c>
      <c r="F2986" t="s">
        <v>27</v>
      </c>
      <c r="G2986" t="s">
        <v>28</v>
      </c>
      <c r="H2986" t="s">
        <v>29</v>
      </c>
      <c r="I2986" t="s">
        <v>30</v>
      </c>
      <c r="J2986" t="s">
        <v>166</v>
      </c>
      <c r="K2986" t="s">
        <v>91</v>
      </c>
      <c r="L2986" t="s">
        <v>46</v>
      </c>
      <c r="M2986" t="s">
        <v>68</v>
      </c>
      <c r="N2986" t="s">
        <v>48</v>
      </c>
      <c r="O2986" t="s">
        <v>70</v>
      </c>
      <c r="P2986" t="s">
        <v>49</v>
      </c>
      <c r="Q2986" t="s">
        <v>38</v>
      </c>
      <c r="R2986">
        <v>204</v>
      </c>
      <c r="S2986">
        <v>103</v>
      </c>
      <c r="T2986">
        <v>80</v>
      </c>
      <c r="U2986">
        <v>24</v>
      </c>
      <c r="V2986" t="s">
        <v>6562</v>
      </c>
      <c r="W2986">
        <v>58034</v>
      </c>
      <c r="X2986" t="s">
        <v>7501</v>
      </c>
      <c r="Y2986">
        <v>44695</v>
      </c>
      <c r="Z2986">
        <v>1392816</v>
      </c>
      <c r="AA2986">
        <v>320136</v>
      </c>
      <c r="AB2986" t="str">
        <f>(VLOOKUP(SalesData[[#This Row],[Month Number]],Reference!C$5:E$16,2,FALSE))</f>
        <v>Feb</v>
      </c>
      <c r="AC2986">
        <f>MONTH(SalesData[[#This Row],[Date]])</f>
        <v>2</v>
      </c>
      <c r="AD2986">
        <f>Reference!F$4</f>
        <v>2026</v>
      </c>
      <c r="AE2986" t="str">
        <f>IF(OR(SalesData[[#This Row],[Day]]="Saturday",SalesData[[#This Row],[Day]]="Sunday"),"Weekend","Weekday")</f>
        <v>Weekday</v>
      </c>
      <c r="AF2986" s="5">
        <f>IF(SalesData[[#This Row],[Contracts Offered]]=0,0,SalesData[[#This Row],[Contracts Signed]]/SalesData[[#This Row],[Contracts Offered]])</f>
        <v>0.3</v>
      </c>
      <c r="AG2986" s="5">
        <f>IF(SalesData[[#This Row],[Customers Visited]]=0,0,SalesData[[#This Row],[Test Drives]]/SalesData[[#This Row],[Customers Visited]])</f>
        <v>0.50490196078431371</v>
      </c>
      <c r="AH2986" s="5">
        <f>IF(SalesData[[#This Row],[Customers Visited]]=0,0,SalesData[[#This Row],[Contracts Signed]]/SalesData[[#This Row],[Customers Visited]])</f>
        <v>0.11764705882352941</v>
      </c>
      <c r="AI2986" s="6">
        <f>IF(SalesData[[#This Row],[Contracts Signed]]=0,0,SalesData[[#This Row],[Profit(€)]]/SalesData[[#This Row],[Contracts Signed]])</f>
        <v>13339</v>
      </c>
      <c r="AJ2986" s="5" t="str">
        <f>TRIM(CLEAN(SalesData[[#This Row],[Retailer]]))</f>
        <v>Main Auto Hub</v>
      </c>
    </row>
    <row r="2987" spans="1:36" ht="14.25" hidden="1" x14ac:dyDescent="0.2">
      <c r="A2987" t="s">
        <v>4135</v>
      </c>
      <c r="B2987" s="1">
        <v>46078</v>
      </c>
      <c r="C2987" t="s">
        <v>53</v>
      </c>
      <c r="D2987" t="s">
        <v>82</v>
      </c>
      <c r="E2987" t="s">
        <v>26</v>
      </c>
      <c r="F2987" t="s">
        <v>94</v>
      </c>
      <c r="G2987" t="s">
        <v>95</v>
      </c>
      <c r="H2987" t="s">
        <v>96</v>
      </c>
      <c r="I2987" t="s">
        <v>56</v>
      </c>
      <c r="J2987" t="s">
        <v>179</v>
      </c>
      <c r="K2987" t="s">
        <v>66</v>
      </c>
      <c r="L2987" t="s">
        <v>67</v>
      </c>
      <c r="M2987" t="s">
        <v>47</v>
      </c>
      <c r="N2987" t="s">
        <v>35</v>
      </c>
      <c r="O2987" t="s">
        <v>70</v>
      </c>
      <c r="P2987" t="s">
        <v>49</v>
      </c>
      <c r="Q2987" t="s">
        <v>135</v>
      </c>
      <c r="R2987">
        <v>173</v>
      </c>
      <c r="S2987">
        <v>105</v>
      </c>
      <c r="T2987">
        <v>68</v>
      </c>
      <c r="U2987">
        <v>24</v>
      </c>
      <c r="V2987" t="s">
        <v>6537</v>
      </c>
      <c r="W2987">
        <v>51553</v>
      </c>
      <c r="X2987" t="s">
        <v>7225</v>
      </c>
      <c r="Y2987">
        <v>41609</v>
      </c>
      <c r="Z2987">
        <v>1237272</v>
      </c>
      <c r="AA2987">
        <v>238656</v>
      </c>
      <c r="AB2987" t="str">
        <f>(VLOOKUP(SalesData[[#This Row],[Month Number]],Reference!C$5:E$16,2,FALSE))</f>
        <v>Feb</v>
      </c>
      <c r="AC2987">
        <f>MONTH(SalesData[[#This Row],[Date]])</f>
        <v>2</v>
      </c>
      <c r="AD2987">
        <f>Reference!F$4</f>
        <v>2026</v>
      </c>
      <c r="AE2987" t="str">
        <f>IF(OR(SalesData[[#This Row],[Day]]="Saturday",SalesData[[#This Row],[Day]]="Sunday"),"Weekend","Weekday")</f>
        <v>Weekday</v>
      </c>
      <c r="AF2987" s="5">
        <f>IF(SalesData[[#This Row],[Contracts Offered]]=0,0,SalesData[[#This Row],[Contracts Signed]]/SalesData[[#This Row],[Contracts Offered]])</f>
        <v>0.35294117647058826</v>
      </c>
      <c r="AG2987" s="5">
        <f>IF(SalesData[[#This Row],[Customers Visited]]=0,0,SalesData[[#This Row],[Test Drives]]/SalesData[[#This Row],[Customers Visited]])</f>
        <v>0.60693641618497107</v>
      </c>
      <c r="AH2987" s="5">
        <f>IF(SalesData[[#This Row],[Customers Visited]]=0,0,SalesData[[#This Row],[Contracts Signed]]/SalesData[[#This Row],[Customers Visited]])</f>
        <v>0.13872832369942195</v>
      </c>
      <c r="AI2987" s="6">
        <f>IF(SalesData[[#This Row],[Contracts Signed]]=0,0,SalesData[[#This Row],[Profit(€)]]/SalesData[[#This Row],[Contracts Signed]])</f>
        <v>9944</v>
      </c>
      <c r="AJ2987" s="5" t="str">
        <f>TRIM(CLEAN(SalesData[[#This Row],[Retailer]]))</f>
        <v>Bavaria Motors</v>
      </c>
    </row>
    <row r="2988" spans="1:36" ht="14.25" hidden="1" x14ac:dyDescent="0.2">
      <c r="A2988" t="s">
        <v>4136</v>
      </c>
      <c r="B2988" s="1">
        <v>46075</v>
      </c>
      <c r="C2988" t="s">
        <v>53</v>
      </c>
      <c r="D2988" t="s">
        <v>41</v>
      </c>
      <c r="E2988" t="s">
        <v>42</v>
      </c>
      <c r="F2988" t="s">
        <v>109</v>
      </c>
      <c r="G2988" t="s">
        <v>110</v>
      </c>
      <c r="H2988" t="s">
        <v>45</v>
      </c>
      <c r="I2988" t="s">
        <v>64</v>
      </c>
      <c r="J2988" t="s">
        <v>65</v>
      </c>
      <c r="K2988" t="s">
        <v>78</v>
      </c>
      <c r="L2988" t="s">
        <v>33</v>
      </c>
      <c r="M2988" t="s">
        <v>87</v>
      </c>
      <c r="N2988" t="s">
        <v>35</v>
      </c>
      <c r="O2988" t="s">
        <v>70</v>
      </c>
      <c r="P2988" t="s">
        <v>58</v>
      </c>
      <c r="Q2988" t="s">
        <v>158</v>
      </c>
      <c r="R2988">
        <v>272</v>
      </c>
      <c r="S2988">
        <v>131</v>
      </c>
      <c r="T2988">
        <v>98</v>
      </c>
      <c r="U2988">
        <v>32</v>
      </c>
      <c r="V2988" t="s">
        <v>6380</v>
      </c>
      <c r="W2988">
        <v>49620</v>
      </c>
      <c r="X2988" t="s">
        <v>1680</v>
      </c>
      <c r="Y2988">
        <v>38587</v>
      </c>
      <c r="Z2988">
        <v>1587840</v>
      </c>
      <c r="AA2988">
        <v>353056</v>
      </c>
      <c r="AB2988" t="str">
        <f>(VLOOKUP(SalesData[[#This Row],[Month Number]],Reference!C$5:E$16,2,FALSE))</f>
        <v>Feb</v>
      </c>
      <c r="AC2988">
        <f>MONTH(SalesData[[#This Row],[Date]])</f>
        <v>2</v>
      </c>
      <c r="AD2988">
        <f>Reference!F$4</f>
        <v>2026</v>
      </c>
      <c r="AE2988" t="str">
        <f>IF(OR(SalesData[[#This Row],[Day]]="Saturday",SalesData[[#This Row],[Day]]="Sunday"),"Weekend","Weekday")</f>
        <v>Weekend</v>
      </c>
      <c r="AF2988" s="5">
        <f>IF(SalesData[[#This Row],[Contracts Offered]]=0,0,SalesData[[#This Row],[Contracts Signed]]/SalesData[[#This Row],[Contracts Offered]])</f>
        <v>0.32653061224489793</v>
      </c>
      <c r="AG2988" s="5">
        <f>IF(SalesData[[#This Row],[Customers Visited]]=0,0,SalesData[[#This Row],[Test Drives]]/SalesData[[#This Row],[Customers Visited]])</f>
        <v>0.48161764705882354</v>
      </c>
      <c r="AH2988" s="5">
        <f>IF(SalesData[[#This Row],[Customers Visited]]=0,0,SalesData[[#This Row],[Contracts Signed]]/SalesData[[#This Row],[Customers Visited]])</f>
        <v>0.11764705882352941</v>
      </c>
      <c r="AI2988" s="6">
        <f>IF(SalesData[[#This Row],[Contracts Signed]]=0,0,SalesData[[#This Row],[Profit(€)]]/SalesData[[#This Row],[Contracts Signed]])</f>
        <v>11033</v>
      </c>
      <c r="AJ2988" s="5" t="str">
        <f>TRIM(CLEAN(SalesData[[#This Row],[Retailer]]))</f>
        <v>Leipzig Mobility</v>
      </c>
    </row>
    <row r="2989" spans="1:36" ht="14.25" hidden="1" x14ac:dyDescent="0.2">
      <c r="A2989" t="s">
        <v>4137</v>
      </c>
      <c r="B2989" s="1">
        <v>46067</v>
      </c>
      <c r="C2989" t="s">
        <v>121</v>
      </c>
      <c r="D2989" t="s">
        <v>151</v>
      </c>
      <c r="E2989" t="s">
        <v>42</v>
      </c>
      <c r="F2989" t="s">
        <v>114</v>
      </c>
      <c r="G2989" t="s">
        <v>115</v>
      </c>
      <c r="H2989" t="s">
        <v>115</v>
      </c>
      <c r="I2989" t="s">
        <v>64</v>
      </c>
      <c r="J2989" t="s">
        <v>65</v>
      </c>
      <c r="K2989" t="s">
        <v>78</v>
      </c>
      <c r="L2989" t="s">
        <v>33</v>
      </c>
      <c r="M2989" t="s">
        <v>47</v>
      </c>
      <c r="N2989" t="s">
        <v>35</v>
      </c>
      <c r="O2989" t="s">
        <v>36</v>
      </c>
      <c r="P2989" t="s">
        <v>37</v>
      </c>
      <c r="Q2989" t="s">
        <v>169</v>
      </c>
      <c r="R2989">
        <v>201</v>
      </c>
      <c r="S2989">
        <v>105</v>
      </c>
      <c r="T2989">
        <v>73</v>
      </c>
      <c r="U2989">
        <v>23</v>
      </c>
      <c r="V2989" t="s">
        <v>6926</v>
      </c>
      <c r="W2989">
        <v>67174</v>
      </c>
      <c r="X2989" t="s">
        <v>7384</v>
      </c>
      <c r="Y2989">
        <v>51616</v>
      </c>
      <c r="Z2989">
        <v>1545002</v>
      </c>
      <c r="AA2989">
        <v>357834</v>
      </c>
      <c r="AB2989" t="str">
        <f>(VLOOKUP(SalesData[[#This Row],[Month Number]],Reference!C$5:E$16,2,FALSE))</f>
        <v>Feb</v>
      </c>
      <c r="AC2989">
        <f>MONTH(SalesData[[#This Row],[Date]])</f>
        <v>2</v>
      </c>
      <c r="AD2989">
        <f>Reference!F$4</f>
        <v>2026</v>
      </c>
      <c r="AE2989" t="str">
        <f>IF(OR(SalesData[[#This Row],[Day]]="Saturday",SalesData[[#This Row],[Day]]="Sunday"),"Weekend","Weekday")</f>
        <v>Weekend</v>
      </c>
      <c r="AF2989" s="5">
        <f>IF(SalesData[[#This Row],[Contracts Offered]]=0,0,SalesData[[#This Row],[Contracts Signed]]/SalesData[[#This Row],[Contracts Offered]])</f>
        <v>0.31506849315068491</v>
      </c>
      <c r="AG2989" s="5">
        <f>IF(SalesData[[#This Row],[Customers Visited]]=0,0,SalesData[[#This Row],[Test Drives]]/SalesData[[#This Row],[Customers Visited]])</f>
        <v>0.52238805970149249</v>
      </c>
      <c r="AH2989" s="5">
        <f>IF(SalesData[[#This Row],[Customers Visited]]=0,0,SalesData[[#This Row],[Contracts Signed]]/SalesData[[#This Row],[Customers Visited]])</f>
        <v>0.11442786069651742</v>
      </c>
      <c r="AI2989" s="6">
        <f>IF(SalesData[[#This Row],[Contracts Signed]]=0,0,SalesData[[#This Row],[Profit(€)]]/SalesData[[#This Row],[Contracts Signed]])</f>
        <v>15558</v>
      </c>
      <c r="AJ2989" s="5" t="str">
        <f>TRIM(CLEAN(SalesData[[#This Row],[Retailer]]))</f>
        <v>Elbe Drive</v>
      </c>
    </row>
    <row r="2990" spans="1:36" ht="14.25" hidden="1" x14ac:dyDescent="0.2">
      <c r="A2990" t="s">
        <v>4138</v>
      </c>
      <c r="B2990" s="1">
        <v>46056</v>
      </c>
      <c r="C2990" t="s">
        <v>24</v>
      </c>
      <c r="D2990" t="s">
        <v>63</v>
      </c>
      <c r="E2990" t="s">
        <v>26</v>
      </c>
      <c r="F2990" t="s">
        <v>94</v>
      </c>
      <c r="G2990" t="s">
        <v>95</v>
      </c>
      <c r="H2990" t="s">
        <v>96</v>
      </c>
      <c r="I2990" t="s">
        <v>56</v>
      </c>
      <c r="J2990" t="s">
        <v>97</v>
      </c>
      <c r="K2990" t="s">
        <v>91</v>
      </c>
      <c r="L2990" t="s">
        <v>33</v>
      </c>
      <c r="M2990" t="s">
        <v>34</v>
      </c>
      <c r="N2990" t="s">
        <v>35</v>
      </c>
      <c r="O2990" t="s">
        <v>70</v>
      </c>
      <c r="P2990" t="s">
        <v>71</v>
      </c>
      <c r="Q2990" t="s">
        <v>106</v>
      </c>
      <c r="R2990">
        <v>229</v>
      </c>
      <c r="S2990">
        <v>112</v>
      </c>
      <c r="T2990">
        <v>74</v>
      </c>
      <c r="U2990">
        <v>27</v>
      </c>
      <c r="V2990" t="s">
        <v>6400</v>
      </c>
      <c r="W2990">
        <v>41619</v>
      </c>
      <c r="X2990" t="s">
        <v>4990</v>
      </c>
      <c r="Y2990">
        <v>31633</v>
      </c>
      <c r="Z2990">
        <v>1123713</v>
      </c>
      <c r="AA2990">
        <v>269622</v>
      </c>
      <c r="AB2990" t="str">
        <f>(VLOOKUP(SalesData[[#This Row],[Month Number]],Reference!C$5:E$16,2,FALSE))</f>
        <v>Feb</v>
      </c>
      <c r="AC2990">
        <f>MONTH(SalesData[[#This Row],[Date]])</f>
        <v>2</v>
      </c>
      <c r="AD2990">
        <f>Reference!F$4</f>
        <v>2026</v>
      </c>
      <c r="AE2990" t="str">
        <f>IF(OR(SalesData[[#This Row],[Day]]="Saturday",SalesData[[#This Row],[Day]]="Sunday"),"Weekend","Weekday")</f>
        <v>Weekday</v>
      </c>
      <c r="AF2990" s="5">
        <f>IF(SalesData[[#This Row],[Contracts Offered]]=0,0,SalesData[[#This Row],[Contracts Signed]]/SalesData[[#This Row],[Contracts Offered]])</f>
        <v>0.36486486486486486</v>
      </c>
      <c r="AG2990" s="5">
        <f>IF(SalesData[[#This Row],[Customers Visited]]=0,0,SalesData[[#This Row],[Test Drives]]/SalesData[[#This Row],[Customers Visited]])</f>
        <v>0.48908296943231439</v>
      </c>
      <c r="AH2990" s="5">
        <f>IF(SalesData[[#This Row],[Customers Visited]]=0,0,SalesData[[#This Row],[Contracts Signed]]/SalesData[[#This Row],[Customers Visited]])</f>
        <v>0.11790393013100436</v>
      </c>
      <c r="AI2990" s="6">
        <f>IF(SalesData[[#This Row],[Contracts Signed]]=0,0,SalesData[[#This Row],[Profit(€)]]/SalesData[[#This Row],[Contracts Signed]])</f>
        <v>9986</v>
      </c>
      <c r="AJ2990" s="5" t="str">
        <f>TRIM(CLEAN(SalesData[[#This Row],[Retailer]]))</f>
        <v>Bavaria Motors</v>
      </c>
    </row>
    <row r="2991" spans="1:36" ht="14.25" hidden="1" x14ac:dyDescent="0.2">
      <c r="A2991" t="s">
        <v>4139</v>
      </c>
      <c r="B2991" s="1">
        <v>46074</v>
      </c>
      <c r="C2991" t="s">
        <v>62</v>
      </c>
      <c r="D2991" t="s">
        <v>151</v>
      </c>
      <c r="E2991" t="s">
        <v>42</v>
      </c>
      <c r="F2991" t="s">
        <v>94</v>
      </c>
      <c r="G2991" t="s">
        <v>95</v>
      </c>
      <c r="H2991" t="s">
        <v>96</v>
      </c>
      <c r="I2991" t="s">
        <v>116</v>
      </c>
      <c r="J2991" t="s">
        <v>117</v>
      </c>
      <c r="K2991" t="s">
        <v>32</v>
      </c>
      <c r="L2991" t="s">
        <v>67</v>
      </c>
      <c r="M2991" t="s">
        <v>34</v>
      </c>
      <c r="N2991" t="s">
        <v>69</v>
      </c>
      <c r="O2991" t="s">
        <v>36</v>
      </c>
      <c r="P2991" t="s">
        <v>71</v>
      </c>
      <c r="Q2991" t="s">
        <v>38</v>
      </c>
      <c r="R2991">
        <v>278</v>
      </c>
      <c r="S2991">
        <v>115</v>
      </c>
      <c r="T2991">
        <v>68</v>
      </c>
      <c r="U2991">
        <v>23</v>
      </c>
      <c r="V2991" t="s">
        <v>6410</v>
      </c>
      <c r="W2991">
        <v>24958</v>
      </c>
      <c r="X2991" t="s">
        <v>3453</v>
      </c>
      <c r="Y2991">
        <v>22564</v>
      </c>
      <c r="Z2991">
        <v>574034</v>
      </c>
      <c r="AA2991">
        <v>55062</v>
      </c>
      <c r="AB2991" t="str">
        <f>(VLOOKUP(SalesData[[#This Row],[Month Number]],Reference!C$5:E$16,2,FALSE))</f>
        <v>Feb</v>
      </c>
      <c r="AC2991">
        <f>MONTH(SalesData[[#This Row],[Date]])</f>
        <v>2</v>
      </c>
      <c r="AD2991">
        <f>Reference!F$4</f>
        <v>2026</v>
      </c>
      <c r="AE2991" t="str">
        <f>IF(OR(SalesData[[#This Row],[Day]]="Saturday",SalesData[[#This Row],[Day]]="Sunday"),"Weekend","Weekday")</f>
        <v>Weekend</v>
      </c>
      <c r="AF2991" s="5">
        <f>IF(SalesData[[#This Row],[Contracts Offered]]=0,0,SalesData[[#This Row],[Contracts Signed]]/SalesData[[#This Row],[Contracts Offered]])</f>
        <v>0.33823529411764708</v>
      </c>
      <c r="AG2991" s="5">
        <f>IF(SalesData[[#This Row],[Customers Visited]]=0,0,SalesData[[#This Row],[Test Drives]]/SalesData[[#This Row],[Customers Visited]])</f>
        <v>0.41366906474820142</v>
      </c>
      <c r="AH2991" s="5">
        <f>IF(SalesData[[#This Row],[Customers Visited]]=0,0,SalesData[[#This Row],[Contracts Signed]]/SalesData[[#This Row],[Customers Visited]])</f>
        <v>8.2733812949640287E-2</v>
      </c>
      <c r="AI2991" s="6">
        <f>IF(SalesData[[#This Row],[Contracts Signed]]=0,0,SalesData[[#This Row],[Profit(€)]]/SalesData[[#This Row],[Contracts Signed]])</f>
        <v>2394</v>
      </c>
      <c r="AJ2991" s="5" t="str">
        <f>TRIM(CLEAN(SalesData[[#This Row],[Retailer]]))</f>
        <v>Bavaria Motors</v>
      </c>
    </row>
    <row r="2992" spans="1:36" ht="14.25" x14ac:dyDescent="0.2">
      <c r="A2992" t="s">
        <v>4140</v>
      </c>
      <c r="B2992" s="1">
        <v>46071</v>
      </c>
      <c r="C2992" t="s">
        <v>62</v>
      </c>
      <c r="D2992" t="s">
        <v>82</v>
      </c>
      <c r="E2992" t="s">
        <v>26</v>
      </c>
      <c r="F2992" t="s">
        <v>127</v>
      </c>
      <c r="G2992" t="s">
        <v>128</v>
      </c>
      <c r="H2992" t="s">
        <v>103</v>
      </c>
      <c r="I2992" t="s">
        <v>30</v>
      </c>
      <c r="J2992" t="s">
        <v>188</v>
      </c>
      <c r="K2992" t="s">
        <v>32</v>
      </c>
      <c r="L2992" t="s">
        <v>33</v>
      </c>
      <c r="M2992" t="s">
        <v>87</v>
      </c>
      <c r="N2992" t="s">
        <v>48</v>
      </c>
      <c r="O2992" t="s">
        <v>70</v>
      </c>
      <c r="P2992" t="s">
        <v>49</v>
      </c>
      <c r="Q2992" t="s">
        <v>88</v>
      </c>
      <c r="R2992">
        <v>178</v>
      </c>
      <c r="S2992">
        <v>91</v>
      </c>
      <c r="T2992">
        <v>67</v>
      </c>
      <c r="U2992">
        <v>22</v>
      </c>
      <c r="V2992" t="s">
        <v>6510</v>
      </c>
      <c r="W2992">
        <v>55038</v>
      </c>
      <c r="X2992" t="s">
        <v>7240</v>
      </c>
      <c r="Y2992">
        <v>40593</v>
      </c>
      <c r="Z2992">
        <v>1210836</v>
      </c>
      <c r="AA2992">
        <v>317790</v>
      </c>
      <c r="AB2992" t="str">
        <f>(VLOOKUP(SalesData[[#This Row],[Month Number]],Reference!C$5:E$16,2,FALSE))</f>
        <v>Feb</v>
      </c>
      <c r="AC2992">
        <f>MONTH(SalesData[[#This Row],[Date]])</f>
        <v>2</v>
      </c>
      <c r="AD2992">
        <f>Reference!F$4</f>
        <v>2026</v>
      </c>
      <c r="AE2992" t="str">
        <f>IF(OR(SalesData[[#This Row],[Day]]="Saturday",SalesData[[#This Row],[Day]]="Sunday"),"Weekend","Weekday")</f>
        <v>Weekday</v>
      </c>
      <c r="AF2992" s="5">
        <f>IF(SalesData[[#This Row],[Contracts Offered]]=0,0,SalesData[[#This Row],[Contracts Signed]]/SalesData[[#This Row],[Contracts Offered]])</f>
        <v>0.32835820895522388</v>
      </c>
      <c r="AG2992" s="5">
        <f>IF(SalesData[[#This Row],[Customers Visited]]=0,0,SalesData[[#This Row],[Test Drives]]/SalesData[[#This Row],[Customers Visited]])</f>
        <v>0.5112359550561798</v>
      </c>
      <c r="AH2992" s="5">
        <f>IF(SalesData[[#This Row],[Customers Visited]]=0,0,SalesData[[#This Row],[Contracts Signed]]/SalesData[[#This Row],[Customers Visited]])</f>
        <v>0.12359550561797752</v>
      </c>
      <c r="AI2992" s="6">
        <f>IF(SalesData[[#This Row],[Contracts Signed]]=0,0,SalesData[[#This Row],[Profit(€)]]/SalesData[[#This Row],[Contracts Signed]])</f>
        <v>14445</v>
      </c>
      <c r="AJ2992" s="5" t="str">
        <f>TRIM(CLEAN(SalesData[[#This Row],[Retailer]]))</f>
        <v>Rhein Auto Group</v>
      </c>
    </row>
    <row r="2993" spans="1:36" ht="14.25" hidden="1" x14ac:dyDescent="0.2">
      <c r="A2993" t="s">
        <v>4141</v>
      </c>
      <c r="B2993" s="1">
        <v>46059</v>
      </c>
      <c r="C2993" t="s">
        <v>24</v>
      </c>
      <c r="D2993" t="s">
        <v>54</v>
      </c>
      <c r="E2993" t="s">
        <v>26</v>
      </c>
      <c r="F2993" t="s">
        <v>27</v>
      </c>
      <c r="G2993" t="s">
        <v>28</v>
      </c>
      <c r="H2993" t="s">
        <v>29</v>
      </c>
      <c r="I2993" t="s">
        <v>64</v>
      </c>
      <c r="J2993" t="s">
        <v>7029</v>
      </c>
      <c r="K2993" t="s">
        <v>78</v>
      </c>
      <c r="L2993" t="s">
        <v>33</v>
      </c>
      <c r="M2993" t="s">
        <v>87</v>
      </c>
      <c r="N2993" t="s">
        <v>69</v>
      </c>
      <c r="O2993" t="s">
        <v>36</v>
      </c>
      <c r="P2993" t="s">
        <v>71</v>
      </c>
      <c r="Q2993" t="s">
        <v>79</v>
      </c>
      <c r="R2993">
        <v>173</v>
      </c>
      <c r="S2993">
        <v>99</v>
      </c>
      <c r="T2993">
        <v>78</v>
      </c>
      <c r="U2993">
        <v>24</v>
      </c>
      <c r="V2993" t="s">
        <v>6429</v>
      </c>
      <c r="W2993">
        <v>68323</v>
      </c>
      <c r="X2993" t="s">
        <v>7577</v>
      </c>
      <c r="Y2993">
        <v>52275</v>
      </c>
      <c r="Z2993">
        <v>1639752</v>
      </c>
      <c r="AA2993">
        <v>385152</v>
      </c>
      <c r="AB2993" t="str">
        <f>(VLOOKUP(SalesData[[#This Row],[Month Number]],Reference!C$5:E$16,2,FALSE))</f>
        <v>Feb</v>
      </c>
      <c r="AC2993">
        <f>MONTH(SalesData[[#This Row],[Date]])</f>
        <v>2</v>
      </c>
      <c r="AD2993">
        <f>Reference!F$4</f>
        <v>2026</v>
      </c>
      <c r="AE2993" t="str">
        <f>IF(OR(SalesData[[#This Row],[Day]]="Saturday",SalesData[[#This Row],[Day]]="Sunday"),"Weekend","Weekday")</f>
        <v>Weekday</v>
      </c>
      <c r="AF2993" s="5">
        <f>IF(SalesData[[#This Row],[Contracts Offered]]=0,0,SalesData[[#This Row],[Contracts Signed]]/SalesData[[#This Row],[Contracts Offered]])</f>
        <v>0.30769230769230771</v>
      </c>
      <c r="AG2993" s="5">
        <f>IF(SalesData[[#This Row],[Customers Visited]]=0,0,SalesData[[#This Row],[Test Drives]]/SalesData[[#This Row],[Customers Visited]])</f>
        <v>0.5722543352601156</v>
      </c>
      <c r="AH2993" s="5">
        <f>IF(SalesData[[#This Row],[Customers Visited]]=0,0,SalesData[[#This Row],[Contracts Signed]]/SalesData[[#This Row],[Customers Visited]])</f>
        <v>0.13872832369942195</v>
      </c>
      <c r="AI2993" s="6">
        <f>IF(SalesData[[#This Row],[Contracts Signed]]=0,0,SalesData[[#This Row],[Profit(€)]]/SalesData[[#This Row],[Contracts Signed]])</f>
        <v>16048</v>
      </c>
      <c r="AJ2993" s="5" t="str">
        <f>TRIM(CLEAN(SalesData[[#This Row],[Retailer]]))</f>
        <v>Main Auto Hub</v>
      </c>
    </row>
    <row r="2994" spans="1:36" ht="14.25" x14ac:dyDescent="0.2">
      <c r="A2994" t="s">
        <v>4142</v>
      </c>
      <c r="B2994" s="1">
        <v>46067</v>
      </c>
      <c r="C2994" t="s">
        <v>121</v>
      </c>
      <c r="D2994" t="s">
        <v>151</v>
      </c>
      <c r="E2994" t="s">
        <v>42</v>
      </c>
      <c r="F2994" t="s">
        <v>7649</v>
      </c>
      <c r="G2994" t="s">
        <v>55</v>
      </c>
      <c r="H2994" t="s">
        <v>55</v>
      </c>
      <c r="I2994" t="s">
        <v>30</v>
      </c>
      <c r="J2994" t="s">
        <v>7075</v>
      </c>
      <c r="K2994" t="s">
        <v>78</v>
      </c>
      <c r="L2994" t="s">
        <v>33</v>
      </c>
      <c r="M2994" t="s">
        <v>47</v>
      </c>
      <c r="N2994" t="s">
        <v>48</v>
      </c>
      <c r="O2994" t="s">
        <v>36</v>
      </c>
      <c r="P2994" t="s">
        <v>49</v>
      </c>
      <c r="Q2994" t="s">
        <v>50</v>
      </c>
      <c r="R2994">
        <v>160</v>
      </c>
      <c r="S2994">
        <v>90</v>
      </c>
      <c r="T2994">
        <v>64</v>
      </c>
      <c r="U2994">
        <v>24</v>
      </c>
      <c r="V2994" t="s">
        <v>6388</v>
      </c>
      <c r="W2994">
        <v>68211</v>
      </c>
      <c r="X2994" t="s">
        <v>7074</v>
      </c>
      <c r="Y2994">
        <v>51677</v>
      </c>
      <c r="Z2994">
        <v>1637064</v>
      </c>
      <c r="AA2994">
        <v>396816</v>
      </c>
      <c r="AB2994" t="str">
        <f>(VLOOKUP(SalesData[[#This Row],[Month Number]],Reference!C$5:E$16,2,FALSE))</f>
        <v>Feb</v>
      </c>
      <c r="AC2994">
        <f>MONTH(SalesData[[#This Row],[Date]])</f>
        <v>2</v>
      </c>
      <c r="AD2994">
        <f>Reference!F$4</f>
        <v>2026</v>
      </c>
      <c r="AE2994" t="str">
        <f>IF(OR(SalesData[[#This Row],[Day]]="Saturday",SalesData[[#This Row],[Day]]="Sunday"),"Weekend","Weekday")</f>
        <v>Weekend</v>
      </c>
      <c r="AF2994" s="5">
        <f>IF(SalesData[[#This Row],[Contracts Offered]]=0,0,SalesData[[#This Row],[Contracts Signed]]/SalesData[[#This Row],[Contracts Offered]])</f>
        <v>0.375</v>
      </c>
      <c r="AG2994" s="5">
        <f>IF(SalesData[[#This Row],[Customers Visited]]=0,0,SalesData[[#This Row],[Test Drives]]/SalesData[[#This Row],[Customers Visited]])</f>
        <v>0.5625</v>
      </c>
      <c r="AH2994" s="5">
        <f>IF(SalesData[[#This Row],[Customers Visited]]=0,0,SalesData[[#This Row],[Contracts Signed]]/SalesData[[#This Row],[Customers Visited]])</f>
        <v>0.15</v>
      </c>
      <c r="AI2994" s="6">
        <f>IF(SalesData[[#This Row],[Contracts Signed]]=0,0,SalesData[[#This Row],[Profit(€)]]/SalesData[[#This Row],[Contracts Signed]])</f>
        <v>16534</v>
      </c>
      <c r="AJ2994" s="5" t="str">
        <f>TRIM(CLEAN(SalesData[[#This Row],[Retailer]]))</f>
        <v>Autohaus Berlin</v>
      </c>
    </row>
    <row r="2995" spans="1:36" ht="14.25" hidden="1" x14ac:dyDescent="0.2">
      <c r="A2995" t="s">
        <v>4143</v>
      </c>
      <c r="B2995" s="1">
        <v>46054</v>
      </c>
      <c r="C2995" t="s">
        <v>24</v>
      </c>
      <c r="D2995" t="s">
        <v>41</v>
      </c>
      <c r="E2995" t="s">
        <v>42</v>
      </c>
      <c r="F2995" t="s">
        <v>74</v>
      </c>
      <c r="G2995" t="s">
        <v>75</v>
      </c>
      <c r="H2995" t="s">
        <v>76</v>
      </c>
      <c r="I2995" t="s">
        <v>56</v>
      </c>
      <c r="J2995" t="s">
        <v>57</v>
      </c>
      <c r="K2995" t="s">
        <v>78</v>
      </c>
      <c r="L2995" t="s">
        <v>46</v>
      </c>
      <c r="M2995" t="s">
        <v>47</v>
      </c>
      <c r="N2995" t="s">
        <v>35</v>
      </c>
      <c r="O2995" t="s">
        <v>70</v>
      </c>
      <c r="P2995" t="s">
        <v>58</v>
      </c>
      <c r="Q2995" t="s">
        <v>118</v>
      </c>
      <c r="R2995">
        <v>187</v>
      </c>
      <c r="S2995">
        <v>99</v>
      </c>
      <c r="T2995">
        <v>68</v>
      </c>
      <c r="U2995">
        <v>27</v>
      </c>
      <c r="V2995" t="s">
        <v>6483</v>
      </c>
      <c r="W2995">
        <v>41877</v>
      </c>
      <c r="X2995" t="s">
        <v>80</v>
      </c>
      <c r="Y2995">
        <v>31654</v>
      </c>
      <c r="Z2995">
        <v>1130679</v>
      </c>
      <c r="AA2995">
        <v>276021</v>
      </c>
      <c r="AB2995" t="str">
        <f>(VLOOKUP(SalesData[[#This Row],[Month Number]],Reference!C$5:E$16,2,FALSE))</f>
        <v>Feb</v>
      </c>
      <c r="AC2995">
        <f>MONTH(SalesData[[#This Row],[Date]])</f>
        <v>2</v>
      </c>
      <c r="AD2995">
        <f>Reference!F$4</f>
        <v>2026</v>
      </c>
      <c r="AE2995" t="str">
        <f>IF(OR(SalesData[[#This Row],[Day]]="Saturday",SalesData[[#This Row],[Day]]="Sunday"),"Weekend","Weekday")</f>
        <v>Weekend</v>
      </c>
      <c r="AF2995" s="5">
        <f>IF(SalesData[[#This Row],[Contracts Offered]]=0,0,SalesData[[#This Row],[Contracts Signed]]/SalesData[[#This Row],[Contracts Offered]])</f>
        <v>0.39705882352941174</v>
      </c>
      <c r="AG2995" s="5">
        <f>IF(SalesData[[#This Row],[Customers Visited]]=0,0,SalesData[[#This Row],[Test Drives]]/SalesData[[#This Row],[Customers Visited]])</f>
        <v>0.52941176470588236</v>
      </c>
      <c r="AH2995" s="5">
        <f>IF(SalesData[[#This Row],[Customers Visited]]=0,0,SalesData[[#This Row],[Contracts Signed]]/SalesData[[#This Row],[Customers Visited]])</f>
        <v>0.14438502673796791</v>
      </c>
      <c r="AI2995" s="6">
        <f>IF(SalesData[[#This Row],[Contracts Signed]]=0,0,SalesData[[#This Row],[Profit(€)]]/SalesData[[#This Row],[Contracts Signed]])</f>
        <v>10223</v>
      </c>
      <c r="AJ2995" s="5" t="str">
        <f>TRIM(CLEAN(SalesData[[#This Row],[Retailer]]))</f>
        <v>Stuttgart Auto Center</v>
      </c>
    </row>
    <row r="2996" spans="1:36" ht="14.25" hidden="1" x14ac:dyDescent="0.2">
      <c r="A2996" t="s">
        <v>4144</v>
      </c>
      <c r="B2996" s="1">
        <v>46067</v>
      </c>
      <c r="C2996" t="s">
        <v>121</v>
      </c>
      <c r="D2996" t="s">
        <v>151</v>
      </c>
      <c r="E2996" t="s">
        <v>42</v>
      </c>
      <c r="F2996" t="s">
        <v>101</v>
      </c>
      <c r="G2996" t="s">
        <v>102</v>
      </c>
      <c r="H2996" t="s">
        <v>103</v>
      </c>
      <c r="I2996" t="s">
        <v>104</v>
      </c>
      <c r="J2996" t="s">
        <v>143</v>
      </c>
      <c r="K2996" t="s">
        <v>91</v>
      </c>
      <c r="L2996" t="s">
        <v>67</v>
      </c>
      <c r="M2996" t="s">
        <v>47</v>
      </c>
      <c r="N2996" t="s">
        <v>35</v>
      </c>
      <c r="O2996" t="s">
        <v>70</v>
      </c>
      <c r="P2996" t="s">
        <v>37</v>
      </c>
      <c r="Q2996" t="s">
        <v>118</v>
      </c>
      <c r="R2996">
        <v>403</v>
      </c>
      <c r="S2996">
        <v>163</v>
      </c>
      <c r="T2996">
        <v>94</v>
      </c>
      <c r="U2996">
        <v>17</v>
      </c>
      <c r="V2996" t="s">
        <v>1592</v>
      </c>
      <c r="W2996">
        <v>34872</v>
      </c>
      <c r="X2996" t="s">
        <v>3354</v>
      </c>
      <c r="Y2996">
        <v>30413</v>
      </c>
      <c r="Z2996">
        <v>592824</v>
      </c>
      <c r="AA2996">
        <v>75803</v>
      </c>
      <c r="AB2996" t="str">
        <f>(VLOOKUP(SalesData[[#This Row],[Month Number]],Reference!C$5:E$16,2,FALSE))</f>
        <v>Feb</v>
      </c>
      <c r="AC2996">
        <f>MONTH(SalesData[[#This Row],[Date]])</f>
        <v>2</v>
      </c>
      <c r="AD2996">
        <f>Reference!F$4</f>
        <v>2026</v>
      </c>
      <c r="AE2996" t="str">
        <f>IF(OR(SalesData[[#This Row],[Day]]="Saturday",SalesData[[#This Row],[Day]]="Sunday"),"Weekend","Weekday")</f>
        <v>Weekend</v>
      </c>
      <c r="AF2996" s="5">
        <f>IF(SalesData[[#This Row],[Contracts Offered]]=0,0,SalesData[[#This Row],[Contracts Signed]]/SalesData[[#This Row],[Contracts Offered]])</f>
        <v>0.18085106382978725</v>
      </c>
      <c r="AG2996" s="5">
        <f>IF(SalesData[[#This Row],[Customers Visited]]=0,0,SalesData[[#This Row],[Test Drives]]/SalesData[[#This Row],[Customers Visited]])</f>
        <v>0.40446650124069478</v>
      </c>
      <c r="AH2996" s="5">
        <f>IF(SalesData[[#This Row],[Customers Visited]]=0,0,SalesData[[#This Row],[Contracts Signed]]/SalesData[[#This Row],[Customers Visited]])</f>
        <v>4.2183622828784122E-2</v>
      </c>
      <c r="AI2996" s="6">
        <f>IF(SalesData[[#This Row],[Contracts Signed]]=0,0,SalesData[[#This Row],[Profit(€)]]/SalesData[[#This Row],[Contracts Signed]])</f>
        <v>4459</v>
      </c>
      <c r="AJ2996" s="5" t="str">
        <f>TRIM(CLEAN(SalesData[[#This Row],[Retailer]]))</f>
        <v>Ruhr Auto Plaza</v>
      </c>
    </row>
    <row r="2997" spans="1:36" ht="14.25" hidden="1" x14ac:dyDescent="0.2">
      <c r="A2997" t="s">
        <v>4146</v>
      </c>
      <c r="B2997" s="1">
        <v>46055</v>
      </c>
      <c r="C2997" t="s">
        <v>24</v>
      </c>
      <c r="D2997" t="s">
        <v>25</v>
      </c>
      <c r="E2997" t="s">
        <v>26</v>
      </c>
      <c r="F2997" t="s">
        <v>94</v>
      </c>
      <c r="G2997" t="s">
        <v>95</v>
      </c>
      <c r="H2997" t="s">
        <v>96</v>
      </c>
      <c r="I2997" t="s">
        <v>64</v>
      </c>
      <c r="J2997" t="s">
        <v>157</v>
      </c>
      <c r="K2997" t="s">
        <v>91</v>
      </c>
      <c r="L2997" t="s">
        <v>33</v>
      </c>
      <c r="M2997" t="s">
        <v>87</v>
      </c>
      <c r="N2997" t="s">
        <v>69</v>
      </c>
      <c r="O2997" t="s">
        <v>36</v>
      </c>
      <c r="P2997" t="s">
        <v>37</v>
      </c>
      <c r="Q2997" t="s">
        <v>158</v>
      </c>
      <c r="R2997">
        <v>174</v>
      </c>
      <c r="S2997">
        <v>103</v>
      </c>
      <c r="T2997">
        <v>69</v>
      </c>
      <c r="U2997">
        <v>25</v>
      </c>
      <c r="V2997" t="s">
        <v>6462</v>
      </c>
      <c r="W2997">
        <v>52683</v>
      </c>
      <c r="X2997" t="s">
        <v>7229</v>
      </c>
      <c r="Y2997">
        <v>41085</v>
      </c>
      <c r="Z2997">
        <v>1317075</v>
      </c>
      <c r="AA2997">
        <v>289950</v>
      </c>
      <c r="AB2997" t="str">
        <f>(VLOOKUP(SalesData[[#This Row],[Month Number]],Reference!C$5:E$16,2,FALSE))</f>
        <v>Feb</v>
      </c>
      <c r="AC2997">
        <f>MONTH(SalesData[[#This Row],[Date]])</f>
        <v>2</v>
      </c>
      <c r="AD2997">
        <f>Reference!F$4</f>
        <v>2026</v>
      </c>
      <c r="AE2997" t="str">
        <f>IF(OR(SalesData[[#This Row],[Day]]="Saturday",SalesData[[#This Row],[Day]]="Sunday"),"Weekend","Weekday")</f>
        <v>Weekday</v>
      </c>
      <c r="AF2997" s="5">
        <f>IF(SalesData[[#This Row],[Contracts Offered]]=0,0,SalesData[[#This Row],[Contracts Signed]]/SalesData[[#This Row],[Contracts Offered]])</f>
        <v>0.36231884057971014</v>
      </c>
      <c r="AG2997" s="5">
        <f>IF(SalesData[[#This Row],[Customers Visited]]=0,0,SalesData[[#This Row],[Test Drives]]/SalesData[[#This Row],[Customers Visited]])</f>
        <v>0.59195402298850575</v>
      </c>
      <c r="AH2997" s="5">
        <f>IF(SalesData[[#This Row],[Customers Visited]]=0,0,SalesData[[#This Row],[Contracts Signed]]/SalesData[[#This Row],[Customers Visited]])</f>
        <v>0.14367816091954022</v>
      </c>
      <c r="AI2997" s="6">
        <f>IF(SalesData[[#This Row],[Contracts Signed]]=0,0,SalesData[[#This Row],[Profit(€)]]/SalesData[[#This Row],[Contracts Signed]])</f>
        <v>11598</v>
      </c>
      <c r="AJ2997" s="5" t="str">
        <f>TRIM(CLEAN(SalesData[[#This Row],[Retailer]]))</f>
        <v>Bavaria Motors</v>
      </c>
    </row>
    <row r="2998" spans="1:36" ht="14.25" hidden="1" x14ac:dyDescent="0.2">
      <c r="A2998" t="s">
        <v>4147</v>
      </c>
      <c r="B2998" s="1">
        <v>46077</v>
      </c>
      <c r="C2998" t="s">
        <v>53</v>
      </c>
      <c r="D2998" t="s">
        <v>63</v>
      </c>
      <c r="E2998" t="s">
        <v>26</v>
      </c>
      <c r="F2998" t="s">
        <v>27</v>
      </c>
      <c r="G2998" t="s">
        <v>28</v>
      </c>
      <c r="H2998" t="s">
        <v>29</v>
      </c>
      <c r="I2998" t="s">
        <v>64</v>
      </c>
      <c r="J2998" t="s">
        <v>157</v>
      </c>
      <c r="K2998" t="s">
        <v>66</v>
      </c>
      <c r="L2998" t="s">
        <v>33</v>
      </c>
      <c r="M2998" t="s">
        <v>68</v>
      </c>
      <c r="N2998" t="s">
        <v>69</v>
      </c>
      <c r="O2998" t="s">
        <v>36</v>
      </c>
      <c r="P2998" t="s">
        <v>71</v>
      </c>
      <c r="Q2998" t="s">
        <v>172</v>
      </c>
      <c r="R2998">
        <v>176</v>
      </c>
      <c r="S2998">
        <v>95</v>
      </c>
      <c r="T2998">
        <v>68</v>
      </c>
      <c r="U2998">
        <v>24</v>
      </c>
      <c r="V2998" t="s">
        <v>6868</v>
      </c>
      <c r="W2998">
        <v>64533</v>
      </c>
      <c r="X2998" t="s">
        <v>7301</v>
      </c>
      <c r="Y2998">
        <v>49589</v>
      </c>
      <c r="Z2998">
        <v>1548792</v>
      </c>
      <c r="AA2998">
        <v>358656</v>
      </c>
      <c r="AB2998" t="str">
        <f>(VLOOKUP(SalesData[[#This Row],[Month Number]],Reference!C$5:E$16,2,FALSE))</f>
        <v>Feb</v>
      </c>
      <c r="AC2998">
        <f>MONTH(SalesData[[#This Row],[Date]])</f>
        <v>2</v>
      </c>
      <c r="AD2998">
        <f>Reference!F$4</f>
        <v>2026</v>
      </c>
      <c r="AE2998" t="str">
        <f>IF(OR(SalesData[[#This Row],[Day]]="Saturday",SalesData[[#This Row],[Day]]="Sunday"),"Weekend","Weekday")</f>
        <v>Weekday</v>
      </c>
      <c r="AF2998" s="5">
        <f>IF(SalesData[[#This Row],[Contracts Offered]]=0,0,SalesData[[#This Row],[Contracts Signed]]/SalesData[[#This Row],[Contracts Offered]])</f>
        <v>0.35294117647058826</v>
      </c>
      <c r="AG2998" s="5">
        <f>IF(SalesData[[#This Row],[Customers Visited]]=0,0,SalesData[[#This Row],[Test Drives]]/SalesData[[#This Row],[Customers Visited]])</f>
        <v>0.53977272727272729</v>
      </c>
      <c r="AH2998" s="5">
        <f>IF(SalesData[[#This Row],[Customers Visited]]=0,0,SalesData[[#This Row],[Contracts Signed]]/SalesData[[#This Row],[Customers Visited]])</f>
        <v>0.13636363636363635</v>
      </c>
      <c r="AI2998" s="6">
        <f>IF(SalesData[[#This Row],[Contracts Signed]]=0,0,SalesData[[#This Row],[Profit(€)]]/SalesData[[#This Row],[Contracts Signed]])</f>
        <v>14944</v>
      </c>
      <c r="AJ2998" s="5" t="str">
        <f>TRIM(CLEAN(SalesData[[#This Row],[Retailer]]))</f>
        <v>Main Auto Hub</v>
      </c>
    </row>
    <row r="2999" spans="1:36" ht="14.25" hidden="1" x14ac:dyDescent="0.2">
      <c r="A2999" t="s">
        <v>4148</v>
      </c>
      <c r="B2999" s="1">
        <v>46075</v>
      </c>
      <c r="C2999" t="s">
        <v>53</v>
      </c>
      <c r="D2999" t="s">
        <v>41</v>
      </c>
      <c r="E2999" t="s">
        <v>42</v>
      </c>
      <c r="F2999" t="s">
        <v>101</v>
      </c>
      <c r="G2999" t="s">
        <v>102</v>
      </c>
      <c r="H2999" t="s">
        <v>103</v>
      </c>
      <c r="I2999" t="s">
        <v>56</v>
      </c>
      <c r="J2999" t="s">
        <v>57</v>
      </c>
      <c r="K2999" t="s">
        <v>91</v>
      </c>
      <c r="L2999" t="s">
        <v>46</v>
      </c>
      <c r="M2999" t="s">
        <v>87</v>
      </c>
      <c r="N2999" t="s">
        <v>69</v>
      </c>
      <c r="O2999" t="s">
        <v>36</v>
      </c>
      <c r="P2999" t="s">
        <v>37</v>
      </c>
      <c r="Q2999" t="s">
        <v>169</v>
      </c>
      <c r="R2999">
        <v>221</v>
      </c>
      <c r="S2999">
        <v>105</v>
      </c>
      <c r="T2999">
        <v>69</v>
      </c>
      <c r="U2999">
        <v>19</v>
      </c>
      <c r="V2999" t="s">
        <v>743</v>
      </c>
      <c r="W2999">
        <v>55105</v>
      </c>
      <c r="X2999" t="s">
        <v>7160</v>
      </c>
      <c r="Y2999">
        <v>42472</v>
      </c>
      <c r="Z2999">
        <v>1046995</v>
      </c>
      <c r="AA2999">
        <v>240027</v>
      </c>
      <c r="AB2999" t="str">
        <f>(VLOOKUP(SalesData[[#This Row],[Month Number]],Reference!C$5:E$16,2,FALSE))</f>
        <v>Feb</v>
      </c>
      <c r="AC2999">
        <f>MONTH(SalesData[[#This Row],[Date]])</f>
        <v>2</v>
      </c>
      <c r="AD2999">
        <f>Reference!F$4</f>
        <v>2026</v>
      </c>
      <c r="AE2999" t="str">
        <f>IF(OR(SalesData[[#This Row],[Day]]="Saturday",SalesData[[#This Row],[Day]]="Sunday"),"Weekend","Weekday")</f>
        <v>Weekend</v>
      </c>
      <c r="AF2999" s="5">
        <f>IF(SalesData[[#This Row],[Contracts Offered]]=0,0,SalesData[[#This Row],[Contracts Signed]]/SalesData[[#This Row],[Contracts Offered]])</f>
        <v>0.27536231884057971</v>
      </c>
      <c r="AG2999" s="5">
        <f>IF(SalesData[[#This Row],[Customers Visited]]=0,0,SalesData[[#This Row],[Test Drives]]/SalesData[[#This Row],[Customers Visited]])</f>
        <v>0.47511312217194568</v>
      </c>
      <c r="AH2999" s="5">
        <f>IF(SalesData[[#This Row],[Customers Visited]]=0,0,SalesData[[#This Row],[Contracts Signed]]/SalesData[[#This Row],[Customers Visited]])</f>
        <v>8.5972850678733032E-2</v>
      </c>
      <c r="AI2999" s="6">
        <f>IF(SalesData[[#This Row],[Contracts Signed]]=0,0,SalesData[[#This Row],[Profit(€)]]/SalesData[[#This Row],[Contracts Signed]])</f>
        <v>12633</v>
      </c>
      <c r="AJ2999" s="5" t="str">
        <f>TRIM(CLEAN(SalesData[[#This Row],[Retailer]]))</f>
        <v>Ruhr Auto Plaza</v>
      </c>
    </row>
    <row r="3000" spans="1:36" ht="14.25" hidden="1" x14ac:dyDescent="0.2">
      <c r="A3000" t="s">
        <v>4149</v>
      </c>
      <c r="B3000" s="1">
        <v>46070</v>
      </c>
      <c r="C3000" t="s">
        <v>62</v>
      </c>
      <c r="D3000" t="s">
        <v>63</v>
      </c>
      <c r="E3000" t="s">
        <v>26</v>
      </c>
      <c r="F3000" t="s">
        <v>114</v>
      </c>
      <c r="G3000" t="s">
        <v>115</v>
      </c>
      <c r="H3000" t="s">
        <v>115</v>
      </c>
      <c r="I3000" t="s">
        <v>64</v>
      </c>
      <c r="J3000" t="s">
        <v>111</v>
      </c>
      <c r="K3000" t="s">
        <v>32</v>
      </c>
      <c r="L3000" t="s">
        <v>46</v>
      </c>
      <c r="M3000" t="s">
        <v>68</v>
      </c>
      <c r="N3000" t="s">
        <v>48</v>
      </c>
      <c r="O3000" t="s">
        <v>36</v>
      </c>
      <c r="P3000" t="s">
        <v>37</v>
      </c>
      <c r="Q3000" t="s">
        <v>347</v>
      </c>
      <c r="R3000">
        <v>153</v>
      </c>
      <c r="S3000">
        <v>76</v>
      </c>
      <c r="T3000">
        <v>51</v>
      </c>
      <c r="U3000">
        <v>19</v>
      </c>
      <c r="V3000" t="s">
        <v>6403</v>
      </c>
      <c r="W3000">
        <v>56314</v>
      </c>
      <c r="X3000" t="s">
        <v>7196</v>
      </c>
      <c r="Y3000">
        <v>42214</v>
      </c>
      <c r="Z3000">
        <v>1069966</v>
      </c>
      <c r="AA3000">
        <v>267900</v>
      </c>
      <c r="AB3000" t="str">
        <f>(VLOOKUP(SalesData[[#This Row],[Month Number]],Reference!C$5:E$16,2,FALSE))</f>
        <v>Feb</v>
      </c>
      <c r="AC3000">
        <f>MONTH(SalesData[[#This Row],[Date]])</f>
        <v>2</v>
      </c>
      <c r="AD3000">
        <f>Reference!F$4</f>
        <v>2026</v>
      </c>
      <c r="AE3000" t="str">
        <f>IF(OR(SalesData[[#This Row],[Day]]="Saturday",SalesData[[#This Row],[Day]]="Sunday"),"Weekend","Weekday")</f>
        <v>Weekday</v>
      </c>
      <c r="AF3000" s="5">
        <f>IF(SalesData[[#This Row],[Contracts Offered]]=0,0,SalesData[[#This Row],[Contracts Signed]]/SalesData[[#This Row],[Contracts Offered]])</f>
        <v>0.37254901960784315</v>
      </c>
      <c r="AG3000" s="5">
        <f>IF(SalesData[[#This Row],[Customers Visited]]=0,0,SalesData[[#This Row],[Test Drives]]/SalesData[[#This Row],[Customers Visited]])</f>
        <v>0.49673202614379086</v>
      </c>
      <c r="AH3000" s="5">
        <f>IF(SalesData[[#This Row],[Customers Visited]]=0,0,SalesData[[#This Row],[Contracts Signed]]/SalesData[[#This Row],[Customers Visited]])</f>
        <v>0.12418300653594772</v>
      </c>
      <c r="AI3000" s="6">
        <f>IF(SalesData[[#This Row],[Contracts Signed]]=0,0,SalesData[[#This Row],[Profit(€)]]/SalesData[[#This Row],[Contracts Signed]])</f>
        <v>14100</v>
      </c>
      <c r="AJ3000" s="5" t="str">
        <f>TRIM(CLEAN(SalesData[[#This Row],[Retailer]]))</f>
        <v>Elbe Drive</v>
      </c>
    </row>
    <row r="3001" spans="1:36" ht="14.25" hidden="1" x14ac:dyDescent="0.2">
      <c r="A3001" t="s">
        <v>4150</v>
      </c>
      <c r="B3001" s="1">
        <v>46081</v>
      </c>
      <c r="C3001" t="s">
        <v>53</v>
      </c>
      <c r="D3001" t="s">
        <v>151</v>
      </c>
      <c r="E3001" t="s">
        <v>42</v>
      </c>
      <c r="F3001" t="s">
        <v>101</v>
      </c>
      <c r="G3001" t="s">
        <v>102</v>
      </c>
      <c r="H3001" t="s">
        <v>103</v>
      </c>
      <c r="I3001" t="s">
        <v>64</v>
      </c>
      <c r="J3001" t="s">
        <v>111</v>
      </c>
      <c r="K3001" t="s">
        <v>91</v>
      </c>
      <c r="L3001" t="s">
        <v>46</v>
      </c>
      <c r="M3001" t="s">
        <v>47</v>
      </c>
      <c r="N3001" t="s">
        <v>69</v>
      </c>
      <c r="O3001" t="s">
        <v>70</v>
      </c>
      <c r="P3001" t="s">
        <v>49</v>
      </c>
      <c r="Q3001" t="s">
        <v>347</v>
      </c>
      <c r="R3001">
        <v>151</v>
      </c>
      <c r="S3001">
        <v>82</v>
      </c>
      <c r="T3001">
        <v>61</v>
      </c>
      <c r="U3001">
        <v>17</v>
      </c>
      <c r="V3001" t="s">
        <v>7498</v>
      </c>
      <c r="W3001">
        <v>62153</v>
      </c>
      <c r="X3001" t="s">
        <v>7385</v>
      </c>
      <c r="Y3001">
        <v>48540</v>
      </c>
      <c r="Z3001">
        <v>1056601</v>
      </c>
      <c r="AA3001">
        <v>231421</v>
      </c>
      <c r="AB3001" t="str">
        <f>(VLOOKUP(SalesData[[#This Row],[Month Number]],Reference!C$5:E$16,2,FALSE))</f>
        <v>Feb</v>
      </c>
      <c r="AC3001">
        <f>MONTH(SalesData[[#This Row],[Date]])</f>
        <v>2</v>
      </c>
      <c r="AD3001">
        <f>Reference!F$4</f>
        <v>2026</v>
      </c>
      <c r="AE3001" t="str">
        <f>IF(OR(SalesData[[#This Row],[Day]]="Saturday",SalesData[[#This Row],[Day]]="Sunday"),"Weekend","Weekday")</f>
        <v>Weekend</v>
      </c>
      <c r="AF3001" s="5">
        <f>IF(SalesData[[#This Row],[Contracts Offered]]=0,0,SalesData[[#This Row],[Contracts Signed]]/SalesData[[#This Row],[Contracts Offered]])</f>
        <v>0.27868852459016391</v>
      </c>
      <c r="AG3001" s="5">
        <f>IF(SalesData[[#This Row],[Customers Visited]]=0,0,SalesData[[#This Row],[Test Drives]]/SalesData[[#This Row],[Customers Visited]])</f>
        <v>0.54304635761589404</v>
      </c>
      <c r="AH3001" s="5">
        <f>IF(SalesData[[#This Row],[Customers Visited]]=0,0,SalesData[[#This Row],[Contracts Signed]]/SalesData[[#This Row],[Customers Visited]])</f>
        <v>0.11258278145695365</v>
      </c>
      <c r="AI3001" s="6">
        <f>IF(SalesData[[#This Row],[Contracts Signed]]=0,0,SalesData[[#This Row],[Profit(€)]]/SalesData[[#This Row],[Contracts Signed]])</f>
        <v>13613</v>
      </c>
      <c r="AJ3001" s="5" t="str">
        <f>TRIM(CLEAN(SalesData[[#This Row],[Retailer]]))</f>
        <v>Ruhr Auto Plaza</v>
      </c>
    </row>
    <row r="3002" spans="1:36" ht="14.25" x14ac:dyDescent="0.2">
      <c r="A3002" t="s">
        <v>4151</v>
      </c>
      <c r="B3002" s="1">
        <v>46077</v>
      </c>
      <c r="C3002" t="s">
        <v>53</v>
      </c>
      <c r="D3002" t="s">
        <v>63</v>
      </c>
      <c r="E3002" t="s">
        <v>26</v>
      </c>
      <c r="F3002" t="s">
        <v>83</v>
      </c>
      <c r="G3002" t="s">
        <v>84</v>
      </c>
      <c r="H3002" t="s">
        <v>85</v>
      </c>
      <c r="I3002" t="s">
        <v>30</v>
      </c>
      <c r="J3002" t="s">
        <v>188</v>
      </c>
      <c r="K3002" t="s">
        <v>66</v>
      </c>
      <c r="L3002" t="s">
        <v>33</v>
      </c>
      <c r="M3002" t="s">
        <v>47</v>
      </c>
      <c r="N3002" t="s">
        <v>48</v>
      </c>
      <c r="O3002" t="s">
        <v>70</v>
      </c>
      <c r="P3002" t="s">
        <v>71</v>
      </c>
      <c r="Q3002" t="s">
        <v>172</v>
      </c>
      <c r="R3002">
        <v>273</v>
      </c>
      <c r="S3002">
        <v>151</v>
      </c>
      <c r="T3002">
        <v>119</v>
      </c>
      <c r="U3002">
        <v>41</v>
      </c>
      <c r="V3002" t="s">
        <v>6637</v>
      </c>
      <c r="W3002">
        <v>60943</v>
      </c>
      <c r="X3002" t="s">
        <v>2561</v>
      </c>
      <c r="Y3002">
        <v>44539</v>
      </c>
      <c r="Z3002">
        <v>2498663</v>
      </c>
      <c r="AA3002">
        <v>672564</v>
      </c>
      <c r="AB3002" t="str">
        <f>(VLOOKUP(SalesData[[#This Row],[Month Number]],Reference!C$5:E$16,2,FALSE))</f>
        <v>Feb</v>
      </c>
      <c r="AC3002">
        <f>MONTH(SalesData[[#This Row],[Date]])</f>
        <v>2</v>
      </c>
      <c r="AD3002">
        <f>Reference!F$4</f>
        <v>2026</v>
      </c>
      <c r="AE3002" t="str">
        <f>IF(OR(SalesData[[#This Row],[Day]]="Saturday",SalesData[[#This Row],[Day]]="Sunday"),"Weekend","Weekday")</f>
        <v>Weekday</v>
      </c>
      <c r="AF3002" s="5">
        <f>IF(SalesData[[#This Row],[Contracts Offered]]=0,0,SalesData[[#This Row],[Contracts Signed]]/SalesData[[#This Row],[Contracts Offered]])</f>
        <v>0.34453781512605042</v>
      </c>
      <c r="AG3002" s="5">
        <f>IF(SalesData[[#This Row],[Customers Visited]]=0,0,SalesData[[#This Row],[Test Drives]]/SalesData[[#This Row],[Customers Visited]])</f>
        <v>0.55311355311355315</v>
      </c>
      <c r="AH3002" s="5">
        <f>IF(SalesData[[#This Row],[Customers Visited]]=0,0,SalesData[[#This Row],[Contracts Signed]]/SalesData[[#This Row],[Customers Visited]])</f>
        <v>0.15018315018315018</v>
      </c>
      <c r="AI3002" s="6">
        <f>IF(SalesData[[#This Row],[Contracts Signed]]=0,0,SalesData[[#This Row],[Profit(€)]]/SalesData[[#This Row],[Contracts Signed]])</f>
        <v>16404</v>
      </c>
      <c r="AJ3002" s="5" t="str">
        <f>TRIM(CLEAN(SalesData[[#This Row],[Retailer]]))</f>
        <v>Hannover Cars</v>
      </c>
    </row>
    <row r="3003" spans="1:36" ht="14.25" hidden="1" x14ac:dyDescent="0.2">
      <c r="A3003" t="s">
        <v>4152</v>
      </c>
      <c r="B3003" s="1">
        <v>46055</v>
      </c>
      <c r="C3003" t="s">
        <v>24</v>
      </c>
      <c r="D3003" t="s">
        <v>25</v>
      </c>
      <c r="E3003" t="s">
        <v>26</v>
      </c>
      <c r="F3003" t="s">
        <v>83</v>
      </c>
      <c r="G3003" t="s">
        <v>84</v>
      </c>
      <c r="H3003" t="s">
        <v>85</v>
      </c>
      <c r="I3003" t="s">
        <v>64</v>
      </c>
      <c r="J3003" t="s">
        <v>65</v>
      </c>
      <c r="K3003" t="s">
        <v>32</v>
      </c>
      <c r="L3003" t="s">
        <v>33</v>
      </c>
      <c r="M3003" t="s">
        <v>47</v>
      </c>
      <c r="N3003" t="s">
        <v>69</v>
      </c>
      <c r="O3003" t="s">
        <v>70</v>
      </c>
      <c r="P3003" t="s">
        <v>49</v>
      </c>
      <c r="Q3003" t="s">
        <v>172</v>
      </c>
      <c r="R3003">
        <v>204</v>
      </c>
      <c r="S3003">
        <v>118</v>
      </c>
      <c r="T3003">
        <v>91</v>
      </c>
      <c r="U3003">
        <v>26</v>
      </c>
      <c r="V3003" t="s">
        <v>6397</v>
      </c>
      <c r="W3003">
        <v>62700</v>
      </c>
      <c r="X3003" t="s">
        <v>7279</v>
      </c>
      <c r="Y3003">
        <v>45018</v>
      </c>
      <c r="Z3003">
        <v>1630200</v>
      </c>
      <c r="AA3003">
        <v>459732</v>
      </c>
      <c r="AB3003" t="str">
        <f>(VLOOKUP(SalesData[[#This Row],[Month Number]],Reference!C$5:E$16,2,FALSE))</f>
        <v>Feb</v>
      </c>
      <c r="AC3003">
        <f>MONTH(SalesData[[#This Row],[Date]])</f>
        <v>2</v>
      </c>
      <c r="AD3003">
        <f>Reference!F$4</f>
        <v>2026</v>
      </c>
      <c r="AE3003" t="str">
        <f>IF(OR(SalesData[[#This Row],[Day]]="Saturday",SalesData[[#This Row],[Day]]="Sunday"),"Weekend","Weekday")</f>
        <v>Weekday</v>
      </c>
      <c r="AF3003" s="5">
        <f>IF(SalesData[[#This Row],[Contracts Offered]]=0,0,SalesData[[#This Row],[Contracts Signed]]/SalesData[[#This Row],[Contracts Offered]])</f>
        <v>0.2857142857142857</v>
      </c>
      <c r="AG3003" s="5">
        <f>IF(SalesData[[#This Row],[Customers Visited]]=0,0,SalesData[[#This Row],[Test Drives]]/SalesData[[#This Row],[Customers Visited]])</f>
        <v>0.57843137254901966</v>
      </c>
      <c r="AH3003" s="5">
        <f>IF(SalesData[[#This Row],[Customers Visited]]=0,0,SalesData[[#This Row],[Contracts Signed]]/SalesData[[#This Row],[Customers Visited]])</f>
        <v>0.12745098039215685</v>
      </c>
      <c r="AI3003" s="6">
        <f>IF(SalesData[[#This Row],[Contracts Signed]]=0,0,SalesData[[#This Row],[Profit(€)]]/SalesData[[#This Row],[Contracts Signed]])</f>
        <v>17682</v>
      </c>
      <c r="AJ3003" s="5" t="str">
        <f>TRIM(CLEAN(SalesData[[#This Row],[Retailer]]))</f>
        <v>Hannover Cars</v>
      </c>
    </row>
    <row r="3004" spans="1:36" ht="14.25" hidden="1" x14ac:dyDescent="0.2">
      <c r="A3004" t="s">
        <v>4153</v>
      </c>
      <c r="B3004" s="1">
        <v>46062</v>
      </c>
      <c r="C3004" t="s">
        <v>121</v>
      </c>
      <c r="D3004" t="s">
        <v>25</v>
      </c>
      <c r="E3004" t="s">
        <v>26</v>
      </c>
      <c r="F3004" t="s">
        <v>74</v>
      </c>
      <c r="G3004" t="s">
        <v>75</v>
      </c>
      <c r="H3004" t="s">
        <v>76</v>
      </c>
      <c r="I3004" t="s">
        <v>64</v>
      </c>
      <c r="J3004" t="s">
        <v>111</v>
      </c>
      <c r="K3004" t="s">
        <v>32</v>
      </c>
      <c r="L3004" t="s">
        <v>46</v>
      </c>
      <c r="M3004" t="s">
        <v>68</v>
      </c>
      <c r="N3004" t="s">
        <v>69</v>
      </c>
      <c r="O3004" t="s">
        <v>70</v>
      </c>
      <c r="P3004" t="s">
        <v>71</v>
      </c>
      <c r="Q3004" t="s">
        <v>204</v>
      </c>
      <c r="R3004">
        <v>268</v>
      </c>
      <c r="S3004">
        <v>118</v>
      </c>
      <c r="T3004">
        <v>82</v>
      </c>
      <c r="U3004">
        <v>33</v>
      </c>
      <c r="V3004" t="s">
        <v>6793</v>
      </c>
      <c r="W3004">
        <v>66617</v>
      </c>
      <c r="X3004" t="s">
        <v>7354</v>
      </c>
      <c r="Y3004">
        <v>48883</v>
      </c>
      <c r="Z3004">
        <v>2198361</v>
      </c>
      <c r="AA3004">
        <v>585222</v>
      </c>
      <c r="AB3004" t="str">
        <f>(VLOOKUP(SalesData[[#This Row],[Month Number]],Reference!C$5:E$16,2,FALSE))</f>
        <v>Feb</v>
      </c>
      <c r="AC3004">
        <f>MONTH(SalesData[[#This Row],[Date]])</f>
        <v>2</v>
      </c>
      <c r="AD3004">
        <f>Reference!F$4</f>
        <v>2026</v>
      </c>
      <c r="AE3004" t="str">
        <f>IF(OR(SalesData[[#This Row],[Day]]="Saturday",SalesData[[#This Row],[Day]]="Sunday"),"Weekend","Weekday")</f>
        <v>Weekday</v>
      </c>
      <c r="AF3004" s="5">
        <f>IF(SalesData[[#This Row],[Contracts Offered]]=0,0,SalesData[[#This Row],[Contracts Signed]]/SalesData[[#This Row],[Contracts Offered]])</f>
        <v>0.40243902439024393</v>
      </c>
      <c r="AG3004" s="5">
        <f>IF(SalesData[[#This Row],[Customers Visited]]=0,0,SalesData[[#This Row],[Test Drives]]/SalesData[[#This Row],[Customers Visited]])</f>
        <v>0.44029850746268656</v>
      </c>
      <c r="AH3004" s="5">
        <f>IF(SalesData[[#This Row],[Customers Visited]]=0,0,SalesData[[#This Row],[Contracts Signed]]/SalesData[[#This Row],[Customers Visited]])</f>
        <v>0.12313432835820895</v>
      </c>
      <c r="AI3004" s="6">
        <f>IF(SalesData[[#This Row],[Contracts Signed]]=0,0,SalesData[[#This Row],[Profit(€)]]/SalesData[[#This Row],[Contracts Signed]])</f>
        <v>17734</v>
      </c>
      <c r="AJ3004" s="5" t="str">
        <f>TRIM(CLEAN(SalesData[[#This Row],[Retailer]]))</f>
        <v>Stuttgart Auto Center</v>
      </c>
    </row>
    <row r="3005" spans="1:36" ht="14.25" hidden="1" x14ac:dyDescent="0.2">
      <c r="A3005" t="s">
        <v>4154</v>
      </c>
      <c r="B3005" s="1">
        <v>46060</v>
      </c>
      <c r="C3005" t="s">
        <v>24</v>
      </c>
      <c r="D3005" t="s">
        <v>151</v>
      </c>
      <c r="E3005" t="s">
        <v>42</v>
      </c>
      <c r="F3005" t="s">
        <v>74</v>
      </c>
      <c r="G3005" t="s">
        <v>75</v>
      </c>
      <c r="H3005" t="s">
        <v>76</v>
      </c>
      <c r="I3005" t="s">
        <v>116</v>
      </c>
      <c r="J3005" t="s">
        <v>203</v>
      </c>
      <c r="K3005" t="s">
        <v>32</v>
      </c>
      <c r="L3005" t="s">
        <v>67</v>
      </c>
      <c r="M3005" t="s">
        <v>47</v>
      </c>
      <c r="N3005" t="s">
        <v>69</v>
      </c>
      <c r="O3005" t="s">
        <v>70</v>
      </c>
      <c r="P3005" t="s">
        <v>71</v>
      </c>
      <c r="Q3005" t="s">
        <v>169</v>
      </c>
      <c r="R3005">
        <v>241</v>
      </c>
      <c r="S3005">
        <v>121</v>
      </c>
      <c r="T3005">
        <v>84</v>
      </c>
      <c r="U3005">
        <v>21</v>
      </c>
      <c r="V3005" t="s">
        <v>2646</v>
      </c>
      <c r="W3005">
        <v>25386</v>
      </c>
      <c r="X3005" t="s">
        <v>7578</v>
      </c>
      <c r="Y3005">
        <v>22645</v>
      </c>
      <c r="Z3005">
        <v>533106</v>
      </c>
      <c r="AA3005">
        <v>57561</v>
      </c>
      <c r="AB3005" t="str">
        <f>(VLOOKUP(SalesData[[#This Row],[Month Number]],Reference!C$5:E$16,2,FALSE))</f>
        <v>Feb</v>
      </c>
      <c r="AC3005">
        <f>MONTH(SalesData[[#This Row],[Date]])</f>
        <v>2</v>
      </c>
      <c r="AD3005">
        <f>Reference!F$4</f>
        <v>2026</v>
      </c>
      <c r="AE3005" t="str">
        <f>IF(OR(SalesData[[#This Row],[Day]]="Saturday",SalesData[[#This Row],[Day]]="Sunday"),"Weekend","Weekday")</f>
        <v>Weekend</v>
      </c>
      <c r="AF3005" s="5">
        <f>IF(SalesData[[#This Row],[Contracts Offered]]=0,0,SalesData[[#This Row],[Contracts Signed]]/SalesData[[#This Row],[Contracts Offered]])</f>
        <v>0.25</v>
      </c>
      <c r="AG3005" s="5">
        <f>IF(SalesData[[#This Row],[Customers Visited]]=0,0,SalesData[[#This Row],[Test Drives]]/SalesData[[#This Row],[Customers Visited]])</f>
        <v>0.50207468879668049</v>
      </c>
      <c r="AH3005" s="5">
        <f>IF(SalesData[[#This Row],[Customers Visited]]=0,0,SalesData[[#This Row],[Contracts Signed]]/SalesData[[#This Row],[Customers Visited]])</f>
        <v>8.7136929460580909E-2</v>
      </c>
      <c r="AI3005" s="6">
        <f>IF(SalesData[[#This Row],[Contracts Signed]]=0,0,SalesData[[#This Row],[Profit(€)]]/SalesData[[#This Row],[Contracts Signed]])</f>
        <v>2741</v>
      </c>
      <c r="AJ3005" s="5" t="str">
        <f>TRIM(CLEAN(SalesData[[#This Row],[Retailer]]))</f>
        <v>Stuttgart Auto Center</v>
      </c>
    </row>
    <row r="3006" spans="1:36" ht="14.25" hidden="1" x14ac:dyDescent="0.2">
      <c r="A3006" t="s">
        <v>4156</v>
      </c>
      <c r="B3006" s="1">
        <v>46067</v>
      </c>
      <c r="C3006" t="s">
        <v>121</v>
      </c>
      <c r="D3006" t="s">
        <v>151</v>
      </c>
      <c r="E3006" t="s">
        <v>42</v>
      </c>
      <c r="F3006" t="s">
        <v>109</v>
      </c>
      <c r="G3006" t="s">
        <v>110</v>
      </c>
      <c r="H3006" t="s">
        <v>45</v>
      </c>
      <c r="I3006" t="s">
        <v>64</v>
      </c>
      <c r="J3006" t="s">
        <v>77</v>
      </c>
      <c r="K3006" t="s">
        <v>66</v>
      </c>
      <c r="L3006" t="s">
        <v>46</v>
      </c>
      <c r="M3006" t="s">
        <v>34</v>
      </c>
      <c r="N3006" t="s">
        <v>48</v>
      </c>
      <c r="O3006" t="s">
        <v>36</v>
      </c>
      <c r="P3006" t="s">
        <v>71</v>
      </c>
      <c r="Q3006" t="s">
        <v>204</v>
      </c>
      <c r="R3006">
        <v>155</v>
      </c>
      <c r="S3006">
        <v>77</v>
      </c>
      <c r="T3006">
        <v>51</v>
      </c>
      <c r="U3006">
        <v>18</v>
      </c>
      <c r="V3006" t="s">
        <v>6700</v>
      </c>
      <c r="W3006">
        <v>60593</v>
      </c>
      <c r="X3006" t="s">
        <v>3364</v>
      </c>
      <c r="Y3006">
        <v>45952</v>
      </c>
      <c r="Z3006">
        <v>1090674</v>
      </c>
      <c r="AA3006">
        <v>263538</v>
      </c>
      <c r="AB3006" t="str">
        <f>(VLOOKUP(SalesData[[#This Row],[Month Number]],Reference!C$5:E$16,2,FALSE))</f>
        <v>Feb</v>
      </c>
      <c r="AC3006">
        <f>MONTH(SalesData[[#This Row],[Date]])</f>
        <v>2</v>
      </c>
      <c r="AD3006">
        <f>Reference!F$4</f>
        <v>2026</v>
      </c>
      <c r="AE3006" t="str">
        <f>IF(OR(SalesData[[#This Row],[Day]]="Saturday",SalesData[[#This Row],[Day]]="Sunday"),"Weekend","Weekday")</f>
        <v>Weekend</v>
      </c>
      <c r="AF3006" s="5">
        <f>IF(SalesData[[#This Row],[Contracts Offered]]=0,0,SalesData[[#This Row],[Contracts Signed]]/SalesData[[#This Row],[Contracts Offered]])</f>
        <v>0.35294117647058826</v>
      </c>
      <c r="AG3006" s="5">
        <f>IF(SalesData[[#This Row],[Customers Visited]]=0,0,SalesData[[#This Row],[Test Drives]]/SalesData[[#This Row],[Customers Visited]])</f>
        <v>0.49677419354838709</v>
      </c>
      <c r="AH3006" s="5">
        <f>IF(SalesData[[#This Row],[Customers Visited]]=0,0,SalesData[[#This Row],[Contracts Signed]]/SalesData[[#This Row],[Customers Visited]])</f>
        <v>0.11612903225806452</v>
      </c>
      <c r="AI3006" s="6">
        <f>IF(SalesData[[#This Row],[Contracts Signed]]=0,0,SalesData[[#This Row],[Profit(€)]]/SalesData[[#This Row],[Contracts Signed]])</f>
        <v>14641</v>
      </c>
      <c r="AJ3006" s="5" t="str">
        <f>TRIM(CLEAN(SalesData[[#This Row],[Retailer]]))</f>
        <v>Leipzig Mobility</v>
      </c>
    </row>
    <row r="3007" spans="1:36" ht="14.25" hidden="1" x14ac:dyDescent="0.2">
      <c r="A3007" t="s">
        <v>4157</v>
      </c>
      <c r="B3007" s="1">
        <v>46058</v>
      </c>
      <c r="C3007" t="s">
        <v>24</v>
      </c>
      <c r="D3007" t="s">
        <v>100</v>
      </c>
      <c r="E3007" t="s">
        <v>26</v>
      </c>
      <c r="F3007" t="s">
        <v>27</v>
      </c>
      <c r="G3007" t="s">
        <v>28</v>
      </c>
      <c r="H3007" t="s">
        <v>29</v>
      </c>
      <c r="I3007" t="s">
        <v>64</v>
      </c>
      <c r="J3007" t="s">
        <v>157</v>
      </c>
      <c r="K3007" t="s">
        <v>78</v>
      </c>
      <c r="L3007" t="s">
        <v>33</v>
      </c>
      <c r="M3007" t="s">
        <v>34</v>
      </c>
      <c r="N3007" t="s">
        <v>35</v>
      </c>
      <c r="O3007" t="s">
        <v>70</v>
      </c>
      <c r="P3007" t="s">
        <v>49</v>
      </c>
      <c r="Q3007" t="s">
        <v>172</v>
      </c>
      <c r="R3007">
        <v>169</v>
      </c>
      <c r="S3007">
        <v>94</v>
      </c>
      <c r="T3007">
        <v>74</v>
      </c>
      <c r="U3007">
        <v>22</v>
      </c>
      <c r="V3007" t="s">
        <v>6801</v>
      </c>
      <c r="W3007">
        <v>51475</v>
      </c>
      <c r="X3007" t="s">
        <v>7163</v>
      </c>
      <c r="Y3007">
        <v>40377</v>
      </c>
      <c r="Z3007">
        <v>1132450</v>
      </c>
      <c r="AA3007">
        <v>244156</v>
      </c>
      <c r="AB3007" t="str">
        <f>(VLOOKUP(SalesData[[#This Row],[Month Number]],Reference!C$5:E$16,2,FALSE))</f>
        <v>Feb</v>
      </c>
      <c r="AC3007">
        <f>MONTH(SalesData[[#This Row],[Date]])</f>
        <v>2</v>
      </c>
      <c r="AD3007">
        <f>Reference!F$4</f>
        <v>2026</v>
      </c>
      <c r="AE3007" t="str">
        <f>IF(OR(SalesData[[#This Row],[Day]]="Saturday",SalesData[[#This Row],[Day]]="Sunday"),"Weekend","Weekday")</f>
        <v>Weekday</v>
      </c>
      <c r="AF3007" s="5">
        <f>IF(SalesData[[#This Row],[Contracts Offered]]=0,0,SalesData[[#This Row],[Contracts Signed]]/SalesData[[#This Row],[Contracts Offered]])</f>
        <v>0.29729729729729731</v>
      </c>
      <c r="AG3007" s="5">
        <f>IF(SalesData[[#This Row],[Customers Visited]]=0,0,SalesData[[#This Row],[Test Drives]]/SalesData[[#This Row],[Customers Visited]])</f>
        <v>0.55621301775147924</v>
      </c>
      <c r="AH3007" s="5">
        <f>IF(SalesData[[#This Row],[Customers Visited]]=0,0,SalesData[[#This Row],[Contracts Signed]]/SalesData[[#This Row],[Customers Visited]])</f>
        <v>0.13017751479289941</v>
      </c>
      <c r="AI3007" s="6">
        <f>IF(SalesData[[#This Row],[Contracts Signed]]=0,0,SalesData[[#This Row],[Profit(€)]]/SalesData[[#This Row],[Contracts Signed]])</f>
        <v>11098</v>
      </c>
      <c r="AJ3007" s="5" t="str">
        <f>TRIM(CLEAN(SalesData[[#This Row],[Retailer]]))</f>
        <v>Main Auto Hub</v>
      </c>
    </row>
    <row r="3008" spans="1:36" ht="14.25" x14ac:dyDescent="0.2">
      <c r="A3008" t="s">
        <v>4158</v>
      </c>
      <c r="B3008" s="1">
        <v>46059</v>
      </c>
      <c r="C3008" t="s">
        <v>24</v>
      </c>
      <c r="D3008" t="s">
        <v>54</v>
      </c>
      <c r="E3008" t="s">
        <v>26</v>
      </c>
      <c r="F3008" t="s">
        <v>109</v>
      </c>
      <c r="G3008" t="s">
        <v>110</v>
      </c>
      <c r="H3008" t="s">
        <v>45</v>
      </c>
      <c r="I3008" t="s">
        <v>30</v>
      </c>
      <c r="J3008" t="s">
        <v>31</v>
      </c>
      <c r="K3008" t="s">
        <v>32</v>
      </c>
      <c r="L3008" t="s">
        <v>46</v>
      </c>
      <c r="M3008" t="s">
        <v>87</v>
      </c>
      <c r="N3008" t="s">
        <v>69</v>
      </c>
      <c r="O3008" t="s">
        <v>70</v>
      </c>
      <c r="P3008" t="s">
        <v>58</v>
      </c>
      <c r="Q3008" t="s">
        <v>118</v>
      </c>
      <c r="R3008">
        <v>176</v>
      </c>
      <c r="S3008">
        <v>103</v>
      </c>
      <c r="T3008">
        <v>72</v>
      </c>
      <c r="U3008">
        <v>32</v>
      </c>
      <c r="V3008" t="s">
        <v>7579</v>
      </c>
      <c r="W3008">
        <v>53401</v>
      </c>
      <c r="X3008" t="s">
        <v>7044</v>
      </c>
      <c r="Y3008">
        <v>40340</v>
      </c>
      <c r="Z3008">
        <v>1708832</v>
      </c>
      <c r="AA3008">
        <v>417952</v>
      </c>
      <c r="AB3008" t="str">
        <f>(VLOOKUP(SalesData[[#This Row],[Month Number]],Reference!C$5:E$16,2,FALSE))</f>
        <v>Feb</v>
      </c>
      <c r="AC3008">
        <f>MONTH(SalesData[[#This Row],[Date]])</f>
        <v>2</v>
      </c>
      <c r="AD3008">
        <f>Reference!F$4</f>
        <v>2026</v>
      </c>
      <c r="AE3008" t="str">
        <f>IF(OR(SalesData[[#This Row],[Day]]="Saturday",SalesData[[#This Row],[Day]]="Sunday"),"Weekend","Weekday")</f>
        <v>Weekday</v>
      </c>
      <c r="AF3008" s="5">
        <f>IF(SalesData[[#This Row],[Contracts Offered]]=0,0,SalesData[[#This Row],[Contracts Signed]]/SalesData[[#This Row],[Contracts Offered]])</f>
        <v>0.44444444444444442</v>
      </c>
      <c r="AG3008" s="5">
        <f>IF(SalesData[[#This Row],[Customers Visited]]=0,0,SalesData[[#This Row],[Test Drives]]/SalesData[[#This Row],[Customers Visited]])</f>
        <v>0.58522727272727271</v>
      </c>
      <c r="AH3008" s="5">
        <f>IF(SalesData[[#This Row],[Customers Visited]]=0,0,SalesData[[#This Row],[Contracts Signed]]/SalesData[[#This Row],[Customers Visited]])</f>
        <v>0.18181818181818182</v>
      </c>
      <c r="AI3008" s="6">
        <f>IF(SalesData[[#This Row],[Contracts Signed]]=0,0,SalesData[[#This Row],[Profit(€)]]/SalesData[[#This Row],[Contracts Signed]])</f>
        <v>13061</v>
      </c>
      <c r="AJ3008" s="5" t="str">
        <f>TRIM(CLEAN(SalesData[[#This Row],[Retailer]]))</f>
        <v>Leipzig Mobility</v>
      </c>
    </row>
    <row r="3009" spans="1:36" ht="14.25" hidden="1" x14ac:dyDescent="0.2">
      <c r="A3009" t="s">
        <v>4159</v>
      </c>
      <c r="B3009" s="1">
        <v>46067</v>
      </c>
      <c r="C3009" t="s">
        <v>121</v>
      </c>
      <c r="D3009" t="s">
        <v>151</v>
      </c>
      <c r="E3009" t="s">
        <v>42</v>
      </c>
      <c r="F3009" t="s">
        <v>127</v>
      </c>
      <c r="G3009" t="s">
        <v>128</v>
      </c>
      <c r="H3009" t="s">
        <v>103</v>
      </c>
      <c r="I3009" t="s">
        <v>64</v>
      </c>
      <c r="J3009" t="s">
        <v>77</v>
      </c>
      <c r="K3009" t="s">
        <v>78</v>
      </c>
      <c r="L3009" t="s">
        <v>46</v>
      </c>
      <c r="M3009" t="s">
        <v>34</v>
      </c>
      <c r="N3009" t="s">
        <v>35</v>
      </c>
      <c r="O3009" t="s">
        <v>70</v>
      </c>
      <c r="P3009" t="s">
        <v>49</v>
      </c>
      <c r="Q3009" t="s">
        <v>88</v>
      </c>
      <c r="R3009">
        <v>289</v>
      </c>
      <c r="S3009">
        <v>170</v>
      </c>
      <c r="T3009">
        <v>135</v>
      </c>
      <c r="U3009">
        <v>41</v>
      </c>
      <c r="V3009" t="s">
        <v>6795</v>
      </c>
      <c r="W3009">
        <v>51160</v>
      </c>
      <c r="X3009" t="s">
        <v>7216</v>
      </c>
      <c r="Y3009">
        <v>36636</v>
      </c>
      <c r="Z3009">
        <v>2097560</v>
      </c>
      <c r="AA3009">
        <v>595484</v>
      </c>
      <c r="AB3009" t="str">
        <f>(VLOOKUP(SalesData[[#This Row],[Month Number]],Reference!C$5:E$16,2,FALSE))</f>
        <v>Feb</v>
      </c>
      <c r="AC3009">
        <f>MONTH(SalesData[[#This Row],[Date]])</f>
        <v>2</v>
      </c>
      <c r="AD3009">
        <f>Reference!F$4</f>
        <v>2026</v>
      </c>
      <c r="AE3009" t="str">
        <f>IF(OR(SalesData[[#This Row],[Day]]="Saturday",SalesData[[#This Row],[Day]]="Sunday"),"Weekend","Weekday")</f>
        <v>Weekend</v>
      </c>
      <c r="AF3009" s="5">
        <f>IF(SalesData[[#This Row],[Contracts Offered]]=0,0,SalesData[[#This Row],[Contracts Signed]]/SalesData[[#This Row],[Contracts Offered]])</f>
        <v>0.3037037037037037</v>
      </c>
      <c r="AG3009" s="5">
        <f>IF(SalesData[[#This Row],[Customers Visited]]=0,0,SalesData[[#This Row],[Test Drives]]/SalesData[[#This Row],[Customers Visited]])</f>
        <v>0.58823529411764708</v>
      </c>
      <c r="AH3009" s="5">
        <f>IF(SalesData[[#This Row],[Customers Visited]]=0,0,SalesData[[#This Row],[Contracts Signed]]/SalesData[[#This Row],[Customers Visited]])</f>
        <v>0.14186851211072665</v>
      </c>
      <c r="AI3009" s="6">
        <f>IF(SalesData[[#This Row],[Contracts Signed]]=0,0,SalesData[[#This Row],[Profit(€)]]/SalesData[[#This Row],[Contracts Signed]])</f>
        <v>14524</v>
      </c>
      <c r="AJ3009" s="5" t="str">
        <f>TRIM(CLEAN(SalesData[[#This Row],[Retailer]]))</f>
        <v>Rhein Auto Group</v>
      </c>
    </row>
    <row r="3010" spans="1:36" ht="14.25" hidden="1" x14ac:dyDescent="0.2">
      <c r="A3010" t="s">
        <v>4160</v>
      </c>
      <c r="B3010" s="1">
        <v>46067</v>
      </c>
      <c r="C3010" t="s">
        <v>121</v>
      </c>
      <c r="D3010" t="s">
        <v>151</v>
      </c>
      <c r="E3010" t="s">
        <v>42</v>
      </c>
      <c r="F3010" t="s">
        <v>27</v>
      </c>
      <c r="G3010" t="s">
        <v>28</v>
      </c>
      <c r="H3010" t="s">
        <v>29</v>
      </c>
      <c r="I3010" t="s">
        <v>104</v>
      </c>
      <c r="J3010" t="s">
        <v>143</v>
      </c>
      <c r="K3010" t="s">
        <v>91</v>
      </c>
      <c r="L3010" t="s">
        <v>67</v>
      </c>
      <c r="M3010" t="s">
        <v>47</v>
      </c>
      <c r="N3010" t="s">
        <v>69</v>
      </c>
      <c r="O3010" t="s">
        <v>70</v>
      </c>
      <c r="P3010" t="s">
        <v>49</v>
      </c>
      <c r="Q3010" t="s">
        <v>79</v>
      </c>
      <c r="R3010">
        <v>295</v>
      </c>
      <c r="S3010">
        <v>142</v>
      </c>
      <c r="T3010">
        <v>98</v>
      </c>
      <c r="U3010">
        <v>15</v>
      </c>
      <c r="V3010" t="s">
        <v>953</v>
      </c>
      <c r="W3010">
        <v>30223</v>
      </c>
      <c r="X3010" t="s">
        <v>7580</v>
      </c>
      <c r="Y3010">
        <v>26635</v>
      </c>
      <c r="Z3010">
        <v>453345</v>
      </c>
      <c r="AA3010">
        <v>53820</v>
      </c>
      <c r="AB3010" t="str">
        <f>(VLOOKUP(SalesData[[#This Row],[Month Number]],Reference!C$5:E$16,2,FALSE))</f>
        <v>Feb</v>
      </c>
      <c r="AC3010">
        <f>MONTH(SalesData[[#This Row],[Date]])</f>
        <v>2</v>
      </c>
      <c r="AD3010">
        <f>Reference!F$4</f>
        <v>2026</v>
      </c>
      <c r="AE3010" t="str">
        <f>IF(OR(SalesData[[#This Row],[Day]]="Saturday",SalesData[[#This Row],[Day]]="Sunday"),"Weekend","Weekday")</f>
        <v>Weekend</v>
      </c>
      <c r="AF3010" s="5">
        <f>IF(SalesData[[#This Row],[Contracts Offered]]=0,0,SalesData[[#This Row],[Contracts Signed]]/SalesData[[#This Row],[Contracts Offered]])</f>
        <v>0.15306122448979592</v>
      </c>
      <c r="AG3010" s="5">
        <f>IF(SalesData[[#This Row],[Customers Visited]]=0,0,SalesData[[#This Row],[Test Drives]]/SalesData[[#This Row],[Customers Visited]])</f>
        <v>0.48135593220338985</v>
      </c>
      <c r="AH3010" s="5">
        <f>IF(SalesData[[#This Row],[Customers Visited]]=0,0,SalesData[[#This Row],[Contracts Signed]]/SalesData[[#This Row],[Customers Visited]])</f>
        <v>5.0847457627118647E-2</v>
      </c>
      <c r="AI3010" s="6">
        <f>IF(SalesData[[#This Row],[Contracts Signed]]=0,0,SalesData[[#This Row],[Profit(€)]]/SalesData[[#This Row],[Contracts Signed]])</f>
        <v>3588</v>
      </c>
      <c r="AJ3010" s="5" t="str">
        <f>TRIM(CLEAN(SalesData[[#This Row],[Retailer]]))</f>
        <v>Main Auto Hub</v>
      </c>
    </row>
    <row r="3011" spans="1:36" ht="14.25" hidden="1" x14ac:dyDescent="0.2">
      <c r="A3011" t="s">
        <v>4161</v>
      </c>
      <c r="B3011" s="1">
        <v>46065</v>
      </c>
      <c r="C3011" t="s">
        <v>121</v>
      </c>
      <c r="D3011" t="s">
        <v>100</v>
      </c>
      <c r="E3011" t="s">
        <v>26</v>
      </c>
      <c r="F3011" t="s">
        <v>127</v>
      </c>
      <c r="G3011" t="s">
        <v>128</v>
      </c>
      <c r="H3011" t="s">
        <v>103</v>
      </c>
      <c r="I3011" t="s">
        <v>116</v>
      </c>
      <c r="J3011" t="s">
        <v>7026</v>
      </c>
      <c r="K3011" t="s">
        <v>78</v>
      </c>
      <c r="L3011" t="s">
        <v>46</v>
      </c>
      <c r="M3011" t="s">
        <v>68</v>
      </c>
      <c r="N3011" t="s">
        <v>48</v>
      </c>
      <c r="O3011" t="s">
        <v>70</v>
      </c>
      <c r="P3011" t="s">
        <v>71</v>
      </c>
      <c r="Q3011" t="s">
        <v>169</v>
      </c>
      <c r="R3011">
        <v>336</v>
      </c>
      <c r="S3011">
        <v>130</v>
      </c>
      <c r="T3011">
        <v>79</v>
      </c>
      <c r="U3011">
        <v>20</v>
      </c>
      <c r="V3011" t="s">
        <v>1109</v>
      </c>
      <c r="W3011">
        <v>20349</v>
      </c>
      <c r="X3011" t="s">
        <v>7292</v>
      </c>
      <c r="Y3011">
        <v>18664</v>
      </c>
      <c r="Z3011">
        <v>406980</v>
      </c>
      <c r="AA3011">
        <v>33700</v>
      </c>
      <c r="AB3011" t="str">
        <f>(VLOOKUP(SalesData[[#This Row],[Month Number]],Reference!C$5:E$16,2,FALSE))</f>
        <v>Feb</v>
      </c>
      <c r="AC3011">
        <f>MONTH(SalesData[[#This Row],[Date]])</f>
        <v>2</v>
      </c>
      <c r="AD3011">
        <f>Reference!F$4</f>
        <v>2026</v>
      </c>
      <c r="AE3011" t="str">
        <f>IF(OR(SalesData[[#This Row],[Day]]="Saturday",SalesData[[#This Row],[Day]]="Sunday"),"Weekend","Weekday")</f>
        <v>Weekday</v>
      </c>
      <c r="AF3011" s="5">
        <f>IF(SalesData[[#This Row],[Contracts Offered]]=0,0,SalesData[[#This Row],[Contracts Signed]]/SalesData[[#This Row],[Contracts Offered]])</f>
        <v>0.25316455696202533</v>
      </c>
      <c r="AG3011" s="5">
        <f>IF(SalesData[[#This Row],[Customers Visited]]=0,0,SalesData[[#This Row],[Test Drives]]/SalesData[[#This Row],[Customers Visited]])</f>
        <v>0.38690476190476192</v>
      </c>
      <c r="AH3011" s="5">
        <f>IF(SalesData[[#This Row],[Customers Visited]]=0,0,SalesData[[#This Row],[Contracts Signed]]/SalesData[[#This Row],[Customers Visited]])</f>
        <v>5.9523809523809521E-2</v>
      </c>
      <c r="AI3011" s="6">
        <f>IF(SalesData[[#This Row],[Contracts Signed]]=0,0,SalesData[[#This Row],[Profit(€)]]/SalesData[[#This Row],[Contracts Signed]])</f>
        <v>1685</v>
      </c>
      <c r="AJ3011" s="5" t="str">
        <f>TRIM(CLEAN(SalesData[[#This Row],[Retailer]]))</f>
        <v>Rhein Auto Group</v>
      </c>
    </row>
    <row r="3012" spans="1:36" ht="14.25" x14ac:dyDescent="0.2">
      <c r="A3012" t="s">
        <v>4162</v>
      </c>
      <c r="B3012" s="1">
        <v>46081</v>
      </c>
      <c r="C3012" t="s">
        <v>53</v>
      </c>
      <c r="D3012" t="s">
        <v>151</v>
      </c>
      <c r="E3012" t="s">
        <v>42</v>
      </c>
      <c r="F3012" t="s">
        <v>74</v>
      </c>
      <c r="G3012" t="s">
        <v>75</v>
      </c>
      <c r="H3012" t="s">
        <v>76</v>
      </c>
      <c r="I3012" t="s">
        <v>30</v>
      </c>
      <c r="J3012" t="s">
        <v>7075</v>
      </c>
      <c r="K3012" t="s">
        <v>78</v>
      </c>
      <c r="L3012" t="s">
        <v>33</v>
      </c>
      <c r="M3012" t="s">
        <v>87</v>
      </c>
      <c r="N3012" t="s">
        <v>48</v>
      </c>
      <c r="O3012" t="s">
        <v>36</v>
      </c>
      <c r="P3012" t="s">
        <v>71</v>
      </c>
      <c r="Q3012" t="s">
        <v>59</v>
      </c>
      <c r="R3012">
        <v>150</v>
      </c>
      <c r="S3012">
        <v>73</v>
      </c>
      <c r="T3012">
        <v>57</v>
      </c>
      <c r="U3012">
        <v>23</v>
      </c>
      <c r="V3012" t="s">
        <v>7581</v>
      </c>
      <c r="W3012">
        <v>56987</v>
      </c>
      <c r="X3012" t="s">
        <v>7491</v>
      </c>
      <c r="Y3012">
        <v>42011</v>
      </c>
      <c r="Z3012">
        <v>1310701</v>
      </c>
      <c r="AA3012">
        <v>344448</v>
      </c>
      <c r="AB3012" t="str">
        <f>(VLOOKUP(SalesData[[#This Row],[Month Number]],Reference!C$5:E$16,2,FALSE))</f>
        <v>Feb</v>
      </c>
      <c r="AC3012">
        <f>MONTH(SalesData[[#This Row],[Date]])</f>
        <v>2</v>
      </c>
      <c r="AD3012">
        <f>Reference!F$4</f>
        <v>2026</v>
      </c>
      <c r="AE3012" t="str">
        <f>IF(OR(SalesData[[#This Row],[Day]]="Saturday",SalesData[[#This Row],[Day]]="Sunday"),"Weekend","Weekday")</f>
        <v>Weekend</v>
      </c>
      <c r="AF3012" s="5">
        <f>IF(SalesData[[#This Row],[Contracts Offered]]=0,0,SalesData[[#This Row],[Contracts Signed]]/SalesData[[#This Row],[Contracts Offered]])</f>
        <v>0.40350877192982454</v>
      </c>
      <c r="AG3012" s="5">
        <f>IF(SalesData[[#This Row],[Customers Visited]]=0,0,SalesData[[#This Row],[Test Drives]]/SalesData[[#This Row],[Customers Visited]])</f>
        <v>0.48666666666666669</v>
      </c>
      <c r="AH3012" s="5">
        <f>IF(SalesData[[#This Row],[Customers Visited]]=0,0,SalesData[[#This Row],[Contracts Signed]]/SalesData[[#This Row],[Customers Visited]])</f>
        <v>0.15333333333333332</v>
      </c>
      <c r="AI3012" s="6">
        <f>IF(SalesData[[#This Row],[Contracts Signed]]=0,0,SalesData[[#This Row],[Profit(€)]]/SalesData[[#This Row],[Contracts Signed]])</f>
        <v>14976</v>
      </c>
      <c r="AJ3012" s="5" t="str">
        <f>TRIM(CLEAN(SalesData[[#This Row],[Retailer]]))</f>
        <v>Stuttgart Auto Center</v>
      </c>
    </row>
    <row r="3013" spans="1:36" ht="14.25" hidden="1" x14ac:dyDescent="0.2">
      <c r="A3013" t="s">
        <v>4163</v>
      </c>
      <c r="B3013" s="1">
        <v>46061</v>
      </c>
      <c r="C3013" t="s">
        <v>121</v>
      </c>
      <c r="D3013" t="s">
        <v>41</v>
      </c>
      <c r="E3013" t="s">
        <v>42</v>
      </c>
      <c r="F3013" t="s">
        <v>43</v>
      </c>
      <c r="G3013" t="s">
        <v>44</v>
      </c>
      <c r="H3013" t="s">
        <v>45</v>
      </c>
      <c r="I3013" t="s">
        <v>116</v>
      </c>
      <c r="J3013" t="s">
        <v>117</v>
      </c>
      <c r="K3013" t="s">
        <v>91</v>
      </c>
      <c r="L3013" t="s">
        <v>67</v>
      </c>
      <c r="M3013" t="s">
        <v>47</v>
      </c>
      <c r="N3013" t="s">
        <v>35</v>
      </c>
      <c r="O3013" t="s">
        <v>70</v>
      </c>
      <c r="P3013" t="s">
        <v>71</v>
      </c>
      <c r="Q3013" t="s">
        <v>169</v>
      </c>
      <c r="R3013">
        <v>343</v>
      </c>
      <c r="S3013">
        <v>166</v>
      </c>
      <c r="T3013">
        <v>97</v>
      </c>
      <c r="U3013">
        <v>26</v>
      </c>
      <c r="V3013" t="s">
        <v>1197</v>
      </c>
      <c r="W3013">
        <v>24767</v>
      </c>
      <c r="X3013" t="s">
        <v>7412</v>
      </c>
      <c r="Y3013">
        <v>22596</v>
      </c>
      <c r="Z3013">
        <v>643942</v>
      </c>
      <c r="AA3013">
        <v>56446</v>
      </c>
      <c r="AB3013" t="str">
        <f>(VLOOKUP(SalesData[[#This Row],[Month Number]],Reference!C$5:E$16,2,FALSE))</f>
        <v>Feb</v>
      </c>
      <c r="AC3013">
        <f>MONTH(SalesData[[#This Row],[Date]])</f>
        <v>2</v>
      </c>
      <c r="AD3013">
        <f>Reference!F$4</f>
        <v>2026</v>
      </c>
      <c r="AE3013" t="str">
        <f>IF(OR(SalesData[[#This Row],[Day]]="Saturday",SalesData[[#This Row],[Day]]="Sunday"),"Weekend","Weekday")</f>
        <v>Weekend</v>
      </c>
      <c r="AF3013" s="5">
        <f>IF(SalesData[[#This Row],[Contracts Offered]]=0,0,SalesData[[#This Row],[Contracts Signed]]/SalesData[[#This Row],[Contracts Offered]])</f>
        <v>0.26804123711340205</v>
      </c>
      <c r="AG3013" s="5">
        <f>IF(SalesData[[#This Row],[Customers Visited]]=0,0,SalesData[[#This Row],[Test Drives]]/SalesData[[#This Row],[Customers Visited]])</f>
        <v>0.48396501457725949</v>
      </c>
      <c r="AH3013" s="5">
        <f>IF(SalesData[[#This Row],[Customers Visited]]=0,0,SalesData[[#This Row],[Contracts Signed]]/SalesData[[#This Row],[Customers Visited]])</f>
        <v>7.5801749271137031E-2</v>
      </c>
      <c r="AI3013" s="6">
        <f>IF(SalesData[[#This Row],[Contracts Signed]]=0,0,SalesData[[#This Row],[Profit(€)]]/SalesData[[#This Row],[Contracts Signed]])</f>
        <v>2171</v>
      </c>
      <c r="AJ3013" s="5" t="str">
        <f>TRIM(CLEAN(SalesData[[#This Row],[Retailer]]))</f>
        <v>Saxon Wheels</v>
      </c>
    </row>
    <row r="3014" spans="1:36" ht="14.25" hidden="1" x14ac:dyDescent="0.2">
      <c r="A3014" t="s">
        <v>4164</v>
      </c>
      <c r="B3014" s="1">
        <v>46078</v>
      </c>
      <c r="C3014" t="s">
        <v>53</v>
      </c>
      <c r="D3014" t="s">
        <v>82</v>
      </c>
      <c r="E3014" t="s">
        <v>26</v>
      </c>
      <c r="F3014" t="s">
        <v>27</v>
      </c>
      <c r="G3014" t="s">
        <v>28</v>
      </c>
      <c r="H3014" t="s">
        <v>29</v>
      </c>
      <c r="I3014" t="s">
        <v>104</v>
      </c>
      <c r="J3014" t="s">
        <v>140</v>
      </c>
      <c r="K3014" t="s">
        <v>66</v>
      </c>
      <c r="L3014" t="s">
        <v>46</v>
      </c>
      <c r="M3014" t="s">
        <v>34</v>
      </c>
      <c r="N3014" t="s">
        <v>69</v>
      </c>
      <c r="O3014" t="s">
        <v>36</v>
      </c>
      <c r="P3014" t="s">
        <v>49</v>
      </c>
      <c r="Q3014" t="s">
        <v>204</v>
      </c>
      <c r="R3014">
        <v>468</v>
      </c>
      <c r="S3014">
        <v>260</v>
      </c>
      <c r="T3014">
        <v>162</v>
      </c>
      <c r="U3014">
        <v>36</v>
      </c>
      <c r="V3014" t="s">
        <v>3798</v>
      </c>
      <c r="W3014">
        <v>27702</v>
      </c>
      <c r="X3014" t="s">
        <v>319</v>
      </c>
      <c r="Y3014">
        <v>24476</v>
      </c>
      <c r="Z3014">
        <v>997272</v>
      </c>
      <c r="AA3014">
        <v>116136</v>
      </c>
      <c r="AB3014" t="str">
        <f>(VLOOKUP(SalesData[[#This Row],[Month Number]],Reference!C$5:E$16,2,FALSE))</f>
        <v>Feb</v>
      </c>
      <c r="AC3014">
        <f>MONTH(SalesData[[#This Row],[Date]])</f>
        <v>2</v>
      </c>
      <c r="AD3014">
        <f>Reference!F$4</f>
        <v>2026</v>
      </c>
      <c r="AE3014" t="str">
        <f>IF(OR(SalesData[[#This Row],[Day]]="Saturday",SalesData[[#This Row],[Day]]="Sunday"),"Weekend","Weekday")</f>
        <v>Weekday</v>
      </c>
      <c r="AF3014" s="5">
        <f>IF(SalesData[[#This Row],[Contracts Offered]]=0,0,SalesData[[#This Row],[Contracts Signed]]/SalesData[[#This Row],[Contracts Offered]])</f>
        <v>0.22222222222222221</v>
      </c>
      <c r="AG3014" s="5">
        <f>IF(SalesData[[#This Row],[Customers Visited]]=0,0,SalesData[[#This Row],[Test Drives]]/SalesData[[#This Row],[Customers Visited]])</f>
        <v>0.55555555555555558</v>
      </c>
      <c r="AH3014" s="5">
        <f>IF(SalesData[[#This Row],[Customers Visited]]=0,0,SalesData[[#This Row],[Contracts Signed]]/SalesData[[#This Row],[Customers Visited]])</f>
        <v>7.6923076923076927E-2</v>
      </c>
      <c r="AI3014" s="6">
        <f>IF(SalesData[[#This Row],[Contracts Signed]]=0,0,SalesData[[#This Row],[Profit(€)]]/SalesData[[#This Row],[Contracts Signed]])</f>
        <v>3226</v>
      </c>
      <c r="AJ3014" s="5" t="str">
        <f>TRIM(CLEAN(SalesData[[#This Row],[Retailer]]))</f>
        <v>Main Auto Hub</v>
      </c>
    </row>
    <row r="3015" spans="1:36" ht="14.25" hidden="1" x14ac:dyDescent="0.2">
      <c r="A3015" t="s">
        <v>4165</v>
      </c>
      <c r="B3015" s="1">
        <v>46062</v>
      </c>
      <c r="C3015" t="s">
        <v>121</v>
      </c>
      <c r="D3015" t="s">
        <v>25</v>
      </c>
      <c r="E3015" t="s">
        <v>26</v>
      </c>
      <c r="F3015" t="s">
        <v>127</v>
      </c>
      <c r="G3015" t="s">
        <v>128</v>
      </c>
      <c r="H3015" t="s">
        <v>103</v>
      </c>
      <c r="I3015" t="s">
        <v>64</v>
      </c>
      <c r="J3015" t="s">
        <v>157</v>
      </c>
      <c r="K3015" t="s">
        <v>91</v>
      </c>
      <c r="L3015" t="s">
        <v>33</v>
      </c>
      <c r="M3015" t="s">
        <v>34</v>
      </c>
      <c r="N3015" t="s">
        <v>69</v>
      </c>
      <c r="O3015" t="s">
        <v>70</v>
      </c>
      <c r="P3015" t="s">
        <v>49</v>
      </c>
      <c r="Q3015" t="s">
        <v>118</v>
      </c>
      <c r="R3015">
        <v>249</v>
      </c>
      <c r="S3015">
        <v>111</v>
      </c>
      <c r="T3015">
        <v>76</v>
      </c>
      <c r="U3015">
        <v>26</v>
      </c>
      <c r="V3015" t="s">
        <v>6492</v>
      </c>
      <c r="W3015">
        <v>51917</v>
      </c>
      <c r="X3015" t="s">
        <v>7303</v>
      </c>
      <c r="Y3015">
        <v>38927</v>
      </c>
      <c r="Z3015">
        <v>1349842</v>
      </c>
      <c r="AA3015">
        <v>337740</v>
      </c>
      <c r="AB3015" t="str">
        <f>(VLOOKUP(SalesData[[#This Row],[Month Number]],Reference!C$5:E$16,2,FALSE))</f>
        <v>Feb</v>
      </c>
      <c r="AC3015">
        <f>MONTH(SalesData[[#This Row],[Date]])</f>
        <v>2</v>
      </c>
      <c r="AD3015">
        <f>Reference!F$4</f>
        <v>2026</v>
      </c>
      <c r="AE3015" t="str">
        <f>IF(OR(SalesData[[#This Row],[Day]]="Saturday",SalesData[[#This Row],[Day]]="Sunday"),"Weekend","Weekday")</f>
        <v>Weekday</v>
      </c>
      <c r="AF3015" s="5">
        <f>IF(SalesData[[#This Row],[Contracts Offered]]=0,0,SalesData[[#This Row],[Contracts Signed]]/SalesData[[#This Row],[Contracts Offered]])</f>
        <v>0.34210526315789475</v>
      </c>
      <c r="AG3015" s="5">
        <f>IF(SalesData[[#This Row],[Customers Visited]]=0,0,SalesData[[#This Row],[Test Drives]]/SalesData[[#This Row],[Customers Visited]])</f>
        <v>0.44578313253012047</v>
      </c>
      <c r="AH3015" s="5">
        <f>IF(SalesData[[#This Row],[Customers Visited]]=0,0,SalesData[[#This Row],[Contracts Signed]]/SalesData[[#This Row],[Customers Visited]])</f>
        <v>0.10441767068273092</v>
      </c>
      <c r="AI3015" s="6">
        <f>IF(SalesData[[#This Row],[Contracts Signed]]=0,0,SalesData[[#This Row],[Profit(€)]]/SalesData[[#This Row],[Contracts Signed]])</f>
        <v>12990</v>
      </c>
      <c r="AJ3015" s="5" t="str">
        <f>TRIM(CLEAN(SalesData[[#This Row],[Retailer]]))</f>
        <v>Rhein Auto Group</v>
      </c>
    </row>
    <row r="3016" spans="1:36" ht="14.25" hidden="1" x14ac:dyDescent="0.2">
      <c r="A3016" t="s">
        <v>4166</v>
      </c>
      <c r="B3016" s="1">
        <v>46077</v>
      </c>
      <c r="C3016" t="s">
        <v>53</v>
      </c>
      <c r="D3016" t="s">
        <v>63</v>
      </c>
      <c r="E3016" t="s">
        <v>26</v>
      </c>
      <c r="F3016" t="s">
        <v>43</v>
      </c>
      <c r="G3016" t="s">
        <v>44</v>
      </c>
      <c r="H3016" t="s">
        <v>45</v>
      </c>
      <c r="I3016" t="s">
        <v>64</v>
      </c>
      <c r="J3016" t="s">
        <v>65</v>
      </c>
      <c r="K3016" t="s">
        <v>91</v>
      </c>
      <c r="L3016" t="s">
        <v>33</v>
      </c>
      <c r="M3016" t="s">
        <v>47</v>
      </c>
      <c r="N3016" t="s">
        <v>48</v>
      </c>
      <c r="O3016" t="s">
        <v>36</v>
      </c>
      <c r="P3016" t="s">
        <v>49</v>
      </c>
      <c r="Q3016" t="s">
        <v>38</v>
      </c>
      <c r="R3016">
        <v>179</v>
      </c>
      <c r="S3016">
        <v>85</v>
      </c>
      <c r="T3016">
        <v>64</v>
      </c>
      <c r="U3016">
        <v>19</v>
      </c>
      <c r="V3016" t="s">
        <v>6744</v>
      </c>
      <c r="W3016">
        <v>66755</v>
      </c>
      <c r="X3016" t="s">
        <v>7299</v>
      </c>
      <c r="Y3016">
        <v>50401</v>
      </c>
      <c r="Z3016">
        <v>1268345</v>
      </c>
      <c r="AA3016">
        <v>310726</v>
      </c>
      <c r="AB3016" t="str">
        <f>(VLOOKUP(SalesData[[#This Row],[Month Number]],Reference!C$5:E$16,2,FALSE))</f>
        <v>Feb</v>
      </c>
      <c r="AC3016">
        <f>MONTH(SalesData[[#This Row],[Date]])</f>
        <v>2</v>
      </c>
      <c r="AD3016">
        <f>Reference!F$4</f>
        <v>2026</v>
      </c>
      <c r="AE3016" t="str">
        <f>IF(OR(SalesData[[#This Row],[Day]]="Saturday",SalesData[[#This Row],[Day]]="Sunday"),"Weekend","Weekday")</f>
        <v>Weekday</v>
      </c>
      <c r="AF3016" s="5">
        <f>IF(SalesData[[#This Row],[Contracts Offered]]=0,0,SalesData[[#This Row],[Contracts Signed]]/SalesData[[#This Row],[Contracts Offered]])</f>
        <v>0.296875</v>
      </c>
      <c r="AG3016" s="5">
        <f>IF(SalesData[[#This Row],[Customers Visited]]=0,0,SalesData[[#This Row],[Test Drives]]/SalesData[[#This Row],[Customers Visited]])</f>
        <v>0.47486033519553073</v>
      </c>
      <c r="AH3016" s="5">
        <f>IF(SalesData[[#This Row],[Customers Visited]]=0,0,SalesData[[#This Row],[Contracts Signed]]/SalesData[[#This Row],[Customers Visited]])</f>
        <v>0.10614525139664804</v>
      </c>
      <c r="AI3016" s="6">
        <f>IF(SalesData[[#This Row],[Contracts Signed]]=0,0,SalesData[[#This Row],[Profit(€)]]/SalesData[[#This Row],[Contracts Signed]])</f>
        <v>16354</v>
      </c>
      <c r="AJ3016" s="5" t="str">
        <f>TRIM(CLEAN(SalesData[[#This Row],[Retailer]]))</f>
        <v>Saxon Wheels</v>
      </c>
    </row>
    <row r="3017" spans="1:36" ht="14.25" hidden="1" x14ac:dyDescent="0.2">
      <c r="A3017" t="s">
        <v>4168</v>
      </c>
      <c r="B3017" s="1">
        <v>46073</v>
      </c>
      <c r="C3017" t="s">
        <v>62</v>
      </c>
      <c r="D3017" t="s">
        <v>54</v>
      </c>
      <c r="E3017" t="s">
        <v>26</v>
      </c>
      <c r="F3017" t="s">
        <v>94</v>
      </c>
      <c r="G3017" t="s">
        <v>95</v>
      </c>
      <c r="H3017" t="s">
        <v>96</v>
      </c>
      <c r="I3017" t="s">
        <v>116</v>
      </c>
      <c r="J3017" t="s">
        <v>132</v>
      </c>
      <c r="K3017" t="s">
        <v>78</v>
      </c>
      <c r="L3017" t="s">
        <v>46</v>
      </c>
      <c r="M3017" t="s">
        <v>87</v>
      </c>
      <c r="N3017" t="s">
        <v>35</v>
      </c>
      <c r="O3017" t="s">
        <v>36</v>
      </c>
      <c r="P3017" t="s">
        <v>37</v>
      </c>
      <c r="Q3017" t="s">
        <v>347</v>
      </c>
      <c r="R3017">
        <v>417</v>
      </c>
      <c r="S3017">
        <v>200</v>
      </c>
      <c r="T3017">
        <v>116</v>
      </c>
      <c r="U3017">
        <v>36</v>
      </c>
      <c r="V3017" t="s">
        <v>286</v>
      </c>
      <c r="W3017">
        <v>20162</v>
      </c>
      <c r="X3017" t="s">
        <v>3304</v>
      </c>
      <c r="Y3017">
        <v>18123</v>
      </c>
      <c r="Z3017">
        <v>725832</v>
      </c>
      <c r="AA3017">
        <v>73404</v>
      </c>
      <c r="AB3017" t="str">
        <f>(VLOOKUP(SalesData[[#This Row],[Month Number]],Reference!C$5:E$16,2,FALSE))</f>
        <v>Feb</v>
      </c>
      <c r="AC3017">
        <f>MONTH(SalesData[[#This Row],[Date]])</f>
        <v>2</v>
      </c>
      <c r="AD3017">
        <f>Reference!F$4</f>
        <v>2026</v>
      </c>
      <c r="AE3017" t="str">
        <f>IF(OR(SalesData[[#This Row],[Day]]="Saturday",SalesData[[#This Row],[Day]]="Sunday"),"Weekend","Weekday")</f>
        <v>Weekday</v>
      </c>
      <c r="AF3017" s="5">
        <f>IF(SalesData[[#This Row],[Contracts Offered]]=0,0,SalesData[[#This Row],[Contracts Signed]]/SalesData[[#This Row],[Contracts Offered]])</f>
        <v>0.31034482758620691</v>
      </c>
      <c r="AG3017" s="5">
        <f>IF(SalesData[[#This Row],[Customers Visited]]=0,0,SalesData[[#This Row],[Test Drives]]/SalesData[[#This Row],[Customers Visited]])</f>
        <v>0.47961630695443647</v>
      </c>
      <c r="AH3017" s="5">
        <f>IF(SalesData[[#This Row],[Customers Visited]]=0,0,SalesData[[#This Row],[Contracts Signed]]/SalesData[[#This Row],[Customers Visited]])</f>
        <v>8.6330935251798566E-2</v>
      </c>
      <c r="AI3017" s="6">
        <f>IF(SalesData[[#This Row],[Contracts Signed]]=0,0,SalesData[[#This Row],[Profit(€)]]/SalesData[[#This Row],[Contracts Signed]])</f>
        <v>2039</v>
      </c>
      <c r="AJ3017" s="5" t="str">
        <f>TRIM(CLEAN(SalesData[[#This Row],[Retailer]]))</f>
        <v>Bavaria Motors</v>
      </c>
    </row>
    <row r="3018" spans="1:36" ht="14.25" hidden="1" x14ac:dyDescent="0.2">
      <c r="A3018" t="s">
        <v>4170</v>
      </c>
      <c r="B3018" s="1">
        <v>46070</v>
      </c>
      <c r="C3018" t="s">
        <v>62</v>
      </c>
      <c r="D3018" t="s">
        <v>63</v>
      </c>
      <c r="E3018" t="s">
        <v>26</v>
      </c>
      <c r="F3018" t="s">
        <v>43</v>
      </c>
      <c r="G3018" t="s">
        <v>44</v>
      </c>
      <c r="H3018" t="s">
        <v>45</v>
      </c>
      <c r="I3018" t="s">
        <v>56</v>
      </c>
      <c r="J3018" t="s">
        <v>57</v>
      </c>
      <c r="K3018" t="s">
        <v>32</v>
      </c>
      <c r="L3018" t="s">
        <v>46</v>
      </c>
      <c r="M3018" t="s">
        <v>68</v>
      </c>
      <c r="N3018" t="s">
        <v>48</v>
      </c>
      <c r="O3018" t="s">
        <v>70</v>
      </c>
      <c r="P3018" t="s">
        <v>58</v>
      </c>
      <c r="Q3018" t="s">
        <v>129</v>
      </c>
      <c r="R3018">
        <v>308</v>
      </c>
      <c r="S3018">
        <v>148</v>
      </c>
      <c r="T3018">
        <v>96</v>
      </c>
      <c r="U3018">
        <v>33</v>
      </c>
      <c r="V3018" t="s">
        <v>6455</v>
      </c>
      <c r="W3018">
        <v>41854</v>
      </c>
      <c r="X3018" t="s">
        <v>7199</v>
      </c>
      <c r="Y3018">
        <v>33589</v>
      </c>
      <c r="Z3018">
        <v>1381182</v>
      </c>
      <c r="AA3018">
        <v>272745</v>
      </c>
      <c r="AB3018" t="str">
        <f>(VLOOKUP(SalesData[[#This Row],[Month Number]],Reference!C$5:E$16,2,FALSE))</f>
        <v>Feb</v>
      </c>
      <c r="AC3018">
        <f>MONTH(SalesData[[#This Row],[Date]])</f>
        <v>2</v>
      </c>
      <c r="AD3018">
        <f>Reference!F$4</f>
        <v>2026</v>
      </c>
      <c r="AE3018" t="str">
        <f>IF(OR(SalesData[[#This Row],[Day]]="Saturday",SalesData[[#This Row],[Day]]="Sunday"),"Weekend","Weekday")</f>
        <v>Weekday</v>
      </c>
      <c r="AF3018" s="5">
        <f>IF(SalesData[[#This Row],[Contracts Offered]]=0,0,SalesData[[#This Row],[Contracts Signed]]/SalesData[[#This Row],[Contracts Offered]])</f>
        <v>0.34375</v>
      </c>
      <c r="AG3018" s="5">
        <f>IF(SalesData[[#This Row],[Customers Visited]]=0,0,SalesData[[#This Row],[Test Drives]]/SalesData[[#This Row],[Customers Visited]])</f>
        <v>0.48051948051948051</v>
      </c>
      <c r="AH3018" s="5">
        <f>IF(SalesData[[#This Row],[Customers Visited]]=0,0,SalesData[[#This Row],[Contracts Signed]]/SalesData[[#This Row],[Customers Visited]])</f>
        <v>0.10714285714285714</v>
      </c>
      <c r="AI3018" s="6">
        <f>IF(SalesData[[#This Row],[Contracts Signed]]=0,0,SalesData[[#This Row],[Profit(€)]]/SalesData[[#This Row],[Contracts Signed]])</f>
        <v>8265</v>
      </c>
      <c r="AJ3018" s="5" t="str">
        <f>TRIM(CLEAN(SalesData[[#This Row],[Retailer]]))</f>
        <v>Saxon Wheels</v>
      </c>
    </row>
    <row r="3019" spans="1:36" ht="14.25" hidden="1" x14ac:dyDescent="0.2">
      <c r="A3019" t="s">
        <v>4171</v>
      </c>
      <c r="B3019" s="1">
        <v>46065</v>
      </c>
      <c r="C3019" t="s">
        <v>121</v>
      </c>
      <c r="D3019" t="s">
        <v>100</v>
      </c>
      <c r="E3019" t="s">
        <v>26</v>
      </c>
      <c r="F3019" t="s">
        <v>43</v>
      </c>
      <c r="G3019" t="s">
        <v>44</v>
      </c>
      <c r="H3019" t="s">
        <v>45</v>
      </c>
      <c r="I3019" t="s">
        <v>116</v>
      </c>
      <c r="J3019" t="s">
        <v>7026</v>
      </c>
      <c r="K3019" t="s">
        <v>66</v>
      </c>
      <c r="L3019" t="s">
        <v>46</v>
      </c>
      <c r="M3019" t="s">
        <v>68</v>
      </c>
      <c r="N3019" t="s">
        <v>35</v>
      </c>
      <c r="O3019" t="s">
        <v>36</v>
      </c>
      <c r="P3019" t="s">
        <v>58</v>
      </c>
      <c r="Q3019" t="s">
        <v>204</v>
      </c>
      <c r="R3019">
        <v>311</v>
      </c>
      <c r="S3019">
        <v>150</v>
      </c>
      <c r="T3019">
        <v>93</v>
      </c>
      <c r="U3019">
        <v>25</v>
      </c>
      <c r="V3019" t="s">
        <v>508</v>
      </c>
      <c r="W3019">
        <v>26319</v>
      </c>
      <c r="X3019" t="s">
        <v>3447</v>
      </c>
      <c r="Y3019">
        <v>24323</v>
      </c>
      <c r="Z3019">
        <v>657975</v>
      </c>
      <c r="AA3019">
        <v>49900</v>
      </c>
      <c r="AB3019" t="str">
        <f>(VLOOKUP(SalesData[[#This Row],[Month Number]],Reference!C$5:E$16,2,FALSE))</f>
        <v>Feb</v>
      </c>
      <c r="AC3019">
        <f>MONTH(SalesData[[#This Row],[Date]])</f>
        <v>2</v>
      </c>
      <c r="AD3019">
        <f>Reference!F$4</f>
        <v>2026</v>
      </c>
      <c r="AE3019" t="str">
        <f>IF(OR(SalesData[[#This Row],[Day]]="Saturday",SalesData[[#This Row],[Day]]="Sunday"),"Weekend","Weekday")</f>
        <v>Weekday</v>
      </c>
      <c r="AF3019" s="5">
        <f>IF(SalesData[[#This Row],[Contracts Offered]]=0,0,SalesData[[#This Row],[Contracts Signed]]/SalesData[[#This Row],[Contracts Offered]])</f>
        <v>0.26881720430107525</v>
      </c>
      <c r="AG3019" s="5">
        <f>IF(SalesData[[#This Row],[Customers Visited]]=0,0,SalesData[[#This Row],[Test Drives]]/SalesData[[#This Row],[Customers Visited]])</f>
        <v>0.48231511254019294</v>
      </c>
      <c r="AH3019" s="5">
        <f>IF(SalesData[[#This Row],[Customers Visited]]=0,0,SalesData[[#This Row],[Contracts Signed]]/SalesData[[#This Row],[Customers Visited]])</f>
        <v>8.0385852090032156E-2</v>
      </c>
      <c r="AI3019" s="6">
        <f>IF(SalesData[[#This Row],[Contracts Signed]]=0,0,SalesData[[#This Row],[Profit(€)]]/SalesData[[#This Row],[Contracts Signed]])</f>
        <v>1996</v>
      </c>
      <c r="AJ3019" s="5" t="str">
        <f>TRIM(CLEAN(SalesData[[#This Row],[Retailer]]))</f>
        <v>Saxon Wheels</v>
      </c>
    </row>
    <row r="3020" spans="1:36" ht="14.25" x14ac:dyDescent="0.2">
      <c r="A3020" t="s">
        <v>4172</v>
      </c>
      <c r="B3020" s="1">
        <v>46074</v>
      </c>
      <c r="C3020" t="s">
        <v>62</v>
      </c>
      <c r="D3020" t="s">
        <v>151</v>
      </c>
      <c r="E3020" t="s">
        <v>42</v>
      </c>
      <c r="F3020" t="s">
        <v>101</v>
      </c>
      <c r="G3020" t="s">
        <v>102</v>
      </c>
      <c r="H3020" t="s">
        <v>103</v>
      </c>
      <c r="I3020" t="s">
        <v>30</v>
      </c>
      <c r="J3020" t="s">
        <v>166</v>
      </c>
      <c r="K3020" t="s">
        <v>32</v>
      </c>
      <c r="L3020" t="s">
        <v>46</v>
      </c>
      <c r="M3020" t="s">
        <v>34</v>
      </c>
      <c r="N3020" t="s">
        <v>69</v>
      </c>
      <c r="O3020" t="s">
        <v>36</v>
      </c>
      <c r="P3020" t="s">
        <v>37</v>
      </c>
      <c r="Q3020" t="s">
        <v>38</v>
      </c>
      <c r="R3020">
        <v>192</v>
      </c>
      <c r="S3020">
        <v>105</v>
      </c>
      <c r="T3020">
        <v>76</v>
      </c>
      <c r="U3020">
        <v>27</v>
      </c>
      <c r="V3020" t="s">
        <v>6889</v>
      </c>
      <c r="W3020">
        <v>54080</v>
      </c>
      <c r="X3020" t="s">
        <v>7218</v>
      </c>
      <c r="Y3020">
        <v>38791</v>
      </c>
      <c r="Z3020">
        <v>1460160</v>
      </c>
      <c r="AA3020">
        <v>412803</v>
      </c>
      <c r="AB3020" t="str">
        <f>(VLOOKUP(SalesData[[#This Row],[Month Number]],Reference!C$5:E$16,2,FALSE))</f>
        <v>Feb</v>
      </c>
      <c r="AC3020">
        <f>MONTH(SalesData[[#This Row],[Date]])</f>
        <v>2</v>
      </c>
      <c r="AD3020">
        <f>Reference!F$4</f>
        <v>2026</v>
      </c>
      <c r="AE3020" t="str">
        <f>IF(OR(SalesData[[#This Row],[Day]]="Saturday",SalesData[[#This Row],[Day]]="Sunday"),"Weekend","Weekday")</f>
        <v>Weekend</v>
      </c>
      <c r="AF3020" s="5">
        <f>IF(SalesData[[#This Row],[Contracts Offered]]=0,0,SalesData[[#This Row],[Contracts Signed]]/SalesData[[#This Row],[Contracts Offered]])</f>
        <v>0.35526315789473684</v>
      </c>
      <c r="AG3020" s="5">
        <f>IF(SalesData[[#This Row],[Customers Visited]]=0,0,SalesData[[#This Row],[Test Drives]]/SalesData[[#This Row],[Customers Visited]])</f>
        <v>0.546875</v>
      </c>
      <c r="AH3020" s="5">
        <f>IF(SalesData[[#This Row],[Customers Visited]]=0,0,SalesData[[#This Row],[Contracts Signed]]/SalesData[[#This Row],[Customers Visited]])</f>
        <v>0.140625</v>
      </c>
      <c r="AI3020" s="6">
        <f>IF(SalesData[[#This Row],[Contracts Signed]]=0,0,SalesData[[#This Row],[Profit(€)]]/SalesData[[#This Row],[Contracts Signed]])</f>
        <v>15289</v>
      </c>
      <c r="AJ3020" s="5" t="str">
        <f>TRIM(CLEAN(SalesData[[#This Row],[Retailer]]))</f>
        <v>Ruhr Auto Plaza</v>
      </c>
    </row>
    <row r="3021" spans="1:36" ht="14.25" hidden="1" x14ac:dyDescent="0.2">
      <c r="A3021" t="s">
        <v>4173</v>
      </c>
      <c r="B3021" s="1">
        <v>46063</v>
      </c>
      <c r="C3021" t="s">
        <v>121</v>
      </c>
      <c r="D3021" t="s">
        <v>63</v>
      </c>
      <c r="E3021" t="s">
        <v>26</v>
      </c>
      <c r="F3021" t="s">
        <v>74</v>
      </c>
      <c r="G3021" t="s">
        <v>75</v>
      </c>
      <c r="H3021" t="s">
        <v>76</v>
      </c>
      <c r="I3021" t="s">
        <v>64</v>
      </c>
      <c r="J3021" t="s">
        <v>77</v>
      </c>
      <c r="K3021" t="s">
        <v>66</v>
      </c>
      <c r="L3021" t="s">
        <v>46</v>
      </c>
      <c r="M3021" t="s">
        <v>68</v>
      </c>
      <c r="N3021" t="s">
        <v>35</v>
      </c>
      <c r="O3021" t="s">
        <v>70</v>
      </c>
      <c r="P3021" t="s">
        <v>37</v>
      </c>
      <c r="Q3021" t="s">
        <v>135</v>
      </c>
      <c r="R3021">
        <v>290</v>
      </c>
      <c r="S3021">
        <v>168</v>
      </c>
      <c r="T3021">
        <v>114</v>
      </c>
      <c r="U3021">
        <v>39</v>
      </c>
      <c r="V3021" t="s">
        <v>6557</v>
      </c>
      <c r="W3021">
        <v>56263</v>
      </c>
      <c r="X3021" t="s">
        <v>7344</v>
      </c>
      <c r="Y3021">
        <v>42306</v>
      </c>
      <c r="Z3021">
        <v>2194257</v>
      </c>
      <c r="AA3021">
        <v>544323</v>
      </c>
      <c r="AB3021" t="str">
        <f>(VLOOKUP(SalesData[[#This Row],[Month Number]],Reference!C$5:E$16,2,FALSE))</f>
        <v>Feb</v>
      </c>
      <c r="AC3021">
        <f>MONTH(SalesData[[#This Row],[Date]])</f>
        <v>2</v>
      </c>
      <c r="AD3021">
        <f>Reference!F$4</f>
        <v>2026</v>
      </c>
      <c r="AE3021" t="str">
        <f>IF(OR(SalesData[[#This Row],[Day]]="Saturday",SalesData[[#This Row],[Day]]="Sunday"),"Weekend","Weekday")</f>
        <v>Weekday</v>
      </c>
      <c r="AF3021" s="5">
        <f>IF(SalesData[[#This Row],[Contracts Offered]]=0,0,SalesData[[#This Row],[Contracts Signed]]/SalesData[[#This Row],[Contracts Offered]])</f>
        <v>0.34210526315789475</v>
      </c>
      <c r="AG3021" s="5">
        <f>IF(SalesData[[#This Row],[Customers Visited]]=0,0,SalesData[[#This Row],[Test Drives]]/SalesData[[#This Row],[Customers Visited]])</f>
        <v>0.57931034482758625</v>
      </c>
      <c r="AH3021" s="5">
        <f>IF(SalesData[[#This Row],[Customers Visited]]=0,0,SalesData[[#This Row],[Contracts Signed]]/SalesData[[#This Row],[Customers Visited]])</f>
        <v>0.13448275862068965</v>
      </c>
      <c r="AI3021" s="6">
        <f>IF(SalesData[[#This Row],[Contracts Signed]]=0,0,SalesData[[#This Row],[Profit(€)]]/SalesData[[#This Row],[Contracts Signed]])</f>
        <v>13957</v>
      </c>
      <c r="AJ3021" s="5" t="str">
        <f>TRIM(CLEAN(SalesData[[#This Row],[Retailer]]))</f>
        <v>Stuttgart Auto Center</v>
      </c>
    </row>
    <row r="3022" spans="1:36" ht="14.25" hidden="1" x14ac:dyDescent="0.2">
      <c r="A3022" t="s">
        <v>4174</v>
      </c>
      <c r="B3022" s="1">
        <v>46077</v>
      </c>
      <c r="C3022" t="s">
        <v>53</v>
      </c>
      <c r="D3022" t="s">
        <v>63</v>
      </c>
      <c r="E3022" t="s">
        <v>26</v>
      </c>
      <c r="F3022" t="s">
        <v>43</v>
      </c>
      <c r="G3022" t="s">
        <v>44</v>
      </c>
      <c r="H3022" t="s">
        <v>45</v>
      </c>
      <c r="I3022" t="s">
        <v>104</v>
      </c>
      <c r="J3022" t="s">
        <v>105</v>
      </c>
      <c r="K3022" t="s">
        <v>32</v>
      </c>
      <c r="L3022" t="s">
        <v>33</v>
      </c>
      <c r="M3022" t="s">
        <v>34</v>
      </c>
      <c r="N3022" t="s">
        <v>69</v>
      </c>
      <c r="O3022" t="s">
        <v>36</v>
      </c>
      <c r="P3022" t="s">
        <v>71</v>
      </c>
      <c r="Q3022" t="s">
        <v>106</v>
      </c>
      <c r="R3022">
        <v>296</v>
      </c>
      <c r="S3022">
        <v>165</v>
      </c>
      <c r="T3022">
        <v>110</v>
      </c>
      <c r="U3022">
        <v>24</v>
      </c>
      <c r="V3022" t="s">
        <v>4341</v>
      </c>
      <c r="W3022">
        <v>28136</v>
      </c>
      <c r="X3022" t="s">
        <v>544</v>
      </c>
      <c r="Y3022">
        <v>25500</v>
      </c>
      <c r="Z3022">
        <v>675264</v>
      </c>
      <c r="AA3022">
        <v>63264</v>
      </c>
      <c r="AB3022" t="str">
        <f>(VLOOKUP(SalesData[[#This Row],[Month Number]],Reference!C$5:E$16,2,FALSE))</f>
        <v>Feb</v>
      </c>
      <c r="AC3022">
        <f>MONTH(SalesData[[#This Row],[Date]])</f>
        <v>2</v>
      </c>
      <c r="AD3022">
        <f>Reference!F$4</f>
        <v>2026</v>
      </c>
      <c r="AE3022" t="str">
        <f>IF(OR(SalesData[[#This Row],[Day]]="Saturday",SalesData[[#This Row],[Day]]="Sunday"),"Weekend","Weekday")</f>
        <v>Weekday</v>
      </c>
      <c r="AF3022" s="5">
        <f>IF(SalesData[[#This Row],[Contracts Offered]]=0,0,SalesData[[#This Row],[Contracts Signed]]/SalesData[[#This Row],[Contracts Offered]])</f>
        <v>0.21818181818181817</v>
      </c>
      <c r="AG3022" s="5">
        <f>IF(SalesData[[#This Row],[Customers Visited]]=0,0,SalesData[[#This Row],[Test Drives]]/SalesData[[#This Row],[Customers Visited]])</f>
        <v>0.55743243243243246</v>
      </c>
      <c r="AH3022" s="5">
        <f>IF(SalesData[[#This Row],[Customers Visited]]=0,0,SalesData[[#This Row],[Contracts Signed]]/SalesData[[#This Row],[Customers Visited]])</f>
        <v>8.1081081081081086E-2</v>
      </c>
      <c r="AI3022" s="6">
        <f>IF(SalesData[[#This Row],[Contracts Signed]]=0,0,SalesData[[#This Row],[Profit(€)]]/SalesData[[#This Row],[Contracts Signed]])</f>
        <v>2636</v>
      </c>
      <c r="AJ3022" s="5" t="str">
        <f>TRIM(CLEAN(SalesData[[#This Row],[Retailer]]))</f>
        <v>Saxon Wheels</v>
      </c>
    </row>
    <row r="3023" spans="1:36" ht="14.25" hidden="1" x14ac:dyDescent="0.2">
      <c r="A3023" t="s">
        <v>4175</v>
      </c>
      <c r="B3023" s="1">
        <v>46068</v>
      </c>
      <c r="C3023" t="s">
        <v>62</v>
      </c>
      <c r="D3023" t="s">
        <v>41</v>
      </c>
      <c r="E3023" t="s">
        <v>42</v>
      </c>
      <c r="F3023" t="s">
        <v>109</v>
      </c>
      <c r="G3023" t="s">
        <v>110</v>
      </c>
      <c r="H3023" t="s">
        <v>45</v>
      </c>
      <c r="I3023" t="s">
        <v>64</v>
      </c>
      <c r="J3023" t="s">
        <v>111</v>
      </c>
      <c r="K3023" t="s">
        <v>66</v>
      </c>
      <c r="L3023" t="s">
        <v>46</v>
      </c>
      <c r="M3023" t="s">
        <v>47</v>
      </c>
      <c r="N3023" t="s">
        <v>48</v>
      </c>
      <c r="O3023" t="s">
        <v>36</v>
      </c>
      <c r="P3023" t="s">
        <v>37</v>
      </c>
      <c r="Q3023" t="s">
        <v>122</v>
      </c>
      <c r="R3023">
        <v>155</v>
      </c>
      <c r="S3023">
        <v>89</v>
      </c>
      <c r="T3023">
        <v>65</v>
      </c>
      <c r="U3023">
        <v>19</v>
      </c>
      <c r="V3023" t="s">
        <v>7141</v>
      </c>
      <c r="W3023">
        <v>53514</v>
      </c>
      <c r="X3023" t="s">
        <v>7045</v>
      </c>
      <c r="Y3023">
        <v>39685</v>
      </c>
      <c r="Z3023">
        <v>1016766</v>
      </c>
      <c r="AA3023">
        <v>262751</v>
      </c>
      <c r="AB3023" t="str">
        <f>(VLOOKUP(SalesData[[#This Row],[Month Number]],Reference!C$5:E$16,2,FALSE))</f>
        <v>Feb</v>
      </c>
      <c r="AC3023">
        <f>MONTH(SalesData[[#This Row],[Date]])</f>
        <v>2</v>
      </c>
      <c r="AD3023">
        <f>Reference!F$4</f>
        <v>2026</v>
      </c>
      <c r="AE3023" t="str">
        <f>IF(OR(SalesData[[#This Row],[Day]]="Saturday",SalesData[[#This Row],[Day]]="Sunday"),"Weekend","Weekday")</f>
        <v>Weekend</v>
      </c>
      <c r="AF3023" s="5">
        <f>IF(SalesData[[#This Row],[Contracts Offered]]=0,0,SalesData[[#This Row],[Contracts Signed]]/SalesData[[#This Row],[Contracts Offered]])</f>
        <v>0.29230769230769232</v>
      </c>
      <c r="AG3023" s="5">
        <f>IF(SalesData[[#This Row],[Customers Visited]]=0,0,SalesData[[#This Row],[Test Drives]]/SalesData[[#This Row],[Customers Visited]])</f>
        <v>0.5741935483870968</v>
      </c>
      <c r="AH3023" s="5">
        <f>IF(SalesData[[#This Row],[Customers Visited]]=0,0,SalesData[[#This Row],[Contracts Signed]]/SalesData[[#This Row],[Customers Visited]])</f>
        <v>0.12258064516129032</v>
      </c>
      <c r="AI3023" s="6">
        <f>IF(SalesData[[#This Row],[Contracts Signed]]=0,0,SalesData[[#This Row],[Profit(€)]]/SalesData[[#This Row],[Contracts Signed]])</f>
        <v>13829</v>
      </c>
      <c r="AJ3023" s="5" t="str">
        <f>TRIM(CLEAN(SalesData[[#This Row],[Retailer]]))</f>
        <v>Leipzig Mobility</v>
      </c>
    </row>
    <row r="3024" spans="1:36" ht="14.25" hidden="1" x14ac:dyDescent="0.2">
      <c r="A3024" t="s">
        <v>4176</v>
      </c>
      <c r="B3024" s="1">
        <v>46074</v>
      </c>
      <c r="C3024" t="s">
        <v>62</v>
      </c>
      <c r="D3024" t="s">
        <v>151</v>
      </c>
      <c r="E3024" t="s">
        <v>42</v>
      </c>
      <c r="F3024" t="s">
        <v>109</v>
      </c>
      <c r="G3024" t="s">
        <v>110</v>
      </c>
      <c r="H3024" t="s">
        <v>45</v>
      </c>
      <c r="I3024" t="s">
        <v>56</v>
      </c>
      <c r="J3024" t="s">
        <v>97</v>
      </c>
      <c r="K3024" t="s">
        <v>66</v>
      </c>
      <c r="L3024" t="s">
        <v>33</v>
      </c>
      <c r="M3024" t="s">
        <v>34</v>
      </c>
      <c r="N3024" t="s">
        <v>69</v>
      </c>
      <c r="O3024" t="s">
        <v>70</v>
      </c>
      <c r="P3024" t="s">
        <v>49</v>
      </c>
      <c r="Q3024" t="s">
        <v>88</v>
      </c>
      <c r="R3024">
        <v>303</v>
      </c>
      <c r="S3024">
        <v>166</v>
      </c>
      <c r="T3024">
        <v>115</v>
      </c>
      <c r="U3024">
        <v>29</v>
      </c>
      <c r="V3024" t="s">
        <v>4840</v>
      </c>
      <c r="W3024">
        <v>46781</v>
      </c>
      <c r="X3024" t="s">
        <v>944</v>
      </c>
      <c r="Y3024">
        <v>37040</v>
      </c>
      <c r="Z3024">
        <v>1356649</v>
      </c>
      <c r="AA3024">
        <v>282489</v>
      </c>
      <c r="AB3024" t="str">
        <f>(VLOOKUP(SalesData[[#This Row],[Month Number]],Reference!C$5:E$16,2,FALSE))</f>
        <v>Feb</v>
      </c>
      <c r="AC3024">
        <f>MONTH(SalesData[[#This Row],[Date]])</f>
        <v>2</v>
      </c>
      <c r="AD3024">
        <f>Reference!F$4</f>
        <v>2026</v>
      </c>
      <c r="AE3024" t="str">
        <f>IF(OR(SalesData[[#This Row],[Day]]="Saturday",SalesData[[#This Row],[Day]]="Sunday"),"Weekend","Weekday")</f>
        <v>Weekend</v>
      </c>
      <c r="AF3024" s="5">
        <f>IF(SalesData[[#This Row],[Contracts Offered]]=0,0,SalesData[[#This Row],[Contracts Signed]]/SalesData[[#This Row],[Contracts Offered]])</f>
        <v>0.25217391304347825</v>
      </c>
      <c r="AG3024" s="5">
        <f>IF(SalesData[[#This Row],[Customers Visited]]=0,0,SalesData[[#This Row],[Test Drives]]/SalesData[[#This Row],[Customers Visited]])</f>
        <v>0.54785478547854782</v>
      </c>
      <c r="AH3024" s="5">
        <f>IF(SalesData[[#This Row],[Customers Visited]]=0,0,SalesData[[#This Row],[Contracts Signed]]/SalesData[[#This Row],[Customers Visited]])</f>
        <v>9.5709570957095716E-2</v>
      </c>
      <c r="AI3024" s="6">
        <f>IF(SalesData[[#This Row],[Contracts Signed]]=0,0,SalesData[[#This Row],[Profit(€)]]/SalesData[[#This Row],[Contracts Signed]])</f>
        <v>9741</v>
      </c>
      <c r="AJ3024" s="5" t="str">
        <f>TRIM(CLEAN(SalesData[[#This Row],[Retailer]]))</f>
        <v>Leipzig Mobility</v>
      </c>
    </row>
    <row r="3025" spans="1:36" ht="14.25" hidden="1" x14ac:dyDescent="0.2">
      <c r="A3025" t="s">
        <v>4177</v>
      </c>
      <c r="B3025" s="1">
        <v>46081</v>
      </c>
      <c r="C3025" t="s">
        <v>53</v>
      </c>
      <c r="D3025" t="s">
        <v>151</v>
      </c>
      <c r="E3025" t="s">
        <v>42</v>
      </c>
      <c r="F3025" t="s">
        <v>127</v>
      </c>
      <c r="G3025" t="s">
        <v>128</v>
      </c>
      <c r="H3025" t="s">
        <v>103</v>
      </c>
      <c r="I3025" t="s">
        <v>104</v>
      </c>
      <c r="J3025" t="s">
        <v>143</v>
      </c>
      <c r="K3025" t="s">
        <v>66</v>
      </c>
      <c r="L3025" t="s">
        <v>67</v>
      </c>
      <c r="M3025" t="s">
        <v>68</v>
      </c>
      <c r="N3025" t="s">
        <v>48</v>
      </c>
      <c r="O3025" t="s">
        <v>70</v>
      </c>
      <c r="P3025" t="s">
        <v>37</v>
      </c>
      <c r="Q3025" t="s">
        <v>59</v>
      </c>
      <c r="R3025">
        <v>296</v>
      </c>
      <c r="S3025">
        <v>135</v>
      </c>
      <c r="T3025">
        <v>89</v>
      </c>
      <c r="U3025">
        <v>16</v>
      </c>
      <c r="V3025" t="s">
        <v>3021</v>
      </c>
      <c r="W3025">
        <v>26885</v>
      </c>
      <c r="X3025" t="s">
        <v>313</v>
      </c>
      <c r="Y3025">
        <v>23432</v>
      </c>
      <c r="Z3025">
        <v>430160</v>
      </c>
      <c r="AA3025">
        <v>55248</v>
      </c>
      <c r="AB3025" t="str">
        <f>(VLOOKUP(SalesData[[#This Row],[Month Number]],Reference!C$5:E$16,2,FALSE))</f>
        <v>Feb</v>
      </c>
      <c r="AC3025">
        <f>MONTH(SalesData[[#This Row],[Date]])</f>
        <v>2</v>
      </c>
      <c r="AD3025">
        <f>Reference!F$4</f>
        <v>2026</v>
      </c>
      <c r="AE3025" t="str">
        <f>IF(OR(SalesData[[#This Row],[Day]]="Saturday",SalesData[[#This Row],[Day]]="Sunday"),"Weekend","Weekday")</f>
        <v>Weekend</v>
      </c>
      <c r="AF3025" s="5">
        <f>IF(SalesData[[#This Row],[Contracts Offered]]=0,0,SalesData[[#This Row],[Contracts Signed]]/SalesData[[#This Row],[Contracts Offered]])</f>
        <v>0.1797752808988764</v>
      </c>
      <c r="AG3025" s="5">
        <f>IF(SalesData[[#This Row],[Customers Visited]]=0,0,SalesData[[#This Row],[Test Drives]]/SalesData[[#This Row],[Customers Visited]])</f>
        <v>0.45608108108108109</v>
      </c>
      <c r="AH3025" s="5">
        <f>IF(SalesData[[#This Row],[Customers Visited]]=0,0,SalesData[[#This Row],[Contracts Signed]]/SalesData[[#This Row],[Customers Visited]])</f>
        <v>5.4054054054054057E-2</v>
      </c>
      <c r="AI3025" s="6">
        <f>IF(SalesData[[#This Row],[Contracts Signed]]=0,0,SalesData[[#This Row],[Profit(€)]]/SalesData[[#This Row],[Contracts Signed]])</f>
        <v>3453</v>
      </c>
      <c r="AJ3025" s="5" t="str">
        <f>TRIM(CLEAN(SalesData[[#This Row],[Retailer]]))</f>
        <v>Rhein Auto Group</v>
      </c>
    </row>
    <row r="3026" spans="1:36" ht="14.25" hidden="1" x14ac:dyDescent="0.2">
      <c r="A3026" t="s">
        <v>4178</v>
      </c>
      <c r="B3026" s="1">
        <v>46057</v>
      </c>
      <c r="C3026" t="s">
        <v>24</v>
      </c>
      <c r="D3026" t="s">
        <v>82</v>
      </c>
      <c r="E3026" t="s">
        <v>26</v>
      </c>
      <c r="F3026" t="s">
        <v>27</v>
      </c>
      <c r="G3026" t="s">
        <v>28</v>
      </c>
      <c r="H3026" t="s">
        <v>29</v>
      </c>
      <c r="I3026" t="s">
        <v>116</v>
      </c>
      <c r="J3026" t="s">
        <v>132</v>
      </c>
      <c r="K3026" t="s">
        <v>78</v>
      </c>
      <c r="L3026" t="s">
        <v>46</v>
      </c>
      <c r="M3026" t="s">
        <v>47</v>
      </c>
      <c r="N3026" t="s">
        <v>48</v>
      </c>
      <c r="O3026" t="s">
        <v>36</v>
      </c>
      <c r="P3026" t="s">
        <v>71</v>
      </c>
      <c r="Q3026" t="s">
        <v>240</v>
      </c>
      <c r="R3026">
        <v>385</v>
      </c>
      <c r="S3026">
        <v>178</v>
      </c>
      <c r="T3026">
        <v>117</v>
      </c>
      <c r="U3026">
        <v>34</v>
      </c>
      <c r="V3026" t="s">
        <v>2355</v>
      </c>
      <c r="W3026">
        <v>24391</v>
      </c>
      <c r="X3026" t="s">
        <v>7520</v>
      </c>
      <c r="Y3026">
        <v>22571</v>
      </c>
      <c r="Z3026">
        <v>829294</v>
      </c>
      <c r="AA3026">
        <v>61880</v>
      </c>
      <c r="AB3026" t="str">
        <f>(VLOOKUP(SalesData[[#This Row],[Month Number]],Reference!C$5:E$16,2,FALSE))</f>
        <v>Feb</v>
      </c>
      <c r="AC3026">
        <f>MONTH(SalesData[[#This Row],[Date]])</f>
        <v>2</v>
      </c>
      <c r="AD3026">
        <f>Reference!F$4</f>
        <v>2026</v>
      </c>
      <c r="AE3026" t="str">
        <f>IF(OR(SalesData[[#This Row],[Day]]="Saturday",SalesData[[#This Row],[Day]]="Sunday"),"Weekend","Weekday")</f>
        <v>Weekday</v>
      </c>
      <c r="AF3026" s="5">
        <f>IF(SalesData[[#This Row],[Contracts Offered]]=0,0,SalesData[[#This Row],[Contracts Signed]]/SalesData[[#This Row],[Contracts Offered]])</f>
        <v>0.29059829059829062</v>
      </c>
      <c r="AG3026" s="5">
        <f>IF(SalesData[[#This Row],[Customers Visited]]=0,0,SalesData[[#This Row],[Test Drives]]/SalesData[[#This Row],[Customers Visited]])</f>
        <v>0.46233766233766233</v>
      </c>
      <c r="AH3026" s="5">
        <f>IF(SalesData[[#This Row],[Customers Visited]]=0,0,SalesData[[#This Row],[Contracts Signed]]/SalesData[[#This Row],[Customers Visited]])</f>
        <v>8.8311688311688313E-2</v>
      </c>
      <c r="AI3026" s="6">
        <f>IF(SalesData[[#This Row],[Contracts Signed]]=0,0,SalesData[[#This Row],[Profit(€)]]/SalesData[[#This Row],[Contracts Signed]])</f>
        <v>1820</v>
      </c>
      <c r="AJ3026" s="5" t="str">
        <f>TRIM(CLEAN(SalesData[[#This Row],[Retailer]]))</f>
        <v>Main Auto Hub</v>
      </c>
    </row>
    <row r="3027" spans="1:36" ht="14.25" x14ac:dyDescent="0.2">
      <c r="A3027" t="s">
        <v>4179</v>
      </c>
      <c r="B3027" s="1">
        <v>46080</v>
      </c>
      <c r="C3027" t="s">
        <v>53</v>
      </c>
      <c r="D3027" t="s">
        <v>54</v>
      </c>
      <c r="E3027" t="s">
        <v>26</v>
      </c>
      <c r="F3027" t="s">
        <v>7649</v>
      </c>
      <c r="G3027" t="s">
        <v>55</v>
      </c>
      <c r="H3027" t="s">
        <v>55</v>
      </c>
      <c r="I3027" t="s">
        <v>30</v>
      </c>
      <c r="J3027" t="s">
        <v>166</v>
      </c>
      <c r="K3027" t="s">
        <v>78</v>
      </c>
      <c r="L3027" t="s">
        <v>46</v>
      </c>
      <c r="M3027" t="s">
        <v>47</v>
      </c>
      <c r="N3027" t="s">
        <v>69</v>
      </c>
      <c r="O3027" t="s">
        <v>70</v>
      </c>
      <c r="P3027" t="s">
        <v>71</v>
      </c>
      <c r="Q3027" t="s">
        <v>144</v>
      </c>
      <c r="R3027">
        <v>198</v>
      </c>
      <c r="S3027">
        <v>96</v>
      </c>
      <c r="T3027">
        <v>69</v>
      </c>
      <c r="U3027">
        <v>26</v>
      </c>
      <c r="V3027" t="s">
        <v>6694</v>
      </c>
      <c r="W3027">
        <v>51932</v>
      </c>
      <c r="X3027" t="s">
        <v>7332</v>
      </c>
      <c r="Y3027">
        <v>38560</v>
      </c>
      <c r="Z3027">
        <v>1350232</v>
      </c>
      <c r="AA3027">
        <v>347672</v>
      </c>
      <c r="AB3027" t="str">
        <f>(VLOOKUP(SalesData[[#This Row],[Month Number]],Reference!C$5:E$16,2,FALSE))</f>
        <v>Feb</v>
      </c>
      <c r="AC3027">
        <f>MONTH(SalesData[[#This Row],[Date]])</f>
        <v>2</v>
      </c>
      <c r="AD3027">
        <f>Reference!F$4</f>
        <v>2026</v>
      </c>
      <c r="AE3027" t="str">
        <f>IF(OR(SalesData[[#This Row],[Day]]="Saturday",SalesData[[#This Row],[Day]]="Sunday"),"Weekend","Weekday")</f>
        <v>Weekday</v>
      </c>
      <c r="AF3027" s="5">
        <f>IF(SalesData[[#This Row],[Contracts Offered]]=0,0,SalesData[[#This Row],[Contracts Signed]]/SalesData[[#This Row],[Contracts Offered]])</f>
        <v>0.37681159420289856</v>
      </c>
      <c r="AG3027" s="5">
        <f>IF(SalesData[[#This Row],[Customers Visited]]=0,0,SalesData[[#This Row],[Test Drives]]/SalesData[[#This Row],[Customers Visited]])</f>
        <v>0.48484848484848486</v>
      </c>
      <c r="AH3027" s="5">
        <f>IF(SalesData[[#This Row],[Customers Visited]]=0,0,SalesData[[#This Row],[Contracts Signed]]/SalesData[[#This Row],[Customers Visited]])</f>
        <v>0.13131313131313133</v>
      </c>
      <c r="AI3027" s="6">
        <f>IF(SalesData[[#This Row],[Contracts Signed]]=0,0,SalesData[[#This Row],[Profit(€)]]/SalesData[[#This Row],[Contracts Signed]])</f>
        <v>13372</v>
      </c>
      <c r="AJ3027" s="5" t="str">
        <f>TRIM(CLEAN(SalesData[[#This Row],[Retailer]]))</f>
        <v>Autohaus Berlin</v>
      </c>
    </row>
    <row r="3028" spans="1:36" ht="14.25" hidden="1" x14ac:dyDescent="0.2">
      <c r="A3028" t="s">
        <v>4180</v>
      </c>
      <c r="B3028" s="1">
        <v>46071</v>
      </c>
      <c r="C3028" t="s">
        <v>62</v>
      </c>
      <c r="D3028" t="s">
        <v>82</v>
      </c>
      <c r="E3028" t="s">
        <v>26</v>
      </c>
      <c r="F3028" t="s">
        <v>7649</v>
      </c>
      <c r="G3028" t="s">
        <v>55</v>
      </c>
      <c r="H3028" t="s">
        <v>55</v>
      </c>
      <c r="I3028" t="s">
        <v>104</v>
      </c>
      <c r="J3028" t="s">
        <v>143</v>
      </c>
      <c r="K3028" t="s">
        <v>32</v>
      </c>
      <c r="L3028" t="s">
        <v>67</v>
      </c>
      <c r="M3028" t="s">
        <v>68</v>
      </c>
      <c r="N3028" t="s">
        <v>48</v>
      </c>
      <c r="O3028" t="s">
        <v>70</v>
      </c>
      <c r="P3028" t="s">
        <v>49</v>
      </c>
      <c r="Q3028" t="s">
        <v>50</v>
      </c>
      <c r="R3028">
        <v>353</v>
      </c>
      <c r="S3028">
        <v>192</v>
      </c>
      <c r="T3028">
        <v>124</v>
      </c>
      <c r="U3028">
        <v>26</v>
      </c>
      <c r="V3028" t="s">
        <v>581</v>
      </c>
      <c r="W3028">
        <v>28999</v>
      </c>
      <c r="X3028" t="s">
        <v>1233</v>
      </c>
      <c r="Y3028">
        <v>25198</v>
      </c>
      <c r="Z3028">
        <v>753974</v>
      </c>
      <c r="AA3028">
        <v>98826</v>
      </c>
      <c r="AB3028" t="str">
        <f>(VLOOKUP(SalesData[[#This Row],[Month Number]],Reference!C$5:E$16,2,FALSE))</f>
        <v>Feb</v>
      </c>
      <c r="AC3028">
        <f>MONTH(SalesData[[#This Row],[Date]])</f>
        <v>2</v>
      </c>
      <c r="AD3028">
        <f>Reference!F$4</f>
        <v>2026</v>
      </c>
      <c r="AE3028" t="str">
        <f>IF(OR(SalesData[[#This Row],[Day]]="Saturday",SalesData[[#This Row],[Day]]="Sunday"),"Weekend","Weekday")</f>
        <v>Weekday</v>
      </c>
      <c r="AF3028" s="5">
        <f>IF(SalesData[[#This Row],[Contracts Offered]]=0,0,SalesData[[#This Row],[Contracts Signed]]/SalesData[[#This Row],[Contracts Offered]])</f>
        <v>0.20967741935483872</v>
      </c>
      <c r="AG3028" s="5">
        <f>IF(SalesData[[#This Row],[Customers Visited]]=0,0,SalesData[[#This Row],[Test Drives]]/SalesData[[#This Row],[Customers Visited]])</f>
        <v>0.5439093484419264</v>
      </c>
      <c r="AH3028" s="5">
        <f>IF(SalesData[[#This Row],[Customers Visited]]=0,0,SalesData[[#This Row],[Contracts Signed]]/SalesData[[#This Row],[Customers Visited]])</f>
        <v>7.3654390934844188E-2</v>
      </c>
      <c r="AI3028" s="6">
        <f>IF(SalesData[[#This Row],[Contracts Signed]]=0,0,SalesData[[#This Row],[Profit(€)]]/SalesData[[#This Row],[Contracts Signed]])</f>
        <v>3801</v>
      </c>
      <c r="AJ3028" s="5" t="str">
        <f>TRIM(CLEAN(SalesData[[#This Row],[Retailer]]))</f>
        <v>Autohaus Berlin</v>
      </c>
    </row>
    <row r="3029" spans="1:36" ht="14.25" hidden="1" x14ac:dyDescent="0.2">
      <c r="A3029" t="s">
        <v>4181</v>
      </c>
      <c r="B3029" s="1">
        <v>46067</v>
      </c>
      <c r="C3029" t="s">
        <v>121</v>
      </c>
      <c r="D3029" t="s">
        <v>151</v>
      </c>
      <c r="E3029" t="s">
        <v>42</v>
      </c>
      <c r="F3029" t="s">
        <v>7649</v>
      </c>
      <c r="G3029" t="s">
        <v>55</v>
      </c>
      <c r="H3029" t="s">
        <v>55</v>
      </c>
      <c r="I3029" t="s">
        <v>104</v>
      </c>
      <c r="J3029" t="s">
        <v>7061</v>
      </c>
      <c r="K3029" t="s">
        <v>91</v>
      </c>
      <c r="L3029" t="s">
        <v>46</v>
      </c>
      <c r="M3029" t="s">
        <v>47</v>
      </c>
      <c r="N3029" t="s">
        <v>48</v>
      </c>
      <c r="O3029" t="s">
        <v>36</v>
      </c>
      <c r="P3029" t="s">
        <v>49</v>
      </c>
      <c r="Q3029" t="s">
        <v>129</v>
      </c>
      <c r="R3029">
        <v>366</v>
      </c>
      <c r="S3029">
        <v>166</v>
      </c>
      <c r="T3029">
        <v>115</v>
      </c>
      <c r="U3029">
        <v>24</v>
      </c>
      <c r="V3029" t="s">
        <v>1539</v>
      </c>
      <c r="W3029">
        <v>31968</v>
      </c>
      <c r="X3029" t="s">
        <v>220</v>
      </c>
      <c r="Y3029">
        <v>27767</v>
      </c>
      <c r="Z3029">
        <v>767232</v>
      </c>
      <c r="AA3029">
        <v>100824</v>
      </c>
      <c r="AB3029" t="str">
        <f>(VLOOKUP(SalesData[[#This Row],[Month Number]],Reference!C$5:E$16,2,FALSE))</f>
        <v>Feb</v>
      </c>
      <c r="AC3029">
        <f>MONTH(SalesData[[#This Row],[Date]])</f>
        <v>2</v>
      </c>
      <c r="AD3029">
        <f>Reference!F$4</f>
        <v>2026</v>
      </c>
      <c r="AE3029" t="str">
        <f>IF(OR(SalesData[[#This Row],[Day]]="Saturday",SalesData[[#This Row],[Day]]="Sunday"),"Weekend","Weekday")</f>
        <v>Weekend</v>
      </c>
      <c r="AF3029" s="5">
        <f>IF(SalesData[[#This Row],[Contracts Offered]]=0,0,SalesData[[#This Row],[Contracts Signed]]/SalesData[[#This Row],[Contracts Offered]])</f>
        <v>0.20869565217391303</v>
      </c>
      <c r="AG3029" s="5">
        <f>IF(SalesData[[#This Row],[Customers Visited]]=0,0,SalesData[[#This Row],[Test Drives]]/SalesData[[#This Row],[Customers Visited]])</f>
        <v>0.45355191256830601</v>
      </c>
      <c r="AH3029" s="5">
        <f>IF(SalesData[[#This Row],[Customers Visited]]=0,0,SalesData[[#This Row],[Contracts Signed]]/SalesData[[#This Row],[Customers Visited]])</f>
        <v>6.5573770491803282E-2</v>
      </c>
      <c r="AI3029" s="6">
        <f>IF(SalesData[[#This Row],[Contracts Signed]]=0,0,SalesData[[#This Row],[Profit(€)]]/SalesData[[#This Row],[Contracts Signed]])</f>
        <v>4201</v>
      </c>
      <c r="AJ3029" s="5" t="str">
        <f>TRIM(CLEAN(SalesData[[#This Row],[Retailer]]))</f>
        <v>Autohaus Berlin</v>
      </c>
    </row>
    <row r="3030" spans="1:36" ht="14.25" hidden="1" x14ac:dyDescent="0.2">
      <c r="A3030" t="s">
        <v>4182</v>
      </c>
      <c r="B3030" s="1">
        <v>46075</v>
      </c>
      <c r="C3030" t="s">
        <v>53</v>
      </c>
      <c r="D3030" t="s">
        <v>41</v>
      </c>
      <c r="E3030" t="s">
        <v>42</v>
      </c>
      <c r="F3030" t="s">
        <v>27</v>
      </c>
      <c r="G3030" t="s">
        <v>28</v>
      </c>
      <c r="H3030" t="s">
        <v>29</v>
      </c>
      <c r="I3030" t="s">
        <v>56</v>
      </c>
      <c r="J3030" t="s">
        <v>137</v>
      </c>
      <c r="K3030" t="s">
        <v>66</v>
      </c>
      <c r="L3030" t="s">
        <v>46</v>
      </c>
      <c r="M3030" t="s">
        <v>87</v>
      </c>
      <c r="N3030" t="s">
        <v>35</v>
      </c>
      <c r="O3030" t="s">
        <v>36</v>
      </c>
      <c r="P3030" t="s">
        <v>58</v>
      </c>
      <c r="Q3030" t="s">
        <v>204</v>
      </c>
      <c r="R3030">
        <v>301</v>
      </c>
      <c r="S3030">
        <v>143</v>
      </c>
      <c r="T3030">
        <v>110</v>
      </c>
      <c r="U3030">
        <v>38</v>
      </c>
      <c r="V3030" t="s">
        <v>6916</v>
      </c>
      <c r="W3030">
        <v>53447</v>
      </c>
      <c r="X3030" t="s">
        <v>3045</v>
      </c>
      <c r="Y3030">
        <v>42818</v>
      </c>
      <c r="Z3030">
        <v>2030986</v>
      </c>
      <c r="AA3030">
        <v>403902</v>
      </c>
      <c r="AB3030" t="str">
        <f>(VLOOKUP(SalesData[[#This Row],[Month Number]],Reference!C$5:E$16,2,FALSE))</f>
        <v>Feb</v>
      </c>
      <c r="AC3030">
        <f>MONTH(SalesData[[#This Row],[Date]])</f>
        <v>2</v>
      </c>
      <c r="AD3030">
        <f>Reference!F$4</f>
        <v>2026</v>
      </c>
      <c r="AE3030" t="str">
        <f>IF(OR(SalesData[[#This Row],[Day]]="Saturday",SalesData[[#This Row],[Day]]="Sunday"),"Weekend","Weekday")</f>
        <v>Weekend</v>
      </c>
      <c r="AF3030" s="5">
        <f>IF(SalesData[[#This Row],[Contracts Offered]]=0,0,SalesData[[#This Row],[Contracts Signed]]/SalesData[[#This Row],[Contracts Offered]])</f>
        <v>0.34545454545454546</v>
      </c>
      <c r="AG3030" s="5">
        <f>IF(SalesData[[#This Row],[Customers Visited]]=0,0,SalesData[[#This Row],[Test Drives]]/SalesData[[#This Row],[Customers Visited]])</f>
        <v>0.47508305647840532</v>
      </c>
      <c r="AH3030" s="5">
        <f>IF(SalesData[[#This Row],[Customers Visited]]=0,0,SalesData[[#This Row],[Contracts Signed]]/SalesData[[#This Row],[Customers Visited]])</f>
        <v>0.12624584717607973</v>
      </c>
      <c r="AI3030" s="6">
        <f>IF(SalesData[[#This Row],[Contracts Signed]]=0,0,SalesData[[#This Row],[Profit(€)]]/SalesData[[#This Row],[Contracts Signed]])</f>
        <v>10629</v>
      </c>
      <c r="AJ3030" s="5" t="str">
        <f>TRIM(CLEAN(SalesData[[#This Row],[Retailer]]))</f>
        <v>Main Auto Hub</v>
      </c>
    </row>
    <row r="3031" spans="1:36" ht="14.25" hidden="1" x14ac:dyDescent="0.2">
      <c r="A3031" t="s">
        <v>4183</v>
      </c>
      <c r="B3031" s="1">
        <v>46076</v>
      </c>
      <c r="C3031" t="s">
        <v>53</v>
      </c>
      <c r="D3031" t="s">
        <v>25</v>
      </c>
      <c r="E3031" t="s">
        <v>26</v>
      </c>
      <c r="F3031" t="s">
        <v>83</v>
      </c>
      <c r="G3031" t="s">
        <v>84</v>
      </c>
      <c r="H3031" t="s">
        <v>85</v>
      </c>
      <c r="I3031" t="s">
        <v>64</v>
      </c>
      <c r="J3031" t="s">
        <v>157</v>
      </c>
      <c r="K3031" t="s">
        <v>32</v>
      </c>
      <c r="L3031" t="s">
        <v>33</v>
      </c>
      <c r="M3031" t="s">
        <v>87</v>
      </c>
      <c r="N3031" t="s">
        <v>48</v>
      </c>
      <c r="O3031" t="s">
        <v>36</v>
      </c>
      <c r="P3031" t="s">
        <v>49</v>
      </c>
      <c r="Q3031" t="s">
        <v>118</v>
      </c>
      <c r="R3031">
        <v>210</v>
      </c>
      <c r="S3031">
        <v>125</v>
      </c>
      <c r="T3031">
        <v>88</v>
      </c>
      <c r="U3031">
        <v>30</v>
      </c>
      <c r="V3031" t="s">
        <v>6629</v>
      </c>
      <c r="W3031">
        <v>49856</v>
      </c>
      <c r="X3031" t="s">
        <v>2693</v>
      </c>
      <c r="Y3031">
        <v>36302</v>
      </c>
      <c r="Z3031">
        <v>1495680</v>
      </c>
      <c r="AA3031">
        <v>406620</v>
      </c>
      <c r="AB3031" t="str">
        <f>(VLOOKUP(SalesData[[#This Row],[Month Number]],Reference!C$5:E$16,2,FALSE))</f>
        <v>Feb</v>
      </c>
      <c r="AC3031">
        <f>MONTH(SalesData[[#This Row],[Date]])</f>
        <v>2</v>
      </c>
      <c r="AD3031">
        <f>Reference!F$4</f>
        <v>2026</v>
      </c>
      <c r="AE3031" t="str">
        <f>IF(OR(SalesData[[#This Row],[Day]]="Saturday",SalesData[[#This Row],[Day]]="Sunday"),"Weekend","Weekday")</f>
        <v>Weekday</v>
      </c>
      <c r="AF3031" s="5">
        <f>IF(SalesData[[#This Row],[Contracts Offered]]=0,0,SalesData[[#This Row],[Contracts Signed]]/SalesData[[#This Row],[Contracts Offered]])</f>
        <v>0.34090909090909088</v>
      </c>
      <c r="AG3031" s="5">
        <f>IF(SalesData[[#This Row],[Customers Visited]]=0,0,SalesData[[#This Row],[Test Drives]]/SalesData[[#This Row],[Customers Visited]])</f>
        <v>0.59523809523809523</v>
      </c>
      <c r="AH3031" s="5">
        <f>IF(SalesData[[#This Row],[Customers Visited]]=0,0,SalesData[[#This Row],[Contracts Signed]]/SalesData[[#This Row],[Customers Visited]])</f>
        <v>0.14285714285714285</v>
      </c>
      <c r="AI3031" s="6">
        <f>IF(SalesData[[#This Row],[Contracts Signed]]=0,0,SalesData[[#This Row],[Profit(€)]]/SalesData[[#This Row],[Contracts Signed]])</f>
        <v>13554</v>
      </c>
      <c r="AJ3031" s="5" t="str">
        <f>TRIM(CLEAN(SalesData[[#This Row],[Retailer]]))</f>
        <v>Hannover Cars</v>
      </c>
    </row>
    <row r="3032" spans="1:36" ht="14.25" x14ac:dyDescent="0.2">
      <c r="A3032" t="s">
        <v>4185</v>
      </c>
      <c r="B3032" s="1">
        <v>46061</v>
      </c>
      <c r="C3032" t="s">
        <v>121</v>
      </c>
      <c r="D3032" t="s">
        <v>41</v>
      </c>
      <c r="E3032" t="s">
        <v>42</v>
      </c>
      <c r="F3032" t="s">
        <v>43</v>
      </c>
      <c r="G3032" t="s">
        <v>44</v>
      </c>
      <c r="H3032" t="s">
        <v>45</v>
      </c>
      <c r="I3032" t="s">
        <v>30</v>
      </c>
      <c r="J3032" t="s">
        <v>86</v>
      </c>
      <c r="K3032" t="s">
        <v>66</v>
      </c>
      <c r="L3032" t="s">
        <v>33</v>
      </c>
      <c r="M3032" t="s">
        <v>47</v>
      </c>
      <c r="N3032" t="s">
        <v>35</v>
      </c>
      <c r="O3032" t="s">
        <v>36</v>
      </c>
      <c r="P3032" t="s">
        <v>71</v>
      </c>
      <c r="Q3032" t="s">
        <v>129</v>
      </c>
      <c r="R3032">
        <v>198</v>
      </c>
      <c r="S3032">
        <v>101</v>
      </c>
      <c r="T3032">
        <v>68</v>
      </c>
      <c r="U3032">
        <v>26</v>
      </c>
      <c r="V3032" t="s">
        <v>6599</v>
      </c>
      <c r="W3032">
        <v>65329</v>
      </c>
      <c r="X3032" t="s">
        <v>7577</v>
      </c>
      <c r="Y3032">
        <v>49902</v>
      </c>
      <c r="Z3032">
        <v>1698554</v>
      </c>
      <c r="AA3032">
        <v>401102</v>
      </c>
      <c r="AB3032" t="str">
        <f>(VLOOKUP(SalesData[[#This Row],[Month Number]],Reference!C$5:E$16,2,FALSE))</f>
        <v>Feb</v>
      </c>
      <c r="AC3032">
        <f>MONTH(SalesData[[#This Row],[Date]])</f>
        <v>2</v>
      </c>
      <c r="AD3032">
        <f>Reference!F$4</f>
        <v>2026</v>
      </c>
      <c r="AE3032" t="str">
        <f>IF(OR(SalesData[[#This Row],[Day]]="Saturday",SalesData[[#This Row],[Day]]="Sunday"),"Weekend","Weekday")</f>
        <v>Weekend</v>
      </c>
      <c r="AF3032" s="5">
        <f>IF(SalesData[[#This Row],[Contracts Offered]]=0,0,SalesData[[#This Row],[Contracts Signed]]/SalesData[[#This Row],[Contracts Offered]])</f>
        <v>0.38235294117647056</v>
      </c>
      <c r="AG3032" s="5">
        <f>IF(SalesData[[#This Row],[Customers Visited]]=0,0,SalesData[[#This Row],[Test Drives]]/SalesData[[#This Row],[Customers Visited]])</f>
        <v>0.51010101010101006</v>
      </c>
      <c r="AH3032" s="5">
        <f>IF(SalesData[[#This Row],[Customers Visited]]=0,0,SalesData[[#This Row],[Contracts Signed]]/SalesData[[#This Row],[Customers Visited]])</f>
        <v>0.13131313131313133</v>
      </c>
      <c r="AI3032" s="6">
        <f>IF(SalesData[[#This Row],[Contracts Signed]]=0,0,SalesData[[#This Row],[Profit(€)]]/SalesData[[#This Row],[Contracts Signed]])</f>
        <v>15427</v>
      </c>
      <c r="AJ3032" s="5" t="str">
        <f>TRIM(CLEAN(SalesData[[#This Row],[Retailer]]))</f>
        <v>Saxon Wheels</v>
      </c>
    </row>
    <row r="3033" spans="1:36" ht="14.25" hidden="1" x14ac:dyDescent="0.2">
      <c r="A3033" t="s">
        <v>4186</v>
      </c>
      <c r="B3033" s="1">
        <v>46072</v>
      </c>
      <c r="C3033" t="s">
        <v>62</v>
      </c>
      <c r="D3033" t="s">
        <v>100</v>
      </c>
      <c r="E3033" t="s">
        <v>26</v>
      </c>
      <c r="F3033" t="s">
        <v>7649</v>
      </c>
      <c r="G3033" t="s">
        <v>55</v>
      </c>
      <c r="H3033" t="s">
        <v>55</v>
      </c>
      <c r="I3033" t="s">
        <v>104</v>
      </c>
      <c r="J3033" t="s">
        <v>7061</v>
      </c>
      <c r="K3033" t="s">
        <v>66</v>
      </c>
      <c r="L3033" t="s">
        <v>46</v>
      </c>
      <c r="M3033" t="s">
        <v>34</v>
      </c>
      <c r="N3033" t="s">
        <v>69</v>
      </c>
      <c r="O3033" t="s">
        <v>70</v>
      </c>
      <c r="P3033" t="s">
        <v>71</v>
      </c>
      <c r="Q3033" t="s">
        <v>172</v>
      </c>
      <c r="R3033">
        <v>319</v>
      </c>
      <c r="S3033">
        <v>158</v>
      </c>
      <c r="T3033">
        <v>94</v>
      </c>
      <c r="U3033">
        <v>26</v>
      </c>
      <c r="V3033" t="s">
        <v>618</v>
      </c>
      <c r="W3033">
        <v>33193</v>
      </c>
      <c r="X3033" t="s">
        <v>1084</v>
      </c>
      <c r="Y3033">
        <v>29710</v>
      </c>
      <c r="Z3033">
        <v>863018</v>
      </c>
      <c r="AA3033">
        <v>90558</v>
      </c>
      <c r="AB3033" t="str">
        <f>(VLOOKUP(SalesData[[#This Row],[Month Number]],Reference!C$5:E$16,2,FALSE))</f>
        <v>Feb</v>
      </c>
      <c r="AC3033">
        <f>MONTH(SalesData[[#This Row],[Date]])</f>
        <v>2</v>
      </c>
      <c r="AD3033">
        <f>Reference!F$4</f>
        <v>2026</v>
      </c>
      <c r="AE3033" t="str">
        <f>IF(OR(SalesData[[#This Row],[Day]]="Saturday",SalesData[[#This Row],[Day]]="Sunday"),"Weekend","Weekday")</f>
        <v>Weekday</v>
      </c>
      <c r="AF3033" s="5">
        <f>IF(SalesData[[#This Row],[Contracts Offered]]=0,0,SalesData[[#This Row],[Contracts Signed]]/SalesData[[#This Row],[Contracts Offered]])</f>
        <v>0.27659574468085107</v>
      </c>
      <c r="AG3033" s="5">
        <f>IF(SalesData[[#This Row],[Customers Visited]]=0,0,SalesData[[#This Row],[Test Drives]]/SalesData[[#This Row],[Customers Visited]])</f>
        <v>0.4952978056426332</v>
      </c>
      <c r="AH3033" s="5">
        <f>IF(SalesData[[#This Row],[Customers Visited]]=0,0,SalesData[[#This Row],[Contracts Signed]]/SalesData[[#This Row],[Customers Visited]])</f>
        <v>8.1504702194357362E-2</v>
      </c>
      <c r="AI3033" s="6">
        <f>IF(SalesData[[#This Row],[Contracts Signed]]=0,0,SalesData[[#This Row],[Profit(€)]]/SalesData[[#This Row],[Contracts Signed]])</f>
        <v>3483</v>
      </c>
      <c r="AJ3033" s="5" t="str">
        <f>TRIM(CLEAN(SalesData[[#This Row],[Retailer]]))</f>
        <v>Autohaus Berlin</v>
      </c>
    </row>
    <row r="3034" spans="1:36" ht="14.25" hidden="1" x14ac:dyDescent="0.2">
      <c r="A3034" t="s">
        <v>4187</v>
      </c>
      <c r="B3034" s="1">
        <v>46055</v>
      </c>
      <c r="C3034" t="s">
        <v>24</v>
      </c>
      <c r="D3034" t="s">
        <v>25</v>
      </c>
      <c r="E3034" t="s">
        <v>26</v>
      </c>
      <c r="F3034" t="s">
        <v>27</v>
      </c>
      <c r="G3034" t="s">
        <v>28</v>
      </c>
      <c r="H3034" t="s">
        <v>29</v>
      </c>
      <c r="I3034" t="s">
        <v>116</v>
      </c>
      <c r="J3034" t="s">
        <v>7090</v>
      </c>
      <c r="K3034" t="s">
        <v>78</v>
      </c>
      <c r="L3034" t="s">
        <v>46</v>
      </c>
      <c r="M3034" t="s">
        <v>34</v>
      </c>
      <c r="N3034" t="s">
        <v>69</v>
      </c>
      <c r="O3034" t="s">
        <v>36</v>
      </c>
      <c r="P3034" t="s">
        <v>58</v>
      </c>
      <c r="Q3034" t="s">
        <v>167</v>
      </c>
      <c r="R3034">
        <v>424</v>
      </c>
      <c r="S3034">
        <v>233</v>
      </c>
      <c r="T3034">
        <v>155</v>
      </c>
      <c r="U3034">
        <v>46</v>
      </c>
      <c r="V3034" t="s">
        <v>3828</v>
      </c>
      <c r="W3034">
        <v>26898</v>
      </c>
      <c r="X3034" t="s">
        <v>563</v>
      </c>
      <c r="Y3034">
        <v>24333</v>
      </c>
      <c r="Z3034">
        <v>1237308</v>
      </c>
      <c r="AA3034">
        <v>117990</v>
      </c>
      <c r="AB3034" t="str">
        <f>(VLOOKUP(SalesData[[#This Row],[Month Number]],Reference!C$5:E$16,2,FALSE))</f>
        <v>Feb</v>
      </c>
      <c r="AC3034">
        <f>MONTH(SalesData[[#This Row],[Date]])</f>
        <v>2</v>
      </c>
      <c r="AD3034">
        <f>Reference!F$4</f>
        <v>2026</v>
      </c>
      <c r="AE3034" t="str">
        <f>IF(OR(SalesData[[#This Row],[Day]]="Saturday",SalesData[[#This Row],[Day]]="Sunday"),"Weekend","Weekday")</f>
        <v>Weekday</v>
      </c>
      <c r="AF3034" s="5">
        <f>IF(SalesData[[#This Row],[Contracts Offered]]=0,0,SalesData[[#This Row],[Contracts Signed]]/SalesData[[#This Row],[Contracts Offered]])</f>
        <v>0.29677419354838708</v>
      </c>
      <c r="AG3034" s="5">
        <f>IF(SalesData[[#This Row],[Customers Visited]]=0,0,SalesData[[#This Row],[Test Drives]]/SalesData[[#This Row],[Customers Visited]])</f>
        <v>0.54952830188679247</v>
      </c>
      <c r="AH3034" s="5">
        <f>IF(SalesData[[#This Row],[Customers Visited]]=0,0,SalesData[[#This Row],[Contracts Signed]]/SalesData[[#This Row],[Customers Visited]])</f>
        <v>0.10849056603773585</v>
      </c>
      <c r="AI3034" s="6">
        <f>IF(SalesData[[#This Row],[Contracts Signed]]=0,0,SalesData[[#This Row],[Profit(€)]]/SalesData[[#This Row],[Contracts Signed]])</f>
        <v>2565</v>
      </c>
      <c r="AJ3034" s="5" t="str">
        <f>TRIM(CLEAN(SalesData[[#This Row],[Retailer]]))</f>
        <v>Main Auto Hub</v>
      </c>
    </row>
    <row r="3035" spans="1:36" ht="14.25" hidden="1" x14ac:dyDescent="0.2">
      <c r="A3035" t="s">
        <v>4188</v>
      </c>
      <c r="B3035" s="1">
        <v>46079</v>
      </c>
      <c r="C3035" t="s">
        <v>53</v>
      </c>
      <c r="D3035" t="s">
        <v>100</v>
      </c>
      <c r="E3035" t="s">
        <v>26</v>
      </c>
      <c r="F3035" t="s">
        <v>43</v>
      </c>
      <c r="G3035" t="s">
        <v>44</v>
      </c>
      <c r="H3035" t="s">
        <v>45</v>
      </c>
      <c r="I3035" t="s">
        <v>104</v>
      </c>
      <c r="J3035" t="s">
        <v>140</v>
      </c>
      <c r="K3035" t="s">
        <v>91</v>
      </c>
      <c r="L3035" t="s">
        <v>46</v>
      </c>
      <c r="M3035" t="s">
        <v>87</v>
      </c>
      <c r="N3035" t="s">
        <v>35</v>
      </c>
      <c r="O3035" t="s">
        <v>70</v>
      </c>
      <c r="P3035" t="s">
        <v>49</v>
      </c>
      <c r="Q3035" t="s">
        <v>129</v>
      </c>
      <c r="R3035">
        <v>503</v>
      </c>
      <c r="S3035">
        <v>222</v>
      </c>
      <c r="T3035">
        <v>132</v>
      </c>
      <c r="U3035">
        <v>32</v>
      </c>
      <c r="V3035" t="s">
        <v>807</v>
      </c>
      <c r="W3035">
        <v>31874</v>
      </c>
      <c r="X3035" t="s">
        <v>7249</v>
      </c>
      <c r="Y3035">
        <v>28952</v>
      </c>
      <c r="Z3035">
        <v>1019968</v>
      </c>
      <c r="AA3035">
        <v>93504</v>
      </c>
      <c r="AB3035" t="str">
        <f>(VLOOKUP(SalesData[[#This Row],[Month Number]],Reference!C$5:E$16,2,FALSE))</f>
        <v>Feb</v>
      </c>
      <c r="AC3035">
        <f>MONTH(SalesData[[#This Row],[Date]])</f>
        <v>2</v>
      </c>
      <c r="AD3035">
        <f>Reference!F$4</f>
        <v>2026</v>
      </c>
      <c r="AE3035" t="str">
        <f>IF(OR(SalesData[[#This Row],[Day]]="Saturday",SalesData[[#This Row],[Day]]="Sunday"),"Weekend","Weekday")</f>
        <v>Weekday</v>
      </c>
      <c r="AF3035" s="5">
        <f>IF(SalesData[[#This Row],[Contracts Offered]]=0,0,SalesData[[#This Row],[Contracts Signed]]/SalesData[[#This Row],[Contracts Offered]])</f>
        <v>0.24242424242424243</v>
      </c>
      <c r="AG3035" s="5">
        <f>IF(SalesData[[#This Row],[Customers Visited]]=0,0,SalesData[[#This Row],[Test Drives]]/SalesData[[#This Row],[Customers Visited]])</f>
        <v>0.44135188866799202</v>
      </c>
      <c r="AH3035" s="5">
        <f>IF(SalesData[[#This Row],[Customers Visited]]=0,0,SalesData[[#This Row],[Contracts Signed]]/SalesData[[#This Row],[Customers Visited]])</f>
        <v>6.3618290258449298E-2</v>
      </c>
      <c r="AI3035" s="6">
        <f>IF(SalesData[[#This Row],[Contracts Signed]]=0,0,SalesData[[#This Row],[Profit(€)]]/SalesData[[#This Row],[Contracts Signed]])</f>
        <v>2922</v>
      </c>
      <c r="AJ3035" s="5" t="str">
        <f>TRIM(CLEAN(SalesData[[#This Row],[Retailer]]))</f>
        <v>Saxon Wheels</v>
      </c>
    </row>
    <row r="3036" spans="1:36" ht="14.25" hidden="1" x14ac:dyDescent="0.2">
      <c r="A3036" t="s">
        <v>4189</v>
      </c>
      <c r="B3036" s="1">
        <v>46060</v>
      </c>
      <c r="C3036" t="s">
        <v>24</v>
      </c>
      <c r="D3036" t="s">
        <v>151</v>
      </c>
      <c r="E3036" t="s">
        <v>42</v>
      </c>
      <c r="F3036" t="s">
        <v>109</v>
      </c>
      <c r="G3036" t="s">
        <v>110</v>
      </c>
      <c r="H3036" t="s">
        <v>45</v>
      </c>
      <c r="I3036" t="s">
        <v>64</v>
      </c>
      <c r="J3036" t="s">
        <v>77</v>
      </c>
      <c r="K3036" t="s">
        <v>91</v>
      </c>
      <c r="L3036" t="s">
        <v>46</v>
      </c>
      <c r="M3036" t="s">
        <v>87</v>
      </c>
      <c r="N3036" t="s">
        <v>48</v>
      </c>
      <c r="O3036" t="s">
        <v>70</v>
      </c>
      <c r="P3036" t="s">
        <v>71</v>
      </c>
      <c r="Q3036" t="s">
        <v>118</v>
      </c>
      <c r="R3036">
        <v>203</v>
      </c>
      <c r="S3036">
        <v>108</v>
      </c>
      <c r="T3036">
        <v>74</v>
      </c>
      <c r="U3036">
        <v>24</v>
      </c>
      <c r="V3036" t="s">
        <v>6433</v>
      </c>
      <c r="W3036">
        <v>65982</v>
      </c>
      <c r="X3036" t="s">
        <v>7390</v>
      </c>
      <c r="Y3036">
        <v>50448</v>
      </c>
      <c r="Z3036">
        <v>1583568</v>
      </c>
      <c r="AA3036">
        <v>372816</v>
      </c>
      <c r="AB3036" t="str">
        <f>(VLOOKUP(SalesData[[#This Row],[Month Number]],Reference!C$5:E$16,2,FALSE))</f>
        <v>Feb</v>
      </c>
      <c r="AC3036">
        <f>MONTH(SalesData[[#This Row],[Date]])</f>
        <v>2</v>
      </c>
      <c r="AD3036">
        <f>Reference!F$4</f>
        <v>2026</v>
      </c>
      <c r="AE3036" t="str">
        <f>IF(OR(SalesData[[#This Row],[Day]]="Saturday",SalesData[[#This Row],[Day]]="Sunday"),"Weekend","Weekday")</f>
        <v>Weekend</v>
      </c>
      <c r="AF3036" s="5">
        <f>IF(SalesData[[#This Row],[Contracts Offered]]=0,0,SalesData[[#This Row],[Contracts Signed]]/SalesData[[#This Row],[Contracts Offered]])</f>
        <v>0.32432432432432434</v>
      </c>
      <c r="AG3036" s="5">
        <f>IF(SalesData[[#This Row],[Customers Visited]]=0,0,SalesData[[#This Row],[Test Drives]]/SalesData[[#This Row],[Customers Visited]])</f>
        <v>0.53201970443349755</v>
      </c>
      <c r="AH3036" s="5">
        <f>IF(SalesData[[#This Row],[Customers Visited]]=0,0,SalesData[[#This Row],[Contracts Signed]]/SalesData[[#This Row],[Customers Visited]])</f>
        <v>0.11822660098522167</v>
      </c>
      <c r="AI3036" s="6">
        <f>IF(SalesData[[#This Row],[Contracts Signed]]=0,0,SalesData[[#This Row],[Profit(€)]]/SalesData[[#This Row],[Contracts Signed]])</f>
        <v>15534</v>
      </c>
      <c r="AJ3036" s="5" t="str">
        <f>TRIM(CLEAN(SalesData[[#This Row],[Retailer]]))</f>
        <v>Leipzig Mobility</v>
      </c>
    </row>
    <row r="3037" spans="1:36" ht="14.25" hidden="1" x14ac:dyDescent="0.2">
      <c r="A3037" t="s">
        <v>4190</v>
      </c>
      <c r="B3037" s="1">
        <v>46078</v>
      </c>
      <c r="C3037" t="s">
        <v>53</v>
      </c>
      <c r="D3037" t="s">
        <v>82</v>
      </c>
      <c r="E3037" t="s">
        <v>26</v>
      </c>
      <c r="F3037" t="s">
        <v>127</v>
      </c>
      <c r="G3037" t="s">
        <v>128</v>
      </c>
      <c r="H3037" t="s">
        <v>103</v>
      </c>
      <c r="I3037" t="s">
        <v>104</v>
      </c>
      <c r="J3037" t="s">
        <v>143</v>
      </c>
      <c r="K3037" t="s">
        <v>78</v>
      </c>
      <c r="L3037" t="s">
        <v>67</v>
      </c>
      <c r="M3037" t="s">
        <v>47</v>
      </c>
      <c r="N3037" t="s">
        <v>69</v>
      </c>
      <c r="O3037" t="s">
        <v>36</v>
      </c>
      <c r="P3037" t="s">
        <v>37</v>
      </c>
      <c r="Q3037" t="s">
        <v>122</v>
      </c>
      <c r="R3037">
        <v>515</v>
      </c>
      <c r="S3037">
        <v>263</v>
      </c>
      <c r="T3037">
        <v>153</v>
      </c>
      <c r="U3037">
        <v>45</v>
      </c>
      <c r="V3037" t="s">
        <v>468</v>
      </c>
      <c r="W3037">
        <v>28715</v>
      </c>
      <c r="X3037" t="s">
        <v>913</v>
      </c>
      <c r="Y3037">
        <v>24877</v>
      </c>
      <c r="Z3037">
        <v>1292175</v>
      </c>
      <c r="AA3037">
        <v>172710</v>
      </c>
      <c r="AB3037" t="str">
        <f>(VLOOKUP(SalesData[[#This Row],[Month Number]],Reference!C$5:E$16,2,FALSE))</f>
        <v>Feb</v>
      </c>
      <c r="AC3037">
        <f>MONTH(SalesData[[#This Row],[Date]])</f>
        <v>2</v>
      </c>
      <c r="AD3037">
        <f>Reference!F$4</f>
        <v>2026</v>
      </c>
      <c r="AE3037" t="str">
        <f>IF(OR(SalesData[[#This Row],[Day]]="Saturday",SalesData[[#This Row],[Day]]="Sunday"),"Weekend","Weekday")</f>
        <v>Weekday</v>
      </c>
      <c r="AF3037" s="5">
        <f>IF(SalesData[[#This Row],[Contracts Offered]]=0,0,SalesData[[#This Row],[Contracts Signed]]/SalesData[[#This Row],[Contracts Offered]])</f>
        <v>0.29411764705882354</v>
      </c>
      <c r="AG3037" s="5">
        <f>IF(SalesData[[#This Row],[Customers Visited]]=0,0,SalesData[[#This Row],[Test Drives]]/SalesData[[#This Row],[Customers Visited]])</f>
        <v>0.51067961165048548</v>
      </c>
      <c r="AH3037" s="5">
        <f>IF(SalesData[[#This Row],[Customers Visited]]=0,0,SalesData[[#This Row],[Contracts Signed]]/SalesData[[#This Row],[Customers Visited]])</f>
        <v>8.7378640776699032E-2</v>
      </c>
      <c r="AI3037" s="6">
        <f>IF(SalesData[[#This Row],[Contracts Signed]]=0,0,SalesData[[#This Row],[Profit(€)]]/SalesData[[#This Row],[Contracts Signed]])</f>
        <v>3838</v>
      </c>
      <c r="AJ3037" s="5" t="str">
        <f>TRIM(CLEAN(SalesData[[#This Row],[Retailer]]))</f>
        <v>Rhein Auto Group</v>
      </c>
    </row>
    <row r="3038" spans="1:36" ht="14.25" hidden="1" x14ac:dyDescent="0.2">
      <c r="A3038" t="s">
        <v>4191</v>
      </c>
      <c r="B3038" s="1">
        <v>46056</v>
      </c>
      <c r="C3038" t="s">
        <v>24</v>
      </c>
      <c r="D3038" t="s">
        <v>63</v>
      </c>
      <c r="E3038" t="s">
        <v>26</v>
      </c>
      <c r="F3038" t="s">
        <v>43</v>
      </c>
      <c r="G3038" t="s">
        <v>44</v>
      </c>
      <c r="H3038" t="s">
        <v>45</v>
      </c>
      <c r="I3038" t="s">
        <v>56</v>
      </c>
      <c r="J3038" t="s">
        <v>137</v>
      </c>
      <c r="K3038" t="s">
        <v>32</v>
      </c>
      <c r="L3038" t="s">
        <v>46</v>
      </c>
      <c r="M3038" t="s">
        <v>68</v>
      </c>
      <c r="N3038" t="s">
        <v>35</v>
      </c>
      <c r="O3038" t="s">
        <v>70</v>
      </c>
      <c r="P3038" t="s">
        <v>71</v>
      </c>
      <c r="Q3038" t="s">
        <v>106</v>
      </c>
      <c r="R3038">
        <v>206</v>
      </c>
      <c r="S3038">
        <v>123</v>
      </c>
      <c r="T3038">
        <v>81</v>
      </c>
      <c r="U3038">
        <v>28</v>
      </c>
      <c r="V3038" t="s">
        <v>6521</v>
      </c>
      <c r="W3038">
        <v>44639</v>
      </c>
      <c r="X3038" t="s">
        <v>7460</v>
      </c>
      <c r="Y3038">
        <v>35365</v>
      </c>
      <c r="Z3038">
        <v>1249892</v>
      </c>
      <c r="AA3038">
        <v>259672</v>
      </c>
      <c r="AB3038" t="str">
        <f>(VLOOKUP(SalesData[[#This Row],[Month Number]],Reference!C$5:E$16,2,FALSE))</f>
        <v>Feb</v>
      </c>
      <c r="AC3038">
        <f>MONTH(SalesData[[#This Row],[Date]])</f>
        <v>2</v>
      </c>
      <c r="AD3038">
        <f>Reference!F$4</f>
        <v>2026</v>
      </c>
      <c r="AE3038" t="str">
        <f>IF(OR(SalesData[[#This Row],[Day]]="Saturday",SalesData[[#This Row],[Day]]="Sunday"),"Weekend","Weekday")</f>
        <v>Weekday</v>
      </c>
      <c r="AF3038" s="5">
        <f>IF(SalesData[[#This Row],[Contracts Offered]]=0,0,SalesData[[#This Row],[Contracts Signed]]/SalesData[[#This Row],[Contracts Offered]])</f>
        <v>0.34567901234567899</v>
      </c>
      <c r="AG3038" s="5">
        <f>IF(SalesData[[#This Row],[Customers Visited]]=0,0,SalesData[[#This Row],[Test Drives]]/SalesData[[#This Row],[Customers Visited]])</f>
        <v>0.59708737864077666</v>
      </c>
      <c r="AH3038" s="5">
        <f>IF(SalesData[[#This Row],[Customers Visited]]=0,0,SalesData[[#This Row],[Contracts Signed]]/SalesData[[#This Row],[Customers Visited]])</f>
        <v>0.13592233009708737</v>
      </c>
      <c r="AI3038" s="6">
        <f>IF(SalesData[[#This Row],[Contracts Signed]]=0,0,SalesData[[#This Row],[Profit(€)]]/SalesData[[#This Row],[Contracts Signed]])</f>
        <v>9274</v>
      </c>
      <c r="AJ3038" s="5" t="str">
        <f>TRIM(CLEAN(SalesData[[#This Row],[Retailer]]))</f>
        <v>Saxon Wheels</v>
      </c>
    </row>
    <row r="3039" spans="1:36" ht="14.25" x14ac:dyDescent="0.2">
      <c r="A3039" t="s">
        <v>4192</v>
      </c>
      <c r="B3039" s="1">
        <v>46057</v>
      </c>
      <c r="C3039" t="s">
        <v>24</v>
      </c>
      <c r="D3039" t="s">
        <v>82</v>
      </c>
      <c r="E3039" t="s">
        <v>26</v>
      </c>
      <c r="F3039" t="s">
        <v>101</v>
      </c>
      <c r="G3039" t="s">
        <v>102</v>
      </c>
      <c r="H3039" t="s">
        <v>103</v>
      </c>
      <c r="I3039" t="s">
        <v>30</v>
      </c>
      <c r="J3039" t="s">
        <v>166</v>
      </c>
      <c r="K3039" t="s">
        <v>66</v>
      </c>
      <c r="L3039" t="s">
        <v>46</v>
      </c>
      <c r="M3039" t="s">
        <v>87</v>
      </c>
      <c r="N3039" t="s">
        <v>69</v>
      </c>
      <c r="O3039" t="s">
        <v>70</v>
      </c>
      <c r="P3039" t="s">
        <v>71</v>
      </c>
      <c r="Q3039" t="s">
        <v>152</v>
      </c>
      <c r="R3039">
        <v>237</v>
      </c>
      <c r="S3039">
        <v>107</v>
      </c>
      <c r="T3039">
        <v>75</v>
      </c>
      <c r="U3039">
        <v>31</v>
      </c>
      <c r="V3039" t="s">
        <v>6851</v>
      </c>
      <c r="W3039">
        <v>56434</v>
      </c>
      <c r="X3039" t="s">
        <v>7303</v>
      </c>
      <c r="Y3039">
        <v>40811</v>
      </c>
      <c r="Z3039">
        <v>1749454</v>
      </c>
      <c r="AA3039">
        <v>484313</v>
      </c>
      <c r="AB3039" t="str">
        <f>(VLOOKUP(SalesData[[#This Row],[Month Number]],Reference!C$5:E$16,2,FALSE))</f>
        <v>Feb</v>
      </c>
      <c r="AC3039">
        <f>MONTH(SalesData[[#This Row],[Date]])</f>
        <v>2</v>
      </c>
      <c r="AD3039">
        <f>Reference!F$4</f>
        <v>2026</v>
      </c>
      <c r="AE3039" t="str">
        <f>IF(OR(SalesData[[#This Row],[Day]]="Saturday",SalesData[[#This Row],[Day]]="Sunday"),"Weekend","Weekday")</f>
        <v>Weekday</v>
      </c>
      <c r="AF3039" s="5">
        <f>IF(SalesData[[#This Row],[Contracts Offered]]=0,0,SalesData[[#This Row],[Contracts Signed]]/SalesData[[#This Row],[Contracts Offered]])</f>
        <v>0.41333333333333333</v>
      </c>
      <c r="AG3039" s="5">
        <f>IF(SalesData[[#This Row],[Customers Visited]]=0,0,SalesData[[#This Row],[Test Drives]]/SalesData[[#This Row],[Customers Visited]])</f>
        <v>0.45147679324894513</v>
      </c>
      <c r="AH3039" s="5">
        <f>IF(SalesData[[#This Row],[Customers Visited]]=0,0,SalesData[[#This Row],[Contracts Signed]]/SalesData[[#This Row],[Customers Visited]])</f>
        <v>0.13080168776371309</v>
      </c>
      <c r="AI3039" s="6">
        <f>IF(SalesData[[#This Row],[Contracts Signed]]=0,0,SalesData[[#This Row],[Profit(€)]]/SalesData[[#This Row],[Contracts Signed]])</f>
        <v>15623</v>
      </c>
      <c r="AJ3039" s="5" t="str">
        <f>TRIM(CLEAN(SalesData[[#This Row],[Retailer]]))</f>
        <v>Ruhr Auto Plaza</v>
      </c>
    </row>
    <row r="3040" spans="1:36" ht="14.25" hidden="1" x14ac:dyDescent="0.2">
      <c r="A3040" t="s">
        <v>4193</v>
      </c>
      <c r="B3040" s="1">
        <v>46059</v>
      </c>
      <c r="C3040" t="s">
        <v>24</v>
      </c>
      <c r="D3040" t="s">
        <v>54</v>
      </c>
      <c r="E3040" t="s">
        <v>26</v>
      </c>
      <c r="F3040" t="s">
        <v>114</v>
      </c>
      <c r="G3040" t="s">
        <v>115</v>
      </c>
      <c r="H3040" t="s">
        <v>115</v>
      </c>
      <c r="I3040" t="s">
        <v>56</v>
      </c>
      <c r="J3040" t="s">
        <v>137</v>
      </c>
      <c r="K3040" t="s">
        <v>32</v>
      </c>
      <c r="L3040" t="s">
        <v>46</v>
      </c>
      <c r="M3040" t="s">
        <v>47</v>
      </c>
      <c r="N3040" t="s">
        <v>48</v>
      </c>
      <c r="O3040" t="s">
        <v>70</v>
      </c>
      <c r="P3040" t="s">
        <v>37</v>
      </c>
      <c r="Q3040" t="s">
        <v>129</v>
      </c>
      <c r="R3040">
        <v>239</v>
      </c>
      <c r="S3040">
        <v>113</v>
      </c>
      <c r="T3040">
        <v>87</v>
      </c>
      <c r="U3040">
        <v>23</v>
      </c>
      <c r="V3040" t="s">
        <v>6626</v>
      </c>
      <c r="W3040">
        <v>51391</v>
      </c>
      <c r="X3040" t="s">
        <v>572</v>
      </c>
      <c r="Y3040">
        <v>40850</v>
      </c>
      <c r="Z3040">
        <v>1181993</v>
      </c>
      <c r="AA3040">
        <v>242443</v>
      </c>
      <c r="AB3040" t="str">
        <f>(VLOOKUP(SalesData[[#This Row],[Month Number]],Reference!C$5:E$16,2,FALSE))</f>
        <v>Feb</v>
      </c>
      <c r="AC3040">
        <f>MONTH(SalesData[[#This Row],[Date]])</f>
        <v>2</v>
      </c>
      <c r="AD3040">
        <f>Reference!F$4</f>
        <v>2026</v>
      </c>
      <c r="AE3040" t="str">
        <f>IF(OR(SalesData[[#This Row],[Day]]="Saturday",SalesData[[#This Row],[Day]]="Sunday"),"Weekend","Weekday")</f>
        <v>Weekday</v>
      </c>
      <c r="AF3040" s="5">
        <f>IF(SalesData[[#This Row],[Contracts Offered]]=0,0,SalesData[[#This Row],[Contracts Signed]]/SalesData[[#This Row],[Contracts Offered]])</f>
        <v>0.26436781609195403</v>
      </c>
      <c r="AG3040" s="5">
        <f>IF(SalesData[[#This Row],[Customers Visited]]=0,0,SalesData[[#This Row],[Test Drives]]/SalesData[[#This Row],[Customers Visited]])</f>
        <v>0.47280334728033474</v>
      </c>
      <c r="AH3040" s="5">
        <f>IF(SalesData[[#This Row],[Customers Visited]]=0,0,SalesData[[#This Row],[Contracts Signed]]/SalesData[[#This Row],[Customers Visited]])</f>
        <v>9.6234309623430964E-2</v>
      </c>
      <c r="AI3040" s="6">
        <f>IF(SalesData[[#This Row],[Contracts Signed]]=0,0,SalesData[[#This Row],[Profit(€)]]/SalesData[[#This Row],[Contracts Signed]])</f>
        <v>10541</v>
      </c>
      <c r="AJ3040" s="5" t="str">
        <f>TRIM(CLEAN(SalesData[[#This Row],[Retailer]]))</f>
        <v>Elbe Drive</v>
      </c>
    </row>
    <row r="3041" spans="1:36" ht="14.25" hidden="1" x14ac:dyDescent="0.2">
      <c r="A3041" t="s">
        <v>4194</v>
      </c>
      <c r="B3041" s="1">
        <v>46065</v>
      </c>
      <c r="C3041" t="s">
        <v>121</v>
      </c>
      <c r="D3041" t="s">
        <v>100</v>
      </c>
      <c r="E3041" t="s">
        <v>26</v>
      </c>
      <c r="F3041" t="s">
        <v>101</v>
      </c>
      <c r="G3041" t="s">
        <v>102</v>
      </c>
      <c r="H3041" t="s">
        <v>103</v>
      </c>
      <c r="I3041" t="s">
        <v>116</v>
      </c>
      <c r="J3041" t="s">
        <v>203</v>
      </c>
      <c r="K3041" t="s">
        <v>78</v>
      </c>
      <c r="L3041" t="s">
        <v>67</v>
      </c>
      <c r="M3041" t="s">
        <v>68</v>
      </c>
      <c r="N3041" t="s">
        <v>48</v>
      </c>
      <c r="O3041" t="s">
        <v>70</v>
      </c>
      <c r="P3041" t="s">
        <v>49</v>
      </c>
      <c r="Q3041" t="s">
        <v>167</v>
      </c>
      <c r="R3041">
        <v>296</v>
      </c>
      <c r="S3041">
        <v>155</v>
      </c>
      <c r="T3041">
        <v>100</v>
      </c>
      <c r="U3041">
        <v>19</v>
      </c>
      <c r="V3041" t="s">
        <v>2121</v>
      </c>
      <c r="W3041">
        <v>25978</v>
      </c>
      <c r="X3041" t="s">
        <v>880</v>
      </c>
      <c r="Y3041">
        <v>23435</v>
      </c>
      <c r="Z3041">
        <v>493582</v>
      </c>
      <c r="AA3041">
        <v>48317</v>
      </c>
      <c r="AB3041" t="str">
        <f>(VLOOKUP(SalesData[[#This Row],[Month Number]],Reference!C$5:E$16,2,FALSE))</f>
        <v>Feb</v>
      </c>
      <c r="AC3041">
        <f>MONTH(SalesData[[#This Row],[Date]])</f>
        <v>2</v>
      </c>
      <c r="AD3041">
        <f>Reference!F$4</f>
        <v>2026</v>
      </c>
      <c r="AE3041" t="str">
        <f>IF(OR(SalesData[[#This Row],[Day]]="Saturday",SalesData[[#This Row],[Day]]="Sunday"),"Weekend","Weekday")</f>
        <v>Weekday</v>
      </c>
      <c r="AF3041" s="5">
        <f>IF(SalesData[[#This Row],[Contracts Offered]]=0,0,SalesData[[#This Row],[Contracts Signed]]/SalesData[[#This Row],[Contracts Offered]])</f>
        <v>0.19</v>
      </c>
      <c r="AG3041" s="5">
        <f>IF(SalesData[[#This Row],[Customers Visited]]=0,0,SalesData[[#This Row],[Test Drives]]/SalesData[[#This Row],[Customers Visited]])</f>
        <v>0.52364864864864868</v>
      </c>
      <c r="AH3041" s="5">
        <f>IF(SalesData[[#This Row],[Customers Visited]]=0,0,SalesData[[#This Row],[Contracts Signed]]/SalesData[[#This Row],[Customers Visited]])</f>
        <v>6.4189189189189186E-2</v>
      </c>
      <c r="AI3041" s="6">
        <f>IF(SalesData[[#This Row],[Contracts Signed]]=0,0,SalesData[[#This Row],[Profit(€)]]/SalesData[[#This Row],[Contracts Signed]])</f>
        <v>2543</v>
      </c>
      <c r="AJ3041" s="5" t="str">
        <f>TRIM(CLEAN(SalesData[[#This Row],[Retailer]]))</f>
        <v>Ruhr Auto Plaza</v>
      </c>
    </row>
    <row r="3042" spans="1:36" ht="14.25" hidden="1" x14ac:dyDescent="0.2">
      <c r="A3042" t="s">
        <v>4195</v>
      </c>
      <c r="B3042" s="1">
        <v>46066</v>
      </c>
      <c r="C3042" t="s">
        <v>121</v>
      </c>
      <c r="D3042" t="s">
        <v>54</v>
      </c>
      <c r="E3042" t="s">
        <v>26</v>
      </c>
      <c r="F3042" t="s">
        <v>127</v>
      </c>
      <c r="G3042" t="s">
        <v>128</v>
      </c>
      <c r="H3042" t="s">
        <v>103</v>
      </c>
      <c r="I3042" t="s">
        <v>56</v>
      </c>
      <c r="J3042" t="s">
        <v>179</v>
      </c>
      <c r="K3042" t="s">
        <v>78</v>
      </c>
      <c r="L3042" t="s">
        <v>67</v>
      </c>
      <c r="M3042" t="s">
        <v>34</v>
      </c>
      <c r="N3042" t="s">
        <v>35</v>
      </c>
      <c r="O3042" t="s">
        <v>70</v>
      </c>
      <c r="P3042" t="s">
        <v>71</v>
      </c>
      <c r="Q3042" t="s">
        <v>347</v>
      </c>
      <c r="R3042">
        <v>174</v>
      </c>
      <c r="S3042">
        <v>108</v>
      </c>
      <c r="T3042">
        <v>76</v>
      </c>
      <c r="U3042">
        <v>26</v>
      </c>
      <c r="V3042" t="s">
        <v>6497</v>
      </c>
      <c r="W3042">
        <v>42772</v>
      </c>
      <c r="X3042" t="s">
        <v>2278</v>
      </c>
      <c r="Y3042">
        <v>34254</v>
      </c>
      <c r="Z3042">
        <v>1112072</v>
      </c>
      <c r="AA3042">
        <v>221468</v>
      </c>
      <c r="AB3042" t="str">
        <f>(VLOOKUP(SalesData[[#This Row],[Month Number]],Reference!C$5:E$16,2,FALSE))</f>
        <v>Feb</v>
      </c>
      <c r="AC3042">
        <f>MONTH(SalesData[[#This Row],[Date]])</f>
        <v>2</v>
      </c>
      <c r="AD3042">
        <f>Reference!F$4</f>
        <v>2026</v>
      </c>
      <c r="AE3042" t="str">
        <f>IF(OR(SalesData[[#This Row],[Day]]="Saturday",SalesData[[#This Row],[Day]]="Sunday"),"Weekend","Weekday")</f>
        <v>Weekday</v>
      </c>
      <c r="AF3042" s="5">
        <f>IF(SalesData[[#This Row],[Contracts Offered]]=0,0,SalesData[[#This Row],[Contracts Signed]]/SalesData[[#This Row],[Contracts Offered]])</f>
        <v>0.34210526315789475</v>
      </c>
      <c r="AG3042" s="5">
        <f>IF(SalesData[[#This Row],[Customers Visited]]=0,0,SalesData[[#This Row],[Test Drives]]/SalesData[[#This Row],[Customers Visited]])</f>
        <v>0.62068965517241381</v>
      </c>
      <c r="AH3042" s="5">
        <f>IF(SalesData[[#This Row],[Customers Visited]]=0,0,SalesData[[#This Row],[Contracts Signed]]/SalesData[[#This Row],[Customers Visited]])</f>
        <v>0.14942528735632185</v>
      </c>
      <c r="AI3042" s="6">
        <f>IF(SalesData[[#This Row],[Contracts Signed]]=0,0,SalesData[[#This Row],[Profit(€)]]/SalesData[[#This Row],[Contracts Signed]])</f>
        <v>8518</v>
      </c>
      <c r="AJ3042" s="5" t="str">
        <f>TRIM(CLEAN(SalesData[[#This Row],[Retailer]]))</f>
        <v>Rhein Auto Group</v>
      </c>
    </row>
    <row r="3043" spans="1:36" ht="14.25" hidden="1" x14ac:dyDescent="0.2">
      <c r="A3043" t="s">
        <v>4196</v>
      </c>
      <c r="B3043" s="1">
        <v>46078</v>
      </c>
      <c r="C3043" t="s">
        <v>53</v>
      </c>
      <c r="D3043" t="s">
        <v>82</v>
      </c>
      <c r="E3043" t="s">
        <v>26</v>
      </c>
      <c r="F3043" t="s">
        <v>109</v>
      </c>
      <c r="G3043" t="s">
        <v>110</v>
      </c>
      <c r="H3043" t="s">
        <v>45</v>
      </c>
      <c r="I3043" t="s">
        <v>56</v>
      </c>
      <c r="J3043" t="s">
        <v>57</v>
      </c>
      <c r="K3043" t="s">
        <v>32</v>
      </c>
      <c r="L3043" t="s">
        <v>46</v>
      </c>
      <c r="M3043" t="s">
        <v>87</v>
      </c>
      <c r="N3043" t="s">
        <v>48</v>
      </c>
      <c r="O3043" t="s">
        <v>70</v>
      </c>
      <c r="P3043" t="s">
        <v>37</v>
      </c>
      <c r="Q3043" t="s">
        <v>59</v>
      </c>
      <c r="R3043">
        <v>279</v>
      </c>
      <c r="S3043">
        <v>142</v>
      </c>
      <c r="T3043">
        <v>93</v>
      </c>
      <c r="U3043">
        <v>28</v>
      </c>
      <c r="V3043" t="s">
        <v>756</v>
      </c>
      <c r="W3043">
        <v>49638</v>
      </c>
      <c r="X3043" t="s">
        <v>7582</v>
      </c>
      <c r="Y3043">
        <v>37645</v>
      </c>
      <c r="Z3043">
        <v>1389864</v>
      </c>
      <c r="AA3043">
        <v>335804</v>
      </c>
      <c r="AB3043" t="str">
        <f>(VLOOKUP(SalesData[[#This Row],[Month Number]],Reference!C$5:E$16,2,FALSE))</f>
        <v>Feb</v>
      </c>
      <c r="AC3043">
        <f>MONTH(SalesData[[#This Row],[Date]])</f>
        <v>2</v>
      </c>
      <c r="AD3043">
        <f>Reference!F$4</f>
        <v>2026</v>
      </c>
      <c r="AE3043" t="str">
        <f>IF(OR(SalesData[[#This Row],[Day]]="Saturday",SalesData[[#This Row],[Day]]="Sunday"),"Weekend","Weekday")</f>
        <v>Weekday</v>
      </c>
      <c r="AF3043" s="5">
        <f>IF(SalesData[[#This Row],[Contracts Offered]]=0,0,SalesData[[#This Row],[Contracts Signed]]/SalesData[[#This Row],[Contracts Offered]])</f>
        <v>0.30107526881720431</v>
      </c>
      <c r="AG3043" s="5">
        <f>IF(SalesData[[#This Row],[Customers Visited]]=0,0,SalesData[[#This Row],[Test Drives]]/SalesData[[#This Row],[Customers Visited]])</f>
        <v>0.50896057347670254</v>
      </c>
      <c r="AH3043" s="5">
        <f>IF(SalesData[[#This Row],[Customers Visited]]=0,0,SalesData[[#This Row],[Contracts Signed]]/SalesData[[#This Row],[Customers Visited]])</f>
        <v>0.1003584229390681</v>
      </c>
      <c r="AI3043" s="6">
        <f>IF(SalesData[[#This Row],[Contracts Signed]]=0,0,SalesData[[#This Row],[Profit(€)]]/SalesData[[#This Row],[Contracts Signed]])</f>
        <v>11993</v>
      </c>
      <c r="AJ3043" s="5" t="str">
        <f>TRIM(CLEAN(SalesData[[#This Row],[Retailer]]))</f>
        <v>Leipzig Mobility</v>
      </c>
    </row>
    <row r="3044" spans="1:36" ht="14.25" hidden="1" x14ac:dyDescent="0.2">
      <c r="A3044" t="s">
        <v>4197</v>
      </c>
      <c r="B3044" s="1">
        <v>46056</v>
      </c>
      <c r="C3044" t="s">
        <v>24</v>
      </c>
      <c r="D3044" t="s">
        <v>63</v>
      </c>
      <c r="E3044" t="s">
        <v>26</v>
      </c>
      <c r="F3044" t="s">
        <v>101</v>
      </c>
      <c r="G3044" t="s">
        <v>102</v>
      </c>
      <c r="H3044" t="s">
        <v>103</v>
      </c>
      <c r="I3044" t="s">
        <v>56</v>
      </c>
      <c r="J3044" t="s">
        <v>97</v>
      </c>
      <c r="K3044" t="s">
        <v>78</v>
      </c>
      <c r="L3044" t="s">
        <v>33</v>
      </c>
      <c r="M3044" t="s">
        <v>47</v>
      </c>
      <c r="N3044" t="s">
        <v>69</v>
      </c>
      <c r="O3044" t="s">
        <v>70</v>
      </c>
      <c r="P3044" t="s">
        <v>71</v>
      </c>
      <c r="Q3044" t="s">
        <v>118</v>
      </c>
      <c r="R3044">
        <v>175</v>
      </c>
      <c r="S3044">
        <v>106</v>
      </c>
      <c r="T3044">
        <v>68</v>
      </c>
      <c r="U3044">
        <v>22</v>
      </c>
      <c r="V3044" t="s">
        <v>6555</v>
      </c>
      <c r="W3044">
        <v>53758</v>
      </c>
      <c r="X3044" t="s">
        <v>7033</v>
      </c>
      <c r="Y3044">
        <v>42463</v>
      </c>
      <c r="Z3044">
        <v>1182676</v>
      </c>
      <c r="AA3044">
        <v>248490</v>
      </c>
      <c r="AB3044" t="str">
        <f>(VLOOKUP(SalesData[[#This Row],[Month Number]],Reference!C$5:E$16,2,FALSE))</f>
        <v>Feb</v>
      </c>
      <c r="AC3044">
        <f>MONTH(SalesData[[#This Row],[Date]])</f>
        <v>2</v>
      </c>
      <c r="AD3044">
        <f>Reference!F$4</f>
        <v>2026</v>
      </c>
      <c r="AE3044" t="str">
        <f>IF(OR(SalesData[[#This Row],[Day]]="Saturday",SalesData[[#This Row],[Day]]="Sunday"),"Weekend","Weekday")</f>
        <v>Weekday</v>
      </c>
      <c r="AF3044" s="5">
        <f>IF(SalesData[[#This Row],[Contracts Offered]]=0,0,SalesData[[#This Row],[Contracts Signed]]/SalesData[[#This Row],[Contracts Offered]])</f>
        <v>0.3235294117647059</v>
      </c>
      <c r="AG3044" s="5">
        <f>IF(SalesData[[#This Row],[Customers Visited]]=0,0,SalesData[[#This Row],[Test Drives]]/SalesData[[#This Row],[Customers Visited]])</f>
        <v>0.60571428571428576</v>
      </c>
      <c r="AH3044" s="5">
        <f>IF(SalesData[[#This Row],[Customers Visited]]=0,0,SalesData[[#This Row],[Contracts Signed]]/SalesData[[#This Row],[Customers Visited]])</f>
        <v>0.12571428571428572</v>
      </c>
      <c r="AI3044" s="6">
        <f>IF(SalesData[[#This Row],[Contracts Signed]]=0,0,SalesData[[#This Row],[Profit(€)]]/SalesData[[#This Row],[Contracts Signed]])</f>
        <v>11295</v>
      </c>
      <c r="AJ3044" s="5" t="str">
        <f>TRIM(CLEAN(SalesData[[#This Row],[Retailer]]))</f>
        <v>Ruhr Auto Plaza</v>
      </c>
    </row>
    <row r="3045" spans="1:36" ht="14.25" hidden="1" x14ac:dyDescent="0.2">
      <c r="A3045" t="s">
        <v>4198</v>
      </c>
      <c r="B3045" s="1">
        <v>46080</v>
      </c>
      <c r="C3045" t="s">
        <v>53</v>
      </c>
      <c r="D3045" t="s">
        <v>54</v>
      </c>
      <c r="E3045" t="s">
        <v>26</v>
      </c>
      <c r="F3045" t="s">
        <v>127</v>
      </c>
      <c r="G3045" t="s">
        <v>128</v>
      </c>
      <c r="H3045" t="s">
        <v>103</v>
      </c>
      <c r="I3045" t="s">
        <v>56</v>
      </c>
      <c r="J3045" t="s">
        <v>57</v>
      </c>
      <c r="K3045" t="s">
        <v>78</v>
      </c>
      <c r="L3045" t="s">
        <v>46</v>
      </c>
      <c r="M3045" t="s">
        <v>47</v>
      </c>
      <c r="N3045" t="s">
        <v>35</v>
      </c>
      <c r="O3045" t="s">
        <v>36</v>
      </c>
      <c r="P3045" t="s">
        <v>37</v>
      </c>
      <c r="Q3045" t="s">
        <v>106</v>
      </c>
      <c r="R3045">
        <v>171</v>
      </c>
      <c r="S3045">
        <v>88</v>
      </c>
      <c r="T3045">
        <v>61</v>
      </c>
      <c r="U3045">
        <v>19</v>
      </c>
      <c r="V3045" t="s">
        <v>6981</v>
      </c>
      <c r="W3045">
        <v>40596</v>
      </c>
      <c r="X3045" t="s">
        <v>2035</v>
      </c>
      <c r="Y3045">
        <v>32995</v>
      </c>
      <c r="Z3045">
        <v>771324</v>
      </c>
      <c r="AA3045">
        <v>144419</v>
      </c>
      <c r="AB3045" t="str">
        <f>(VLOOKUP(SalesData[[#This Row],[Month Number]],Reference!C$5:E$16,2,FALSE))</f>
        <v>Feb</v>
      </c>
      <c r="AC3045">
        <f>MONTH(SalesData[[#This Row],[Date]])</f>
        <v>2</v>
      </c>
      <c r="AD3045">
        <f>Reference!F$4</f>
        <v>2026</v>
      </c>
      <c r="AE3045" t="str">
        <f>IF(OR(SalesData[[#This Row],[Day]]="Saturday",SalesData[[#This Row],[Day]]="Sunday"),"Weekend","Weekday")</f>
        <v>Weekday</v>
      </c>
      <c r="AF3045" s="5">
        <f>IF(SalesData[[#This Row],[Contracts Offered]]=0,0,SalesData[[#This Row],[Contracts Signed]]/SalesData[[#This Row],[Contracts Offered]])</f>
        <v>0.31147540983606559</v>
      </c>
      <c r="AG3045" s="5">
        <f>IF(SalesData[[#This Row],[Customers Visited]]=0,0,SalesData[[#This Row],[Test Drives]]/SalesData[[#This Row],[Customers Visited]])</f>
        <v>0.51461988304093564</v>
      </c>
      <c r="AH3045" s="5">
        <f>IF(SalesData[[#This Row],[Customers Visited]]=0,0,SalesData[[#This Row],[Contracts Signed]]/SalesData[[#This Row],[Customers Visited]])</f>
        <v>0.1111111111111111</v>
      </c>
      <c r="AI3045" s="6">
        <f>IF(SalesData[[#This Row],[Contracts Signed]]=0,0,SalesData[[#This Row],[Profit(€)]]/SalesData[[#This Row],[Contracts Signed]])</f>
        <v>7601</v>
      </c>
      <c r="AJ3045" s="5" t="str">
        <f>TRIM(CLEAN(SalesData[[#This Row],[Retailer]]))</f>
        <v>Rhein Auto Group</v>
      </c>
    </row>
    <row r="3046" spans="1:36" ht="14.25" hidden="1" x14ac:dyDescent="0.2">
      <c r="A3046" t="s">
        <v>4199</v>
      </c>
      <c r="B3046" s="1">
        <v>46070</v>
      </c>
      <c r="C3046" t="s">
        <v>62</v>
      </c>
      <c r="D3046" t="s">
        <v>63</v>
      </c>
      <c r="E3046" t="s">
        <v>26</v>
      </c>
      <c r="F3046" t="s">
        <v>74</v>
      </c>
      <c r="G3046" t="s">
        <v>75</v>
      </c>
      <c r="H3046" t="s">
        <v>76</v>
      </c>
      <c r="I3046" t="s">
        <v>64</v>
      </c>
      <c r="J3046" t="s">
        <v>7029</v>
      </c>
      <c r="K3046" t="s">
        <v>91</v>
      </c>
      <c r="L3046" t="s">
        <v>33</v>
      </c>
      <c r="M3046" t="s">
        <v>47</v>
      </c>
      <c r="N3046" t="s">
        <v>48</v>
      </c>
      <c r="O3046" t="s">
        <v>36</v>
      </c>
      <c r="P3046" t="s">
        <v>37</v>
      </c>
      <c r="Q3046" t="s">
        <v>189</v>
      </c>
      <c r="R3046">
        <v>217</v>
      </c>
      <c r="S3046">
        <v>106</v>
      </c>
      <c r="T3046">
        <v>83</v>
      </c>
      <c r="U3046">
        <v>27</v>
      </c>
      <c r="V3046" t="s">
        <v>6799</v>
      </c>
      <c r="W3046">
        <v>66166</v>
      </c>
      <c r="X3046" t="s">
        <v>7472</v>
      </c>
      <c r="Y3046">
        <v>51121</v>
      </c>
      <c r="Z3046">
        <v>1786482</v>
      </c>
      <c r="AA3046">
        <v>406215</v>
      </c>
      <c r="AB3046" t="str">
        <f>(VLOOKUP(SalesData[[#This Row],[Month Number]],Reference!C$5:E$16,2,FALSE))</f>
        <v>Feb</v>
      </c>
      <c r="AC3046">
        <f>MONTH(SalesData[[#This Row],[Date]])</f>
        <v>2</v>
      </c>
      <c r="AD3046">
        <f>Reference!F$4</f>
        <v>2026</v>
      </c>
      <c r="AE3046" t="str">
        <f>IF(OR(SalesData[[#This Row],[Day]]="Saturday",SalesData[[#This Row],[Day]]="Sunday"),"Weekend","Weekday")</f>
        <v>Weekday</v>
      </c>
      <c r="AF3046" s="5">
        <f>IF(SalesData[[#This Row],[Contracts Offered]]=0,0,SalesData[[#This Row],[Contracts Signed]]/SalesData[[#This Row],[Contracts Offered]])</f>
        <v>0.3253012048192771</v>
      </c>
      <c r="AG3046" s="5">
        <f>IF(SalesData[[#This Row],[Customers Visited]]=0,0,SalesData[[#This Row],[Test Drives]]/SalesData[[#This Row],[Customers Visited]])</f>
        <v>0.48847926267281105</v>
      </c>
      <c r="AH3046" s="5">
        <f>IF(SalesData[[#This Row],[Customers Visited]]=0,0,SalesData[[#This Row],[Contracts Signed]]/SalesData[[#This Row],[Customers Visited]])</f>
        <v>0.12442396313364056</v>
      </c>
      <c r="AI3046" s="6">
        <f>IF(SalesData[[#This Row],[Contracts Signed]]=0,0,SalesData[[#This Row],[Profit(€)]]/SalesData[[#This Row],[Contracts Signed]])</f>
        <v>15045</v>
      </c>
      <c r="AJ3046" s="5" t="str">
        <f>TRIM(CLEAN(SalesData[[#This Row],[Retailer]]))</f>
        <v>Stuttgart Auto Center</v>
      </c>
    </row>
    <row r="3047" spans="1:36" ht="14.25" x14ac:dyDescent="0.2">
      <c r="A3047" t="s">
        <v>4200</v>
      </c>
      <c r="B3047" s="1">
        <v>46062</v>
      </c>
      <c r="C3047" t="s">
        <v>121</v>
      </c>
      <c r="D3047" t="s">
        <v>25</v>
      </c>
      <c r="E3047" t="s">
        <v>26</v>
      </c>
      <c r="F3047" t="s">
        <v>27</v>
      </c>
      <c r="G3047" t="s">
        <v>28</v>
      </c>
      <c r="H3047" t="s">
        <v>29</v>
      </c>
      <c r="I3047" t="s">
        <v>30</v>
      </c>
      <c r="J3047" t="s">
        <v>7075</v>
      </c>
      <c r="K3047" t="s">
        <v>78</v>
      </c>
      <c r="L3047" t="s">
        <v>33</v>
      </c>
      <c r="M3047" t="s">
        <v>47</v>
      </c>
      <c r="N3047" t="s">
        <v>69</v>
      </c>
      <c r="O3047" t="s">
        <v>36</v>
      </c>
      <c r="P3047" t="s">
        <v>49</v>
      </c>
      <c r="Q3047" t="s">
        <v>50</v>
      </c>
      <c r="R3047">
        <v>145</v>
      </c>
      <c r="S3047">
        <v>67</v>
      </c>
      <c r="T3047">
        <v>45</v>
      </c>
      <c r="U3047">
        <v>17</v>
      </c>
      <c r="V3047" t="s">
        <v>6393</v>
      </c>
      <c r="W3047">
        <v>54010</v>
      </c>
      <c r="X3047" t="s">
        <v>2110</v>
      </c>
      <c r="Y3047">
        <v>42123</v>
      </c>
      <c r="Z3047">
        <v>918170</v>
      </c>
      <c r="AA3047">
        <v>202079</v>
      </c>
      <c r="AB3047" t="str">
        <f>(VLOOKUP(SalesData[[#This Row],[Month Number]],Reference!C$5:E$16,2,FALSE))</f>
        <v>Feb</v>
      </c>
      <c r="AC3047">
        <f>MONTH(SalesData[[#This Row],[Date]])</f>
        <v>2</v>
      </c>
      <c r="AD3047">
        <f>Reference!F$4</f>
        <v>2026</v>
      </c>
      <c r="AE3047" t="str">
        <f>IF(OR(SalesData[[#This Row],[Day]]="Saturday",SalesData[[#This Row],[Day]]="Sunday"),"Weekend","Weekday")</f>
        <v>Weekday</v>
      </c>
      <c r="AF3047" s="5">
        <f>IF(SalesData[[#This Row],[Contracts Offered]]=0,0,SalesData[[#This Row],[Contracts Signed]]/SalesData[[#This Row],[Contracts Offered]])</f>
        <v>0.37777777777777777</v>
      </c>
      <c r="AG3047" s="5">
        <f>IF(SalesData[[#This Row],[Customers Visited]]=0,0,SalesData[[#This Row],[Test Drives]]/SalesData[[#This Row],[Customers Visited]])</f>
        <v>0.46206896551724136</v>
      </c>
      <c r="AH3047" s="5">
        <f>IF(SalesData[[#This Row],[Customers Visited]]=0,0,SalesData[[#This Row],[Contracts Signed]]/SalesData[[#This Row],[Customers Visited]])</f>
        <v>0.11724137931034483</v>
      </c>
      <c r="AI3047" s="6">
        <f>IF(SalesData[[#This Row],[Contracts Signed]]=0,0,SalesData[[#This Row],[Profit(€)]]/SalesData[[#This Row],[Contracts Signed]])</f>
        <v>11887</v>
      </c>
      <c r="AJ3047" s="5" t="str">
        <f>TRIM(CLEAN(SalesData[[#This Row],[Retailer]]))</f>
        <v>Main Auto Hub</v>
      </c>
    </row>
    <row r="3048" spans="1:36" ht="14.25" hidden="1" x14ac:dyDescent="0.2">
      <c r="A3048" t="s">
        <v>4201</v>
      </c>
      <c r="B3048" s="1">
        <v>46064</v>
      </c>
      <c r="C3048" t="s">
        <v>121</v>
      </c>
      <c r="D3048" t="s">
        <v>82</v>
      </c>
      <c r="E3048" t="s">
        <v>26</v>
      </c>
      <c r="F3048" t="s">
        <v>7649</v>
      </c>
      <c r="G3048" t="s">
        <v>55</v>
      </c>
      <c r="H3048" t="s">
        <v>55</v>
      </c>
      <c r="I3048" t="s">
        <v>56</v>
      </c>
      <c r="J3048" t="s">
        <v>57</v>
      </c>
      <c r="K3048" t="s">
        <v>66</v>
      </c>
      <c r="L3048" t="s">
        <v>46</v>
      </c>
      <c r="M3048" t="s">
        <v>47</v>
      </c>
      <c r="N3048" t="s">
        <v>69</v>
      </c>
      <c r="O3048" t="s">
        <v>36</v>
      </c>
      <c r="P3048" t="s">
        <v>49</v>
      </c>
      <c r="Q3048" t="s">
        <v>204</v>
      </c>
      <c r="R3048">
        <v>289</v>
      </c>
      <c r="S3048">
        <v>153</v>
      </c>
      <c r="T3048">
        <v>110</v>
      </c>
      <c r="U3048">
        <v>35</v>
      </c>
      <c r="V3048" t="s">
        <v>6574</v>
      </c>
      <c r="W3048">
        <v>42194</v>
      </c>
      <c r="X3048" t="s">
        <v>2701</v>
      </c>
      <c r="Y3048">
        <v>33668</v>
      </c>
      <c r="Z3048">
        <v>1476790</v>
      </c>
      <c r="AA3048">
        <v>298410</v>
      </c>
      <c r="AB3048" t="str">
        <f>(VLOOKUP(SalesData[[#This Row],[Month Number]],Reference!C$5:E$16,2,FALSE))</f>
        <v>Feb</v>
      </c>
      <c r="AC3048">
        <f>MONTH(SalesData[[#This Row],[Date]])</f>
        <v>2</v>
      </c>
      <c r="AD3048">
        <f>Reference!F$4</f>
        <v>2026</v>
      </c>
      <c r="AE3048" t="str">
        <f>IF(OR(SalesData[[#This Row],[Day]]="Saturday",SalesData[[#This Row],[Day]]="Sunday"),"Weekend","Weekday")</f>
        <v>Weekday</v>
      </c>
      <c r="AF3048" s="5">
        <f>IF(SalesData[[#This Row],[Contracts Offered]]=0,0,SalesData[[#This Row],[Contracts Signed]]/SalesData[[#This Row],[Contracts Offered]])</f>
        <v>0.31818181818181818</v>
      </c>
      <c r="AG3048" s="5">
        <f>IF(SalesData[[#This Row],[Customers Visited]]=0,0,SalesData[[#This Row],[Test Drives]]/SalesData[[#This Row],[Customers Visited]])</f>
        <v>0.52941176470588236</v>
      </c>
      <c r="AH3048" s="5">
        <f>IF(SalesData[[#This Row],[Customers Visited]]=0,0,SalesData[[#This Row],[Contracts Signed]]/SalesData[[#This Row],[Customers Visited]])</f>
        <v>0.12110726643598616</v>
      </c>
      <c r="AI3048" s="6">
        <f>IF(SalesData[[#This Row],[Contracts Signed]]=0,0,SalesData[[#This Row],[Profit(€)]]/SalesData[[#This Row],[Contracts Signed]])</f>
        <v>8526</v>
      </c>
      <c r="AJ3048" s="5" t="str">
        <f>TRIM(CLEAN(SalesData[[#This Row],[Retailer]]))</f>
        <v>Autohaus Berlin</v>
      </c>
    </row>
    <row r="3049" spans="1:36" ht="14.25" hidden="1" x14ac:dyDescent="0.2">
      <c r="A3049" t="s">
        <v>4202</v>
      </c>
      <c r="B3049" s="1">
        <v>46078</v>
      </c>
      <c r="C3049" t="s">
        <v>53</v>
      </c>
      <c r="D3049" t="s">
        <v>82</v>
      </c>
      <c r="E3049" t="s">
        <v>26</v>
      </c>
      <c r="F3049" t="s">
        <v>74</v>
      </c>
      <c r="G3049" t="s">
        <v>75</v>
      </c>
      <c r="H3049" t="s">
        <v>76</v>
      </c>
      <c r="I3049" t="s">
        <v>56</v>
      </c>
      <c r="J3049" t="s">
        <v>179</v>
      </c>
      <c r="K3049" t="s">
        <v>66</v>
      </c>
      <c r="L3049" t="s">
        <v>67</v>
      </c>
      <c r="M3049" t="s">
        <v>47</v>
      </c>
      <c r="N3049" t="s">
        <v>35</v>
      </c>
      <c r="O3049" t="s">
        <v>70</v>
      </c>
      <c r="P3049" t="s">
        <v>37</v>
      </c>
      <c r="Q3049" t="s">
        <v>59</v>
      </c>
      <c r="R3049">
        <v>203</v>
      </c>
      <c r="S3049">
        <v>107</v>
      </c>
      <c r="T3049">
        <v>83</v>
      </c>
      <c r="U3049">
        <v>25</v>
      </c>
      <c r="V3049" t="s">
        <v>6389</v>
      </c>
      <c r="W3049">
        <v>44162</v>
      </c>
      <c r="X3049" t="s">
        <v>7583</v>
      </c>
      <c r="Y3049">
        <v>33795</v>
      </c>
      <c r="Z3049">
        <v>1104050</v>
      </c>
      <c r="AA3049">
        <v>259175</v>
      </c>
      <c r="AB3049" t="str">
        <f>(VLOOKUP(SalesData[[#This Row],[Month Number]],Reference!C$5:E$16,2,FALSE))</f>
        <v>Feb</v>
      </c>
      <c r="AC3049">
        <f>MONTH(SalesData[[#This Row],[Date]])</f>
        <v>2</v>
      </c>
      <c r="AD3049">
        <f>Reference!F$4</f>
        <v>2026</v>
      </c>
      <c r="AE3049" t="str">
        <f>IF(OR(SalesData[[#This Row],[Day]]="Saturday",SalesData[[#This Row],[Day]]="Sunday"),"Weekend","Weekday")</f>
        <v>Weekday</v>
      </c>
      <c r="AF3049" s="5">
        <f>IF(SalesData[[#This Row],[Contracts Offered]]=0,0,SalesData[[#This Row],[Contracts Signed]]/SalesData[[#This Row],[Contracts Offered]])</f>
        <v>0.30120481927710846</v>
      </c>
      <c r="AG3049" s="5">
        <f>IF(SalesData[[#This Row],[Customers Visited]]=0,0,SalesData[[#This Row],[Test Drives]]/SalesData[[#This Row],[Customers Visited]])</f>
        <v>0.52709359605911332</v>
      </c>
      <c r="AH3049" s="5">
        <f>IF(SalesData[[#This Row],[Customers Visited]]=0,0,SalesData[[#This Row],[Contracts Signed]]/SalesData[[#This Row],[Customers Visited]])</f>
        <v>0.12315270935960591</v>
      </c>
      <c r="AI3049" s="6">
        <f>IF(SalesData[[#This Row],[Contracts Signed]]=0,0,SalesData[[#This Row],[Profit(€)]]/SalesData[[#This Row],[Contracts Signed]])</f>
        <v>10367</v>
      </c>
      <c r="AJ3049" s="5" t="str">
        <f>TRIM(CLEAN(SalesData[[#This Row],[Retailer]]))</f>
        <v>Stuttgart Auto Center</v>
      </c>
    </row>
    <row r="3050" spans="1:36" ht="14.25" hidden="1" x14ac:dyDescent="0.2">
      <c r="A3050" t="s">
        <v>4203</v>
      </c>
      <c r="B3050" s="1">
        <v>46076</v>
      </c>
      <c r="C3050" t="s">
        <v>53</v>
      </c>
      <c r="D3050" t="s">
        <v>25</v>
      </c>
      <c r="E3050" t="s">
        <v>26</v>
      </c>
      <c r="F3050" t="s">
        <v>109</v>
      </c>
      <c r="G3050" t="s">
        <v>110</v>
      </c>
      <c r="H3050" t="s">
        <v>45</v>
      </c>
      <c r="I3050" t="s">
        <v>56</v>
      </c>
      <c r="J3050" t="s">
        <v>7028</v>
      </c>
      <c r="K3050" t="s">
        <v>32</v>
      </c>
      <c r="L3050" t="s">
        <v>46</v>
      </c>
      <c r="M3050" t="s">
        <v>87</v>
      </c>
      <c r="N3050" t="s">
        <v>48</v>
      </c>
      <c r="O3050" t="s">
        <v>36</v>
      </c>
      <c r="P3050" t="s">
        <v>49</v>
      </c>
      <c r="Q3050" t="s">
        <v>59</v>
      </c>
      <c r="R3050">
        <v>255</v>
      </c>
      <c r="S3050">
        <v>153</v>
      </c>
      <c r="T3050">
        <v>107</v>
      </c>
      <c r="U3050">
        <v>32</v>
      </c>
      <c r="V3050" t="s">
        <v>6952</v>
      </c>
      <c r="W3050">
        <v>47503</v>
      </c>
      <c r="X3050" t="s">
        <v>315</v>
      </c>
      <c r="Y3050">
        <v>36933</v>
      </c>
      <c r="Z3050">
        <v>1520096</v>
      </c>
      <c r="AA3050">
        <v>338240</v>
      </c>
      <c r="AB3050" t="str">
        <f>(VLOOKUP(SalesData[[#This Row],[Month Number]],Reference!C$5:E$16,2,FALSE))</f>
        <v>Feb</v>
      </c>
      <c r="AC3050">
        <f>MONTH(SalesData[[#This Row],[Date]])</f>
        <v>2</v>
      </c>
      <c r="AD3050">
        <f>Reference!F$4</f>
        <v>2026</v>
      </c>
      <c r="AE3050" t="str">
        <f>IF(OR(SalesData[[#This Row],[Day]]="Saturday",SalesData[[#This Row],[Day]]="Sunday"),"Weekend","Weekday")</f>
        <v>Weekday</v>
      </c>
      <c r="AF3050" s="5">
        <f>IF(SalesData[[#This Row],[Contracts Offered]]=0,0,SalesData[[#This Row],[Contracts Signed]]/SalesData[[#This Row],[Contracts Offered]])</f>
        <v>0.29906542056074764</v>
      </c>
      <c r="AG3050" s="5">
        <f>IF(SalesData[[#This Row],[Customers Visited]]=0,0,SalesData[[#This Row],[Test Drives]]/SalesData[[#This Row],[Customers Visited]])</f>
        <v>0.6</v>
      </c>
      <c r="AH3050" s="5">
        <f>IF(SalesData[[#This Row],[Customers Visited]]=0,0,SalesData[[#This Row],[Contracts Signed]]/SalesData[[#This Row],[Customers Visited]])</f>
        <v>0.12549019607843137</v>
      </c>
      <c r="AI3050" s="6">
        <f>IF(SalesData[[#This Row],[Contracts Signed]]=0,0,SalesData[[#This Row],[Profit(€)]]/SalesData[[#This Row],[Contracts Signed]])</f>
        <v>10570</v>
      </c>
      <c r="AJ3050" s="5" t="str">
        <f>TRIM(CLEAN(SalesData[[#This Row],[Retailer]]))</f>
        <v>Leipzig Mobility</v>
      </c>
    </row>
    <row r="3051" spans="1:36" ht="14.25" hidden="1" x14ac:dyDescent="0.2">
      <c r="A3051" t="s">
        <v>4204</v>
      </c>
      <c r="B3051" s="1">
        <v>46057</v>
      </c>
      <c r="C3051" t="s">
        <v>24</v>
      </c>
      <c r="D3051" t="s">
        <v>82</v>
      </c>
      <c r="E3051" t="s">
        <v>26</v>
      </c>
      <c r="F3051" t="s">
        <v>109</v>
      </c>
      <c r="G3051" t="s">
        <v>110</v>
      </c>
      <c r="H3051" t="s">
        <v>45</v>
      </c>
      <c r="I3051" t="s">
        <v>64</v>
      </c>
      <c r="J3051" t="s">
        <v>7029</v>
      </c>
      <c r="K3051" t="s">
        <v>66</v>
      </c>
      <c r="L3051" t="s">
        <v>33</v>
      </c>
      <c r="M3051" t="s">
        <v>87</v>
      </c>
      <c r="N3051" t="s">
        <v>48</v>
      </c>
      <c r="O3051" t="s">
        <v>36</v>
      </c>
      <c r="P3051" t="s">
        <v>49</v>
      </c>
      <c r="Q3051" t="s">
        <v>240</v>
      </c>
      <c r="R3051">
        <v>274</v>
      </c>
      <c r="S3051">
        <v>143</v>
      </c>
      <c r="T3051">
        <v>96</v>
      </c>
      <c r="U3051">
        <v>29</v>
      </c>
      <c r="V3051" t="s">
        <v>7584</v>
      </c>
      <c r="W3051">
        <v>53859</v>
      </c>
      <c r="X3051" t="s">
        <v>7213</v>
      </c>
      <c r="Y3051">
        <v>39085</v>
      </c>
      <c r="Z3051">
        <v>1561911</v>
      </c>
      <c r="AA3051">
        <v>428446</v>
      </c>
      <c r="AB3051" t="str">
        <f>(VLOOKUP(SalesData[[#This Row],[Month Number]],Reference!C$5:E$16,2,FALSE))</f>
        <v>Feb</v>
      </c>
      <c r="AC3051">
        <f>MONTH(SalesData[[#This Row],[Date]])</f>
        <v>2</v>
      </c>
      <c r="AD3051">
        <f>Reference!F$4</f>
        <v>2026</v>
      </c>
      <c r="AE3051" t="str">
        <f>IF(OR(SalesData[[#This Row],[Day]]="Saturday",SalesData[[#This Row],[Day]]="Sunday"),"Weekend","Weekday")</f>
        <v>Weekday</v>
      </c>
      <c r="AF3051" s="5">
        <f>IF(SalesData[[#This Row],[Contracts Offered]]=0,0,SalesData[[#This Row],[Contracts Signed]]/SalesData[[#This Row],[Contracts Offered]])</f>
        <v>0.30208333333333331</v>
      </c>
      <c r="AG3051" s="5">
        <f>IF(SalesData[[#This Row],[Customers Visited]]=0,0,SalesData[[#This Row],[Test Drives]]/SalesData[[#This Row],[Customers Visited]])</f>
        <v>0.52189781021897808</v>
      </c>
      <c r="AH3051" s="5">
        <f>IF(SalesData[[#This Row],[Customers Visited]]=0,0,SalesData[[#This Row],[Contracts Signed]]/SalesData[[#This Row],[Customers Visited]])</f>
        <v>0.10583941605839416</v>
      </c>
      <c r="AI3051" s="6">
        <f>IF(SalesData[[#This Row],[Contracts Signed]]=0,0,SalesData[[#This Row],[Profit(€)]]/SalesData[[#This Row],[Contracts Signed]])</f>
        <v>14774</v>
      </c>
      <c r="AJ3051" s="5" t="str">
        <f>TRIM(CLEAN(SalesData[[#This Row],[Retailer]]))</f>
        <v>Leipzig Mobility</v>
      </c>
    </row>
    <row r="3052" spans="1:36" ht="14.25" hidden="1" x14ac:dyDescent="0.2">
      <c r="A3052" t="s">
        <v>4205</v>
      </c>
      <c r="B3052" s="1">
        <v>46061</v>
      </c>
      <c r="C3052" t="s">
        <v>121</v>
      </c>
      <c r="D3052" t="s">
        <v>41</v>
      </c>
      <c r="E3052" t="s">
        <v>42</v>
      </c>
      <c r="F3052" t="s">
        <v>83</v>
      </c>
      <c r="G3052" t="s">
        <v>84</v>
      </c>
      <c r="H3052" t="s">
        <v>85</v>
      </c>
      <c r="I3052" t="s">
        <v>104</v>
      </c>
      <c r="J3052" t="s">
        <v>105</v>
      </c>
      <c r="K3052" t="s">
        <v>66</v>
      </c>
      <c r="L3052" t="s">
        <v>33</v>
      </c>
      <c r="M3052" t="s">
        <v>87</v>
      </c>
      <c r="N3052" t="s">
        <v>69</v>
      </c>
      <c r="O3052" t="s">
        <v>70</v>
      </c>
      <c r="P3052" t="s">
        <v>49</v>
      </c>
      <c r="Q3052" t="s">
        <v>129</v>
      </c>
      <c r="R3052">
        <v>260</v>
      </c>
      <c r="S3052">
        <v>148</v>
      </c>
      <c r="T3052">
        <v>96</v>
      </c>
      <c r="U3052">
        <v>17</v>
      </c>
      <c r="V3052" t="s">
        <v>2760</v>
      </c>
      <c r="W3052">
        <v>30595</v>
      </c>
      <c r="X3052" t="s">
        <v>7549</v>
      </c>
      <c r="Y3052">
        <v>27333</v>
      </c>
      <c r="Z3052">
        <v>520115</v>
      </c>
      <c r="AA3052">
        <v>55454</v>
      </c>
      <c r="AB3052" t="str">
        <f>(VLOOKUP(SalesData[[#This Row],[Month Number]],Reference!C$5:E$16,2,FALSE))</f>
        <v>Feb</v>
      </c>
      <c r="AC3052">
        <f>MONTH(SalesData[[#This Row],[Date]])</f>
        <v>2</v>
      </c>
      <c r="AD3052">
        <f>Reference!F$4</f>
        <v>2026</v>
      </c>
      <c r="AE3052" t="str">
        <f>IF(OR(SalesData[[#This Row],[Day]]="Saturday",SalesData[[#This Row],[Day]]="Sunday"),"Weekend","Weekday")</f>
        <v>Weekend</v>
      </c>
      <c r="AF3052" s="5">
        <f>IF(SalesData[[#This Row],[Contracts Offered]]=0,0,SalesData[[#This Row],[Contracts Signed]]/SalesData[[#This Row],[Contracts Offered]])</f>
        <v>0.17708333333333334</v>
      </c>
      <c r="AG3052" s="5">
        <f>IF(SalesData[[#This Row],[Customers Visited]]=0,0,SalesData[[#This Row],[Test Drives]]/SalesData[[#This Row],[Customers Visited]])</f>
        <v>0.56923076923076921</v>
      </c>
      <c r="AH3052" s="5">
        <f>IF(SalesData[[#This Row],[Customers Visited]]=0,0,SalesData[[#This Row],[Contracts Signed]]/SalesData[[#This Row],[Customers Visited]])</f>
        <v>6.5384615384615388E-2</v>
      </c>
      <c r="AI3052" s="6">
        <f>IF(SalesData[[#This Row],[Contracts Signed]]=0,0,SalesData[[#This Row],[Profit(€)]]/SalesData[[#This Row],[Contracts Signed]])</f>
        <v>3262</v>
      </c>
      <c r="AJ3052" s="5" t="str">
        <f>TRIM(CLEAN(SalesData[[#This Row],[Retailer]]))</f>
        <v>Hannover Cars</v>
      </c>
    </row>
    <row r="3053" spans="1:36" ht="14.25" hidden="1" x14ac:dyDescent="0.2">
      <c r="A3053" t="s">
        <v>4206</v>
      </c>
      <c r="B3053" s="1">
        <v>46064</v>
      </c>
      <c r="C3053" t="s">
        <v>121</v>
      </c>
      <c r="D3053" t="s">
        <v>82</v>
      </c>
      <c r="E3053" t="s">
        <v>26</v>
      </c>
      <c r="F3053" t="s">
        <v>74</v>
      </c>
      <c r="G3053" t="s">
        <v>75</v>
      </c>
      <c r="H3053" t="s">
        <v>76</v>
      </c>
      <c r="I3053" t="s">
        <v>64</v>
      </c>
      <c r="J3053" t="s">
        <v>157</v>
      </c>
      <c r="K3053" t="s">
        <v>66</v>
      </c>
      <c r="L3053" t="s">
        <v>33</v>
      </c>
      <c r="M3053" t="s">
        <v>68</v>
      </c>
      <c r="N3053" t="s">
        <v>69</v>
      </c>
      <c r="O3053" t="s">
        <v>70</v>
      </c>
      <c r="P3053" t="s">
        <v>58</v>
      </c>
      <c r="Q3053" t="s">
        <v>135</v>
      </c>
      <c r="R3053">
        <v>193</v>
      </c>
      <c r="S3053">
        <v>89</v>
      </c>
      <c r="T3053">
        <v>70</v>
      </c>
      <c r="U3053">
        <v>24</v>
      </c>
      <c r="V3053" t="s">
        <v>6417</v>
      </c>
      <c r="W3053">
        <v>67095</v>
      </c>
      <c r="X3053" t="s">
        <v>7522</v>
      </c>
      <c r="Y3053">
        <v>49415</v>
      </c>
      <c r="Z3053">
        <v>1610280</v>
      </c>
      <c r="AA3053">
        <v>424320</v>
      </c>
      <c r="AB3053" t="str">
        <f>(VLOOKUP(SalesData[[#This Row],[Month Number]],Reference!C$5:E$16,2,FALSE))</f>
        <v>Feb</v>
      </c>
      <c r="AC3053">
        <f>MONTH(SalesData[[#This Row],[Date]])</f>
        <v>2</v>
      </c>
      <c r="AD3053">
        <f>Reference!F$4</f>
        <v>2026</v>
      </c>
      <c r="AE3053" t="str">
        <f>IF(OR(SalesData[[#This Row],[Day]]="Saturday",SalesData[[#This Row],[Day]]="Sunday"),"Weekend","Weekday")</f>
        <v>Weekday</v>
      </c>
      <c r="AF3053" s="5">
        <f>IF(SalesData[[#This Row],[Contracts Offered]]=0,0,SalesData[[#This Row],[Contracts Signed]]/SalesData[[#This Row],[Contracts Offered]])</f>
        <v>0.34285714285714286</v>
      </c>
      <c r="AG3053" s="5">
        <f>IF(SalesData[[#This Row],[Customers Visited]]=0,0,SalesData[[#This Row],[Test Drives]]/SalesData[[#This Row],[Customers Visited]])</f>
        <v>0.46113989637305697</v>
      </c>
      <c r="AH3053" s="5">
        <f>IF(SalesData[[#This Row],[Customers Visited]]=0,0,SalesData[[#This Row],[Contracts Signed]]/SalesData[[#This Row],[Customers Visited]])</f>
        <v>0.12435233160621761</v>
      </c>
      <c r="AI3053" s="6">
        <f>IF(SalesData[[#This Row],[Contracts Signed]]=0,0,SalesData[[#This Row],[Profit(€)]]/SalesData[[#This Row],[Contracts Signed]])</f>
        <v>17680</v>
      </c>
      <c r="AJ3053" s="5" t="str">
        <f>TRIM(CLEAN(SalesData[[#This Row],[Retailer]]))</f>
        <v>Stuttgart Auto Center</v>
      </c>
    </row>
    <row r="3054" spans="1:36" ht="14.25" hidden="1" x14ac:dyDescent="0.2">
      <c r="A3054" t="s">
        <v>4207</v>
      </c>
      <c r="B3054" s="1">
        <v>46054</v>
      </c>
      <c r="C3054" t="s">
        <v>24</v>
      </c>
      <c r="D3054" t="s">
        <v>41</v>
      </c>
      <c r="E3054" t="s">
        <v>42</v>
      </c>
      <c r="F3054" t="s">
        <v>94</v>
      </c>
      <c r="G3054" t="s">
        <v>95</v>
      </c>
      <c r="H3054" t="s">
        <v>96</v>
      </c>
      <c r="I3054" t="s">
        <v>64</v>
      </c>
      <c r="J3054" t="s">
        <v>111</v>
      </c>
      <c r="K3054" t="s">
        <v>66</v>
      </c>
      <c r="L3054" t="s">
        <v>46</v>
      </c>
      <c r="M3054" t="s">
        <v>87</v>
      </c>
      <c r="N3054" t="s">
        <v>35</v>
      </c>
      <c r="O3054" t="s">
        <v>36</v>
      </c>
      <c r="P3054" t="s">
        <v>49</v>
      </c>
      <c r="Q3054" t="s">
        <v>172</v>
      </c>
      <c r="R3054">
        <v>197</v>
      </c>
      <c r="S3054">
        <v>93</v>
      </c>
      <c r="T3054">
        <v>67</v>
      </c>
      <c r="U3054">
        <v>25</v>
      </c>
      <c r="V3054" t="s">
        <v>6980</v>
      </c>
      <c r="W3054">
        <v>52176</v>
      </c>
      <c r="X3054" t="s">
        <v>7195</v>
      </c>
      <c r="Y3054">
        <v>39117</v>
      </c>
      <c r="Z3054">
        <v>1304400</v>
      </c>
      <c r="AA3054">
        <v>326475</v>
      </c>
      <c r="AB3054" t="str">
        <f>(VLOOKUP(SalesData[[#This Row],[Month Number]],Reference!C$5:E$16,2,FALSE))</f>
        <v>Feb</v>
      </c>
      <c r="AC3054">
        <f>MONTH(SalesData[[#This Row],[Date]])</f>
        <v>2</v>
      </c>
      <c r="AD3054">
        <f>Reference!F$4</f>
        <v>2026</v>
      </c>
      <c r="AE3054" t="str">
        <f>IF(OR(SalesData[[#This Row],[Day]]="Saturday",SalesData[[#This Row],[Day]]="Sunday"),"Weekend","Weekday")</f>
        <v>Weekend</v>
      </c>
      <c r="AF3054" s="5">
        <f>IF(SalesData[[#This Row],[Contracts Offered]]=0,0,SalesData[[#This Row],[Contracts Signed]]/SalesData[[#This Row],[Contracts Offered]])</f>
        <v>0.37313432835820898</v>
      </c>
      <c r="AG3054" s="5">
        <f>IF(SalesData[[#This Row],[Customers Visited]]=0,0,SalesData[[#This Row],[Test Drives]]/SalesData[[#This Row],[Customers Visited]])</f>
        <v>0.4720812182741117</v>
      </c>
      <c r="AH3054" s="5">
        <f>IF(SalesData[[#This Row],[Customers Visited]]=0,0,SalesData[[#This Row],[Contracts Signed]]/SalesData[[#This Row],[Customers Visited]])</f>
        <v>0.12690355329949238</v>
      </c>
      <c r="AI3054" s="6">
        <f>IF(SalesData[[#This Row],[Contracts Signed]]=0,0,SalesData[[#This Row],[Profit(€)]]/SalesData[[#This Row],[Contracts Signed]])</f>
        <v>13059</v>
      </c>
      <c r="AJ3054" s="5" t="str">
        <f>TRIM(CLEAN(SalesData[[#This Row],[Retailer]]))</f>
        <v>Bavaria Motors</v>
      </c>
    </row>
    <row r="3055" spans="1:36" ht="14.25" x14ac:dyDescent="0.2">
      <c r="A3055" t="s">
        <v>4208</v>
      </c>
      <c r="B3055" s="1">
        <v>46059</v>
      </c>
      <c r="C3055" t="s">
        <v>24</v>
      </c>
      <c r="D3055" t="s">
        <v>54</v>
      </c>
      <c r="E3055" t="s">
        <v>26</v>
      </c>
      <c r="F3055" t="s">
        <v>83</v>
      </c>
      <c r="G3055" t="s">
        <v>84</v>
      </c>
      <c r="H3055" t="s">
        <v>85</v>
      </c>
      <c r="I3055" t="s">
        <v>30</v>
      </c>
      <c r="J3055" t="s">
        <v>188</v>
      </c>
      <c r="K3055" t="s">
        <v>32</v>
      </c>
      <c r="L3055" t="s">
        <v>33</v>
      </c>
      <c r="M3055" t="s">
        <v>34</v>
      </c>
      <c r="N3055" t="s">
        <v>69</v>
      </c>
      <c r="O3055" t="s">
        <v>70</v>
      </c>
      <c r="P3055" t="s">
        <v>49</v>
      </c>
      <c r="Q3055" t="s">
        <v>129</v>
      </c>
      <c r="R3055">
        <v>246</v>
      </c>
      <c r="S3055">
        <v>131</v>
      </c>
      <c r="T3055">
        <v>92</v>
      </c>
      <c r="U3055">
        <v>32</v>
      </c>
      <c r="V3055" t="s">
        <v>6380</v>
      </c>
      <c r="W3055">
        <v>67669</v>
      </c>
      <c r="X3055" t="s">
        <v>7163</v>
      </c>
      <c r="Y3055">
        <v>49450</v>
      </c>
      <c r="Z3055">
        <v>2165408</v>
      </c>
      <c r="AA3055">
        <v>583008</v>
      </c>
      <c r="AB3055" t="str">
        <f>(VLOOKUP(SalesData[[#This Row],[Month Number]],Reference!C$5:E$16,2,FALSE))</f>
        <v>Feb</v>
      </c>
      <c r="AC3055">
        <f>MONTH(SalesData[[#This Row],[Date]])</f>
        <v>2</v>
      </c>
      <c r="AD3055">
        <f>Reference!F$4</f>
        <v>2026</v>
      </c>
      <c r="AE3055" t="str">
        <f>IF(OR(SalesData[[#This Row],[Day]]="Saturday",SalesData[[#This Row],[Day]]="Sunday"),"Weekend","Weekday")</f>
        <v>Weekday</v>
      </c>
      <c r="AF3055" s="5">
        <f>IF(SalesData[[#This Row],[Contracts Offered]]=0,0,SalesData[[#This Row],[Contracts Signed]]/SalesData[[#This Row],[Contracts Offered]])</f>
        <v>0.34782608695652173</v>
      </c>
      <c r="AG3055" s="5">
        <f>IF(SalesData[[#This Row],[Customers Visited]]=0,0,SalesData[[#This Row],[Test Drives]]/SalesData[[#This Row],[Customers Visited]])</f>
        <v>0.53252032520325199</v>
      </c>
      <c r="AH3055" s="5">
        <f>IF(SalesData[[#This Row],[Customers Visited]]=0,0,SalesData[[#This Row],[Contracts Signed]]/SalesData[[#This Row],[Customers Visited]])</f>
        <v>0.13008130081300814</v>
      </c>
      <c r="AI3055" s="6">
        <f>IF(SalesData[[#This Row],[Contracts Signed]]=0,0,SalesData[[#This Row],[Profit(€)]]/SalesData[[#This Row],[Contracts Signed]])</f>
        <v>18219</v>
      </c>
      <c r="AJ3055" s="5" t="str">
        <f>TRIM(CLEAN(SalesData[[#This Row],[Retailer]]))</f>
        <v>Hannover Cars</v>
      </c>
    </row>
    <row r="3056" spans="1:36" ht="14.25" hidden="1" x14ac:dyDescent="0.2">
      <c r="A3056" t="s">
        <v>4210</v>
      </c>
      <c r="B3056" s="1">
        <v>46078</v>
      </c>
      <c r="C3056" t="s">
        <v>53</v>
      </c>
      <c r="D3056" t="s">
        <v>82</v>
      </c>
      <c r="E3056" t="s">
        <v>26</v>
      </c>
      <c r="F3056" t="s">
        <v>43</v>
      </c>
      <c r="G3056" t="s">
        <v>44</v>
      </c>
      <c r="H3056" t="s">
        <v>45</v>
      </c>
      <c r="I3056" t="s">
        <v>56</v>
      </c>
      <c r="J3056" t="s">
        <v>57</v>
      </c>
      <c r="K3056" t="s">
        <v>32</v>
      </c>
      <c r="L3056" t="s">
        <v>46</v>
      </c>
      <c r="M3056" t="s">
        <v>34</v>
      </c>
      <c r="N3056" t="s">
        <v>69</v>
      </c>
      <c r="O3056" t="s">
        <v>36</v>
      </c>
      <c r="P3056" t="s">
        <v>71</v>
      </c>
      <c r="Q3056" t="s">
        <v>106</v>
      </c>
      <c r="R3056">
        <v>172</v>
      </c>
      <c r="S3056">
        <v>90</v>
      </c>
      <c r="T3056">
        <v>66</v>
      </c>
      <c r="U3056">
        <v>20</v>
      </c>
      <c r="V3056" t="s">
        <v>6433</v>
      </c>
      <c r="W3056">
        <v>50506</v>
      </c>
      <c r="X3056" t="s">
        <v>7202</v>
      </c>
      <c r="Y3056">
        <v>39290</v>
      </c>
      <c r="Z3056">
        <v>1010120</v>
      </c>
      <c r="AA3056">
        <v>224320</v>
      </c>
      <c r="AB3056" t="str">
        <f>(VLOOKUP(SalesData[[#This Row],[Month Number]],Reference!C$5:E$16,2,FALSE))</f>
        <v>Feb</v>
      </c>
      <c r="AC3056">
        <f>MONTH(SalesData[[#This Row],[Date]])</f>
        <v>2</v>
      </c>
      <c r="AD3056">
        <f>Reference!F$4</f>
        <v>2026</v>
      </c>
      <c r="AE3056" t="str">
        <f>IF(OR(SalesData[[#This Row],[Day]]="Saturday",SalesData[[#This Row],[Day]]="Sunday"),"Weekend","Weekday")</f>
        <v>Weekday</v>
      </c>
      <c r="AF3056" s="5">
        <f>IF(SalesData[[#This Row],[Contracts Offered]]=0,0,SalesData[[#This Row],[Contracts Signed]]/SalesData[[#This Row],[Contracts Offered]])</f>
        <v>0.30303030303030304</v>
      </c>
      <c r="AG3056" s="5">
        <f>IF(SalesData[[#This Row],[Customers Visited]]=0,0,SalesData[[#This Row],[Test Drives]]/SalesData[[#This Row],[Customers Visited]])</f>
        <v>0.52325581395348841</v>
      </c>
      <c r="AH3056" s="5">
        <f>IF(SalesData[[#This Row],[Customers Visited]]=0,0,SalesData[[#This Row],[Contracts Signed]]/SalesData[[#This Row],[Customers Visited]])</f>
        <v>0.11627906976744186</v>
      </c>
      <c r="AI3056" s="6">
        <f>IF(SalesData[[#This Row],[Contracts Signed]]=0,0,SalesData[[#This Row],[Profit(€)]]/SalesData[[#This Row],[Contracts Signed]])</f>
        <v>11216</v>
      </c>
      <c r="AJ3056" s="5" t="str">
        <f>TRIM(CLEAN(SalesData[[#This Row],[Retailer]]))</f>
        <v>Saxon Wheels</v>
      </c>
    </row>
    <row r="3057" spans="1:36" ht="14.25" hidden="1" x14ac:dyDescent="0.2">
      <c r="A3057" t="s">
        <v>4211</v>
      </c>
      <c r="B3057" s="1">
        <v>46079</v>
      </c>
      <c r="C3057" t="s">
        <v>53</v>
      </c>
      <c r="D3057" t="s">
        <v>100</v>
      </c>
      <c r="E3057" t="s">
        <v>26</v>
      </c>
      <c r="F3057" t="s">
        <v>74</v>
      </c>
      <c r="G3057" t="s">
        <v>75</v>
      </c>
      <c r="H3057" t="s">
        <v>76</v>
      </c>
      <c r="I3057" t="s">
        <v>56</v>
      </c>
      <c r="J3057" t="s">
        <v>137</v>
      </c>
      <c r="K3057" t="s">
        <v>91</v>
      </c>
      <c r="L3057" t="s">
        <v>46</v>
      </c>
      <c r="M3057" t="s">
        <v>34</v>
      </c>
      <c r="N3057" t="s">
        <v>35</v>
      </c>
      <c r="O3057" t="s">
        <v>70</v>
      </c>
      <c r="P3057" t="s">
        <v>49</v>
      </c>
      <c r="Q3057" t="s">
        <v>38</v>
      </c>
      <c r="R3057">
        <v>211</v>
      </c>
      <c r="S3057">
        <v>131</v>
      </c>
      <c r="T3057">
        <v>99</v>
      </c>
      <c r="U3057">
        <v>31</v>
      </c>
      <c r="V3057" t="s">
        <v>6474</v>
      </c>
      <c r="W3057">
        <v>49066</v>
      </c>
      <c r="X3057" t="s">
        <v>2348</v>
      </c>
      <c r="Y3057">
        <v>38627</v>
      </c>
      <c r="Z3057">
        <v>1521046</v>
      </c>
      <c r="AA3057">
        <v>323609</v>
      </c>
      <c r="AB3057" t="str">
        <f>(VLOOKUP(SalesData[[#This Row],[Month Number]],Reference!C$5:E$16,2,FALSE))</f>
        <v>Feb</v>
      </c>
      <c r="AC3057">
        <f>MONTH(SalesData[[#This Row],[Date]])</f>
        <v>2</v>
      </c>
      <c r="AD3057">
        <f>Reference!F$4</f>
        <v>2026</v>
      </c>
      <c r="AE3057" t="str">
        <f>IF(OR(SalesData[[#This Row],[Day]]="Saturday",SalesData[[#This Row],[Day]]="Sunday"),"Weekend","Weekday")</f>
        <v>Weekday</v>
      </c>
      <c r="AF3057" s="5">
        <f>IF(SalesData[[#This Row],[Contracts Offered]]=0,0,SalesData[[#This Row],[Contracts Signed]]/SalesData[[#This Row],[Contracts Offered]])</f>
        <v>0.31313131313131315</v>
      </c>
      <c r="AG3057" s="5">
        <f>IF(SalesData[[#This Row],[Customers Visited]]=0,0,SalesData[[#This Row],[Test Drives]]/SalesData[[#This Row],[Customers Visited]])</f>
        <v>0.62085308056872035</v>
      </c>
      <c r="AH3057" s="5">
        <f>IF(SalesData[[#This Row],[Customers Visited]]=0,0,SalesData[[#This Row],[Contracts Signed]]/SalesData[[#This Row],[Customers Visited]])</f>
        <v>0.14691943127962084</v>
      </c>
      <c r="AI3057" s="6">
        <f>IF(SalesData[[#This Row],[Contracts Signed]]=0,0,SalesData[[#This Row],[Profit(€)]]/SalesData[[#This Row],[Contracts Signed]])</f>
        <v>10439</v>
      </c>
      <c r="AJ3057" s="5" t="str">
        <f>TRIM(CLEAN(SalesData[[#This Row],[Retailer]]))</f>
        <v>Stuttgart Auto Center</v>
      </c>
    </row>
    <row r="3058" spans="1:36" ht="14.25" hidden="1" x14ac:dyDescent="0.2">
      <c r="A3058" t="s">
        <v>4212</v>
      </c>
      <c r="B3058" s="1">
        <v>46071</v>
      </c>
      <c r="C3058" t="s">
        <v>62</v>
      </c>
      <c r="D3058" t="s">
        <v>82</v>
      </c>
      <c r="E3058" t="s">
        <v>26</v>
      </c>
      <c r="F3058" t="s">
        <v>43</v>
      </c>
      <c r="G3058" t="s">
        <v>44</v>
      </c>
      <c r="H3058" t="s">
        <v>45</v>
      </c>
      <c r="I3058" t="s">
        <v>64</v>
      </c>
      <c r="J3058" t="s">
        <v>77</v>
      </c>
      <c r="K3058" t="s">
        <v>66</v>
      </c>
      <c r="L3058" t="s">
        <v>46</v>
      </c>
      <c r="M3058" t="s">
        <v>68</v>
      </c>
      <c r="N3058" t="s">
        <v>48</v>
      </c>
      <c r="O3058" t="s">
        <v>70</v>
      </c>
      <c r="P3058" t="s">
        <v>37</v>
      </c>
      <c r="Q3058" t="s">
        <v>118</v>
      </c>
      <c r="R3058">
        <v>241</v>
      </c>
      <c r="S3058">
        <v>112</v>
      </c>
      <c r="T3058">
        <v>82</v>
      </c>
      <c r="U3058">
        <v>24</v>
      </c>
      <c r="V3058" t="s">
        <v>6452</v>
      </c>
      <c r="W3058">
        <v>56075</v>
      </c>
      <c r="X3058" t="s">
        <v>7118</v>
      </c>
      <c r="Y3058">
        <v>40751</v>
      </c>
      <c r="Z3058">
        <v>1345800</v>
      </c>
      <c r="AA3058">
        <v>367776</v>
      </c>
      <c r="AB3058" t="str">
        <f>(VLOOKUP(SalesData[[#This Row],[Month Number]],Reference!C$5:E$16,2,FALSE))</f>
        <v>Feb</v>
      </c>
      <c r="AC3058">
        <f>MONTH(SalesData[[#This Row],[Date]])</f>
        <v>2</v>
      </c>
      <c r="AD3058">
        <f>Reference!F$4</f>
        <v>2026</v>
      </c>
      <c r="AE3058" t="str">
        <f>IF(OR(SalesData[[#This Row],[Day]]="Saturday",SalesData[[#This Row],[Day]]="Sunday"),"Weekend","Weekday")</f>
        <v>Weekday</v>
      </c>
      <c r="AF3058" s="5">
        <f>IF(SalesData[[#This Row],[Contracts Offered]]=0,0,SalesData[[#This Row],[Contracts Signed]]/SalesData[[#This Row],[Contracts Offered]])</f>
        <v>0.29268292682926828</v>
      </c>
      <c r="AG3058" s="5">
        <f>IF(SalesData[[#This Row],[Customers Visited]]=0,0,SalesData[[#This Row],[Test Drives]]/SalesData[[#This Row],[Customers Visited]])</f>
        <v>0.46473029045643155</v>
      </c>
      <c r="AH3058" s="5">
        <f>IF(SalesData[[#This Row],[Customers Visited]]=0,0,SalesData[[#This Row],[Contracts Signed]]/SalesData[[#This Row],[Customers Visited]])</f>
        <v>9.9585062240663894E-2</v>
      </c>
      <c r="AI3058" s="6">
        <f>IF(SalesData[[#This Row],[Contracts Signed]]=0,0,SalesData[[#This Row],[Profit(€)]]/SalesData[[#This Row],[Contracts Signed]])</f>
        <v>15324</v>
      </c>
      <c r="AJ3058" s="5" t="str">
        <f>TRIM(CLEAN(SalesData[[#This Row],[Retailer]]))</f>
        <v>Saxon Wheels</v>
      </c>
    </row>
    <row r="3059" spans="1:36" ht="14.25" x14ac:dyDescent="0.2">
      <c r="A3059" t="s">
        <v>4213</v>
      </c>
      <c r="B3059" s="1">
        <v>46058</v>
      </c>
      <c r="C3059" t="s">
        <v>24</v>
      </c>
      <c r="D3059" t="s">
        <v>100</v>
      </c>
      <c r="E3059" t="s">
        <v>26</v>
      </c>
      <c r="F3059" t="s">
        <v>109</v>
      </c>
      <c r="G3059" t="s">
        <v>110</v>
      </c>
      <c r="H3059" t="s">
        <v>45</v>
      </c>
      <c r="I3059" t="s">
        <v>30</v>
      </c>
      <c r="J3059" t="s">
        <v>166</v>
      </c>
      <c r="K3059" t="s">
        <v>66</v>
      </c>
      <c r="L3059" t="s">
        <v>46</v>
      </c>
      <c r="M3059" t="s">
        <v>68</v>
      </c>
      <c r="N3059" t="s">
        <v>48</v>
      </c>
      <c r="O3059" t="s">
        <v>36</v>
      </c>
      <c r="P3059" t="s">
        <v>37</v>
      </c>
      <c r="Q3059" t="s">
        <v>59</v>
      </c>
      <c r="R3059">
        <v>173</v>
      </c>
      <c r="S3059">
        <v>78</v>
      </c>
      <c r="T3059">
        <v>58</v>
      </c>
      <c r="U3059">
        <v>22</v>
      </c>
      <c r="V3059" t="s">
        <v>6501</v>
      </c>
      <c r="W3059">
        <v>61980</v>
      </c>
      <c r="X3059" t="s">
        <v>7274</v>
      </c>
      <c r="Y3059">
        <v>43650</v>
      </c>
      <c r="Z3059">
        <v>1363560</v>
      </c>
      <c r="AA3059">
        <v>403260</v>
      </c>
      <c r="AB3059" t="str">
        <f>(VLOOKUP(SalesData[[#This Row],[Month Number]],Reference!C$5:E$16,2,FALSE))</f>
        <v>Feb</v>
      </c>
      <c r="AC3059">
        <f>MONTH(SalesData[[#This Row],[Date]])</f>
        <v>2</v>
      </c>
      <c r="AD3059">
        <f>Reference!F$4</f>
        <v>2026</v>
      </c>
      <c r="AE3059" t="str">
        <f>IF(OR(SalesData[[#This Row],[Day]]="Saturday",SalesData[[#This Row],[Day]]="Sunday"),"Weekend","Weekday")</f>
        <v>Weekday</v>
      </c>
      <c r="AF3059" s="5">
        <f>IF(SalesData[[#This Row],[Contracts Offered]]=0,0,SalesData[[#This Row],[Contracts Signed]]/SalesData[[#This Row],[Contracts Offered]])</f>
        <v>0.37931034482758619</v>
      </c>
      <c r="AG3059" s="5">
        <f>IF(SalesData[[#This Row],[Customers Visited]]=0,0,SalesData[[#This Row],[Test Drives]]/SalesData[[#This Row],[Customers Visited]])</f>
        <v>0.45086705202312138</v>
      </c>
      <c r="AH3059" s="5">
        <f>IF(SalesData[[#This Row],[Customers Visited]]=0,0,SalesData[[#This Row],[Contracts Signed]]/SalesData[[#This Row],[Customers Visited]])</f>
        <v>0.12716763005780346</v>
      </c>
      <c r="AI3059" s="6">
        <f>IF(SalesData[[#This Row],[Contracts Signed]]=0,0,SalesData[[#This Row],[Profit(€)]]/SalesData[[#This Row],[Contracts Signed]])</f>
        <v>18330</v>
      </c>
      <c r="AJ3059" s="5" t="str">
        <f>TRIM(CLEAN(SalesData[[#This Row],[Retailer]]))</f>
        <v>Leipzig Mobility</v>
      </c>
    </row>
    <row r="3060" spans="1:36" ht="14.25" hidden="1" x14ac:dyDescent="0.2">
      <c r="A3060" t="s">
        <v>4214</v>
      </c>
      <c r="B3060" s="1">
        <v>46067</v>
      </c>
      <c r="C3060" t="s">
        <v>121</v>
      </c>
      <c r="D3060" t="s">
        <v>151</v>
      </c>
      <c r="E3060" t="s">
        <v>42</v>
      </c>
      <c r="F3060" t="s">
        <v>83</v>
      </c>
      <c r="G3060" t="s">
        <v>84</v>
      </c>
      <c r="H3060" t="s">
        <v>85</v>
      </c>
      <c r="I3060" t="s">
        <v>64</v>
      </c>
      <c r="J3060" t="s">
        <v>65</v>
      </c>
      <c r="K3060" t="s">
        <v>78</v>
      </c>
      <c r="L3060" t="s">
        <v>33</v>
      </c>
      <c r="M3060" t="s">
        <v>68</v>
      </c>
      <c r="N3060" t="s">
        <v>69</v>
      </c>
      <c r="O3060" t="s">
        <v>36</v>
      </c>
      <c r="P3060" t="s">
        <v>71</v>
      </c>
      <c r="Q3060" t="s">
        <v>152</v>
      </c>
      <c r="R3060">
        <v>270</v>
      </c>
      <c r="S3060">
        <v>148</v>
      </c>
      <c r="T3060">
        <v>116</v>
      </c>
      <c r="U3060">
        <v>35</v>
      </c>
      <c r="V3060" t="s">
        <v>6764</v>
      </c>
      <c r="W3060">
        <v>55196</v>
      </c>
      <c r="X3060" t="s">
        <v>7224</v>
      </c>
      <c r="Y3060">
        <v>39995</v>
      </c>
      <c r="Z3060">
        <v>1931860</v>
      </c>
      <c r="AA3060">
        <v>532035</v>
      </c>
      <c r="AB3060" t="str">
        <f>(VLOOKUP(SalesData[[#This Row],[Month Number]],Reference!C$5:E$16,2,FALSE))</f>
        <v>Feb</v>
      </c>
      <c r="AC3060">
        <f>MONTH(SalesData[[#This Row],[Date]])</f>
        <v>2</v>
      </c>
      <c r="AD3060">
        <f>Reference!F$4</f>
        <v>2026</v>
      </c>
      <c r="AE3060" t="str">
        <f>IF(OR(SalesData[[#This Row],[Day]]="Saturday",SalesData[[#This Row],[Day]]="Sunday"),"Weekend","Weekday")</f>
        <v>Weekend</v>
      </c>
      <c r="AF3060" s="5">
        <f>IF(SalesData[[#This Row],[Contracts Offered]]=0,0,SalesData[[#This Row],[Contracts Signed]]/SalesData[[#This Row],[Contracts Offered]])</f>
        <v>0.30172413793103448</v>
      </c>
      <c r="AG3060" s="5">
        <f>IF(SalesData[[#This Row],[Customers Visited]]=0,0,SalesData[[#This Row],[Test Drives]]/SalesData[[#This Row],[Customers Visited]])</f>
        <v>0.54814814814814816</v>
      </c>
      <c r="AH3060" s="5">
        <f>IF(SalesData[[#This Row],[Customers Visited]]=0,0,SalesData[[#This Row],[Contracts Signed]]/SalesData[[#This Row],[Customers Visited]])</f>
        <v>0.12962962962962962</v>
      </c>
      <c r="AI3060" s="6">
        <f>IF(SalesData[[#This Row],[Contracts Signed]]=0,0,SalesData[[#This Row],[Profit(€)]]/SalesData[[#This Row],[Contracts Signed]])</f>
        <v>15201</v>
      </c>
      <c r="AJ3060" s="5" t="str">
        <f>TRIM(CLEAN(SalesData[[#This Row],[Retailer]]))</f>
        <v>Hannover Cars</v>
      </c>
    </row>
    <row r="3061" spans="1:36" ht="14.25" x14ac:dyDescent="0.2">
      <c r="A3061" t="s">
        <v>4215</v>
      </c>
      <c r="B3061" s="1">
        <v>46054</v>
      </c>
      <c r="C3061" t="s">
        <v>24</v>
      </c>
      <c r="D3061" t="s">
        <v>41</v>
      </c>
      <c r="E3061" t="s">
        <v>42</v>
      </c>
      <c r="F3061" t="s">
        <v>74</v>
      </c>
      <c r="G3061" t="s">
        <v>75</v>
      </c>
      <c r="H3061" t="s">
        <v>76</v>
      </c>
      <c r="I3061" t="s">
        <v>30</v>
      </c>
      <c r="J3061" t="s">
        <v>86</v>
      </c>
      <c r="K3061" t="s">
        <v>91</v>
      </c>
      <c r="L3061" t="s">
        <v>33</v>
      </c>
      <c r="M3061" t="s">
        <v>87</v>
      </c>
      <c r="N3061" t="s">
        <v>48</v>
      </c>
      <c r="O3061" t="s">
        <v>70</v>
      </c>
      <c r="P3061" t="s">
        <v>71</v>
      </c>
      <c r="Q3061" t="s">
        <v>106</v>
      </c>
      <c r="R3061">
        <v>144</v>
      </c>
      <c r="S3061">
        <v>67</v>
      </c>
      <c r="T3061">
        <v>52</v>
      </c>
      <c r="U3061">
        <v>18</v>
      </c>
      <c r="V3061" t="s">
        <v>6451</v>
      </c>
      <c r="W3061">
        <v>56663</v>
      </c>
      <c r="X3061" t="s">
        <v>1677</v>
      </c>
      <c r="Y3061">
        <v>40680</v>
      </c>
      <c r="Z3061">
        <v>1019934</v>
      </c>
      <c r="AA3061">
        <v>287694</v>
      </c>
      <c r="AB3061" t="str">
        <f>(VLOOKUP(SalesData[[#This Row],[Month Number]],Reference!C$5:E$16,2,FALSE))</f>
        <v>Feb</v>
      </c>
      <c r="AC3061">
        <f>MONTH(SalesData[[#This Row],[Date]])</f>
        <v>2</v>
      </c>
      <c r="AD3061">
        <f>Reference!F$4</f>
        <v>2026</v>
      </c>
      <c r="AE3061" t="str">
        <f>IF(OR(SalesData[[#This Row],[Day]]="Saturday",SalesData[[#This Row],[Day]]="Sunday"),"Weekend","Weekday")</f>
        <v>Weekend</v>
      </c>
      <c r="AF3061" s="5">
        <f>IF(SalesData[[#This Row],[Contracts Offered]]=0,0,SalesData[[#This Row],[Contracts Signed]]/SalesData[[#This Row],[Contracts Offered]])</f>
        <v>0.34615384615384615</v>
      </c>
      <c r="AG3061" s="5">
        <f>IF(SalesData[[#This Row],[Customers Visited]]=0,0,SalesData[[#This Row],[Test Drives]]/SalesData[[#This Row],[Customers Visited]])</f>
        <v>0.46527777777777779</v>
      </c>
      <c r="AH3061" s="5">
        <f>IF(SalesData[[#This Row],[Customers Visited]]=0,0,SalesData[[#This Row],[Contracts Signed]]/SalesData[[#This Row],[Customers Visited]])</f>
        <v>0.125</v>
      </c>
      <c r="AI3061" s="6">
        <f>IF(SalesData[[#This Row],[Contracts Signed]]=0,0,SalesData[[#This Row],[Profit(€)]]/SalesData[[#This Row],[Contracts Signed]])</f>
        <v>15983</v>
      </c>
      <c r="AJ3061" s="5" t="str">
        <f>TRIM(CLEAN(SalesData[[#This Row],[Retailer]]))</f>
        <v>Stuttgart Auto Center</v>
      </c>
    </row>
    <row r="3062" spans="1:36" ht="14.25" hidden="1" x14ac:dyDescent="0.2">
      <c r="A3062" t="s">
        <v>4216</v>
      </c>
      <c r="B3062" s="1">
        <v>46079</v>
      </c>
      <c r="C3062" t="s">
        <v>53</v>
      </c>
      <c r="D3062" t="s">
        <v>100</v>
      </c>
      <c r="E3062" t="s">
        <v>26</v>
      </c>
      <c r="F3062" t="s">
        <v>43</v>
      </c>
      <c r="G3062" t="s">
        <v>44</v>
      </c>
      <c r="H3062" t="s">
        <v>45</v>
      </c>
      <c r="I3062" t="s">
        <v>56</v>
      </c>
      <c r="J3062" t="s">
        <v>137</v>
      </c>
      <c r="K3062" t="s">
        <v>78</v>
      </c>
      <c r="L3062" t="s">
        <v>46</v>
      </c>
      <c r="M3062" t="s">
        <v>87</v>
      </c>
      <c r="N3062" t="s">
        <v>48</v>
      </c>
      <c r="O3062" t="s">
        <v>70</v>
      </c>
      <c r="P3062" t="s">
        <v>58</v>
      </c>
      <c r="Q3062" t="s">
        <v>88</v>
      </c>
      <c r="R3062">
        <v>199</v>
      </c>
      <c r="S3062">
        <v>97</v>
      </c>
      <c r="T3062">
        <v>64</v>
      </c>
      <c r="U3062">
        <v>22</v>
      </c>
      <c r="V3062" t="s">
        <v>6479</v>
      </c>
      <c r="W3062">
        <v>52892</v>
      </c>
      <c r="X3062" t="s">
        <v>7161</v>
      </c>
      <c r="Y3062">
        <v>39670</v>
      </c>
      <c r="Z3062">
        <v>1163624</v>
      </c>
      <c r="AA3062">
        <v>290884</v>
      </c>
      <c r="AB3062" t="str">
        <f>(VLOOKUP(SalesData[[#This Row],[Month Number]],Reference!C$5:E$16,2,FALSE))</f>
        <v>Feb</v>
      </c>
      <c r="AC3062">
        <f>MONTH(SalesData[[#This Row],[Date]])</f>
        <v>2</v>
      </c>
      <c r="AD3062">
        <f>Reference!F$4</f>
        <v>2026</v>
      </c>
      <c r="AE3062" t="str">
        <f>IF(OR(SalesData[[#This Row],[Day]]="Saturday",SalesData[[#This Row],[Day]]="Sunday"),"Weekend","Weekday")</f>
        <v>Weekday</v>
      </c>
      <c r="AF3062" s="5">
        <f>IF(SalesData[[#This Row],[Contracts Offered]]=0,0,SalesData[[#This Row],[Contracts Signed]]/SalesData[[#This Row],[Contracts Offered]])</f>
        <v>0.34375</v>
      </c>
      <c r="AG3062" s="5">
        <f>IF(SalesData[[#This Row],[Customers Visited]]=0,0,SalesData[[#This Row],[Test Drives]]/SalesData[[#This Row],[Customers Visited]])</f>
        <v>0.48743718592964824</v>
      </c>
      <c r="AH3062" s="5">
        <f>IF(SalesData[[#This Row],[Customers Visited]]=0,0,SalesData[[#This Row],[Contracts Signed]]/SalesData[[#This Row],[Customers Visited]])</f>
        <v>0.11055276381909548</v>
      </c>
      <c r="AI3062" s="6">
        <f>IF(SalesData[[#This Row],[Contracts Signed]]=0,0,SalesData[[#This Row],[Profit(€)]]/SalesData[[#This Row],[Contracts Signed]])</f>
        <v>13222</v>
      </c>
      <c r="AJ3062" s="5" t="str">
        <f>TRIM(CLEAN(SalesData[[#This Row],[Retailer]]))</f>
        <v>Saxon Wheels</v>
      </c>
    </row>
    <row r="3063" spans="1:36" ht="14.25" x14ac:dyDescent="0.2">
      <c r="A3063" t="s">
        <v>4217</v>
      </c>
      <c r="B3063" s="1">
        <v>46063</v>
      </c>
      <c r="C3063" t="s">
        <v>121</v>
      </c>
      <c r="D3063" t="s">
        <v>63</v>
      </c>
      <c r="E3063" t="s">
        <v>26</v>
      </c>
      <c r="F3063" t="s">
        <v>43</v>
      </c>
      <c r="G3063" t="s">
        <v>44</v>
      </c>
      <c r="H3063" t="s">
        <v>45</v>
      </c>
      <c r="I3063" t="s">
        <v>30</v>
      </c>
      <c r="J3063" t="s">
        <v>7075</v>
      </c>
      <c r="K3063" t="s">
        <v>66</v>
      </c>
      <c r="L3063" t="s">
        <v>33</v>
      </c>
      <c r="M3063" t="s">
        <v>47</v>
      </c>
      <c r="N3063" t="s">
        <v>48</v>
      </c>
      <c r="O3063" t="s">
        <v>36</v>
      </c>
      <c r="P3063" t="s">
        <v>49</v>
      </c>
      <c r="Q3063" t="s">
        <v>152</v>
      </c>
      <c r="R3063">
        <v>216</v>
      </c>
      <c r="S3063">
        <v>122</v>
      </c>
      <c r="T3063">
        <v>97</v>
      </c>
      <c r="U3063">
        <v>29</v>
      </c>
      <c r="V3063" t="s">
        <v>7016</v>
      </c>
      <c r="W3063">
        <v>68464</v>
      </c>
      <c r="X3063" t="s">
        <v>7352</v>
      </c>
      <c r="Y3063">
        <v>49386</v>
      </c>
      <c r="Z3063">
        <v>1985456</v>
      </c>
      <c r="AA3063">
        <v>553262</v>
      </c>
      <c r="AB3063" t="str">
        <f>(VLOOKUP(SalesData[[#This Row],[Month Number]],Reference!C$5:E$16,2,FALSE))</f>
        <v>Feb</v>
      </c>
      <c r="AC3063">
        <f>MONTH(SalesData[[#This Row],[Date]])</f>
        <v>2</v>
      </c>
      <c r="AD3063">
        <f>Reference!F$4</f>
        <v>2026</v>
      </c>
      <c r="AE3063" t="str">
        <f>IF(OR(SalesData[[#This Row],[Day]]="Saturday",SalesData[[#This Row],[Day]]="Sunday"),"Weekend","Weekday")</f>
        <v>Weekday</v>
      </c>
      <c r="AF3063" s="5">
        <f>IF(SalesData[[#This Row],[Contracts Offered]]=0,0,SalesData[[#This Row],[Contracts Signed]]/SalesData[[#This Row],[Contracts Offered]])</f>
        <v>0.29896907216494845</v>
      </c>
      <c r="AG3063" s="5">
        <f>IF(SalesData[[#This Row],[Customers Visited]]=0,0,SalesData[[#This Row],[Test Drives]]/SalesData[[#This Row],[Customers Visited]])</f>
        <v>0.56481481481481477</v>
      </c>
      <c r="AH3063" s="5">
        <f>IF(SalesData[[#This Row],[Customers Visited]]=0,0,SalesData[[#This Row],[Contracts Signed]]/SalesData[[#This Row],[Customers Visited]])</f>
        <v>0.13425925925925927</v>
      </c>
      <c r="AI3063" s="6">
        <f>IF(SalesData[[#This Row],[Contracts Signed]]=0,0,SalesData[[#This Row],[Profit(€)]]/SalesData[[#This Row],[Contracts Signed]])</f>
        <v>19078</v>
      </c>
      <c r="AJ3063" s="5" t="str">
        <f>TRIM(CLEAN(SalesData[[#This Row],[Retailer]]))</f>
        <v>Saxon Wheels</v>
      </c>
    </row>
    <row r="3064" spans="1:36" ht="14.25" hidden="1" x14ac:dyDescent="0.2">
      <c r="A3064" t="s">
        <v>4218</v>
      </c>
      <c r="B3064" s="1">
        <v>46071</v>
      </c>
      <c r="C3064" t="s">
        <v>62</v>
      </c>
      <c r="D3064" t="s">
        <v>82</v>
      </c>
      <c r="E3064" t="s">
        <v>26</v>
      </c>
      <c r="F3064" t="s">
        <v>94</v>
      </c>
      <c r="G3064" t="s">
        <v>95</v>
      </c>
      <c r="H3064" t="s">
        <v>96</v>
      </c>
      <c r="I3064" t="s">
        <v>64</v>
      </c>
      <c r="J3064" t="s">
        <v>7029</v>
      </c>
      <c r="K3064" t="s">
        <v>32</v>
      </c>
      <c r="L3064" t="s">
        <v>33</v>
      </c>
      <c r="M3064" t="s">
        <v>68</v>
      </c>
      <c r="N3064" t="s">
        <v>35</v>
      </c>
      <c r="O3064" t="s">
        <v>36</v>
      </c>
      <c r="P3064" t="s">
        <v>58</v>
      </c>
      <c r="Q3064" t="s">
        <v>158</v>
      </c>
      <c r="R3064">
        <v>191</v>
      </c>
      <c r="S3064">
        <v>85</v>
      </c>
      <c r="T3064">
        <v>57</v>
      </c>
      <c r="U3064">
        <v>27</v>
      </c>
      <c r="V3064" t="s">
        <v>7463</v>
      </c>
      <c r="W3064">
        <v>56963</v>
      </c>
      <c r="X3064" t="s">
        <v>5630</v>
      </c>
      <c r="Y3064">
        <v>44537</v>
      </c>
      <c r="Z3064">
        <v>1538001</v>
      </c>
      <c r="AA3064">
        <v>335502</v>
      </c>
      <c r="AB3064" t="str">
        <f>(VLOOKUP(SalesData[[#This Row],[Month Number]],Reference!C$5:E$16,2,FALSE))</f>
        <v>Feb</v>
      </c>
      <c r="AC3064">
        <f>MONTH(SalesData[[#This Row],[Date]])</f>
        <v>2</v>
      </c>
      <c r="AD3064">
        <f>Reference!F$4</f>
        <v>2026</v>
      </c>
      <c r="AE3064" t="str">
        <f>IF(OR(SalesData[[#This Row],[Day]]="Saturday",SalesData[[#This Row],[Day]]="Sunday"),"Weekend","Weekday")</f>
        <v>Weekday</v>
      </c>
      <c r="AF3064" s="5">
        <f>IF(SalesData[[#This Row],[Contracts Offered]]=0,0,SalesData[[#This Row],[Contracts Signed]]/SalesData[[#This Row],[Contracts Offered]])</f>
        <v>0.47368421052631576</v>
      </c>
      <c r="AG3064" s="5">
        <f>IF(SalesData[[#This Row],[Customers Visited]]=0,0,SalesData[[#This Row],[Test Drives]]/SalesData[[#This Row],[Customers Visited]])</f>
        <v>0.44502617801047123</v>
      </c>
      <c r="AH3064" s="5">
        <f>IF(SalesData[[#This Row],[Customers Visited]]=0,0,SalesData[[#This Row],[Contracts Signed]]/SalesData[[#This Row],[Customers Visited]])</f>
        <v>0.14136125654450263</v>
      </c>
      <c r="AI3064" s="6">
        <f>IF(SalesData[[#This Row],[Contracts Signed]]=0,0,SalesData[[#This Row],[Profit(€)]]/SalesData[[#This Row],[Contracts Signed]])</f>
        <v>12426</v>
      </c>
      <c r="AJ3064" s="5" t="str">
        <f>TRIM(CLEAN(SalesData[[#This Row],[Retailer]]))</f>
        <v>Bavaria Motors</v>
      </c>
    </row>
    <row r="3065" spans="1:36" ht="14.25" hidden="1" x14ac:dyDescent="0.2">
      <c r="A3065" t="s">
        <v>4219</v>
      </c>
      <c r="B3065" s="1">
        <v>46080</v>
      </c>
      <c r="C3065" t="s">
        <v>53</v>
      </c>
      <c r="D3065" t="s">
        <v>54</v>
      </c>
      <c r="E3065" t="s">
        <v>26</v>
      </c>
      <c r="F3065" t="s">
        <v>43</v>
      </c>
      <c r="G3065" t="s">
        <v>44</v>
      </c>
      <c r="H3065" t="s">
        <v>45</v>
      </c>
      <c r="I3065" t="s">
        <v>104</v>
      </c>
      <c r="J3065" t="s">
        <v>7031</v>
      </c>
      <c r="K3065" t="s">
        <v>78</v>
      </c>
      <c r="L3065" t="s">
        <v>46</v>
      </c>
      <c r="M3065" t="s">
        <v>87</v>
      </c>
      <c r="N3065" t="s">
        <v>69</v>
      </c>
      <c r="O3065" t="s">
        <v>36</v>
      </c>
      <c r="P3065" t="s">
        <v>71</v>
      </c>
      <c r="Q3065" t="s">
        <v>347</v>
      </c>
      <c r="R3065">
        <v>319</v>
      </c>
      <c r="S3065">
        <v>152</v>
      </c>
      <c r="T3065">
        <v>95</v>
      </c>
      <c r="U3065">
        <v>25</v>
      </c>
      <c r="V3065" t="s">
        <v>1334</v>
      </c>
      <c r="W3065">
        <v>27180</v>
      </c>
      <c r="X3065" t="s">
        <v>929</v>
      </c>
      <c r="Y3065">
        <v>23624</v>
      </c>
      <c r="Z3065">
        <v>679500</v>
      </c>
      <c r="AA3065">
        <v>88900</v>
      </c>
      <c r="AB3065" t="str">
        <f>(VLOOKUP(SalesData[[#This Row],[Month Number]],Reference!C$5:E$16,2,FALSE))</f>
        <v>Feb</v>
      </c>
      <c r="AC3065">
        <f>MONTH(SalesData[[#This Row],[Date]])</f>
        <v>2</v>
      </c>
      <c r="AD3065">
        <f>Reference!F$4</f>
        <v>2026</v>
      </c>
      <c r="AE3065" t="str">
        <f>IF(OR(SalesData[[#This Row],[Day]]="Saturday",SalesData[[#This Row],[Day]]="Sunday"),"Weekend","Weekday")</f>
        <v>Weekday</v>
      </c>
      <c r="AF3065" s="5">
        <f>IF(SalesData[[#This Row],[Contracts Offered]]=0,0,SalesData[[#This Row],[Contracts Signed]]/SalesData[[#This Row],[Contracts Offered]])</f>
        <v>0.26315789473684209</v>
      </c>
      <c r="AG3065" s="5">
        <f>IF(SalesData[[#This Row],[Customers Visited]]=0,0,SalesData[[#This Row],[Test Drives]]/SalesData[[#This Row],[Customers Visited]])</f>
        <v>0.47648902821316613</v>
      </c>
      <c r="AH3065" s="5">
        <f>IF(SalesData[[#This Row],[Customers Visited]]=0,0,SalesData[[#This Row],[Contracts Signed]]/SalesData[[#This Row],[Customers Visited]])</f>
        <v>7.8369905956112859E-2</v>
      </c>
      <c r="AI3065" s="6">
        <f>IF(SalesData[[#This Row],[Contracts Signed]]=0,0,SalesData[[#This Row],[Profit(€)]]/SalesData[[#This Row],[Contracts Signed]])</f>
        <v>3556</v>
      </c>
      <c r="AJ3065" s="5" t="str">
        <f>TRIM(CLEAN(SalesData[[#This Row],[Retailer]]))</f>
        <v>Saxon Wheels</v>
      </c>
    </row>
    <row r="3066" spans="1:36" ht="14.25" hidden="1" x14ac:dyDescent="0.2">
      <c r="A3066" t="s">
        <v>4220</v>
      </c>
      <c r="B3066" s="1">
        <v>46071</v>
      </c>
      <c r="C3066" t="s">
        <v>62</v>
      </c>
      <c r="D3066" t="s">
        <v>82</v>
      </c>
      <c r="E3066" t="s">
        <v>26</v>
      </c>
      <c r="F3066" t="s">
        <v>74</v>
      </c>
      <c r="G3066" t="s">
        <v>75</v>
      </c>
      <c r="H3066" t="s">
        <v>76</v>
      </c>
      <c r="I3066" t="s">
        <v>64</v>
      </c>
      <c r="J3066" t="s">
        <v>157</v>
      </c>
      <c r="K3066" t="s">
        <v>66</v>
      </c>
      <c r="L3066" t="s">
        <v>33</v>
      </c>
      <c r="M3066" t="s">
        <v>34</v>
      </c>
      <c r="N3066" t="s">
        <v>48</v>
      </c>
      <c r="O3066" t="s">
        <v>36</v>
      </c>
      <c r="P3066" t="s">
        <v>71</v>
      </c>
      <c r="Q3066" t="s">
        <v>158</v>
      </c>
      <c r="R3066">
        <v>180</v>
      </c>
      <c r="S3066">
        <v>83</v>
      </c>
      <c r="T3066">
        <v>55</v>
      </c>
      <c r="U3066">
        <v>23</v>
      </c>
      <c r="V3066" t="s">
        <v>6708</v>
      </c>
      <c r="W3066">
        <v>55449</v>
      </c>
      <c r="X3066" t="s">
        <v>7144</v>
      </c>
      <c r="Y3066">
        <v>40341</v>
      </c>
      <c r="Z3066">
        <v>1275327</v>
      </c>
      <c r="AA3066">
        <v>347484</v>
      </c>
      <c r="AB3066" t="str">
        <f>(VLOOKUP(SalesData[[#This Row],[Month Number]],Reference!C$5:E$16,2,FALSE))</f>
        <v>Feb</v>
      </c>
      <c r="AC3066">
        <f>MONTH(SalesData[[#This Row],[Date]])</f>
        <v>2</v>
      </c>
      <c r="AD3066">
        <f>Reference!F$4</f>
        <v>2026</v>
      </c>
      <c r="AE3066" t="str">
        <f>IF(OR(SalesData[[#This Row],[Day]]="Saturday",SalesData[[#This Row],[Day]]="Sunday"),"Weekend","Weekday")</f>
        <v>Weekday</v>
      </c>
      <c r="AF3066" s="5">
        <f>IF(SalesData[[#This Row],[Contracts Offered]]=0,0,SalesData[[#This Row],[Contracts Signed]]/SalesData[[#This Row],[Contracts Offered]])</f>
        <v>0.41818181818181815</v>
      </c>
      <c r="AG3066" s="5">
        <f>IF(SalesData[[#This Row],[Customers Visited]]=0,0,SalesData[[#This Row],[Test Drives]]/SalesData[[#This Row],[Customers Visited]])</f>
        <v>0.46111111111111114</v>
      </c>
      <c r="AH3066" s="5">
        <f>IF(SalesData[[#This Row],[Customers Visited]]=0,0,SalesData[[#This Row],[Contracts Signed]]/SalesData[[#This Row],[Customers Visited]])</f>
        <v>0.12777777777777777</v>
      </c>
      <c r="AI3066" s="6">
        <f>IF(SalesData[[#This Row],[Contracts Signed]]=0,0,SalesData[[#This Row],[Profit(€)]]/SalesData[[#This Row],[Contracts Signed]])</f>
        <v>15108</v>
      </c>
      <c r="AJ3066" s="5" t="str">
        <f>TRIM(CLEAN(SalesData[[#This Row],[Retailer]]))</f>
        <v>Stuttgart Auto Center</v>
      </c>
    </row>
    <row r="3067" spans="1:36" ht="14.25" hidden="1" x14ac:dyDescent="0.2">
      <c r="A3067" t="s">
        <v>4221</v>
      </c>
      <c r="B3067" s="1">
        <v>46067</v>
      </c>
      <c r="C3067" t="s">
        <v>121</v>
      </c>
      <c r="D3067" t="s">
        <v>151</v>
      </c>
      <c r="E3067" t="s">
        <v>42</v>
      </c>
      <c r="F3067" t="s">
        <v>101</v>
      </c>
      <c r="G3067" t="s">
        <v>102</v>
      </c>
      <c r="H3067" t="s">
        <v>103</v>
      </c>
      <c r="I3067" t="s">
        <v>64</v>
      </c>
      <c r="J3067" t="s">
        <v>7029</v>
      </c>
      <c r="K3067" t="s">
        <v>66</v>
      </c>
      <c r="L3067" t="s">
        <v>33</v>
      </c>
      <c r="M3067" t="s">
        <v>47</v>
      </c>
      <c r="N3067" t="s">
        <v>48</v>
      </c>
      <c r="O3067" t="s">
        <v>36</v>
      </c>
      <c r="P3067" t="s">
        <v>71</v>
      </c>
      <c r="Q3067" t="s">
        <v>38</v>
      </c>
      <c r="R3067">
        <v>173</v>
      </c>
      <c r="S3067">
        <v>76</v>
      </c>
      <c r="T3067">
        <v>59</v>
      </c>
      <c r="U3067">
        <v>18</v>
      </c>
      <c r="V3067" t="s">
        <v>6441</v>
      </c>
      <c r="W3067">
        <v>66889</v>
      </c>
      <c r="X3067" t="s">
        <v>7227</v>
      </c>
      <c r="Y3067">
        <v>51662</v>
      </c>
      <c r="Z3067">
        <v>1204002</v>
      </c>
      <c r="AA3067">
        <v>274086</v>
      </c>
      <c r="AB3067" t="str">
        <f>(VLOOKUP(SalesData[[#This Row],[Month Number]],Reference!C$5:E$16,2,FALSE))</f>
        <v>Feb</v>
      </c>
      <c r="AC3067">
        <f>MONTH(SalesData[[#This Row],[Date]])</f>
        <v>2</v>
      </c>
      <c r="AD3067">
        <f>Reference!F$4</f>
        <v>2026</v>
      </c>
      <c r="AE3067" t="str">
        <f>IF(OR(SalesData[[#This Row],[Day]]="Saturday",SalesData[[#This Row],[Day]]="Sunday"),"Weekend","Weekday")</f>
        <v>Weekend</v>
      </c>
      <c r="AF3067" s="5">
        <f>IF(SalesData[[#This Row],[Contracts Offered]]=0,0,SalesData[[#This Row],[Contracts Signed]]/SalesData[[#This Row],[Contracts Offered]])</f>
        <v>0.30508474576271188</v>
      </c>
      <c r="AG3067" s="5">
        <f>IF(SalesData[[#This Row],[Customers Visited]]=0,0,SalesData[[#This Row],[Test Drives]]/SalesData[[#This Row],[Customers Visited]])</f>
        <v>0.43930635838150289</v>
      </c>
      <c r="AH3067" s="5">
        <f>IF(SalesData[[#This Row],[Customers Visited]]=0,0,SalesData[[#This Row],[Contracts Signed]]/SalesData[[#This Row],[Customers Visited]])</f>
        <v>0.10404624277456648</v>
      </c>
      <c r="AI3067" s="6">
        <f>IF(SalesData[[#This Row],[Contracts Signed]]=0,0,SalesData[[#This Row],[Profit(€)]]/SalesData[[#This Row],[Contracts Signed]])</f>
        <v>15227</v>
      </c>
      <c r="AJ3067" s="5" t="str">
        <f>TRIM(CLEAN(SalesData[[#This Row],[Retailer]]))</f>
        <v>Ruhr Auto Plaza</v>
      </c>
    </row>
    <row r="3068" spans="1:36" ht="14.25" hidden="1" x14ac:dyDescent="0.2">
      <c r="A3068" t="s">
        <v>4222</v>
      </c>
      <c r="B3068" s="1">
        <v>46059</v>
      </c>
      <c r="C3068" t="s">
        <v>24</v>
      </c>
      <c r="D3068" t="s">
        <v>54</v>
      </c>
      <c r="E3068" t="s">
        <v>26</v>
      </c>
      <c r="F3068" t="s">
        <v>43</v>
      </c>
      <c r="G3068" t="s">
        <v>44</v>
      </c>
      <c r="H3068" t="s">
        <v>45</v>
      </c>
      <c r="I3068" t="s">
        <v>104</v>
      </c>
      <c r="J3068" t="s">
        <v>7031</v>
      </c>
      <c r="K3068" t="s">
        <v>78</v>
      </c>
      <c r="L3068" t="s">
        <v>46</v>
      </c>
      <c r="M3068" t="s">
        <v>68</v>
      </c>
      <c r="N3068" t="s">
        <v>48</v>
      </c>
      <c r="O3068" t="s">
        <v>36</v>
      </c>
      <c r="P3068" t="s">
        <v>71</v>
      </c>
      <c r="Q3068" t="s">
        <v>152</v>
      </c>
      <c r="R3068">
        <v>505</v>
      </c>
      <c r="S3068">
        <v>234</v>
      </c>
      <c r="T3068">
        <v>155</v>
      </c>
      <c r="U3068">
        <v>33</v>
      </c>
      <c r="V3068" t="s">
        <v>536</v>
      </c>
      <c r="W3068">
        <v>27331</v>
      </c>
      <c r="X3068" t="s">
        <v>3354</v>
      </c>
      <c r="Y3068">
        <v>24435</v>
      </c>
      <c r="Z3068">
        <v>901923</v>
      </c>
      <c r="AA3068">
        <v>95568</v>
      </c>
      <c r="AB3068" t="str">
        <f>(VLOOKUP(SalesData[[#This Row],[Month Number]],Reference!C$5:E$16,2,FALSE))</f>
        <v>Feb</v>
      </c>
      <c r="AC3068">
        <f>MONTH(SalesData[[#This Row],[Date]])</f>
        <v>2</v>
      </c>
      <c r="AD3068">
        <f>Reference!F$4</f>
        <v>2026</v>
      </c>
      <c r="AE3068" t="str">
        <f>IF(OR(SalesData[[#This Row],[Day]]="Saturday",SalesData[[#This Row],[Day]]="Sunday"),"Weekend","Weekday")</f>
        <v>Weekday</v>
      </c>
      <c r="AF3068" s="5">
        <f>IF(SalesData[[#This Row],[Contracts Offered]]=0,0,SalesData[[#This Row],[Contracts Signed]]/SalesData[[#This Row],[Contracts Offered]])</f>
        <v>0.2129032258064516</v>
      </c>
      <c r="AG3068" s="5">
        <f>IF(SalesData[[#This Row],[Customers Visited]]=0,0,SalesData[[#This Row],[Test Drives]]/SalesData[[#This Row],[Customers Visited]])</f>
        <v>0.46336633663366339</v>
      </c>
      <c r="AH3068" s="5">
        <f>IF(SalesData[[#This Row],[Customers Visited]]=0,0,SalesData[[#This Row],[Contracts Signed]]/SalesData[[#This Row],[Customers Visited]])</f>
        <v>6.5346534653465349E-2</v>
      </c>
      <c r="AI3068" s="6">
        <f>IF(SalesData[[#This Row],[Contracts Signed]]=0,0,SalesData[[#This Row],[Profit(€)]]/SalesData[[#This Row],[Contracts Signed]])</f>
        <v>2896</v>
      </c>
      <c r="AJ3068" s="5" t="str">
        <f>TRIM(CLEAN(SalesData[[#This Row],[Retailer]]))</f>
        <v>Saxon Wheels</v>
      </c>
    </row>
    <row r="3069" spans="1:36" ht="14.25" hidden="1" x14ac:dyDescent="0.2">
      <c r="A3069" t="s">
        <v>4224</v>
      </c>
      <c r="B3069" s="1">
        <v>46068</v>
      </c>
      <c r="C3069" t="s">
        <v>62</v>
      </c>
      <c r="D3069" t="s">
        <v>41</v>
      </c>
      <c r="E3069" t="s">
        <v>42</v>
      </c>
      <c r="F3069" t="s">
        <v>74</v>
      </c>
      <c r="G3069" t="s">
        <v>75</v>
      </c>
      <c r="H3069" t="s">
        <v>76</v>
      </c>
      <c r="I3069" t="s">
        <v>64</v>
      </c>
      <c r="J3069" t="s">
        <v>157</v>
      </c>
      <c r="K3069" t="s">
        <v>32</v>
      </c>
      <c r="L3069" t="s">
        <v>33</v>
      </c>
      <c r="M3069" t="s">
        <v>87</v>
      </c>
      <c r="N3069" t="s">
        <v>48</v>
      </c>
      <c r="O3069" t="s">
        <v>70</v>
      </c>
      <c r="P3069" t="s">
        <v>71</v>
      </c>
      <c r="Q3069" t="s">
        <v>79</v>
      </c>
      <c r="R3069">
        <v>242</v>
      </c>
      <c r="S3069">
        <v>133</v>
      </c>
      <c r="T3069">
        <v>89</v>
      </c>
      <c r="U3069">
        <v>37</v>
      </c>
      <c r="V3069" t="s">
        <v>7306</v>
      </c>
      <c r="W3069">
        <v>58221</v>
      </c>
      <c r="X3069" t="s">
        <v>7483</v>
      </c>
      <c r="Y3069">
        <v>44656</v>
      </c>
      <c r="Z3069">
        <v>2154177</v>
      </c>
      <c r="AA3069">
        <v>501905</v>
      </c>
      <c r="AB3069" t="str">
        <f>(VLOOKUP(SalesData[[#This Row],[Month Number]],Reference!C$5:E$16,2,FALSE))</f>
        <v>Feb</v>
      </c>
      <c r="AC3069">
        <f>MONTH(SalesData[[#This Row],[Date]])</f>
        <v>2</v>
      </c>
      <c r="AD3069">
        <f>Reference!F$4</f>
        <v>2026</v>
      </c>
      <c r="AE3069" t="str">
        <f>IF(OR(SalesData[[#This Row],[Day]]="Saturday",SalesData[[#This Row],[Day]]="Sunday"),"Weekend","Weekday")</f>
        <v>Weekend</v>
      </c>
      <c r="AF3069" s="5">
        <f>IF(SalesData[[#This Row],[Contracts Offered]]=0,0,SalesData[[#This Row],[Contracts Signed]]/SalesData[[#This Row],[Contracts Offered]])</f>
        <v>0.4157303370786517</v>
      </c>
      <c r="AG3069" s="5">
        <f>IF(SalesData[[#This Row],[Customers Visited]]=0,0,SalesData[[#This Row],[Test Drives]]/SalesData[[#This Row],[Customers Visited]])</f>
        <v>0.54958677685950408</v>
      </c>
      <c r="AH3069" s="5">
        <f>IF(SalesData[[#This Row],[Customers Visited]]=0,0,SalesData[[#This Row],[Contracts Signed]]/SalesData[[#This Row],[Customers Visited]])</f>
        <v>0.15289256198347106</v>
      </c>
      <c r="AI3069" s="6">
        <f>IF(SalesData[[#This Row],[Contracts Signed]]=0,0,SalesData[[#This Row],[Profit(€)]]/SalesData[[#This Row],[Contracts Signed]])</f>
        <v>13565</v>
      </c>
      <c r="AJ3069" s="5" t="str">
        <f>TRIM(CLEAN(SalesData[[#This Row],[Retailer]]))</f>
        <v>Stuttgart Auto Center</v>
      </c>
    </row>
    <row r="3070" spans="1:36" ht="14.25" hidden="1" x14ac:dyDescent="0.2">
      <c r="A3070" t="s">
        <v>4225</v>
      </c>
      <c r="B3070" s="1">
        <v>46062</v>
      </c>
      <c r="C3070" t="s">
        <v>121</v>
      </c>
      <c r="D3070" t="s">
        <v>25</v>
      </c>
      <c r="E3070" t="s">
        <v>26</v>
      </c>
      <c r="F3070" t="s">
        <v>7649</v>
      </c>
      <c r="G3070" t="s">
        <v>55</v>
      </c>
      <c r="H3070" t="s">
        <v>55</v>
      </c>
      <c r="I3070" t="s">
        <v>104</v>
      </c>
      <c r="J3070" t="s">
        <v>7061</v>
      </c>
      <c r="K3070" t="s">
        <v>78</v>
      </c>
      <c r="L3070" t="s">
        <v>46</v>
      </c>
      <c r="M3070" t="s">
        <v>87</v>
      </c>
      <c r="N3070" t="s">
        <v>69</v>
      </c>
      <c r="O3070" t="s">
        <v>70</v>
      </c>
      <c r="P3070" t="s">
        <v>37</v>
      </c>
      <c r="Q3070" t="s">
        <v>169</v>
      </c>
      <c r="R3070">
        <v>349</v>
      </c>
      <c r="S3070">
        <v>189</v>
      </c>
      <c r="T3070">
        <v>115</v>
      </c>
      <c r="U3070">
        <v>27</v>
      </c>
      <c r="V3070" t="s">
        <v>527</v>
      </c>
      <c r="W3070">
        <v>35047</v>
      </c>
      <c r="X3070" t="s">
        <v>7265</v>
      </c>
      <c r="Y3070">
        <v>30885</v>
      </c>
      <c r="Z3070">
        <v>946269</v>
      </c>
      <c r="AA3070">
        <v>112374</v>
      </c>
      <c r="AB3070" t="str">
        <f>(VLOOKUP(SalesData[[#This Row],[Month Number]],Reference!C$5:E$16,2,FALSE))</f>
        <v>Feb</v>
      </c>
      <c r="AC3070">
        <f>MONTH(SalesData[[#This Row],[Date]])</f>
        <v>2</v>
      </c>
      <c r="AD3070">
        <f>Reference!F$4</f>
        <v>2026</v>
      </c>
      <c r="AE3070" t="str">
        <f>IF(OR(SalesData[[#This Row],[Day]]="Saturday",SalesData[[#This Row],[Day]]="Sunday"),"Weekend","Weekday")</f>
        <v>Weekday</v>
      </c>
      <c r="AF3070" s="5">
        <f>IF(SalesData[[#This Row],[Contracts Offered]]=0,0,SalesData[[#This Row],[Contracts Signed]]/SalesData[[#This Row],[Contracts Offered]])</f>
        <v>0.23478260869565218</v>
      </c>
      <c r="AG3070" s="5">
        <f>IF(SalesData[[#This Row],[Customers Visited]]=0,0,SalesData[[#This Row],[Test Drives]]/SalesData[[#This Row],[Customers Visited]])</f>
        <v>0.54154727793696278</v>
      </c>
      <c r="AH3070" s="5">
        <f>IF(SalesData[[#This Row],[Customers Visited]]=0,0,SalesData[[#This Row],[Contracts Signed]]/SalesData[[#This Row],[Customers Visited]])</f>
        <v>7.7363896848137534E-2</v>
      </c>
      <c r="AI3070" s="6">
        <f>IF(SalesData[[#This Row],[Contracts Signed]]=0,0,SalesData[[#This Row],[Profit(€)]]/SalesData[[#This Row],[Contracts Signed]])</f>
        <v>4162</v>
      </c>
      <c r="AJ3070" s="5" t="str">
        <f>TRIM(CLEAN(SalesData[[#This Row],[Retailer]]))</f>
        <v>Autohaus Berlin</v>
      </c>
    </row>
    <row r="3071" spans="1:36" ht="14.25" x14ac:dyDescent="0.2">
      <c r="A3071" t="s">
        <v>4226</v>
      </c>
      <c r="B3071" s="1">
        <v>46070</v>
      </c>
      <c r="C3071" t="s">
        <v>62</v>
      </c>
      <c r="D3071" t="s">
        <v>63</v>
      </c>
      <c r="E3071" t="s">
        <v>26</v>
      </c>
      <c r="F3071" t="s">
        <v>94</v>
      </c>
      <c r="G3071" t="s">
        <v>95</v>
      </c>
      <c r="H3071" t="s">
        <v>96</v>
      </c>
      <c r="I3071" t="s">
        <v>30</v>
      </c>
      <c r="J3071" t="s">
        <v>31</v>
      </c>
      <c r="K3071" t="s">
        <v>66</v>
      </c>
      <c r="L3071" t="s">
        <v>46</v>
      </c>
      <c r="M3071" t="s">
        <v>87</v>
      </c>
      <c r="N3071" t="s">
        <v>35</v>
      </c>
      <c r="O3071" t="s">
        <v>36</v>
      </c>
      <c r="P3071" t="s">
        <v>58</v>
      </c>
      <c r="Q3071" t="s">
        <v>204</v>
      </c>
      <c r="R3071">
        <v>224</v>
      </c>
      <c r="S3071">
        <v>115</v>
      </c>
      <c r="T3071">
        <v>84</v>
      </c>
      <c r="U3071">
        <v>39</v>
      </c>
      <c r="V3071" t="s">
        <v>7585</v>
      </c>
      <c r="W3071">
        <v>55468</v>
      </c>
      <c r="X3071" t="s">
        <v>1403</v>
      </c>
      <c r="Y3071">
        <v>41727</v>
      </c>
      <c r="Z3071">
        <v>2163252</v>
      </c>
      <c r="AA3071">
        <v>535899</v>
      </c>
      <c r="AB3071" t="str">
        <f>(VLOOKUP(SalesData[[#This Row],[Month Number]],Reference!C$5:E$16,2,FALSE))</f>
        <v>Feb</v>
      </c>
      <c r="AC3071">
        <f>MONTH(SalesData[[#This Row],[Date]])</f>
        <v>2</v>
      </c>
      <c r="AD3071">
        <f>Reference!F$4</f>
        <v>2026</v>
      </c>
      <c r="AE3071" t="str">
        <f>IF(OR(SalesData[[#This Row],[Day]]="Saturday",SalesData[[#This Row],[Day]]="Sunday"),"Weekend","Weekday")</f>
        <v>Weekday</v>
      </c>
      <c r="AF3071" s="5">
        <f>IF(SalesData[[#This Row],[Contracts Offered]]=0,0,SalesData[[#This Row],[Contracts Signed]]/SalesData[[#This Row],[Contracts Offered]])</f>
        <v>0.4642857142857143</v>
      </c>
      <c r="AG3071" s="5">
        <f>IF(SalesData[[#This Row],[Customers Visited]]=0,0,SalesData[[#This Row],[Test Drives]]/SalesData[[#This Row],[Customers Visited]])</f>
        <v>0.5133928571428571</v>
      </c>
      <c r="AH3071" s="5">
        <f>IF(SalesData[[#This Row],[Customers Visited]]=0,0,SalesData[[#This Row],[Contracts Signed]]/SalesData[[#This Row],[Customers Visited]])</f>
        <v>0.17410714285714285</v>
      </c>
      <c r="AI3071" s="6">
        <f>IF(SalesData[[#This Row],[Contracts Signed]]=0,0,SalesData[[#This Row],[Profit(€)]]/SalesData[[#This Row],[Contracts Signed]])</f>
        <v>13741</v>
      </c>
      <c r="AJ3071" s="5" t="str">
        <f>TRIM(CLEAN(SalesData[[#This Row],[Retailer]]))</f>
        <v>Bavaria Motors</v>
      </c>
    </row>
    <row r="3072" spans="1:36" ht="14.25" hidden="1" x14ac:dyDescent="0.2">
      <c r="A3072" t="s">
        <v>4227</v>
      </c>
      <c r="B3072" s="1">
        <v>46077</v>
      </c>
      <c r="C3072" t="s">
        <v>53</v>
      </c>
      <c r="D3072" t="s">
        <v>63</v>
      </c>
      <c r="E3072" t="s">
        <v>26</v>
      </c>
      <c r="F3072" t="s">
        <v>94</v>
      </c>
      <c r="G3072" t="s">
        <v>95</v>
      </c>
      <c r="H3072" t="s">
        <v>96</v>
      </c>
      <c r="I3072" t="s">
        <v>64</v>
      </c>
      <c r="J3072" t="s">
        <v>157</v>
      </c>
      <c r="K3072" t="s">
        <v>32</v>
      </c>
      <c r="L3072" t="s">
        <v>33</v>
      </c>
      <c r="M3072" t="s">
        <v>68</v>
      </c>
      <c r="N3072" t="s">
        <v>35</v>
      </c>
      <c r="O3072" t="s">
        <v>36</v>
      </c>
      <c r="P3072" t="s">
        <v>58</v>
      </c>
      <c r="Q3072" t="s">
        <v>169</v>
      </c>
      <c r="R3072">
        <v>264</v>
      </c>
      <c r="S3072">
        <v>135</v>
      </c>
      <c r="T3072">
        <v>95</v>
      </c>
      <c r="U3072">
        <v>43</v>
      </c>
      <c r="V3072" t="s">
        <v>7586</v>
      </c>
      <c r="W3072">
        <v>51700</v>
      </c>
      <c r="X3072" t="s">
        <v>7437</v>
      </c>
      <c r="Y3072">
        <v>37400</v>
      </c>
      <c r="Z3072">
        <v>2223100</v>
      </c>
      <c r="AA3072">
        <v>614900</v>
      </c>
      <c r="AB3072" t="str">
        <f>(VLOOKUP(SalesData[[#This Row],[Month Number]],Reference!C$5:E$16,2,FALSE))</f>
        <v>Feb</v>
      </c>
      <c r="AC3072">
        <f>MONTH(SalesData[[#This Row],[Date]])</f>
        <v>2</v>
      </c>
      <c r="AD3072">
        <f>Reference!F$4</f>
        <v>2026</v>
      </c>
      <c r="AE3072" t="str">
        <f>IF(OR(SalesData[[#This Row],[Day]]="Saturday",SalesData[[#This Row],[Day]]="Sunday"),"Weekend","Weekday")</f>
        <v>Weekday</v>
      </c>
      <c r="AF3072" s="5">
        <f>IF(SalesData[[#This Row],[Contracts Offered]]=0,0,SalesData[[#This Row],[Contracts Signed]]/SalesData[[#This Row],[Contracts Offered]])</f>
        <v>0.45263157894736844</v>
      </c>
      <c r="AG3072" s="5">
        <f>IF(SalesData[[#This Row],[Customers Visited]]=0,0,SalesData[[#This Row],[Test Drives]]/SalesData[[#This Row],[Customers Visited]])</f>
        <v>0.51136363636363635</v>
      </c>
      <c r="AH3072" s="5">
        <f>IF(SalesData[[#This Row],[Customers Visited]]=0,0,SalesData[[#This Row],[Contracts Signed]]/SalesData[[#This Row],[Customers Visited]])</f>
        <v>0.16287878787878787</v>
      </c>
      <c r="AI3072" s="6">
        <f>IF(SalesData[[#This Row],[Contracts Signed]]=0,0,SalesData[[#This Row],[Profit(€)]]/SalesData[[#This Row],[Contracts Signed]])</f>
        <v>14300</v>
      </c>
      <c r="AJ3072" s="5" t="str">
        <f>TRIM(CLEAN(SalesData[[#This Row],[Retailer]]))</f>
        <v>Bavaria Motors</v>
      </c>
    </row>
    <row r="3073" spans="1:36" ht="14.25" hidden="1" x14ac:dyDescent="0.2">
      <c r="A3073" t="s">
        <v>4228</v>
      </c>
      <c r="B3073" s="1">
        <v>46071</v>
      </c>
      <c r="C3073" t="s">
        <v>62</v>
      </c>
      <c r="D3073" t="s">
        <v>82</v>
      </c>
      <c r="E3073" t="s">
        <v>26</v>
      </c>
      <c r="F3073" t="s">
        <v>43</v>
      </c>
      <c r="G3073" t="s">
        <v>44</v>
      </c>
      <c r="H3073" t="s">
        <v>45</v>
      </c>
      <c r="I3073" t="s">
        <v>104</v>
      </c>
      <c r="J3073" t="s">
        <v>140</v>
      </c>
      <c r="K3073" t="s">
        <v>91</v>
      </c>
      <c r="L3073" t="s">
        <v>46</v>
      </c>
      <c r="M3073" t="s">
        <v>68</v>
      </c>
      <c r="N3073" t="s">
        <v>35</v>
      </c>
      <c r="O3073" t="s">
        <v>70</v>
      </c>
      <c r="P3073" t="s">
        <v>58</v>
      </c>
      <c r="Q3073" t="s">
        <v>167</v>
      </c>
      <c r="R3073">
        <v>350</v>
      </c>
      <c r="S3073">
        <v>169</v>
      </c>
      <c r="T3073">
        <v>120</v>
      </c>
      <c r="U3073">
        <v>34</v>
      </c>
      <c r="V3073" t="s">
        <v>6884</v>
      </c>
      <c r="W3073">
        <v>31080</v>
      </c>
      <c r="X3073" t="s">
        <v>4313</v>
      </c>
      <c r="Y3073">
        <v>27916</v>
      </c>
      <c r="Z3073">
        <v>1056720</v>
      </c>
      <c r="AA3073">
        <v>107576</v>
      </c>
      <c r="AB3073" t="str">
        <f>(VLOOKUP(SalesData[[#This Row],[Month Number]],Reference!C$5:E$16,2,FALSE))</f>
        <v>Feb</v>
      </c>
      <c r="AC3073">
        <f>MONTH(SalesData[[#This Row],[Date]])</f>
        <v>2</v>
      </c>
      <c r="AD3073">
        <f>Reference!F$4</f>
        <v>2026</v>
      </c>
      <c r="AE3073" t="str">
        <f>IF(OR(SalesData[[#This Row],[Day]]="Saturday",SalesData[[#This Row],[Day]]="Sunday"),"Weekend","Weekday")</f>
        <v>Weekday</v>
      </c>
      <c r="AF3073" s="5">
        <f>IF(SalesData[[#This Row],[Contracts Offered]]=0,0,SalesData[[#This Row],[Contracts Signed]]/SalesData[[#This Row],[Contracts Offered]])</f>
        <v>0.28333333333333333</v>
      </c>
      <c r="AG3073" s="5">
        <f>IF(SalesData[[#This Row],[Customers Visited]]=0,0,SalesData[[#This Row],[Test Drives]]/SalesData[[#This Row],[Customers Visited]])</f>
        <v>0.48285714285714287</v>
      </c>
      <c r="AH3073" s="5">
        <f>IF(SalesData[[#This Row],[Customers Visited]]=0,0,SalesData[[#This Row],[Contracts Signed]]/SalesData[[#This Row],[Customers Visited]])</f>
        <v>9.7142857142857142E-2</v>
      </c>
      <c r="AI3073" s="6">
        <f>IF(SalesData[[#This Row],[Contracts Signed]]=0,0,SalesData[[#This Row],[Profit(€)]]/SalesData[[#This Row],[Contracts Signed]])</f>
        <v>3164</v>
      </c>
      <c r="AJ3073" s="5" t="str">
        <f>TRIM(CLEAN(SalesData[[#This Row],[Retailer]]))</f>
        <v>Saxon Wheels</v>
      </c>
    </row>
    <row r="3074" spans="1:36" ht="14.25" hidden="1" x14ac:dyDescent="0.2">
      <c r="A3074" t="s">
        <v>4229</v>
      </c>
      <c r="B3074" s="1">
        <v>46068</v>
      </c>
      <c r="C3074" t="s">
        <v>62</v>
      </c>
      <c r="D3074" t="s">
        <v>41</v>
      </c>
      <c r="E3074" t="s">
        <v>42</v>
      </c>
      <c r="F3074" t="s">
        <v>109</v>
      </c>
      <c r="G3074" t="s">
        <v>110</v>
      </c>
      <c r="H3074" t="s">
        <v>45</v>
      </c>
      <c r="I3074" t="s">
        <v>56</v>
      </c>
      <c r="J3074" t="s">
        <v>137</v>
      </c>
      <c r="K3074" t="s">
        <v>66</v>
      </c>
      <c r="L3074" t="s">
        <v>46</v>
      </c>
      <c r="M3074" t="s">
        <v>87</v>
      </c>
      <c r="N3074" t="s">
        <v>35</v>
      </c>
      <c r="O3074" t="s">
        <v>36</v>
      </c>
      <c r="P3074" t="s">
        <v>71</v>
      </c>
      <c r="Q3074" t="s">
        <v>152</v>
      </c>
      <c r="R3074">
        <v>278</v>
      </c>
      <c r="S3074">
        <v>159</v>
      </c>
      <c r="T3074">
        <v>113</v>
      </c>
      <c r="U3074">
        <v>39</v>
      </c>
      <c r="V3074" t="s">
        <v>6620</v>
      </c>
      <c r="W3074">
        <v>52657</v>
      </c>
      <c r="X3074" t="s">
        <v>1892</v>
      </c>
      <c r="Y3074">
        <v>39814</v>
      </c>
      <c r="Z3074">
        <v>2053623</v>
      </c>
      <c r="AA3074">
        <v>500877</v>
      </c>
      <c r="AB3074" t="str">
        <f>(VLOOKUP(SalesData[[#This Row],[Month Number]],Reference!C$5:E$16,2,FALSE))</f>
        <v>Feb</v>
      </c>
      <c r="AC3074">
        <f>MONTH(SalesData[[#This Row],[Date]])</f>
        <v>2</v>
      </c>
      <c r="AD3074">
        <f>Reference!F$4</f>
        <v>2026</v>
      </c>
      <c r="AE3074" t="str">
        <f>IF(OR(SalesData[[#This Row],[Day]]="Saturday",SalesData[[#This Row],[Day]]="Sunday"),"Weekend","Weekday")</f>
        <v>Weekend</v>
      </c>
      <c r="AF3074" s="5">
        <f>IF(SalesData[[#This Row],[Contracts Offered]]=0,0,SalesData[[#This Row],[Contracts Signed]]/SalesData[[#This Row],[Contracts Offered]])</f>
        <v>0.34513274336283184</v>
      </c>
      <c r="AG3074" s="5">
        <f>IF(SalesData[[#This Row],[Customers Visited]]=0,0,SalesData[[#This Row],[Test Drives]]/SalesData[[#This Row],[Customers Visited]])</f>
        <v>0.57194244604316546</v>
      </c>
      <c r="AH3074" s="5">
        <f>IF(SalesData[[#This Row],[Customers Visited]]=0,0,SalesData[[#This Row],[Contracts Signed]]/SalesData[[#This Row],[Customers Visited]])</f>
        <v>0.14028776978417265</v>
      </c>
      <c r="AI3074" s="6">
        <f>IF(SalesData[[#This Row],[Contracts Signed]]=0,0,SalesData[[#This Row],[Profit(€)]]/SalesData[[#This Row],[Contracts Signed]])</f>
        <v>12843</v>
      </c>
      <c r="AJ3074" s="5" t="str">
        <f>TRIM(CLEAN(SalesData[[#This Row],[Retailer]]))</f>
        <v>Leipzig Mobility</v>
      </c>
    </row>
    <row r="3075" spans="1:36" ht="14.25" hidden="1" x14ac:dyDescent="0.2">
      <c r="A3075" t="s">
        <v>4230</v>
      </c>
      <c r="B3075" s="1">
        <v>46073</v>
      </c>
      <c r="C3075" t="s">
        <v>62</v>
      </c>
      <c r="D3075" t="s">
        <v>54</v>
      </c>
      <c r="E3075" t="s">
        <v>26</v>
      </c>
      <c r="F3075" t="s">
        <v>109</v>
      </c>
      <c r="G3075" t="s">
        <v>110</v>
      </c>
      <c r="H3075" t="s">
        <v>45</v>
      </c>
      <c r="I3075" t="s">
        <v>56</v>
      </c>
      <c r="J3075" t="s">
        <v>179</v>
      </c>
      <c r="K3075" t="s">
        <v>32</v>
      </c>
      <c r="L3075" t="s">
        <v>67</v>
      </c>
      <c r="M3075" t="s">
        <v>47</v>
      </c>
      <c r="N3075" t="s">
        <v>48</v>
      </c>
      <c r="O3075" t="s">
        <v>70</v>
      </c>
      <c r="P3075" t="s">
        <v>49</v>
      </c>
      <c r="Q3075" t="s">
        <v>50</v>
      </c>
      <c r="R3075">
        <v>221</v>
      </c>
      <c r="S3075">
        <v>103</v>
      </c>
      <c r="T3075">
        <v>72</v>
      </c>
      <c r="U3075">
        <v>18</v>
      </c>
      <c r="V3075" t="s">
        <v>599</v>
      </c>
      <c r="W3075">
        <v>41793</v>
      </c>
      <c r="X3075" t="s">
        <v>4982</v>
      </c>
      <c r="Y3075">
        <v>32390</v>
      </c>
      <c r="Z3075">
        <v>752274</v>
      </c>
      <c r="AA3075">
        <v>169254</v>
      </c>
      <c r="AB3075" t="str">
        <f>(VLOOKUP(SalesData[[#This Row],[Month Number]],Reference!C$5:E$16,2,FALSE))</f>
        <v>Feb</v>
      </c>
      <c r="AC3075">
        <f>MONTH(SalesData[[#This Row],[Date]])</f>
        <v>2</v>
      </c>
      <c r="AD3075">
        <f>Reference!F$4</f>
        <v>2026</v>
      </c>
      <c r="AE3075" t="str">
        <f>IF(OR(SalesData[[#This Row],[Day]]="Saturday",SalesData[[#This Row],[Day]]="Sunday"),"Weekend","Weekday")</f>
        <v>Weekday</v>
      </c>
      <c r="AF3075" s="5">
        <f>IF(SalesData[[#This Row],[Contracts Offered]]=0,0,SalesData[[#This Row],[Contracts Signed]]/SalesData[[#This Row],[Contracts Offered]])</f>
        <v>0.25</v>
      </c>
      <c r="AG3075" s="5">
        <f>IF(SalesData[[#This Row],[Customers Visited]]=0,0,SalesData[[#This Row],[Test Drives]]/SalesData[[#This Row],[Customers Visited]])</f>
        <v>0.4660633484162896</v>
      </c>
      <c r="AH3075" s="5">
        <f>IF(SalesData[[#This Row],[Customers Visited]]=0,0,SalesData[[#This Row],[Contracts Signed]]/SalesData[[#This Row],[Customers Visited]])</f>
        <v>8.1447963800904979E-2</v>
      </c>
      <c r="AI3075" s="6">
        <f>IF(SalesData[[#This Row],[Contracts Signed]]=0,0,SalesData[[#This Row],[Profit(€)]]/SalesData[[#This Row],[Contracts Signed]])</f>
        <v>9403</v>
      </c>
      <c r="AJ3075" s="5" t="str">
        <f>TRIM(CLEAN(SalesData[[#This Row],[Retailer]]))</f>
        <v>Leipzig Mobility</v>
      </c>
    </row>
    <row r="3076" spans="1:36" ht="14.25" hidden="1" x14ac:dyDescent="0.2">
      <c r="A3076" t="s">
        <v>4231</v>
      </c>
      <c r="B3076" s="1">
        <v>46072</v>
      </c>
      <c r="C3076" t="s">
        <v>62</v>
      </c>
      <c r="D3076" t="s">
        <v>100</v>
      </c>
      <c r="E3076" t="s">
        <v>26</v>
      </c>
      <c r="F3076" t="s">
        <v>7649</v>
      </c>
      <c r="G3076" t="s">
        <v>55</v>
      </c>
      <c r="H3076" t="s">
        <v>55</v>
      </c>
      <c r="I3076" t="s">
        <v>56</v>
      </c>
      <c r="J3076" t="s">
        <v>57</v>
      </c>
      <c r="K3076" t="s">
        <v>66</v>
      </c>
      <c r="L3076" t="s">
        <v>46</v>
      </c>
      <c r="M3076" t="s">
        <v>68</v>
      </c>
      <c r="N3076" t="s">
        <v>48</v>
      </c>
      <c r="O3076" t="s">
        <v>36</v>
      </c>
      <c r="P3076" t="s">
        <v>71</v>
      </c>
      <c r="Q3076" t="s">
        <v>122</v>
      </c>
      <c r="R3076">
        <v>248</v>
      </c>
      <c r="S3076">
        <v>123</v>
      </c>
      <c r="T3076">
        <v>85</v>
      </c>
      <c r="U3076">
        <v>30</v>
      </c>
      <c r="V3076" t="s">
        <v>6903</v>
      </c>
      <c r="W3076">
        <v>42550</v>
      </c>
      <c r="X3076" t="s">
        <v>7353</v>
      </c>
      <c r="Y3076">
        <v>33220</v>
      </c>
      <c r="Z3076">
        <v>1276500</v>
      </c>
      <c r="AA3076">
        <v>279900</v>
      </c>
      <c r="AB3076" t="str">
        <f>(VLOOKUP(SalesData[[#This Row],[Month Number]],Reference!C$5:E$16,2,FALSE))</f>
        <v>Feb</v>
      </c>
      <c r="AC3076">
        <f>MONTH(SalesData[[#This Row],[Date]])</f>
        <v>2</v>
      </c>
      <c r="AD3076">
        <f>Reference!F$4</f>
        <v>2026</v>
      </c>
      <c r="AE3076" t="str">
        <f>IF(OR(SalesData[[#This Row],[Day]]="Saturday",SalesData[[#This Row],[Day]]="Sunday"),"Weekend","Weekday")</f>
        <v>Weekday</v>
      </c>
      <c r="AF3076" s="5">
        <f>IF(SalesData[[#This Row],[Contracts Offered]]=0,0,SalesData[[#This Row],[Contracts Signed]]/SalesData[[#This Row],[Contracts Offered]])</f>
        <v>0.35294117647058826</v>
      </c>
      <c r="AG3076" s="5">
        <f>IF(SalesData[[#This Row],[Customers Visited]]=0,0,SalesData[[#This Row],[Test Drives]]/SalesData[[#This Row],[Customers Visited]])</f>
        <v>0.49596774193548387</v>
      </c>
      <c r="AH3076" s="5">
        <f>IF(SalesData[[#This Row],[Customers Visited]]=0,0,SalesData[[#This Row],[Contracts Signed]]/SalesData[[#This Row],[Customers Visited]])</f>
        <v>0.12096774193548387</v>
      </c>
      <c r="AI3076" s="6">
        <f>IF(SalesData[[#This Row],[Contracts Signed]]=0,0,SalesData[[#This Row],[Profit(€)]]/SalesData[[#This Row],[Contracts Signed]])</f>
        <v>9330</v>
      </c>
      <c r="AJ3076" s="5" t="str">
        <f>TRIM(CLEAN(SalesData[[#This Row],[Retailer]]))</f>
        <v>Autohaus Berlin</v>
      </c>
    </row>
    <row r="3077" spans="1:36" ht="14.25" hidden="1" x14ac:dyDescent="0.2">
      <c r="A3077" t="s">
        <v>4232</v>
      </c>
      <c r="B3077" s="1">
        <v>46056</v>
      </c>
      <c r="C3077" t="s">
        <v>24</v>
      </c>
      <c r="D3077" t="s">
        <v>63</v>
      </c>
      <c r="E3077" t="s">
        <v>26</v>
      </c>
      <c r="F3077" t="s">
        <v>101</v>
      </c>
      <c r="G3077" t="s">
        <v>102</v>
      </c>
      <c r="H3077" t="s">
        <v>103</v>
      </c>
      <c r="I3077" t="s">
        <v>64</v>
      </c>
      <c r="J3077" t="s">
        <v>65</v>
      </c>
      <c r="K3077" t="s">
        <v>91</v>
      </c>
      <c r="L3077" t="s">
        <v>33</v>
      </c>
      <c r="M3077" t="s">
        <v>47</v>
      </c>
      <c r="N3077" t="s">
        <v>69</v>
      </c>
      <c r="O3077" t="s">
        <v>36</v>
      </c>
      <c r="P3077" t="s">
        <v>58</v>
      </c>
      <c r="Q3077" t="s">
        <v>59</v>
      </c>
      <c r="R3077">
        <v>186</v>
      </c>
      <c r="S3077">
        <v>97</v>
      </c>
      <c r="T3077">
        <v>70</v>
      </c>
      <c r="U3077">
        <v>28</v>
      </c>
      <c r="V3077" t="s">
        <v>6693</v>
      </c>
      <c r="W3077">
        <v>70046</v>
      </c>
      <c r="X3077" t="s">
        <v>7180</v>
      </c>
      <c r="Y3077">
        <v>50691</v>
      </c>
      <c r="Z3077">
        <v>1961288</v>
      </c>
      <c r="AA3077">
        <v>541940</v>
      </c>
      <c r="AB3077" t="str">
        <f>(VLOOKUP(SalesData[[#This Row],[Month Number]],Reference!C$5:E$16,2,FALSE))</f>
        <v>Feb</v>
      </c>
      <c r="AC3077">
        <f>MONTH(SalesData[[#This Row],[Date]])</f>
        <v>2</v>
      </c>
      <c r="AD3077">
        <f>Reference!F$4</f>
        <v>2026</v>
      </c>
      <c r="AE3077" t="str">
        <f>IF(OR(SalesData[[#This Row],[Day]]="Saturday",SalesData[[#This Row],[Day]]="Sunday"),"Weekend","Weekday")</f>
        <v>Weekday</v>
      </c>
      <c r="AF3077" s="5">
        <f>IF(SalesData[[#This Row],[Contracts Offered]]=0,0,SalesData[[#This Row],[Contracts Signed]]/SalesData[[#This Row],[Contracts Offered]])</f>
        <v>0.4</v>
      </c>
      <c r="AG3077" s="5">
        <f>IF(SalesData[[#This Row],[Customers Visited]]=0,0,SalesData[[#This Row],[Test Drives]]/SalesData[[#This Row],[Customers Visited]])</f>
        <v>0.521505376344086</v>
      </c>
      <c r="AH3077" s="5">
        <f>IF(SalesData[[#This Row],[Customers Visited]]=0,0,SalesData[[#This Row],[Contracts Signed]]/SalesData[[#This Row],[Customers Visited]])</f>
        <v>0.15053763440860216</v>
      </c>
      <c r="AI3077" s="6">
        <f>IF(SalesData[[#This Row],[Contracts Signed]]=0,0,SalesData[[#This Row],[Profit(€)]]/SalesData[[#This Row],[Contracts Signed]])</f>
        <v>19355</v>
      </c>
      <c r="AJ3077" s="5" t="str">
        <f>TRIM(CLEAN(SalesData[[#This Row],[Retailer]]))</f>
        <v>Ruhr Auto Plaza</v>
      </c>
    </row>
    <row r="3078" spans="1:36" ht="14.25" hidden="1" x14ac:dyDescent="0.2">
      <c r="A3078" t="s">
        <v>4234</v>
      </c>
      <c r="B3078" s="1">
        <v>46079</v>
      </c>
      <c r="C3078" t="s">
        <v>53</v>
      </c>
      <c r="D3078" t="s">
        <v>100</v>
      </c>
      <c r="E3078" t="s">
        <v>26</v>
      </c>
      <c r="F3078" t="s">
        <v>7649</v>
      </c>
      <c r="G3078" t="s">
        <v>55</v>
      </c>
      <c r="H3078" t="s">
        <v>55</v>
      </c>
      <c r="I3078" t="s">
        <v>56</v>
      </c>
      <c r="J3078" t="s">
        <v>97</v>
      </c>
      <c r="K3078" t="s">
        <v>78</v>
      </c>
      <c r="L3078" t="s">
        <v>33</v>
      </c>
      <c r="M3078" t="s">
        <v>34</v>
      </c>
      <c r="N3078" t="s">
        <v>69</v>
      </c>
      <c r="O3078" t="s">
        <v>70</v>
      </c>
      <c r="P3078" t="s">
        <v>37</v>
      </c>
      <c r="Q3078" t="s">
        <v>50</v>
      </c>
      <c r="R3078">
        <v>312</v>
      </c>
      <c r="S3078">
        <v>186</v>
      </c>
      <c r="T3078">
        <v>142</v>
      </c>
      <c r="U3078">
        <v>42</v>
      </c>
      <c r="V3078" t="s">
        <v>6364</v>
      </c>
      <c r="W3078">
        <v>40148</v>
      </c>
      <c r="X3078" t="s">
        <v>2216</v>
      </c>
      <c r="Y3078">
        <v>30138</v>
      </c>
      <c r="Z3078">
        <v>1686216</v>
      </c>
      <c r="AA3078">
        <v>420420</v>
      </c>
      <c r="AB3078" t="str">
        <f>(VLOOKUP(SalesData[[#This Row],[Month Number]],Reference!C$5:E$16,2,FALSE))</f>
        <v>Feb</v>
      </c>
      <c r="AC3078">
        <f>MONTH(SalesData[[#This Row],[Date]])</f>
        <v>2</v>
      </c>
      <c r="AD3078">
        <f>Reference!F$4</f>
        <v>2026</v>
      </c>
      <c r="AE3078" t="str">
        <f>IF(OR(SalesData[[#This Row],[Day]]="Saturday",SalesData[[#This Row],[Day]]="Sunday"),"Weekend","Weekday")</f>
        <v>Weekday</v>
      </c>
      <c r="AF3078" s="5">
        <f>IF(SalesData[[#This Row],[Contracts Offered]]=0,0,SalesData[[#This Row],[Contracts Signed]]/SalesData[[#This Row],[Contracts Offered]])</f>
        <v>0.29577464788732394</v>
      </c>
      <c r="AG3078" s="5">
        <f>IF(SalesData[[#This Row],[Customers Visited]]=0,0,SalesData[[#This Row],[Test Drives]]/SalesData[[#This Row],[Customers Visited]])</f>
        <v>0.59615384615384615</v>
      </c>
      <c r="AH3078" s="5">
        <f>IF(SalesData[[#This Row],[Customers Visited]]=0,0,SalesData[[#This Row],[Contracts Signed]]/SalesData[[#This Row],[Customers Visited]])</f>
        <v>0.13461538461538461</v>
      </c>
      <c r="AI3078" s="6">
        <f>IF(SalesData[[#This Row],[Contracts Signed]]=0,0,SalesData[[#This Row],[Profit(€)]]/SalesData[[#This Row],[Contracts Signed]])</f>
        <v>10010</v>
      </c>
      <c r="AJ3078" s="5" t="str">
        <f>TRIM(CLEAN(SalesData[[#This Row],[Retailer]]))</f>
        <v>Autohaus Berlin</v>
      </c>
    </row>
    <row r="3079" spans="1:36" ht="14.25" hidden="1" x14ac:dyDescent="0.2">
      <c r="A3079" t="s">
        <v>4235</v>
      </c>
      <c r="B3079" s="1">
        <v>46078</v>
      </c>
      <c r="C3079" t="s">
        <v>53</v>
      </c>
      <c r="D3079" t="s">
        <v>82</v>
      </c>
      <c r="E3079" t="s">
        <v>26</v>
      </c>
      <c r="F3079" t="s">
        <v>127</v>
      </c>
      <c r="G3079" t="s">
        <v>128</v>
      </c>
      <c r="H3079" t="s">
        <v>103</v>
      </c>
      <c r="I3079" t="s">
        <v>64</v>
      </c>
      <c r="J3079" t="s">
        <v>111</v>
      </c>
      <c r="K3079" t="s">
        <v>32</v>
      </c>
      <c r="L3079" t="s">
        <v>46</v>
      </c>
      <c r="M3079" t="s">
        <v>68</v>
      </c>
      <c r="N3079" t="s">
        <v>69</v>
      </c>
      <c r="O3079" t="s">
        <v>36</v>
      </c>
      <c r="P3079" t="s">
        <v>37</v>
      </c>
      <c r="Q3079" t="s">
        <v>204</v>
      </c>
      <c r="R3079">
        <v>201</v>
      </c>
      <c r="S3079">
        <v>103</v>
      </c>
      <c r="T3079">
        <v>74</v>
      </c>
      <c r="U3079">
        <v>24</v>
      </c>
      <c r="V3079" t="s">
        <v>6562</v>
      </c>
      <c r="W3079">
        <v>49872</v>
      </c>
      <c r="X3079" t="s">
        <v>2728</v>
      </c>
      <c r="Y3079">
        <v>36916</v>
      </c>
      <c r="Z3079">
        <v>1196928</v>
      </c>
      <c r="AA3079">
        <v>310944</v>
      </c>
      <c r="AB3079" t="str">
        <f>(VLOOKUP(SalesData[[#This Row],[Month Number]],Reference!C$5:E$16,2,FALSE))</f>
        <v>Feb</v>
      </c>
      <c r="AC3079">
        <f>MONTH(SalesData[[#This Row],[Date]])</f>
        <v>2</v>
      </c>
      <c r="AD3079">
        <f>Reference!F$4</f>
        <v>2026</v>
      </c>
      <c r="AE3079" t="str">
        <f>IF(OR(SalesData[[#This Row],[Day]]="Saturday",SalesData[[#This Row],[Day]]="Sunday"),"Weekend","Weekday")</f>
        <v>Weekday</v>
      </c>
      <c r="AF3079" s="5">
        <f>IF(SalesData[[#This Row],[Contracts Offered]]=0,0,SalesData[[#This Row],[Contracts Signed]]/SalesData[[#This Row],[Contracts Offered]])</f>
        <v>0.32432432432432434</v>
      </c>
      <c r="AG3079" s="5">
        <f>IF(SalesData[[#This Row],[Customers Visited]]=0,0,SalesData[[#This Row],[Test Drives]]/SalesData[[#This Row],[Customers Visited]])</f>
        <v>0.51243781094527363</v>
      </c>
      <c r="AH3079" s="5">
        <f>IF(SalesData[[#This Row],[Customers Visited]]=0,0,SalesData[[#This Row],[Contracts Signed]]/SalesData[[#This Row],[Customers Visited]])</f>
        <v>0.11940298507462686</v>
      </c>
      <c r="AI3079" s="6">
        <f>IF(SalesData[[#This Row],[Contracts Signed]]=0,0,SalesData[[#This Row],[Profit(€)]]/SalesData[[#This Row],[Contracts Signed]])</f>
        <v>12956</v>
      </c>
      <c r="AJ3079" s="5" t="str">
        <f>TRIM(CLEAN(SalesData[[#This Row],[Retailer]]))</f>
        <v>Rhein Auto Group</v>
      </c>
    </row>
    <row r="3080" spans="1:36" ht="14.25" hidden="1" x14ac:dyDescent="0.2">
      <c r="A3080" t="s">
        <v>4236</v>
      </c>
      <c r="B3080" s="1">
        <v>46074</v>
      </c>
      <c r="C3080" t="s">
        <v>62</v>
      </c>
      <c r="D3080" t="s">
        <v>151</v>
      </c>
      <c r="E3080" t="s">
        <v>42</v>
      </c>
      <c r="F3080" t="s">
        <v>83</v>
      </c>
      <c r="G3080" t="s">
        <v>84</v>
      </c>
      <c r="H3080" t="s">
        <v>85</v>
      </c>
      <c r="I3080" t="s">
        <v>104</v>
      </c>
      <c r="J3080" t="s">
        <v>7061</v>
      </c>
      <c r="K3080" t="s">
        <v>91</v>
      </c>
      <c r="L3080" t="s">
        <v>46</v>
      </c>
      <c r="M3080" t="s">
        <v>68</v>
      </c>
      <c r="N3080" t="s">
        <v>69</v>
      </c>
      <c r="O3080" t="s">
        <v>70</v>
      </c>
      <c r="P3080" t="s">
        <v>37</v>
      </c>
      <c r="Q3080" t="s">
        <v>204</v>
      </c>
      <c r="R3080">
        <v>470</v>
      </c>
      <c r="S3080">
        <v>198</v>
      </c>
      <c r="T3080">
        <v>130</v>
      </c>
      <c r="U3080">
        <v>32</v>
      </c>
      <c r="V3080" t="s">
        <v>3578</v>
      </c>
      <c r="W3080">
        <v>26549</v>
      </c>
      <c r="X3080" t="s">
        <v>7587</v>
      </c>
      <c r="Y3080">
        <v>23751</v>
      </c>
      <c r="Z3080">
        <v>849568</v>
      </c>
      <c r="AA3080">
        <v>89536</v>
      </c>
      <c r="AB3080" t="str">
        <f>(VLOOKUP(SalesData[[#This Row],[Month Number]],Reference!C$5:E$16,2,FALSE))</f>
        <v>Feb</v>
      </c>
      <c r="AC3080">
        <f>MONTH(SalesData[[#This Row],[Date]])</f>
        <v>2</v>
      </c>
      <c r="AD3080">
        <f>Reference!F$4</f>
        <v>2026</v>
      </c>
      <c r="AE3080" t="str">
        <f>IF(OR(SalesData[[#This Row],[Day]]="Saturday",SalesData[[#This Row],[Day]]="Sunday"),"Weekend","Weekday")</f>
        <v>Weekend</v>
      </c>
      <c r="AF3080" s="5">
        <f>IF(SalesData[[#This Row],[Contracts Offered]]=0,0,SalesData[[#This Row],[Contracts Signed]]/SalesData[[#This Row],[Contracts Offered]])</f>
        <v>0.24615384615384617</v>
      </c>
      <c r="AG3080" s="5">
        <f>IF(SalesData[[#This Row],[Customers Visited]]=0,0,SalesData[[#This Row],[Test Drives]]/SalesData[[#This Row],[Customers Visited]])</f>
        <v>0.42127659574468085</v>
      </c>
      <c r="AH3080" s="5">
        <f>IF(SalesData[[#This Row],[Customers Visited]]=0,0,SalesData[[#This Row],[Contracts Signed]]/SalesData[[#This Row],[Customers Visited]])</f>
        <v>6.8085106382978725E-2</v>
      </c>
      <c r="AI3080" s="6">
        <f>IF(SalesData[[#This Row],[Contracts Signed]]=0,0,SalesData[[#This Row],[Profit(€)]]/SalesData[[#This Row],[Contracts Signed]])</f>
        <v>2798</v>
      </c>
      <c r="AJ3080" s="5" t="str">
        <f>TRIM(CLEAN(SalesData[[#This Row],[Retailer]]))</f>
        <v>Hannover Cars</v>
      </c>
    </row>
    <row r="3081" spans="1:36" ht="14.25" hidden="1" x14ac:dyDescent="0.2">
      <c r="A3081" t="s">
        <v>4237</v>
      </c>
      <c r="B3081" s="1">
        <v>46067</v>
      </c>
      <c r="C3081" t="s">
        <v>121</v>
      </c>
      <c r="D3081" t="s">
        <v>151</v>
      </c>
      <c r="E3081" t="s">
        <v>42</v>
      </c>
      <c r="F3081" t="s">
        <v>127</v>
      </c>
      <c r="G3081" t="s">
        <v>128</v>
      </c>
      <c r="H3081" t="s">
        <v>103</v>
      </c>
      <c r="I3081" t="s">
        <v>116</v>
      </c>
      <c r="J3081" t="s">
        <v>7026</v>
      </c>
      <c r="K3081" t="s">
        <v>91</v>
      </c>
      <c r="L3081" t="s">
        <v>46</v>
      </c>
      <c r="M3081" t="s">
        <v>87</v>
      </c>
      <c r="N3081" t="s">
        <v>48</v>
      </c>
      <c r="O3081" t="s">
        <v>70</v>
      </c>
      <c r="P3081" t="s">
        <v>58</v>
      </c>
      <c r="Q3081" t="s">
        <v>144</v>
      </c>
      <c r="R3081">
        <v>394</v>
      </c>
      <c r="S3081">
        <v>155</v>
      </c>
      <c r="T3081">
        <v>95</v>
      </c>
      <c r="U3081">
        <v>32</v>
      </c>
      <c r="V3081" t="s">
        <v>6937</v>
      </c>
      <c r="W3081">
        <v>24432</v>
      </c>
      <c r="X3081" t="s">
        <v>667</v>
      </c>
      <c r="Y3081">
        <v>22295</v>
      </c>
      <c r="Z3081">
        <v>781824</v>
      </c>
      <c r="AA3081">
        <v>68384</v>
      </c>
      <c r="AB3081" t="str">
        <f>(VLOOKUP(SalesData[[#This Row],[Month Number]],Reference!C$5:E$16,2,FALSE))</f>
        <v>Feb</v>
      </c>
      <c r="AC3081">
        <f>MONTH(SalesData[[#This Row],[Date]])</f>
        <v>2</v>
      </c>
      <c r="AD3081">
        <f>Reference!F$4</f>
        <v>2026</v>
      </c>
      <c r="AE3081" t="str">
        <f>IF(OR(SalesData[[#This Row],[Day]]="Saturday",SalesData[[#This Row],[Day]]="Sunday"),"Weekend","Weekday")</f>
        <v>Weekend</v>
      </c>
      <c r="AF3081" s="5">
        <f>IF(SalesData[[#This Row],[Contracts Offered]]=0,0,SalesData[[#This Row],[Contracts Signed]]/SalesData[[#This Row],[Contracts Offered]])</f>
        <v>0.33684210526315789</v>
      </c>
      <c r="AG3081" s="5">
        <f>IF(SalesData[[#This Row],[Customers Visited]]=0,0,SalesData[[#This Row],[Test Drives]]/SalesData[[#This Row],[Customers Visited]])</f>
        <v>0.39340101522842641</v>
      </c>
      <c r="AH3081" s="5">
        <f>IF(SalesData[[#This Row],[Customers Visited]]=0,0,SalesData[[#This Row],[Contracts Signed]]/SalesData[[#This Row],[Customers Visited]])</f>
        <v>8.1218274111675121E-2</v>
      </c>
      <c r="AI3081" s="6">
        <f>IF(SalesData[[#This Row],[Contracts Signed]]=0,0,SalesData[[#This Row],[Profit(€)]]/SalesData[[#This Row],[Contracts Signed]])</f>
        <v>2137</v>
      </c>
      <c r="AJ3081" s="5" t="str">
        <f>TRIM(CLEAN(SalesData[[#This Row],[Retailer]]))</f>
        <v>Rhein Auto Group</v>
      </c>
    </row>
    <row r="3082" spans="1:36" ht="14.25" hidden="1" x14ac:dyDescent="0.2">
      <c r="A3082" t="s">
        <v>4239</v>
      </c>
      <c r="B3082" s="1">
        <v>46067</v>
      </c>
      <c r="C3082" t="s">
        <v>121</v>
      </c>
      <c r="D3082" t="s">
        <v>151</v>
      </c>
      <c r="E3082" t="s">
        <v>42</v>
      </c>
      <c r="F3082" t="s">
        <v>101</v>
      </c>
      <c r="G3082" t="s">
        <v>102</v>
      </c>
      <c r="H3082" t="s">
        <v>103</v>
      </c>
      <c r="I3082" t="s">
        <v>104</v>
      </c>
      <c r="J3082" t="s">
        <v>105</v>
      </c>
      <c r="K3082" t="s">
        <v>32</v>
      </c>
      <c r="L3082" t="s">
        <v>33</v>
      </c>
      <c r="M3082" t="s">
        <v>87</v>
      </c>
      <c r="N3082" t="s">
        <v>69</v>
      </c>
      <c r="O3082" t="s">
        <v>70</v>
      </c>
      <c r="P3082" t="s">
        <v>71</v>
      </c>
      <c r="Q3082" t="s">
        <v>79</v>
      </c>
      <c r="R3082">
        <v>330</v>
      </c>
      <c r="S3082">
        <v>171</v>
      </c>
      <c r="T3082">
        <v>106</v>
      </c>
      <c r="U3082">
        <v>27</v>
      </c>
      <c r="V3082" t="s">
        <v>456</v>
      </c>
      <c r="W3082">
        <v>28948</v>
      </c>
      <c r="X3082" t="s">
        <v>226</v>
      </c>
      <c r="Y3082">
        <v>26070</v>
      </c>
      <c r="Z3082">
        <v>781596</v>
      </c>
      <c r="AA3082">
        <v>77706</v>
      </c>
      <c r="AB3082" t="str">
        <f>(VLOOKUP(SalesData[[#This Row],[Month Number]],Reference!C$5:E$16,2,FALSE))</f>
        <v>Feb</v>
      </c>
      <c r="AC3082">
        <f>MONTH(SalesData[[#This Row],[Date]])</f>
        <v>2</v>
      </c>
      <c r="AD3082">
        <f>Reference!F$4</f>
        <v>2026</v>
      </c>
      <c r="AE3082" t="str">
        <f>IF(OR(SalesData[[#This Row],[Day]]="Saturday",SalesData[[#This Row],[Day]]="Sunday"),"Weekend","Weekday")</f>
        <v>Weekend</v>
      </c>
      <c r="AF3082" s="5">
        <f>IF(SalesData[[#This Row],[Contracts Offered]]=0,0,SalesData[[#This Row],[Contracts Signed]]/SalesData[[#This Row],[Contracts Offered]])</f>
        <v>0.25471698113207547</v>
      </c>
      <c r="AG3082" s="5">
        <f>IF(SalesData[[#This Row],[Customers Visited]]=0,0,SalesData[[#This Row],[Test Drives]]/SalesData[[#This Row],[Customers Visited]])</f>
        <v>0.51818181818181819</v>
      </c>
      <c r="AH3082" s="5">
        <f>IF(SalesData[[#This Row],[Customers Visited]]=0,0,SalesData[[#This Row],[Contracts Signed]]/SalesData[[#This Row],[Customers Visited]])</f>
        <v>8.1818181818181818E-2</v>
      </c>
      <c r="AI3082" s="6">
        <f>IF(SalesData[[#This Row],[Contracts Signed]]=0,0,SalesData[[#This Row],[Profit(€)]]/SalesData[[#This Row],[Contracts Signed]])</f>
        <v>2878</v>
      </c>
      <c r="AJ3082" s="5" t="str">
        <f>TRIM(CLEAN(SalesData[[#This Row],[Retailer]]))</f>
        <v>Ruhr Auto Plaza</v>
      </c>
    </row>
    <row r="3083" spans="1:36" ht="14.25" hidden="1" x14ac:dyDescent="0.2">
      <c r="A3083" t="s">
        <v>4240</v>
      </c>
      <c r="B3083" s="1">
        <v>46057</v>
      </c>
      <c r="C3083" t="s">
        <v>24</v>
      </c>
      <c r="D3083" t="s">
        <v>82</v>
      </c>
      <c r="E3083" t="s">
        <v>26</v>
      </c>
      <c r="F3083" t="s">
        <v>94</v>
      </c>
      <c r="G3083" t="s">
        <v>95</v>
      </c>
      <c r="H3083" t="s">
        <v>96</v>
      </c>
      <c r="I3083" t="s">
        <v>56</v>
      </c>
      <c r="J3083" t="s">
        <v>57</v>
      </c>
      <c r="K3083" t="s">
        <v>78</v>
      </c>
      <c r="L3083" t="s">
        <v>46</v>
      </c>
      <c r="M3083" t="s">
        <v>87</v>
      </c>
      <c r="N3083" t="s">
        <v>48</v>
      </c>
      <c r="O3083" t="s">
        <v>70</v>
      </c>
      <c r="P3083" t="s">
        <v>37</v>
      </c>
      <c r="Q3083" t="s">
        <v>129</v>
      </c>
      <c r="R3083">
        <v>317</v>
      </c>
      <c r="S3083">
        <v>166</v>
      </c>
      <c r="T3083">
        <v>111</v>
      </c>
      <c r="U3083">
        <v>40</v>
      </c>
      <c r="V3083" t="s">
        <v>6361</v>
      </c>
      <c r="W3083">
        <v>51565</v>
      </c>
      <c r="X3083" t="s">
        <v>7157</v>
      </c>
      <c r="Y3083">
        <v>38680</v>
      </c>
      <c r="Z3083">
        <v>2062600</v>
      </c>
      <c r="AA3083">
        <v>515400</v>
      </c>
      <c r="AB3083" t="str">
        <f>(VLOOKUP(SalesData[[#This Row],[Month Number]],Reference!C$5:E$16,2,FALSE))</f>
        <v>Feb</v>
      </c>
      <c r="AC3083">
        <f>MONTH(SalesData[[#This Row],[Date]])</f>
        <v>2</v>
      </c>
      <c r="AD3083">
        <f>Reference!F$4</f>
        <v>2026</v>
      </c>
      <c r="AE3083" t="str">
        <f>IF(OR(SalesData[[#This Row],[Day]]="Saturday",SalesData[[#This Row],[Day]]="Sunday"),"Weekend","Weekday")</f>
        <v>Weekday</v>
      </c>
      <c r="AF3083" s="5">
        <f>IF(SalesData[[#This Row],[Contracts Offered]]=0,0,SalesData[[#This Row],[Contracts Signed]]/SalesData[[#This Row],[Contracts Offered]])</f>
        <v>0.36036036036036034</v>
      </c>
      <c r="AG3083" s="5">
        <f>IF(SalesData[[#This Row],[Customers Visited]]=0,0,SalesData[[#This Row],[Test Drives]]/SalesData[[#This Row],[Customers Visited]])</f>
        <v>0.52365930599369082</v>
      </c>
      <c r="AH3083" s="5">
        <f>IF(SalesData[[#This Row],[Customers Visited]]=0,0,SalesData[[#This Row],[Contracts Signed]]/SalesData[[#This Row],[Customers Visited]])</f>
        <v>0.12618296529968454</v>
      </c>
      <c r="AI3083" s="6">
        <f>IF(SalesData[[#This Row],[Contracts Signed]]=0,0,SalesData[[#This Row],[Profit(€)]]/SalesData[[#This Row],[Contracts Signed]])</f>
        <v>12885</v>
      </c>
      <c r="AJ3083" s="5" t="str">
        <f>TRIM(CLEAN(SalesData[[#This Row],[Retailer]]))</f>
        <v>Bavaria Motors</v>
      </c>
    </row>
    <row r="3084" spans="1:36" ht="14.25" hidden="1" x14ac:dyDescent="0.2">
      <c r="A3084" t="s">
        <v>4241</v>
      </c>
      <c r="B3084" s="1">
        <v>46065</v>
      </c>
      <c r="C3084" t="s">
        <v>121</v>
      </c>
      <c r="D3084" t="s">
        <v>100</v>
      </c>
      <c r="E3084" t="s">
        <v>26</v>
      </c>
      <c r="F3084" t="s">
        <v>101</v>
      </c>
      <c r="G3084" t="s">
        <v>102</v>
      </c>
      <c r="H3084" t="s">
        <v>103</v>
      </c>
      <c r="I3084" t="s">
        <v>104</v>
      </c>
      <c r="J3084" t="s">
        <v>143</v>
      </c>
      <c r="K3084" t="s">
        <v>32</v>
      </c>
      <c r="L3084" t="s">
        <v>67</v>
      </c>
      <c r="M3084" t="s">
        <v>34</v>
      </c>
      <c r="N3084" t="s">
        <v>48</v>
      </c>
      <c r="O3084" t="s">
        <v>36</v>
      </c>
      <c r="P3084" t="s">
        <v>49</v>
      </c>
      <c r="Q3084" t="s">
        <v>38</v>
      </c>
      <c r="R3084">
        <v>329</v>
      </c>
      <c r="S3084">
        <v>137</v>
      </c>
      <c r="T3084">
        <v>91</v>
      </c>
      <c r="U3084">
        <v>19</v>
      </c>
      <c r="V3084" t="s">
        <v>779</v>
      </c>
      <c r="W3084">
        <v>27405</v>
      </c>
      <c r="X3084" t="s">
        <v>1883</v>
      </c>
      <c r="Y3084">
        <v>24231</v>
      </c>
      <c r="Z3084">
        <v>520695</v>
      </c>
      <c r="AA3084">
        <v>60306</v>
      </c>
      <c r="AB3084" t="str">
        <f>(VLOOKUP(SalesData[[#This Row],[Month Number]],Reference!C$5:E$16,2,FALSE))</f>
        <v>Feb</v>
      </c>
      <c r="AC3084">
        <f>MONTH(SalesData[[#This Row],[Date]])</f>
        <v>2</v>
      </c>
      <c r="AD3084">
        <f>Reference!F$4</f>
        <v>2026</v>
      </c>
      <c r="AE3084" t="str">
        <f>IF(OR(SalesData[[#This Row],[Day]]="Saturday",SalesData[[#This Row],[Day]]="Sunday"),"Weekend","Weekday")</f>
        <v>Weekday</v>
      </c>
      <c r="AF3084" s="5">
        <f>IF(SalesData[[#This Row],[Contracts Offered]]=0,0,SalesData[[#This Row],[Contracts Signed]]/SalesData[[#This Row],[Contracts Offered]])</f>
        <v>0.2087912087912088</v>
      </c>
      <c r="AG3084" s="5">
        <f>IF(SalesData[[#This Row],[Customers Visited]]=0,0,SalesData[[#This Row],[Test Drives]]/SalesData[[#This Row],[Customers Visited]])</f>
        <v>0.41641337386018235</v>
      </c>
      <c r="AH3084" s="5">
        <f>IF(SalesData[[#This Row],[Customers Visited]]=0,0,SalesData[[#This Row],[Contracts Signed]]/SalesData[[#This Row],[Customers Visited]])</f>
        <v>5.7750759878419454E-2</v>
      </c>
      <c r="AI3084" s="6">
        <f>IF(SalesData[[#This Row],[Contracts Signed]]=0,0,SalesData[[#This Row],[Profit(€)]]/SalesData[[#This Row],[Contracts Signed]])</f>
        <v>3174</v>
      </c>
      <c r="AJ3084" s="5" t="str">
        <f>TRIM(CLEAN(SalesData[[#This Row],[Retailer]]))</f>
        <v>Ruhr Auto Plaza</v>
      </c>
    </row>
    <row r="3085" spans="1:36" ht="14.25" hidden="1" x14ac:dyDescent="0.2">
      <c r="A3085" t="s">
        <v>4242</v>
      </c>
      <c r="B3085" s="1">
        <v>46072</v>
      </c>
      <c r="C3085" t="s">
        <v>62</v>
      </c>
      <c r="D3085" t="s">
        <v>100</v>
      </c>
      <c r="E3085" t="s">
        <v>26</v>
      </c>
      <c r="F3085" t="s">
        <v>27</v>
      </c>
      <c r="G3085" t="s">
        <v>28</v>
      </c>
      <c r="H3085" t="s">
        <v>29</v>
      </c>
      <c r="I3085" t="s">
        <v>116</v>
      </c>
      <c r="J3085" t="s">
        <v>7090</v>
      </c>
      <c r="K3085" t="s">
        <v>66</v>
      </c>
      <c r="L3085" t="s">
        <v>46</v>
      </c>
      <c r="M3085" t="s">
        <v>34</v>
      </c>
      <c r="N3085" t="s">
        <v>69</v>
      </c>
      <c r="O3085" t="s">
        <v>36</v>
      </c>
      <c r="P3085" t="s">
        <v>49</v>
      </c>
      <c r="Q3085" t="s">
        <v>118</v>
      </c>
      <c r="R3085">
        <v>376</v>
      </c>
      <c r="S3085">
        <v>167</v>
      </c>
      <c r="T3085">
        <v>103</v>
      </c>
      <c r="U3085">
        <v>20</v>
      </c>
      <c r="V3085" t="s">
        <v>1144</v>
      </c>
      <c r="W3085">
        <v>20057</v>
      </c>
      <c r="X3085" t="s">
        <v>1913</v>
      </c>
      <c r="Y3085">
        <v>18552</v>
      </c>
      <c r="Z3085">
        <v>401140</v>
      </c>
      <c r="AA3085">
        <v>30100</v>
      </c>
      <c r="AB3085" t="str">
        <f>(VLOOKUP(SalesData[[#This Row],[Month Number]],Reference!C$5:E$16,2,FALSE))</f>
        <v>Feb</v>
      </c>
      <c r="AC3085">
        <f>MONTH(SalesData[[#This Row],[Date]])</f>
        <v>2</v>
      </c>
      <c r="AD3085">
        <f>Reference!F$4</f>
        <v>2026</v>
      </c>
      <c r="AE3085" t="str">
        <f>IF(OR(SalesData[[#This Row],[Day]]="Saturday",SalesData[[#This Row],[Day]]="Sunday"),"Weekend","Weekday")</f>
        <v>Weekday</v>
      </c>
      <c r="AF3085" s="5">
        <f>IF(SalesData[[#This Row],[Contracts Offered]]=0,0,SalesData[[#This Row],[Contracts Signed]]/SalesData[[#This Row],[Contracts Offered]])</f>
        <v>0.1941747572815534</v>
      </c>
      <c r="AG3085" s="5">
        <f>IF(SalesData[[#This Row],[Customers Visited]]=0,0,SalesData[[#This Row],[Test Drives]]/SalesData[[#This Row],[Customers Visited]])</f>
        <v>0.44414893617021278</v>
      </c>
      <c r="AH3085" s="5">
        <f>IF(SalesData[[#This Row],[Customers Visited]]=0,0,SalesData[[#This Row],[Contracts Signed]]/SalesData[[#This Row],[Customers Visited]])</f>
        <v>5.3191489361702128E-2</v>
      </c>
      <c r="AI3085" s="6">
        <f>IF(SalesData[[#This Row],[Contracts Signed]]=0,0,SalesData[[#This Row],[Profit(€)]]/SalesData[[#This Row],[Contracts Signed]])</f>
        <v>1505</v>
      </c>
      <c r="AJ3085" s="5" t="str">
        <f>TRIM(CLEAN(SalesData[[#This Row],[Retailer]]))</f>
        <v>Main Auto Hub</v>
      </c>
    </row>
    <row r="3086" spans="1:36" ht="14.25" hidden="1" x14ac:dyDescent="0.2">
      <c r="A3086" t="s">
        <v>4243</v>
      </c>
      <c r="B3086" s="1">
        <v>46054</v>
      </c>
      <c r="C3086" t="s">
        <v>24</v>
      </c>
      <c r="D3086" t="s">
        <v>41</v>
      </c>
      <c r="E3086" t="s">
        <v>42</v>
      </c>
      <c r="F3086" t="s">
        <v>114</v>
      </c>
      <c r="G3086" t="s">
        <v>115</v>
      </c>
      <c r="H3086" t="s">
        <v>115</v>
      </c>
      <c r="I3086" t="s">
        <v>56</v>
      </c>
      <c r="J3086" t="s">
        <v>137</v>
      </c>
      <c r="K3086" t="s">
        <v>32</v>
      </c>
      <c r="L3086" t="s">
        <v>46</v>
      </c>
      <c r="M3086" t="s">
        <v>47</v>
      </c>
      <c r="N3086" t="s">
        <v>69</v>
      </c>
      <c r="O3086" t="s">
        <v>70</v>
      </c>
      <c r="P3086" t="s">
        <v>58</v>
      </c>
      <c r="Q3086" t="s">
        <v>347</v>
      </c>
      <c r="R3086">
        <v>164</v>
      </c>
      <c r="S3086">
        <v>96</v>
      </c>
      <c r="T3086">
        <v>63</v>
      </c>
      <c r="U3086">
        <v>25</v>
      </c>
      <c r="V3086" t="s">
        <v>6831</v>
      </c>
      <c r="W3086">
        <v>41936</v>
      </c>
      <c r="X3086" t="s">
        <v>7146</v>
      </c>
      <c r="Y3086">
        <v>34271</v>
      </c>
      <c r="Z3086">
        <v>1048400</v>
      </c>
      <c r="AA3086">
        <v>191625</v>
      </c>
      <c r="AB3086" t="str">
        <f>(VLOOKUP(SalesData[[#This Row],[Month Number]],Reference!C$5:E$16,2,FALSE))</f>
        <v>Feb</v>
      </c>
      <c r="AC3086">
        <f>MONTH(SalesData[[#This Row],[Date]])</f>
        <v>2</v>
      </c>
      <c r="AD3086">
        <f>Reference!F$4</f>
        <v>2026</v>
      </c>
      <c r="AE3086" t="str">
        <f>IF(OR(SalesData[[#This Row],[Day]]="Saturday",SalesData[[#This Row],[Day]]="Sunday"),"Weekend","Weekday")</f>
        <v>Weekend</v>
      </c>
      <c r="AF3086" s="5">
        <f>IF(SalesData[[#This Row],[Contracts Offered]]=0,0,SalesData[[#This Row],[Contracts Signed]]/SalesData[[#This Row],[Contracts Offered]])</f>
        <v>0.3968253968253968</v>
      </c>
      <c r="AG3086" s="5">
        <f>IF(SalesData[[#This Row],[Customers Visited]]=0,0,SalesData[[#This Row],[Test Drives]]/SalesData[[#This Row],[Customers Visited]])</f>
        <v>0.58536585365853655</v>
      </c>
      <c r="AH3086" s="5">
        <f>IF(SalesData[[#This Row],[Customers Visited]]=0,0,SalesData[[#This Row],[Contracts Signed]]/SalesData[[#This Row],[Customers Visited]])</f>
        <v>0.1524390243902439</v>
      </c>
      <c r="AI3086" s="6">
        <f>IF(SalesData[[#This Row],[Contracts Signed]]=0,0,SalesData[[#This Row],[Profit(€)]]/SalesData[[#This Row],[Contracts Signed]])</f>
        <v>7665</v>
      </c>
      <c r="AJ3086" s="5" t="str">
        <f>TRIM(CLEAN(SalesData[[#This Row],[Retailer]]))</f>
        <v>Elbe Drive</v>
      </c>
    </row>
    <row r="3087" spans="1:36" ht="14.25" hidden="1" x14ac:dyDescent="0.2">
      <c r="A3087" t="s">
        <v>4244</v>
      </c>
      <c r="B3087" s="1">
        <v>46064</v>
      </c>
      <c r="C3087" t="s">
        <v>121</v>
      </c>
      <c r="D3087" t="s">
        <v>82</v>
      </c>
      <c r="E3087" t="s">
        <v>26</v>
      </c>
      <c r="F3087" t="s">
        <v>83</v>
      </c>
      <c r="G3087" t="s">
        <v>84</v>
      </c>
      <c r="H3087" t="s">
        <v>85</v>
      </c>
      <c r="I3087" t="s">
        <v>64</v>
      </c>
      <c r="J3087" t="s">
        <v>157</v>
      </c>
      <c r="K3087" t="s">
        <v>66</v>
      </c>
      <c r="L3087" t="s">
        <v>33</v>
      </c>
      <c r="M3087" t="s">
        <v>47</v>
      </c>
      <c r="N3087" t="s">
        <v>48</v>
      </c>
      <c r="O3087" t="s">
        <v>36</v>
      </c>
      <c r="P3087" t="s">
        <v>37</v>
      </c>
      <c r="Q3087" t="s">
        <v>88</v>
      </c>
      <c r="R3087">
        <v>167</v>
      </c>
      <c r="S3087">
        <v>95</v>
      </c>
      <c r="T3087">
        <v>63</v>
      </c>
      <c r="U3087">
        <v>20</v>
      </c>
      <c r="V3087" t="s">
        <v>6421</v>
      </c>
      <c r="W3087">
        <v>64031</v>
      </c>
      <c r="X3087" t="s">
        <v>2787</v>
      </c>
      <c r="Y3087">
        <v>47758</v>
      </c>
      <c r="Z3087">
        <v>1280620</v>
      </c>
      <c r="AA3087">
        <v>325460</v>
      </c>
      <c r="AB3087" t="str">
        <f>(VLOOKUP(SalesData[[#This Row],[Month Number]],Reference!C$5:E$16,2,FALSE))</f>
        <v>Feb</v>
      </c>
      <c r="AC3087">
        <f>MONTH(SalesData[[#This Row],[Date]])</f>
        <v>2</v>
      </c>
      <c r="AD3087">
        <f>Reference!F$4</f>
        <v>2026</v>
      </c>
      <c r="AE3087" t="str">
        <f>IF(OR(SalesData[[#This Row],[Day]]="Saturday",SalesData[[#This Row],[Day]]="Sunday"),"Weekend","Weekday")</f>
        <v>Weekday</v>
      </c>
      <c r="AF3087" s="5">
        <f>IF(SalesData[[#This Row],[Contracts Offered]]=0,0,SalesData[[#This Row],[Contracts Signed]]/SalesData[[#This Row],[Contracts Offered]])</f>
        <v>0.31746031746031744</v>
      </c>
      <c r="AG3087" s="5">
        <f>IF(SalesData[[#This Row],[Customers Visited]]=0,0,SalesData[[#This Row],[Test Drives]]/SalesData[[#This Row],[Customers Visited]])</f>
        <v>0.56886227544910184</v>
      </c>
      <c r="AH3087" s="5">
        <f>IF(SalesData[[#This Row],[Customers Visited]]=0,0,SalesData[[#This Row],[Contracts Signed]]/SalesData[[#This Row],[Customers Visited]])</f>
        <v>0.11976047904191617</v>
      </c>
      <c r="AI3087" s="6">
        <f>IF(SalesData[[#This Row],[Contracts Signed]]=0,0,SalesData[[#This Row],[Profit(€)]]/SalesData[[#This Row],[Contracts Signed]])</f>
        <v>16273</v>
      </c>
      <c r="AJ3087" s="5" t="str">
        <f>TRIM(CLEAN(SalesData[[#This Row],[Retailer]]))</f>
        <v>Hannover Cars</v>
      </c>
    </row>
    <row r="3088" spans="1:36" ht="14.25" hidden="1" x14ac:dyDescent="0.2">
      <c r="A3088" t="s">
        <v>4245</v>
      </c>
      <c r="B3088" s="1">
        <v>46074</v>
      </c>
      <c r="C3088" t="s">
        <v>62</v>
      </c>
      <c r="D3088" t="s">
        <v>151</v>
      </c>
      <c r="E3088" t="s">
        <v>42</v>
      </c>
      <c r="F3088" t="s">
        <v>114</v>
      </c>
      <c r="G3088" t="s">
        <v>115</v>
      </c>
      <c r="H3088" t="s">
        <v>115</v>
      </c>
      <c r="I3088" t="s">
        <v>116</v>
      </c>
      <c r="J3088" t="s">
        <v>7026</v>
      </c>
      <c r="K3088" t="s">
        <v>32</v>
      </c>
      <c r="L3088" t="s">
        <v>46</v>
      </c>
      <c r="M3088" t="s">
        <v>87</v>
      </c>
      <c r="N3088" t="s">
        <v>48</v>
      </c>
      <c r="O3088" t="s">
        <v>70</v>
      </c>
      <c r="P3088" t="s">
        <v>49</v>
      </c>
      <c r="Q3088" t="s">
        <v>158</v>
      </c>
      <c r="R3088">
        <v>427</v>
      </c>
      <c r="S3088">
        <v>238</v>
      </c>
      <c r="T3088">
        <v>139</v>
      </c>
      <c r="U3088">
        <v>33</v>
      </c>
      <c r="V3088" t="s">
        <v>779</v>
      </c>
      <c r="W3088">
        <v>20719</v>
      </c>
      <c r="X3088" t="s">
        <v>7519</v>
      </c>
      <c r="Y3088">
        <v>18896</v>
      </c>
      <c r="Z3088">
        <v>683727</v>
      </c>
      <c r="AA3088">
        <v>60159</v>
      </c>
      <c r="AB3088" t="str">
        <f>(VLOOKUP(SalesData[[#This Row],[Month Number]],Reference!C$5:E$16,2,FALSE))</f>
        <v>Feb</v>
      </c>
      <c r="AC3088">
        <f>MONTH(SalesData[[#This Row],[Date]])</f>
        <v>2</v>
      </c>
      <c r="AD3088">
        <f>Reference!F$4</f>
        <v>2026</v>
      </c>
      <c r="AE3088" t="str">
        <f>IF(OR(SalesData[[#This Row],[Day]]="Saturday",SalesData[[#This Row],[Day]]="Sunday"),"Weekend","Weekday")</f>
        <v>Weekend</v>
      </c>
      <c r="AF3088" s="5">
        <f>IF(SalesData[[#This Row],[Contracts Offered]]=0,0,SalesData[[#This Row],[Contracts Signed]]/SalesData[[#This Row],[Contracts Offered]])</f>
        <v>0.23741007194244604</v>
      </c>
      <c r="AG3088" s="5">
        <f>IF(SalesData[[#This Row],[Customers Visited]]=0,0,SalesData[[#This Row],[Test Drives]]/SalesData[[#This Row],[Customers Visited]])</f>
        <v>0.55737704918032782</v>
      </c>
      <c r="AH3088" s="5">
        <f>IF(SalesData[[#This Row],[Customers Visited]]=0,0,SalesData[[#This Row],[Contracts Signed]]/SalesData[[#This Row],[Customers Visited]])</f>
        <v>7.7283372365339581E-2</v>
      </c>
      <c r="AI3088" s="6">
        <f>IF(SalesData[[#This Row],[Contracts Signed]]=0,0,SalesData[[#This Row],[Profit(€)]]/SalesData[[#This Row],[Contracts Signed]])</f>
        <v>1823</v>
      </c>
      <c r="AJ3088" s="5" t="str">
        <f>TRIM(CLEAN(SalesData[[#This Row],[Retailer]]))</f>
        <v>Elbe Drive</v>
      </c>
    </row>
    <row r="3089" spans="1:36" ht="14.25" x14ac:dyDescent="0.2">
      <c r="A3089" t="s">
        <v>4246</v>
      </c>
      <c r="B3089" s="1">
        <v>46073</v>
      </c>
      <c r="C3089" t="s">
        <v>62</v>
      </c>
      <c r="D3089" t="s">
        <v>54</v>
      </c>
      <c r="E3089" t="s">
        <v>26</v>
      </c>
      <c r="F3089" t="s">
        <v>109</v>
      </c>
      <c r="G3089" t="s">
        <v>110</v>
      </c>
      <c r="H3089" t="s">
        <v>45</v>
      </c>
      <c r="I3089" t="s">
        <v>30</v>
      </c>
      <c r="J3089" t="s">
        <v>188</v>
      </c>
      <c r="K3089" t="s">
        <v>78</v>
      </c>
      <c r="L3089" t="s">
        <v>33</v>
      </c>
      <c r="M3089" t="s">
        <v>47</v>
      </c>
      <c r="N3089" t="s">
        <v>69</v>
      </c>
      <c r="O3089" t="s">
        <v>36</v>
      </c>
      <c r="P3089" t="s">
        <v>71</v>
      </c>
      <c r="Q3089" t="s">
        <v>144</v>
      </c>
      <c r="R3089">
        <v>205</v>
      </c>
      <c r="S3089">
        <v>124</v>
      </c>
      <c r="T3089">
        <v>84</v>
      </c>
      <c r="U3089">
        <v>37</v>
      </c>
      <c r="V3089" t="s">
        <v>6906</v>
      </c>
      <c r="W3089">
        <v>61922</v>
      </c>
      <c r="X3089" t="s">
        <v>7380</v>
      </c>
      <c r="Y3089">
        <v>47880</v>
      </c>
      <c r="Z3089">
        <v>2291114</v>
      </c>
      <c r="AA3089">
        <v>519554</v>
      </c>
      <c r="AB3089" t="str">
        <f>(VLOOKUP(SalesData[[#This Row],[Month Number]],Reference!C$5:E$16,2,FALSE))</f>
        <v>Feb</v>
      </c>
      <c r="AC3089">
        <f>MONTH(SalesData[[#This Row],[Date]])</f>
        <v>2</v>
      </c>
      <c r="AD3089">
        <f>Reference!F$4</f>
        <v>2026</v>
      </c>
      <c r="AE3089" t="str">
        <f>IF(OR(SalesData[[#This Row],[Day]]="Saturday",SalesData[[#This Row],[Day]]="Sunday"),"Weekend","Weekday")</f>
        <v>Weekday</v>
      </c>
      <c r="AF3089" s="5">
        <f>IF(SalesData[[#This Row],[Contracts Offered]]=0,0,SalesData[[#This Row],[Contracts Signed]]/SalesData[[#This Row],[Contracts Offered]])</f>
        <v>0.44047619047619047</v>
      </c>
      <c r="AG3089" s="5">
        <f>IF(SalesData[[#This Row],[Customers Visited]]=0,0,SalesData[[#This Row],[Test Drives]]/SalesData[[#This Row],[Customers Visited]])</f>
        <v>0.60487804878048779</v>
      </c>
      <c r="AH3089" s="5">
        <f>IF(SalesData[[#This Row],[Customers Visited]]=0,0,SalesData[[#This Row],[Contracts Signed]]/SalesData[[#This Row],[Customers Visited]])</f>
        <v>0.18048780487804877</v>
      </c>
      <c r="AI3089" s="6">
        <f>IF(SalesData[[#This Row],[Contracts Signed]]=0,0,SalesData[[#This Row],[Profit(€)]]/SalesData[[#This Row],[Contracts Signed]])</f>
        <v>14042</v>
      </c>
      <c r="AJ3089" s="5" t="str">
        <f>TRIM(CLEAN(SalesData[[#This Row],[Retailer]]))</f>
        <v>Leipzig Mobility</v>
      </c>
    </row>
    <row r="3090" spans="1:36" ht="14.25" hidden="1" x14ac:dyDescent="0.2">
      <c r="A3090" t="s">
        <v>4247</v>
      </c>
      <c r="B3090" s="1">
        <v>46072</v>
      </c>
      <c r="C3090" t="s">
        <v>62</v>
      </c>
      <c r="D3090" t="s">
        <v>100</v>
      </c>
      <c r="E3090" t="s">
        <v>26</v>
      </c>
      <c r="F3090" t="s">
        <v>27</v>
      </c>
      <c r="G3090" t="s">
        <v>28</v>
      </c>
      <c r="H3090" t="s">
        <v>29</v>
      </c>
      <c r="I3090" t="s">
        <v>116</v>
      </c>
      <c r="J3090" t="s">
        <v>203</v>
      </c>
      <c r="K3090" t="s">
        <v>32</v>
      </c>
      <c r="L3090" t="s">
        <v>67</v>
      </c>
      <c r="M3090" t="s">
        <v>47</v>
      </c>
      <c r="N3090" t="s">
        <v>35</v>
      </c>
      <c r="O3090" t="s">
        <v>70</v>
      </c>
      <c r="P3090" t="s">
        <v>49</v>
      </c>
      <c r="Q3090" t="s">
        <v>129</v>
      </c>
      <c r="R3090">
        <v>220</v>
      </c>
      <c r="S3090">
        <v>122</v>
      </c>
      <c r="T3090">
        <v>69</v>
      </c>
      <c r="U3090">
        <v>15</v>
      </c>
      <c r="V3090" t="s">
        <v>1209</v>
      </c>
      <c r="W3090">
        <v>25058</v>
      </c>
      <c r="X3090" t="s">
        <v>1436</v>
      </c>
      <c r="Y3090">
        <v>22671</v>
      </c>
      <c r="Z3090">
        <v>375870</v>
      </c>
      <c r="AA3090">
        <v>35805</v>
      </c>
      <c r="AB3090" t="str">
        <f>(VLOOKUP(SalesData[[#This Row],[Month Number]],Reference!C$5:E$16,2,FALSE))</f>
        <v>Feb</v>
      </c>
      <c r="AC3090">
        <f>MONTH(SalesData[[#This Row],[Date]])</f>
        <v>2</v>
      </c>
      <c r="AD3090">
        <f>Reference!F$4</f>
        <v>2026</v>
      </c>
      <c r="AE3090" t="str">
        <f>IF(OR(SalesData[[#This Row],[Day]]="Saturday",SalesData[[#This Row],[Day]]="Sunday"),"Weekend","Weekday")</f>
        <v>Weekday</v>
      </c>
      <c r="AF3090" s="5">
        <f>IF(SalesData[[#This Row],[Contracts Offered]]=0,0,SalesData[[#This Row],[Contracts Signed]]/SalesData[[#This Row],[Contracts Offered]])</f>
        <v>0.21739130434782608</v>
      </c>
      <c r="AG3090" s="5">
        <f>IF(SalesData[[#This Row],[Customers Visited]]=0,0,SalesData[[#This Row],[Test Drives]]/SalesData[[#This Row],[Customers Visited]])</f>
        <v>0.55454545454545456</v>
      </c>
      <c r="AH3090" s="5">
        <f>IF(SalesData[[#This Row],[Customers Visited]]=0,0,SalesData[[#This Row],[Contracts Signed]]/SalesData[[#This Row],[Customers Visited]])</f>
        <v>6.8181818181818177E-2</v>
      </c>
      <c r="AI3090" s="6">
        <f>IF(SalesData[[#This Row],[Contracts Signed]]=0,0,SalesData[[#This Row],[Profit(€)]]/SalesData[[#This Row],[Contracts Signed]])</f>
        <v>2387</v>
      </c>
      <c r="AJ3090" s="5" t="str">
        <f>TRIM(CLEAN(SalesData[[#This Row],[Retailer]]))</f>
        <v>Main Auto Hub</v>
      </c>
    </row>
    <row r="3091" spans="1:36" ht="14.25" hidden="1" x14ac:dyDescent="0.2">
      <c r="A3091" t="s">
        <v>4248</v>
      </c>
      <c r="B3091" s="1">
        <v>46075</v>
      </c>
      <c r="C3091" t="s">
        <v>53</v>
      </c>
      <c r="D3091" t="s">
        <v>41</v>
      </c>
      <c r="E3091" t="s">
        <v>42</v>
      </c>
      <c r="F3091" t="s">
        <v>27</v>
      </c>
      <c r="G3091" t="s">
        <v>28</v>
      </c>
      <c r="H3091" t="s">
        <v>29</v>
      </c>
      <c r="I3091" t="s">
        <v>116</v>
      </c>
      <c r="J3091" t="s">
        <v>132</v>
      </c>
      <c r="K3091" t="s">
        <v>32</v>
      </c>
      <c r="L3091" t="s">
        <v>46</v>
      </c>
      <c r="M3091" t="s">
        <v>87</v>
      </c>
      <c r="N3091" t="s">
        <v>48</v>
      </c>
      <c r="O3091" t="s">
        <v>36</v>
      </c>
      <c r="P3091" t="s">
        <v>49</v>
      </c>
      <c r="Q3091" t="s">
        <v>172</v>
      </c>
      <c r="R3091">
        <v>324</v>
      </c>
      <c r="S3091">
        <v>130</v>
      </c>
      <c r="T3091">
        <v>74</v>
      </c>
      <c r="U3091">
        <v>16</v>
      </c>
      <c r="V3091" t="s">
        <v>1056</v>
      </c>
      <c r="W3091">
        <v>25336</v>
      </c>
      <c r="X3091" t="s">
        <v>953</v>
      </c>
      <c r="Y3091">
        <v>22799</v>
      </c>
      <c r="Z3091">
        <v>405376</v>
      </c>
      <c r="AA3091">
        <v>40592</v>
      </c>
      <c r="AB3091" t="str">
        <f>(VLOOKUP(SalesData[[#This Row],[Month Number]],Reference!C$5:E$16,2,FALSE))</f>
        <v>Feb</v>
      </c>
      <c r="AC3091">
        <f>MONTH(SalesData[[#This Row],[Date]])</f>
        <v>2</v>
      </c>
      <c r="AD3091">
        <f>Reference!F$4</f>
        <v>2026</v>
      </c>
      <c r="AE3091" t="str">
        <f>IF(OR(SalesData[[#This Row],[Day]]="Saturday",SalesData[[#This Row],[Day]]="Sunday"),"Weekend","Weekday")</f>
        <v>Weekend</v>
      </c>
      <c r="AF3091" s="5">
        <f>IF(SalesData[[#This Row],[Contracts Offered]]=0,0,SalesData[[#This Row],[Contracts Signed]]/SalesData[[#This Row],[Contracts Offered]])</f>
        <v>0.21621621621621623</v>
      </c>
      <c r="AG3091" s="5">
        <f>IF(SalesData[[#This Row],[Customers Visited]]=0,0,SalesData[[#This Row],[Test Drives]]/SalesData[[#This Row],[Customers Visited]])</f>
        <v>0.40123456790123457</v>
      </c>
      <c r="AH3091" s="5">
        <f>IF(SalesData[[#This Row],[Customers Visited]]=0,0,SalesData[[#This Row],[Contracts Signed]]/SalesData[[#This Row],[Customers Visited]])</f>
        <v>4.9382716049382713E-2</v>
      </c>
      <c r="AI3091" s="6">
        <f>IF(SalesData[[#This Row],[Contracts Signed]]=0,0,SalesData[[#This Row],[Profit(€)]]/SalesData[[#This Row],[Contracts Signed]])</f>
        <v>2537</v>
      </c>
      <c r="AJ3091" s="5" t="str">
        <f>TRIM(CLEAN(SalesData[[#This Row],[Retailer]]))</f>
        <v>Main Auto Hub</v>
      </c>
    </row>
    <row r="3092" spans="1:36" ht="14.25" hidden="1" x14ac:dyDescent="0.2">
      <c r="A3092" t="s">
        <v>4249</v>
      </c>
      <c r="B3092" s="1">
        <v>46073</v>
      </c>
      <c r="C3092" t="s">
        <v>62</v>
      </c>
      <c r="D3092" t="s">
        <v>54</v>
      </c>
      <c r="E3092" t="s">
        <v>26</v>
      </c>
      <c r="F3092" t="s">
        <v>101</v>
      </c>
      <c r="G3092" t="s">
        <v>102</v>
      </c>
      <c r="H3092" t="s">
        <v>103</v>
      </c>
      <c r="I3092" t="s">
        <v>56</v>
      </c>
      <c r="J3092" t="s">
        <v>137</v>
      </c>
      <c r="K3092" t="s">
        <v>91</v>
      </c>
      <c r="L3092" t="s">
        <v>46</v>
      </c>
      <c r="M3092" t="s">
        <v>68</v>
      </c>
      <c r="N3092" t="s">
        <v>35</v>
      </c>
      <c r="O3092" t="s">
        <v>70</v>
      </c>
      <c r="P3092" t="s">
        <v>49</v>
      </c>
      <c r="Q3092" t="s">
        <v>59</v>
      </c>
      <c r="R3092">
        <v>318</v>
      </c>
      <c r="S3092">
        <v>167</v>
      </c>
      <c r="T3092">
        <v>111</v>
      </c>
      <c r="U3092">
        <v>33</v>
      </c>
      <c r="V3092" t="s">
        <v>3250</v>
      </c>
      <c r="W3092">
        <v>41595</v>
      </c>
      <c r="X3092" t="s">
        <v>7508</v>
      </c>
      <c r="Y3092">
        <v>32944</v>
      </c>
      <c r="Z3092">
        <v>1372635</v>
      </c>
      <c r="AA3092">
        <v>285483</v>
      </c>
      <c r="AB3092" t="str">
        <f>(VLOOKUP(SalesData[[#This Row],[Month Number]],Reference!C$5:E$16,2,FALSE))</f>
        <v>Feb</v>
      </c>
      <c r="AC3092">
        <f>MONTH(SalesData[[#This Row],[Date]])</f>
        <v>2</v>
      </c>
      <c r="AD3092">
        <f>Reference!F$4</f>
        <v>2026</v>
      </c>
      <c r="AE3092" t="str">
        <f>IF(OR(SalesData[[#This Row],[Day]]="Saturday",SalesData[[#This Row],[Day]]="Sunday"),"Weekend","Weekday")</f>
        <v>Weekday</v>
      </c>
      <c r="AF3092" s="5">
        <f>IF(SalesData[[#This Row],[Contracts Offered]]=0,0,SalesData[[#This Row],[Contracts Signed]]/SalesData[[#This Row],[Contracts Offered]])</f>
        <v>0.29729729729729731</v>
      </c>
      <c r="AG3092" s="5">
        <f>IF(SalesData[[#This Row],[Customers Visited]]=0,0,SalesData[[#This Row],[Test Drives]]/SalesData[[#This Row],[Customers Visited]])</f>
        <v>0.52515723270440251</v>
      </c>
      <c r="AH3092" s="5">
        <f>IF(SalesData[[#This Row],[Customers Visited]]=0,0,SalesData[[#This Row],[Contracts Signed]]/SalesData[[#This Row],[Customers Visited]])</f>
        <v>0.10377358490566038</v>
      </c>
      <c r="AI3092" s="6">
        <f>IF(SalesData[[#This Row],[Contracts Signed]]=0,0,SalesData[[#This Row],[Profit(€)]]/SalesData[[#This Row],[Contracts Signed]])</f>
        <v>8651</v>
      </c>
      <c r="AJ3092" s="5" t="str">
        <f>TRIM(CLEAN(SalesData[[#This Row],[Retailer]]))</f>
        <v>Ruhr Auto Plaza</v>
      </c>
    </row>
    <row r="3093" spans="1:36" ht="14.25" hidden="1" x14ac:dyDescent="0.2">
      <c r="A3093" t="s">
        <v>4250</v>
      </c>
      <c r="B3093" s="1">
        <v>46076</v>
      </c>
      <c r="C3093" t="s">
        <v>53</v>
      </c>
      <c r="D3093" t="s">
        <v>25</v>
      </c>
      <c r="E3093" t="s">
        <v>26</v>
      </c>
      <c r="F3093" t="s">
        <v>7649</v>
      </c>
      <c r="G3093" t="s">
        <v>55</v>
      </c>
      <c r="H3093" t="s">
        <v>55</v>
      </c>
      <c r="I3093" t="s">
        <v>104</v>
      </c>
      <c r="J3093" t="s">
        <v>105</v>
      </c>
      <c r="K3093" t="s">
        <v>78</v>
      </c>
      <c r="L3093" t="s">
        <v>33</v>
      </c>
      <c r="M3093" t="s">
        <v>87</v>
      </c>
      <c r="N3093" t="s">
        <v>69</v>
      </c>
      <c r="O3093" t="s">
        <v>36</v>
      </c>
      <c r="P3093" t="s">
        <v>49</v>
      </c>
      <c r="Q3093" t="s">
        <v>88</v>
      </c>
      <c r="R3093">
        <v>438</v>
      </c>
      <c r="S3093">
        <v>222</v>
      </c>
      <c r="T3093">
        <v>148</v>
      </c>
      <c r="U3093">
        <v>34</v>
      </c>
      <c r="V3093" t="s">
        <v>2114</v>
      </c>
      <c r="W3093">
        <v>30012</v>
      </c>
      <c r="X3093" t="s">
        <v>1127</v>
      </c>
      <c r="Y3093">
        <v>26662</v>
      </c>
      <c r="Z3093">
        <v>1020408</v>
      </c>
      <c r="AA3093">
        <v>113900</v>
      </c>
      <c r="AB3093" t="str">
        <f>(VLOOKUP(SalesData[[#This Row],[Month Number]],Reference!C$5:E$16,2,FALSE))</f>
        <v>Feb</v>
      </c>
      <c r="AC3093">
        <f>MONTH(SalesData[[#This Row],[Date]])</f>
        <v>2</v>
      </c>
      <c r="AD3093">
        <f>Reference!F$4</f>
        <v>2026</v>
      </c>
      <c r="AE3093" t="str">
        <f>IF(OR(SalesData[[#This Row],[Day]]="Saturday",SalesData[[#This Row],[Day]]="Sunday"),"Weekend","Weekday")</f>
        <v>Weekday</v>
      </c>
      <c r="AF3093" s="5">
        <f>IF(SalesData[[#This Row],[Contracts Offered]]=0,0,SalesData[[#This Row],[Contracts Signed]]/SalesData[[#This Row],[Contracts Offered]])</f>
        <v>0.22972972972972974</v>
      </c>
      <c r="AG3093" s="5">
        <f>IF(SalesData[[#This Row],[Customers Visited]]=0,0,SalesData[[#This Row],[Test Drives]]/SalesData[[#This Row],[Customers Visited]])</f>
        <v>0.50684931506849318</v>
      </c>
      <c r="AH3093" s="5">
        <f>IF(SalesData[[#This Row],[Customers Visited]]=0,0,SalesData[[#This Row],[Contracts Signed]]/SalesData[[#This Row],[Customers Visited]])</f>
        <v>7.7625570776255703E-2</v>
      </c>
      <c r="AI3093" s="6">
        <f>IF(SalesData[[#This Row],[Contracts Signed]]=0,0,SalesData[[#This Row],[Profit(€)]]/SalesData[[#This Row],[Contracts Signed]])</f>
        <v>3350</v>
      </c>
      <c r="AJ3093" s="5" t="str">
        <f>TRIM(CLEAN(SalesData[[#This Row],[Retailer]]))</f>
        <v>Autohaus Berlin</v>
      </c>
    </row>
    <row r="3094" spans="1:36" ht="14.25" hidden="1" x14ac:dyDescent="0.2">
      <c r="A3094" t="s">
        <v>4251</v>
      </c>
      <c r="B3094" s="1">
        <v>46058</v>
      </c>
      <c r="C3094" t="s">
        <v>24</v>
      </c>
      <c r="D3094" t="s">
        <v>100</v>
      </c>
      <c r="E3094" t="s">
        <v>26</v>
      </c>
      <c r="F3094" t="s">
        <v>94</v>
      </c>
      <c r="G3094" t="s">
        <v>95</v>
      </c>
      <c r="H3094" t="s">
        <v>96</v>
      </c>
      <c r="I3094" t="s">
        <v>64</v>
      </c>
      <c r="J3094" t="s">
        <v>7029</v>
      </c>
      <c r="K3094" t="s">
        <v>66</v>
      </c>
      <c r="L3094" t="s">
        <v>33</v>
      </c>
      <c r="M3094" t="s">
        <v>68</v>
      </c>
      <c r="N3094" t="s">
        <v>35</v>
      </c>
      <c r="O3094" t="s">
        <v>36</v>
      </c>
      <c r="P3094" t="s">
        <v>58</v>
      </c>
      <c r="Q3094" t="s">
        <v>167</v>
      </c>
      <c r="R3094">
        <v>193</v>
      </c>
      <c r="S3094">
        <v>85</v>
      </c>
      <c r="T3094">
        <v>65</v>
      </c>
      <c r="U3094">
        <v>27</v>
      </c>
      <c r="V3094" t="s">
        <v>7463</v>
      </c>
      <c r="W3094">
        <v>58026</v>
      </c>
      <c r="X3094" t="s">
        <v>7386</v>
      </c>
      <c r="Y3094">
        <v>41459</v>
      </c>
      <c r="Z3094">
        <v>1566702</v>
      </c>
      <c r="AA3094">
        <v>447309</v>
      </c>
      <c r="AB3094" t="str">
        <f>(VLOOKUP(SalesData[[#This Row],[Month Number]],Reference!C$5:E$16,2,FALSE))</f>
        <v>Feb</v>
      </c>
      <c r="AC3094">
        <f>MONTH(SalesData[[#This Row],[Date]])</f>
        <v>2</v>
      </c>
      <c r="AD3094">
        <f>Reference!F$4</f>
        <v>2026</v>
      </c>
      <c r="AE3094" t="str">
        <f>IF(OR(SalesData[[#This Row],[Day]]="Saturday",SalesData[[#This Row],[Day]]="Sunday"),"Weekend","Weekday")</f>
        <v>Weekday</v>
      </c>
      <c r="AF3094" s="5">
        <f>IF(SalesData[[#This Row],[Contracts Offered]]=0,0,SalesData[[#This Row],[Contracts Signed]]/SalesData[[#This Row],[Contracts Offered]])</f>
        <v>0.41538461538461541</v>
      </c>
      <c r="AG3094" s="5">
        <f>IF(SalesData[[#This Row],[Customers Visited]]=0,0,SalesData[[#This Row],[Test Drives]]/SalesData[[#This Row],[Customers Visited]])</f>
        <v>0.44041450777202074</v>
      </c>
      <c r="AH3094" s="5">
        <f>IF(SalesData[[#This Row],[Customers Visited]]=0,0,SalesData[[#This Row],[Contracts Signed]]/SalesData[[#This Row],[Customers Visited]])</f>
        <v>0.13989637305699482</v>
      </c>
      <c r="AI3094" s="6">
        <f>IF(SalesData[[#This Row],[Contracts Signed]]=0,0,SalesData[[#This Row],[Profit(€)]]/SalesData[[#This Row],[Contracts Signed]])</f>
        <v>16567</v>
      </c>
      <c r="AJ3094" s="5" t="str">
        <f>TRIM(CLEAN(SalesData[[#This Row],[Retailer]]))</f>
        <v>Bavaria Motors</v>
      </c>
    </row>
    <row r="3095" spans="1:36" ht="14.25" hidden="1" x14ac:dyDescent="0.2">
      <c r="A3095" t="s">
        <v>4252</v>
      </c>
      <c r="B3095" s="1">
        <v>46060</v>
      </c>
      <c r="C3095" t="s">
        <v>24</v>
      </c>
      <c r="D3095" t="s">
        <v>151</v>
      </c>
      <c r="E3095" t="s">
        <v>42</v>
      </c>
      <c r="F3095" t="s">
        <v>27</v>
      </c>
      <c r="G3095" t="s">
        <v>28</v>
      </c>
      <c r="H3095" t="s">
        <v>29</v>
      </c>
      <c r="I3095" t="s">
        <v>56</v>
      </c>
      <c r="J3095" t="s">
        <v>137</v>
      </c>
      <c r="K3095" t="s">
        <v>91</v>
      </c>
      <c r="L3095" t="s">
        <v>46</v>
      </c>
      <c r="M3095" t="s">
        <v>68</v>
      </c>
      <c r="N3095" t="s">
        <v>69</v>
      </c>
      <c r="O3095" t="s">
        <v>36</v>
      </c>
      <c r="P3095" t="s">
        <v>71</v>
      </c>
      <c r="Q3095" t="s">
        <v>204</v>
      </c>
      <c r="R3095">
        <v>304</v>
      </c>
      <c r="S3095">
        <v>187</v>
      </c>
      <c r="T3095">
        <v>131</v>
      </c>
      <c r="U3095">
        <v>41</v>
      </c>
      <c r="V3095" t="s">
        <v>6484</v>
      </c>
      <c r="W3095">
        <v>40340</v>
      </c>
      <c r="X3095" t="s">
        <v>5488</v>
      </c>
      <c r="Y3095">
        <v>31542</v>
      </c>
      <c r="Z3095">
        <v>1653940</v>
      </c>
      <c r="AA3095">
        <v>360718</v>
      </c>
      <c r="AB3095" t="str">
        <f>(VLOOKUP(SalesData[[#This Row],[Month Number]],Reference!C$5:E$16,2,FALSE))</f>
        <v>Feb</v>
      </c>
      <c r="AC3095">
        <f>MONTH(SalesData[[#This Row],[Date]])</f>
        <v>2</v>
      </c>
      <c r="AD3095">
        <f>Reference!F$4</f>
        <v>2026</v>
      </c>
      <c r="AE3095" t="str">
        <f>IF(OR(SalesData[[#This Row],[Day]]="Saturday",SalesData[[#This Row],[Day]]="Sunday"),"Weekend","Weekday")</f>
        <v>Weekend</v>
      </c>
      <c r="AF3095" s="5">
        <f>IF(SalesData[[#This Row],[Contracts Offered]]=0,0,SalesData[[#This Row],[Contracts Signed]]/SalesData[[#This Row],[Contracts Offered]])</f>
        <v>0.31297709923664124</v>
      </c>
      <c r="AG3095" s="5">
        <f>IF(SalesData[[#This Row],[Customers Visited]]=0,0,SalesData[[#This Row],[Test Drives]]/SalesData[[#This Row],[Customers Visited]])</f>
        <v>0.61513157894736847</v>
      </c>
      <c r="AH3095" s="5">
        <f>IF(SalesData[[#This Row],[Customers Visited]]=0,0,SalesData[[#This Row],[Contracts Signed]]/SalesData[[#This Row],[Customers Visited]])</f>
        <v>0.13486842105263158</v>
      </c>
      <c r="AI3095" s="6">
        <f>IF(SalesData[[#This Row],[Contracts Signed]]=0,0,SalesData[[#This Row],[Profit(€)]]/SalesData[[#This Row],[Contracts Signed]])</f>
        <v>8798</v>
      </c>
      <c r="AJ3095" s="5" t="str">
        <f>TRIM(CLEAN(SalesData[[#This Row],[Retailer]]))</f>
        <v>Main Auto Hub</v>
      </c>
    </row>
    <row r="3096" spans="1:36" ht="14.25" hidden="1" x14ac:dyDescent="0.2">
      <c r="A3096" t="s">
        <v>4253</v>
      </c>
      <c r="B3096" s="1">
        <v>46066</v>
      </c>
      <c r="C3096" t="s">
        <v>121</v>
      </c>
      <c r="D3096" t="s">
        <v>54</v>
      </c>
      <c r="E3096" t="s">
        <v>26</v>
      </c>
      <c r="F3096" t="s">
        <v>27</v>
      </c>
      <c r="G3096" t="s">
        <v>28</v>
      </c>
      <c r="H3096" t="s">
        <v>29</v>
      </c>
      <c r="I3096" t="s">
        <v>116</v>
      </c>
      <c r="J3096" t="s">
        <v>132</v>
      </c>
      <c r="K3096" t="s">
        <v>78</v>
      </c>
      <c r="L3096" t="s">
        <v>46</v>
      </c>
      <c r="M3096" t="s">
        <v>68</v>
      </c>
      <c r="N3096" t="s">
        <v>35</v>
      </c>
      <c r="O3096" t="s">
        <v>70</v>
      </c>
      <c r="P3096" t="s">
        <v>37</v>
      </c>
      <c r="Q3096" t="s">
        <v>172</v>
      </c>
      <c r="R3096">
        <v>231</v>
      </c>
      <c r="S3096">
        <v>115</v>
      </c>
      <c r="T3096">
        <v>65</v>
      </c>
      <c r="U3096">
        <v>14</v>
      </c>
      <c r="V3096" t="s">
        <v>2197</v>
      </c>
      <c r="W3096">
        <v>19383</v>
      </c>
      <c r="X3096" t="s">
        <v>7379</v>
      </c>
      <c r="Y3096">
        <v>17533</v>
      </c>
      <c r="Z3096">
        <v>271362</v>
      </c>
      <c r="AA3096">
        <v>25900</v>
      </c>
      <c r="AB3096" t="str">
        <f>(VLOOKUP(SalesData[[#This Row],[Month Number]],Reference!C$5:E$16,2,FALSE))</f>
        <v>Feb</v>
      </c>
      <c r="AC3096">
        <f>MONTH(SalesData[[#This Row],[Date]])</f>
        <v>2</v>
      </c>
      <c r="AD3096">
        <f>Reference!F$4</f>
        <v>2026</v>
      </c>
      <c r="AE3096" t="str">
        <f>IF(OR(SalesData[[#This Row],[Day]]="Saturday",SalesData[[#This Row],[Day]]="Sunday"),"Weekend","Weekday")</f>
        <v>Weekday</v>
      </c>
      <c r="AF3096" s="5">
        <f>IF(SalesData[[#This Row],[Contracts Offered]]=0,0,SalesData[[#This Row],[Contracts Signed]]/SalesData[[#This Row],[Contracts Offered]])</f>
        <v>0.2153846153846154</v>
      </c>
      <c r="AG3096" s="5">
        <f>IF(SalesData[[#This Row],[Customers Visited]]=0,0,SalesData[[#This Row],[Test Drives]]/SalesData[[#This Row],[Customers Visited]])</f>
        <v>0.49783549783549785</v>
      </c>
      <c r="AH3096" s="5">
        <f>IF(SalesData[[#This Row],[Customers Visited]]=0,0,SalesData[[#This Row],[Contracts Signed]]/SalesData[[#This Row],[Customers Visited]])</f>
        <v>6.0606060606060608E-2</v>
      </c>
      <c r="AI3096" s="6">
        <f>IF(SalesData[[#This Row],[Contracts Signed]]=0,0,SalesData[[#This Row],[Profit(€)]]/SalesData[[#This Row],[Contracts Signed]])</f>
        <v>1850</v>
      </c>
      <c r="AJ3096" s="5" t="str">
        <f>TRIM(CLEAN(SalesData[[#This Row],[Retailer]]))</f>
        <v>Main Auto Hub</v>
      </c>
    </row>
    <row r="3097" spans="1:36" ht="14.25" x14ac:dyDescent="0.2">
      <c r="A3097" t="s">
        <v>4254</v>
      </c>
      <c r="B3097" s="1">
        <v>46057</v>
      </c>
      <c r="C3097" t="s">
        <v>24</v>
      </c>
      <c r="D3097" t="s">
        <v>82</v>
      </c>
      <c r="E3097" t="s">
        <v>26</v>
      </c>
      <c r="F3097" t="s">
        <v>127</v>
      </c>
      <c r="G3097" t="s">
        <v>128</v>
      </c>
      <c r="H3097" t="s">
        <v>103</v>
      </c>
      <c r="I3097" t="s">
        <v>30</v>
      </c>
      <c r="J3097" t="s">
        <v>31</v>
      </c>
      <c r="K3097" t="s">
        <v>66</v>
      </c>
      <c r="L3097" t="s">
        <v>46</v>
      </c>
      <c r="M3097" t="s">
        <v>47</v>
      </c>
      <c r="N3097" t="s">
        <v>35</v>
      </c>
      <c r="O3097" t="s">
        <v>36</v>
      </c>
      <c r="P3097" t="s">
        <v>71</v>
      </c>
      <c r="Q3097" t="s">
        <v>88</v>
      </c>
      <c r="R3097">
        <v>149</v>
      </c>
      <c r="S3097">
        <v>67</v>
      </c>
      <c r="T3097">
        <v>49</v>
      </c>
      <c r="U3097">
        <v>19</v>
      </c>
      <c r="V3097" t="s">
        <v>6436</v>
      </c>
      <c r="W3097">
        <v>64278</v>
      </c>
      <c r="X3097" t="s">
        <v>2861</v>
      </c>
      <c r="Y3097">
        <v>50071</v>
      </c>
      <c r="Z3097">
        <v>1221282</v>
      </c>
      <c r="AA3097">
        <v>269933</v>
      </c>
      <c r="AB3097" t="str">
        <f>(VLOOKUP(SalesData[[#This Row],[Month Number]],Reference!C$5:E$16,2,FALSE))</f>
        <v>Feb</v>
      </c>
      <c r="AC3097">
        <f>MONTH(SalesData[[#This Row],[Date]])</f>
        <v>2</v>
      </c>
      <c r="AD3097">
        <f>Reference!F$4</f>
        <v>2026</v>
      </c>
      <c r="AE3097" t="str">
        <f>IF(OR(SalesData[[#This Row],[Day]]="Saturday",SalesData[[#This Row],[Day]]="Sunday"),"Weekend","Weekday")</f>
        <v>Weekday</v>
      </c>
      <c r="AF3097" s="5">
        <f>IF(SalesData[[#This Row],[Contracts Offered]]=0,0,SalesData[[#This Row],[Contracts Signed]]/SalesData[[#This Row],[Contracts Offered]])</f>
        <v>0.38775510204081631</v>
      </c>
      <c r="AG3097" s="5">
        <f>IF(SalesData[[#This Row],[Customers Visited]]=0,0,SalesData[[#This Row],[Test Drives]]/SalesData[[#This Row],[Customers Visited]])</f>
        <v>0.44966442953020136</v>
      </c>
      <c r="AH3097" s="5">
        <f>IF(SalesData[[#This Row],[Customers Visited]]=0,0,SalesData[[#This Row],[Contracts Signed]]/SalesData[[#This Row],[Customers Visited]])</f>
        <v>0.12751677852348994</v>
      </c>
      <c r="AI3097" s="6">
        <f>IF(SalesData[[#This Row],[Contracts Signed]]=0,0,SalesData[[#This Row],[Profit(€)]]/SalesData[[#This Row],[Contracts Signed]])</f>
        <v>14207</v>
      </c>
      <c r="AJ3097" s="5" t="str">
        <f>TRIM(CLEAN(SalesData[[#This Row],[Retailer]]))</f>
        <v>Rhein Auto Group</v>
      </c>
    </row>
    <row r="3098" spans="1:36" ht="14.25" hidden="1" x14ac:dyDescent="0.2">
      <c r="A3098" t="s">
        <v>4255</v>
      </c>
      <c r="B3098" s="1">
        <v>46061</v>
      </c>
      <c r="C3098" t="s">
        <v>121</v>
      </c>
      <c r="D3098" t="s">
        <v>41</v>
      </c>
      <c r="E3098" t="s">
        <v>42</v>
      </c>
      <c r="F3098" t="s">
        <v>7649</v>
      </c>
      <c r="G3098" t="s">
        <v>55</v>
      </c>
      <c r="H3098" t="s">
        <v>55</v>
      </c>
      <c r="I3098" t="s">
        <v>104</v>
      </c>
      <c r="J3098" t="s">
        <v>143</v>
      </c>
      <c r="K3098" t="s">
        <v>66</v>
      </c>
      <c r="L3098" t="s">
        <v>67</v>
      </c>
      <c r="M3098" t="s">
        <v>68</v>
      </c>
      <c r="N3098" t="s">
        <v>35</v>
      </c>
      <c r="O3098" t="s">
        <v>70</v>
      </c>
      <c r="P3098" t="s">
        <v>58</v>
      </c>
      <c r="Q3098" t="s">
        <v>240</v>
      </c>
      <c r="R3098">
        <v>452</v>
      </c>
      <c r="S3098">
        <v>215</v>
      </c>
      <c r="T3098">
        <v>130</v>
      </c>
      <c r="U3098">
        <v>42</v>
      </c>
      <c r="V3098" t="s">
        <v>2294</v>
      </c>
      <c r="W3098">
        <v>32590</v>
      </c>
      <c r="X3098" t="s">
        <v>3354</v>
      </c>
      <c r="Y3098">
        <v>29421</v>
      </c>
      <c r="Z3098">
        <v>1368780</v>
      </c>
      <c r="AA3098">
        <v>133098</v>
      </c>
      <c r="AB3098" t="str">
        <f>(VLOOKUP(SalesData[[#This Row],[Month Number]],Reference!C$5:E$16,2,FALSE))</f>
        <v>Feb</v>
      </c>
      <c r="AC3098">
        <f>MONTH(SalesData[[#This Row],[Date]])</f>
        <v>2</v>
      </c>
      <c r="AD3098">
        <f>Reference!F$4</f>
        <v>2026</v>
      </c>
      <c r="AE3098" t="str">
        <f>IF(OR(SalesData[[#This Row],[Day]]="Saturday",SalesData[[#This Row],[Day]]="Sunday"),"Weekend","Weekday")</f>
        <v>Weekend</v>
      </c>
      <c r="AF3098" s="5">
        <f>IF(SalesData[[#This Row],[Contracts Offered]]=0,0,SalesData[[#This Row],[Contracts Signed]]/SalesData[[#This Row],[Contracts Offered]])</f>
        <v>0.32307692307692309</v>
      </c>
      <c r="AG3098" s="5">
        <f>IF(SalesData[[#This Row],[Customers Visited]]=0,0,SalesData[[#This Row],[Test Drives]]/SalesData[[#This Row],[Customers Visited]])</f>
        <v>0.47566371681415931</v>
      </c>
      <c r="AH3098" s="5">
        <f>IF(SalesData[[#This Row],[Customers Visited]]=0,0,SalesData[[#This Row],[Contracts Signed]]/SalesData[[#This Row],[Customers Visited]])</f>
        <v>9.2920353982300891E-2</v>
      </c>
      <c r="AI3098" s="6">
        <f>IF(SalesData[[#This Row],[Contracts Signed]]=0,0,SalesData[[#This Row],[Profit(€)]]/SalesData[[#This Row],[Contracts Signed]])</f>
        <v>3169</v>
      </c>
      <c r="AJ3098" s="5" t="str">
        <f>TRIM(CLEAN(SalesData[[#This Row],[Retailer]]))</f>
        <v>Autohaus Berlin</v>
      </c>
    </row>
    <row r="3099" spans="1:36" ht="14.25" hidden="1" x14ac:dyDescent="0.2">
      <c r="A3099" t="s">
        <v>4256</v>
      </c>
      <c r="B3099" s="1">
        <v>46075</v>
      </c>
      <c r="C3099" t="s">
        <v>53</v>
      </c>
      <c r="D3099" t="s">
        <v>41</v>
      </c>
      <c r="E3099" t="s">
        <v>42</v>
      </c>
      <c r="F3099" t="s">
        <v>83</v>
      </c>
      <c r="G3099" t="s">
        <v>84</v>
      </c>
      <c r="H3099" t="s">
        <v>85</v>
      </c>
      <c r="I3099" t="s">
        <v>56</v>
      </c>
      <c r="J3099" t="s">
        <v>179</v>
      </c>
      <c r="K3099" t="s">
        <v>66</v>
      </c>
      <c r="L3099" t="s">
        <v>67</v>
      </c>
      <c r="M3099" t="s">
        <v>68</v>
      </c>
      <c r="N3099" t="s">
        <v>48</v>
      </c>
      <c r="O3099" t="s">
        <v>36</v>
      </c>
      <c r="P3099" t="s">
        <v>37</v>
      </c>
      <c r="Q3099" t="s">
        <v>167</v>
      </c>
      <c r="R3099">
        <v>189</v>
      </c>
      <c r="S3099">
        <v>107</v>
      </c>
      <c r="T3099">
        <v>71</v>
      </c>
      <c r="U3099">
        <v>24</v>
      </c>
      <c r="V3099" t="s">
        <v>6621</v>
      </c>
      <c r="W3099">
        <v>53013</v>
      </c>
      <c r="X3099" t="s">
        <v>3065</v>
      </c>
      <c r="Y3099">
        <v>43210</v>
      </c>
      <c r="Z3099">
        <v>1272312</v>
      </c>
      <c r="AA3099">
        <v>235272</v>
      </c>
      <c r="AB3099" t="str">
        <f>(VLOOKUP(SalesData[[#This Row],[Month Number]],Reference!C$5:E$16,2,FALSE))</f>
        <v>Feb</v>
      </c>
      <c r="AC3099">
        <f>MONTH(SalesData[[#This Row],[Date]])</f>
        <v>2</v>
      </c>
      <c r="AD3099">
        <f>Reference!F$4</f>
        <v>2026</v>
      </c>
      <c r="AE3099" t="str">
        <f>IF(OR(SalesData[[#This Row],[Day]]="Saturday",SalesData[[#This Row],[Day]]="Sunday"),"Weekend","Weekday")</f>
        <v>Weekend</v>
      </c>
      <c r="AF3099" s="5">
        <f>IF(SalesData[[#This Row],[Contracts Offered]]=0,0,SalesData[[#This Row],[Contracts Signed]]/SalesData[[#This Row],[Contracts Offered]])</f>
        <v>0.3380281690140845</v>
      </c>
      <c r="AG3099" s="5">
        <f>IF(SalesData[[#This Row],[Customers Visited]]=0,0,SalesData[[#This Row],[Test Drives]]/SalesData[[#This Row],[Customers Visited]])</f>
        <v>0.56613756613756616</v>
      </c>
      <c r="AH3099" s="5">
        <f>IF(SalesData[[#This Row],[Customers Visited]]=0,0,SalesData[[#This Row],[Contracts Signed]]/SalesData[[#This Row],[Customers Visited]])</f>
        <v>0.12698412698412698</v>
      </c>
      <c r="AI3099" s="6">
        <f>IF(SalesData[[#This Row],[Contracts Signed]]=0,0,SalesData[[#This Row],[Profit(€)]]/SalesData[[#This Row],[Contracts Signed]])</f>
        <v>9803</v>
      </c>
      <c r="AJ3099" s="5" t="str">
        <f>TRIM(CLEAN(SalesData[[#This Row],[Retailer]]))</f>
        <v>Hannover Cars</v>
      </c>
    </row>
    <row r="3100" spans="1:36" ht="14.25" x14ac:dyDescent="0.2">
      <c r="A3100" t="s">
        <v>4257</v>
      </c>
      <c r="B3100" s="1">
        <v>46067</v>
      </c>
      <c r="C3100" t="s">
        <v>121</v>
      </c>
      <c r="D3100" t="s">
        <v>151</v>
      </c>
      <c r="E3100" t="s">
        <v>42</v>
      </c>
      <c r="F3100" t="s">
        <v>127</v>
      </c>
      <c r="G3100" t="s">
        <v>128</v>
      </c>
      <c r="H3100" t="s">
        <v>103</v>
      </c>
      <c r="I3100" t="s">
        <v>30</v>
      </c>
      <c r="J3100" t="s">
        <v>86</v>
      </c>
      <c r="K3100" t="s">
        <v>32</v>
      </c>
      <c r="L3100" t="s">
        <v>33</v>
      </c>
      <c r="M3100" t="s">
        <v>34</v>
      </c>
      <c r="N3100" t="s">
        <v>48</v>
      </c>
      <c r="O3100" t="s">
        <v>70</v>
      </c>
      <c r="P3100" t="s">
        <v>58</v>
      </c>
      <c r="Q3100" t="s">
        <v>144</v>
      </c>
      <c r="R3100">
        <v>169</v>
      </c>
      <c r="S3100">
        <v>100</v>
      </c>
      <c r="T3100">
        <v>81</v>
      </c>
      <c r="U3100">
        <v>32</v>
      </c>
      <c r="V3100" t="s">
        <v>7382</v>
      </c>
      <c r="W3100">
        <v>53501</v>
      </c>
      <c r="X3100" t="s">
        <v>7176</v>
      </c>
      <c r="Y3100">
        <v>39305</v>
      </c>
      <c r="Z3100">
        <v>1712032</v>
      </c>
      <c r="AA3100">
        <v>454272</v>
      </c>
      <c r="AB3100" t="str">
        <f>(VLOOKUP(SalesData[[#This Row],[Month Number]],Reference!C$5:E$16,2,FALSE))</f>
        <v>Feb</v>
      </c>
      <c r="AC3100">
        <f>MONTH(SalesData[[#This Row],[Date]])</f>
        <v>2</v>
      </c>
      <c r="AD3100">
        <f>Reference!F$4</f>
        <v>2026</v>
      </c>
      <c r="AE3100" t="str">
        <f>IF(OR(SalesData[[#This Row],[Day]]="Saturday",SalesData[[#This Row],[Day]]="Sunday"),"Weekend","Weekday")</f>
        <v>Weekend</v>
      </c>
      <c r="AF3100" s="5">
        <f>IF(SalesData[[#This Row],[Contracts Offered]]=0,0,SalesData[[#This Row],[Contracts Signed]]/SalesData[[#This Row],[Contracts Offered]])</f>
        <v>0.39506172839506171</v>
      </c>
      <c r="AG3100" s="5">
        <f>IF(SalesData[[#This Row],[Customers Visited]]=0,0,SalesData[[#This Row],[Test Drives]]/SalesData[[#This Row],[Customers Visited]])</f>
        <v>0.59171597633136097</v>
      </c>
      <c r="AH3100" s="5">
        <f>IF(SalesData[[#This Row],[Customers Visited]]=0,0,SalesData[[#This Row],[Contracts Signed]]/SalesData[[#This Row],[Customers Visited]])</f>
        <v>0.1893491124260355</v>
      </c>
      <c r="AI3100" s="6">
        <f>IF(SalesData[[#This Row],[Contracts Signed]]=0,0,SalesData[[#This Row],[Profit(€)]]/SalesData[[#This Row],[Contracts Signed]])</f>
        <v>14196</v>
      </c>
      <c r="AJ3100" s="5" t="str">
        <f>TRIM(CLEAN(SalesData[[#This Row],[Retailer]]))</f>
        <v>Rhein Auto Group</v>
      </c>
    </row>
    <row r="3101" spans="1:36" ht="14.25" hidden="1" x14ac:dyDescent="0.2">
      <c r="A3101" t="s">
        <v>4258</v>
      </c>
      <c r="B3101" s="1">
        <v>46066</v>
      </c>
      <c r="C3101" t="s">
        <v>121</v>
      </c>
      <c r="D3101" t="s">
        <v>54</v>
      </c>
      <c r="E3101" t="s">
        <v>26</v>
      </c>
      <c r="F3101" t="s">
        <v>127</v>
      </c>
      <c r="G3101" t="s">
        <v>128</v>
      </c>
      <c r="H3101" t="s">
        <v>103</v>
      </c>
      <c r="I3101" t="s">
        <v>104</v>
      </c>
      <c r="J3101" t="s">
        <v>7031</v>
      </c>
      <c r="K3101" t="s">
        <v>91</v>
      </c>
      <c r="L3101" t="s">
        <v>46</v>
      </c>
      <c r="M3101" t="s">
        <v>47</v>
      </c>
      <c r="N3101" t="s">
        <v>69</v>
      </c>
      <c r="O3101" t="s">
        <v>70</v>
      </c>
      <c r="P3101" t="s">
        <v>49</v>
      </c>
      <c r="Q3101" t="s">
        <v>144</v>
      </c>
      <c r="R3101">
        <v>264</v>
      </c>
      <c r="S3101">
        <v>142</v>
      </c>
      <c r="T3101">
        <v>96</v>
      </c>
      <c r="U3101">
        <v>21</v>
      </c>
      <c r="V3101" t="s">
        <v>731</v>
      </c>
      <c r="W3101">
        <v>29237</v>
      </c>
      <c r="X3101" t="s">
        <v>3082</v>
      </c>
      <c r="Y3101">
        <v>25899</v>
      </c>
      <c r="Z3101">
        <v>613977</v>
      </c>
      <c r="AA3101">
        <v>70098</v>
      </c>
      <c r="AB3101" t="str">
        <f>(VLOOKUP(SalesData[[#This Row],[Month Number]],Reference!C$5:E$16,2,FALSE))</f>
        <v>Feb</v>
      </c>
      <c r="AC3101">
        <f>MONTH(SalesData[[#This Row],[Date]])</f>
        <v>2</v>
      </c>
      <c r="AD3101">
        <f>Reference!F$4</f>
        <v>2026</v>
      </c>
      <c r="AE3101" t="str">
        <f>IF(OR(SalesData[[#This Row],[Day]]="Saturday",SalesData[[#This Row],[Day]]="Sunday"),"Weekend","Weekday")</f>
        <v>Weekday</v>
      </c>
      <c r="AF3101" s="5">
        <f>IF(SalesData[[#This Row],[Contracts Offered]]=0,0,SalesData[[#This Row],[Contracts Signed]]/SalesData[[#This Row],[Contracts Offered]])</f>
        <v>0.21875</v>
      </c>
      <c r="AG3101" s="5">
        <f>IF(SalesData[[#This Row],[Customers Visited]]=0,0,SalesData[[#This Row],[Test Drives]]/SalesData[[#This Row],[Customers Visited]])</f>
        <v>0.53787878787878785</v>
      </c>
      <c r="AH3101" s="5">
        <f>IF(SalesData[[#This Row],[Customers Visited]]=0,0,SalesData[[#This Row],[Contracts Signed]]/SalesData[[#This Row],[Customers Visited]])</f>
        <v>7.9545454545454544E-2</v>
      </c>
      <c r="AI3101" s="6">
        <f>IF(SalesData[[#This Row],[Contracts Signed]]=0,0,SalesData[[#This Row],[Profit(€)]]/SalesData[[#This Row],[Contracts Signed]])</f>
        <v>3338</v>
      </c>
      <c r="AJ3101" s="5" t="str">
        <f>TRIM(CLEAN(SalesData[[#This Row],[Retailer]]))</f>
        <v>Rhein Auto Group</v>
      </c>
    </row>
    <row r="3102" spans="1:36" ht="14.25" hidden="1" x14ac:dyDescent="0.2">
      <c r="A3102" t="s">
        <v>4259</v>
      </c>
      <c r="B3102" s="1">
        <v>46073</v>
      </c>
      <c r="C3102" t="s">
        <v>62</v>
      </c>
      <c r="D3102" t="s">
        <v>54</v>
      </c>
      <c r="E3102" t="s">
        <v>26</v>
      </c>
      <c r="F3102" t="s">
        <v>127</v>
      </c>
      <c r="G3102" t="s">
        <v>128</v>
      </c>
      <c r="H3102" t="s">
        <v>103</v>
      </c>
      <c r="I3102" t="s">
        <v>56</v>
      </c>
      <c r="J3102" t="s">
        <v>57</v>
      </c>
      <c r="K3102" t="s">
        <v>66</v>
      </c>
      <c r="L3102" t="s">
        <v>46</v>
      </c>
      <c r="M3102" t="s">
        <v>47</v>
      </c>
      <c r="N3102" t="s">
        <v>48</v>
      </c>
      <c r="O3102" t="s">
        <v>70</v>
      </c>
      <c r="P3102" t="s">
        <v>37</v>
      </c>
      <c r="Q3102" t="s">
        <v>79</v>
      </c>
      <c r="R3102">
        <v>239</v>
      </c>
      <c r="S3102">
        <v>146</v>
      </c>
      <c r="T3102">
        <v>102</v>
      </c>
      <c r="U3102">
        <v>28</v>
      </c>
      <c r="V3102" t="s">
        <v>1477</v>
      </c>
      <c r="W3102">
        <v>51851</v>
      </c>
      <c r="X3102" t="s">
        <v>504</v>
      </c>
      <c r="Y3102">
        <v>39245</v>
      </c>
      <c r="Z3102">
        <v>1451828</v>
      </c>
      <c r="AA3102">
        <v>352968</v>
      </c>
      <c r="AB3102" t="str">
        <f>(VLOOKUP(SalesData[[#This Row],[Month Number]],Reference!C$5:E$16,2,FALSE))</f>
        <v>Feb</v>
      </c>
      <c r="AC3102">
        <f>MONTH(SalesData[[#This Row],[Date]])</f>
        <v>2</v>
      </c>
      <c r="AD3102">
        <f>Reference!F$4</f>
        <v>2026</v>
      </c>
      <c r="AE3102" t="str">
        <f>IF(OR(SalesData[[#This Row],[Day]]="Saturday",SalesData[[#This Row],[Day]]="Sunday"),"Weekend","Weekday")</f>
        <v>Weekday</v>
      </c>
      <c r="AF3102" s="5">
        <f>IF(SalesData[[#This Row],[Contracts Offered]]=0,0,SalesData[[#This Row],[Contracts Signed]]/SalesData[[#This Row],[Contracts Offered]])</f>
        <v>0.27450980392156865</v>
      </c>
      <c r="AG3102" s="5">
        <f>IF(SalesData[[#This Row],[Customers Visited]]=0,0,SalesData[[#This Row],[Test Drives]]/SalesData[[#This Row],[Customers Visited]])</f>
        <v>0.61087866108786615</v>
      </c>
      <c r="AH3102" s="5">
        <f>IF(SalesData[[#This Row],[Customers Visited]]=0,0,SalesData[[#This Row],[Contracts Signed]]/SalesData[[#This Row],[Customers Visited]])</f>
        <v>0.11715481171548117</v>
      </c>
      <c r="AI3102" s="6">
        <f>IF(SalesData[[#This Row],[Contracts Signed]]=0,0,SalesData[[#This Row],[Profit(€)]]/SalesData[[#This Row],[Contracts Signed]])</f>
        <v>12606</v>
      </c>
      <c r="AJ3102" s="5" t="str">
        <f>TRIM(CLEAN(SalesData[[#This Row],[Retailer]]))</f>
        <v>Rhein Auto Group</v>
      </c>
    </row>
    <row r="3103" spans="1:36" ht="14.25" hidden="1" x14ac:dyDescent="0.2">
      <c r="A3103" t="s">
        <v>4260</v>
      </c>
      <c r="B3103" s="1">
        <v>46080</v>
      </c>
      <c r="C3103" t="s">
        <v>53</v>
      </c>
      <c r="D3103" t="s">
        <v>54</v>
      </c>
      <c r="E3103" t="s">
        <v>26</v>
      </c>
      <c r="F3103" t="s">
        <v>127</v>
      </c>
      <c r="G3103" t="s">
        <v>128</v>
      </c>
      <c r="H3103" t="s">
        <v>103</v>
      </c>
      <c r="I3103" t="s">
        <v>56</v>
      </c>
      <c r="J3103" t="s">
        <v>97</v>
      </c>
      <c r="K3103" t="s">
        <v>78</v>
      </c>
      <c r="L3103" t="s">
        <v>33</v>
      </c>
      <c r="M3103" t="s">
        <v>34</v>
      </c>
      <c r="N3103" t="s">
        <v>48</v>
      </c>
      <c r="O3103" t="s">
        <v>36</v>
      </c>
      <c r="P3103" t="s">
        <v>49</v>
      </c>
      <c r="Q3103" t="s">
        <v>189</v>
      </c>
      <c r="R3103">
        <v>217</v>
      </c>
      <c r="S3103">
        <v>115</v>
      </c>
      <c r="T3103">
        <v>81</v>
      </c>
      <c r="U3103">
        <v>28</v>
      </c>
      <c r="V3103" t="s">
        <v>6576</v>
      </c>
      <c r="W3103">
        <v>41500</v>
      </c>
      <c r="X3103" t="s">
        <v>1098</v>
      </c>
      <c r="Y3103">
        <v>33535</v>
      </c>
      <c r="Z3103">
        <v>1162000</v>
      </c>
      <c r="AA3103">
        <v>223020</v>
      </c>
      <c r="AB3103" t="str">
        <f>(VLOOKUP(SalesData[[#This Row],[Month Number]],Reference!C$5:E$16,2,FALSE))</f>
        <v>Feb</v>
      </c>
      <c r="AC3103">
        <f>MONTH(SalesData[[#This Row],[Date]])</f>
        <v>2</v>
      </c>
      <c r="AD3103">
        <f>Reference!F$4</f>
        <v>2026</v>
      </c>
      <c r="AE3103" t="str">
        <f>IF(OR(SalesData[[#This Row],[Day]]="Saturday",SalesData[[#This Row],[Day]]="Sunday"),"Weekend","Weekday")</f>
        <v>Weekday</v>
      </c>
      <c r="AF3103" s="5">
        <f>IF(SalesData[[#This Row],[Contracts Offered]]=0,0,SalesData[[#This Row],[Contracts Signed]]/SalesData[[#This Row],[Contracts Offered]])</f>
        <v>0.34567901234567899</v>
      </c>
      <c r="AG3103" s="5">
        <f>IF(SalesData[[#This Row],[Customers Visited]]=0,0,SalesData[[#This Row],[Test Drives]]/SalesData[[#This Row],[Customers Visited]])</f>
        <v>0.52995391705069128</v>
      </c>
      <c r="AH3103" s="5">
        <f>IF(SalesData[[#This Row],[Customers Visited]]=0,0,SalesData[[#This Row],[Contracts Signed]]/SalesData[[#This Row],[Customers Visited]])</f>
        <v>0.12903225806451613</v>
      </c>
      <c r="AI3103" s="6">
        <f>IF(SalesData[[#This Row],[Contracts Signed]]=0,0,SalesData[[#This Row],[Profit(€)]]/SalesData[[#This Row],[Contracts Signed]])</f>
        <v>7965</v>
      </c>
      <c r="AJ3103" s="5" t="str">
        <f>TRIM(CLEAN(SalesData[[#This Row],[Retailer]]))</f>
        <v>Rhein Auto Group</v>
      </c>
    </row>
    <row r="3104" spans="1:36" ht="14.25" hidden="1" x14ac:dyDescent="0.2">
      <c r="A3104" t="s">
        <v>4261</v>
      </c>
      <c r="B3104" s="1">
        <v>46068</v>
      </c>
      <c r="C3104" t="s">
        <v>62</v>
      </c>
      <c r="D3104" t="s">
        <v>41</v>
      </c>
      <c r="E3104" t="s">
        <v>42</v>
      </c>
      <c r="F3104" t="s">
        <v>7649</v>
      </c>
      <c r="G3104" t="s">
        <v>55</v>
      </c>
      <c r="H3104" t="s">
        <v>55</v>
      </c>
      <c r="I3104" t="s">
        <v>56</v>
      </c>
      <c r="J3104" t="s">
        <v>57</v>
      </c>
      <c r="K3104" t="s">
        <v>32</v>
      </c>
      <c r="L3104" t="s">
        <v>46</v>
      </c>
      <c r="M3104" t="s">
        <v>34</v>
      </c>
      <c r="N3104" t="s">
        <v>69</v>
      </c>
      <c r="O3104" t="s">
        <v>36</v>
      </c>
      <c r="P3104" t="s">
        <v>49</v>
      </c>
      <c r="Q3104" t="s">
        <v>79</v>
      </c>
      <c r="R3104">
        <v>214</v>
      </c>
      <c r="S3104">
        <v>127</v>
      </c>
      <c r="T3104">
        <v>90</v>
      </c>
      <c r="U3104">
        <v>28</v>
      </c>
      <c r="V3104" t="s">
        <v>6538</v>
      </c>
      <c r="W3104">
        <v>47543</v>
      </c>
      <c r="X3104" t="s">
        <v>1953</v>
      </c>
      <c r="Y3104">
        <v>36063</v>
      </c>
      <c r="Z3104">
        <v>1331204</v>
      </c>
      <c r="AA3104">
        <v>321440</v>
      </c>
      <c r="AB3104" t="str">
        <f>(VLOOKUP(SalesData[[#This Row],[Month Number]],Reference!C$5:E$16,2,FALSE))</f>
        <v>Feb</v>
      </c>
      <c r="AC3104">
        <f>MONTH(SalesData[[#This Row],[Date]])</f>
        <v>2</v>
      </c>
      <c r="AD3104">
        <f>Reference!F$4</f>
        <v>2026</v>
      </c>
      <c r="AE3104" t="str">
        <f>IF(OR(SalesData[[#This Row],[Day]]="Saturday",SalesData[[#This Row],[Day]]="Sunday"),"Weekend","Weekday")</f>
        <v>Weekend</v>
      </c>
      <c r="AF3104" s="5">
        <f>IF(SalesData[[#This Row],[Contracts Offered]]=0,0,SalesData[[#This Row],[Contracts Signed]]/SalesData[[#This Row],[Contracts Offered]])</f>
        <v>0.31111111111111112</v>
      </c>
      <c r="AG3104" s="5">
        <f>IF(SalesData[[#This Row],[Customers Visited]]=0,0,SalesData[[#This Row],[Test Drives]]/SalesData[[#This Row],[Customers Visited]])</f>
        <v>0.59345794392523366</v>
      </c>
      <c r="AH3104" s="5">
        <f>IF(SalesData[[#This Row],[Customers Visited]]=0,0,SalesData[[#This Row],[Contracts Signed]]/SalesData[[#This Row],[Customers Visited]])</f>
        <v>0.13084112149532709</v>
      </c>
      <c r="AI3104" s="6">
        <f>IF(SalesData[[#This Row],[Contracts Signed]]=0,0,SalesData[[#This Row],[Profit(€)]]/SalesData[[#This Row],[Contracts Signed]])</f>
        <v>11480</v>
      </c>
      <c r="AJ3104" s="5" t="str">
        <f>TRIM(CLEAN(SalesData[[#This Row],[Retailer]]))</f>
        <v>Autohaus Berlin</v>
      </c>
    </row>
    <row r="3105" spans="1:36" ht="14.25" hidden="1" x14ac:dyDescent="0.2">
      <c r="A3105" t="s">
        <v>4262</v>
      </c>
      <c r="B3105" s="1">
        <v>46063</v>
      </c>
      <c r="C3105" t="s">
        <v>121</v>
      </c>
      <c r="D3105" t="s">
        <v>63</v>
      </c>
      <c r="E3105" t="s">
        <v>26</v>
      </c>
      <c r="F3105" t="s">
        <v>94</v>
      </c>
      <c r="G3105" t="s">
        <v>95</v>
      </c>
      <c r="H3105" t="s">
        <v>96</v>
      </c>
      <c r="I3105" t="s">
        <v>56</v>
      </c>
      <c r="J3105" t="s">
        <v>57</v>
      </c>
      <c r="K3105" t="s">
        <v>78</v>
      </c>
      <c r="L3105" t="s">
        <v>46</v>
      </c>
      <c r="M3105" t="s">
        <v>87</v>
      </c>
      <c r="N3105" t="s">
        <v>69</v>
      </c>
      <c r="O3105" t="s">
        <v>36</v>
      </c>
      <c r="P3105" t="s">
        <v>37</v>
      </c>
      <c r="Q3105" t="s">
        <v>152</v>
      </c>
      <c r="R3105">
        <v>250</v>
      </c>
      <c r="S3105">
        <v>125</v>
      </c>
      <c r="T3105">
        <v>95</v>
      </c>
      <c r="U3105">
        <v>33</v>
      </c>
      <c r="V3105" t="s">
        <v>6480</v>
      </c>
      <c r="W3105">
        <v>54060</v>
      </c>
      <c r="X3105" t="s">
        <v>7450</v>
      </c>
      <c r="Y3105">
        <v>41325</v>
      </c>
      <c r="Z3105">
        <v>1783980</v>
      </c>
      <c r="AA3105">
        <v>420255</v>
      </c>
      <c r="AB3105" t="str">
        <f>(VLOOKUP(SalesData[[#This Row],[Month Number]],Reference!C$5:E$16,2,FALSE))</f>
        <v>Feb</v>
      </c>
      <c r="AC3105">
        <f>MONTH(SalesData[[#This Row],[Date]])</f>
        <v>2</v>
      </c>
      <c r="AD3105">
        <f>Reference!F$4</f>
        <v>2026</v>
      </c>
      <c r="AE3105" t="str">
        <f>IF(OR(SalesData[[#This Row],[Day]]="Saturday",SalesData[[#This Row],[Day]]="Sunday"),"Weekend","Weekday")</f>
        <v>Weekday</v>
      </c>
      <c r="AF3105" s="5">
        <f>IF(SalesData[[#This Row],[Contracts Offered]]=0,0,SalesData[[#This Row],[Contracts Signed]]/SalesData[[#This Row],[Contracts Offered]])</f>
        <v>0.3473684210526316</v>
      </c>
      <c r="AG3105" s="5">
        <f>IF(SalesData[[#This Row],[Customers Visited]]=0,0,SalesData[[#This Row],[Test Drives]]/SalesData[[#This Row],[Customers Visited]])</f>
        <v>0.5</v>
      </c>
      <c r="AH3105" s="5">
        <f>IF(SalesData[[#This Row],[Customers Visited]]=0,0,SalesData[[#This Row],[Contracts Signed]]/SalesData[[#This Row],[Customers Visited]])</f>
        <v>0.13200000000000001</v>
      </c>
      <c r="AI3105" s="6">
        <f>IF(SalesData[[#This Row],[Contracts Signed]]=0,0,SalesData[[#This Row],[Profit(€)]]/SalesData[[#This Row],[Contracts Signed]])</f>
        <v>12735</v>
      </c>
      <c r="AJ3105" s="5" t="str">
        <f>TRIM(CLEAN(SalesData[[#This Row],[Retailer]]))</f>
        <v>Bavaria Motors</v>
      </c>
    </row>
    <row r="3106" spans="1:36" ht="14.25" hidden="1" x14ac:dyDescent="0.2">
      <c r="A3106" t="s">
        <v>4264</v>
      </c>
      <c r="B3106" s="1">
        <v>46078</v>
      </c>
      <c r="C3106" t="s">
        <v>53</v>
      </c>
      <c r="D3106" t="s">
        <v>82</v>
      </c>
      <c r="E3106" t="s">
        <v>26</v>
      </c>
      <c r="F3106" t="s">
        <v>43</v>
      </c>
      <c r="G3106" t="s">
        <v>44</v>
      </c>
      <c r="H3106" t="s">
        <v>45</v>
      </c>
      <c r="I3106" t="s">
        <v>56</v>
      </c>
      <c r="J3106" t="s">
        <v>179</v>
      </c>
      <c r="K3106" t="s">
        <v>32</v>
      </c>
      <c r="L3106" t="s">
        <v>67</v>
      </c>
      <c r="M3106" t="s">
        <v>68</v>
      </c>
      <c r="N3106" t="s">
        <v>69</v>
      </c>
      <c r="O3106" t="s">
        <v>36</v>
      </c>
      <c r="P3106" t="s">
        <v>37</v>
      </c>
      <c r="Q3106" t="s">
        <v>50</v>
      </c>
      <c r="R3106">
        <v>313</v>
      </c>
      <c r="S3106">
        <v>198</v>
      </c>
      <c r="T3106">
        <v>148</v>
      </c>
      <c r="U3106">
        <v>47</v>
      </c>
      <c r="V3106" t="s">
        <v>6667</v>
      </c>
      <c r="W3106">
        <v>51207</v>
      </c>
      <c r="X3106" t="s">
        <v>2887</v>
      </c>
      <c r="Y3106">
        <v>41912</v>
      </c>
      <c r="Z3106">
        <v>2406729</v>
      </c>
      <c r="AA3106">
        <v>436865</v>
      </c>
      <c r="AB3106" t="str">
        <f>(VLOOKUP(SalesData[[#This Row],[Month Number]],Reference!C$5:E$16,2,FALSE))</f>
        <v>Feb</v>
      </c>
      <c r="AC3106">
        <f>MONTH(SalesData[[#This Row],[Date]])</f>
        <v>2</v>
      </c>
      <c r="AD3106">
        <f>Reference!F$4</f>
        <v>2026</v>
      </c>
      <c r="AE3106" t="str">
        <f>IF(OR(SalesData[[#This Row],[Day]]="Saturday",SalesData[[#This Row],[Day]]="Sunday"),"Weekend","Weekday")</f>
        <v>Weekday</v>
      </c>
      <c r="AF3106" s="5">
        <f>IF(SalesData[[#This Row],[Contracts Offered]]=0,0,SalesData[[#This Row],[Contracts Signed]]/SalesData[[#This Row],[Contracts Offered]])</f>
        <v>0.31756756756756754</v>
      </c>
      <c r="AG3106" s="5">
        <f>IF(SalesData[[#This Row],[Customers Visited]]=0,0,SalesData[[#This Row],[Test Drives]]/SalesData[[#This Row],[Customers Visited]])</f>
        <v>0.63258785942492013</v>
      </c>
      <c r="AH3106" s="5">
        <f>IF(SalesData[[#This Row],[Customers Visited]]=0,0,SalesData[[#This Row],[Contracts Signed]]/SalesData[[#This Row],[Customers Visited]])</f>
        <v>0.15015974440894569</v>
      </c>
      <c r="AI3106" s="6">
        <f>IF(SalesData[[#This Row],[Contracts Signed]]=0,0,SalesData[[#This Row],[Profit(€)]]/SalesData[[#This Row],[Contracts Signed]])</f>
        <v>9295</v>
      </c>
      <c r="AJ3106" s="5" t="str">
        <f>TRIM(CLEAN(SalesData[[#This Row],[Retailer]]))</f>
        <v>Saxon Wheels</v>
      </c>
    </row>
    <row r="3107" spans="1:36" ht="14.25" hidden="1" x14ac:dyDescent="0.2">
      <c r="A3107" t="s">
        <v>4266</v>
      </c>
      <c r="B3107" s="1">
        <v>46080</v>
      </c>
      <c r="C3107" t="s">
        <v>53</v>
      </c>
      <c r="D3107" t="s">
        <v>54</v>
      </c>
      <c r="E3107" t="s">
        <v>26</v>
      </c>
      <c r="F3107" t="s">
        <v>7649</v>
      </c>
      <c r="G3107" t="s">
        <v>55</v>
      </c>
      <c r="H3107" t="s">
        <v>55</v>
      </c>
      <c r="I3107" t="s">
        <v>56</v>
      </c>
      <c r="J3107" t="s">
        <v>179</v>
      </c>
      <c r="K3107" t="s">
        <v>32</v>
      </c>
      <c r="L3107" t="s">
        <v>67</v>
      </c>
      <c r="M3107" t="s">
        <v>34</v>
      </c>
      <c r="N3107" t="s">
        <v>69</v>
      </c>
      <c r="O3107" t="s">
        <v>70</v>
      </c>
      <c r="P3107" t="s">
        <v>37</v>
      </c>
      <c r="Q3107" t="s">
        <v>135</v>
      </c>
      <c r="R3107">
        <v>207</v>
      </c>
      <c r="S3107">
        <v>102</v>
      </c>
      <c r="T3107">
        <v>73</v>
      </c>
      <c r="U3107">
        <v>25</v>
      </c>
      <c r="V3107" t="s">
        <v>6516</v>
      </c>
      <c r="W3107">
        <v>52792</v>
      </c>
      <c r="X3107" t="s">
        <v>7133</v>
      </c>
      <c r="Y3107">
        <v>42259</v>
      </c>
      <c r="Z3107">
        <v>1319800</v>
      </c>
      <c r="AA3107">
        <v>263325</v>
      </c>
      <c r="AB3107" t="str">
        <f>(VLOOKUP(SalesData[[#This Row],[Month Number]],Reference!C$5:E$16,2,FALSE))</f>
        <v>Feb</v>
      </c>
      <c r="AC3107">
        <f>MONTH(SalesData[[#This Row],[Date]])</f>
        <v>2</v>
      </c>
      <c r="AD3107">
        <f>Reference!F$4</f>
        <v>2026</v>
      </c>
      <c r="AE3107" t="str">
        <f>IF(OR(SalesData[[#This Row],[Day]]="Saturday",SalesData[[#This Row],[Day]]="Sunday"),"Weekend","Weekday")</f>
        <v>Weekday</v>
      </c>
      <c r="AF3107" s="5">
        <f>IF(SalesData[[#This Row],[Contracts Offered]]=0,0,SalesData[[#This Row],[Contracts Signed]]/SalesData[[#This Row],[Contracts Offered]])</f>
        <v>0.34246575342465752</v>
      </c>
      <c r="AG3107" s="5">
        <f>IF(SalesData[[#This Row],[Customers Visited]]=0,0,SalesData[[#This Row],[Test Drives]]/SalesData[[#This Row],[Customers Visited]])</f>
        <v>0.49275362318840582</v>
      </c>
      <c r="AH3107" s="5">
        <f>IF(SalesData[[#This Row],[Customers Visited]]=0,0,SalesData[[#This Row],[Contracts Signed]]/SalesData[[#This Row],[Customers Visited]])</f>
        <v>0.12077294685990338</v>
      </c>
      <c r="AI3107" s="6">
        <f>IF(SalesData[[#This Row],[Contracts Signed]]=0,0,SalesData[[#This Row],[Profit(€)]]/SalesData[[#This Row],[Contracts Signed]])</f>
        <v>10533</v>
      </c>
      <c r="AJ3107" s="5" t="str">
        <f>TRIM(CLEAN(SalesData[[#This Row],[Retailer]]))</f>
        <v>Autohaus Berlin</v>
      </c>
    </row>
    <row r="3108" spans="1:36" ht="14.25" hidden="1" x14ac:dyDescent="0.2">
      <c r="A3108" t="s">
        <v>4267</v>
      </c>
      <c r="B3108" s="1">
        <v>46081</v>
      </c>
      <c r="C3108" t="s">
        <v>53</v>
      </c>
      <c r="D3108" t="s">
        <v>151</v>
      </c>
      <c r="E3108" t="s">
        <v>42</v>
      </c>
      <c r="F3108" t="s">
        <v>109</v>
      </c>
      <c r="G3108" t="s">
        <v>110</v>
      </c>
      <c r="H3108" t="s">
        <v>45</v>
      </c>
      <c r="I3108" t="s">
        <v>56</v>
      </c>
      <c r="J3108" t="s">
        <v>57</v>
      </c>
      <c r="K3108" t="s">
        <v>78</v>
      </c>
      <c r="L3108" t="s">
        <v>46</v>
      </c>
      <c r="M3108" t="s">
        <v>34</v>
      </c>
      <c r="N3108" t="s">
        <v>35</v>
      </c>
      <c r="O3108" t="s">
        <v>70</v>
      </c>
      <c r="P3108" t="s">
        <v>37</v>
      </c>
      <c r="Q3108" t="s">
        <v>167</v>
      </c>
      <c r="R3108">
        <v>186</v>
      </c>
      <c r="S3108">
        <v>89</v>
      </c>
      <c r="T3108">
        <v>65</v>
      </c>
      <c r="U3108">
        <v>15</v>
      </c>
      <c r="V3108" t="s">
        <v>299</v>
      </c>
      <c r="W3108">
        <v>41410</v>
      </c>
      <c r="X3108" t="s">
        <v>4223</v>
      </c>
      <c r="Y3108">
        <v>31450</v>
      </c>
      <c r="Z3108">
        <v>621150</v>
      </c>
      <c r="AA3108">
        <v>149400</v>
      </c>
      <c r="AB3108" t="str">
        <f>(VLOOKUP(SalesData[[#This Row],[Month Number]],Reference!C$5:E$16,2,FALSE))</f>
        <v>Feb</v>
      </c>
      <c r="AC3108">
        <f>MONTH(SalesData[[#This Row],[Date]])</f>
        <v>2</v>
      </c>
      <c r="AD3108">
        <f>Reference!F$4</f>
        <v>2026</v>
      </c>
      <c r="AE3108" t="str">
        <f>IF(OR(SalesData[[#This Row],[Day]]="Saturday",SalesData[[#This Row],[Day]]="Sunday"),"Weekend","Weekday")</f>
        <v>Weekend</v>
      </c>
      <c r="AF3108" s="5">
        <f>IF(SalesData[[#This Row],[Contracts Offered]]=0,0,SalesData[[#This Row],[Contracts Signed]]/SalesData[[#This Row],[Contracts Offered]])</f>
        <v>0.23076923076923078</v>
      </c>
      <c r="AG3108" s="5">
        <f>IF(SalesData[[#This Row],[Customers Visited]]=0,0,SalesData[[#This Row],[Test Drives]]/SalesData[[#This Row],[Customers Visited]])</f>
        <v>0.478494623655914</v>
      </c>
      <c r="AH3108" s="5">
        <f>IF(SalesData[[#This Row],[Customers Visited]]=0,0,SalesData[[#This Row],[Contracts Signed]]/SalesData[[#This Row],[Customers Visited]])</f>
        <v>8.0645161290322578E-2</v>
      </c>
      <c r="AI3108" s="6">
        <f>IF(SalesData[[#This Row],[Contracts Signed]]=0,0,SalesData[[#This Row],[Profit(€)]]/SalesData[[#This Row],[Contracts Signed]])</f>
        <v>9960</v>
      </c>
      <c r="AJ3108" s="5" t="str">
        <f>TRIM(CLEAN(SalesData[[#This Row],[Retailer]]))</f>
        <v>Leipzig Mobility</v>
      </c>
    </row>
    <row r="3109" spans="1:36" ht="14.25" hidden="1" x14ac:dyDescent="0.2">
      <c r="A3109" t="s">
        <v>4268</v>
      </c>
      <c r="B3109" s="1">
        <v>46063</v>
      </c>
      <c r="C3109" t="s">
        <v>121</v>
      </c>
      <c r="D3109" t="s">
        <v>63</v>
      </c>
      <c r="E3109" t="s">
        <v>26</v>
      </c>
      <c r="F3109" t="s">
        <v>83</v>
      </c>
      <c r="G3109" t="s">
        <v>84</v>
      </c>
      <c r="H3109" t="s">
        <v>85</v>
      </c>
      <c r="I3109" t="s">
        <v>64</v>
      </c>
      <c r="J3109" t="s">
        <v>77</v>
      </c>
      <c r="K3109" t="s">
        <v>91</v>
      </c>
      <c r="L3109" t="s">
        <v>46</v>
      </c>
      <c r="M3109" t="s">
        <v>87</v>
      </c>
      <c r="N3109" t="s">
        <v>69</v>
      </c>
      <c r="O3109" t="s">
        <v>70</v>
      </c>
      <c r="P3109" t="s">
        <v>49</v>
      </c>
      <c r="Q3109" t="s">
        <v>118</v>
      </c>
      <c r="R3109">
        <v>285</v>
      </c>
      <c r="S3109">
        <v>160</v>
      </c>
      <c r="T3109">
        <v>124</v>
      </c>
      <c r="U3109">
        <v>37</v>
      </c>
      <c r="V3109" t="s">
        <v>6662</v>
      </c>
      <c r="W3109">
        <v>59484</v>
      </c>
      <c r="X3109" t="s">
        <v>7137</v>
      </c>
      <c r="Y3109">
        <v>43449</v>
      </c>
      <c r="Z3109">
        <v>2200908</v>
      </c>
      <c r="AA3109">
        <v>593295</v>
      </c>
      <c r="AB3109" t="str">
        <f>(VLOOKUP(SalesData[[#This Row],[Month Number]],Reference!C$5:E$16,2,FALSE))</f>
        <v>Feb</v>
      </c>
      <c r="AC3109">
        <f>MONTH(SalesData[[#This Row],[Date]])</f>
        <v>2</v>
      </c>
      <c r="AD3109">
        <f>Reference!F$4</f>
        <v>2026</v>
      </c>
      <c r="AE3109" t="str">
        <f>IF(OR(SalesData[[#This Row],[Day]]="Saturday",SalesData[[#This Row],[Day]]="Sunday"),"Weekend","Weekday")</f>
        <v>Weekday</v>
      </c>
      <c r="AF3109" s="5">
        <f>IF(SalesData[[#This Row],[Contracts Offered]]=0,0,SalesData[[#This Row],[Contracts Signed]]/SalesData[[#This Row],[Contracts Offered]])</f>
        <v>0.29838709677419356</v>
      </c>
      <c r="AG3109" s="5">
        <f>IF(SalesData[[#This Row],[Customers Visited]]=0,0,SalesData[[#This Row],[Test Drives]]/SalesData[[#This Row],[Customers Visited]])</f>
        <v>0.56140350877192979</v>
      </c>
      <c r="AH3109" s="5">
        <f>IF(SalesData[[#This Row],[Customers Visited]]=0,0,SalesData[[#This Row],[Contracts Signed]]/SalesData[[#This Row],[Customers Visited]])</f>
        <v>0.12982456140350876</v>
      </c>
      <c r="AI3109" s="6">
        <f>IF(SalesData[[#This Row],[Contracts Signed]]=0,0,SalesData[[#This Row],[Profit(€)]]/SalesData[[#This Row],[Contracts Signed]])</f>
        <v>16035</v>
      </c>
      <c r="AJ3109" s="5" t="str">
        <f>TRIM(CLEAN(SalesData[[#This Row],[Retailer]]))</f>
        <v>Hannover Cars</v>
      </c>
    </row>
    <row r="3110" spans="1:36" ht="14.25" hidden="1" x14ac:dyDescent="0.2">
      <c r="A3110" t="s">
        <v>4269</v>
      </c>
      <c r="B3110" s="1">
        <v>46068</v>
      </c>
      <c r="C3110" t="s">
        <v>62</v>
      </c>
      <c r="D3110" t="s">
        <v>41</v>
      </c>
      <c r="E3110" t="s">
        <v>42</v>
      </c>
      <c r="F3110" t="s">
        <v>83</v>
      </c>
      <c r="G3110" t="s">
        <v>84</v>
      </c>
      <c r="H3110" t="s">
        <v>85</v>
      </c>
      <c r="I3110" t="s">
        <v>116</v>
      </c>
      <c r="J3110" t="s">
        <v>132</v>
      </c>
      <c r="K3110" t="s">
        <v>78</v>
      </c>
      <c r="L3110" t="s">
        <v>46</v>
      </c>
      <c r="M3110" t="s">
        <v>68</v>
      </c>
      <c r="N3110" t="s">
        <v>35</v>
      </c>
      <c r="O3110" t="s">
        <v>70</v>
      </c>
      <c r="P3110" t="s">
        <v>58</v>
      </c>
      <c r="Q3110" t="s">
        <v>172</v>
      </c>
      <c r="R3110">
        <v>354</v>
      </c>
      <c r="S3110">
        <v>170</v>
      </c>
      <c r="T3110">
        <v>105</v>
      </c>
      <c r="U3110">
        <v>28</v>
      </c>
      <c r="V3110" t="s">
        <v>4238</v>
      </c>
      <c r="W3110">
        <v>23672</v>
      </c>
      <c r="X3110" t="s">
        <v>567</v>
      </c>
      <c r="Y3110">
        <v>21529</v>
      </c>
      <c r="Z3110">
        <v>662816</v>
      </c>
      <c r="AA3110">
        <v>60004</v>
      </c>
      <c r="AB3110" t="str">
        <f>(VLOOKUP(SalesData[[#This Row],[Month Number]],Reference!C$5:E$16,2,FALSE))</f>
        <v>Feb</v>
      </c>
      <c r="AC3110">
        <f>MONTH(SalesData[[#This Row],[Date]])</f>
        <v>2</v>
      </c>
      <c r="AD3110">
        <f>Reference!F$4</f>
        <v>2026</v>
      </c>
      <c r="AE3110" t="str">
        <f>IF(OR(SalesData[[#This Row],[Day]]="Saturday",SalesData[[#This Row],[Day]]="Sunday"),"Weekend","Weekday")</f>
        <v>Weekend</v>
      </c>
      <c r="AF3110" s="5">
        <f>IF(SalesData[[#This Row],[Contracts Offered]]=0,0,SalesData[[#This Row],[Contracts Signed]]/SalesData[[#This Row],[Contracts Offered]])</f>
        <v>0.26666666666666666</v>
      </c>
      <c r="AG3110" s="5">
        <f>IF(SalesData[[#This Row],[Customers Visited]]=0,0,SalesData[[#This Row],[Test Drives]]/SalesData[[#This Row],[Customers Visited]])</f>
        <v>0.48022598870056499</v>
      </c>
      <c r="AH3110" s="5">
        <f>IF(SalesData[[#This Row],[Customers Visited]]=0,0,SalesData[[#This Row],[Contracts Signed]]/SalesData[[#This Row],[Customers Visited]])</f>
        <v>7.909604519774012E-2</v>
      </c>
      <c r="AI3110" s="6">
        <f>IF(SalesData[[#This Row],[Contracts Signed]]=0,0,SalesData[[#This Row],[Profit(€)]]/SalesData[[#This Row],[Contracts Signed]])</f>
        <v>2143</v>
      </c>
      <c r="AJ3110" s="5" t="str">
        <f>TRIM(CLEAN(SalesData[[#This Row],[Retailer]]))</f>
        <v>Hannover Cars</v>
      </c>
    </row>
    <row r="3111" spans="1:36" ht="14.25" hidden="1" x14ac:dyDescent="0.2">
      <c r="A3111" t="s">
        <v>4270</v>
      </c>
      <c r="B3111" s="1">
        <v>46060</v>
      </c>
      <c r="C3111" t="s">
        <v>24</v>
      </c>
      <c r="D3111" t="s">
        <v>151</v>
      </c>
      <c r="E3111" t="s">
        <v>42</v>
      </c>
      <c r="F3111" t="s">
        <v>109</v>
      </c>
      <c r="G3111" t="s">
        <v>110</v>
      </c>
      <c r="H3111" t="s">
        <v>45</v>
      </c>
      <c r="I3111" t="s">
        <v>116</v>
      </c>
      <c r="J3111" t="s">
        <v>203</v>
      </c>
      <c r="K3111" t="s">
        <v>91</v>
      </c>
      <c r="L3111" t="s">
        <v>67</v>
      </c>
      <c r="M3111" t="s">
        <v>87</v>
      </c>
      <c r="N3111" t="s">
        <v>48</v>
      </c>
      <c r="O3111" t="s">
        <v>70</v>
      </c>
      <c r="P3111" t="s">
        <v>49</v>
      </c>
      <c r="Q3111" t="s">
        <v>158</v>
      </c>
      <c r="R3111">
        <v>391</v>
      </c>
      <c r="S3111">
        <v>206</v>
      </c>
      <c r="T3111">
        <v>126</v>
      </c>
      <c r="U3111">
        <v>21</v>
      </c>
      <c r="V3111" t="s">
        <v>604</v>
      </c>
      <c r="W3111">
        <v>24589</v>
      </c>
      <c r="X3111" t="s">
        <v>5273</v>
      </c>
      <c r="Y3111">
        <v>22430</v>
      </c>
      <c r="Z3111">
        <v>516369</v>
      </c>
      <c r="AA3111">
        <v>45339</v>
      </c>
      <c r="AB3111" t="str">
        <f>(VLOOKUP(SalesData[[#This Row],[Month Number]],Reference!C$5:E$16,2,FALSE))</f>
        <v>Feb</v>
      </c>
      <c r="AC3111">
        <f>MONTH(SalesData[[#This Row],[Date]])</f>
        <v>2</v>
      </c>
      <c r="AD3111">
        <f>Reference!F$4</f>
        <v>2026</v>
      </c>
      <c r="AE3111" t="str">
        <f>IF(OR(SalesData[[#This Row],[Day]]="Saturday",SalesData[[#This Row],[Day]]="Sunday"),"Weekend","Weekday")</f>
        <v>Weekend</v>
      </c>
      <c r="AF3111" s="5">
        <f>IF(SalesData[[#This Row],[Contracts Offered]]=0,0,SalesData[[#This Row],[Contracts Signed]]/SalesData[[#This Row],[Contracts Offered]])</f>
        <v>0.16666666666666666</v>
      </c>
      <c r="AG3111" s="5">
        <f>IF(SalesData[[#This Row],[Customers Visited]]=0,0,SalesData[[#This Row],[Test Drives]]/SalesData[[#This Row],[Customers Visited]])</f>
        <v>0.52685421994884907</v>
      </c>
      <c r="AH3111" s="5">
        <f>IF(SalesData[[#This Row],[Customers Visited]]=0,0,SalesData[[#This Row],[Contracts Signed]]/SalesData[[#This Row],[Customers Visited]])</f>
        <v>5.3708439897698211E-2</v>
      </c>
      <c r="AI3111" s="6">
        <f>IF(SalesData[[#This Row],[Contracts Signed]]=0,0,SalesData[[#This Row],[Profit(€)]]/SalesData[[#This Row],[Contracts Signed]])</f>
        <v>2159</v>
      </c>
      <c r="AJ3111" s="5" t="str">
        <f>TRIM(CLEAN(SalesData[[#This Row],[Retailer]]))</f>
        <v>Leipzig Mobility</v>
      </c>
    </row>
    <row r="3112" spans="1:36" ht="14.25" x14ac:dyDescent="0.2">
      <c r="A3112" t="s">
        <v>4271</v>
      </c>
      <c r="B3112" s="1">
        <v>46063</v>
      </c>
      <c r="C3112" t="s">
        <v>121</v>
      </c>
      <c r="D3112" t="s">
        <v>63</v>
      </c>
      <c r="E3112" t="s">
        <v>26</v>
      </c>
      <c r="F3112" t="s">
        <v>109</v>
      </c>
      <c r="G3112" t="s">
        <v>110</v>
      </c>
      <c r="H3112" t="s">
        <v>45</v>
      </c>
      <c r="I3112" t="s">
        <v>30</v>
      </c>
      <c r="J3112" t="s">
        <v>166</v>
      </c>
      <c r="K3112" t="s">
        <v>91</v>
      </c>
      <c r="L3112" t="s">
        <v>46</v>
      </c>
      <c r="M3112" t="s">
        <v>68</v>
      </c>
      <c r="N3112" t="s">
        <v>35</v>
      </c>
      <c r="O3112" t="s">
        <v>70</v>
      </c>
      <c r="P3112" t="s">
        <v>58</v>
      </c>
      <c r="Q3112" t="s">
        <v>144</v>
      </c>
      <c r="R3112">
        <v>242</v>
      </c>
      <c r="S3112">
        <v>111</v>
      </c>
      <c r="T3112">
        <v>80</v>
      </c>
      <c r="U3112">
        <v>30</v>
      </c>
      <c r="V3112" t="s">
        <v>6509</v>
      </c>
      <c r="W3112">
        <v>58966</v>
      </c>
      <c r="X3112" t="s">
        <v>7116</v>
      </c>
      <c r="Y3112">
        <v>42158</v>
      </c>
      <c r="Z3112">
        <v>1768980</v>
      </c>
      <c r="AA3112">
        <v>504240</v>
      </c>
      <c r="AB3112" t="str">
        <f>(VLOOKUP(SalesData[[#This Row],[Month Number]],Reference!C$5:E$16,2,FALSE))</f>
        <v>Feb</v>
      </c>
      <c r="AC3112">
        <f>MONTH(SalesData[[#This Row],[Date]])</f>
        <v>2</v>
      </c>
      <c r="AD3112">
        <f>Reference!F$4</f>
        <v>2026</v>
      </c>
      <c r="AE3112" t="str">
        <f>IF(OR(SalesData[[#This Row],[Day]]="Saturday",SalesData[[#This Row],[Day]]="Sunday"),"Weekend","Weekday")</f>
        <v>Weekday</v>
      </c>
      <c r="AF3112" s="5">
        <f>IF(SalesData[[#This Row],[Contracts Offered]]=0,0,SalesData[[#This Row],[Contracts Signed]]/SalesData[[#This Row],[Contracts Offered]])</f>
        <v>0.375</v>
      </c>
      <c r="AG3112" s="5">
        <f>IF(SalesData[[#This Row],[Customers Visited]]=0,0,SalesData[[#This Row],[Test Drives]]/SalesData[[#This Row],[Customers Visited]])</f>
        <v>0.45867768595041325</v>
      </c>
      <c r="AH3112" s="5">
        <f>IF(SalesData[[#This Row],[Customers Visited]]=0,0,SalesData[[#This Row],[Contracts Signed]]/SalesData[[#This Row],[Customers Visited]])</f>
        <v>0.12396694214876033</v>
      </c>
      <c r="AI3112" s="6">
        <f>IF(SalesData[[#This Row],[Contracts Signed]]=0,0,SalesData[[#This Row],[Profit(€)]]/SalesData[[#This Row],[Contracts Signed]])</f>
        <v>16808</v>
      </c>
      <c r="AJ3112" s="5" t="str">
        <f>TRIM(CLEAN(SalesData[[#This Row],[Retailer]]))</f>
        <v>Leipzig Mobility</v>
      </c>
    </row>
    <row r="3113" spans="1:36" ht="14.25" hidden="1" x14ac:dyDescent="0.2">
      <c r="A3113" t="s">
        <v>4272</v>
      </c>
      <c r="B3113" s="1">
        <v>46054</v>
      </c>
      <c r="C3113" t="s">
        <v>24</v>
      </c>
      <c r="D3113" t="s">
        <v>41</v>
      </c>
      <c r="E3113" t="s">
        <v>42</v>
      </c>
      <c r="F3113" t="s">
        <v>7649</v>
      </c>
      <c r="G3113" t="s">
        <v>55</v>
      </c>
      <c r="H3113" t="s">
        <v>55</v>
      </c>
      <c r="I3113" t="s">
        <v>104</v>
      </c>
      <c r="J3113" t="s">
        <v>7061</v>
      </c>
      <c r="K3113" t="s">
        <v>32</v>
      </c>
      <c r="L3113" t="s">
        <v>46</v>
      </c>
      <c r="M3113" t="s">
        <v>34</v>
      </c>
      <c r="N3113" t="s">
        <v>48</v>
      </c>
      <c r="O3113" t="s">
        <v>36</v>
      </c>
      <c r="P3113" t="s">
        <v>37</v>
      </c>
      <c r="Q3113" t="s">
        <v>79</v>
      </c>
      <c r="R3113">
        <v>481</v>
      </c>
      <c r="S3113">
        <v>201</v>
      </c>
      <c r="T3113">
        <v>136</v>
      </c>
      <c r="U3113">
        <v>30</v>
      </c>
      <c r="V3113" t="s">
        <v>327</v>
      </c>
      <c r="W3113">
        <v>32969</v>
      </c>
      <c r="X3113" t="s">
        <v>133</v>
      </c>
      <c r="Y3113">
        <v>29619</v>
      </c>
      <c r="Z3113">
        <v>989070</v>
      </c>
      <c r="AA3113">
        <v>100500</v>
      </c>
      <c r="AB3113" t="str">
        <f>(VLOOKUP(SalesData[[#This Row],[Month Number]],Reference!C$5:E$16,2,FALSE))</f>
        <v>Feb</v>
      </c>
      <c r="AC3113">
        <f>MONTH(SalesData[[#This Row],[Date]])</f>
        <v>2</v>
      </c>
      <c r="AD3113">
        <f>Reference!F$4</f>
        <v>2026</v>
      </c>
      <c r="AE3113" t="str">
        <f>IF(OR(SalesData[[#This Row],[Day]]="Saturday",SalesData[[#This Row],[Day]]="Sunday"),"Weekend","Weekday")</f>
        <v>Weekend</v>
      </c>
      <c r="AF3113" s="5">
        <f>IF(SalesData[[#This Row],[Contracts Offered]]=0,0,SalesData[[#This Row],[Contracts Signed]]/SalesData[[#This Row],[Contracts Offered]])</f>
        <v>0.22058823529411764</v>
      </c>
      <c r="AG3113" s="5">
        <f>IF(SalesData[[#This Row],[Customers Visited]]=0,0,SalesData[[#This Row],[Test Drives]]/SalesData[[#This Row],[Customers Visited]])</f>
        <v>0.4178794178794179</v>
      </c>
      <c r="AH3113" s="5">
        <f>IF(SalesData[[#This Row],[Customers Visited]]=0,0,SalesData[[#This Row],[Contracts Signed]]/SalesData[[#This Row],[Customers Visited]])</f>
        <v>6.2370062370062374E-2</v>
      </c>
      <c r="AI3113" s="6">
        <f>IF(SalesData[[#This Row],[Contracts Signed]]=0,0,SalesData[[#This Row],[Profit(€)]]/SalesData[[#This Row],[Contracts Signed]])</f>
        <v>3350</v>
      </c>
      <c r="AJ3113" s="5" t="str">
        <f>TRIM(CLEAN(SalesData[[#This Row],[Retailer]]))</f>
        <v>Autohaus Berlin</v>
      </c>
    </row>
    <row r="3114" spans="1:36" ht="14.25" hidden="1" x14ac:dyDescent="0.2">
      <c r="A3114" t="s">
        <v>4273</v>
      </c>
      <c r="B3114" s="1">
        <v>46079</v>
      </c>
      <c r="C3114" t="s">
        <v>53</v>
      </c>
      <c r="D3114" t="s">
        <v>100</v>
      </c>
      <c r="E3114" t="s">
        <v>26</v>
      </c>
      <c r="F3114" t="s">
        <v>114</v>
      </c>
      <c r="G3114" t="s">
        <v>115</v>
      </c>
      <c r="H3114" t="s">
        <v>115</v>
      </c>
      <c r="I3114" t="s">
        <v>64</v>
      </c>
      <c r="J3114" t="s">
        <v>7029</v>
      </c>
      <c r="K3114" t="s">
        <v>78</v>
      </c>
      <c r="L3114" t="s">
        <v>33</v>
      </c>
      <c r="M3114" t="s">
        <v>68</v>
      </c>
      <c r="N3114" t="s">
        <v>48</v>
      </c>
      <c r="O3114" t="s">
        <v>70</v>
      </c>
      <c r="P3114" t="s">
        <v>58</v>
      </c>
      <c r="Q3114" t="s">
        <v>122</v>
      </c>
      <c r="R3114">
        <v>229</v>
      </c>
      <c r="S3114">
        <v>126</v>
      </c>
      <c r="T3114">
        <v>93</v>
      </c>
      <c r="U3114">
        <v>38</v>
      </c>
      <c r="V3114" t="s">
        <v>7559</v>
      </c>
      <c r="W3114">
        <v>67938</v>
      </c>
      <c r="X3114" t="s">
        <v>7434</v>
      </c>
      <c r="Y3114">
        <v>51644</v>
      </c>
      <c r="Z3114">
        <v>2581644</v>
      </c>
      <c r="AA3114">
        <v>619172</v>
      </c>
      <c r="AB3114" t="str">
        <f>(VLOOKUP(SalesData[[#This Row],[Month Number]],Reference!C$5:E$16,2,FALSE))</f>
        <v>Feb</v>
      </c>
      <c r="AC3114">
        <f>MONTH(SalesData[[#This Row],[Date]])</f>
        <v>2</v>
      </c>
      <c r="AD3114">
        <f>Reference!F$4</f>
        <v>2026</v>
      </c>
      <c r="AE3114" t="str">
        <f>IF(OR(SalesData[[#This Row],[Day]]="Saturday",SalesData[[#This Row],[Day]]="Sunday"),"Weekend","Weekday")</f>
        <v>Weekday</v>
      </c>
      <c r="AF3114" s="5">
        <f>IF(SalesData[[#This Row],[Contracts Offered]]=0,0,SalesData[[#This Row],[Contracts Signed]]/SalesData[[#This Row],[Contracts Offered]])</f>
        <v>0.40860215053763443</v>
      </c>
      <c r="AG3114" s="5">
        <f>IF(SalesData[[#This Row],[Customers Visited]]=0,0,SalesData[[#This Row],[Test Drives]]/SalesData[[#This Row],[Customers Visited]])</f>
        <v>0.55021834061135366</v>
      </c>
      <c r="AH3114" s="5">
        <f>IF(SalesData[[#This Row],[Customers Visited]]=0,0,SalesData[[#This Row],[Contracts Signed]]/SalesData[[#This Row],[Customers Visited]])</f>
        <v>0.16593886462882096</v>
      </c>
      <c r="AI3114" s="6">
        <f>IF(SalesData[[#This Row],[Contracts Signed]]=0,0,SalesData[[#This Row],[Profit(€)]]/SalesData[[#This Row],[Contracts Signed]])</f>
        <v>16294</v>
      </c>
      <c r="AJ3114" s="5" t="str">
        <f>TRIM(CLEAN(SalesData[[#This Row],[Retailer]]))</f>
        <v>Elbe Drive</v>
      </c>
    </row>
    <row r="3115" spans="1:36" ht="14.25" hidden="1" x14ac:dyDescent="0.2">
      <c r="A3115" t="s">
        <v>4274</v>
      </c>
      <c r="B3115" s="1">
        <v>46081</v>
      </c>
      <c r="C3115" t="s">
        <v>53</v>
      </c>
      <c r="D3115" t="s">
        <v>151</v>
      </c>
      <c r="E3115" t="s">
        <v>42</v>
      </c>
      <c r="F3115" t="s">
        <v>7649</v>
      </c>
      <c r="G3115" t="s">
        <v>55</v>
      </c>
      <c r="H3115" t="s">
        <v>55</v>
      </c>
      <c r="I3115" t="s">
        <v>116</v>
      </c>
      <c r="J3115" t="s">
        <v>7026</v>
      </c>
      <c r="K3115" t="s">
        <v>78</v>
      </c>
      <c r="L3115" t="s">
        <v>46</v>
      </c>
      <c r="M3115" t="s">
        <v>68</v>
      </c>
      <c r="N3115" t="s">
        <v>48</v>
      </c>
      <c r="O3115" t="s">
        <v>36</v>
      </c>
      <c r="P3115" t="s">
        <v>49</v>
      </c>
      <c r="Q3115" t="s">
        <v>204</v>
      </c>
      <c r="R3115">
        <v>367</v>
      </c>
      <c r="S3115">
        <v>146</v>
      </c>
      <c r="T3115">
        <v>82</v>
      </c>
      <c r="U3115">
        <v>22</v>
      </c>
      <c r="V3115" t="s">
        <v>1004</v>
      </c>
      <c r="W3115">
        <v>22668</v>
      </c>
      <c r="X3115" t="s">
        <v>1011</v>
      </c>
      <c r="Y3115">
        <v>20602</v>
      </c>
      <c r="Z3115">
        <v>498696</v>
      </c>
      <c r="AA3115">
        <v>45452</v>
      </c>
      <c r="AB3115" t="str">
        <f>(VLOOKUP(SalesData[[#This Row],[Month Number]],Reference!C$5:E$16,2,FALSE))</f>
        <v>Feb</v>
      </c>
      <c r="AC3115">
        <f>MONTH(SalesData[[#This Row],[Date]])</f>
        <v>2</v>
      </c>
      <c r="AD3115">
        <f>Reference!F$4</f>
        <v>2026</v>
      </c>
      <c r="AE3115" t="str">
        <f>IF(OR(SalesData[[#This Row],[Day]]="Saturday",SalesData[[#This Row],[Day]]="Sunday"),"Weekend","Weekday")</f>
        <v>Weekend</v>
      </c>
      <c r="AF3115" s="5">
        <f>IF(SalesData[[#This Row],[Contracts Offered]]=0,0,SalesData[[#This Row],[Contracts Signed]]/SalesData[[#This Row],[Contracts Offered]])</f>
        <v>0.26829268292682928</v>
      </c>
      <c r="AG3115" s="5">
        <f>IF(SalesData[[#This Row],[Customers Visited]]=0,0,SalesData[[#This Row],[Test Drives]]/SalesData[[#This Row],[Customers Visited]])</f>
        <v>0.39782016348773841</v>
      </c>
      <c r="AH3115" s="5">
        <f>IF(SalesData[[#This Row],[Customers Visited]]=0,0,SalesData[[#This Row],[Contracts Signed]]/SalesData[[#This Row],[Customers Visited]])</f>
        <v>5.9945504087193457E-2</v>
      </c>
      <c r="AI3115" s="6">
        <f>IF(SalesData[[#This Row],[Contracts Signed]]=0,0,SalesData[[#This Row],[Profit(€)]]/SalesData[[#This Row],[Contracts Signed]])</f>
        <v>2066</v>
      </c>
      <c r="AJ3115" s="5" t="str">
        <f>TRIM(CLEAN(SalesData[[#This Row],[Retailer]]))</f>
        <v>Autohaus Berlin</v>
      </c>
    </row>
    <row r="3116" spans="1:36" ht="14.25" hidden="1" x14ac:dyDescent="0.2">
      <c r="A3116" t="s">
        <v>4275</v>
      </c>
      <c r="B3116" s="1">
        <v>46065</v>
      </c>
      <c r="C3116" t="s">
        <v>121</v>
      </c>
      <c r="D3116" t="s">
        <v>100</v>
      </c>
      <c r="E3116" t="s">
        <v>26</v>
      </c>
      <c r="F3116" t="s">
        <v>27</v>
      </c>
      <c r="G3116" t="s">
        <v>28</v>
      </c>
      <c r="H3116" t="s">
        <v>29</v>
      </c>
      <c r="I3116" t="s">
        <v>56</v>
      </c>
      <c r="J3116" t="s">
        <v>137</v>
      </c>
      <c r="K3116" t="s">
        <v>32</v>
      </c>
      <c r="L3116" t="s">
        <v>46</v>
      </c>
      <c r="M3116" t="s">
        <v>34</v>
      </c>
      <c r="N3116" t="s">
        <v>48</v>
      </c>
      <c r="O3116" t="s">
        <v>70</v>
      </c>
      <c r="P3116" t="s">
        <v>71</v>
      </c>
      <c r="Q3116" t="s">
        <v>79</v>
      </c>
      <c r="R3116">
        <v>199</v>
      </c>
      <c r="S3116">
        <v>105</v>
      </c>
      <c r="T3116">
        <v>80</v>
      </c>
      <c r="U3116">
        <v>24</v>
      </c>
      <c r="V3116" t="s">
        <v>6537</v>
      </c>
      <c r="W3116">
        <v>51431</v>
      </c>
      <c r="X3116" t="s">
        <v>7353</v>
      </c>
      <c r="Y3116">
        <v>40885</v>
      </c>
      <c r="Z3116">
        <v>1234344</v>
      </c>
      <c r="AA3116">
        <v>253104</v>
      </c>
      <c r="AB3116" t="str">
        <f>(VLOOKUP(SalesData[[#This Row],[Month Number]],Reference!C$5:E$16,2,FALSE))</f>
        <v>Feb</v>
      </c>
      <c r="AC3116">
        <f>MONTH(SalesData[[#This Row],[Date]])</f>
        <v>2</v>
      </c>
      <c r="AD3116">
        <f>Reference!F$4</f>
        <v>2026</v>
      </c>
      <c r="AE3116" t="str">
        <f>IF(OR(SalesData[[#This Row],[Day]]="Saturday",SalesData[[#This Row],[Day]]="Sunday"),"Weekend","Weekday")</f>
        <v>Weekday</v>
      </c>
      <c r="AF3116" s="5">
        <f>IF(SalesData[[#This Row],[Contracts Offered]]=0,0,SalesData[[#This Row],[Contracts Signed]]/SalesData[[#This Row],[Contracts Offered]])</f>
        <v>0.3</v>
      </c>
      <c r="AG3116" s="5">
        <f>IF(SalesData[[#This Row],[Customers Visited]]=0,0,SalesData[[#This Row],[Test Drives]]/SalesData[[#This Row],[Customers Visited]])</f>
        <v>0.52763819095477382</v>
      </c>
      <c r="AH3116" s="5">
        <f>IF(SalesData[[#This Row],[Customers Visited]]=0,0,SalesData[[#This Row],[Contracts Signed]]/SalesData[[#This Row],[Customers Visited]])</f>
        <v>0.12060301507537688</v>
      </c>
      <c r="AI3116" s="6">
        <f>IF(SalesData[[#This Row],[Contracts Signed]]=0,0,SalesData[[#This Row],[Profit(€)]]/SalesData[[#This Row],[Contracts Signed]])</f>
        <v>10546</v>
      </c>
      <c r="AJ3116" s="5" t="str">
        <f>TRIM(CLEAN(SalesData[[#This Row],[Retailer]]))</f>
        <v>Main Auto Hub</v>
      </c>
    </row>
    <row r="3117" spans="1:36" ht="14.25" x14ac:dyDescent="0.2">
      <c r="A3117" t="s">
        <v>4277</v>
      </c>
      <c r="B3117" s="1">
        <v>46078</v>
      </c>
      <c r="C3117" t="s">
        <v>53</v>
      </c>
      <c r="D3117" t="s">
        <v>82</v>
      </c>
      <c r="E3117" t="s">
        <v>26</v>
      </c>
      <c r="F3117" t="s">
        <v>27</v>
      </c>
      <c r="G3117" t="s">
        <v>28</v>
      </c>
      <c r="H3117" t="s">
        <v>29</v>
      </c>
      <c r="I3117" t="s">
        <v>30</v>
      </c>
      <c r="J3117" t="s">
        <v>31</v>
      </c>
      <c r="K3117" t="s">
        <v>78</v>
      </c>
      <c r="L3117" t="s">
        <v>46</v>
      </c>
      <c r="M3117" t="s">
        <v>47</v>
      </c>
      <c r="N3117" t="s">
        <v>69</v>
      </c>
      <c r="O3117" t="s">
        <v>36</v>
      </c>
      <c r="P3117" t="s">
        <v>37</v>
      </c>
      <c r="Q3117" t="s">
        <v>59</v>
      </c>
      <c r="R3117">
        <v>217</v>
      </c>
      <c r="S3117">
        <v>130</v>
      </c>
      <c r="T3117">
        <v>93</v>
      </c>
      <c r="U3117">
        <v>35</v>
      </c>
      <c r="V3117" t="s">
        <v>6476</v>
      </c>
      <c r="W3117">
        <v>55176</v>
      </c>
      <c r="X3117" t="s">
        <v>7258</v>
      </c>
      <c r="Y3117">
        <v>42804</v>
      </c>
      <c r="Z3117">
        <v>1931160</v>
      </c>
      <c r="AA3117">
        <v>433020</v>
      </c>
      <c r="AB3117" t="str">
        <f>(VLOOKUP(SalesData[[#This Row],[Month Number]],Reference!C$5:E$16,2,FALSE))</f>
        <v>Feb</v>
      </c>
      <c r="AC3117">
        <f>MONTH(SalesData[[#This Row],[Date]])</f>
        <v>2</v>
      </c>
      <c r="AD3117">
        <f>Reference!F$4</f>
        <v>2026</v>
      </c>
      <c r="AE3117" t="str">
        <f>IF(OR(SalesData[[#This Row],[Day]]="Saturday",SalesData[[#This Row],[Day]]="Sunday"),"Weekend","Weekday")</f>
        <v>Weekday</v>
      </c>
      <c r="AF3117" s="5">
        <f>IF(SalesData[[#This Row],[Contracts Offered]]=0,0,SalesData[[#This Row],[Contracts Signed]]/SalesData[[#This Row],[Contracts Offered]])</f>
        <v>0.37634408602150538</v>
      </c>
      <c r="AG3117" s="5">
        <f>IF(SalesData[[#This Row],[Customers Visited]]=0,0,SalesData[[#This Row],[Test Drives]]/SalesData[[#This Row],[Customers Visited]])</f>
        <v>0.59907834101382484</v>
      </c>
      <c r="AH3117" s="5">
        <f>IF(SalesData[[#This Row],[Customers Visited]]=0,0,SalesData[[#This Row],[Contracts Signed]]/SalesData[[#This Row],[Customers Visited]])</f>
        <v>0.16129032258064516</v>
      </c>
      <c r="AI3117" s="6">
        <f>IF(SalesData[[#This Row],[Contracts Signed]]=0,0,SalesData[[#This Row],[Profit(€)]]/SalesData[[#This Row],[Contracts Signed]])</f>
        <v>12372</v>
      </c>
      <c r="AJ3117" s="5" t="str">
        <f>TRIM(CLEAN(SalesData[[#This Row],[Retailer]]))</f>
        <v>Main Auto Hub</v>
      </c>
    </row>
    <row r="3118" spans="1:36" ht="14.25" hidden="1" x14ac:dyDescent="0.2">
      <c r="A3118" t="s">
        <v>4278</v>
      </c>
      <c r="B3118" s="1">
        <v>46058</v>
      </c>
      <c r="C3118" t="s">
        <v>24</v>
      </c>
      <c r="D3118" t="s">
        <v>100</v>
      </c>
      <c r="E3118" t="s">
        <v>26</v>
      </c>
      <c r="F3118" t="s">
        <v>7649</v>
      </c>
      <c r="G3118" t="s">
        <v>55</v>
      </c>
      <c r="H3118" t="s">
        <v>55</v>
      </c>
      <c r="I3118" t="s">
        <v>56</v>
      </c>
      <c r="J3118" t="s">
        <v>57</v>
      </c>
      <c r="K3118" t="s">
        <v>32</v>
      </c>
      <c r="L3118" t="s">
        <v>46</v>
      </c>
      <c r="M3118" t="s">
        <v>87</v>
      </c>
      <c r="N3118" t="s">
        <v>69</v>
      </c>
      <c r="O3118" t="s">
        <v>70</v>
      </c>
      <c r="P3118" t="s">
        <v>49</v>
      </c>
      <c r="Q3118" t="s">
        <v>50</v>
      </c>
      <c r="R3118">
        <v>227</v>
      </c>
      <c r="S3118">
        <v>132</v>
      </c>
      <c r="T3118">
        <v>94</v>
      </c>
      <c r="U3118">
        <v>30</v>
      </c>
      <c r="V3118" t="s">
        <v>6591</v>
      </c>
      <c r="W3118">
        <v>53045</v>
      </c>
      <c r="X3118" t="s">
        <v>7107</v>
      </c>
      <c r="Y3118">
        <v>42780</v>
      </c>
      <c r="Z3118">
        <v>1591350</v>
      </c>
      <c r="AA3118">
        <v>307950</v>
      </c>
      <c r="AB3118" t="str">
        <f>(VLOOKUP(SalesData[[#This Row],[Month Number]],Reference!C$5:E$16,2,FALSE))</f>
        <v>Feb</v>
      </c>
      <c r="AC3118">
        <f>MONTH(SalesData[[#This Row],[Date]])</f>
        <v>2</v>
      </c>
      <c r="AD3118">
        <f>Reference!F$4</f>
        <v>2026</v>
      </c>
      <c r="AE3118" t="str">
        <f>IF(OR(SalesData[[#This Row],[Day]]="Saturday",SalesData[[#This Row],[Day]]="Sunday"),"Weekend","Weekday")</f>
        <v>Weekday</v>
      </c>
      <c r="AF3118" s="5">
        <f>IF(SalesData[[#This Row],[Contracts Offered]]=0,0,SalesData[[#This Row],[Contracts Signed]]/SalesData[[#This Row],[Contracts Offered]])</f>
        <v>0.31914893617021278</v>
      </c>
      <c r="AG3118" s="5">
        <f>IF(SalesData[[#This Row],[Customers Visited]]=0,0,SalesData[[#This Row],[Test Drives]]/SalesData[[#This Row],[Customers Visited]])</f>
        <v>0.58149779735682816</v>
      </c>
      <c r="AH3118" s="5">
        <f>IF(SalesData[[#This Row],[Customers Visited]]=0,0,SalesData[[#This Row],[Contracts Signed]]/SalesData[[#This Row],[Customers Visited]])</f>
        <v>0.13215859030837004</v>
      </c>
      <c r="AI3118" s="6">
        <f>IF(SalesData[[#This Row],[Contracts Signed]]=0,0,SalesData[[#This Row],[Profit(€)]]/SalesData[[#This Row],[Contracts Signed]])</f>
        <v>10265</v>
      </c>
      <c r="AJ3118" s="5" t="str">
        <f>TRIM(CLEAN(SalesData[[#This Row],[Retailer]]))</f>
        <v>Autohaus Berlin</v>
      </c>
    </row>
    <row r="3119" spans="1:36" ht="14.25" hidden="1" x14ac:dyDescent="0.2">
      <c r="A3119" t="s">
        <v>4279</v>
      </c>
      <c r="B3119" s="1">
        <v>46057</v>
      </c>
      <c r="C3119" t="s">
        <v>24</v>
      </c>
      <c r="D3119" t="s">
        <v>82</v>
      </c>
      <c r="E3119" t="s">
        <v>26</v>
      </c>
      <c r="F3119" t="s">
        <v>127</v>
      </c>
      <c r="G3119" t="s">
        <v>128</v>
      </c>
      <c r="H3119" t="s">
        <v>103</v>
      </c>
      <c r="I3119" t="s">
        <v>116</v>
      </c>
      <c r="J3119" t="s">
        <v>7026</v>
      </c>
      <c r="K3119" t="s">
        <v>78</v>
      </c>
      <c r="L3119" t="s">
        <v>46</v>
      </c>
      <c r="M3119" t="s">
        <v>47</v>
      </c>
      <c r="N3119" t="s">
        <v>69</v>
      </c>
      <c r="O3119" t="s">
        <v>36</v>
      </c>
      <c r="P3119" t="s">
        <v>71</v>
      </c>
      <c r="Q3119" t="s">
        <v>144</v>
      </c>
      <c r="R3119">
        <v>383</v>
      </c>
      <c r="S3119">
        <v>193</v>
      </c>
      <c r="T3119">
        <v>128</v>
      </c>
      <c r="U3119">
        <v>32</v>
      </c>
      <c r="V3119" t="s">
        <v>882</v>
      </c>
      <c r="W3119">
        <v>21392</v>
      </c>
      <c r="X3119" t="s">
        <v>1921</v>
      </c>
      <c r="Y3119">
        <v>19441</v>
      </c>
      <c r="Z3119">
        <v>684544</v>
      </c>
      <c r="AA3119">
        <v>62432</v>
      </c>
      <c r="AB3119" t="str">
        <f>(VLOOKUP(SalesData[[#This Row],[Month Number]],Reference!C$5:E$16,2,FALSE))</f>
        <v>Feb</v>
      </c>
      <c r="AC3119">
        <f>MONTH(SalesData[[#This Row],[Date]])</f>
        <v>2</v>
      </c>
      <c r="AD3119">
        <f>Reference!F$4</f>
        <v>2026</v>
      </c>
      <c r="AE3119" t="str">
        <f>IF(OR(SalesData[[#This Row],[Day]]="Saturday",SalesData[[#This Row],[Day]]="Sunday"),"Weekend","Weekday")</f>
        <v>Weekday</v>
      </c>
      <c r="AF3119" s="5">
        <f>IF(SalesData[[#This Row],[Contracts Offered]]=0,0,SalesData[[#This Row],[Contracts Signed]]/SalesData[[#This Row],[Contracts Offered]])</f>
        <v>0.25</v>
      </c>
      <c r="AG3119" s="5">
        <f>IF(SalesData[[#This Row],[Customers Visited]]=0,0,SalesData[[#This Row],[Test Drives]]/SalesData[[#This Row],[Customers Visited]])</f>
        <v>0.50391644908616184</v>
      </c>
      <c r="AH3119" s="5">
        <f>IF(SalesData[[#This Row],[Customers Visited]]=0,0,SalesData[[#This Row],[Contracts Signed]]/SalesData[[#This Row],[Customers Visited]])</f>
        <v>8.3550913838120106E-2</v>
      </c>
      <c r="AI3119" s="6">
        <f>IF(SalesData[[#This Row],[Contracts Signed]]=0,0,SalesData[[#This Row],[Profit(€)]]/SalesData[[#This Row],[Contracts Signed]])</f>
        <v>1951</v>
      </c>
      <c r="AJ3119" s="5" t="str">
        <f>TRIM(CLEAN(SalesData[[#This Row],[Retailer]]))</f>
        <v>Rhein Auto Group</v>
      </c>
    </row>
    <row r="3120" spans="1:36" ht="14.25" hidden="1" x14ac:dyDescent="0.2">
      <c r="A3120" t="s">
        <v>4280</v>
      </c>
      <c r="B3120" s="1">
        <v>46065</v>
      </c>
      <c r="C3120" t="s">
        <v>121</v>
      </c>
      <c r="D3120" t="s">
        <v>100</v>
      </c>
      <c r="E3120" t="s">
        <v>26</v>
      </c>
      <c r="F3120" t="s">
        <v>43</v>
      </c>
      <c r="G3120" t="s">
        <v>44</v>
      </c>
      <c r="H3120" t="s">
        <v>45</v>
      </c>
      <c r="I3120" t="s">
        <v>116</v>
      </c>
      <c r="J3120" t="s">
        <v>132</v>
      </c>
      <c r="K3120" t="s">
        <v>91</v>
      </c>
      <c r="L3120" t="s">
        <v>46</v>
      </c>
      <c r="M3120" t="s">
        <v>47</v>
      </c>
      <c r="N3120" t="s">
        <v>69</v>
      </c>
      <c r="O3120" t="s">
        <v>70</v>
      </c>
      <c r="P3120" t="s">
        <v>37</v>
      </c>
      <c r="Q3120" t="s">
        <v>152</v>
      </c>
      <c r="R3120">
        <v>253</v>
      </c>
      <c r="S3120">
        <v>141</v>
      </c>
      <c r="T3120">
        <v>85</v>
      </c>
      <c r="U3120">
        <v>21</v>
      </c>
      <c r="V3120" t="s">
        <v>630</v>
      </c>
      <c r="W3120">
        <v>24176</v>
      </c>
      <c r="X3120" t="s">
        <v>1921</v>
      </c>
      <c r="Y3120">
        <v>21643</v>
      </c>
      <c r="Z3120">
        <v>507696</v>
      </c>
      <c r="AA3120">
        <v>53193</v>
      </c>
      <c r="AB3120" t="str">
        <f>(VLOOKUP(SalesData[[#This Row],[Month Number]],Reference!C$5:E$16,2,FALSE))</f>
        <v>Feb</v>
      </c>
      <c r="AC3120">
        <f>MONTH(SalesData[[#This Row],[Date]])</f>
        <v>2</v>
      </c>
      <c r="AD3120">
        <f>Reference!F$4</f>
        <v>2026</v>
      </c>
      <c r="AE3120" t="str">
        <f>IF(OR(SalesData[[#This Row],[Day]]="Saturday",SalesData[[#This Row],[Day]]="Sunday"),"Weekend","Weekday")</f>
        <v>Weekday</v>
      </c>
      <c r="AF3120" s="5">
        <f>IF(SalesData[[#This Row],[Contracts Offered]]=0,0,SalesData[[#This Row],[Contracts Signed]]/SalesData[[#This Row],[Contracts Offered]])</f>
        <v>0.24705882352941178</v>
      </c>
      <c r="AG3120" s="5">
        <f>IF(SalesData[[#This Row],[Customers Visited]]=0,0,SalesData[[#This Row],[Test Drives]]/SalesData[[#This Row],[Customers Visited]])</f>
        <v>0.55731225296442688</v>
      </c>
      <c r="AH3120" s="5">
        <f>IF(SalesData[[#This Row],[Customers Visited]]=0,0,SalesData[[#This Row],[Contracts Signed]]/SalesData[[#This Row],[Customers Visited]])</f>
        <v>8.3003952569169967E-2</v>
      </c>
      <c r="AI3120" s="6">
        <f>IF(SalesData[[#This Row],[Contracts Signed]]=0,0,SalesData[[#This Row],[Profit(€)]]/SalesData[[#This Row],[Contracts Signed]])</f>
        <v>2533</v>
      </c>
      <c r="AJ3120" s="5" t="str">
        <f>TRIM(CLEAN(SalesData[[#This Row],[Retailer]]))</f>
        <v>Saxon Wheels</v>
      </c>
    </row>
    <row r="3121" spans="1:36" ht="14.25" x14ac:dyDescent="0.2">
      <c r="A3121" t="s">
        <v>4281</v>
      </c>
      <c r="B3121" s="1">
        <v>46080</v>
      </c>
      <c r="C3121" t="s">
        <v>53</v>
      </c>
      <c r="D3121" t="s">
        <v>54</v>
      </c>
      <c r="E3121" t="s">
        <v>26</v>
      </c>
      <c r="F3121" t="s">
        <v>101</v>
      </c>
      <c r="G3121" t="s">
        <v>102</v>
      </c>
      <c r="H3121" t="s">
        <v>103</v>
      </c>
      <c r="I3121" t="s">
        <v>30</v>
      </c>
      <c r="J3121" t="s">
        <v>31</v>
      </c>
      <c r="K3121" t="s">
        <v>32</v>
      </c>
      <c r="L3121" t="s">
        <v>46</v>
      </c>
      <c r="M3121" t="s">
        <v>34</v>
      </c>
      <c r="N3121" t="s">
        <v>48</v>
      </c>
      <c r="O3121" t="s">
        <v>36</v>
      </c>
      <c r="P3121" t="s">
        <v>49</v>
      </c>
      <c r="Q3121" t="s">
        <v>167</v>
      </c>
      <c r="R3121">
        <v>215</v>
      </c>
      <c r="S3121">
        <v>101</v>
      </c>
      <c r="T3121">
        <v>81</v>
      </c>
      <c r="U3121">
        <v>25</v>
      </c>
      <c r="V3121" t="s">
        <v>6551</v>
      </c>
      <c r="W3121">
        <v>59318</v>
      </c>
      <c r="X3121" t="s">
        <v>3211</v>
      </c>
      <c r="Y3121">
        <v>43687</v>
      </c>
      <c r="Z3121">
        <v>1482950</v>
      </c>
      <c r="AA3121">
        <v>390775</v>
      </c>
      <c r="AB3121" t="str">
        <f>(VLOOKUP(SalesData[[#This Row],[Month Number]],Reference!C$5:E$16,2,FALSE))</f>
        <v>Feb</v>
      </c>
      <c r="AC3121">
        <f>MONTH(SalesData[[#This Row],[Date]])</f>
        <v>2</v>
      </c>
      <c r="AD3121">
        <f>Reference!F$4</f>
        <v>2026</v>
      </c>
      <c r="AE3121" t="str">
        <f>IF(OR(SalesData[[#This Row],[Day]]="Saturday",SalesData[[#This Row],[Day]]="Sunday"),"Weekend","Weekday")</f>
        <v>Weekday</v>
      </c>
      <c r="AF3121" s="5">
        <f>IF(SalesData[[#This Row],[Contracts Offered]]=0,0,SalesData[[#This Row],[Contracts Signed]]/SalesData[[#This Row],[Contracts Offered]])</f>
        <v>0.30864197530864196</v>
      </c>
      <c r="AG3121" s="5">
        <f>IF(SalesData[[#This Row],[Customers Visited]]=0,0,SalesData[[#This Row],[Test Drives]]/SalesData[[#This Row],[Customers Visited]])</f>
        <v>0.4697674418604651</v>
      </c>
      <c r="AH3121" s="5">
        <f>IF(SalesData[[#This Row],[Customers Visited]]=0,0,SalesData[[#This Row],[Contracts Signed]]/SalesData[[#This Row],[Customers Visited]])</f>
        <v>0.11627906976744186</v>
      </c>
      <c r="AI3121" s="6">
        <f>IF(SalesData[[#This Row],[Contracts Signed]]=0,0,SalesData[[#This Row],[Profit(€)]]/SalesData[[#This Row],[Contracts Signed]])</f>
        <v>15631</v>
      </c>
      <c r="AJ3121" s="5" t="str">
        <f>TRIM(CLEAN(SalesData[[#This Row],[Retailer]]))</f>
        <v>Ruhr Auto Plaza</v>
      </c>
    </row>
    <row r="3122" spans="1:36" ht="14.25" hidden="1" x14ac:dyDescent="0.2">
      <c r="A3122" t="s">
        <v>4282</v>
      </c>
      <c r="B3122" s="1">
        <v>46074</v>
      </c>
      <c r="C3122" t="s">
        <v>62</v>
      </c>
      <c r="D3122" t="s">
        <v>151</v>
      </c>
      <c r="E3122" t="s">
        <v>42</v>
      </c>
      <c r="F3122" t="s">
        <v>83</v>
      </c>
      <c r="G3122" t="s">
        <v>84</v>
      </c>
      <c r="H3122" t="s">
        <v>85</v>
      </c>
      <c r="I3122" t="s">
        <v>56</v>
      </c>
      <c r="J3122" t="s">
        <v>137</v>
      </c>
      <c r="K3122" t="s">
        <v>91</v>
      </c>
      <c r="L3122" t="s">
        <v>46</v>
      </c>
      <c r="M3122" t="s">
        <v>68</v>
      </c>
      <c r="N3122" t="s">
        <v>35</v>
      </c>
      <c r="O3122" t="s">
        <v>70</v>
      </c>
      <c r="P3122" t="s">
        <v>71</v>
      </c>
      <c r="Q3122" t="s">
        <v>169</v>
      </c>
      <c r="R3122">
        <v>273</v>
      </c>
      <c r="S3122">
        <v>145</v>
      </c>
      <c r="T3122">
        <v>103</v>
      </c>
      <c r="U3122">
        <v>29</v>
      </c>
      <c r="V3122" t="s">
        <v>6410</v>
      </c>
      <c r="W3122">
        <v>44198</v>
      </c>
      <c r="X3122" t="s">
        <v>7196</v>
      </c>
      <c r="Y3122">
        <v>33756</v>
      </c>
      <c r="Z3122">
        <v>1281742</v>
      </c>
      <c r="AA3122">
        <v>302818</v>
      </c>
      <c r="AB3122" t="str">
        <f>(VLOOKUP(SalesData[[#This Row],[Month Number]],Reference!C$5:E$16,2,FALSE))</f>
        <v>Feb</v>
      </c>
      <c r="AC3122">
        <f>MONTH(SalesData[[#This Row],[Date]])</f>
        <v>2</v>
      </c>
      <c r="AD3122">
        <f>Reference!F$4</f>
        <v>2026</v>
      </c>
      <c r="AE3122" t="str">
        <f>IF(OR(SalesData[[#This Row],[Day]]="Saturday",SalesData[[#This Row],[Day]]="Sunday"),"Weekend","Weekday")</f>
        <v>Weekend</v>
      </c>
      <c r="AF3122" s="5">
        <f>IF(SalesData[[#This Row],[Contracts Offered]]=0,0,SalesData[[#This Row],[Contracts Signed]]/SalesData[[#This Row],[Contracts Offered]])</f>
        <v>0.28155339805825241</v>
      </c>
      <c r="AG3122" s="5">
        <f>IF(SalesData[[#This Row],[Customers Visited]]=0,0,SalesData[[#This Row],[Test Drives]]/SalesData[[#This Row],[Customers Visited]])</f>
        <v>0.53113553113553114</v>
      </c>
      <c r="AH3122" s="5">
        <f>IF(SalesData[[#This Row],[Customers Visited]]=0,0,SalesData[[#This Row],[Contracts Signed]]/SalesData[[#This Row],[Customers Visited]])</f>
        <v>0.10622710622710622</v>
      </c>
      <c r="AI3122" s="6">
        <f>IF(SalesData[[#This Row],[Contracts Signed]]=0,0,SalesData[[#This Row],[Profit(€)]]/SalesData[[#This Row],[Contracts Signed]])</f>
        <v>10442</v>
      </c>
      <c r="AJ3122" s="5" t="str">
        <f>TRIM(CLEAN(SalesData[[#This Row],[Retailer]]))</f>
        <v>Hannover Cars</v>
      </c>
    </row>
    <row r="3123" spans="1:36" ht="14.25" x14ac:dyDescent="0.2">
      <c r="A3123" t="s">
        <v>4283</v>
      </c>
      <c r="B3123" s="1">
        <v>46064</v>
      </c>
      <c r="C3123" t="s">
        <v>121</v>
      </c>
      <c r="D3123" t="s">
        <v>82</v>
      </c>
      <c r="E3123" t="s">
        <v>26</v>
      </c>
      <c r="F3123" t="s">
        <v>101</v>
      </c>
      <c r="G3123" t="s">
        <v>102</v>
      </c>
      <c r="H3123" t="s">
        <v>103</v>
      </c>
      <c r="I3123" t="s">
        <v>30</v>
      </c>
      <c r="J3123" t="s">
        <v>31</v>
      </c>
      <c r="K3123" t="s">
        <v>32</v>
      </c>
      <c r="L3123" t="s">
        <v>46</v>
      </c>
      <c r="M3123" t="s">
        <v>47</v>
      </c>
      <c r="N3123" t="s">
        <v>48</v>
      </c>
      <c r="O3123" t="s">
        <v>36</v>
      </c>
      <c r="P3123" t="s">
        <v>58</v>
      </c>
      <c r="Q3123" t="s">
        <v>106</v>
      </c>
      <c r="R3123">
        <v>276</v>
      </c>
      <c r="S3123">
        <v>160</v>
      </c>
      <c r="T3123">
        <v>111</v>
      </c>
      <c r="U3123">
        <v>46</v>
      </c>
      <c r="V3123" t="s">
        <v>6669</v>
      </c>
      <c r="W3123">
        <v>49709</v>
      </c>
      <c r="X3123" t="s">
        <v>5488</v>
      </c>
      <c r="Y3123">
        <v>36067</v>
      </c>
      <c r="Z3123">
        <v>2286614</v>
      </c>
      <c r="AA3123">
        <v>627532</v>
      </c>
      <c r="AB3123" t="str">
        <f>(VLOOKUP(SalesData[[#This Row],[Month Number]],Reference!C$5:E$16,2,FALSE))</f>
        <v>Feb</v>
      </c>
      <c r="AC3123">
        <f>MONTH(SalesData[[#This Row],[Date]])</f>
        <v>2</v>
      </c>
      <c r="AD3123">
        <f>Reference!F$4</f>
        <v>2026</v>
      </c>
      <c r="AE3123" t="str">
        <f>IF(OR(SalesData[[#This Row],[Day]]="Saturday",SalesData[[#This Row],[Day]]="Sunday"),"Weekend","Weekday")</f>
        <v>Weekday</v>
      </c>
      <c r="AF3123" s="5">
        <f>IF(SalesData[[#This Row],[Contracts Offered]]=0,0,SalesData[[#This Row],[Contracts Signed]]/SalesData[[#This Row],[Contracts Offered]])</f>
        <v>0.4144144144144144</v>
      </c>
      <c r="AG3123" s="5">
        <f>IF(SalesData[[#This Row],[Customers Visited]]=0,0,SalesData[[#This Row],[Test Drives]]/SalesData[[#This Row],[Customers Visited]])</f>
        <v>0.57971014492753625</v>
      </c>
      <c r="AH3123" s="5">
        <f>IF(SalesData[[#This Row],[Customers Visited]]=0,0,SalesData[[#This Row],[Contracts Signed]]/SalesData[[#This Row],[Customers Visited]])</f>
        <v>0.16666666666666666</v>
      </c>
      <c r="AI3123" s="6">
        <f>IF(SalesData[[#This Row],[Contracts Signed]]=0,0,SalesData[[#This Row],[Profit(€)]]/SalesData[[#This Row],[Contracts Signed]])</f>
        <v>13642</v>
      </c>
      <c r="AJ3123" s="5" t="str">
        <f>TRIM(CLEAN(SalesData[[#This Row],[Retailer]]))</f>
        <v>Ruhr Auto Plaza</v>
      </c>
    </row>
    <row r="3124" spans="1:36" ht="14.25" hidden="1" x14ac:dyDescent="0.2">
      <c r="A3124" t="s">
        <v>4284</v>
      </c>
      <c r="B3124" s="1">
        <v>46063</v>
      </c>
      <c r="C3124" t="s">
        <v>121</v>
      </c>
      <c r="D3124" t="s">
        <v>63</v>
      </c>
      <c r="E3124" t="s">
        <v>26</v>
      </c>
      <c r="F3124" t="s">
        <v>94</v>
      </c>
      <c r="G3124" t="s">
        <v>95</v>
      </c>
      <c r="H3124" t="s">
        <v>96</v>
      </c>
      <c r="I3124" t="s">
        <v>116</v>
      </c>
      <c r="J3124" t="s">
        <v>132</v>
      </c>
      <c r="K3124" t="s">
        <v>32</v>
      </c>
      <c r="L3124" t="s">
        <v>46</v>
      </c>
      <c r="M3124" t="s">
        <v>34</v>
      </c>
      <c r="N3124" t="s">
        <v>35</v>
      </c>
      <c r="O3124" t="s">
        <v>36</v>
      </c>
      <c r="P3124" t="s">
        <v>58</v>
      </c>
      <c r="Q3124" t="s">
        <v>38</v>
      </c>
      <c r="R3124">
        <v>345</v>
      </c>
      <c r="S3124">
        <v>152</v>
      </c>
      <c r="T3124">
        <v>94</v>
      </c>
      <c r="U3124">
        <v>33</v>
      </c>
      <c r="V3124" t="s">
        <v>6731</v>
      </c>
      <c r="W3124">
        <v>19530</v>
      </c>
      <c r="X3124" t="s">
        <v>3733</v>
      </c>
      <c r="Y3124">
        <v>17830</v>
      </c>
      <c r="Z3124">
        <v>644490</v>
      </c>
      <c r="AA3124">
        <v>56100</v>
      </c>
      <c r="AB3124" t="str">
        <f>(VLOOKUP(SalesData[[#This Row],[Month Number]],Reference!C$5:E$16,2,FALSE))</f>
        <v>Feb</v>
      </c>
      <c r="AC3124">
        <f>MONTH(SalesData[[#This Row],[Date]])</f>
        <v>2</v>
      </c>
      <c r="AD3124">
        <f>Reference!F$4</f>
        <v>2026</v>
      </c>
      <c r="AE3124" t="str">
        <f>IF(OR(SalesData[[#This Row],[Day]]="Saturday",SalesData[[#This Row],[Day]]="Sunday"),"Weekend","Weekday")</f>
        <v>Weekday</v>
      </c>
      <c r="AF3124" s="5">
        <f>IF(SalesData[[#This Row],[Contracts Offered]]=0,0,SalesData[[#This Row],[Contracts Signed]]/SalesData[[#This Row],[Contracts Offered]])</f>
        <v>0.35106382978723405</v>
      </c>
      <c r="AG3124" s="5">
        <f>IF(SalesData[[#This Row],[Customers Visited]]=0,0,SalesData[[#This Row],[Test Drives]]/SalesData[[#This Row],[Customers Visited]])</f>
        <v>0.44057971014492753</v>
      </c>
      <c r="AH3124" s="5">
        <f>IF(SalesData[[#This Row],[Customers Visited]]=0,0,SalesData[[#This Row],[Contracts Signed]]/SalesData[[#This Row],[Customers Visited]])</f>
        <v>9.5652173913043481E-2</v>
      </c>
      <c r="AI3124" s="6">
        <f>IF(SalesData[[#This Row],[Contracts Signed]]=0,0,SalesData[[#This Row],[Profit(€)]]/SalesData[[#This Row],[Contracts Signed]])</f>
        <v>1700</v>
      </c>
      <c r="AJ3124" s="5" t="str">
        <f>TRIM(CLEAN(SalesData[[#This Row],[Retailer]]))</f>
        <v>Bavaria Motors</v>
      </c>
    </row>
    <row r="3125" spans="1:36" ht="14.25" hidden="1" x14ac:dyDescent="0.2">
      <c r="A3125" t="s">
        <v>4285</v>
      </c>
      <c r="B3125" s="1">
        <v>46075</v>
      </c>
      <c r="C3125" t="s">
        <v>53</v>
      </c>
      <c r="D3125" t="s">
        <v>41</v>
      </c>
      <c r="E3125" t="s">
        <v>42</v>
      </c>
      <c r="F3125" t="s">
        <v>127</v>
      </c>
      <c r="G3125" t="s">
        <v>128</v>
      </c>
      <c r="H3125" t="s">
        <v>103</v>
      </c>
      <c r="I3125" t="s">
        <v>56</v>
      </c>
      <c r="J3125" t="s">
        <v>57</v>
      </c>
      <c r="K3125" t="s">
        <v>66</v>
      </c>
      <c r="L3125" t="s">
        <v>46</v>
      </c>
      <c r="M3125" t="s">
        <v>47</v>
      </c>
      <c r="N3125" t="s">
        <v>48</v>
      </c>
      <c r="O3125" t="s">
        <v>70</v>
      </c>
      <c r="P3125" t="s">
        <v>37</v>
      </c>
      <c r="Q3125" t="s">
        <v>144</v>
      </c>
      <c r="R3125">
        <v>309</v>
      </c>
      <c r="S3125">
        <v>196</v>
      </c>
      <c r="T3125">
        <v>145</v>
      </c>
      <c r="U3125">
        <v>44</v>
      </c>
      <c r="V3125" t="s">
        <v>6600</v>
      </c>
      <c r="W3125">
        <v>50826</v>
      </c>
      <c r="X3125" t="s">
        <v>4831</v>
      </c>
      <c r="Y3125">
        <v>40185</v>
      </c>
      <c r="Z3125">
        <v>2236344</v>
      </c>
      <c r="AA3125">
        <v>468204</v>
      </c>
      <c r="AB3125" t="str">
        <f>(VLOOKUP(SalesData[[#This Row],[Month Number]],Reference!C$5:E$16,2,FALSE))</f>
        <v>Feb</v>
      </c>
      <c r="AC3125">
        <f>MONTH(SalesData[[#This Row],[Date]])</f>
        <v>2</v>
      </c>
      <c r="AD3125">
        <f>Reference!F$4</f>
        <v>2026</v>
      </c>
      <c r="AE3125" t="str">
        <f>IF(OR(SalesData[[#This Row],[Day]]="Saturday",SalesData[[#This Row],[Day]]="Sunday"),"Weekend","Weekday")</f>
        <v>Weekend</v>
      </c>
      <c r="AF3125" s="5">
        <f>IF(SalesData[[#This Row],[Contracts Offered]]=0,0,SalesData[[#This Row],[Contracts Signed]]/SalesData[[#This Row],[Contracts Offered]])</f>
        <v>0.30344827586206896</v>
      </c>
      <c r="AG3125" s="5">
        <f>IF(SalesData[[#This Row],[Customers Visited]]=0,0,SalesData[[#This Row],[Test Drives]]/SalesData[[#This Row],[Customers Visited]])</f>
        <v>0.63430420711974111</v>
      </c>
      <c r="AH3125" s="5">
        <f>IF(SalesData[[#This Row],[Customers Visited]]=0,0,SalesData[[#This Row],[Contracts Signed]]/SalesData[[#This Row],[Customers Visited]])</f>
        <v>0.14239482200647249</v>
      </c>
      <c r="AI3125" s="6">
        <f>IF(SalesData[[#This Row],[Contracts Signed]]=0,0,SalesData[[#This Row],[Profit(€)]]/SalesData[[#This Row],[Contracts Signed]])</f>
        <v>10641</v>
      </c>
      <c r="AJ3125" s="5" t="str">
        <f>TRIM(CLEAN(SalesData[[#This Row],[Retailer]]))</f>
        <v>Rhein Auto Group</v>
      </c>
    </row>
    <row r="3126" spans="1:36" ht="14.25" hidden="1" x14ac:dyDescent="0.2">
      <c r="A3126" t="s">
        <v>4286</v>
      </c>
      <c r="B3126" s="1">
        <v>46075</v>
      </c>
      <c r="C3126" t="s">
        <v>53</v>
      </c>
      <c r="D3126" t="s">
        <v>41</v>
      </c>
      <c r="E3126" t="s">
        <v>42</v>
      </c>
      <c r="F3126" t="s">
        <v>109</v>
      </c>
      <c r="G3126" t="s">
        <v>110</v>
      </c>
      <c r="H3126" t="s">
        <v>45</v>
      </c>
      <c r="I3126" t="s">
        <v>104</v>
      </c>
      <c r="J3126" t="s">
        <v>143</v>
      </c>
      <c r="K3126" t="s">
        <v>91</v>
      </c>
      <c r="L3126" t="s">
        <v>67</v>
      </c>
      <c r="M3126" t="s">
        <v>68</v>
      </c>
      <c r="N3126" t="s">
        <v>48</v>
      </c>
      <c r="O3126" t="s">
        <v>36</v>
      </c>
      <c r="P3126" t="s">
        <v>71</v>
      </c>
      <c r="Q3126" t="s">
        <v>79</v>
      </c>
      <c r="R3126">
        <v>325</v>
      </c>
      <c r="S3126">
        <v>171</v>
      </c>
      <c r="T3126">
        <v>107</v>
      </c>
      <c r="U3126">
        <v>31</v>
      </c>
      <c r="V3126" t="s">
        <v>878</v>
      </c>
      <c r="W3126">
        <v>28899</v>
      </c>
      <c r="X3126" t="s">
        <v>7520</v>
      </c>
      <c r="Y3126">
        <v>26133</v>
      </c>
      <c r="Z3126">
        <v>895869</v>
      </c>
      <c r="AA3126">
        <v>85746</v>
      </c>
      <c r="AB3126" t="str">
        <f>(VLOOKUP(SalesData[[#This Row],[Month Number]],Reference!C$5:E$16,2,FALSE))</f>
        <v>Feb</v>
      </c>
      <c r="AC3126">
        <f>MONTH(SalesData[[#This Row],[Date]])</f>
        <v>2</v>
      </c>
      <c r="AD3126">
        <f>Reference!F$4</f>
        <v>2026</v>
      </c>
      <c r="AE3126" t="str">
        <f>IF(OR(SalesData[[#This Row],[Day]]="Saturday",SalesData[[#This Row],[Day]]="Sunday"),"Weekend","Weekday")</f>
        <v>Weekend</v>
      </c>
      <c r="AF3126" s="5">
        <f>IF(SalesData[[#This Row],[Contracts Offered]]=0,0,SalesData[[#This Row],[Contracts Signed]]/SalesData[[#This Row],[Contracts Offered]])</f>
        <v>0.28971962616822428</v>
      </c>
      <c r="AG3126" s="5">
        <f>IF(SalesData[[#This Row],[Customers Visited]]=0,0,SalesData[[#This Row],[Test Drives]]/SalesData[[#This Row],[Customers Visited]])</f>
        <v>0.52615384615384619</v>
      </c>
      <c r="AH3126" s="5">
        <f>IF(SalesData[[#This Row],[Customers Visited]]=0,0,SalesData[[#This Row],[Contracts Signed]]/SalesData[[#This Row],[Customers Visited]])</f>
        <v>9.5384615384615387E-2</v>
      </c>
      <c r="AI3126" s="6">
        <f>IF(SalesData[[#This Row],[Contracts Signed]]=0,0,SalesData[[#This Row],[Profit(€)]]/SalesData[[#This Row],[Contracts Signed]])</f>
        <v>2766</v>
      </c>
      <c r="AJ3126" s="5" t="str">
        <f>TRIM(CLEAN(SalesData[[#This Row],[Retailer]]))</f>
        <v>Leipzig Mobility</v>
      </c>
    </row>
    <row r="3127" spans="1:36" ht="14.25" hidden="1" x14ac:dyDescent="0.2">
      <c r="A3127" t="s">
        <v>4287</v>
      </c>
      <c r="B3127" s="1">
        <v>46058</v>
      </c>
      <c r="C3127" t="s">
        <v>24</v>
      </c>
      <c r="D3127" t="s">
        <v>100</v>
      </c>
      <c r="E3127" t="s">
        <v>26</v>
      </c>
      <c r="F3127" t="s">
        <v>27</v>
      </c>
      <c r="G3127" t="s">
        <v>28</v>
      </c>
      <c r="H3127" t="s">
        <v>29</v>
      </c>
      <c r="I3127" t="s">
        <v>116</v>
      </c>
      <c r="J3127" t="s">
        <v>7090</v>
      </c>
      <c r="K3127" t="s">
        <v>66</v>
      </c>
      <c r="L3127" t="s">
        <v>46</v>
      </c>
      <c r="M3127" t="s">
        <v>68</v>
      </c>
      <c r="N3127" t="s">
        <v>48</v>
      </c>
      <c r="O3127" t="s">
        <v>36</v>
      </c>
      <c r="P3127" t="s">
        <v>37</v>
      </c>
      <c r="Q3127" t="s">
        <v>204</v>
      </c>
      <c r="R3127">
        <v>266</v>
      </c>
      <c r="S3127">
        <v>117</v>
      </c>
      <c r="T3127">
        <v>76</v>
      </c>
      <c r="U3127">
        <v>16</v>
      </c>
      <c r="V3127" t="s">
        <v>1608</v>
      </c>
      <c r="W3127">
        <v>21418</v>
      </c>
      <c r="X3127" t="s">
        <v>5464</v>
      </c>
      <c r="Y3127">
        <v>19522</v>
      </c>
      <c r="Z3127">
        <v>342688</v>
      </c>
      <c r="AA3127">
        <v>30336</v>
      </c>
      <c r="AB3127" t="str">
        <f>(VLOOKUP(SalesData[[#This Row],[Month Number]],Reference!C$5:E$16,2,FALSE))</f>
        <v>Feb</v>
      </c>
      <c r="AC3127">
        <f>MONTH(SalesData[[#This Row],[Date]])</f>
        <v>2</v>
      </c>
      <c r="AD3127">
        <f>Reference!F$4</f>
        <v>2026</v>
      </c>
      <c r="AE3127" t="str">
        <f>IF(OR(SalesData[[#This Row],[Day]]="Saturday",SalesData[[#This Row],[Day]]="Sunday"),"Weekend","Weekday")</f>
        <v>Weekday</v>
      </c>
      <c r="AF3127" s="5">
        <f>IF(SalesData[[#This Row],[Contracts Offered]]=0,0,SalesData[[#This Row],[Contracts Signed]]/SalesData[[#This Row],[Contracts Offered]])</f>
        <v>0.21052631578947367</v>
      </c>
      <c r="AG3127" s="5">
        <f>IF(SalesData[[#This Row],[Customers Visited]]=0,0,SalesData[[#This Row],[Test Drives]]/SalesData[[#This Row],[Customers Visited]])</f>
        <v>0.43984962406015038</v>
      </c>
      <c r="AH3127" s="5">
        <f>IF(SalesData[[#This Row],[Customers Visited]]=0,0,SalesData[[#This Row],[Contracts Signed]]/SalesData[[#This Row],[Customers Visited]])</f>
        <v>6.0150375939849621E-2</v>
      </c>
      <c r="AI3127" s="6">
        <f>IF(SalesData[[#This Row],[Contracts Signed]]=0,0,SalesData[[#This Row],[Profit(€)]]/SalesData[[#This Row],[Contracts Signed]])</f>
        <v>1896</v>
      </c>
      <c r="AJ3127" s="5" t="str">
        <f>TRIM(CLEAN(SalesData[[#This Row],[Retailer]]))</f>
        <v>Main Auto Hub</v>
      </c>
    </row>
    <row r="3128" spans="1:36" ht="14.25" hidden="1" x14ac:dyDescent="0.2">
      <c r="A3128" t="s">
        <v>4288</v>
      </c>
      <c r="B3128" s="1">
        <v>46069</v>
      </c>
      <c r="C3128" t="s">
        <v>62</v>
      </c>
      <c r="D3128" t="s">
        <v>25</v>
      </c>
      <c r="E3128" t="s">
        <v>26</v>
      </c>
      <c r="F3128" t="s">
        <v>114</v>
      </c>
      <c r="G3128" t="s">
        <v>115</v>
      </c>
      <c r="H3128" t="s">
        <v>115</v>
      </c>
      <c r="I3128" t="s">
        <v>64</v>
      </c>
      <c r="J3128" t="s">
        <v>65</v>
      </c>
      <c r="K3128" t="s">
        <v>91</v>
      </c>
      <c r="L3128" t="s">
        <v>33</v>
      </c>
      <c r="M3128" t="s">
        <v>47</v>
      </c>
      <c r="N3128" t="s">
        <v>35</v>
      </c>
      <c r="O3128" t="s">
        <v>70</v>
      </c>
      <c r="P3128" t="s">
        <v>49</v>
      </c>
      <c r="Q3128" t="s">
        <v>169</v>
      </c>
      <c r="R3128">
        <v>173</v>
      </c>
      <c r="S3128">
        <v>84</v>
      </c>
      <c r="T3128">
        <v>56</v>
      </c>
      <c r="U3128">
        <v>19</v>
      </c>
      <c r="V3128" t="s">
        <v>6894</v>
      </c>
      <c r="W3128">
        <v>55335</v>
      </c>
      <c r="X3128" t="s">
        <v>2556</v>
      </c>
      <c r="Y3128">
        <v>40960</v>
      </c>
      <c r="Z3128">
        <v>1051365</v>
      </c>
      <c r="AA3128">
        <v>273125</v>
      </c>
      <c r="AB3128" t="str">
        <f>(VLOOKUP(SalesData[[#This Row],[Month Number]],Reference!C$5:E$16,2,FALSE))</f>
        <v>Feb</v>
      </c>
      <c r="AC3128">
        <f>MONTH(SalesData[[#This Row],[Date]])</f>
        <v>2</v>
      </c>
      <c r="AD3128">
        <f>Reference!F$4</f>
        <v>2026</v>
      </c>
      <c r="AE3128" t="str">
        <f>IF(OR(SalesData[[#This Row],[Day]]="Saturday",SalesData[[#This Row],[Day]]="Sunday"),"Weekend","Weekday")</f>
        <v>Weekday</v>
      </c>
      <c r="AF3128" s="5">
        <f>IF(SalesData[[#This Row],[Contracts Offered]]=0,0,SalesData[[#This Row],[Contracts Signed]]/SalesData[[#This Row],[Contracts Offered]])</f>
        <v>0.3392857142857143</v>
      </c>
      <c r="AG3128" s="5">
        <f>IF(SalesData[[#This Row],[Customers Visited]]=0,0,SalesData[[#This Row],[Test Drives]]/SalesData[[#This Row],[Customers Visited]])</f>
        <v>0.48554913294797686</v>
      </c>
      <c r="AH3128" s="5">
        <f>IF(SalesData[[#This Row],[Customers Visited]]=0,0,SalesData[[#This Row],[Contracts Signed]]/SalesData[[#This Row],[Customers Visited]])</f>
        <v>0.10982658959537572</v>
      </c>
      <c r="AI3128" s="6">
        <f>IF(SalesData[[#This Row],[Contracts Signed]]=0,0,SalesData[[#This Row],[Profit(€)]]/SalesData[[#This Row],[Contracts Signed]])</f>
        <v>14375</v>
      </c>
      <c r="AJ3128" s="5" t="str">
        <f>TRIM(CLEAN(SalesData[[#This Row],[Retailer]]))</f>
        <v>Elbe Drive</v>
      </c>
    </row>
    <row r="3129" spans="1:36" ht="14.25" hidden="1" x14ac:dyDescent="0.2">
      <c r="A3129" t="s">
        <v>4289</v>
      </c>
      <c r="B3129" s="1">
        <v>46065</v>
      </c>
      <c r="C3129" t="s">
        <v>121</v>
      </c>
      <c r="D3129" t="s">
        <v>100</v>
      </c>
      <c r="E3129" t="s">
        <v>26</v>
      </c>
      <c r="F3129" t="s">
        <v>83</v>
      </c>
      <c r="G3129" t="s">
        <v>84</v>
      </c>
      <c r="H3129" t="s">
        <v>85</v>
      </c>
      <c r="I3129" t="s">
        <v>104</v>
      </c>
      <c r="J3129" t="s">
        <v>7031</v>
      </c>
      <c r="K3129" t="s">
        <v>32</v>
      </c>
      <c r="L3129" t="s">
        <v>46</v>
      </c>
      <c r="M3129" t="s">
        <v>87</v>
      </c>
      <c r="N3129" t="s">
        <v>48</v>
      </c>
      <c r="O3129" t="s">
        <v>36</v>
      </c>
      <c r="P3129" t="s">
        <v>58</v>
      </c>
      <c r="Q3129" t="s">
        <v>118</v>
      </c>
      <c r="R3129">
        <v>282</v>
      </c>
      <c r="S3129">
        <v>152</v>
      </c>
      <c r="T3129">
        <v>105</v>
      </c>
      <c r="U3129">
        <v>32</v>
      </c>
      <c r="V3129" t="s">
        <v>6421</v>
      </c>
      <c r="W3129">
        <v>27889</v>
      </c>
      <c r="X3129" t="s">
        <v>6194</v>
      </c>
      <c r="Y3129">
        <v>24810</v>
      </c>
      <c r="Z3129">
        <v>892448</v>
      </c>
      <c r="AA3129">
        <v>98528</v>
      </c>
      <c r="AB3129" t="str">
        <f>(VLOOKUP(SalesData[[#This Row],[Month Number]],Reference!C$5:E$16,2,FALSE))</f>
        <v>Feb</v>
      </c>
      <c r="AC3129">
        <f>MONTH(SalesData[[#This Row],[Date]])</f>
        <v>2</v>
      </c>
      <c r="AD3129">
        <f>Reference!F$4</f>
        <v>2026</v>
      </c>
      <c r="AE3129" t="str">
        <f>IF(OR(SalesData[[#This Row],[Day]]="Saturday",SalesData[[#This Row],[Day]]="Sunday"),"Weekend","Weekday")</f>
        <v>Weekday</v>
      </c>
      <c r="AF3129" s="5">
        <f>IF(SalesData[[#This Row],[Contracts Offered]]=0,0,SalesData[[#This Row],[Contracts Signed]]/SalesData[[#This Row],[Contracts Offered]])</f>
        <v>0.30476190476190479</v>
      </c>
      <c r="AG3129" s="5">
        <f>IF(SalesData[[#This Row],[Customers Visited]]=0,0,SalesData[[#This Row],[Test Drives]]/SalesData[[#This Row],[Customers Visited]])</f>
        <v>0.53900709219858156</v>
      </c>
      <c r="AH3129" s="5">
        <f>IF(SalesData[[#This Row],[Customers Visited]]=0,0,SalesData[[#This Row],[Contracts Signed]]/SalesData[[#This Row],[Customers Visited]])</f>
        <v>0.11347517730496454</v>
      </c>
      <c r="AI3129" s="6">
        <f>IF(SalesData[[#This Row],[Contracts Signed]]=0,0,SalesData[[#This Row],[Profit(€)]]/SalesData[[#This Row],[Contracts Signed]])</f>
        <v>3079</v>
      </c>
      <c r="AJ3129" s="5" t="str">
        <f>TRIM(CLEAN(SalesData[[#This Row],[Retailer]]))</f>
        <v>Hannover Cars</v>
      </c>
    </row>
    <row r="3130" spans="1:36" ht="14.25" hidden="1" x14ac:dyDescent="0.2">
      <c r="A3130" t="s">
        <v>4290</v>
      </c>
      <c r="B3130" s="1">
        <v>46054</v>
      </c>
      <c r="C3130" t="s">
        <v>24</v>
      </c>
      <c r="D3130" t="s">
        <v>41</v>
      </c>
      <c r="E3130" t="s">
        <v>42</v>
      </c>
      <c r="F3130" t="s">
        <v>127</v>
      </c>
      <c r="G3130" t="s">
        <v>128</v>
      </c>
      <c r="H3130" t="s">
        <v>103</v>
      </c>
      <c r="I3130" t="s">
        <v>56</v>
      </c>
      <c r="J3130" t="s">
        <v>179</v>
      </c>
      <c r="K3130" t="s">
        <v>78</v>
      </c>
      <c r="L3130" t="s">
        <v>67</v>
      </c>
      <c r="M3130" t="s">
        <v>47</v>
      </c>
      <c r="N3130" t="s">
        <v>48</v>
      </c>
      <c r="O3130" t="s">
        <v>36</v>
      </c>
      <c r="P3130" t="s">
        <v>58</v>
      </c>
      <c r="Q3130" t="s">
        <v>204</v>
      </c>
      <c r="R3130">
        <v>262</v>
      </c>
      <c r="S3130">
        <v>154</v>
      </c>
      <c r="T3130">
        <v>98</v>
      </c>
      <c r="U3130">
        <v>39</v>
      </c>
      <c r="V3130" t="s">
        <v>6625</v>
      </c>
      <c r="W3130">
        <v>50953</v>
      </c>
      <c r="X3130" t="s">
        <v>7493</v>
      </c>
      <c r="Y3130">
        <v>39901</v>
      </c>
      <c r="Z3130">
        <v>1987167</v>
      </c>
      <c r="AA3130">
        <v>431028</v>
      </c>
      <c r="AB3130" t="str">
        <f>(VLOOKUP(SalesData[[#This Row],[Month Number]],Reference!C$5:E$16,2,FALSE))</f>
        <v>Feb</v>
      </c>
      <c r="AC3130">
        <f>MONTH(SalesData[[#This Row],[Date]])</f>
        <v>2</v>
      </c>
      <c r="AD3130">
        <f>Reference!F$4</f>
        <v>2026</v>
      </c>
      <c r="AE3130" t="str">
        <f>IF(OR(SalesData[[#This Row],[Day]]="Saturday",SalesData[[#This Row],[Day]]="Sunday"),"Weekend","Weekday")</f>
        <v>Weekend</v>
      </c>
      <c r="AF3130" s="5">
        <f>IF(SalesData[[#This Row],[Contracts Offered]]=0,0,SalesData[[#This Row],[Contracts Signed]]/SalesData[[#This Row],[Contracts Offered]])</f>
        <v>0.39795918367346939</v>
      </c>
      <c r="AG3130" s="5">
        <f>IF(SalesData[[#This Row],[Customers Visited]]=0,0,SalesData[[#This Row],[Test Drives]]/SalesData[[#This Row],[Customers Visited]])</f>
        <v>0.58778625954198471</v>
      </c>
      <c r="AH3130" s="5">
        <f>IF(SalesData[[#This Row],[Customers Visited]]=0,0,SalesData[[#This Row],[Contracts Signed]]/SalesData[[#This Row],[Customers Visited]])</f>
        <v>0.14885496183206107</v>
      </c>
      <c r="AI3130" s="6">
        <f>IF(SalesData[[#This Row],[Contracts Signed]]=0,0,SalesData[[#This Row],[Profit(€)]]/SalesData[[#This Row],[Contracts Signed]])</f>
        <v>11052</v>
      </c>
      <c r="AJ3130" s="5" t="str">
        <f>TRIM(CLEAN(SalesData[[#This Row],[Retailer]]))</f>
        <v>Rhein Auto Group</v>
      </c>
    </row>
    <row r="3131" spans="1:36" ht="14.25" hidden="1" x14ac:dyDescent="0.2">
      <c r="A3131" t="s">
        <v>4291</v>
      </c>
      <c r="B3131" s="1">
        <v>46081</v>
      </c>
      <c r="C3131" t="s">
        <v>53</v>
      </c>
      <c r="D3131" t="s">
        <v>151</v>
      </c>
      <c r="E3131" t="s">
        <v>42</v>
      </c>
      <c r="F3131" t="s">
        <v>101</v>
      </c>
      <c r="G3131" t="s">
        <v>102</v>
      </c>
      <c r="H3131" t="s">
        <v>103</v>
      </c>
      <c r="I3131" t="s">
        <v>116</v>
      </c>
      <c r="J3131" t="s">
        <v>203</v>
      </c>
      <c r="K3131" t="s">
        <v>66</v>
      </c>
      <c r="L3131" t="s">
        <v>67</v>
      </c>
      <c r="M3131" t="s">
        <v>68</v>
      </c>
      <c r="N3131" t="s">
        <v>48</v>
      </c>
      <c r="O3131" t="s">
        <v>36</v>
      </c>
      <c r="P3131" t="s">
        <v>58</v>
      </c>
      <c r="Q3131" t="s">
        <v>122</v>
      </c>
      <c r="R3131">
        <v>290</v>
      </c>
      <c r="S3131">
        <v>148</v>
      </c>
      <c r="T3131">
        <v>89</v>
      </c>
      <c r="U3131">
        <v>27</v>
      </c>
      <c r="V3131" t="s">
        <v>799</v>
      </c>
      <c r="W3131">
        <v>23544</v>
      </c>
      <c r="X3131" t="s">
        <v>5738</v>
      </c>
      <c r="Y3131">
        <v>21323</v>
      </c>
      <c r="Z3131">
        <v>635688</v>
      </c>
      <c r="AA3131">
        <v>59967</v>
      </c>
      <c r="AB3131" t="str">
        <f>(VLOOKUP(SalesData[[#This Row],[Month Number]],Reference!C$5:E$16,2,FALSE))</f>
        <v>Feb</v>
      </c>
      <c r="AC3131">
        <f>MONTH(SalesData[[#This Row],[Date]])</f>
        <v>2</v>
      </c>
      <c r="AD3131">
        <f>Reference!F$4</f>
        <v>2026</v>
      </c>
      <c r="AE3131" t="str">
        <f>IF(OR(SalesData[[#This Row],[Day]]="Saturday",SalesData[[#This Row],[Day]]="Sunday"),"Weekend","Weekday")</f>
        <v>Weekend</v>
      </c>
      <c r="AF3131" s="5">
        <f>IF(SalesData[[#This Row],[Contracts Offered]]=0,0,SalesData[[#This Row],[Contracts Signed]]/SalesData[[#This Row],[Contracts Offered]])</f>
        <v>0.30337078651685395</v>
      </c>
      <c r="AG3131" s="5">
        <f>IF(SalesData[[#This Row],[Customers Visited]]=0,0,SalesData[[#This Row],[Test Drives]]/SalesData[[#This Row],[Customers Visited]])</f>
        <v>0.51034482758620692</v>
      </c>
      <c r="AH3131" s="5">
        <f>IF(SalesData[[#This Row],[Customers Visited]]=0,0,SalesData[[#This Row],[Contracts Signed]]/SalesData[[#This Row],[Customers Visited]])</f>
        <v>9.3103448275862075E-2</v>
      </c>
      <c r="AI3131" s="6">
        <f>IF(SalesData[[#This Row],[Contracts Signed]]=0,0,SalesData[[#This Row],[Profit(€)]]/SalesData[[#This Row],[Contracts Signed]])</f>
        <v>2221</v>
      </c>
      <c r="AJ3131" s="5" t="str">
        <f>TRIM(CLEAN(SalesData[[#This Row],[Retailer]]))</f>
        <v>Ruhr Auto Plaza</v>
      </c>
    </row>
    <row r="3132" spans="1:36" ht="14.25" hidden="1" x14ac:dyDescent="0.2">
      <c r="A3132" t="s">
        <v>4292</v>
      </c>
      <c r="B3132" s="1">
        <v>46067</v>
      </c>
      <c r="C3132" t="s">
        <v>121</v>
      </c>
      <c r="D3132" t="s">
        <v>151</v>
      </c>
      <c r="E3132" t="s">
        <v>42</v>
      </c>
      <c r="F3132" t="s">
        <v>127</v>
      </c>
      <c r="G3132" t="s">
        <v>128</v>
      </c>
      <c r="H3132" t="s">
        <v>103</v>
      </c>
      <c r="I3132" t="s">
        <v>56</v>
      </c>
      <c r="J3132" t="s">
        <v>57</v>
      </c>
      <c r="K3132" t="s">
        <v>32</v>
      </c>
      <c r="L3132" t="s">
        <v>46</v>
      </c>
      <c r="M3132" t="s">
        <v>34</v>
      </c>
      <c r="N3132" t="s">
        <v>35</v>
      </c>
      <c r="O3132" t="s">
        <v>70</v>
      </c>
      <c r="P3132" t="s">
        <v>37</v>
      </c>
      <c r="Q3132" t="s">
        <v>167</v>
      </c>
      <c r="R3132">
        <v>210</v>
      </c>
      <c r="S3132">
        <v>99</v>
      </c>
      <c r="T3132">
        <v>76</v>
      </c>
      <c r="U3132">
        <v>23</v>
      </c>
      <c r="V3132" t="s">
        <v>6733</v>
      </c>
      <c r="W3132">
        <v>51722</v>
      </c>
      <c r="X3132" t="s">
        <v>7567</v>
      </c>
      <c r="Y3132">
        <v>41085</v>
      </c>
      <c r="Z3132">
        <v>1189606</v>
      </c>
      <c r="AA3132">
        <v>244651</v>
      </c>
      <c r="AB3132" t="str">
        <f>(VLOOKUP(SalesData[[#This Row],[Month Number]],Reference!C$5:E$16,2,FALSE))</f>
        <v>Feb</v>
      </c>
      <c r="AC3132">
        <f>MONTH(SalesData[[#This Row],[Date]])</f>
        <v>2</v>
      </c>
      <c r="AD3132">
        <f>Reference!F$4</f>
        <v>2026</v>
      </c>
      <c r="AE3132" t="str">
        <f>IF(OR(SalesData[[#This Row],[Day]]="Saturday",SalesData[[#This Row],[Day]]="Sunday"),"Weekend","Weekday")</f>
        <v>Weekend</v>
      </c>
      <c r="AF3132" s="5">
        <f>IF(SalesData[[#This Row],[Contracts Offered]]=0,0,SalesData[[#This Row],[Contracts Signed]]/SalesData[[#This Row],[Contracts Offered]])</f>
        <v>0.30263157894736842</v>
      </c>
      <c r="AG3132" s="5">
        <f>IF(SalesData[[#This Row],[Customers Visited]]=0,0,SalesData[[#This Row],[Test Drives]]/SalesData[[#This Row],[Customers Visited]])</f>
        <v>0.47142857142857142</v>
      </c>
      <c r="AH3132" s="5">
        <f>IF(SalesData[[#This Row],[Customers Visited]]=0,0,SalesData[[#This Row],[Contracts Signed]]/SalesData[[#This Row],[Customers Visited]])</f>
        <v>0.10952380952380952</v>
      </c>
      <c r="AI3132" s="6">
        <f>IF(SalesData[[#This Row],[Contracts Signed]]=0,0,SalesData[[#This Row],[Profit(€)]]/SalesData[[#This Row],[Contracts Signed]])</f>
        <v>10637</v>
      </c>
      <c r="AJ3132" s="5" t="str">
        <f>TRIM(CLEAN(SalesData[[#This Row],[Retailer]]))</f>
        <v>Rhein Auto Group</v>
      </c>
    </row>
    <row r="3133" spans="1:36" ht="14.25" hidden="1" x14ac:dyDescent="0.2">
      <c r="A3133" t="s">
        <v>4293</v>
      </c>
      <c r="B3133" s="1">
        <v>46074</v>
      </c>
      <c r="C3133" t="s">
        <v>62</v>
      </c>
      <c r="D3133" t="s">
        <v>151</v>
      </c>
      <c r="E3133" t="s">
        <v>42</v>
      </c>
      <c r="F3133" t="s">
        <v>127</v>
      </c>
      <c r="G3133" t="s">
        <v>128</v>
      </c>
      <c r="H3133" t="s">
        <v>103</v>
      </c>
      <c r="I3133" t="s">
        <v>56</v>
      </c>
      <c r="J3133" t="s">
        <v>137</v>
      </c>
      <c r="K3133" t="s">
        <v>32</v>
      </c>
      <c r="L3133" t="s">
        <v>46</v>
      </c>
      <c r="M3133" t="s">
        <v>47</v>
      </c>
      <c r="N3133" t="s">
        <v>35</v>
      </c>
      <c r="O3133" t="s">
        <v>70</v>
      </c>
      <c r="P3133" t="s">
        <v>71</v>
      </c>
      <c r="Q3133" t="s">
        <v>189</v>
      </c>
      <c r="R3133">
        <v>232</v>
      </c>
      <c r="S3133">
        <v>107</v>
      </c>
      <c r="T3133">
        <v>81</v>
      </c>
      <c r="U3133">
        <v>23</v>
      </c>
      <c r="V3133" t="s">
        <v>6435</v>
      </c>
      <c r="W3133">
        <v>49231</v>
      </c>
      <c r="X3133" t="s">
        <v>7177</v>
      </c>
      <c r="Y3133">
        <v>40070</v>
      </c>
      <c r="Z3133">
        <v>1132313</v>
      </c>
      <c r="AA3133">
        <v>210703</v>
      </c>
      <c r="AB3133" t="str">
        <f>(VLOOKUP(SalesData[[#This Row],[Month Number]],Reference!C$5:E$16,2,FALSE))</f>
        <v>Feb</v>
      </c>
      <c r="AC3133">
        <f>MONTH(SalesData[[#This Row],[Date]])</f>
        <v>2</v>
      </c>
      <c r="AD3133">
        <f>Reference!F$4</f>
        <v>2026</v>
      </c>
      <c r="AE3133" t="str">
        <f>IF(OR(SalesData[[#This Row],[Day]]="Saturday",SalesData[[#This Row],[Day]]="Sunday"),"Weekend","Weekday")</f>
        <v>Weekend</v>
      </c>
      <c r="AF3133" s="5">
        <f>IF(SalesData[[#This Row],[Contracts Offered]]=0,0,SalesData[[#This Row],[Contracts Signed]]/SalesData[[#This Row],[Contracts Offered]])</f>
        <v>0.2839506172839506</v>
      </c>
      <c r="AG3133" s="5">
        <f>IF(SalesData[[#This Row],[Customers Visited]]=0,0,SalesData[[#This Row],[Test Drives]]/SalesData[[#This Row],[Customers Visited]])</f>
        <v>0.46120689655172414</v>
      </c>
      <c r="AH3133" s="5">
        <f>IF(SalesData[[#This Row],[Customers Visited]]=0,0,SalesData[[#This Row],[Contracts Signed]]/SalesData[[#This Row],[Customers Visited]])</f>
        <v>9.9137931034482762E-2</v>
      </c>
      <c r="AI3133" s="6">
        <f>IF(SalesData[[#This Row],[Contracts Signed]]=0,0,SalesData[[#This Row],[Profit(€)]]/SalesData[[#This Row],[Contracts Signed]])</f>
        <v>9161</v>
      </c>
      <c r="AJ3133" s="5" t="str">
        <f>TRIM(CLEAN(SalesData[[#This Row],[Retailer]]))</f>
        <v>Rhein Auto Group</v>
      </c>
    </row>
    <row r="3134" spans="1:36" ht="14.25" hidden="1" x14ac:dyDescent="0.2">
      <c r="A3134" t="s">
        <v>4294</v>
      </c>
      <c r="B3134" s="1">
        <v>46075</v>
      </c>
      <c r="C3134" t="s">
        <v>53</v>
      </c>
      <c r="D3134" t="s">
        <v>41</v>
      </c>
      <c r="E3134" t="s">
        <v>42</v>
      </c>
      <c r="F3134" t="s">
        <v>114</v>
      </c>
      <c r="G3134" t="s">
        <v>115</v>
      </c>
      <c r="H3134" t="s">
        <v>115</v>
      </c>
      <c r="I3134" t="s">
        <v>116</v>
      </c>
      <c r="J3134" t="s">
        <v>7026</v>
      </c>
      <c r="K3134" t="s">
        <v>66</v>
      </c>
      <c r="L3134" t="s">
        <v>46</v>
      </c>
      <c r="M3134" t="s">
        <v>87</v>
      </c>
      <c r="N3134" t="s">
        <v>69</v>
      </c>
      <c r="O3134" t="s">
        <v>70</v>
      </c>
      <c r="P3134" t="s">
        <v>71</v>
      </c>
      <c r="Q3134" t="s">
        <v>50</v>
      </c>
      <c r="R3134">
        <v>289</v>
      </c>
      <c r="S3134">
        <v>123</v>
      </c>
      <c r="T3134">
        <v>70</v>
      </c>
      <c r="U3134">
        <v>21</v>
      </c>
      <c r="V3134" t="s">
        <v>962</v>
      </c>
      <c r="W3134">
        <v>19161</v>
      </c>
      <c r="X3134" t="s">
        <v>7519</v>
      </c>
      <c r="Y3134">
        <v>17638</v>
      </c>
      <c r="Z3134">
        <v>402381</v>
      </c>
      <c r="AA3134">
        <v>31983</v>
      </c>
      <c r="AB3134" t="str">
        <f>(VLOOKUP(SalesData[[#This Row],[Month Number]],Reference!C$5:E$16,2,FALSE))</f>
        <v>Feb</v>
      </c>
      <c r="AC3134">
        <f>MONTH(SalesData[[#This Row],[Date]])</f>
        <v>2</v>
      </c>
      <c r="AD3134">
        <f>Reference!F$4</f>
        <v>2026</v>
      </c>
      <c r="AE3134" t="str">
        <f>IF(OR(SalesData[[#This Row],[Day]]="Saturday",SalesData[[#This Row],[Day]]="Sunday"),"Weekend","Weekday")</f>
        <v>Weekend</v>
      </c>
      <c r="AF3134" s="5">
        <f>IF(SalesData[[#This Row],[Contracts Offered]]=0,0,SalesData[[#This Row],[Contracts Signed]]/SalesData[[#This Row],[Contracts Offered]])</f>
        <v>0.3</v>
      </c>
      <c r="AG3134" s="5">
        <f>IF(SalesData[[#This Row],[Customers Visited]]=0,0,SalesData[[#This Row],[Test Drives]]/SalesData[[#This Row],[Customers Visited]])</f>
        <v>0.42560553633217996</v>
      </c>
      <c r="AH3134" s="5">
        <f>IF(SalesData[[#This Row],[Customers Visited]]=0,0,SalesData[[#This Row],[Contracts Signed]]/SalesData[[#This Row],[Customers Visited]])</f>
        <v>7.2664359861591699E-2</v>
      </c>
      <c r="AI3134" s="6">
        <f>IF(SalesData[[#This Row],[Contracts Signed]]=0,0,SalesData[[#This Row],[Profit(€)]]/SalesData[[#This Row],[Contracts Signed]])</f>
        <v>1523</v>
      </c>
      <c r="AJ3134" s="5" t="str">
        <f>TRIM(CLEAN(SalesData[[#This Row],[Retailer]]))</f>
        <v>Elbe Drive</v>
      </c>
    </row>
    <row r="3135" spans="1:36" ht="14.25" hidden="1" x14ac:dyDescent="0.2">
      <c r="A3135" t="s">
        <v>4295</v>
      </c>
      <c r="B3135" s="1">
        <v>46058</v>
      </c>
      <c r="C3135" t="s">
        <v>24</v>
      </c>
      <c r="D3135" t="s">
        <v>100</v>
      </c>
      <c r="E3135" t="s">
        <v>26</v>
      </c>
      <c r="F3135" t="s">
        <v>83</v>
      </c>
      <c r="G3135" t="s">
        <v>84</v>
      </c>
      <c r="H3135" t="s">
        <v>85</v>
      </c>
      <c r="I3135" t="s">
        <v>64</v>
      </c>
      <c r="J3135" t="s">
        <v>7029</v>
      </c>
      <c r="K3135" t="s">
        <v>32</v>
      </c>
      <c r="L3135" t="s">
        <v>33</v>
      </c>
      <c r="M3135" t="s">
        <v>68</v>
      </c>
      <c r="N3135" t="s">
        <v>69</v>
      </c>
      <c r="O3135" t="s">
        <v>70</v>
      </c>
      <c r="P3135" t="s">
        <v>71</v>
      </c>
      <c r="Q3135" t="s">
        <v>172</v>
      </c>
      <c r="R3135">
        <v>172</v>
      </c>
      <c r="S3135">
        <v>94</v>
      </c>
      <c r="T3135">
        <v>69</v>
      </c>
      <c r="U3135">
        <v>22</v>
      </c>
      <c r="V3135" t="s">
        <v>6801</v>
      </c>
      <c r="W3135">
        <v>65564</v>
      </c>
      <c r="X3135" t="s">
        <v>2061</v>
      </c>
      <c r="Y3135">
        <v>47468</v>
      </c>
      <c r="Z3135">
        <v>1442408</v>
      </c>
      <c r="AA3135">
        <v>398112</v>
      </c>
      <c r="AB3135" t="str">
        <f>(VLOOKUP(SalesData[[#This Row],[Month Number]],Reference!C$5:E$16,2,FALSE))</f>
        <v>Feb</v>
      </c>
      <c r="AC3135">
        <f>MONTH(SalesData[[#This Row],[Date]])</f>
        <v>2</v>
      </c>
      <c r="AD3135">
        <f>Reference!F$4</f>
        <v>2026</v>
      </c>
      <c r="AE3135" t="str">
        <f>IF(OR(SalesData[[#This Row],[Day]]="Saturday",SalesData[[#This Row],[Day]]="Sunday"),"Weekend","Weekday")</f>
        <v>Weekday</v>
      </c>
      <c r="AF3135" s="5">
        <f>IF(SalesData[[#This Row],[Contracts Offered]]=0,0,SalesData[[#This Row],[Contracts Signed]]/SalesData[[#This Row],[Contracts Offered]])</f>
        <v>0.3188405797101449</v>
      </c>
      <c r="AG3135" s="5">
        <f>IF(SalesData[[#This Row],[Customers Visited]]=0,0,SalesData[[#This Row],[Test Drives]]/SalesData[[#This Row],[Customers Visited]])</f>
        <v>0.54651162790697672</v>
      </c>
      <c r="AH3135" s="5">
        <f>IF(SalesData[[#This Row],[Customers Visited]]=0,0,SalesData[[#This Row],[Contracts Signed]]/SalesData[[#This Row],[Customers Visited]])</f>
        <v>0.12790697674418605</v>
      </c>
      <c r="AI3135" s="6">
        <f>IF(SalesData[[#This Row],[Contracts Signed]]=0,0,SalesData[[#This Row],[Profit(€)]]/SalesData[[#This Row],[Contracts Signed]])</f>
        <v>18096</v>
      </c>
      <c r="AJ3135" s="5" t="str">
        <f>TRIM(CLEAN(SalesData[[#This Row],[Retailer]]))</f>
        <v>Hannover Cars</v>
      </c>
    </row>
    <row r="3136" spans="1:36" ht="14.25" hidden="1" x14ac:dyDescent="0.2">
      <c r="A3136" t="s">
        <v>4296</v>
      </c>
      <c r="B3136" s="1">
        <v>46069</v>
      </c>
      <c r="C3136" t="s">
        <v>62</v>
      </c>
      <c r="D3136" t="s">
        <v>25</v>
      </c>
      <c r="E3136" t="s">
        <v>26</v>
      </c>
      <c r="F3136" t="s">
        <v>94</v>
      </c>
      <c r="G3136" t="s">
        <v>95</v>
      </c>
      <c r="H3136" t="s">
        <v>96</v>
      </c>
      <c r="I3136" t="s">
        <v>64</v>
      </c>
      <c r="J3136" t="s">
        <v>65</v>
      </c>
      <c r="K3136" t="s">
        <v>66</v>
      </c>
      <c r="L3136" t="s">
        <v>33</v>
      </c>
      <c r="M3136" t="s">
        <v>87</v>
      </c>
      <c r="N3136" t="s">
        <v>35</v>
      </c>
      <c r="O3136" t="s">
        <v>70</v>
      </c>
      <c r="P3136" t="s">
        <v>71</v>
      </c>
      <c r="Q3136" t="s">
        <v>135</v>
      </c>
      <c r="R3136">
        <v>189</v>
      </c>
      <c r="S3136">
        <v>97</v>
      </c>
      <c r="T3136">
        <v>67</v>
      </c>
      <c r="U3136">
        <v>27</v>
      </c>
      <c r="V3136" t="s">
        <v>6566</v>
      </c>
      <c r="W3136">
        <v>66836</v>
      </c>
      <c r="X3136" t="s">
        <v>7518</v>
      </c>
      <c r="Y3136">
        <v>47888</v>
      </c>
      <c r="Z3136">
        <v>1804572</v>
      </c>
      <c r="AA3136">
        <v>511596</v>
      </c>
      <c r="AB3136" t="str">
        <f>(VLOOKUP(SalesData[[#This Row],[Month Number]],Reference!C$5:E$16,2,FALSE))</f>
        <v>Feb</v>
      </c>
      <c r="AC3136">
        <f>MONTH(SalesData[[#This Row],[Date]])</f>
        <v>2</v>
      </c>
      <c r="AD3136">
        <f>Reference!F$4</f>
        <v>2026</v>
      </c>
      <c r="AE3136" t="str">
        <f>IF(OR(SalesData[[#This Row],[Day]]="Saturday",SalesData[[#This Row],[Day]]="Sunday"),"Weekend","Weekday")</f>
        <v>Weekday</v>
      </c>
      <c r="AF3136" s="5">
        <f>IF(SalesData[[#This Row],[Contracts Offered]]=0,0,SalesData[[#This Row],[Contracts Signed]]/SalesData[[#This Row],[Contracts Offered]])</f>
        <v>0.40298507462686567</v>
      </c>
      <c r="AG3136" s="5">
        <f>IF(SalesData[[#This Row],[Customers Visited]]=0,0,SalesData[[#This Row],[Test Drives]]/SalesData[[#This Row],[Customers Visited]])</f>
        <v>0.51322751322751325</v>
      </c>
      <c r="AH3136" s="5">
        <f>IF(SalesData[[#This Row],[Customers Visited]]=0,0,SalesData[[#This Row],[Contracts Signed]]/SalesData[[#This Row],[Customers Visited]])</f>
        <v>0.14285714285714285</v>
      </c>
      <c r="AI3136" s="6">
        <f>IF(SalesData[[#This Row],[Contracts Signed]]=0,0,SalesData[[#This Row],[Profit(€)]]/SalesData[[#This Row],[Contracts Signed]])</f>
        <v>18948</v>
      </c>
      <c r="AJ3136" s="5" t="str">
        <f>TRIM(CLEAN(SalesData[[#This Row],[Retailer]]))</f>
        <v>Bavaria Motors</v>
      </c>
    </row>
    <row r="3137" spans="1:36" ht="14.25" x14ac:dyDescent="0.2">
      <c r="A3137" t="s">
        <v>4297</v>
      </c>
      <c r="B3137" s="1">
        <v>46081</v>
      </c>
      <c r="C3137" t="s">
        <v>53</v>
      </c>
      <c r="D3137" t="s">
        <v>151</v>
      </c>
      <c r="E3137" t="s">
        <v>42</v>
      </c>
      <c r="F3137" t="s">
        <v>94</v>
      </c>
      <c r="G3137" t="s">
        <v>95</v>
      </c>
      <c r="H3137" t="s">
        <v>96</v>
      </c>
      <c r="I3137" t="s">
        <v>30</v>
      </c>
      <c r="J3137" t="s">
        <v>7075</v>
      </c>
      <c r="K3137" t="s">
        <v>32</v>
      </c>
      <c r="L3137" t="s">
        <v>33</v>
      </c>
      <c r="M3137" t="s">
        <v>34</v>
      </c>
      <c r="N3137" t="s">
        <v>48</v>
      </c>
      <c r="O3137" t="s">
        <v>70</v>
      </c>
      <c r="P3137" t="s">
        <v>37</v>
      </c>
      <c r="Q3137" t="s">
        <v>88</v>
      </c>
      <c r="R3137">
        <v>178</v>
      </c>
      <c r="S3137">
        <v>100</v>
      </c>
      <c r="T3137">
        <v>77</v>
      </c>
      <c r="U3137">
        <v>25</v>
      </c>
      <c r="V3137" t="s">
        <v>6403</v>
      </c>
      <c r="W3137">
        <v>51949</v>
      </c>
      <c r="X3137" t="s">
        <v>7138</v>
      </c>
      <c r="Y3137">
        <v>37488</v>
      </c>
      <c r="Z3137">
        <v>1298725</v>
      </c>
      <c r="AA3137">
        <v>361525</v>
      </c>
      <c r="AB3137" t="str">
        <f>(VLOOKUP(SalesData[[#This Row],[Month Number]],Reference!C$5:E$16,2,FALSE))</f>
        <v>Feb</v>
      </c>
      <c r="AC3137">
        <f>MONTH(SalesData[[#This Row],[Date]])</f>
        <v>2</v>
      </c>
      <c r="AD3137">
        <f>Reference!F$4</f>
        <v>2026</v>
      </c>
      <c r="AE3137" t="str">
        <f>IF(OR(SalesData[[#This Row],[Day]]="Saturday",SalesData[[#This Row],[Day]]="Sunday"),"Weekend","Weekday")</f>
        <v>Weekend</v>
      </c>
      <c r="AF3137" s="5">
        <f>IF(SalesData[[#This Row],[Contracts Offered]]=0,0,SalesData[[#This Row],[Contracts Signed]]/SalesData[[#This Row],[Contracts Offered]])</f>
        <v>0.32467532467532467</v>
      </c>
      <c r="AG3137" s="5">
        <f>IF(SalesData[[#This Row],[Customers Visited]]=0,0,SalesData[[#This Row],[Test Drives]]/SalesData[[#This Row],[Customers Visited]])</f>
        <v>0.5617977528089888</v>
      </c>
      <c r="AH3137" s="5">
        <f>IF(SalesData[[#This Row],[Customers Visited]]=0,0,SalesData[[#This Row],[Contracts Signed]]/SalesData[[#This Row],[Customers Visited]])</f>
        <v>0.1404494382022472</v>
      </c>
      <c r="AI3137" s="6">
        <f>IF(SalesData[[#This Row],[Contracts Signed]]=0,0,SalesData[[#This Row],[Profit(€)]]/SalesData[[#This Row],[Contracts Signed]])</f>
        <v>14461</v>
      </c>
      <c r="AJ3137" s="5" t="str">
        <f>TRIM(CLEAN(SalesData[[#This Row],[Retailer]]))</f>
        <v>Bavaria Motors</v>
      </c>
    </row>
    <row r="3138" spans="1:36" ht="14.25" hidden="1" x14ac:dyDescent="0.2">
      <c r="A3138" t="s">
        <v>4298</v>
      </c>
      <c r="B3138" s="1">
        <v>46064</v>
      </c>
      <c r="C3138" t="s">
        <v>121</v>
      </c>
      <c r="D3138" t="s">
        <v>82</v>
      </c>
      <c r="E3138" t="s">
        <v>26</v>
      </c>
      <c r="F3138" t="s">
        <v>127</v>
      </c>
      <c r="G3138" t="s">
        <v>128</v>
      </c>
      <c r="H3138" t="s">
        <v>103</v>
      </c>
      <c r="I3138" t="s">
        <v>56</v>
      </c>
      <c r="J3138" t="s">
        <v>7028</v>
      </c>
      <c r="K3138" t="s">
        <v>32</v>
      </c>
      <c r="L3138" t="s">
        <v>46</v>
      </c>
      <c r="M3138" t="s">
        <v>68</v>
      </c>
      <c r="N3138" t="s">
        <v>48</v>
      </c>
      <c r="O3138" t="s">
        <v>36</v>
      </c>
      <c r="P3138" t="s">
        <v>37</v>
      </c>
      <c r="Q3138" t="s">
        <v>167</v>
      </c>
      <c r="R3138">
        <v>180</v>
      </c>
      <c r="S3138">
        <v>85</v>
      </c>
      <c r="T3138">
        <v>62</v>
      </c>
      <c r="U3138">
        <v>19</v>
      </c>
      <c r="V3138" t="s">
        <v>6744</v>
      </c>
      <c r="W3138">
        <v>47795</v>
      </c>
      <c r="X3138" t="s">
        <v>7307</v>
      </c>
      <c r="Y3138">
        <v>37810</v>
      </c>
      <c r="Z3138">
        <v>908105</v>
      </c>
      <c r="AA3138">
        <v>189715</v>
      </c>
      <c r="AB3138" t="str">
        <f>(VLOOKUP(SalesData[[#This Row],[Month Number]],Reference!C$5:E$16,2,FALSE))</f>
        <v>Feb</v>
      </c>
      <c r="AC3138">
        <f>MONTH(SalesData[[#This Row],[Date]])</f>
        <v>2</v>
      </c>
      <c r="AD3138">
        <f>Reference!F$4</f>
        <v>2026</v>
      </c>
      <c r="AE3138" t="str">
        <f>IF(OR(SalesData[[#This Row],[Day]]="Saturday",SalesData[[#This Row],[Day]]="Sunday"),"Weekend","Weekday")</f>
        <v>Weekday</v>
      </c>
      <c r="AF3138" s="5">
        <f>IF(SalesData[[#This Row],[Contracts Offered]]=0,0,SalesData[[#This Row],[Contracts Signed]]/SalesData[[#This Row],[Contracts Offered]])</f>
        <v>0.30645161290322581</v>
      </c>
      <c r="AG3138" s="5">
        <f>IF(SalesData[[#This Row],[Customers Visited]]=0,0,SalesData[[#This Row],[Test Drives]]/SalesData[[#This Row],[Customers Visited]])</f>
        <v>0.47222222222222221</v>
      </c>
      <c r="AH3138" s="5">
        <f>IF(SalesData[[#This Row],[Customers Visited]]=0,0,SalesData[[#This Row],[Contracts Signed]]/SalesData[[#This Row],[Customers Visited]])</f>
        <v>0.10555555555555556</v>
      </c>
      <c r="AI3138" s="6">
        <f>IF(SalesData[[#This Row],[Contracts Signed]]=0,0,SalesData[[#This Row],[Profit(€)]]/SalesData[[#This Row],[Contracts Signed]])</f>
        <v>9985</v>
      </c>
      <c r="AJ3138" s="5" t="str">
        <f>TRIM(CLEAN(SalesData[[#This Row],[Retailer]]))</f>
        <v>Rhein Auto Group</v>
      </c>
    </row>
    <row r="3139" spans="1:36" ht="14.25" hidden="1" x14ac:dyDescent="0.2">
      <c r="A3139" t="s">
        <v>4299</v>
      </c>
      <c r="B3139" s="1">
        <v>46075</v>
      </c>
      <c r="C3139" t="s">
        <v>53</v>
      </c>
      <c r="D3139" t="s">
        <v>41</v>
      </c>
      <c r="E3139" t="s">
        <v>42</v>
      </c>
      <c r="F3139" t="s">
        <v>27</v>
      </c>
      <c r="G3139" t="s">
        <v>28</v>
      </c>
      <c r="H3139" t="s">
        <v>29</v>
      </c>
      <c r="I3139" t="s">
        <v>64</v>
      </c>
      <c r="J3139" t="s">
        <v>65</v>
      </c>
      <c r="K3139" t="s">
        <v>66</v>
      </c>
      <c r="L3139" t="s">
        <v>33</v>
      </c>
      <c r="M3139" t="s">
        <v>87</v>
      </c>
      <c r="N3139" t="s">
        <v>35</v>
      </c>
      <c r="O3139" t="s">
        <v>70</v>
      </c>
      <c r="P3139" t="s">
        <v>37</v>
      </c>
      <c r="Q3139" t="s">
        <v>167</v>
      </c>
      <c r="R3139">
        <v>158</v>
      </c>
      <c r="S3139">
        <v>90</v>
      </c>
      <c r="T3139">
        <v>65</v>
      </c>
      <c r="U3139">
        <v>21</v>
      </c>
      <c r="V3139" t="s">
        <v>6365</v>
      </c>
      <c r="W3139">
        <v>61378</v>
      </c>
      <c r="X3139" t="s">
        <v>5094</v>
      </c>
      <c r="Y3139">
        <v>43844</v>
      </c>
      <c r="Z3139">
        <v>1288938</v>
      </c>
      <c r="AA3139">
        <v>368214</v>
      </c>
      <c r="AB3139" t="str">
        <f>(VLOOKUP(SalesData[[#This Row],[Month Number]],Reference!C$5:E$16,2,FALSE))</f>
        <v>Feb</v>
      </c>
      <c r="AC3139">
        <f>MONTH(SalesData[[#This Row],[Date]])</f>
        <v>2</v>
      </c>
      <c r="AD3139">
        <f>Reference!F$4</f>
        <v>2026</v>
      </c>
      <c r="AE3139" t="str">
        <f>IF(OR(SalesData[[#This Row],[Day]]="Saturday",SalesData[[#This Row],[Day]]="Sunday"),"Weekend","Weekday")</f>
        <v>Weekend</v>
      </c>
      <c r="AF3139" s="5">
        <f>IF(SalesData[[#This Row],[Contracts Offered]]=0,0,SalesData[[#This Row],[Contracts Signed]]/SalesData[[#This Row],[Contracts Offered]])</f>
        <v>0.32307692307692309</v>
      </c>
      <c r="AG3139" s="5">
        <f>IF(SalesData[[#This Row],[Customers Visited]]=0,0,SalesData[[#This Row],[Test Drives]]/SalesData[[#This Row],[Customers Visited]])</f>
        <v>0.569620253164557</v>
      </c>
      <c r="AH3139" s="5">
        <f>IF(SalesData[[#This Row],[Customers Visited]]=0,0,SalesData[[#This Row],[Contracts Signed]]/SalesData[[#This Row],[Customers Visited]])</f>
        <v>0.13291139240506328</v>
      </c>
      <c r="AI3139" s="6">
        <f>IF(SalesData[[#This Row],[Contracts Signed]]=0,0,SalesData[[#This Row],[Profit(€)]]/SalesData[[#This Row],[Contracts Signed]])</f>
        <v>17534</v>
      </c>
      <c r="AJ3139" s="5" t="str">
        <f>TRIM(CLEAN(SalesData[[#This Row],[Retailer]]))</f>
        <v>Main Auto Hub</v>
      </c>
    </row>
    <row r="3140" spans="1:36" ht="14.25" hidden="1" x14ac:dyDescent="0.2">
      <c r="A3140" t="s">
        <v>4300</v>
      </c>
      <c r="B3140" s="1">
        <v>46067</v>
      </c>
      <c r="C3140" t="s">
        <v>121</v>
      </c>
      <c r="D3140" t="s">
        <v>151</v>
      </c>
      <c r="E3140" t="s">
        <v>42</v>
      </c>
      <c r="F3140" t="s">
        <v>43</v>
      </c>
      <c r="G3140" t="s">
        <v>44</v>
      </c>
      <c r="H3140" t="s">
        <v>45</v>
      </c>
      <c r="I3140" t="s">
        <v>116</v>
      </c>
      <c r="J3140" t="s">
        <v>132</v>
      </c>
      <c r="K3140" t="s">
        <v>91</v>
      </c>
      <c r="L3140" t="s">
        <v>46</v>
      </c>
      <c r="M3140" t="s">
        <v>87</v>
      </c>
      <c r="N3140" t="s">
        <v>48</v>
      </c>
      <c r="O3140" t="s">
        <v>36</v>
      </c>
      <c r="P3140" t="s">
        <v>58</v>
      </c>
      <c r="Q3140" t="s">
        <v>79</v>
      </c>
      <c r="R3140">
        <v>302</v>
      </c>
      <c r="S3140">
        <v>133</v>
      </c>
      <c r="T3140">
        <v>80</v>
      </c>
      <c r="U3140">
        <v>22</v>
      </c>
      <c r="V3140" t="s">
        <v>1688</v>
      </c>
      <c r="W3140">
        <v>24200</v>
      </c>
      <c r="X3140" t="s">
        <v>2440</v>
      </c>
      <c r="Y3140">
        <v>21748</v>
      </c>
      <c r="Z3140">
        <v>532400</v>
      </c>
      <c r="AA3140">
        <v>53944</v>
      </c>
      <c r="AB3140" t="str">
        <f>(VLOOKUP(SalesData[[#This Row],[Month Number]],Reference!C$5:E$16,2,FALSE))</f>
        <v>Feb</v>
      </c>
      <c r="AC3140">
        <f>MONTH(SalesData[[#This Row],[Date]])</f>
        <v>2</v>
      </c>
      <c r="AD3140">
        <f>Reference!F$4</f>
        <v>2026</v>
      </c>
      <c r="AE3140" t="str">
        <f>IF(OR(SalesData[[#This Row],[Day]]="Saturday",SalesData[[#This Row],[Day]]="Sunday"),"Weekend","Weekday")</f>
        <v>Weekend</v>
      </c>
      <c r="AF3140" s="5">
        <f>IF(SalesData[[#This Row],[Contracts Offered]]=0,0,SalesData[[#This Row],[Contracts Signed]]/SalesData[[#This Row],[Contracts Offered]])</f>
        <v>0.27500000000000002</v>
      </c>
      <c r="AG3140" s="5">
        <f>IF(SalesData[[#This Row],[Customers Visited]]=0,0,SalesData[[#This Row],[Test Drives]]/SalesData[[#This Row],[Customers Visited]])</f>
        <v>0.44039735099337746</v>
      </c>
      <c r="AH3140" s="5">
        <f>IF(SalesData[[#This Row],[Customers Visited]]=0,0,SalesData[[#This Row],[Contracts Signed]]/SalesData[[#This Row],[Customers Visited]])</f>
        <v>7.2847682119205295E-2</v>
      </c>
      <c r="AI3140" s="6">
        <f>IF(SalesData[[#This Row],[Contracts Signed]]=0,0,SalesData[[#This Row],[Profit(€)]]/SalesData[[#This Row],[Contracts Signed]])</f>
        <v>2452</v>
      </c>
      <c r="AJ3140" s="5" t="str">
        <f>TRIM(CLEAN(SalesData[[#This Row],[Retailer]]))</f>
        <v>Saxon Wheels</v>
      </c>
    </row>
    <row r="3141" spans="1:36" ht="14.25" hidden="1" x14ac:dyDescent="0.2">
      <c r="A3141" t="s">
        <v>4301</v>
      </c>
      <c r="B3141" s="1">
        <v>46063</v>
      </c>
      <c r="C3141" t="s">
        <v>121</v>
      </c>
      <c r="D3141" t="s">
        <v>63</v>
      </c>
      <c r="E3141" t="s">
        <v>26</v>
      </c>
      <c r="F3141" t="s">
        <v>74</v>
      </c>
      <c r="G3141" t="s">
        <v>75</v>
      </c>
      <c r="H3141" t="s">
        <v>76</v>
      </c>
      <c r="I3141" t="s">
        <v>56</v>
      </c>
      <c r="J3141" t="s">
        <v>137</v>
      </c>
      <c r="K3141" t="s">
        <v>66</v>
      </c>
      <c r="L3141" t="s">
        <v>46</v>
      </c>
      <c r="M3141" t="s">
        <v>87</v>
      </c>
      <c r="N3141" t="s">
        <v>69</v>
      </c>
      <c r="O3141" t="s">
        <v>70</v>
      </c>
      <c r="P3141" t="s">
        <v>49</v>
      </c>
      <c r="Q3141" t="s">
        <v>204</v>
      </c>
      <c r="R3141">
        <v>259</v>
      </c>
      <c r="S3141">
        <v>145</v>
      </c>
      <c r="T3141">
        <v>103</v>
      </c>
      <c r="U3141">
        <v>30</v>
      </c>
      <c r="V3141" t="s">
        <v>6818</v>
      </c>
      <c r="W3141">
        <v>54889</v>
      </c>
      <c r="X3141" t="s">
        <v>2667</v>
      </c>
      <c r="Y3141">
        <v>43575</v>
      </c>
      <c r="Z3141">
        <v>1646670</v>
      </c>
      <c r="AA3141">
        <v>339420</v>
      </c>
      <c r="AB3141" t="str">
        <f>(VLOOKUP(SalesData[[#This Row],[Month Number]],Reference!C$5:E$16,2,FALSE))</f>
        <v>Feb</v>
      </c>
      <c r="AC3141">
        <f>MONTH(SalesData[[#This Row],[Date]])</f>
        <v>2</v>
      </c>
      <c r="AD3141">
        <f>Reference!F$4</f>
        <v>2026</v>
      </c>
      <c r="AE3141" t="str">
        <f>IF(OR(SalesData[[#This Row],[Day]]="Saturday",SalesData[[#This Row],[Day]]="Sunday"),"Weekend","Weekday")</f>
        <v>Weekday</v>
      </c>
      <c r="AF3141" s="5">
        <f>IF(SalesData[[#This Row],[Contracts Offered]]=0,0,SalesData[[#This Row],[Contracts Signed]]/SalesData[[#This Row],[Contracts Offered]])</f>
        <v>0.29126213592233008</v>
      </c>
      <c r="AG3141" s="5">
        <f>IF(SalesData[[#This Row],[Customers Visited]]=0,0,SalesData[[#This Row],[Test Drives]]/SalesData[[#This Row],[Customers Visited]])</f>
        <v>0.55984555984555984</v>
      </c>
      <c r="AH3141" s="5">
        <f>IF(SalesData[[#This Row],[Customers Visited]]=0,0,SalesData[[#This Row],[Contracts Signed]]/SalesData[[#This Row],[Customers Visited]])</f>
        <v>0.11583011583011583</v>
      </c>
      <c r="AI3141" s="6">
        <f>IF(SalesData[[#This Row],[Contracts Signed]]=0,0,SalesData[[#This Row],[Profit(€)]]/SalesData[[#This Row],[Contracts Signed]])</f>
        <v>11314</v>
      </c>
      <c r="AJ3141" s="5" t="str">
        <f>TRIM(CLEAN(SalesData[[#This Row],[Retailer]]))</f>
        <v>Stuttgart Auto Center</v>
      </c>
    </row>
    <row r="3142" spans="1:36" ht="14.25" hidden="1" x14ac:dyDescent="0.2">
      <c r="A3142" t="s">
        <v>4302</v>
      </c>
      <c r="B3142" s="1">
        <v>46072</v>
      </c>
      <c r="C3142" t="s">
        <v>62</v>
      </c>
      <c r="D3142" t="s">
        <v>100</v>
      </c>
      <c r="E3142" t="s">
        <v>26</v>
      </c>
      <c r="F3142" t="s">
        <v>83</v>
      </c>
      <c r="G3142" t="s">
        <v>84</v>
      </c>
      <c r="H3142" t="s">
        <v>85</v>
      </c>
      <c r="I3142" t="s">
        <v>104</v>
      </c>
      <c r="J3142" t="s">
        <v>7031</v>
      </c>
      <c r="K3142" t="s">
        <v>32</v>
      </c>
      <c r="L3142" t="s">
        <v>46</v>
      </c>
      <c r="M3142" t="s">
        <v>34</v>
      </c>
      <c r="N3142" t="s">
        <v>69</v>
      </c>
      <c r="O3142" t="s">
        <v>36</v>
      </c>
      <c r="P3142" t="s">
        <v>58</v>
      </c>
      <c r="Q3142" t="s">
        <v>118</v>
      </c>
      <c r="R3142">
        <v>287</v>
      </c>
      <c r="S3142">
        <v>143</v>
      </c>
      <c r="T3142">
        <v>96</v>
      </c>
      <c r="U3142">
        <v>29</v>
      </c>
      <c r="V3142" t="s">
        <v>7584</v>
      </c>
      <c r="W3142">
        <v>28355</v>
      </c>
      <c r="X3142" t="s">
        <v>7405</v>
      </c>
      <c r="Y3142">
        <v>24734</v>
      </c>
      <c r="Z3142">
        <v>822295</v>
      </c>
      <c r="AA3142">
        <v>105009</v>
      </c>
      <c r="AB3142" t="str">
        <f>(VLOOKUP(SalesData[[#This Row],[Month Number]],Reference!C$5:E$16,2,FALSE))</f>
        <v>Feb</v>
      </c>
      <c r="AC3142">
        <f>MONTH(SalesData[[#This Row],[Date]])</f>
        <v>2</v>
      </c>
      <c r="AD3142">
        <f>Reference!F$4</f>
        <v>2026</v>
      </c>
      <c r="AE3142" t="str">
        <f>IF(OR(SalesData[[#This Row],[Day]]="Saturday",SalesData[[#This Row],[Day]]="Sunday"),"Weekend","Weekday")</f>
        <v>Weekday</v>
      </c>
      <c r="AF3142" s="5">
        <f>IF(SalesData[[#This Row],[Contracts Offered]]=0,0,SalesData[[#This Row],[Contracts Signed]]/SalesData[[#This Row],[Contracts Offered]])</f>
        <v>0.30208333333333331</v>
      </c>
      <c r="AG3142" s="5">
        <f>IF(SalesData[[#This Row],[Customers Visited]]=0,0,SalesData[[#This Row],[Test Drives]]/SalesData[[#This Row],[Customers Visited]])</f>
        <v>0.49825783972125437</v>
      </c>
      <c r="AH3142" s="5">
        <f>IF(SalesData[[#This Row],[Customers Visited]]=0,0,SalesData[[#This Row],[Contracts Signed]]/SalesData[[#This Row],[Customers Visited]])</f>
        <v>0.10104529616724739</v>
      </c>
      <c r="AI3142" s="6">
        <f>IF(SalesData[[#This Row],[Contracts Signed]]=0,0,SalesData[[#This Row],[Profit(€)]]/SalesData[[#This Row],[Contracts Signed]])</f>
        <v>3621</v>
      </c>
      <c r="AJ3142" s="5" t="str">
        <f>TRIM(CLEAN(SalesData[[#This Row],[Retailer]]))</f>
        <v>Hannover Cars</v>
      </c>
    </row>
    <row r="3143" spans="1:36" ht="14.25" hidden="1" x14ac:dyDescent="0.2">
      <c r="A3143" t="s">
        <v>4303</v>
      </c>
      <c r="B3143" s="1">
        <v>46075</v>
      </c>
      <c r="C3143" t="s">
        <v>53</v>
      </c>
      <c r="D3143" t="s">
        <v>41</v>
      </c>
      <c r="E3143" t="s">
        <v>42</v>
      </c>
      <c r="F3143" t="s">
        <v>74</v>
      </c>
      <c r="G3143" t="s">
        <v>75</v>
      </c>
      <c r="H3143" t="s">
        <v>76</v>
      </c>
      <c r="I3143" t="s">
        <v>56</v>
      </c>
      <c r="J3143" t="s">
        <v>7028</v>
      </c>
      <c r="K3143" t="s">
        <v>91</v>
      </c>
      <c r="L3143" t="s">
        <v>46</v>
      </c>
      <c r="M3143" t="s">
        <v>47</v>
      </c>
      <c r="N3143" t="s">
        <v>35</v>
      </c>
      <c r="O3143" t="s">
        <v>70</v>
      </c>
      <c r="P3143" t="s">
        <v>49</v>
      </c>
      <c r="Q3143" t="s">
        <v>59</v>
      </c>
      <c r="R3143">
        <v>248</v>
      </c>
      <c r="S3143">
        <v>116</v>
      </c>
      <c r="T3143">
        <v>74</v>
      </c>
      <c r="U3143">
        <v>23</v>
      </c>
      <c r="V3143" t="s">
        <v>1976</v>
      </c>
      <c r="W3143">
        <v>46483</v>
      </c>
      <c r="X3143" t="s">
        <v>7135</v>
      </c>
      <c r="Y3143">
        <v>36848</v>
      </c>
      <c r="Z3143">
        <v>1069109</v>
      </c>
      <c r="AA3143">
        <v>221605</v>
      </c>
      <c r="AB3143" t="str">
        <f>(VLOOKUP(SalesData[[#This Row],[Month Number]],Reference!C$5:E$16,2,FALSE))</f>
        <v>Feb</v>
      </c>
      <c r="AC3143">
        <f>MONTH(SalesData[[#This Row],[Date]])</f>
        <v>2</v>
      </c>
      <c r="AD3143">
        <f>Reference!F$4</f>
        <v>2026</v>
      </c>
      <c r="AE3143" t="str">
        <f>IF(OR(SalesData[[#This Row],[Day]]="Saturday",SalesData[[#This Row],[Day]]="Sunday"),"Weekend","Weekday")</f>
        <v>Weekend</v>
      </c>
      <c r="AF3143" s="5">
        <f>IF(SalesData[[#This Row],[Contracts Offered]]=0,0,SalesData[[#This Row],[Contracts Signed]]/SalesData[[#This Row],[Contracts Offered]])</f>
        <v>0.3108108108108108</v>
      </c>
      <c r="AG3143" s="5">
        <f>IF(SalesData[[#This Row],[Customers Visited]]=0,0,SalesData[[#This Row],[Test Drives]]/SalesData[[#This Row],[Customers Visited]])</f>
        <v>0.46774193548387094</v>
      </c>
      <c r="AH3143" s="5">
        <f>IF(SalesData[[#This Row],[Customers Visited]]=0,0,SalesData[[#This Row],[Contracts Signed]]/SalesData[[#This Row],[Customers Visited]])</f>
        <v>9.2741935483870969E-2</v>
      </c>
      <c r="AI3143" s="6">
        <f>IF(SalesData[[#This Row],[Contracts Signed]]=0,0,SalesData[[#This Row],[Profit(€)]]/SalesData[[#This Row],[Contracts Signed]])</f>
        <v>9635</v>
      </c>
      <c r="AJ3143" s="5" t="str">
        <f>TRIM(CLEAN(SalesData[[#This Row],[Retailer]]))</f>
        <v>Stuttgart Auto Center</v>
      </c>
    </row>
    <row r="3144" spans="1:36" ht="14.25" hidden="1" x14ac:dyDescent="0.2">
      <c r="A3144" t="s">
        <v>4304</v>
      </c>
      <c r="B3144" s="1">
        <v>46075</v>
      </c>
      <c r="C3144" t="s">
        <v>53</v>
      </c>
      <c r="D3144" t="s">
        <v>41</v>
      </c>
      <c r="E3144" t="s">
        <v>42</v>
      </c>
      <c r="F3144" t="s">
        <v>94</v>
      </c>
      <c r="G3144" t="s">
        <v>95</v>
      </c>
      <c r="H3144" t="s">
        <v>96</v>
      </c>
      <c r="I3144" t="s">
        <v>64</v>
      </c>
      <c r="J3144" t="s">
        <v>77</v>
      </c>
      <c r="K3144" t="s">
        <v>66</v>
      </c>
      <c r="L3144" t="s">
        <v>46</v>
      </c>
      <c r="M3144" t="s">
        <v>87</v>
      </c>
      <c r="N3144" t="s">
        <v>48</v>
      </c>
      <c r="O3144" t="s">
        <v>70</v>
      </c>
      <c r="P3144" t="s">
        <v>58</v>
      </c>
      <c r="Q3144" t="s">
        <v>88</v>
      </c>
      <c r="R3144">
        <v>245</v>
      </c>
      <c r="S3144">
        <v>130</v>
      </c>
      <c r="T3144">
        <v>101</v>
      </c>
      <c r="U3144">
        <v>34</v>
      </c>
      <c r="V3144" t="s">
        <v>6470</v>
      </c>
      <c r="W3144">
        <v>58114</v>
      </c>
      <c r="X3144" t="s">
        <v>7224</v>
      </c>
      <c r="Y3144">
        <v>41349</v>
      </c>
      <c r="Z3144">
        <v>1975876</v>
      </c>
      <c r="AA3144">
        <v>570010</v>
      </c>
      <c r="AB3144" t="str">
        <f>(VLOOKUP(SalesData[[#This Row],[Month Number]],Reference!C$5:E$16,2,FALSE))</f>
        <v>Feb</v>
      </c>
      <c r="AC3144">
        <f>MONTH(SalesData[[#This Row],[Date]])</f>
        <v>2</v>
      </c>
      <c r="AD3144">
        <f>Reference!F$4</f>
        <v>2026</v>
      </c>
      <c r="AE3144" t="str">
        <f>IF(OR(SalesData[[#This Row],[Day]]="Saturday",SalesData[[#This Row],[Day]]="Sunday"),"Weekend","Weekday")</f>
        <v>Weekend</v>
      </c>
      <c r="AF3144" s="5">
        <f>IF(SalesData[[#This Row],[Contracts Offered]]=0,0,SalesData[[#This Row],[Contracts Signed]]/SalesData[[#This Row],[Contracts Offered]])</f>
        <v>0.33663366336633666</v>
      </c>
      <c r="AG3144" s="5">
        <f>IF(SalesData[[#This Row],[Customers Visited]]=0,0,SalesData[[#This Row],[Test Drives]]/SalesData[[#This Row],[Customers Visited]])</f>
        <v>0.53061224489795922</v>
      </c>
      <c r="AH3144" s="5">
        <f>IF(SalesData[[#This Row],[Customers Visited]]=0,0,SalesData[[#This Row],[Contracts Signed]]/SalesData[[#This Row],[Customers Visited]])</f>
        <v>0.13877551020408163</v>
      </c>
      <c r="AI3144" s="6">
        <f>IF(SalesData[[#This Row],[Contracts Signed]]=0,0,SalesData[[#This Row],[Profit(€)]]/SalesData[[#This Row],[Contracts Signed]])</f>
        <v>16765</v>
      </c>
      <c r="AJ3144" s="5" t="str">
        <f>TRIM(CLEAN(SalesData[[#This Row],[Retailer]]))</f>
        <v>Bavaria Motors</v>
      </c>
    </row>
    <row r="3145" spans="1:36" ht="14.25" x14ac:dyDescent="0.2">
      <c r="A3145" t="s">
        <v>4305</v>
      </c>
      <c r="B3145" s="1">
        <v>46072</v>
      </c>
      <c r="C3145" t="s">
        <v>62</v>
      </c>
      <c r="D3145" t="s">
        <v>100</v>
      </c>
      <c r="E3145" t="s">
        <v>26</v>
      </c>
      <c r="F3145" t="s">
        <v>83</v>
      </c>
      <c r="G3145" t="s">
        <v>84</v>
      </c>
      <c r="H3145" t="s">
        <v>85</v>
      </c>
      <c r="I3145" t="s">
        <v>30</v>
      </c>
      <c r="J3145" t="s">
        <v>7075</v>
      </c>
      <c r="K3145" t="s">
        <v>32</v>
      </c>
      <c r="L3145" t="s">
        <v>33</v>
      </c>
      <c r="M3145" t="s">
        <v>68</v>
      </c>
      <c r="N3145" t="s">
        <v>48</v>
      </c>
      <c r="O3145" t="s">
        <v>36</v>
      </c>
      <c r="P3145" t="s">
        <v>49</v>
      </c>
      <c r="Q3145" t="s">
        <v>106</v>
      </c>
      <c r="R3145">
        <v>204</v>
      </c>
      <c r="S3145">
        <v>95</v>
      </c>
      <c r="T3145">
        <v>70</v>
      </c>
      <c r="U3145">
        <v>23</v>
      </c>
      <c r="V3145" t="s">
        <v>6644</v>
      </c>
      <c r="W3145">
        <v>62619</v>
      </c>
      <c r="X3145" t="s">
        <v>7163</v>
      </c>
      <c r="Y3145">
        <v>48795</v>
      </c>
      <c r="Z3145">
        <v>1440237</v>
      </c>
      <c r="AA3145">
        <v>317952</v>
      </c>
      <c r="AB3145" t="str">
        <f>(VLOOKUP(SalesData[[#This Row],[Month Number]],Reference!C$5:E$16,2,FALSE))</f>
        <v>Feb</v>
      </c>
      <c r="AC3145">
        <f>MONTH(SalesData[[#This Row],[Date]])</f>
        <v>2</v>
      </c>
      <c r="AD3145">
        <f>Reference!F$4</f>
        <v>2026</v>
      </c>
      <c r="AE3145" t="str">
        <f>IF(OR(SalesData[[#This Row],[Day]]="Saturday",SalesData[[#This Row],[Day]]="Sunday"),"Weekend","Weekday")</f>
        <v>Weekday</v>
      </c>
      <c r="AF3145" s="5">
        <f>IF(SalesData[[#This Row],[Contracts Offered]]=0,0,SalesData[[#This Row],[Contracts Signed]]/SalesData[[#This Row],[Contracts Offered]])</f>
        <v>0.32857142857142857</v>
      </c>
      <c r="AG3145" s="5">
        <f>IF(SalesData[[#This Row],[Customers Visited]]=0,0,SalesData[[#This Row],[Test Drives]]/SalesData[[#This Row],[Customers Visited]])</f>
        <v>0.46568627450980393</v>
      </c>
      <c r="AH3145" s="5">
        <f>IF(SalesData[[#This Row],[Customers Visited]]=0,0,SalesData[[#This Row],[Contracts Signed]]/SalesData[[#This Row],[Customers Visited]])</f>
        <v>0.11274509803921569</v>
      </c>
      <c r="AI3145" s="6">
        <f>IF(SalesData[[#This Row],[Contracts Signed]]=0,0,SalesData[[#This Row],[Profit(€)]]/SalesData[[#This Row],[Contracts Signed]])</f>
        <v>13824</v>
      </c>
      <c r="AJ3145" s="5" t="str">
        <f>TRIM(CLEAN(SalesData[[#This Row],[Retailer]]))</f>
        <v>Hannover Cars</v>
      </c>
    </row>
    <row r="3146" spans="1:36" ht="14.25" hidden="1" x14ac:dyDescent="0.2">
      <c r="A3146" t="s">
        <v>4306</v>
      </c>
      <c r="B3146" s="1">
        <v>46055</v>
      </c>
      <c r="C3146" t="s">
        <v>24</v>
      </c>
      <c r="D3146" t="s">
        <v>25</v>
      </c>
      <c r="E3146" t="s">
        <v>26</v>
      </c>
      <c r="F3146" t="s">
        <v>127</v>
      </c>
      <c r="G3146" t="s">
        <v>128</v>
      </c>
      <c r="H3146" t="s">
        <v>103</v>
      </c>
      <c r="I3146" t="s">
        <v>104</v>
      </c>
      <c r="J3146" t="s">
        <v>7031</v>
      </c>
      <c r="K3146" t="s">
        <v>78</v>
      </c>
      <c r="L3146" t="s">
        <v>46</v>
      </c>
      <c r="M3146" t="s">
        <v>68</v>
      </c>
      <c r="N3146" t="s">
        <v>48</v>
      </c>
      <c r="O3146" t="s">
        <v>36</v>
      </c>
      <c r="P3146" t="s">
        <v>71</v>
      </c>
      <c r="Q3146" t="s">
        <v>135</v>
      </c>
      <c r="R3146">
        <v>303</v>
      </c>
      <c r="S3146">
        <v>150</v>
      </c>
      <c r="T3146">
        <v>106</v>
      </c>
      <c r="U3146">
        <v>23</v>
      </c>
      <c r="V3146" t="s">
        <v>1290</v>
      </c>
      <c r="W3146">
        <v>30000</v>
      </c>
      <c r="X3146" t="s">
        <v>7043</v>
      </c>
      <c r="Y3146">
        <v>27265</v>
      </c>
      <c r="Z3146">
        <v>690000</v>
      </c>
      <c r="AA3146">
        <v>62905</v>
      </c>
      <c r="AB3146" t="str">
        <f>(VLOOKUP(SalesData[[#This Row],[Month Number]],Reference!C$5:E$16,2,FALSE))</f>
        <v>Feb</v>
      </c>
      <c r="AC3146">
        <f>MONTH(SalesData[[#This Row],[Date]])</f>
        <v>2</v>
      </c>
      <c r="AD3146">
        <f>Reference!F$4</f>
        <v>2026</v>
      </c>
      <c r="AE3146" t="str">
        <f>IF(OR(SalesData[[#This Row],[Day]]="Saturday",SalesData[[#This Row],[Day]]="Sunday"),"Weekend","Weekday")</f>
        <v>Weekday</v>
      </c>
      <c r="AF3146" s="5">
        <f>IF(SalesData[[#This Row],[Contracts Offered]]=0,0,SalesData[[#This Row],[Contracts Signed]]/SalesData[[#This Row],[Contracts Offered]])</f>
        <v>0.21698113207547171</v>
      </c>
      <c r="AG3146" s="5">
        <f>IF(SalesData[[#This Row],[Customers Visited]]=0,0,SalesData[[#This Row],[Test Drives]]/SalesData[[#This Row],[Customers Visited]])</f>
        <v>0.49504950495049505</v>
      </c>
      <c r="AH3146" s="5">
        <f>IF(SalesData[[#This Row],[Customers Visited]]=0,0,SalesData[[#This Row],[Contracts Signed]]/SalesData[[#This Row],[Customers Visited]])</f>
        <v>7.590759075907591E-2</v>
      </c>
      <c r="AI3146" s="6">
        <f>IF(SalesData[[#This Row],[Contracts Signed]]=0,0,SalesData[[#This Row],[Profit(€)]]/SalesData[[#This Row],[Contracts Signed]])</f>
        <v>2735</v>
      </c>
      <c r="AJ3146" s="5" t="str">
        <f>TRIM(CLEAN(SalesData[[#This Row],[Retailer]]))</f>
        <v>Rhein Auto Group</v>
      </c>
    </row>
    <row r="3147" spans="1:36" ht="14.25" hidden="1" x14ac:dyDescent="0.2">
      <c r="A3147" t="s">
        <v>4307</v>
      </c>
      <c r="B3147" s="1">
        <v>46054</v>
      </c>
      <c r="C3147" t="s">
        <v>24</v>
      </c>
      <c r="D3147" t="s">
        <v>41</v>
      </c>
      <c r="E3147" t="s">
        <v>42</v>
      </c>
      <c r="F3147" t="s">
        <v>109</v>
      </c>
      <c r="G3147" t="s">
        <v>110</v>
      </c>
      <c r="H3147" t="s">
        <v>45</v>
      </c>
      <c r="I3147" t="s">
        <v>104</v>
      </c>
      <c r="J3147" t="s">
        <v>7061</v>
      </c>
      <c r="K3147" t="s">
        <v>78</v>
      </c>
      <c r="L3147" t="s">
        <v>46</v>
      </c>
      <c r="M3147" t="s">
        <v>47</v>
      </c>
      <c r="N3147" t="s">
        <v>48</v>
      </c>
      <c r="O3147" t="s">
        <v>70</v>
      </c>
      <c r="P3147" t="s">
        <v>49</v>
      </c>
      <c r="Q3147" t="s">
        <v>38</v>
      </c>
      <c r="R3147">
        <v>460</v>
      </c>
      <c r="S3147">
        <v>195</v>
      </c>
      <c r="T3147">
        <v>135</v>
      </c>
      <c r="U3147">
        <v>20</v>
      </c>
      <c r="V3147" t="s">
        <v>305</v>
      </c>
      <c r="W3147">
        <v>26878</v>
      </c>
      <c r="X3147" t="s">
        <v>1515</v>
      </c>
      <c r="Y3147">
        <v>24046</v>
      </c>
      <c r="Z3147">
        <v>537560</v>
      </c>
      <c r="AA3147">
        <v>56640</v>
      </c>
      <c r="AB3147" t="str">
        <f>(VLOOKUP(SalesData[[#This Row],[Month Number]],Reference!C$5:E$16,2,FALSE))</f>
        <v>Feb</v>
      </c>
      <c r="AC3147">
        <f>MONTH(SalesData[[#This Row],[Date]])</f>
        <v>2</v>
      </c>
      <c r="AD3147">
        <f>Reference!F$4</f>
        <v>2026</v>
      </c>
      <c r="AE3147" t="str">
        <f>IF(OR(SalesData[[#This Row],[Day]]="Saturday",SalesData[[#This Row],[Day]]="Sunday"),"Weekend","Weekday")</f>
        <v>Weekend</v>
      </c>
      <c r="AF3147" s="5">
        <f>IF(SalesData[[#This Row],[Contracts Offered]]=0,0,SalesData[[#This Row],[Contracts Signed]]/SalesData[[#This Row],[Contracts Offered]])</f>
        <v>0.14814814814814814</v>
      </c>
      <c r="AG3147" s="5">
        <f>IF(SalesData[[#This Row],[Customers Visited]]=0,0,SalesData[[#This Row],[Test Drives]]/SalesData[[#This Row],[Customers Visited]])</f>
        <v>0.42391304347826086</v>
      </c>
      <c r="AH3147" s="5">
        <f>IF(SalesData[[#This Row],[Customers Visited]]=0,0,SalesData[[#This Row],[Contracts Signed]]/SalesData[[#This Row],[Customers Visited]])</f>
        <v>4.3478260869565216E-2</v>
      </c>
      <c r="AI3147" s="6">
        <f>IF(SalesData[[#This Row],[Contracts Signed]]=0,0,SalesData[[#This Row],[Profit(€)]]/SalesData[[#This Row],[Contracts Signed]])</f>
        <v>2832</v>
      </c>
      <c r="AJ3147" s="5" t="str">
        <f>TRIM(CLEAN(SalesData[[#This Row],[Retailer]]))</f>
        <v>Leipzig Mobility</v>
      </c>
    </row>
    <row r="3148" spans="1:36" ht="14.25" hidden="1" x14ac:dyDescent="0.2">
      <c r="A3148" t="s">
        <v>4308</v>
      </c>
      <c r="B3148" s="1">
        <v>46069</v>
      </c>
      <c r="C3148" t="s">
        <v>62</v>
      </c>
      <c r="D3148" t="s">
        <v>25</v>
      </c>
      <c r="E3148" t="s">
        <v>26</v>
      </c>
      <c r="F3148" t="s">
        <v>94</v>
      </c>
      <c r="G3148" t="s">
        <v>95</v>
      </c>
      <c r="H3148" t="s">
        <v>96</v>
      </c>
      <c r="I3148" t="s">
        <v>104</v>
      </c>
      <c r="J3148" t="s">
        <v>7031</v>
      </c>
      <c r="K3148" t="s">
        <v>91</v>
      </c>
      <c r="L3148" t="s">
        <v>46</v>
      </c>
      <c r="M3148" t="s">
        <v>47</v>
      </c>
      <c r="N3148" t="s">
        <v>35</v>
      </c>
      <c r="O3148" t="s">
        <v>36</v>
      </c>
      <c r="P3148" t="s">
        <v>71</v>
      </c>
      <c r="Q3148" t="s">
        <v>169</v>
      </c>
      <c r="R3148">
        <v>447</v>
      </c>
      <c r="S3148">
        <v>213</v>
      </c>
      <c r="T3148">
        <v>130</v>
      </c>
      <c r="U3148">
        <v>46</v>
      </c>
      <c r="V3148" t="s">
        <v>6929</v>
      </c>
      <c r="W3148">
        <v>32251</v>
      </c>
      <c r="X3148" t="s">
        <v>7588</v>
      </c>
      <c r="Y3148">
        <v>29140</v>
      </c>
      <c r="Z3148">
        <v>1483546</v>
      </c>
      <c r="AA3148">
        <v>143106</v>
      </c>
      <c r="AB3148" t="str">
        <f>(VLOOKUP(SalesData[[#This Row],[Month Number]],Reference!C$5:E$16,2,FALSE))</f>
        <v>Feb</v>
      </c>
      <c r="AC3148">
        <f>MONTH(SalesData[[#This Row],[Date]])</f>
        <v>2</v>
      </c>
      <c r="AD3148">
        <f>Reference!F$4</f>
        <v>2026</v>
      </c>
      <c r="AE3148" t="str">
        <f>IF(OR(SalesData[[#This Row],[Day]]="Saturday",SalesData[[#This Row],[Day]]="Sunday"),"Weekend","Weekday")</f>
        <v>Weekday</v>
      </c>
      <c r="AF3148" s="5">
        <f>IF(SalesData[[#This Row],[Contracts Offered]]=0,0,SalesData[[#This Row],[Contracts Signed]]/SalesData[[#This Row],[Contracts Offered]])</f>
        <v>0.35384615384615387</v>
      </c>
      <c r="AG3148" s="5">
        <f>IF(SalesData[[#This Row],[Customers Visited]]=0,0,SalesData[[#This Row],[Test Drives]]/SalesData[[#This Row],[Customers Visited]])</f>
        <v>0.47651006711409394</v>
      </c>
      <c r="AH3148" s="5">
        <f>IF(SalesData[[#This Row],[Customers Visited]]=0,0,SalesData[[#This Row],[Contracts Signed]]/SalesData[[#This Row],[Customers Visited]])</f>
        <v>0.1029082774049217</v>
      </c>
      <c r="AI3148" s="6">
        <f>IF(SalesData[[#This Row],[Contracts Signed]]=0,0,SalesData[[#This Row],[Profit(€)]]/SalesData[[#This Row],[Contracts Signed]])</f>
        <v>3111</v>
      </c>
      <c r="AJ3148" s="5" t="str">
        <f>TRIM(CLEAN(SalesData[[#This Row],[Retailer]]))</f>
        <v>Bavaria Motors</v>
      </c>
    </row>
    <row r="3149" spans="1:36" ht="14.25" hidden="1" x14ac:dyDescent="0.2">
      <c r="A3149" t="s">
        <v>4309</v>
      </c>
      <c r="B3149" s="1">
        <v>46060</v>
      </c>
      <c r="C3149" t="s">
        <v>24</v>
      </c>
      <c r="D3149" t="s">
        <v>151</v>
      </c>
      <c r="E3149" t="s">
        <v>42</v>
      </c>
      <c r="F3149" t="s">
        <v>74</v>
      </c>
      <c r="G3149" t="s">
        <v>75</v>
      </c>
      <c r="H3149" t="s">
        <v>76</v>
      </c>
      <c r="I3149" t="s">
        <v>56</v>
      </c>
      <c r="J3149" t="s">
        <v>179</v>
      </c>
      <c r="K3149" t="s">
        <v>78</v>
      </c>
      <c r="L3149" t="s">
        <v>67</v>
      </c>
      <c r="M3149" t="s">
        <v>68</v>
      </c>
      <c r="N3149" t="s">
        <v>69</v>
      </c>
      <c r="O3149" t="s">
        <v>36</v>
      </c>
      <c r="P3149" t="s">
        <v>37</v>
      </c>
      <c r="Q3149" t="s">
        <v>189</v>
      </c>
      <c r="R3149">
        <v>189</v>
      </c>
      <c r="S3149">
        <v>106</v>
      </c>
      <c r="T3149">
        <v>76</v>
      </c>
      <c r="U3149">
        <v>23</v>
      </c>
      <c r="V3149" t="s">
        <v>6426</v>
      </c>
      <c r="W3149">
        <v>54061</v>
      </c>
      <c r="X3149" t="s">
        <v>7191</v>
      </c>
      <c r="Y3149">
        <v>40970</v>
      </c>
      <c r="Z3149">
        <v>1243403</v>
      </c>
      <c r="AA3149">
        <v>301093</v>
      </c>
      <c r="AB3149" t="str">
        <f>(VLOOKUP(SalesData[[#This Row],[Month Number]],Reference!C$5:E$16,2,FALSE))</f>
        <v>Feb</v>
      </c>
      <c r="AC3149">
        <f>MONTH(SalesData[[#This Row],[Date]])</f>
        <v>2</v>
      </c>
      <c r="AD3149">
        <f>Reference!F$4</f>
        <v>2026</v>
      </c>
      <c r="AE3149" t="str">
        <f>IF(OR(SalesData[[#This Row],[Day]]="Saturday",SalesData[[#This Row],[Day]]="Sunday"),"Weekend","Weekday")</f>
        <v>Weekend</v>
      </c>
      <c r="AF3149" s="5">
        <f>IF(SalesData[[#This Row],[Contracts Offered]]=0,0,SalesData[[#This Row],[Contracts Signed]]/SalesData[[#This Row],[Contracts Offered]])</f>
        <v>0.30263157894736842</v>
      </c>
      <c r="AG3149" s="5">
        <f>IF(SalesData[[#This Row],[Customers Visited]]=0,0,SalesData[[#This Row],[Test Drives]]/SalesData[[#This Row],[Customers Visited]])</f>
        <v>0.56084656084656082</v>
      </c>
      <c r="AH3149" s="5">
        <f>IF(SalesData[[#This Row],[Customers Visited]]=0,0,SalesData[[#This Row],[Contracts Signed]]/SalesData[[#This Row],[Customers Visited]])</f>
        <v>0.12169312169312169</v>
      </c>
      <c r="AI3149" s="6">
        <f>IF(SalesData[[#This Row],[Contracts Signed]]=0,0,SalesData[[#This Row],[Profit(€)]]/SalesData[[#This Row],[Contracts Signed]])</f>
        <v>13091</v>
      </c>
      <c r="AJ3149" s="5" t="str">
        <f>TRIM(CLEAN(SalesData[[#This Row],[Retailer]]))</f>
        <v>Stuttgart Auto Center</v>
      </c>
    </row>
    <row r="3150" spans="1:36" ht="14.25" hidden="1" x14ac:dyDescent="0.2">
      <c r="A3150" t="s">
        <v>4310</v>
      </c>
      <c r="B3150" s="1">
        <v>46055</v>
      </c>
      <c r="C3150" t="s">
        <v>24</v>
      </c>
      <c r="D3150" t="s">
        <v>25</v>
      </c>
      <c r="E3150" t="s">
        <v>26</v>
      </c>
      <c r="F3150" t="s">
        <v>7649</v>
      </c>
      <c r="G3150" t="s">
        <v>55</v>
      </c>
      <c r="H3150" t="s">
        <v>55</v>
      </c>
      <c r="I3150" t="s">
        <v>64</v>
      </c>
      <c r="J3150" t="s">
        <v>77</v>
      </c>
      <c r="K3150" t="s">
        <v>78</v>
      </c>
      <c r="L3150" t="s">
        <v>46</v>
      </c>
      <c r="M3150" t="s">
        <v>87</v>
      </c>
      <c r="N3150" t="s">
        <v>35</v>
      </c>
      <c r="O3150" t="s">
        <v>36</v>
      </c>
      <c r="P3150" t="s">
        <v>49</v>
      </c>
      <c r="Q3150" t="s">
        <v>158</v>
      </c>
      <c r="R3150">
        <v>229</v>
      </c>
      <c r="S3150">
        <v>103</v>
      </c>
      <c r="T3150">
        <v>76</v>
      </c>
      <c r="U3150">
        <v>24</v>
      </c>
      <c r="V3150" t="s">
        <v>6562</v>
      </c>
      <c r="W3150">
        <v>70307</v>
      </c>
      <c r="X3150" t="s">
        <v>7340</v>
      </c>
      <c r="Y3150">
        <v>50411</v>
      </c>
      <c r="Z3150">
        <v>1687368</v>
      </c>
      <c r="AA3150">
        <v>477504</v>
      </c>
      <c r="AB3150" t="str">
        <f>(VLOOKUP(SalesData[[#This Row],[Month Number]],Reference!C$5:E$16,2,FALSE))</f>
        <v>Feb</v>
      </c>
      <c r="AC3150">
        <f>MONTH(SalesData[[#This Row],[Date]])</f>
        <v>2</v>
      </c>
      <c r="AD3150">
        <f>Reference!F$4</f>
        <v>2026</v>
      </c>
      <c r="AE3150" t="str">
        <f>IF(OR(SalesData[[#This Row],[Day]]="Saturday",SalesData[[#This Row],[Day]]="Sunday"),"Weekend","Weekday")</f>
        <v>Weekday</v>
      </c>
      <c r="AF3150" s="5">
        <f>IF(SalesData[[#This Row],[Contracts Offered]]=0,0,SalesData[[#This Row],[Contracts Signed]]/SalesData[[#This Row],[Contracts Offered]])</f>
        <v>0.31578947368421051</v>
      </c>
      <c r="AG3150" s="5">
        <f>IF(SalesData[[#This Row],[Customers Visited]]=0,0,SalesData[[#This Row],[Test Drives]]/SalesData[[#This Row],[Customers Visited]])</f>
        <v>0.44978165938864628</v>
      </c>
      <c r="AH3150" s="5">
        <f>IF(SalesData[[#This Row],[Customers Visited]]=0,0,SalesData[[#This Row],[Contracts Signed]]/SalesData[[#This Row],[Customers Visited]])</f>
        <v>0.10480349344978165</v>
      </c>
      <c r="AI3150" s="6">
        <f>IF(SalesData[[#This Row],[Contracts Signed]]=0,0,SalesData[[#This Row],[Profit(€)]]/SalesData[[#This Row],[Contracts Signed]])</f>
        <v>19896</v>
      </c>
      <c r="AJ3150" s="5" t="str">
        <f>TRIM(CLEAN(SalesData[[#This Row],[Retailer]]))</f>
        <v>Autohaus Berlin</v>
      </c>
    </row>
    <row r="3151" spans="1:36" ht="14.25" x14ac:dyDescent="0.2">
      <c r="A3151" t="s">
        <v>4311</v>
      </c>
      <c r="B3151" s="1">
        <v>46063</v>
      </c>
      <c r="C3151" t="s">
        <v>121</v>
      </c>
      <c r="D3151" t="s">
        <v>63</v>
      </c>
      <c r="E3151" t="s">
        <v>26</v>
      </c>
      <c r="F3151" t="s">
        <v>127</v>
      </c>
      <c r="G3151" t="s">
        <v>128</v>
      </c>
      <c r="H3151" t="s">
        <v>103</v>
      </c>
      <c r="I3151" t="s">
        <v>30</v>
      </c>
      <c r="J3151" t="s">
        <v>7075</v>
      </c>
      <c r="K3151" t="s">
        <v>66</v>
      </c>
      <c r="L3151" t="s">
        <v>33</v>
      </c>
      <c r="M3151" t="s">
        <v>34</v>
      </c>
      <c r="N3151" t="s">
        <v>48</v>
      </c>
      <c r="O3151" t="s">
        <v>70</v>
      </c>
      <c r="P3151" t="s">
        <v>71</v>
      </c>
      <c r="Q3151" t="s">
        <v>152</v>
      </c>
      <c r="R3151">
        <v>237</v>
      </c>
      <c r="S3151">
        <v>117</v>
      </c>
      <c r="T3151">
        <v>87</v>
      </c>
      <c r="U3151">
        <v>35</v>
      </c>
      <c r="V3151" t="s">
        <v>6887</v>
      </c>
      <c r="W3151">
        <v>51178</v>
      </c>
      <c r="X3151" t="s">
        <v>698</v>
      </c>
      <c r="Y3151">
        <v>39059</v>
      </c>
      <c r="Z3151">
        <v>1791230</v>
      </c>
      <c r="AA3151">
        <v>424165</v>
      </c>
      <c r="AB3151" t="str">
        <f>(VLOOKUP(SalesData[[#This Row],[Month Number]],Reference!C$5:E$16,2,FALSE))</f>
        <v>Feb</v>
      </c>
      <c r="AC3151">
        <f>MONTH(SalesData[[#This Row],[Date]])</f>
        <v>2</v>
      </c>
      <c r="AD3151">
        <f>Reference!F$4</f>
        <v>2026</v>
      </c>
      <c r="AE3151" t="str">
        <f>IF(OR(SalesData[[#This Row],[Day]]="Saturday",SalesData[[#This Row],[Day]]="Sunday"),"Weekend","Weekday")</f>
        <v>Weekday</v>
      </c>
      <c r="AF3151" s="5">
        <f>IF(SalesData[[#This Row],[Contracts Offered]]=0,0,SalesData[[#This Row],[Contracts Signed]]/SalesData[[#This Row],[Contracts Offered]])</f>
        <v>0.40229885057471265</v>
      </c>
      <c r="AG3151" s="5">
        <f>IF(SalesData[[#This Row],[Customers Visited]]=0,0,SalesData[[#This Row],[Test Drives]]/SalesData[[#This Row],[Customers Visited]])</f>
        <v>0.49367088607594939</v>
      </c>
      <c r="AH3151" s="5">
        <f>IF(SalesData[[#This Row],[Customers Visited]]=0,0,SalesData[[#This Row],[Contracts Signed]]/SalesData[[#This Row],[Customers Visited]])</f>
        <v>0.14767932489451477</v>
      </c>
      <c r="AI3151" s="6">
        <f>IF(SalesData[[#This Row],[Contracts Signed]]=0,0,SalesData[[#This Row],[Profit(€)]]/SalesData[[#This Row],[Contracts Signed]])</f>
        <v>12119</v>
      </c>
      <c r="AJ3151" s="5" t="str">
        <f>TRIM(CLEAN(SalesData[[#This Row],[Retailer]]))</f>
        <v>Rhein Auto Group</v>
      </c>
    </row>
    <row r="3152" spans="1:36" ht="14.25" hidden="1" x14ac:dyDescent="0.2">
      <c r="A3152" t="s">
        <v>4312</v>
      </c>
      <c r="B3152" s="1">
        <v>46065</v>
      </c>
      <c r="C3152" t="s">
        <v>121</v>
      </c>
      <c r="D3152" t="s">
        <v>100</v>
      </c>
      <c r="E3152" t="s">
        <v>26</v>
      </c>
      <c r="F3152" t="s">
        <v>114</v>
      </c>
      <c r="G3152" t="s">
        <v>115</v>
      </c>
      <c r="H3152" t="s">
        <v>115</v>
      </c>
      <c r="I3152" t="s">
        <v>56</v>
      </c>
      <c r="J3152" t="s">
        <v>97</v>
      </c>
      <c r="K3152" t="s">
        <v>91</v>
      </c>
      <c r="L3152" t="s">
        <v>33</v>
      </c>
      <c r="M3152" t="s">
        <v>87</v>
      </c>
      <c r="N3152" t="s">
        <v>48</v>
      </c>
      <c r="O3152" t="s">
        <v>70</v>
      </c>
      <c r="P3152" t="s">
        <v>37</v>
      </c>
      <c r="Q3152" t="s">
        <v>50</v>
      </c>
      <c r="R3152">
        <v>225</v>
      </c>
      <c r="S3152">
        <v>104</v>
      </c>
      <c r="T3152">
        <v>78</v>
      </c>
      <c r="U3152">
        <v>23</v>
      </c>
      <c r="V3152" t="s">
        <v>6603</v>
      </c>
      <c r="W3152">
        <v>44451</v>
      </c>
      <c r="X3152" t="s">
        <v>7111</v>
      </c>
      <c r="Y3152">
        <v>34698</v>
      </c>
      <c r="Z3152">
        <v>1022373</v>
      </c>
      <c r="AA3152">
        <v>224319</v>
      </c>
      <c r="AB3152" t="str">
        <f>(VLOOKUP(SalesData[[#This Row],[Month Number]],Reference!C$5:E$16,2,FALSE))</f>
        <v>Feb</v>
      </c>
      <c r="AC3152">
        <f>MONTH(SalesData[[#This Row],[Date]])</f>
        <v>2</v>
      </c>
      <c r="AD3152">
        <f>Reference!F$4</f>
        <v>2026</v>
      </c>
      <c r="AE3152" t="str">
        <f>IF(OR(SalesData[[#This Row],[Day]]="Saturday",SalesData[[#This Row],[Day]]="Sunday"),"Weekend","Weekday")</f>
        <v>Weekday</v>
      </c>
      <c r="AF3152" s="5">
        <f>IF(SalesData[[#This Row],[Contracts Offered]]=0,0,SalesData[[#This Row],[Contracts Signed]]/SalesData[[#This Row],[Contracts Offered]])</f>
        <v>0.29487179487179488</v>
      </c>
      <c r="AG3152" s="5">
        <f>IF(SalesData[[#This Row],[Customers Visited]]=0,0,SalesData[[#This Row],[Test Drives]]/SalesData[[#This Row],[Customers Visited]])</f>
        <v>0.4622222222222222</v>
      </c>
      <c r="AH3152" s="5">
        <f>IF(SalesData[[#This Row],[Customers Visited]]=0,0,SalesData[[#This Row],[Contracts Signed]]/SalesData[[#This Row],[Customers Visited]])</f>
        <v>0.10222222222222223</v>
      </c>
      <c r="AI3152" s="6">
        <f>IF(SalesData[[#This Row],[Contracts Signed]]=0,0,SalesData[[#This Row],[Profit(€)]]/SalesData[[#This Row],[Contracts Signed]])</f>
        <v>9753</v>
      </c>
      <c r="AJ3152" s="5" t="str">
        <f>TRIM(CLEAN(SalesData[[#This Row],[Retailer]]))</f>
        <v>Elbe Drive</v>
      </c>
    </row>
    <row r="3153" spans="1:36" ht="14.25" x14ac:dyDescent="0.2">
      <c r="A3153" t="s">
        <v>4314</v>
      </c>
      <c r="B3153" s="1">
        <v>46064</v>
      </c>
      <c r="C3153" t="s">
        <v>121</v>
      </c>
      <c r="D3153" t="s">
        <v>82</v>
      </c>
      <c r="E3153" t="s">
        <v>26</v>
      </c>
      <c r="F3153" t="s">
        <v>43</v>
      </c>
      <c r="G3153" t="s">
        <v>44</v>
      </c>
      <c r="H3153" t="s">
        <v>45</v>
      </c>
      <c r="I3153" t="s">
        <v>30</v>
      </c>
      <c r="J3153" t="s">
        <v>188</v>
      </c>
      <c r="K3153" t="s">
        <v>78</v>
      </c>
      <c r="L3153" t="s">
        <v>33</v>
      </c>
      <c r="M3153" t="s">
        <v>68</v>
      </c>
      <c r="N3153" t="s">
        <v>48</v>
      </c>
      <c r="O3153" t="s">
        <v>70</v>
      </c>
      <c r="P3153" t="s">
        <v>49</v>
      </c>
      <c r="Q3153" t="s">
        <v>38</v>
      </c>
      <c r="R3153">
        <v>214</v>
      </c>
      <c r="S3153">
        <v>104</v>
      </c>
      <c r="T3153">
        <v>76</v>
      </c>
      <c r="U3153">
        <v>25</v>
      </c>
      <c r="V3153" t="s">
        <v>6828</v>
      </c>
      <c r="W3153">
        <v>67139</v>
      </c>
      <c r="X3153" t="s">
        <v>7274</v>
      </c>
      <c r="Y3153">
        <v>47610</v>
      </c>
      <c r="Z3153">
        <v>1678475</v>
      </c>
      <c r="AA3153">
        <v>488225</v>
      </c>
      <c r="AB3153" t="str">
        <f>(VLOOKUP(SalesData[[#This Row],[Month Number]],Reference!C$5:E$16,2,FALSE))</f>
        <v>Feb</v>
      </c>
      <c r="AC3153">
        <f>MONTH(SalesData[[#This Row],[Date]])</f>
        <v>2</v>
      </c>
      <c r="AD3153">
        <f>Reference!F$4</f>
        <v>2026</v>
      </c>
      <c r="AE3153" t="str">
        <f>IF(OR(SalesData[[#This Row],[Day]]="Saturday",SalesData[[#This Row],[Day]]="Sunday"),"Weekend","Weekday")</f>
        <v>Weekday</v>
      </c>
      <c r="AF3153" s="5">
        <f>IF(SalesData[[#This Row],[Contracts Offered]]=0,0,SalesData[[#This Row],[Contracts Signed]]/SalesData[[#This Row],[Contracts Offered]])</f>
        <v>0.32894736842105265</v>
      </c>
      <c r="AG3153" s="5">
        <f>IF(SalesData[[#This Row],[Customers Visited]]=0,0,SalesData[[#This Row],[Test Drives]]/SalesData[[#This Row],[Customers Visited]])</f>
        <v>0.48598130841121495</v>
      </c>
      <c r="AH3153" s="5">
        <f>IF(SalesData[[#This Row],[Customers Visited]]=0,0,SalesData[[#This Row],[Contracts Signed]]/SalesData[[#This Row],[Customers Visited]])</f>
        <v>0.11682242990654206</v>
      </c>
      <c r="AI3153" s="6">
        <f>IF(SalesData[[#This Row],[Contracts Signed]]=0,0,SalesData[[#This Row],[Profit(€)]]/SalesData[[#This Row],[Contracts Signed]])</f>
        <v>19529</v>
      </c>
      <c r="AJ3153" s="5" t="str">
        <f>TRIM(CLEAN(SalesData[[#This Row],[Retailer]]))</f>
        <v>Saxon Wheels</v>
      </c>
    </row>
    <row r="3154" spans="1:36" ht="14.25" x14ac:dyDescent="0.2">
      <c r="A3154" t="s">
        <v>4315</v>
      </c>
      <c r="B3154" s="1">
        <v>46065</v>
      </c>
      <c r="C3154" t="s">
        <v>121</v>
      </c>
      <c r="D3154" t="s">
        <v>100</v>
      </c>
      <c r="E3154" t="s">
        <v>26</v>
      </c>
      <c r="F3154" t="s">
        <v>43</v>
      </c>
      <c r="G3154" t="s">
        <v>44</v>
      </c>
      <c r="H3154" t="s">
        <v>45</v>
      </c>
      <c r="I3154" t="s">
        <v>30</v>
      </c>
      <c r="J3154" t="s">
        <v>166</v>
      </c>
      <c r="K3154" t="s">
        <v>78</v>
      </c>
      <c r="L3154" t="s">
        <v>46</v>
      </c>
      <c r="M3154" t="s">
        <v>34</v>
      </c>
      <c r="N3154" t="s">
        <v>69</v>
      </c>
      <c r="O3154" t="s">
        <v>36</v>
      </c>
      <c r="P3154" t="s">
        <v>71</v>
      </c>
      <c r="Q3154" t="s">
        <v>167</v>
      </c>
      <c r="R3154">
        <v>221</v>
      </c>
      <c r="S3154">
        <v>133</v>
      </c>
      <c r="T3154">
        <v>99</v>
      </c>
      <c r="U3154">
        <v>37</v>
      </c>
      <c r="V3154" t="s">
        <v>7306</v>
      </c>
      <c r="W3154">
        <v>68053</v>
      </c>
      <c r="X3154" t="s">
        <v>7198</v>
      </c>
      <c r="Y3154">
        <v>50096</v>
      </c>
      <c r="Z3154">
        <v>2517961</v>
      </c>
      <c r="AA3154">
        <v>664409</v>
      </c>
      <c r="AB3154" t="str">
        <f>(VLOOKUP(SalesData[[#This Row],[Month Number]],Reference!C$5:E$16,2,FALSE))</f>
        <v>Feb</v>
      </c>
      <c r="AC3154">
        <f>MONTH(SalesData[[#This Row],[Date]])</f>
        <v>2</v>
      </c>
      <c r="AD3154">
        <f>Reference!F$4</f>
        <v>2026</v>
      </c>
      <c r="AE3154" t="str">
        <f>IF(OR(SalesData[[#This Row],[Day]]="Saturday",SalesData[[#This Row],[Day]]="Sunday"),"Weekend","Weekday")</f>
        <v>Weekday</v>
      </c>
      <c r="AF3154" s="5">
        <f>IF(SalesData[[#This Row],[Contracts Offered]]=0,0,SalesData[[#This Row],[Contracts Signed]]/SalesData[[#This Row],[Contracts Offered]])</f>
        <v>0.37373737373737376</v>
      </c>
      <c r="AG3154" s="5">
        <f>IF(SalesData[[#This Row],[Customers Visited]]=0,0,SalesData[[#This Row],[Test Drives]]/SalesData[[#This Row],[Customers Visited]])</f>
        <v>0.60180995475113119</v>
      </c>
      <c r="AH3154" s="5">
        <f>IF(SalesData[[#This Row],[Customers Visited]]=0,0,SalesData[[#This Row],[Contracts Signed]]/SalesData[[#This Row],[Customers Visited]])</f>
        <v>0.167420814479638</v>
      </c>
      <c r="AI3154" s="6">
        <f>IF(SalesData[[#This Row],[Contracts Signed]]=0,0,SalesData[[#This Row],[Profit(€)]]/SalesData[[#This Row],[Contracts Signed]])</f>
        <v>17957</v>
      </c>
      <c r="AJ3154" s="5" t="str">
        <f>TRIM(CLEAN(SalesData[[#This Row],[Retailer]]))</f>
        <v>Saxon Wheels</v>
      </c>
    </row>
    <row r="3155" spans="1:36" ht="14.25" hidden="1" x14ac:dyDescent="0.2">
      <c r="A3155" t="s">
        <v>4316</v>
      </c>
      <c r="B3155" s="1">
        <v>46074</v>
      </c>
      <c r="C3155" t="s">
        <v>62</v>
      </c>
      <c r="D3155" t="s">
        <v>151</v>
      </c>
      <c r="E3155" t="s">
        <v>42</v>
      </c>
      <c r="F3155" t="s">
        <v>27</v>
      </c>
      <c r="G3155" t="s">
        <v>28</v>
      </c>
      <c r="H3155" t="s">
        <v>29</v>
      </c>
      <c r="I3155" t="s">
        <v>56</v>
      </c>
      <c r="J3155" t="s">
        <v>7028</v>
      </c>
      <c r="K3155" t="s">
        <v>32</v>
      </c>
      <c r="L3155" t="s">
        <v>46</v>
      </c>
      <c r="M3155" t="s">
        <v>47</v>
      </c>
      <c r="N3155" t="s">
        <v>48</v>
      </c>
      <c r="O3155" t="s">
        <v>36</v>
      </c>
      <c r="P3155" t="s">
        <v>58</v>
      </c>
      <c r="Q3155" t="s">
        <v>144</v>
      </c>
      <c r="R3155">
        <v>164</v>
      </c>
      <c r="S3155">
        <v>95</v>
      </c>
      <c r="T3155">
        <v>69</v>
      </c>
      <c r="U3155">
        <v>26</v>
      </c>
      <c r="V3155" t="s">
        <v>6559</v>
      </c>
      <c r="W3155">
        <v>40931</v>
      </c>
      <c r="X3155" t="s">
        <v>1199</v>
      </c>
      <c r="Y3155">
        <v>32877</v>
      </c>
      <c r="Z3155">
        <v>1064206</v>
      </c>
      <c r="AA3155">
        <v>209404</v>
      </c>
      <c r="AB3155" t="str">
        <f>(VLOOKUP(SalesData[[#This Row],[Month Number]],Reference!C$5:E$16,2,FALSE))</f>
        <v>Feb</v>
      </c>
      <c r="AC3155">
        <f>MONTH(SalesData[[#This Row],[Date]])</f>
        <v>2</v>
      </c>
      <c r="AD3155">
        <f>Reference!F$4</f>
        <v>2026</v>
      </c>
      <c r="AE3155" t="str">
        <f>IF(OR(SalesData[[#This Row],[Day]]="Saturday",SalesData[[#This Row],[Day]]="Sunday"),"Weekend","Weekday")</f>
        <v>Weekend</v>
      </c>
      <c r="AF3155" s="5">
        <f>IF(SalesData[[#This Row],[Contracts Offered]]=0,0,SalesData[[#This Row],[Contracts Signed]]/SalesData[[#This Row],[Contracts Offered]])</f>
        <v>0.37681159420289856</v>
      </c>
      <c r="AG3155" s="5">
        <f>IF(SalesData[[#This Row],[Customers Visited]]=0,0,SalesData[[#This Row],[Test Drives]]/SalesData[[#This Row],[Customers Visited]])</f>
        <v>0.57926829268292679</v>
      </c>
      <c r="AH3155" s="5">
        <f>IF(SalesData[[#This Row],[Customers Visited]]=0,0,SalesData[[#This Row],[Contracts Signed]]/SalesData[[#This Row],[Customers Visited]])</f>
        <v>0.15853658536585366</v>
      </c>
      <c r="AI3155" s="6">
        <f>IF(SalesData[[#This Row],[Contracts Signed]]=0,0,SalesData[[#This Row],[Profit(€)]]/SalesData[[#This Row],[Contracts Signed]])</f>
        <v>8054</v>
      </c>
      <c r="AJ3155" s="5" t="str">
        <f>TRIM(CLEAN(SalesData[[#This Row],[Retailer]]))</f>
        <v>Main Auto Hub</v>
      </c>
    </row>
    <row r="3156" spans="1:36" ht="14.25" hidden="1" x14ac:dyDescent="0.2">
      <c r="A3156" t="s">
        <v>4317</v>
      </c>
      <c r="B3156" s="1">
        <v>46063</v>
      </c>
      <c r="C3156" t="s">
        <v>121</v>
      </c>
      <c r="D3156" t="s">
        <v>63</v>
      </c>
      <c r="E3156" t="s">
        <v>26</v>
      </c>
      <c r="F3156" t="s">
        <v>83</v>
      </c>
      <c r="G3156" t="s">
        <v>84</v>
      </c>
      <c r="H3156" t="s">
        <v>85</v>
      </c>
      <c r="I3156" t="s">
        <v>116</v>
      </c>
      <c r="J3156" t="s">
        <v>7026</v>
      </c>
      <c r="K3156" t="s">
        <v>66</v>
      </c>
      <c r="L3156" t="s">
        <v>46</v>
      </c>
      <c r="M3156" t="s">
        <v>34</v>
      </c>
      <c r="N3156" t="s">
        <v>69</v>
      </c>
      <c r="O3156" t="s">
        <v>36</v>
      </c>
      <c r="P3156" t="s">
        <v>71</v>
      </c>
      <c r="Q3156" t="s">
        <v>144</v>
      </c>
      <c r="R3156">
        <v>273</v>
      </c>
      <c r="S3156">
        <v>141</v>
      </c>
      <c r="T3156">
        <v>91</v>
      </c>
      <c r="U3156">
        <v>24</v>
      </c>
      <c r="V3156" t="s">
        <v>2328</v>
      </c>
      <c r="W3156">
        <v>23696</v>
      </c>
      <c r="X3156" t="s">
        <v>7405</v>
      </c>
      <c r="Y3156">
        <v>21124</v>
      </c>
      <c r="Z3156">
        <v>568704</v>
      </c>
      <c r="AA3156">
        <v>61728</v>
      </c>
      <c r="AB3156" t="str">
        <f>(VLOOKUP(SalesData[[#This Row],[Month Number]],Reference!C$5:E$16,2,FALSE))</f>
        <v>Feb</v>
      </c>
      <c r="AC3156">
        <f>MONTH(SalesData[[#This Row],[Date]])</f>
        <v>2</v>
      </c>
      <c r="AD3156">
        <f>Reference!F$4</f>
        <v>2026</v>
      </c>
      <c r="AE3156" t="str">
        <f>IF(OR(SalesData[[#This Row],[Day]]="Saturday",SalesData[[#This Row],[Day]]="Sunday"),"Weekend","Weekday")</f>
        <v>Weekday</v>
      </c>
      <c r="AF3156" s="5">
        <f>IF(SalesData[[#This Row],[Contracts Offered]]=0,0,SalesData[[#This Row],[Contracts Signed]]/SalesData[[#This Row],[Contracts Offered]])</f>
        <v>0.26373626373626374</v>
      </c>
      <c r="AG3156" s="5">
        <f>IF(SalesData[[#This Row],[Customers Visited]]=0,0,SalesData[[#This Row],[Test Drives]]/SalesData[[#This Row],[Customers Visited]])</f>
        <v>0.51648351648351654</v>
      </c>
      <c r="AH3156" s="5">
        <f>IF(SalesData[[#This Row],[Customers Visited]]=0,0,SalesData[[#This Row],[Contracts Signed]]/SalesData[[#This Row],[Customers Visited]])</f>
        <v>8.7912087912087919E-2</v>
      </c>
      <c r="AI3156" s="6">
        <f>IF(SalesData[[#This Row],[Contracts Signed]]=0,0,SalesData[[#This Row],[Profit(€)]]/SalesData[[#This Row],[Contracts Signed]])</f>
        <v>2572</v>
      </c>
      <c r="AJ3156" s="5" t="str">
        <f>TRIM(CLEAN(SalesData[[#This Row],[Retailer]]))</f>
        <v>Hannover Cars</v>
      </c>
    </row>
    <row r="3157" spans="1:36" ht="14.25" hidden="1" x14ac:dyDescent="0.2">
      <c r="A3157" t="s">
        <v>4319</v>
      </c>
      <c r="B3157" s="1">
        <v>46068</v>
      </c>
      <c r="C3157" t="s">
        <v>62</v>
      </c>
      <c r="D3157" t="s">
        <v>41</v>
      </c>
      <c r="E3157" t="s">
        <v>42</v>
      </c>
      <c r="F3157" t="s">
        <v>94</v>
      </c>
      <c r="G3157" t="s">
        <v>95</v>
      </c>
      <c r="H3157" t="s">
        <v>96</v>
      </c>
      <c r="I3157" t="s">
        <v>64</v>
      </c>
      <c r="J3157" t="s">
        <v>77</v>
      </c>
      <c r="K3157" t="s">
        <v>91</v>
      </c>
      <c r="L3157" t="s">
        <v>46</v>
      </c>
      <c r="M3157" t="s">
        <v>68</v>
      </c>
      <c r="N3157" t="s">
        <v>69</v>
      </c>
      <c r="O3157" t="s">
        <v>70</v>
      </c>
      <c r="P3157" t="s">
        <v>37</v>
      </c>
      <c r="Q3157" t="s">
        <v>38</v>
      </c>
      <c r="R3157">
        <v>251</v>
      </c>
      <c r="S3157">
        <v>129</v>
      </c>
      <c r="T3157">
        <v>97</v>
      </c>
      <c r="U3157">
        <v>32</v>
      </c>
      <c r="V3157" t="s">
        <v>6394</v>
      </c>
      <c r="W3157">
        <v>55121</v>
      </c>
      <c r="X3157" t="s">
        <v>7333</v>
      </c>
      <c r="Y3157">
        <v>42249</v>
      </c>
      <c r="Z3157">
        <v>1763872</v>
      </c>
      <c r="AA3157">
        <v>411904</v>
      </c>
      <c r="AB3157" t="str">
        <f>(VLOOKUP(SalesData[[#This Row],[Month Number]],Reference!C$5:E$16,2,FALSE))</f>
        <v>Feb</v>
      </c>
      <c r="AC3157">
        <f>MONTH(SalesData[[#This Row],[Date]])</f>
        <v>2</v>
      </c>
      <c r="AD3157">
        <f>Reference!F$4</f>
        <v>2026</v>
      </c>
      <c r="AE3157" t="str">
        <f>IF(OR(SalesData[[#This Row],[Day]]="Saturday",SalesData[[#This Row],[Day]]="Sunday"),"Weekend","Weekday")</f>
        <v>Weekend</v>
      </c>
      <c r="AF3157" s="5">
        <f>IF(SalesData[[#This Row],[Contracts Offered]]=0,0,SalesData[[#This Row],[Contracts Signed]]/SalesData[[#This Row],[Contracts Offered]])</f>
        <v>0.32989690721649484</v>
      </c>
      <c r="AG3157" s="5">
        <f>IF(SalesData[[#This Row],[Customers Visited]]=0,0,SalesData[[#This Row],[Test Drives]]/SalesData[[#This Row],[Customers Visited]])</f>
        <v>0.51394422310756971</v>
      </c>
      <c r="AH3157" s="5">
        <f>IF(SalesData[[#This Row],[Customers Visited]]=0,0,SalesData[[#This Row],[Contracts Signed]]/SalesData[[#This Row],[Customers Visited]])</f>
        <v>0.12749003984063745</v>
      </c>
      <c r="AI3157" s="6">
        <f>IF(SalesData[[#This Row],[Contracts Signed]]=0,0,SalesData[[#This Row],[Profit(€)]]/SalesData[[#This Row],[Contracts Signed]])</f>
        <v>12872</v>
      </c>
      <c r="AJ3157" s="5" t="str">
        <f>TRIM(CLEAN(SalesData[[#This Row],[Retailer]]))</f>
        <v>Bavaria Motors</v>
      </c>
    </row>
    <row r="3158" spans="1:36" ht="14.25" hidden="1" x14ac:dyDescent="0.2">
      <c r="A3158" t="s">
        <v>4320</v>
      </c>
      <c r="B3158" s="1">
        <v>46074</v>
      </c>
      <c r="C3158" t="s">
        <v>62</v>
      </c>
      <c r="D3158" t="s">
        <v>151</v>
      </c>
      <c r="E3158" t="s">
        <v>42</v>
      </c>
      <c r="F3158" t="s">
        <v>7649</v>
      </c>
      <c r="G3158" t="s">
        <v>55</v>
      </c>
      <c r="H3158" t="s">
        <v>55</v>
      </c>
      <c r="I3158" t="s">
        <v>56</v>
      </c>
      <c r="J3158" t="s">
        <v>57</v>
      </c>
      <c r="K3158" t="s">
        <v>32</v>
      </c>
      <c r="L3158" t="s">
        <v>46</v>
      </c>
      <c r="M3158" t="s">
        <v>87</v>
      </c>
      <c r="N3158" t="s">
        <v>69</v>
      </c>
      <c r="O3158" t="s">
        <v>36</v>
      </c>
      <c r="P3158" t="s">
        <v>37</v>
      </c>
      <c r="Q3158" t="s">
        <v>50</v>
      </c>
      <c r="R3158">
        <v>253</v>
      </c>
      <c r="S3158">
        <v>121</v>
      </c>
      <c r="T3158">
        <v>88</v>
      </c>
      <c r="U3158">
        <v>27</v>
      </c>
      <c r="V3158" t="s">
        <v>6923</v>
      </c>
      <c r="W3158">
        <v>53225</v>
      </c>
      <c r="X3158" t="s">
        <v>7262</v>
      </c>
      <c r="Y3158">
        <v>40309</v>
      </c>
      <c r="Z3158">
        <v>1437075</v>
      </c>
      <c r="AA3158">
        <v>348732</v>
      </c>
      <c r="AB3158" t="str">
        <f>(VLOOKUP(SalesData[[#This Row],[Month Number]],Reference!C$5:E$16,2,FALSE))</f>
        <v>Feb</v>
      </c>
      <c r="AC3158">
        <f>MONTH(SalesData[[#This Row],[Date]])</f>
        <v>2</v>
      </c>
      <c r="AD3158">
        <f>Reference!F$4</f>
        <v>2026</v>
      </c>
      <c r="AE3158" t="str">
        <f>IF(OR(SalesData[[#This Row],[Day]]="Saturday",SalesData[[#This Row],[Day]]="Sunday"),"Weekend","Weekday")</f>
        <v>Weekend</v>
      </c>
      <c r="AF3158" s="5">
        <f>IF(SalesData[[#This Row],[Contracts Offered]]=0,0,SalesData[[#This Row],[Contracts Signed]]/SalesData[[#This Row],[Contracts Offered]])</f>
        <v>0.30681818181818182</v>
      </c>
      <c r="AG3158" s="5">
        <f>IF(SalesData[[#This Row],[Customers Visited]]=0,0,SalesData[[#This Row],[Test Drives]]/SalesData[[#This Row],[Customers Visited]])</f>
        <v>0.47826086956521741</v>
      </c>
      <c r="AH3158" s="5">
        <f>IF(SalesData[[#This Row],[Customers Visited]]=0,0,SalesData[[#This Row],[Contracts Signed]]/SalesData[[#This Row],[Customers Visited]])</f>
        <v>0.1067193675889328</v>
      </c>
      <c r="AI3158" s="6">
        <f>IF(SalesData[[#This Row],[Contracts Signed]]=0,0,SalesData[[#This Row],[Profit(€)]]/SalesData[[#This Row],[Contracts Signed]])</f>
        <v>12916</v>
      </c>
      <c r="AJ3158" s="5" t="str">
        <f>TRIM(CLEAN(SalesData[[#This Row],[Retailer]]))</f>
        <v>Autohaus Berlin</v>
      </c>
    </row>
    <row r="3159" spans="1:36" ht="14.25" hidden="1" x14ac:dyDescent="0.2">
      <c r="A3159" t="s">
        <v>4321</v>
      </c>
      <c r="B3159" s="1">
        <v>46063</v>
      </c>
      <c r="C3159" t="s">
        <v>121</v>
      </c>
      <c r="D3159" t="s">
        <v>63</v>
      </c>
      <c r="E3159" t="s">
        <v>26</v>
      </c>
      <c r="F3159" t="s">
        <v>94</v>
      </c>
      <c r="G3159" t="s">
        <v>95</v>
      </c>
      <c r="H3159" t="s">
        <v>96</v>
      </c>
      <c r="I3159" t="s">
        <v>104</v>
      </c>
      <c r="J3159" t="s">
        <v>140</v>
      </c>
      <c r="K3159" t="s">
        <v>66</v>
      </c>
      <c r="L3159" t="s">
        <v>46</v>
      </c>
      <c r="M3159" t="s">
        <v>47</v>
      </c>
      <c r="N3159" t="s">
        <v>35</v>
      </c>
      <c r="O3159" t="s">
        <v>70</v>
      </c>
      <c r="P3159" t="s">
        <v>58</v>
      </c>
      <c r="Q3159" t="s">
        <v>79</v>
      </c>
      <c r="R3159">
        <v>411</v>
      </c>
      <c r="S3159">
        <v>208</v>
      </c>
      <c r="T3159">
        <v>141</v>
      </c>
      <c r="U3159">
        <v>40</v>
      </c>
      <c r="V3159" t="s">
        <v>576</v>
      </c>
      <c r="W3159">
        <v>27102</v>
      </c>
      <c r="X3159" t="s">
        <v>7249</v>
      </c>
      <c r="Y3159">
        <v>24161</v>
      </c>
      <c r="Z3159">
        <v>1084080</v>
      </c>
      <c r="AA3159">
        <v>117640</v>
      </c>
      <c r="AB3159" t="str">
        <f>(VLOOKUP(SalesData[[#This Row],[Month Number]],Reference!C$5:E$16,2,FALSE))</f>
        <v>Feb</v>
      </c>
      <c r="AC3159">
        <f>MONTH(SalesData[[#This Row],[Date]])</f>
        <v>2</v>
      </c>
      <c r="AD3159">
        <f>Reference!F$4</f>
        <v>2026</v>
      </c>
      <c r="AE3159" t="str">
        <f>IF(OR(SalesData[[#This Row],[Day]]="Saturday",SalesData[[#This Row],[Day]]="Sunday"),"Weekend","Weekday")</f>
        <v>Weekday</v>
      </c>
      <c r="AF3159" s="5">
        <f>IF(SalesData[[#This Row],[Contracts Offered]]=0,0,SalesData[[#This Row],[Contracts Signed]]/SalesData[[#This Row],[Contracts Offered]])</f>
        <v>0.28368794326241137</v>
      </c>
      <c r="AG3159" s="5">
        <f>IF(SalesData[[#This Row],[Customers Visited]]=0,0,SalesData[[#This Row],[Test Drives]]/SalesData[[#This Row],[Customers Visited]])</f>
        <v>0.5060827250608273</v>
      </c>
      <c r="AH3159" s="5">
        <f>IF(SalesData[[#This Row],[Customers Visited]]=0,0,SalesData[[#This Row],[Contracts Signed]]/SalesData[[#This Row],[Customers Visited]])</f>
        <v>9.7323600973236016E-2</v>
      </c>
      <c r="AI3159" s="6">
        <f>IF(SalesData[[#This Row],[Contracts Signed]]=0,0,SalesData[[#This Row],[Profit(€)]]/SalesData[[#This Row],[Contracts Signed]])</f>
        <v>2941</v>
      </c>
      <c r="AJ3159" s="5" t="str">
        <f>TRIM(CLEAN(SalesData[[#This Row],[Retailer]]))</f>
        <v>Bavaria Motors</v>
      </c>
    </row>
    <row r="3160" spans="1:36" ht="14.25" hidden="1" x14ac:dyDescent="0.2">
      <c r="A3160" t="s">
        <v>4323</v>
      </c>
      <c r="B3160" s="1">
        <v>46063</v>
      </c>
      <c r="C3160" t="s">
        <v>121</v>
      </c>
      <c r="D3160" t="s">
        <v>63</v>
      </c>
      <c r="E3160" t="s">
        <v>26</v>
      </c>
      <c r="F3160" t="s">
        <v>109</v>
      </c>
      <c r="G3160" t="s">
        <v>110</v>
      </c>
      <c r="H3160" t="s">
        <v>45</v>
      </c>
      <c r="I3160" t="s">
        <v>64</v>
      </c>
      <c r="J3160" t="s">
        <v>65</v>
      </c>
      <c r="K3160" t="s">
        <v>66</v>
      </c>
      <c r="L3160" t="s">
        <v>33</v>
      </c>
      <c r="M3160" t="s">
        <v>87</v>
      </c>
      <c r="N3160" t="s">
        <v>35</v>
      </c>
      <c r="O3160" t="s">
        <v>36</v>
      </c>
      <c r="P3160" t="s">
        <v>58</v>
      </c>
      <c r="Q3160" t="s">
        <v>144</v>
      </c>
      <c r="R3160">
        <v>259</v>
      </c>
      <c r="S3160">
        <v>148</v>
      </c>
      <c r="T3160">
        <v>107</v>
      </c>
      <c r="U3160">
        <v>38</v>
      </c>
      <c r="V3160" t="s">
        <v>6736</v>
      </c>
      <c r="W3160">
        <v>54309</v>
      </c>
      <c r="X3160" t="s">
        <v>7025</v>
      </c>
      <c r="Y3160">
        <v>38762</v>
      </c>
      <c r="Z3160">
        <v>2063742</v>
      </c>
      <c r="AA3160">
        <v>590786</v>
      </c>
      <c r="AB3160" t="str">
        <f>(VLOOKUP(SalesData[[#This Row],[Month Number]],Reference!C$5:E$16,2,FALSE))</f>
        <v>Feb</v>
      </c>
      <c r="AC3160">
        <f>MONTH(SalesData[[#This Row],[Date]])</f>
        <v>2</v>
      </c>
      <c r="AD3160">
        <f>Reference!F$4</f>
        <v>2026</v>
      </c>
      <c r="AE3160" t="str">
        <f>IF(OR(SalesData[[#This Row],[Day]]="Saturday",SalesData[[#This Row],[Day]]="Sunday"),"Weekend","Weekday")</f>
        <v>Weekday</v>
      </c>
      <c r="AF3160" s="5">
        <f>IF(SalesData[[#This Row],[Contracts Offered]]=0,0,SalesData[[#This Row],[Contracts Signed]]/SalesData[[#This Row],[Contracts Offered]])</f>
        <v>0.35514018691588783</v>
      </c>
      <c r="AG3160" s="5">
        <f>IF(SalesData[[#This Row],[Customers Visited]]=0,0,SalesData[[#This Row],[Test Drives]]/SalesData[[#This Row],[Customers Visited]])</f>
        <v>0.5714285714285714</v>
      </c>
      <c r="AH3160" s="5">
        <f>IF(SalesData[[#This Row],[Customers Visited]]=0,0,SalesData[[#This Row],[Contracts Signed]]/SalesData[[#This Row],[Customers Visited]])</f>
        <v>0.14671814671814673</v>
      </c>
      <c r="AI3160" s="6">
        <f>IF(SalesData[[#This Row],[Contracts Signed]]=0,0,SalesData[[#This Row],[Profit(€)]]/SalesData[[#This Row],[Contracts Signed]])</f>
        <v>15547</v>
      </c>
      <c r="AJ3160" s="5" t="str">
        <f>TRIM(CLEAN(SalesData[[#This Row],[Retailer]]))</f>
        <v>Leipzig Mobility</v>
      </c>
    </row>
    <row r="3161" spans="1:36" ht="14.25" hidden="1" x14ac:dyDescent="0.2">
      <c r="A3161" t="s">
        <v>4324</v>
      </c>
      <c r="B3161" s="1">
        <v>46076</v>
      </c>
      <c r="C3161" t="s">
        <v>53</v>
      </c>
      <c r="D3161" t="s">
        <v>25</v>
      </c>
      <c r="E3161" t="s">
        <v>26</v>
      </c>
      <c r="F3161" t="s">
        <v>43</v>
      </c>
      <c r="G3161" t="s">
        <v>44</v>
      </c>
      <c r="H3161" t="s">
        <v>45</v>
      </c>
      <c r="I3161" t="s">
        <v>116</v>
      </c>
      <c r="J3161" t="s">
        <v>7026</v>
      </c>
      <c r="K3161" t="s">
        <v>66</v>
      </c>
      <c r="L3161" t="s">
        <v>46</v>
      </c>
      <c r="M3161" t="s">
        <v>68</v>
      </c>
      <c r="N3161" t="s">
        <v>48</v>
      </c>
      <c r="O3161" t="s">
        <v>70</v>
      </c>
      <c r="P3161" t="s">
        <v>37</v>
      </c>
      <c r="Q3161" t="s">
        <v>129</v>
      </c>
      <c r="R3161">
        <v>324</v>
      </c>
      <c r="S3161">
        <v>134</v>
      </c>
      <c r="T3161">
        <v>88</v>
      </c>
      <c r="U3161">
        <v>20</v>
      </c>
      <c r="V3161" t="s">
        <v>327</v>
      </c>
      <c r="W3161">
        <v>24093</v>
      </c>
      <c r="X3161" t="s">
        <v>7264</v>
      </c>
      <c r="Y3161">
        <v>22246</v>
      </c>
      <c r="Z3161">
        <v>481860</v>
      </c>
      <c r="AA3161">
        <v>36940</v>
      </c>
      <c r="AB3161" t="str">
        <f>(VLOOKUP(SalesData[[#This Row],[Month Number]],Reference!C$5:E$16,2,FALSE))</f>
        <v>Feb</v>
      </c>
      <c r="AC3161">
        <f>MONTH(SalesData[[#This Row],[Date]])</f>
        <v>2</v>
      </c>
      <c r="AD3161">
        <f>Reference!F$4</f>
        <v>2026</v>
      </c>
      <c r="AE3161" t="str">
        <f>IF(OR(SalesData[[#This Row],[Day]]="Saturday",SalesData[[#This Row],[Day]]="Sunday"),"Weekend","Weekday")</f>
        <v>Weekday</v>
      </c>
      <c r="AF3161" s="5">
        <f>IF(SalesData[[#This Row],[Contracts Offered]]=0,0,SalesData[[#This Row],[Contracts Signed]]/SalesData[[#This Row],[Contracts Offered]])</f>
        <v>0.22727272727272727</v>
      </c>
      <c r="AG3161" s="5">
        <f>IF(SalesData[[#This Row],[Customers Visited]]=0,0,SalesData[[#This Row],[Test Drives]]/SalesData[[#This Row],[Customers Visited]])</f>
        <v>0.41358024691358025</v>
      </c>
      <c r="AH3161" s="5">
        <f>IF(SalesData[[#This Row],[Customers Visited]]=0,0,SalesData[[#This Row],[Contracts Signed]]/SalesData[[#This Row],[Customers Visited]])</f>
        <v>6.1728395061728392E-2</v>
      </c>
      <c r="AI3161" s="6">
        <f>IF(SalesData[[#This Row],[Contracts Signed]]=0,0,SalesData[[#This Row],[Profit(€)]]/SalesData[[#This Row],[Contracts Signed]])</f>
        <v>1847</v>
      </c>
      <c r="AJ3161" s="5" t="str">
        <f>TRIM(CLEAN(SalesData[[#This Row],[Retailer]]))</f>
        <v>Saxon Wheels</v>
      </c>
    </row>
    <row r="3162" spans="1:36" ht="14.25" hidden="1" x14ac:dyDescent="0.2">
      <c r="A3162" t="s">
        <v>4325</v>
      </c>
      <c r="B3162" s="1">
        <v>46072</v>
      </c>
      <c r="C3162" t="s">
        <v>62</v>
      </c>
      <c r="D3162" t="s">
        <v>100</v>
      </c>
      <c r="E3162" t="s">
        <v>26</v>
      </c>
      <c r="F3162" t="s">
        <v>127</v>
      </c>
      <c r="G3162" t="s">
        <v>128</v>
      </c>
      <c r="H3162" t="s">
        <v>103</v>
      </c>
      <c r="I3162" t="s">
        <v>56</v>
      </c>
      <c r="J3162" t="s">
        <v>137</v>
      </c>
      <c r="K3162" t="s">
        <v>32</v>
      </c>
      <c r="L3162" t="s">
        <v>46</v>
      </c>
      <c r="M3162" t="s">
        <v>87</v>
      </c>
      <c r="N3162" t="s">
        <v>35</v>
      </c>
      <c r="O3162" t="s">
        <v>36</v>
      </c>
      <c r="P3162" t="s">
        <v>37</v>
      </c>
      <c r="Q3162" t="s">
        <v>167</v>
      </c>
      <c r="R3162">
        <v>294</v>
      </c>
      <c r="S3162">
        <v>156</v>
      </c>
      <c r="T3162">
        <v>116</v>
      </c>
      <c r="U3162">
        <v>38</v>
      </c>
      <c r="V3162" t="s">
        <v>6737</v>
      </c>
      <c r="W3162">
        <v>40283</v>
      </c>
      <c r="X3162" t="s">
        <v>7588</v>
      </c>
      <c r="Y3162">
        <v>32069</v>
      </c>
      <c r="Z3162">
        <v>1530754</v>
      </c>
      <c r="AA3162">
        <v>312132</v>
      </c>
      <c r="AB3162" t="str">
        <f>(VLOOKUP(SalesData[[#This Row],[Month Number]],Reference!C$5:E$16,2,FALSE))</f>
        <v>Feb</v>
      </c>
      <c r="AC3162">
        <f>MONTH(SalesData[[#This Row],[Date]])</f>
        <v>2</v>
      </c>
      <c r="AD3162">
        <f>Reference!F$4</f>
        <v>2026</v>
      </c>
      <c r="AE3162" t="str">
        <f>IF(OR(SalesData[[#This Row],[Day]]="Saturday",SalesData[[#This Row],[Day]]="Sunday"),"Weekend","Weekday")</f>
        <v>Weekday</v>
      </c>
      <c r="AF3162" s="5">
        <f>IF(SalesData[[#This Row],[Contracts Offered]]=0,0,SalesData[[#This Row],[Contracts Signed]]/SalesData[[#This Row],[Contracts Offered]])</f>
        <v>0.32758620689655171</v>
      </c>
      <c r="AG3162" s="5">
        <f>IF(SalesData[[#This Row],[Customers Visited]]=0,0,SalesData[[#This Row],[Test Drives]]/SalesData[[#This Row],[Customers Visited]])</f>
        <v>0.53061224489795922</v>
      </c>
      <c r="AH3162" s="5">
        <f>IF(SalesData[[#This Row],[Customers Visited]]=0,0,SalesData[[#This Row],[Contracts Signed]]/SalesData[[#This Row],[Customers Visited]])</f>
        <v>0.12925170068027211</v>
      </c>
      <c r="AI3162" s="6">
        <f>IF(SalesData[[#This Row],[Contracts Signed]]=0,0,SalesData[[#This Row],[Profit(€)]]/SalesData[[#This Row],[Contracts Signed]])</f>
        <v>8214</v>
      </c>
      <c r="AJ3162" s="5" t="str">
        <f>TRIM(CLEAN(SalesData[[#This Row],[Retailer]]))</f>
        <v>Rhein Auto Group</v>
      </c>
    </row>
    <row r="3163" spans="1:36" ht="14.25" hidden="1" x14ac:dyDescent="0.2">
      <c r="A3163" t="s">
        <v>4326</v>
      </c>
      <c r="B3163" s="1">
        <v>46078</v>
      </c>
      <c r="C3163" t="s">
        <v>53</v>
      </c>
      <c r="D3163" t="s">
        <v>82</v>
      </c>
      <c r="E3163" t="s">
        <v>26</v>
      </c>
      <c r="F3163" t="s">
        <v>7649</v>
      </c>
      <c r="G3163" t="s">
        <v>55</v>
      </c>
      <c r="H3163" t="s">
        <v>55</v>
      </c>
      <c r="I3163" t="s">
        <v>56</v>
      </c>
      <c r="J3163" t="s">
        <v>137</v>
      </c>
      <c r="K3163" t="s">
        <v>91</v>
      </c>
      <c r="L3163" t="s">
        <v>46</v>
      </c>
      <c r="M3163" t="s">
        <v>87</v>
      </c>
      <c r="N3163" t="s">
        <v>69</v>
      </c>
      <c r="O3163" t="s">
        <v>70</v>
      </c>
      <c r="P3163" t="s">
        <v>49</v>
      </c>
      <c r="Q3163" t="s">
        <v>204</v>
      </c>
      <c r="R3163">
        <v>200</v>
      </c>
      <c r="S3163">
        <v>114</v>
      </c>
      <c r="T3163">
        <v>74</v>
      </c>
      <c r="U3163">
        <v>23</v>
      </c>
      <c r="V3163" t="s">
        <v>6427</v>
      </c>
      <c r="W3163">
        <v>53104</v>
      </c>
      <c r="X3163" t="s">
        <v>4652</v>
      </c>
      <c r="Y3163">
        <v>42236</v>
      </c>
      <c r="Z3163">
        <v>1221392</v>
      </c>
      <c r="AA3163">
        <v>249964</v>
      </c>
      <c r="AB3163" t="str">
        <f>(VLOOKUP(SalesData[[#This Row],[Month Number]],Reference!C$5:E$16,2,FALSE))</f>
        <v>Feb</v>
      </c>
      <c r="AC3163">
        <f>MONTH(SalesData[[#This Row],[Date]])</f>
        <v>2</v>
      </c>
      <c r="AD3163">
        <f>Reference!F$4</f>
        <v>2026</v>
      </c>
      <c r="AE3163" t="str">
        <f>IF(OR(SalesData[[#This Row],[Day]]="Saturday",SalesData[[#This Row],[Day]]="Sunday"),"Weekend","Weekday")</f>
        <v>Weekday</v>
      </c>
      <c r="AF3163" s="5">
        <f>IF(SalesData[[#This Row],[Contracts Offered]]=0,0,SalesData[[#This Row],[Contracts Signed]]/SalesData[[#This Row],[Contracts Offered]])</f>
        <v>0.3108108108108108</v>
      </c>
      <c r="AG3163" s="5">
        <f>IF(SalesData[[#This Row],[Customers Visited]]=0,0,SalesData[[#This Row],[Test Drives]]/SalesData[[#This Row],[Customers Visited]])</f>
        <v>0.56999999999999995</v>
      </c>
      <c r="AH3163" s="5">
        <f>IF(SalesData[[#This Row],[Customers Visited]]=0,0,SalesData[[#This Row],[Contracts Signed]]/SalesData[[#This Row],[Customers Visited]])</f>
        <v>0.115</v>
      </c>
      <c r="AI3163" s="6">
        <f>IF(SalesData[[#This Row],[Contracts Signed]]=0,0,SalesData[[#This Row],[Profit(€)]]/SalesData[[#This Row],[Contracts Signed]])</f>
        <v>10868</v>
      </c>
      <c r="AJ3163" s="5" t="str">
        <f>TRIM(CLEAN(SalesData[[#This Row],[Retailer]]))</f>
        <v>Autohaus Berlin</v>
      </c>
    </row>
    <row r="3164" spans="1:36" ht="14.25" hidden="1" x14ac:dyDescent="0.2">
      <c r="A3164" t="s">
        <v>4327</v>
      </c>
      <c r="B3164" s="1">
        <v>46060</v>
      </c>
      <c r="C3164" t="s">
        <v>24</v>
      </c>
      <c r="D3164" t="s">
        <v>151</v>
      </c>
      <c r="E3164" t="s">
        <v>42</v>
      </c>
      <c r="F3164" t="s">
        <v>43</v>
      </c>
      <c r="G3164" t="s">
        <v>44</v>
      </c>
      <c r="H3164" t="s">
        <v>45</v>
      </c>
      <c r="I3164" t="s">
        <v>104</v>
      </c>
      <c r="J3164" t="s">
        <v>105</v>
      </c>
      <c r="K3164" t="s">
        <v>91</v>
      </c>
      <c r="L3164" t="s">
        <v>33</v>
      </c>
      <c r="M3164" t="s">
        <v>34</v>
      </c>
      <c r="N3164" t="s">
        <v>69</v>
      </c>
      <c r="O3164" t="s">
        <v>70</v>
      </c>
      <c r="P3164" t="s">
        <v>49</v>
      </c>
      <c r="Q3164" t="s">
        <v>106</v>
      </c>
      <c r="R3164">
        <v>411</v>
      </c>
      <c r="S3164">
        <v>185</v>
      </c>
      <c r="T3164">
        <v>119</v>
      </c>
      <c r="U3164">
        <v>22</v>
      </c>
      <c r="V3164" t="s">
        <v>676</v>
      </c>
      <c r="W3164">
        <v>33076</v>
      </c>
      <c r="X3164" t="s">
        <v>2179</v>
      </c>
      <c r="Y3164">
        <v>28600</v>
      </c>
      <c r="Z3164">
        <v>727672</v>
      </c>
      <c r="AA3164">
        <v>98472</v>
      </c>
      <c r="AB3164" t="str">
        <f>(VLOOKUP(SalesData[[#This Row],[Month Number]],Reference!C$5:E$16,2,FALSE))</f>
        <v>Feb</v>
      </c>
      <c r="AC3164">
        <f>MONTH(SalesData[[#This Row],[Date]])</f>
        <v>2</v>
      </c>
      <c r="AD3164">
        <f>Reference!F$4</f>
        <v>2026</v>
      </c>
      <c r="AE3164" t="str">
        <f>IF(OR(SalesData[[#This Row],[Day]]="Saturday",SalesData[[#This Row],[Day]]="Sunday"),"Weekend","Weekday")</f>
        <v>Weekend</v>
      </c>
      <c r="AF3164" s="5">
        <f>IF(SalesData[[#This Row],[Contracts Offered]]=0,0,SalesData[[#This Row],[Contracts Signed]]/SalesData[[#This Row],[Contracts Offered]])</f>
        <v>0.18487394957983194</v>
      </c>
      <c r="AG3164" s="5">
        <f>IF(SalesData[[#This Row],[Customers Visited]]=0,0,SalesData[[#This Row],[Test Drives]]/SalesData[[#This Row],[Customers Visited]])</f>
        <v>0.45012165450121655</v>
      </c>
      <c r="AH3164" s="5">
        <f>IF(SalesData[[#This Row],[Customers Visited]]=0,0,SalesData[[#This Row],[Contracts Signed]]/SalesData[[#This Row],[Customers Visited]])</f>
        <v>5.3527980535279802E-2</v>
      </c>
      <c r="AI3164" s="6">
        <f>IF(SalesData[[#This Row],[Contracts Signed]]=0,0,SalesData[[#This Row],[Profit(€)]]/SalesData[[#This Row],[Contracts Signed]])</f>
        <v>4476</v>
      </c>
      <c r="AJ3164" s="5" t="str">
        <f>TRIM(CLEAN(SalesData[[#This Row],[Retailer]]))</f>
        <v>Saxon Wheels</v>
      </c>
    </row>
    <row r="3165" spans="1:36" ht="14.25" x14ac:dyDescent="0.2">
      <c r="A3165" t="s">
        <v>4328</v>
      </c>
      <c r="B3165" s="1">
        <v>46066</v>
      </c>
      <c r="C3165" t="s">
        <v>121</v>
      </c>
      <c r="D3165" t="s">
        <v>54</v>
      </c>
      <c r="E3165" t="s">
        <v>26</v>
      </c>
      <c r="F3165" t="s">
        <v>127</v>
      </c>
      <c r="G3165" t="s">
        <v>128</v>
      </c>
      <c r="H3165" t="s">
        <v>103</v>
      </c>
      <c r="I3165" t="s">
        <v>30</v>
      </c>
      <c r="J3165" t="s">
        <v>31</v>
      </c>
      <c r="K3165" t="s">
        <v>78</v>
      </c>
      <c r="L3165" t="s">
        <v>46</v>
      </c>
      <c r="M3165" t="s">
        <v>68</v>
      </c>
      <c r="N3165" t="s">
        <v>48</v>
      </c>
      <c r="O3165" t="s">
        <v>36</v>
      </c>
      <c r="P3165" t="s">
        <v>71</v>
      </c>
      <c r="Q3165" t="s">
        <v>240</v>
      </c>
      <c r="R3165">
        <v>148</v>
      </c>
      <c r="S3165">
        <v>86</v>
      </c>
      <c r="T3165">
        <v>64</v>
      </c>
      <c r="U3165">
        <v>26</v>
      </c>
      <c r="V3165" t="s">
        <v>7473</v>
      </c>
      <c r="W3165">
        <v>65276</v>
      </c>
      <c r="X3165" t="s">
        <v>7386</v>
      </c>
      <c r="Y3165">
        <v>48420</v>
      </c>
      <c r="Z3165">
        <v>1697176</v>
      </c>
      <c r="AA3165">
        <v>438256</v>
      </c>
      <c r="AB3165" t="str">
        <f>(VLOOKUP(SalesData[[#This Row],[Month Number]],Reference!C$5:E$16,2,FALSE))</f>
        <v>Feb</v>
      </c>
      <c r="AC3165">
        <f>MONTH(SalesData[[#This Row],[Date]])</f>
        <v>2</v>
      </c>
      <c r="AD3165">
        <f>Reference!F$4</f>
        <v>2026</v>
      </c>
      <c r="AE3165" t="str">
        <f>IF(OR(SalesData[[#This Row],[Day]]="Saturday",SalesData[[#This Row],[Day]]="Sunday"),"Weekend","Weekday")</f>
        <v>Weekday</v>
      </c>
      <c r="AF3165" s="5">
        <f>IF(SalesData[[#This Row],[Contracts Offered]]=0,0,SalesData[[#This Row],[Contracts Signed]]/SalesData[[#This Row],[Contracts Offered]])</f>
        <v>0.40625</v>
      </c>
      <c r="AG3165" s="5">
        <f>IF(SalesData[[#This Row],[Customers Visited]]=0,0,SalesData[[#This Row],[Test Drives]]/SalesData[[#This Row],[Customers Visited]])</f>
        <v>0.58108108108108103</v>
      </c>
      <c r="AH3165" s="5">
        <f>IF(SalesData[[#This Row],[Customers Visited]]=0,0,SalesData[[#This Row],[Contracts Signed]]/SalesData[[#This Row],[Customers Visited]])</f>
        <v>0.17567567567567569</v>
      </c>
      <c r="AI3165" s="6">
        <f>IF(SalesData[[#This Row],[Contracts Signed]]=0,0,SalesData[[#This Row],[Profit(€)]]/SalesData[[#This Row],[Contracts Signed]])</f>
        <v>16856</v>
      </c>
      <c r="AJ3165" s="5" t="str">
        <f>TRIM(CLEAN(SalesData[[#This Row],[Retailer]]))</f>
        <v>Rhein Auto Group</v>
      </c>
    </row>
    <row r="3166" spans="1:36" ht="14.25" hidden="1" x14ac:dyDescent="0.2">
      <c r="A3166" t="s">
        <v>4329</v>
      </c>
      <c r="B3166" s="1">
        <v>46076</v>
      </c>
      <c r="C3166" t="s">
        <v>53</v>
      </c>
      <c r="D3166" t="s">
        <v>25</v>
      </c>
      <c r="E3166" t="s">
        <v>26</v>
      </c>
      <c r="F3166" t="s">
        <v>94</v>
      </c>
      <c r="G3166" t="s">
        <v>95</v>
      </c>
      <c r="H3166" t="s">
        <v>96</v>
      </c>
      <c r="I3166" t="s">
        <v>56</v>
      </c>
      <c r="J3166" t="s">
        <v>97</v>
      </c>
      <c r="K3166" t="s">
        <v>66</v>
      </c>
      <c r="L3166" t="s">
        <v>33</v>
      </c>
      <c r="M3166" t="s">
        <v>87</v>
      </c>
      <c r="N3166" t="s">
        <v>48</v>
      </c>
      <c r="O3166" t="s">
        <v>70</v>
      </c>
      <c r="P3166" t="s">
        <v>37</v>
      </c>
      <c r="Q3166" t="s">
        <v>79</v>
      </c>
      <c r="R3166">
        <v>306</v>
      </c>
      <c r="S3166">
        <v>158</v>
      </c>
      <c r="T3166">
        <v>107</v>
      </c>
      <c r="U3166">
        <v>38</v>
      </c>
      <c r="V3166" t="s">
        <v>6748</v>
      </c>
      <c r="W3166">
        <v>44127</v>
      </c>
      <c r="X3166" t="s">
        <v>7435</v>
      </c>
      <c r="Y3166">
        <v>33308</v>
      </c>
      <c r="Z3166">
        <v>1676826</v>
      </c>
      <c r="AA3166">
        <v>411122</v>
      </c>
      <c r="AB3166" t="str">
        <f>(VLOOKUP(SalesData[[#This Row],[Month Number]],Reference!C$5:E$16,2,FALSE))</f>
        <v>Feb</v>
      </c>
      <c r="AC3166">
        <f>MONTH(SalesData[[#This Row],[Date]])</f>
        <v>2</v>
      </c>
      <c r="AD3166">
        <f>Reference!F$4</f>
        <v>2026</v>
      </c>
      <c r="AE3166" t="str">
        <f>IF(OR(SalesData[[#This Row],[Day]]="Saturday",SalesData[[#This Row],[Day]]="Sunday"),"Weekend","Weekday")</f>
        <v>Weekday</v>
      </c>
      <c r="AF3166" s="5">
        <f>IF(SalesData[[#This Row],[Contracts Offered]]=0,0,SalesData[[#This Row],[Contracts Signed]]/SalesData[[#This Row],[Contracts Offered]])</f>
        <v>0.35514018691588783</v>
      </c>
      <c r="AG3166" s="5">
        <f>IF(SalesData[[#This Row],[Customers Visited]]=0,0,SalesData[[#This Row],[Test Drives]]/SalesData[[#This Row],[Customers Visited]])</f>
        <v>0.5163398692810458</v>
      </c>
      <c r="AH3166" s="5">
        <f>IF(SalesData[[#This Row],[Customers Visited]]=0,0,SalesData[[#This Row],[Contracts Signed]]/SalesData[[#This Row],[Customers Visited]])</f>
        <v>0.12418300653594772</v>
      </c>
      <c r="AI3166" s="6">
        <f>IF(SalesData[[#This Row],[Contracts Signed]]=0,0,SalesData[[#This Row],[Profit(€)]]/SalesData[[#This Row],[Contracts Signed]])</f>
        <v>10819</v>
      </c>
      <c r="AJ3166" s="5" t="str">
        <f>TRIM(CLEAN(SalesData[[#This Row],[Retailer]]))</f>
        <v>Bavaria Motors</v>
      </c>
    </row>
    <row r="3167" spans="1:36" ht="14.25" hidden="1" x14ac:dyDescent="0.2">
      <c r="A3167" t="s">
        <v>4330</v>
      </c>
      <c r="B3167" s="1">
        <v>46056</v>
      </c>
      <c r="C3167" t="s">
        <v>24</v>
      </c>
      <c r="D3167" t="s">
        <v>63</v>
      </c>
      <c r="E3167" t="s">
        <v>26</v>
      </c>
      <c r="F3167" t="s">
        <v>94</v>
      </c>
      <c r="G3167" t="s">
        <v>95</v>
      </c>
      <c r="H3167" t="s">
        <v>96</v>
      </c>
      <c r="I3167" t="s">
        <v>116</v>
      </c>
      <c r="J3167" t="s">
        <v>7090</v>
      </c>
      <c r="K3167" t="s">
        <v>66</v>
      </c>
      <c r="L3167" t="s">
        <v>46</v>
      </c>
      <c r="M3167" t="s">
        <v>87</v>
      </c>
      <c r="N3167" t="s">
        <v>35</v>
      </c>
      <c r="O3167" t="s">
        <v>36</v>
      </c>
      <c r="P3167" t="s">
        <v>71</v>
      </c>
      <c r="Q3167" t="s">
        <v>129</v>
      </c>
      <c r="R3167">
        <v>223</v>
      </c>
      <c r="S3167">
        <v>102</v>
      </c>
      <c r="T3167">
        <v>61</v>
      </c>
      <c r="U3167">
        <v>19</v>
      </c>
      <c r="V3167" t="s">
        <v>2054</v>
      </c>
      <c r="W3167">
        <v>22559</v>
      </c>
      <c r="X3167" t="s">
        <v>779</v>
      </c>
      <c r="Y3167">
        <v>20628</v>
      </c>
      <c r="Z3167">
        <v>428621</v>
      </c>
      <c r="AA3167">
        <v>36689</v>
      </c>
      <c r="AB3167" t="str">
        <f>(VLOOKUP(SalesData[[#This Row],[Month Number]],Reference!C$5:E$16,2,FALSE))</f>
        <v>Feb</v>
      </c>
      <c r="AC3167">
        <f>MONTH(SalesData[[#This Row],[Date]])</f>
        <v>2</v>
      </c>
      <c r="AD3167">
        <f>Reference!F$4</f>
        <v>2026</v>
      </c>
      <c r="AE3167" t="str">
        <f>IF(OR(SalesData[[#This Row],[Day]]="Saturday",SalesData[[#This Row],[Day]]="Sunday"),"Weekend","Weekday")</f>
        <v>Weekday</v>
      </c>
      <c r="AF3167" s="5">
        <f>IF(SalesData[[#This Row],[Contracts Offered]]=0,0,SalesData[[#This Row],[Contracts Signed]]/SalesData[[#This Row],[Contracts Offered]])</f>
        <v>0.31147540983606559</v>
      </c>
      <c r="AG3167" s="5">
        <f>IF(SalesData[[#This Row],[Customers Visited]]=0,0,SalesData[[#This Row],[Test Drives]]/SalesData[[#This Row],[Customers Visited]])</f>
        <v>0.45739910313901344</v>
      </c>
      <c r="AH3167" s="5">
        <f>IF(SalesData[[#This Row],[Customers Visited]]=0,0,SalesData[[#This Row],[Contracts Signed]]/SalesData[[#This Row],[Customers Visited]])</f>
        <v>8.520179372197309E-2</v>
      </c>
      <c r="AI3167" s="6">
        <f>IF(SalesData[[#This Row],[Contracts Signed]]=0,0,SalesData[[#This Row],[Profit(€)]]/SalesData[[#This Row],[Contracts Signed]])</f>
        <v>1931</v>
      </c>
      <c r="AJ3167" s="5" t="str">
        <f>TRIM(CLEAN(SalesData[[#This Row],[Retailer]]))</f>
        <v>Bavaria Motors</v>
      </c>
    </row>
    <row r="3168" spans="1:36" ht="14.25" hidden="1" x14ac:dyDescent="0.2">
      <c r="A3168" t="s">
        <v>4331</v>
      </c>
      <c r="B3168" s="1">
        <v>46072</v>
      </c>
      <c r="C3168" t="s">
        <v>62</v>
      </c>
      <c r="D3168" t="s">
        <v>100</v>
      </c>
      <c r="E3168" t="s">
        <v>26</v>
      </c>
      <c r="F3168" t="s">
        <v>101</v>
      </c>
      <c r="G3168" t="s">
        <v>102</v>
      </c>
      <c r="H3168" t="s">
        <v>103</v>
      </c>
      <c r="I3168" t="s">
        <v>104</v>
      </c>
      <c r="J3168" t="s">
        <v>105</v>
      </c>
      <c r="K3168" t="s">
        <v>78</v>
      </c>
      <c r="L3168" t="s">
        <v>33</v>
      </c>
      <c r="M3168" t="s">
        <v>68</v>
      </c>
      <c r="N3168" t="s">
        <v>48</v>
      </c>
      <c r="O3168" t="s">
        <v>36</v>
      </c>
      <c r="P3168" t="s">
        <v>37</v>
      </c>
      <c r="Q3168" t="s">
        <v>152</v>
      </c>
      <c r="R3168">
        <v>388</v>
      </c>
      <c r="S3168">
        <v>192</v>
      </c>
      <c r="T3168">
        <v>129</v>
      </c>
      <c r="U3168">
        <v>26</v>
      </c>
      <c r="V3168" t="s">
        <v>581</v>
      </c>
      <c r="W3168">
        <v>32742</v>
      </c>
      <c r="X3168" t="s">
        <v>256</v>
      </c>
      <c r="Y3168">
        <v>28681</v>
      </c>
      <c r="Z3168">
        <v>851292</v>
      </c>
      <c r="AA3168">
        <v>105586</v>
      </c>
      <c r="AB3168" t="str">
        <f>(VLOOKUP(SalesData[[#This Row],[Month Number]],Reference!C$5:E$16,2,FALSE))</f>
        <v>Feb</v>
      </c>
      <c r="AC3168">
        <f>MONTH(SalesData[[#This Row],[Date]])</f>
        <v>2</v>
      </c>
      <c r="AD3168">
        <f>Reference!F$4</f>
        <v>2026</v>
      </c>
      <c r="AE3168" t="str">
        <f>IF(OR(SalesData[[#This Row],[Day]]="Saturday",SalesData[[#This Row],[Day]]="Sunday"),"Weekend","Weekday")</f>
        <v>Weekday</v>
      </c>
      <c r="AF3168" s="5">
        <f>IF(SalesData[[#This Row],[Contracts Offered]]=0,0,SalesData[[#This Row],[Contracts Signed]]/SalesData[[#This Row],[Contracts Offered]])</f>
        <v>0.20155038759689922</v>
      </c>
      <c r="AG3168" s="5">
        <f>IF(SalesData[[#This Row],[Customers Visited]]=0,0,SalesData[[#This Row],[Test Drives]]/SalesData[[#This Row],[Customers Visited]])</f>
        <v>0.49484536082474229</v>
      </c>
      <c r="AH3168" s="5">
        <f>IF(SalesData[[#This Row],[Customers Visited]]=0,0,SalesData[[#This Row],[Contracts Signed]]/SalesData[[#This Row],[Customers Visited]])</f>
        <v>6.7010309278350513E-2</v>
      </c>
      <c r="AI3168" s="6">
        <f>IF(SalesData[[#This Row],[Contracts Signed]]=0,0,SalesData[[#This Row],[Profit(€)]]/SalesData[[#This Row],[Contracts Signed]])</f>
        <v>4061</v>
      </c>
      <c r="AJ3168" s="5" t="str">
        <f>TRIM(CLEAN(SalesData[[#This Row],[Retailer]]))</f>
        <v>Ruhr Auto Plaza</v>
      </c>
    </row>
    <row r="3169" spans="1:36" ht="14.25" hidden="1" x14ac:dyDescent="0.2">
      <c r="A3169" t="s">
        <v>4332</v>
      </c>
      <c r="B3169" s="1">
        <v>46077</v>
      </c>
      <c r="C3169" t="s">
        <v>53</v>
      </c>
      <c r="D3169" t="s">
        <v>63</v>
      </c>
      <c r="E3169" t="s">
        <v>26</v>
      </c>
      <c r="F3169" t="s">
        <v>83</v>
      </c>
      <c r="G3169" t="s">
        <v>84</v>
      </c>
      <c r="H3169" t="s">
        <v>85</v>
      </c>
      <c r="I3169" t="s">
        <v>56</v>
      </c>
      <c r="J3169" t="s">
        <v>97</v>
      </c>
      <c r="K3169" t="s">
        <v>66</v>
      </c>
      <c r="L3169" t="s">
        <v>33</v>
      </c>
      <c r="M3169" t="s">
        <v>87</v>
      </c>
      <c r="N3169" t="s">
        <v>48</v>
      </c>
      <c r="O3169" t="s">
        <v>70</v>
      </c>
      <c r="P3169" t="s">
        <v>37</v>
      </c>
      <c r="Q3169" t="s">
        <v>59</v>
      </c>
      <c r="R3169">
        <v>295</v>
      </c>
      <c r="S3169">
        <v>147</v>
      </c>
      <c r="T3169">
        <v>96</v>
      </c>
      <c r="U3169">
        <v>29</v>
      </c>
      <c r="V3169" t="s">
        <v>3493</v>
      </c>
      <c r="W3169">
        <v>42931</v>
      </c>
      <c r="X3169" t="s">
        <v>7034</v>
      </c>
      <c r="Y3169">
        <v>33763</v>
      </c>
      <c r="Z3169">
        <v>1244999</v>
      </c>
      <c r="AA3169">
        <v>265872</v>
      </c>
      <c r="AB3169" t="str">
        <f>(VLOOKUP(SalesData[[#This Row],[Month Number]],Reference!C$5:E$16,2,FALSE))</f>
        <v>Feb</v>
      </c>
      <c r="AC3169">
        <f>MONTH(SalesData[[#This Row],[Date]])</f>
        <v>2</v>
      </c>
      <c r="AD3169">
        <f>Reference!F$4</f>
        <v>2026</v>
      </c>
      <c r="AE3169" t="str">
        <f>IF(OR(SalesData[[#This Row],[Day]]="Saturday",SalesData[[#This Row],[Day]]="Sunday"),"Weekend","Weekday")</f>
        <v>Weekday</v>
      </c>
      <c r="AF3169" s="5">
        <f>IF(SalesData[[#This Row],[Contracts Offered]]=0,0,SalesData[[#This Row],[Contracts Signed]]/SalesData[[#This Row],[Contracts Offered]])</f>
        <v>0.30208333333333331</v>
      </c>
      <c r="AG3169" s="5">
        <f>IF(SalesData[[#This Row],[Customers Visited]]=0,0,SalesData[[#This Row],[Test Drives]]/SalesData[[#This Row],[Customers Visited]])</f>
        <v>0.49830508474576274</v>
      </c>
      <c r="AH3169" s="5">
        <f>IF(SalesData[[#This Row],[Customers Visited]]=0,0,SalesData[[#This Row],[Contracts Signed]]/SalesData[[#This Row],[Customers Visited]])</f>
        <v>9.8305084745762716E-2</v>
      </c>
      <c r="AI3169" s="6">
        <f>IF(SalesData[[#This Row],[Contracts Signed]]=0,0,SalesData[[#This Row],[Profit(€)]]/SalesData[[#This Row],[Contracts Signed]])</f>
        <v>9168</v>
      </c>
      <c r="AJ3169" s="5" t="str">
        <f>TRIM(CLEAN(SalesData[[#This Row],[Retailer]]))</f>
        <v>Hannover Cars</v>
      </c>
    </row>
    <row r="3170" spans="1:36" ht="14.25" hidden="1" x14ac:dyDescent="0.2">
      <c r="A3170" t="s">
        <v>4333</v>
      </c>
      <c r="B3170" s="1">
        <v>46072</v>
      </c>
      <c r="C3170" t="s">
        <v>62</v>
      </c>
      <c r="D3170" t="s">
        <v>100</v>
      </c>
      <c r="E3170" t="s">
        <v>26</v>
      </c>
      <c r="F3170" t="s">
        <v>114</v>
      </c>
      <c r="G3170" t="s">
        <v>115</v>
      </c>
      <c r="H3170" t="s">
        <v>115</v>
      </c>
      <c r="I3170" t="s">
        <v>56</v>
      </c>
      <c r="J3170" t="s">
        <v>137</v>
      </c>
      <c r="K3170" t="s">
        <v>32</v>
      </c>
      <c r="L3170" t="s">
        <v>46</v>
      </c>
      <c r="M3170" t="s">
        <v>47</v>
      </c>
      <c r="N3170" t="s">
        <v>69</v>
      </c>
      <c r="O3170" t="s">
        <v>70</v>
      </c>
      <c r="P3170" t="s">
        <v>71</v>
      </c>
      <c r="Q3170" t="s">
        <v>88</v>
      </c>
      <c r="R3170">
        <v>287</v>
      </c>
      <c r="S3170">
        <v>143</v>
      </c>
      <c r="T3170">
        <v>104</v>
      </c>
      <c r="U3170">
        <v>37</v>
      </c>
      <c r="V3170" t="s">
        <v>6485</v>
      </c>
      <c r="W3170">
        <v>47421</v>
      </c>
      <c r="X3170" t="s">
        <v>254</v>
      </c>
      <c r="Y3170">
        <v>37199</v>
      </c>
      <c r="Z3170">
        <v>1754577</v>
      </c>
      <c r="AA3170">
        <v>378214</v>
      </c>
      <c r="AB3170" t="str">
        <f>(VLOOKUP(SalesData[[#This Row],[Month Number]],Reference!C$5:E$16,2,FALSE))</f>
        <v>Feb</v>
      </c>
      <c r="AC3170">
        <f>MONTH(SalesData[[#This Row],[Date]])</f>
        <v>2</v>
      </c>
      <c r="AD3170">
        <f>Reference!F$4</f>
        <v>2026</v>
      </c>
      <c r="AE3170" t="str">
        <f>IF(OR(SalesData[[#This Row],[Day]]="Saturday",SalesData[[#This Row],[Day]]="Sunday"),"Weekend","Weekday")</f>
        <v>Weekday</v>
      </c>
      <c r="AF3170" s="5">
        <f>IF(SalesData[[#This Row],[Contracts Offered]]=0,0,SalesData[[#This Row],[Contracts Signed]]/SalesData[[#This Row],[Contracts Offered]])</f>
        <v>0.35576923076923078</v>
      </c>
      <c r="AG3170" s="5">
        <f>IF(SalesData[[#This Row],[Customers Visited]]=0,0,SalesData[[#This Row],[Test Drives]]/SalesData[[#This Row],[Customers Visited]])</f>
        <v>0.49825783972125437</v>
      </c>
      <c r="AH3170" s="5">
        <f>IF(SalesData[[#This Row],[Customers Visited]]=0,0,SalesData[[#This Row],[Contracts Signed]]/SalesData[[#This Row],[Customers Visited]])</f>
        <v>0.1289198606271777</v>
      </c>
      <c r="AI3170" s="6">
        <f>IF(SalesData[[#This Row],[Contracts Signed]]=0,0,SalesData[[#This Row],[Profit(€)]]/SalesData[[#This Row],[Contracts Signed]])</f>
        <v>10222</v>
      </c>
      <c r="AJ3170" s="5" t="str">
        <f>TRIM(CLEAN(SalesData[[#This Row],[Retailer]]))</f>
        <v>Elbe Drive</v>
      </c>
    </row>
    <row r="3171" spans="1:36" ht="14.25" hidden="1" x14ac:dyDescent="0.2">
      <c r="A3171" t="s">
        <v>4335</v>
      </c>
      <c r="B3171" s="1">
        <v>46071</v>
      </c>
      <c r="C3171" t="s">
        <v>62</v>
      </c>
      <c r="D3171" t="s">
        <v>82</v>
      </c>
      <c r="E3171" t="s">
        <v>26</v>
      </c>
      <c r="F3171" t="s">
        <v>43</v>
      </c>
      <c r="G3171" t="s">
        <v>44</v>
      </c>
      <c r="H3171" t="s">
        <v>45</v>
      </c>
      <c r="I3171" t="s">
        <v>116</v>
      </c>
      <c r="J3171" t="s">
        <v>117</v>
      </c>
      <c r="K3171" t="s">
        <v>32</v>
      </c>
      <c r="L3171" t="s">
        <v>67</v>
      </c>
      <c r="M3171" t="s">
        <v>34</v>
      </c>
      <c r="N3171" t="s">
        <v>48</v>
      </c>
      <c r="O3171" t="s">
        <v>70</v>
      </c>
      <c r="P3171" t="s">
        <v>71</v>
      </c>
      <c r="Q3171" t="s">
        <v>106</v>
      </c>
      <c r="R3171">
        <v>268</v>
      </c>
      <c r="S3171">
        <v>120</v>
      </c>
      <c r="T3171">
        <v>80</v>
      </c>
      <c r="U3171">
        <v>18</v>
      </c>
      <c r="V3171" t="s">
        <v>597</v>
      </c>
      <c r="W3171">
        <v>23005</v>
      </c>
      <c r="X3171" t="s">
        <v>1872</v>
      </c>
      <c r="Y3171">
        <v>20502</v>
      </c>
      <c r="Z3171">
        <v>414090</v>
      </c>
      <c r="AA3171">
        <v>45054</v>
      </c>
      <c r="AB3171" t="str">
        <f>(VLOOKUP(SalesData[[#This Row],[Month Number]],Reference!C$5:E$16,2,FALSE))</f>
        <v>Feb</v>
      </c>
      <c r="AC3171">
        <f>MONTH(SalesData[[#This Row],[Date]])</f>
        <v>2</v>
      </c>
      <c r="AD3171">
        <f>Reference!F$4</f>
        <v>2026</v>
      </c>
      <c r="AE3171" t="str">
        <f>IF(OR(SalesData[[#This Row],[Day]]="Saturday",SalesData[[#This Row],[Day]]="Sunday"),"Weekend","Weekday")</f>
        <v>Weekday</v>
      </c>
      <c r="AF3171" s="5">
        <f>IF(SalesData[[#This Row],[Contracts Offered]]=0,0,SalesData[[#This Row],[Contracts Signed]]/SalesData[[#This Row],[Contracts Offered]])</f>
        <v>0.22500000000000001</v>
      </c>
      <c r="AG3171" s="5">
        <f>IF(SalesData[[#This Row],[Customers Visited]]=0,0,SalesData[[#This Row],[Test Drives]]/SalesData[[#This Row],[Customers Visited]])</f>
        <v>0.44776119402985076</v>
      </c>
      <c r="AH3171" s="5">
        <f>IF(SalesData[[#This Row],[Customers Visited]]=0,0,SalesData[[#This Row],[Contracts Signed]]/SalesData[[#This Row],[Customers Visited]])</f>
        <v>6.7164179104477612E-2</v>
      </c>
      <c r="AI3171" s="6">
        <f>IF(SalesData[[#This Row],[Contracts Signed]]=0,0,SalesData[[#This Row],[Profit(€)]]/SalesData[[#This Row],[Contracts Signed]])</f>
        <v>2503</v>
      </c>
      <c r="AJ3171" s="5" t="str">
        <f>TRIM(CLEAN(SalesData[[#This Row],[Retailer]]))</f>
        <v>Saxon Wheels</v>
      </c>
    </row>
    <row r="3172" spans="1:36" ht="14.25" hidden="1" x14ac:dyDescent="0.2">
      <c r="A3172" t="s">
        <v>4336</v>
      </c>
      <c r="B3172" s="1">
        <v>46079</v>
      </c>
      <c r="C3172" t="s">
        <v>53</v>
      </c>
      <c r="D3172" t="s">
        <v>100</v>
      </c>
      <c r="E3172" t="s">
        <v>26</v>
      </c>
      <c r="F3172" t="s">
        <v>43</v>
      </c>
      <c r="G3172" t="s">
        <v>44</v>
      </c>
      <c r="H3172" t="s">
        <v>45</v>
      </c>
      <c r="I3172" t="s">
        <v>64</v>
      </c>
      <c r="J3172" t="s">
        <v>65</v>
      </c>
      <c r="K3172" t="s">
        <v>91</v>
      </c>
      <c r="L3172" t="s">
        <v>33</v>
      </c>
      <c r="M3172" t="s">
        <v>34</v>
      </c>
      <c r="N3172" t="s">
        <v>69</v>
      </c>
      <c r="O3172" t="s">
        <v>70</v>
      </c>
      <c r="P3172" t="s">
        <v>71</v>
      </c>
      <c r="Q3172" t="s">
        <v>135</v>
      </c>
      <c r="R3172">
        <v>163</v>
      </c>
      <c r="S3172">
        <v>95</v>
      </c>
      <c r="T3172">
        <v>74</v>
      </c>
      <c r="U3172">
        <v>22</v>
      </c>
      <c r="V3172" t="s">
        <v>6658</v>
      </c>
      <c r="W3172">
        <v>49228</v>
      </c>
      <c r="X3172" t="s">
        <v>2278</v>
      </c>
      <c r="Y3172">
        <v>35422</v>
      </c>
      <c r="Z3172">
        <v>1083016</v>
      </c>
      <c r="AA3172">
        <v>303732</v>
      </c>
      <c r="AB3172" t="str">
        <f>(VLOOKUP(SalesData[[#This Row],[Month Number]],Reference!C$5:E$16,2,FALSE))</f>
        <v>Feb</v>
      </c>
      <c r="AC3172">
        <f>MONTH(SalesData[[#This Row],[Date]])</f>
        <v>2</v>
      </c>
      <c r="AD3172">
        <f>Reference!F$4</f>
        <v>2026</v>
      </c>
      <c r="AE3172" t="str">
        <f>IF(OR(SalesData[[#This Row],[Day]]="Saturday",SalesData[[#This Row],[Day]]="Sunday"),"Weekend","Weekday")</f>
        <v>Weekday</v>
      </c>
      <c r="AF3172" s="5">
        <f>IF(SalesData[[#This Row],[Contracts Offered]]=0,0,SalesData[[#This Row],[Contracts Signed]]/SalesData[[#This Row],[Contracts Offered]])</f>
        <v>0.29729729729729731</v>
      </c>
      <c r="AG3172" s="5">
        <f>IF(SalesData[[#This Row],[Customers Visited]]=0,0,SalesData[[#This Row],[Test Drives]]/SalesData[[#This Row],[Customers Visited]])</f>
        <v>0.58282208588957052</v>
      </c>
      <c r="AH3172" s="5">
        <f>IF(SalesData[[#This Row],[Customers Visited]]=0,0,SalesData[[#This Row],[Contracts Signed]]/SalesData[[#This Row],[Customers Visited]])</f>
        <v>0.13496932515337423</v>
      </c>
      <c r="AI3172" s="6">
        <f>IF(SalesData[[#This Row],[Contracts Signed]]=0,0,SalesData[[#This Row],[Profit(€)]]/SalesData[[#This Row],[Contracts Signed]])</f>
        <v>13806</v>
      </c>
      <c r="AJ3172" s="5" t="str">
        <f>TRIM(CLEAN(SalesData[[#This Row],[Retailer]]))</f>
        <v>Saxon Wheels</v>
      </c>
    </row>
    <row r="3173" spans="1:36" ht="14.25" hidden="1" x14ac:dyDescent="0.2">
      <c r="A3173" t="s">
        <v>4337</v>
      </c>
      <c r="B3173" s="1">
        <v>46077</v>
      </c>
      <c r="C3173" t="s">
        <v>53</v>
      </c>
      <c r="D3173" t="s">
        <v>63</v>
      </c>
      <c r="E3173" t="s">
        <v>26</v>
      </c>
      <c r="F3173" t="s">
        <v>7649</v>
      </c>
      <c r="G3173" t="s">
        <v>55</v>
      </c>
      <c r="H3173" t="s">
        <v>55</v>
      </c>
      <c r="I3173" t="s">
        <v>104</v>
      </c>
      <c r="J3173" t="s">
        <v>143</v>
      </c>
      <c r="K3173" t="s">
        <v>78</v>
      </c>
      <c r="L3173" t="s">
        <v>67</v>
      </c>
      <c r="M3173" t="s">
        <v>87</v>
      </c>
      <c r="N3173" t="s">
        <v>48</v>
      </c>
      <c r="O3173" t="s">
        <v>36</v>
      </c>
      <c r="P3173" t="s">
        <v>37</v>
      </c>
      <c r="Q3173" t="s">
        <v>152</v>
      </c>
      <c r="R3173">
        <v>432</v>
      </c>
      <c r="S3173">
        <v>221</v>
      </c>
      <c r="T3173">
        <v>157</v>
      </c>
      <c r="U3173">
        <v>41</v>
      </c>
      <c r="V3173" t="s">
        <v>2812</v>
      </c>
      <c r="W3173">
        <v>26307</v>
      </c>
      <c r="X3173" t="s">
        <v>4982</v>
      </c>
      <c r="Y3173">
        <v>23870</v>
      </c>
      <c r="Z3173">
        <v>1078587</v>
      </c>
      <c r="AA3173">
        <v>99917</v>
      </c>
      <c r="AB3173" t="str">
        <f>(VLOOKUP(SalesData[[#This Row],[Month Number]],Reference!C$5:E$16,2,FALSE))</f>
        <v>Feb</v>
      </c>
      <c r="AC3173">
        <f>MONTH(SalesData[[#This Row],[Date]])</f>
        <v>2</v>
      </c>
      <c r="AD3173">
        <f>Reference!F$4</f>
        <v>2026</v>
      </c>
      <c r="AE3173" t="str">
        <f>IF(OR(SalesData[[#This Row],[Day]]="Saturday",SalesData[[#This Row],[Day]]="Sunday"),"Weekend","Weekday")</f>
        <v>Weekday</v>
      </c>
      <c r="AF3173" s="5">
        <f>IF(SalesData[[#This Row],[Contracts Offered]]=0,0,SalesData[[#This Row],[Contracts Signed]]/SalesData[[#This Row],[Contracts Offered]])</f>
        <v>0.26114649681528662</v>
      </c>
      <c r="AG3173" s="5">
        <f>IF(SalesData[[#This Row],[Customers Visited]]=0,0,SalesData[[#This Row],[Test Drives]]/SalesData[[#This Row],[Customers Visited]])</f>
        <v>0.51157407407407407</v>
      </c>
      <c r="AH3173" s="5">
        <f>IF(SalesData[[#This Row],[Customers Visited]]=0,0,SalesData[[#This Row],[Contracts Signed]]/SalesData[[#This Row],[Customers Visited]])</f>
        <v>9.4907407407407413E-2</v>
      </c>
      <c r="AI3173" s="6">
        <f>IF(SalesData[[#This Row],[Contracts Signed]]=0,0,SalesData[[#This Row],[Profit(€)]]/SalesData[[#This Row],[Contracts Signed]])</f>
        <v>2437</v>
      </c>
      <c r="AJ3173" s="5" t="str">
        <f>TRIM(CLEAN(SalesData[[#This Row],[Retailer]]))</f>
        <v>Autohaus Berlin</v>
      </c>
    </row>
    <row r="3174" spans="1:36" ht="14.25" x14ac:dyDescent="0.2">
      <c r="A3174" t="s">
        <v>4338</v>
      </c>
      <c r="B3174" s="1">
        <v>46067</v>
      </c>
      <c r="C3174" t="s">
        <v>121</v>
      </c>
      <c r="D3174" t="s">
        <v>151</v>
      </c>
      <c r="E3174" t="s">
        <v>42</v>
      </c>
      <c r="F3174" t="s">
        <v>101</v>
      </c>
      <c r="G3174" t="s">
        <v>102</v>
      </c>
      <c r="H3174" t="s">
        <v>103</v>
      </c>
      <c r="I3174" t="s">
        <v>30</v>
      </c>
      <c r="J3174" t="s">
        <v>31</v>
      </c>
      <c r="K3174" t="s">
        <v>66</v>
      </c>
      <c r="L3174" t="s">
        <v>46</v>
      </c>
      <c r="M3174" t="s">
        <v>47</v>
      </c>
      <c r="N3174" t="s">
        <v>69</v>
      </c>
      <c r="O3174" t="s">
        <v>70</v>
      </c>
      <c r="P3174" t="s">
        <v>37</v>
      </c>
      <c r="Q3174" t="s">
        <v>144</v>
      </c>
      <c r="R3174">
        <v>252</v>
      </c>
      <c r="S3174">
        <v>155</v>
      </c>
      <c r="T3174">
        <v>121</v>
      </c>
      <c r="U3174">
        <v>35</v>
      </c>
      <c r="V3174" t="s">
        <v>6364</v>
      </c>
      <c r="W3174">
        <v>59379</v>
      </c>
      <c r="X3174" t="s">
        <v>7472</v>
      </c>
      <c r="Y3174">
        <v>46227</v>
      </c>
      <c r="Z3174">
        <v>2078265</v>
      </c>
      <c r="AA3174">
        <v>460320</v>
      </c>
      <c r="AB3174" t="str">
        <f>(VLOOKUP(SalesData[[#This Row],[Month Number]],Reference!C$5:E$16,2,FALSE))</f>
        <v>Feb</v>
      </c>
      <c r="AC3174">
        <f>MONTH(SalesData[[#This Row],[Date]])</f>
        <v>2</v>
      </c>
      <c r="AD3174">
        <f>Reference!F$4</f>
        <v>2026</v>
      </c>
      <c r="AE3174" t="str">
        <f>IF(OR(SalesData[[#This Row],[Day]]="Saturday",SalesData[[#This Row],[Day]]="Sunday"),"Weekend","Weekday")</f>
        <v>Weekend</v>
      </c>
      <c r="AF3174" s="5">
        <f>IF(SalesData[[#This Row],[Contracts Offered]]=0,0,SalesData[[#This Row],[Contracts Signed]]/SalesData[[#This Row],[Contracts Offered]])</f>
        <v>0.28925619834710742</v>
      </c>
      <c r="AG3174" s="5">
        <f>IF(SalesData[[#This Row],[Customers Visited]]=0,0,SalesData[[#This Row],[Test Drives]]/SalesData[[#This Row],[Customers Visited]])</f>
        <v>0.61507936507936511</v>
      </c>
      <c r="AH3174" s="5">
        <f>IF(SalesData[[#This Row],[Customers Visited]]=0,0,SalesData[[#This Row],[Contracts Signed]]/SalesData[[#This Row],[Customers Visited]])</f>
        <v>0.1388888888888889</v>
      </c>
      <c r="AI3174" s="6">
        <f>IF(SalesData[[#This Row],[Contracts Signed]]=0,0,SalesData[[#This Row],[Profit(€)]]/SalesData[[#This Row],[Contracts Signed]])</f>
        <v>13152</v>
      </c>
      <c r="AJ3174" s="5" t="str">
        <f>TRIM(CLEAN(SalesData[[#This Row],[Retailer]]))</f>
        <v>Ruhr Auto Plaza</v>
      </c>
    </row>
    <row r="3175" spans="1:36" ht="14.25" hidden="1" x14ac:dyDescent="0.2">
      <c r="A3175" t="s">
        <v>4339</v>
      </c>
      <c r="B3175" s="1">
        <v>46065</v>
      </c>
      <c r="C3175" t="s">
        <v>121</v>
      </c>
      <c r="D3175" t="s">
        <v>100</v>
      </c>
      <c r="E3175" t="s">
        <v>26</v>
      </c>
      <c r="F3175" t="s">
        <v>7649</v>
      </c>
      <c r="G3175" t="s">
        <v>55</v>
      </c>
      <c r="H3175" t="s">
        <v>55</v>
      </c>
      <c r="I3175" t="s">
        <v>56</v>
      </c>
      <c r="J3175" t="s">
        <v>97</v>
      </c>
      <c r="K3175" t="s">
        <v>91</v>
      </c>
      <c r="L3175" t="s">
        <v>33</v>
      </c>
      <c r="M3175" t="s">
        <v>34</v>
      </c>
      <c r="N3175" t="s">
        <v>48</v>
      </c>
      <c r="O3175" t="s">
        <v>70</v>
      </c>
      <c r="P3175" t="s">
        <v>49</v>
      </c>
      <c r="Q3175" t="s">
        <v>50</v>
      </c>
      <c r="R3175">
        <v>160</v>
      </c>
      <c r="S3175">
        <v>84</v>
      </c>
      <c r="T3175">
        <v>60</v>
      </c>
      <c r="U3175">
        <v>19</v>
      </c>
      <c r="V3175" t="s">
        <v>6894</v>
      </c>
      <c r="W3175">
        <v>40373</v>
      </c>
      <c r="X3175" t="s">
        <v>2427</v>
      </c>
      <c r="Y3175">
        <v>31518</v>
      </c>
      <c r="Z3175">
        <v>767087</v>
      </c>
      <c r="AA3175">
        <v>168245</v>
      </c>
      <c r="AB3175" t="str">
        <f>(VLOOKUP(SalesData[[#This Row],[Month Number]],Reference!C$5:E$16,2,FALSE))</f>
        <v>Feb</v>
      </c>
      <c r="AC3175">
        <f>MONTH(SalesData[[#This Row],[Date]])</f>
        <v>2</v>
      </c>
      <c r="AD3175">
        <f>Reference!F$4</f>
        <v>2026</v>
      </c>
      <c r="AE3175" t="str">
        <f>IF(OR(SalesData[[#This Row],[Day]]="Saturday",SalesData[[#This Row],[Day]]="Sunday"),"Weekend","Weekday")</f>
        <v>Weekday</v>
      </c>
      <c r="AF3175" s="5">
        <f>IF(SalesData[[#This Row],[Contracts Offered]]=0,0,SalesData[[#This Row],[Contracts Signed]]/SalesData[[#This Row],[Contracts Offered]])</f>
        <v>0.31666666666666665</v>
      </c>
      <c r="AG3175" s="5">
        <f>IF(SalesData[[#This Row],[Customers Visited]]=0,0,SalesData[[#This Row],[Test Drives]]/SalesData[[#This Row],[Customers Visited]])</f>
        <v>0.52500000000000002</v>
      </c>
      <c r="AH3175" s="5">
        <f>IF(SalesData[[#This Row],[Customers Visited]]=0,0,SalesData[[#This Row],[Contracts Signed]]/SalesData[[#This Row],[Customers Visited]])</f>
        <v>0.11874999999999999</v>
      </c>
      <c r="AI3175" s="6">
        <f>IF(SalesData[[#This Row],[Contracts Signed]]=0,0,SalesData[[#This Row],[Profit(€)]]/SalesData[[#This Row],[Contracts Signed]])</f>
        <v>8855</v>
      </c>
      <c r="AJ3175" s="5" t="str">
        <f>TRIM(CLEAN(SalesData[[#This Row],[Retailer]]))</f>
        <v>Autohaus Berlin</v>
      </c>
    </row>
    <row r="3176" spans="1:36" ht="14.25" hidden="1" x14ac:dyDescent="0.2">
      <c r="A3176" t="s">
        <v>4340</v>
      </c>
      <c r="B3176" s="1">
        <v>46061</v>
      </c>
      <c r="C3176" t="s">
        <v>121</v>
      </c>
      <c r="D3176" t="s">
        <v>41</v>
      </c>
      <c r="E3176" t="s">
        <v>42</v>
      </c>
      <c r="F3176" t="s">
        <v>43</v>
      </c>
      <c r="G3176" t="s">
        <v>44</v>
      </c>
      <c r="H3176" t="s">
        <v>45</v>
      </c>
      <c r="I3176" t="s">
        <v>104</v>
      </c>
      <c r="J3176" t="s">
        <v>7031</v>
      </c>
      <c r="K3176" t="s">
        <v>32</v>
      </c>
      <c r="L3176" t="s">
        <v>46</v>
      </c>
      <c r="M3176" t="s">
        <v>87</v>
      </c>
      <c r="N3176" t="s">
        <v>35</v>
      </c>
      <c r="O3176" t="s">
        <v>70</v>
      </c>
      <c r="P3176" t="s">
        <v>58</v>
      </c>
      <c r="Q3176" t="s">
        <v>122</v>
      </c>
      <c r="R3176">
        <v>415</v>
      </c>
      <c r="S3176">
        <v>182</v>
      </c>
      <c r="T3176">
        <v>112</v>
      </c>
      <c r="U3176">
        <v>31</v>
      </c>
      <c r="V3176" t="s">
        <v>382</v>
      </c>
      <c r="W3176">
        <v>33660</v>
      </c>
      <c r="X3176" t="s">
        <v>3932</v>
      </c>
      <c r="Y3176">
        <v>30113</v>
      </c>
      <c r="Z3176">
        <v>1043460</v>
      </c>
      <c r="AA3176">
        <v>109957</v>
      </c>
      <c r="AB3176" t="str">
        <f>(VLOOKUP(SalesData[[#This Row],[Month Number]],Reference!C$5:E$16,2,FALSE))</f>
        <v>Feb</v>
      </c>
      <c r="AC3176">
        <f>MONTH(SalesData[[#This Row],[Date]])</f>
        <v>2</v>
      </c>
      <c r="AD3176">
        <f>Reference!F$4</f>
        <v>2026</v>
      </c>
      <c r="AE3176" t="str">
        <f>IF(OR(SalesData[[#This Row],[Day]]="Saturday",SalesData[[#This Row],[Day]]="Sunday"),"Weekend","Weekday")</f>
        <v>Weekend</v>
      </c>
      <c r="AF3176" s="5">
        <f>IF(SalesData[[#This Row],[Contracts Offered]]=0,0,SalesData[[#This Row],[Contracts Signed]]/SalesData[[#This Row],[Contracts Offered]])</f>
        <v>0.2767857142857143</v>
      </c>
      <c r="AG3176" s="5">
        <f>IF(SalesData[[#This Row],[Customers Visited]]=0,0,SalesData[[#This Row],[Test Drives]]/SalesData[[#This Row],[Customers Visited]])</f>
        <v>0.43855421686746987</v>
      </c>
      <c r="AH3176" s="5">
        <f>IF(SalesData[[#This Row],[Customers Visited]]=0,0,SalesData[[#This Row],[Contracts Signed]]/SalesData[[#This Row],[Customers Visited]])</f>
        <v>7.4698795180722893E-2</v>
      </c>
      <c r="AI3176" s="6">
        <f>IF(SalesData[[#This Row],[Contracts Signed]]=0,0,SalesData[[#This Row],[Profit(€)]]/SalesData[[#This Row],[Contracts Signed]])</f>
        <v>3547</v>
      </c>
      <c r="AJ3176" s="5" t="str">
        <f>TRIM(CLEAN(SalesData[[#This Row],[Retailer]]))</f>
        <v>Saxon Wheels</v>
      </c>
    </row>
    <row r="3177" spans="1:36" ht="14.25" hidden="1" x14ac:dyDescent="0.2">
      <c r="A3177" t="s">
        <v>4342</v>
      </c>
      <c r="B3177" s="1">
        <v>46077</v>
      </c>
      <c r="C3177" t="s">
        <v>53</v>
      </c>
      <c r="D3177" t="s">
        <v>63</v>
      </c>
      <c r="E3177" t="s">
        <v>26</v>
      </c>
      <c r="F3177" t="s">
        <v>101</v>
      </c>
      <c r="G3177" t="s">
        <v>102</v>
      </c>
      <c r="H3177" t="s">
        <v>103</v>
      </c>
      <c r="I3177" t="s">
        <v>64</v>
      </c>
      <c r="J3177" t="s">
        <v>77</v>
      </c>
      <c r="K3177" t="s">
        <v>32</v>
      </c>
      <c r="L3177" t="s">
        <v>46</v>
      </c>
      <c r="M3177" t="s">
        <v>68</v>
      </c>
      <c r="N3177" t="s">
        <v>48</v>
      </c>
      <c r="O3177" t="s">
        <v>70</v>
      </c>
      <c r="P3177" t="s">
        <v>49</v>
      </c>
      <c r="Q3177" t="s">
        <v>172</v>
      </c>
      <c r="R3177">
        <v>287</v>
      </c>
      <c r="S3177">
        <v>131</v>
      </c>
      <c r="T3177">
        <v>97</v>
      </c>
      <c r="U3177">
        <v>25</v>
      </c>
      <c r="V3177" t="s">
        <v>4318</v>
      </c>
      <c r="W3177">
        <v>67588</v>
      </c>
      <c r="X3177" t="s">
        <v>7041</v>
      </c>
      <c r="Y3177">
        <v>52635</v>
      </c>
      <c r="Z3177">
        <v>1689700</v>
      </c>
      <c r="AA3177">
        <v>373825</v>
      </c>
      <c r="AB3177" t="str">
        <f>(VLOOKUP(SalesData[[#This Row],[Month Number]],Reference!C$5:E$16,2,FALSE))</f>
        <v>Feb</v>
      </c>
      <c r="AC3177">
        <f>MONTH(SalesData[[#This Row],[Date]])</f>
        <v>2</v>
      </c>
      <c r="AD3177">
        <f>Reference!F$4</f>
        <v>2026</v>
      </c>
      <c r="AE3177" t="str">
        <f>IF(OR(SalesData[[#This Row],[Day]]="Saturday",SalesData[[#This Row],[Day]]="Sunday"),"Weekend","Weekday")</f>
        <v>Weekday</v>
      </c>
      <c r="AF3177" s="5">
        <f>IF(SalesData[[#This Row],[Contracts Offered]]=0,0,SalesData[[#This Row],[Contracts Signed]]/SalesData[[#This Row],[Contracts Offered]])</f>
        <v>0.25773195876288657</v>
      </c>
      <c r="AG3177" s="5">
        <f>IF(SalesData[[#This Row],[Customers Visited]]=0,0,SalesData[[#This Row],[Test Drives]]/SalesData[[#This Row],[Customers Visited]])</f>
        <v>0.45644599303135891</v>
      </c>
      <c r="AH3177" s="5">
        <f>IF(SalesData[[#This Row],[Customers Visited]]=0,0,SalesData[[#This Row],[Contracts Signed]]/SalesData[[#This Row],[Customers Visited]])</f>
        <v>8.7108013937282236E-2</v>
      </c>
      <c r="AI3177" s="6">
        <f>IF(SalesData[[#This Row],[Contracts Signed]]=0,0,SalesData[[#This Row],[Profit(€)]]/SalesData[[#This Row],[Contracts Signed]])</f>
        <v>14953</v>
      </c>
      <c r="AJ3177" s="5" t="str">
        <f>TRIM(CLEAN(SalesData[[#This Row],[Retailer]]))</f>
        <v>Ruhr Auto Plaza</v>
      </c>
    </row>
    <row r="3178" spans="1:36" ht="14.25" hidden="1" x14ac:dyDescent="0.2">
      <c r="A3178" t="s">
        <v>4343</v>
      </c>
      <c r="B3178" s="1">
        <v>46058</v>
      </c>
      <c r="C3178" t="s">
        <v>24</v>
      </c>
      <c r="D3178" t="s">
        <v>100</v>
      </c>
      <c r="E3178" t="s">
        <v>26</v>
      </c>
      <c r="F3178" t="s">
        <v>94</v>
      </c>
      <c r="G3178" t="s">
        <v>95</v>
      </c>
      <c r="H3178" t="s">
        <v>96</v>
      </c>
      <c r="I3178" t="s">
        <v>104</v>
      </c>
      <c r="J3178" t="s">
        <v>7061</v>
      </c>
      <c r="K3178" t="s">
        <v>32</v>
      </c>
      <c r="L3178" t="s">
        <v>46</v>
      </c>
      <c r="M3178" t="s">
        <v>34</v>
      </c>
      <c r="N3178" t="s">
        <v>35</v>
      </c>
      <c r="O3178" t="s">
        <v>70</v>
      </c>
      <c r="P3178" t="s">
        <v>37</v>
      </c>
      <c r="Q3178" t="s">
        <v>59</v>
      </c>
      <c r="R3178">
        <v>330</v>
      </c>
      <c r="S3178">
        <v>138</v>
      </c>
      <c r="T3178">
        <v>89</v>
      </c>
      <c r="U3178">
        <v>23</v>
      </c>
      <c r="V3178" t="s">
        <v>508</v>
      </c>
      <c r="W3178">
        <v>30229</v>
      </c>
      <c r="X3178" t="s">
        <v>4613</v>
      </c>
      <c r="Y3178">
        <v>27123</v>
      </c>
      <c r="Z3178">
        <v>695267</v>
      </c>
      <c r="AA3178">
        <v>71438</v>
      </c>
      <c r="AB3178" t="str">
        <f>(VLOOKUP(SalesData[[#This Row],[Month Number]],Reference!C$5:E$16,2,FALSE))</f>
        <v>Feb</v>
      </c>
      <c r="AC3178">
        <f>MONTH(SalesData[[#This Row],[Date]])</f>
        <v>2</v>
      </c>
      <c r="AD3178">
        <f>Reference!F$4</f>
        <v>2026</v>
      </c>
      <c r="AE3178" t="str">
        <f>IF(OR(SalesData[[#This Row],[Day]]="Saturday",SalesData[[#This Row],[Day]]="Sunday"),"Weekend","Weekday")</f>
        <v>Weekday</v>
      </c>
      <c r="AF3178" s="5">
        <f>IF(SalesData[[#This Row],[Contracts Offered]]=0,0,SalesData[[#This Row],[Contracts Signed]]/SalesData[[#This Row],[Contracts Offered]])</f>
        <v>0.25842696629213485</v>
      </c>
      <c r="AG3178" s="5">
        <f>IF(SalesData[[#This Row],[Customers Visited]]=0,0,SalesData[[#This Row],[Test Drives]]/SalesData[[#This Row],[Customers Visited]])</f>
        <v>0.41818181818181815</v>
      </c>
      <c r="AH3178" s="5">
        <f>IF(SalesData[[#This Row],[Customers Visited]]=0,0,SalesData[[#This Row],[Contracts Signed]]/SalesData[[#This Row],[Customers Visited]])</f>
        <v>6.9696969696969702E-2</v>
      </c>
      <c r="AI3178" s="6">
        <f>IF(SalesData[[#This Row],[Contracts Signed]]=0,0,SalesData[[#This Row],[Profit(€)]]/SalesData[[#This Row],[Contracts Signed]])</f>
        <v>3106</v>
      </c>
      <c r="AJ3178" s="5" t="str">
        <f>TRIM(CLEAN(SalesData[[#This Row],[Retailer]]))</f>
        <v>Bavaria Motors</v>
      </c>
    </row>
    <row r="3179" spans="1:36" ht="14.25" hidden="1" x14ac:dyDescent="0.2">
      <c r="A3179" t="s">
        <v>4344</v>
      </c>
      <c r="B3179" s="1">
        <v>46061</v>
      </c>
      <c r="C3179" t="s">
        <v>121</v>
      </c>
      <c r="D3179" t="s">
        <v>41</v>
      </c>
      <c r="E3179" t="s">
        <v>42</v>
      </c>
      <c r="F3179" t="s">
        <v>83</v>
      </c>
      <c r="G3179" t="s">
        <v>84</v>
      </c>
      <c r="H3179" t="s">
        <v>85</v>
      </c>
      <c r="I3179" t="s">
        <v>56</v>
      </c>
      <c r="J3179" t="s">
        <v>137</v>
      </c>
      <c r="K3179" t="s">
        <v>78</v>
      </c>
      <c r="L3179" t="s">
        <v>46</v>
      </c>
      <c r="M3179" t="s">
        <v>34</v>
      </c>
      <c r="N3179" t="s">
        <v>48</v>
      </c>
      <c r="O3179" t="s">
        <v>70</v>
      </c>
      <c r="P3179" t="s">
        <v>49</v>
      </c>
      <c r="Q3179" t="s">
        <v>189</v>
      </c>
      <c r="R3179">
        <v>213</v>
      </c>
      <c r="S3179">
        <v>118</v>
      </c>
      <c r="T3179">
        <v>86</v>
      </c>
      <c r="U3179">
        <v>24</v>
      </c>
      <c r="V3179" t="s">
        <v>7589</v>
      </c>
      <c r="W3179">
        <v>51800</v>
      </c>
      <c r="X3179" t="s">
        <v>794</v>
      </c>
      <c r="Y3179">
        <v>42041</v>
      </c>
      <c r="Z3179">
        <v>1243200</v>
      </c>
      <c r="AA3179">
        <v>234216</v>
      </c>
      <c r="AB3179" t="str">
        <f>(VLOOKUP(SalesData[[#This Row],[Month Number]],Reference!C$5:E$16,2,FALSE))</f>
        <v>Feb</v>
      </c>
      <c r="AC3179">
        <f>MONTH(SalesData[[#This Row],[Date]])</f>
        <v>2</v>
      </c>
      <c r="AD3179">
        <f>Reference!F$4</f>
        <v>2026</v>
      </c>
      <c r="AE3179" t="str">
        <f>IF(OR(SalesData[[#This Row],[Day]]="Saturday",SalesData[[#This Row],[Day]]="Sunday"),"Weekend","Weekday")</f>
        <v>Weekend</v>
      </c>
      <c r="AF3179" s="5">
        <f>IF(SalesData[[#This Row],[Contracts Offered]]=0,0,SalesData[[#This Row],[Contracts Signed]]/SalesData[[#This Row],[Contracts Offered]])</f>
        <v>0.27906976744186046</v>
      </c>
      <c r="AG3179" s="5">
        <f>IF(SalesData[[#This Row],[Customers Visited]]=0,0,SalesData[[#This Row],[Test Drives]]/SalesData[[#This Row],[Customers Visited]])</f>
        <v>0.5539906103286385</v>
      </c>
      <c r="AH3179" s="5">
        <f>IF(SalesData[[#This Row],[Customers Visited]]=0,0,SalesData[[#This Row],[Contracts Signed]]/SalesData[[#This Row],[Customers Visited]])</f>
        <v>0.11267605633802817</v>
      </c>
      <c r="AI3179" s="6">
        <f>IF(SalesData[[#This Row],[Contracts Signed]]=0,0,SalesData[[#This Row],[Profit(€)]]/SalesData[[#This Row],[Contracts Signed]])</f>
        <v>9759</v>
      </c>
      <c r="AJ3179" s="5" t="str">
        <f>TRIM(CLEAN(SalesData[[#This Row],[Retailer]]))</f>
        <v>Hannover Cars</v>
      </c>
    </row>
    <row r="3180" spans="1:36" ht="14.25" hidden="1" x14ac:dyDescent="0.2">
      <c r="A3180" t="s">
        <v>4346</v>
      </c>
      <c r="B3180" s="1">
        <v>46071</v>
      </c>
      <c r="C3180" t="s">
        <v>62</v>
      </c>
      <c r="D3180" t="s">
        <v>82</v>
      </c>
      <c r="E3180" t="s">
        <v>26</v>
      </c>
      <c r="F3180" t="s">
        <v>74</v>
      </c>
      <c r="G3180" t="s">
        <v>75</v>
      </c>
      <c r="H3180" t="s">
        <v>76</v>
      </c>
      <c r="I3180" t="s">
        <v>104</v>
      </c>
      <c r="J3180" t="s">
        <v>7061</v>
      </c>
      <c r="K3180" t="s">
        <v>91</v>
      </c>
      <c r="L3180" t="s">
        <v>46</v>
      </c>
      <c r="M3180" t="s">
        <v>68</v>
      </c>
      <c r="N3180" t="s">
        <v>48</v>
      </c>
      <c r="O3180" t="s">
        <v>70</v>
      </c>
      <c r="P3180" t="s">
        <v>71</v>
      </c>
      <c r="Q3180" t="s">
        <v>38</v>
      </c>
      <c r="R3180">
        <v>480</v>
      </c>
      <c r="S3180">
        <v>263</v>
      </c>
      <c r="T3180">
        <v>157</v>
      </c>
      <c r="U3180">
        <v>49</v>
      </c>
      <c r="V3180" t="s">
        <v>2054</v>
      </c>
      <c r="W3180">
        <v>30722</v>
      </c>
      <c r="X3180" t="s">
        <v>7428</v>
      </c>
      <c r="Y3180">
        <v>27480</v>
      </c>
      <c r="Z3180">
        <v>1505378</v>
      </c>
      <c r="AA3180">
        <v>158858</v>
      </c>
      <c r="AB3180" t="str">
        <f>(VLOOKUP(SalesData[[#This Row],[Month Number]],Reference!C$5:E$16,2,FALSE))</f>
        <v>Feb</v>
      </c>
      <c r="AC3180">
        <f>MONTH(SalesData[[#This Row],[Date]])</f>
        <v>2</v>
      </c>
      <c r="AD3180">
        <f>Reference!F$4</f>
        <v>2026</v>
      </c>
      <c r="AE3180" t="str">
        <f>IF(OR(SalesData[[#This Row],[Day]]="Saturday",SalesData[[#This Row],[Day]]="Sunday"),"Weekend","Weekday")</f>
        <v>Weekday</v>
      </c>
      <c r="AF3180" s="5">
        <f>IF(SalesData[[#This Row],[Contracts Offered]]=0,0,SalesData[[#This Row],[Contracts Signed]]/SalesData[[#This Row],[Contracts Offered]])</f>
        <v>0.31210191082802546</v>
      </c>
      <c r="AG3180" s="5">
        <f>IF(SalesData[[#This Row],[Customers Visited]]=0,0,SalesData[[#This Row],[Test Drives]]/SalesData[[#This Row],[Customers Visited]])</f>
        <v>0.54791666666666672</v>
      </c>
      <c r="AH3180" s="5">
        <f>IF(SalesData[[#This Row],[Customers Visited]]=0,0,SalesData[[#This Row],[Contracts Signed]]/SalesData[[#This Row],[Customers Visited]])</f>
        <v>0.10208333333333333</v>
      </c>
      <c r="AI3180" s="6">
        <f>IF(SalesData[[#This Row],[Contracts Signed]]=0,0,SalesData[[#This Row],[Profit(€)]]/SalesData[[#This Row],[Contracts Signed]])</f>
        <v>3242</v>
      </c>
      <c r="AJ3180" s="5" t="str">
        <f>TRIM(CLEAN(SalesData[[#This Row],[Retailer]]))</f>
        <v>Stuttgart Auto Center</v>
      </c>
    </row>
    <row r="3181" spans="1:36" ht="14.25" hidden="1" x14ac:dyDescent="0.2">
      <c r="A3181" t="s">
        <v>4347</v>
      </c>
      <c r="B3181" s="1">
        <v>46065</v>
      </c>
      <c r="C3181" t="s">
        <v>121</v>
      </c>
      <c r="D3181" t="s">
        <v>100</v>
      </c>
      <c r="E3181" t="s">
        <v>26</v>
      </c>
      <c r="F3181" t="s">
        <v>7649</v>
      </c>
      <c r="G3181" t="s">
        <v>55</v>
      </c>
      <c r="H3181" t="s">
        <v>55</v>
      </c>
      <c r="I3181" t="s">
        <v>116</v>
      </c>
      <c r="J3181" t="s">
        <v>7090</v>
      </c>
      <c r="K3181" t="s">
        <v>32</v>
      </c>
      <c r="L3181" t="s">
        <v>46</v>
      </c>
      <c r="M3181" t="s">
        <v>68</v>
      </c>
      <c r="N3181" t="s">
        <v>69</v>
      </c>
      <c r="O3181" t="s">
        <v>36</v>
      </c>
      <c r="P3181" t="s">
        <v>58</v>
      </c>
      <c r="Q3181" t="s">
        <v>204</v>
      </c>
      <c r="R3181">
        <v>409</v>
      </c>
      <c r="S3181">
        <v>163</v>
      </c>
      <c r="T3181">
        <v>111</v>
      </c>
      <c r="U3181">
        <v>35</v>
      </c>
      <c r="V3181" t="s">
        <v>6623</v>
      </c>
      <c r="W3181">
        <v>25086</v>
      </c>
      <c r="X3181" t="s">
        <v>7519</v>
      </c>
      <c r="Y3181">
        <v>22385</v>
      </c>
      <c r="Z3181">
        <v>878010</v>
      </c>
      <c r="AA3181">
        <v>94535</v>
      </c>
      <c r="AB3181" t="str">
        <f>(VLOOKUP(SalesData[[#This Row],[Month Number]],Reference!C$5:E$16,2,FALSE))</f>
        <v>Feb</v>
      </c>
      <c r="AC3181">
        <f>MONTH(SalesData[[#This Row],[Date]])</f>
        <v>2</v>
      </c>
      <c r="AD3181">
        <f>Reference!F$4</f>
        <v>2026</v>
      </c>
      <c r="AE3181" t="str">
        <f>IF(OR(SalesData[[#This Row],[Day]]="Saturday",SalesData[[#This Row],[Day]]="Sunday"),"Weekend","Weekday")</f>
        <v>Weekday</v>
      </c>
      <c r="AF3181" s="5">
        <f>IF(SalesData[[#This Row],[Contracts Offered]]=0,0,SalesData[[#This Row],[Contracts Signed]]/SalesData[[#This Row],[Contracts Offered]])</f>
        <v>0.31531531531531531</v>
      </c>
      <c r="AG3181" s="5">
        <f>IF(SalesData[[#This Row],[Customers Visited]]=0,0,SalesData[[#This Row],[Test Drives]]/SalesData[[#This Row],[Customers Visited]])</f>
        <v>0.39853300733496333</v>
      </c>
      <c r="AH3181" s="5">
        <f>IF(SalesData[[#This Row],[Customers Visited]]=0,0,SalesData[[#This Row],[Contracts Signed]]/SalesData[[#This Row],[Customers Visited]])</f>
        <v>8.557457212713937E-2</v>
      </c>
      <c r="AI3181" s="6">
        <f>IF(SalesData[[#This Row],[Contracts Signed]]=0,0,SalesData[[#This Row],[Profit(€)]]/SalesData[[#This Row],[Contracts Signed]])</f>
        <v>2701</v>
      </c>
      <c r="AJ3181" s="5" t="str">
        <f>TRIM(CLEAN(SalesData[[#This Row],[Retailer]]))</f>
        <v>Autohaus Berlin</v>
      </c>
    </row>
    <row r="3182" spans="1:36" ht="14.25" x14ac:dyDescent="0.2">
      <c r="A3182" t="s">
        <v>4348</v>
      </c>
      <c r="B3182" s="1">
        <v>46077</v>
      </c>
      <c r="C3182" t="s">
        <v>53</v>
      </c>
      <c r="D3182" t="s">
        <v>63</v>
      </c>
      <c r="E3182" t="s">
        <v>26</v>
      </c>
      <c r="F3182" t="s">
        <v>101</v>
      </c>
      <c r="G3182" t="s">
        <v>102</v>
      </c>
      <c r="H3182" t="s">
        <v>103</v>
      </c>
      <c r="I3182" t="s">
        <v>30</v>
      </c>
      <c r="J3182" t="s">
        <v>188</v>
      </c>
      <c r="K3182" t="s">
        <v>91</v>
      </c>
      <c r="L3182" t="s">
        <v>33</v>
      </c>
      <c r="M3182" t="s">
        <v>47</v>
      </c>
      <c r="N3182" t="s">
        <v>35</v>
      </c>
      <c r="O3182" t="s">
        <v>36</v>
      </c>
      <c r="P3182" t="s">
        <v>37</v>
      </c>
      <c r="Q3182" t="s">
        <v>144</v>
      </c>
      <c r="R3182">
        <v>155</v>
      </c>
      <c r="S3182">
        <v>80</v>
      </c>
      <c r="T3182">
        <v>61</v>
      </c>
      <c r="U3182">
        <v>21</v>
      </c>
      <c r="V3182" t="s">
        <v>6824</v>
      </c>
      <c r="W3182">
        <v>55834</v>
      </c>
      <c r="X3182" t="s">
        <v>7420</v>
      </c>
      <c r="Y3182">
        <v>40205</v>
      </c>
      <c r="Z3182">
        <v>1172514</v>
      </c>
      <c r="AA3182">
        <v>328209</v>
      </c>
      <c r="AB3182" t="str">
        <f>(VLOOKUP(SalesData[[#This Row],[Month Number]],Reference!C$5:E$16,2,FALSE))</f>
        <v>Feb</v>
      </c>
      <c r="AC3182">
        <f>MONTH(SalesData[[#This Row],[Date]])</f>
        <v>2</v>
      </c>
      <c r="AD3182">
        <f>Reference!F$4</f>
        <v>2026</v>
      </c>
      <c r="AE3182" t="str">
        <f>IF(OR(SalesData[[#This Row],[Day]]="Saturday",SalesData[[#This Row],[Day]]="Sunday"),"Weekend","Weekday")</f>
        <v>Weekday</v>
      </c>
      <c r="AF3182" s="5">
        <f>IF(SalesData[[#This Row],[Contracts Offered]]=0,0,SalesData[[#This Row],[Contracts Signed]]/SalesData[[#This Row],[Contracts Offered]])</f>
        <v>0.34426229508196721</v>
      </c>
      <c r="AG3182" s="5">
        <f>IF(SalesData[[#This Row],[Customers Visited]]=0,0,SalesData[[#This Row],[Test Drives]]/SalesData[[#This Row],[Customers Visited]])</f>
        <v>0.5161290322580645</v>
      </c>
      <c r="AH3182" s="5">
        <f>IF(SalesData[[#This Row],[Customers Visited]]=0,0,SalesData[[#This Row],[Contracts Signed]]/SalesData[[#This Row],[Customers Visited]])</f>
        <v>0.13548387096774195</v>
      </c>
      <c r="AI3182" s="6">
        <f>IF(SalesData[[#This Row],[Contracts Signed]]=0,0,SalesData[[#This Row],[Profit(€)]]/SalesData[[#This Row],[Contracts Signed]])</f>
        <v>15629</v>
      </c>
      <c r="AJ3182" s="5" t="str">
        <f>TRIM(CLEAN(SalesData[[#This Row],[Retailer]]))</f>
        <v>Ruhr Auto Plaza</v>
      </c>
    </row>
    <row r="3183" spans="1:36" ht="14.25" hidden="1" x14ac:dyDescent="0.2">
      <c r="A3183" t="s">
        <v>4350</v>
      </c>
      <c r="B3183" s="1">
        <v>46075</v>
      </c>
      <c r="C3183" t="s">
        <v>53</v>
      </c>
      <c r="D3183" t="s">
        <v>41</v>
      </c>
      <c r="E3183" t="s">
        <v>42</v>
      </c>
      <c r="F3183" t="s">
        <v>83</v>
      </c>
      <c r="G3183" t="s">
        <v>84</v>
      </c>
      <c r="H3183" t="s">
        <v>85</v>
      </c>
      <c r="I3183" t="s">
        <v>64</v>
      </c>
      <c r="J3183" t="s">
        <v>157</v>
      </c>
      <c r="K3183" t="s">
        <v>91</v>
      </c>
      <c r="L3183" t="s">
        <v>33</v>
      </c>
      <c r="M3183" t="s">
        <v>34</v>
      </c>
      <c r="N3183" t="s">
        <v>35</v>
      </c>
      <c r="O3183" t="s">
        <v>36</v>
      </c>
      <c r="P3183" t="s">
        <v>37</v>
      </c>
      <c r="Q3183" t="s">
        <v>118</v>
      </c>
      <c r="R3183">
        <v>289</v>
      </c>
      <c r="S3183">
        <v>158</v>
      </c>
      <c r="T3183">
        <v>124</v>
      </c>
      <c r="U3183">
        <v>39</v>
      </c>
      <c r="V3183" t="s">
        <v>6560</v>
      </c>
      <c r="W3183">
        <v>52344</v>
      </c>
      <c r="X3183" t="s">
        <v>7232</v>
      </c>
      <c r="Y3183">
        <v>39419</v>
      </c>
      <c r="Z3183">
        <v>2041416</v>
      </c>
      <c r="AA3183">
        <v>504075</v>
      </c>
      <c r="AB3183" t="str">
        <f>(VLOOKUP(SalesData[[#This Row],[Month Number]],Reference!C$5:E$16,2,FALSE))</f>
        <v>Feb</v>
      </c>
      <c r="AC3183">
        <f>MONTH(SalesData[[#This Row],[Date]])</f>
        <v>2</v>
      </c>
      <c r="AD3183">
        <f>Reference!F$4</f>
        <v>2026</v>
      </c>
      <c r="AE3183" t="str">
        <f>IF(OR(SalesData[[#This Row],[Day]]="Saturday",SalesData[[#This Row],[Day]]="Sunday"),"Weekend","Weekday")</f>
        <v>Weekend</v>
      </c>
      <c r="AF3183" s="5">
        <f>IF(SalesData[[#This Row],[Contracts Offered]]=0,0,SalesData[[#This Row],[Contracts Signed]]/SalesData[[#This Row],[Contracts Offered]])</f>
        <v>0.31451612903225806</v>
      </c>
      <c r="AG3183" s="5">
        <f>IF(SalesData[[#This Row],[Customers Visited]]=0,0,SalesData[[#This Row],[Test Drives]]/SalesData[[#This Row],[Customers Visited]])</f>
        <v>0.54671280276816614</v>
      </c>
      <c r="AH3183" s="5">
        <f>IF(SalesData[[#This Row],[Customers Visited]]=0,0,SalesData[[#This Row],[Contracts Signed]]/SalesData[[#This Row],[Customers Visited]])</f>
        <v>0.13494809688581316</v>
      </c>
      <c r="AI3183" s="6">
        <f>IF(SalesData[[#This Row],[Contracts Signed]]=0,0,SalesData[[#This Row],[Profit(€)]]/SalesData[[#This Row],[Contracts Signed]])</f>
        <v>12925</v>
      </c>
      <c r="AJ3183" s="5" t="str">
        <f>TRIM(CLEAN(SalesData[[#This Row],[Retailer]]))</f>
        <v>Hannover Cars</v>
      </c>
    </row>
    <row r="3184" spans="1:36" ht="14.25" x14ac:dyDescent="0.2">
      <c r="A3184" t="s">
        <v>4351</v>
      </c>
      <c r="B3184" s="1">
        <v>46078</v>
      </c>
      <c r="C3184" t="s">
        <v>53</v>
      </c>
      <c r="D3184" t="s">
        <v>82</v>
      </c>
      <c r="E3184" t="s">
        <v>26</v>
      </c>
      <c r="F3184" t="s">
        <v>43</v>
      </c>
      <c r="G3184" t="s">
        <v>44</v>
      </c>
      <c r="H3184" t="s">
        <v>45</v>
      </c>
      <c r="I3184" t="s">
        <v>30</v>
      </c>
      <c r="J3184" t="s">
        <v>7075</v>
      </c>
      <c r="K3184" t="s">
        <v>66</v>
      </c>
      <c r="L3184" t="s">
        <v>33</v>
      </c>
      <c r="M3184" t="s">
        <v>68</v>
      </c>
      <c r="N3184" t="s">
        <v>69</v>
      </c>
      <c r="O3184" t="s">
        <v>70</v>
      </c>
      <c r="P3184" t="s">
        <v>58</v>
      </c>
      <c r="Q3184" t="s">
        <v>88</v>
      </c>
      <c r="R3184">
        <v>275</v>
      </c>
      <c r="S3184">
        <v>162</v>
      </c>
      <c r="T3184">
        <v>126</v>
      </c>
      <c r="U3184">
        <v>47</v>
      </c>
      <c r="V3184" t="s">
        <v>6971</v>
      </c>
      <c r="W3184">
        <v>67941</v>
      </c>
      <c r="X3184" t="s">
        <v>7138</v>
      </c>
      <c r="Y3184">
        <v>51986</v>
      </c>
      <c r="Z3184">
        <v>3193227</v>
      </c>
      <c r="AA3184">
        <v>749885</v>
      </c>
      <c r="AB3184" t="str">
        <f>(VLOOKUP(SalesData[[#This Row],[Month Number]],Reference!C$5:E$16,2,FALSE))</f>
        <v>Feb</v>
      </c>
      <c r="AC3184">
        <f>MONTH(SalesData[[#This Row],[Date]])</f>
        <v>2</v>
      </c>
      <c r="AD3184">
        <f>Reference!F$4</f>
        <v>2026</v>
      </c>
      <c r="AE3184" t="str">
        <f>IF(OR(SalesData[[#This Row],[Day]]="Saturday",SalesData[[#This Row],[Day]]="Sunday"),"Weekend","Weekday")</f>
        <v>Weekday</v>
      </c>
      <c r="AF3184" s="5">
        <f>IF(SalesData[[#This Row],[Contracts Offered]]=0,0,SalesData[[#This Row],[Contracts Signed]]/SalesData[[#This Row],[Contracts Offered]])</f>
        <v>0.37301587301587302</v>
      </c>
      <c r="AG3184" s="5">
        <f>IF(SalesData[[#This Row],[Customers Visited]]=0,0,SalesData[[#This Row],[Test Drives]]/SalesData[[#This Row],[Customers Visited]])</f>
        <v>0.58909090909090911</v>
      </c>
      <c r="AH3184" s="5">
        <f>IF(SalesData[[#This Row],[Customers Visited]]=0,0,SalesData[[#This Row],[Contracts Signed]]/SalesData[[#This Row],[Customers Visited]])</f>
        <v>0.1709090909090909</v>
      </c>
      <c r="AI3184" s="6">
        <f>IF(SalesData[[#This Row],[Contracts Signed]]=0,0,SalesData[[#This Row],[Profit(€)]]/SalesData[[#This Row],[Contracts Signed]])</f>
        <v>15955</v>
      </c>
      <c r="AJ3184" s="5" t="str">
        <f>TRIM(CLEAN(SalesData[[#This Row],[Retailer]]))</f>
        <v>Saxon Wheels</v>
      </c>
    </row>
    <row r="3185" spans="1:36" ht="14.25" hidden="1" x14ac:dyDescent="0.2">
      <c r="A3185" t="s">
        <v>4352</v>
      </c>
      <c r="B3185" s="1">
        <v>46068</v>
      </c>
      <c r="C3185" t="s">
        <v>62</v>
      </c>
      <c r="D3185" t="s">
        <v>41</v>
      </c>
      <c r="E3185" t="s">
        <v>42</v>
      </c>
      <c r="F3185" t="s">
        <v>7649</v>
      </c>
      <c r="G3185" t="s">
        <v>55</v>
      </c>
      <c r="H3185" t="s">
        <v>55</v>
      </c>
      <c r="I3185" t="s">
        <v>64</v>
      </c>
      <c r="J3185" t="s">
        <v>111</v>
      </c>
      <c r="K3185" t="s">
        <v>78</v>
      </c>
      <c r="L3185" t="s">
        <v>46</v>
      </c>
      <c r="M3185" t="s">
        <v>68</v>
      </c>
      <c r="N3185" t="s">
        <v>69</v>
      </c>
      <c r="O3185" t="s">
        <v>36</v>
      </c>
      <c r="P3185" t="s">
        <v>49</v>
      </c>
      <c r="Q3185" t="s">
        <v>347</v>
      </c>
      <c r="R3185">
        <v>204</v>
      </c>
      <c r="S3185">
        <v>119</v>
      </c>
      <c r="T3185">
        <v>85</v>
      </c>
      <c r="U3185">
        <v>30</v>
      </c>
      <c r="V3185" t="s">
        <v>6585</v>
      </c>
      <c r="W3185">
        <v>51801</v>
      </c>
      <c r="X3185" t="s">
        <v>7254</v>
      </c>
      <c r="Y3185">
        <v>39018</v>
      </c>
      <c r="Z3185">
        <v>1554030</v>
      </c>
      <c r="AA3185">
        <v>383490</v>
      </c>
      <c r="AB3185" t="str">
        <f>(VLOOKUP(SalesData[[#This Row],[Month Number]],Reference!C$5:E$16,2,FALSE))</f>
        <v>Feb</v>
      </c>
      <c r="AC3185">
        <f>MONTH(SalesData[[#This Row],[Date]])</f>
        <v>2</v>
      </c>
      <c r="AD3185">
        <f>Reference!F$4</f>
        <v>2026</v>
      </c>
      <c r="AE3185" t="str">
        <f>IF(OR(SalesData[[#This Row],[Day]]="Saturday",SalesData[[#This Row],[Day]]="Sunday"),"Weekend","Weekday")</f>
        <v>Weekend</v>
      </c>
      <c r="AF3185" s="5">
        <f>IF(SalesData[[#This Row],[Contracts Offered]]=0,0,SalesData[[#This Row],[Contracts Signed]]/SalesData[[#This Row],[Contracts Offered]])</f>
        <v>0.35294117647058826</v>
      </c>
      <c r="AG3185" s="5">
        <f>IF(SalesData[[#This Row],[Customers Visited]]=0,0,SalesData[[#This Row],[Test Drives]]/SalesData[[#This Row],[Customers Visited]])</f>
        <v>0.58333333333333337</v>
      </c>
      <c r="AH3185" s="5">
        <f>IF(SalesData[[#This Row],[Customers Visited]]=0,0,SalesData[[#This Row],[Contracts Signed]]/SalesData[[#This Row],[Customers Visited]])</f>
        <v>0.14705882352941177</v>
      </c>
      <c r="AI3185" s="6">
        <f>IF(SalesData[[#This Row],[Contracts Signed]]=0,0,SalesData[[#This Row],[Profit(€)]]/SalesData[[#This Row],[Contracts Signed]])</f>
        <v>12783</v>
      </c>
      <c r="AJ3185" s="5" t="str">
        <f>TRIM(CLEAN(SalesData[[#This Row],[Retailer]]))</f>
        <v>Autohaus Berlin</v>
      </c>
    </row>
    <row r="3186" spans="1:36" ht="14.25" hidden="1" x14ac:dyDescent="0.2">
      <c r="A3186" t="s">
        <v>4354</v>
      </c>
      <c r="B3186" s="1">
        <v>46061</v>
      </c>
      <c r="C3186" t="s">
        <v>121</v>
      </c>
      <c r="D3186" t="s">
        <v>41</v>
      </c>
      <c r="E3186" t="s">
        <v>42</v>
      </c>
      <c r="F3186" t="s">
        <v>74</v>
      </c>
      <c r="G3186" t="s">
        <v>75</v>
      </c>
      <c r="H3186" t="s">
        <v>76</v>
      </c>
      <c r="I3186" t="s">
        <v>64</v>
      </c>
      <c r="J3186" t="s">
        <v>65</v>
      </c>
      <c r="K3186" t="s">
        <v>32</v>
      </c>
      <c r="L3186" t="s">
        <v>33</v>
      </c>
      <c r="M3186" t="s">
        <v>87</v>
      </c>
      <c r="N3186" t="s">
        <v>35</v>
      </c>
      <c r="O3186" t="s">
        <v>70</v>
      </c>
      <c r="P3186" t="s">
        <v>58</v>
      </c>
      <c r="Q3186" t="s">
        <v>172</v>
      </c>
      <c r="R3186">
        <v>175</v>
      </c>
      <c r="S3186">
        <v>82</v>
      </c>
      <c r="T3186">
        <v>57</v>
      </c>
      <c r="U3186">
        <v>23</v>
      </c>
      <c r="V3186" t="s">
        <v>6422</v>
      </c>
      <c r="W3186">
        <v>57917</v>
      </c>
      <c r="X3186" t="s">
        <v>7302</v>
      </c>
      <c r="Y3186">
        <v>45188</v>
      </c>
      <c r="Z3186">
        <v>1332091</v>
      </c>
      <c r="AA3186">
        <v>292767</v>
      </c>
      <c r="AB3186" t="str">
        <f>(VLOOKUP(SalesData[[#This Row],[Month Number]],Reference!C$5:E$16,2,FALSE))</f>
        <v>Feb</v>
      </c>
      <c r="AC3186">
        <f>MONTH(SalesData[[#This Row],[Date]])</f>
        <v>2</v>
      </c>
      <c r="AD3186">
        <f>Reference!F$4</f>
        <v>2026</v>
      </c>
      <c r="AE3186" t="str">
        <f>IF(OR(SalesData[[#This Row],[Day]]="Saturday",SalesData[[#This Row],[Day]]="Sunday"),"Weekend","Weekday")</f>
        <v>Weekend</v>
      </c>
      <c r="AF3186" s="5">
        <f>IF(SalesData[[#This Row],[Contracts Offered]]=0,0,SalesData[[#This Row],[Contracts Signed]]/SalesData[[#This Row],[Contracts Offered]])</f>
        <v>0.40350877192982454</v>
      </c>
      <c r="AG3186" s="5">
        <f>IF(SalesData[[#This Row],[Customers Visited]]=0,0,SalesData[[#This Row],[Test Drives]]/SalesData[[#This Row],[Customers Visited]])</f>
        <v>0.46857142857142858</v>
      </c>
      <c r="AH3186" s="5">
        <f>IF(SalesData[[#This Row],[Customers Visited]]=0,0,SalesData[[#This Row],[Contracts Signed]]/SalesData[[#This Row],[Customers Visited]])</f>
        <v>0.13142857142857142</v>
      </c>
      <c r="AI3186" s="6">
        <f>IF(SalesData[[#This Row],[Contracts Signed]]=0,0,SalesData[[#This Row],[Profit(€)]]/SalesData[[#This Row],[Contracts Signed]])</f>
        <v>12729</v>
      </c>
      <c r="AJ3186" s="5" t="str">
        <f>TRIM(CLEAN(SalesData[[#This Row],[Retailer]]))</f>
        <v>Stuttgart Auto Center</v>
      </c>
    </row>
    <row r="3187" spans="1:36" ht="14.25" hidden="1" x14ac:dyDescent="0.2">
      <c r="A3187" t="s">
        <v>4355</v>
      </c>
      <c r="B3187" s="1">
        <v>46066</v>
      </c>
      <c r="C3187" t="s">
        <v>121</v>
      </c>
      <c r="D3187" t="s">
        <v>54</v>
      </c>
      <c r="E3187" t="s">
        <v>26</v>
      </c>
      <c r="F3187" t="s">
        <v>101</v>
      </c>
      <c r="G3187" t="s">
        <v>102</v>
      </c>
      <c r="H3187" t="s">
        <v>103</v>
      </c>
      <c r="I3187" t="s">
        <v>56</v>
      </c>
      <c r="J3187" t="s">
        <v>97</v>
      </c>
      <c r="K3187" t="s">
        <v>66</v>
      </c>
      <c r="L3187" t="s">
        <v>33</v>
      </c>
      <c r="M3187" t="s">
        <v>87</v>
      </c>
      <c r="N3187" t="s">
        <v>35</v>
      </c>
      <c r="O3187" t="s">
        <v>70</v>
      </c>
      <c r="P3187" t="s">
        <v>37</v>
      </c>
      <c r="Q3187" t="s">
        <v>79</v>
      </c>
      <c r="R3187">
        <v>311</v>
      </c>
      <c r="S3187">
        <v>191</v>
      </c>
      <c r="T3187">
        <v>140</v>
      </c>
      <c r="U3187">
        <v>37</v>
      </c>
      <c r="V3187" t="s">
        <v>7418</v>
      </c>
      <c r="W3187">
        <v>50597</v>
      </c>
      <c r="X3187" t="s">
        <v>159</v>
      </c>
      <c r="Y3187">
        <v>38910</v>
      </c>
      <c r="Z3187">
        <v>1872089</v>
      </c>
      <c r="AA3187">
        <v>432419</v>
      </c>
      <c r="AB3187" t="str">
        <f>(VLOOKUP(SalesData[[#This Row],[Month Number]],Reference!C$5:E$16,2,FALSE))</f>
        <v>Feb</v>
      </c>
      <c r="AC3187">
        <f>MONTH(SalesData[[#This Row],[Date]])</f>
        <v>2</v>
      </c>
      <c r="AD3187">
        <f>Reference!F$4</f>
        <v>2026</v>
      </c>
      <c r="AE3187" t="str">
        <f>IF(OR(SalesData[[#This Row],[Day]]="Saturday",SalesData[[#This Row],[Day]]="Sunday"),"Weekend","Weekday")</f>
        <v>Weekday</v>
      </c>
      <c r="AF3187" s="5">
        <f>IF(SalesData[[#This Row],[Contracts Offered]]=0,0,SalesData[[#This Row],[Contracts Signed]]/SalesData[[#This Row],[Contracts Offered]])</f>
        <v>0.26428571428571429</v>
      </c>
      <c r="AG3187" s="5">
        <f>IF(SalesData[[#This Row],[Customers Visited]]=0,0,SalesData[[#This Row],[Test Drives]]/SalesData[[#This Row],[Customers Visited]])</f>
        <v>0.61414790996784563</v>
      </c>
      <c r="AH3187" s="5">
        <f>IF(SalesData[[#This Row],[Customers Visited]]=0,0,SalesData[[#This Row],[Contracts Signed]]/SalesData[[#This Row],[Customers Visited]])</f>
        <v>0.11897106109324759</v>
      </c>
      <c r="AI3187" s="6">
        <f>IF(SalesData[[#This Row],[Contracts Signed]]=0,0,SalesData[[#This Row],[Profit(€)]]/SalesData[[#This Row],[Contracts Signed]])</f>
        <v>11687</v>
      </c>
      <c r="AJ3187" s="5" t="str">
        <f>TRIM(CLEAN(SalesData[[#This Row],[Retailer]]))</f>
        <v>Ruhr Auto Plaza</v>
      </c>
    </row>
    <row r="3188" spans="1:36" ht="14.25" hidden="1" x14ac:dyDescent="0.2">
      <c r="A3188" t="s">
        <v>4356</v>
      </c>
      <c r="B3188" s="1">
        <v>46072</v>
      </c>
      <c r="C3188" t="s">
        <v>62</v>
      </c>
      <c r="D3188" t="s">
        <v>100</v>
      </c>
      <c r="E3188" t="s">
        <v>26</v>
      </c>
      <c r="F3188" t="s">
        <v>94</v>
      </c>
      <c r="G3188" t="s">
        <v>95</v>
      </c>
      <c r="H3188" t="s">
        <v>96</v>
      </c>
      <c r="I3188" t="s">
        <v>104</v>
      </c>
      <c r="J3188" t="s">
        <v>7061</v>
      </c>
      <c r="K3188" t="s">
        <v>78</v>
      </c>
      <c r="L3188" t="s">
        <v>46</v>
      </c>
      <c r="M3188" t="s">
        <v>47</v>
      </c>
      <c r="N3188" t="s">
        <v>35</v>
      </c>
      <c r="O3188" t="s">
        <v>36</v>
      </c>
      <c r="P3188" t="s">
        <v>49</v>
      </c>
      <c r="Q3188" t="s">
        <v>38</v>
      </c>
      <c r="R3188">
        <v>472</v>
      </c>
      <c r="S3188">
        <v>234</v>
      </c>
      <c r="T3188">
        <v>139</v>
      </c>
      <c r="U3188">
        <v>39</v>
      </c>
      <c r="V3188" t="s">
        <v>508</v>
      </c>
      <c r="W3188">
        <v>28048</v>
      </c>
      <c r="X3188" t="s">
        <v>3163</v>
      </c>
      <c r="Y3188">
        <v>25314</v>
      </c>
      <c r="Z3188">
        <v>1093872</v>
      </c>
      <c r="AA3188">
        <v>106626</v>
      </c>
      <c r="AB3188" t="str">
        <f>(VLOOKUP(SalesData[[#This Row],[Month Number]],Reference!C$5:E$16,2,FALSE))</f>
        <v>Feb</v>
      </c>
      <c r="AC3188">
        <f>MONTH(SalesData[[#This Row],[Date]])</f>
        <v>2</v>
      </c>
      <c r="AD3188">
        <f>Reference!F$4</f>
        <v>2026</v>
      </c>
      <c r="AE3188" t="str">
        <f>IF(OR(SalesData[[#This Row],[Day]]="Saturday",SalesData[[#This Row],[Day]]="Sunday"),"Weekend","Weekday")</f>
        <v>Weekday</v>
      </c>
      <c r="AF3188" s="5">
        <f>IF(SalesData[[#This Row],[Contracts Offered]]=0,0,SalesData[[#This Row],[Contracts Signed]]/SalesData[[#This Row],[Contracts Offered]])</f>
        <v>0.2805755395683453</v>
      </c>
      <c r="AG3188" s="5">
        <f>IF(SalesData[[#This Row],[Customers Visited]]=0,0,SalesData[[#This Row],[Test Drives]]/SalesData[[#This Row],[Customers Visited]])</f>
        <v>0.49576271186440679</v>
      </c>
      <c r="AH3188" s="5">
        <f>IF(SalesData[[#This Row],[Customers Visited]]=0,0,SalesData[[#This Row],[Contracts Signed]]/SalesData[[#This Row],[Customers Visited]])</f>
        <v>8.2627118644067798E-2</v>
      </c>
      <c r="AI3188" s="6">
        <f>IF(SalesData[[#This Row],[Contracts Signed]]=0,0,SalesData[[#This Row],[Profit(€)]]/SalesData[[#This Row],[Contracts Signed]])</f>
        <v>2734</v>
      </c>
      <c r="AJ3188" s="5" t="str">
        <f>TRIM(CLEAN(SalesData[[#This Row],[Retailer]]))</f>
        <v>Bavaria Motors</v>
      </c>
    </row>
    <row r="3189" spans="1:36" ht="14.25" hidden="1" x14ac:dyDescent="0.2">
      <c r="A3189" t="s">
        <v>4357</v>
      </c>
      <c r="B3189" s="1">
        <v>46058</v>
      </c>
      <c r="C3189" t="s">
        <v>24</v>
      </c>
      <c r="D3189" t="s">
        <v>100</v>
      </c>
      <c r="E3189" t="s">
        <v>26</v>
      </c>
      <c r="F3189" t="s">
        <v>127</v>
      </c>
      <c r="G3189" t="s">
        <v>128</v>
      </c>
      <c r="H3189" t="s">
        <v>103</v>
      </c>
      <c r="I3189" t="s">
        <v>64</v>
      </c>
      <c r="J3189" t="s">
        <v>7029</v>
      </c>
      <c r="K3189" t="s">
        <v>91</v>
      </c>
      <c r="L3189" t="s">
        <v>33</v>
      </c>
      <c r="M3189" t="s">
        <v>87</v>
      </c>
      <c r="N3189" t="s">
        <v>35</v>
      </c>
      <c r="O3189" t="s">
        <v>70</v>
      </c>
      <c r="P3189" t="s">
        <v>71</v>
      </c>
      <c r="Q3189" t="s">
        <v>189</v>
      </c>
      <c r="R3189">
        <v>271</v>
      </c>
      <c r="S3189">
        <v>150</v>
      </c>
      <c r="T3189">
        <v>99</v>
      </c>
      <c r="U3189">
        <v>39</v>
      </c>
      <c r="V3189" t="s">
        <v>6519</v>
      </c>
      <c r="W3189">
        <v>67603</v>
      </c>
      <c r="X3189" t="s">
        <v>3642</v>
      </c>
      <c r="Y3189">
        <v>48261</v>
      </c>
      <c r="Z3189">
        <v>2636517</v>
      </c>
      <c r="AA3189">
        <v>754338</v>
      </c>
      <c r="AB3189" t="str">
        <f>(VLOOKUP(SalesData[[#This Row],[Month Number]],Reference!C$5:E$16,2,FALSE))</f>
        <v>Feb</v>
      </c>
      <c r="AC3189">
        <f>MONTH(SalesData[[#This Row],[Date]])</f>
        <v>2</v>
      </c>
      <c r="AD3189">
        <f>Reference!F$4</f>
        <v>2026</v>
      </c>
      <c r="AE3189" t="str">
        <f>IF(OR(SalesData[[#This Row],[Day]]="Saturday",SalesData[[#This Row],[Day]]="Sunday"),"Weekend","Weekday")</f>
        <v>Weekday</v>
      </c>
      <c r="AF3189" s="5">
        <f>IF(SalesData[[#This Row],[Contracts Offered]]=0,0,SalesData[[#This Row],[Contracts Signed]]/SalesData[[#This Row],[Contracts Offered]])</f>
        <v>0.39393939393939392</v>
      </c>
      <c r="AG3189" s="5">
        <f>IF(SalesData[[#This Row],[Customers Visited]]=0,0,SalesData[[#This Row],[Test Drives]]/SalesData[[#This Row],[Customers Visited]])</f>
        <v>0.55350553505535061</v>
      </c>
      <c r="AH3189" s="5">
        <f>IF(SalesData[[#This Row],[Customers Visited]]=0,0,SalesData[[#This Row],[Contracts Signed]]/SalesData[[#This Row],[Customers Visited]])</f>
        <v>0.14391143911439114</v>
      </c>
      <c r="AI3189" s="6">
        <f>IF(SalesData[[#This Row],[Contracts Signed]]=0,0,SalesData[[#This Row],[Profit(€)]]/SalesData[[#This Row],[Contracts Signed]])</f>
        <v>19342</v>
      </c>
      <c r="AJ3189" s="5" t="str">
        <f>TRIM(CLEAN(SalesData[[#This Row],[Retailer]]))</f>
        <v>Rhein Auto Group</v>
      </c>
    </row>
    <row r="3190" spans="1:36" ht="14.25" hidden="1" x14ac:dyDescent="0.2">
      <c r="A3190" t="s">
        <v>4358</v>
      </c>
      <c r="B3190" s="1">
        <v>46060</v>
      </c>
      <c r="C3190" t="s">
        <v>24</v>
      </c>
      <c r="D3190" t="s">
        <v>151</v>
      </c>
      <c r="E3190" t="s">
        <v>42</v>
      </c>
      <c r="F3190" t="s">
        <v>114</v>
      </c>
      <c r="G3190" t="s">
        <v>115</v>
      </c>
      <c r="H3190" t="s">
        <v>115</v>
      </c>
      <c r="I3190" t="s">
        <v>104</v>
      </c>
      <c r="J3190" t="s">
        <v>105</v>
      </c>
      <c r="K3190" t="s">
        <v>91</v>
      </c>
      <c r="L3190" t="s">
        <v>33</v>
      </c>
      <c r="M3190" t="s">
        <v>68</v>
      </c>
      <c r="N3190" t="s">
        <v>35</v>
      </c>
      <c r="O3190" t="s">
        <v>70</v>
      </c>
      <c r="P3190" t="s">
        <v>71</v>
      </c>
      <c r="Q3190" t="s">
        <v>152</v>
      </c>
      <c r="R3190">
        <v>455</v>
      </c>
      <c r="S3190">
        <v>251</v>
      </c>
      <c r="T3190">
        <v>149</v>
      </c>
      <c r="U3190">
        <v>39</v>
      </c>
      <c r="V3190" t="s">
        <v>3482</v>
      </c>
      <c r="W3190">
        <v>29265</v>
      </c>
      <c r="X3190" t="s">
        <v>2016</v>
      </c>
      <c r="Y3190">
        <v>25588</v>
      </c>
      <c r="Z3190">
        <v>1141335</v>
      </c>
      <c r="AA3190">
        <v>143403</v>
      </c>
      <c r="AB3190" t="str">
        <f>(VLOOKUP(SalesData[[#This Row],[Month Number]],Reference!C$5:E$16,2,FALSE))</f>
        <v>Feb</v>
      </c>
      <c r="AC3190">
        <f>MONTH(SalesData[[#This Row],[Date]])</f>
        <v>2</v>
      </c>
      <c r="AD3190">
        <f>Reference!F$4</f>
        <v>2026</v>
      </c>
      <c r="AE3190" t="str">
        <f>IF(OR(SalesData[[#This Row],[Day]]="Saturday",SalesData[[#This Row],[Day]]="Sunday"),"Weekend","Weekday")</f>
        <v>Weekend</v>
      </c>
      <c r="AF3190" s="5">
        <f>IF(SalesData[[#This Row],[Contracts Offered]]=0,0,SalesData[[#This Row],[Contracts Signed]]/SalesData[[#This Row],[Contracts Offered]])</f>
        <v>0.26174496644295303</v>
      </c>
      <c r="AG3190" s="5">
        <f>IF(SalesData[[#This Row],[Customers Visited]]=0,0,SalesData[[#This Row],[Test Drives]]/SalesData[[#This Row],[Customers Visited]])</f>
        <v>0.55164835164835169</v>
      </c>
      <c r="AH3190" s="5">
        <f>IF(SalesData[[#This Row],[Customers Visited]]=0,0,SalesData[[#This Row],[Contracts Signed]]/SalesData[[#This Row],[Customers Visited]])</f>
        <v>8.5714285714285715E-2</v>
      </c>
      <c r="AI3190" s="6">
        <f>IF(SalesData[[#This Row],[Contracts Signed]]=0,0,SalesData[[#This Row],[Profit(€)]]/SalesData[[#This Row],[Contracts Signed]])</f>
        <v>3677</v>
      </c>
      <c r="AJ3190" s="5" t="str">
        <f>TRIM(CLEAN(SalesData[[#This Row],[Retailer]]))</f>
        <v>Elbe Drive</v>
      </c>
    </row>
    <row r="3191" spans="1:36" ht="14.25" hidden="1" x14ac:dyDescent="0.2">
      <c r="A3191" t="s">
        <v>4359</v>
      </c>
      <c r="B3191" s="1">
        <v>46055</v>
      </c>
      <c r="C3191" t="s">
        <v>24</v>
      </c>
      <c r="D3191" t="s">
        <v>25</v>
      </c>
      <c r="E3191" t="s">
        <v>26</v>
      </c>
      <c r="F3191" t="s">
        <v>109</v>
      </c>
      <c r="G3191" t="s">
        <v>110</v>
      </c>
      <c r="H3191" t="s">
        <v>45</v>
      </c>
      <c r="I3191" t="s">
        <v>64</v>
      </c>
      <c r="J3191" t="s">
        <v>77</v>
      </c>
      <c r="K3191" t="s">
        <v>66</v>
      </c>
      <c r="L3191" t="s">
        <v>46</v>
      </c>
      <c r="M3191" t="s">
        <v>47</v>
      </c>
      <c r="N3191" t="s">
        <v>69</v>
      </c>
      <c r="O3191" t="s">
        <v>70</v>
      </c>
      <c r="P3191" t="s">
        <v>71</v>
      </c>
      <c r="Q3191" t="s">
        <v>88</v>
      </c>
      <c r="R3191">
        <v>153</v>
      </c>
      <c r="S3191">
        <v>70</v>
      </c>
      <c r="T3191">
        <v>46</v>
      </c>
      <c r="U3191">
        <v>15</v>
      </c>
      <c r="V3191" t="s">
        <v>6452</v>
      </c>
      <c r="W3191">
        <v>63924</v>
      </c>
      <c r="X3191" t="s">
        <v>7465</v>
      </c>
      <c r="Y3191">
        <v>50419</v>
      </c>
      <c r="Z3191">
        <v>958860</v>
      </c>
      <c r="AA3191">
        <v>202575</v>
      </c>
      <c r="AB3191" t="str">
        <f>(VLOOKUP(SalesData[[#This Row],[Month Number]],Reference!C$5:E$16,2,FALSE))</f>
        <v>Feb</v>
      </c>
      <c r="AC3191">
        <f>MONTH(SalesData[[#This Row],[Date]])</f>
        <v>2</v>
      </c>
      <c r="AD3191">
        <f>Reference!F$4</f>
        <v>2026</v>
      </c>
      <c r="AE3191" t="str">
        <f>IF(OR(SalesData[[#This Row],[Day]]="Saturday",SalesData[[#This Row],[Day]]="Sunday"),"Weekend","Weekday")</f>
        <v>Weekday</v>
      </c>
      <c r="AF3191" s="5">
        <f>IF(SalesData[[#This Row],[Contracts Offered]]=0,0,SalesData[[#This Row],[Contracts Signed]]/SalesData[[#This Row],[Contracts Offered]])</f>
        <v>0.32608695652173914</v>
      </c>
      <c r="AG3191" s="5">
        <f>IF(SalesData[[#This Row],[Customers Visited]]=0,0,SalesData[[#This Row],[Test Drives]]/SalesData[[#This Row],[Customers Visited]])</f>
        <v>0.45751633986928103</v>
      </c>
      <c r="AH3191" s="5">
        <f>IF(SalesData[[#This Row],[Customers Visited]]=0,0,SalesData[[#This Row],[Contracts Signed]]/SalesData[[#This Row],[Customers Visited]])</f>
        <v>9.8039215686274508E-2</v>
      </c>
      <c r="AI3191" s="6">
        <f>IF(SalesData[[#This Row],[Contracts Signed]]=0,0,SalesData[[#This Row],[Profit(€)]]/SalesData[[#This Row],[Contracts Signed]])</f>
        <v>13505</v>
      </c>
      <c r="AJ3191" s="5" t="str">
        <f>TRIM(CLEAN(SalesData[[#This Row],[Retailer]]))</f>
        <v>Leipzig Mobility</v>
      </c>
    </row>
    <row r="3192" spans="1:36" ht="14.25" hidden="1" x14ac:dyDescent="0.2">
      <c r="A3192" t="s">
        <v>4360</v>
      </c>
      <c r="B3192" s="1">
        <v>46055</v>
      </c>
      <c r="C3192" t="s">
        <v>24</v>
      </c>
      <c r="D3192" t="s">
        <v>25</v>
      </c>
      <c r="E3192" t="s">
        <v>26</v>
      </c>
      <c r="F3192" t="s">
        <v>94</v>
      </c>
      <c r="G3192" t="s">
        <v>95</v>
      </c>
      <c r="H3192" t="s">
        <v>96</v>
      </c>
      <c r="I3192" t="s">
        <v>64</v>
      </c>
      <c r="J3192" t="s">
        <v>7029</v>
      </c>
      <c r="K3192" t="s">
        <v>32</v>
      </c>
      <c r="L3192" t="s">
        <v>33</v>
      </c>
      <c r="M3192" t="s">
        <v>34</v>
      </c>
      <c r="N3192" t="s">
        <v>69</v>
      </c>
      <c r="O3192" t="s">
        <v>70</v>
      </c>
      <c r="P3192" t="s">
        <v>58</v>
      </c>
      <c r="Q3192" t="s">
        <v>106</v>
      </c>
      <c r="R3192">
        <v>224</v>
      </c>
      <c r="S3192">
        <v>116</v>
      </c>
      <c r="T3192">
        <v>76</v>
      </c>
      <c r="U3192">
        <v>35</v>
      </c>
      <c r="V3192" t="s">
        <v>7363</v>
      </c>
      <c r="W3192">
        <v>66927</v>
      </c>
      <c r="X3192" t="s">
        <v>7275</v>
      </c>
      <c r="Y3192">
        <v>49923</v>
      </c>
      <c r="Z3192">
        <v>2342445</v>
      </c>
      <c r="AA3192">
        <v>595140</v>
      </c>
      <c r="AB3192" t="str">
        <f>(VLOOKUP(SalesData[[#This Row],[Month Number]],Reference!C$5:E$16,2,FALSE))</f>
        <v>Feb</v>
      </c>
      <c r="AC3192">
        <f>MONTH(SalesData[[#This Row],[Date]])</f>
        <v>2</v>
      </c>
      <c r="AD3192">
        <f>Reference!F$4</f>
        <v>2026</v>
      </c>
      <c r="AE3192" t="str">
        <f>IF(OR(SalesData[[#This Row],[Day]]="Saturday",SalesData[[#This Row],[Day]]="Sunday"),"Weekend","Weekday")</f>
        <v>Weekday</v>
      </c>
      <c r="AF3192" s="5">
        <f>IF(SalesData[[#This Row],[Contracts Offered]]=0,0,SalesData[[#This Row],[Contracts Signed]]/SalesData[[#This Row],[Contracts Offered]])</f>
        <v>0.46052631578947367</v>
      </c>
      <c r="AG3192" s="5">
        <f>IF(SalesData[[#This Row],[Customers Visited]]=0,0,SalesData[[#This Row],[Test Drives]]/SalesData[[#This Row],[Customers Visited]])</f>
        <v>0.5178571428571429</v>
      </c>
      <c r="AH3192" s="5">
        <f>IF(SalesData[[#This Row],[Customers Visited]]=0,0,SalesData[[#This Row],[Contracts Signed]]/SalesData[[#This Row],[Customers Visited]])</f>
        <v>0.15625</v>
      </c>
      <c r="AI3192" s="6">
        <f>IF(SalesData[[#This Row],[Contracts Signed]]=0,0,SalesData[[#This Row],[Profit(€)]]/SalesData[[#This Row],[Contracts Signed]])</f>
        <v>17004</v>
      </c>
      <c r="AJ3192" s="5" t="str">
        <f>TRIM(CLEAN(SalesData[[#This Row],[Retailer]]))</f>
        <v>Bavaria Motors</v>
      </c>
    </row>
    <row r="3193" spans="1:36" ht="14.25" hidden="1" x14ac:dyDescent="0.2">
      <c r="A3193" t="s">
        <v>4361</v>
      </c>
      <c r="B3193" s="1">
        <v>46067</v>
      </c>
      <c r="C3193" t="s">
        <v>121</v>
      </c>
      <c r="D3193" t="s">
        <v>151</v>
      </c>
      <c r="E3193" t="s">
        <v>42</v>
      </c>
      <c r="F3193" t="s">
        <v>114</v>
      </c>
      <c r="G3193" t="s">
        <v>115</v>
      </c>
      <c r="H3193" t="s">
        <v>115</v>
      </c>
      <c r="I3193" t="s">
        <v>116</v>
      </c>
      <c r="J3193" t="s">
        <v>132</v>
      </c>
      <c r="K3193" t="s">
        <v>32</v>
      </c>
      <c r="L3193" t="s">
        <v>46</v>
      </c>
      <c r="M3193" t="s">
        <v>47</v>
      </c>
      <c r="N3193" t="s">
        <v>69</v>
      </c>
      <c r="O3193" t="s">
        <v>70</v>
      </c>
      <c r="P3193" t="s">
        <v>37</v>
      </c>
      <c r="Q3193" t="s">
        <v>169</v>
      </c>
      <c r="R3193">
        <v>300</v>
      </c>
      <c r="S3193">
        <v>161</v>
      </c>
      <c r="T3193">
        <v>112</v>
      </c>
      <c r="U3193">
        <v>22</v>
      </c>
      <c r="V3193" t="s">
        <v>1385</v>
      </c>
      <c r="W3193">
        <v>20785</v>
      </c>
      <c r="X3193" t="s">
        <v>1762</v>
      </c>
      <c r="Y3193">
        <v>19190</v>
      </c>
      <c r="Z3193">
        <v>457270</v>
      </c>
      <c r="AA3193">
        <v>35090</v>
      </c>
      <c r="AB3193" t="str">
        <f>(VLOOKUP(SalesData[[#This Row],[Month Number]],Reference!C$5:E$16,2,FALSE))</f>
        <v>Feb</v>
      </c>
      <c r="AC3193">
        <f>MONTH(SalesData[[#This Row],[Date]])</f>
        <v>2</v>
      </c>
      <c r="AD3193">
        <f>Reference!F$4</f>
        <v>2026</v>
      </c>
      <c r="AE3193" t="str">
        <f>IF(OR(SalesData[[#This Row],[Day]]="Saturday",SalesData[[#This Row],[Day]]="Sunday"),"Weekend","Weekday")</f>
        <v>Weekend</v>
      </c>
      <c r="AF3193" s="5">
        <f>IF(SalesData[[#This Row],[Contracts Offered]]=0,0,SalesData[[#This Row],[Contracts Signed]]/SalesData[[#This Row],[Contracts Offered]])</f>
        <v>0.19642857142857142</v>
      </c>
      <c r="AG3193" s="5">
        <f>IF(SalesData[[#This Row],[Customers Visited]]=0,0,SalesData[[#This Row],[Test Drives]]/SalesData[[#This Row],[Customers Visited]])</f>
        <v>0.53666666666666663</v>
      </c>
      <c r="AH3193" s="5">
        <f>IF(SalesData[[#This Row],[Customers Visited]]=0,0,SalesData[[#This Row],[Contracts Signed]]/SalesData[[#This Row],[Customers Visited]])</f>
        <v>7.3333333333333334E-2</v>
      </c>
      <c r="AI3193" s="6">
        <f>IF(SalesData[[#This Row],[Contracts Signed]]=0,0,SalesData[[#This Row],[Profit(€)]]/SalesData[[#This Row],[Contracts Signed]])</f>
        <v>1595</v>
      </c>
      <c r="AJ3193" s="5" t="str">
        <f>TRIM(CLEAN(SalesData[[#This Row],[Retailer]]))</f>
        <v>Elbe Drive</v>
      </c>
    </row>
    <row r="3194" spans="1:36" ht="14.25" hidden="1" x14ac:dyDescent="0.2">
      <c r="A3194" t="s">
        <v>4362</v>
      </c>
      <c r="B3194" s="1">
        <v>46056</v>
      </c>
      <c r="C3194" t="s">
        <v>24</v>
      </c>
      <c r="D3194" t="s">
        <v>63</v>
      </c>
      <c r="E3194" t="s">
        <v>26</v>
      </c>
      <c r="F3194" t="s">
        <v>74</v>
      </c>
      <c r="G3194" t="s">
        <v>75</v>
      </c>
      <c r="H3194" t="s">
        <v>76</v>
      </c>
      <c r="I3194" t="s">
        <v>104</v>
      </c>
      <c r="J3194" t="s">
        <v>7031</v>
      </c>
      <c r="K3194" t="s">
        <v>66</v>
      </c>
      <c r="L3194" t="s">
        <v>46</v>
      </c>
      <c r="M3194" t="s">
        <v>47</v>
      </c>
      <c r="N3194" t="s">
        <v>35</v>
      </c>
      <c r="O3194" t="s">
        <v>36</v>
      </c>
      <c r="P3194" t="s">
        <v>49</v>
      </c>
      <c r="Q3194" t="s">
        <v>152</v>
      </c>
      <c r="R3194">
        <v>403</v>
      </c>
      <c r="S3194">
        <v>167</v>
      </c>
      <c r="T3194">
        <v>109</v>
      </c>
      <c r="U3194">
        <v>23</v>
      </c>
      <c r="V3194" t="s">
        <v>5738</v>
      </c>
      <c r="W3194">
        <v>26462</v>
      </c>
      <c r="X3194" t="s">
        <v>222</v>
      </c>
      <c r="Y3194">
        <v>23052</v>
      </c>
      <c r="Z3194">
        <v>608626</v>
      </c>
      <c r="AA3194">
        <v>78430</v>
      </c>
      <c r="AB3194" t="str">
        <f>(VLOOKUP(SalesData[[#This Row],[Month Number]],Reference!C$5:E$16,2,FALSE))</f>
        <v>Feb</v>
      </c>
      <c r="AC3194">
        <f>MONTH(SalesData[[#This Row],[Date]])</f>
        <v>2</v>
      </c>
      <c r="AD3194">
        <f>Reference!F$4</f>
        <v>2026</v>
      </c>
      <c r="AE3194" t="str">
        <f>IF(OR(SalesData[[#This Row],[Day]]="Saturday",SalesData[[#This Row],[Day]]="Sunday"),"Weekend","Weekday")</f>
        <v>Weekday</v>
      </c>
      <c r="AF3194" s="5">
        <f>IF(SalesData[[#This Row],[Contracts Offered]]=0,0,SalesData[[#This Row],[Contracts Signed]]/SalesData[[#This Row],[Contracts Offered]])</f>
        <v>0.21100917431192662</v>
      </c>
      <c r="AG3194" s="5">
        <f>IF(SalesData[[#This Row],[Customers Visited]]=0,0,SalesData[[#This Row],[Test Drives]]/SalesData[[#This Row],[Customers Visited]])</f>
        <v>0.4143920595533499</v>
      </c>
      <c r="AH3194" s="5">
        <f>IF(SalesData[[#This Row],[Customers Visited]]=0,0,SalesData[[#This Row],[Contracts Signed]]/SalesData[[#This Row],[Customers Visited]])</f>
        <v>5.7071960297766747E-2</v>
      </c>
      <c r="AI3194" s="6">
        <f>IF(SalesData[[#This Row],[Contracts Signed]]=0,0,SalesData[[#This Row],[Profit(€)]]/SalesData[[#This Row],[Contracts Signed]])</f>
        <v>3410</v>
      </c>
      <c r="AJ3194" s="5" t="str">
        <f>TRIM(CLEAN(SalesData[[#This Row],[Retailer]]))</f>
        <v>Stuttgart Auto Center</v>
      </c>
    </row>
    <row r="3195" spans="1:36" ht="14.25" x14ac:dyDescent="0.2">
      <c r="A3195" t="s">
        <v>4363</v>
      </c>
      <c r="B3195" s="1">
        <v>46058</v>
      </c>
      <c r="C3195" t="s">
        <v>24</v>
      </c>
      <c r="D3195" t="s">
        <v>100</v>
      </c>
      <c r="E3195" t="s">
        <v>26</v>
      </c>
      <c r="F3195" t="s">
        <v>94</v>
      </c>
      <c r="G3195" t="s">
        <v>95</v>
      </c>
      <c r="H3195" t="s">
        <v>96</v>
      </c>
      <c r="I3195" t="s">
        <v>30</v>
      </c>
      <c r="J3195" t="s">
        <v>188</v>
      </c>
      <c r="K3195" t="s">
        <v>78</v>
      </c>
      <c r="L3195" t="s">
        <v>33</v>
      </c>
      <c r="M3195" t="s">
        <v>68</v>
      </c>
      <c r="N3195" t="s">
        <v>35</v>
      </c>
      <c r="O3195" t="s">
        <v>36</v>
      </c>
      <c r="P3195" t="s">
        <v>37</v>
      </c>
      <c r="Q3195" t="s">
        <v>152</v>
      </c>
      <c r="R3195">
        <v>177</v>
      </c>
      <c r="S3195">
        <v>99</v>
      </c>
      <c r="T3195">
        <v>69</v>
      </c>
      <c r="U3195">
        <v>28</v>
      </c>
      <c r="V3195" t="s">
        <v>6541</v>
      </c>
      <c r="W3195">
        <v>65502</v>
      </c>
      <c r="X3195" t="s">
        <v>7194</v>
      </c>
      <c r="Y3195">
        <v>47333</v>
      </c>
      <c r="Z3195">
        <v>1834056</v>
      </c>
      <c r="AA3195">
        <v>508732</v>
      </c>
      <c r="AB3195" t="str">
        <f>(VLOOKUP(SalesData[[#This Row],[Month Number]],Reference!C$5:E$16,2,FALSE))</f>
        <v>Feb</v>
      </c>
      <c r="AC3195">
        <f>MONTH(SalesData[[#This Row],[Date]])</f>
        <v>2</v>
      </c>
      <c r="AD3195">
        <f>Reference!F$4</f>
        <v>2026</v>
      </c>
      <c r="AE3195" t="str">
        <f>IF(OR(SalesData[[#This Row],[Day]]="Saturday",SalesData[[#This Row],[Day]]="Sunday"),"Weekend","Weekday")</f>
        <v>Weekday</v>
      </c>
      <c r="AF3195" s="5">
        <f>IF(SalesData[[#This Row],[Contracts Offered]]=0,0,SalesData[[#This Row],[Contracts Signed]]/SalesData[[#This Row],[Contracts Offered]])</f>
        <v>0.40579710144927539</v>
      </c>
      <c r="AG3195" s="5">
        <f>IF(SalesData[[#This Row],[Customers Visited]]=0,0,SalesData[[#This Row],[Test Drives]]/SalesData[[#This Row],[Customers Visited]])</f>
        <v>0.55932203389830504</v>
      </c>
      <c r="AH3195" s="5">
        <f>IF(SalesData[[#This Row],[Customers Visited]]=0,0,SalesData[[#This Row],[Contracts Signed]]/SalesData[[#This Row],[Customers Visited]])</f>
        <v>0.15819209039548024</v>
      </c>
      <c r="AI3195" s="6">
        <f>IF(SalesData[[#This Row],[Contracts Signed]]=0,0,SalesData[[#This Row],[Profit(€)]]/SalesData[[#This Row],[Contracts Signed]])</f>
        <v>18169</v>
      </c>
      <c r="AJ3195" s="5" t="str">
        <f>TRIM(CLEAN(SalesData[[#This Row],[Retailer]]))</f>
        <v>Bavaria Motors</v>
      </c>
    </row>
    <row r="3196" spans="1:36" ht="14.25" hidden="1" x14ac:dyDescent="0.2">
      <c r="A3196" t="s">
        <v>4364</v>
      </c>
      <c r="B3196" s="1">
        <v>46071</v>
      </c>
      <c r="C3196" t="s">
        <v>62</v>
      </c>
      <c r="D3196" t="s">
        <v>82</v>
      </c>
      <c r="E3196" t="s">
        <v>26</v>
      </c>
      <c r="F3196" t="s">
        <v>109</v>
      </c>
      <c r="G3196" t="s">
        <v>110</v>
      </c>
      <c r="H3196" t="s">
        <v>45</v>
      </c>
      <c r="I3196" t="s">
        <v>56</v>
      </c>
      <c r="J3196" t="s">
        <v>57</v>
      </c>
      <c r="K3196" t="s">
        <v>91</v>
      </c>
      <c r="L3196" t="s">
        <v>46</v>
      </c>
      <c r="M3196" t="s">
        <v>68</v>
      </c>
      <c r="N3196" t="s">
        <v>69</v>
      </c>
      <c r="O3196" t="s">
        <v>36</v>
      </c>
      <c r="P3196" t="s">
        <v>37</v>
      </c>
      <c r="Q3196" t="s">
        <v>144</v>
      </c>
      <c r="R3196">
        <v>178</v>
      </c>
      <c r="S3196">
        <v>84</v>
      </c>
      <c r="T3196">
        <v>56</v>
      </c>
      <c r="U3196">
        <v>17</v>
      </c>
      <c r="V3196" t="s">
        <v>6909</v>
      </c>
      <c r="W3196">
        <v>56041</v>
      </c>
      <c r="X3196" t="s">
        <v>7352</v>
      </c>
      <c r="Y3196">
        <v>44394</v>
      </c>
      <c r="Z3196">
        <v>952697</v>
      </c>
      <c r="AA3196">
        <v>197999</v>
      </c>
      <c r="AB3196" t="str">
        <f>(VLOOKUP(SalesData[[#This Row],[Month Number]],Reference!C$5:E$16,2,FALSE))</f>
        <v>Feb</v>
      </c>
      <c r="AC3196">
        <f>MONTH(SalesData[[#This Row],[Date]])</f>
        <v>2</v>
      </c>
      <c r="AD3196">
        <f>Reference!F$4</f>
        <v>2026</v>
      </c>
      <c r="AE3196" t="str">
        <f>IF(OR(SalesData[[#This Row],[Day]]="Saturday",SalesData[[#This Row],[Day]]="Sunday"),"Weekend","Weekday")</f>
        <v>Weekday</v>
      </c>
      <c r="AF3196" s="5">
        <f>IF(SalesData[[#This Row],[Contracts Offered]]=0,0,SalesData[[#This Row],[Contracts Signed]]/SalesData[[#This Row],[Contracts Offered]])</f>
        <v>0.30357142857142855</v>
      </c>
      <c r="AG3196" s="5">
        <f>IF(SalesData[[#This Row],[Customers Visited]]=0,0,SalesData[[#This Row],[Test Drives]]/SalesData[[#This Row],[Customers Visited]])</f>
        <v>0.47191011235955055</v>
      </c>
      <c r="AH3196" s="5">
        <f>IF(SalesData[[#This Row],[Customers Visited]]=0,0,SalesData[[#This Row],[Contracts Signed]]/SalesData[[#This Row],[Customers Visited]])</f>
        <v>9.5505617977528087E-2</v>
      </c>
      <c r="AI3196" s="6">
        <f>IF(SalesData[[#This Row],[Contracts Signed]]=0,0,SalesData[[#This Row],[Profit(€)]]/SalesData[[#This Row],[Contracts Signed]])</f>
        <v>11647</v>
      </c>
      <c r="AJ3196" s="5" t="str">
        <f>TRIM(CLEAN(SalesData[[#This Row],[Retailer]]))</f>
        <v>Leipzig Mobility</v>
      </c>
    </row>
    <row r="3197" spans="1:36" ht="14.25" hidden="1" x14ac:dyDescent="0.2">
      <c r="A3197" t="s">
        <v>4365</v>
      </c>
      <c r="B3197" s="1">
        <v>46067</v>
      </c>
      <c r="C3197" t="s">
        <v>121</v>
      </c>
      <c r="D3197" t="s">
        <v>151</v>
      </c>
      <c r="E3197" t="s">
        <v>42</v>
      </c>
      <c r="F3197" t="s">
        <v>74</v>
      </c>
      <c r="G3197" t="s">
        <v>75</v>
      </c>
      <c r="H3197" t="s">
        <v>76</v>
      </c>
      <c r="I3197" t="s">
        <v>56</v>
      </c>
      <c r="J3197" t="s">
        <v>7028</v>
      </c>
      <c r="K3197" t="s">
        <v>66</v>
      </c>
      <c r="L3197" t="s">
        <v>46</v>
      </c>
      <c r="M3197" t="s">
        <v>47</v>
      </c>
      <c r="N3197" t="s">
        <v>69</v>
      </c>
      <c r="O3197" t="s">
        <v>70</v>
      </c>
      <c r="P3197" t="s">
        <v>49</v>
      </c>
      <c r="Q3197" t="s">
        <v>240</v>
      </c>
      <c r="R3197">
        <v>213</v>
      </c>
      <c r="S3197">
        <v>123</v>
      </c>
      <c r="T3197">
        <v>92</v>
      </c>
      <c r="U3197">
        <v>23</v>
      </c>
      <c r="V3197" t="s">
        <v>3598</v>
      </c>
      <c r="W3197">
        <v>51110</v>
      </c>
      <c r="X3197" t="s">
        <v>7528</v>
      </c>
      <c r="Y3197">
        <v>41352</v>
      </c>
      <c r="Z3197">
        <v>1175530</v>
      </c>
      <c r="AA3197">
        <v>224434</v>
      </c>
      <c r="AB3197" t="str">
        <f>(VLOOKUP(SalesData[[#This Row],[Month Number]],Reference!C$5:E$16,2,FALSE))</f>
        <v>Feb</v>
      </c>
      <c r="AC3197">
        <f>MONTH(SalesData[[#This Row],[Date]])</f>
        <v>2</v>
      </c>
      <c r="AD3197">
        <f>Reference!F$4</f>
        <v>2026</v>
      </c>
      <c r="AE3197" t="str">
        <f>IF(OR(SalesData[[#This Row],[Day]]="Saturday",SalesData[[#This Row],[Day]]="Sunday"),"Weekend","Weekday")</f>
        <v>Weekend</v>
      </c>
      <c r="AF3197" s="5">
        <f>IF(SalesData[[#This Row],[Contracts Offered]]=0,0,SalesData[[#This Row],[Contracts Signed]]/SalesData[[#This Row],[Contracts Offered]])</f>
        <v>0.25</v>
      </c>
      <c r="AG3197" s="5">
        <f>IF(SalesData[[#This Row],[Customers Visited]]=0,0,SalesData[[#This Row],[Test Drives]]/SalesData[[#This Row],[Customers Visited]])</f>
        <v>0.57746478873239437</v>
      </c>
      <c r="AH3197" s="5">
        <f>IF(SalesData[[#This Row],[Customers Visited]]=0,0,SalesData[[#This Row],[Contracts Signed]]/SalesData[[#This Row],[Customers Visited]])</f>
        <v>0.107981220657277</v>
      </c>
      <c r="AI3197" s="6">
        <f>IF(SalesData[[#This Row],[Contracts Signed]]=0,0,SalesData[[#This Row],[Profit(€)]]/SalesData[[#This Row],[Contracts Signed]])</f>
        <v>9758</v>
      </c>
      <c r="AJ3197" s="5" t="str">
        <f>TRIM(CLEAN(SalesData[[#This Row],[Retailer]]))</f>
        <v>Stuttgart Auto Center</v>
      </c>
    </row>
    <row r="3198" spans="1:36" ht="14.25" hidden="1" x14ac:dyDescent="0.2">
      <c r="A3198" t="s">
        <v>4366</v>
      </c>
      <c r="B3198" s="1">
        <v>46078</v>
      </c>
      <c r="C3198" t="s">
        <v>53</v>
      </c>
      <c r="D3198" t="s">
        <v>82</v>
      </c>
      <c r="E3198" t="s">
        <v>26</v>
      </c>
      <c r="F3198" t="s">
        <v>43</v>
      </c>
      <c r="G3198" t="s">
        <v>44</v>
      </c>
      <c r="H3198" t="s">
        <v>45</v>
      </c>
      <c r="I3198" t="s">
        <v>56</v>
      </c>
      <c r="J3198" t="s">
        <v>57</v>
      </c>
      <c r="K3198" t="s">
        <v>66</v>
      </c>
      <c r="L3198" t="s">
        <v>46</v>
      </c>
      <c r="M3198" t="s">
        <v>34</v>
      </c>
      <c r="N3198" t="s">
        <v>48</v>
      </c>
      <c r="O3198" t="s">
        <v>70</v>
      </c>
      <c r="P3198" t="s">
        <v>49</v>
      </c>
      <c r="Q3198" t="s">
        <v>129</v>
      </c>
      <c r="R3198">
        <v>297</v>
      </c>
      <c r="S3198">
        <v>151</v>
      </c>
      <c r="T3198">
        <v>105</v>
      </c>
      <c r="U3198">
        <v>30</v>
      </c>
      <c r="V3198" t="s">
        <v>6972</v>
      </c>
      <c r="W3198">
        <v>45916</v>
      </c>
      <c r="X3198" t="s">
        <v>7583</v>
      </c>
      <c r="Y3198">
        <v>35777</v>
      </c>
      <c r="Z3198">
        <v>1377480</v>
      </c>
      <c r="AA3198">
        <v>304170</v>
      </c>
      <c r="AB3198" t="str">
        <f>(VLOOKUP(SalesData[[#This Row],[Month Number]],Reference!C$5:E$16,2,FALSE))</f>
        <v>Feb</v>
      </c>
      <c r="AC3198">
        <f>MONTH(SalesData[[#This Row],[Date]])</f>
        <v>2</v>
      </c>
      <c r="AD3198">
        <f>Reference!F$4</f>
        <v>2026</v>
      </c>
      <c r="AE3198" t="str">
        <f>IF(OR(SalesData[[#This Row],[Day]]="Saturday",SalesData[[#This Row],[Day]]="Sunday"),"Weekend","Weekday")</f>
        <v>Weekday</v>
      </c>
      <c r="AF3198" s="5">
        <f>IF(SalesData[[#This Row],[Contracts Offered]]=0,0,SalesData[[#This Row],[Contracts Signed]]/SalesData[[#This Row],[Contracts Offered]])</f>
        <v>0.2857142857142857</v>
      </c>
      <c r="AG3198" s="5">
        <f>IF(SalesData[[#This Row],[Customers Visited]]=0,0,SalesData[[#This Row],[Test Drives]]/SalesData[[#This Row],[Customers Visited]])</f>
        <v>0.50841750841750843</v>
      </c>
      <c r="AH3198" s="5">
        <f>IF(SalesData[[#This Row],[Customers Visited]]=0,0,SalesData[[#This Row],[Contracts Signed]]/SalesData[[#This Row],[Customers Visited]])</f>
        <v>0.10101010101010101</v>
      </c>
      <c r="AI3198" s="6">
        <f>IF(SalesData[[#This Row],[Contracts Signed]]=0,0,SalesData[[#This Row],[Profit(€)]]/SalesData[[#This Row],[Contracts Signed]])</f>
        <v>10139</v>
      </c>
      <c r="AJ3198" s="5" t="str">
        <f>TRIM(CLEAN(SalesData[[#This Row],[Retailer]]))</f>
        <v>Saxon Wheels</v>
      </c>
    </row>
    <row r="3199" spans="1:36" ht="14.25" hidden="1" x14ac:dyDescent="0.2">
      <c r="A3199" t="s">
        <v>4367</v>
      </c>
      <c r="B3199" s="1">
        <v>46057</v>
      </c>
      <c r="C3199" t="s">
        <v>24</v>
      </c>
      <c r="D3199" t="s">
        <v>82</v>
      </c>
      <c r="E3199" t="s">
        <v>26</v>
      </c>
      <c r="F3199" t="s">
        <v>94</v>
      </c>
      <c r="G3199" t="s">
        <v>95</v>
      </c>
      <c r="H3199" t="s">
        <v>96</v>
      </c>
      <c r="I3199" t="s">
        <v>64</v>
      </c>
      <c r="J3199" t="s">
        <v>77</v>
      </c>
      <c r="K3199" t="s">
        <v>66</v>
      </c>
      <c r="L3199" t="s">
        <v>46</v>
      </c>
      <c r="M3199" t="s">
        <v>87</v>
      </c>
      <c r="N3199" t="s">
        <v>48</v>
      </c>
      <c r="O3199" t="s">
        <v>70</v>
      </c>
      <c r="P3199" t="s">
        <v>49</v>
      </c>
      <c r="Q3199" t="s">
        <v>240</v>
      </c>
      <c r="R3199">
        <v>279</v>
      </c>
      <c r="S3199">
        <v>124</v>
      </c>
      <c r="T3199">
        <v>83</v>
      </c>
      <c r="U3199">
        <v>33</v>
      </c>
      <c r="V3199" t="s">
        <v>6687</v>
      </c>
      <c r="W3199">
        <v>70166</v>
      </c>
      <c r="X3199" t="s">
        <v>3045</v>
      </c>
      <c r="Y3199">
        <v>55102</v>
      </c>
      <c r="Z3199">
        <v>2315478</v>
      </c>
      <c r="AA3199">
        <v>497112</v>
      </c>
      <c r="AB3199" t="str">
        <f>(VLOOKUP(SalesData[[#This Row],[Month Number]],Reference!C$5:E$16,2,FALSE))</f>
        <v>Feb</v>
      </c>
      <c r="AC3199">
        <f>MONTH(SalesData[[#This Row],[Date]])</f>
        <v>2</v>
      </c>
      <c r="AD3199">
        <f>Reference!F$4</f>
        <v>2026</v>
      </c>
      <c r="AE3199" t="str">
        <f>IF(OR(SalesData[[#This Row],[Day]]="Saturday",SalesData[[#This Row],[Day]]="Sunday"),"Weekend","Weekday")</f>
        <v>Weekday</v>
      </c>
      <c r="AF3199" s="5">
        <f>IF(SalesData[[#This Row],[Contracts Offered]]=0,0,SalesData[[#This Row],[Contracts Signed]]/SalesData[[#This Row],[Contracts Offered]])</f>
        <v>0.39759036144578314</v>
      </c>
      <c r="AG3199" s="5">
        <f>IF(SalesData[[#This Row],[Customers Visited]]=0,0,SalesData[[#This Row],[Test Drives]]/SalesData[[#This Row],[Customers Visited]])</f>
        <v>0.44444444444444442</v>
      </c>
      <c r="AH3199" s="5">
        <f>IF(SalesData[[#This Row],[Customers Visited]]=0,0,SalesData[[#This Row],[Contracts Signed]]/SalesData[[#This Row],[Customers Visited]])</f>
        <v>0.11827956989247312</v>
      </c>
      <c r="AI3199" s="6">
        <f>IF(SalesData[[#This Row],[Contracts Signed]]=0,0,SalesData[[#This Row],[Profit(€)]]/SalesData[[#This Row],[Contracts Signed]])</f>
        <v>15064</v>
      </c>
      <c r="AJ3199" s="5" t="str">
        <f>TRIM(CLEAN(SalesData[[#This Row],[Retailer]]))</f>
        <v>Bavaria Motors</v>
      </c>
    </row>
    <row r="3200" spans="1:36" ht="14.25" x14ac:dyDescent="0.2">
      <c r="A3200" t="s">
        <v>4368</v>
      </c>
      <c r="B3200" s="1">
        <v>46057</v>
      </c>
      <c r="C3200" t="s">
        <v>24</v>
      </c>
      <c r="D3200" t="s">
        <v>82</v>
      </c>
      <c r="E3200" t="s">
        <v>26</v>
      </c>
      <c r="F3200" t="s">
        <v>7649</v>
      </c>
      <c r="G3200" t="s">
        <v>55</v>
      </c>
      <c r="H3200" t="s">
        <v>55</v>
      </c>
      <c r="I3200" t="s">
        <v>30</v>
      </c>
      <c r="J3200" t="s">
        <v>7075</v>
      </c>
      <c r="K3200" t="s">
        <v>91</v>
      </c>
      <c r="L3200" t="s">
        <v>33</v>
      </c>
      <c r="M3200" t="s">
        <v>34</v>
      </c>
      <c r="N3200" t="s">
        <v>35</v>
      </c>
      <c r="O3200" t="s">
        <v>36</v>
      </c>
      <c r="P3200" t="s">
        <v>58</v>
      </c>
      <c r="Q3200" t="s">
        <v>135</v>
      </c>
      <c r="R3200">
        <v>280</v>
      </c>
      <c r="S3200">
        <v>131</v>
      </c>
      <c r="T3200">
        <v>89</v>
      </c>
      <c r="U3200">
        <v>43</v>
      </c>
      <c r="V3200" t="s">
        <v>7590</v>
      </c>
      <c r="W3200">
        <v>60520</v>
      </c>
      <c r="X3200" t="s">
        <v>2701</v>
      </c>
      <c r="Y3200">
        <v>45264</v>
      </c>
      <c r="Z3200">
        <v>2602360</v>
      </c>
      <c r="AA3200">
        <v>656008</v>
      </c>
      <c r="AB3200" t="str">
        <f>(VLOOKUP(SalesData[[#This Row],[Month Number]],Reference!C$5:E$16,2,FALSE))</f>
        <v>Feb</v>
      </c>
      <c r="AC3200">
        <f>MONTH(SalesData[[#This Row],[Date]])</f>
        <v>2</v>
      </c>
      <c r="AD3200">
        <f>Reference!F$4</f>
        <v>2026</v>
      </c>
      <c r="AE3200" t="str">
        <f>IF(OR(SalesData[[#This Row],[Day]]="Saturday",SalesData[[#This Row],[Day]]="Sunday"),"Weekend","Weekday")</f>
        <v>Weekday</v>
      </c>
      <c r="AF3200" s="5">
        <f>IF(SalesData[[#This Row],[Contracts Offered]]=0,0,SalesData[[#This Row],[Contracts Signed]]/SalesData[[#This Row],[Contracts Offered]])</f>
        <v>0.48314606741573035</v>
      </c>
      <c r="AG3200" s="5">
        <f>IF(SalesData[[#This Row],[Customers Visited]]=0,0,SalesData[[#This Row],[Test Drives]]/SalesData[[#This Row],[Customers Visited]])</f>
        <v>0.46785714285714286</v>
      </c>
      <c r="AH3200" s="5">
        <f>IF(SalesData[[#This Row],[Customers Visited]]=0,0,SalesData[[#This Row],[Contracts Signed]]/SalesData[[#This Row],[Customers Visited]])</f>
        <v>0.15357142857142858</v>
      </c>
      <c r="AI3200" s="6">
        <f>IF(SalesData[[#This Row],[Contracts Signed]]=0,0,SalesData[[#This Row],[Profit(€)]]/SalesData[[#This Row],[Contracts Signed]])</f>
        <v>15256</v>
      </c>
      <c r="AJ3200" s="5" t="str">
        <f>TRIM(CLEAN(SalesData[[#This Row],[Retailer]]))</f>
        <v>Autohaus Berlin</v>
      </c>
    </row>
    <row r="3201" spans="1:36" ht="14.25" hidden="1" x14ac:dyDescent="0.2">
      <c r="A3201" t="s">
        <v>4369</v>
      </c>
      <c r="B3201" s="1">
        <v>46072</v>
      </c>
      <c r="C3201" t="s">
        <v>62</v>
      </c>
      <c r="D3201" t="s">
        <v>100</v>
      </c>
      <c r="E3201" t="s">
        <v>26</v>
      </c>
      <c r="F3201" t="s">
        <v>7649</v>
      </c>
      <c r="G3201" t="s">
        <v>55</v>
      </c>
      <c r="H3201" t="s">
        <v>55</v>
      </c>
      <c r="I3201" t="s">
        <v>116</v>
      </c>
      <c r="J3201" t="s">
        <v>132</v>
      </c>
      <c r="K3201" t="s">
        <v>91</v>
      </c>
      <c r="L3201" t="s">
        <v>46</v>
      </c>
      <c r="M3201" t="s">
        <v>34</v>
      </c>
      <c r="N3201" t="s">
        <v>48</v>
      </c>
      <c r="O3201" t="s">
        <v>70</v>
      </c>
      <c r="P3201" t="s">
        <v>58</v>
      </c>
      <c r="Q3201" t="s">
        <v>79</v>
      </c>
      <c r="R3201">
        <v>413</v>
      </c>
      <c r="S3201">
        <v>179</v>
      </c>
      <c r="T3201">
        <v>118</v>
      </c>
      <c r="U3201">
        <v>31</v>
      </c>
      <c r="V3201" t="s">
        <v>6465</v>
      </c>
      <c r="W3201">
        <v>24649</v>
      </c>
      <c r="X3201" t="s">
        <v>7377</v>
      </c>
      <c r="Y3201">
        <v>22090</v>
      </c>
      <c r="Z3201">
        <v>764119</v>
      </c>
      <c r="AA3201">
        <v>79329</v>
      </c>
      <c r="AB3201" t="str">
        <f>(VLOOKUP(SalesData[[#This Row],[Month Number]],Reference!C$5:E$16,2,FALSE))</f>
        <v>Feb</v>
      </c>
      <c r="AC3201">
        <f>MONTH(SalesData[[#This Row],[Date]])</f>
        <v>2</v>
      </c>
      <c r="AD3201">
        <f>Reference!F$4</f>
        <v>2026</v>
      </c>
      <c r="AE3201" t="str">
        <f>IF(OR(SalesData[[#This Row],[Day]]="Saturday",SalesData[[#This Row],[Day]]="Sunday"),"Weekend","Weekday")</f>
        <v>Weekday</v>
      </c>
      <c r="AF3201" s="5">
        <f>IF(SalesData[[#This Row],[Contracts Offered]]=0,0,SalesData[[#This Row],[Contracts Signed]]/SalesData[[#This Row],[Contracts Offered]])</f>
        <v>0.26271186440677968</v>
      </c>
      <c r="AG3201" s="5">
        <f>IF(SalesData[[#This Row],[Customers Visited]]=0,0,SalesData[[#This Row],[Test Drives]]/SalesData[[#This Row],[Customers Visited]])</f>
        <v>0.43341404358353514</v>
      </c>
      <c r="AH3201" s="5">
        <f>IF(SalesData[[#This Row],[Customers Visited]]=0,0,SalesData[[#This Row],[Contracts Signed]]/SalesData[[#This Row],[Customers Visited]])</f>
        <v>7.5060532687651338E-2</v>
      </c>
      <c r="AI3201" s="6">
        <f>IF(SalesData[[#This Row],[Contracts Signed]]=0,0,SalesData[[#This Row],[Profit(€)]]/SalesData[[#This Row],[Contracts Signed]])</f>
        <v>2559</v>
      </c>
      <c r="AJ3201" s="5" t="str">
        <f>TRIM(CLEAN(SalesData[[#This Row],[Retailer]]))</f>
        <v>Autohaus Berlin</v>
      </c>
    </row>
    <row r="3202" spans="1:36" ht="14.25" hidden="1" x14ac:dyDescent="0.2">
      <c r="A3202" t="s">
        <v>4371</v>
      </c>
      <c r="B3202" s="1">
        <v>46078</v>
      </c>
      <c r="C3202" t="s">
        <v>53</v>
      </c>
      <c r="D3202" t="s">
        <v>82</v>
      </c>
      <c r="E3202" t="s">
        <v>26</v>
      </c>
      <c r="F3202" t="s">
        <v>74</v>
      </c>
      <c r="G3202" t="s">
        <v>75</v>
      </c>
      <c r="H3202" t="s">
        <v>76</v>
      </c>
      <c r="I3202" t="s">
        <v>104</v>
      </c>
      <c r="J3202" t="s">
        <v>105</v>
      </c>
      <c r="K3202" t="s">
        <v>91</v>
      </c>
      <c r="L3202" t="s">
        <v>33</v>
      </c>
      <c r="M3202" t="s">
        <v>34</v>
      </c>
      <c r="N3202" t="s">
        <v>48</v>
      </c>
      <c r="O3202" t="s">
        <v>70</v>
      </c>
      <c r="P3202" t="s">
        <v>58</v>
      </c>
      <c r="Q3202" t="s">
        <v>118</v>
      </c>
      <c r="R3202">
        <v>448</v>
      </c>
      <c r="S3202">
        <v>194</v>
      </c>
      <c r="T3202">
        <v>125</v>
      </c>
      <c r="U3202">
        <v>35</v>
      </c>
      <c r="V3202" t="s">
        <v>2909</v>
      </c>
      <c r="W3202">
        <v>31559</v>
      </c>
      <c r="X3202" t="s">
        <v>565</v>
      </c>
      <c r="Y3202">
        <v>27838</v>
      </c>
      <c r="Z3202">
        <v>1104565</v>
      </c>
      <c r="AA3202">
        <v>130235</v>
      </c>
      <c r="AB3202" t="str">
        <f>(VLOOKUP(SalesData[[#This Row],[Month Number]],Reference!C$5:E$16,2,FALSE))</f>
        <v>Feb</v>
      </c>
      <c r="AC3202">
        <f>MONTH(SalesData[[#This Row],[Date]])</f>
        <v>2</v>
      </c>
      <c r="AD3202">
        <f>Reference!F$4</f>
        <v>2026</v>
      </c>
      <c r="AE3202" t="str">
        <f>IF(OR(SalesData[[#This Row],[Day]]="Saturday",SalesData[[#This Row],[Day]]="Sunday"),"Weekend","Weekday")</f>
        <v>Weekday</v>
      </c>
      <c r="AF3202" s="5">
        <f>IF(SalesData[[#This Row],[Contracts Offered]]=0,0,SalesData[[#This Row],[Contracts Signed]]/SalesData[[#This Row],[Contracts Offered]])</f>
        <v>0.28000000000000003</v>
      </c>
      <c r="AG3202" s="5">
        <f>IF(SalesData[[#This Row],[Customers Visited]]=0,0,SalesData[[#This Row],[Test Drives]]/SalesData[[#This Row],[Customers Visited]])</f>
        <v>0.4330357142857143</v>
      </c>
      <c r="AH3202" s="5">
        <f>IF(SalesData[[#This Row],[Customers Visited]]=0,0,SalesData[[#This Row],[Contracts Signed]]/SalesData[[#This Row],[Customers Visited]])</f>
        <v>7.8125E-2</v>
      </c>
      <c r="AI3202" s="6">
        <f>IF(SalesData[[#This Row],[Contracts Signed]]=0,0,SalesData[[#This Row],[Profit(€)]]/SalesData[[#This Row],[Contracts Signed]])</f>
        <v>3721</v>
      </c>
      <c r="AJ3202" s="5" t="str">
        <f>TRIM(CLEAN(SalesData[[#This Row],[Retailer]]))</f>
        <v>Stuttgart Auto Center</v>
      </c>
    </row>
    <row r="3203" spans="1:36" ht="14.25" hidden="1" x14ac:dyDescent="0.2">
      <c r="A3203" t="s">
        <v>4372</v>
      </c>
      <c r="B3203" s="1">
        <v>46059</v>
      </c>
      <c r="C3203" t="s">
        <v>24</v>
      </c>
      <c r="D3203" t="s">
        <v>54</v>
      </c>
      <c r="E3203" t="s">
        <v>26</v>
      </c>
      <c r="F3203" t="s">
        <v>114</v>
      </c>
      <c r="G3203" t="s">
        <v>115</v>
      </c>
      <c r="H3203" t="s">
        <v>115</v>
      </c>
      <c r="I3203" t="s">
        <v>104</v>
      </c>
      <c r="J3203" t="s">
        <v>7031</v>
      </c>
      <c r="K3203" t="s">
        <v>32</v>
      </c>
      <c r="L3203" t="s">
        <v>46</v>
      </c>
      <c r="M3203" t="s">
        <v>34</v>
      </c>
      <c r="N3203" t="s">
        <v>69</v>
      </c>
      <c r="O3203" t="s">
        <v>70</v>
      </c>
      <c r="P3203" t="s">
        <v>71</v>
      </c>
      <c r="Q3203" t="s">
        <v>79</v>
      </c>
      <c r="R3203">
        <v>399</v>
      </c>
      <c r="S3203">
        <v>167</v>
      </c>
      <c r="T3203">
        <v>100</v>
      </c>
      <c r="U3203">
        <v>32</v>
      </c>
      <c r="V3203" t="s">
        <v>7488</v>
      </c>
      <c r="W3203">
        <v>33248</v>
      </c>
      <c r="X3203" t="s">
        <v>2242</v>
      </c>
      <c r="Y3203">
        <v>28709</v>
      </c>
      <c r="Z3203">
        <v>1063936</v>
      </c>
      <c r="AA3203">
        <v>145248</v>
      </c>
      <c r="AB3203" t="str">
        <f>(VLOOKUP(SalesData[[#This Row],[Month Number]],Reference!C$5:E$16,2,FALSE))</f>
        <v>Feb</v>
      </c>
      <c r="AC3203">
        <f>MONTH(SalesData[[#This Row],[Date]])</f>
        <v>2</v>
      </c>
      <c r="AD3203">
        <f>Reference!F$4</f>
        <v>2026</v>
      </c>
      <c r="AE3203" t="str">
        <f>IF(OR(SalesData[[#This Row],[Day]]="Saturday",SalesData[[#This Row],[Day]]="Sunday"),"Weekend","Weekday")</f>
        <v>Weekday</v>
      </c>
      <c r="AF3203" s="5">
        <f>IF(SalesData[[#This Row],[Contracts Offered]]=0,0,SalesData[[#This Row],[Contracts Signed]]/SalesData[[#This Row],[Contracts Offered]])</f>
        <v>0.32</v>
      </c>
      <c r="AG3203" s="5">
        <f>IF(SalesData[[#This Row],[Customers Visited]]=0,0,SalesData[[#This Row],[Test Drives]]/SalesData[[#This Row],[Customers Visited]])</f>
        <v>0.41854636591478694</v>
      </c>
      <c r="AH3203" s="5">
        <f>IF(SalesData[[#This Row],[Customers Visited]]=0,0,SalesData[[#This Row],[Contracts Signed]]/SalesData[[#This Row],[Customers Visited]])</f>
        <v>8.0200501253132828E-2</v>
      </c>
      <c r="AI3203" s="6">
        <f>IF(SalesData[[#This Row],[Contracts Signed]]=0,0,SalesData[[#This Row],[Profit(€)]]/SalesData[[#This Row],[Contracts Signed]])</f>
        <v>4539</v>
      </c>
      <c r="AJ3203" s="5" t="str">
        <f>TRIM(CLEAN(SalesData[[#This Row],[Retailer]]))</f>
        <v>Elbe Drive</v>
      </c>
    </row>
    <row r="3204" spans="1:36" ht="14.25" hidden="1" x14ac:dyDescent="0.2">
      <c r="A3204" t="s">
        <v>4373</v>
      </c>
      <c r="B3204" s="1">
        <v>46064</v>
      </c>
      <c r="C3204" t="s">
        <v>121</v>
      </c>
      <c r="D3204" t="s">
        <v>82</v>
      </c>
      <c r="E3204" t="s">
        <v>26</v>
      </c>
      <c r="F3204" t="s">
        <v>101</v>
      </c>
      <c r="G3204" t="s">
        <v>102</v>
      </c>
      <c r="H3204" t="s">
        <v>103</v>
      </c>
      <c r="I3204" t="s">
        <v>64</v>
      </c>
      <c r="J3204" t="s">
        <v>157</v>
      </c>
      <c r="K3204" t="s">
        <v>66</v>
      </c>
      <c r="L3204" t="s">
        <v>33</v>
      </c>
      <c r="M3204" t="s">
        <v>34</v>
      </c>
      <c r="N3204" t="s">
        <v>69</v>
      </c>
      <c r="O3204" t="s">
        <v>70</v>
      </c>
      <c r="P3204" t="s">
        <v>71</v>
      </c>
      <c r="Q3204" t="s">
        <v>158</v>
      </c>
      <c r="R3204">
        <v>192</v>
      </c>
      <c r="S3204">
        <v>99</v>
      </c>
      <c r="T3204">
        <v>66</v>
      </c>
      <c r="U3204">
        <v>26</v>
      </c>
      <c r="V3204" t="s">
        <v>6450</v>
      </c>
      <c r="W3204">
        <v>59589</v>
      </c>
      <c r="X3204" t="s">
        <v>7216</v>
      </c>
      <c r="Y3204">
        <v>45455</v>
      </c>
      <c r="Z3204">
        <v>1549314</v>
      </c>
      <c r="AA3204">
        <v>367484</v>
      </c>
      <c r="AB3204" t="str">
        <f>(VLOOKUP(SalesData[[#This Row],[Month Number]],Reference!C$5:E$16,2,FALSE))</f>
        <v>Feb</v>
      </c>
      <c r="AC3204">
        <f>MONTH(SalesData[[#This Row],[Date]])</f>
        <v>2</v>
      </c>
      <c r="AD3204">
        <f>Reference!F$4</f>
        <v>2026</v>
      </c>
      <c r="AE3204" t="str">
        <f>IF(OR(SalesData[[#This Row],[Day]]="Saturday",SalesData[[#This Row],[Day]]="Sunday"),"Weekend","Weekday")</f>
        <v>Weekday</v>
      </c>
      <c r="AF3204" s="5">
        <f>IF(SalesData[[#This Row],[Contracts Offered]]=0,0,SalesData[[#This Row],[Contracts Signed]]/SalesData[[#This Row],[Contracts Offered]])</f>
        <v>0.39393939393939392</v>
      </c>
      <c r="AG3204" s="5">
        <f>IF(SalesData[[#This Row],[Customers Visited]]=0,0,SalesData[[#This Row],[Test Drives]]/SalesData[[#This Row],[Customers Visited]])</f>
        <v>0.515625</v>
      </c>
      <c r="AH3204" s="5">
        <f>IF(SalesData[[#This Row],[Customers Visited]]=0,0,SalesData[[#This Row],[Contracts Signed]]/SalesData[[#This Row],[Customers Visited]])</f>
        <v>0.13541666666666666</v>
      </c>
      <c r="AI3204" s="6">
        <f>IF(SalesData[[#This Row],[Contracts Signed]]=0,0,SalesData[[#This Row],[Profit(€)]]/SalesData[[#This Row],[Contracts Signed]])</f>
        <v>14134</v>
      </c>
      <c r="AJ3204" s="5" t="str">
        <f>TRIM(CLEAN(SalesData[[#This Row],[Retailer]]))</f>
        <v>Ruhr Auto Plaza</v>
      </c>
    </row>
    <row r="3205" spans="1:36" ht="14.25" x14ac:dyDescent="0.2">
      <c r="A3205" t="s">
        <v>4374</v>
      </c>
      <c r="B3205" s="1">
        <v>46072</v>
      </c>
      <c r="C3205" t="s">
        <v>62</v>
      </c>
      <c r="D3205" t="s">
        <v>100</v>
      </c>
      <c r="E3205" t="s">
        <v>26</v>
      </c>
      <c r="F3205" t="s">
        <v>83</v>
      </c>
      <c r="G3205" t="s">
        <v>84</v>
      </c>
      <c r="H3205" t="s">
        <v>85</v>
      </c>
      <c r="I3205" t="s">
        <v>30</v>
      </c>
      <c r="J3205" t="s">
        <v>7075</v>
      </c>
      <c r="K3205" t="s">
        <v>32</v>
      </c>
      <c r="L3205" t="s">
        <v>33</v>
      </c>
      <c r="M3205" t="s">
        <v>68</v>
      </c>
      <c r="N3205" t="s">
        <v>69</v>
      </c>
      <c r="O3205" t="s">
        <v>36</v>
      </c>
      <c r="P3205" t="s">
        <v>49</v>
      </c>
      <c r="Q3205" t="s">
        <v>347</v>
      </c>
      <c r="R3205">
        <v>177</v>
      </c>
      <c r="S3205">
        <v>93</v>
      </c>
      <c r="T3205">
        <v>68</v>
      </c>
      <c r="U3205">
        <v>24</v>
      </c>
      <c r="V3205" t="s">
        <v>6546</v>
      </c>
      <c r="W3205">
        <v>54406</v>
      </c>
      <c r="X3205" t="s">
        <v>7208</v>
      </c>
      <c r="Y3205">
        <v>41181</v>
      </c>
      <c r="Z3205">
        <v>1305744</v>
      </c>
      <c r="AA3205">
        <v>317400</v>
      </c>
      <c r="AB3205" t="str">
        <f>(VLOOKUP(SalesData[[#This Row],[Month Number]],Reference!C$5:E$16,2,FALSE))</f>
        <v>Feb</v>
      </c>
      <c r="AC3205">
        <f>MONTH(SalesData[[#This Row],[Date]])</f>
        <v>2</v>
      </c>
      <c r="AD3205">
        <f>Reference!F$4</f>
        <v>2026</v>
      </c>
      <c r="AE3205" t="str">
        <f>IF(OR(SalesData[[#This Row],[Day]]="Saturday",SalesData[[#This Row],[Day]]="Sunday"),"Weekend","Weekday")</f>
        <v>Weekday</v>
      </c>
      <c r="AF3205" s="5">
        <f>IF(SalesData[[#This Row],[Contracts Offered]]=0,0,SalesData[[#This Row],[Contracts Signed]]/SalesData[[#This Row],[Contracts Offered]])</f>
        <v>0.35294117647058826</v>
      </c>
      <c r="AG3205" s="5">
        <f>IF(SalesData[[#This Row],[Customers Visited]]=0,0,SalesData[[#This Row],[Test Drives]]/SalesData[[#This Row],[Customers Visited]])</f>
        <v>0.52542372881355937</v>
      </c>
      <c r="AH3205" s="5">
        <f>IF(SalesData[[#This Row],[Customers Visited]]=0,0,SalesData[[#This Row],[Contracts Signed]]/SalesData[[#This Row],[Customers Visited]])</f>
        <v>0.13559322033898305</v>
      </c>
      <c r="AI3205" s="6">
        <f>IF(SalesData[[#This Row],[Contracts Signed]]=0,0,SalesData[[#This Row],[Profit(€)]]/SalesData[[#This Row],[Contracts Signed]])</f>
        <v>13225</v>
      </c>
      <c r="AJ3205" s="5" t="str">
        <f>TRIM(CLEAN(SalesData[[#This Row],[Retailer]]))</f>
        <v>Hannover Cars</v>
      </c>
    </row>
    <row r="3206" spans="1:36" ht="14.25" hidden="1" x14ac:dyDescent="0.2">
      <c r="A3206" t="s">
        <v>4375</v>
      </c>
      <c r="B3206" s="1">
        <v>46081</v>
      </c>
      <c r="C3206" t="s">
        <v>53</v>
      </c>
      <c r="D3206" t="s">
        <v>151</v>
      </c>
      <c r="E3206" t="s">
        <v>42</v>
      </c>
      <c r="F3206" t="s">
        <v>7649</v>
      </c>
      <c r="G3206" t="s">
        <v>55</v>
      </c>
      <c r="H3206" t="s">
        <v>55</v>
      </c>
      <c r="I3206" t="s">
        <v>104</v>
      </c>
      <c r="J3206" t="s">
        <v>7031</v>
      </c>
      <c r="K3206" t="s">
        <v>91</v>
      </c>
      <c r="L3206" t="s">
        <v>46</v>
      </c>
      <c r="M3206" t="s">
        <v>47</v>
      </c>
      <c r="N3206" t="s">
        <v>69</v>
      </c>
      <c r="O3206" t="s">
        <v>70</v>
      </c>
      <c r="P3206" t="s">
        <v>71</v>
      </c>
      <c r="Q3206" t="s">
        <v>240</v>
      </c>
      <c r="R3206">
        <v>310</v>
      </c>
      <c r="S3206">
        <v>178</v>
      </c>
      <c r="T3206">
        <v>109</v>
      </c>
      <c r="U3206">
        <v>30</v>
      </c>
      <c r="V3206" t="s">
        <v>299</v>
      </c>
      <c r="W3206">
        <v>33803</v>
      </c>
      <c r="X3206" t="s">
        <v>1438</v>
      </c>
      <c r="Y3206">
        <v>30498</v>
      </c>
      <c r="Z3206">
        <v>1014090</v>
      </c>
      <c r="AA3206">
        <v>99150</v>
      </c>
      <c r="AB3206" t="str">
        <f>(VLOOKUP(SalesData[[#This Row],[Month Number]],Reference!C$5:E$16,2,FALSE))</f>
        <v>Feb</v>
      </c>
      <c r="AC3206">
        <f>MONTH(SalesData[[#This Row],[Date]])</f>
        <v>2</v>
      </c>
      <c r="AD3206">
        <f>Reference!F$4</f>
        <v>2026</v>
      </c>
      <c r="AE3206" t="str">
        <f>IF(OR(SalesData[[#This Row],[Day]]="Saturday",SalesData[[#This Row],[Day]]="Sunday"),"Weekend","Weekday")</f>
        <v>Weekend</v>
      </c>
      <c r="AF3206" s="5">
        <f>IF(SalesData[[#This Row],[Contracts Offered]]=0,0,SalesData[[#This Row],[Contracts Signed]]/SalesData[[#This Row],[Contracts Offered]])</f>
        <v>0.27522935779816515</v>
      </c>
      <c r="AG3206" s="5">
        <f>IF(SalesData[[#This Row],[Customers Visited]]=0,0,SalesData[[#This Row],[Test Drives]]/SalesData[[#This Row],[Customers Visited]])</f>
        <v>0.5741935483870968</v>
      </c>
      <c r="AH3206" s="5">
        <f>IF(SalesData[[#This Row],[Customers Visited]]=0,0,SalesData[[#This Row],[Contracts Signed]]/SalesData[[#This Row],[Customers Visited]])</f>
        <v>9.6774193548387094E-2</v>
      </c>
      <c r="AI3206" s="6">
        <f>IF(SalesData[[#This Row],[Contracts Signed]]=0,0,SalesData[[#This Row],[Profit(€)]]/SalesData[[#This Row],[Contracts Signed]])</f>
        <v>3305</v>
      </c>
      <c r="AJ3206" s="5" t="str">
        <f>TRIM(CLEAN(SalesData[[#This Row],[Retailer]]))</f>
        <v>Autohaus Berlin</v>
      </c>
    </row>
    <row r="3207" spans="1:36" ht="14.25" hidden="1" x14ac:dyDescent="0.2">
      <c r="A3207" t="s">
        <v>4376</v>
      </c>
      <c r="B3207" s="1">
        <v>46072</v>
      </c>
      <c r="C3207" t="s">
        <v>62</v>
      </c>
      <c r="D3207" t="s">
        <v>100</v>
      </c>
      <c r="E3207" t="s">
        <v>26</v>
      </c>
      <c r="F3207" t="s">
        <v>27</v>
      </c>
      <c r="G3207" t="s">
        <v>28</v>
      </c>
      <c r="H3207" t="s">
        <v>29</v>
      </c>
      <c r="I3207" t="s">
        <v>104</v>
      </c>
      <c r="J3207" t="s">
        <v>7031</v>
      </c>
      <c r="K3207" t="s">
        <v>32</v>
      </c>
      <c r="L3207" t="s">
        <v>46</v>
      </c>
      <c r="M3207" t="s">
        <v>34</v>
      </c>
      <c r="N3207" t="s">
        <v>69</v>
      </c>
      <c r="O3207" t="s">
        <v>36</v>
      </c>
      <c r="P3207" t="s">
        <v>49</v>
      </c>
      <c r="Q3207" t="s">
        <v>135</v>
      </c>
      <c r="R3207">
        <v>296</v>
      </c>
      <c r="S3207">
        <v>169</v>
      </c>
      <c r="T3207">
        <v>111</v>
      </c>
      <c r="U3207">
        <v>22</v>
      </c>
      <c r="V3207" t="s">
        <v>3733</v>
      </c>
      <c r="W3207">
        <v>26497</v>
      </c>
      <c r="X3207" t="s">
        <v>1802</v>
      </c>
      <c r="Y3207">
        <v>24111</v>
      </c>
      <c r="Z3207">
        <v>582934</v>
      </c>
      <c r="AA3207">
        <v>52492</v>
      </c>
      <c r="AB3207" t="str">
        <f>(VLOOKUP(SalesData[[#This Row],[Month Number]],Reference!C$5:E$16,2,FALSE))</f>
        <v>Feb</v>
      </c>
      <c r="AC3207">
        <f>MONTH(SalesData[[#This Row],[Date]])</f>
        <v>2</v>
      </c>
      <c r="AD3207">
        <f>Reference!F$4</f>
        <v>2026</v>
      </c>
      <c r="AE3207" t="str">
        <f>IF(OR(SalesData[[#This Row],[Day]]="Saturday",SalesData[[#This Row],[Day]]="Sunday"),"Weekend","Weekday")</f>
        <v>Weekday</v>
      </c>
      <c r="AF3207" s="5">
        <f>IF(SalesData[[#This Row],[Contracts Offered]]=0,0,SalesData[[#This Row],[Contracts Signed]]/SalesData[[#This Row],[Contracts Offered]])</f>
        <v>0.1981981981981982</v>
      </c>
      <c r="AG3207" s="5">
        <f>IF(SalesData[[#This Row],[Customers Visited]]=0,0,SalesData[[#This Row],[Test Drives]]/SalesData[[#This Row],[Customers Visited]])</f>
        <v>0.57094594594594594</v>
      </c>
      <c r="AH3207" s="5">
        <f>IF(SalesData[[#This Row],[Customers Visited]]=0,0,SalesData[[#This Row],[Contracts Signed]]/SalesData[[#This Row],[Customers Visited]])</f>
        <v>7.4324324324324328E-2</v>
      </c>
      <c r="AI3207" s="6">
        <f>IF(SalesData[[#This Row],[Contracts Signed]]=0,0,SalesData[[#This Row],[Profit(€)]]/SalesData[[#This Row],[Contracts Signed]])</f>
        <v>2386</v>
      </c>
      <c r="AJ3207" s="5" t="str">
        <f>TRIM(CLEAN(SalesData[[#This Row],[Retailer]]))</f>
        <v>Main Auto Hub</v>
      </c>
    </row>
    <row r="3208" spans="1:36" ht="14.25" hidden="1" x14ac:dyDescent="0.2">
      <c r="A3208" t="s">
        <v>4377</v>
      </c>
      <c r="B3208" s="1">
        <v>46063</v>
      </c>
      <c r="C3208" t="s">
        <v>121</v>
      </c>
      <c r="D3208" t="s">
        <v>63</v>
      </c>
      <c r="E3208" t="s">
        <v>26</v>
      </c>
      <c r="F3208" t="s">
        <v>101</v>
      </c>
      <c r="G3208" t="s">
        <v>102</v>
      </c>
      <c r="H3208" t="s">
        <v>103</v>
      </c>
      <c r="I3208" t="s">
        <v>116</v>
      </c>
      <c r="J3208" t="s">
        <v>203</v>
      </c>
      <c r="K3208" t="s">
        <v>66</v>
      </c>
      <c r="L3208" t="s">
        <v>67</v>
      </c>
      <c r="M3208" t="s">
        <v>87</v>
      </c>
      <c r="N3208" t="s">
        <v>35</v>
      </c>
      <c r="O3208" t="s">
        <v>70</v>
      </c>
      <c r="P3208" t="s">
        <v>49</v>
      </c>
      <c r="Q3208" t="s">
        <v>240</v>
      </c>
      <c r="R3208">
        <v>278</v>
      </c>
      <c r="S3208">
        <v>114</v>
      </c>
      <c r="T3208">
        <v>64</v>
      </c>
      <c r="U3208">
        <v>16</v>
      </c>
      <c r="V3208" t="s">
        <v>687</v>
      </c>
      <c r="W3208">
        <v>23937</v>
      </c>
      <c r="X3208" t="s">
        <v>7125</v>
      </c>
      <c r="Y3208">
        <v>21383</v>
      </c>
      <c r="Z3208">
        <v>382992</v>
      </c>
      <c r="AA3208">
        <v>40864</v>
      </c>
      <c r="AB3208" t="str">
        <f>(VLOOKUP(SalesData[[#This Row],[Month Number]],Reference!C$5:E$16,2,FALSE))</f>
        <v>Feb</v>
      </c>
      <c r="AC3208">
        <f>MONTH(SalesData[[#This Row],[Date]])</f>
        <v>2</v>
      </c>
      <c r="AD3208">
        <f>Reference!F$4</f>
        <v>2026</v>
      </c>
      <c r="AE3208" t="str">
        <f>IF(OR(SalesData[[#This Row],[Day]]="Saturday",SalesData[[#This Row],[Day]]="Sunday"),"Weekend","Weekday")</f>
        <v>Weekday</v>
      </c>
      <c r="AF3208" s="5">
        <f>IF(SalesData[[#This Row],[Contracts Offered]]=0,0,SalesData[[#This Row],[Contracts Signed]]/SalesData[[#This Row],[Contracts Offered]])</f>
        <v>0.25</v>
      </c>
      <c r="AG3208" s="5">
        <f>IF(SalesData[[#This Row],[Customers Visited]]=0,0,SalesData[[#This Row],[Test Drives]]/SalesData[[#This Row],[Customers Visited]])</f>
        <v>0.41007194244604317</v>
      </c>
      <c r="AH3208" s="5">
        <f>IF(SalesData[[#This Row],[Customers Visited]]=0,0,SalesData[[#This Row],[Contracts Signed]]/SalesData[[#This Row],[Customers Visited]])</f>
        <v>5.7553956834532377E-2</v>
      </c>
      <c r="AI3208" s="6">
        <f>IF(SalesData[[#This Row],[Contracts Signed]]=0,0,SalesData[[#This Row],[Profit(€)]]/SalesData[[#This Row],[Contracts Signed]])</f>
        <v>2554</v>
      </c>
      <c r="AJ3208" s="5" t="str">
        <f>TRIM(CLEAN(SalesData[[#This Row],[Retailer]]))</f>
        <v>Ruhr Auto Plaza</v>
      </c>
    </row>
    <row r="3209" spans="1:36" ht="14.25" hidden="1" x14ac:dyDescent="0.2">
      <c r="A3209" t="s">
        <v>4378</v>
      </c>
      <c r="B3209" s="1">
        <v>46057</v>
      </c>
      <c r="C3209" t="s">
        <v>24</v>
      </c>
      <c r="D3209" t="s">
        <v>82</v>
      </c>
      <c r="E3209" t="s">
        <v>26</v>
      </c>
      <c r="F3209" t="s">
        <v>7649</v>
      </c>
      <c r="G3209" t="s">
        <v>55</v>
      </c>
      <c r="H3209" t="s">
        <v>55</v>
      </c>
      <c r="I3209" t="s">
        <v>56</v>
      </c>
      <c r="J3209" t="s">
        <v>137</v>
      </c>
      <c r="K3209" t="s">
        <v>66</v>
      </c>
      <c r="L3209" t="s">
        <v>46</v>
      </c>
      <c r="M3209" t="s">
        <v>34</v>
      </c>
      <c r="N3209" t="s">
        <v>35</v>
      </c>
      <c r="O3209" t="s">
        <v>70</v>
      </c>
      <c r="P3209" t="s">
        <v>49</v>
      </c>
      <c r="Q3209" t="s">
        <v>347</v>
      </c>
      <c r="R3209">
        <v>304</v>
      </c>
      <c r="S3209">
        <v>162</v>
      </c>
      <c r="T3209">
        <v>124</v>
      </c>
      <c r="U3209">
        <v>33</v>
      </c>
      <c r="V3209" t="s">
        <v>6904</v>
      </c>
      <c r="W3209">
        <v>40208</v>
      </c>
      <c r="X3209" t="s">
        <v>1590</v>
      </c>
      <c r="Y3209">
        <v>31227</v>
      </c>
      <c r="Z3209">
        <v>1326864</v>
      </c>
      <c r="AA3209">
        <v>296373</v>
      </c>
      <c r="AB3209" t="str">
        <f>(VLOOKUP(SalesData[[#This Row],[Month Number]],Reference!C$5:E$16,2,FALSE))</f>
        <v>Feb</v>
      </c>
      <c r="AC3209">
        <f>MONTH(SalesData[[#This Row],[Date]])</f>
        <v>2</v>
      </c>
      <c r="AD3209">
        <f>Reference!F$4</f>
        <v>2026</v>
      </c>
      <c r="AE3209" t="str">
        <f>IF(OR(SalesData[[#This Row],[Day]]="Saturday",SalesData[[#This Row],[Day]]="Sunday"),"Weekend","Weekday")</f>
        <v>Weekday</v>
      </c>
      <c r="AF3209" s="5">
        <f>IF(SalesData[[#This Row],[Contracts Offered]]=0,0,SalesData[[#This Row],[Contracts Signed]]/SalesData[[#This Row],[Contracts Offered]])</f>
        <v>0.2661290322580645</v>
      </c>
      <c r="AG3209" s="5">
        <f>IF(SalesData[[#This Row],[Customers Visited]]=0,0,SalesData[[#This Row],[Test Drives]]/SalesData[[#This Row],[Customers Visited]])</f>
        <v>0.53289473684210531</v>
      </c>
      <c r="AH3209" s="5">
        <f>IF(SalesData[[#This Row],[Customers Visited]]=0,0,SalesData[[#This Row],[Contracts Signed]]/SalesData[[#This Row],[Customers Visited]])</f>
        <v>0.10855263157894737</v>
      </c>
      <c r="AI3209" s="6">
        <f>IF(SalesData[[#This Row],[Contracts Signed]]=0,0,SalesData[[#This Row],[Profit(€)]]/SalesData[[#This Row],[Contracts Signed]])</f>
        <v>8981</v>
      </c>
      <c r="AJ3209" s="5" t="str">
        <f>TRIM(CLEAN(SalesData[[#This Row],[Retailer]]))</f>
        <v>Autohaus Berlin</v>
      </c>
    </row>
    <row r="3210" spans="1:36" ht="14.25" x14ac:dyDescent="0.2">
      <c r="A3210" t="s">
        <v>4379</v>
      </c>
      <c r="B3210" s="1">
        <v>46081</v>
      </c>
      <c r="C3210" t="s">
        <v>53</v>
      </c>
      <c r="D3210" t="s">
        <v>151</v>
      </c>
      <c r="E3210" t="s">
        <v>42</v>
      </c>
      <c r="F3210" t="s">
        <v>94</v>
      </c>
      <c r="G3210" t="s">
        <v>95</v>
      </c>
      <c r="H3210" t="s">
        <v>96</v>
      </c>
      <c r="I3210" t="s">
        <v>30</v>
      </c>
      <c r="J3210" t="s">
        <v>7075</v>
      </c>
      <c r="K3210" t="s">
        <v>32</v>
      </c>
      <c r="L3210" t="s">
        <v>33</v>
      </c>
      <c r="M3210" t="s">
        <v>47</v>
      </c>
      <c r="N3210" t="s">
        <v>69</v>
      </c>
      <c r="O3210" t="s">
        <v>70</v>
      </c>
      <c r="P3210" t="s">
        <v>49</v>
      </c>
      <c r="Q3210" t="s">
        <v>79</v>
      </c>
      <c r="R3210">
        <v>153</v>
      </c>
      <c r="S3210">
        <v>73</v>
      </c>
      <c r="T3210">
        <v>53</v>
      </c>
      <c r="U3210">
        <v>19</v>
      </c>
      <c r="V3210" t="s">
        <v>6411</v>
      </c>
      <c r="W3210">
        <v>62590</v>
      </c>
      <c r="X3210" t="s">
        <v>7199</v>
      </c>
      <c r="Y3210">
        <v>47777</v>
      </c>
      <c r="Z3210">
        <v>1189210</v>
      </c>
      <c r="AA3210">
        <v>281447</v>
      </c>
      <c r="AB3210" t="str">
        <f>(VLOOKUP(SalesData[[#This Row],[Month Number]],Reference!C$5:E$16,2,FALSE))</f>
        <v>Feb</v>
      </c>
      <c r="AC3210">
        <f>MONTH(SalesData[[#This Row],[Date]])</f>
        <v>2</v>
      </c>
      <c r="AD3210">
        <f>Reference!F$4</f>
        <v>2026</v>
      </c>
      <c r="AE3210" t="str">
        <f>IF(OR(SalesData[[#This Row],[Day]]="Saturday",SalesData[[#This Row],[Day]]="Sunday"),"Weekend","Weekday")</f>
        <v>Weekend</v>
      </c>
      <c r="AF3210" s="5">
        <f>IF(SalesData[[#This Row],[Contracts Offered]]=0,0,SalesData[[#This Row],[Contracts Signed]]/SalesData[[#This Row],[Contracts Offered]])</f>
        <v>0.35849056603773582</v>
      </c>
      <c r="AG3210" s="5">
        <f>IF(SalesData[[#This Row],[Customers Visited]]=0,0,SalesData[[#This Row],[Test Drives]]/SalesData[[#This Row],[Customers Visited]])</f>
        <v>0.47712418300653597</v>
      </c>
      <c r="AH3210" s="5">
        <f>IF(SalesData[[#This Row],[Customers Visited]]=0,0,SalesData[[#This Row],[Contracts Signed]]/SalesData[[#This Row],[Customers Visited]])</f>
        <v>0.12418300653594772</v>
      </c>
      <c r="AI3210" s="6">
        <f>IF(SalesData[[#This Row],[Contracts Signed]]=0,0,SalesData[[#This Row],[Profit(€)]]/SalesData[[#This Row],[Contracts Signed]])</f>
        <v>14813</v>
      </c>
      <c r="AJ3210" s="5" t="str">
        <f>TRIM(CLEAN(SalesData[[#This Row],[Retailer]]))</f>
        <v>Bavaria Motors</v>
      </c>
    </row>
    <row r="3211" spans="1:36" ht="14.25" hidden="1" x14ac:dyDescent="0.2">
      <c r="A3211" t="s">
        <v>4380</v>
      </c>
      <c r="B3211" s="1">
        <v>46062</v>
      </c>
      <c r="C3211" t="s">
        <v>121</v>
      </c>
      <c r="D3211" t="s">
        <v>25</v>
      </c>
      <c r="E3211" t="s">
        <v>26</v>
      </c>
      <c r="F3211" t="s">
        <v>127</v>
      </c>
      <c r="G3211" t="s">
        <v>128</v>
      </c>
      <c r="H3211" t="s">
        <v>103</v>
      </c>
      <c r="I3211" t="s">
        <v>116</v>
      </c>
      <c r="J3211" t="s">
        <v>7090</v>
      </c>
      <c r="K3211" t="s">
        <v>78</v>
      </c>
      <c r="L3211" t="s">
        <v>46</v>
      </c>
      <c r="M3211" t="s">
        <v>47</v>
      </c>
      <c r="N3211" t="s">
        <v>48</v>
      </c>
      <c r="O3211" t="s">
        <v>70</v>
      </c>
      <c r="P3211" t="s">
        <v>58</v>
      </c>
      <c r="Q3211" t="s">
        <v>152</v>
      </c>
      <c r="R3211">
        <v>428</v>
      </c>
      <c r="S3211">
        <v>231</v>
      </c>
      <c r="T3211">
        <v>155</v>
      </c>
      <c r="U3211">
        <v>38</v>
      </c>
      <c r="V3211" t="s">
        <v>1334</v>
      </c>
      <c r="W3211">
        <v>20855</v>
      </c>
      <c r="X3211" t="s">
        <v>4114</v>
      </c>
      <c r="Y3211">
        <v>18757</v>
      </c>
      <c r="Z3211">
        <v>792490</v>
      </c>
      <c r="AA3211">
        <v>79724</v>
      </c>
      <c r="AB3211" t="str">
        <f>(VLOOKUP(SalesData[[#This Row],[Month Number]],Reference!C$5:E$16,2,FALSE))</f>
        <v>Feb</v>
      </c>
      <c r="AC3211">
        <f>MONTH(SalesData[[#This Row],[Date]])</f>
        <v>2</v>
      </c>
      <c r="AD3211">
        <f>Reference!F$4</f>
        <v>2026</v>
      </c>
      <c r="AE3211" t="str">
        <f>IF(OR(SalesData[[#This Row],[Day]]="Saturday",SalesData[[#This Row],[Day]]="Sunday"),"Weekend","Weekday")</f>
        <v>Weekday</v>
      </c>
      <c r="AF3211" s="5">
        <f>IF(SalesData[[#This Row],[Contracts Offered]]=0,0,SalesData[[#This Row],[Contracts Signed]]/SalesData[[#This Row],[Contracts Offered]])</f>
        <v>0.24516129032258063</v>
      </c>
      <c r="AG3211" s="5">
        <f>IF(SalesData[[#This Row],[Customers Visited]]=0,0,SalesData[[#This Row],[Test Drives]]/SalesData[[#This Row],[Customers Visited]])</f>
        <v>0.53971962616822433</v>
      </c>
      <c r="AH3211" s="5">
        <f>IF(SalesData[[#This Row],[Customers Visited]]=0,0,SalesData[[#This Row],[Contracts Signed]]/SalesData[[#This Row],[Customers Visited]])</f>
        <v>8.8785046728971959E-2</v>
      </c>
      <c r="AI3211" s="6">
        <f>IF(SalesData[[#This Row],[Contracts Signed]]=0,0,SalesData[[#This Row],[Profit(€)]]/SalesData[[#This Row],[Contracts Signed]])</f>
        <v>2098</v>
      </c>
      <c r="AJ3211" s="5" t="str">
        <f>TRIM(CLEAN(SalesData[[#This Row],[Retailer]]))</f>
        <v>Rhein Auto Group</v>
      </c>
    </row>
    <row r="3212" spans="1:36" ht="14.25" x14ac:dyDescent="0.2">
      <c r="A3212" t="s">
        <v>4381</v>
      </c>
      <c r="B3212" s="1">
        <v>46075</v>
      </c>
      <c r="C3212" t="s">
        <v>53</v>
      </c>
      <c r="D3212" t="s">
        <v>41</v>
      </c>
      <c r="E3212" t="s">
        <v>42</v>
      </c>
      <c r="F3212" t="s">
        <v>109</v>
      </c>
      <c r="G3212" t="s">
        <v>110</v>
      </c>
      <c r="H3212" t="s">
        <v>45</v>
      </c>
      <c r="I3212" t="s">
        <v>30</v>
      </c>
      <c r="J3212" t="s">
        <v>188</v>
      </c>
      <c r="K3212" t="s">
        <v>91</v>
      </c>
      <c r="L3212" t="s">
        <v>33</v>
      </c>
      <c r="M3212" t="s">
        <v>87</v>
      </c>
      <c r="N3212" t="s">
        <v>35</v>
      </c>
      <c r="O3212" t="s">
        <v>36</v>
      </c>
      <c r="P3212" t="s">
        <v>49</v>
      </c>
      <c r="Q3212" t="s">
        <v>240</v>
      </c>
      <c r="R3212">
        <v>154</v>
      </c>
      <c r="S3212">
        <v>91</v>
      </c>
      <c r="T3212">
        <v>63</v>
      </c>
      <c r="U3212">
        <v>22</v>
      </c>
      <c r="V3212" t="s">
        <v>6510</v>
      </c>
      <c r="W3212">
        <v>50525</v>
      </c>
      <c r="X3212" t="s">
        <v>184</v>
      </c>
      <c r="Y3212">
        <v>37916</v>
      </c>
      <c r="Z3212">
        <v>1111550</v>
      </c>
      <c r="AA3212">
        <v>277398</v>
      </c>
      <c r="AB3212" t="str">
        <f>(VLOOKUP(SalesData[[#This Row],[Month Number]],Reference!C$5:E$16,2,FALSE))</f>
        <v>Feb</v>
      </c>
      <c r="AC3212">
        <f>MONTH(SalesData[[#This Row],[Date]])</f>
        <v>2</v>
      </c>
      <c r="AD3212">
        <f>Reference!F$4</f>
        <v>2026</v>
      </c>
      <c r="AE3212" t="str">
        <f>IF(OR(SalesData[[#This Row],[Day]]="Saturday",SalesData[[#This Row],[Day]]="Sunday"),"Weekend","Weekday")</f>
        <v>Weekend</v>
      </c>
      <c r="AF3212" s="5">
        <f>IF(SalesData[[#This Row],[Contracts Offered]]=0,0,SalesData[[#This Row],[Contracts Signed]]/SalesData[[#This Row],[Contracts Offered]])</f>
        <v>0.34920634920634919</v>
      </c>
      <c r="AG3212" s="5">
        <f>IF(SalesData[[#This Row],[Customers Visited]]=0,0,SalesData[[#This Row],[Test Drives]]/SalesData[[#This Row],[Customers Visited]])</f>
        <v>0.59090909090909094</v>
      </c>
      <c r="AH3212" s="5">
        <f>IF(SalesData[[#This Row],[Customers Visited]]=0,0,SalesData[[#This Row],[Contracts Signed]]/SalesData[[#This Row],[Customers Visited]])</f>
        <v>0.14285714285714285</v>
      </c>
      <c r="AI3212" s="6">
        <f>IF(SalesData[[#This Row],[Contracts Signed]]=0,0,SalesData[[#This Row],[Profit(€)]]/SalesData[[#This Row],[Contracts Signed]])</f>
        <v>12609</v>
      </c>
      <c r="AJ3212" s="5" t="str">
        <f>TRIM(CLEAN(SalesData[[#This Row],[Retailer]]))</f>
        <v>Leipzig Mobility</v>
      </c>
    </row>
    <row r="3213" spans="1:36" ht="14.25" x14ac:dyDescent="0.2">
      <c r="A3213" t="s">
        <v>4382</v>
      </c>
      <c r="B3213" s="1">
        <v>46063</v>
      </c>
      <c r="C3213" t="s">
        <v>121</v>
      </c>
      <c r="D3213" t="s">
        <v>63</v>
      </c>
      <c r="E3213" t="s">
        <v>26</v>
      </c>
      <c r="F3213" t="s">
        <v>43</v>
      </c>
      <c r="G3213" t="s">
        <v>44</v>
      </c>
      <c r="H3213" t="s">
        <v>45</v>
      </c>
      <c r="I3213" t="s">
        <v>30</v>
      </c>
      <c r="J3213" t="s">
        <v>188</v>
      </c>
      <c r="K3213" t="s">
        <v>78</v>
      </c>
      <c r="L3213" t="s">
        <v>33</v>
      </c>
      <c r="M3213" t="s">
        <v>87</v>
      </c>
      <c r="N3213" t="s">
        <v>48</v>
      </c>
      <c r="O3213" t="s">
        <v>70</v>
      </c>
      <c r="P3213" t="s">
        <v>58</v>
      </c>
      <c r="Q3213" t="s">
        <v>106</v>
      </c>
      <c r="R3213">
        <v>246</v>
      </c>
      <c r="S3213">
        <v>115</v>
      </c>
      <c r="T3213">
        <v>83</v>
      </c>
      <c r="U3213">
        <v>36</v>
      </c>
      <c r="V3213" t="s">
        <v>7547</v>
      </c>
      <c r="W3213">
        <v>50833</v>
      </c>
      <c r="X3213" t="s">
        <v>2667</v>
      </c>
      <c r="Y3213">
        <v>37027</v>
      </c>
      <c r="Z3213">
        <v>1829988</v>
      </c>
      <c r="AA3213">
        <v>497016</v>
      </c>
      <c r="AB3213" t="str">
        <f>(VLOOKUP(SalesData[[#This Row],[Month Number]],Reference!C$5:E$16,2,FALSE))</f>
        <v>Feb</v>
      </c>
      <c r="AC3213">
        <f>MONTH(SalesData[[#This Row],[Date]])</f>
        <v>2</v>
      </c>
      <c r="AD3213">
        <f>Reference!F$4</f>
        <v>2026</v>
      </c>
      <c r="AE3213" t="str">
        <f>IF(OR(SalesData[[#This Row],[Day]]="Saturday",SalesData[[#This Row],[Day]]="Sunday"),"Weekend","Weekday")</f>
        <v>Weekday</v>
      </c>
      <c r="AF3213" s="5">
        <f>IF(SalesData[[#This Row],[Contracts Offered]]=0,0,SalesData[[#This Row],[Contracts Signed]]/SalesData[[#This Row],[Contracts Offered]])</f>
        <v>0.43373493975903615</v>
      </c>
      <c r="AG3213" s="5">
        <f>IF(SalesData[[#This Row],[Customers Visited]]=0,0,SalesData[[#This Row],[Test Drives]]/SalesData[[#This Row],[Customers Visited]])</f>
        <v>0.46747967479674796</v>
      </c>
      <c r="AH3213" s="5">
        <f>IF(SalesData[[#This Row],[Customers Visited]]=0,0,SalesData[[#This Row],[Contracts Signed]]/SalesData[[#This Row],[Customers Visited]])</f>
        <v>0.14634146341463414</v>
      </c>
      <c r="AI3213" s="6">
        <f>IF(SalesData[[#This Row],[Contracts Signed]]=0,0,SalesData[[#This Row],[Profit(€)]]/SalesData[[#This Row],[Contracts Signed]])</f>
        <v>13806</v>
      </c>
      <c r="AJ3213" s="5" t="str">
        <f>TRIM(CLEAN(SalesData[[#This Row],[Retailer]]))</f>
        <v>Saxon Wheels</v>
      </c>
    </row>
    <row r="3214" spans="1:36" ht="14.25" hidden="1" x14ac:dyDescent="0.2">
      <c r="A3214" t="s">
        <v>4383</v>
      </c>
      <c r="B3214" s="1">
        <v>46065</v>
      </c>
      <c r="C3214" t="s">
        <v>121</v>
      </c>
      <c r="D3214" t="s">
        <v>100</v>
      </c>
      <c r="E3214" t="s">
        <v>26</v>
      </c>
      <c r="F3214" t="s">
        <v>94</v>
      </c>
      <c r="G3214" t="s">
        <v>95</v>
      </c>
      <c r="H3214" t="s">
        <v>96</v>
      </c>
      <c r="I3214" t="s">
        <v>116</v>
      </c>
      <c r="J3214" t="s">
        <v>7090</v>
      </c>
      <c r="K3214" t="s">
        <v>66</v>
      </c>
      <c r="L3214" t="s">
        <v>46</v>
      </c>
      <c r="M3214" t="s">
        <v>87</v>
      </c>
      <c r="N3214" t="s">
        <v>69</v>
      </c>
      <c r="O3214" t="s">
        <v>36</v>
      </c>
      <c r="P3214" t="s">
        <v>49</v>
      </c>
      <c r="Q3214" t="s">
        <v>122</v>
      </c>
      <c r="R3214">
        <v>296</v>
      </c>
      <c r="S3214">
        <v>159</v>
      </c>
      <c r="T3214">
        <v>90</v>
      </c>
      <c r="U3214">
        <v>23</v>
      </c>
      <c r="V3214" t="s">
        <v>211</v>
      </c>
      <c r="W3214">
        <v>27005</v>
      </c>
      <c r="X3214" t="s">
        <v>7580</v>
      </c>
      <c r="Y3214">
        <v>24244</v>
      </c>
      <c r="Z3214">
        <v>621115</v>
      </c>
      <c r="AA3214">
        <v>63503</v>
      </c>
      <c r="AB3214" t="str">
        <f>(VLOOKUP(SalesData[[#This Row],[Month Number]],Reference!C$5:E$16,2,FALSE))</f>
        <v>Feb</v>
      </c>
      <c r="AC3214">
        <f>MONTH(SalesData[[#This Row],[Date]])</f>
        <v>2</v>
      </c>
      <c r="AD3214">
        <f>Reference!F$4</f>
        <v>2026</v>
      </c>
      <c r="AE3214" t="str">
        <f>IF(OR(SalesData[[#This Row],[Day]]="Saturday",SalesData[[#This Row],[Day]]="Sunday"),"Weekend","Weekday")</f>
        <v>Weekday</v>
      </c>
      <c r="AF3214" s="5">
        <f>IF(SalesData[[#This Row],[Contracts Offered]]=0,0,SalesData[[#This Row],[Contracts Signed]]/SalesData[[#This Row],[Contracts Offered]])</f>
        <v>0.25555555555555554</v>
      </c>
      <c r="AG3214" s="5">
        <f>IF(SalesData[[#This Row],[Customers Visited]]=0,0,SalesData[[#This Row],[Test Drives]]/SalesData[[#This Row],[Customers Visited]])</f>
        <v>0.53716216216216217</v>
      </c>
      <c r="AH3214" s="5">
        <f>IF(SalesData[[#This Row],[Customers Visited]]=0,0,SalesData[[#This Row],[Contracts Signed]]/SalesData[[#This Row],[Customers Visited]])</f>
        <v>7.77027027027027E-2</v>
      </c>
      <c r="AI3214" s="6">
        <f>IF(SalesData[[#This Row],[Contracts Signed]]=0,0,SalesData[[#This Row],[Profit(€)]]/SalesData[[#This Row],[Contracts Signed]])</f>
        <v>2761</v>
      </c>
      <c r="AJ3214" s="5" t="str">
        <f>TRIM(CLEAN(SalesData[[#This Row],[Retailer]]))</f>
        <v>Bavaria Motors</v>
      </c>
    </row>
    <row r="3215" spans="1:36" ht="14.25" hidden="1" x14ac:dyDescent="0.2">
      <c r="A3215" t="s">
        <v>4385</v>
      </c>
      <c r="B3215" s="1">
        <v>46065</v>
      </c>
      <c r="C3215" t="s">
        <v>121</v>
      </c>
      <c r="D3215" t="s">
        <v>100</v>
      </c>
      <c r="E3215" t="s">
        <v>26</v>
      </c>
      <c r="F3215" t="s">
        <v>74</v>
      </c>
      <c r="G3215" t="s">
        <v>75</v>
      </c>
      <c r="H3215" t="s">
        <v>76</v>
      </c>
      <c r="I3215" t="s">
        <v>116</v>
      </c>
      <c r="J3215" t="s">
        <v>117</v>
      </c>
      <c r="K3215" t="s">
        <v>32</v>
      </c>
      <c r="L3215" t="s">
        <v>67</v>
      </c>
      <c r="M3215" t="s">
        <v>47</v>
      </c>
      <c r="N3215" t="s">
        <v>48</v>
      </c>
      <c r="O3215" t="s">
        <v>70</v>
      </c>
      <c r="P3215" t="s">
        <v>37</v>
      </c>
      <c r="Q3215" t="s">
        <v>189</v>
      </c>
      <c r="R3215">
        <v>352</v>
      </c>
      <c r="S3215">
        <v>143</v>
      </c>
      <c r="T3215">
        <v>92</v>
      </c>
      <c r="U3215">
        <v>23</v>
      </c>
      <c r="V3215" t="s">
        <v>538</v>
      </c>
      <c r="W3215">
        <v>21247</v>
      </c>
      <c r="X3215" t="s">
        <v>1136</v>
      </c>
      <c r="Y3215">
        <v>19214</v>
      </c>
      <c r="Z3215">
        <v>488681</v>
      </c>
      <c r="AA3215">
        <v>46759</v>
      </c>
      <c r="AB3215" t="str">
        <f>(VLOOKUP(SalesData[[#This Row],[Month Number]],Reference!C$5:E$16,2,FALSE))</f>
        <v>Feb</v>
      </c>
      <c r="AC3215">
        <f>MONTH(SalesData[[#This Row],[Date]])</f>
        <v>2</v>
      </c>
      <c r="AD3215">
        <f>Reference!F$4</f>
        <v>2026</v>
      </c>
      <c r="AE3215" t="str">
        <f>IF(OR(SalesData[[#This Row],[Day]]="Saturday",SalesData[[#This Row],[Day]]="Sunday"),"Weekend","Weekday")</f>
        <v>Weekday</v>
      </c>
      <c r="AF3215" s="5">
        <f>IF(SalesData[[#This Row],[Contracts Offered]]=0,0,SalesData[[#This Row],[Contracts Signed]]/SalesData[[#This Row],[Contracts Offered]])</f>
        <v>0.25</v>
      </c>
      <c r="AG3215" s="5">
        <f>IF(SalesData[[#This Row],[Customers Visited]]=0,0,SalesData[[#This Row],[Test Drives]]/SalesData[[#This Row],[Customers Visited]])</f>
        <v>0.40625</v>
      </c>
      <c r="AH3215" s="5">
        <f>IF(SalesData[[#This Row],[Customers Visited]]=0,0,SalesData[[#This Row],[Contracts Signed]]/SalesData[[#This Row],[Customers Visited]])</f>
        <v>6.5340909090909088E-2</v>
      </c>
      <c r="AI3215" s="6">
        <f>IF(SalesData[[#This Row],[Contracts Signed]]=0,0,SalesData[[#This Row],[Profit(€)]]/SalesData[[#This Row],[Contracts Signed]])</f>
        <v>2033</v>
      </c>
      <c r="AJ3215" s="5" t="str">
        <f>TRIM(CLEAN(SalesData[[#This Row],[Retailer]]))</f>
        <v>Stuttgart Auto Center</v>
      </c>
    </row>
    <row r="3216" spans="1:36" ht="14.25" hidden="1" x14ac:dyDescent="0.2">
      <c r="A3216" t="s">
        <v>4386</v>
      </c>
      <c r="B3216" s="1">
        <v>46075</v>
      </c>
      <c r="C3216" t="s">
        <v>53</v>
      </c>
      <c r="D3216" t="s">
        <v>41</v>
      </c>
      <c r="E3216" t="s">
        <v>42</v>
      </c>
      <c r="F3216" t="s">
        <v>27</v>
      </c>
      <c r="G3216" t="s">
        <v>28</v>
      </c>
      <c r="H3216" t="s">
        <v>29</v>
      </c>
      <c r="I3216" t="s">
        <v>116</v>
      </c>
      <c r="J3216" t="s">
        <v>7026</v>
      </c>
      <c r="K3216" t="s">
        <v>32</v>
      </c>
      <c r="L3216" t="s">
        <v>46</v>
      </c>
      <c r="M3216" t="s">
        <v>34</v>
      </c>
      <c r="N3216" t="s">
        <v>48</v>
      </c>
      <c r="O3216" t="s">
        <v>36</v>
      </c>
      <c r="P3216" t="s">
        <v>49</v>
      </c>
      <c r="Q3216" t="s">
        <v>135</v>
      </c>
      <c r="R3216">
        <v>331</v>
      </c>
      <c r="S3216">
        <v>161</v>
      </c>
      <c r="T3216">
        <v>92</v>
      </c>
      <c r="U3216">
        <v>23</v>
      </c>
      <c r="V3216" t="s">
        <v>527</v>
      </c>
      <c r="W3216">
        <v>21403</v>
      </c>
      <c r="X3216" t="s">
        <v>822</v>
      </c>
      <c r="Y3216">
        <v>19527</v>
      </c>
      <c r="Z3216">
        <v>492269</v>
      </c>
      <c r="AA3216">
        <v>43148</v>
      </c>
      <c r="AB3216" t="str">
        <f>(VLOOKUP(SalesData[[#This Row],[Month Number]],Reference!C$5:E$16,2,FALSE))</f>
        <v>Feb</v>
      </c>
      <c r="AC3216">
        <f>MONTH(SalesData[[#This Row],[Date]])</f>
        <v>2</v>
      </c>
      <c r="AD3216">
        <f>Reference!F$4</f>
        <v>2026</v>
      </c>
      <c r="AE3216" t="str">
        <f>IF(OR(SalesData[[#This Row],[Day]]="Saturday",SalesData[[#This Row],[Day]]="Sunday"),"Weekend","Weekday")</f>
        <v>Weekend</v>
      </c>
      <c r="AF3216" s="5">
        <f>IF(SalesData[[#This Row],[Contracts Offered]]=0,0,SalesData[[#This Row],[Contracts Signed]]/SalesData[[#This Row],[Contracts Offered]])</f>
        <v>0.25</v>
      </c>
      <c r="AG3216" s="5">
        <f>IF(SalesData[[#This Row],[Customers Visited]]=0,0,SalesData[[#This Row],[Test Drives]]/SalesData[[#This Row],[Customers Visited]])</f>
        <v>0.48640483383685801</v>
      </c>
      <c r="AH3216" s="5">
        <f>IF(SalesData[[#This Row],[Customers Visited]]=0,0,SalesData[[#This Row],[Contracts Signed]]/SalesData[[#This Row],[Customers Visited]])</f>
        <v>6.9486404833836862E-2</v>
      </c>
      <c r="AI3216" s="6">
        <f>IF(SalesData[[#This Row],[Contracts Signed]]=0,0,SalesData[[#This Row],[Profit(€)]]/SalesData[[#This Row],[Contracts Signed]])</f>
        <v>1876</v>
      </c>
      <c r="AJ3216" s="5" t="str">
        <f>TRIM(CLEAN(SalesData[[#This Row],[Retailer]]))</f>
        <v>Main Auto Hub</v>
      </c>
    </row>
    <row r="3217" spans="1:36" ht="14.25" hidden="1" x14ac:dyDescent="0.2">
      <c r="A3217" t="s">
        <v>4387</v>
      </c>
      <c r="B3217" s="1">
        <v>46065</v>
      </c>
      <c r="C3217" t="s">
        <v>121</v>
      </c>
      <c r="D3217" t="s">
        <v>100</v>
      </c>
      <c r="E3217" t="s">
        <v>26</v>
      </c>
      <c r="F3217" t="s">
        <v>27</v>
      </c>
      <c r="G3217" t="s">
        <v>28</v>
      </c>
      <c r="H3217" t="s">
        <v>29</v>
      </c>
      <c r="I3217" t="s">
        <v>56</v>
      </c>
      <c r="J3217" t="s">
        <v>137</v>
      </c>
      <c r="K3217" t="s">
        <v>32</v>
      </c>
      <c r="L3217" t="s">
        <v>46</v>
      </c>
      <c r="M3217" t="s">
        <v>47</v>
      </c>
      <c r="N3217" t="s">
        <v>48</v>
      </c>
      <c r="O3217" t="s">
        <v>70</v>
      </c>
      <c r="P3217" t="s">
        <v>37</v>
      </c>
      <c r="Q3217" t="s">
        <v>158</v>
      </c>
      <c r="R3217">
        <v>283</v>
      </c>
      <c r="S3217">
        <v>175</v>
      </c>
      <c r="T3217">
        <v>125</v>
      </c>
      <c r="U3217">
        <v>37</v>
      </c>
      <c r="V3217" t="s">
        <v>6424</v>
      </c>
      <c r="W3217">
        <v>53664</v>
      </c>
      <c r="X3217" t="s">
        <v>7058</v>
      </c>
      <c r="Y3217">
        <v>43954</v>
      </c>
      <c r="Z3217">
        <v>1985568</v>
      </c>
      <c r="AA3217">
        <v>359270</v>
      </c>
      <c r="AB3217" t="str">
        <f>(VLOOKUP(SalesData[[#This Row],[Month Number]],Reference!C$5:E$16,2,FALSE))</f>
        <v>Feb</v>
      </c>
      <c r="AC3217">
        <f>MONTH(SalesData[[#This Row],[Date]])</f>
        <v>2</v>
      </c>
      <c r="AD3217">
        <f>Reference!F$4</f>
        <v>2026</v>
      </c>
      <c r="AE3217" t="str">
        <f>IF(OR(SalesData[[#This Row],[Day]]="Saturday",SalesData[[#This Row],[Day]]="Sunday"),"Weekend","Weekday")</f>
        <v>Weekday</v>
      </c>
      <c r="AF3217" s="5">
        <f>IF(SalesData[[#This Row],[Contracts Offered]]=0,0,SalesData[[#This Row],[Contracts Signed]]/SalesData[[#This Row],[Contracts Offered]])</f>
        <v>0.29599999999999999</v>
      </c>
      <c r="AG3217" s="5">
        <f>IF(SalesData[[#This Row],[Customers Visited]]=0,0,SalesData[[#This Row],[Test Drives]]/SalesData[[#This Row],[Customers Visited]])</f>
        <v>0.61837455830388688</v>
      </c>
      <c r="AH3217" s="5">
        <f>IF(SalesData[[#This Row],[Customers Visited]]=0,0,SalesData[[#This Row],[Contracts Signed]]/SalesData[[#This Row],[Customers Visited]])</f>
        <v>0.13074204946996468</v>
      </c>
      <c r="AI3217" s="6">
        <f>IF(SalesData[[#This Row],[Contracts Signed]]=0,0,SalesData[[#This Row],[Profit(€)]]/SalesData[[#This Row],[Contracts Signed]])</f>
        <v>9710</v>
      </c>
      <c r="AJ3217" s="5" t="str">
        <f>TRIM(CLEAN(SalesData[[#This Row],[Retailer]]))</f>
        <v>Main Auto Hub</v>
      </c>
    </row>
    <row r="3218" spans="1:36" ht="14.25" x14ac:dyDescent="0.2">
      <c r="A3218" t="s">
        <v>4388</v>
      </c>
      <c r="B3218" s="1">
        <v>46068</v>
      </c>
      <c r="C3218" t="s">
        <v>62</v>
      </c>
      <c r="D3218" t="s">
        <v>41</v>
      </c>
      <c r="E3218" t="s">
        <v>42</v>
      </c>
      <c r="F3218" t="s">
        <v>74</v>
      </c>
      <c r="G3218" t="s">
        <v>75</v>
      </c>
      <c r="H3218" t="s">
        <v>76</v>
      </c>
      <c r="I3218" t="s">
        <v>30</v>
      </c>
      <c r="J3218" t="s">
        <v>188</v>
      </c>
      <c r="K3218" t="s">
        <v>91</v>
      </c>
      <c r="L3218" t="s">
        <v>33</v>
      </c>
      <c r="M3218" t="s">
        <v>47</v>
      </c>
      <c r="N3218" t="s">
        <v>35</v>
      </c>
      <c r="O3218" t="s">
        <v>36</v>
      </c>
      <c r="P3218" t="s">
        <v>49</v>
      </c>
      <c r="Q3218" t="s">
        <v>129</v>
      </c>
      <c r="R3218">
        <v>217</v>
      </c>
      <c r="S3218">
        <v>111</v>
      </c>
      <c r="T3218">
        <v>82</v>
      </c>
      <c r="U3218">
        <v>31</v>
      </c>
      <c r="V3218" t="s">
        <v>6653</v>
      </c>
      <c r="W3218">
        <v>56637</v>
      </c>
      <c r="X3218" t="s">
        <v>3904</v>
      </c>
      <c r="Y3218">
        <v>44009</v>
      </c>
      <c r="Z3218">
        <v>1755747</v>
      </c>
      <c r="AA3218">
        <v>391468</v>
      </c>
      <c r="AB3218" t="str">
        <f>(VLOOKUP(SalesData[[#This Row],[Month Number]],Reference!C$5:E$16,2,FALSE))</f>
        <v>Feb</v>
      </c>
      <c r="AC3218">
        <f>MONTH(SalesData[[#This Row],[Date]])</f>
        <v>2</v>
      </c>
      <c r="AD3218">
        <f>Reference!F$4</f>
        <v>2026</v>
      </c>
      <c r="AE3218" t="str">
        <f>IF(OR(SalesData[[#This Row],[Day]]="Saturday",SalesData[[#This Row],[Day]]="Sunday"),"Weekend","Weekday")</f>
        <v>Weekend</v>
      </c>
      <c r="AF3218" s="5">
        <f>IF(SalesData[[#This Row],[Contracts Offered]]=0,0,SalesData[[#This Row],[Contracts Signed]]/SalesData[[#This Row],[Contracts Offered]])</f>
        <v>0.37804878048780488</v>
      </c>
      <c r="AG3218" s="5">
        <f>IF(SalesData[[#This Row],[Customers Visited]]=0,0,SalesData[[#This Row],[Test Drives]]/SalesData[[#This Row],[Customers Visited]])</f>
        <v>0.51152073732718895</v>
      </c>
      <c r="AH3218" s="5">
        <f>IF(SalesData[[#This Row],[Customers Visited]]=0,0,SalesData[[#This Row],[Contracts Signed]]/SalesData[[#This Row],[Customers Visited]])</f>
        <v>0.14285714285714285</v>
      </c>
      <c r="AI3218" s="6">
        <f>IF(SalesData[[#This Row],[Contracts Signed]]=0,0,SalesData[[#This Row],[Profit(€)]]/SalesData[[#This Row],[Contracts Signed]])</f>
        <v>12628</v>
      </c>
      <c r="AJ3218" s="5" t="str">
        <f>TRIM(CLEAN(SalesData[[#This Row],[Retailer]]))</f>
        <v>Stuttgart Auto Center</v>
      </c>
    </row>
    <row r="3219" spans="1:36" ht="14.25" hidden="1" x14ac:dyDescent="0.2">
      <c r="A3219" t="s">
        <v>4389</v>
      </c>
      <c r="B3219" s="1">
        <v>46075</v>
      </c>
      <c r="C3219" t="s">
        <v>53</v>
      </c>
      <c r="D3219" t="s">
        <v>41</v>
      </c>
      <c r="E3219" t="s">
        <v>42</v>
      </c>
      <c r="F3219" t="s">
        <v>94</v>
      </c>
      <c r="G3219" t="s">
        <v>95</v>
      </c>
      <c r="H3219" t="s">
        <v>96</v>
      </c>
      <c r="I3219" t="s">
        <v>64</v>
      </c>
      <c r="J3219" t="s">
        <v>77</v>
      </c>
      <c r="K3219" t="s">
        <v>78</v>
      </c>
      <c r="L3219" t="s">
        <v>46</v>
      </c>
      <c r="M3219" t="s">
        <v>47</v>
      </c>
      <c r="N3219" t="s">
        <v>48</v>
      </c>
      <c r="O3219" t="s">
        <v>70</v>
      </c>
      <c r="P3219" t="s">
        <v>49</v>
      </c>
      <c r="Q3219" t="s">
        <v>144</v>
      </c>
      <c r="R3219">
        <v>286</v>
      </c>
      <c r="S3219">
        <v>150</v>
      </c>
      <c r="T3219">
        <v>119</v>
      </c>
      <c r="U3219">
        <v>34</v>
      </c>
      <c r="V3219" t="s">
        <v>6467</v>
      </c>
      <c r="W3219">
        <v>52715</v>
      </c>
      <c r="X3219" t="s">
        <v>3261</v>
      </c>
      <c r="Y3219">
        <v>41545</v>
      </c>
      <c r="Z3219">
        <v>1792310</v>
      </c>
      <c r="AA3219">
        <v>379780</v>
      </c>
      <c r="AB3219" t="str">
        <f>(VLOOKUP(SalesData[[#This Row],[Month Number]],Reference!C$5:E$16,2,FALSE))</f>
        <v>Feb</v>
      </c>
      <c r="AC3219">
        <f>MONTH(SalesData[[#This Row],[Date]])</f>
        <v>2</v>
      </c>
      <c r="AD3219">
        <f>Reference!F$4</f>
        <v>2026</v>
      </c>
      <c r="AE3219" t="str">
        <f>IF(OR(SalesData[[#This Row],[Day]]="Saturday",SalesData[[#This Row],[Day]]="Sunday"),"Weekend","Weekday")</f>
        <v>Weekend</v>
      </c>
      <c r="AF3219" s="5">
        <f>IF(SalesData[[#This Row],[Contracts Offered]]=0,0,SalesData[[#This Row],[Contracts Signed]]/SalesData[[#This Row],[Contracts Offered]])</f>
        <v>0.2857142857142857</v>
      </c>
      <c r="AG3219" s="5">
        <f>IF(SalesData[[#This Row],[Customers Visited]]=0,0,SalesData[[#This Row],[Test Drives]]/SalesData[[#This Row],[Customers Visited]])</f>
        <v>0.52447552447552448</v>
      </c>
      <c r="AH3219" s="5">
        <f>IF(SalesData[[#This Row],[Customers Visited]]=0,0,SalesData[[#This Row],[Contracts Signed]]/SalesData[[#This Row],[Customers Visited]])</f>
        <v>0.11888111888111888</v>
      </c>
      <c r="AI3219" s="6">
        <f>IF(SalesData[[#This Row],[Contracts Signed]]=0,0,SalesData[[#This Row],[Profit(€)]]/SalesData[[#This Row],[Contracts Signed]])</f>
        <v>11170</v>
      </c>
      <c r="AJ3219" s="5" t="str">
        <f>TRIM(CLEAN(SalesData[[#This Row],[Retailer]]))</f>
        <v>Bavaria Motors</v>
      </c>
    </row>
    <row r="3220" spans="1:36" ht="14.25" hidden="1" x14ac:dyDescent="0.2">
      <c r="A3220" t="s">
        <v>4390</v>
      </c>
      <c r="B3220" s="1">
        <v>46066</v>
      </c>
      <c r="C3220" t="s">
        <v>121</v>
      </c>
      <c r="D3220" t="s">
        <v>54</v>
      </c>
      <c r="E3220" t="s">
        <v>26</v>
      </c>
      <c r="F3220" t="s">
        <v>43</v>
      </c>
      <c r="G3220" t="s">
        <v>44</v>
      </c>
      <c r="H3220" t="s">
        <v>45</v>
      </c>
      <c r="I3220" t="s">
        <v>56</v>
      </c>
      <c r="J3220" t="s">
        <v>179</v>
      </c>
      <c r="K3220" t="s">
        <v>78</v>
      </c>
      <c r="L3220" t="s">
        <v>67</v>
      </c>
      <c r="M3220" t="s">
        <v>47</v>
      </c>
      <c r="N3220" t="s">
        <v>69</v>
      </c>
      <c r="O3220" t="s">
        <v>36</v>
      </c>
      <c r="P3220" t="s">
        <v>37</v>
      </c>
      <c r="Q3220" t="s">
        <v>135</v>
      </c>
      <c r="R3220">
        <v>160</v>
      </c>
      <c r="S3220">
        <v>93</v>
      </c>
      <c r="T3220">
        <v>59</v>
      </c>
      <c r="U3220">
        <v>19</v>
      </c>
      <c r="V3220" t="s">
        <v>6907</v>
      </c>
      <c r="W3220">
        <v>45509</v>
      </c>
      <c r="X3220" t="s">
        <v>7055</v>
      </c>
      <c r="Y3220">
        <v>34498</v>
      </c>
      <c r="Z3220">
        <v>864671</v>
      </c>
      <c r="AA3220">
        <v>209209</v>
      </c>
      <c r="AB3220" t="str">
        <f>(VLOOKUP(SalesData[[#This Row],[Month Number]],Reference!C$5:E$16,2,FALSE))</f>
        <v>Feb</v>
      </c>
      <c r="AC3220">
        <f>MONTH(SalesData[[#This Row],[Date]])</f>
        <v>2</v>
      </c>
      <c r="AD3220">
        <f>Reference!F$4</f>
        <v>2026</v>
      </c>
      <c r="AE3220" t="str">
        <f>IF(OR(SalesData[[#This Row],[Day]]="Saturday",SalesData[[#This Row],[Day]]="Sunday"),"Weekend","Weekday")</f>
        <v>Weekday</v>
      </c>
      <c r="AF3220" s="5">
        <f>IF(SalesData[[#This Row],[Contracts Offered]]=0,0,SalesData[[#This Row],[Contracts Signed]]/SalesData[[#This Row],[Contracts Offered]])</f>
        <v>0.32203389830508472</v>
      </c>
      <c r="AG3220" s="5">
        <f>IF(SalesData[[#This Row],[Customers Visited]]=0,0,SalesData[[#This Row],[Test Drives]]/SalesData[[#This Row],[Customers Visited]])</f>
        <v>0.58125000000000004</v>
      </c>
      <c r="AH3220" s="5">
        <f>IF(SalesData[[#This Row],[Customers Visited]]=0,0,SalesData[[#This Row],[Contracts Signed]]/SalesData[[#This Row],[Customers Visited]])</f>
        <v>0.11874999999999999</v>
      </c>
      <c r="AI3220" s="6">
        <f>IF(SalesData[[#This Row],[Contracts Signed]]=0,0,SalesData[[#This Row],[Profit(€)]]/SalesData[[#This Row],[Contracts Signed]])</f>
        <v>11011</v>
      </c>
      <c r="AJ3220" s="5" t="str">
        <f>TRIM(CLEAN(SalesData[[#This Row],[Retailer]]))</f>
        <v>Saxon Wheels</v>
      </c>
    </row>
    <row r="3221" spans="1:36" ht="14.25" x14ac:dyDescent="0.2">
      <c r="A3221" t="s">
        <v>4391</v>
      </c>
      <c r="B3221" s="1">
        <v>46058</v>
      </c>
      <c r="C3221" t="s">
        <v>24</v>
      </c>
      <c r="D3221" t="s">
        <v>100</v>
      </c>
      <c r="E3221" t="s">
        <v>26</v>
      </c>
      <c r="F3221" t="s">
        <v>114</v>
      </c>
      <c r="G3221" t="s">
        <v>115</v>
      </c>
      <c r="H3221" t="s">
        <v>115</v>
      </c>
      <c r="I3221" t="s">
        <v>30</v>
      </c>
      <c r="J3221" t="s">
        <v>166</v>
      </c>
      <c r="K3221" t="s">
        <v>91</v>
      </c>
      <c r="L3221" t="s">
        <v>46</v>
      </c>
      <c r="M3221" t="s">
        <v>47</v>
      </c>
      <c r="N3221" t="s">
        <v>35</v>
      </c>
      <c r="O3221" t="s">
        <v>36</v>
      </c>
      <c r="P3221" t="s">
        <v>37</v>
      </c>
      <c r="Q3221" t="s">
        <v>144</v>
      </c>
      <c r="R3221">
        <v>179</v>
      </c>
      <c r="S3221">
        <v>109</v>
      </c>
      <c r="T3221">
        <v>82</v>
      </c>
      <c r="U3221">
        <v>29</v>
      </c>
      <c r="V3221" t="s">
        <v>6687</v>
      </c>
      <c r="W3221">
        <v>54650</v>
      </c>
      <c r="X3221" t="s">
        <v>1325</v>
      </c>
      <c r="Y3221">
        <v>38471</v>
      </c>
      <c r="Z3221">
        <v>1584850</v>
      </c>
      <c r="AA3221">
        <v>469191</v>
      </c>
      <c r="AB3221" t="str">
        <f>(VLOOKUP(SalesData[[#This Row],[Month Number]],Reference!C$5:E$16,2,FALSE))</f>
        <v>Feb</v>
      </c>
      <c r="AC3221">
        <f>MONTH(SalesData[[#This Row],[Date]])</f>
        <v>2</v>
      </c>
      <c r="AD3221">
        <f>Reference!F$4</f>
        <v>2026</v>
      </c>
      <c r="AE3221" t="str">
        <f>IF(OR(SalesData[[#This Row],[Day]]="Saturday",SalesData[[#This Row],[Day]]="Sunday"),"Weekend","Weekday")</f>
        <v>Weekday</v>
      </c>
      <c r="AF3221" s="5">
        <f>IF(SalesData[[#This Row],[Contracts Offered]]=0,0,SalesData[[#This Row],[Contracts Signed]]/SalesData[[#This Row],[Contracts Offered]])</f>
        <v>0.35365853658536583</v>
      </c>
      <c r="AG3221" s="5">
        <f>IF(SalesData[[#This Row],[Customers Visited]]=0,0,SalesData[[#This Row],[Test Drives]]/SalesData[[#This Row],[Customers Visited]])</f>
        <v>0.60893854748603349</v>
      </c>
      <c r="AH3221" s="5">
        <f>IF(SalesData[[#This Row],[Customers Visited]]=0,0,SalesData[[#This Row],[Contracts Signed]]/SalesData[[#This Row],[Customers Visited]])</f>
        <v>0.16201117318435754</v>
      </c>
      <c r="AI3221" s="6">
        <f>IF(SalesData[[#This Row],[Contracts Signed]]=0,0,SalesData[[#This Row],[Profit(€)]]/SalesData[[#This Row],[Contracts Signed]])</f>
        <v>16179</v>
      </c>
      <c r="AJ3221" s="5" t="str">
        <f>TRIM(CLEAN(SalesData[[#This Row],[Retailer]]))</f>
        <v>Elbe Drive</v>
      </c>
    </row>
    <row r="3222" spans="1:36" ht="14.25" hidden="1" x14ac:dyDescent="0.2">
      <c r="A3222" t="s">
        <v>4393</v>
      </c>
      <c r="B3222" s="1">
        <v>46055</v>
      </c>
      <c r="C3222" t="s">
        <v>24</v>
      </c>
      <c r="D3222" t="s">
        <v>25</v>
      </c>
      <c r="E3222" t="s">
        <v>26</v>
      </c>
      <c r="F3222" t="s">
        <v>7649</v>
      </c>
      <c r="G3222" t="s">
        <v>55</v>
      </c>
      <c r="H3222" t="s">
        <v>55</v>
      </c>
      <c r="I3222" t="s">
        <v>64</v>
      </c>
      <c r="J3222" t="s">
        <v>157</v>
      </c>
      <c r="K3222" t="s">
        <v>78</v>
      </c>
      <c r="L3222" t="s">
        <v>33</v>
      </c>
      <c r="M3222" t="s">
        <v>34</v>
      </c>
      <c r="N3222" t="s">
        <v>35</v>
      </c>
      <c r="O3222" t="s">
        <v>36</v>
      </c>
      <c r="P3222" t="s">
        <v>58</v>
      </c>
      <c r="Q3222" t="s">
        <v>152</v>
      </c>
      <c r="R3222">
        <v>271</v>
      </c>
      <c r="S3222">
        <v>151</v>
      </c>
      <c r="T3222">
        <v>103</v>
      </c>
      <c r="U3222">
        <v>46</v>
      </c>
      <c r="V3222" t="s">
        <v>7591</v>
      </c>
      <c r="W3222">
        <v>50777</v>
      </c>
      <c r="X3222" t="s">
        <v>2251</v>
      </c>
      <c r="Y3222">
        <v>39418</v>
      </c>
      <c r="Z3222">
        <v>2335742</v>
      </c>
      <c r="AA3222">
        <v>522514</v>
      </c>
      <c r="AB3222" t="str">
        <f>(VLOOKUP(SalesData[[#This Row],[Month Number]],Reference!C$5:E$16,2,FALSE))</f>
        <v>Feb</v>
      </c>
      <c r="AC3222">
        <f>MONTH(SalesData[[#This Row],[Date]])</f>
        <v>2</v>
      </c>
      <c r="AD3222">
        <f>Reference!F$4</f>
        <v>2026</v>
      </c>
      <c r="AE3222" t="str">
        <f>IF(OR(SalesData[[#This Row],[Day]]="Saturday",SalesData[[#This Row],[Day]]="Sunday"),"Weekend","Weekday")</f>
        <v>Weekday</v>
      </c>
      <c r="AF3222" s="5">
        <f>IF(SalesData[[#This Row],[Contracts Offered]]=0,0,SalesData[[#This Row],[Contracts Signed]]/SalesData[[#This Row],[Contracts Offered]])</f>
        <v>0.44660194174757284</v>
      </c>
      <c r="AG3222" s="5">
        <f>IF(SalesData[[#This Row],[Customers Visited]]=0,0,SalesData[[#This Row],[Test Drives]]/SalesData[[#This Row],[Customers Visited]])</f>
        <v>0.55719557195571956</v>
      </c>
      <c r="AH3222" s="5">
        <f>IF(SalesData[[#This Row],[Customers Visited]]=0,0,SalesData[[#This Row],[Contracts Signed]]/SalesData[[#This Row],[Customers Visited]])</f>
        <v>0.16974169741697417</v>
      </c>
      <c r="AI3222" s="6">
        <f>IF(SalesData[[#This Row],[Contracts Signed]]=0,0,SalesData[[#This Row],[Profit(€)]]/SalesData[[#This Row],[Contracts Signed]])</f>
        <v>11359</v>
      </c>
      <c r="AJ3222" s="5" t="str">
        <f>TRIM(CLEAN(SalesData[[#This Row],[Retailer]]))</f>
        <v>Autohaus Berlin</v>
      </c>
    </row>
    <row r="3223" spans="1:36" ht="14.25" hidden="1" x14ac:dyDescent="0.2">
      <c r="A3223" t="s">
        <v>4395</v>
      </c>
      <c r="B3223" s="1">
        <v>46067</v>
      </c>
      <c r="C3223" t="s">
        <v>121</v>
      </c>
      <c r="D3223" t="s">
        <v>151</v>
      </c>
      <c r="E3223" t="s">
        <v>42</v>
      </c>
      <c r="F3223" t="s">
        <v>114</v>
      </c>
      <c r="G3223" t="s">
        <v>115</v>
      </c>
      <c r="H3223" t="s">
        <v>115</v>
      </c>
      <c r="I3223" t="s">
        <v>116</v>
      </c>
      <c r="J3223" t="s">
        <v>7090</v>
      </c>
      <c r="K3223" t="s">
        <v>91</v>
      </c>
      <c r="L3223" t="s">
        <v>46</v>
      </c>
      <c r="M3223" t="s">
        <v>68</v>
      </c>
      <c r="N3223" t="s">
        <v>69</v>
      </c>
      <c r="O3223" t="s">
        <v>70</v>
      </c>
      <c r="P3223" t="s">
        <v>37</v>
      </c>
      <c r="Q3223" t="s">
        <v>118</v>
      </c>
      <c r="R3223">
        <v>255</v>
      </c>
      <c r="S3223">
        <v>120</v>
      </c>
      <c r="T3223">
        <v>78</v>
      </c>
      <c r="U3223">
        <v>19</v>
      </c>
      <c r="V3223" t="s">
        <v>1698</v>
      </c>
      <c r="W3223">
        <v>22895</v>
      </c>
      <c r="X3223" t="s">
        <v>1156</v>
      </c>
      <c r="Y3223">
        <v>20902</v>
      </c>
      <c r="Z3223">
        <v>435005</v>
      </c>
      <c r="AA3223">
        <v>37867</v>
      </c>
      <c r="AB3223" t="str">
        <f>(VLOOKUP(SalesData[[#This Row],[Month Number]],Reference!C$5:E$16,2,FALSE))</f>
        <v>Feb</v>
      </c>
      <c r="AC3223">
        <f>MONTH(SalesData[[#This Row],[Date]])</f>
        <v>2</v>
      </c>
      <c r="AD3223">
        <f>Reference!F$4</f>
        <v>2026</v>
      </c>
      <c r="AE3223" t="str">
        <f>IF(OR(SalesData[[#This Row],[Day]]="Saturday",SalesData[[#This Row],[Day]]="Sunday"),"Weekend","Weekday")</f>
        <v>Weekend</v>
      </c>
      <c r="AF3223" s="5">
        <f>IF(SalesData[[#This Row],[Contracts Offered]]=0,0,SalesData[[#This Row],[Contracts Signed]]/SalesData[[#This Row],[Contracts Offered]])</f>
        <v>0.24358974358974358</v>
      </c>
      <c r="AG3223" s="5">
        <f>IF(SalesData[[#This Row],[Customers Visited]]=0,0,SalesData[[#This Row],[Test Drives]]/SalesData[[#This Row],[Customers Visited]])</f>
        <v>0.47058823529411764</v>
      </c>
      <c r="AH3223" s="5">
        <f>IF(SalesData[[#This Row],[Customers Visited]]=0,0,SalesData[[#This Row],[Contracts Signed]]/SalesData[[#This Row],[Customers Visited]])</f>
        <v>7.4509803921568626E-2</v>
      </c>
      <c r="AI3223" s="6">
        <f>IF(SalesData[[#This Row],[Contracts Signed]]=0,0,SalesData[[#This Row],[Profit(€)]]/SalesData[[#This Row],[Contracts Signed]])</f>
        <v>1993</v>
      </c>
      <c r="AJ3223" s="5" t="str">
        <f>TRIM(CLEAN(SalesData[[#This Row],[Retailer]]))</f>
        <v>Elbe Drive</v>
      </c>
    </row>
    <row r="3224" spans="1:36" ht="14.25" hidden="1" x14ac:dyDescent="0.2">
      <c r="A3224" t="s">
        <v>4396</v>
      </c>
      <c r="B3224" s="1">
        <v>46066</v>
      </c>
      <c r="C3224" t="s">
        <v>121</v>
      </c>
      <c r="D3224" t="s">
        <v>54</v>
      </c>
      <c r="E3224" t="s">
        <v>26</v>
      </c>
      <c r="F3224" t="s">
        <v>94</v>
      </c>
      <c r="G3224" t="s">
        <v>95</v>
      </c>
      <c r="H3224" t="s">
        <v>96</v>
      </c>
      <c r="I3224" t="s">
        <v>116</v>
      </c>
      <c r="J3224" t="s">
        <v>117</v>
      </c>
      <c r="K3224" t="s">
        <v>91</v>
      </c>
      <c r="L3224" t="s">
        <v>67</v>
      </c>
      <c r="M3224" t="s">
        <v>34</v>
      </c>
      <c r="N3224" t="s">
        <v>69</v>
      </c>
      <c r="O3224" t="s">
        <v>70</v>
      </c>
      <c r="P3224" t="s">
        <v>71</v>
      </c>
      <c r="Q3224" t="s">
        <v>152</v>
      </c>
      <c r="R3224">
        <v>289</v>
      </c>
      <c r="S3224">
        <v>129</v>
      </c>
      <c r="T3224">
        <v>83</v>
      </c>
      <c r="U3224">
        <v>23</v>
      </c>
      <c r="V3224" t="s">
        <v>3611</v>
      </c>
      <c r="W3224">
        <v>23669</v>
      </c>
      <c r="X3224" t="s">
        <v>845</v>
      </c>
      <c r="Y3224">
        <v>21743</v>
      </c>
      <c r="Z3224">
        <v>544387</v>
      </c>
      <c r="AA3224">
        <v>44298</v>
      </c>
      <c r="AB3224" t="str">
        <f>(VLOOKUP(SalesData[[#This Row],[Month Number]],Reference!C$5:E$16,2,FALSE))</f>
        <v>Feb</v>
      </c>
      <c r="AC3224">
        <f>MONTH(SalesData[[#This Row],[Date]])</f>
        <v>2</v>
      </c>
      <c r="AD3224">
        <f>Reference!F$4</f>
        <v>2026</v>
      </c>
      <c r="AE3224" t="str">
        <f>IF(OR(SalesData[[#This Row],[Day]]="Saturday",SalesData[[#This Row],[Day]]="Sunday"),"Weekend","Weekday")</f>
        <v>Weekday</v>
      </c>
      <c r="AF3224" s="5">
        <f>IF(SalesData[[#This Row],[Contracts Offered]]=0,0,SalesData[[#This Row],[Contracts Signed]]/SalesData[[#This Row],[Contracts Offered]])</f>
        <v>0.27710843373493976</v>
      </c>
      <c r="AG3224" s="5">
        <f>IF(SalesData[[#This Row],[Customers Visited]]=0,0,SalesData[[#This Row],[Test Drives]]/SalesData[[#This Row],[Customers Visited]])</f>
        <v>0.44636678200692043</v>
      </c>
      <c r="AH3224" s="5">
        <f>IF(SalesData[[#This Row],[Customers Visited]]=0,0,SalesData[[#This Row],[Contracts Signed]]/SalesData[[#This Row],[Customers Visited]])</f>
        <v>7.9584775086505188E-2</v>
      </c>
      <c r="AI3224" s="6">
        <f>IF(SalesData[[#This Row],[Contracts Signed]]=0,0,SalesData[[#This Row],[Profit(€)]]/SalesData[[#This Row],[Contracts Signed]])</f>
        <v>1926</v>
      </c>
      <c r="AJ3224" s="5" t="str">
        <f>TRIM(CLEAN(SalesData[[#This Row],[Retailer]]))</f>
        <v>Bavaria Motors</v>
      </c>
    </row>
    <row r="3225" spans="1:36" ht="14.25" hidden="1" x14ac:dyDescent="0.2">
      <c r="A3225" t="s">
        <v>4397</v>
      </c>
      <c r="B3225" s="1">
        <v>46062</v>
      </c>
      <c r="C3225" t="s">
        <v>121</v>
      </c>
      <c r="D3225" t="s">
        <v>25</v>
      </c>
      <c r="E3225" t="s">
        <v>26</v>
      </c>
      <c r="F3225" t="s">
        <v>74</v>
      </c>
      <c r="G3225" t="s">
        <v>75</v>
      </c>
      <c r="H3225" t="s">
        <v>76</v>
      </c>
      <c r="I3225" t="s">
        <v>64</v>
      </c>
      <c r="J3225" t="s">
        <v>111</v>
      </c>
      <c r="K3225" t="s">
        <v>78</v>
      </c>
      <c r="L3225" t="s">
        <v>46</v>
      </c>
      <c r="M3225" t="s">
        <v>47</v>
      </c>
      <c r="N3225" t="s">
        <v>35</v>
      </c>
      <c r="O3225" t="s">
        <v>70</v>
      </c>
      <c r="P3225" t="s">
        <v>71</v>
      </c>
      <c r="Q3225" t="s">
        <v>204</v>
      </c>
      <c r="R3225">
        <v>253</v>
      </c>
      <c r="S3225">
        <v>146</v>
      </c>
      <c r="T3225">
        <v>110</v>
      </c>
      <c r="U3225">
        <v>41</v>
      </c>
      <c r="V3225" t="s">
        <v>6545</v>
      </c>
      <c r="W3225">
        <v>66627</v>
      </c>
      <c r="X3225" t="s">
        <v>5094</v>
      </c>
      <c r="Y3225">
        <v>50349</v>
      </c>
      <c r="Z3225">
        <v>2731707</v>
      </c>
      <c r="AA3225">
        <v>667398</v>
      </c>
      <c r="AB3225" t="str">
        <f>(VLOOKUP(SalesData[[#This Row],[Month Number]],Reference!C$5:E$16,2,FALSE))</f>
        <v>Feb</v>
      </c>
      <c r="AC3225">
        <f>MONTH(SalesData[[#This Row],[Date]])</f>
        <v>2</v>
      </c>
      <c r="AD3225">
        <f>Reference!F$4</f>
        <v>2026</v>
      </c>
      <c r="AE3225" t="str">
        <f>IF(OR(SalesData[[#This Row],[Day]]="Saturday",SalesData[[#This Row],[Day]]="Sunday"),"Weekend","Weekday")</f>
        <v>Weekday</v>
      </c>
      <c r="AF3225" s="5">
        <f>IF(SalesData[[#This Row],[Contracts Offered]]=0,0,SalesData[[#This Row],[Contracts Signed]]/SalesData[[#This Row],[Contracts Offered]])</f>
        <v>0.37272727272727274</v>
      </c>
      <c r="AG3225" s="5">
        <f>IF(SalesData[[#This Row],[Customers Visited]]=0,0,SalesData[[#This Row],[Test Drives]]/SalesData[[#This Row],[Customers Visited]])</f>
        <v>0.57707509881422925</v>
      </c>
      <c r="AH3225" s="5">
        <f>IF(SalesData[[#This Row],[Customers Visited]]=0,0,SalesData[[#This Row],[Contracts Signed]]/SalesData[[#This Row],[Customers Visited]])</f>
        <v>0.16205533596837945</v>
      </c>
      <c r="AI3225" s="6">
        <f>IF(SalesData[[#This Row],[Contracts Signed]]=0,0,SalesData[[#This Row],[Profit(€)]]/SalesData[[#This Row],[Contracts Signed]])</f>
        <v>16278</v>
      </c>
      <c r="AJ3225" s="5" t="str">
        <f>TRIM(CLEAN(SalesData[[#This Row],[Retailer]]))</f>
        <v>Stuttgart Auto Center</v>
      </c>
    </row>
    <row r="3226" spans="1:36" ht="14.25" hidden="1" x14ac:dyDescent="0.2">
      <c r="A3226" t="s">
        <v>4398</v>
      </c>
      <c r="B3226" s="1">
        <v>46078</v>
      </c>
      <c r="C3226" t="s">
        <v>53</v>
      </c>
      <c r="D3226" t="s">
        <v>82</v>
      </c>
      <c r="E3226" t="s">
        <v>26</v>
      </c>
      <c r="F3226" t="s">
        <v>127</v>
      </c>
      <c r="G3226" t="s">
        <v>128</v>
      </c>
      <c r="H3226" t="s">
        <v>103</v>
      </c>
      <c r="I3226" t="s">
        <v>116</v>
      </c>
      <c r="J3226" t="s">
        <v>203</v>
      </c>
      <c r="K3226" t="s">
        <v>32</v>
      </c>
      <c r="L3226" t="s">
        <v>67</v>
      </c>
      <c r="M3226" t="s">
        <v>68</v>
      </c>
      <c r="N3226" t="s">
        <v>69</v>
      </c>
      <c r="O3226" t="s">
        <v>70</v>
      </c>
      <c r="P3226" t="s">
        <v>37</v>
      </c>
      <c r="Q3226" t="s">
        <v>347</v>
      </c>
      <c r="R3226">
        <v>320</v>
      </c>
      <c r="S3226">
        <v>170</v>
      </c>
      <c r="T3226">
        <v>98</v>
      </c>
      <c r="U3226">
        <v>24</v>
      </c>
      <c r="V3226" t="s">
        <v>2825</v>
      </c>
      <c r="W3226">
        <v>26889</v>
      </c>
      <c r="X3226" t="s">
        <v>670</v>
      </c>
      <c r="Y3226">
        <v>24846</v>
      </c>
      <c r="Z3226">
        <v>645336</v>
      </c>
      <c r="AA3226">
        <v>49032</v>
      </c>
      <c r="AB3226" t="str">
        <f>(VLOOKUP(SalesData[[#This Row],[Month Number]],Reference!C$5:E$16,2,FALSE))</f>
        <v>Feb</v>
      </c>
      <c r="AC3226">
        <f>MONTH(SalesData[[#This Row],[Date]])</f>
        <v>2</v>
      </c>
      <c r="AD3226">
        <f>Reference!F$4</f>
        <v>2026</v>
      </c>
      <c r="AE3226" t="str">
        <f>IF(OR(SalesData[[#This Row],[Day]]="Saturday",SalesData[[#This Row],[Day]]="Sunday"),"Weekend","Weekday")</f>
        <v>Weekday</v>
      </c>
      <c r="AF3226" s="5">
        <f>IF(SalesData[[#This Row],[Contracts Offered]]=0,0,SalesData[[#This Row],[Contracts Signed]]/SalesData[[#This Row],[Contracts Offered]])</f>
        <v>0.24489795918367346</v>
      </c>
      <c r="AG3226" s="5">
        <f>IF(SalesData[[#This Row],[Customers Visited]]=0,0,SalesData[[#This Row],[Test Drives]]/SalesData[[#This Row],[Customers Visited]])</f>
        <v>0.53125</v>
      </c>
      <c r="AH3226" s="5">
        <f>IF(SalesData[[#This Row],[Customers Visited]]=0,0,SalesData[[#This Row],[Contracts Signed]]/SalesData[[#This Row],[Customers Visited]])</f>
        <v>7.4999999999999997E-2</v>
      </c>
      <c r="AI3226" s="6">
        <f>IF(SalesData[[#This Row],[Contracts Signed]]=0,0,SalesData[[#This Row],[Profit(€)]]/SalesData[[#This Row],[Contracts Signed]])</f>
        <v>2043</v>
      </c>
      <c r="AJ3226" s="5" t="str">
        <f>TRIM(CLEAN(SalesData[[#This Row],[Retailer]]))</f>
        <v>Rhein Auto Group</v>
      </c>
    </row>
    <row r="3227" spans="1:36" ht="14.25" x14ac:dyDescent="0.2">
      <c r="A3227" t="s">
        <v>4399</v>
      </c>
      <c r="B3227" s="1">
        <v>46065</v>
      </c>
      <c r="C3227" t="s">
        <v>121</v>
      </c>
      <c r="D3227" t="s">
        <v>100</v>
      </c>
      <c r="E3227" t="s">
        <v>26</v>
      </c>
      <c r="F3227" t="s">
        <v>127</v>
      </c>
      <c r="G3227" t="s">
        <v>128</v>
      </c>
      <c r="H3227" t="s">
        <v>103</v>
      </c>
      <c r="I3227" t="s">
        <v>30</v>
      </c>
      <c r="J3227" t="s">
        <v>188</v>
      </c>
      <c r="K3227" t="s">
        <v>78</v>
      </c>
      <c r="L3227" t="s">
        <v>33</v>
      </c>
      <c r="M3227" t="s">
        <v>34</v>
      </c>
      <c r="N3227" t="s">
        <v>48</v>
      </c>
      <c r="O3227" t="s">
        <v>36</v>
      </c>
      <c r="P3227" t="s">
        <v>37</v>
      </c>
      <c r="Q3227" t="s">
        <v>347</v>
      </c>
      <c r="R3227">
        <v>278</v>
      </c>
      <c r="S3227">
        <v>168</v>
      </c>
      <c r="T3227">
        <v>117</v>
      </c>
      <c r="U3227">
        <v>46</v>
      </c>
      <c r="V3227" t="s">
        <v>6944</v>
      </c>
      <c r="W3227">
        <v>62988</v>
      </c>
      <c r="X3227" t="s">
        <v>2787</v>
      </c>
      <c r="Y3227">
        <v>48959</v>
      </c>
      <c r="Z3227">
        <v>2897448</v>
      </c>
      <c r="AA3227">
        <v>645334</v>
      </c>
      <c r="AB3227" t="str">
        <f>(VLOOKUP(SalesData[[#This Row],[Month Number]],Reference!C$5:E$16,2,FALSE))</f>
        <v>Feb</v>
      </c>
      <c r="AC3227">
        <f>MONTH(SalesData[[#This Row],[Date]])</f>
        <v>2</v>
      </c>
      <c r="AD3227">
        <f>Reference!F$4</f>
        <v>2026</v>
      </c>
      <c r="AE3227" t="str">
        <f>IF(OR(SalesData[[#This Row],[Day]]="Saturday",SalesData[[#This Row],[Day]]="Sunday"),"Weekend","Weekday")</f>
        <v>Weekday</v>
      </c>
      <c r="AF3227" s="5">
        <f>IF(SalesData[[#This Row],[Contracts Offered]]=0,0,SalesData[[#This Row],[Contracts Signed]]/SalesData[[#This Row],[Contracts Offered]])</f>
        <v>0.39316239316239315</v>
      </c>
      <c r="AG3227" s="5">
        <f>IF(SalesData[[#This Row],[Customers Visited]]=0,0,SalesData[[#This Row],[Test Drives]]/SalesData[[#This Row],[Customers Visited]])</f>
        <v>0.60431654676258995</v>
      </c>
      <c r="AH3227" s="5">
        <f>IF(SalesData[[#This Row],[Customers Visited]]=0,0,SalesData[[#This Row],[Contracts Signed]]/SalesData[[#This Row],[Customers Visited]])</f>
        <v>0.16546762589928057</v>
      </c>
      <c r="AI3227" s="6">
        <f>IF(SalesData[[#This Row],[Contracts Signed]]=0,0,SalesData[[#This Row],[Profit(€)]]/SalesData[[#This Row],[Contracts Signed]])</f>
        <v>14029</v>
      </c>
      <c r="AJ3227" s="5" t="str">
        <f>TRIM(CLEAN(SalesData[[#This Row],[Retailer]]))</f>
        <v>Rhein Auto Group</v>
      </c>
    </row>
    <row r="3228" spans="1:36" ht="14.25" hidden="1" x14ac:dyDescent="0.2">
      <c r="A3228" t="s">
        <v>4400</v>
      </c>
      <c r="B3228" s="1">
        <v>46059</v>
      </c>
      <c r="C3228" t="s">
        <v>24</v>
      </c>
      <c r="D3228" t="s">
        <v>54</v>
      </c>
      <c r="E3228" t="s">
        <v>26</v>
      </c>
      <c r="F3228" t="s">
        <v>101</v>
      </c>
      <c r="G3228" t="s">
        <v>102</v>
      </c>
      <c r="H3228" t="s">
        <v>103</v>
      </c>
      <c r="I3228" t="s">
        <v>64</v>
      </c>
      <c r="J3228" t="s">
        <v>111</v>
      </c>
      <c r="K3228" t="s">
        <v>91</v>
      </c>
      <c r="L3228" t="s">
        <v>46</v>
      </c>
      <c r="M3228" t="s">
        <v>34</v>
      </c>
      <c r="N3228" t="s">
        <v>35</v>
      </c>
      <c r="O3228" t="s">
        <v>36</v>
      </c>
      <c r="P3228" t="s">
        <v>49</v>
      </c>
      <c r="Q3228" t="s">
        <v>144</v>
      </c>
      <c r="R3228">
        <v>239</v>
      </c>
      <c r="S3228">
        <v>106</v>
      </c>
      <c r="T3228">
        <v>82</v>
      </c>
      <c r="U3228">
        <v>23</v>
      </c>
      <c r="V3228" t="s">
        <v>6426</v>
      </c>
      <c r="W3228">
        <v>57312</v>
      </c>
      <c r="X3228" t="s">
        <v>7517</v>
      </c>
      <c r="Y3228">
        <v>43925</v>
      </c>
      <c r="Z3228">
        <v>1318176</v>
      </c>
      <c r="AA3228">
        <v>307901</v>
      </c>
      <c r="AB3228" t="str">
        <f>(VLOOKUP(SalesData[[#This Row],[Month Number]],Reference!C$5:E$16,2,FALSE))</f>
        <v>Feb</v>
      </c>
      <c r="AC3228">
        <f>MONTH(SalesData[[#This Row],[Date]])</f>
        <v>2</v>
      </c>
      <c r="AD3228">
        <f>Reference!F$4</f>
        <v>2026</v>
      </c>
      <c r="AE3228" t="str">
        <f>IF(OR(SalesData[[#This Row],[Day]]="Saturday",SalesData[[#This Row],[Day]]="Sunday"),"Weekend","Weekday")</f>
        <v>Weekday</v>
      </c>
      <c r="AF3228" s="5">
        <f>IF(SalesData[[#This Row],[Contracts Offered]]=0,0,SalesData[[#This Row],[Contracts Signed]]/SalesData[[#This Row],[Contracts Offered]])</f>
        <v>0.28048780487804881</v>
      </c>
      <c r="AG3228" s="5">
        <f>IF(SalesData[[#This Row],[Customers Visited]]=0,0,SalesData[[#This Row],[Test Drives]]/SalesData[[#This Row],[Customers Visited]])</f>
        <v>0.44351464435146443</v>
      </c>
      <c r="AH3228" s="5">
        <f>IF(SalesData[[#This Row],[Customers Visited]]=0,0,SalesData[[#This Row],[Contracts Signed]]/SalesData[[#This Row],[Customers Visited]])</f>
        <v>9.6234309623430964E-2</v>
      </c>
      <c r="AI3228" s="6">
        <f>IF(SalesData[[#This Row],[Contracts Signed]]=0,0,SalesData[[#This Row],[Profit(€)]]/SalesData[[#This Row],[Contracts Signed]])</f>
        <v>13387</v>
      </c>
      <c r="AJ3228" s="5" t="str">
        <f>TRIM(CLEAN(SalesData[[#This Row],[Retailer]]))</f>
        <v>Ruhr Auto Plaza</v>
      </c>
    </row>
    <row r="3229" spans="1:36" ht="14.25" hidden="1" x14ac:dyDescent="0.2">
      <c r="A3229" t="s">
        <v>4402</v>
      </c>
      <c r="B3229" s="1">
        <v>46064</v>
      </c>
      <c r="C3229" t="s">
        <v>121</v>
      </c>
      <c r="D3229" t="s">
        <v>82</v>
      </c>
      <c r="E3229" t="s">
        <v>26</v>
      </c>
      <c r="F3229" t="s">
        <v>109</v>
      </c>
      <c r="G3229" t="s">
        <v>110</v>
      </c>
      <c r="H3229" t="s">
        <v>45</v>
      </c>
      <c r="I3229" t="s">
        <v>56</v>
      </c>
      <c r="J3229" t="s">
        <v>97</v>
      </c>
      <c r="K3229" t="s">
        <v>91</v>
      </c>
      <c r="L3229" t="s">
        <v>33</v>
      </c>
      <c r="M3229" t="s">
        <v>47</v>
      </c>
      <c r="N3229" t="s">
        <v>35</v>
      </c>
      <c r="O3229" t="s">
        <v>36</v>
      </c>
      <c r="P3229" t="s">
        <v>58</v>
      </c>
      <c r="Q3229" t="s">
        <v>38</v>
      </c>
      <c r="R3229">
        <v>238</v>
      </c>
      <c r="S3229">
        <v>130</v>
      </c>
      <c r="T3229">
        <v>84</v>
      </c>
      <c r="U3229">
        <v>35</v>
      </c>
      <c r="V3229" t="s">
        <v>6476</v>
      </c>
      <c r="W3229">
        <v>45694</v>
      </c>
      <c r="X3229" t="s">
        <v>1619</v>
      </c>
      <c r="Y3229">
        <v>34409</v>
      </c>
      <c r="Z3229">
        <v>1599290</v>
      </c>
      <c r="AA3229">
        <v>394975</v>
      </c>
      <c r="AB3229" t="str">
        <f>(VLOOKUP(SalesData[[#This Row],[Month Number]],Reference!C$5:E$16,2,FALSE))</f>
        <v>Feb</v>
      </c>
      <c r="AC3229">
        <f>MONTH(SalesData[[#This Row],[Date]])</f>
        <v>2</v>
      </c>
      <c r="AD3229">
        <f>Reference!F$4</f>
        <v>2026</v>
      </c>
      <c r="AE3229" t="str">
        <f>IF(OR(SalesData[[#This Row],[Day]]="Saturday",SalesData[[#This Row],[Day]]="Sunday"),"Weekend","Weekday")</f>
        <v>Weekday</v>
      </c>
      <c r="AF3229" s="5">
        <f>IF(SalesData[[#This Row],[Contracts Offered]]=0,0,SalesData[[#This Row],[Contracts Signed]]/SalesData[[#This Row],[Contracts Offered]])</f>
        <v>0.41666666666666669</v>
      </c>
      <c r="AG3229" s="5">
        <f>IF(SalesData[[#This Row],[Customers Visited]]=0,0,SalesData[[#This Row],[Test Drives]]/SalesData[[#This Row],[Customers Visited]])</f>
        <v>0.54621848739495793</v>
      </c>
      <c r="AH3229" s="5">
        <f>IF(SalesData[[#This Row],[Customers Visited]]=0,0,SalesData[[#This Row],[Contracts Signed]]/SalesData[[#This Row],[Customers Visited]])</f>
        <v>0.14705882352941177</v>
      </c>
      <c r="AI3229" s="6">
        <f>IF(SalesData[[#This Row],[Contracts Signed]]=0,0,SalesData[[#This Row],[Profit(€)]]/SalesData[[#This Row],[Contracts Signed]])</f>
        <v>11285</v>
      </c>
      <c r="AJ3229" s="5" t="str">
        <f>TRIM(CLEAN(SalesData[[#This Row],[Retailer]]))</f>
        <v>Leipzig Mobility</v>
      </c>
    </row>
    <row r="3230" spans="1:36" ht="14.25" hidden="1" x14ac:dyDescent="0.2">
      <c r="A3230" t="s">
        <v>4403</v>
      </c>
      <c r="B3230" s="1">
        <v>46075</v>
      </c>
      <c r="C3230" t="s">
        <v>53</v>
      </c>
      <c r="D3230" t="s">
        <v>41</v>
      </c>
      <c r="E3230" t="s">
        <v>42</v>
      </c>
      <c r="F3230" t="s">
        <v>7649</v>
      </c>
      <c r="G3230" t="s">
        <v>55</v>
      </c>
      <c r="H3230" t="s">
        <v>55</v>
      </c>
      <c r="I3230" t="s">
        <v>104</v>
      </c>
      <c r="J3230" t="s">
        <v>143</v>
      </c>
      <c r="K3230" t="s">
        <v>32</v>
      </c>
      <c r="L3230" t="s">
        <v>67</v>
      </c>
      <c r="M3230" t="s">
        <v>68</v>
      </c>
      <c r="N3230" t="s">
        <v>48</v>
      </c>
      <c r="O3230" t="s">
        <v>36</v>
      </c>
      <c r="P3230" t="s">
        <v>58</v>
      </c>
      <c r="Q3230" t="s">
        <v>38</v>
      </c>
      <c r="R3230">
        <v>463</v>
      </c>
      <c r="S3230">
        <v>267</v>
      </c>
      <c r="T3230">
        <v>156</v>
      </c>
      <c r="U3230">
        <v>60</v>
      </c>
      <c r="V3230" t="s">
        <v>6578</v>
      </c>
      <c r="W3230">
        <v>27939</v>
      </c>
      <c r="X3230" t="s">
        <v>258</v>
      </c>
      <c r="Y3230">
        <v>24109</v>
      </c>
      <c r="Z3230">
        <v>1676340</v>
      </c>
      <c r="AA3230">
        <v>229800</v>
      </c>
      <c r="AB3230" t="str">
        <f>(VLOOKUP(SalesData[[#This Row],[Month Number]],Reference!C$5:E$16,2,FALSE))</f>
        <v>Feb</v>
      </c>
      <c r="AC3230">
        <f>MONTH(SalesData[[#This Row],[Date]])</f>
        <v>2</v>
      </c>
      <c r="AD3230">
        <f>Reference!F$4</f>
        <v>2026</v>
      </c>
      <c r="AE3230" t="str">
        <f>IF(OR(SalesData[[#This Row],[Day]]="Saturday",SalesData[[#This Row],[Day]]="Sunday"),"Weekend","Weekday")</f>
        <v>Weekend</v>
      </c>
      <c r="AF3230" s="5">
        <f>IF(SalesData[[#This Row],[Contracts Offered]]=0,0,SalesData[[#This Row],[Contracts Signed]]/SalesData[[#This Row],[Contracts Offered]])</f>
        <v>0.38461538461538464</v>
      </c>
      <c r="AG3230" s="5">
        <f>IF(SalesData[[#This Row],[Customers Visited]]=0,0,SalesData[[#This Row],[Test Drives]]/SalesData[[#This Row],[Customers Visited]])</f>
        <v>0.57667386609071269</v>
      </c>
      <c r="AH3230" s="5">
        <f>IF(SalesData[[#This Row],[Customers Visited]]=0,0,SalesData[[#This Row],[Contracts Signed]]/SalesData[[#This Row],[Customers Visited]])</f>
        <v>0.12958963282937366</v>
      </c>
      <c r="AI3230" s="6">
        <f>IF(SalesData[[#This Row],[Contracts Signed]]=0,0,SalesData[[#This Row],[Profit(€)]]/SalesData[[#This Row],[Contracts Signed]])</f>
        <v>3830</v>
      </c>
      <c r="AJ3230" s="5" t="str">
        <f>TRIM(CLEAN(SalesData[[#This Row],[Retailer]]))</f>
        <v>Autohaus Berlin</v>
      </c>
    </row>
    <row r="3231" spans="1:36" ht="14.25" hidden="1" x14ac:dyDescent="0.2">
      <c r="A3231" t="s">
        <v>4404</v>
      </c>
      <c r="B3231" s="1">
        <v>46066</v>
      </c>
      <c r="C3231" t="s">
        <v>121</v>
      </c>
      <c r="D3231" t="s">
        <v>54</v>
      </c>
      <c r="E3231" t="s">
        <v>26</v>
      </c>
      <c r="F3231" t="s">
        <v>43</v>
      </c>
      <c r="G3231" t="s">
        <v>44</v>
      </c>
      <c r="H3231" t="s">
        <v>45</v>
      </c>
      <c r="I3231" t="s">
        <v>64</v>
      </c>
      <c r="J3231" t="s">
        <v>7029</v>
      </c>
      <c r="K3231" t="s">
        <v>78</v>
      </c>
      <c r="L3231" t="s">
        <v>33</v>
      </c>
      <c r="M3231" t="s">
        <v>47</v>
      </c>
      <c r="N3231" t="s">
        <v>69</v>
      </c>
      <c r="O3231" t="s">
        <v>36</v>
      </c>
      <c r="P3231" t="s">
        <v>49</v>
      </c>
      <c r="Q3231" t="s">
        <v>189</v>
      </c>
      <c r="R3231">
        <v>280</v>
      </c>
      <c r="S3231">
        <v>128</v>
      </c>
      <c r="T3231">
        <v>91</v>
      </c>
      <c r="U3231">
        <v>29</v>
      </c>
      <c r="V3231" t="s">
        <v>6958</v>
      </c>
      <c r="W3231">
        <v>50876</v>
      </c>
      <c r="X3231" t="s">
        <v>7343</v>
      </c>
      <c r="Y3231">
        <v>37129</v>
      </c>
      <c r="Z3231">
        <v>1475404</v>
      </c>
      <c r="AA3231">
        <v>398663</v>
      </c>
      <c r="AB3231" t="str">
        <f>(VLOOKUP(SalesData[[#This Row],[Month Number]],Reference!C$5:E$16,2,FALSE))</f>
        <v>Feb</v>
      </c>
      <c r="AC3231">
        <f>MONTH(SalesData[[#This Row],[Date]])</f>
        <v>2</v>
      </c>
      <c r="AD3231">
        <f>Reference!F$4</f>
        <v>2026</v>
      </c>
      <c r="AE3231" t="str">
        <f>IF(OR(SalesData[[#This Row],[Day]]="Saturday",SalesData[[#This Row],[Day]]="Sunday"),"Weekend","Weekday")</f>
        <v>Weekday</v>
      </c>
      <c r="AF3231" s="5">
        <f>IF(SalesData[[#This Row],[Contracts Offered]]=0,0,SalesData[[#This Row],[Contracts Signed]]/SalesData[[#This Row],[Contracts Offered]])</f>
        <v>0.31868131868131866</v>
      </c>
      <c r="AG3231" s="5">
        <f>IF(SalesData[[#This Row],[Customers Visited]]=0,0,SalesData[[#This Row],[Test Drives]]/SalesData[[#This Row],[Customers Visited]])</f>
        <v>0.45714285714285713</v>
      </c>
      <c r="AH3231" s="5">
        <f>IF(SalesData[[#This Row],[Customers Visited]]=0,0,SalesData[[#This Row],[Contracts Signed]]/SalesData[[#This Row],[Customers Visited]])</f>
        <v>0.10357142857142858</v>
      </c>
      <c r="AI3231" s="6">
        <f>IF(SalesData[[#This Row],[Contracts Signed]]=0,0,SalesData[[#This Row],[Profit(€)]]/SalesData[[#This Row],[Contracts Signed]])</f>
        <v>13747</v>
      </c>
      <c r="AJ3231" s="5" t="str">
        <f>TRIM(CLEAN(SalesData[[#This Row],[Retailer]]))</f>
        <v>Saxon Wheels</v>
      </c>
    </row>
    <row r="3232" spans="1:36" ht="14.25" hidden="1" x14ac:dyDescent="0.2">
      <c r="A3232" t="s">
        <v>4405</v>
      </c>
      <c r="B3232" s="1">
        <v>46073</v>
      </c>
      <c r="C3232" t="s">
        <v>62</v>
      </c>
      <c r="D3232" t="s">
        <v>54</v>
      </c>
      <c r="E3232" t="s">
        <v>26</v>
      </c>
      <c r="F3232" t="s">
        <v>83</v>
      </c>
      <c r="G3232" t="s">
        <v>84</v>
      </c>
      <c r="H3232" t="s">
        <v>85</v>
      </c>
      <c r="I3232" t="s">
        <v>64</v>
      </c>
      <c r="J3232" t="s">
        <v>157</v>
      </c>
      <c r="K3232" t="s">
        <v>66</v>
      </c>
      <c r="L3232" t="s">
        <v>33</v>
      </c>
      <c r="M3232" t="s">
        <v>34</v>
      </c>
      <c r="N3232" t="s">
        <v>48</v>
      </c>
      <c r="O3232" t="s">
        <v>36</v>
      </c>
      <c r="P3232" t="s">
        <v>71</v>
      </c>
      <c r="Q3232" t="s">
        <v>129</v>
      </c>
      <c r="R3232">
        <v>288</v>
      </c>
      <c r="S3232">
        <v>169</v>
      </c>
      <c r="T3232">
        <v>128</v>
      </c>
      <c r="U3232">
        <v>46</v>
      </c>
      <c r="V3232" t="s">
        <v>6685</v>
      </c>
      <c r="W3232">
        <v>55424</v>
      </c>
      <c r="X3232" t="s">
        <v>7177</v>
      </c>
      <c r="Y3232">
        <v>41427</v>
      </c>
      <c r="Z3232">
        <v>2549504</v>
      </c>
      <c r="AA3232">
        <v>643862</v>
      </c>
      <c r="AB3232" t="str">
        <f>(VLOOKUP(SalesData[[#This Row],[Month Number]],Reference!C$5:E$16,2,FALSE))</f>
        <v>Feb</v>
      </c>
      <c r="AC3232">
        <f>MONTH(SalesData[[#This Row],[Date]])</f>
        <v>2</v>
      </c>
      <c r="AD3232">
        <f>Reference!F$4</f>
        <v>2026</v>
      </c>
      <c r="AE3232" t="str">
        <f>IF(OR(SalesData[[#This Row],[Day]]="Saturday",SalesData[[#This Row],[Day]]="Sunday"),"Weekend","Weekday")</f>
        <v>Weekday</v>
      </c>
      <c r="AF3232" s="5">
        <f>IF(SalesData[[#This Row],[Contracts Offered]]=0,0,SalesData[[#This Row],[Contracts Signed]]/SalesData[[#This Row],[Contracts Offered]])</f>
        <v>0.359375</v>
      </c>
      <c r="AG3232" s="5">
        <f>IF(SalesData[[#This Row],[Customers Visited]]=0,0,SalesData[[#This Row],[Test Drives]]/SalesData[[#This Row],[Customers Visited]])</f>
        <v>0.58680555555555558</v>
      </c>
      <c r="AH3232" s="5">
        <f>IF(SalesData[[#This Row],[Customers Visited]]=0,0,SalesData[[#This Row],[Contracts Signed]]/SalesData[[#This Row],[Customers Visited]])</f>
        <v>0.15972222222222221</v>
      </c>
      <c r="AI3232" s="6">
        <f>IF(SalesData[[#This Row],[Contracts Signed]]=0,0,SalesData[[#This Row],[Profit(€)]]/SalesData[[#This Row],[Contracts Signed]])</f>
        <v>13997</v>
      </c>
      <c r="AJ3232" s="5" t="str">
        <f>TRIM(CLEAN(SalesData[[#This Row],[Retailer]]))</f>
        <v>Hannover Cars</v>
      </c>
    </row>
    <row r="3233" spans="1:36" ht="14.25" x14ac:dyDescent="0.2">
      <c r="A3233" t="s">
        <v>4406</v>
      </c>
      <c r="B3233" s="1">
        <v>46066</v>
      </c>
      <c r="C3233" t="s">
        <v>121</v>
      </c>
      <c r="D3233" t="s">
        <v>54</v>
      </c>
      <c r="E3233" t="s">
        <v>26</v>
      </c>
      <c r="F3233" t="s">
        <v>114</v>
      </c>
      <c r="G3233" t="s">
        <v>115</v>
      </c>
      <c r="H3233" t="s">
        <v>115</v>
      </c>
      <c r="I3233" t="s">
        <v>30</v>
      </c>
      <c r="J3233" t="s">
        <v>7075</v>
      </c>
      <c r="K3233" t="s">
        <v>32</v>
      </c>
      <c r="L3233" t="s">
        <v>33</v>
      </c>
      <c r="M3233" t="s">
        <v>68</v>
      </c>
      <c r="N3233" t="s">
        <v>69</v>
      </c>
      <c r="O3233" t="s">
        <v>36</v>
      </c>
      <c r="P3233" t="s">
        <v>37</v>
      </c>
      <c r="Q3233" t="s">
        <v>135</v>
      </c>
      <c r="R3233">
        <v>240</v>
      </c>
      <c r="S3233">
        <v>137</v>
      </c>
      <c r="T3233">
        <v>110</v>
      </c>
      <c r="U3233">
        <v>36</v>
      </c>
      <c r="V3233" t="s">
        <v>6619</v>
      </c>
      <c r="W3233">
        <v>60601</v>
      </c>
      <c r="X3233" t="s">
        <v>2155</v>
      </c>
      <c r="Y3233">
        <v>42987</v>
      </c>
      <c r="Z3233">
        <v>2181636</v>
      </c>
      <c r="AA3233">
        <v>634104</v>
      </c>
      <c r="AB3233" t="str">
        <f>(VLOOKUP(SalesData[[#This Row],[Month Number]],Reference!C$5:E$16,2,FALSE))</f>
        <v>Feb</v>
      </c>
      <c r="AC3233">
        <f>MONTH(SalesData[[#This Row],[Date]])</f>
        <v>2</v>
      </c>
      <c r="AD3233">
        <f>Reference!F$4</f>
        <v>2026</v>
      </c>
      <c r="AE3233" t="str">
        <f>IF(OR(SalesData[[#This Row],[Day]]="Saturday",SalesData[[#This Row],[Day]]="Sunday"),"Weekend","Weekday")</f>
        <v>Weekday</v>
      </c>
      <c r="AF3233" s="5">
        <f>IF(SalesData[[#This Row],[Contracts Offered]]=0,0,SalesData[[#This Row],[Contracts Signed]]/SalesData[[#This Row],[Contracts Offered]])</f>
        <v>0.32727272727272727</v>
      </c>
      <c r="AG3233" s="5">
        <f>IF(SalesData[[#This Row],[Customers Visited]]=0,0,SalesData[[#This Row],[Test Drives]]/SalesData[[#This Row],[Customers Visited]])</f>
        <v>0.5708333333333333</v>
      </c>
      <c r="AH3233" s="5">
        <f>IF(SalesData[[#This Row],[Customers Visited]]=0,0,SalesData[[#This Row],[Contracts Signed]]/SalesData[[#This Row],[Customers Visited]])</f>
        <v>0.15</v>
      </c>
      <c r="AI3233" s="6">
        <f>IF(SalesData[[#This Row],[Contracts Signed]]=0,0,SalesData[[#This Row],[Profit(€)]]/SalesData[[#This Row],[Contracts Signed]])</f>
        <v>17614</v>
      </c>
      <c r="AJ3233" s="5" t="str">
        <f>TRIM(CLEAN(SalesData[[#This Row],[Retailer]]))</f>
        <v>Elbe Drive</v>
      </c>
    </row>
    <row r="3234" spans="1:36" ht="14.25" hidden="1" x14ac:dyDescent="0.2">
      <c r="A3234" t="s">
        <v>4407</v>
      </c>
      <c r="B3234" s="1">
        <v>46057</v>
      </c>
      <c r="C3234" t="s">
        <v>24</v>
      </c>
      <c r="D3234" t="s">
        <v>82</v>
      </c>
      <c r="E3234" t="s">
        <v>26</v>
      </c>
      <c r="F3234" t="s">
        <v>94</v>
      </c>
      <c r="G3234" t="s">
        <v>95</v>
      </c>
      <c r="H3234" t="s">
        <v>96</v>
      </c>
      <c r="I3234" t="s">
        <v>116</v>
      </c>
      <c r="J3234" t="s">
        <v>203</v>
      </c>
      <c r="K3234" t="s">
        <v>66</v>
      </c>
      <c r="L3234" t="s">
        <v>67</v>
      </c>
      <c r="M3234" t="s">
        <v>47</v>
      </c>
      <c r="N3234" t="s">
        <v>48</v>
      </c>
      <c r="O3234" t="s">
        <v>36</v>
      </c>
      <c r="P3234" t="s">
        <v>49</v>
      </c>
      <c r="Q3234" t="s">
        <v>158</v>
      </c>
      <c r="R3234">
        <v>228</v>
      </c>
      <c r="S3234">
        <v>106</v>
      </c>
      <c r="T3234">
        <v>64</v>
      </c>
      <c r="U3234">
        <v>20</v>
      </c>
      <c r="V3234" t="s">
        <v>1162</v>
      </c>
      <c r="W3234">
        <v>25340</v>
      </c>
      <c r="X3234" t="s">
        <v>606</v>
      </c>
      <c r="Y3234">
        <v>22750</v>
      </c>
      <c r="Z3234">
        <v>506800</v>
      </c>
      <c r="AA3234">
        <v>51800</v>
      </c>
      <c r="AB3234" t="str">
        <f>(VLOOKUP(SalesData[[#This Row],[Month Number]],Reference!C$5:E$16,2,FALSE))</f>
        <v>Feb</v>
      </c>
      <c r="AC3234">
        <f>MONTH(SalesData[[#This Row],[Date]])</f>
        <v>2</v>
      </c>
      <c r="AD3234">
        <f>Reference!F$4</f>
        <v>2026</v>
      </c>
      <c r="AE3234" t="str">
        <f>IF(OR(SalesData[[#This Row],[Day]]="Saturday",SalesData[[#This Row],[Day]]="Sunday"),"Weekend","Weekday")</f>
        <v>Weekday</v>
      </c>
      <c r="AF3234" s="5">
        <f>IF(SalesData[[#This Row],[Contracts Offered]]=0,0,SalesData[[#This Row],[Contracts Signed]]/SalesData[[#This Row],[Contracts Offered]])</f>
        <v>0.3125</v>
      </c>
      <c r="AG3234" s="5">
        <f>IF(SalesData[[#This Row],[Customers Visited]]=0,0,SalesData[[#This Row],[Test Drives]]/SalesData[[#This Row],[Customers Visited]])</f>
        <v>0.46491228070175439</v>
      </c>
      <c r="AH3234" s="5">
        <f>IF(SalesData[[#This Row],[Customers Visited]]=0,0,SalesData[[#This Row],[Contracts Signed]]/SalesData[[#This Row],[Customers Visited]])</f>
        <v>8.771929824561403E-2</v>
      </c>
      <c r="AI3234" s="6">
        <f>IF(SalesData[[#This Row],[Contracts Signed]]=0,0,SalesData[[#This Row],[Profit(€)]]/SalesData[[#This Row],[Contracts Signed]])</f>
        <v>2590</v>
      </c>
      <c r="AJ3234" s="5" t="str">
        <f>TRIM(CLEAN(SalesData[[#This Row],[Retailer]]))</f>
        <v>Bavaria Motors</v>
      </c>
    </row>
    <row r="3235" spans="1:36" ht="14.25" x14ac:dyDescent="0.2">
      <c r="A3235" t="s">
        <v>4408</v>
      </c>
      <c r="B3235" s="1">
        <v>46071</v>
      </c>
      <c r="C3235" t="s">
        <v>62</v>
      </c>
      <c r="D3235" t="s">
        <v>82</v>
      </c>
      <c r="E3235" t="s">
        <v>26</v>
      </c>
      <c r="F3235" t="s">
        <v>114</v>
      </c>
      <c r="G3235" t="s">
        <v>115</v>
      </c>
      <c r="H3235" t="s">
        <v>115</v>
      </c>
      <c r="I3235" t="s">
        <v>30</v>
      </c>
      <c r="J3235" t="s">
        <v>188</v>
      </c>
      <c r="K3235" t="s">
        <v>91</v>
      </c>
      <c r="L3235" t="s">
        <v>33</v>
      </c>
      <c r="M3235" t="s">
        <v>34</v>
      </c>
      <c r="N3235" t="s">
        <v>48</v>
      </c>
      <c r="O3235" t="s">
        <v>36</v>
      </c>
      <c r="P3235" t="s">
        <v>37</v>
      </c>
      <c r="Q3235" t="s">
        <v>106</v>
      </c>
      <c r="R3235">
        <v>183</v>
      </c>
      <c r="S3235">
        <v>97</v>
      </c>
      <c r="T3235">
        <v>76</v>
      </c>
      <c r="U3235">
        <v>28</v>
      </c>
      <c r="V3235" t="s">
        <v>6693</v>
      </c>
      <c r="W3235">
        <v>67461</v>
      </c>
      <c r="X3235" t="s">
        <v>196</v>
      </c>
      <c r="Y3235">
        <v>52260</v>
      </c>
      <c r="Z3235">
        <v>1888908</v>
      </c>
      <c r="AA3235">
        <v>425628</v>
      </c>
      <c r="AB3235" t="str">
        <f>(VLOOKUP(SalesData[[#This Row],[Month Number]],Reference!C$5:E$16,2,FALSE))</f>
        <v>Feb</v>
      </c>
      <c r="AC3235">
        <f>MONTH(SalesData[[#This Row],[Date]])</f>
        <v>2</v>
      </c>
      <c r="AD3235">
        <f>Reference!F$4</f>
        <v>2026</v>
      </c>
      <c r="AE3235" t="str">
        <f>IF(OR(SalesData[[#This Row],[Day]]="Saturday",SalesData[[#This Row],[Day]]="Sunday"),"Weekend","Weekday")</f>
        <v>Weekday</v>
      </c>
      <c r="AF3235" s="5">
        <f>IF(SalesData[[#This Row],[Contracts Offered]]=0,0,SalesData[[#This Row],[Contracts Signed]]/SalesData[[#This Row],[Contracts Offered]])</f>
        <v>0.36842105263157893</v>
      </c>
      <c r="AG3235" s="5">
        <f>IF(SalesData[[#This Row],[Customers Visited]]=0,0,SalesData[[#This Row],[Test Drives]]/SalesData[[#This Row],[Customers Visited]])</f>
        <v>0.5300546448087432</v>
      </c>
      <c r="AH3235" s="5">
        <f>IF(SalesData[[#This Row],[Customers Visited]]=0,0,SalesData[[#This Row],[Contracts Signed]]/SalesData[[#This Row],[Customers Visited]])</f>
        <v>0.15300546448087432</v>
      </c>
      <c r="AI3235" s="6">
        <f>IF(SalesData[[#This Row],[Contracts Signed]]=0,0,SalesData[[#This Row],[Profit(€)]]/SalesData[[#This Row],[Contracts Signed]])</f>
        <v>15201</v>
      </c>
      <c r="AJ3235" s="5" t="str">
        <f>TRIM(CLEAN(SalesData[[#This Row],[Retailer]]))</f>
        <v>Elbe Drive</v>
      </c>
    </row>
    <row r="3236" spans="1:36" ht="14.25" hidden="1" x14ac:dyDescent="0.2">
      <c r="A3236" t="s">
        <v>4409</v>
      </c>
      <c r="B3236" s="1">
        <v>46067</v>
      </c>
      <c r="C3236" t="s">
        <v>121</v>
      </c>
      <c r="D3236" t="s">
        <v>151</v>
      </c>
      <c r="E3236" t="s">
        <v>42</v>
      </c>
      <c r="F3236" t="s">
        <v>7649</v>
      </c>
      <c r="G3236" t="s">
        <v>55</v>
      </c>
      <c r="H3236" t="s">
        <v>55</v>
      </c>
      <c r="I3236" t="s">
        <v>116</v>
      </c>
      <c r="J3236" t="s">
        <v>7026</v>
      </c>
      <c r="K3236" t="s">
        <v>91</v>
      </c>
      <c r="L3236" t="s">
        <v>46</v>
      </c>
      <c r="M3236" t="s">
        <v>87</v>
      </c>
      <c r="N3236" t="s">
        <v>48</v>
      </c>
      <c r="O3236" t="s">
        <v>70</v>
      </c>
      <c r="P3236" t="s">
        <v>49</v>
      </c>
      <c r="Q3236" t="s">
        <v>88</v>
      </c>
      <c r="R3236">
        <v>351</v>
      </c>
      <c r="S3236">
        <v>147</v>
      </c>
      <c r="T3236">
        <v>94</v>
      </c>
      <c r="U3236">
        <v>22</v>
      </c>
      <c r="V3236" t="s">
        <v>6849</v>
      </c>
      <c r="W3236">
        <v>25631</v>
      </c>
      <c r="X3236" t="s">
        <v>822</v>
      </c>
      <c r="Y3236">
        <v>23585</v>
      </c>
      <c r="Z3236">
        <v>563882</v>
      </c>
      <c r="AA3236">
        <v>45012</v>
      </c>
      <c r="AB3236" t="str">
        <f>(VLOOKUP(SalesData[[#This Row],[Month Number]],Reference!C$5:E$16,2,FALSE))</f>
        <v>Feb</v>
      </c>
      <c r="AC3236">
        <f>MONTH(SalesData[[#This Row],[Date]])</f>
        <v>2</v>
      </c>
      <c r="AD3236">
        <f>Reference!F$4</f>
        <v>2026</v>
      </c>
      <c r="AE3236" t="str">
        <f>IF(OR(SalesData[[#This Row],[Day]]="Saturday",SalesData[[#This Row],[Day]]="Sunday"),"Weekend","Weekday")</f>
        <v>Weekend</v>
      </c>
      <c r="AF3236" s="5">
        <f>IF(SalesData[[#This Row],[Contracts Offered]]=0,0,SalesData[[#This Row],[Contracts Signed]]/SalesData[[#This Row],[Contracts Offered]])</f>
        <v>0.23404255319148937</v>
      </c>
      <c r="AG3236" s="5">
        <f>IF(SalesData[[#This Row],[Customers Visited]]=0,0,SalesData[[#This Row],[Test Drives]]/SalesData[[#This Row],[Customers Visited]])</f>
        <v>0.41880341880341881</v>
      </c>
      <c r="AH3236" s="5">
        <f>IF(SalesData[[#This Row],[Customers Visited]]=0,0,SalesData[[#This Row],[Contracts Signed]]/SalesData[[#This Row],[Customers Visited]])</f>
        <v>6.2678062678062682E-2</v>
      </c>
      <c r="AI3236" s="6">
        <f>IF(SalesData[[#This Row],[Contracts Signed]]=0,0,SalesData[[#This Row],[Profit(€)]]/SalesData[[#This Row],[Contracts Signed]])</f>
        <v>2046</v>
      </c>
      <c r="AJ3236" s="5" t="str">
        <f>TRIM(CLEAN(SalesData[[#This Row],[Retailer]]))</f>
        <v>Autohaus Berlin</v>
      </c>
    </row>
    <row r="3237" spans="1:36" ht="14.25" hidden="1" x14ac:dyDescent="0.2">
      <c r="A3237" t="s">
        <v>4410</v>
      </c>
      <c r="B3237" s="1">
        <v>46054</v>
      </c>
      <c r="C3237" t="s">
        <v>24</v>
      </c>
      <c r="D3237" t="s">
        <v>41</v>
      </c>
      <c r="E3237" t="s">
        <v>42</v>
      </c>
      <c r="F3237" t="s">
        <v>127</v>
      </c>
      <c r="G3237" t="s">
        <v>128</v>
      </c>
      <c r="H3237" t="s">
        <v>103</v>
      </c>
      <c r="I3237" t="s">
        <v>116</v>
      </c>
      <c r="J3237" t="s">
        <v>203</v>
      </c>
      <c r="K3237" t="s">
        <v>32</v>
      </c>
      <c r="L3237" t="s">
        <v>67</v>
      </c>
      <c r="M3237" t="s">
        <v>87</v>
      </c>
      <c r="N3237" t="s">
        <v>35</v>
      </c>
      <c r="O3237" t="s">
        <v>70</v>
      </c>
      <c r="P3237" t="s">
        <v>71</v>
      </c>
      <c r="Q3237" t="s">
        <v>50</v>
      </c>
      <c r="R3237">
        <v>420</v>
      </c>
      <c r="S3237">
        <v>217</v>
      </c>
      <c r="T3237">
        <v>136</v>
      </c>
      <c r="U3237">
        <v>37</v>
      </c>
      <c r="V3237" t="s">
        <v>1203</v>
      </c>
      <c r="W3237">
        <v>22424</v>
      </c>
      <c r="X3237" t="s">
        <v>3733</v>
      </c>
      <c r="Y3237">
        <v>20176</v>
      </c>
      <c r="Z3237">
        <v>829688</v>
      </c>
      <c r="AA3237">
        <v>83176</v>
      </c>
      <c r="AB3237" t="str">
        <f>(VLOOKUP(SalesData[[#This Row],[Month Number]],Reference!C$5:E$16,2,FALSE))</f>
        <v>Feb</v>
      </c>
      <c r="AC3237">
        <f>MONTH(SalesData[[#This Row],[Date]])</f>
        <v>2</v>
      </c>
      <c r="AD3237">
        <f>Reference!F$4</f>
        <v>2026</v>
      </c>
      <c r="AE3237" t="str">
        <f>IF(OR(SalesData[[#This Row],[Day]]="Saturday",SalesData[[#This Row],[Day]]="Sunday"),"Weekend","Weekday")</f>
        <v>Weekend</v>
      </c>
      <c r="AF3237" s="5">
        <f>IF(SalesData[[#This Row],[Contracts Offered]]=0,0,SalesData[[#This Row],[Contracts Signed]]/SalesData[[#This Row],[Contracts Offered]])</f>
        <v>0.27205882352941174</v>
      </c>
      <c r="AG3237" s="5">
        <f>IF(SalesData[[#This Row],[Customers Visited]]=0,0,SalesData[[#This Row],[Test Drives]]/SalesData[[#This Row],[Customers Visited]])</f>
        <v>0.51666666666666672</v>
      </c>
      <c r="AH3237" s="5">
        <f>IF(SalesData[[#This Row],[Customers Visited]]=0,0,SalesData[[#This Row],[Contracts Signed]]/SalesData[[#This Row],[Customers Visited]])</f>
        <v>8.8095238095238101E-2</v>
      </c>
      <c r="AI3237" s="6">
        <f>IF(SalesData[[#This Row],[Contracts Signed]]=0,0,SalesData[[#This Row],[Profit(€)]]/SalesData[[#This Row],[Contracts Signed]])</f>
        <v>2248</v>
      </c>
      <c r="AJ3237" s="5" t="str">
        <f>TRIM(CLEAN(SalesData[[#This Row],[Retailer]]))</f>
        <v>Rhein Auto Group</v>
      </c>
    </row>
    <row r="3238" spans="1:36" ht="14.25" hidden="1" x14ac:dyDescent="0.2">
      <c r="A3238" t="s">
        <v>4411</v>
      </c>
      <c r="B3238" s="1">
        <v>46075</v>
      </c>
      <c r="C3238" t="s">
        <v>53</v>
      </c>
      <c r="D3238" t="s">
        <v>41</v>
      </c>
      <c r="E3238" t="s">
        <v>42</v>
      </c>
      <c r="F3238" t="s">
        <v>74</v>
      </c>
      <c r="G3238" t="s">
        <v>75</v>
      </c>
      <c r="H3238" t="s">
        <v>76</v>
      </c>
      <c r="I3238" t="s">
        <v>56</v>
      </c>
      <c r="J3238" t="s">
        <v>137</v>
      </c>
      <c r="K3238" t="s">
        <v>66</v>
      </c>
      <c r="L3238" t="s">
        <v>46</v>
      </c>
      <c r="M3238" t="s">
        <v>68</v>
      </c>
      <c r="N3238" t="s">
        <v>35</v>
      </c>
      <c r="O3238" t="s">
        <v>70</v>
      </c>
      <c r="P3238" t="s">
        <v>58</v>
      </c>
      <c r="Q3238" t="s">
        <v>38</v>
      </c>
      <c r="R3238">
        <v>222</v>
      </c>
      <c r="S3238">
        <v>128</v>
      </c>
      <c r="T3238">
        <v>86</v>
      </c>
      <c r="U3238">
        <v>32</v>
      </c>
      <c r="V3238" t="s">
        <v>6403</v>
      </c>
      <c r="W3238">
        <v>53472</v>
      </c>
      <c r="X3238" t="s">
        <v>796</v>
      </c>
      <c r="Y3238">
        <v>42761</v>
      </c>
      <c r="Z3238">
        <v>1711104</v>
      </c>
      <c r="AA3238">
        <v>342752</v>
      </c>
      <c r="AB3238" t="str">
        <f>(VLOOKUP(SalesData[[#This Row],[Month Number]],Reference!C$5:E$16,2,FALSE))</f>
        <v>Feb</v>
      </c>
      <c r="AC3238">
        <f>MONTH(SalesData[[#This Row],[Date]])</f>
        <v>2</v>
      </c>
      <c r="AD3238">
        <f>Reference!F$4</f>
        <v>2026</v>
      </c>
      <c r="AE3238" t="str">
        <f>IF(OR(SalesData[[#This Row],[Day]]="Saturday",SalesData[[#This Row],[Day]]="Sunday"),"Weekend","Weekday")</f>
        <v>Weekend</v>
      </c>
      <c r="AF3238" s="5">
        <f>IF(SalesData[[#This Row],[Contracts Offered]]=0,0,SalesData[[#This Row],[Contracts Signed]]/SalesData[[#This Row],[Contracts Offered]])</f>
        <v>0.37209302325581395</v>
      </c>
      <c r="AG3238" s="5">
        <f>IF(SalesData[[#This Row],[Customers Visited]]=0,0,SalesData[[#This Row],[Test Drives]]/SalesData[[#This Row],[Customers Visited]])</f>
        <v>0.57657657657657657</v>
      </c>
      <c r="AH3238" s="5">
        <f>IF(SalesData[[#This Row],[Customers Visited]]=0,0,SalesData[[#This Row],[Contracts Signed]]/SalesData[[#This Row],[Customers Visited]])</f>
        <v>0.14414414414414414</v>
      </c>
      <c r="AI3238" s="6">
        <f>IF(SalesData[[#This Row],[Contracts Signed]]=0,0,SalesData[[#This Row],[Profit(€)]]/SalesData[[#This Row],[Contracts Signed]])</f>
        <v>10711</v>
      </c>
      <c r="AJ3238" s="5" t="str">
        <f>TRIM(CLEAN(SalesData[[#This Row],[Retailer]]))</f>
        <v>Stuttgart Auto Center</v>
      </c>
    </row>
    <row r="3239" spans="1:36" ht="14.25" hidden="1" x14ac:dyDescent="0.2">
      <c r="A3239" t="s">
        <v>4412</v>
      </c>
      <c r="B3239" s="1">
        <v>46055</v>
      </c>
      <c r="C3239" t="s">
        <v>24</v>
      </c>
      <c r="D3239" t="s">
        <v>25</v>
      </c>
      <c r="E3239" t="s">
        <v>26</v>
      </c>
      <c r="F3239" t="s">
        <v>109</v>
      </c>
      <c r="G3239" t="s">
        <v>110</v>
      </c>
      <c r="H3239" t="s">
        <v>45</v>
      </c>
      <c r="I3239" t="s">
        <v>104</v>
      </c>
      <c r="J3239" t="s">
        <v>7031</v>
      </c>
      <c r="K3239" t="s">
        <v>78</v>
      </c>
      <c r="L3239" t="s">
        <v>46</v>
      </c>
      <c r="M3239" t="s">
        <v>34</v>
      </c>
      <c r="N3239" t="s">
        <v>35</v>
      </c>
      <c r="O3239" t="s">
        <v>70</v>
      </c>
      <c r="P3239" t="s">
        <v>71</v>
      </c>
      <c r="Q3239" t="s">
        <v>50</v>
      </c>
      <c r="R3239">
        <v>402</v>
      </c>
      <c r="S3239">
        <v>197</v>
      </c>
      <c r="T3239">
        <v>125</v>
      </c>
      <c r="U3239">
        <v>31</v>
      </c>
      <c r="V3239" t="s">
        <v>1996</v>
      </c>
      <c r="W3239">
        <v>27705</v>
      </c>
      <c r="X3239" t="s">
        <v>207</v>
      </c>
      <c r="Y3239">
        <v>24422</v>
      </c>
      <c r="Z3239">
        <v>858855</v>
      </c>
      <c r="AA3239">
        <v>101773</v>
      </c>
      <c r="AB3239" t="str">
        <f>(VLOOKUP(SalesData[[#This Row],[Month Number]],Reference!C$5:E$16,2,FALSE))</f>
        <v>Feb</v>
      </c>
      <c r="AC3239">
        <f>MONTH(SalesData[[#This Row],[Date]])</f>
        <v>2</v>
      </c>
      <c r="AD3239">
        <f>Reference!F$4</f>
        <v>2026</v>
      </c>
      <c r="AE3239" t="str">
        <f>IF(OR(SalesData[[#This Row],[Day]]="Saturday",SalesData[[#This Row],[Day]]="Sunday"),"Weekend","Weekday")</f>
        <v>Weekday</v>
      </c>
      <c r="AF3239" s="5">
        <f>IF(SalesData[[#This Row],[Contracts Offered]]=0,0,SalesData[[#This Row],[Contracts Signed]]/SalesData[[#This Row],[Contracts Offered]])</f>
        <v>0.248</v>
      </c>
      <c r="AG3239" s="5">
        <f>IF(SalesData[[#This Row],[Customers Visited]]=0,0,SalesData[[#This Row],[Test Drives]]/SalesData[[#This Row],[Customers Visited]])</f>
        <v>0.49004975124378108</v>
      </c>
      <c r="AH3239" s="5">
        <f>IF(SalesData[[#This Row],[Customers Visited]]=0,0,SalesData[[#This Row],[Contracts Signed]]/SalesData[[#This Row],[Customers Visited]])</f>
        <v>7.7114427860696513E-2</v>
      </c>
      <c r="AI3239" s="6">
        <f>IF(SalesData[[#This Row],[Contracts Signed]]=0,0,SalesData[[#This Row],[Profit(€)]]/SalesData[[#This Row],[Contracts Signed]])</f>
        <v>3283</v>
      </c>
      <c r="AJ3239" s="5" t="str">
        <f>TRIM(CLEAN(SalesData[[#This Row],[Retailer]]))</f>
        <v>Leipzig Mobility</v>
      </c>
    </row>
    <row r="3240" spans="1:36" ht="14.25" hidden="1" x14ac:dyDescent="0.2">
      <c r="A3240" t="s">
        <v>4413</v>
      </c>
      <c r="B3240" s="1">
        <v>46064</v>
      </c>
      <c r="C3240" t="s">
        <v>121</v>
      </c>
      <c r="D3240" t="s">
        <v>82</v>
      </c>
      <c r="E3240" t="s">
        <v>26</v>
      </c>
      <c r="F3240" t="s">
        <v>114</v>
      </c>
      <c r="G3240" t="s">
        <v>115</v>
      </c>
      <c r="H3240" t="s">
        <v>115</v>
      </c>
      <c r="I3240" t="s">
        <v>104</v>
      </c>
      <c r="J3240" t="s">
        <v>143</v>
      </c>
      <c r="K3240" t="s">
        <v>91</v>
      </c>
      <c r="L3240" t="s">
        <v>67</v>
      </c>
      <c r="M3240" t="s">
        <v>34</v>
      </c>
      <c r="N3240" t="s">
        <v>69</v>
      </c>
      <c r="O3240" t="s">
        <v>36</v>
      </c>
      <c r="P3240" t="s">
        <v>49</v>
      </c>
      <c r="Q3240" t="s">
        <v>79</v>
      </c>
      <c r="R3240">
        <v>518</v>
      </c>
      <c r="S3240">
        <v>245</v>
      </c>
      <c r="T3240">
        <v>175</v>
      </c>
      <c r="U3240">
        <v>44</v>
      </c>
      <c r="V3240" t="s">
        <v>1917</v>
      </c>
      <c r="W3240">
        <v>34088</v>
      </c>
      <c r="X3240" t="s">
        <v>3222</v>
      </c>
      <c r="Y3240">
        <v>30307</v>
      </c>
      <c r="Z3240">
        <v>1499872</v>
      </c>
      <c r="AA3240">
        <v>166364</v>
      </c>
      <c r="AB3240" t="str">
        <f>(VLOOKUP(SalesData[[#This Row],[Month Number]],Reference!C$5:E$16,2,FALSE))</f>
        <v>Feb</v>
      </c>
      <c r="AC3240">
        <f>MONTH(SalesData[[#This Row],[Date]])</f>
        <v>2</v>
      </c>
      <c r="AD3240">
        <f>Reference!F$4</f>
        <v>2026</v>
      </c>
      <c r="AE3240" t="str">
        <f>IF(OR(SalesData[[#This Row],[Day]]="Saturday",SalesData[[#This Row],[Day]]="Sunday"),"Weekend","Weekday")</f>
        <v>Weekday</v>
      </c>
      <c r="AF3240" s="5">
        <f>IF(SalesData[[#This Row],[Contracts Offered]]=0,0,SalesData[[#This Row],[Contracts Signed]]/SalesData[[#This Row],[Contracts Offered]])</f>
        <v>0.25142857142857145</v>
      </c>
      <c r="AG3240" s="5">
        <f>IF(SalesData[[#This Row],[Customers Visited]]=0,0,SalesData[[#This Row],[Test Drives]]/SalesData[[#This Row],[Customers Visited]])</f>
        <v>0.47297297297297297</v>
      </c>
      <c r="AH3240" s="5">
        <f>IF(SalesData[[#This Row],[Customers Visited]]=0,0,SalesData[[#This Row],[Contracts Signed]]/SalesData[[#This Row],[Customers Visited]])</f>
        <v>8.4942084942084939E-2</v>
      </c>
      <c r="AI3240" s="6">
        <f>IF(SalesData[[#This Row],[Contracts Signed]]=0,0,SalesData[[#This Row],[Profit(€)]]/SalesData[[#This Row],[Contracts Signed]])</f>
        <v>3781</v>
      </c>
      <c r="AJ3240" s="5" t="str">
        <f>TRIM(CLEAN(SalesData[[#This Row],[Retailer]]))</f>
        <v>Elbe Drive</v>
      </c>
    </row>
    <row r="3241" spans="1:36" ht="14.25" hidden="1" x14ac:dyDescent="0.2">
      <c r="A3241" t="s">
        <v>4414</v>
      </c>
      <c r="B3241" s="1">
        <v>46080</v>
      </c>
      <c r="C3241" t="s">
        <v>53</v>
      </c>
      <c r="D3241" t="s">
        <v>54</v>
      </c>
      <c r="E3241" t="s">
        <v>26</v>
      </c>
      <c r="F3241" t="s">
        <v>27</v>
      </c>
      <c r="G3241" t="s">
        <v>28</v>
      </c>
      <c r="H3241" t="s">
        <v>29</v>
      </c>
      <c r="I3241" t="s">
        <v>56</v>
      </c>
      <c r="J3241" t="s">
        <v>179</v>
      </c>
      <c r="K3241" t="s">
        <v>78</v>
      </c>
      <c r="L3241" t="s">
        <v>67</v>
      </c>
      <c r="M3241" t="s">
        <v>87</v>
      </c>
      <c r="N3241" t="s">
        <v>35</v>
      </c>
      <c r="O3241" t="s">
        <v>36</v>
      </c>
      <c r="P3241" t="s">
        <v>58</v>
      </c>
      <c r="Q3241" t="s">
        <v>144</v>
      </c>
      <c r="R3241">
        <v>280</v>
      </c>
      <c r="S3241">
        <v>151</v>
      </c>
      <c r="T3241">
        <v>115</v>
      </c>
      <c r="U3241">
        <v>40</v>
      </c>
      <c r="V3241" t="s">
        <v>7018</v>
      </c>
      <c r="W3241">
        <v>44297</v>
      </c>
      <c r="X3241" t="s">
        <v>1739</v>
      </c>
      <c r="Y3241">
        <v>35757</v>
      </c>
      <c r="Z3241">
        <v>1771880</v>
      </c>
      <c r="AA3241">
        <v>341600</v>
      </c>
      <c r="AB3241" t="str">
        <f>(VLOOKUP(SalesData[[#This Row],[Month Number]],Reference!C$5:E$16,2,FALSE))</f>
        <v>Feb</v>
      </c>
      <c r="AC3241">
        <f>MONTH(SalesData[[#This Row],[Date]])</f>
        <v>2</v>
      </c>
      <c r="AD3241">
        <f>Reference!F$4</f>
        <v>2026</v>
      </c>
      <c r="AE3241" t="str">
        <f>IF(OR(SalesData[[#This Row],[Day]]="Saturday",SalesData[[#This Row],[Day]]="Sunday"),"Weekend","Weekday")</f>
        <v>Weekday</v>
      </c>
      <c r="AF3241" s="5">
        <f>IF(SalesData[[#This Row],[Contracts Offered]]=0,0,SalesData[[#This Row],[Contracts Signed]]/SalesData[[#This Row],[Contracts Offered]])</f>
        <v>0.34782608695652173</v>
      </c>
      <c r="AG3241" s="5">
        <f>IF(SalesData[[#This Row],[Customers Visited]]=0,0,SalesData[[#This Row],[Test Drives]]/SalesData[[#This Row],[Customers Visited]])</f>
        <v>0.53928571428571426</v>
      </c>
      <c r="AH3241" s="5">
        <f>IF(SalesData[[#This Row],[Customers Visited]]=0,0,SalesData[[#This Row],[Contracts Signed]]/SalesData[[#This Row],[Customers Visited]])</f>
        <v>0.14285714285714285</v>
      </c>
      <c r="AI3241" s="6">
        <f>IF(SalesData[[#This Row],[Contracts Signed]]=0,0,SalesData[[#This Row],[Profit(€)]]/SalesData[[#This Row],[Contracts Signed]])</f>
        <v>8540</v>
      </c>
      <c r="AJ3241" s="5" t="str">
        <f>TRIM(CLEAN(SalesData[[#This Row],[Retailer]]))</f>
        <v>Main Auto Hub</v>
      </c>
    </row>
    <row r="3242" spans="1:36" ht="14.25" x14ac:dyDescent="0.2">
      <c r="A3242" t="s">
        <v>4415</v>
      </c>
      <c r="B3242" s="1">
        <v>46079</v>
      </c>
      <c r="C3242" t="s">
        <v>53</v>
      </c>
      <c r="D3242" t="s">
        <v>100</v>
      </c>
      <c r="E3242" t="s">
        <v>26</v>
      </c>
      <c r="F3242" t="s">
        <v>74</v>
      </c>
      <c r="G3242" t="s">
        <v>75</v>
      </c>
      <c r="H3242" t="s">
        <v>76</v>
      </c>
      <c r="I3242" t="s">
        <v>30</v>
      </c>
      <c r="J3242" t="s">
        <v>86</v>
      </c>
      <c r="K3242" t="s">
        <v>91</v>
      </c>
      <c r="L3242" t="s">
        <v>33</v>
      </c>
      <c r="M3242" t="s">
        <v>68</v>
      </c>
      <c r="N3242" t="s">
        <v>69</v>
      </c>
      <c r="O3242" t="s">
        <v>70</v>
      </c>
      <c r="P3242" t="s">
        <v>58</v>
      </c>
      <c r="Q3242" t="s">
        <v>106</v>
      </c>
      <c r="R3242">
        <v>218</v>
      </c>
      <c r="S3242">
        <v>103</v>
      </c>
      <c r="T3242">
        <v>73</v>
      </c>
      <c r="U3242">
        <v>33</v>
      </c>
      <c r="V3242" t="s">
        <v>7447</v>
      </c>
      <c r="W3242">
        <v>52094</v>
      </c>
      <c r="X3242" t="s">
        <v>7078</v>
      </c>
      <c r="Y3242">
        <v>39641</v>
      </c>
      <c r="Z3242">
        <v>1719102</v>
      </c>
      <c r="AA3242">
        <v>410949</v>
      </c>
      <c r="AB3242" t="str">
        <f>(VLOOKUP(SalesData[[#This Row],[Month Number]],Reference!C$5:E$16,2,FALSE))</f>
        <v>Feb</v>
      </c>
      <c r="AC3242">
        <f>MONTH(SalesData[[#This Row],[Date]])</f>
        <v>2</v>
      </c>
      <c r="AD3242">
        <f>Reference!F$4</f>
        <v>2026</v>
      </c>
      <c r="AE3242" t="str">
        <f>IF(OR(SalesData[[#This Row],[Day]]="Saturday",SalesData[[#This Row],[Day]]="Sunday"),"Weekend","Weekday")</f>
        <v>Weekday</v>
      </c>
      <c r="AF3242" s="5">
        <f>IF(SalesData[[#This Row],[Contracts Offered]]=0,0,SalesData[[#This Row],[Contracts Signed]]/SalesData[[#This Row],[Contracts Offered]])</f>
        <v>0.45205479452054792</v>
      </c>
      <c r="AG3242" s="5">
        <f>IF(SalesData[[#This Row],[Customers Visited]]=0,0,SalesData[[#This Row],[Test Drives]]/SalesData[[#This Row],[Customers Visited]])</f>
        <v>0.47247706422018348</v>
      </c>
      <c r="AH3242" s="5">
        <f>IF(SalesData[[#This Row],[Customers Visited]]=0,0,SalesData[[#This Row],[Contracts Signed]]/SalesData[[#This Row],[Customers Visited]])</f>
        <v>0.15137614678899083</v>
      </c>
      <c r="AI3242" s="6">
        <f>IF(SalesData[[#This Row],[Contracts Signed]]=0,0,SalesData[[#This Row],[Profit(€)]]/SalesData[[#This Row],[Contracts Signed]])</f>
        <v>12453</v>
      </c>
      <c r="AJ3242" s="5" t="str">
        <f>TRIM(CLEAN(SalesData[[#This Row],[Retailer]]))</f>
        <v>Stuttgart Auto Center</v>
      </c>
    </row>
    <row r="3243" spans="1:36" ht="14.25" hidden="1" x14ac:dyDescent="0.2">
      <c r="A3243" t="s">
        <v>4416</v>
      </c>
      <c r="B3243" s="1">
        <v>46059</v>
      </c>
      <c r="C3243" t="s">
        <v>24</v>
      </c>
      <c r="D3243" t="s">
        <v>54</v>
      </c>
      <c r="E3243" t="s">
        <v>26</v>
      </c>
      <c r="F3243" t="s">
        <v>7649</v>
      </c>
      <c r="G3243" t="s">
        <v>55</v>
      </c>
      <c r="H3243" t="s">
        <v>55</v>
      </c>
      <c r="I3243" t="s">
        <v>56</v>
      </c>
      <c r="J3243" t="s">
        <v>97</v>
      </c>
      <c r="K3243" t="s">
        <v>32</v>
      </c>
      <c r="L3243" t="s">
        <v>33</v>
      </c>
      <c r="M3243" t="s">
        <v>87</v>
      </c>
      <c r="N3243" t="s">
        <v>48</v>
      </c>
      <c r="O3243" t="s">
        <v>70</v>
      </c>
      <c r="P3243" t="s">
        <v>71</v>
      </c>
      <c r="Q3243" t="s">
        <v>240</v>
      </c>
      <c r="R3243">
        <v>261</v>
      </c>
      <c r="S3243">
        <v>122</v>
      </c>
      <c r="T3243">
        <v>91</v>
      </c>
      <c r="U3243">
        <v>32</v>
      </c>
      <c r="V3243" t="s">
        <v>6751</v>
      </c>
      <c r="W3243">
        <v>39502</v>
      </c>
      <c r="X3243" t="s">
        <v>1066</v>
      </c>
      <c r="Y3243">
        <v>31319</v>
      </c>
      <c r="Z3243">
        <v>1264064</v>
      </c>
      <c r="AA3243">
        <v>261856</v>
      </c>
      <c r="AB3243" t="str">
        <f>(VLOOKUP(SalesData[[#This Row],[Month Number]],Reference!C$5:E$16,2,FALSE))</f>
        <v>Feb</v>
      </c>
      <c r="AC3243">
        <f>MONTH(SalesData[[#This Row],[Date]])</f>
        <v>2</v>
      </c>
      <c r="AD3243">
        <f>Reference!F$4</f>
        <v>2026</v>
      </c>
      <c r="AE3243" t="str">
        <f>IF(OR(SalesData[[#This Row],[Day]]="Saturday",SalesData[[#This Row],[Day]]="Sunday"),"Weekend","Weekday")</f>
        <v>Weekday</v>
      </c>
      <c r="AF3243" s="5">
        <f>IF(SalesData[[#This Row],[Contracts Offered]]=0,0,SalesData[[#This Row],[Contracts Signed]]/SalesData[[#This Row],[Contracts Offered]])</f>
        <v>0.35164835164835168</v>
      </c>
      <c r="AG3243" s="5">
        <f>IF(SalesData[[#This Row],[Customers Visited]]=0,0,SalesData[[#This Row],[Test Drives]]/SalesData[[#This Row],[Customers Visited]])</f>
        <v>0.46743295019157088</v>
      </c>
      <c r="AH3243" s="5">
        <f>IF(SalesData[[#This Row],[Customers Visited]]=0,0,SalesData[[#This Row],[Contracts Signed]]/SalesData[[#This Row],[Customers Visited]])</f>
        <v>0.12260536398467432</v>
      </c>
      <c r="AI3243" s="6">
        <f>IF(SalesData[[#This Row],[Contracts Signed]]=0,0,SalesData[[#This Row],[Profit(€)]]/SalesData[[#This Row],[Contracts Signed]])</f>
        <v>8183</v>
      </c>
      <c r="AJ3243" s="5" t="str">
        <f>TRIM(CLEAN(SalesData[[#This Row],[Retailer]]))</f>
        <v>Autohaus Berlin</v>
      </c>
    </row>
    <row r="3244" spans="1:36" ht="14.25" hidden="1" x14ac:dyDescent="0.2">
      <c r="A3244" t="s">
        <v>4417</v>
      </c>
      <c r="B3244" s="1">
        <v>46081</v>
      </c>
      <c r="C3244" t="s">
        <v>53</v>
      </c>
      <c r="D3244" t="s">
        <v>151</v>
      </c>
      <c r="E3244" t="s">
        <v>42</v>
      </c>
      <c r="F3244" t="s">
        <v>101</v>
      </c>
      <c r="G3244" t="s">
        <v>102</v>
      </c>
      <c r="H3244" t="s">
        <v>103</v>
      </c>
      <c r="I3244" t="s">
        <v>116</v>
      </c>
      <c r="J3244" t="s">
        <v>117</v>
      </c>
      <c r="K3244" t="s">
        <v>78</v>
      </c>
      <c r="L3244" t="s">
        <v>67</v>
      </c>
      <c r="M3244" t="s">
        <v>47</v>
      </c>
      <c r="N3244" t="s">
        <v>48</v>
      </c>
      <c r="O3244" t="s">
        <v>70</v>
      </c>
      <c r="P3244" t="s">
        <v>58</v>
      </c>
      <c r="Q3244" t="s">
        <v>135</v>
      </c>
      <c r="R3244">
        <v>233</v>
      </c>
      <c r="S3244">
        <v>113</v>
      </c>
      <c r="T3244">
        <v>69</v>
      </c>
      <c r="U3244">
        <v>16</v>
      </c>
      <c r="V3244" t="s">
        <v>6696</v>
      </c>
      <c r="W3244">
        <v>23875</v>
      </c>
      <c r="X3244" t="s">
        <v>207</v>
      </c>
      <c r="Y3244">
        <v>21921</v>
      </c>
      <c r="Z3244">
        <v>382000</v>
      </c>
      <c r="AA3244">
        <v>31264</v>
      </c>
      <c r="AB3244" t="str">
        <f>(VLOOKUP(SalesData[[#This Row],[Month Number]],Reference!C$5:E$16,2,FALSE))</f>
        <v>Feb</v>
      </c>
      <c r="AC3244">
        <f>MONTH(SalesData[[#This Row],[Date]])</f>
        <v>2</v>
      </c>
      <c r="AD3244">
        <f>Reference!F$4</f>
        <v>2026</v>
      </c>
      <c r="AE3244" t="str">
        <f>IF(OR(SalesData[[#This Row],[Day]]="Saturday",SalesData[[#This Row],[Day]]="Sunday"),"Weekend","Weekday")</f>
        <v>Weekend</v>
      </c>
      <c r="AF3244" s="5">
        <f>IF(SalesData[[#This Row],[Contracts Offered]]=0,0,SalesData[[#This Row],[Contracts Signed]]/SalesData[[#This Row],[Contracts Offered]])</f>
        <v>0.2318840579710145</v>
      </c>
      <c r="AG3244" s="5">
        <f>IF(SalesData[[#This Row],[Customers Visited]]=0,0,SalesData[[#This Row],[Test Drives]]/SalesData[[#This Row],[Customers Visited]])</f>
        <v>0.48497854077253216</v>
      </c>
      <c r="AH3244" s="5">
        <f>IF(SalesData[[#This Row],[Customers Visited]]=0,0,SalesData[[#This Row],[Contracts Signed]]/SalesData[[#This Row],[Customers Visited]])</f>
        <v>6.8669527896995708E-2</v>
      </c>
      <c r="AI3244" s="6">
        <f>IF(SalesData[[#This Row],[Contracts Signed]]=0,0,SalesData[[#This Row],[Profit(€)]]/SalesData[[#This Row],[Contracts Signed]])</f>
        <v>1954</v>
      </c>
      <c r="AJ3244" s="5" t="str">
        <f>TRIM(CLEAN(SalesData[[#This Row],[Retailer]]))</f>
        <v>Ruhr Auto Plaza</v>
      </c>
    </row>
    <row r="3245" spans="1:36" ht="14.25" hidden="1" x14ac:dyDescent="0.2">
      <c r="A3245" t="s">
        <v>4418</v>
      </c>
      <c r="B3245" s="1">
        <v>46076</v>
      </c>
      <c r="C3245" t="s">
        <v>53</v>
      </c>
      <c r="D3245" t="s">
        <v>25</v>
      </c>
      <c r="E3245" t="s">
        <v>26</v>
      </c>
      <c r="F3245" t="s">
        <v>101</v>
      </c>
      <c r="G3245" t="s">
        <v>102</v>
      </c>
      <c r="H3245" t="s">
        <v>103</v>
      </c>
      <c r="I3245" t="s">
        <v>116</v>
      </c>
      <c r="J3245" t="s">
        <v>132</v>
      </c>
      <c r="K3245" t="s">
        <v>91</v>
      </c>
      <c r="L3245" t="s">
        <v>46</v>
      </c>
      <c r="M3245" t="s">
        <v>34</v>
      </c>
      <c r="N3245" t="s">
        <v>69</v>
      </c>
      <c r="O3245" t="s">
        <v>36</v>
      </c>
      <c r="P3245" t="s">
        <v>49</v>
      </c>
      <c r="Q3245" t="s">
        <v>189</v>
      </c>
      <c r="R3245">
        <v>400</v>
      </c>
      <c r="S3245">
        <v>212</v>
      </c>
      <c r="T3245">
        <v>142</v>
      </c>
      <c r="U3245">
        <v>28</v>
      </c>
      <c r="V3245" t="s">
        <v>822</v>
      </c>
      <c r="W3245">
        <v>25646</v>
      </c>
      <c r="X3245" t="s">
        <v>1726</v>
      </c>
      <c r="Y3245">
        <v>23044</v>
      </c>
      <c r="Z3245">
        <v>718088</v>
      </c>
      <c r="AA3245">
        <v>72856</v>
      </c>
      <c r="AB3245" t="str">
        <f>(VLOOKUP(SalesData[[#This Row],[Month Number]],Reference!C$5:E$16,2,FALSE))</f>
        <v>Feb</v>
      </c>
      <c r="AC3245">
        <f>MONTH(SalesData[[#This Row],[Date]])</f>
        <v>2</v>
      </c>
      <c r="AD3245">
        <f>Reference!F$4</f>
        <v>2026</v>
      </c>
      <c r="AE3245" t="str">
        <f>IF(OR(SalesData[[#This Row],[Day]]="Saturday",SalesData[[#This Row],[Day]]="Sunday"),"Weekend","Weekday")</f>
        <v>Weekday</v>
      </c>
      <c r="AF3245" s="5">
        <f>IF(SalesData[[#This Row],[Contracts Offered]]=0,0,SalesData[[#This Row],[Contracts Signed]]/SalesData[[#This Row],[Contracts Offered]])</f>
        <v>0.19718309859154928</v>
      </c>
      <c r="AG3245" s="5">
        <f>IF(SalesData[[#This Row],[Customers Visited]]=0,0,SalesData[[#This Row],[Test Drives]]/SalesData[[#This Row],[Customers Visited]])</f>
        <v>0.53</v>
      </c>
      <c r="AH3245" s="5">
        <f>IF(SalesData[[#This Row],[Customers Visited]]=0,0,SalesData[[#This Row],[Contracts Signed]]/SalesData[[#This Row],[Customers Visited]])</f>
        <v>7.0000000000000007E-2</v>
      </c>
      <c r="AI3245" s="6">
        <f>IF(SalesData[[#This Row],[Contracts Signed]]=0,0,SalesData[[#This Row],[Profit(€)]]/SalesData[[#This Row],[Contracts Signed]])</f>
        <v>2602</v>
      </c>
      <c r="AJ3245" s="5" t="str">
        <f>TRIM(CLEAN(SalesData[[#This Row],[Retailer]]))</f>
        <v>Ruhr Auto Plaza</v>
      </c>
    </row>
    <row r="3246" spans="1:36" ht="14.25" hidden="1" x14ac:dyDescent="0.2">
      <c r="A3246" t="s">
        <v>4419</v>
      </c>
      <c r="B3246" s="1">
        <v>46075</v>
      </c>
      <c r="C3246" t="s">
        <v>53</v>
      </c>
      <c r="D3246" t="s">
        <v>41</v>
      </c>
      <c r="E3246" t="s">
        <v>42</v>
      </c>
      <c r="F3246" t="s">
        <v>43</v>
      </c>
      <c r="G3246" t="s">
        <v>44</v>
      </c>
      <c r="H3246" t="s">
        <v>45</v>
      </c>
      <c r="I3246" t="s">
        <v>56</v>
      </c>
      <c r="J3246" t="s">
        <v>97</v>
      </c>
      <c r="K3246" t="s">
        <v>32</v>
      </c>
      <c r="L3246" t="s">
        <v>33</v>
      </c>
      <c r="M3246" t="s">
        <v>68</v>
      </c>
      <c r="N3246" t="s">
        <v>35</v>
      </c>
      <c r="O3246" t="s">
        <v>36</v>
      </c>
      <c r="P3246" t="s">
        <v>71</v>
      </c>
      <c r="Q3246" t="s">
        <v>129</v>
      </c>
      <c r="R3246">
        <v>208</v>
      </c>
      <c r="S3246">
        <v>109</v>
      </c>
      <c r="T3246">
        <v>79</v>
      </c>
      <c r="U3246">
        <v>26</v>
      </c>
      <c r="V3246" t="s">
        <v>6785</v>
      </c>
      <c r="W3246">
        <v>49792</v>
      </c>
      <c r="X3246" t="s">
        <v>119</v>
      </c>
      <c r="Y3246">
        <v>39284</v>
      </c>
      <c r="Z3246">
        <v>1294592</v>
      </c>
      <c r="AA3246">
        <v>273208</v>
      </c>
      <c r="AB3246" t="str">
        <f>(VLOOKUP(SalesData[[#This Row],[Month Number]],Reference!C$5:E$16,2,FALSE))</f>
        <v>Feb</v>
      </c>
      <c r="AC3246">
        <f>MONTH(SalesData[[#This Row],[Date]])</f>
        <v>2</v>
      </c>
      <c r="AD3246">
        <f>Reference!F$4</f>
        <v>2026</v>
      </c>
      <c r="AE3246" t="str">
        <f>IF(OR(SalesData[[#This Row],[Day]]="Saturday",SalesData[[#This Row],[Day]]="Sunday"),"Weekend","Weekday")</f>
        <v>Weekend</v>
      </c>
      <c r="AF3246" s="5">
        <f>IF(SalesData[[#This Row],[Contracts Offered]]=0,0,SalesData[[#This Row],[Contracts Signed]]/SalesData[[#This Row],[Contracts Offered]])</f>
        <v>0.32911392405063289</v>
      </c>
      <c r="AG3246" s="5">
        <f>IF(SalesData[[#This Row],[Customers Visited]]=0,0,SalesData[[#This Row],[Test Drives]]/SalesData[[#This Row],[Customers Visited]])</f>
        <v>0.52403846153846156</v>
      </c>
      <c r="AH3246" s="5">
        <f>IF(SalesData[[#This Row],[Customers Visited]]=0,0,SalesData[[#This Row],[Contracts Signed]]/SalesData[[#This Row],[Customers Visited]])</f>
        <v>0.125</v>
      </c>
      <c r="AI3246" s="6">
        <f>IF(SalesData[[#This Row],[Contracts Signed]]=0,0,SalesData[[#This Row],[Profit(€)]]/SalesData[[#This Row],[Contracts Signed]])</f>
        <v>10508</v>
      </c>
      <c r="AJ3246" s="5" t="str">
        <f>TRIM(CLEAN(SalesData[[#This Row],[Retailer]]))</f>
        <v>Saxon Wheels</v>
      </c>
    </row>
    <row r="3247" spans="1:36" ht="14.25" hidden="1" x14ac:dyDescent="0.2">
      <c r="A3247" t="s">
        <v>4420</v>
      </c>
      <c r="B3247" s="1">
        <v>46065</v>
      </c>
      <c r="C3247" t="s">
        <v>121</v>
      </c>
      <c r="D3247" t="s">
        <v>100</v>
      </c>
      <c r="E3247" t="s">
        <v>26</v>
      </c>
      <c r="F3247" t="s">
        <v>83</v>
      </c>
      <c r="G3247" t="s">
        <v>84</v>
      </c>
      <c r="H3247" t="s">
        <v>85</v>
      </c>
      <c r="I3247" t="s">
        <v>64</v>
      </c>
      <c r="J3247" t="s">
        <v>111</v>
      </c>
      <c r="K3247" t="s">
        <v>32</v>
      </c>
      <c r="L3247" t="s">
        <v>46</v>
      </c>
      <c r="M3247" t="s">
        <v>34</v>
      </c>
      <c r="N3247" t="s">
        <v>69</v>
      </c>
      <c r="O3247" t="s">
        <v>36</v>
      </c>
      <c r="P3247" t="s">
        <v>71</v>
      </c>
      <c r="Q3247" t="s">
        <v>169</v>
      </c>
      <c r="R3247">
        <v>235</v>
      </c>
      <c r="S3247">
        <v>135</v>
      </c>
      <c r="T3247">
        <v>105</v>
      </c>
      <c r="U3247">
        <v>34</v>
      </c>
      <c r="V3247" t="s">
        <v>6369</v>
      </c>
      <c r="W3247">
        <v>68646</v>
      </c>
      <c r="X3247" t="s">
        <v>7393</v>
      </c>
      <c r="Y3247">
        <v>54189</v>
      </c>
      <c r="Z3247">
        <v>2333964</v>
      </c>
      <c r="AA3247">
        <v>491538</v>
      </c>
      <c r="AB3247" t="str">
        <f>(VLOOKUP(SalesData[[#This Row],[Month Number]],Reference!C$5:E$16,2,FALSE))</f>
        <v>Feb</v>
      </c>
      <c r="AC3247">
        <f>MONTH(SalesData[[#This Row],[Date]])</f>
        <v>2</v>
      </c>
      <c r="AD3247">
        <f>Reference!F$4</f>
        <v>2026</v>
      </c>
      <c r="AE3247" t="str">
        <f>IF(OR(SalesData[[#This Row],[Day]]="Saturday",SalesData[[#This Row],[Day]]="Sunday"),"Weekend","Weekday")</f>
        <v>Weekday</v>
      </c>
      <c r="AF3247" s="5">
        <f>IF(SalesData[[#This Row],[Contracts Offered]]=0,0,SalesData[[#This Row],[Contracts Signed]]/SalesData[[#This Row],[Contracts Offered]])</f>
        <v>0.32380952380952382</v>
      </c>
      <c r="AG3247" s="5">
        <f>IF(SalesData[[#This Row],[Customers Visited]]=0,0,SalesData[[#This Row],[Test Drives]]/SalesData[[#This Row],[Customers Visited]])</f>
        <v>0.57446808510638303</v>
      </c>
      <c r="AH3247" s="5">
        <f>IF(SalesData[[#This Row],[Customers Visited]]=0,0,SalesData[[#This Row],[Contracts Signed]]/SalesData[[#This Row],[Customers Visited]])</f>
        <v>0.14468085106382977</v>
      </c>
      <c r="AI3247" s="6">
        <f>IF(SalesData[[#This Row],[Contracts Signed]]=0,0,SalesData[[#This Row],[Profit(€)]]/SalesData[[#This Row],[Contracts Signed]])</f>
        <v>14457</v>
      </c>
      <c r="AJ3247" s="5" t="str">
        <f>TRIM(CLEAN(SalesData[[#This Row],[Retailer]]))</f>
        <v>Hannover Cars</v>
      </c>
    </row>
    <row r="3248" spans="1:36" ht="14.25" hidden="1" x14ac:dyDescent="0.2">
      <c r="A3248" t="s">
        <v>4422</v>
      </c>
      <c r="B3248" s="1">
        <v>46074</v>
      </c>
      <c r="C3248" t="s">
        <v>62</v>
      </c>
      <c r="D3248" t="s">
        <v>151</v>
      </c>
      <c r="E3248" t="s">
        <v>42</v>
      </c>
      <c r="F3248" t="s">
        <v>27</v>
      </c>
      <c r="G3248" t="s">
        <v>28</v>
      </c>
      <c r="H3248" t="s">
        <v>29</v>
      </c>
      <c r="I3248" t="s">
        <v>116</v>
      </c>
      <c r="J3248" t="s">
        <v>132</v>
      </c>
      <c r="K3248" t="s">
        <v>91</v>
      </c>
      <c r="L3248" t="s">
        <v>46</v>
      </c>
      <c r="M3248" t="s">
        <v>87</v>
      </c>
      <c r="N3248" t="s">
        <v>69</v>
      </c>
      <c r="O3248" t="s">
        <v>36</v>
      </c>
      <c r="P3248" t="s">
        <v>58</v>
      </c>
      <c r="Q3248" t="s">
        <v>50</v>
      </c>
      <c r="R3248">
        <v>308</v>
      </c>
      <c r="S3248">
        <v>159</v>
      </c>
      <c r="T3248">
        <v>101</v>
      </c>
      <c r="U3248">
        <v>26</v>
      </c>
      <c r="V3248" t="s">
        <v>2087</v>
      </c>
      <c r="W3248">
        <v>26241</v>
      </c>
      <c r="X3248" t="s">
        <v>529</v>
      </c>
      <c r="Y3248">
        <v>23938</v>
      </c>
      <c r="Z3248">
        <v>682266</v>
      </c>
      <c r="AA3248">
        <v>59878</v>
      </c>
      <c r="AB3248" t="str">
        <f>(VLOOKUP(SalesData[[#This Row],[Month Number]],Reference!C$5:E$16,2,FALSE))</f>
        <v>Feb</v>
      </c>
      <c r="AC3248">
        <f>MONTH(SalesData[[#This Row],[Date]])</f>
        <v>2</v>
      </c>
      <c r="AD3248">
        <f>Reference!F$4</f>
        <v>2026</v>
      </c>
      <c r="AE3248" t="str">
        <f>IF(OR(SalesData[[#This Row],[Day]]="Saturday",SalesData[[#This Row],[Day]]="Sunday"),"Weekend","Weekday")</f>
        <v>Weekend</v>
      </c>
      <c r="AF3248" s="5">
        <f>IF(SalesData[[#This Row],[Contracts Offered]]=0,0,SalesData[[#This Row],[Contracts Signed]]/SalesData[[#This Row],[Contracts Offered]])</f>
        <v>0.25742574257425743</v>
      </c>
      <c r="AG3248" s="5">
        <f>IF(SalesData[[#This Row],[Customers Visited]]=0,0,SalesData[[#This Row],[Test Drives]]/SalesData[[#This Row],[Customers Visited]])</f>
        <v>0.51623376623376627</v>
      </c>
      <c r="AH3248" s="5">
        <f>IF(SalesData[[#This Row],[Customers Visited]]=0,0,SalesData[[#This Row],[Contracts Signed]]/SalesData[[#This Row],[Customers Visited]])</f>
        <v>8.4415584415584416E-2</v>
      </c>
      <c r="AI3248" s="6">
        <f>IF(SalesData[[#This Row],[Contracts Signed]]=0,0,SalesData[[#This Row],[Profit(€)]]/SalesData[[#This Row],[Contracts Signed]])</f>
        <v>2303</v>
      </c>
      <c r="AJ3248" s="5" t="str">
        <f>TRIM(CLEAN(SalesData[[#This Row],[Retailer]]))</f>
        <v>Main Auto Hub</v>
      </c>
    </row>
    <row r="3249" spans="1:36" ht="14.25" hidden="1" x14ac:dyDescent="0.2">
      <c r="A3249" t="s">
        <v>4423</v>
      </c>
      <c r="B3249" s="1">
        <v>46062</v>
      </c>
      <c r="C3249" t="s">
        <v>121</v>
      </c>
      <c r="D3249" t="s">
        <v>25</v>
      </c>
      <c r="E3249" t="s">
        <v>26</v>
      </c>
      <c r="F3249" t="s">
        <v>127</v>
      </c>
      <c r="G3249" t="s">
        <v>128</v>
      </c>
      <c r="H3249" t="s">
        <v>103</v>
      </c>
      <c r="I3249" t="s">
        <v>56</v>
      </c>
      <c r="J3249" t="s">
        <v>179</v>
      </c>
      <c r="K3249" t="s">
        <v>66</v>
      </c>
      <c r="L3249" t="s">
        <v>67</v>
      </c>
      <c r="M3249" t="s">
        <v>34</v>
      </c>
      <c r="N3249" t="s">
        <v>35</v>
      </c>
      <c r="O3249" t="s">
        <v>36</v>
      </c>
      <c r="P3249" t="s">
        <v>49</v>
      </c>
      <c r="Q3249" t="s">
        <v>347</v>
      </c>
      <c r="R3249">
        <v>175</v>
      </c>
      <c r="S3249">
        <v>109</v>
      </c>
      <c r="T3249">
        <v>79</v>
      </c>
      <c r="U3249">
        <v>27</v>
      </c>
      <c r="V3249" t="s">
        <v>6390</v>
      </c>
      <c r="W3249">
        <v>40827</v>
      </c>
      <c r="X3249" t="s">
        <v>3853</v>
      </c>
      <c r="Y3249">
        <v>32318</v>
      </c>
      <c r="Z3249">
        <v>1102329</v>
      </c>
      <c r="AA3249">
        <v>229743</v>
      </c>
      <c r="AB3249" t="str">
        <f>(VLOOKUP(SalesData[[#This Row],[Month Number]],Reference!C$5:E$16,2,FALSE))</f>
        <v>Feb</v>
      </c>
      <c r="AC3249">
        <f>MONTH(SalesData[[#This Row],[Date]])</f>
        <v>2</v>
      </c>
      <c r="AD3249">
        <f>Reference!F$4</f>
        <v>2026</v>
      </c>
      <c r="AE3249" t="str">
        <f>IF(OR(SalesData[[#This Row],[Day]]="Saturday",SalesData[[#This Row],[Day]]="Sunday"),"Weekend","Weekday")</f>
        <v>Weekday</v>
      </c>
      <c r="AF3249" s="5">
        <f>IF(SalesData[[#This Row],[Contracts Offered]]=0,0,SalesData[[#This Row],[Contracts Signed]]/SalesData[[#This Row],[Contracts Offered]])</f>
        <v>0.34177215189873417</v>
      </c>
      <c r="AG3249" s="5">
        <f>IF(SalesData[[#This Row],[Customers Visited]]=0,0,SalesData[[#This Row],[Test Drives]]/SalesData[[#This Row],[Customers Visited]])</f>
        <v>0.62285714285714289</v>
      </c>
      <c r="AH3249" s="5">
        <f>IF(SalesData[[#This Row],[Customers Visited]]=0,0,SalesData[[#This Row],[Contracts Signed]]/SalesData[[#This Row],[Customers Visited]])</f>
        <v>0.15428571428571428</v>
      </c>
      <c r="AI3249" s="6">
        <f>IF(SalesData[[#This Row],[Contracts Signed]]=0,0,SalesData[[#This Row],[Profit(€)]]/SalesData[[#This Row],[Contracts Signed]])</f>
        <v>8509</v>
      </c>
      <c r="AJ3249" s="5" t="str">
        <f>TRIM(CLEAN(SalesData[[#This Row],[Retailer]]))</f>
        <v>Rhein Auto Group</v>
      </c>
    </row>
    <row r="3250" spans="1:36" ht="14.25" hidden="1" x14ac:dyDescent="0.2">
      <c r="A3250" t="s">
        <v>4424</v>
      </c>
      <c r="B3250" s="1">
        <v>46061</v>
      </c>
      <c r="C3250" t="s">
        <v>121</v>
      </c>
      <c r="D3250" t="s">
        <v>41</v>
      </c>
      <c r="E3250" t="s">
        <v>42</v>
      </c>
      <c r="F3250" t="s">
        <v>27</v>
      </c>
      <c r="G3250" t="s">
        <v>28</v>
      </c>
      <c r="H3250" t="s">
        <v>29</v>
      </c>
      <c r="I3250" t="s">
        <v>56</v>
      </c>
      <c r="J3250" t="s">
        <v>97</v>
      </c>
      <c r="K3250" t="s">
        <v>32</v>
      </c>
      <c r="L3250" t="s">
        <v>33</v>
      </c>
      <c r="M3250" t="s">
        <v>47</v>
      </c>
      <c r="N3250" t="s">
        <v>48</v>
      </c>
      <c r="O3250" t="s">
        <v>36</v>
      </c>
      <c r="P3250" t="s">
        <v>49</v>
      </c>
      <c r="Q3250" t="s">
        <v>347</v>
      </c>
      <c r="R3250">
        <v>233</v>
      </c>
      <c r="S3250">
        <v>118</v>
      </c>
      <c r="T3250">
        <v>81</v>
      </c>
      <c r="U3250">
        <v>26</v>
      </c>
      <c r="V3250" t="s">
        <v>6397</v>
      </c>
      <c r="W3250">
        <v>42077</v>
      </c>
      <c r="X3250" t="s">
        <v>2040</v>
      </c>
      <c r="Y3250">
        <v>31912</v>
      </c>
      <c r="Z3250">
        <v>1094002</v>
      </c>
      <c r="AA3250">
        <v>264290</v>
      </c>
      <c r="AB3250" t="str">
        <f>(VLOOKUP(SalesData[[#This Row],[Month Number]],Reference!C$5:E$16,2,FALSE))</f>
        <v>Feb</v>
      </c>
      <c r="AC3250">
        <f>MONTH(SalesData[[#This Row],[Date]])</f>
        <v>2</v>
      </c>
      <c r="AD3250">
        <f>Reference!F$4</f>
        <v>2026</v>
      </c>
      <c r="AE3250" t="str">
        <f>IF(OR(SalesData[[#This Row],[Day]]="Saturday",SalesData[[#This Row],[Day]]="Sunday"),"Weekend","Weekday")</f>
        <v>Weekend</v>
      </c>
      <c r="AF3250" s="5">
        <f>IF(SalesData[[#This Row],[Contracts Offered]]=0,0,SalesData[[#This Row],[Contracts Signed]]/SalesData[[#This Row],[Contracts Offered]])</f>
        <v>0.32098765432098764</v>
      </c>
      <c r="AG3250" s="5">
        <f>IF(SalesData[[#This Row],[Customers Visited]]=0,0,SalesData[[#This Row],[Test Drives]]/SalesData[[#This Row],[Customers Visited]])</f>
        <v>0.50643776824034337</v>
      </c>
      <c r="AH3250" s="5">
        <f>IF(SalesData[[#This Row],[Customers Visited]]=0,0,SalesData[[#This Row],[Contracts Signed]]/SalesData[[#This Row],[Customers Visited]])</f>
        <v>0.11158798283261803</v>
      </c>
      <c r="AI3250" s="6">
        <f>IF(SalesData[[#This Row],[Contracts Signed]]=0,0,SalesData[[#This Row],[Profit(€)]]/SalesData[[#This Row],[Contracts Signed]])</f>
        <v>10165</v>
      </c>
      <c r="AJ3250" s="5" t="str">
        <f>TRIM(CLEAN(SalesData[[#This Row],[Retailer]]))</f>
        <v>Main Auto Hub</v>
      </c>
    </row>
    <row r="3251" spans="1:36" ht="14.25" x14ac:dyDescent="0.2">
      <c r="A3251" t="s">
        <v>4425</v>
      </c>
      <c r="B3251" s="1">
        <v>46060</v>
      </c>
      <c r="C3251" t="s">
        <v>24</v>
      </c>
      <c r="D3251" t="s">
        <v>151</v>
      </c>
      <c r="E3251" t="s">
        <v>42</v>
      </c>
      <c r="F3251" t="s">
        <v>94</v>
      </c>
      <c r="G3251" t="s">
        <v>95</v>
      </c>
      <c r="H3251" t="s">
        <v>96</v>
      </c>
      <c r="I3251" t="s">
        <v>30</v>
      </c>
      <c r="J3251" t="s">
        <v>7075</v>
      </c>
      <c r="K3251" t="s">
        <v>78</v>
      </c>
      <c r="L3251" t="s">
        <v>33</v>
      </c>
      <c r="M3251" t="s">
        <v>47</v>
      </c>
      <c r="N3251" t="s">
        <v>48</v>
      </c>
      <c r="O3251" t="s">
        <v>70</v>
      </c>
      <c r="P3251" t="s">
        <v>58</v>
      </c>
      <c r="Q3251" t="s">
        <v>158</v>
      </c>
      <c r="R3251">
        <v>204</v>
      </c>
      <c r="S3251">
        <v>96</v>
      </c>
      <c r="T3251">
        <v>74</v>
      </c>
      <c r="U3251">
        <v>30</v>
      </c>
      <c r="V3251" t="s">
        <v>7076</v>
      </c>
      <c r="W3251">
        <v>60053</v>
      </c>
      <c r="X3251" t="s">
        <v>7083</v>
      </c>
      <c r="Y3251">
        <v>43660</v>
      </c>
      <c r="Z3251">
        <v>1801590</v>
      </c>
      <c r="AA3251">
        <v>491790</v>
      </c>
      <c r="AB3251" t="str">
        <f>(VLOOKUP(SalesData[[#This Row],[Month Number]],Reference!C$5:E$16,2,FALSE))</f>
        <v>Feb</v>
      </c>
      <c r="AC3251">
        <f>MONTH(SalesData[[#This Row],[Date]])</f>
        <v>2</v>
      </c>
      <c r="AD3251">
        <f>Reference!F$4</f>
        <v>2026</v>
      </c>
      <c r="AE3251" t="str">
        <f>IF(OR(SalesData[[#This Row],[Day]]="Saturday",SalesData[[#This Row],[Day]]="Sunday"),"Weekend","Weekday")</f>
        <v>Weekend</v>
      </c>
      <c r="AF3251" s="5">
        <f>IF(SalesData[[#This Row],[Contracts Offered]]=0,0,SalesData[[#This Row],[Contracts Signed]]/SalesData[[#This Row],[Contracts Offered]])</f>
        <v>0.40540540540540543</v>
      </c>
      <c r="AG3251" s="5">
        <f>IF(SalesData[[#This Row],[Customers Visited]]=0,0,SalesData[[#This Row],[Test Drives]]/SalesData[[#This Row],[Customers Visited]])</f>
        <v>0.47058823529411764</v>
      </c>
      <c r="AH3251" s="5">
        <f>IF(SalesData[[#This Row],[Customers Visited]]=0,0,SalesData[[#This Row],[Contracts Signed]]/SalesData[[#This Row],[Customers Visited]])</f>
        <v>0.14705882352941177</v>
      </c>
      <c r="AI3251" s="6">
        <f>IF(SalesData[[#This Row],[Contracts Signed]]=0,0,SalesData[[#This Row],[Profit(€)]]/SalesData[[#This Row],[Contracts Signed]])</f>
        <v>16393</v>
      </c>
      <c r="AJ3251" s="5" t="str">
        <f>TRIM(CLEAN(SalesData[[#This Row],[Retailer]]))</f>
        <v>Bavaria Motors</v>
      </c>
    </row>
    <row r="3252" spans="1:36" ht="14.25" hidden="1" x14ac:dyDescent="0.2">
      <c r="A3252" t="s">
        <v>4426</v>
      </c>
      <c r="B3252" s="1">
        <v>46058</v>
      </c>
      <c r="C3252" t="s">
        <v>24</v>
      </c>
      <c r="D3252" t="s">
        <v>100</v>
      </c>
      <c r="E3252" t="s">
        <v>26</v>
      </c>
      <c r="F3252" t="s">
        <v>114</v>
      </c>
      <c r="G3252" t="s">
        <v>115</v>
      </c>
      <c r="H3252" t="s">
        <v>115</v>
      </c>
      <c r="I3252" t="s">
        <v>116</v>
      </c>
      <c r="J3252" t="s">
        <v>203</v>
      </c>
      <c r="K3252" t="s">
        <v>78</v>
      </c>
      <c r="L3252" t="s">
        <v>67</v>
      </c>
      <c r="M3252" t="s">
        <v>87</v>
      </c>
      <c r="N3252" t="s">
        <v>48</v>
      </c>
      <c r="O3252" t="s">
        <v>36</v>
      </c>
      <c r="P3252" t="s">
        <v>71</v>
      </c>
      <c r="Q3252" t="s">
        <v>240</v>
      </c>
      <c r="R3252">
        <v>246</v>
      </c>
      <c r="S3252">
        <v>135</v>
      </c>
      <c r="T3252">
        <v>82</v>
      </c>
      <c r="U3252">
        <v>23</v>
      </c>
      <c r="V3252" t="s">
        <v>1998</v>
      </c>
      <c r="W3252">
        <v>21104</v>
      </c>
      <c r="X3252" t="s">
        <v>7298</v>
      </c>
      <c r="Y3252">
        <v>18999</v>
      </c>
      <c r="Z3252">
        <v>485392</v>
      </c>
      <c r="AA3252">
        <v>48415</v>
      </c>
      <c r="AB3252" t="str">
        <f>(VLOOKUP(SalesData[[#This Row],[Month Number]],Reference!C$5:E$16,2,FALSE))</f>
        <v>Feb</v>
      </c>
      <c r="AC3252">
        <f>MONTH(SalesData[[#This Row],[Date]])</f>
        <v>2</v>
      </c>
      <c r="AD3252">
        <f>Reference!F$4</f>
        <v>2026</v>
      </c>
      <c r="AE3252" t="str">
        <f>IF(OR(SalesData[[#This Row],[Day]]="Saturday",SalesData[[#This Row],[Day]]="Sunday"),"Weekend","Weekday")</f>
        <v>Weekday</v>
      </c>
      <c r="AF3252" s="5">
        <f>IF(SalesData[[#This Row],[Contracts Offered]]=0,0,SalesData[[#This Row],[Contracts Signed]]/SalesData[[#This Row],[Contracts Offered]])</f>
        <v>0.28048780487804881</v>
      </c>
      <c r="AG3252" s="5">
        <f>IF(SalesData[[#This Row],[Customers Visited]]=0,0,SalesData[[#This Row],[Test Drives]]/SalesData[[#This Row],[Customers Visited]])</f>
        <v>0.54878048780487809</v>
      </c>
      <c r="AH3252" s="5">
        <f>IF(SalesData[[#This Row],[Customers Visited]]=0,0,SalesData[[#This Row],[Contracts Signed]]/SalesData[[#This Row],[Customers Visited]])</f>
        <v>9.3495934959349589E-2</v>
      </c>
      <c r="AI3252" s="6">
        <f>IF(SalesData[[#This Row],[Contracts Signed]]=0,0,SalesData[[#This Row],[Profit(€)]]/SalesData[[#This Row],[Contracts Signed]])</f>
        <v>2105</v>
      </c>
      <c r="AJ3252" s="5" t="str">
        <f>TRIM(CLEAN(SalesData[[#This Row],[Retailer]]))</f>
        <v>Elbe Drive</v>
      </c>
    </row>
    <row r="3253" spans="1:36" ht="14.25" hidden="1" x14ac:dyDescent="0.2">
      <c r="A3253" t="s">
        <v>4427</v>
      </c>
      <c r="B3253" s="1">
        <v>46067</v>
      </c>
      <c r="C3253" t="s">
        <v>121</v>
      </c>
      <c r="D3253" t="s">
        <v>151</v>
      </c>
      <c r="E3253" t="s">
        <v>42</v>
      </c>
      <c r="F3253" t="s">
        <v>83</v>
      </c>
      <c r="G3253" t="s">
        <v>84</v>
      </c>
      <c r="H3253" t="s">
        <v>85</v>
      </c>
      <c r="I3253" t="s">
        <v>116</v>
      </c>
      <c r="J3253" t="s">
        <v>7090</v>
      </c>
      <c r="K3253" t="s">
        <v>91</v>
      </c>
      <c r="L3253" t="s">
        <v>46</v>
      </c>
      <c r="M3253" t="s">
        <v>68</v>
      </c>
      <c r="N3253" t="s">
        <v>48</v>
      </c>
      <c r="O3253" t="s">
        <v>36</v>
      </c>
      <c r="P3253" t="s">
        <v>49</v>
      </c>
      <c r="Q3253" t="s">
        <v>106</v>
      </c>
      <c r="R3253">
        <v>327</v>
      </c>
      <c r="S3253">
        <v>165</v>
      </c>
      <c r="T3253">
        <v>97</v>
      </c>
      <c r="U3253">
        <v>23</v>
      </c>
      <c r="V3253" t="s">
        <v>3607</v>
      </c>
      <c r="W3253">
        <v>20927</v>
      </c>
      <c r="X3253" t="s">
        <v>2185</v>
      </c>
      <c r="Y3253">
        <v>19008</v>
      </c>
      <c r="Z3253">
        <v>481321</v>
      </c>
      <c r="AA3253">
        <v>44137</v>
      </c>
      <c r="AB3253" t="str">
        <f>(VLOOKUP(SalesData[[#This Row],[Month Number]],Reference!C$5:E$16,2,FALSE))</f>
        <v>Feb</v>
      </c>
      <c r="AC3253">
        <f>MONTH(SalesData[[#This Row],[Date]])</f>
        <v>2</v>
      </c>
      <c r="AD3253">
        <f>Reference!F$4</f>
        <v>2026</v>
      </c>
      <c r="AE3253" t="str">
        <f>IF(OR(SalesData[[#This Row],[Day]]="Saturday",SalesData[[#This Row],[Day]]="Sunday"),"Weekend","Weekday")</f>
        <v>Weekend</v>
      </c>
      <c r="AF3253" s="5">
        <f>IF(SalesData[[#This Row],[Contracts Offered]]=0,0,SalesData[[#This Row],[Contracts Signed]]/SalesData[[#This Row],[Contracts Offered]])</f>
        <v>0.23711340206185566</v>
      </c>
      <c r="AG3253" s="5">
        <f>IF(SalesData[[#This Row],[Customers Visited]]=0,0,SalesData[[#This Row],[Test Drives]]/SalesData[[#This Row],[Customers Visited]])</f>
        <v>0.50458715596330272</v>
      </c>
      <c r="AH3253" s="5">
        <f>IF(SalesData[[#This Row],[Customers Visited]]=0,0,SalesData[[#This Row],[Contracts Signed]]/SalesData[[#This Row],[Customers Visited]])</f>
        <v>7.0336391437308868E-2</v>
      </c>
      <c r="AI3253" s="6">
        <f>IF(SalesData[[#This Row],[Contracts Signed]]=0,0,SalesData[[#This Row],[Profit(€)]]/SalesData[[#This Row],[Contracts Signed]])</f>
        <v>1919</v>
      </c>
      <c r="AJ3253" s="5" t="str">
        <f>TRIM(CLEAN(SalesData[[#This Row],[Retailer]]))</f>
        <v>Hannover Cars</v>
      </c>
    </row>
    <row r="3254" spans="1:36" ht="14.25" x14ac:dyDescent="0.2">
      <c r="A3254" t="s">
        <v>4428</v>
      </c>
      <c r="B3254" s="1">
        <v>46070</v>
      </c>
      <c r="C3254" t="s">
        <v>62</v>
      </c>
      <c r="D3254" t="s">
        <v>63</v>
      </c>
      <c r="E3254" t="s">
        <v>26</v>
      </c>
      <c r="F3254" t="s">
        <v>94</v>
      </c>
      <c r="G3254" t="s">
        <v>95</v>
      </c>
      <c r="H3254" t="s">
        <v>96</v>
      </c>
      <c r="I3254" t="s">
        <v>30</v>
      </c>
      <c r="J3254" t="s">
        <v>7075</v>
      </c>
      <c r="K3254" t="s">
        <v>32</v>
      </c>
      <c r="L3254" t="s">
        <v>33</v>
      </c>
      <c r="M3254" t="s">
        <v>47</v>
      </c>
      <c r="N3254" t="s">
        <v>69</v>
      </c>
      <c r="O3254" t="s">
        <v>36</v>
      </c>
      <c r="P3254" t="s">
        <v>49</v>
      </c>
      <c r="Q3254" t="s">
        <v>118</v>
      </c>
      <c r="R3254">
        <v>202</v>
      </c>
      <c r="S3254">
        <v>97</v>
      </c>
      <c r="T3254">
        <v>77</v>
      </c>
      <c r="U3254">
        <v>30</v>
      </c>
      <c r="V3254" t="s">
        <v>7431</v>
      </c>
      <c r="W3254">
        <v>60546</v>
      </c>
      <c r="X3254" t="s">
        <v>7112</v>
      </c>
      <c r="Y3254">
        <v>44453</v>
      </c>
      <c r="Z3254">
        <v>1816380</v>
      </c>
      <c r="AA3254">
        <v>482790</v>
      </c>
      <c r="AB3254" t="str">
        <f>(VLOOKUP(SalesData[[#This Row],[Month Number]],Reference!C$5:E$16,2,FALSE))</f>
        <v>Feb</v>
      </c>
      <c r="AC3254">
        <f>MONTH(SalesData[[#This Row],[Date]])</f>
        <v>2</v>
      </c>
      <c r="AD3254">
        <f>Reference!F$4</f>
        <v>2026</v>
      </c>
      <c r="AE3254" t="str">
        <f>IF(OR(SalesData[[#This Row],[Day]]="Saturday",SalesData[[#This Row],[Day]]="Sunday"),"Weekend","Weekday")</f>
        <v>Weekday</v>
      </c>
      <c r="AF3254" s="5">
        <f>IF(SalesData[[#This Row],[Contracts Offered]]=0,0,SalesData[[#This Row],[Contracts Signed]]/SalesData[[#This Row],[Contracts Offered]])</f>
        <v>0.38961038961038963</v>
      </c>
      <c r="AG3254" s="5">
        <f>IF(SalesData[[#This Row],[Customers Visited]]=0,0,SalesData[[#This Row],[Test Drives]]/SalesData[[#This Row],[Customers Visited]])</f>
        <v>0.48019801980198018</v>
      </c>
      <c r="AH3254" s="5">
        <f>IF(SalesData[[#This Row],[Customers Visited]]=0,0,SalesData[[#This Row],[Contracts Signed]]/SalesData[[#This Row],[Customers Visited]])</f>
        <v>0.14851485148514851</v>
      </c>
      <c r="AI3254" s="6">
        <f>IF(SalesData[[#This Row],[Contracts Signed]]=0,0,SalesData[[#This Row],[Profit(€)]]/SalesData[[#This Row],[Contracts Signed]])</f>
        <v>16093</v>
      </c>
      <c r="AJ3254" s="5" t="str">
        <f>TRIM(CLEAN(SalesData[[#This Row],[Retailer]]))</f>
        <v>Bavaria Motors</v>
      </c>
    </row>
    <row r="3255" spans="1:36" ht="14.25" x14ac:dyDescent="0.2">
      <c r="A3255" t="s">
        <v>4429</v>
      </c>
      <c r="B3255" s="1">
        <v>46070</v>
      </c>
      <c r="C3255" t="s">
        <v>62</v>
      </c>
      <c r="D3255" t="s">
        <v>63</v>
      </c>
      <c r="E3255" t="s">
        <v>26</v>
      </c>
      <c r="F3255" t="s">
        <v>94</v>
      </c>
      <c r="G3255" t="s">
        <v>95</v>
      </c>
      <c r="H3255" t="s">
        <v>96</v>
      </c>
      <c r="I3255" t="s">
        <v>30</v>
      </c>
      <c r="J3255" t="s">
        <v>166</v>
      </c>
      <c r="K3255" t="s">
        <v>78</v>
      </c>
      <c r="L3255" t="s">
        <v>46</v>
      </c>
      <c r="M3255" t="s">
        <v>47</v>
      </c>
      <c r="N3255" t="s">
        <v>69</v>
      </c>
      <c r="O3255" t="s">
        <v>70</v>
      </c>
      <c r="P3255" t="s">
        <v>49</v>
      </c>
      <c r="Q3255" t="s">
        <v>167</v>
      </c>
      <c r="R3255">
        <v>181</v>
      </c>
      <c r="S3255">
        <v>98</v>
      </c>
      <c r="T3255">
        <v>66</v>
      </c>
      <c r="U3255">
        <v>25</v>
      </c>
      <c r="V3255" t="s">
        <v>6742</v>
      </c>
      <c r="W3255">
        <v>64949</v>
      </c>
      <c r="X3255" t="s">
        <v>7592</v>
      </c>
      <c r="Y3255">
        <v>49524</v>
      </c>
      <c r="Z3255">
        <v>1623725</v>
      </c>
      <c r="AA3255">
        <v>385625</v>
      </c>
      <c r="AB3255" t="str">
        <f>(VLOOKUP(SalesData[[#This Row],[Month Number]],Reference!C$5:E$16,2,FALSE))</f>
        <v>Feb</v>
      </c>
      <c r="AC3255">
        <f>MONTH(SalesData[[#This Row],[Date]])</f>
        <v>2</v>
      </c>
      <c r="AD3255">
        <f>Reference!F$4</f>
        <v>2026</v>
      </c>
      <c r="AE3255" t="str">
        <f>IF(OR(SalesData[[#This Row],[Day]]="Saturday",SalesData[[#This Row],[Day]]="Sunday"),"Weekend","Weekday")</f>
        <v>Weekday</v>
      </c>
      <c r="AF3255" s="5">
        <f>IF(SalesData[[#This Row],[Contracts Offered]]=0,0,SalesData[[#This Row],[Contracts Signed]]/SalesData[[#This Row],[Contracts Offered]])</f>
        <v>0.37878787878787878</v>
      </c>
      <c r="AG3255" s="5">
        <f>IF(SalesData[[#This Row],[Customers Visited]]=0,0,SalesData[[#This Row],[Test Drives]]/SalesData[[#This Row],[Customers Visited]])</f>
        <v>0.54143646408839774</v>
      </c>
      <c r="AH3255" s="5">
        <f>IF(SalesData[[#This Row],[Customers Visited]]=0,0,SalesData[[#This Row],[Contracts Signed]]/SalesData[[#This Row],[Customers Visited]])</f>
        <v>0.13812154696132597</v>
      </c>
      <c r="AI3255" s="6">
        <f>IF(SalesData[[#This Row],[Contracts Signed]]=0,0,SalesData[[#This Row],[Profit(€)]]/SalesData[[#This Row],[Contracts Signed]])</f>
        <v>15425</v>
      </c>
      <c r="AJ3255" s="5" t="str">
        <f>TRIM(CLEAN(SalesData[[#This Row],[Retailer]]))</f>
        <v>Bavaria Motors</v>
      </c>
    </row>
    <row r="3256" spans="1:36" ht="14.25" hidden="1" x14ac:dyDescent="0.2">
      <c r="A3256" t="s">
        <v>4430</v>
      </c>
      <c r="B3256" s="1">
        <v>46057</v>
      </c>
      <c r="C3256" t="s">
        <v>24</v>
      </c>
      <c r="D3256" t="s">
        <v>82</v>
      </c>
      <c r="E3256" t="s">
        <v>26</v>
      </c>
      <c r="F3256" t="s">
        <v>94</v>
      </c>
      <c r="G3256" t="s">
        <v>95</v>
      </c>
      <c r="H3256" t="s">
        <v>96</v>
      </c>
      <c r="I3256" t="s">
        <v>104</v>
      </c>
      <c r="J3256" t="s">
        <v>143</v>
      </c>
      <c r="K3256" t="s">
        <v>66</v>
      </c>
      <c r="L3256" t="s">
        <v>67</v>
      </c>
      <c r="M3256" t="s">
        <v>34</v>
      </c>
      <c r="N3256" t="s">
        <v>69</v>
      </c>
      <c r="O3256" t="s">
        <v>70</v>
      </c>
      <c r="P3256" t="s">
        <v>71</v>
      </c>
      <c r="Q3256" t="s">
        <v>172</v>
      </c>
      <c r="R3256">
        <v>416</v>
      </c>
      <c r="S3256">
        <v>202</v>
      </c>
      <c r="T3256">
        <v>131</v>
      </c>
      <c r="U3256">
        <v>42</v>
      </c>
      <c r="V3256" t="s">
        <v>6399</v>
      </c>
      <c r="W3256">
        <v>32142</v>
      </c>
      <c r="X3256" t="s">
        <v>694</v>
      </c>
      <c r="Y3256">
        <v>28154</v>
      </c>
      <c r="Z3256">
        <v>1349964</v>
      </c>
      <c r="AA3256">
        <v>167496</v>
      </c>
      <c r="AB3256" t="str">
        <f>(VLOOKUP(SalesData[[#This Row],[Month Number]],Reference!C$5:E$16,2,FALSE))</f>
        <v>Feb</v>
      </c>
      <c r="AC3256">
        <f>MONTH(SalesData[[#This Row],[Date]])</f>
        <v>2</v>
      </c>
      <c r="AD3256">
        <f>Reference!F$4</f>
        <v>2026</v>
      </c>
      <c r="AE3256" t="str">
        <f>IF(OR(SalesData[[#This Row],[Day]]="Saturday",SalesData[[#This Row],[Day]]="Sunday"),"Weekend","Weekday")</f>
        <v>Weekday</v>
      </c>
      <c r="AF3256" s="5">
        <f>IF(SalesData[[#This Row],[Contracts Offered]]=0,0,SalesData[[#This Row],[Contracts Signed]]/SalesData[[#This Row],[Contracts Offered]])</f>
        <v>0.32061068702290074</v>
      </c>
      <c r="AG3256" s="5">
        <f>IF(SalesData[[#This Row],[Customers Visited]]=0,0,SalesData[[#This Row],[Test Drives]]/SalesData[[#This Row],[Customers Visited]])</f>
        <v>0.48557692307692307</v>
      </c>
      <c r="AH3256" s="5">
        <f>IF(SalesData[[#This Row],[Customers Visited]]=0,0,SalesData[[#This Row],[Contracts Signed]]/SalesData[[#This Row],[Customers Visited]])</f>
        <v>0.10096153846153846</v>
      </c>
      <c r="AI3256" s="6">
        <f>IF(SalesData[[#This Row],[Contracts Signed]]=0,0,SalesData[[#This Row],[Profit(€)]]/SalesData[[#This Row],[Contracts Signed]])</f>
        <v>3988</v>
      </c>
      <c r="AJ3256" s="5" t="str">
        <f>TRIM(CLEAN(SalesData[[#This Row],[Retailer]]))</f>
        <v>Bavaria Motors</v>
      </c>
    </row>
    <row r="3257" spans="1:36" ht="14.25" hidden="1" x14ac:dyDescent="0.2">
      <c r="A3257" t="s">
        <v>4432</v>
      </c>
      <c r="B3257" s="1">
        <v>46067</v>
      </c>
      <c r="C3257" t="s">
        <v>121</v>
      </c>
      <c r="D3257" t="s">
        <v>151</v>
      </c>
      <c r="E3257" t="s">
        <v>42</v>
      </c>
      <c r="F3257" t="s">
        <v>109</v>
      </c>
      <c r="G3257" t="s">
        <v>110</v>
      </c>
      <c r="H3257" t="s">
        <v>45</v>
      </c>
      <c r="I3257" t="s">
        <v>116</v>
      </c>
      <c r="J3257" t="s">
        <v>7026</v>
      </c>
      <c r="K3257" t="s">
        <v>66</v>
      </c>
      <c r="L3257" t="s">
        <v>46</v>
      </c>
      <c r="M3257" t="s">
        <v>87</v>
      </c>
      <c r="N3257" t="s">
        <v>48</v>
      </c>
      <c r="O3257" t="s">
        <v>70</v>
      </c>
      <c r="P3257" t="s">
        <v>49</v>
      </c>
      <c r="Q3257" t="s">
        <v>144</v>
      </c>
      <c r="R3257">
        <v>349</v>
      </c>
      <c r="S3257">
        <v>146</v>
      </c>
      <c r="T3257">
        <v>92</v>
      </c>
      <c r="U3257">
        <v>16</v>
      </c>
      <c r="V3257" t="s">
        <v>917</v>
      </c>
      <c r="W3257">
        <v>24826</v>
      </c>
      <c r="X3257" t="s">
        <v>3232</v>
      </c>
      <c r="Y3257">
        <v>22827</v>
      </c>
      <c r="Z3257">
        <v>397216</v>
      </c>
      <c r="AA3257">
        <v>31984</v>
      </c>
      <c r="AB3257" t="str">
        <f>(VLOOKUP(SalesData[[#This Row],[Month Number]],Reference!C$5:E$16,2,FALSE))</f>
        <v>Feb</v>
      </c>
      <c r="AC3257">
        <f>MONTH(SalesData[[#This Row],[Date]])</f>
        <v>2</v>
      </c>
      <c r="AD3257">
        <f>Reference!F$4</f>
        <v>2026</v>
      </c>
      <c r="AE3257" t="str">
        <f>IF(OR(SalesData[[#This Row],[Day]]="Saturday",SalesData[[#This Row],[Day]]="Sunday"),"Weekend","Weekday")</f>
        <v>Weekend</v>
      </c>
      <c r="AF3257" s="5">
        <f>IF(SalesData[[#This Row],[Contracts Offered]]=0,0,SalesData[[#This Row],[Contracts Signed]]/SalesData[[#This Row],[Contracts Offered]])</f>
        <v>0.17391304347826086</v>
      </c>
      <c r="AG3257" s="5">
        <f>IF(SalesData[[#This Row],[Customers Visited]]=0,0,SalesData[[#This Row],[Test Drives]]/SalesData[[#This Row],[Customers Visited]])</f>
        <v>0.41833810888252149</v>
      </c>
      <c r="AH3257" s="5">
        <f>IF(SalesData[[#This Row],[Customers Visited]]=0,0,SalesData[[#This Row],[Contracts Signed]]/SalesData[[#This Row],[Customers Visited]])</f>
        <v>4.5845272206303724E-2</v>
      </c>
      <c r="AI3257" s="6">
        <f>IF(SalesData[[#This Row],[Contracts Signed]]=0,0,SalesData[[#This Row],[Profit(€)]]/SalesData[[#This Row],[Contracts Signed]])</f>
        <v>1999</v>
      </c>
      <c r="AJ3257" s="5" t="str">
        <f>TRIM(CLEAN(SalesData[[#This Row],[Retailer]]))</f>
        <v>Leipzig Mobility</v>
      </c>
    </row>
    <row r="3258" spans="1:36" ht="14.25" x14ac:dyDescent="0.2">
      <c r="A3258" t="s">
        <v>4433</v>
      </c>
      <c r="B3258" s="1">
        <v>46060</v>
      </c>
      <c r="C3258" t="s">
        <v>24</v>
      </c>
      <c r="D3258" t="s">
        <v>151</v>
      </c>
      <c r="E3258" t="s">
        <v>42</v>
      </c>
      <c r="F3258" t="s">
        <v>43</v>
      </c>
      <c r="G3258" t="s">
        <v>44</v>
      </c>
      <c r="H3258" t="s">
        <v>45</v>
      </c>
      <c r="I3258" t="s">
        <v>30</v>
      </c>
      <c r="J3258" t="s">
        <v>31</v>
      </c>
      <c r="K3258" t="s">
        <v>78</v>
      </c>
      <c r="L3258" t="s">
        <v>46</v>
      </c>
      <c r="M3258" t="s">
        <v>68</v>
      </c>
      <c r="N3258" t="s">
        <v>35</v>
      </c>
      <c r="O3258" t="s">
        <v>36</v>
      </c>
      <c r="P3258" t="s">
        <v>49</v>
      </c>
      <c r="Q3258" t="s">
        <v>38</v>
      </c>
      <c r="R3258">
        <v>246</v>
      </c>
      <c r="S3258">
        <v>145</v>
      </c>
      <c r="T3258">
        <v>118</v>
      </c>
      <c r="U3258">
        <v>40</v>
      </c>
      <c r="V3258" t="s">
        <v>6612</v>
      </c>
      <c r="W3258">
        <v>67138</v>
      </c>
      <c r="X3258" t="s">
        <v>7115</v>
      </c>
      <c r="Y3258">
        <v>49153</v>
      </c>
      <c r="Z3258">
        <v>2685520</v>
      </c>
      <c r="AA3258">
        <v>719400</v>
      </c>
      <c r="AB3258" t="str">
        <f>(VLOOKUP(SalesData[[#This Row],[Month Number]],Reference!C$5:E$16,2,FALSE))</f>
        <v>Feb</v>
      </c>
      <c r="AC3258">
        <f>MONTH(SalesData[[#This Row],[Date]])</f>
        <v>2</v>
      </c>
      <c r="AD3258">
        <f>Reference!F$4</f>
        <v>2026</v>
      </c>
      <c r="AE3258" t="str">
        <f>IF(OR(SalesData[[#This Row],[Day]]="Saturday",SalesData[[#This Row],[Day]]="Sunday"),"Weekend","Weekday")</f>
        <v>Weekend</v>
      </c>
      <c r="AF3258" s="5">
        <f>IF(SalesData[[#This Row],[Contracts Offered]]=0,0,SalesData[[#This Row],[Contracts Signed]]/SalesData[[#This Row],[Contracts Offered]])</f>
        <v>0.33898305084745761</v>
      </c>
      <c r="AG3258" s="5">
        <f>IF(SalesData[[#This Row],[Customers Visited]]=0,0,SalesData[[#This Row],[Test Drives]]/SalesData[[#This Row],[Customers Visited]])</f>
        <v>0.58943089430894313</v>
      </c>
      <c r="AH3258" s="5">
        <f>IF(SalesData[[#This Row],[Customers Visited]]=0,0,SalesData[[#This Row],[Contracts Signed]]/SalesData[[#This Row],[Customers Visited]])</f>
        <v>0.16260162601626016</v>
      </c>
      <c r="AI3258" s="6">
        <f>IF(SalesData[[#This Row],[Contracts Signed]]=0,0,SalesData[[#This Row],[Profit(€)]]/SalesData[[#This Row],[Contracts Signed]])</f>
        <v>17985</v>
      </c>
      <c r="AJ3258" s="5" t="str">
        <f>TRIM(CLEAN(SalesData[[#This Row],[Retailer]]))</f>
        <v>Saxon Wheels</v>
      </c>
    </row>
    <row r="3259" spans="1:36" ht="14.25" hidden="1" x14ac:dyDescent="0.2">
      <c r="A3259" t="s">
        <v>4434</v>
      </c>
      <c r="B3259" s="1">
        <v>46071</v>
      </c>
      <c r="C3259" t="s">
        <v>62</v>
      </c>
      <c r="D3259" t="s">
        <v>82</v>
      </c>
      <c r="E3259" t="s">
        <v>26</v>
      </c>
      <c r="F3259" t="s">
        <v>27</v>
      </c>
      <c r="G3259" t="s">
        <v>28</v>
      </c>
      <c r="H3259" t="s">
        <v>29</v>
      </c>
      <c r="I3259" t="s">
        <v>64</v>
      </c>
      <c r="J3259" t="s">
        <v>65</v>
      </c>
      <c r="K3259" t="s">
        <v>32</v>
      </c>
      <c r="L3259" t="s">
        <v>33</v>
      </c>
      <c r="M3259" t="s">
        <v>87</v>
      </c>
      <c r="N3259" t="s">
        <v>69</v>
      </c>
      <c r="O3259" t="s">
        <v>36</v>
      </c>
      <c r="P3259" t="s">
        <v>49</v>
      </c>
      <c r="Q3259" t="s">
        <v>106</v>
      </c>
      <c r="R3259">
        <v>227</v>
      </c>
      <c r="S3259">
        <v>112</v>
      </c>
      <c r="T3259">
        <v>79</v>
      </c>
      <c r="U3259">
        <v>24</v>
      </c>
      <c r="V3259" t="s">
        <v>6452</v>
      </c>
      <c r="W3259">
        <v>69619</v>
      </c>
      <c r="X3259" t="s">
        <v>2997</v>
      </c>
      <c r="Y3259">
        <v>53220</v>
      </c>
      <c r="Z3259">
        <v>1670856</v>
      </c>
      <c r="AA3259">
        <v>393576</v>
      </c>
      <c r="AB3259" t="str">
        <f>(VLOOKUP(SalesData[[#This Row],[Month Number]],Reference!C$5:E$16,2,FALSE))</f>
        <v>Feb</v>
      </c>
      <c r="AC3259">
        <f>MONTH(SalesData[[#This Row],[Date]])</f>
        <v>2</v>
      </c>
      <c r="AD3259">
        <f>Reference!F$4</f>
        <v>2026</v>
      </c>
      <c r="AE3259" t="str">
        <f>IF(OR(SalesData[[#This Row],[Day]]="Saturday",SalesData[[#This Row],[Day]]="Sunday"),"Weekend","Weekday")</f>
        <v>Weekday</v>
      </c>
      <c r="AF3259" s="5">
        <f>IF(SalesData[[#This Row],[Contracts Offered]]=0,0,SalesData[[#This Row],[Contracts Signed]]/SalesData[[#This Row],[Contracts Offered]])</f>
        <v>0.30379746835443039</v>
      </c>
      <c r="AG3259" s="5">
        <f>IF(SalesData[[#This Row],[Customers Visited]]=0,0,SalesData[[#This Row],[Test Drives]]/SalesData[[#This Row],[Customers Visited]])</f>
        <v>0.4933920704845815</v>
      </c>
      <c r="AH3259" s="5">
        <f>IF(SalesData[[#This Row],[Customers Visited]]=0,0,SalesData[[#This Row],[Contracts Signed]]/SalesData[[#This Row],[Customers Visited]])</f>
        <v>0.10572687224669604</v>
      </c>
      <c r="AI3259" s="6">
        <f>IF(SalesData[[#This Row],[Contracts Signed]]=0,0,SalesData[[#This Row],[Profit(€)]]/SalesData[[#This Row],[Contracts Signed]])</f>
        <v>16399</v>
      </c>
      <c r="AJ3259" s="5" t="str">
        <f>TRIM(CLEAN(SalesData[[#This Row],[Retailer]]))</f>
        <v>Main Auto Hub</v>
      </c>
    </row>
    <row r="3260" spans="1:36" ht="14.25" hidden="1" x14ac:dyDescent="0.2">
      <c r="A3260" t="s">
        <v>4435</v>
      </c>
      <c r="B3260" s="1">
        <v>46075</v>
      </c>
      <c r="C3260" t="s">
        <v>53</v>
      </c>
      <c r="D3260" t="s">
        <v>41</v>
      </c>
      <c r="E3260" t="s">
        <v>42</v>
      </c>
      <c r="F3260" t="s">
        <v>94</v>
      </c>
      <c r="G3260" t="s">
        <v>95</v>
      </c>
      <c r="H3260" t="s">
        <v>96</v>
      </c>
      <c r="I3260" t="s">
        <v>104</v>
      </c>
      <c r="J3260" t="s">
        <v>105</v>
      </c>
      <c r="K3260" t="s">
        <v>66</v>
      </c>
      <c r="L3260" t="s">
        <v>33</v>
      </c>
      <c r="M3260" t="s">
        <v>68</v>
      </c>
      <c r="N3260" t="s">
        <v>69</v>
      </c>
      <c r="O3260" t="s">
        <v>36</v>
      </c>
      <c r="P3260" t="s">
        <v>58</v>
      </c>
      <c r="Q3260" t="s">
        <v>240</v>
      </c>
      <c r="R3260">
        <v>513</v>
      </c>
      <c r="S3260">
        <v>215</v>
      </c>
      <c r="T3260">
        <v>145</v>
      </c>
      <c r="U3260">
        <v>42</v>
      </c>
      <c r="V3260" t="s">
        <v>2294</v>
      </c>
      <c r="W3260">
        <v>33138</v>
      </c>
      <c r="X3260" t="s">
        <v>279</v>
      </c>
      <c r="Y3260">
        <v>29420</v>
      </c>
      <c r="Z3260">
        <v>1391796</v>
      </c>
      <c r="AA3260">
        <v>156156</v>
      </c>
      <c r="AB3260" t="str">
        <f>(VLOOKUP(SalesData[[#This Row],[Month Number]],Reference!C$5:E$16,2,FALSE))</f>
        <v>Feb</v>
      </c>
      <c r="AC3260">
        <f>MONTH(SalesData[[#This Row],[Date]])</f>
        <v>2</v>
      </c>
      <c r="AD3260">
        <f>Reference!F$4</f>
        <v>2026</v>
      </c>
      <c r="AE3260" t="str">
        <f>IF(OR(SalesData[[#This Row],[Day]]="Saturday",SalesData[[#This Row],[Day]]="Sunday"),"Weekend","Weekday")</f>
        <v>Weekend</v>
      </c>
      <c r="AF3260" s="5">
        <f>IF(SalesData[[#This Row],[Contracts Offered]]=0,0,SalesData[[#This Row],[Contracts Signed]]/SalesData[[#This Row],[Contracts Offered]])</f>
        <v>0.28965517241379313</v>
      </c>
      <c r="AG3260" s="5">
        <f>IF(SalesData[[#This Row],[Customers Visited]]=0,0,SalesData[[#This Row],[Test Drives]]/SalesData[[#This Row],[Customers Visited]])</f>
        <v>0.41910331384015592</v>
      </c>
      <c r="AH3260" s="5">
        <f>IF(SalesData[[#This Row],[Customers Visited]]=0,0,SalesData[[#This Row],[Contracts Signed]]/SalesData[[#This Row],[Customers Visited]])</f>
        <v>8.1871345029239762E-2</v>
      </c>
      <c r="AI3260" s="6">
        <f>IF(SalesData[[#This Row],[Contracts Signed]]=0,0,SalesData[[#This Row],[Profit(€)]]/SalesData[[#This Row],[Contracts Signed]])</f>
        <v>3718</v>
      </c>
      <c r="AJ3260" s="5" t="str">
        <f>TRIM(CLEAN(SalesData[[#This Row],[Retailer]]))</f>
        <v>Bavaria Motors</v>
      </c>
    </row>
    <row r="3261" spans="1:36" ht="14.25" hidden="1" x14ac:dyDescent="0.2">
      <c r="A3261" t="s">
        <v>4436</v>
      </c>
      <c r="B3261" s="1">
        <v>46059</v>
      </c>
      <c r="C3261" t="s">
        <v>24</v>
      </c>
      <c r="D3261" t="s">
        <v>54</v>
      </c>
      <c r="E3261" t="s">
        <v>26</v>
      </c>
      <c r="F3261" t="s">
        <v>94</v>
      </c>
      <c r="G3261" t="s">
        <v>95</v>
      </c>
      <c r="H3261" t="s">
        <v>96</v>
      </c>
      <c r="I3261" t="s">
        <v>116</v>
      </c>
      <c r="J3261" t="s">
        <v>7090</v>
      </c>
      <c r="K3261" t="s">
        <v>66</v>
      </c>
      <c r="L3261" t="s">
        <v>46</v>
      </c>
      <c r="M3261" t="s">
        <v>34</v>
      </c>
      <c r="N3261" t="s">
        <v>48</v>
      </c>
      <c r="O3261" t="s">
        <v>70</v>
      </c>
      <c r="P3261" t="s">
        <v>58</v>
      </c>
      <c r="Q3261" t="s">
        <v>347</v>
      </c>
      <c r="R3261">
        <v>318</v>
      </c>
      <c r="S3261">
        <v>159</v>
      </c>
      <c r="T3261">
        <v>98</v>
      </c>
      <c r="U3261">
        <v>33</v>
      </c>
      <c r="V3261" t="s">
        <v>6555</v>
      </c>
      <c r="W3261">
        <v>21381</v>
      </c>
      <c r="X3261" t="s">
        <v>7315</v>
      </c>
      <c r="Y3261">
        <v>19652</v>
      </c>
      <c r="Z3261">
        <v>705573</v>
      </c>
      <c r="AA3261">
        <v>57057</v>
      </c>
      <c r="AB3261" t="str">
        <f>(VLOOKUP(SalesData[[#This Row],[Month Number]],Reference!C$5:E$16,2,FALSE))</f>
        <v>Feb</v>
      </c>
      <c r="AC3261">
        <f>MONTH(SalesData[[#This Row],[Date]])</f>
        <v>2</v>
      </c>
      <c r="AD3261">
        <f>Reference!F$4</f>
        <v>2026</v>
      </c>
      <c r="AE3261" t="str">
        <f>IF(OR(SalesData[[#This Row],[Day]]="Saturday",SalesData[[#This Row],[Day]]="Sunday"),"Weekend","Weekday")</f>
        <v>Weekday</v>
      </c>
      <c r="AF3261" s="5">
        <f>IF(SalesData[[#This Row],[Contracts Offered]]=0,0,SalesData[[#This Row],[Contracts Signed]]/SalesData[[#This Row],[Contracts Offered]])</f>
        <v>0.33673469387755101</v>
      </c>
      <c r="AG3261" s="5">
        <f>IF(SalesData[[#This Row],[Customers Visited]]=0,0,SalesData[[#This Row],[Test Drives]]/SalesData[[#This Row],[Customers Visited]])</f>
        <v>0.5</v>
      </c>
      <c r="AH3261" s="5">
        <f>IF(SalesData[[#This Row],[Customers Visited]]=0,0,SalesData[[#This Row],[Contracts Signed]]/SalesData[[#This Row],[Customers Visited]])</f>
        <v>0.10377358490566038</v>
      </c>
      <c r="AI3261" s="6">
        <f>IF(SalesData[[#This Row],[Contracts Signed]]=0,0,SalesData[[#This Row],[Profit(€)]]/SalesData[[#This Row],[Contracts Signed]])</f>
        <v>1729</v>
      </c>
      <c r="AJ3261" s="5" t="str">
        <f>TRIM(CLEAN(SalesData[[#This Row],[Retailer]]))</f>
        <v>Bavaria Motors</v>
      </c>
    </row>
    <row r="3262" spans="1:36" ht="14.25" hidden="1" x14ac:dyDescent="0.2">
      <c r="A3262" t="s">
        <v>4437</v>
      </c>
      <c r="B3262" s="1">
        <v>46069</v>
      </c>
      <c r="C3262" t="s">
        <v>62</v>
      </c>
      <c r="D3262" t="s">
        <v>25</v>
      </c>
      <c r="E3262" t="s">
        <v>26</v>
      </c>
      <c r="F3262" t="s">
        <v>74</v>
      </c>
      <c r="G3262" t="s">
        <v>75</v>
      </c>
      <c r="H3262" t="s">
        <v>76</v>
      </c>
      <c r="I3262" t="s">
        <v>104</v>
      </c>
      <c r="J3262" t="s">
        <v>7031</v>
      </c>
      <c r="K3262" t="s">
        <v>66</v>
      </c>
      <c r="L3262" t="s">
        <v>46</v>
      </c>
      <c r="M3262" t="s">
        <v>87</v>
      </c>
      <c r="N3262" t="s">
        <v>35</v>
      </c>
      <c r="O3262" t="s">
        <v>70</v>
      </c>
      <c r="P3262" t="s">
        <v>37</v>
      </c>
      <c r="Q3262" t="s">
        <v>240</v>
      </c>
      <c r="R3262">
        <v>459</v>
      </c>
      <c r="S3262">
        <v>261</v>
      </c>
      <c r="T3262">
        <v>153</v>
      </c>
      <c r="U3262">
        <v>42</v>
      </c>
      <c r="V3262" t="s">
        <v>365</v>
      </c>
      <c r="W3262">
        <v>28896</v>
      </c>
      <c r="X3262" t="s">
        <v>7172</v>
      </c>
      <c r="Y3262">
        <v>25758</v>
      </c>
      <c r="Z3262">
        <v>1213632</v>
      </c>
      <c r="AA3262">
        <v>131796</v>
      </c>
      <c r="AB3262" t="str">
        <f>(VLOOKUP(SalesData[[#This Row],[Month Number]],Reference!C$5:E$16,2,FALSE))</f>
        <v>Feb</v>
      </c>
      <c r="AC3262">
        <f>MONTH(SalesData[[#This Row],[Date]])</f>
        <v>2</v>
      </c>
      <c r="AD3262">
        <f>Reference!F$4</f>
        <v>2026</v>
      </c>
      <c r="AE3262" t="str">
        <f>IF(OR(SalesData[[#This Row],[Day]]="Saturday",SalesData[[#This Row],[Day]]="Sunday"),"Weekend","Weekday")</f>
        <v>Weekday</v>
      </c>
      <c r="AF3262" s="5">
        <f>IF(SalesData[[#This Row],[Contracts Offered]]=0,0,SalesData[[#This Row],[Contracts Signed]]/SalesData[[#This Row],[Contracts Offered]])</f>
        <v>0.27450980392156865</v>
      </c>
      <c r="AG3262" s="5">
        <f>IF(SalesData[[#This Row],[Customers Visited]]=0,0,SalesData[[#This Row],[Test Drives]]/SalesData[[#This Row],[Customers Visited]])</f>
        <v>0.56862745098039214</v>
      </c>
      <c r="AH3262" s="5">
        <f>IF(SalesData[[#This Row],[Customers Visited]]=0,0,SalesData[[#This Row],[Contracts Signed]]/SalesData[[#This Row],[Customers Visited]])</f>
        <v>9.1503267973856203E-2</v>
      </c>
      <c r="AI3262" s="6">
        <f>IF(SalesData[[#This Row],[Contracts Signed]]=0,0,SalesData[[#This Row],[Profit(€)]]/SalesData[[#This Row],[Contracts Signed]])</f>
        <v>3138</v>
      </c>
      <c r="AJ3262" s="5" t="str">
        <f>TRIM(CLEAN(SalesData[[#This Row],[Retailer]]))</f>
        <v>Stuttgart Auto Center</v>
      </c>
    </row>
    <row r="3263" spans="1:36" ht="14.25" x14ac:dyDescent="0.2">
      <c r="A3263" t="s">
        <v>4438</v>
      </c>
      <c r="B3263" s="1">
        <v>46063</v>
      </c>
      <c r="C3263" t="s">
        <v>121</v>
      </c>
      <c r="D3263" t="s">
        <v>63</v>
      </c>
      <c r="E3263" t="s">
        <v>26</v>
      </c>
      <c r="F3263" t="s">
        <v>83</v>
      </c>
      <c r="G3263" t="s">
        <v>84</v>
      </c>
      <c r="H3263" t="s">
        <v>85</v>
      </c>
      <c r="I3263" t="s">
        <v>30</v>
      </c>
      <c r="J3263" t="s">
        <v>31</v>
      </c>
      <c r="K3263" t="s">
        <v>32</v>
      </c>
      <c r="L3263" t="s">
        <v>46</v>
      </c>
      <c r="M3263" t="s">
        <v>47</v>
      </c>
      <c r="N3263" t="s">
        <v>69</v>
      </c>
      <c r="O3263" t="s">
        <v>36</v>
      </c>
      <c r="P3263" t="s">
        <v>37</v>
      </c>
      <c r="Q3263" t="s">
        <v>106</v>
      </c>
      <c r="R3263">
        <v>205</v>
      </c>
      <c r="S3263">
        <v>116</v>
      </c>
      <c r="T3263">
        <v>87</v>
      </c>
      <c r="U3263">
        <v>28</v>
      </c>
      <c r="V3263" t="s">
        <v>6659</v>
      </c>
      <c r="W3263">
        <v>68049</v>
      </c>
      <c r="X3263" t="s">
        <v>7399</v>
      </c>
      <c r="Y3263">
        <v>48852</v>
      </c>
      <c r="Z3263">
        <v>1905372</v>
      </c>
      <c r="AA3263">
        <v>537516</v>
      </c>
      <c r="AB3263" t="str">
        <f>(VLOOKUP(SalesData[[#This Row],[Month Number]],Reference!C$5:E$16,2,FALSE))</f>
        <v>Feb</v>
      </c>
      <c r="AC3263">
        <f>MONTH(SalesData[[#This Row],[Date]])</f>
        <v>2</v>
      </c>
      <c r="AD3263">
        <f>Reference!F$4</f>
        <v>2026</v>
      </c>
      <c r="AE3263" t="str">
        <f>IF(OR(SalesData[[#This Row],[Day]]="Saturday",SalesData[[#This Row],[Day]]="Sunday"),"Weekend","Weekday")</f>
        <v>Weekday</v>
      </c>
      <c r="AF3263" s="5">
        <f>IF(SalesData[[#This Row],[Contracts Offered]]=0,0,SalesData[[#This Row],[Contracts Signed]]/SalesData[[#This Row],[Contracts Offered]])</f>
        <v>0.32183908045977011</v>
      </c>
      <c r="AG3263" s="5">
        <f>IF(SalesData[[#This Row],[Customers Visited]]=0,0,SalesData[[#This Row],[Test Drives]]/SalesData[[#This Row],[Customers Visited]])</f>
        <v>0.56585365853658531</v>
      </c>
      <c r="AH3263" s="5">
        <f>IF(SalesData[[#This Row],[Customers Visited]]=0,0,SalesData[[#This Row],[Contracts Signed]]/SalesData[[#This Row],[Customers Visited]])</f>
        <v>0.13658536585365855</v>
      </c>
      <c r="AI3263" s="6">
        <f>IF(SalesData[[#This Row],[Contracts Signed]]=0,0,SalesData[[#This Row],[Profit(€)]]/SalesData[[#This Row],[Contracts Signed]])</f>
        <v>19197</v>
      </c>
      <c r="AJ3263" s="5" t="str">
        <f>TRIM(CLEAN(SalesData[[#This Row],[Retailer]]))</f>
        <v>Hannover Cars</v>
      </c>
    </row>
    <row r="3264" spans="1:36" ht="14.25" hidden="1" x14ac:dyDescent="0.2">
      <c r="A3264" t="s">
        <v>4439</v>
      </c>
      <c r="B3264" s="1">
        <v>46079</v>
      </c>
      <c r="C3264" t="s">
        <v>53</v>
      </c>
      <c r="D3264" t="s">
        <v>100</v>
      </c>
      <c r="E3264" t="s">
        <v>26</v>
      </c>
      <c r="F3264" t="s">
        <v>83</v>
      </c>
      <c r="G3264" t="s">
        <v>84</v>
      </c>
      <c r="H3264" t="s">
        <v>85</v>
      </c>
      <c r="I3264" t="s">
        <v>56</v>
      </c>
      <c r="J3264" t="s">
        <v>179</v>
      </c>
      <c r="K3264" t="s">
        <v>78</v>
      </c>
      <c r="L3264" t="s">
        <v>67</v>
      </c>
      <c r="M3264" t="s">
        <v>87</v>
      </c>
      <c r="N3264" t="s">
        <v>35</v>
      </c>
      <c r="O3264" t="s">
        <v>70</v>
      </c>
      <c r="P3264" t="s">
        <v>71</v>
      </c>
      <c r="Q3264" t="s">
        <v>59</v>
      </c>
      <c r="R3264">
        <v>189</v>
      </c>
      <c r="S3264">
        <v>94</v>
      </c>
      <c r="T3264">
        <v>67</v>
      </c>
      <c r="U3264">
        <v>22</v>
      </c>
      <c r="V3264" t="s">
        <v>6801</v>
      </c>
      <c r="W3264">
        <v>48283</v>
      </c>
      <c r="X3264" t="s">
        <v>254</v>
      </c>
      <c r="Y3264">
        <v>39432</v>
      </c>
      <c r="Z3264">
        <v>1062226</v>
      </c>
      <c r="AA3264">
        <v>194722</v>
      </c>
      <c r="AB3264" t="str">
        <f>(VLOOKUP(SalesData[[#This Row],[Month Number]],Reference!C$5:E$16,2,FALSE))</f>
        <v>Feb</v>
      </c>
      <c r="AC3264">
        <f>MONTH(SalesData[[#This Row],[Date]])</f>
        <v>2</v>
      </c>
      <c r="AD3264">
        <f>Reference!F$4</f>
        <v>2026</v>
      </c>
      <c r="AE3264" t="str">
        <f>IF(OR(SalesData[[#This Row],[Day]]="Saturday",SalesData[[#This Row],[Day]]="Sunday"),"Weekend","Weekday")</f>
        <v>Weekday</v>
      </c>
      <c r="AF3264" s="5">
        <f>IF(SalesData[[#This Row],[Contracts Offered]]=0,0,SalesData[[#This Row],[Contracts Signed]]/SalesData[[#This Row],[Contracts Offered]])</f>
        <v>0.32835820895522388</v>
      </c>
      <c r="AG3264" s="5">
        <f>IF(SalesData[[#This Row],[Customers Visited]]=0,0,SalesData[[#This Row],[Test Drives]]/SalesData[[#This Row],[Customers Visited]])</f>
        <v>0.49735449735449733</v>
      </c>
      <c r="AH3264" s="5">
        <f>IF(SalesData[[#This Row],[Customers Visited]]=0,0,SalesData[[#This Row],[Contracts Signed]]/SalesData[[#This Row],[Customers Visited]])</f>
        <v>0.1164021164021164</v>
      </c>
      <c r="AI3264" s="6">
        <f>IF(SalesData[[#This Row],[Contracts Signed]]=0,0,SalesData[[#This Row],[Profit(€)]]/SalesData[[#This Row],[Contracts Signed]])</f>
        <v>8851</v>
      </c>
      <c r="AJ3264" s="5" t="str">
        <f>TRIM(CLEAN(SalesData[[#This Row],[Retailer]]))</f>
        <v>Hannover Cars</v>
      </c>
    </row>
    <row r="3265" spans="1:36" ht="14.25" x14ac:dyDescent="0.2">
      <c r="A3265" t="s">
        <v>4440</v>
      </c>
      <c r="B3265" s="1">
        <v>46054</v>
      </c>
      <c r="C3265" t="s">
        <v>24</v>
      </c>
      <c r="D3265" t="s">
        <v>41</v>
      </c>
      <c r="E3265" t="s">
        <v>42</v>
      </c>
      <c r="F3265" t="s">
        <v>101</v>
      </c>
      <c r="G3265" t="s">
        <v>102</v>
      </c>
      <c r="H3265" t="s">
        <v>103</v>
      </c>
      <c r="I3265" t="s">
        <v>30</v>
      </c>
      <c r="J3265" t="s">
        <v>86</v>
      </c>
      <c r="K3265" t="s">
        <v>32</v>
      </c>
      <c r="L3265" t="s">
        <v>33</v>
      </c>
      <c r="M3265" t="s">
        <v>87</v>
      </c>
      <c r="N3265" t="s">
        <v>48</v>
      </c>
      <c r="O3265" t="s">
        <v>36</v>
      </c>
      <c r="P3265" t="s">
        <v>71</v>
      </c>
      <c r="Q3265" t="s">
        <v>122</v>
      </c>
      <c r="R3265">
        <v>186</v>
      </c>
      <c r="S3265">
        <v>95</v>
      </c>
      <c r="T3265">
        <v>76</v>
      </c>
      <c r="U3265">
        <v>28</v>
      </c>
      <c r="V3265" t="s">
        <v>6976</v>
      </c>
      <c r="W3265">
        <v>51272</v>
      </c>
      <c r="X3265" t="s">
        <v>1520</v>
      </c>
      <c r="Y3265">
        <v>37392</v>
      </c>
      <c r="Z3265">
        <v>1435616</v>
      </c>
      <c r="AA3265">
        <v>388640</v>
      </c>
      <c r="AB3265" t="str">
        <f>(VLOOKUP(SalesData[[#This Row],[Month Number]],Reference!C$5:E$16,2,FALSE))</f>
        <v>Feb</v>
      </c>
      <c r="AC3265">
        <f>MONTH(SalesData[[#This Row],[Date]])</f>
        <v>2</v>
      </c>
      <c r="AD3265">
        <f>Reference!F$4</f>
        <v>2026</v>
      </c>
      <c r="AE3265" t="str">
        <f>IF(OR(SalesData[[#This Row],[Day]]="Saturday",SalesData[[#This Row],[Day]]="Sunday"),"Weekend","Weekday")</f>
        <v>Weekend</v>
      </c>
      <c r="AF3265" s="5">
        <f>IF(SalesData[[#This Row],[Contracts Offered]]=0,0,SalesData[[#This Row],[Contracts Signed]]/SalesData[[#This Row],[Contracts Offered]])</f>
        <v>0.36842105263157893</v>
      </c>
      <c r="AG3265" s="5">
        <f>IF(SalesData[[#This Row],[Customers Visited]]=0,0,SalesData[[#This Row],[Test Drives]]/SalesData[[#This Row],[Customers Visited]])</f>
        <v>0.510752688172043</v>
      </c>
      <c r="AH3265" s="5">
        <f>IF(SalesData[[#This Row],[Customers Visited]]=0,0,SalesData[[#This Row],[Contracts Signed]]/SalesData[[#This Row],[Customers Visited]])</f>
        <v>0.15053763440860216</v>
      </c>
      <c r="AI3265" s="6">
        <f>IF(SalesData[[#This Row],[Contracts Signed]]=0,0,SalesData[[#This Row],[Profit(€)]]/SalesData[[#This Row],[Contracts Signed]])</f>
        <v>13880</v>
      </c>
      <c r="AJ3265" s="5" t="str">
        <f>TRIM(CLEAN(SalesData[[#This Row],[Retailer]]))</f>
        <v>Ruhr Auto Plaza</v>
      </c>
    </row>
    <row r="3266" spans="1:36" ht="14.25" x14ac:dyDescent="0.2">
      <c r="A3266" t="s">
        <v>4441</v>
      </c>
      <c r="B3266" s="1">
        <v>46063</v>
      </c>
      <c r="C3266" t="s">
        <v>121</v>
      </c>
      <c r="D3266" t="s">
        <v>63</v>
      </c>
      <c r="E3266" t="s">
        <v>26</v>
      </c>
      <c r="F3266" t="s">
        <v>114</v>
      </c>
      <c r="G3266" t="s">
        <v>115</v>
      </c>
      <c r="H3266" t="s">
        <v>115</v>
      </c>
      <c r="I3266" t="s">
        <v>30</v>
      </c>
      <c r="J3266" t="s">
        <v>31</v>
      </c>
      <c r="K3266" t="s">
        <v>91</v>
      </c>
      <c r="L3266" t="s">
        <v>46</v>
      </c>
      <c r="M3266" t="s">
        <v>47</v>
      </c>
      <c r="N3266" t="s">
        <v>69</v>
      </c>
      <c r="O3266" t="s">
        <v>70</v>
      </c>
      <c r="P3266" t="s">
        <v>37</v>
      </c>
      <c r="Q3266" t="s">
        <v>59</v>
      </c>
      <c r="R3266">
        <v>271</v>
      </c>
      <c r="S3266">
        <v>150</v>
      </c>
      <c r="T3266">
        <v>109</v>
      </c>
      <c r="U3266">
        <v>40</v>
      </c>
      <c r="V3266" t="s">
        <v>6388</v>
      </c>
      <c r="W3266">
        <v>67648</v>
      </c>
      <c r="X3266" t="s">
        <v>3288</v>
      </c>
      <c r="Y3266">
        <v>49885</v>
      </c>
      <c r="Z3266">
        <v>2705920</v>
      </c>
      <c r="AA3266">
        <v>710520</v>
      </c>
      <c r="AB3266" t="str">
        <f>(VLOOKUP(SalesData[[#This Row],[Month Number]],Reference!C$5:E$16,2,FALSE))</f>
        <v>Feb</v>
      </c>
      <c r="AC3266">
        <f>MONTH(SalesData[[#This Row],[Date]])</f>
        <v>2</v>
      </c>
      <c r="AD3266">
        <f>Reference!F$4</f>
        <v>2026</v>
      </c>
      <c r="AE3266" t="str">
        <f>IF(OR(SalesData[[#This Row],[Day]]="Saturday",SalesData[[#This Row],[Day]]="Sunday"),"Weekend","Weekday")</f>
        <v>Weekday</v>
      </c>
      <c r="AF3266" s="5">
        <f>IF(SalesData[[#This Row],[Contracts Offered]]=0,0,SalesData[[#This Row],[Contracts Signed]]/SalesData[[#This Row],[Contracts Offered]])</f>
        <v>0.3669724770642202</v>
      </c>
      <c r="AG3266" s="5">
        <f>IF(SalesData[[#This Row],[Customers Visited]]=0,0,SalesData[[#This Row],[Test Drives]]/SalesData[[#This Row],[Customers Visited]])</f>
        <v>0.55350553505535061</v>
      </c>
      <c r="AH3266" s="5">
        <f>IF(SalesData[[#This Row],[Customers Visited]]=0,0,SalesData[[#This Row],[Contracts Signed]]/SalesData[[#This Row],[Customers Visited]])</f>
        <v>0.14760147601476015</v>
      </c>
      <c r="AI3266" s="6">
        <f>IF(SalesData[[#This Row],[Contracts Signed]]=0,0,SalesData[[#This Row],[Profit(€)]]/SalesData[[#This Row],[Contracts Signed]])</f>
        <v>17763</v>
      </c>
      <c r="AJ3266" s="5" t="str">
        <f>TRIM(CLEAN(SalesData[[#This Row],[Retailer]]))</f>
        <v>Elbe Drive</v>
      </c>
    </row>
    <row r="3267" spans="1:36" ht="14.25" hidden="1" x14ac:dyDescent="0.2">
      <c r="A3267" t="s">
        <v>4442</v>
      </c>
      <c r="B3267" s="1">
        <v>46055</v>
      </c>
      <c r="C3267" t="s">
        <v>24</v>
      </c>
      <c r="D3267" t="s">
        <v>25</v>
      </c>
      <c r="E3267" t="s">
        <v>26</v>
      </c>
      <c r="F3267" t="s">
        <v>27</v>
      </c>
      <c r="G3267" t="s">
        <v>28</v>
      </c>
      <c r="H3267" t="s">
        <v>29</v>
      </c>
      <c r="I3267" t="s">
        <v>56</v>
      </c>
      <c r="J3267" t="s">
        <v>57</v>
      </c>
      <c r="K3267" t="s">
        <v>78</v>
      </c>
      <c r="L3267" t="s">
        <v>46</v>
      </c>
      <c r="M3267" t="s">
        <v>34</v>
      </c>
      <c r="N3267" t="s">
        <v>69</v>
      </c>
      <c r="O3267" t="s">
        <v>36</v>
      </c>
      <c r="P3267" t="s">
        <v>37</v>
      </c>
      <c r="Q3267" t="s">
        <v>172</v>
      </c>
      <c r="R3267">
        <v>256</v>
      </c>
      <c r="S3267">
        <v>138</v>
      </c>
      <c r="T3267">
        <v>90</v>
      </c>
      <c r="U3267">
        <v>32</v>
      </c>
      <c r="V3267" t="s">
        <v>6568</v>
      </c>
      <c r="W3267">
        <v>46003</v>
      </c>
      <c r="X3267" t="s">
        <v>1092</v>
      </c>
      <c r="Y3267">
        <v>35713</v>
      </c>
      <c r="Z3267">
        <v>1472096</v>
      </c>
      <c r="AA3267">
        <v>329280</v>
      </c>
      <c r="AB3267" t="str">
        <f>(VLOOKUP(SalesData[[#This Row],[Month Number]],Reference!C$5:E$16,2,FALSE))</f>
        <v>Feb</v>
      </c>
      <c r="AC3267">
        <f>MONTH(SalesData[[#This Row],[Date]])</f>
        <v>2</v>
      </c>
      <c r="AD3267">
        <f>Reference!F$4</f>
        <v>2026</v>
      </c>
      <c r="AE3267" t="str">
        <f>IF(OR(SalesData[[#This Row],[Day]]="Saturday",SalesData[[#This Row],[Day]]="Sunday"),"Weekend","Weekday")</f>
        <v>Weekday</v>
      </c>
      <c r="AF3267" s="5">
        <f>IF(SalesData[[#This Row],[Contracts Offered]]=0,0,SalesData[[#This Row],[Contracts Signed]]/SalesData[[#This Row],[Contracts Offered]])</f>
        <v>0.35555555555555557</v>
      </c>
      <c r="AG3267" s="5">
        <f>IF(SalesData[[#This Row],[Customers Visited]]=0,0,SalesData[[#This Row],[Test Drives]]/SalesData[[#This Row],[Customers Visited]])</f>
        <v>0.5390625</v>
      </c>
      <c r="AH3267" s="5">
        <f>IF(SalesData[[#This Row],[Customers Visited]]=0,0,SalesData[[#This Row],[Contracts Signed]]/SalesData[[#This Row],[Customers Visited]])</f>
        <v>0.125</v>
      </c>
      <c r="AI3267" s="6">
        <f>IF(SalesData[[#This Row],[Contracts Signed]]=0,0,SalesData[[#This Row],[Profit(€)]]/SalesData[[#This Row],[Contracts Signed]])</f>
        <v>10290</v>
      </c>
      <c r="AJ3267" s="5" t="str">
        <f>TRIM(CLEAN(SalesData[[#This Row],[Retailer]]))</f>
        <v>Main Auto Hub</v>
      </c>
    </row>
    <row r="3268" spans="1:36" ht="14.25" hidden="1" x14ac:dyDescent="0.2">
      <c r="A3268" t="s">
        <v>4443</v>
      </c>
      <c r="B3268" s="1">
        <v>46070</v>
      </c>
      <c r="C3268" t="s">
        <v>62</v>
      </c>
      <c r="D3268" t="s">
        <v>63</v>
      </c>
      <c r="E3268" t="s">
        <v>26</v>
      </c>
      <c r="F3268" t="s">
        <v>94</v>
      </c>
      <c r="G3268" t="s">
        <v>95</v>
      </c>
      <c r="H3268" t="s">
        <v>96</v>
      </c>
      <c r="I3268" t="s">
        <v>116</v>
      </c>
      <c r="J3268" t="s">
        <v>203</v>
      </c>
      <c r="K3268" t="s">
        <v>91</v>
      </c>
      <c r="L3268" t="s">
        <v>67</v>
      </c>
      <c r="M3268" t="s">
        <v>68</v>
      </c>
      <c r="N3268" t="s">
        <v>35</v>
      </c>
      <c r="O3268" t="s">
        <v>36</v>
      </c>
      <c r="P3268" t="s">
        <v>71</v>
      </c>
      <c r="Q3268" t="s">
        <v>106</v>
      </c>
      <c r="R3268">
        <v>310</v>
      </c>
      <c r="S3268">
        <v>137</v>
      </c>
      <c r="T3268">
        <v>82</v>
      </c>
      <c r="U3268">
        <v>26</v>
      </c>
      <c r="V3268" t="s">
        <v>3442</v>
      </c>
      <c r="W3268">
        <v>21036</v>
      </c>
      <c r="X3268" t="s">
        <v>1295</v>
      </c>
      <c r="Y3268">
        <v>19347</v>
      </c>
      <c r="Z3268">
        <v>546936</v>
      </c>
      <c r="AA3268">
        <v>43914</v>
      </c>
      <c r="AB3268" t="str">
        <f>(VLOOKUP(SalesData[[#This Row],[Month Number]],Reference!C$5:E$16,2,FALSE))</f>
        <v>Feb</v>
      </c>
      <c r="AC3268">
        <f>MONTH(SalesData[[#This Row],[Date]])</f>
        <v>2</v>
      </c>
      <c r="AD3268">
        <f>Reference!F$4</f>
        <v>2026</v>
      </c>
      <c r="AE3268" t="str">
        <f>IF(OR(SalesData[[#This Row],[Day]]="Saturday",SalesData[[#This Row],[Day]]="Sunday"),"Weekend","Weekday")</f>
        <v>Weekday</v>
      </c>
      <c r="AF3268" s="5">
        <f>IF(SalesData[[#This Row],[Contracts Offered]]=0,0,SalesData[[#This Row],[Contracts Signed]]/SalesData[[#This Row],[Contracts Offered]])</f>
        <v>0.31707317073170732</v>
      </c>
      <c r="AG3268" s="5">
        <f>IF(SalesData[[#This Row],[Customers Visited]]=0,0,SalesData[[#This Row],[Test Drives]]/SalesData[[#This Row],[Customers Visited]])</f>
        <v>0.44193548387096776</v>
      </c>
      <c r="AH3268" s="5">
        <f>IF(SalesData[[#This Row],[Customers Visited]]=0,0,SalesData[[#This Row],[Contracts Signed]]/SalesData[[#This Row],[Customers Visited]])</f>
        <v>8.387096774193549E-2</v>
      </c>
      <c r="AI3268" s="6">
        <f>IF(SalesData[[#This Row],[Contracts Signed]]=0,0,SalesData[[#This Row],[Profit(€)]]/SalesData[[#This Row],[Contracts Signed]])</f>
        <v>1689</v>
      </c>
      <c r="AJ3268" s="5" t="str">
        <f>TRIM(CLEAN(SalesData[[#This Row],[Retailer]]))</f>
        <v>Bavaria Motors</v>
      </c>
    </row>
    <row r="3269" spans="1:36" ht="14.25" hidden="1" x14ac:dyDescent="0.2">
      <c r="A3269" t="s">
        <v>4444</v>
      </c>
      <c r="B3269" s="1">
        <v>46081</v>
      </c>
      <c r="C3269" t="s">
        <v>53</v>
      </c>
      <c r="D3269" t="s">
        <v>151</v>
      </c>
      <c r="E3269" t="s">
        <v>42</v>
      </c>
      <c r="F3269" t="s">
        <v>27</v>
      </c>
      <c r="G3269" t="s">
        <v>28</v>
      </c>
      <c r="H3269" t="s">
        <v>29</v>
      </c>
      <c r="I3269" t="s">
        <v>116</v>
      </c>
      <c r="J3269" t="s">
        <v>7090</v>
      </c>
      <c r="K3269" t="s">
        <v>32</v>
      </c>
      <c r="L3269" t="s">
        <v>46</v>
      </c>
      <c r="M3269" t="s">
        <v>68</v>
      </c>
      <c r="N3269" t="s">
        <v>69</v>
      </c>
      <c r="O3269" t="s">
        <v>36</v>
      </c>
      <c r="P3269" t="s">
        <v>37</v>
      </c>
      <c r="Q3269" t="s">
        <v>122</v>
      </c>
      <c r="R3269">
        <v>366</v>
      </c>
      <c r="S3269">
        <v>184</v>
      </c>
      <c r="T3269">
        <v>127</v>
      </c>
      <c r="U3269">
        <v>23</v>
      </c>
      <c r="V3269" t="s">
        <v>265</v>
      </c>
      <c r="W3269">
        <v>23009</v>
      </c>
      <c r="X3269" t="s">
        <v>4121</v>
      </c>
      <c r="Y3269">
        <v>21144</v>
      </c>
      <c r="Z3269">
        <v>529207</v>
      </c>
      <c r="AA3269">
        <v>42895</v>
      </c>
      <c r="AB3269" t="str">
        <f>(VLOOKUP(SalesData[[#This Row],[Month Number]],Reference!C$5:E$16,2,FALSE))</f>
        <v>Feb</v>
      </c>
      <c r="AC3269">
        <f>MONTH(SalesData[[#This Row],[Date]])</f>
        <v>2</v>
      </c>
      <c r="AD3269">
        <f>Reference!F$4</f>
        <v>2026</v>
      </c>
      <c r="AE3269" t="str">
        <f>IF(OR(SalesData[[#This Row],[Day]]="Saturday",SalesData[[#This Row],[Day]]="Sunday"),"Weekend","Weekday")</f>
        <v>Weekend</v>
      </c>
      <c r="AF3269" s="5">
        <f>IF(SalesData[[#This Row],[Contracts Offered]]=0,0,SalesData[[#This Row],[Contracts Signed]]/SalesData[[#This Row],[Contracts Offered]])</f>
        <v>0.18110236220472442</v>
      </c>
      <c r="AG3269" s="5">
        <f>IF(SalesData[[#This Row],[Customers Visited]]=0,0,SalesData[[#This Row],[Test Drives]]/SalesData[[#This Row],[Customers Visited]])</f>
        <v>0.50273224043715847</v>
      </c>
      <c r="AH3269" s="5">
        <f>IF(SalesData[[#This Row],[Customers Visited]]=0,0,SalesData[[#This Row],[Contracts Signed]]/SalesData[[#This Row],[Customers Visited]])</f>
        <v>6.2841530054644809E-2</v>
      </c>
      <c r="AI3269" s="6">
        <f>IF(SalesData[[#This Row],[Contracts Signed]]=0,0,SalesData[[#This Row],[Profit(€)]]/SalesData[[#This Row],[Contracts Signed]])</f>
        <v>1865</v>
      </c>
      <c r="AJ3269" s="5" t="str">
        <f>TRIM(CLEAN(SalesData[[#This Row],[Retailer]]))</f>
        <v>Main Auto Hub</v>
      </c>
    </row>
    <row r="3270" spans="1:36" ht="14.25" hidden="1" x14ac:dyDescent="0.2">
      <c r="A3270" t="s">
        <v>4446</v>
      </c>
      <c r="B3270" s="1">
        <v>46058</v>
      </c>
      <c r="C3270" t="s">
        <v>24</v>
      </c>
      <c r="D3270" t="s">
        <v>100</v>
      </c>
      <c r="E3270" t="s">
        <v>26</v>
      </c>
      <c r="F3270" t="s">
        <v>43</v>
      </c>
      <c r="G3270" t="s">
        <v>44</v>
      </c>
      <c r="H3270" t="s">
        <v>45</v>
      </c>
      <c r="I3270" t="s">
        <v>56</v>
      </c>
      <c r="J3270" t="s">
        <v>57</v>
      </c>
      <c r="K3270" t="s">
        <v>32</v>
      </c>
      <c r="L3270" t="s">
        <v>46</v>
      </c>
      <c r="M3270" t="s">
        <v>47</v>
      </c>
      <c r="N3270" t="s">
        <v>48</v>
      </c>
      <c r="O3270" t="s">
        <v>36</v>
      </c>
      <c r="P3270" t="s">
        <v>58</v>
      </c>
      <c r="Q3270" t="s">
        <v>172</v>
      </c>
      <c r="R3270">
        <v>286</v>
      </c>
      <c r="S3270">
        <v>139</v>
      </c>
      <c r="T3270">
        <v>97</v>
      </c>
      <c r="U3270">
        <v>35</v>
      </c>
      <c r="V3270" t="s">
        <v>6722</v>
      </c>
      <c r="W3270">
        <v>51253</v>
      </c>
      <c r="X3270" t="s">
        <v>7593</v>
      </c>
      <c r="Y3270">
        <v>41668</v>
      </c>
      <c r="Z3270">
        <v>1793855</v>
      </c>
      <c r="AA3270">
        <v>335475</v>
      </c>
      <c r="AB3270" t="str">
        <f>(VLOOKUP(SalesData[[#This Row],[Month Number]],Reference!C$5:E$16,2,FALSE))</f>
        <v>Feb</v>
      </c>
      <c r="AC3270">
        <f>MONTH(SalesData[[#This Row],[Date]])</f>
        <v>2</v>
      </c>
      <c r="AD3270">
        <f>Reference!F$4</f>
        <v>2026</v>
      </c>
      <c r="AE3270" t="str">
        <f>IF(OR(SalesData[[#This Row],[Day]]="Saturday",SalesData[[#This Row],[Day]]="Sunday"),"Weekend","Weekday")</f>
        <v>Weekday</v>
      </c>
      <c r="AF3270" s="5">
        <f>IF(SalesData[[#This Row],[Contracts Offered]]=0,0,SalesData[[#This Row],[Contracts Signed]]/SalesData[[#This Row],[Contracts Offered]])</f>
        <v>0.36082474226804123</v>
      </c>
      <c r="AG3270" s="5">
        <f>IF(SalesData[[#This Row],[Customers Visited]]=0,0,SalesData[[#This Row],[Test Drives]]/SalesData[[#This Row],[Customers Visited]])</f>
        <v>0.48601398601398599</v>
      </c>
      <c r="AH3270" s="5">
        <f>IF(SalesData[[#This Row],[Customers Visited]]=0,0,SalesData[[#This Row],[Contracts Signed]]/SalesData[[#This Row],[Customers Visited]])</f>
        <v>0.12237762237762238</v>
      </c>
      <c r="AI3270" s="6">
        <f>IF(SalesData[[#This Row],[Contracts Signed]]=0,0,SalesData[[#This Row],[Profit(€)]]/SalesData[[#This Row],[Contracts Signed]])</f>
        <v>9585</v>
      </c>
      <c r="AJ3270" s="5" t="str">
        <f>TRIM(CLEAN(SalesData[[#This Row],[Retailer]]))</f>
        <v>Saxon Wheels</v>
      </c>
    </row>
    <row r="3271" spans="1:36" ht="14.25" hidden="1" x14ac:dyDescent="0.2">
      <c r="A3271" t="s">
        <v>4448</v>
      </c>
      <c r="B3271" s="1">
        <v>46068</v>
      </c>
      <c r="C3271" t="s">
        <v>62</v>
      </c>
      <c r="D3271" t="s">
        <v>41</v>
      </c>
      <c r="E3271" t="s">
        <v>42</v>
      </c>
      <c r="F3271" t="s">
        <v>27</v>
      </c>
      <c r="G3271" t="s">
        <v>28</v>
      </c>
      <c r="H3271" t="s">
        <v>29</v>
      </c>
      <c r="I3271" t="s">
        <v>64</v>
      </c>
      <c r="J3271" t="s">
        <v>7029</v>
      </c>
      <c r="K3271" t="s">
        <v>78</v>
      </c>
      <c r="L3271" t="s">
        <v>33</v>
      </c>
      <c r="M3271" t="s">
        <v>68</v>
      </c>
      <c r="N3271" t="s">
        <v>35</v>
      </c>
      <c r="O3271" t="s">
        <v>70</v>
      </c>
      <c r="P3271" t="s">
        <v>37</v>
      </c>
      <c r="Q3271" t="s">
        <v>118</v>
      </c>
      <c r="R3271">
        <v>173</v>
      </c>
      <c r="S3271">
        <v>80</v>
      </c>
      <c r="T3271">
        <v>62</v>
      </c>
      <c r="U3271">
        <v>19</v>
      </c>
      <c r="V3271" t="s">
        <v>6695</v>
      </c>
      <c r="W3271">
        <v>50146</v>
      </c>
      <c r="X3271" t="s">
        <v>3045</v>
      </c>
      <c r="Y3271">
        <v>36185</v>
      </c>
      <c r="Z3271">
        <v>952774</v>
      </c>
      <c r="AA3271">
        <v>265259</v>
      </c>
      <c r="AB3271" t="str">
        <f>(VLOOKUP(SalesData[[#This Row],[Month Number]],Reference!C$5:E$16,2,FALSE))</f>
        <v>Feb</v>
      </c>
      <c r="AC3271">
        <f>MONTH(SalesData[[#This Row],[Date]])</f>
        <v>2</v>
      </c>
      <c r="AD3271">
        <f>Reference!F$4</f>
        <v>2026</v>
      </c>
      <c r="AE3271" t="str">
        <f>IF(OR(SalesData[[#This Row],[Day]]="Saturday",SalesData[[#This Row],[Day]]="Sunday"),"Weekend","Weekday")</f>
        <v>Weekend</v>
      </c>
      <c r="AF3271" s="5">
        <f>IF(SalesData[[#This Row],[Contracts Offered]]=0,0,SalesData[[#This Row],[Contracts Signed]]/SalesData[[#This Row],[Contracts Offered]])</f>
        <v>0.30645161290322581</v>
      </c>
      <c r="AG3271" s="5">
        <f>IF(SalesData[[#This Row],[Customers Visited]]=0,0,SalesData[[#This Row],[Test Drives]]/SalesData[[#This Row],[Customers Visited]])</f>
        <v>0.46242774566473988</v>
      </c>
      <c r="AH3271" s="5">
        <f>IF(SalesData[[#This Row],[Customers Visited]]=0,0,SalesData[[#This Row],[Contracts Signed]]/SalesData[[#This Row],[Customers Visited]])</f>
        <v>0.10982658959537572</v>
      </c>
      <c r="AI3271" s="6">
        <f>IF(SalesData[[#This Row],[Contracts Signed]]=0,0,SalesData[[#This Row],[Profit(€)]]/SalesData[[#This Row],[Contracts Signed]])</f>
        <v>13961</v>
      </c>
      <c r="AJ3271" s="5" t="str">
        <f>TRIM(CLEAN(SalesData[[#This Row],[Retailer]]))</f>
        <v>Main Auto Hub</v>
      </c>
    </row>
    <row r="3272" spans="1:36" ht="14.25" x14ac:dyDescent="0.2">
      <c r="A3272" t="s">
        <v>4449</v>
      </c>
      <c r="B3272" s="1">
        <v>46068</v>
      </c>
      <c r="C3272" t="s">
        <v>62</v>
      </c>
      <c r="D3272" t="s">
        <v>41</v>
      </c>
      <c r="E3272" t="s">
        <v>42</v>
      </c>
      <c r="F3272" t="s">
        <v>83</v>
      </c>
      <c r="G3272" t="s">
        <v>84</v>
      </c>
      <c r="H3272" t="s">
        <v>85</v>
      </c>
      <c r="I3272" t="s">
        <v>30</v>
      </c>
      <c r="J3272" t="s">
        <v>31</v>
      </c>
      <c r="K3272" t="s">
        <v>66</v>
      </c>
      <c r="L3272" t="s">
        <v>46</v>
      </c>
      <c r="M3272" t="s">
        <v>47</v>
      </c>
      <c r="N3272" t="s">
        <v>48</v>
      </c>
      <c r="O3272" t="s">
        <v>36</v>
      </c>
      <c r="P3272" t="s">
        <v>49</v>
      </c>
      <c r="Q3272" t="s">
        <v>59</v>
      </c>
      <c r="R3272">
        <v>149</v>
      </c>
      <c r="S3272">
        <v>90</v>
      </c>
      <c r="T3272">
        <v>63</v>
      </c>
      <c r="U3272">
        <v>23</v>
      </c>
      <c r="V3272" t="s">
        <v>6344</v>
      </c>
      <c r="W3272">
        <v>63320</v>
      </c>
      <c r="X3272" t="s">
        <v>7352</v>
      </c>
      <c r="Y3272">
        <v>46671</v>
      </c>
      <c r="Z3272">
        <v>1456360</v>
      </c>
      <c r="AA3272">
        <v>382927</v>
      </c>
      <c r="AB3272" t="str">
        <f>(VLOOKUP(SalesData[[#This Row],[Month Number]],Reference!C$5:E$16,2,FALSE))</f>
        <v>Feb</v>
      </c>
      <c r="AC3272">
        <f>MONTH(SalesData[[#This Row],[Date]])</f>
        <v>2</v>
      </c>
      <c r="AD3272">
        <f>Reference!F$4</f>
        <v>2026</v>
      </c>
      <c r="AE3272" t="str">
        <f>IF(OR(SalesData[[#This Row],[Day]]="Saturday",SalesData[[#This Row],[Day]]="Sunday"),"Weekend","Weekday")</f>
        <v>Weekend</v>
      </c>
      <c r="AF3272" s="5">
        <f>IF(SalesData[[#This Row],[Contracts Offered]]=0,0,SalesData[[#This Row],[Contracts Signed]]/SalesData[[#This Row],[Contracts Offered]])</f>
        <v>0.36507936507936506</v>
      </c>
      <c r="AG3272" s="5">
        <f>IF(SalesData[[#This Row],[Customers Visited]]=0,0,SalesData[[#This Row],[Test Drives]]/SalesData[[#This Row],[Customers Visited]])</f>
        <v>0.60402684563758391</v>
      </c>
      <c r="AH3272" s="5">
        <f>IF(SalesData[[#This Row],[Customers Visited]]=0,0,SalesData[[#This Row],[Contracts Signed]]/SalesData[[#This Row],[Customers Visited]])</f>
        <v>0.15436241610738255</v>
      </c>
      <c r="AI3272" s="6">
        <f>IF(SalesData[[#This Row],[Contracts Signed]]=0,0,SalesData[[#This Row],[Profit(€)]]/SalesData[[#This Row],[Contracts Signed]])</f>
        <v>16649</v>
      </c>
      <c r="AJ3272" s="5" t="str">
        <f>TRIM(CLEAN(SalesData[[#This Row],[Retailer]]))</f>
        <v>Hannover Cars</v>
      </c>
    </row>
    <row r="3273" spans="1:36" ht="14.25" hidden="1" x14ac:dyDescent="0.2">
      <c r="A3273" t="s">
        <v>4450</v>
      </c>
      <c r="B3273" s="1">
        <v>46072</v>
      </c>
      <c r="C3273" t="s">
        <v>62</v>
      </c>
      <c r="D3273" t="s">
        <v>100</v>
      </c>
      <c r="E3273" t="s">
        <v>26</v>
      </c>
      <c r="F3273" t="s">
        <v>43</v>
      </c>
      <c r="G3273" t="s">
        <v>44</v>
      </c>
      <c r="H3273" t="s">
        <v>45</v>
      </c>
      <c r="I3273" t="s">
        <v>116</v>
      </c>
      <c r="J3273" t="s">
        <v>132</v>
      </c>
      <c r="K3273" t="s">
        <v>32</v>
      </c>
      <c r="L3273" t="s">
        <v>46</v>
      </c>
      <c r="M3273" t="s">
        <v>68</v>
      </c>
      <c r="N3273" t="s">
        <v>48</v>
      </c>
      <c r="O3273" t="s">
        <v>36</v>
      </c>
      <c r="P3273" t="s">
        <v>49</v>
      </c>
      <c r="Q3273" t="s">
        <v>172</v>
      </c>
      <c r="R3273">
        <v>425</v>
      </c>
      <c r="S3273">
        <v>167</v>
      </c>
      <c r="T3273">
        <v>107</v>
      </c>
      <c r="U3273">
        <v>23</v>
      </c>
      <c r="V3273" t="s">
        <v>5738</v>
      </c>
      <c r="W3273">
        <v>23085</v>
      </c>
      <c r="X3273" t="s">
        <v>2739</v>
      </c>
      <c r="Y3273">
        <v>20782</v>
      </c>
      <c r="Z3273">
        <v>530955</v>
      </c>
      <c r="AA3273">
        <v>52969</v>
      </c>
      <c r="AB3273" t="str">
        <f>(VLOOKUP(SalesData[[#This Row],[Month Number]],Reference!C$5:E$16,2,FALSE))</f>
        <v>Feb</v>
      </c>
      <c r="AC3273">
        <f>MONTH(SalesData[[#This Row],[Date]])</f>
        <v>2</v>
      </c>
      <c r="AD3273">
        <f>Reference!F$4</f>
        <v>2026</v>
      </c>
      <c r="AE3273" t="str">
        <f>IF(OR(SalesData[[#This Row],[Day]]="Saturday",SalesData[[#This Row],[Day]]="Sunday"),"Weekend","Weekday")</f>
        <v>Weekday</v>
      </c>
      <c r="AF3273" s="5">
        <f>IF(SalesData[[#This Row],[Contracts Offered]]=0,0,SalesData[[#This Row],[Contracts Signed]]/SalesData[[#This Row],[Contracts Offered]])</f>
        <v>0.21495327102803738</v>
      </c>
      <c r="AG3273" s="5">
        <f>IF(SalesData[[#This Row],[Customers Visited]]=0,0,SalesData[[#This Row],[Test Drives]]/SalesData[[#This Row],[Customers Visited]])</f>
        <v>0.39294117647058824</v>
      </c>
      <c r="AH3273" s="5">
        <f>IF(SalesData[[#This Row],[Customers Visited]]=0,0,SalesData[[#This Row],[Contracts Signed]]/SalesData[[#This Row],[Customers Visited]])</f>
        <v>5.4117647058823527E-2</v>
      </c>
      <c r="AI3273" s="6">
        <f>IF(SalesData[[#This Row],[Contracts Signed]]=0,0,SalesData[[#This Row],[Profit(€)]]/SalesData[[#This Row],[Contracts Signed]])</f>
        <v>2303</v>
      </c>
      <c r="AJ3273" s="5" t="str">
        <f>TRIM(CLEAN(SalesData[[#This Row],[Retailer]]))</f>
        <v>Saxon Wheels</v>
      </c>
    </row>
    <row r="3274" spans="1:36" ht="14.25" hidden="1" x14ac:dyDescent="0.2">
      <c r="A3274" t="s">
        <v>4452</v>
      </c>
      <c r="B3274" s="1">
        <v>46074</v>
      </c>
      <c r="C3274" t="s">
        <v>62</v>
      </c>
      <c r="D3274" t="s">
        <v>151</v>
      </c>
      <c r="E3274" t="s">
        <v>42</v>
      </c>
      <c r="F3274" t="s">
        <v>101</v>
      </c>
      <c r="G3274" t="s">
        <v>102</v>
      </c>
      <c r="H3274" t="s">
        <v>103</v>
      </c>
      <c r="I3274" t="s">
        <v>116</v>
      </c>
      <c r="J3274" t="s">
        <v>7090</v>
      </c>
      <c r="K3274" t="s">
        <v>91</v>
      </c>
      <c r="L3274" t="s">
        <v>46</v>
      </c>
      <c r="M3274" t="s">
        <v>47</v>
      </c>
      <c r="N3274" t="s">
        <v>48</v>
      </c>
      <c r="O3274" t="s">
        <v>70</v>
      </c>
      <c r="P3274" t="s">
        <v>58</v>
      </c>
      <c r="Q3274" t="s">
        <v>38</v>
      </c>
      <c r="R3274">
        <v>423</v>
      </c>
      <c r="S3274">
        <v>201</v>
      </c>
      <c r="T3274">
        <v>130</v>
      </c>
      <c r="U3274">
        <v>37</v>
      </c>
      <c r="V3274" t="s">
        <v>5583</v>
      </c>
      <c r="W3274">
        <v>23506</v>
      </c>
      <c r="X3274" t="s">
        <v>3935</v>
      </c>
      <c r="Y3274">
        <v>21715</v>
      </c>
      <c r="Z3274">
        <v>869722</v>
      </c>
      <c r="AA3274">
        <v>66267</v>
      </c>
      <c r="AB3274" t="str">
        <f>(VLOOKUP(SalesData[[#This Row],[Month Number]],Reference!C$5:E$16,2,FALSE))</f>
        <v>Feb</v>
      </c>
      <c r="AC3274">
        <f>MONTH(SalesData[[#This Row],[Date]])</f>
        <v>2</v>
      </c>
      <c r="AD3274">
        <f>Reference!F$4</f>
        <v>2026</v>
      </c>
      <c r="AE3274" t="str">
        <f>IF(OR(SalesData[[#This Row],[Day]]="Saturday",SalesData[[#This Row],[Day]]="Sunday"),"Weekend","Weekday")</f>
        <v>Weekend</v>
      </c>
      <c r="AF3274" s="5">
        <f>IF(SalesData[[#This Row],[Contracts Offered]]=0,0,SalesData[[#This Row],[Contracts Signed]]/SalesData[[#This Row],[Contracts Offered]])</f>
        <v>0.2846153846153846</v>
      </c>
      <c r="AG3274" s="5">
        <f>IF(SalesData[[#This Row],[Customers Visited]]=0,0,SalesData[[#This Row],[Test Drives]]/SalesData[[#This Row],[Customers Visited]])</f>
        <v>0.47517730496453903</v>
      </c>
      <c r="AH3274" s="5">
        <f>IF(SalesData[[#This Row],[Customers Visited]]=0,0,SalesData[[#This Row],[Contracts Signed]]/SalesData[[#This Row],[Customers Visited]])</f>
        <v>8.7470449172576833E-2</v>
      </c>
      <c r="AI3274" s="6">
        <f>IF(SalesData[[#This Row],[Contracts Signed]]=0,0,SalesData[[#This Row],[Profit(€)]]/SalesData[[#This Row],[Contracts Signed]])</f>
        <v>1791</v>
      </c>
      <c r="AJ3274" s="5" t="str">
        <f>TRIM(CLEAN(SalesData[[#This Row],[Retailer]]))</f>
        <v>Ruhr Auto Plaza</v>
      </c>
    </row>
    <row r="3275" spans="1:36" ht="14.25" hidden="1" x14ac:dyDescent="0.2">
      <c r="A3275" t="s">
        <v>4453</v>
      </c>
      <c r="B3275" s="1">
        <v>46054</v>
      </c>
      <c r="C3275" t="s">
        <v>24</v>
      </c>
      <c r="D3275" t="s">
        <v>41</v>
      </c>
      <c r="E3275" t="s">
        <v>42</v>
      </c>
      <c r="F3275" t="s">
        <v>109</v>
      </c>
      <c r="G3275" t="s">
        <v>110</v>
      </c>
      <c r="H3275" t="s">
        <v>45</v>
      </c>
      <c r="I3275" t="s">
        <v>64</v>
      </c>
      <c r="J3275" t="s">
        <v>77</v>
      </c>
      <c r="K3275" t="s">
        <v>66</v>
      </c>
      <c r="L3275" t="s">
        <v>46</v>
      </c>
      <c r="M3275" t="s">
        <v>87</v>
      </c>
      <c r="N3275" t="s">
        <v>48</v>
      </c>
      <c r="O3275" t="s">
        <v>36</v>
      </c>
      <c r="P3275" t="s">
        <v>49</v>
      </c>
      <c r="Q3275" t="s">
        <v>240</v>
      </c>
      <c r="R3275">
        <v>242</v>
      </c>
      <c r="S3275">
        <v>107</v>
      </c>
      <c r="T3275">
        <v>74</v>
      </c>
      <c r="U3275">
        <v>23</v>
      </c>
      <c r="V3275" t="s">
        <v>6435</v>
      </c>
      <c r="W3275">
        <v>51610</v>
      </c>
      <c r="X3275" t="s">
        <v>396</v>
      </c>
      <c r="Y3275">
        <v>38870</v>
      </c>
      <c r="Z3275">
        <v>1187030</v>
      </c>
      <c r="AA3275">
        <v>293020</v>
      </c>
      <c r="AB3275" t="str">
        <f>(VLOOKUP(SalesData[[#This Row],[Month Number]],Reference!C$5:E$16,2,FALSE))</f>
        <v>Feb</v>
      </c>
      <c r="AC3275">
        <f>MONTH(SalesData[[#This Row],[Date]])</f>
        <v>2</v>
      </c>
      <c r="AD3275">
        <f>Reference!F$4</f>
        <v>2026</v>
      </c>
      <c r="AE3275" t="str">
        <f>IF(OR(SalesData[[#This Row],[Day]]="Saturday",SalesData[[#This Row],[Day]]="Sunday"),"Weekend","Weekday")</f>
        <v>Weekend</v>
      </c>
      <c r="AF3275" s="5">
        <f>IF(SalesData[[#This Row],[Contracts Offered]]=0,0,SalesData[[#This Row],[Contracts Signed]]/SalesData[[#This Row],[Contracts Offered]])</f>
        <v>0.3108108108108108</v>
      </c>
      <c r="AG3275" s="5">
        <f>IF(SalesData[[#This Row],[Customers Visited]]=0,0,SalesData[[#This Row],[Test Drives]]/SalesData[[#This Row],[Customers Visited]])</f>
        <v>0.44214876033057854</v>
      </c>
      <c r="AH3275" s="5">
        <f>IF(SalesData[[#This Row],[Customers Visited]]=0,0,SalesData[[#This Row],[Contracts Signed]]/SalesData[[#This Row],[Customers Visited]])</f>
        <v>9.5041322314049589E-2</v>
      </c>
      <c r="AI3275" s="6">
        <f>IF(SalesData[[#This Row],[Contracts Signed]]=0,0,SalesData[[#This Row],[Profit(€)]]/SalesData[[#This Row],[Contracts Signed]])</f>
        <v>12740</v>
      </c>
      <c r="AJ3275" s="5" t="str">
        <f>TRIM(CLEAN(SalesData[[#This Row],[Retailer]]))</f>
        <v>Leipzig Mobility</v>
      </c>
    </row>
    <row r="3276" spans="1:36" ht="14.25" hidden="1" x14ac:dyDescent="0.2">
      <c r="A3276" t="s">
        <v>4454</v>
      </c>
      <c r="B3276" s="1">
        <v>46075</v>
      </c>
      <c r="C3276" t="s">
        <v>53</v>
      </c>
      <c r="D3276" t="s">
        <v>41</v>
      </c>
      <c r="E3276" t="s">
        <v>42</v>
      </c>
      <c r="F3276" t="s">
        <v>109</v>
      </c>
      <c r="G3276" t="s">
        <v>110</v>
      </c>
      <c r="H3276" t="s">
        <v>45</v>
      </c>
      <c r="I3276" t="s">
        <v>104</v>
      </c>
      <c r="J3276" t="s">
        <v>140</v>
      </c>
      <c r="K3276" t="s">
        <v>91</v>
      </c>
      <c r="L3276" t="s">
        <v>46</v>
      </c>
      <c r="M3276" t="s">
        <v>68</v>
      </c>
      <c r="N3276" t="s">
        <v>35</v>
      </c>
      <c r="O3276" t="s">
        <v>70</v>
      </c>
      <c r="P3276" t="s">
        <v>58</v>
      </c>
      <c r="Q3276" t="s">
        <v>129</v>
      </c>
      <c r="R3276">
        <v>279</v>
      </c>
      <c r="S3276">
        <v>128</v>
      </c>
      <c r="T3276">
        <v>89</v>
      </c>
      <c r="U3276">
        <v>24</v>
      </c>
      <c r="V3276" t="s">
        <v>729</v>
      </c>
      <c r="W3276">
        <v>34766</v>
      </c>
      <c r="X3276" t="s">
        <v>232</v>
      </c>
      <c r="Y3276">
        <v>31197</v>
      </c>
      <c r="Z3276">
        <v>834384</v>
      </c>
      <c r="AA3276">
        <v>85656</v>
      </c>
      <c r="AB3276" t="str">
        <f>(VLOOKUP(SalesData[[#This Row],[Month Number]],Reference!C$5:E$16,2,FALSE))</f>
        <v>Feb</v>
      </c>
      <c r="AC3276">
        <f>MONTH(SalesData[[#This Row],[Date]])</f>
        <v>2</v>
      </c>
      <c r="AD3276">
        <f>Reference!F$4</f>
        <v>2026</v>
      </c>
      <c r="AE3276" t="str">
        <f>IF(OR(SalesData[[#This Row],[Day]]="Saturday",SalesData[[#This Row],[Day]]="Sunday"),"Weekend","Weekday")</f>
        <v>Weekend</v>
      </c>
      <c r="AF3276" s="5">
        <f>IF(SalesData[[#This Row],[Contracts Offered]]=0,0,SalesData[[#This Row],[Contracts Signed]]/SalesData[[#This Row],[Contracts Offered]])</f>
        <v>0.2696629213483146</v>
      </c>
      <c r="AG3276" s="5">
        <f>IF(SalesData[[#This Row],[Customers Visited]]=0,0,SalesData[[#This Row],[Test Drives]]/SalesData[[#This Row],[Customers Visited]])</f>
        <v>0.45878136200716846</v>
      </c>
      <c r="AH3276" s="5">
        <f>IF(SalesData[[#This Row],[Customers Visited]]=0,0,SalesData[[#This Row],[Contracts Signed]]/SalesData[[#This Row],[Customers Visited]])</f>
        <v>8.6021505376344093E-2</v>
      </c>
      <c r="AI3276" s="6">
        <f>IF(SalesData[[#This Row],[Contracts Signed]]=0,0,SalesData[[#This Row],[Profit(€)]]/SalesData[[#This Row],[Contracts Signed]])</f>
        <v>3569</v>
      </c>
      <c r="AJ3276" s="5" t="str">
        <f>TRIM(CLEAN(SalesData[[#This Row],[Retailer]]))</f>
        <v>Leipzig Mobility</v>
      </c>
    </row>
    <row r="3277" spans="1:36" ht="14.25" hidden="1" x14ac:dyDescent="0.2">
      <c r="A3277" t="s">
        <v>4455</v>
      </c>
      <c r="B3277" s="1">
        <v>46070</v>
      </c>
      <c r="C3277" t="s">
        <v>62</v>
      </c>
      <c r="D3277" t="s">
        <v>63</v>
      </c>
      <c r="E3277" t="s">
        <v>26</v>
      </c>
      <c r="F3277" t="s">
        <v>7649</v>
      </c>
      <c r="G3277" t="s">
        <v>55</v>
      </c>
      <c r="H3277" t="s">
        <v>55</v>
      </c>
      <c r="I3277" t="s">
        <v>104</v>
      </c>
      <c r="J3277" t="s">
        <v>140</v>
      </c>
      <c r="K3277" t="s">
        <v>66</v>
      </c>
      <c r="L3277" t="s">
        <v>46</v>
      </c>
      <c r="M3277" t="s">
        <v>68</v>
      </c>
      <c r="N3277" t="s">
        <v>35</v>
      </c>
      <c r="O3277" t="s">
        <v>36</v>
      </c>
      <c r="P3277" t="s">
        <v>37</v>
      </c>
      <c r="Q3277" t="s">
        <v>169</v>
      </c>
      <c r="R3277">
        <v>335</v>
      </c>
      <c r="S3277">
        <v>178</v>
      </c>
      <c r="T3277">
        <v>107</v>
      </c>
      <c r="U3277">
        <v>34</v>
      </c>
      <c r="V3277" t="s">
        <v>2355</v>
      </c>
      <c r="W3277">
        <v>35444</v>
      </c>
      <c r="X3277" t="s">
        <v>1047</v>
      </c>
      <c r="Y3277">
        <v>30808</v>
      </c>
      <c r="Z3277">
        <v>1205096</v>
      </c>
      <c r="AA3277">
        <v>157624</v>
      </c>
      <c r="AB3277" t="str">
        <f>(VLOOKUP(SalesData[[#This Row],[Month Number]],Reference!C$5:E$16,2,FALSE))</f>
        <v>Feb</v>
      </c>
      <c r="AC3277">
        <f>MONTH(SalesData[[#This Row],[Date]])</f>
        <v>2</v>
      </c>
      <c r="AD3277">
        <f>Reference!F$4</f>
        <v>2026</v>
      </c>
      <c r="AE3277" t="str">
        <f>IF(OR(SalesData[[#This Row],[Day]]="Saturday",SalesData[[#This Row],[Day]]="Sunday"),"Weekend","Weekday")</f>
        <v>Weekday</v>
      </c>
      <c r="AF3277" s="5">
        <f>IF(SalesData[[#This Row],[Contracts Offered]]=0,0,SalesData[[#This Row],[Contracts Signed]]/SalesData[[#This Row],[Contracts Offered]])</f>
        <v>0.31775700934579437</v>
      </c>
      <c r="AG3277" s="5">
        <f>IF(SalesData[[#This Row],[Customers Visited]]=0,0,SalesData[[#This Row],[Test Drives]]/SalesData[[#This Row],[Customers Visited]])</f>
        <v>0.5313432835820896</v>
      </c>
      <c r="AH3277" s="5">
        <f>IF(SalesData[[#This Row],[Customers Visited]]=0,0,SalesData[[#This Row],[Contracts Signed]]/SalesData[[#This Row],[Customers Visited]])</f>
        <v>0.10149253731343283</v>
      </c>
      <c r="AI3277" s="6">
        <f>IF(SalesData[[#This Row],[Contracts Signed]]=0,0,SalesData[[#This Row],[Profit(€)]]/SalesData[[#This Row],[Contracts Signed]])</f>
        <v>4636</v>
      </c>
      <c r="AJ3277" s="5" t="str">
        <f>TRIM(CLEAN(SalesData[[#This Row],[Retailer]]))</f>
        <v>Autohaus Berlin</v>
      </c>
    </row>
    <row r="3278" spans="1:36" ht="14.25" x14ac:dyDescent="0.2">
      <c r="A3278" t="s">
        <v>4456</v>
      </c>
      <c r="B3278" s="1">
        <v>46065</v>
      </c>
      <c r="C3278" t="s">
        <v>121</v>
      </c>
      <c r="D3278" t="s">
        <v>100</v>
      </c>
      <c r="E3278" t="s">
        <v>26</v>
      </c>
      <c r="F3278" t="s">
        <v>27</v>
      </c>
      <c r="G3278" t="s">
        <v>28</v>
      </c>
      <c r="H3278" t="s">
        <v>29</v>
      </c>
      <c r="I3278" t="s">
        <v>30</v>
      </c>
      <c r="J3278" t="s">
        <v>86</v>
      </c>
      <c r="K3278" t="s">
        <v>78</v>
      </c>
      <c r="L3278" t="s">
        <v>33</v>
      </c>
      <c r="M3278" t="s">
        <v>68</v>
      </c>
      <c r="N3278" t="s">
        <v>35</v>
      </c>
      <c r="O3278" t="s">
        <v>36</v>
      </c>
      <c r="P3278" t="s">
        <v>71</v>
      </c>
      <c r="Q3278" t="s">
        <v>158</v>
      </c>
      <c r="R3278">
        <v>184</v>
      </c>
      <c r="S3278">
        <v>97</v>
      </c>
      <c r="T3278">
        <v>75</v>
      </c>
      <c r="U3278">
        <v>29</v>
      </c>
      <c r="V3278" t="s">
        <v>7594</v>
      </c>
      <c r="W3278">
        <v>54547</v>
      </c>
      <c r="X3278" t="s">
        <v>4573</v>
      </c>
      <c r="Y3278">
        <v>38228</v>
      </c>
      <c r="Z3278">
        <v>1581863</v>
      </c>
      <c r="AA3278">
        <v>473251</v>
      </c>
      <c r="AB3278" t="str">
        <f>(VLOOKUP(SalesData[[#This Row],[Month Number]],Reference!C$5:E$16,2,FALSE))</f>
        <v>Feb</v>
      </c>
      <c r="AC3278">
        <f>MONTH(SalesData[[#This Row],[Date]])</f>
        <v>2</v>
      </c>
      <c r="AD3278">
        <f>Reference!F$4</f>
        <v>2026</v>
      </c>
      <c r="AE3278" t="str">
        <f>IF(OR(SalesData[[#This Row],[Day]]="Saturday",SalesData[[#This Row],[Day]]="Sunday"),"Weekend","Weekday")</f>
        <v>Weekday</v>
      </c>
      <c r="AF3278" s="5">
        <f>IF(SalesData[[#This Row],[Contracts Offered]]=0,0,SalesData[[#This Row],[Contracts Signed]]/SalesData[[#This Row],[Contracts Offered]])</f>
        <v>0.38666666666666666</v>
      </c>
      <c r="AG3278" s="5">
        <f>IF(SalesData[[#This Row],[Customers Visited]]=0,0,SalesData[[#This Row],[Test Drives]]/SalesData[[#This Row],[Customers Visited]])</f>
        <v>0.52717391304347827</v>
      </c>
      <c r="AH3278" s="5">
        <f>IF(SalesData[[#This Row],[Customers Visited]]=0,0,SalesData[[#This Row],[Contracts Signed]]/SalesData[[#This Row],[Customers Visited]])</f>
        <v>0.15760869565217392</v>
      </c>
      <c r="AI3278" s="6">
        <f>IF(SalesData[[#This Row],[Contracts Signed]]=0,0,SalesData[[#This Row],[Profit(€)]]/SalesData[[#This Row],[Contracts Signed]])</f>
        <v>16319</v>
      </c>
      <c r="AJ3278" s="5" t="str">
        <f>TRIM(CLEAN(SalesData[[#This Row],[Retailer]]))</f>
        <v>Main Auto Hub</v>
      </c>
    </row>
    <row r="3279" spans="1:36" ht="14.25" hidden="1" x14ac:dyDescent="0.2">
      <c r="A3279" t="s">
        <v>4457</v>
      </c>
      <c r="B3279" s="1">
        <v>46056</v>
      </c>
      <c r="C3279" t="s">
        <v>24</v>
      </c>
      <c r="D3279" t="s">
        <v>63</v>
      </c>
      <c r="E3279" t="s">
        <v>26</v>
      </c>
      <c r="F3279" t="s">
        <v>27</v>
      </c>
      <c r="G3279" t="s">
        <v>28</v>
      </c>
      <c r="H3279" t="s">
        <v>29</v>
      </c>
      <c r="I3279" t="s">
        <v>104</v>
      </c>
      <c r="J3279" t="s">
        <v>7031</v>
      </c>
      <c r="K3279" t="s">
        <v>32</v>
      </c>
      <c r="L3279" t="s">
        <v>46</v>
      </c>
      <c r="M3279" t="s">
        <v>68</v>
      </c>
      <c r="N3279" t="s">
        <v>48</v>
      </c>
      <c r="O3279" t="s">
        <v>36</v>
      </c>
      <c r="P3279" t="s">
        <v>49</v>
      </c>
      <c r="Q3279" t="s">
        <v>118</v>
      </c>
      <c r="R3279">
        <v>510</v>
      </c>
      <c r="S3279">
        <v>224</v>
      </c>
      <c r="T3279">
        <v>139</v>
      </c>
      <c r="U3279">
        <v>29</v>
      </c>
      <c r="V3279" t="s">
        <v>4532</v>
      </c>
      <c r="W3279">
        <v>31833</v>
      </c>
      <c r="X3279" t="s">
        <v>4184</v>
      </c>
      <c r="Y3279">
        <v>28426</v>
      </c>
      <c r="Z3279">
        <v>923157</v>
      </c>
      <c r="AA3279">
        <v>98803</v>
      </c>
      <c r="AB3279" t="str">
        <f>(VLOOKUP(SalesData[[#This Row],[Month Number]],Reference!C$5:E$16,2,FALSE))</f>
        <v>Feb</v>
      </c>
      <c r="AC3279">
        <f>MONTH(SalesData[[#This Row],[Date]])</f>
        <v>2</v>
      </c>
      <c r="AD3279">
        <f>Reference!F$4</f>
        <v>2026</v>
      </c>
      <c r="AE3279" t="str">
        <f>IF(OR(SalesData[[#This Row],[Day]]="Saturday",SalesData[[#This Row],[Day]]="Sunday"),"Weekend","Weekday")</f>
        <v>Weekday</v>
      </c>
      <c r="AF3279" s="5">
        <f>IF(SalesData[[#This Row],[Contracts Offered]]=0,0,SalesData[[#This Row],[Contracts Signed]]/SalesData[[#This Row],[Contracts Offered]])</f>
        <v>0.20863309352517986</v>
      </c>
      <c r="AG3279" s="5">
        <f>IF(SalesData[[#This Row],[Customers Visited]]=0,0,SalesData[[#This Row],[Test Drives]]/SalesData[[#This Row],[Customers Visited]])</f>
        <v>0.4392156862745098</v>
      </c>
      <c r="AH3279" s="5">
        <f>IF(SalesData[[#This Row],[Customers Visited]]=0,0,SalesData[[#This Row],[Contracts Signed]]/SalesData[[#This Row],[Customers Visited]])</f>
        <v>5.6862745098039215E-2</v>
      </c>
      <c r="AI3279" s="6">
        <f>IF(SalesData[[#This Row],[Contracts Signed]]=0,0,SalesData[[#This Row],[Profit(€)]]/SalesData[[#This Row],[Contracts Signed]])</f>
        <v>3407</v>
      </c>
      <c r="AJ3279" s="5" t="str">
        <f>TRIM(CLEAN(SalesData[[#This Row],[Retailer]]))</f>
        <v>Main Auto Hub</v>
      </c>
    </row>
    <row r="3280" spans="1:36" ht="14.25" hidden="1" x14ac:dyDescent="0.2">
      <c r="A3280" t="s">
        <v>4458</v>
      </c>
      <c r="B3280" s="1">
        <v>46056</v>
      </c>
      <c r="C3280" t="s">
        <v>24</v>
      </c>
      <c r="D3280" t="s">
        <v>63</v>
      </c>
      <c r="E3280" t="s">
        <v>26</v>
      </c>
      <c r="F3280" t="s">
        <v>27</v>
      </c>
      <c r="G3280" t="s">
        <v>28</v>
      </c>
      <c r="H3280" t="s">
        <v>29</v>
      </c>
      <c r="I3280" t="s">
        <v>56</v>
      </c>
      <c r="J3280" t="s">
        <v>137</v>
      </c>
      <c r="K3280" t="s">
        <v>91</v>
      </c>
      <c r="L3280" t="s">
        <v>46</v>
      </c>
      <c r="M3280" t="s">
        <v>47</v>
      </c>
      <c r="N3280" t="s">
        <v>69</v>
      </c>
      <c r="O3280" t="s">
        <v>70</v>
      </c>
      <c r="P3280" t="s">
        <v>71</v>
      </c>
      <c r="Q3280" t="s">
        <v>135</v>
      </c>
      <c r="R3280">
        <v>188</v>
      </c>
      <c r="S3280">
        <v>116</v>
      </c>
      <c r="T3280">
        <v>74</v>
      </c>
      <c r="U3280">
        <v>25</v>
      </c>
      <c r="V3280" t="s">
        <v>6992</v>
      </c>
      <c r="W3280">
        <v>42827</v>
      </c>
      <c r="X3280" t="s">
        <v>7191</v>
      </c>
      <c r="Y3280">
        <v>34481</v>
      </c>
      <c r="Z3280">
        <v>1070675</v>
      </c>
      <c r="AA3280">
        <v>208650</v>
      </c>
      <c r="AB3280" t="str">
        <f>(VLOOKUP(SalesData[[#This Row],[Month Number]],Reference!C$5:E$16,2,FALSE))</f>
        <v>Feb</v>
      </c>
      <c r="AC3280">
        <f>MONTH(SalesData[[#This Row],[Date]])</f>
        <v>2</v>
      </c>
      <c r="AD3280">
        <f>Reference!F$4</f>
        <v>2026</v>
      </c>
      <c r="AE3280" t="str">
        <f>IF(OR(SalesData[[#This Row],[Day]]="Saturday",SalesData[[#This Row],[Day]]="Sunday"),"Weekend","Weekday")</f>
        <v>Weekday</v>
      </c>
      <c r="AF3280" s="5">
        <f>IF(SalesData[[#This Row],[Contracts Offered]]=0,0,SalesData[[#This Row],[Contracts Signed]]/SalesData[[#This Row],[Contracts Offered]])</f>
        <v>0.33783783783783783</v>
      </c>
      <c r="AG3280" s="5">
        <f>IF(SalesData[[#This Row],[Customers Visited]]=0,0,SalesData[[#This Row],[Test Drives]]/SalesData[[#This Row],[Customers Visited]])</f>
        <v>0.61702127659574468</v>
      </c>
      <c r="AH3280" s="5">
        <f>IF(SalesData[[#This Row],[Customers Visited]]=0,0,SalesData[[#This Row],[Contracts Signed]]/SalesData[[#This Row],[Customers Visited]])</f>
        <v>0.13297872340425532</v>
      </c>
      <c r="AI3280" s="6">
        <f>IF(SalesData[[#This Row],[Contracts Signed]]=0,0,SalesData[[#This Row],[Profit(€)]]/SalesData[[#This Row],[Contracts Signed]])</f>
        <v>8346</v>
      </c>
      <c r="AJ3280" s="5" t="str">
        <f>TRIM(CLEAN(SalesData[[#This Row],[Retailer]]))</f>
        <v>Main Auto Hub</v>
      </c>
    </row>
    <row r="3281" spans="1:36" ht="14.25" hidden="1" x14ac:dyDescent="0.2">
      <c r="A3281" t="s">
        <v>4459</v>
      </c>
      <c r="B3281" s="1">
        <v>46070</v>
      </c>
      <c r="C3281" t="s">
        <v>62</v>
      </c>
      <c r="D3281" t="s">
        <v>63</v>
      </c>
      <c r="E3281" t="s">
        <v>26</v>
      </c>
      <c r="F3281" t="s">
        <v>7649</v>
      </c>
      <c r="G3281" t="s">
        <v>55</v>
      </c>
      <c r="H3281" t="s">
        <v>55</v>
      </c>
      <c r="I3281" t="s">
        <v>56</v>
      </c>
      <c r="J3281" t="s">
        <v>137</v>
      </c>
      <c r="K3281" t="s">
        <v>78</v>
      </c>
      <c r="L3281" t="s">
        <v>46</v>
      </c>
      <c r="M3281" t="s">
        <v>47</v>
      </c>
      <c r="N3281" t="s">
        <v>69</v>
      </c>
      <c r="O3281" t="s">
        <v>70</v>
      </c>
      <c r="P3281" t="s">
        <v>49</v>
      </c>
      <c r="Q3281" t="s">
        <v>172</v>
      </c>
      <c r="R3281">
        <v>283</v>
      </c>
      <c r="S3281">
        <v>157</v>
      </c>
      <c r="T3281">
        <v>101</v>
      </c>
      <c r="U3281">
        <v>33</v>
      </c>
      <c r="V3281" t="s">
        <v>7209</v>
      </c>
      <c r="W3281">
        <v>45071</v>
      </c>
      <c r="X3281" t="s">
        <v>7248</v>
      </c>
      <c r="Y3281">
        <v>33941</v>
      </c>
      <c r="Z3281">
        <v>1487343</v>
      </c>
      <c r="AA3281">
        <v>367290</v>
      </c>
      <c r="AB3281" t="str">
        <f>(VLOOKUP(SalesData[[#This Row],[Month Number]],Reference!C$5:E$16,2,FALSE))</f>
        <v>Feb</v>
      </c>
      <c r="AC3281">
        <f>MONTH(SalesData[[#This Row],[Date]])</f>
        <v>2</v>
      </c>
      <c r="AD3281">
        <f>Reference!F$4</f>
        <v>2026</v>
      </c>
      <c r="AE3281" t="str">
        <f>IF(OR(SalesData[[#This Row],[Day]]="Saturday",SalesData[[#This Row],[Day]]="Sunday"),"Weekend","Weekday")</f>
        <v>Weekday</v>
      </c>
      <c r="AF3281" s="5">
        <f>IF(SalesData[[#This Row],[Contracts Offered]]=0,0,SalesData[[#This Row],[Contracts Signed]]/SalesData[[#This Row],[Contracts Offered]])</f>
        <v>0.32673267326732675</v>
      </c>
      <c r="AG3281" s="5">
        <f>IF(SalesData[[#This Row],[Customers Visited]]=0,0,SalesData[[#This Row],[Test Drives]]/SalesData[[#This Row],[Customers Visited]])</f>
        <v>0.55477031802120136</v>
      </c>
      <c r="AH3281" s="5">
        <f>IF(SalesData[[#This Row],[Customers Visited]]=0,0,SalesData[[#This Row],[Contracts Signed]]/SalesData[[#This Row],[Customers Visited]])</f>
        <v>0.1166077738515901</v>
      </c>
      <c r="AI3281" s="6">
        <f>IF(SalesData[[#This Row],[Contracts Signed]]=0,0,SalesData[[#This Row],[Profit(€)]]/SalesData[[#This Row],[Contracts Signed]])</f>
        <v>11130</v>
      </c>
      <c r="AJ3281" s="5" t="str">
        <f>TRIM(CLEAN(SalesData[[#This Row],[Retailer]]))</f>
        <v>Autohaus Berlin</v>
      </c>
    </row>
    <row r="3282" spans="1:36" ht="14.25" hidden="1" x14ac:dyDescent="0.2">
      <c r="A3282" t="s">
        <v>4460</v>
      </c>
      <c r="B3282" s="1">
        <v>46067</v>
      </c>
      <c r="C3282" t="s">
        <v>121</v>
      </c>
      <c r="D3282" t="s">
        <v>151</v>
      </c>
      <c r="E3282" t="s">
        <v>42</v>
      </c>
      <c r="F3282" t="s">
        <v>7649</v>
      </c>
      <c r="G3282" t="s">
        <v>55</v>
      </c>
      <c r="H3282" t="s">
        <v>55</v>
      </c>
      <c r="I3282" t="s">
        <v>116</v>
      </c>
      <c r="J3282" t="s">
        <v>203</v>
      </c>
      <c r="K3282" t="s">
        <v>78</v>
      </c>
      <c r="L3282" t="s">
        <v>67</v>
      </c>
      <c r="M3282" t="s">
        <v>87</v>
      </c>
      <c r="N3282" t="s">
        <v>48</v>
      </c>
      <c r="O3282" t="s">
        <v>36</v>
      </c>
      <c r="P3282" t="s">
        <v>71</v>
      </c>
      <c r="Q3282" t="s">
        <v>129</v>
      </c>
      <c r="R3282">
        <v>319</v>
      </c>
      <c r="S3282">
        <v>140</v>
      </c>
      <c r="T3282">
        <v>94</v>
      </c>
      <c r="U3282">
        <v>22</v>
      </c>
      <c r="V3282" t="s">
        <v>343</v>
      </c>
      <c r="W3282">
        <v>25896</v>
      </c>
      <c r="X3282" t="s">
        <v>7204</v>
      </c>
      <c r="Y3282">
        <v>23050</v>
      </c>
      <c r="Z3282">
        <v>569712</v>
      </c>
      <c r="AA3282">
        <v>62612</v>
      </c>
      <c r="AB3282" t="str">
        <f>(VLOOKUP(SalesData[[#This Row],[Month Number]],Reference!C$5:E$16,2,FALSE))</f>
        <v>Feb</v>
      </c>
      <c r="AC3282">
        <f>MONTH(SalesData[[#This Row],[Date]])</f>
        <v>2</v>
      </c>
      <c r="AD3282">
        <f>Reference!F$4</f>
        <v>2026</v>
      </c>
      <c r="AE3282" t="str">
        <f>IF(OR(SalesData[[#This Row],[Day]]="Saturday",SalesData[[#This Row],[Day]]="Sunday"),"Weekend","Weekday")</f>
        <v>Weekend</v>
      </c>
      <c r="AF3282" s="5">
        <f>IF(SalesData[[#This Row],[Contracts Offered]]=0,0,SalesData[[#This Row],[Contracts Signed]]/SalesData[[#This Row],[Contracts Offered]])</f>
        <v>0.23404255319148937</v>
      </c>
      <c r="AG3282" s="5">
        <f>IF(SalesData[[#This Row],[Customers Visited]]=0,0,SalesData[[#This Row],[Test Drives]]/SalesData[[#This Row],[Customers Visited]])</f>
        <v>0.43887147335423199</v>
      </c>
      <c r="AH3282" s="5">
        <f>IF(SalesData[[#This Row],[Customers Visited]]=0,0,SalesData[[#This Row],[Contracts Signed]]/SalesData[[#This Row],[Customers Visited]])</f>
        <v>6.8965517241379309E-2</v>
      </c>
      <c r="AI3282" s="6">
        <f>IF(SalesData[[#This Row],[Contracts Signed]]=0,0,SalesData[[#This Row],[Profit(€)]]/SalesData[[#This Row],[Contracts Signed]])</f>
        <v>2846</v>
      </c>
      <c r="AJ3282" s="5" t="str">
        <f>TRIM(CLEAN(SalesData[[#This Row],[Retailer]]))</f>
        <v>Autohaus Berlin</v>
      </c>
    </row>
    <row r="3283" spans="1:36" ht="14.25" hidden="1" x14ac:dyDescent="0.2">
      <c r="A3283" t="s">
        <v>4462</v>
      </c>
      <c r="B3283" s="1">
        <v>46064</v>
      </c>
      <c r="C3283" t="s">
        <v>121</v>
      </c>
      <c r="D3283" t="s">
        <v>82</v>
      </c>
      <c r="E3283" t="s">
        <v>26</v>
      </c>
      <c r="F3283" t="s">
        <v>83</v>
      </c>
      <c r="G3283" t="s">
        <v>84</v>
      </c>
      <c r="H3283" t="s">
        <v>85</v>
      </c>
      <c r="I3283" t="s">
        <v>116</v>
      </c>
      <c r="J3283" t="s">
        <v>117</v>
      </c>
      <c r="K3283" t="s">
        <v>66</v>
      </c>
      <c r="L3283" t="s">
        <v>67</v>
      </c>
      <c r="M3283" t="s">
        <v>34</v>
      </c>
      <c r="N3283" t="s">
        <v>35</v>
      </c>
      <c r="O3283" t="s">
        <v>36</v>
      </c>
      <c r="P3283" t="s">
        <v>49</v>
      </c>
      <c r="Q3283" t="s">
        <v>135</v>
      </c>
      <c r="R3283">
        <v>222</v>
      </c>
      <c r="S3283">
        <v>116</v>
      </c>
      <c r="T3283">
        <v>70</v>
      </c>
      <c r="U3283">
        <v>17</v>
      </c>
      <c r="V3283" t="s">
        <v>4894</v>
      </c>
      <c r="W3283">
        <v>25605</v>
      </c>
      <c r="X3283" t="s">
        <v>3304</v>
      </c>
      <c r="Y3283">
        <v>23444</v>
      </c>
      <c r="Z3283">
        <v>435285</v>
      </c>
      <c r="AA3283">
        <v>36737</v>
      </c>
      <c r="AB3283" t="str">
        <f>(VLOOKUP(SalesData[[#This Row],[Month Number]],Reference!C$5:E$16,2,FALSE))</f>
        <v>Feb</v>
      </c>
      <c r="AC3283">
        <f>MONTH(SalesData[[#This Row],[Date]])</f>
        <v>2</v>
      </c>
      <c r="AD3283">
        <f>Reference!F$4</f>
        <v>2026</v>
      </c>
      <c r="AE3283" t="str">
        <f>IF(OR(SalesData[[#This Row],[Day]]="Saturday",SalesData[[#This Row],[Day]]="Sunday"),"Weekend","Weekday")</f>
        <v>Weekday</v>
      </c>
      <c r="AF3283" s="5">
        <f>IF(SalesData[[#This Row],[Contracts Offered]]=0,0,SalesData[[#This Row],[Contracts Signed]]/SalesData[[#This Row],[Contracts Offered]])</f>
        <v>0.24285714285714285</v>
      </c>
      <c r="AG3283" s="5">
        <f>IF(SalesData[[#This Row],[Customers Visited]]=0,0,SalesData[[#This Row],[Test Drives]]/SalesData[[#This Row],[Customers Visited]])</f>
        <v>0.52252252252252251</v>
      </c>
      <c r="AH3283" s="5">
        <f>IF(SalesData[[#This Row],[Customers Visited]]=0,0,SalesData[[#This Row],[Contracts Signed]]/SalesData[[#This Row],[Customers Visited]])</f>
        <v>7.6576576576576572E-2</v>
      </c>
      <c r="AI3283" s="6">
        <f>IF(SalesData[[#This Row],[Contracts Signed]]=0,0,SalesData[[#This Row],[Profit(€)]]/SalesData[[#This Row],[Contracts Signed]])</f>
        <v>2161</v>
      </c>
      <c r="AJ3283" s="5" t="str">
        <f>TRIM(CLEAN(SalesData[[#This Row],[Retailer]]))</f>
        <v>Hannover Cars</v>
      </c>
    </row>
    <row r="3284" spans="1:36" ht="14.25" hidden="1" x14ac:dyDescent="0.2">
      <c r="A3284" t="s">
        <v>4463</v>
      </c>
      <c r="B3284" s="1">
        <v>46058</v>
      </c>
      <c r="C3284" t="s">
        <v>24</v>
      </c>
      <c r="D3284" t="s">
        <v>100</v>
      </c>
      <c r="E3284" t="s">
        <v>26</v>
      </c>
      <c r="F3284" t="s">
        <v>127</v>
      </c>
      <c r="G3284" t="s">
        <v>128</v>
      </c>
      <c r="H3284" t="s">
        <v>103</v>
      </c>
      <c r="I3284" t="s">
        <v>104</v>
      </c>
      <c r="J3284" t="s">
        <v>7031</v>
      </c>
      <c r="K3284" t="s">
        <v>78</v>
      </c>
      <c r="L3284" t="s">
        <v>46</v>
      </c>
      <c r="M3284" t="s">
        <v>87</v>
      </c>
      <c r="N3284" t="s">
        <v>69</v>
      </c>
      <c r="O3284" t="s">
        <v>70</v>
      </c>
      <c r="P3284" t="s">
        <v>49</v>
      </c>
      <c r="Q3284" t="s">
        <v>106</v>
      </c>
      <c r="R3284">
        <v>440</v>
      </c>
      <c r="S3284">
        <v>224</v>
      </c>
      <c r="T3284">
        <v>137</v>
      </c>
      <c r="U3284">
        <v>27</v>
      </c>
      <c r="V3284" t="s">
        <v>2172</v>
      </c>
      <c r="W3284">
        <v>30110</v>
      </c>
      <c r="X3284" t="s">
        <v>4791</v>
      </c>
      <c r="Y3284">
        <v>27158</v>
      </c>
      <c r="Z3284">
        <v>812970</v>
      </c>
      <c r="AA3284">
        <v>79704</v>
      </c>
      <c r="AB3284" t="str">
        <f>(VLOOKUP(SalesData[[#This Row],[Month Number]],Reference!C$5:E$16,2,FALSE))</f>
        <v>Feb</v>
      </c>
      <c r="AC3284">
        <f>MONTH(SalesData[[#This Row],[Date]])</f>
        <v>2</v>
      </c>
      <c r="AD3284">
        <f>Reference!F$4</f>
        <v>2026</v>
      </c>
      <c r="AE3284" t="str">
        <f>IF(OR(SalesData[[#This Row],[Day]]="Saturday",SalesData[[#This Row],[Day]]="Sunday"),"Weekend","Weekday")</f>
        <v>Weekday</v>
      </c>
      <c r="AF3284" s="5">
        <f>IF(SalesData[[#This Row],[Contracts Offered]]=0,0,SalesData[[#This Row],[Contracts Signed]]/SalesData[[#This Row],[Contracts Offered]])</f>
        <v>0.19708029197080293</v>
      </c>
      <c r="AG3284" s="5">
        <f>IF(SalesData[[#This Row],[Customers Visited]]=0,0,SalesData[[#This Row],[Test Drives]]/SalesData[[#This Row],[Customers Visited]])</f>
        <v>0.50909090909090904</v>
      </c>
      <c r="AH3284" s="5">
        <f>IF(SalesData[[#This Row],[Customers Visited]]=0,0,SalesData[[#This Row],[Contracts Signed]]/SalesData[[#This Row],[Customers Visited]])</f>
        <v>6.1363636363636363E-2</v>
      </c>
      <c r="AI3284" s="6">
        <f>IF(SalesData[[#This Row],[Contracts Signed]]=0,0,SalesData[[#This Row],[Profit(€)]]/SalesData[[#This Row],[Contracts Signed]])</f>
        <v>2952</v>
      </c>
      <c r="AJ3284" s="5" t="str">
        <f>TRIM(CLEAN(SalesData[[#This Row],[Retailer]]))</f>
        <v>Rhein Auto Group</v>
      </c>
    </row>
    <row r="3285" spans="1:36" ht="14.25" hidden="1" x14ac:dyDescent="0.2">
      <c r="A3285" t="s">
        <v>4464</v>
      </c>
      <c r="B3285" s="1">
        <v>46066</v>
      </c>
      <c r="C3285" t="s">
        <v>121</v>
      </c>
      <c r="D3285" t="s">
        <v>54</v>
      </c>
      <c r="E3285" t="s">
        <v>26</v>
      </c>
      <c r="F3285" t="s">
        <v>43</v>
      </c>
      <c r="G3285" t="s">
        <v>44</v>
      </c>
      <c r="H3285" t="s">
        <v>45</v>
      </c>
      <c r="I3285" t="s">
        <v>56</v>
      </c>
      <c r="J3285" t="s">
        <v>97</v>
      </c>
      <c r="K3285" t="s">
        <v>91</v>
      </c>
      <c r="L3285" t="s">
        <v>33</v>
      </c>
      <c r="M3285" t="s">
        <v>87</v>
      </c>
      <c r="N3285" t="s">
        <v>48</v>
      </c>
      <c r="O3285" t="s">
        <v>70</v>
      </c>
      <c r="P3285" t="s">
        <v>58</v>
      </c>
      <c r="Q3285" t="s">
        <v>204</v>
      </c>
      <c r="R3285">
        <v>207</v>
      </c>
      <c r="S3285">
        <v>111</v>
      </c>
      <c r="T3285">
        <v>83</v>
      </c>
      <c r="U3285">
        <v>28</v>
      </c>
      <c r="V3285" t="s">
        <v>6674</v>
      </c>
      <c r="W3285">
        <v>40383</v>
      </c>
      <c r="X3285" t="s">
        <v>1403</v>
      </c>
      <c r="Y3285">
        <v>30813</v>
      </c>
      <c r="Z3285">
        <v>1130724</v>
      </c>
      <c r="AA3285">
        <v>267960</v>
      </c>
      <c r="AB3285" t="str">
        <f>(VLOOKUP(SalesData[[#This Row],[Month Number]],Reference!C$5:E$16,2,FALSE))</f>
        <v>Feb</v>
      </c>
      <c r="AC3285">
        <f>MONTH(SalesData[[#This Row],[Date]])</f>
        <v>2</v>
      </c>
      <c r="AD3285">
        <f>Reference!F$4</f>
        <v>2026</v>
      </c>
      <c r="AE3285" t="str">
        <f>IF(OR(SalesData[[#This Row],[Day]]="Saturday",SalesData[[#This Row],[Day]]="Sunday"),"Weekend","Weekday")</f>
        <v>Weekday</v>
      </c>
      <c r="AF3285" s="5">
        <f>IF(SalesData[[#This Row],[Contracts Offered]]=0,0,SalesData[[#This Row],[Contracts Signed]]/SalesData[[#This Row],[Contracts Offered]])</f>
        <v>0.33734939759036142</v>
      </c>
      <c r="AG3285" s="5">
        <f>IF(SalesData[[#This Row],[Customers Visited]]=0,0,SalesData[[#This Row],[Test Drives]]/SalesData[[#This Row],[Customers Visited]])</f>
        <v>0.53623188405797106</v>
      </c>
      <c r="AH3285" s="5">
        <f>IF(SalesData[[#This Row],[Customers Visited]]=0,0,SalesData[[#This Row],[Contracts Signed]]/SalesData[[#This Row],[Customers Visited]])</f>
        <v>0.13526570048309178</v>
      </c>
      <c r="AI3285" s="6">
        <f>IF(SalesData[[#This Row],[Contracts Signed]]=0,0,SalesData[[#This Row],[Profit(€)]]/SalesData[[#This Row],[Contracts Signed]])</f>
        <v>9570</v>
      </c>
      <c r="AJ3285" s="5" t="str">
        <f>TRIM(CLEAN(SalesData[[#This Row],[Retailer]]))</f>
        <v>Saxon Wheels</v>
      </c>
    </row>
    <row r="3286" spans="1:36" ht="14.25" hidden="1" x14ac:dyDescent="0.2">
      <c r="A3286" t="s">
        <v>4465</v>
      </c>
      <c r="B3286" s="1">
        <v>46064</v>
      </c>
      <c r="C3286" t="s">
        <v>121</v>
      </c>
      <c r="D3286" t="s">
        <v>82</v>
      </c>
      <c r="E3286" t="s">
        <v>26</v>
      </c>
      <c r="F3286" t="s">
        <v>27</v>
      </c>
      <c r="G3286" t="s">
        <v>28</v>
      </c>
      <c r="H3286" t="s">
        <v>29</v>
      </c>
      <c r="I3286" t="s">
        <v>56</v>
      </c>
      <c r="J3286" t="s">
        <v>137</v>
      </c>
      <c r="K3286" t="s">
        <v>78</v>
      </c>
      <c r="L3286" t="s">
        <v>46</v>
      </c>
      <c r="M3286" t="s">
        <v>34</v>
      </c>
      <c r="N3286" t="s">
        <v>35</v>
      </c>
      <c r="O3286" t="s">
        <v>70</v>
      </c>
      <c r="P3286" t="s">
        <v>37</v>
      </c>
      <c r="Q3286" t="s">
        <v>106</v>
      </c>
      <c r="R3286">
        <v>215</v>
      </c>
      <c r="S3286">
        <v>128</v>
      </c>
      <c r="T3286">
        <v>88</v>
      </c>
      <c r="U3286">
        <v>26</v>
      </c>
      <c r="V3286" t="s">
        <v>6854</v>
      </c>
      <c r="W3286">
        <v>43083</v>
      </c>
      <c r="X3286" t="s">
        <v>373</v>
      </c>
      <c r="Y3286">
        <v>33589</v>
      </c>
      <c r="Z3286">
        <v>1120158</v>
      </c>
      <c r="AA3286">
        <v>246844</v>
      </c>
      <c r="AB3286" t="str">
        <f>(VLOOKUP(SalesData[[#This Row],[Month Number]],Reference!C$5:E$16,2,FALSE))</f>
        <v>Feb</v>
      </c>
      <c r="AC3286">
        <f>MONTH(SalesData[[#This Row],[Date]])</f>
        <v>2</v>
      </c>
      <c r="AD3286">
        <f>Reference!F$4</f>
        <v>2026</v>
      </c>
      <c r="AE3286" t="str">
        <f>IF(OR(SalesData[[#This Row],[Day]]="Saturday",SalesData[[#This Row],[Day]]="Sunday"),"Weekend","Weekday")</f>
        <v>Weekday</v>
      </c>
      <c r="AF3286" s="5">
        <f>IF(SalesData[[#This Row],[Contracts Offered]]=0,0,SalesData[[#This Row],[Contracts Signed]]/SalesData[[#This Row],[Contracts Offered]])</f>
        <v>0.29545454545454547</v>
      </c>
      <c r="AG3286" s="5">
        <f>IF(SalesData[[#This Row],[Customers Visited]]=0,0,SalesData[[#This Row],[Test Drives]]/SalesData[[#This Row],[Customers Visited]])</f>
        <v>0.59534883720930232</v>
      </c>
      <c r="AH3286" s="5">
        <f>IF(SalesData[[#This Row],[Customers Visited]]=0,0,SalesData[[#This Row],[Contracts Signed]]/SalesData[[#This Row],[Customers Visited]])</f>
        <v>0.12093023255813953</v>
      </c>
      <c r="AI3286" s="6">
        <f>IF(SalesData[[#This Row],[Contracts Signed]]=0,0,SalesData[[#This Row],[Profit(€)]]/SalesData[[#This Row],[Contracts Signed]])</f>
        <v>9494</v>
      </c>
      <c r="AJ3286" s="5" t="str">
        <f>TRIM(CLEAN(SalesData[[#This Row],[Retailer]]))</f>
        <v>Main Auto Hub</v>
      </c>
    </row>
    <row r="3287" spans="1:36" ht="14.25" hidden="1" x14ac:dyDescent="0.2">
      <c r="A3287" t="s">
        <v>4466</v>
      </c>
      <c r="B3287" s="1">
        <v>46067</v>
      </c>
      <c r="C3287" t="s">
        <v>121</v>
      </c>
      <c r="D3287" t="s">
        <v>151</v>
      </c>
      <c r="E3287" t="s">
        <v>42</v>
      </c>
      <c r="F3287" t="s">
        <v>109</v>
      </c>
      <c r="G3287" t="s">
        <v>110</v>
      </c>
      <c r="H3287" t="s">
        <v>45</v>
      </c>
      <c r="I3287" t="s">
        <v>104</v>
      </c>
      <c r="J3287" t="s">
        <v>7031</v>
      </c>
      <c r="K3287" t="s">
        <v>91</v>
      </c>
      <c r="L3287" t="s">
        <v>46</v>
      </c>
      <c r="M3287" t="s">
        <v>47</v>
      </c>
      <c r="N3287" t="s">
        <v>48</v>
      </c>
      <c r="O3287" t="s">
        <v>70</v>
      </c>
      <c r="P3287" t="s">
        <v>37</v>
      </c>
      <c r="Q3287" t="s">
        <v>152</v>
      </c>
      <c r="R3287">
        <v>401</v>
      </c>
      <c r="S3287">
        <v>171</v>
      </c>
      <c r="T3287">
        <v>108</v>
      </c>
      <c r="U3287">
        <v>19</v>
      </c>
      <c r="V3287" t="s">
        <v>667</v>
      </c>
      <c r="W3287">
        <v>33249</v>
      </c>
      <c r="X3287" t="s">
        <v>175</v>
      </c>
      <c r="Y3287">
        <v>29955</v>
      </c>
      <c r="Z3287">
        <v>631731</v>
      </c>
      <c r="AA3287">
        <v>62586</v>
      </c>
      <c r="AB3287" t="str">
        <f>(VLOOKUP(SalesData[[#This Row],[Month Number]],Reference!C$5:E$16,2,FALSE))</f>
        <v>Feb</v>
      </c>
      <c r="AC3287">
        <f>MONTH(SalesData[[#This Row],[Date]])</f>
        <v>2</v>
      </c>
      <c r="AD3287">
        <f>Reference!F$4</f>
        <v>2026</v>
      </c>
      <c r="AE3287" t="str">
        <f>IF(OR(SalesData[[#This Row],[Day]]="Saturday",SalesData[[#This Row],[Day]]="Sunday"),"Weekend","Weekday")</f>
        <v>Weekend</v>
      </c>
      <c r="AF3287" s="5">
        <f>IF(SalesData[[#This Row],[Contracts Offered]]=0,0,SalesData[[#This Row],[Contracts Signed]]/SalesData[[#This Row],[Contracts Offered]])</f>
        <v>0.17592592592592593</v>
      </c>
      <c r="AG3287" s="5">
        <f>IF(SalesData[[#This Row],[Customers Visited]]=0,0,SalesData[[#This Row],[Test Drives]]/SalesData[[#This Row],[Customers Visited]])</f>
        <v>0.42643391521197005</v>
      </c>
      <c r="AH3287" s="5">
        <f>IF(SalesData[[#This Row],[Customers Visited]]=0,0,SalesData[[#This Row],[Contracts Signed]]/SalesData[[#This Row],[Customers Visited]])</f>
        <v>4.738154613466334E-2</v>
      </c>
      <c r="AI3287" s="6">
        <f>IF(SalesData[[#This Row],[Contracts Signed]]=0,0,SalesData[[#This Row],[Profit(€)]]/SalesData[[#This Row],[Contracts Signed]])</f>
        <v>3294</v>
      </c>
      <c r="AJ3287" s="5" t="str">
        <f>TRIM(CLEAN(SalesData[[#This Row],[Retailer]]))</f>
        <v>Leipzig Mobility</v>
      </c>
    </row>
    <row r="3288" spans="1:36" ht="14.25" hidden="1" x14ac:dyDescent="0.2">
      <c r="A3288" t="s">
        <v>4467</v>
      </c>
      <c r="B3288" s="1">
        <v>46079</v>
      </c>
      <c r="C3288" t="s">
        <v>53</v>
      </c>
      <c r="D3288" t="s">
        <v>100</v>
      </c>
      <c r="E3288" t="s">
        <v>26</v>
      </c>
      <c r="F3288" t="s">
        <v>74</v>
      </c>
      <c r="G3288" t="s">
        <v>75</v>
      </c>
      <c r="H3288" t="s">
        <v>76</v>
      </c>
      <c r="I3288" t="s">
        <v>64</v>
      </c>
      <c r="J3288" t="s">
        <v>65</v>
      </c>
      <c r="K3288" t="s">
        <v>66</v>
      </c>
      <c r="L3288" t="s">
        <v>33</v>
      </c>
      <c r="M3288" t="s">
        <v>34</v>
      </c>
      <c r="N3288" t="s">
        <v>69</v>
      </c>
      <c r="O3288" t="s">
        <v>70</v>
      </c>
      <c r="P3288" t="s">
        <v>58</v>
      </c>
      <c r="Q3288" t="s">
        <v>189</v>
      </c>
      <c r="R3288">
        <v>156</v>
      </c>
      <c r="S3288">
        <v>79</v>
      </c>
      <c r="T3288">
        <v>62</v>
      </c>
      <c r="U3288">
        <v>22</v>
      </c>
      <c r="V3288" t="s">
        <v>6779</v>
      </c>
      <c r="W3288">
        <v>65628</v>
      </c>
      <c r="X3288" t="s">
        <v>1489</v>
      </c>
      <c r="Y3288">
        <v>51775</v>
      </c>
      <c r="Z3288">
        <v>1443816</v>
      </c>
      <c r="AA3288">
        <v>304766</v>
      </c>
      <c r="AB3288" t="str">
        <f>(VLOOKUP(SalesData[[#This Row],[Month Number]],Reference!C$5:E$16,2,FALSE))</f>
        <v>Feb</v>
      </c>
      <c r="AC3288">
        <f>MONTH(SalesData[[#This Row],[Date]])</f>
        <v>2</v>
      </c>
      <c r="AD3288">
        <f>Reference!F$4</f>
        <v>2026</v>
      </c>
      <c r="AE3288" t="str">
        <f>IF(OR(SalesData[[#This Row],[Day]]="Saturday",SalesData[[#This Row],[Day]]="Sunday"),"Weekend","Weekday")</f>
        <v>Weekday</v>
      </c>
      <c r="AF3288" s="5">
        <f>IF(SalesData[[#This Row],[Contracts Offered]]=0,0,SalesData[[#This Row],[Contracts Signed]]/SalesData[[#This Row],[Contracts Offered]])</f>
        <v>0.35483870967741937</v>
      </c>
      <c r="AG3288" s="5">
        <f>IF(SalesData[[#This Row],[Customers Visited]]=0,0,SalesData[[#This Row],[Test Drives]]/SalesData[[#This Row],[Customers Visited]])</f>
        <v>0.50641025641025639</v>
      </c>
      <c r="AH3288" s="5">
        <f>IF(SalesData[[#This Row],[Customers Visited]]=0,0,SalesData[[#This Row],[Contracts Signed]]/SalesData[[#This Row],[Customers Visited]])</f>
        <v>0.14102564102564102</v>
      </c>
      <c r="AI3288" s="6">
        <f>IF(SalesData[[#This Row],[Contracts Signed]]=0,0,SalesData[[#This Row],[Profit(€)]]/SalesData[[#This Row],[Contracts Signed]])</f>
        <v>13853</v>
      </c>
      <c r="AJ3288" s="5" t="str">
        <f>TRIM(CLEAN(SalesData[[#This Row],[Retailer]]))</f>
        <v>Stuttgart Auto Center</v>
      </c>
    </row>
    <row r="3289" spans="1:36" ht="14.25" hidden="1" x14ac:dyDescent="0.2">
      <c r="A3289" t="s">
        <v>4468</v>
      </c>
      <c r="B3289" s="1">
        <v>46067</v>
      </c>
      <c r="C3289" t="s">
        <v>121</v>
      </c>
      <c r="D3289" t="s">
        <v>151</v>
      </c>
      <c r="E3289" t="s">
        <v>42</v>
      </c>
      <c r="F3289" t="s">
        <v>7649</v>
      </c>
      <c r="G3289" t="s">
        <v>55</v>
      </c>
      <c r="H3289" t="s">
        <v>55</v>
      </c>
      <c r="I3289" t="s">
        <v>104</v>
      </c>
      <c r="J3289" t="s">
        <v>140</v>
      </c>
      <c r="K3289" t="s">
        <v>91</v>
      </c>
      <c r="L3289" t="s">
        <v>46</v>
      </c>
      <c r="M3289" t="s">
        <v>68</v>
      </c>
      <c r="N3289" t="s">
        <v>35</v>
      </c>
      <c r="O3289" t="s">
        <v>36</v>
      </c>
      <c r="P3289" t="s">
        <v>37</v>
      </c>
      <c r="Q3289" t="s">
        <v>152</v>
      </c>
      <c r="R3289">
        <v>519</v>
      </c>
      <c r="S3289">
        <v>288</v>
      </c>
      <c r="T3289">
        <v>188</v>
      </c>
      <c r="U3289">
        <v>41</v>
      </c>
      <c r="V3289" t="s">
        <v>7021</v>
      </c>
      <c r="W3289">
        <v>30085</v>
      </c>
      <c r="X3289" t="s">
        <v>2404</v>
      </c>
      <c r="Y3289">
        <v>26996</v>
      </c>
      <c r="Z3289">
        <v>1233485</v>
      </c>
      <c r="AA3289">
        <v>126649</v>
      </c>
      <c r="AB3289" t="str">
        <f>(VLOOKUP(SalesData[[#This Row],[Month Number]],Reference!C$5:E$16,2,FALSE))</f>
        <v>Feb</v>
      </c>
      <c r="AC3289">
        <f>MONTH(SalesData[[#This Row],[Date]])</f>
        <v>2</v>
      </c>
      <c r="AD3289">
        <f>Reference!F$4</f>
        <v>2026</v>
      </c>
      <c r="AE3289" t="str">
        <f>IF(OR(SalesData[[#This Row],[Day]]="Saturday",SalesData[[#This Row],[Day]]="Sunday"),"Weekend","Weekday")</f>
        <v>Weekend</v>
      </c>
      <c r="AF3289" s="5">
        <f>IF(SalesData[[#This Row],[Contracts Offered]]=0,0,SalesData[[#This Row],[Contracts Signed]]/SalesData[[#This Row],[Contracts Offered]])</f>
        <v>0.21808510638297873</v>
      </c>
      <c r="AG3289" s="5">
        <f>IF(SalesData[[#This Row],[Customers Visited]]=0,0,SalesData[[#This Row],[Test Drives]]/SalesData[[#This Row],[Customers Visited]])</f>
        <v>0.55491329479768781</v>
      </c>
      <c r="AH3289" s="5">
        <f>IF(SalesData[[#This Row],[Customers Visited]]=0,0,SalesData[[#This Row],[Contracts Signed]]/SalesData[[#This Row],[Customers Visited]])</f>
        <v>7.8998073217726394E-2</v>
      </c>
      <c r="AI3289" s="6">
        <f>IF(SalesData[[#This Row],[Contracts Signed]]=0,0,SalesData[[#This Row],[Profit(€)]]/SalesData[[#This Row],[Contracts Signed]])</f>
        <v>3089</v>
      </c>
      <c r="AJ3289" s="5" t="str">
        <f>TRIM(CLEAN(SalesData[[#This Row],[Retailer]]))</f>
        <v>Autohaus Berlin</v>
      </c>
    </row>
    <row r="3290" spans="1:36" ht="14.25" hidden="1" x14ac:dyDescent="0.2">
      <c r="A3290" t="s">
        <v>4470</v>
      </c>
      <c r="B3290" s="1">
        <v>46066</v>
      </c>
      <c r="C3290" t="s">
        <v>121</v>
      </c>
      <c r="D3290" t="s">
        <v>54</v>
      </c>
      <c r="E3290" t="s">
        <v>26</v>
      </c>
      <c r="F3290" t="s">
        <v>94</v>
      </c>
      <c r="G3290" t="s">
        <v>95</v>
      </c>
      <c r="H3290" t="s">
        <v>96</v>
      </c>
      <c r="I3290" t="s">
        <v>104</v>
      </c>
      <c r="J3290" t="s">
        <v>105</v>
      </c>
      <c r="K3290" t="s">
        <v>78</v>
      </c>
      <c r="L3290" t="s">
        <v>33</v>
      </c>
      <c r="M3290" t="s">
        <v>87</v>
      </c>
      <c r="N3290" t="s">
        <v>35</v>
      </c>
      <c r="O3290" t="s">
        <v>70</v>
      </c>
      <c r="P3290" t="s">
        <v>58</v>
      </c>
      <c r="Q3290" t="s">
        <v>59</v>
      </c>
      <c r="R3290">
        <v>468</v>
      </c>
      <c r="S3290">
        <v>256</v>
      </c>
      <c r="T3290">
        <v>173</v>
      </c>
      <c r="U3290">
        <v>51</v>
      </c>
      <c r="V3290" t="s">
        <v>7507</v>
      </c>
      <c r="W3290">
        <v>27437</v>
      </c>
      <c r="X3290" t="s">
        <v>1943</v>
      </c>
      <c r="Y3290">
        <v>24402</v>
      </c>
      <c r="Z3290">
        <v>1399287</v>
      </c>
      <c r="AA3290">
        <v>154785</v>
      </c>
      <c r="AB3290" t="str">
        <f>(VLOOKUP(SalesData[[#This Row],[Month Number]],Reference!C$5:E$16,2,FALSE))</f>
        <v>Feb</v>
      </c>
      <c r="AC3290">
        <f>MONTH(SalesData[[#This Row],[Date]])</f>
        <v>2</v>
      </c>
      <c r="AD3290">
        <f>Reference!F$4</f>
        <v>2026</v>
      </c>
      <c r="AE3290" t="str">
        <f>IF(OR(SalesData[[#This Row],[Day]]="Saturday",SalesData[[#This Row],[Day]]="Sunday"),"Weekend","Weekday")</f>
        <v>Weekday</v>
      </c>
      <c r="AF3290" s="5">
        <f>IF(SalesData[[#This Row],[Contracts Offered]]=0,0,SalesData[[#This Row],[Contracts Signed]]/SalesData[[#This Row],[Contracts Offered]])</f>
        <v>0.2947976878612717</v>
      </c>
      <c r="AG3290" s="5">
        <f>IF(SalesData[[#This Row],[Customers Visited]]=0,0,SalesData[[#This Row],[Test Drives]]/SalesData[[#This Row],[Customers Visited]])</f>
        <v>0.54700854700854706</v>
      </c>
      <c r="AH3290" s="5">
        <f>IF(SalesData[[#This Row],[Customers Visited]]=0,0,SalesData[[#This Row],[Contracts Signed]]/SalesData[[#This Row],[Customers Visited]])</f>
        <v>0.10897435897435898</v>
      </c>
      <c r="AI3290" s="6">
        <f>IF(SalesData[[#This Row],[Contracts Signed]]=0,0,SalesData[[#This Row],[Profit(€)]]/SalesData[[#This Row],[Contracts Signed]])</f>
        <v>3035</v>
      </c>
      <c r="AJ3290" s="5" t="str">
        <f>TRIM(CLEAN(SalesData[[#This Row],[Retailer]]))</f>
        <v>Bavaria Motors</v>
      </c>
    </row>
    <row r="3291" spans="1:36" ht="14.25" hidden="1" x14ac:dyDescent="0.2">
      <c r="A3291" t="s">
        <v>4471</v>
      </c>
      <c r="B3291" s="1">
        <v>46055</v>
      </c>
      <c r="C3291" t="s">
        <v>24</v>
      </c>
      <c r="D3291" t="s">
        <v>25</v>
      </c>
      <c r="E3291" t="s">
        <v>26</v>
      </c>
      <c r="F3291" t="s">
        <v>74</v>
      </c>
      <c r="G3291" t="s">
        <v>75</v>
      </c>
      <c r="H3291" t="s">
        <v>76</v>
      </c>
      <c r="I3291" t="s">
        <v>104</v>
      </c>
      <c r="J3291" t="s">
        <v>105</v>
      </c>
      <c r="K3291" t="s">
        <v>78</v>
      </c>
      <c r="L3291" t="s">
        <v>33</v>
      </c>
      <c r="M3291" t="s">
        <v>34</v>
      </c>
      <c r="N3291" t="s">
        <v>48</v>
      </c>
      <c r="O3291" t="s">
        <v>36</v>
      </c>
      <c r="P3291" t="s">
        <v>37</v>
      </c>
      <c r="Q3291" t="s">
        <v>204</v>
      </c>
      <c r="R3291">
        <v>367</v>
      </c>
      <c r="S3291">
        <v>164</v>
      </c>
      <c r="T3291">
        <v>113</v>
      </c>
      <c r="U3291">
        <v>27</v>
      </c>
      <c r="V3291" t="s">
        <v>618</v>
      </c>
      <c r="W3291">
        <v>34338</v>
      </c>
      <c r="X3291" t="s">
        <v>1953</v>
      </c>
      <c r="Y3291">
        <v>30833</v>
      </c>
      <c r="Z3291">
        <v>927126</v>
      </c>
      <c r="AA3291">
        <v>94635</v>
      </c>
      <c r="AB3291" t="str">
        <f>(VLOOKUP(SalesData[[#This Row],[Month Number]],Reference!C$5:E$16,2,FALSE))</f>
        <v>Feb</v>
      </c>
      <c r="AC3291">
        <f>MONTH(SalesData[[#This Row],[Date]])</f>
        <v>2</v>
      </c>
      <c r="AD3291">
        <f>Reference!F$4</f>
        <v>2026</v>
      </c>
      <c r="AE3291" t="str">
        <f>IF(OR(SalesData[[#This Row],[Day]]="Saturday",SalesData[[#This Row],[Day]]="Sunday"),"Weekend","Weekday")</f>
        <v>Weekday</v>
      </c>
      <c r="AF3291" s="5">
        <f>IF(SalesData[[#This Row],[Contracts Offered]]=0,0,SalesData[[#This Row],[Contracts Signed]]/SalesData[[#This Row],[Contracts Offered]])</f>
        <v>0.23893805309734514</v>
      </c>
      <c r="AG3291" s="5">
        <f>IF(SalesData[[#This Row],[Customers Visited]]=0,0,SalesData[[#This Row],[Test Drives]]/SalesData[[#This Row],[Customers Visited]])</f>
        <v>0.44686648501362397</v>
      </c>
      <c r="AH3291" s="5">
        <f>IF(SalesData[[#This Row],[Customers Visited]]=0,0,SalesData[[#This Row],[Contracts Signed]]/SalesData[[#This Row],[Customers Visited]])</f>
        <v>7.3569482288828342E-2</v>
      </c>
      <c r="AI3291" s="6">
        <f>IF(SalesData[[#This Row],[Contracts Signed]]=0,0,SalesData[[#This Row],[Profit(€)]]/SalesData[[#This Row],[Contracts Signed]])</f>
        <v>3505</v>
      </c>
      <c r="AJ3291" s="5" t="str">
        <f>TRIM(CLEAN(SalesData[[#This Row],[Retailer]]))</f>
        <v>Stuttgart Auto Center</v>
      </c>
    </row>
    <row r="3292" spans="1:36" ht="14.25" x14ac:dyDescent="0.2">
      <c r="A3292" t="s">
        <v>4472</v>
      </c>
      <c r="B3292" s="1">
        <v>46056</v>
      </c>
      <c r="C3292" t="s">
        <v>24</v>
      </c>
      <c r="D3292" t="s">
        <v>63</v>
      </c>
      <c r="E3292" t="s">
        <v>26</v>
      </c>
      <c r="F3292" t="s">
        <v>43</v>
      </c>
      <c r="G3292" t="s">
        <v>44</v>
      </c>
      <c r="H3292" t="s">
        <v>45</v>
      </c>
      <c r="I3292" t="s">
        <v>30</v>
      </c>
      <c r="J3292" t="s">
        <v>166</v>
      </c>
      <c r="K3292" t="s">
        <v>91</v>
      </c>
      <c r="L3292" t="s">
        <v>46</v>
      </c>
      <c r="M3292" t="s">
        <v>68</v>
      </c>
      <c r="N3292" t="s">
        <v>48</v>
      </c>
      <c r="O3292" t="s">
        <v>36</v>
      </c>
      <c r="P3292" t="s">
        <v>71</v>
      </c>
      <c r="Q3292" t="s">
        <v>347</v>
      </c>
      <c r="R3292">
        <v>156</v>
      </c>
      <c r="S3292">
        <v>75</v>
      </c>
      <c r="T3292">
        <v>58</v>
      </c>
      <c r="U3292">
        <v>22</v>
      </c>
      <c r="V3292" t="s">
        <v>6413</v>
      </c>
      <c r="W3292">
        <v>59996</v>
      </c>
      <c r="X3292" t="s">
        <v>439</v>
      </c>
      <c r="Y3292">
        <v>43426</v>
      </c>
      <c r="Z3292">
        <v>1319912</v>
      </c>
      <c r="AA3292">
        <v>364540</v>
      </c>
      <c r="AB3292" t="str">
        <f>(VLOOKUP(SalesData[[#This Row],[Month Number]],Reference!C$5:E$16,2,FALSE))</f>
        <v>Feb</v>
      </c>
      <c r="AC3292">
        <f>MONTH(SalesData[[#This Row],[Date]])</f>
        <v>2</v>
      </c>
      <c r="AD3292">
        <f>Reference!F$4</f>
        <v>2026</v>
      </c>
      <c r="AE3292" t="str">
        <f>IF(OR(SalesData[[#This Row],[Day]]="Saturday",SalesData[[#This Row],[Day]]="Sunday"),"Weekend","Weekday")</f>
        <v>Weekday</v>
      </c>
      <c r="AF3292" s="5">
        <f>IF(SalesData[[#This Row],[Contracts Offered]]=0,0,SalesData[[#This Row],[Contracts Signed]]/SalesData[[#This Row],[Contracts Offered]])</f>
        <v>0.37931034482758619</v>
      </c>
      <c r="AG3292" s="5">
        <f>IF(SalesData[[#This Row],[Customers Visited]]=0,0,SalesData[[#This Row],[Test Drives]]/SalesData[[#This Row],[Customers Visited]])</f>
        <v>0.48076923076923078</v>
      </c>
      <c r="AH3292" s="5">
        <f>IF(SalesData[[#This Row],[Customers Visited]]=0,0,SalesData[[#This Row],[Contracts Signed]]/SalesData[[#This Row],[Customers Visited]])</f>
        <v>0.14102564102564102</v>
      </c>
      <c r="AI3292" s="6">
        <f>IF(SalesData[[#This Row],[Contracts Signed]]=0,0,SalesData[[#This Row],[Profit(€)]]/SalesData[[#This Row],[Contracts Signed]])</f>
        <v>16570</v>
      </c>
      <c r="AJ3292" s="5" t="str">
        <f>TRIM(CLEAN(SalesData[[#This Row],[Retailer]]))</f>
        <v>Saxon Wheels</v>
      </c>
    </row>
    <row r="3293" spans="1:36" ht="14.25" hidden="1" x14ac:dyDescent="0.2">
      <c r="A3293" t="s">
        <v>4473</v>
      </c>
      <c r="B3293" s="1">
        <v>46055</v>
      </c>
      <c r="C3293" t="s">
        <v>24</v>
      </c>
      <c r="D3293" t="s">
        <v>25</v>
      </c>
      <c r="E3293" t="s">
        <v>26</v>
      </c>
      <c r="F3293" t="s">
        <v>74</v>
      </c>
      <c r="G3293" t="s">
        <v>75</v>
      </c>
      <c r="H3293" t="s">
        <v>76</v>
      </c>
      <c r="I3293" t="s">
        <v>116</v>
      </c>
      <c r="J3293" t="s">
        <v>117</v>
      </c>
      <c r="K3293" t="s">
        <v>66</v>
      </c>
      <c r="L3293" t="s">
        <v>67</v>
      </c>
      <c r="M3293" t="s">
        <v>47</v>
      </c>
      <c r="N3293" t="s">
        <v>48</v>
      </c>
      <c r="O3293" t="s">
        <v>36</v>
      </c>
      <c r="P3293" t="s">
        <v>37</v>
      </c>
      <c r="Q3293" t="s">
        <v>50</v>
      </c>
      <c r="R3293">
        <v>423</v>
      </c>
      <c r="S3293">
        <v>217</v>
      </c>
      <c r="T3293">
        <v>129</v>
      </c>
      <c r="U3293">
        <v>38</v>
      </c>
      <c r="V3293" t="s">
        <v>6494</v>
      </c>
      <c r="W3293">
        <v>20391</v>
      </c>
      <c r="X3293" t="s">
        <v>3184</v>
      </c>
      <c r="Y3293">
        <v>18696</v>
      </c>
      <c r="Z3293">
        <v>774858</v>
      </c>
      <c r="AA3293">
        <v>64410</v>
      </c>
      <c r="AB3293" t="str">
        <f>(VLOOKUP(SalesData[[#This Row],[Month Number]],Reference!C$5:E$16,2,FALSE))</f>
        <v>Feb</v>
      </c>
      <c r="AC3293">
        <f>MONTH(SalesData[[#This Row],[Date]])</f>
        <v>2</v>
      </c>
      <c r="AD3293">
        <f>Reference!F$4</f>
        <v>2026</v>
      </c>
      <c r="AE3293" t="str">
        <f>IF(OR(SalesData[[#This Row],[Day]]="Saturday",SalesData[[#This Row],[Day]]="Sunday"),"Weekend","Weekday")</f>
        <v>Weekday</v>
      </c>
      <c r="AF3293" s="5">
        <f>IF(SalesData[[#This Row],[Contracts Offered]]=0,0,SalesData[[#This Row],[Contracts Signed]]/SalesData[[#This Row],[Contracts Offered]])</f>
        <v>0.29457364341085274</v>
      </c>
      <c r="AG3293" s="5">
        <f>IF(SalesData[[#This Row],[Customers Visited]]=0,0,SalesData[[#This Row],[Test Drives]]/SalesData[[#This Row],[Customers Visited]])</f>
        <v>0.51300236406619382</v>
      </c>
      <c r="AH3293" s="5">
        <f>IF(SalesData[[#This Row],[Customers Visited]]=0,0,SalesData[[#This Row],[Contracts Signed]]/SalesData[[#This Row],[Customers Visited]])</f>
        <v>8.9834515366430265E-2</v>
      </c>
      <c r="AI3293" s="6">
        <f>IF(SalesData[[#This Row],[Contracts Signed]]=0,0,SalesData[[#This Row],[Profit(€)]]/SalesData[[#This Row],[Contracts Signed]])</f>
        <v>1695</v>
      </c>
      <c r="AJ3293" s="5" t="str">
        <f>TRIM(CLEAN(SalesData[[#This Row],[Retailer]]))</f>
        <v>Stuttgart Auto Center</v>
      </c>
    </row>
    <row r="3294" spans="1:36" ht="14.25" hidden="1" x14ac:dyDescent="0.2">
      <c r="A3294" t="s">
        <v>4474</v>
      </c>
      <c r="B3294" s="1">
        <v>46068</v>
      </c>
      <c r="C3294" t="s">
        <v>62</v>
      </c>
      <c r="D3294" t="s">
        <v>41</v>
      </c>
      <c r="E3294" t="s">
        <v>42</v>
      </c>
      <c r="F3294" t="s">
        <v>114</v>
      </c>
      <c r="G3294" t="s">
        <v>115</v>
      </c>
      <c r="H3294" t="s">
        <v>115</v>
      </c>
      <c r="I3294" t="s">
        <v>104</v>
      </c>
      <c r="J3294" t="s">
        <v>7031</v>
      </c>
      <c r="K3294" t="s">
        <v>32</v>
      </c>
      <c r="L3294" t="s">
        <v>46</v>
      </c>
      <c r="M3294" t="s">
        <v>87</v>
      </c>
      <c r="N3294" t="s">
        <v>69</v>
      </c>
      <c r="O3294" t="s">
        <v>36</v>
      </c>
      <c r="P3294" t="s">
        <v>37</v>
      </c>
      <c r="Q3294" t="s">
        <v>347</v>
      </c>
      <c r="R3294">
        <v>449</v>
      </c>
      <c r="S3294">
        <v>179</v>
      </c>
      <c r="T3294">
        <v>127</v>
      </c>
      <c r="U3294">
        <v>24</v>
      </c>
      <c r="V3294" t="s">
        <v>892</v>
      </c>
      <c r="W3294">
        <v>28098</v>
      </c>
      <c r="X3294" t="s">
        <v>273</v>
      </c>
      <c r="Y3294">
        <v>25358</v>
      </c>
      <c r="Z3294">
        <v>674352</v>
      </c>
      <c r="AA3294">
        <v>65760</v>
      </c>
      <c r="AB3294" t="str">
        <f>(VLOOKUP(SalesData[[#This Row],[Month Number]],Reference!C$5:E$16,2,FALSE))</f>
        <v>Feb</v>
      </c>
      <c r="AC3294">
        <f>MONTH(SalesData[[#This Row],[Date]])</f>
        <v>2</v>
      </c>
      <c r="AD3294">
        <f>Reference!F$4</f>
        <v>2026</v>
      </c>
      <c r="AE3294" t="str">
        <f>IF(OR(SalesData[[#This Row],[Day]]="Saturday",SalesData[[#This Row],[Day]]="Sunday"),"Weekend","Weekday")</f>
        <v>Weekend</v>
      </c>
      <c r="AF3294" s="5">
        <f>IF(SalesData[[#This Row],[Contracts Offered]]=0,0,SalesData[[#This Row],[Contracts Signed]]/SalesData[[#This Row],[Contracts Offered]])</f>
        <v>0.1889763779527559</v>
      </c>
      <c r="AG3294" s="5">
        <f>IF(SalesData[[#This Row],[Customers Visited]]=0,0,SalesData[[#This Row],[Test Drives]]/SalesData[[#This Row],[Customers Visited]])</f>
        <v>0.39866369710467708</v>
      </c>
      <c r="AH3294" s="5">
        <f>IF(SalesData[[#This Row],[Customers Visited]]=0,0,SalesData[[#This Row],[Contracts Signed]]/SalesData[[#This Row],[Customers Visited]])</f>
        <v>5.3452115812917596E-2</v>
      </c>
      <c r="AI3294" s="6">
        <f>IF(SalesData[[#This Row],[Contracts Signed]]=0,0,SalesData[[#This Row],[Profit(€)]]/SalesData[[#This Row],[Contracts Signed]])</f>
        <v>2740</v>
      </c>
      <c r="AJ3294" s="5" t="str">
        <f>TRIM(CLEAN(SalesData[[#This Row],[Retailer]]))</f>
        <v>Elbe Drive</v>
      </c>
    </row>
    <row r="3295" spans="1:36" ht="14.25" hidden="1" x14ac:dyDescent="0.2">
      <c r="A3295" t="s">
        <v>4476</v>
      </c>
      <c r="B3295" s="1">
        <v>46069</v>
      </c>
      <c r="C3295" t="s">
        <v>62</v>
      </c>
      <c r="D3295" t="s">
        <v>25</v>
      </c>
      <c r="E3295" t="s">
        <v>26</v>
      </c>
      <c r="F3295" t="s">
        <v>127</v>
      </c>
      <c r="G3295" t="s">
        <v>128</v>
      </c>
      <c r="H3295" t="s">
        <v>103</v>
      </c>
      <c r="I3295" t="s">
        <v>104</v>
      </c>
      <c r="J3295" t="s">
        <v>143</v>
      </c>
      <c r="K3295" t="s">
        <v>32</v>
      </c>
      <c r="L3295" t="s">
        <v>67</v>
      </c>
      <c r="M3295" t="s">
        <v>68</v>
      </c>
      <c r="N3295" t="s">
        <v>35</v>
      </c>
      <c r="O3295" t="s">
        <v>36</v>
      </c>
      <c r="P3295" t="s">
        <v>37</v>
      </c>
      <c r="Q3295" t="s">
        <v>106</v>
      </c>
      <c r="R3295">
        <v>408</v>
      </c>
      <c r="S3295">
        <v>233</v>
      </c>
      <c r="T3295">
        <v>161</v>
      </c>
      <c r="U3295">
        <v>35</v>
      </c>
      <c r="V3295" t="s">
        <v>6384</v>
      </c>
      <c r="W3295">
        <v>24838</v>
      </c>
      <c r="X3295" t="s">
        <v>5545</v>
      </c>
      <c r="Y3295">
        <v>21928</v>
      </c>
      <c r="Z3295">
        <v>869330</v>
      </c>
      <c r="AA3295">
        <v>101850</v>
      </c>
      <c r="AB3295" t="str">
        <f>(VLOOKUP(SalesData[[#This Row],[Month Number]],Reference!C$5:E$16,2,FALSE))</f>
        <v>Feb</v>
      </c>
      <c r="AC3295">
        <f>MONTH(SalesData[[#This Row],[Date]])</f>
        <v>2</v>
      </c>
      <c r="AD3295">
        <f>Reference!F$4</f>
        <v>2026</v>
      </c>
      <c r="AE3295" t="str">
        <f>IF(OR(SalesData[[#This Row],[Day]]="Saturday",SalesData[[#This Row],[Day]]="Sunday"),"Weekend","Weekday")</f>
        <v>Weekday</v>
      </c>
      <c r="AF3295" s="5">
        <f>IF(SalesData[[#This Row],[Contracts Offered]]=0,0,SalesData[[#This Row],[Contracts Signed]]/SalesData[[#This Row],[Contracts Offered]])</f>
        <v>0.21739130434782608</v>
      </c>
      <c r="AG3295" s="5">
        <f>IF(SalesData[[#This Row],[Customers Visited]]=0,0,SalesData[[#This Row],[Test Drives]]/SalesData[[#This Row],[Customers Visited]])</f>
        <v>0.57107843137254899</v>
      </c>
      <c r="AH3295" s="5">
        <f>IF(SalesData[[#This Row],[Customers Visited]]=0,0,SalesData[[#This Row],[Contracts Signed]]/SalesData[[#This Row],[Customers Visited]])</f>
        <v>8.5784313725490197E-2</v>
      </c>
      <c r="AI3295" s="6">
        <f>IF(SalesData[[#This Row],[Contracts Signed]]=0,0,SalesData[[#This Row],[Profit(€)]]/SalesData[[#This Row],[Contracts Signed]])</f>
        <v>2910</v>
      </c>
      <c r="AJ3295" s="5" t="str">
        <f>TRIM(CLEAN(SalesData[[#This Row],[Retailer]]))</f>
        <v>Rhein Auto Group</v>
      </c>
    </row>
    <row r="3296" spans="1:36" ht="14.25" hidden="1" x14ac:dyDescent="0.2">
      <c r="A3296" t="s">
        <v>4477</v>
      </c>
      <c r="B3296" s="1">
        <v>46074</v>
      </c>
      <c r="C3296" t="s">
        <v>62</v>
      </c>
      <c r="D3296" t="s">
        <v>151</v>
      </c>
      <c r="E3296" t="s">
        <v>42</v>
      </c>
      <c r="F3296" t="s">
        <v>43</v>
      </c>
      <c r="G3296" t="s">
        <v>44</v>
      </c>
      <c r="H3296" t="s">
        <v>45</v>
      </c>
      <c r="I3296" t="s">
        <v>64</v>
      </c>
      <c r="J3296" t="s">
        <v>77</v>
      </c>
      <c r="K3296" t="s">
        <v>78</v>
      </c>
      <c r="L3296" t="s">
        <v>46</v>
      </c>
      <c r="M3296" t="s">
        <v>68</v>
      </c>
      <c r="N3296" t="s">
        <v>69</v>
      </c>
      <c r="O3296" t="s">
        <v>70</v>
      </c>
      <c r="P3296" t="s">
        <v>37</v>
      </c>
      <c r="Q3296" t="s">
        <v>204</v>
      </c>
      <c r="R3296">
        <v>174</v>
      </c>
      <c r="S3296">
        <v>90</v>
      </c>
      <c r="T3296">
        <v>63</v>
      </c>
      <c r="U3296">
        <v>18</v>
      </c>
      <c r="V3296" t="s">
        <v>6410</v>
      </c>
      <c r="W3296">
        <v>62266</v>
      </c>
      <c r="X3296" t="s">
        <v>7085</v>
      </c>
      <c r="Y3296">
        <v>46544</v>
      </c>
      <c r="Z3296">
        <v>1120788</v>
      </c>
      <c r="AA3296">
        <v>282996</v>
      </c>
      <c r="AB3296" t="str">
        <f>(VLOOKUP(SalesData[[#This Row],[Month Number]],Reference!C$5:E$16,2,FALSE))</f>
        <v>Feb</v>
      </c>
      <c r="AC3296">
        <f>MONTH(SalesData[[#This Row],[Date]])</f>
        <v>2</v>
      </c>
      <c r="AD3296">
        <f>Reference!F$4</f>
        <v>2026</v>
      </c>
      <c r="AE3296" t="str">
        <f>IF(OR(SalesData[[#This Row],[Day]]="Saturday",SalesData[[#This Row],[Day]]="Sunday"),"Weekend","Weekday")</f>
        <v>Weekend</v>
      </c>
      <c r="AF3296" s="5">
        <f>IF(SalesData[[#This Row],[Contracts Offered]]=0,0,SalesData[[#This Row],[Contracts Signed]]/SalesData[[#This Row],[Contracts Offered]])</f>
        <v>0.2857142857142857</v>
      </c>
      <c r="AG3296" s="5">
        <f>IF(SalesData[[#This Row],[Customers Visited]]=0,0,SalesData[[#This Row],[Test Drives]]/SalesData[[#This Row],[Customers Visited]])</f>
        <v>0.51724137931034486</v>
      </c>
      <c r="AH3296" s="5">
        <f>IF(SalesData[[#This Row],[Customers Visited]]=0,0,SalesData[[#This Row],[Contracts Signed]]/SalesData[[#This Row],[Customers Visited]])</f>
        <v>0.10344827586206896</v>
      </c>
      <c r="AI3296" s="6">
        <f>IF(SalesData[[#This Row],[Contracts Signed]]=0,0,SalesData[[#This Row],[Profit(€)]]/SalesData[[#This Row],[Contracts Signed]])</f>
        <v>15722</v>
      </c>
      <c r="AJ3296" s="5" t="str">
        <f>TRIM(CLEAN(SalesData[[#This Row],[Retailer]]))</f>
        <v>Saxon Wheels</v>
      </c>
    </row>
    <row r="3297" spans="1:36" ht="14.25" hidden="1" x14ac:dyDescent="0.2">
      <c r="A3297" t="s">
        <v>4478</v>
      </c>
      <c r="B3297" s="1">
        <v>46060</v>
      </c>
      <c r="C3297" t="s">
        <v>24</v>
      </c>
      <c r="D3297" t="s">
        <v>151</v>
      </c>
      <c r="E3297" t="s">
        <v>42</v>
      </c>
      <c r="F3297" t="s">
        <v>127</v>
      </c>
      <c r="G3297" t="s">
        <v>128</v>
      </c>
      <c r="H3297" t="s">
        <v>103</v>
      </c>
      <c r="I3297" t="s">
        <v>116</v>
      </c>
      <c r="J3297" t="s">
        <v>7026</v>
      </c>
      <c r="K3297" t="s">
        <v>91</v>
      </c>
      <c r="L3297" t="s">
        <v>46</v>
      </c>
      <c r="M3297" t="s">
        <v>47</v>
      </c>
      <c r="N3297" t="s">
        <v>48</v>
      </c>
      <c r="O3297" t="s">
        <v>70</v>
      </c>
      <c r="P3297" t="s">
        <v>71</v>
      </c>
      <c r="Q3297" t="s">
        <v>152</v>
      </c>
      <c r="R3297">
        <v>414</v>
      </c>
      <c r="S3297">
        <v>184</v>
      </c>
      <c r="T3297">
        <v>103</v>
      </c>
      <c r="U3297">
        <v>28</v>
      </c>
      <c r="V3297" t="s">
        <v>1453</v>
      </c>
      <c r="W3297">
        <v>22608</v>
      </c>
      <c r="X3297" t="s">
        <v>1879</v>
      </c>
      <c r="Y3297">
        <v>20479</v>
      </c>
      <c r="Z3297">
        <v>633024</v>
      </c>
      <c r="AA3297">
        <v>59612</v>
      </c>
      <c r="AB3297" t="str">
        <f>(VLOOKUP(SalesData[[#This Row],[Month Number]],Reference!C$5:E$16,2,FALSE))</f>
        <v>Feb</v>
      </c>
      <c r="AC3297">
        <f>MONTH(SalesData[[#This Row],[Date]])</f>
        <v>2</v>
      </c>
      <c r="AD3297">
        <f>Reference!F$4</f>
        <v>2026</v>
      </c>
      <c r="AE3297" t="str">
        <f>IF(OR(SalesData[[#This Row],[Day]]="Saturday",SalesData[[#This Row],[Day]]="Sunday"),"Weekend","Weekday")</f>
        <v>Weekend</v>
      </c>
      <c r="AF3297" s="5">
        <f>IF(SalesData[[#This Row],[Contracts Offered]]=0,0,SalesData[[#This Row],[Contracts Signed]]/SalesData[[#This Row],[Contracts Offered]])</f>
        <v>0.27184466019417475</v>
      </c>
      <c r="AG3297" s="5">
        <f>IF(SalesData[[#This Row],[Customers Visited]]=0,0,SalesData[[#This Row],[Test Drives]]/SalesData[[#This Row],[Customers Visited]])</f>
        <v>0.44444444444444442</v>
      </c>
      <c r="AH3297" s="5">
        <f>IF(SalesData[[#This Row],[Customers Visited]]=0,0,SalesData[[#This Row],[Contracts Signed]]/SalesData[[#This Row],[Customers Visited]])</f>
        <v>6.7632850241545889E-2</v>
      </c>
      <c r="AI3297" s="6">
        <f>IF(SalesData[[#This Row],[Contracts Signed]]=0,0,SalesData[[#This Row],[Profit(€)]]/SalesData[[#This Row],[Contracts Signed]])</f>
        <v>2129</v>
      </c>
      <c r="AJ3297" s="5" t="str">
        <f>TRIM(CLEAN(SalesData[[#This Row],[Retailer]]))</f>
        <v>Rhein Auto Group</v>
      </c>
    </row>
    <row r="3298" spans="1:36" ht="14.25" hidden="1" x14ac:dyDescent="0.2">
      <c r="A3298" t="s">
        <v>4479</v>
      </c>
      <c r="B3298" s="1">
        <v>46081</v>
      </c>
      <c r="C3298" t="s">
        <v>53</v>
      </c>
      <c r="D3298" t="s">
        <v>151</v>
      </c>
      <c r="E3298" t="s">
        <v>42</v>
      </c>
      <c r="F3298" t="s">
        <v>83</v>
      </c>
      <c r="G3298" t="s">
        <v>84</v>
      </c>
      <c r="H3298" t="s">
        <v>85</v>
      </c>
      <c r="I3298" t="s">
        <v>64</v>
      </c>
      <c r="J3298" t="s">
        <v>65</v>
      </c>
      <c r="K3298" t="s">
        <v>32</v>
      </c>
      <c r="L3298" t="s">
        <v>33</v>
      </c>
      <c r="M3298" t="s">
        <v>47</v>
      </c>
      <c r="N3298" t="s">
        <v>35</v>
      </c>
      <c r="O3298" t="s">
        <v>70</v>
      </c>
      <c r="P3298" t="s">
        <v>71</v>
      </c>
      <c r="Q3298" t="s">
        <v>152</v>
      </c>
      <c r="R3298">
        <v>241</v>
      </c>
      <c r="S3298">
        <v>110</v>
      </c>
      <c r="T3298">
        <v>77</v>
      </c>
      <c r="U3298">
        <v>26</v>
      </c>
      <c r="V3298" t="s">
        <v>6902</v>
      </c>
      <c r="W3298">
        <v>52181</v>
      </c>
      <c r="X3298" t="s">
        <v>7198</v>
      </c>
      <c r="Y3298">
        <v>37163</v>
      </c>
      <c r="Z3298">
        <v>1356706</v>
      </c>
      <c r="AA3298">
        <v>390468</v>
      </c>
      <c r="AB3298" t="str">
        <f>(VLOOKUP(SalesData[[#This Row],[Month Number]],Reference!C$5:E$16,2,FALSE))</f>
        <v>Feb</v>
      </c>
      <c r="AC3298">
        <f>MONTH(SalesData[[#This Row],[Date]])</f>
        <v>2</v>
      </c>
      <c r="AD3298">
        <f>Reference!F$4</f>
        <v>2026</v>
      </c>
      <c r="AE3298" t="str">
        <f>IF(OR(SalesData[[#This Row],[Day]]="Saturday",SalesData[[#This Row],[Day]]="Sunday"),"Weekend","Weekday")</f>
        <v>Weekend</v>
      </c>
      <c r="AF3298" s="5">
        <f>IF(SalesData[[#This Row],[Contracts Offered]]=0,0,SalesData[[#This Row],[Contracts Signed]]/SalesData[[#This Row],[Contracts Offered]])</f>
        <v>0.33766233766233766</v>
      </c>
      <c r="AG3298" s="5">
        <f>IF(SalesData[[#This Row],[Customers Visited]]=0,0,SalesData[[#This Row],[Test Drives]]/SalesData[[#This Row],[Customers Visited]])</f>
        <v>0.45643153526970953</v>
      </c>
      <c r="AH3298" s="5">
        <f>IF(SalesData[[#This Row],[Customers Visited]]=0,0,SalesData[[#This Row],[Contracts Signed]]/SalesData[[#This Row],[Customers Visited]])</f>
        <v>0.1078838174273859</v>
      </c>
      <c r="AI3298" s="6">
        <f>IF(SalesData[[#This Row],[Contracts Signed]]=0,0,SalesData[[#This Row],[Profit(€)]]/SalesData[[#This Row],[Contracts Signed]])</f>
        <v>15018</v>
      </c>
      <c r="AJ3298" s="5" t="str">
        <f>TRIM(CLEAN(SalesData[[#This Row],[Retailer]]))</f>
        <v>Hannover Cars</v>
      </c>
    </row>
    <row r="3299" spans="1:36" ht="14.25" hidden="1" x14ac:dyDescent="0.2">
      <c r="A3299" t="s">
        <v>4480</v>
      </c>
      <c r="B3299" s="1">
        <v>46066</v>
      </c>
      <c r="C3299" t="s">
        <v>121</v>
      </c>
      <c r="D3299" t="s">
        <v>54</v>
      </c>
      <c r="E3299" t="s">
        <v>26</v>
      </c>
      <c r="F3299" t="s">
        <v>27</v>
      </c>
      <c r="G3299" t="s">
        <v>28</v>
      </c>
      <c r="H3299" t="s">
        <v>29</v>
      </c>
      <c r="I3299" t="s">
        <v>64</v>
      </c>
      <c r="J3299" t="s">
        <v>157</v>
      </c>
      <c r="K3299" t="s">
        <v>66</v>
      </c>
      <c r="L3299" t="s">
        <v>33</v>
      </c>
      <c r="M3299" t="s">
        <v>34</v>
      </c>
      <c r="N3299" t="s">
        <v>35</v>
      </c>
      <c r="O3299" t="s">
        <v>36</v>
      </c>
      <c r="P3299" t="s">
        <v>37</v>
      </c>
      <c r="Q3299" t="s">
        <v>135</v>
      </c>
      <c r="R3299">
        <v>282</v>
      </c>
      <c r="S3299">
        <v>140</v>
      </c>
      <c r="T3299">
        <v>98</v>
      </c>
      <c r="U3299">
        <v>34</v>
      </c>
      <c r="V3299" t="s">
        <v>6572</v>
      </c>
      <c r="W3299">
        <v>53916</v>
      </c>
      <c r="X3299" t="s">
        <v>2667</v>
      </c>
      <c r="Y3299">
        <v>39871</v>
      </c>
      <c r="Z3299">
        <v>1833144</v>
      </c>
      <c r="AA3299">
        <v>477530</v>
      </c>
      <c r="AB3299" t="str">
        <f>(VLOOKUP(SalesData[[#This Row],[Month Number]],Reference!C$5:E$16,2,FALSE))</f>
        <v>Feb</v>
      </c>
      <c r="AC3299">
        <f>MONTH(SalesData[[#This Row],[Date]])</f>
        <v>2</v>
      </c>
      <c r="AD3299">
        <f>Reference!F$4</f>
        <v>2026</v>
      </c>
      <c r="AE3299" t="str">
        <f>IF(OR(SalesData[[#This Row],[Day]]="Saturday",SalesData[[#This Row],[Day]]="Sunday"),"Weekend","Weekday")</f>
        <v>Weekday</v>
      </c>
      <c r="AF3299" s="5">
        <f>IF(SalesData[[#This Row],[Contracts Offered]]=0,0,SalesData[[#This Row],[Contracts Signed]]/SalesData[[#This Row],[Contracts Offered]])</f>
        <v>0.34693877551020408</v>
      </c>
      <c r="AG3299" s="5">
        <f>IF(SalesData[[#This Row],[Customers Visited]]=0,0,SalesData[[#This Row],[Test Drives]]/SalesData[[#This Row],[Customers Visited]])</f>
        <v>0.49645390070921985</v>
      </c>
      <c r="AH3299" s="5">
        <f>IF(SalesData[[#This Row],[Customers Visited]]=0,0,SalesData[[#This Row],[Contracts Signed]]/SalesData[[#This Row],[Customers Visited]])</f>
        <v>0.12056737588652482</v>
      </c>
      <c r="AI3299" s="6">
        <f>IF(SalesData[[#This Row],[Contracts Signed]]=0,0,SalesData[[#This Row],[Profit(€)]]/SalesData[[#This Row],[Contracts Signed]])</f>
        <v>14045</v>
      </c>
      <c r="AJ3299" s="5" t="str">
        <f>TRIM(CLEAN(SalesData[[#This Row],[Retailer]]))</f>
        <v>Main Auto Hub</v>
      </c>
    </row>
    <row r="3300" spans="1:36" ht="14.25" hidden="1" x14ac:dyDescent="0.2">
      <c r="A3300" t="s">
        <v>4481</v>
      </c>
      <c r="B3300" s="1">
        <v>46066</v>
      </c>
      <c r="C3300" t="s">
        <v>121</v>
      </c>
      <c r="D3300" t="s">
        <v>54</v>
      </c>
      <c r="E3300" t="s">
        <v>26</v>
      </c>
      <c r="F3300" t="s">
        <v>83</v>
      </c>
      <c r="G3300" t="s">
        <v>84</v>
      </c>
      <c r="H3300" t="s">
        <v>85</v>
      </c>
      <c r="I3300" t="s">
        <v>64</v>
      </c>
      <c r="J3300" t="s">
        <v>157</v>
      </c>
      <c r="K3300" t="s">
        <v>78</v>
      </c>
      <c r="L3300" t="s">
        <v>33</v>
      </c>
      <c r="M3300" t="s">
        <v>34</v>
      </c>
      <c r="N3300" t="s">
        <v>69</v>
      </c>
      <c r="O3300" t="s">
        <v>36</v>
      </c>
      <c r="P3300" t="s">
        <v>71</v>
      </c>
      <c r="Q3300" t="s">
        <v>240</v>
      </c>
      <c r="R3300">
        <v>212</v>
      </c>
      <c r="S3300">
        <v>114</v>
      </c>
      <c r="T3300">
        <v>84</v>
      </c>
      <c r="U3300">
        <v>30</v>
      </c>
      <c r="V3300" t="s">
        <v>6471</v>
      </c>
      <c r="W3300">
        <v>57579</v>
      </c>
      <c r="X3300" t="s">
        <v>7144</v>
      </c>
      <c r="Y3300">
        <v>42603</v>
      </c>
      <c r="Z3300">
        <v>1727370</v>
      </c>
      <c r="AA3300">
        <v>449280</v>
      </c>
      <c r="AB3300" t="str">
        <f>(VLOOKUP(SalesData[[#This Row],[Month Number]],Reference!C$5:E$16,2,FALSE))</f>
        <v>Feb</v>
      </c>
      <c r="AC3300">
        <f>MONTH(SalesData[[#This Row],[Date]])</f>
        <v>2</v>
      </c>
      <c r="AD3300">
        <f>Reference!F$4</f>
        <v>2026</v>
      </c>
      <c r="AE3300" t="str">
        <f>IF(OR(SalesData[[#This Row],[Day]]="Saturday",SalesData[[#This Row],[Day]]="Sunday"),"Weekend","Weekday")</f>
        <v>Weekday</v>
      </c>
      <c r="AF3300" s="5">
        <f>IF(SalesData[[#This Row],[Contracts Offered]]=0,0,SalesData[[#This Row],[Contracts Signed]]/SalesData[[#This Row],[Contracts Offered]])</f>
        <v>0.35714285714285715</v>
      </c>
      <c r="AG3300" s="5">
        <f>IF(SalesData[[#This Row],[Customers Visited]]=0,0,SalesData[[#This Row],[Test Drives]]/SalesData[[#This Row],[Customers Visited]])</f>
        <v>0.53773584905660377</v>
      </c>
      <c r="AH3300" s="5">
        <f>IF(SalesData[[#This Row],[Customers Visited]]=0,0,SalesData[[#This Row],[Contracts Signed]]/SalesData[[#This Row],[Customers Visited]])</f>
        <v>0.14150943396226415</v>
      </c>
      <c r="AI3300" s="6">
        <f>IF(SalesData[[#This Row],[Contracts Signed]]=0,0,SalesData[[#This Row],[Profit(€)]]/SalesData[[#This Row],[Contracts Signed]])</f>
        <v>14976</v>
      </c>
      <c r="AJ3300" s="5" t="str">
        <f>TRIM(CLEAN(SalesData[[#This Row],[Retailer]]))</f>
        <v>Hannover Cars</v>
      </c>
    </row>
    <row r="3301" spans="1:36" ht="14.25" x14ac:dyDescent="0.2">
      <c r="A3301" t="s">
        <v>4482</v>
      </c>
      <c r="B3301" s="1">
        <v>46066</v>
      </c>
      <c r="C3301" t="s">
        <v>121</v>
      </c>
      <c r="D3301" t="s">
        <v>54</v>
      </c>
      <c r="E3301" t="s">
        <v>26</v>
      </c>
      <c r="F3301" t="s">
        <v>94</v>
      </c>
      <c r="G3301" t="s">
        <v>95</v>
      </c>
      <c r="H3301" t="s">
        <v>96</v>
      </c>
      <c r="I3301" t="s">
        <v>30</v>
      </c>
      <c r="J3301" t="s">
        <v>166</v>
      </c>
      <c r="K3301" t="s">
        <v>78</v>
      </c>
      <c r="L3301" t="s">
        <v>46</v>
      </c>
      <c r="M3301" t="s">
        <v>47</v>
      </c>
      <c r="N3301" t="s">
        <v>48</v>
      </c>
      <c r="O3301" t="s">
        <v>70</v>
      </c>
      <c r="P3301" t="s">
        <v>58</v>
      </c>
      <c r="Q3301" t="s">
        <v>172</v>
      </c>
      <c r="R3301">
        <v>165</v>
      </c>
      <c r="S3301">
        <v>99</v>
      </c>
      <c r="T3301">
        <v>68</v>
      </c>
      <c r="U3301">
        <v>33</v>
      </c>
      <c r="V3301" t="s">
        <v>7206</v>
      </c>
      <c r="W3301">
        <v>50884</v>
      </c>
      <c r="X3301" t="s">
        <v>504</v>
      </c>
      <c r="Y3301">
        <v>36711</v>
      </c>
      <c r="Z3301">
        <v>1679172</v>
      </c>
      <c r="AA3301">
        <v>467709</v>
      </c>
      <c r="AB3301" t="str">
        <f>(VLOOKUP(SalesData[[#This Row],[Month Number]],Reference!C$5:E$16,2,FALSE))</f>
        <v>Feb</v>
      </c>
      <c r="AC3301">
        <f>MONTH(SalesData[[#This Row],[Date]])</f>
        <v>2</v>
      </c>
      <c r="AD3301">
        <f>Reference!F$4</f>
        <v>2026</v>
      </c>
      <c r="AE3301" t="str">
        <f>IF(OR(SalesData[[#This Row],[Day]]="Saturday",SalesData[[#This Row],[Day]]="Sunday"),"Weekend","Weekday")</f>
        <v>Weekday</v>
      </c>
      <c r="AF3301" s="5">
        <f>IF(SalesData[[#This Row],[Contracts Offered]]=0,0,SalesData[[#This Row],[Contracts Signed]]/SalesData[[#This Row],[Contracts Offered]])</f>
        <v>0.48529411764705882</v>
      </c>
      <c r="AG3301" s="5">
        <f>IF(SalesData[[#This Row],[Customers Visited]]=0,0,SalesData[[#This Row],[Test Drives]]/SalesData[[#This Row],[Customers Visited]])</f>
        <v>0.6</v>
      </c>
      <c r="AH3301" s="5">
        <f>IF(SalesData[[#This Row],[Customers Visited]]=0,0,SalesData[[#This Row],[Contracts Signed]]/SalesData[[#This Row],[Customers Visited]])</f>
        <v>0.2</v>
      </c>
      <c r="AI3301" s="6">
        <f>IF(SalesData[[#This Row],[Contracts Signed]]=0,0,SalesData[[#This Row],[Profit(€)]]/SalesData[[#This Row],[Contracts Signed]])</f>
        <v>14173</v>
      </c>
      <c r="AJ3301" s="5" t="str">
        <f>TRIM(CLEAN(SalesData[[#This Row],[Retailer]]))</f>
        <v>Bavaria Motors</v>
      </c>
    </row>
    <row r="3302" spans="1:36" ht="14.25" hidden="1" x14ac:dyDescent="0.2">
      <c r="A3302" t="s">
        <v>4483</v>
      </c>
      <c r="B3302" s="1">
        <v>46056</v>
      </c>
      <c r="C3302" t="s">
        <v>24</v>
      </c>
      <c r="D3302" t="s">
        <v>63</v>
      </c>
      <c r="E3302" t="s">
        <v>26</v>
      </c>
      <c r="F3302" t="s">
        <v>94</v>
      </c>
      <c r="G3302" t="s">
        <v>95</v>
      </c>
      <c r="H3302" t="s">
        <v>96</v>
      </c>
      <c r="I3302" t="s">
        <v>104</v>
      </c>
      <c r="J3302" t="s">
        <v>143</v>
      </c>
      <c r="K3302" t="s">
        <v>66</v>
      </c>
      <c r="L3302" t="s">
        <v>67</v>
      </c>
      <c r="M3302" t="s">
        <v>47</v>
      </c>
      <c r="N3302" t="s">
        <v>69</v>
      </c>
      <c r="O3302" t="s">
        <v>36</v>
      </c>
      <c r="P3302" t="s">
        <v>49</v>
      </c>
      <c r="Q3302" t="s">
        <v>122</v>
      </c>
      <c r="R3302">
        <v>299</v>
      </c>
      <c r="S3302">
        <v>171</v>
      </c>
      <c r="T3302">
        <v>100</v>
      </c>
      <c r="U3302">
        <v>27</v>
      </c>
      <c r="V3302" t="s">
        <v>456</v>
      </c>
      <c r="W3302">
        <v>28529</v>
      </c>
      <c r="X3302" t="s">
        <v>692</v>
      </c>
      <c r="Y3302">
        <v>25055</v>
      </c>
      <c r="Z3302">
        <v>770283</v>
      </c>
      <c r="AA3302">
        <v>93798</v>
      </c>
      <c r="AB3302" t="str">
        <f>(VLOOKUP(SalesData[[#This Row],[Month Number]],Reference!C$5:E$16,2,FALSE))</f>
        <v>Feb</v>
      </c>
      <c r="AC3302">
        <f>MONTH(SalesData[[#This Row],[Date]])</f>
        <v>2</v>
      </c>
      <c r="AD3302">
        <f>Reference!F$4</f>
        <v>2026</v>
      </c>
      <c r="AE3302" t="str">
        <f>IF(OR(SalesData[[#This Row],[Day]]="Saturday",SalesData[[#This Row],[Day]]="Sunday"),"Weekend","Weekday")</f>
        <v>Weekday</v>
      </c>
      <c r="AF3302" s="5">
        <f>IF(SalesData[[#This Row],[Contracts Offered]]=0,0,SalesData[[#This Row],[Contracts Signed]]/SalesData[[#This Row],[Contracts Offered]])</f>
        <v>0.27</v>
      </c>
      <c r="AG3302" s="5">
        <f>IF(SalesData[[#This Row],[Customers Visited]]=0,0,SalesData[[#This Row],[Test Drives]]/SalesData[[#This Row],[Customers Visited]])</f>
        <v>0.57190635451505012</v>
      </c>
      <c r="AH3302" s="5">
        <f>IF(SalesData[[#This Row],[Customers Visited]]=0,0,SalesData[[#This Row],[Contracts Signed]]/SalesData[[#This Row],[Customers Visited]])</f>
        <v>9.0301003344481601E-2</v>
      </c>
      <c r="AI3302" s="6">
        <f>IF(SalesData[[#This Row],[Contracts Signed]]=0,0,SalesData[[#This Row],[Profit(€)]]/SalesData[[#This Row],[Contracts Signed]])</f>
        <v>3474</v>
      </c>
      <c r="AJ3302" s="5" t="str">
        <f>TRIM(CLEAN(SalesData[[#This Row],[Retailer]]))</f>
        <v>Bavaria Motors</v>
      </c>
    </row>
    <row r="3303" spans="1:36" ht="14.25" hidden="1" x14ac:dyDescent="0.2">
      <c r="A3303" t="s">
        <v>4484</v>
      </c>
      <c r="B3303" s="1">
        <v>46060</v>
      </c>
      <c r="C3303" t="s">
        <v>24</v>
      </c>
      <c r="D3303" t="s">
        <v>151</v>
      </c>
      <c r="E3303" t="s">
        <v>42</v>
      </c>
      <c r="F3303" t="s">
        <v>83</v>
      </c>
      <c r="G3303" t="s">
        <v>84</v>
      </c>
      <c r="H3303" t="s">
        <v>85</v>
      </c>
      <c r="I3303" t="s">
        <v>64</v>
      </c>
      <c r="J3303" t="s">
        <v>65</v>
      </c>
      <c r="K3303" t="s">
        <v>78</v>
      </c>
      <c r="L3303" t="s">
        <v>33</v>
      </c>
      <c r="M3303" t="s">
        <v>47</v>
      </c>
      <c r="N3303" t="s">
        <v>35</v>
      </c>
      <c r="O3303" t="s">
        <v>36</v>
      </c>
      <c r="P3303" t="s">
        <v>49</v>
      </c>
      <c r="Q3303" t="s">
        <v>189</v>
      </c>
      <c r="R3303">
        <v>165</v>
      </c>
      <c r="S3303">
        <v>87</v>
      </c>
      <c r="T3303">
        <v>66</v>
      </c>
      <c r="U3303">
        <v>19</v>
      </c>
      <c r="V3303" t="s">
        <v>6409</v>
      </c>
      <c r="W3303">
        <v>50905</v>
      </c>
      <c r="X3303" t="s">
        <v>7270</v>
      </c>
      <c r="Y3303">
        <v>39183</v>
      </c>
      <c r="Z3303">
        <v>967195</v>
      </c>
      <c r="AA3303">
        <v>222718</v>
      </c>
      <c r="AB3303" t="str">
        <f>(VLOOKUP(SalesData[[#This Row],[Month Number]],Reference!C$5:E$16,2,FALSE))</f>
        <v>Feb</v>
      </c>
      <c r="AC3303">
        <f>MONTH(SalesData[[#This Row],[Date]])</f>
        <v>2</v>
      </c>
      <c r="AD3303">
        <f>Reference!F$4</f>
        <v>2026</v>
      </c>
      <c r="AE3303" t="str">
        <f>IF(OR(SalesData[[#This Row],[Day]]="Saturday",SalesData[[#This Row],[Day]]="Sunday"),"Weekend","Weekday")</f>
        <v>Weekend</v>
      </c>
      <c r="AF3303" s="5">
        <f>IF(SalesData[[#This Row],[Contracts Offered]]=0,0,SalesData[[#This Row],[Contracts Signed]]/SalesData[[#This Row],[Contracts Offered]])</f>
        <v>0.2878787878787879</v>
      </c>
      <c r="AG3303" s="5">
        <f>IF(SalesData[[#This Row],[Customers Visited]]=0,0,SalesData[[#This Row],[Test Drives]]/SalesData[[#This Row],[Customers Visited]])</f>
        <v>0.52727272727272723</v>
      </c>
      <c r="AH3303" s="5">
        <f>IF(SalesData[[#This Row],[Customers Visited]]=0,0,SalesData[[#This Row],[Contracts Signed]]/SalesData[[#This Row],[Customers Visited]])</f>
        <v>0.11515151515151516</v>
      </c>
      <c r="AI3303" s="6">
        <f>IF(SalesData[[#This Row],[Contracts Signed]]=0,0,SalesData[[#This Row],[Profit(€)]]/SalesData[[#This Row],[Contracts Signed]])</f>
        <v>11722</v>
      </c>
      <c r="AJ3303" s="5" t="str">
        <f>TRIM(CLEAN(SalesData[[#This Row],[Retailer]]))</f>
        <v>Hannover Cars</v>
      </c>
    </row>
    <row r="3304" spans="1:36" ht="14.25" hidden="1" x14ac:dyDescent="0.2">
      <c r="A3304" t="s">
        <v>4485</v>
      </c>
      <c r="B3304" s="1">
        <v>46070</v>
      </c>
      <c r="C3304" t="s">
        <v>62</v>
      </c>
      <c r="D3304" t="s">
        <v>63</v>
      </c>
      <c r="E3304" t="s">
        <v>26</v>
      </c>
      <c r="F3304" t="s">
        <v>43</v>
      </c>
      <c r="G3304" t="s">
        <v>44</v>
      </c>
      <c r="H3304" t="s">
        <v>45</v>
      </c>
      <c r="I3304" t="s">
        <v>104</v>
      </c>
      <c r="J3304" t="s">
        <v>140</v>
      </c>
      <c r="K3304" t="s">
        <v>32</v>
      </c>
      <c r="L3304" t="s">
        <v>46</v>
      </c>
      <c r="M3304" t="s">
        <v>68</v>
      </c>
      <c r="N3304" t="s">
        <v>48</v>
      </c>
      <c r="O3304" t="s">
        <v>36</v>
      </c>
      <c r="P3304" t="s">
        <v>37</v>
      </c>
      <c r="Q3304" t="s">
        <v>118</v>
      </c>
      <c r="R3304">
        <v>413</v>
      </c>
      <c r="S3304">
        <v>225</v>
      </c>
      <c r="T3304">
        <v>145</v>
      </c>
      <c r="U3304">
        <v>29</v>
      </c>
      <c r="V3304" t="s">
        <v>3505</v>
      </c>
      <c r="W3304">
        <v>25962</v>
      </c>
      <c r="X3304" t="s">
        <v>4891</v>
      </c>
      <c r="Y3304">
        <v>22428</v>
      </c>
      <c r="Z3304">
        <v>752898</v>
      </c>
      <c r="AA3304">
        <v>102486</v>
      </c>
      <c r="AB3304" t="str">
        <f>(VLOOKUP(SalesData[[#This Row],[Month Number]],Reference!C$5:E$16,2,FALSE))</f>
        <v>Feb</v>
      </c>
      <c r="AC3304">
        <f>MONTH(SalesData[[#This Row],[Date]])</f>
        <v>2</v>
      </c>
      <c r="AD3304">
        <f>Reference!F$4</f>
        <v>2026</v>
      </c>
      <c r="AE3304" t="str">
        <f>IF(OR(SalesData[[#This Row],[Day]]="Saturday",SalesData[[#This Row],[Day]]="Sunday"),"Weekend","Weekday")</f>
        <v>Weekday</v>
      </c>
      <c r="AF3304" s="5">
        <f>IF(SalesData[[#This Row],[Contracts Offered]]=0,0,SalesData[[#This Row],[Contracts Signed]]/SalesData[[#This Row],[Contracts Offered]])</f>
        <v>0.2</v>
      </c>
      <c r="AG3304" s="5">
        <f>IF(SalesData[[#This Row],[Customers Visited]]=0,0,SalesData[[#This Row],[Test Drives]]/SalesData[[#This Row],[Customers Visited]])</f>
        <v>0.5447941888619855</v>
      </c>
      <c r="AH3304" s="5">
        <f>IF(SalesData[[#This Row],[Customers Visited]]=0,0,SalesData[[#This Row],[Contracts Signed]]/SalesData[[#This Row],[Customers Visited]])</f>
        <v>7.0217917675544791E-2</v>
      </c>
      <c r="AI3304" s="6">
        <f>IF(SalesData[[#This Row],[Contracts Signed]]=0,0,SalesData[[#This Row],[Profit(€)]]/SalesData[[#This Row],[Contracts Signed]])</f>
        <v>3534</v>
      </c>
      <c r="AJ3304" s="5" t="str">
        <f>TRIM(CLEAN(SalesData[[#This Row],[Retailer]]))</f>
        <v>Saxon Wheels</v>
      </c>
    </row>
    <row r="3305" spans="1:36" ht="14.25" x14ac:dyDescent="0.2">
      <c r="A3305" t="s">
        <v>4486</v>
      </c>
      <c r="B3305" s="1">
        <v>46073</v>
      </c>
      <c r="C3305" t="s">
        <v>62</v>
      </c>
      <c r="D3305" t="s">
        <v>54</v>
      </c>
      <c r="E3305" t="s">
        <v>26</v>
      </c>
      <c r="F3305" t="s">
        <v>109</v>
      </c>
      <c r="G3305" t="s">
        <v>110</v>
      </c>
      <c r="H3305" t="s">
        <v>45</v>
      </c>
      <c r="I3305" t="s">
        <v>30</v>
      </c>
      <c r="J3305" t="s">
        <v>166</v>
      </c>
      <c r="K3305" t="s">
        <v>78</v>
      </c>
      <c r="L3305" t="s">
        <v>46</v>
      </c>
      <c r="M3305" t="s">
        <v>68</v>
      </c>
      <c r="N3305" t="s">
        <v>48</v>
      </c>
      <c r="O3305" t="s">
        <v>36</v>
      </c>
      <c r="P3305" t="s">
        <v>71</v>
      </c>
      <c r="Q3305" t="s">
        <v>144</v>
      </c>
      <c r="R3305">
        <v>163</v>
      </c>
      <c r="S3305">
        <v>100</v>
      </c>
      <c r="T3305">
        <v>72</v>
      </c>
      <c r="U3305">
        <v>29</v>
      </c>
      <c r="V3305" t="s">
        <v>6567</v>
      </c>
      <c r="W3305">
        <v>62036</v>
      </c>
      <c r="X3305" t="s">
        <v>7139</v>
      </c>
      <c r="Y3305">
        <v>45870</v>
      </c>
      <c r="Z3305">
        <v>1799044</v>
      </c>
      <c r="AA3305">
        <v>468814</v>
      </c>
      <c r="AB3305" t="str">
        <f>(VLOOKUP(SalesData[[#This Row],[Month Number]],Reference!C$5:E$16,2,FALSE))</f>
        <v>Feb</v>
      </c>
      <c r="AC3305">
        <f>MONTH(SalesData[[#This Row],[Date]])</f>
        <v>2</v>
      </c>
      <c r="AD3305">
        <f>Reference!F$4</f>
        <v>2026</v>
      </c>
      <c r="AE3305" t="str">
        <f>IF(OR(SalesData[[#This Row],[Day]]="Saturday",SalesData[[#This Row],[Day]]="Sunday"),"Weekend","Weekday")</f>
        <v>Weekday</v>
      </c>
      <c r="AF3305" s="5">
        <f>IF(SalesData[[#This Row],[Contracts Offered]]=0,0,SalesData[[#This Row],[Contracts Signed]]/SalesData[[#This Row],[Contracts Offered]])</f>
        <v>0.40277777777777779</v>
      </c>
      <c r="AG3305" s="5">
        <f>IF(SalesData[[#This Row],[Customers Visited]]=0,0,SalesData[[#This Row],[Test Drives]]/SalesData[[#This Row],[Customers Visited]])</f>
        <v>0.61349693251533743</v>
      </c>
      <c r="AH3305" s="5">
        <f>IF(SalesData[[#This Row],[Customers Visited]]=0,0,SalesData[[#This Row],[Contracts Signed]]/SalesData[[#This Row],[Customers Visited]])</f>
        <v>0.17791411042944785</v>
      </c>
      <c r="AI3305" s="6">
        <f>IF(SalesData[[#This Row],[Contracts Signed]]=0,0,SalesData[[#This Row],[Profit(€)]]/SalesData[[#This Row],[Contracts Signed]])</f>
        <v>16166</v>
      </c>
      <c r="AJ3305" s="5" t="str">
        <f>TRIM(CLEAN(SalesData[[#This Row],[Retailer]]))</f>
        <v>Leipzig Mobility</v>
      </c>
    </row>
    <row r="3306" spans="1:36" ht="14.25" hidden="1" x14ac:dyDescent="0.2">
      <c r="A3306" t="s">
        <v>4487</v>
      </c>
      <c r="B3306" s="1">
        <v>46060</v>
      </c>
      <c r="C3306" t="s">
        <v>24</v>
      </c>
      <c r="D3306" t="s">
        <v>151</v>
      </c>
      <c r="E3306" t="s">
        <v>42</v>
      </c>
      <c r="F3306" t="s">
        <v>127</v>
      </c>
      <c r="G3306" t="s">
        <v>128</v>
      </c>
      <c r="H3306" t="s">
        <v>103</v>
      </c>
      <c r="I3306" t="s">
        <v>104</v>
      </c>
      <c r="J3306" t="s">
        <v>7031</v>
      </c>
      <c r="K3306" t="s">
        <v>66</v>
      </c>
      <c r="L3306" t="s">
        <v>46</v>
      </c>
      <c r="M3306" t="s">
        <v>68</v>
      </c>
      <c r="N3306" t="s">
        <v>69</v>
      </c>
      <c r="O3306" t="s">
        <v>36</v>
      </c>
      <c r="P3306" t="s">
        <v>49</v>
      </c>
      <c r="Q3306" t="s">
        <v>347</v>
      </c>
      <c r="R3306">
        <v>281</v>
      </c>
      <c r="S3306">
        <v>141</v>
      </c>
      <c r="T3306">
        <v>87</v>
      </c>
      <c r="U3306">
        <v>19</v>
      </c>
      <c r="V3306" t="s">
        <v>2831</v>
      </c>
      <c r="W3306">
        <v>32742</v>
      </c>
      <c r="X3306" t="s">
        <v>904</v>
      </c>
      <c r="Y3306">
        <v>29052</v>
      </c>
      <c r="Z3306">
        <v>622098</v>
      </c>
      <c r="AA3306">
        <v>70110</v>
      </c>
      <c r="AB3306" t="str">
        <f>(VLOOKUP(SalesData[[#This Row],[Month Number]],Reference!C$5:E$16,2,FALSE))</f>
        <v>Feb</v>
      </c>
      <c r="AC3306">
        <f>MONTH(SalesData[[#This Row],[Date]])</f>
        <v>2</v>
      </c>
      <c r="AD3306">
        <f>Reference!F$4</f>
        <v>2026</v>
      </c>
      <c r="AE3306" t="str">
        <f>IF(OR(SalesData[[#This Row],[Day]]="Saturday",SalesData[[#This Row],[Day]]="Sunday"),"Weekend","Weekday")</f>
        <v>Weekend</v>
      </c>
      <c r="AF3306" s="5">
        <f>IF(SalesData[[#This Row],[Contracts Offered]]=0,0,SalesData[[#This Row],[Contracts Signed]]/SalesData[[#This Row],[Contracts Offered]])</f>
        <v>0.21839080459770116</v>
      </c>
      <c r="AG3306" s="5">
        <f>IF(SalesData[[#This Row],[Customers Visited]]=0,0,SalesData[[#This Row],[Test Drives]]/SalesData[[#This Row],[Customers Visited]])</f>
        <v>0.50177935943060503</v>
      </c>
      <c r="AH3306" s="5">
        <f>IF(SalesData[[#This Row],[Customers Visited]]=0,0,SalesData[[#This Row],[Contracts Signed]]/SalesData[[#This Row],[Customers Visited]])</f>
        <v>6.7615658362989328E-2</v>
      </c>
      <c r="AI3306" s="6">
        <f>IF(SalesData[[#This Row],[Contracts Signed]]=0,0,SalesData[[#This Row],[Profit(€)]]/SalesData[[#This Row],[Contracts Signed]])</f>
        <v>3690</v>
      </c>
      <c r="AJ3306" s="5" t="str">
        <f>TRIM(CLEAN(SalesData[[#This Row],[Retailer]]))</f>
        <v>Rhein Auto Group</v>
      </c>
    </row>
    <row r="3307" spans="1:36" ht="14.25" hidden="1" x14ac:dyDescent="0.2">
      <c r="A3307" t="s">
        <v>4488</v>
      </c>
      <c r="B3307" s="1">
        <v>46060</v>
      </c>
      <c r="C3307" t="s">
        <v>24</v>
      </c>
      <c r="D3307" t="s">
        <v>151</v>
      </c>
      <c r="E3307" t="s">
        <v>42</v>
      </c>
      <c r="F3307" t="s">
        <v>74</v>
      </c>
      <c r="G3307" t="s">
        <v>75</v>
      </c>
      <c r="H3307" t="s">
        <v>76</v>
      </c>
      <c r="I3307" t="s">
        <v>104</v>
      </c>
      <c r="J3307" t="s">
        <v>105</v>
      </c>
      <c r="K3307" t="s">
        <v>32</v>
      </c>
      <c r="L3307" t="s">
        <v>33</v>
      </c>
      <c r="M3307" t="s">
        <v>34</v>
      </c>
      <c r="N3307" t="s">
        <v>48</v>
      </c>
      <c r="O3307" t="s">
        <v>70</v>
      </c>
      <c r="P3307" t="s">
        <v>71</v>
      </c>
      <c r="Q3307" t="s">
        <v>79</v>
      </c>
      <c r="R3307">
        <v>516</v>
      </c>
      <c r="S3307">
        <v>291</v>
      </c>
      <c r="T3307">
        <v>199</v>
      </c>
      <c r="U3307">
        <v>51</v>
      </c>
      <c r="V3307" t="s">
        <v>1195</v>
      </c>
      <c r="W3307">
        <v>31835</v>
      </c>
      <c r="X3307" t="s">
        <v>3713</v>
      </c>
      <c r="Y3307">
        <v>28223</v>
      </c>
      <c r="Z3307">
        <v>1623585</v>
      </c>
      <c r="AA3307">
        <v>184212</v>
      </c>
      <c r="AB3307" t="str">
        <f>(VLOOKUP(SalesData[[#This Row],[Month Number]],Reference!C$5:E$16,2,FALSE))</f>
        <v>Feb</v>
      </c>
      <c r="AC3307">
        <f>MONTH(SalesData[[#This Row],[Date]])</f>
        <v>2</v>
      </c>
      <c r="AD3307">
        <f>Reference!F$4</f>
        <v>2026</v>
      </c>
      <c r="AE3307" t="str">
        <f>IF(OR(SalesData[[#This Row],[Day]]="Saturday",SalesData[[#This Row],[Day]]="Sunday"),"Weekend","Weekday")</f>
        <v>Weekend</v>
      </c>
      <c r="AF3307" s="5">
        <f>IF(SalesData[[#This Row],[Contracts Offered]]=0,0,SalesData[[#This Row],[Contracts Signed]]/SalesData[[#This Row],[Contracts Offered]])</f>
        <v>0.25628140703517588</v>
      </c>
      <c r="AG3307" s="5">
        <f>IF(SalesData[[#This Row],[Customers Visited]]=0,0,SalesData[[#This Row],[Test Drives]]/SalesData[[#This Row],[Customers Visited]])</f>
        <v>0.56395348837209303</v>
      </c>
      <c r="AH3307" s="5">
        <f>IF(SalesData[[#This Row],[Customers Visited]]=0,0,SalesData[[#This Row],[Contracts Signed]]/SalesData[[#This Row],[Customers Visited]])</f>
        <v>9.8837209302325577E-2</v>
      </c>
      <c r="AI3307" s="6">
        <f>IF(SalesData[[#This Row],[Contracts Signed]]=0,0,SalesData[[#This Row],[Profit(€)]]/SalesData[[#This Row],[Contracts Signed]])</f>
        <v>3612</v>
      </c>
      <c r="AJ3307" s="5" t="str">
        <f>TRIM(CLEAN(SalesData[[#This Row],[Retailer]]))</f>
        <v>Stuttgart Auto Center</v>
      </c>
    </row>
    <row r="3308" spans="1:36" ht="14.25" hidden="1" x14ac:dyDescent="0.2">
      <c r="A3308" t="s">
        <v>4489</v>
      </c>
      <c r="B3308" s="1">
        <v>46074</v>
      </c>
      <c r="C3308" t="s">
        <v>62</v>
      </c>
      <c r="D3308" t="s">
        <v>151</v>
      </c>
      <c r="E3308" t="s">
        <v>42</v>
      </c>
      <c r="F3308" t="s">
        <v>114</v>
      </c>
      <c r="G3308" t="s">
        <v>115</v>
      </c>
      <c r="H3308" t="s">
        <v>115</v>
      </c>
      <c r="I3308" t="s">
        <v>64</v>
      </c>
      <c r="J3308" t="s">
        <v>7029</v>
      </c>
      <c r="K3308" t="s">
        <v>66</v>
      </c>
      <c r="L3308" t="s">
        <v>33</v>
      </c>
      <c r="M3308" t="s">
        <v>47</v>
      </c>
      <c r="N3308" t="s">
        <v>48</v>
      </c>
      <c r="O3308" t="s">
        <v>36</v>
      </c>
      <c r="P3308" t="s">
        <v>58</v>
      </c>
      <c r="Q3308" t="s">
        <v>88</v>
      </c>
      <c r="R3308">
        <v>272</v>
      </c>
      <c r="S3308">
        <v>135</v>
      </c>
      <c r="T3308">
        <v>103</v>
      </c>
      <c r="U3308">
        <v>38</v>
      </c>
      <c r="V3308" t="s">
        <v>6721</v>
      </c>
      <c r="W3308">
        <v>54361</v>
      </c>
      <c r="X3308" t="s">
        <v>7104</v>
      </c>
      <c r="Y3308">
        <v>39316</v>
      </c>
      <c r="Z3308">
        <v>2065718</v>
      </c>
      <c r="AA3308">
        <v>571710</v>
      </c>
      <c r="AB3308" t="str">
        <f>(VLOOKUP(SalesData[[#This Row],[Month Number]],Reference!C$5:E$16,2,FALSE))</f>
        <v>Feb</v>
      </c>
      <c r="AC3308">
        <f>MONTH(SalesData[[#This Row],[Date]])</f>
        <v>2</v>
      </c>
      <c r="AD3308">
        <f>Reference!F$4</f>
        <v>2026</v>
      </c>
      <c r="AE3308" t="str">
        <f>IF(OR(SalesData[[#This Row],[Day]]="Saturday",SalesData[[#This Row],[Day]]="Sunday"),"Weekend","Weekday")</f>
        <v>Weekend</v>
      </c>
      <c r="AF3308" s="5">
        <f>IF(SalesData[[#This Row],[Contracts Offered]]=0,0,SalesData[[#This Row],[Contracts Signed]]/SalesData[[#This Row],[Contracts Offered]])</f>
        <v>0.36893203883495146</v>
      </c>
      <c r="AG3308" s="5">
        <f>IF(SalesData[[#This Row],[Customers Visited]]=0,0,SalesData[[#This Row],[Test Drives]]/SalesData[[#This Row],[Customers Visited]])</f>
        <v>0.49632352941176472</v>
      </c>
      <c r="AH3308" s="5">
        <f>IF(SalesData[[#This Row],[Customers Visited]]=0,0,SalesData[[#This Row],[Contracts Signed]]/SalesData[[#This Row],[Customers Visited]])</f>
        <v>0.13970588235294118</v>
      </c>
      <c r="AI3308" s="6">
        <f>IF(SalesData[[#This Row],[Contracts Signed]]=0,0,SalesData[[#This Row],[Profit(€)]]/SalesData[[#This Row],[Contracts Signed]])</f>
        <v>15045</v>
      </c>
      <c r="AJ3308" s="5" t="str">
        <f>TRIM(CLEAN(SalesData[[#This Row],[Retailer]]))</f>
        <v>Elbe Drive</v>
      </c>
    </row>
    <row r="3309" spans="1:36" ht="14.25" x14ac:dyDescent="0.2">
      <c r="A3309" t="s">
        <v>4490</v>
      </c>
      <c r="B3309" s="1">
        <v>46076</v>
      </c>
      <c r="C3309" t="s">
        <v>53</v>
      </c>
      <c r="D3309" t="s">
        <v>25</v>
      </c>
      <c r="E3309" t="s">
        <v>26</v>
      </c>
      <c r="F3309" t="s">
        <v>83</v>
      </c>
      <c r="G3309" t="s">
        <v>84</v>
      </c>
      <c r="H3309" t="s">
        <v>85</v>
      </c>
      <c r="I3309" t="s">
        <v>30</v>
      </c>
      <c r="J3309" t="s">
        <v>7075</v>
      </c>
      <c r="K3309" t="s">
        <v>66</v>
      </c>
      <c r="L3309" t="s">
        <v>33</v>
      </c>
      <c r="M3309" t="s">
        <v>87</v>
      </c>
      <c r="N3309" t="s">
        <v>69</v>
      </c>
      <c r="O3309" t="s">
        <v>70</v>
      </c>
      <c r="P3309" t="s">
        <v>37</v>
      </c>
      <c r="Q3309" t="s">
        <v>38</v>
      </c>
      <c r="R3309">
        <v>235</v>
      </c>
      <c r="S3309">
        <v>117</v>
      </c>
      <c r="T3309">
        <v>83</v>
      </c>
      <c r="U3309">
        <v>31</v>
      </c>
      <c r="V3309" t="s">
        <v>6777</v>
      </c>
      <c r="W3309">
        <v>66538</v>
      </c>
      <c r="X3309" t="s">
        <v>1077</v>
      </c>
      <c r="Y3309">
        <v>51690</v>
      </c>
      <c r="Z3309">
        <v>2062678</v>
      </c>
      <c r="AA3309">
        <v>460288</v>
      </c>
      <c r="AB3309" t="str">
        <f>(VLOOKUP(SalesData[[#This Row],[Month Number]],Reference!C$5:E$16,2,FALSE))</f>
        <v>Feb</v>
      </c>
      <c r="AC3309">
        <f>MONTH(SalesData[[#This Row],[Date]])</f>
        <v>2</v>
      </c>
      <c r="AD3309">
        <f>Reference!F$4</f>
        <v>2026</v>
      </c>
      <c r="AE3309" t="str">
        <f>IF(OR(SalesData[[#This Row],[Day]]="Saturday",SalesData[[#This Row],[Day]]="Sunday"),"Weekend","Weekday")</f>
        <v>Weekday</v>
      </c>
      <c r="AF3309" s="5">
        <f>IF(SalesData[[#This Row],[Contracts Offered]]=0,0,SalesData[[#This Row],[Contracts Signed]]/SalesData[[#This Row],[Contracts Offered]])</f>
        <v>0.37349397590361444</v>
      </c>
      <c r="AG3309" s="5">
        <f>IF(SalesData[[#This Row],[Customers Visited]]=0,0,SalesData[[#This Row],[Test Drives]]/SalesData[[#This Row],[Customers Visited]])</f>
        <v>0.49787234042553191</v>
      </c>
      <c r="AH3309" s="5">
        <f>IF(SalesData[[#This Row],[Customers Visited]]=0,0,SalesData[[#This Row],[Contracts Signed]]/SalesData[[#This Row],[Customers Visited]])</f>
        <v>0.13191489361702127</v>
      </c>
      <c r="AI3309" s="6">
        <f>IF(SalesData[[#This Row],[Contracts Signed]]=0,0,SalesData[[#This Row],[Profit(€)]]/SalesData[[#This Row],[Contracts Signed]])</f>
        <v>14848</v>
      </c>
      <c r="AJ3309" s="5" t="str">
        <f>TRIM(CLEAN(SalesData[[#This Row],[Retailer]]))</f>
        <v>Hannover Cars</v>
      </c>
    </row>
    <row r="3310" spans="1:36" ht="14.25" hidden="1" x14ac:dyDescent="0.2">
      <c r="A3310" t="s">
        <v>4491</v>
      </c>
      <c r="B3310" s="1">
        <v>46058</v>
      </c>
      <c r="C3310" t="s">
        <v>24</v>
      </c>
      <c r="D3310" t="s">
        <v>100</v>
      </c>
      <c r="E3310" t="s">
        <v>26</v>
      </c>
      <c r="F3310" t="s">
        <v>83</v>
      </c>
      <c r="G3310" t="s">
        <v>84</v>
      </c>
      <c r="H3310" t="s">
        <v>85</v>
      </c>
      <c r="I3310" t="s">
        <v>56</v>
      </c>
      <c r="J3310" t="s">
        <v>7028</v>
      </c>
      <c r="K3310" t="s">
        <v>78</v>
      </c>
      <c r="L3310" t="s">
        <v>46</v>
      </c>
      <c r="M3310" t="s">
        <v>47</v>
      </c>
      <c r="N3310" t="s">
        <v>69</v>
      </c>
      <c r="O3310" t="s">
        <v>36</v>
      </c>
      <c r="P3310" t="s">
        <v>37</v>
      </c>
      <c r="Q3310" t="s">
        <v>158</v>
      </c>
      <c r="R3310">
        <v>210</v>
      </c>
      <c r="S3310">
        <v>97</v>
      </c>
      <c r="T3310">
        <v>66</v>
      </c>
      <c r="U3310">
        <v>21</v>
      </c>
      <c r="V3310" t="s">
        <v>6762</v>
      </c>
      <c r="W3310">
        <v>51972</v>
      </c>
      <c r="X3310" t="s">
        <v>735</v>
      </c>
      <c r="Y3310">
        <v>40415</v>
      </c>
      <c r="Z3310">
        <v>1091412</v>
      </c>
      <c r="AA3310">
        <v>242697</v>
      </c>
      <c r="AB3310" t="str">
        <f>(VLOOKUP(SalesData[[#This Row],[Month Number]],Reference!C$5:E$16,2,FALSE))</f>
        <v>Feb</v>
      </c>
      <c r="AC3310">
        <f>MONTH(SalesData[[#This Row],[Date]])</f>
        <v>2</v>
      </c>
      <c r="AD3310">
        <f>Reference!F$4</f>
        <v>2026</v>
      </c>
      <c r="AE3310" t="str">
        <f>IF(OR(SalesData[[#This Row],[Day]]="Saturday",SalesData[[#This Row],[Day]]="Sunday"),"Weekend","Weekday")</f>
        <v>Weekday</v>
      </c>
      <c r="AF3310" s="5">
        <f>IF(SalesData[[#This Row],[Contracts Offered]]=0,0,SalesData[[#This Row],[Contracts Signed]]/SalesData[[#This Row],[Contracts Offered]])</f>
        <v>0.31818181818181818</v>
      </c>
      <c r="AG3310" s="5">
        <f>IF(SalesData[[#This Row],[Customers Visited]]=0,0,SalesData[[#This Row],[Test Drives]]/SalesData[[#This Row],[Customers Visited]])</f>
        <v>0.46190476190476193</v>
      </c>
      <c r="AH3310" s="5">
        <f>IF(SalesData[[#This Row],[Customers Visited]]=0,0,SalesData[[#This Row],[Contracts Signed]]/SalesData[[#This Row],[Customers Visited]])</f>
        <v>0.1</v>
      </c>
      <c r="AI3310" s="6">
        <f>IF(SalesData[[#This Row],[Contracts Signed]]=0,0,SalesData[[#This Row],[Profit(€)]]/SalesData[[#This Row],[Contracts Signed]])</f>
        <v>11557</v>
      </c>
      <c r="AJ3310" s="5" t="str">
        <f>TRIM(CLEAN(SalesData[[#This Row],[Retailer]]))</f>
        <v>Hannover Cars</v>
      </c>
    </row>
    <row r="3311" spans="1:36" ht="14.25" hidden="1" x14ac:dyDescent="0.2">
      <c r="A3311" t="s">
        <v>4492</v>
      </c>
      <c r="B3311" s="1">
        <v>46074</v>
      </c>
      <c r="C3311" t="s">
        <v>62</v>
      </c>
      <c r="D3311" t="s">
        <v>151</v>
      </c>
      <c r="E3311" t="s">
        <v>42</v>
      </c>
      <c r="F3311" t="s">
        <v>109</v>
      </c>
      <c r="G3311" t="s">
        <v>110</v>
      </c>
      <c r="H3311" t="s">
        <v>45</v>
      </c>
      <c r="I3311" t="s">
        <v>56</v>
      </c>
      <c r="J3311" t="s">
        <v>179</v>
      </c>
      <c r="K3311" t="s">
        <v>78</v>
      </c>
      <c r="L3311" t="s">
        <v>67</v>
      </c>
      <c r="M3311" t="s">
        <v>34</v>
      </c>
      <c r="N3311" t="s">
        <v>69</v>
      </c>
      <c r="O3311" t="s">
        <v>70</v>
      </c>
      <c r="P3311" t="s">
        <v>49</v>
      </c>
      <c r="Q3311" t="s">
        <v>172</v>
      </c>
      <c r="R3311">
        <v>309</v>
      </c>
      <c r="S3311">
        <v>176</v>
      </c>
      <c r="T3311">
        <v>124</v>
      </c>
      <c r="U3311">
        <v>37</v>
      </c>
      <c r="V3311" t="s">
        <v>7209</v>
      </c>
      <c r="W3311">
        <v>50496</v>
      </c>
      <c r="X3311" t="s">
        <v>7042</v>
      </c>
      <c r="Y3311">
        <v>41286</v>
      </c>
      <c r="Z3311">
        <v>1868352</v>
      </c>
      <c r="AA3311">
        <v>340770</v>
      </c>
      <c r="AB3311" t="str">
        <f>(VLOOKUP(SalesData[[#This Row],[Month Number]],Reference!C$5:E$16,2,FALSE))</f>
        <v>Feb</v>
      </c>
      <c r="AC3311">
        <f>MONTH(SalesData[[#This Row],[Date]])</f>
        <v>2</v>
      </c>
      <c r="AD3311">
        <f>Reference!F$4</f>
        <v>2026</v>
      </c>
      <c r="AE3311" t="str">
        <f>IF(OR(SalesData[[#This Row],[Day]]="Saturday",SalesData[[#This Row],[Day]]="Sunday"),"Weekend","Weekday")</f>
        <v>Weekend</v>
      </c>
      <c r="AF3311" s="5">
        <f>IF(SalesData[[#This Row],[Contracts Offered]]=0,0,SalesData[[#This Row],[Contracts Signed]]/SalesData[[#This Row],[Contracts Offered]])</f>
        <v>0.29838709677419356</v>
      </c>
      <c r="AG3311" s="5">
        <f>IF(SalesData[[#This Row],[Customers Visited]]=0,0,SalesData[[#This Row],[Test Drives]]/SalesData[[#This Row],[Customers Visited]])</f>
        <v>0.56957928802588997</v>
      </c>
      <c r="AH3311" s="5">
        <f>IF(SalesData[[#This Row],[Customers Visited]]=0,0,SalesData[[#This Row],[Contracts Signed]]/SalesData[[#This Row],[Customers Visited]])</f>
        <v>0.11974110032362459</v>
      </c>
      <c r="AI3311" s="6">
        <f>IF(SalesData[[#This Row],[Contracts Signed]]=0,0,SalesData[[#This Row],[Profit(€)]]/SalesData[[#This Row],[Contracts Signed]])</f>
        <v>9210</v>
      </c>
      <c r="AJ3311" s="5" t="str">
        <f>TRIM(CLEAN(SalesData[[#This Row],[Retailer]]))</f>
        <v>Leipzig Mobility</v>
      </c>
    </row>
    <row r="3312" spans="1:36" ht="14.25" hidden="1" x14ac:dyDescent="0.2">
      <c r="A3312" t="s">
        <v>4494</v>
      </c>
      <c r="B3312" s="1">
        <v>46075</v>
      </c>
      <c r="C3312" t="s">
        <v>53</v>
      </c>
      <c r="D3312" t="s">
        <v>41</v>
      </c>
      <c r="E3312" t="s">
        <v>42</v>
      </c>
      <c r="F3312" t="s">
        <v>94</v>
      </c>
      <c r="G3312" t="s">
        <v>95</v>
      </c>
      <c r="H3312" t="s">
        <v>96</v>
      </c>
      <c r="I3312" t="s">
        <v>64</v>
      </c>
      <c r="J3312" t="s">
        <v>77</v>
      </c>
      <c r="K3312" t="s">
        <v>91</v>
      </c>
      <c r="L3312" t="s">
        <v>46</v>
      </c>
      <c r="M3312" t="s">
        <v>47</v>
      </c>
      <c r="N3312" t="s">
        <v>35</v>
      </c>
      <c r="O3312" t="s">
        <v>36</v>
      </c>
      <c r="P3312" t="s">
        <v>58</v>
      </c>
      <c r="Q3312" t="s">
        <v>122</v>
      </c>
      <c r="R3312">
        <v>174</v>
      </c>
      <c r="S3312">
        <v>100</v>
      </c>
      <c r="T3312">
        <v>74</v>
      </c>
      <c r="U3312">
        <v>27</v>
      </c>
      <c r="V3312" t="s">
        <v>6648</v>
      </c>
      <c r="W3312">
        <v>67968</v>
      </c>
      <c r="X3312" t="s">
        <v>7135</v>
      </c>
      <c r="Y3312">
        <v>51110</v>
      </c>
      <c r="Z3312">
        <v>1835136</v>
      </c>
      <c r="AA3312">
        <v>455166</v>
      </c>
      <c r="AB3312" t="str">
        <f>(VLOOKUP(SalesData[[#This Row],[Month Number]],Reference!C$5:E$16,2,FALSE))</f>
        <v>Feb</v>
      </c>
      <c r="AC3312">
        <f>MONTH(SalesData[[#This Row],[Date]])</f>
        <v>2</v>
      </c>
      <c r="AD3312">
        <f>Reference!F$4</f>
        <v>2026</v>
      </c>
      <c r="AE3312" t="str">
        <f>IF(OR(SalesData[[#This Row],[Day]]="Saturday",SalesData[[#This Row],[Day]]="Sunday"),"Weekend","Weekday")</f>
        <v>Weekend</v>
      </c>
      <c r="AF3312" s="5">
        <f>IF(SalesData[[#This Row],[Contracts Offered]]=0,0,SalesData[[#This Row],[Contracts Signed]]/SalesData[[#This Row],[Contracts Offered]])</f>
        <v>0.36486486486486486</v>
      </c>
      <c r="AG3312" s="5">
        <f>IF(SalesData[[#This Row],[Customers Visited]]=0,0,SalesData[[#This Row],[Test Drives]]/SalesData[[#This Row],[Customers Visited]])</f>
        <v>0.57471264367816088</v>
      </c>
      <c r="AH3312" s="5">
        <f>IF(SalesData[[#This Row],[Customers Visited]]=0,0,SalesData[[#This Row],[Contracts Signed]]/SalesData[[#This Row],[Customers Visited]])</f>
        <v>0.15517241379310345</v>
      </c>
      <c r="AI3312" s="6">
        <f>IF(SalesData[[#This Row],[Contracts Signed]]=0,0,SalesData[[#This Row],[Profit(€)]]/SalesData[[#This Row],[Contracts Signed]])</f>
        <v>16858</v>
      </c>
      <c r="AJ3312" s="5" t="str">
        <f>TRIM(CLEAN(SalesData[[#This Row],[Retailer]]))</f>
        <v>Bavaria Motors</v>
      </c>
    </row>
    <row r="3313" spans="1:36" ht="14.25" hidden="1" x14ac:dyDescent="0.2">
      <c r="A3313" t="s">
        <v>4495</v>
      </c>
      <c r="B3313" s="1">
        <v>46063</v>
      </c>
      <c r="C3313" t="s">
        <v>121</v>
      </c>
      <c r="D3313" t="s">
        <v>63</v>
      </c>
      <c r="E3313" t="s">
        <v>26</v>
      </c>
      <c r="F3313" t="s">
        <v>94</v>
      </c>
      <c r="G3313" t="s">
        <v>95</v>
      </c>
      <c r="H3313" t="s">
        <v>96</v>
      </c>
      <c r="I3313" t="s">
        <v>116</v>
      </c>
      <c r="J3313" t="s">
        <v>7090</v>
      </c>
      <c r="K3313" t="s">
        <v>66</v>
      </c>
      <c r="L3313" t="s">
        <v>46</v>
      </c>
      <c r="M3313" t="s">
        <v>34</v>
      </c>
      <c r="N3313" t="s">
        <v>69</v>
      </c>
      <c r="O3313" t="s">
        <v>70</v>
      </c>
      <c r="P3313" t="s">
        <v>37</v>
      </c>
      <c r="Q3313" t="s">
        <v>135</v>
      </c>
      <c r="R3313">
        <v>239</v>
      </c>
      <c r="S3313">
        <v>105</v>
      </c>
      <c r="T3313">
        <v>64</v>
      </c>
      <c r="U3313">
        <v>17</v>
      </c>
      <c r="V3313" t="s">
        <v>1945</v>
      </c>
      <c r="W3313">
        <v>21672</v>
      </c>
      <c r="X3313" t="s">
        <v>1842</v>
      </c>
      <c r="Y3313">
        <v>19952</v>
      </c>
      <c r="Z3313">
        <v>368424</v>
      </c>
      <c r="AA3313">
        <v>29240</v>
      </c>
      <c r="AB3313" t="str">
        <f>(VLOOKUP(SalesData[[#This Row],[Month Number]],Reference!C$5:E$16,2,FALSE))</f>
        <v>Feb</v>
      </c>
      <c r="AC3313">
        <f>MONTH(SalesData[[#This Row],[Date]])</f>
        <v>2</v>
      </c>
      <c r="AD3313">
        <f>Reference!F$4</f>
        <v>2026</v>
      </c>
      <c r="AE3313" t="str">
        <f>IF(OR(SalesData[[#This Row],[Day]]="Saturday",SalesData[[#This Row],[Day]]="Sunday"),"Weekend","Weekday")</f>
        <v>Weekday</v>
      </c>
      <c r="AF3313" s="5">
        <f>IF(SalesData[[#This Row],[Contracts Offered]]=0,0,SalesData[[#This Row],[Contracts Signed]]/SalesData[[#This Row],[Contracts Offered]])</f>
        <v>0.265625</v>
      </c>
      <c r="AG3313" s="5">
        <f>IF(SalesData[[#This Row],[Customers Visited]]=0,0,SalesData[[#This Row],[Test Drives]]/SalesData[[#This Row],[Customers Visited]])</f>
        <v>0.43933054393305437</v>
      </c>
      <c r="AH3313" s="5">
        <f>IF(SalesData[[#This Row],[Customers Visited]]=0,0,SalesData[[#This Row],[Contracts Signed]]/SalesData[[#This Row],[Customers Visited]])</f>
        <v>7.1129707112970716E-2</v>
      </c>
      <c r="AI3313" s="6">
        <f>IF(SalesData[[#This Row],[Contracts Signed]]=0,0,SalesData[[#This Row],[Profit(€)]]/SalesData[[#This Row],[Contracts Signed]])</f>
        <v>1720</v>
      </c>
      <c r="AJ3313" s="5" t="str">
        <f>TRIM(CLEAN(SalesData[[#This Row],[Retailer]]))</f>
        <v>Bavaria Motors</v>
      </c>
    </row>
    <row r="3314" spans="1:36" ht="14.25" hidden="1" x14ac:dyDescent="0.2">
      <c r="A3314" t="s">
        <v>4496</v>
      </c>
      <c r="B3314" s="1">
        <v>46073</v>
      </c>
      <c r="C3314" t="s">
        <v>62</v>
      </c>
      <c r="D3314" t="s">
        <v>54</v>
      </c>
      <c r="E3314" t="s">
        <v>26</v>
      </c>
      <c r="F3314" t="s">
        <v>127</v>
      </c>
      <c r="G3314" t="s">
        <v>128</v>
      </c>
      <c r="H3314" t="s">
        <v>103</v>
      </c>
      <c r="I3314" t="s">
        <v>64</v>
      </c>
      <c r="J3314" t="s">
        <v>77</v>
      </c>
      <c r="K3314" t="s">
        <v>32</v>
      </c>
      <c r="L3314" t="s">
        <v>46</v>
      </c>
      <c r="M3314" t="s">
        <v>47</v>
      </c>
      <c r="N3314" t="s">
        <v>69</v>
      </c>
      <c r="O3314" t="s">
        <v>70</v>
      </c>
      <c r="P3314" t="s">
        <v>37</v>
      </c>
      <c r="Q3314" t="s">
        <v>169</v>
      </c>
      <c r="R3314">
        <v>250</v>
      </c>
      <c r="S3314">
        <v>137</v>
      </c>
      <c r="T3314">
        <v>107</v>
      </c>
      <c r="U3314">
        <v>31</v>
      </c>
      <c r="V3314" t="s">
        <v>6401</v>
      </c>
      <c r="W3314">
        <v>71229</v>
      </c>
      <c r="X3314" t="s">
        <v>7225</v>
      </c>
      <c r="Y3314">
        <v>51542</v>
      </c>
      <c r="Z3314">
        <v>2208099</v>
      </c>
      <c r="AA3314">
        <v>610297</v>
      </c>
      <c r="AB3314" t="str">
        <f>(VLOOKUP(SalesData[[#This Row],[Month Number]],Reference!C$5:E$16,2,FALSE))</f>
        <v>Feb</v>
      </c>
      <c r="AC3314">
        <f>MONTH(SalesData[[#This Row],[Date]])</f>
        <v>2</v>
      </c>
      <c r="AD3314">
        <f>Reference!F$4</f>
        <v>2026</v>
      </c>
      <c r="AE3314" t="str">
        <f>IF(OR(SalesData[[#This Row],[Day]]="Saturday",SalesData[[#This Row],[Day]]="Sunday"),"Weekend","Weekday")</f>
        <v>Weekday</v>
      </c>
      <c r="AF3314" s="5">
        <f>IF(SalesData[[#This Row],[Contracts Offered]]=0,0,SalesData[[#This Row],[Contracts Signed]]/SalesData[[#This Row],[Contracts Offered]])</f>
        <v>0.28971962616822428</v>
      </c>
      <c r="AG3314" s="5">
        <f>IF(SalesData[[#This Row],[Customers Visited]]=0,0,SalesData[[#This Row],[Test Drives]]/SalesData[[#This Row],[Customers Visited]])</f>
        <v>0.54800000000000004</v>
      </c>
      <c r="AH3314" s="5">
        <f>IF(SalesData[[#This Row],[Customers Visited]]=0,0,SalesData[[#This Row],[Contracts Signed]]/SalesData[[#This Row],[Customers Visited]])</f>
        <v>0.124</v>
      </c>
      <c r="AI3314" s="6">
        <f>IF(SalesData[[#This Row],[Contracts Signed]]=0,0,SalesData[[#This Row],[Profit(€)]]/SalesData[[#This Row],[Contracts Signed]])</f>
        <v>19687</v>
      </c>
      <c r="AJ3314" s="5" t="str">
        <f>TRIM(CLEAN(SalesData[[#This Row],[Retailer]]))</f>
        <v>Rhein Auto Group</v>
      </c>
    </row>
    <row r="3315" spans="1:36" ht="14.25" hidden="1" x14ac:dyDescent="0.2">
      <c r="A3315" t="s">
        <v>4497</v>
      </c>
      <c r="B3315" s="1">
        <v>46078</v>
      </c>
      <c r="C3315" t="s">
        <v>53</v>
      </c>
      <c r="D3315" t="s">
        <v>82</v>
      </c>
      <c r="E3315" t="s">
        <v>26</v>
      </c>
      <c r="F3315" t="s">
        <v>109</v>
      </c>
      <c r="G3315" t="s">
        <v>110</v>
      </c>
      <c r="H3315" t="s">
        <v>45</v>
      </c>
      <c r="I3315" t="s">
        <v>56</v>
      </c>
      <c r="J3315" t="s">
        <v>97</v>
      </c>
      <c r="K3315" t="s">
        <v>91</v>
      </c>
      <c r="L3315" t="s">
        <v>33</v>
      </c>
      <c r="M3315" t="s">
        <v>87</v>
      </c>
      <c r="N3315" t="s">
        <v>35</v>
      </c>
      <c r="O3315" t="s">
        <v>36</v>
      </c>
      <c r="P3315" t="s">
        <v>49</v>
      </c>
      <c r="Q3315" t="s">
        <v>79</v>
      </c>
      <c r="R3315">
        <v>171</v>
      </c>
      <c r="S3315">
        <v>109</v>
      </c>
      <c r="T3315">
        <v>71</v>
      </c>
      <c r="U3315">
        <v>20</v>
      </c>
      <c r="V3315" t="s">
        <v>628</v>
      </c>
      <c r="W3315">
        <v>41630</v>
      </c>
      <c r="X3315" t="s">
        <v>7460</v>
      </c>
      <c r="Y3315">
        <v>31971</v>
      </c>
      <c r="Z3315">
        <v>832600</v>
      </c>
      <c r="AA3315">
        <v>193180</v>
      </c>
      <c r="AB3315" t="str">
        <f>(VLOOKUP(SalesData[[#This Row],[Month Number]],Reference!C$5:E$16,2,FALSE))</f>
        <v>Feb</v>
      </c>
      <c r="AC3315">
        <f>MONTH(SalesData[[#This Row],[Date]])</f>
        <v>2</v>
      </c>
      <c r="AD3315">
        <f>Reference!F$4</f>
        <v>2026</v>
      </c>
      <c r="AE3315" t="str">
        <f>IF(OR(SalesData[[#This Row],[Day]]="Saturday",SalesData[[#This Row],[Day]]="Sunday"),"Weekend","Weekday")</f>
        <v>Weekday</v>
      </c>
      <c r="AF3315" s="5">
        <f>IF(SalesData[[#This Row],[Contracts Offered]]=0,0,SalesData[[#This Row],[Contracts Signed]]/SalesData[[#This Row],[Contracts Offered]])</f>
        <v>0.28169014084507044</v>
      </c>
      <c r="AG3315" s="5">
        <f>IF(SalesData[[#This Row],[Customers Visited]]=0,0,SalesData[[#This Row],[Test Drives]]/SalesData[[#This Row],[Customers Visited]])</f>
        <v>0.63742690058479534</v>
      </c>
      <c r="AH3315" s="5">
        <f>IF(SalesData[[#This Row],[Customers Visited]]=0,0,SalesData[[#This Row],[Contracts Signed]]/SalesData[[#This Row],[Customers Visited]])</f>
        <v>0.11695906432748537</v>
      </c>
      <c r="AI3315" s="6">
        <f>IF(SalesData[[#This Row],[Contracts Signed]]=0,0,SalesData[[#This Row],[Profit(€)]]/SalesData[[#This Row],[Contracts Signed]])</f>
        <v>9659</v>
      </c>
      <c r="AJ3315" s="5" t="str">
        <f>TRIM(CLEAN(SalesData[[#This Row],[Retailer]]))</f>
        <v>Leipzig Mobility</v>
      </c>
    </row>
    <row r="3316" spans="1:36" ht="14.25" hidden="1" x14ac:dyDescent="0.2">
      <c r="A3316" t="s">
        <v>4498</v>
      </c>
      <c r="B3316" s="1">
        <v>46059</v>
      </c>
      <c r="C3316" t="s">
        <v>24</v>
      </c>
      <c r="D3316" t="s">
        <v>54</v>
      </c>
      <c r="E3316" t="s">
        <v>26</v>
      </c>
      <c r="F3316" t="s">
        <v>83</v>
      </c>
      <c r="G3316" t="s">
        <v>84</v>
      </c>
      <c r="H3316" t="s">
        <v>85</v>
      </c>
      <c r="I3316" t="s">
        <v>56</v>
      </c>
      <c r="J3316" t="s">
        <v>179</v>
      </c>
      <c r="K3316" t="s">
        <v>78</v>
      </c>
      <c r="L3316" t="s">
        <v>67</v>
      </c>
      <c r="M3316" t="s">
        <v>47</v>
      </c>
      <c r="N3316" t="s">
        <v>35</v>
      </c>
      <c r="O3316" t="s">
        <v>70</v>
      </c>
      <c r="P3316" t="s">
        <v>71</v>
      </c>
      <c r="Q3316" t="s">
        <v>79</v>
      </c>
      <c r="R3316">
        <v>290</v>
      </c>
      <c r="S3316">
        <v>162</v>
      </c>
      <c r="T3316">
        <v>105</v>
      </c>
      <c r="U3316">
        <v>37</v>
      </c>
      <c r="V3316" t="s">
        <v>6946</v>
      </c>
      <c r="W3316">
        <v>42733</v>
      </c>
      <c r="X3316" t="s">
        <v>315</v>
      </c>
      <c r="Y3316">
        <v>33197</v>
      </c>
      <c r="Z3316">
        <v>1581121</v>
      </c>
      <c r="AA3316">
        <v>352832</v>
      </c>
      <c r="AB3316" t="str">
        <f>(VLOOKUP(SalesData[[#This Row],[Month Number]],Reference!C$5:E$16,2,FALSE))</f>
        <v>Feb</v>
      </c>
      <c r="AC3316">
        <f>MONTH(SalesData[[#This Row],[Date]])</f>
        <v>2</v>
      </c>
      <c r="AD3316">
        <f>Reference!F$4</f>
        <v>2026</v>
      </c>
      <c r="AE3316" t="str">
        <f>IF(OR(SalesData[[#This Row],[Day]]="Saturday",SalesData[[#This Row],[Day]]="Sunday"),"Weekend","Weekday")</f>
        <v>Weekday</v>
      </c>
      <c r="AF3316" s="5">
        <f>IF(SalesData[[#This Row],[Contracts Offered]]=0,0,SalesData[[#This Row],[Contracts Signed]]/SalesData[[#This Row],[Contracts Offered]])</f>
        <v>0.35238095238095241</v>
      </c>
      <c r="AG3316" s="5">
        <f>IF(SalesData[[#This Row],[Customers Visited]]=0,0,SalesData[[#This Row],[Test Drives]]/SalesData[[#This Row],[Customers Visited]])</f>
        <v>0.55862068965517242</v>
      </c>
      <c r="AH3316" s="5">
        <f>IF(SalesData[[#This Row],[Customers Visited]]=0,0,SalesData[[#This Row],[Contracts Signed]]/SalesData[[#This Row],[Customers Visited]])</f>
        <v>0.12758620689655173</v>
      </c>
      <c r="AI3316" s="6">
        <f>IF(SalesData[[#This Row],[Contracts Signed]]=0,0,SalesData[[#This Row],[Profit(€)]]/SalesData[[#This Row],[Contracts Signed]])</f>
        <v>9536</v>
      </c>
      <c r="AJ3316" s="5" t="str">
        <f>TRIM(CLEAN(SalesData[[#This Row],[Retailer]]))</f>
        <v>Hannover Cars</v>
      </c>
    </row>
    <row r="3317" spans="1:36" ht="14.25" hidden="1" x14ac:dyDescent="0.2">
      <c r="A3317" t="s">
        <v>4499</v>
      </c>
      <c r="B3317" s="1">
        <v>46063</v>
      </c>
      <c r="C3317" t="s">
        <v>121</v>
      </c>
      <c r="D3317" t="s">
        <v>63</v>
      </c>
      <c r="E3317" t="s">
        <v>26</v>
      </c>
      <c r="F3317" t="s">
        <v>101</v>
      </c>
      <c r="G3317" t="s">
        <v>102</v>
      </c>
      <c r="H3317" t="s">
        <v>103</v>
      </c>
      <c r="I3317" t="s">
        <v>64</v>
      </c>
      <c r="J3317" t="s">
        <v>157</v>
      </c>
      <c r="K3317" t="s">
        <v>32</v>
      </c>
      <c r="L3317" t="s">
        <v>33</v>
      </c>
      <c r="M3317" t="s">
        <v>47</v>
      </c>
      <c r="N3317" t="s">
        <v>35</v>
      </c>
      <c r="O3317" t="s">
        <v>70</v>
      </c>
      <c r="P3317" t="s">
        <v>58</v>
      </c>
      <c r="Q3317" t="s">
        <v>167</v>
      </c>
      <c r="R3317">
        <v>152</v>
      </c>
      <c r="S3317">
        <v>85</v>
      </c>
      <c r="T3317">
        <v>59</v>
      </c>
      <c r="U3317">
        <v>20</v>
      </c>
      <c r="V3317" t="s">
        <v>6439</v>
      </c>
      <c r="W3317">
        <v>67179</v>
      </c>
      <c r="X3317" t="s">
        <v>7398</v>
      </c>
      <c r="Y3317">
        <v>51734</v>
      </c>
      <c r="Z3317">
        <v>1343580</v>
      </c>
      <c r="AA3317">
        <v>308900</v>
      </c>
      <c r="AB3317" t="str">
        <f>(VLOOKUP(SalesData[[#This Row],[Month Number]],Reference!C$5:E$16,2,FALSE))</f>
        <v>Feb</v>
      </c>
      <c r="AC3317">
        <f>MONTH(SalesData[[#This Row],[Date]])</f>
        <v>2</v>
      </c>
      <c r="AD3317">
        <f>Reference!F$4</f>
        <v>2026</v>
      </c>
      <c r="AE3317" t="str">
        <f>IF(OR(SalesData[[#This Row],[Day]]="Saturday",SalesData[[#This Row],[Day]]="Sunday"),"Weekend","Weekday")</f>
        <v>Weekday</v>
      </c>
      <c r="AF3317" s="5">
        <f>IF(SalesData[[#This Row],[Contracts Offered]]=0,0,SalesData[[#This Row],[Contracts Signed]]/SalesData[[#This Row],[Contracts Offered]])</f>
        <v>0.33898305084745761</v>
      </c>
      <c r="AG3317" s="5">
        <f>IF(SalesData[[#This Row],[Customers Visited]]=0,0,SalesData[[#This Row],[Test Drives]]/SalesData[[#This Row],[Customers Visited]])</f>
        <v>0.55921052631578949</v>
      </c>
      <c r="AH3317" s="5">
        <f>IF(SalesData[[#This Row],[Customers Visited]]=0,0,SalesData[[#This Row],[Contracts Signed]]/SalesData[[#This Row],[Customers Visited]])</f>
        <v>0.13157894736842105</v>
      </c>
      <c r="AI3317" s="6">
        <f>IF(SalesData[[#This Row],[Contracts Signed]]=0,0,SalesData[[#This Row],[Profit(€)]]/SalesData[[#This Row],[Contracts Signed]])</f>
        <v>15445</v>
      </c>
      <c r="AJ3317" s="5" t="str">
        <f>TRIM(CLEAN(SalesData[[#This Row],[Retailer]]))</f>
        <v>Ruhr Auto Plaza</v>
      </c>
    </row>
    <row r="3318" spans="1:36" ht="14.25" hidden="1" x14ac:dyDescent="0.2">
      <c r="A3318" t="s">
        <v>4500</v>
      </c>
      <c r="B3318" s="1">
        <v>46080</v>
      </c>
      <c r="C3318" t="s">
        <v>53</v>
      </c>
      <c r="D3318" t="s">
        <v>54</v>
      </c>
      <c r="E3318" t="s">
        <v>26</v>
      </c>
      <c r="F3318" t="s">
        <v>94</v>
      </c>
      <c r="G3318" t="s">
        <v>95</v>
      </c>
      <c r="H3318" t="s">
        <v>96</v>
      </c>
      <c r="I3318" t="s">
        <v>56</v>
      </c>
      <c r="J3318" t="s">
        <v>57</v>
      </c>
      <c r="K3318" t="s">
        <v>32</v>
      </c>
      <c r="L3318" t="s">
        <v>46</v>
      </c>
      <c r="M3318" t="s">
        <v>47</v>
      </c>
      <c r="N3318" t="s">
        <v>69</v>
      </c>
      <c r="O3318" t="s">
        <v>70</v>
      </c>
      <c r="P3318" t="s">
        <v>71</v>
      </c>
      <c r="Q3318" t="s">
        <v>38</v>
      </c>
      <c r="R3318">
        <v>272</v>
      </c>
      <c r="S3318">
        <v>157</v>
      </c>
      <c r="T3318">
        <v>111</v>
      </c>
      <c r="U3318">
        <v>40</v>
      </c>
      <c r="V3318" t="s">
        <v>6613</v>
      </c>
      <c r="W3318">
        <v>41048</v>
      </c>
      <c r="X3318" t="s">
        <v>7522</v>
      </c>
      <c r="Y3318">
        <v>32282</v>
      </c>
      <c r="Z3318">
        <v>1641920</v>
      </c>
      <c r="AA3318">
        <v>350640</v>
      </c>
      <c r="AB3318" t="str">
        <f>(VLOOKUP(SalesData[[#This Row],[Month Number]],Reference!C$5:E$16,2,FALSE))</f>
        <v>Feb</v>
      </c>
      <c r="AC3318">
        <f>MONTH(SalesData[[#This Row],[Date]])</f>
        <v>2</v>
      </c>
      <c r="AD3318">
        <f>Reference!F$4</f>
        <v>2026</v>
      </c>
      <c r="AE3318" t="str">
        <f>IF(OR(SalesData[[#This Row],[Day]]="Saturday",SalesData[[#This Row],[Day]]="Sunday"),"Weekend","Weekday")</f>
        <v>Weekday</v>
      </c>
      <c r="AF3318" s="5">
        <f>IF(SalesData[[#This Row],[Contracts Offered]]=0,0,SalesData[[#This Row],[Contracts Signed]]/SalesData[[#This Row],[Contracts Offered]])</f>
        <v>0.36036036036036034</v>
      </c>
      <c r="AG3318" s="5">
        <f>IF(SalesData[[#This Row],[Customers Visited]]=0,0,SalesData[[#This Row],[Test Drives]]/SalesData[[#This Row],[Customers Visited]])</f>
        <v>0.57720588235294112</v>
      </c>
      <c r="AH3318" s="5">
        <f>IF(SalesData[[#This Row],[Customers Visited]]=0,0,SalesData[[#This Row],[Contracts Signed]]/SalesData[[#This Row],[Customers Visited]])</f>
        <v>0.14705882352941177</v>
      </c>
      <c r="AI3318" s="6">
        <f>IF(SalesData[[#This Row],[Contracts Signed]]=0,0,SalesData[[#This Row],[Profit(€)]]/SalesData[[#This Row],[Contracts Signed]])</f>
        <v>8766</v>
      </c>
      <c r="AJ3318" s="5" t="str">
        <f>TRIM(CLEAN(SalesData[[#This Row],[Retailer]]))</f>
        <v>Bavaria Motors</v>
      </c>
    </row>
    <row r="3319" spans="1:36" ht="14.25" hidden="1" x14ac:dyDescent="0.2">
      <c r="A3319" t="s">
        <v>4501</v>
      </c>
      <c r="B3319" s="1">
        <v>46065</v>
      </c>
      <c r="C3319" t="s">
        <v>121</v>
      </c>
      <c r="D3319" t="s">
        <v>100</v>
      </c>
      <c r="E3319" t="s">
        <v>26</v>
      </c>
      <c r="F3319" t="s">
        <v>7649</v>
      </c>
      <c r="G3319" t="s">
        <v>55</v>
      </c>
      <c r="H3319" t="s">
        <v>55</v>
      </c>
      <c r="I3319" t="s">
        <v>64</v>
      </c>
      <c r="J3319" t="s">
        <v>157</v>
      </c>
      <c r="K3319" t="s">
        <v>91</v>
      </c>
      <c r="L3319" t="s">
        <v>33</v>
      </c>
      <c r="M3319" t="s">
        <v>87</v>
      </c>
      <c r="N3319" t="s">
        <v>48</v>
      </c>
      <c r="O3319" t="s">
        <v>70</v>
      </c>
      <c r="P3319" t="s">
        <v>37</v>
      </c>
      <c r="Q3319" t="s">
        <v>129</v>
      </c>
      <c r="R3319">
        <v>168</v>
      </c>
      <c r="S3319">
        <v>78</v>
      </c>
      <c r="T3319">
        <v>53</v>
      </c>
      <c r="U3319">
        <v>21</v>
      </c>
      <c r="V3319" t="s">
        <v>6476</v>
      </c>
      <c r="W3319">
        <v>68958</v>
      </c>
      <c r="X3319" t="s">
        <v>2887</v>
      </c>
      <c r="Y3319">
        <v>52827</v>
      </c>
      <c r="Z3319">
        <v>1448118</v>
      </c>
      <c r="AA3319">
        <v>338751</v>
      </c>
      <c r="AB3319" t="str">
        <f>(VLOOKUP(SalesData[[#This Row],[Month Number]],Reference!C$5:E$16,2,FALSE))</f>
        <v>Feb</v>
      </c>
      <c r="AC3319">
        <f>MONTH(SalesData[[#This Row],[Date]])</f>
        <v>2</v>
      </c>
      <c r="AD3319">
        <f>Reference!F$4</f>
        <v>2026</v>
      </c>
      <c r="AE3319" t="str">
        <f>IF(OR(SalesData[[#This Row],[Day]]="Saturday",SalesData[[#This Row],[Day]]="Sunday"),"Weekend","Weekday")</f>
        <v>Weekday</v>
      </c>
      <c r="AF3319" s="5">
        <f>IF(SalesData[[#This Row],[Contracts Offered]]=0,0,SalesData[[#This Row],[Contracts Signed]]/SalesData[[#This Row],[Contracts Offered]])</f>
        <v>0.39622641509433965</v>
      </c>
      <c r="AG3319" s="5">
        <f>IF(SalesData[[#This Row],[Customers Visited]]=0,0,SalesData[[#This Row],[Test Drives]]/SalesData[[#This Row],[Customers Visited]])</f>
        <v>0.4642857142857143</v>
      </c>
      <c r="AH3319" s="5">
        <f>IF(SalesData[[#This Row],[Customers Visited]]=0,0,SalesData[[#This Row],[Contracts Signed]]/SalesData[[#This Row],[Customers Visited]])</f>
        <v>0.125</v>
      </c>
      <c r="AI3319" s="6">
        <f>IF(SalesData[[#This Row],[Contracts Signed]]=0,0,SalesData[[#This Row],[Profit(€)]]/SalesData[[#This Row],[Contracts Signed]])</f>
        <v>16131</v>
      </c>
      <c r="AJ3319" s="5" t="str">
        <f>TRIM(CLEAN(SalesData[[#This Row],[Retailer]]))</f>
        <v>Autohaus Berlin</v>
      </c>
    </row>
    <row r="3320" spans="1:36" ht="14.25" hidden="1" x14ac:dyDescent="0.2">
      <c r="A3320" t="s">
        <v>4502</v>
      </c>
      <c r="B3320" s="1">
        <v>46076</v>
      </c>
      <c r="C3320" t="s">
        <v>53</v>
      </c>
      <c r="D3320" t="s">
        <v>25</v>
      </c>
      <c r="E3320" t="s">
        <v>26</v>
      </c>
      <c r="F3320" t="s">
        <v>94</v>
      </c>
      <c r="G3320" t="s">
        <v>95</v>
      </c>
      <c r="H3320" t="s">
        <v>96</v>
      </c>
      <c r="I3320" t="s">
        <v>64</v>
      </c>
      <c r="J3320" t="s">
        <v>77</v>
      </c>
      <c r="K3320" t="s">
        <v>66</v>
      </c>
      <c r="L3320" t="s">
        <v>46</v>
      </c>
      <c r="M3320" t="s">
        <v>87</v>
      </c>
      <c r="N3320" t="s">
        <v>69</v>
      </c>
      <c r="O3320" t="s">
        <v>36</v>
      </c>
      <c r="P3320" t="s">
        <v>49</v>
      </c>
      <c r="Q3320" t="s">
        <v>204</v>
      </c>
      <c r="R3320">
        <v>239</v>
      </c>
      <c r="S3320">
        <v>141</v>
      </c>
      <c r="T3320">
        <v>96</v>
      </c>
      <c r="U3320">
        <v>34</v>
      </c>
      <c r="V3320" t="s">
        <v>6400</v>
      </c>
      <c r="W3320">
        <v>63085</v>
      </c>
      <c r="X3320" t="s">
        <v>7091</v>
      </c>
      <c r="Y3320">
        <v>46350</v>
      </c>
      <c r="Z3320">
        <v>2144890</v>
      </c>
      <c r="AA3320">
        <v>568990</v>
      </c>
      <c r="AB3320" t="str">
        <f>(VLOOKUP(SalesData[[#This Row],[Month Number]],Reference!C$5:E$16,2,FALSE))</f>
        <v>Feb</v>
      </c>
      <c r="AC3320">
        <f>MONTH(SalesData[[#This Row],[Date]])</f>
        <v>2</v>
      </c>
      <c r="AD3320">
        <f>Reference!F$4</f>
        <v>2026</v>
      </c>
      <c r="AE3320" t="str">
        <f>IF(OR(SalesData[[#This Row],[Day]]="Saturday",SalesData[[#This Row],[Day]]="Sunday"),"Weekend","Weekday")</f>
        <v>Weekday</v>
      </c>
      <c r="AF3320" s="5">
        <f>IF(SalesData[[#This Row],[Contracts Offered]]=0,0,SalesData[[#This Row],[Contracts Signed]]/SalesData[[#This Row],[Contracts Offered]])</f>
        <v>0.35416666666666669</v>
      </c>
      <c r="AG3320" s="5">
        <f>IF(SalesData[[#This Row],[Customers Visited]]=0,0,SalesData[[#This Row],[Test Drives]]/SalesData[[#This Row],[Customers Visited]])</f>
        <v>0.58995815899581594</v>
      </c>
      <c r="AH3320" s="5">
        <f>IF(SalesData[[#This Row],[Customers Visited]]=0,0,SalesData[[#This Row],[Contracts Signed]]/SalesData[[#This Row],[Customers Visited]])</f>
        <v>0.14225941422594143</v>
      </c>
      <c r="AI3320" s="6">
        <f>IF(SalesData[[#This Row],[Contracts Signed]]=0,0,SalesData[[#This Row],[Profit(€)]]/SalesData[[#This Row],[Contracts Signed]])</f>
        <v>16735</v>
      </c>
      <c r="AJ3320" s="5" t="str">
        <f>TRIM(CLEAN(SalesData[[#This Row],[Retailer]]))</f>
        <v>Bavaria Motors</v>
      </c>
    </row>
    <row r="3321" spans="1:36" ht="14.25" x14ac:dyDescent="0.2">
      <c r="A3321" t="s">
        <v>4503</v>
      </c>
      <c r="B3321" s="1">
        <v>46064</v>
      </c>
      <c r="C3321" t="s">
        <v>121</v>
      </c>
      <c r="D3321" t="s">
        <v>82</v>
      </c>
      <c r="E3321" t="s">
        <v>26</v>
      </c>
      <c r="F3321" t="s">
        <v>109</v>
      </c>
      <c r="G3321" t="s">
        <v>110</v>
      </c>
      <c r="H3321" t="s">
        <v>45</v>
      </c>
      <c r="I3321" t="s">
        <v>30</v>
      </c>
      <c r="J3321" t="s">
        <v>7075</v>
      </c>
      <c r="K3321" t="s">
        <v>91</v>
      </c>
      <c r="L3321" t="s">
        <v>33</v>
      </c>
      <c r="M3321" t="s">
        <v>34</v>
      </c>
      <c r="N3321" t="s">
        <v>69</v>
      </c>
      <c r="O3321" t="s">
        <v>70</v>
      </c>
      <c r="P3321" t="s">
        <v>49</v>
      </c>
      <c r="Q3321" t="s">
        <v>347</v>
      </c>
      <c r="R3321">
        <v>228</v>
      </c>
      <c r="S3321">
        <v>104</v>
      </c>
      <c r="T3321">
        <v>72</v>
      </c>
      <c r="U3321">
        <v>25</v>
      </c>
      <c r="V3321" t="s">
        <v>6828</v>
      </c>
      <c r="W3321">
        <v>50520</v>
      </c>
      <c r="X3321" t="s">
        <v>572</v>
      </c>
      <c r="Y3321">
        <v>37394</v>
      </c>
      <c r="Z3321">
        <v>1263000</v>
      </c>
      <c r="AA3321">
        <v>328150</v>
      </c>
      <c r="AB3321" t="str">
        <f>(VLOOKUP(SalesData[[#This Row],[Month Number]],Reference!C$5:E$16,2,FALSE))</f>
        <v>Feb</v>
      </c>
      <c r="AC3321">
        <f>MONTH(SalesData[[#This Row],[Date]])</f>
        <v>2</v>
      </c>
      <c r="AD3321">
        <f>Reference!F$4</f>
        <v>2026</v>
      </c>
      <c r="AE3321" t="str">
        <f>IF(OR(SalesData[[#This Row],[Day]]="Saturday",SalesData[[#This Row],[Day]]="Sunday"),"Weekend","Weekday")</f>
        <v>Weekday</v>
      </c>
      <c r="AF3321" s="5">
        <f>IF(SalesData[[#This Row],[Contracts Offered]]=0,0,SalesData[[#This Row],[Contracts Signed]]/SalesData[[#This Row],[Contracts Offered]])</f>
        <v>0.34722222222222221</v>
      </c>
      <c r="AG3321" s="5">
        <f>IF(SalesData[[#This Row],[Customers Visited]]=0,0,SalesData[[#This Row],[Test Drives]]/SalesData[[#This Row],[Customers Visited]])</f>
        <v>0.45614035087719296</v>
      </c>
      <c r="AH3321" s="5">
        <f>IF(SalesData[[#This Row],[Customers Visited]]=0,0,SalesData[[#This Row],[Contracts Signed]]/SalesData[[#This Row],[Customers Visited]])</f>
        <v>0.10964912280701754</v>
      </c>
      <c r="AI3321" s="6">
        <f>IF(SalesData[[#This Row],[Contracts Signed]]=0,0,SalesData[[#This Row],[Profit(€)]]/SalesData[[#This Row],[Contracts Signed]])</f>
        <v>13126</v>
      </c>
      <c r="AJ3321" s="5" t="str">
        <f>TRIM(CLEAN(SalesData[[#This Row],[Retailer]]))</f>
        <v>Leipzig Mobility</v>
      </c>
    </row>
    <row r="3322" spans="1:36" ht="14.25" hidden="1" x14ac:dyDescent="0.2">
      <c r="A3322" t="s">
        <v>4504</v>
      </c>
      <c r="B3322" s="1">
        <v>46069</v>
      </c>
      <c r="C3322" t="s">
        <v>62</v>
      </c>
      <c r="D3322" t="s">
        <v>25</v>
      </c>
      <c r="E3322" t="s">
        <v>26</v>
      </c>
      <c r="F3322" t="s">
        <v>27</v>
      </c>
      <c r="G3322" t="s">
        <v>28</v>
      </c>
      <c r="H3322" t="s">
        <v>29</v>
      </c>
      <c r="I3322" t="s">
        <v>104</v>
      </c>
      <c r="J3322" t="s">
        <v>105</v>
      </c>
      <c r="K3322" t="s">
        <v>78</v>
      </c>
      <c r="L3322" t="s">
        <v>33</v>
      </c>
      <c r="M3322" t="s">
        <v>34</v>
      </c>
      <c r="N3322" t="s">
        <v>35</v>
      </c>
      <c r="O3322" t="s">
        <v>70</v>
      </c>
      <c r="P3322" t="s">
        <v>58</v>
      </c>
      <c r="Q3322" t="s">
        <v>135</v>
      </c>
      <c r="R3322">
        <v>389</v>
      </c>
      <c r="S3322">
        <v>200</v>
      </c>
      <c r="T3322">
        <v>136</v>
      </c>
      <c r="U3322">
        <v>31</v>
      </c>
      <c r="V3322" t="s">
        <v>6712</v>
      </c>
      <c r="W3322">
        <v>26481</v>
      </c>
      <c r="X3322" t="s">
        <v>462</v>
      </c>
      <c r="Y3322">
        <v>23636</v>
      </c>
      <c r="Z3322">
        <v>820911</v>
      </c>
      <c r="AA3322">
        <v>88195</v>
      </c>
      <c r="AB3322" t="str">
        <f>(VLOOKUP(SalesData[[#This Row],[Month Number]],Reference!C$5:E$16,2,FALSE))</f>
        <v>Feb</v>
      </c>
      <c r="AC3322">
        <f>MONTH(SalesData[[#This Row],[Date]])</f>
        <v>2</v>
      </c>
      <c r="AD3322">
        <f>Reference!F$4</f>
        <v>2026</v>
      </c>
      <c r="AE3322" t="str">
        <f>IF(OR(SalesData[[#This Row],[Day]]="Saturday",SalesData[[#This Row],[Day]]="Sunday"),"Weekend","Weekday")</f>
        <v>Weekday</v>
      </c>
      <c r="AF3322" s="5">
        <f>IF(SalesData[[#This Row],[Contracts Offered]]=0,0,SalesData[[#This Row],[Contracts Signed]]/SalesData[[#This Row],[Contracts Offered]])</f>
        <v>0.22794117647058823</v>
      </c>
      <c r="AG3322" s="5">
        <f>IF(SalesData[[#This Row],[Customers Visited]]=0,0,SalesData[[#This Row],[Test Drives]]/SalesData[[#This Row],[Customers Visited]])</f>
        <v>0.51413881748071977</v>
      </c>
      <c r="AH3322" s="5">
        <f>IF(SalesData[[#This Row],[Customers Visited]]=0,0,SalesData[[#This Row],[Contracts Signed]]/SalesData[[#This Row],[Customers Visited]])</f>
        <v>7.9691516709511565E-2</v>
      </c>
      <c r="AI3322" s="6">
        <f>IF(SalesData[[#This Row],[Contracts Signed]]=0,0,SalesData[[#This Row],[Profit(€)]]/SalesData[[#This Row],[Contracts Signed]])</f>
        <v>2845</v>
      </c>
      <c r="AJ3322" s="5" t="str">
        <f>TRIM(CLEAN(SalesData[[#This Row],[Retailer]]))</f>
        <v>Main Auto Hub</v>
      </c>
    </row>
    <row r="3323" spans="1:36" ht="14.25" hidden="1" x14ac:dyDescent="0.2">
      <c r="A3323" t="s">
        <v>4505</v>
      </c>
      <c r="B3323" s="1">
        <v>46079</v>
      </c>
      <c r="C3323" t="s">
        <v>53</v>
      </c>
      <c r="D3323" t="s">
        <v>100</v>
      </c>
      <c r="E3323" t="s">
        <v>26</v>
      </c>
      <c r="F3323" t="s">
        <v>7649</v>
      </c>
      <c r="G3323" t="s">
        <v>55</v>
      </c>
      <c r="H3323" t="s">
        <v>55</v>
      </c>
      <c r="I3323" t="s">
        <v>64</v>
      </c>
      <c r="J3323" t="s">
        <v>65</v>
      </c>
      <c r="K3323" t="s">
        <v>91</v>
      </c>
      <c r="L3323" t="s">
        <v>33</v>
      </c>
      <c r="M3323" t="s">
        <v>87</v>
      </c>
      <c r="N3323" t="s">
        <v>35</v>
      </c>
      <c r="O3323" t="s">
        <v>70</v>
      </c>
      <c r="P3323" t="s">
        <v>58</v>
      </c>
      <c r="Q3323" t="s">
        <v>106</v>
      </c>
      <c r="R3323">
        <v>199</v>
      </c>
      <c r="S3323">
        <v>118</v>
      </c>
      <c r="T3323">
        <v>77</v>
      </c>
      <c r="U3323">
        <v>36</v>
      </c>
      <c r="V3323" t="s">
        <v>7201</v>
      </c>
      <c r="W3323">
        <v>68066</v>
      </c>
      <c r="X3323" t="s">
        <v>7179</v>
      </c>
      <c r="Y3323">
        <v>48730</v>
      </c>
      <c r="Z3323">
        <v>2450376</v>
      </c>
      <c r="AA3323">
        <v>696096</v>
      </c>
      <c r="AB3323" t="str">
        <f>(VLOOKUP(SalesData[[#This Row],[Month Number]],Reference!C$5:E$16,2,FALSE))</f>
        <v>Feb</v>
      </c>
      <c r="AC3323">
        <f>MONTH(SalesData[[#This Row],[Date]])</f>
        <v>2</v>
      </c>
      <c r="AD3323">
        <f>Reference!F$4</f>
        <v>2026</v>
      </c>
      <c r="AE3323" t="str">
        <f>IF(OR(SalesData[[#This Row],[Day]]="Saturday",SalesData[[#This Row],[Day]]="Sunday"),"Weekend","Weekday")</f>
        <v>Weekday</v>
      </c>
      <c r="AF3323" s="5">
        <f>IF(SalesData[[#This Row],[Contracts Offered]]=0,0,SalesData[[#This Row],[Contracts Signed]]/SalesData[[#This Row],[Contracts Offered]])</f>
        <v>0.46753246753246752</v>
      </c>
      <c r="AG3323" s="5">
        <f>IF(SalesData[[#This Row],[Customers Visited]]=0,0,SalesData[[#This Row],[Test Drives]]/SalesData[[#This Row],[Customers Visited]])</f>
        <v>0.59296482412060303</v>
      </c>
      <c r="AH3323" s="5">
        <f>IF(SalesData[[#This Row],[Customers Visited]]=0,0,SalesData[[#This Row],[Contracts Signed]]/SalesData[[#This Row],[Customers Visited]])</f>
        <v>0.18090452261306533</v>
      </c>
      <c r="AI3323" s="6">
        <f>IF(SalesData[[#This Row],[Contracts Signed]]=0,0,SalesData[[#This Row],[Profit(€)]]/SalesData[[#This Row],[Contracts Signed]])</f>
        <v>19336</v>
      </c>
      <c r="AJ3323" s="5" t="str">
        <f>TRIM(CLEAN(SalesData[[#This Row],[Retailer]]))</f>
        <v>Autohaus Berlin</v>
      </c>
    </row>
    <row r="3324" spans="1:36" ht="14.25" hidden="1" x14ac:dyDescent="0.2">
      <c r="A3324" t="s">
        <v>4506</v>
      </c>
      <c r="B3324" s="1">
        <v>46063</v>
      </c>
      <c r="C3324" t="s">
        <v>121</v>
      </c>
      <c r="D3324" t="s">
        <v>63</v>
      </c>
      <c r="E3324" t="s">
        <v>26</v>
      </c>
      <c r="F3324" t="s">
        <v>74</v>
      </c>
      <c r="G3324" t="s">
        <v>75</v>
      </c>
      <c r="H3324" t="s">
        <v>76</v>
      </c>
      <c r="I3324" t="s">
        <v>56</v>
      </c>
      <c r="J3324" t="s">
        <v>179</v>
      </c>
      <c r="K3324" t="s">
        <v>78</v>
      </c>
      <c r="L3324" t="s">
        <v>67</v>
      </c>
      <c r="M3324" t="s">
        <v>68</v>
      </c>
      <c r="N3324" t="s">
        <v>48</v>
      </c>
      <c r="O3324" t="s">
        <v>36</v>
      </c>
      <c r="P3324" t="s">
        <v>58</v>
      </c>
      <c r="Q3324" t="s">
        <v>50</v>
      </c>
      <c r="R3324">
        <v>298</v>
      </c>
      <c r="S3324">
        <v>163</v>
      </c>
      <c r="T3324">
        <v>117</v>
      </c>
      <c r="U3324">
        <v>46</v>
      </c>
      <c r="V3324" t="s">
        <v>6672</v>
      </c>
      <c r="W3324">
        <v>50728</v>
      </c>
      <c r="X3324" t="s">
        <v>7193</v>
      </c>
      <c r="Y3324">
        <v>38229</v>
      </c>
      <c r="Z3324">
        <v>2333488</v>
      </c>
      <c r="AA3324">
        <v>574954</v>
      </c>
      <c r="AB3324" t="str">
        <f>(VLOOKUP(SalesData[[#This Row],[Month Number]],Reference!C$5:E$16,2,FALSE))</f>
        <v>Feb</v>
      </c>
      <c r="AC3324">
        <f>MONTH(SalesData[[#This Row],[Date]])</f>
        <v>2</v>
      </c>
      <c r="AD3324">
        <f>Reference!F$4</f>
        <v>2026</v>
      </c>
      <c r="AE3324" t="str">
        <f>IF(OR(SalesData[[#This Row],[Day]]="Saturday",SalesData[[#This Row],[Day]]="Sunday"),"Weekend","Weekday")</f>
        <v>Weekday</v>
      </c>
      <c r="AF3324" s="5">
        <f>IF(SalesData[[#This Row],[Contracts Offered]]=0,0,SalesData[[#This Row],[Contracts Signed]]/SalesData[[#This Row],[Contracts Offered]])</f>
        <v>0.39316239316239315</v>
      </c>
      <c r="AG3324" s="5">
        <f>IF(SalesData[[#This Row],[Customers Visited]]=0,0,SalesData[[#This Row],[Test Drives]]/SalesData[[#This Row],[Customers Visited]])</f>
        <v>0.54697986577181212</v>
      </c>
      <c r="AH3324" s="5">
        <f>IF(SalesData[[#This Row],[Customers Visited]]=0,0,SalesData[[#This Row],[Contracts Signed]]/SalesData[[#This Row],[Customers Visited]])</f>
        <v>0.15436241610738255</v>
      </c>
      <c r="AI3324" s="6">
        <f>IF(SalesData[[#This Row],[Contracts Signed]]=0,0,SalesData[[#This Row],[Profit(€)]]/SalesData[[#This Row],[Contracts Signed]])</f>
        <v>12499</v>
      </c>
      <c r="AJ3324" s="5" t="str">
        <f>TRIM(CLEAN(SalesData[[#This Row],[Retailer]]))</f>
        <v>Stuttgart Auto Center</v>
      </c>
    </row>
    <row r="3325" spans="1:36" ht="14.25" hidden="1" x14ac:dyDescent="0.2">
      <c r="A3325" t="s">
        <v>4507</v>
      </c>
      <c r="B3325" s="1">
        <v>46065</v>
      </c>
      <c r="C3325" t="s">
        <v>121</v>
      </c>
      <c r="D3325" t="s">
        <v>100</v>
      </c>
      <c r="E3325" t="s">
        <v>26</v>
      </c>
      <c r="F3325" t="s">
        <v>7649</v>
      </c>
      <c r="G3325" t="s">
        <v>55</v>
      </c>
      <c r="H3325" t="s">
        <v>55</v>
      </c>
      <c r="I3325" t="s">
        <v>64</v>
      </c>
      <c r="J3325" t="s">
        <v>7029</v>
      </c>
      <c r="K3325" t="s">
        <v>66</v>
      </c>
      <c r="L3325" t="s">
        <v>33</v>
      </c>
      <c r="M3325" t="s">
        <v>34</v>
      </c>
      <c r="N3325" t="s">
        <v>69</v>
      </c>
      <c r="O3325" t="s">
        <v>36</v>
      </c>
      <c r="P3325" t="s">
        <v>49</v>
      </c>
      <c r="Q3325" t="s">
        <v>88</v>
      </c>
      <c r="R3325">
        <v>194</v>
      </c>
      <c r="S3325">
        <v>107</v>
      </c>
      <c r="T3325">
        <v>77</v>
      </c>
      <c r="U3325">
        <v>26</v>
      </c>
      <c r="V3325" t="s">
        <v>6932</v>
      </c>
      <c r="W3325">
        <v>60346</v>
      </c>
      <c r="X3325" t="s">
        <v>7339</v>
      </c>
      <c r="Y3325">
        <v>42893</v>
      </c>
      <c r="Z3325">
        <v>1568996</v>
      </c>
      <c r="AA3325">
        <v>453778</v>
      </c>
      <c r="AB3325" t="str">
        <f>(VLOOKUP(SalesData[[#This Row],[Month Number]],Reference!C$5:E$16,2,FALSE))</f>
        <v>Feb</v>
      </c>
      <c r="AC3325">
        <f>MONTH(SalesData[[#This Row],[Date]])</f>
        <v>2</v>
      </c>
      <c r="AD3325">
        <f>Reference!F$4</f>
        <v>2026</v>
      </c>
      <c r="AE3325" t="str">
        <f>IF(OR(SalesData[[#This Row],[Day]]="Saturday",SalesData[[#This Row],[Day]]="Sunday"),"Weekend","Weekday")</f>
        <v>Weekday</v>
      </c>
      <c r="AF3325" s="5">
        <f>IF(SalesData[[#This Row],[Contracts Offered]]=0,0,SalesData[[#This Row],[Contracts Signed]]/SalesData[[#This Row],[Contracts Offered]])</f>
        <v>0.33766233766233766</v>
      </c>
      <c r="AG3325" s="5">
        <f>IF(SalesData[[#This Row],[Customers Visited]]=0,0,SalesData[[#This Row],[Test Drives]]/SalesData[[#This Row],[Customers Visited]])</f>
        <v>0.55154639175257736</v>
      </c>
      <c r="AH3325" s="5">
        <f>IF(SalesData[[#This Row],[Customers Visited]]=0,0,SalesData[[#This Row],[Contracts Signed]]/SalesData[[#This Row],[Customers Visited]])</f>
        <v>0.13402061855670103</v>
      </c>
      <c r="AI3325" s="6">
        <f>IF(SalesData[[#This Row],[Contracts Signed]]=0,0,SalesData[[#This Row],[Profit(€)]]/SalesData[[#This Row],[Contracts Signed]])</f>
        <v>17453</v>
      </c>
      <c r="AJ3325" s="5" t="str">
        <f>TRIM(CLEAN(SalesData[[#This Row],[Retailer]]))</f>
        <v>Autohaus Berlin</v>
      </c>
    </row>
    <row r="3326" spans="1:36" ht="14.25" hidden="1" x14ac:dyDescent="0.2">
      <c r="A3326" t="s">
        <v>4508</v>
      </c>
      <c r="B3326" s="1">
        <v>46061</v>
      </c>
      <c r="C3326" t="s">
        <v>121</v>
      </c>
      <c r="D3326" t="s">
        <v>41</v>
      </c>
      <c r="E3326" t="s">
        <v>42</v>
      </c>
      <c r="F3326" t="s">
        <v>7649</v>
      </c>
      <c r="G3326" t="s">
        <v>55</v>
      </c>
      <c r="H3326" t="s">
        <v>55</v>
      </c>
      <c r="I3326" t="s">
        <v>56</v>
      </c>
      <c r="J3326" t="s">
        <v>179</v>
      </c>
      <c r="K3326" t="s">
        <v>78</v>
      </c>
      <c r="L3326" t="s">
        <v>67</v>
      </c>
      <c r="M3326" t="s">
        <v>87</v>
      </c>
      <c r="N3326" t="s">
        <v>69</v>
      </c>
      <c r="O3326" t="s">
        <v>36</v>
      </c>
      <c r="P3326" t="s">
        <v>58</v>
      </c>
      <c r="Q3326" t="s">
        <v>122</v>
      </c>
      <c r="R3326">
        <v>180</v>
      </c>
      <c r="S3326">
        <v>115</v>
      </c>
      <c r="T3326">
        <v>83</v>
      </c>
      <c r="U3326">
        <v>31</v>
      </c>
      <c r="V3326" t="s">
        <v>6506</v>
      </c>
      <c r="W3326">
        <v>42168</v>
      </c>
      <c r="X3326" t="s">
        <v>7073</v>
      </c>
      <c r="Y3326">
        <v>34165</v>
      </c>
      <c r="Z3326">
        <v>1307208</v>
      </c>
      <c r="AA3326">
        <v>248093</v>
      </c>
      <c r="AB3326" t="str">
        <f>(VLOOKUP(SalesData[[#This Row],[Month Number]],Reference!C$5:E$16,2,FALSE))</f>
        <v>Feb</v>
      </c>
      <c r="AC3326">
        <f>MONTH(SalesData[[#This Row],[Date]])</f>
        <v>2</v>
      </c>
      <c r="AD3326">
        <f>Reference!F$4</f>
        <v>2026</v>
      </c>
      <c r="AE3326" t="str">
        <f>IF(OR(SalesData[[#This Row],[Day]]="Saturday",SalesData[[#This Row],[Day]]="Sunday"),"Weekend","Weekday")</f>
        <v>Weekend</v>
      </c>
      <c r="AF3326" s="5">
        <f>IF(SalesData[[#This Row],[Contracts Offered]]=0,0,SalesData[[#This Row],[Contracts Signed]]/SalesData[[#This Row],[Contracts Offered]])</f>
        <v>0.37349397590361444</v>
      </c>
      <c r="AG3326" s="5">
        <f>IF(SalesData[[#This Row],[Customers Visited]]=0,0,SalesData[[#This Row],[Test Drives]]/SalesData[[#This Row],[Customers Visited]])</f>
        <v>0.63888888888888884</v>
      </c>
      <c r="AH3326" s="5">
        <f>IF(SalesData[[#This Row],[Customers Visited]]=0,0,SalesData[[#This Row],[Contracts Signed]]/SalesData[[#This Row],[Customers Visited]])</f>
        <v>0.17222222222222222</v>
      </c>
      <c r="AI3326" s="6">
        <f>IF(SalesData[[#This Row],[Contracts Signed]]=0,0,SalesData[[#This Row],[Profit(€)]]/SalesData[[#This Row],[Contracts Signed]])</f>
        <v>8003</v>
      </c>
      <c r="AJ3326" s="5" t="str">
        <f>TRIM(CLEAN(SalesData[[#This Row],[Retailer]]))</f>
        <v>Autohaus Berlin</v>
      </c>
    </row>
    <row r="3327" spans="1:36" ht="14.25" hidden="1" x14ac:dyDescent="0.2">
      <c r="A3327" t="s">
        <v>4509</v>
      </c>
      <c r="B3327" s="1">
        <v>46081</v>
      </c>
      <c r="C3327" t="s">
        <v>53</v>
      </c>
      <c r="D3327" t="s">
        <v>151</v>
      </c>
      <c r="E3327" t="s">
        <v>42</v>
      </c>
      <c r="F3327" t="s">
        <v>109</v>
      </c>
      <c r="G3327" t="s">
        <v>110</v>
      </c>
      <c r="H3327" t="s">
        <v>45</v>
      </c>
      <c r="I3327" t="s">
        <v>56</v>
      </c>
      <c r="J3327" t="s">
        <v>57</v>
      </c>
      <c r="K3327" t="s">
        <v>66</v>
      </c>
      <c r="L3327" t="s">
        <v>46</v>
      </c>
      <c r="M3327" t="s">
        <v>34</v>
      </c>
      <c r="N3327" t="s">
        <v>69</v>
      </c>
      <c r="O3327" t="s">
        <v>70</v>
      </c>
      <c r="P3327" t="s">
        <v>49</v>
      </c>
      <c r="Q3327" t="s">
        <v>106</v>
      </c>
      <c r="R3327">
        <v>274</v>
      </c>
      <c r="S3327">
        <v>170</v>
      </c>
      <c r="T3327">
        <v>119</v>
      </c>
      <c r="U3327">
        <v>31</v>
      </c>
      <c r="V3327" t="s">
        <v>799</v>
      </c>
      <c r="W3327">
        <v>50719</v>
      </c>
      <c r="X3327" t="s">
        <v>876</v>
      </c>
      <c r="Y3327">
        <v>40905</v>
      </c>
      <c r="Z3327">
        <v>1572289</v>
      </c>
      <c r="AA3327">
        <v>304234</v>
      </c>
      <c r="AB3327" t="str">
        <f>(VLOOKUP(SalesData[[#This Row],[Month Number]],Reference!C$5:E$16,2,FALSE))</f>
        <v>Feb</v>
      </c>
      <c r="AC3327">
        <f>MONTH(SalesData[[#This Row],[Date]])</f>
        <v>2</v>
      </c>
      <c r="AD3327">
        <f>Reference!F$4</f>
        <v>2026</v>
      </c>
      <c r="AE3327" t="str">
        <f>IF(OR(SalesData[[#This Row],[Day]]="Saturday",SalesData[[#This Row],[Day]]="Sunday"),"Weekend","Weekday")</f>
        <v>Weekend</v>
      </c>
      <c r="AF3327" s="5">
        <f>IF(SalesData[[#This Row],[Contracts Offered]]=0,0,SalesData[[#This Row],[Contracts Signed]]/SalesData[[#This Row],[Contracts Offered]])</f>
        <v>0.26050420168067229</v>
      </c>
      <c r="AG3327" s="5">
        <f>IF(SalesData[[#This Row],[Customers Visited]]=0,0,SalesData[[#This Row],[Test Drives]]/SalesData[[#This Row],[Customers Visited]])</f>
        <v>0.62043795620437958</v>
      </c>
      <c r="AH3327" s="5">
        <f>IF(SalesData[[#This Row],[Customers Visited]]=0,0,SalesData[[#This Row],[Contracts Signed]]/SalesData[[#This Row],[Customers Visited]])</f>
        <v>0.11313868613138686</v>
      </c>
      <c r="AI3327" s="6">
        <f>IF(SalesData[[#This Row],[Contracts Signed]]=0,0,SalesData[[#This Row],[Profit(€)]]/SalesData[[#This Row],[Contracts Signed]])</f>
        <v>9814</v>
      </c>
      <c r="AJ3327" s="5" t="str">
        <f>TRIM(CLEAN(SalesData[[#This Row],[Retailer]]))</f>
        <v>Leipzig Mobility</v>
      </c>
    </row>
    <row r="3328" spans="1:36" ht="14.25" hidden="1" x14ac:dyDescent="0.2">
      <c r="A3328" t="s">
        <v>4510</v>
      </c>
      <c r="B3328" s="1">
        <v>46079</v>
      </c>
      <c r="C3328" t="s">
        <v>53</v>
      </c>
      <c r="D3328" t="s">
        <v>100</v>
      </c>
      <c r="E3328" t="s">
        <v>26</v>
      </c>
      <c r="F3328" t="s">
        <v>27</v>
      </c>
      <c r="G3328" t="s">
        <v>28</v>
      </c>
      <c r="H3328" t="s">
        <v>29</v>
      </c>
      <c r="I3328" t="s">
        <v>56</v>
      </c>
      <c r="J3328" t="s">
        <v>57</v>
      </c>
      <c r="K3328" t="s">
        <v>91</v>
      </c>
      <c r="L3328" t="s">
        <v>46</v>
      </c>
      <c r="M3328" t="s">
        <v>47</v>
      </c>
      <c r="N3328" t="s">
        <v>35</v>
      </c>
      <c r="O3328" t="s">
        <v>70</v>
      </c>
      <c r="P3328" t="s">
        <v>58</v>
      </c>
      <c r="Q3328" t="s">
        <v>169</v>
      </c>
      <c r="R3328">
        <v>172</v>
      </c>
      <c r="S3328">
        <v>93</v>
      </c>
      <c r="T3328">
        <v>67</v>
      </c>
      <c r="U3328">
        <v>21</v>
      </c>
      <c r="V3328" t="s">
        <v>6364</v>
      </c>
      <c r="W3328">
        <v>45912</v>
      </c>
      <c r="X3328" t="s">
        <v>3354</v>
      </c>
      <c r="Y3328">
        <v>36553</v>
      </c>
      <c r="Z3328">
        <v>964152</v>
      </c>
      <c r="AA3328">
        <v>196539</v>
      </c>
      <c r="AB3328" t="str">
        <f>(VLOOKUP(SalesData[[#This Row],[Month Number]],Reference!C$5:E$16,2,FALSE))</f>
        <v>Feb</v>
      </c>
      <c r="AC3328">
        <f>MONTH(SalesData[[#This Row],[Date]])</f>
        <v>2</v>
      </c>
      <c r="AD3328">
        <f>Reference!F$4</f>
        <v>2026</v>
      </c>
      <c r="AE3328" t="str">
        <f>IF(OR(SalesData[[#This Row],[Day]]="Saturday",SalesData[[#This Row],[Day]]="Sunday"),"Weekend","Weekday")</f>
        <v>Weekday</v>
      </c>
      <c r="AF3328" s="5">
        <f>IF(SalesData[[#This Row],[Contracts Offered]]=0,0,SalesData[[#This Row],[Contracts Signed]]/SalesData[[#This Row],[Contracts Offered]])</f>
        <v>0.31343283582089554</v>
      </c>
      <c r="AG3328" s="5">
        <f>IF(SalesData[[#This Row],[Customers Visited]]=0,0,SalesData[[#This Row],[Test Drives]]/SalesData[[#This Row],[Customers Visited]])</f>
        <v>0.54069767441860461</v>
      </c>
      <c r="AH3328" s="5">
        <f>IF(SalesData[[#This Row],[Customers Visited]]=0,0,SalesData[[#This Row],[Contracts Signed]]/SalesData[[#This Row],[Customers Visited]])</f>
        <v>0.12209302325581395</v>
      </c>
      <c r="AI3328" s="6">
        <f>IF(SalesData[[#This Row],[Contracts Signed]]=0,0,SalesData[[#This Row],[Profit(€)]]/SalesData[[#This Row],[Contracts Signed]])</f>
        <v>9359</v>
      </c>
      <c r="AJ3328" s="5" t="str">
        <f>TRIM(CLEAN(SalesData[[#This Row],[Retailer]]))</f>
        <v>Main Auto Hub</v>
      </c>
    </row>
    <row r="3329" spans="1:36" ht="14.25" hidden="1" x14ac:dyDescent="0.2">
      <c r="A3329" t="s">
        <v>4511</v>
      </c>
      <c r="B3329" s="1">
        <v>46071</v>
      </c>
      <c r="C3329" t="s">
        <v>62</v>
      </c>
      <c r="D3329" t="s">
        <v>82</v>
      </c>
      <c r="E3329" t="s">
        <v>26</v>
      </c>
      <c r="F3329" t="s">
        <v>94</v>
      </c>
      <c r="G3329" t="s">
        <v>95</v>
      </c>
      <c r="H3329" t="s">
        <v>96</v>
      </c>
      <c r="I3329" t="s">
        <v>116</v>
      </c>
      <c r="J3329" t="s">
        <v>7026</v>
      </c>
      <c r="K3329" t="s">
        <v>78</v>
      </c>
      <c r="L3329" t="s">
        <v>46</v>
      </c>
      <c r="M3329" t="s">
        <v>47</v>
      </c>
      <c r="N3329" t="s">
        <v>35</v>
      </c>
      <c r="O3329" t="s">
        <v>36</v>
      </c>
      <c r="P3329" t="s">
        <v>37</v>
      </c>
      <c r="Q3329" t="s">
        <v>152</v>
      </c>
      <c r="R3329">
        <v>234</v>
      </c>
      <c r="S3329">
        <v>93</v>
      </c>
      <c r="T3329">
        <v>58</v>
      </c>
      <c r="U3329">
        <v>16</v>
      </c>
      <c r="V3329" t="s">
        <v>1642</v>
      </c>
      <c r="W3329">
        <v>26543</v>
      </c>
      <c r="X3329" t="s">
        <v>1381</v>
      </c>
      <c r="Y3329">
        <v>23866</v>
      </c>
      <c r="Z3329">
        <v>424688</v>
      </c>
      <c r="AA3329">
        <v>42832</v>
      </c>
      <c r="AB3329" t="str">
        <f>(VLOOKUP(SalesData[[#This Row],[Month Number]],Reference!C$5:E$16,2,FALSE))</f>
        <v>Feb</v>
      </c>
      <c r="AC3329">
        <f>MONTH(SalesData[[#This Row],[Date]])</f>
        <v>2</v>
      </c>
      <c r="AD3329">
        <f>Reference!F$4</f>
        <v>2026</v>
      </c>
      <c r="AE3329" t="str">
        <f>IF(OR(SalesData[[#This Row],[Day]]="Saturday",SalesData[[#This Row],[Day]]="Sunday"),"Weekend","Weekday")</f>
        <v>Weekday</v>
      </c>
      <c r="AF3329" s="5">
        <f>IF(SalesData[[#This Row],[Contracts Offered]]=0,0,SalesData[[#This Row],[Contracts Signed]]/SalesData[[#This Row],[Contracts Offered]])</f>
        <v>0.27586206896551724</v>
      </c>
      <c r="AG3329" s="5">
        <f>IF(SalesData[[#This Row],[Customers Visited]]=0,0,SalesData[[#This Row],[Test Drives]]/SalesData[[#This Row],[Customers Visited]])</f>
        <v>0.39743589743589741</v>
      </c>
      <c r="AH3329" s="5">
        <f>IF(SalesData[[#This Row],[Customers Visited]]=0,0,SalesData[[#This Row],[Contracts Signed]]/SalesData[[#This Row],[Customers Visited]])</f>
        <v>6.8376068376068383E-2</v>
      </c>
      <c r="AI3329" s="6">
        <f>IF(SalesData[[#This Row],[Contracts Signed]]=0,0,SalesData[[#This Row],[Profit(€)]]/SalesData[[#This Row],[Contracts Signed]])</f>
        <v>2677</v>
      </c>
      <c r="AJ3329" s="5" t="str">
        <f>TRIM(CLEAN(SalesData[[#This Row],[Retailer]]))</f>
        <v>Bavaria Motors</v>
      </c>
    </row>
    <row r="3330" spans="1:36" ht="14.25" hidden="1" x14ac:dyDescent="0.2">
      <c r="A3330" t="s">
        <v>4512</v>
      </c>
      <c r="B3330" s="1">
        <v>46054</v>
      </c>
      <c r="C3330" t="s">
        <v>24</v>
      </c>
      <c r="D3330" t="s">
        <v>41</v>
      </c>
      <c r="E3330" t="s">
        <v>42</v>
      </c>
      <c r="F3330" t="s">
        <v>7649</v>
      </c>
      <c r="G3330" t="s">
        <v>55</v>
      </c>
      <c r="H3330" t="s">
        <v>55</v>
      </c>
      <c r="I3330" t="s">
        <v>56</v>
      </c>
      <c r="J3330" t="s">
        <v>57</v>
      </c>
      <c r="K3330" t="s">
        <v>91</v>
      </c>
      <c r="L3330" t="s">
        <v>46</v>
      </c>
      <c r="M3330" t="s">
        <v>68</v>
      </c>
      <c r="N3330" t="s">
        <v>48</v>
      </c>
      <c r="O3330" t="s">
        <v>36</v>
      </c>
      <c r="P3330" t="s">
        <v>58</v>
      </c>
      <c r="Q3330" t="s">
        <v>38</v>
      </c>
      <c r="R3330">
        <v>178</v>
      </c>
      <c r="S3330">
        <v>107</v>
      </c>
      <c r="T3330">
        <v>81</v>
      </c>
      <c r="U3330">
        <v>29</v>
      </c>
      <c r="V3330" t="s">
        <v>6921</v>
      </c>
      <c r="W3330">
        <v>50691</v>
      </c>
      <c r="X3330" t="s">
        <v>7135</v>
      </c>
      <c r="Y3330">
        <v>40308</v>
      </c>
      <c r="Z3330">
        <v>1470039</v>
      </c>
      <c r="AA3330">
        <v>301107</v>
      </c>
      <c r="AB3330" t="str">
        <f>(VLOOKUP(SalesData[[#This Row],[Month Number]],Reference!C$5:E$16,2,FALSE))</f>
        <v>Feb</v>
      </c>
      <c r="AC3330">
        <f>MONTH(SalesData[[#This Row],[Date]])</f>
        <v>2</v>
      </c>
      <c r="AD3330">
        <f>Reference!F$4</f>
        <v>2026</v>
      </c>
      <c r="AE3330" t="str">
        <f>IF(OR(SalesData[[#This Row],[Day]]="Saturday",SalesData[[#This Row],[Day]]="Sunday"),"Weekend","Weekday")</f>
        <v>Weekend</v>
      </c>
      <c r="AF3330" s="5">
        <f>IF(SalesData[[#This Row],[Contracts Offered]]=0,0,SalesData[[#This Row],[Contracts Signed]]/SalesData[[#This Row],[Contracts Offered]])</f>
        <v>0.35802469135802467</v>
      </c>
      <c r="AG3330" s="5">
        <f>IF(SalesData[[#This Row],[Customers Visited]]=0,0,SalesData[[#This Row],[Test Drives]]/SalesData[[#This Row],[Customers Visited]])</f>
        <v>0.601123595505618</v>
      </c>
      <c r="AH3330" s="5">
        <f>IF(SalesData[[#This Row],[Customers Visited]]=0,0,SalesData[[#This Row],[Contracts Signed]]/SalesData[[#This Row],[Customers Visited]])</f>
        <v>0.16292134831460675</v>
      </c>
      <c r="AI3330" s="6">
        <f>IF(SalesData[[#This Row],[Contracts Signed]]=0,0,SalesData[[#This Row],[Profit(€)]]/SalesData[[#This Row],[Contracts Signed]])</f>
        <v>10383</v>
      </c>
      <c r="AJ3330" s="5" t="str">
        <f>TRIM(CLEAN(SalesData[[#This Row],[Retailer]]))</f>
        <v>Autohaus Berlin</v>
      </c>
    </row>
    <row r="3331" spans="1:36" ht="14.25" hidden="1" x14ac:dyDescent="0.2">
      <c r="A3331" t="s">
        <v>4513</v>
      </c>
      <c r="B3331" s="1">
        <v>46056</v>
      </c>
      <c r="C3331" t="s">
        <v>24</v>
      </c>
      <c r="D3331" t="s">
        <v>63</v>
      </c>
      <c r="E3331" t="s">
        <v>26</v>
      </c>
      <c r="F3331" t="s">
        <v>94</v>
      </c>
      <c r="G3331" t="s">
        <v>95</v>
      </c>
      <c r="H3331" t="s">
        <v>96</v>
      </c>
      <c r="I3331" t="s">
        <v>116</v>
      </c>
      <c r="J3331" t="s">
        <v>7090</v>
      </c>
      <c r="K3331" t="s">
        <v>66</v>
      </c>
      <c r="L3331" t="s">
        <v>46</v>
      </c>
      <c r="M3331" t="s">
        <v>47</v>
      </c>
      <c r="N3331" t="s">
        <v>69</v>
      </c>
      <c r="O3331" t="s">
        <v>36</v>
      </c>
      <c r="P3331" t="s">
        <v>49</v>
      </c>
      <c r="Q3331" t="s">
        <v>167</v>
      </c>
      <c r="R3331">
        <v>382</v>
      </c>
      <c r="S3331">
        <v>166</v>
      </c>
      <c r="T3331">
        <v>98</v>
      </c>
      <c r="U3331">
        <v>26</v>
      </c>
      <c r="V3331" t="s">
        <v>1197</v>
      </c>
      <c r="W3331">
        <v>25222</v>
      </c>
      <c r="X3331" t="s">
        <v>3038</v>
      </c>
      <c r="Y3331">
        <v>22863</v>
      </c>
      <c r="Z3331">
        <v>655772</v>
      </c>
      <c r="AA3331">
        <v>61334</v>
      </c>
      <c r="AB3331" t="str">
        <f>(VLOOKUP(SalesData[[#This Row],[Month Number]],Reference!C$5:E$16,2,FALSE))</f>
        <v>Feb</v>
      </c>
      <c r="AC3331">
        <f>MONTH(SalesData[[#This Row],[Date]])</f>
        <v>2</v>
      </c>
      <c r="AD3331">
        <f>Reference!F$4</f>
        <v>2026</v>
      </c>
      <c r="AE3331" t="str">
        <f>IF(OR(SalesData[[#This Row],[Day]]="Saturday",SalesData[[#This Row],[Day]]="Sunday"),"Weekend","Weekday")</f>
        <v>Weekday</v>
      </c>
      <c r="AF3331" s="5">
        <f>IF(SalesData[[#This Row],[Contracts Offered]]=0,0,SalesData[[#This Row],[Contracts Signed]]/SalesData[[#This Row],[Contracts Offered]])</f>
        <v>0.26530612244897961</v>
      </c>
      <c r="AG3331" s="5">
        <f>IF(SalesData[[#This Row],[Customers Visited]]=0,0,SalesData[[#This Row],[Test Drives]]/SalesData[[#This Row],[Customers Visited]])</f>
        <v>0.43455497382198954</v>
      </c>
      <c r="AH3331" s="5">
        <f>IF(SalesData[[#This Row],[Customers Visited]]=0,0,SalesData[[#This Row],[Contracts Signed]]/SalesData[[#This Row],[Customers Visited]])</f>
        <v>6.8062827225130892E-2</v>
      </c>
      <c r="AI3331" s="6">
        <f>IF(SalesData[[#This Row],[Contracts Signed]]=0,0,SalesData[[#This Row],[Profit(€)]]/SalesData[[#This Row],[Contracts Signed]])</f>
        <v>2359</v>
      </c>
      <c r="AJ3331" s="5" t="str">
        <f>TRIM(CLEAN(SalesData[[#This Row],[Retailer]]))</f>
        <v>Bavaria Motors</v>
      </c>
    </row>
    <row r="3332" spans="1:36" ht="14.25" hidden="1" x14ac:dyDescent="0.2">
      <c r="A3332" t="s">
        <v>4514</v>
      </c>
      <c r="B3332" s="1">
        <v>46068</v>
      </c>
      <c r="C3332" t="s">
        <v>62</v>
      </c>
      <c r="D3332" t="s">
        <v>41</v>
      </c>
      <c r="E3332" t="s">
        <v>42</v>
      </c>
      <c r="F3332" t="s">
        <v>101</v>
      </c>
      <c r="G3332" t="s">
        <v>102</v>
      </c>
      <c r="H3332" t="s">
        <v>103</v>
      </c>
      <c r="I3332" t="s">
        <v>56</v>
      </c>
      <c r="J3332" t="s">
        <v>97</v>
      </c>
      <c r="K3332" t="s">
        <v>78</v>
      </c>
      <c r="L3332" t="s">
        <v>33</v>
      </c>
      <c r="M3332" t="s">
        <v>87</v>
      </c>
      <c r="N3332" t="s">
        <v>69</v>
      </c>
      <c r="O3332" t="s">
        <v>36</v>
      </c>
      <c r="P3332" t="s">
        <v>71</v>
      </c>
      <c r="Q3332" t="s">
        <v>167</v>
      </c>
      <c r="R3332">
        <v>197</v>
      </c>
      <c r="S3332">
        <v>110</v>
      </c>
      <c r="T3332">
        <v>85</v>
      </c>
      <c r="U3332">
        <v>26</v>
      </c>
      <c r="V3332" t="s">
        <v>6902</v>
      </c>
      <c r="W3332">
        <v>40559</v>
      </c>
      <c r="X3332" t="s">
        <v>7170</v>
      </c>
      <c r="Y3332">
        <v>32257</v>
      </c>
      <c r="Z3332">
        <v>1054534</v>
      </c>
      <c r="AA3332">
        <v>215852</v>
      </c>
      <c r="AB3332" t="str">
        <f>(VLOOKUP(SalesData[[#This Row],[Month Number]],Reference!C$5:E$16,2,FALSE))</f>
        <v>Feb</v>
      </c>
      <c r="AC3332">
        <f>MONTH(SalesData[[#This Row],[Date]])</f>
        <v>2</v>
      </c>
      <c r="AD3332">
        <f>Reference!F$4</f>
        <v>2026</v>
      </c>
      <c r="AE3332" t="str">
        <f>IF(OR(SalesData[[#This Row],[Day]]="Saturday",SalesData[[#This Row],[Day]]="Sunday"),"Weekend","Weekday")</f>
        <v>Weekend</v>
      </c>
      <c r="AF3332" s="5">
        <f>IF(SalesData[[#This Row],[Contracts Offered]]=0,0,SalesData[[#This Row],[Contracts Signed]]/SalesData[[#This Row],[Contracts Offered]])</f>
        <v>0.30588235294117649</v>
      </c>
      <c r="AG3332" s="5">
        <f>IF(SalesData[[#This Row],[Customers Visited]]=0,0,SalesData[[#This Row],[Test Drives]]/SalesData[[#This Row],[Customers Visited]])</f>
        <v>0.55837563451776651</v>
      </c>
      <c r="AH3332" s="5">
        <f>IF(SalesData[[#This Row],[Customers Visited]]=0,0,SalesData[[#This Row],[Contracts Signed]]/SalesData[[#This Row],[Customers Visited]])</f>
        <v>0.13197969543147209</v>
      </c>
      <c r="AI3332" s="6">
        <f>IF(SalesData[[#This Row],[Contracts Signed]]=0,0,SalesData[[#This Row],[Profit(€)]]/SalesData[[#This Row],[Contracts Signed]])</f>
        <v>8302</v>
      </c>
      <c r="AJ3332" s="5" t="str">
        <f>TRIM(CLEAN(SalesData[[#This Row],[Retailer]]))</f>
        <v>Ruhr Auto Plaza</v>
      </c>
    </row>
    <row r="3333" spans="1:36" ht="14.25" hidden="1" x14ac:dyDescent="0.2">
      <c r="A3333" t="s">
        <v>4515</v>
      </c>
      <c r="B3333" s="1">
        <v>46061</v>
      </c>
      <c r="C3333" t="s">
        <v>121</v>
      </c>
      <c r="D3333" t="s">
        <v>41</v>
      </c>
      <c r="E3333" t="s">
        <v>42</v>
      </c>
      <c r="F3333" t="s">
        <v>127</v>
      </c>
      <c r="G3333" t="s">
        <v>128</v>
      </c>
      <c r="H3333" t="s">
        <v>103</v>
      </c>
      <c r="I3333" t="s">
        <v>56</v>
      </c>
      <c r="J3333" t="s">
        <v>7028</v>
      </c>
      <c r="K3333" t="s">
        <v>32</v>
      </c>
      <c r="L3333" t="s">
        <v>46</v>
      </c>
      <c r="M3333" t="s">
        <v>68</v>
      </c>
      <c r="N3333" t="s">
        <v>69</v>
      </c>
      <c r="O3333" t="s">
        <v>36</v>
      </c>
      <c r="P3333" t="s">
        <v>37</v>
      </c>
      <c r="Q3333" t="s">
        <v>167</v>
      </c>
      <c r="R3333">
        <v>203</v>
      </c>
      <c r="S3333">
        <v>115</v>
      </c>
      <c r="T3333">
        <v>87</v>
      </c>
      <c r="U3333">
        <v>28</v>
      </c>
      <c r="V3333" t="s">
        <v>6576</v>
      </c>
      <c r="W3333">
        <v>45689</v>
      </c>
      <c r="X3333" t="s">
        <v>273</v>
      </c>
      <c r="Y3333">
        <v>35139</v>
      </c>
      <c r="Z3333">
        <v>1279292</v>
      </c>
      <c r="AA3333">
        <v>295400</v>
      </c>
      <c r="AB3333" t="str">
        <f>(VLOOKUP(SalesData[[#This Row],[Month Number]],Reference!C$5:E$16,2,FALSE))</f>
        <v>Feb</v>
      </c>
      <c r="AC3333">
        <f>MONTH(SalesData[[#This Row],[Date]])</f>
        <v>2</v>
      </c>
      <c r="AD3333">
        <f>Reference!F$4</f>
        <v>2026</v>
      </c>
      <c r="AE3333" t="str">
        <f>IF(OR(SalesData[[#This Row],[Day]]="Saturday",SalesData[[#This Row],[Day]]="Sunday"),"Weekend","Weekday")</f>
        <v>Weekend</v>
      </c>
      <c r="AF3333" s="5">
        <f>IF(SalesData[[#This Row],[Contracts Offered]]=0,0,SalesData[[#This Row],[Contracts Signed]]/SalesData[[#This Row],[Contracts Offered]])</f>
        <v>0.32183908045977011</v>
      </c>
      <c r="AG3333" s="5">
        <f>IF(SalesData[[#This Row],[Customers Visited]]=0,0,SalesData[[#This Row],[Test Drives]]/SalesData[[#This Row],[Customers Visited]])</f>
        <v>0.56650246305418717</v>
      </c>
      <c r="AH3333" s="5">
        <f>IF(SalesData[[#This Row],[Customers Visited]]=0,0,SalesData[[#This Row],[Contracts Signed]]/SalesData[[#This Row],[Customers Visited]])</f>
        <v>0.13793103448275862</v>
      </c>
      <c r="AI3333" s="6">
        <f>IF(SalesData[[#This Row],[Contracts Signed]]=0,0,SalesData[[#This Row],[Profit(€)]]/SalesData[[#This Row],[Contracts Signed]])</f>
        <v>10550</v>
      </c>
      <c r="AJ3333" s="5" t="str">
        <f>TRIM(CLEAN(SalesData[[#This Row],[Retailer]]))</f>
        <v>Rhein Auto Group</v>
      </c>
    </row>
    <row r="3334" spans="1:36" ht="14.25" hidden="1" x14ac:dyDescent="0.2">
      <c r="A3334" t="s">
        <v>4516</v>
      </c>
      <c r="B3334" s="1">
        <v>46070</v>
      </c>
      <c r="C3334" t="s">
        <v>62</v>
      </c>
      <c r="D3334" t="s">
        <v>63</v>
      </c>
      <c r="E3334" t="s">
        <v>26</v>
      </c>
      <c r="F3334" t="s">
        <v>114</v>
      </c>
      <c r="G3334" t="s">
        <v>115</v>
      </c>
      <c r="H3334" t="s">
        <v>115</v>
      </c>
      <c r="I3334" t="s">
        <v>104</v>
      </c>
      <c r="J3334" t="s">
        <v>105</v>
      </c>
      <c r="K3334" t="s">
        <v>32</v>
      </c>
      <c r="L3334" t="s">
        <v>33</v>
      </c>
      <c r="M3334" t="s">
        <v>87</v>
      </c>
      <c r="N3334" t="s">
        <v>69</v>
      </c>
      <c r="O3334" t="s">
        <v>36</v>
      </c>
      <c r="P3334" t="s">
        <v>58</v>
      </c>
      <c r="Q3334" t="s">
        <v>189</v>
      </c>
      <c r="R3334">
        <v>425</v>
      </c>
      <c r="S3334">
        <v>218</v>
      </c>
      <c r="T3334">
        <v>156</v>
      </c>
      <c r="U3334">
        <v>45</v>
      </c>
      <c r="V3334" t="s">
        <v>7474</v>
      </c>
      <c r="W3334">
        <v>33026</v>
      </c>
      <c r="X3334" t="s">
        <v>1983</v>
      </c>
      <c r="Y3334">
        <v>29343</v>
      </c>
      <c r="Z3334">
        <v>1486170</v>
      </c>
      <c r="AA3334">
        <v>165735</v>
      </c>
      <c r="AB3334" t="str">
        <f>(VLOOKUP(SalesData[[#This Row],[Month Number]],Reference!C$5:E$16,2,FALSE))</f>
        <v>Feb</v>
      </c>
      <c r="AC3334">
        <f>MONTH(SalesData[[#This Row],[Date]])</f>
        <v>2</v>
      </c>
      <c r="AD3334">
        <f>Reference!F$4</f>
        <v>2026</v>
      </c>
      <c r="AE3334" t="str">
        <f>IF(OR(SalesData[[#This Row],[Day]]="Saturday",SalesData[[#This Row],[Day]]="Sunday"),"Weekend","Weekday")</f>
        <v>Weekday</v>
      </c>
      <c r="AF3334" s="5">
        <f>IF(SalesData[[#This Row],[Contracts Offered]]=0,0,SalesData[[#This Row],[Contracts Signed]]/SalesData[[#This Row],[Contracts Offered]])</f>
        <v>0.28846153846153844</v>
      </c>
      <c r="AG3334" s="5">
        <f>IF(SalesData[[#This Row],[Customers Visited]]=0,0,SalesData[[#This Row],[Test Drives]]/SalesData[[#This Row],[Customers Visited]])</f>
        <v>0.51294117647058823</v>
      </c>
      <c r="AH3334" s="5">
        <f>IF(SalesData[[#This Row],[Customers Visited]]=0,0,SalesData[[#This Row],[Contracts Signed]]/SalesData[[#This Row],[Customers Visited]])</f>
        <v>0.10588235294117647</v>
      </c>
      <c r="AI3334" s="6">
        <f>IF(SalesData[[#This Row],[Contracts Signed]]=0,0,SalesData[[#This Row],[Profit(€)]]/SalesData[[#This Row],[Contracts Signed]])</f>
        <v>3683</v>
      </c>
      <c r="AJ3334" s="5" t="str">
        <f>TRIM(CLEAN(SalesData[[#This Row],[Retailer]]))</f>
        <v>Elbe Drive</v>
      </c>
    </row>
    <row r="3335" spans="1:36" ht="14.25" hidden="1" x14ac:dyDescent="0.2">
      <c r="A3335" t="s">
        <v>4517</v>
      </c>
      <c r="B3335" s="1">
        <v>46076</v>
      </c>
      <c r="C3335" t="s">
        <v>53</v>
      </c>
      <c r="D3335" t="s">
        <v>25</v>
      </c>
      <c r="E3335" t="s">
        <v>26</v>
      </c>
      <c r="F3335" t="s">
        <v>74</v>
      </c>
      <c r="G3335" t="s">
        <v>75</v>
      </c>
      <c r="H3335" t="s">
        <v>76</v>
      </c>
      <c r="I3335" t="s">
        <v>56</v>
      </c>
      <c r="J3335" t="s">
        <v>179</v>
      </c>
      <c r="K3335" t="s">
        <v>91</v>
      </c>
      <c r="L3335" t="s">
        <v>67</v>
      </c>
      <c r="M3335" t="s">
        <v>68</v>
      </c>
      <c r="N3335" t="s">
        <v>35</v>
      </c>
      <c r="O3335" t="s">
        <v>70</v>
      </c>
      <c r="P3335" t="s">
        <v>49</v>
      </c>
      <c r="Q3335" t="s">
        <v>240</v>
      </c>
      <c r="R3335">
        <v>246</v>
      </c>
      <c r="S3335">
        <v>148</v>
      </c>
      <c r="T3335">
        <v>103</v>
      </c>
      <c r="U3335">
        <v>31</v>
      </c>
      <c r="V3335" t="s">
        <v>6846</v>
      </c>
      <c r="W3335">
        <v>52350</v>
      </c>
      <c r="X3335" t="s">
        <v>7202</v>
      </c>
      <c r="Y3335">
        <v>42728</v>
      </c>
      <c r="Z3335">
        <v>1622850</v>
      </c>
      <c r="AA3335">
        <v>298282</v>
      </c>
      <c r="AB3335" t="str">
        <f>(VLOOKUP(SalesData[[#This Row],[Month Number]],Reference!C$5:E$16,2,FALSE))</f>
        <v>Feb</v>
      </c>
      <c r="AC3335">
        <f>MONTH(SalesData[[#This Row],[Date]])</f>
        <v>2</v>
      </c>
      <c r="AD3335">
        <f>Reference!F$4</f>
        <v>2026</v>
      </c>
      <c r="AE3335" t="str">
        <f>IF(OR(SalesData[[#This Row],[Day]]="Saturday",SalesData[[#This Row],[Day]]="Sunday"),"Weekend","Weekday")</f>
        <v>Weekday</v>
      </c>
      <c r="AF3335" s="5">
        <f>IF(SalesData[[#This Row],[Contracts Offered]]=0,0,SalesData[[#This Row],[Contracts Signed]]/SalesData[[#This Row],[Contracts Offered]])</f>
        <v>0.30097087378640774</v>
      </c>
      <c r="AG3335" s="5">
        <f>IF(SalesData[[#This Row],[Customers Visited]]=0,0,SalesData[[#This Row],[Test Drives]]/SalesData[[#This Row],[Customers Visited]])</f>
        <v>0.60162601626016265</v>
      </c>
      <c r="AH3335" s="5">
        <f>IF(SalesData[[#This Row],[Customers Visited]]=0,0,SalesData[[#This Row],[Contracts Signed]]/SalesData[[#This Row],[Customers Visited]])</f>
        <v>0.12601626016260162</v>
      </c>
      <c r="AI3335" s="6">
        <f>IF(SalesData[[#This Row],[Contracts Signed]]=0,0,SalesData[[#This Row],[Profit(€)]]/SalesData[[#This Row],[Contracts Signed]])</f>
        <v>9622</v>
      </c>
      <c r="AJ3335" s="5" t="str">
        <f>TRIM(CLEAN(SalesData[[#This Row],[Retailer]]))</f>
        <v>Stuttgart Auto Center</v>
      </c>
    </row>
    <row r="3336" spans="1:36" ht="14.25" hidden="1" x14ac:dyDescent="0.2">
      <c r="A3336" t="s">
        <v>4518</v>
      </c>
      <c r="B3336" s="1">
        <v>46062</v>
      </c>
      <c r="C3336" t="s">
        <v>121</v>
      </c>
      <c r="D3336" t="s">
        <v>25</v>
      </c>
      <c r="E3336" t="s">
        <v>26</v>
      </c>
      <c r="F3336" t="s">
        <v>7649</v>
      </c>
      <c r="G3336" t="s">
        <v>55</v>
      </c>
      <c r="H3336" t="s">
        <v>55</v>
      </c>
      <c r="I3336" t="s">
        <v>56</v>
      </c>
      <c r="J3336" t="s">
        <v>137</v>
      </c>
      <c r="K3336" t="s">
        <v>78</v>
      </c>
      <c r="L3336" t="s">
        <v>46</v>
      </c>
      <c r="M3336" t="s">
        <v>68</v>
      </c>
      <c r="N3336" t="s">
        <v>35</v>
      </c>
      <c r="O3336" t="s">
        <v>70</v>
      </c>
      <c r="P3336" t="s">
        <v>49</v>
      </c>
      <c r="Q3336" t="s">
        <v>59</v>
      </c>
      <c r="R3336">
        <v>314</v>
      </c>
      <c r="S3336">
        <v>171</v>
      </c>
      <c r="T3336">
        <v>129</v>
      </c>
      <c r="U3336">
        <v>38</v>
      </c>
      <c r="V3336" t="s">
        <v>6433</v>
      </c>
      <c r="W3336">
        <v>48972</v>
      </c>
      <c r="X3336" t="s">
        <v>7163</v>
      </c>
      <c r="Y3336">
        <v>37432</v>
      </c>
      <c r="Z3336">
        <v>1860936</v>
      </c>
      <c r="AA3336">
        <v>438520</v>
      </c>
      <c r="AB3336" t="str">
        <f>(VLOOKUP(SalesData[[#This Row],[Month Number]],Reference!C$5:E$16,2,FALSE))</f>
        <v>Feb</v>
      </c>
      <c r="AC3336">
        <f>MONTH(SalesData[[#This Row],[Date]])</f>
        <v>2</v>
      </c>
      <c r="AD3336">
        <f>Reference!F$4</f>
        <v>2026</v>
      </c>
      <c r="AE3336" t="str">
        <f>IF(OR(SalesData[[#This Row],[Day]]="Saturday",SalesData[[#This Row],[Day]]="Sunday"),"Weekend","Weekday")</f>
        <v>Weekday</v>
      </c>
      <c r="AF3336" s="5">
        <f>IF(SalesData[[#This Row],[Contracts Offered]]=0,0,SalesData[[#This Row],[Contracts Signed]]/SalesData[[#This Row],[Contracts Offered]])</f>
        <v>0.29457364341085274</v>
      </c>
      <c r="AG3336" s="5">
        <f>IF(SalesData[[#This Row],[Customers Visited]]=0,0,SalesData[[#This Row],[Test Drives]]/SalesData[[#This Row],[Customers Visited]])</f>
        <v>0.54458598726114649</v>
      </c>
      <c r="AH3336" s="5">
        <f>IF(SalesData[[#This Row],[Customers Visited]]=0,0,SalesData[[#This Row],[Contracts Signed]]/SalesData[[#This Row],[Customers Visited]])</f>
        <v>0.12101910828025478</v>
      </c>
      <c r="AI3336" s="6">
        <f>IF(SalesData[[#This Row],[Contracts Signed]]=0,0,SalesData[[#This Row],[Profit(€)]]/SalesData[[#This Row],[Contracts Signed]])</f>
        <v>11540</v>
      </c>
      <c r="AJ3336" s="5" t="str">
        <f>TRIM(CLEAN(SalesData[[#This Row],[Retailer]]))</f>
        <v>Autohaus Berlin</v>
      </c>
    </row>
    <row r="3337" spans="1:36" ht="14.25" hidden="1" x14ac:dyDescent="0.2">
      <c r="A3337" t="s">
        <v>4519</v>
      </c>
      <c r="B3337" s="1">
        <v>46069</v>
      </c>
      <c r="C3337" t="s">
        <v>62</v>
      </c>
      <c r="D3337" t="s">
        <v>25</v>
      </c>
      <c r="E3337" t="s">
        <v>26</v>
      </c>
      <c r="F3337" t="s">
        <v>114</v>
      </c>
      <c r="G3337" t="s">
        <v>115</v>
      </c>
      <c r="H3337" t="s">
        <v>115</v>
      </c>
      <c r="I3337" t="s">
        <v>116</v>
      </c>
      <c r="J3337" t="s">
        <v>203</v>
      </c>
      <c r="K3337" t="s">
        <v>32</v>
      </c>
      <c r="L3337" t="s">
        <v>67</v>
      </c>
      <c r="M3337" t="s">
        <v>34</v>
      </c>
      <c r="N3337" t="s">
        <v>48</v>
      </c>
      <c r="O3337" t="s">
        <v>70</v>
      </c>
      <c r="P3337" t="s">
        <v>37</v>
      </c>
      <c r="Q3337" t="s">
        <v>347</v>
      </c>
      <c r="R3337">
        <v>287</v>
      </c>
      <c r="S3337">
        <v>117</v>
      </c>
      <c r="T3337">
        <v>72</v>
      </c>
      <c r="U3337">
        <v>19</v>
      </c>
      <c r="V3337" t="s">
        <v>1493</v>
      </c>
      <c r="W3337">
        <v>22174</v>
      </c>
      <c r="X3337" t="s">
        <v>175</v>
      </c>
      <c r="Y3337">
        <v>20341</v>
      </c>
      <c r="Z3337">
        <v>421306</v>
      </c>
      <c r="AA3337">
        <v>34827</v>
      </c>
      <c r="AB3337" t="str">
        <f>(VLOOKUP(SalesData[[#This Row],[Month Number]],Reference!C$5:E$16,2,FALSE))</f>
        <v>Feb</v>
      </c>
      <c r="AC3337">
        <f>MONTH(SalesData[[#This Row],[Date]])</f>
        <v>2</v>
      </c>
      <c r="AD3337">
        <f>Reference!F$4</f>
        <v>2026</v>
      </c>
      <c r="AE3337" t="str">
        <f>IF(OR(SalesData[[#This Row],[Day]]="Saturday",SalesData[[#This Row],[Day]]="Sunday"),"Weekend","Weekday")</f>
        <v>Weekday</v>
      </c>
      <c r="AF3337" s="5">
        <f>IF(SalesData[[#This Row],[Contracts Offered]]=0,0,SalesData[[#This Row],[Contracts Signed]]/SalesData[[#This Row],[Contracts Offered]])</f>
        <v>0.2638888888888889</v>
      </c>
      <c r="AG3337" s="5">
        <f>IF(SalesData[[#This Row],[Customers Visited]]=0,0,SalesData[[#This Row],[Test Drives]]/SalesData[[#This Row],[Customers Visited]])</f>
        <v>0.40766550522648082</v>
      </c>
      <c r="AH3337" s="5">
        <f>IF(SalesData[[#This Row],[Customers Visited]]=0,0,SalesData[[#This Row],[Contracts Signed]]/SalesData[[#This Row],[Customers Visited]])</f>
        <v>6.6202090592334492E-2</v>
      </c>
      <c r="AI3337" s="6">
        <f>IF(SalesData[[#This Row],[Contracts Signed]]=0,0,SalesData[[#This Row],[Profit(€)]]/SalesData[[#This Row],[Contracts Signed]])</f>
        <v>1833</v>
      </c>
      <c r="AJ3337" s="5" t="str">
        <f>TRIM(CLEAN(SalesData[[#This Row],[Retailer]]))</f>
        <v>Elbe Drive</v>
      </c>
    </row>
    <row r="3338" spans="1:36" ht="14.25" hidden="1" x14ac:dyDescent="0.2">
      <c r="A3338" t="s">
        <v>4520</v>
      </c>
      <c r="B3338" s="1">
        <v>46081</v>
      </c>
      <c r="C3338" t="s">
        <v>53</v>
      </c>
      <c r="D3338" t="s">
        <v>151</v>
      </c>
      <c r="E3338" t="s">
        <v>42</v>
      </c>
      <c r="F3338" t="s">
        <v>27</v>
      </c>
      <c r="G3338" t="s">
        <v>28</v>
      </c>
      <c r="H3338" t="s">
        <v>29</v>
      </c>
      <c r="I3338" t="s">
        <v>56</v>
      </c>
      <c r="J3338" t="s">
        <v>137</v>
      </c>
      <c r="K3338" t="s">
        <v>78</v>
      </c>
      <c r="L3338" t="s">
        <v>46</v>
      </c>
      <c r="M3338" t="s">
        <v>34</v>
      </c>
      <c r="N3338" t="s">
        <v>69</v>
      </c>
      <c r="O3338" t="s">
        <v>36</v>
      </c>
      <c r="P3338" t="s">
        <v>37</v>
      </c>
      <c r="Q3338" t="s">
        <v>158</v>
      </c>
      <c r="R3338">
        <v>317</v>
      </c>
      <c r="S3338">
        <v>188</v>
      </c>
      <c r="T3338">
        <v>138</v>
      </c>
      <c r="U3338">
        <v>39</v>
      </c>
      <c r="V3338" t="s">
        <v>7440</v>
      </c>
      <c r="W3338">
        <v>43007</v>
      </c>
      <c r="X3338" t="s">
        <v>796</v>
      </c>
      <c r="Y3338">
        <v>34682</v>
      </c>
      <c r="Z3338">
        <v>1677273</v>
      </c>
      <c r="AA3338">
        <v>324675</v>
      </c>
      <c r="AB3338" t="str">
        <f>(VLOOKUP(SalesData[[#This Row],[Month Number]],Reference!C$5:E$16,2,FALSE))</f>
        <v>Feb</v>
      </c>
      <c r="AC3338">
        <f>MONTH(SalesData[[#This Row],[Date]])</f>
        <v>2</v>
      </c>
      <c r="AD3338">
        <f>Reference!F$4</f>
        <v>2026</v>
      </c>
      <c r="AE3338" t="str">
        <f>IF(OR(SalesData[[#This Row],[Day]]="Saturday",SalesData[[#This Row],[Day]]="Sunday"),"Weekend","Weekday")</f>
        <v>Weekend</v>
      </c>
      <c r="AF3338" s="5">
        <f>IF(SalesData[[#This Row],[Contracts Offered]]=0,0,SalesData[[#This Row],[Contracts Signed]]/SalesData[[#This Row],[Contracts Offered]])</f>
        <v>0.28260869565217389</v>
      </c>
      <c r="AG3338" s="5">
        <f>IF(SalesData[[#This Row],[Customers Visited]]=0,0,SalesData[[#This Row],[Test Drives]]/SalesData[[#This Row],[Customers Visited]])</f>
        <v>0.59305993690851733</v>
      </c>
      <c r="AH3338" s="5">
        <f>IF(SalesData[[#This Row],[Customers Visited]]=0,0,SalesData[[#This Row],[Contracts Signed]]/SalesData[[#This Row],[Customers Visited]])</f>
        <v>0.12302839116719243</v>
      </c>
      <c r="AI3338" s="6">
        <f>IF(SalesData[[#This Row],[Contracts Signed]]=0,0,SalesData[[#This Row],[Profit(€)]]/SalesData[[#This Row],[Contracts Signed]])</f>
        <v>8325</v>
      </c>
      <c r="AJ3338" s="5" t="str">
        <f>TRIM(CLEAN(SalesData[[#This Row],[Retailer]]))</f>
        <v>Main Auto Hub</v>
      </c>
    </row>
    <row r="3339" spans="1:36" ht="14.25" hidden="1" x14ac:dyDescent="0.2">
      <c r="A3339" t="s">
        <v>4521</v>
      </c>
      <c r="B3339" s="1">
        <v>46060</v>
      </c>
      <c r="C3339" t="s">
        <v>24</v>
      </c>
      <c r="D3339" t="s">
        <v>151</v>
      </c>
      <c r="E3339" t="s">
        <v>42</v>
      </c>
      <c r="F3339" t="s">
        <v>94</v>
      </c>
      <c r="G3339" t="s">
        <v>95</v>
      </c>
      <c r="H3339" t="s">
        <v>96</v>
      </c>
      <c r="I3339" t="s">
        <v>104</v>
      </c>
      <c r="J3339" t="s">
        <v>7031</v>
      </c>
      <c r="K3339" t="s">
        <v>78</v>
      </c>
      <c r="L3339" t="s">
        <v>46</v>
      </c>
      <c r="M3339" t="s">
        <v>34</v>
      </c>
      <c r="N3339" t="s">
        <v>35</v>
      </c>
      <c r="O3339" t="s">
        <v>36</v>
      </c>
      <c r="P3339" t="s">
        <v>71</v>
      </c>
      <c r="Q3339" t="s">
        <v>50</v>
      </c>
      <c r="R3339">
        <v>511</v>
      </c>
      <c r="S3339">
        <v>263</v>
      </c>
      <c r="T3339">
        <v>188</v>
      </c>
      <c r="U3339">
        <v>46</v>
      </c>
      <c r="V3339" t="s">
        <v>937</v>
      </c>
      <c r="W3339">
        <v>31815</v>
      </c>
      <c r="X3339" t="s">
        <v>7221</v>
      </c>
      <c r="Y3339">
        <v>28081</v>
      </c>
      <c r="Z3339">
        <v>1463490</v>
      </c>
      <c r="AA3339">
        <v>171764</v>
      </c>
      <c r="AB3339" t="str">
        <f>(VLOOKUP(SalesData[[#This Row],[Month Number]],Reference!C$5:E$16,2,FALSE))</f>
        <v>Feb</v>
      </c>
      <c r="AC3339">
        <f>MONTH(SalesData[[#This Row],[Date]])</f>
        <v>2</v>
      </c>
      <c r="AD3339">
        <f>Reference!F$4</f>
        <v>2026</v>
      </c>
      <c r="AE3339" t="str">
        <f>IF(OR(SalesData[[#This Row],[Day]]="Saturday",SalesData[[#This Row],[Day]]="Sunday"),"Weekend","Weekday")</f>
        <v>Weekend</v>
      </c>
      <c r="AF3339" s="5">
        <f>IF(SalesData[[#This Row],[Contracts Offered]]=0,0,SalesData[[#This Row],[Contracts Signed]]/SalesData[[#This Row],[Contracts Offered]])</f>
        <v>0.24468085106382978</v>
      </c>
      <c r="AG3339" s="5">
        <f>IF(SalesData[[#This Row],[Customers Visited]]=0,0,SalesData[[#This Row],[Test Drives]]/SalesData[[#This Row],[Customers Visited]])</f>
        <v>0.51467710371819964</v>
      </c>
      <c r="AH3339" s="5">
        <f>IF(SalesData[[#This Row],[Customers Visited]]=0,0,SalesData[[#This Row],[Contracts Signed]]/SalesData[[#This Row],[Customers Visited]])</f>
        <v>9.0019569471624261E-2</v>
      </c>
      <c r="AI3339" s="6">
        <f>IF(SalesData[[#This Row],[Contracts Signed]]=0,0,SalesData[[#This Row],[Profit(€)]]/SalesData[[#This Row],[Contracts Signed]])</f>
        <v>3734</v>
      </c>
      <c r="AJ3339" s="5" t="str">
        <f>TRIM(CLEAN(SalesData[[#This Row],[Retailer]]))</f>
        <v>Bavaria Motors</v>
      </c>
    </row>
    <row r="3340" spans="1:36" ht="14.25" hidden="1" x14ac:dyDescent="0.2">
      <c r="A3340" t="s">
        <v>4522</v>
      </c>
      <c r="B3340" s="1">
        <v>46056</v>
      </c>
      <c r="C3340" t="s">
        <v>24</v>
      </c>
      <c r="D3340" t="s">
        <v>63</v>
      </c>
      <c r="E3340" t="s">
        <v>26</v>
      </c>
      <c r="F3340" t="s">
        <v>114</v>
      </c>
      <c r="G3340" t="s">
        <v>115</v>
      </c>
      <c r="H3340" t="s">
        <v>115</v>
      </c>
      <c r="I3340" t="s">
        <v>104</v>
      </c>
      <c r="J3340" t="s">
        <v>143</v>
      </c>
      <c r="K3340" t="s">
        <v>91</v>
      </c>
      <c r="L3340" t="s">
        <v>67</v>
      </c>
      <c r="M3340" t="s">
        <v>47</v>
      </c>
      <c r="N3340" t="s">
        <v>48</v>
      </c>
      <c r="O3340" t="s">
        <v>36</v>
      </c>
      <c r="P3340" t="s">
        <v>71</v>
      </c>
      <c r="Q3340" t="s">
        <v>79</v>
      </c>
      <c r="R3340">
        <v>505</v>
      </c>
      <c r="S3340">
        <v>235</v>
      </c>
      <c r="T3340">
        <v>151</v>
      </c>
      <c r="U3340">
        <v>48</v>
      </c>
      <c r="V3340" t="s">
        <v>6907</v>
      </c>
      <c r="W3340">
        <v>33865</v>
      </c>
      <c r="X3340" t="s">
        <v>1042</v>
      </c>
      <c r="Y3340">
        <v>30705</v>
      </c>
      <c r="Z3340">
        <v>1625520</v>
      </c>
      <c r="AA3340">
        <v>151680</v>
      </c>
      <c r="AB3340" t="str">
        <f>(VLOOKUP(SalesData[[#This Row],[Month Number]],Reference!C$5:E$16,2,FALSE))</f>
        <v>Feb</v>
      </c>
      <c r="AC3340">
        <f>MONTH(SalesData[[#This Row],[Date]])</f>
        <v>2</v>
      </c>
      <c r="AD3340">
        <f>Reference!F$4</f>
        <v>2026</v>
      </c>
      <c r="AE3340" t="str">
        <f>IF(OR(SalesData[[#This Row],[Day]]="Saturday",SalesData[[#This Row],[Day]]="Sunday"),"Weekend","Weekday")</f>
        <v>Weekday</v>
      </c>
      <c r="AF3340" s="5">
        <f>IF(SalesData[[#This Row],[Contracts Offered]]=0,0,SalesData[[#This Row],[Contracts Signed]]/SalesData[[#This Row],[Contracts Offered]])</f>
        <v>0.31788079470198677</v>
      </c>
      <c r="AG3340" s="5">
        <f>IF(SalesData[[#This Row],[Customers Visited]]=0,0,SalesData[[#This Row],[Test Drives]]/SalesData[[#This Row],[Customers Visited]])</f>
        <v>0.46534653465346537</v>
      </c>
      <c r="AH3340" s="5">
        <f>IF(SalesData[[#This Row],[Customers Visited]]=0,0,SalesData[[#This Row],[Contracts Signed]]/SalesData[[#This Row],[Customers Visited]])</f>
        <v>9.5049504950495051E-2</v>
      </c>
      <c r="AI3340" s="6">
        <f>IF(SalesData[[#This Row],[Contracts Signed]]=0,0,SalesData[[#This Row],[Profit(€)]]/SalesData[[#This Row],[Contracts Signed]])</f>
        <v>3160</v>
      </c>
      <c r="AJ3340" s="5" t="str">
        <f>TRIM(CLEAN(SalesData[[#This Row],[Retailer]]))</f>
        <v>Elbe Drive</v>
      </c>
    </row>
    <row r="3341" spans="1:36" ht="14.25" hidden="1" x14ac:dyDescent="0.2">
      <c r="A3341" t="s">
        <v>4523</v>
      </c>
      <c r="B3341" s="1">
        <v>46077</v>
      </c>
      <c r="C3341" t="s">
        <v>53</v>
      </c>
      <c r="D3341" t="s">
        <v>63</v>
      </c>
      <c r="E3341" t="s">
        <v>26</v>
      </c>
      <c r="F3341" t="s">
        <v>43</v>
      </c>
      <c r="G3341" t="s">
        <v>44</v>
      </c>
      <c r="H3341" t="s">
        <v>45</v>
      </c>
      <c r="I3341" t="s">
        <v>56</v>
      </c>
      <c r="J3341" t="s">
        <v>137</v>
      </c>
      <c r="K3341" t="s">
        <v>78</v>
      </c>
      <c r="L3341" t="s">
        <v>46</v>
      </c>
      <c r="M3341" t="s">
        <v>87</v>
      </c>
      <c r="N3341" t="s">
        <v>48</v>
      </c>
      <c r="O3341" t="s">
        <v>70</v>
      </c>
      <c r="P3341" t="s">
        <v>37</v>
      </c>
      <c r="Q3341" t="s">
        <v>79</v>
      </c>
      <c r="R3341">
        <v>255</v>
      </c>
      <c r="S3341">
        <v>150</v>
      </c>
      <c r="T3341">
        <v>101</v>
      </c>
      <c r="U3341">
        <v>33</v>
      </c>
      <c r="V3341" t="s">
        <v>6346</v>
      </c>
      <c r="W3341">
        <v>48550</v>
      </c>
      <c r="X3341" t="s">
        <v>4758</v>
      </c>
      <c r="Y3341">
        <v>39364</v>
      </c>
      <c r="Z3341">
        <v>1602150</v>
      </c>
      <c r="AA3341">
        <v>303138</v>
      </c>
      <c r="AB3341" t="str">
        <f>(VLOOKUP(SalesData[[#This Row],[Month Number]],Reference!C$5:E$16,2,FALSE))</f>
        <v>Feb</v>
      </c>
      <c r="AC3341">
        <f>MONTH(SalesData[[#This Row],[Date]])</f>
        <v>2</v>
      </c>
      <c r="AD3341">
        <f>Reference!F$4</f>
        <v>2026</v>
      </c>
      <c r="AE3341" t="str">
        <f>IF(OR(SalesData[[#This Row],[Day]]="Saturday",SalesData[[#This Row],[Day]]="Sunday"),"Weekend","Weekday")</f>
        <v>Weekday</v>
      </c>
      <c r="AF3341" s="5">
        <f>IF(SalesData[[#This Row],[Contracts Offered]]=0,0,SalesData[[#This Row],[Contracts Signed]]/SalesData[[#This Row],[Contracts Offered]])</f>
        <v>0.32673267326732675</v>
      </c>
      <c r="AG3341" s="5">
        <f>IF(SalesData[[#This Row],[Customers Visited]]=0,0,SalesData[[#This Row],[Test Drives]]/SalesData[[#This Row],[Customers Visited]])</f>
        <v>0.58823529411764708</v>
      </c>
      <c r="AH3341" s="5">
        <f>IF(SalesData[[#This Row],[Customers Visited]]=0,0,SalesData[[#This Row],[Contracts Signed]]/SalesData[[#This Row],[Customers Visited]])</f>
        <v>0.12941176470588237</v>
      </c>
      <c r="AI3341" s="6">
        <f>IF(SalesData[[#This Row],[Contracts Signed]]=0,0,SalesData[[#This Row],[Profit(€)]]/SalesData[[#This Row],[Contracts Signed]])</f>
        <v>9186</v>
      </c>
      <c r="AJ3341" s="5" t="str">
        <f>TRIM(CLEAN(SalesData[[#This Row],[Retailer]]))</f>
        <v>Saxon Wheels</v>
      </c>
    </row>
    <row r="3342" spans="1:36" ht="14.25" hidden="1" x14ac:dyDescent="0.2">
      <c r="A3342" t="s">
        <v>4524</v>
      </c>
      <c r="B3342" s="1">
        <v>46076</v>
      </c>
      <c r="C3342" t="s">
        <v>53</v>
      </c>
      <c r="D3342" t="s">
        <v>25</v>
      </c>
      <c r="E3342" t="s">
        <v>26</v>
      </c>
      <c r="F3342" t="s">
        <v>101</v>
      </c>
      <c r="G3342" t="s">
        <v>102</v>
      </c>
      <c r="H3342" t="s">
        <v>103</v>
      </c>
      <c r="I3342" t="s">
        <v>116</v>
      </c>
      <c r="J3342" t="s">
        <v>203</v>
      </c>
      <c r="K3342" t="s">
        <v>78</v>
      </c>
      <c r="L3342" t="s">
        <v>67</v>
      </c>
      <c r="M3342" t="s">
        <v>68</v>
      </c>
      <c r="N3342" t="s">
        <v>48</v>
      </c>
      <c r="O3342" t="s">
        <v>70</v>
      </c>
      <c r="P3342" t="s">
        <v>71</v>
      </c>
      <c r="Q3342" t="s">
        <v>169</v>
      </c>
      <c r="R3342">
        <v>227</v>
      </c>
      <c r="S3342">
        <v>125</v>
      </c>
      <c r="T3342">
        <v>70</v>
      </c>
      <c r="U3342">
        <v>19</v>
      </c>
      <c r="V3342" t="s">
        <v>2827</v>
      </c>
      <c r="W3342">
        <v>21018</v>
      </c>
      <c r="X3342" t="s">
        <v>7338</v>
      </c>
      <c r="Y3342">
        <v>18895</v>
      </c>
      <c r="Z3342">
        <v>399342</v>
      </c>
      <c r="AA3342">
        <v>40337</v>
      </c>
      <c r="AB3342" t="str">
        <f>(VLOOKUP(SalesData[[#This Row],[Month Number]],Reference!C$5:E$16,2,FALSE))</f>
        <v>Feb</v>
      </c>
      <c r="AC3342">
        <f>MONTH(SalesData[[#This Row],[Date]])</f>
        <v>2</v>
      </c>
      <c r="AD3342">
        <f>Reference!F$4</f>
        <v>2026</v>
      </c>
      <c r="AE3342" t="str">
        <f>IF(OR(SalesData[[#This Row],[Day]]="Saturday",SalesData[[#This Row],[Day]]="Sunday"),"Weekend","Weekday")</f>
        <v>Weekday</v>
      </c>
      <c r="AF3342" s="5">
        <f>IF(SalesData[[#This Row],[Contracts Offered]]=0,0,SalesData[[#This Row],[Contracts Signed]]/SalesData[[#This Row],[Contracts Offered]])</f>
        <v>0.27142857142857141</v>
      </c>
      <c r="AG3342" s="5">
        <f>IF(SalesData[[#This Row],[Customers Visited]]=0,0,SalesData[[#This Row],[Test Drives]]/SalesData[[#This Row],[Customers Visited]])</f>
        <v>0.5506607929515418</v>
      </c>
      <c r="AH3342" s="5">
        <f>IF(SalesData[[#This Row],[Customers Visited]]=0,0,SalesData[[#This Row],[Contracts Signed]]/SalesData[[#This Row],[Customers Visited]])</f>
        <v>8.3700440528634359E-2</v>
      </c>
      <c r="AI3342" s="6">
        <f>IF(SalesData[[#This Row],[Contracts Signed]]=0,0,SalesData[[#This Row],[Profit(€)]]/SalesData[[#This Row],[Contracts Signed]])</f>
        <v>2123</v>
      </c>
      <c r="AJ3342" s="5" t="str">
        <f>TRIM(CLEAN(SalesData[[#This Row],[Retailer]]))</f>
        <v>Ruhr Auto Plaza</v>
      </c>
    </row>
    <row r="3343" spans="1:36" ht="14.25" hidden="1" x14ac:dyDescent="0.2">
      <c r="A3343" t="s">
        <v>4525</v>
      </c>
      <c r="B3343" s="1">
        <v>46065</v>
      </c>
      <c r="C3343" t="s">
        <v>121</v>
      </c>
      <c r="D3343" t="s">
        <v>100</v>
      </c>
      <c r="E3343" t="s">
        <v>26</v>
      </c>
      <c r="F3343" t="s">
        <v>43</v>
      </c>
      <c r="G3343" t="s">
        <v>44</v>
      </c>
      <c r="H3343" t="s">
        <v>45</v>
      </c>
      <c r="I3343" t="s">
        <v>56</v>
      </c>
      <c r="J3343" t="s">
        <v>137</v>
      </c>
      <c r="K3343" t="s">
        <v>78</v>
      </c>
      <c r="L3343" t="s">
        <v>46</v>
      </c>
      <c r="M3343" t="s">
        <v>34</v>
      </c>
      <c r="N3343" t="s">
        <v>69</v>
      </c>
      <c r="O3343" t="s">
        <v>36</v>
      </c>
      <c r="P3343" t="s">
        <v>71</v>
      </c>
      <c r="Q3343" t="s">
        <v>169</v>
      </c>
      <c r="R3343">
        <v>214</v>
      </c>
      <c r="S3343">
        <v>109</v>
      </c>
      <c r="T3343">
        <v>74</v>
      </c>
      <c r="U3343">
        <v>24</v>
      </c>
      <c r="V3343" t="s">
        <v>6702</v>
      </c>
      <c r="W3343">
        <v>50460</v>
      </c>
      <c r="X3343" t="s">
        <v>7371</v>
      </c>
      <c r="Y3343">
        <v>40836</v>
      </c>
      <c r="Z3343">
        <v>1211040</v>
      </c>
      <c r="AA3343">
        <v>230976</v>
      </c>
      <c r="AB3343" t="str">
        <f>(VLOOKUP(SalesData[[#This Row],[Month Number]],Reference!C$5:E$16,2,FALSE))</f>
        <v>Feb</v>
      </c>
      <c r="AC3343">
        <f>MONTH(SalesData[[#This Row],[Date]])</f>
        <v>2</v>
      </c>
      <c r="AD3343">
        <f>Reference!F$4</f>
        <v>2026</v>
      </c>
      <c r="AE3343" t="str">
        <f>IF(OR(SalesData[[#This Row],[Day]]="Saturday",SalesData[[#This Row],[Day]]="Sunday"),"Weekend","Weekday")</f>
        <v>Weekday</v>
      </c>
      <c r="AF3343" s="5">
        <f>IF(SalesData[[#This Row],[Contracts Offered]]=0,0,SalesData[[#This Row],[Contracts Signed]]/SalesData[[#This Row],[Contracts Offered]])</f>
        <v>0.32432432432432434</v>
      </c>
      <c r="AG3343" s="5">
        <f>IF(SalesData[[#This Row],[Customers Visited]]=0,0,SalesData[[#This Row],[Test Drives]]/SalesData[[#This Row],[Customers Visited]])</f>
        <v>0.50934579439252337</v>
      </c>
      <c r="AH3343" s="5">
        <f>IF(SalesData[[#This Row],[Customers Visited]]=0,0,SalesData[[#This Row],[Contracts Signed]]/SalesData[[#This Row],[Customers Visited]])</f>
        <v>0.11214953271028037</v>
      </c>
      <c r="AI3343" s="6">
        <f>IF(SalesData[[#This Row],[Contracts Signed]]=0,0,SalesData[[#This Row],[Profit(€)]]/SalesData[[#This Row],[Contracts Signed]])</f>
        <v>9624</v>
      </c>
      <c r="AJ3343" s="5" t="str">
        <f>TRIM(CLEAN(SalesData[[#This Row],[Retailer]]))</f>
        <v>Saxon Wheels</v>
      </c>
    </row>
    <row r="3344" spans="1:36" ht="14.25" hidden="1" x14ac:dyDescent="0.2">
      <c r="A3344" t="s">
        <v>4526</v>
      </c>
      <c r="B3344" s="1">
        <v>46074</v>
      </c>
      <c r="C3344" t="s">
        <v>62</v>
      </c>
      <c r="D3344" t="s">
        <v>151</v>
      </c>
      <c r="E3344" t="s">
        <v>42</v>
      </c>
      <c r="F3344" t="s">
        <v>109</v>
      </c>
      <c r="G3344" t="s">
        <v>110</v>
      </c>
      <c r="H3344" t="s">
        <v>45</v>
      </c>
      <c r="I3344" t="s">
        <v>56</v>
      </c>
      <c r="J3344" t="s">
        <v>57</v>
      </c>
      <c r="K3344" t="s">
        <v>91</v>
      </c>
      <c r="L3344" t="s">
        <v>46</v>
      </c>
      <c r="M3344" t="s">
        <v>47</v>
      </c>
      <c r="N3344" t="s">
        <v>48</v>
      </c>
      <c r="O3344" t="s">
        <v>36</v>
      </c>
      <c r="P3344" t="s">
        <v>71</v>
      </c>
      <c r="Q3344" t="s">
        <v>79</v>
      </c>
      <c r="R3344">
        <v>182</v>
      </c>
      <c r="S3344">
        <v>83</v>
      </c>
      <c r="T3344">
        <v>56</v>
      </c>
      <c r="U3344">
        <v>17</v>
      </c>
      <c r="V3344" t="s">
        <v>6754</v>
      </c>
      <c r="W3344">
        <v>45404</v>
      </c>
      <c r="X3344" t="s">
        <v>7035</v>
      </c>
      <c r="Y3344">
        <v>34235</v>
      </c>
      <c r="Z3344">
        <v>771868</v>
      </c>
      <c r="AA3344">
        <v>189873</v>
      </c>
      <c r="AB3344" t="str">
        <f>(VLOOKUP(SalesData[[#This Row],[Month Number]],Reference!C$5:E$16,2,FALSE))</f>
        <v>Feb</v>
      </c>
      <c r="AC3344">
        <f>MONTH(SalesData[[#This Row],[Date]])</f>
        <v>2</v>
      </c>
      <c r="AD3344">
        <f>Reference!F$4</f>
        <v>2026</v>
      </c>
      <c r="AE3344" t="str">
        <f>IF(OR(SalesData[[#This Row],[Day]]="Saturday",SalesData[[#This Row],[Day]]="Sunday"),"Weekend","Weekday")</f>
        <v>Weekend</v>
      </c>
      <c r="AF3344" s="5">
        <f>IF(SalesData[[#This Row],[Contracts Offered]]=0,0,SalesData[[#This Row],[Contracts Signed]]/SalesData[[#This Row],[Contracts Offered]])</f>
        <v>0.30357142857142855</v>
      </c>
      <c r="AG3344" s="5">
        <f>IF(SalesData[[#This Row],[Customers Visited]]=0,0,SalesData[[#This Row],[Test Drives]]/SalesData[[#This Row],[Customers Visited]])</f>
        <v>0.45604395604395603</v>
      </c>
      <c r="AH3344" s="5">
        <f>IF(SalesData[[#This Row],[Customers Visited]]=0,0,SalesData[[#This Row],[Contracts Signed]]/SalesData[[#This Row],[Customers Visited]])</f>
        <v>9.3406593406593408E-2</v>
      </c>
      <c r="AI3344" s="6">
        <f>IF(SalesData[[#This Row],[Contracts Signed]]=0,0,SalesData[[#This Row],[Profit(€)]]/SalesData[[#This Row],[Contracts Signed]])</f>
        <v>11169</v>
      </c>
      <c r="AJ3344" s="5" t="str">
        <f>TRIM(CLEAN(SalesData[[#This Row],[Retailer]]))</f>
        <v>Leipzig Mobility</v>
      </c>
    </row>
    <row r="3345" spans="1:36" ht="14.25" hidden="1" x14ac:dyDescent="0.2">
      <c r="A3345" t="s">
        <v>4527</v>
      </c>
      <c r="B3345" s="1">
        <v>46056</v>
      </c>
      <c r="C3345" t="s">
        <v>24</v>
      </c>
      <c r="D3345" t="s">
        <v>63</v>
      </c>
      <c r="E3345" t="s">
        <v>26</v>
      </c>
      <c r="F3345" t="s">
        <v>109</v>
      </c>
      <c r="G3345" t="s">
        <v>110</v>
      </c>
      <c r="H3345" t="s">
        <v>45</v>
      </c>
      <c r="I3345" t="s">
        <v>116</v>
      </c>
      <c r="J3345" t="s">
        <v>117</v>
      </c>
      <c r="K3345" t="s">
        <v>78</v>
      </c>
      <c r="L3345" t="s">
        <v>67</v>
      </c>
      <c r="M3345" t="s">
        <v>34</v>
      </c>
      <c r="N3345" t="s">
        <v>69</v>
      </c>
      <c r="O3345" t="s">
        <v>36</v>
      </c>
      <c r="P3345" t="s">
        <v>37</v>
      </c>
      <c r="Q3345" t="s">
        <v>135</v>
      </c>
      <c r="R3345">
        <v>293</v>
      </c>
      <c r="S3345">
        <v>116</v>
      </c>
      <c r="T3345">
        <v>69</v>
      </c>
      <c r="U3345">
        <v>16</v>
      </c>
      <c r="V3345" t="s">
        <v>301</v>
      </c>
      <c r="W3345">
        <v>24510</v>
      </c>
      <c r="X3345" t="s">
        <v>421</v>
      </c>
      <c r="Y3345">
        <v>22170</v>
      </c>
      <c r="Z3345">
        <v>392160</v>
      </c>
      <c r="AA3345">
        <v>37440</v>
      </c>
      <c r="AB3345" t="str">
        <f>(VLOOKUP(SalesData[[#This Row],[Month Number]],Reference!C$5:E$16,2,FALSE))</f>
        <v>Feb</v>
      </c>
      <c r="AC3345">
        <f>MONTH(SalesData[[#This Row],[Date]])</f>
        <v>2</v>
      </c>
      <c r="AD3345">
        <f>Reference!F$4</f>
        <v>2026</v>
      </c>
      <c r="AE3345" t="str">
        <f>IF(OR(SalesData[[#This Row],[Day]]="Saturday",SalesData[[#This Row],[Day]]="Sunday"),"Weekend","Weekday")</f>
        <v>Weekday</v>
      </c>
      <c r="AF3345" s="5">
        <f>IF(SalesData[[#This Row],[Contracts Offered]]=0,0,SalesData[[#This Row],[Contracts Signed]]/SalesData[[#This Row],[Contracts Offered]])</f>
        <v>0.2318840579710145</v>
      </c>
      <c r="AG3345" s="5">
        <f>IF(SalesData[[#This Row],[Customers Visited]]=0,0,SalesData[[#This Row],[Test Drives]]/SalesData[[#This Row],[Customers Visited]])</f>
        <v>0.39590443686006827</v>
      </c>
      <c r="AH3345" s="5">
        <f>IF(SalesData[[#This Row],[Customers Visited]]=0,0,SalesData[[#This Row],[Contracts Signed]]/SalesData[[#This Row],[Customers Visited]])</f>
        <v>5.4607508532423209E-2</v>
      </c>
      <c r="AI3345" s="6">
        <f>IF(SalesData[[#This Row],[Contracts Signed]]=0,0,SalesData[[#This Row],[Profit(€)]]/SalesData[[#This Row],[Contracts Signed]])</f>
        <v>2340</v>
      </c>
      <c r="AJ3345" s="5" t="str">
        <f>TRIM(CLEAN(SalesData[[#This Row],[Retailer]]))</f>
        <v>Leipzig Mobility</v>
      </c>
    </row>
    <row r="3346" spans="1:36" ht="14.25" hidden="1" x14ac:dyDescent="0.2">
      <c r="A3346" t="s">
        <v>4528</v>
      </c>
      <c r="B3346" s="1">
        <v>46060</v>
      </c>
      <c r="C3346" t="s">
        <v>24</v>
      </c>
      <c r="D3346" t="s">
        <v>151</v>
      </c>
      <c r="E3346" t="s">
        <v>42</v>
      </c>
      <c r="F3346" t="s">
        <v>127</v>
      </c>
      <c r="G3346" t="s">
        <v>128</v>
      </c>
      <c r="H3346" t="s">
        <v>103</v>
      </c>
      <c r="I3346" t="s">
        <v>56</v>
      </c>
      <c r="J3346" t="s">
        <v>7028</v>
      </c>
      <c r="K3346" t="s">
        <v>32</v>
      </c>
      <c r="L3346" t="s">
        <v>46</v>
      </c>
      <c r="M3346" t="s">
        <v>87</v>
      </c>
      <c r="N3346" t="s">
        <v>48</v>
      </c>
      <c r="O3346" t="s">
        <v>36</v>
      </c>
      <c r="P3346" t="s">
        <v>37</v>
      </c>
      <c r="Q3346" t="s">
        <v>240</v>
      </c>
      <c r="R3346">
        <v>198</v>
      </c>
      <c r="S3346">
        <v>111</v>
      </c>
      <c r="T3346">
        <v>71</v>
      </c>
      <c r="U3346">
        <v>27</v>
      </c>
      <c r="V3346" t="s">
        <v>6378</v>
      </c>
      <c r="W3346">
        <v>53012</v>
      </c>
      <c r="X3346" t="s">
        <v>7593</v>
      </c>
      <c r="Y3346">
        <v>40644</v>
      </c>
      <c r="Z3346">
        <v>1431324</v>
      </c>
      <c r="AA3346">
        <v>333936</v>
      </c>
      <c r="AB3346" t="str">
        <f>(VLOOKUP(SalesData[[#This Row],[Month Number]],Reference!C$5:E$16,2,FALSE))</f>
        <v>Feb</v>
      </c>
      <c r="AC3346">
        <f>MONTH(SalesData[[#This Row],[Date]])</f>
        <v>2</v>
      </c>
      <c r="AD3346">
        <f>Reference!F$4</f>
        <v>2026</v>
      </c>
      <c r="AE3346" t="str">
        <f>IF(OR(SalesData[[#This Row],[Day]]="Saturday",SalesData[[#This Row],[Day]]="Sunday"),"Weekend","Weekday")</f>
        <v>Weekend</v>
      </c>
      <c r="AF3346" s="5">
        <f>IF(SalesData[[#This Row],[Contracts Offered]]=0,0,SalesData[[#This Row],[Contracts Signed]]/SalesData[[#This Row],[Contracts Offered]])</f>
        <v>0.38028169014084506</v>
      </c>
      <c r="AG3346" s="5">
        <f>IF(SalesData[[#This Row],[Customers Visited]]=0,0,SalesData[[#This Row],[Test Drives]]/SalesData[[#This Row],[Customers Visited]])</f>
        <v>0.56060606060606055</v>
      </c>
      <c r="AH3346" s="5">
        <f>IF(SalesData[[#This Row],[Customers Visited]]=0,0,SalesData[[#This Row],[Contracts Signed]]/SalesData[[#This Row],[Customers Visited]])</f>
        <v>0.13636363636363635</v>
      </c>
      <c r="AI3346" s="6">
        <f>IF(SalesData[[#This Row],[Contracts Signed]]=0,0,SalesData[[#This Row],[Profit(€)]]/SalesData[[#This Row],[Contracts Signed]])</f>
        <v>12368</v>
      </c>
      <c r="AJ3346" s="5" t="str">
        <f>TRIM(CLEAN(SalesData[[#This Row],[Retailer]]))</f>
        <v>Rhein Auto Group</v>
      </c>
    </row>
    <row r="3347" spans="1:36" ht="14.25" hidden="1" x14ac:dyDescent="0.2">
      <c r="A3347" t="s">
        <v>4530</v>
      </c>
      <c r="B3347" s="1">
        <v>46059</v>
      </c>
      <c r="C3347" t="s">
        <v>24</v>
      </c>
      <c r="D3347" t="s">
        <v>54</v>
      </c>
      <c r="E3347" t="s">
        <v>26</v>
      </c>
      <c r="F3347" t="s">
        <v>7649</v>
      </c>
      <c r="G3347" t="s">
        <v>55</v>
      </c>
      <c r="H3347" t="s">
        <v>55</v>
      </c>
      <c r="I3347" t="s">
        <v>104</v>
      </c>
      <c r="J3347" t="s">
        <v>140</v>
      </c>
      <c r="K3347" t="s">
        <v>91</v>
      </c>
      <c r="L3347" t="s">
        <v>46</v>
      </c>
      <c r="M3347" t="s">
        <v>34</v>
      </c>
      <c r="N3347" t="s">
        <v>35</v>
      </c>
      <c r="O3347" t="s">
        <v>70</v>
      </c>
      <c r="P3347" t="s">
        <v>71</v>
      </c>
      <c r="Q3347" t="s">
        <v>189</v>
      </c>
      <c r="R3347">
        <v>267</v>
      </c>
      <c r="S3347">
        <v>121</v>
      </c>
      <c r="T3347">
        <v>74</v>
      </c>
      <c r="U3347">
        <v>23</v>
      </c>
      <c r="V3347" t="s">
        <v>1825</v>
      </c>
      <c r="W3347">
        <v>29339</v>
      </c>
      <c r="X3347" t="s">
        <v>7267</v>
      </c>
      <c r="Y3347">
        <v>26018</v>
      </c>
      <c r="Z3347">
        <v>674797</v>
      </c>
      <c r="AA3347">
        <v>76383</v>
      </c>
      <c r="AB3347" t="str">
        <f>(VLOOKUP(SalesData[[#This Row],[Month Number]],Reference!C$5:E$16,2,FALSE))</f>
        <v>Feb</v>
      </c>
      <c r="AC3347">
        <f>MONTH(SalesData[[#This Row],[Date]])</f>
        <v>2</v>
      </c>
      <c r="AD3347">
        <f>Reference!F$4</f>
        <v>2026</v>
      </c>
      <c r="AE3347" t="str">
        <f>IF(OR(SalesData[[#This Row],[Day]]="Saturday",SalesData[[#This Row],[Day]]="Sunday"),"Weekend","Weekday")</f>
        <v>Weekday</v>
      </c>
      <c r="AF3347" s="5">
        <f>IF(SalesData[[#This Row],[Contracts Offered]]=0,0,SalesData[[#This Row],[Contracts Signed]]/SalesData[[#This Row],[Contracts Offered]])</f>
        <v>0.3108108108108108</v>
      </c>
      <c r="AG3347" s="5">
        <f>IF(SalesData[[#This Row],[Customers Visited]]=0,0,SalesData[[#This Row],[Test Drives]]/SalesData[[#This Row],[Customers Visited]])</f>
        <v>0.45318352059925093</v>
      </c>
      <c r="AH3347" s="5">
        <f>IF(SalesData[[#This Row],[Customers Visited]]=0,0,SalesData[[#This Row],[Contracts Signed]]/SalesData[[#This Row],[Customers Visited]])</f>
        <v>8.6142322097378279E-2</v>
      </c>
      <c r="AI3347" s="6">
        <f>IF(SalesData[[#This Row],[Contracts Signed]]=0,0,SalesData[[#This Row],[Profit(€)]]/SalesData[[#This Row],[Contracts Signed]])</f>
        <v>3321</v>
      </c>
      <c r="AJ3347" s="5" t="str">
        <f>TRIM(CLEAN(SalesData[[#This Row],[Retailer]]))</f>
        <v>Autohaus Berlin</v>
      </c>
    </row>
    <row r="3348" spans="1:36" ht="14.25" hidden="1" x14ac:dyDescent="0.2">
      <c r="A3348" t="s">
        <v>4531</v>
      </c>
      <c r="B3348" s="1">
        <v>46075</v>
      </c>
      <c r="C3348" t="s">
        <v>53</v>
      </c>
      <c r="D3348" t="s">
        <v>41</v>
      </c>
      <c r="E3348" t="s">
        <v>42</v>
      </c>
      <c r="F3348" t="s">
        <v>27</v>
      </c>
      <c r="G3348" t="s">
        <v>28</v>
      </c>
      <c r="H3348" t="s">
        <v>29</v>
      </c>
      <c r="I3348" t="s">
        <v>56</v>
      </c>
      <c r="J3348" t="s">
        <v>57</v>
      </c>
      <c r="K3348" t="s">
        <v>66</v>
      </c>
      <c r="L3348" t="s">
        <v>46</v>
      </c>
      <c r="M3348" t="s">
        <v>47</v>
      </c>
      <c r="N3348" t="s">
        <v>48</v>
      </c>
      <c r="O3348" t="s">
        <v>36</v>
      </c>
      <c r="P3348" t="s">
        <v>37</v>
      </c>
      <c r="Q3348" t="s">
        <v>167</v>
      </c>
      <c r="R3348">
        <v>224</v>
      </c>
      <c r="S3348">
        <v>140</v>
      </c>
      <c r="T3348">
        <v>105</v>
      </c>
      <c r="U3348">
        <v>31</v>
      </c>
      <c r="V3348" t="s">
        <v>6962</v>
      </c>
      <c r="W3348">
        <v>52434</v>
      </c>
      <c r="X3348" t="s">
        <v>1047</v>
      </c>
      <c r="Y3348">
        <v>42993</v>
      </c>
      <c r="Z3348">
        <v>1625454</v>
      </c>
      <c r="AA3348">
        <v>292671</v>
      </c>
      <c r="AB3348" t="str">
        <f>(VLOOKUP(SalesData[[#This Row],[Month Number]],Reference!C$5:E$16,2,FALSE))</f>
        <v>Feb</v>
      </c>
      <c r="AC3348">
        <f>MONTH(SalesData[[#This Row],[Date]])</f>
        <v>2</v>
      </c>
      <c r="AD3348">
        <f>Reference!F$4</f>
        <v>2026</v>
      </c>
      <c r="AE3348" t="str">
        <f>IF(OR(SalesData[[#This Row],[Day]]="Saturday",SalesData[[#This Row],[Day]]="Sunday"),"Weekend","Weekday")</f>
        <v>Weekend</v>
      </c>
      <c r="AF3348" s="5">
        <f>IF(SalesData[[#This Row],[Contracts Offered]]=0,0,SalesData[[#This Row],[Contracts Signed]]/SalesData[[#This Row],[Contracts Offered]])</f>
        <v>0.29523809523809524</v>
      </c>
      <c r="AG3348" s="5">
        <f>IF(SalesData[[#This Row],[Customers Visited]]=0,0,SalesData[[#This Row],[Test Drives]]/SalesData[[#This Row],[Customers Visited]])</f>
        <v>0.625</v>
      </c>
      <c r="AH3348" s="5">
        <f>IF(SalesData[[#This Row],[Customers Visited]]=0,0,SalesData[[#This Row],[Contracts Signed]]/SalesData[[#This Row],[Customers Visited]])</f>
        <v>0.13839285714285715</v>
      </c>
      <c r="AI3348" s="6">
        <f>IF(SalesData[[#This Row],[Contracts Signed]]=0,0,SalesData[[#This Row],[Profit(€)]]/SalesData[[#This Row],[Contracts Signed]])</f>
        <v>9441</v>
      </c>
      <c r="AJ3348" s="5" t="str">
        <f>TRIM(CLEAN(SalesData[[#This Row],[Retailer]]))</f>
        <v>Main Auto Hub</v>
      </c>
    </row>
    <row r="3349" spans="1:36" ht="14.25" x14ac:dyDescent="0.2">
      <c r="A3349" t="s">
        <v>4533</v>
      </c>
      <c r="B3349" s="1">
        <v>46069</v>
      </c>
      <c r="C3349" t="s">
        <v>62</v>
      </c>
      <c r="D3349" t="s">
        <v>25</v>
      </c>
      <c r="E3349" t="s">
        <v>26</v>
      </c>
      <c r="F3349" t="s">
        <v>74</v>
      </c>
      <c r="G3349" t="s">
        <v>75</v>
      </c>
      <c r="H3349" t="s">
        <v>76</v>
      </c>
      <c r="I3349" t="s">
        <v>30</v>
      </c>
      <c r="J3349" t="s">
        <v>166</v>
      </c>
      <c r="K3349" t="s">
        <v>32</v>
      </c>
      <c r="L3349" t="s">
        <v>46</v>
      </c>
      <c r="M3349" t="s">
        <v>68</v>
      </c>
      <c r="N3349" t="s">
        <v>69</v>
      </c>
      <c r="O3349" t="s">
        <v>70</v>
      </c>
      <c r="P3349" t="s">
        <v>49</v>
      </c>
      <c r="Q3349" t="s">
        <v>172</v>
      </c>
      <c r="R3349">
        <v>184</v>
      </c>
      <c r="S3349">
        <v>87</v>
      </c>
      <c r="T3349">
        <v>59</v>
      </c>
      <c r="U3349">
        <v>24</v>
      </c>
      <c r="V3349" t="s">
        <v>6612</v>
      </c>
      <c r="W3349">
        <v>53417</v>
      </c>
      <c r="X3349" t="s">
        <v>39</v>
      </c>
      <c r="Y3349">
        <v>40170</v>
      </c>
      <c r="Z3349">
        <v>1282008</v>
      </c>
      <c r="AA3349">
        <v>317928</v>
      </c>
      <c r="AB3349" t="str">
        <f>(VLOOKUP(SalesData[[#This Row],[Month Number]],Reference!C$5:E$16,2,FALSE))</f>
        <v>Feb</v>
      </c>
      <c r="AC3349">
        <f>MONTH(SalesData[[#This Row],[Date]])</f>
        <v>2</v>
      </c>
      <c r="AD3349">
        <f>Reference!F$4</f>
        <v>2026</v>
      </c>
      <c r="AE3349" t="str">
        <f>IF(OR(SalesData[[#This Row],[Day]]="Saturday",SalesData[[#This Row],[Day]]="Sunday"),"Weekend","Weekday")</f>
        <v>Weekday</v>
      </c>
      <c r="AF3349" s="5">
        <f>IF(SalesData[[#This Row],[Contracts Offered]]=0,0,SalesData[[#This Row],[Contracts Signed]]/SalesData[[#This Row],[Contracts Offered]])</f>
        <v>0.40677966101694918</v>
      </c>
      <c r="AG3349" s="5">
        <f>IF(SalesData[[#This Row],[Customers Visited]]=0,0,SalesData[[#This Row],[Test Drives]]/SalesData[[#This Row],[Customers Visited]])</f>
        <v>0.47282608695652173</v>
      </c>
      <c r="AH3349" s="5">
        <f>IF(SalesData[[#This Row],[Customers Visited]]=0,0,SalesData[[#This Row],[Contracts Signed]]/SalesData[[#This Row],[Customers Visited]])</f>
        <v>0.13043478260869565</v>
      </c>
      <c r="AI3349" s="6">
        <f>IF(SalesData[[#This Row],[Contracts Signed]]=0,0,SalesData[[#This Row],[Profit(€)]]/SalesData[[#This Row],[Contracts Signed]])</f>
        <v>13247</v>
      </c>
      <c r="AJ3349" s="5" t="str">
        <f>TRIM(CLEAN(SalesData[[#This Row],[Retailer]]))</f>
        <v>Stuttgart Auto Center</v>
      </c>
    </row>
    <row r="3350" spans="1:36" ht="14.25" x14ac:dyDescent="0.2">
      <c r="A3350" t="s">
        <v>4534</v>
      </c>
      <c r="B3350" s="1">
        <v>46056</v>
      </c>
      <c r="C3350" t="s">
        <v>24</v>
      </c>
      <c r="D3350" t="s">
        <v>63</v>
      </c>
      <c r="E3350" t="s">
        <v>26</v>
      </c>
      <c r="F3350" t="s">
        <v>74</v>
      </c>
      <c r="G3350" t="s">
        <v>75</v>
      </c>
      <c r="H3350" t="s">
        <v>76</v>
      </c>
      <c r="I3350" t="s">
        <v>30</v>
      </c>
      <c r="J3350" t="s">
        <v>7075</v>
      </c>
      <c r="K3350" t="s">
        <v>66</v>
      </c>
      <c r="L3350" t="s">
        <v>33</v>
      </c>
      <c r="M3350" t="s">
        <v>47</v>
      </c>
      <c r="N3350" t="s">
        <v>48</v>
      </c>
      <c r="O3350" t="s">
        <v>70</v>
      </c>
      <c r="P3350" t="s">
        <v>37</v>
      </c>
      <c r="Q3350" t="s">
        <v>158</v>
      </c>
      <c r="R3350">
        <v>213</v>
      </c>
      <c r="S3350">
        <v>118</v>
      </c>
      <c r="T3350">
        <v>92</v>
      </c>
      <c r="U3350">
        <v>34</v>
      </c>
      <c r="V3350" t="s">
        <v>6438</v>
      </c>
      <c r="W3350">
        <v>57835</v>
      </c>
      <c r="X3350" t="s">
        <v>7044</v>
      </c>
      <c r="Y3350">
        <v>41166</v>
      </c>
      <c r="Z3350">
        <v>1966390</v>
      </c>
      <c r="AA3350">
        <v>566746</v>
      </c>
      <c r="AB3350" t="str">
        <f>(VLOOKUP(SalesData[[#This Row],[Month Number]],Reference!C$5:E$16,2,FALSE))</f>
        <v>Feb</v>
      </c>
      <c r="AC3350">
        <f>MONTH(SalesData[[#This Row],[Date]])</f>
        <v>2</v>
      </c>
      <c r="AD3350">
        <f>Reference!F$4</f>
        <v>2026</v>
      </c>
      <c r="AE3350" t="str">
        <f>IF(OR(SalesData[[#This Row],[Day]]="Saturday",SalesData[[#This Row],[Day]]="Sunday"),"Weekend","Weekday")</f>
        <v>Weekday</v>
      </c>
      <c r="AF3350" s="5">
        <f>IF(SalesData[[#This Row],[Contracts Offered]]=0,0,SalesData[[#This Row],[Contracts Signed]]/SalesData[[#This Row],[Contracts Offered]])</f>
        <v>0.36956521739130432</v>
      </c>
      <c r="AG3350" s="5">
        <f>IF(SalesData[[#This Row],[Customers Visited]]=0,0,SalesData[[#This Row],[Test Drives]]/SalesData[[#This Row],[Customers Visited]])</f>
        <v>0.5539906103286385</v>
      </c>
      <c r="AH3350" s="5">
        <f>IF(SalesData[[#This Row],[Customers Visited]]=0,0,SalesData[[#This Row],[Contracts Signed]]/SalesData[[#This Row],[Customers Visited]])</f>
        <v>0.15962441314553991</v>
      </c>
      <c r="AI3350" s="6">
        <f>IF(SalesData[[#This Row],[Contracts Signed]]=0,0,SalesData[[#This Row],[Profit(€)]]/SalesData[[#This Row],[Contracts Signed]])</f>
        <v>16669</v>
      </c>
      <c r="AJ3350" s="5" t="str">
        <f>TRIM(CLEAN(SalesData[[#This Row],[Retailer]]))</f>
        <v>Stuttgart Auto Center</v>
      </c>
    </row>
    <row r="3351" spans="1:36" ht="14.25" hidden="1" x14ac:dyDescent="0.2">
      <c r="A3351" t="s">
        <v>4535</v>
      </c>
      <c r="B3351" s="1">
        <v>46056</v>
      </c>
      <c r="C3351" t="s">
        <v>24</v>
      </c>
      <c r="D3351" t="s">
        <v>63</v>
      </c>
      <c r="E3351" t="s">
        <v>26</v>
      </c>
      <c r="F3351" t="s">
        <v>7649</v>
      </c>
      <c r="G3351" t="s">
        <v>55</v>
      </c>
      <c r="H3351" t="s">
        <v>55</v>
      </c>
      <c r="I3351" t="s">
        <v>116</v>
      </c>
      <c r="J3351" t="s">
        <v>7090</v>
      </c>
      <c r="K3351" t="s">
        <v>66</v>
      </c>
      <c r="L3351" t="s">
        <v>46</v>
      </c>
      <c r="M3351" t="s">
        <v>34</v>
      </c>
      <c r="N3351" t="s">
        <v>48</v>
      </c>
      <c r="O3351" t="s">
        <v>36</v>
      </c>
      <c r="P3351" t="s">
        <v>49</v>
      </c>
      <c r="Q3351" t="s">
        <v>79</v>
      </c>
      <c r="R3351">
        <v>404</v>
      </c>
      <c r="S3351">
        <v>225</v>
      </c>
      <c r="T3351">
        <v>156</v>
      </c>
      <c r="U3351">
        <v>42</v>
      </c>
      <c r="V3351" t="s">
        <v>935</v>
      </c>
      <c r="W3351">
        <v>26389</v>
      </c>
      <c r="X3351" t="s">
        <v>7595</v>
      </c>
      <c r="Y3351">
        <v>23783</v>
      </c>
      <c r="Z3351">
        <v>1108338</v>
      </c>
      <c r="AA3351">
        <v>109452</v>
      </c>
      <c r="AB3351" t="str">
        <f>(VLOOKUP(SalesData[[#This Row],[Month Number]],Reference!C$5:E$16,2,FALSE))</f>
        <v>Feb</v>
      </c>
      <c r="AC3351">
        <f>MONTH(SalesData[[#This Row],[Date]])</f>
        <v>2</v>
      </c>
      <c r="AD3351">
        <f>Reference!F$4</f>
        <v>2026</v>
      </c>
      <c r="AE3351" t="str">
        <f>IF(OR(SalesData[[#This Row],[Day]]="Saturday",SalesData[[#This Row],[Day]]="Sunday"),"Weekend","Weekday")</f>
        <v>Weekday</v>
      </c>
      <c r="AF3351" s="5">
        <f>IF(SalesData[[#This Row],[Contracts Offered]]=0,0,SalesData[[#This Row],[Contracts Signed]]/SalesData[[#This Row],[Contracts Offered]])</f>
        <v>0.26923076923076922</v>
      </c>
      <c r="AG3351" s="5">
        <f>IF(SalesData[[#This Row],[Customers Visited]]=0,0,SalesData[[#This Row],[Test Drives]]/SalesData[[#This Row],[Customers Visited]])</f>
        <v>0.55693069306930698</v>
      </c>
      <c r="AH3351" s="5">
        <f>IF(SalesData[[#This Row],[Customers Visited]]=0,0,SalesData[[#This Row],[Contracts Signed]]/SalesData[[#This Row],[Customers Visited]])</f>
        <v>0.10396039603960396</v>
      </c>
      <c r="AI3351" s="6">
        <f>IF(SalesData[[#This Row],[Contracts Signed]]=0,0,SalesData[[#This Row],[Profit(€)]]/SalesData[[#This Row],[Contracts Signed]])</f>
        <v>2606</v>
      </c>
      <c r="AJ3351" s="5" t="str">
        <f>TRIM(CLEAN(SalesData[[#This Row],[Retailer]]))</f>
        <v>Autohaus Berlin</v>
      </c>
    </row>
    <row r="3352" spans="1:36" ht="14.25" hidden="1" x14ac:dyDescent="0.2">
      <c r="A3352" t="s">
        <v>4536</v>
      </c>
      <c r="B3352" s="1">
        <v>46060</v>
      </c>
      <c r="C3352" t="s">
        <v>24</v>
      </c>
      <c r="D3352" t="s">
        <v>151</v>
      </c>
      <c r="E3352" t="s">
        <v>42</v>
      </c>
      <c r="F3352" t="s">
        <v>43</v>
      </c>
      <c r="G3352" t="s">
        <v>44</v>
      </c>
      <c r="H3352" t="s">
        <v>45</v>
      </c>
      <c r="I3352" t="s">
        <v>116</v>
      </c>
      <c r="J3352" t="s">
        <v>7090</v>
      </c>
      <c r="K3352" t="s">
        <v>91</v>
      </c>
      <c r="L3352" t="s">
        <v>46</v>
      </c>
      <c r="M3352" t="s">
        <v>68</v>
      </c>
      <c r="N3352" t="s">
        <v>69</v>
      </c>
      <c r="O3352" t="s">
        <v>70</v>
      </c>
      <c r="P3352" t="s">
        <v>49</v>
      </c>
      <c r="Q3352" t="s">
        <v>169</v>
      </c>
      <c r="R3352">
        <v>224</v>
      </c>
      <c r="S3352">
        <v>91</v>
      </c>
      <c r="T3352">
        <v>55</v>
      </c>
      <c r="U3352">
        <v>9</v>
      </c>
      <c r="V3352" t="s">
        <v>7319</v>
      </c>
      <c r="W3352">
        <v>19798</v>
      </c>
      <c r="X3352" t="s">
        <v>1951</v>
      </c>
      <c r="Y3352">
        <v>18053</v>
      </c>
      <c r="Z3352">
        <v>178182</v>
      </c>
      <c r="AA3352">
        <v>15705</v>
      </c>
      <c r="AB3352" t="str">
        <f>(VLOOKUP(SalesData[[#This Row],[Month Number]],Reference!C$5:E$16,2,FALSE))</f>
        <v>Feb</v>
      </c>
      <c r="AC3352">
        <f>MONTH(SalesData[[#This Row],[Date]])</f>
        <v>2</v>
      </c>
      <c r="AD3352">
        <f>Reference!F$4</f>
        <v>2026</v>
      </c>
      <c r="AE3352" t="str">
        <f>IF(OR(SalesData[[#This Row],[Day]]="Saturday",SalesData[[#This Row],[Day]]="Sunday"),"Weekend","Weekday")</f>
        <v>Weekend</v>
      </c>
      <c r="AF3352" s="5">
        <f>IF(SalesData[[#This Row],[Contracts Offered]]=0,0,SalesData[[#This Row],[Contracts Signed]]/SalesData[[#This Row],[Contracts Offered]])</f>
        <v>0.16363636363636364</v>
      </c>
      <c r="AG3352" s="5">
        <f>IF(SalesData[[#This Row],[Customers Visited]]=0,0,SalesData[[#This Row],[Test Drives]]/SalesData[[#This Row],[Customers Visited]])</f>
        <v>0.40625</v>
      </c>
      <c r="AH3352" s="5">
        <f>IF(SalesData[[#This Row],[Customers Visited]]=0,0,SalesData[[#This Row],[Contracts Signed]]/SalesData[[#This Row],[Customers Visited]])</f>
        <v>4.0178571428571432E-2</v>
      </c>
      <c r="AI3352" s="6">
        <f>IF(SalesData[[#This Row],[Contracts Signed]]=0,0,SalesData[[#This Row],[Profit(€)]]/SalesData[[#This Row],[Contracts Signed]])</f>
        <v>1745</v>
      </c>
      <c r="AJ3352" s="5" t="str">
        <f>TRIM(CLEAN(SalesData[[#This Row],[Retailer]]))</f>
        <v>Saxon Wheels</v>
      </c>
    </row>
    <row r="3353" spans="1:36" ht="14.25" hidden="1" x14ac:dyDescent="0.2">
      <c r="A3353" t="s">
        <v>4537</v>
      </c>
      <c r="B3353" s="1">
        <v>46071</v>
      </c>
      <c r="C3353" t="s">
        <v>62</v>
      </c>
      <c r="D3353" t="s">
        <v>82</v>
      </c>
      <c r="E3353" t="s">
        <v>26</v>
      </c>
      <c r="F3353" t="s">
        <v>43</v>
      </c>
      <c r="G3353" t="s">
        <v>44</v>
      </c>
      <c r="H3353" t="s">
        <v>45</v>
      </c>
      <c r="I3353" t="s">
        <v>116</v>
      </c>
      <c r="J3353" t="s">
        <v>117</v>
      </c>
      <c r="K3353" t="s">
        <v>32</v>
      </c>
      <c r="L3353" t="s">
        <v>67</v>
      </c>
      <c r="M3353" t="s">
        <v>47</v>
      </c>
      <c r="N3353" t="s">
        <v>69</v>
      </c>
      <c r="O3353" t="s">
        <v>36</v>
      </c>
      <c r="P3353" t="s">
        <v>58</v>
      </c>
      <c r="Q3353" t="s">
        <v>118</v>
      </c>
      <c r="R3353">
        <v>247</v>
      </c>
      <c r="S3353">
        <v>97</v>
      </c>
      <c r="T3353">
        <v>64</v>
      </c>
      <c r="U3353">
        <v>19</v>
      </c>
      <c r="V3353" t="s">
        <v>1357</v>
      </c>
      <c r="W3353">
        <v>25452</v>
      </c>
      <c r="X3353" t="s">
        <v>7125</v>
      </c>
      <c r="Y3353">
        <v>22846</v>
      </c>
      <c r="Z3353">
        <v>483588</v>
      </c>
      <c r="AA3353">
        <v>49514</v>
      </c>
      <c r="AB3353" t="str">
        <f>(VLOOKUP(SalesData[[#This Row],[Month Number]],Reference!C$5:E$16,2,FALSE))</f>
        <v>Feb</v>
      </c>
      <c r="AC3353">
        <f>MONTH(SalesData[[#This Row],[Date]])</f>
        <v>2</v>
      </c>
      <c r="AD3353">
        <f>Reference!F$4</f>
        <v>2026</v>
      </c>
      <c r="AE3353" t="str">
        <f>IF(OR(SalesData[[#This Row],[Day]]="Saturday",SalesData[[#This Row],[Day]]="Sunday"),"Weekend","Weekday")</f>
        <v>Weekday</v>
      </c>
      <c r="AF3353" s="5">
        <f>IF(SalesData[[#This Row],[Contracts Offered]]=0,0,SalesData[[#This Row],[Contracts Signed]]/SalesData[[#This Row],[Contracts Offered]])</f>
        <v>0.296875</v>
      </c>
      <c r="AG3353" s="5">
        <f>IF(SalesData[[#This Row],[Customers Visited]]=0,0,SalesData[[#This Row],[Test Drives]]/SalesData[[#This Row],[Customers Visited]])</f>
        <v>0.39271255060728744</v>
      </c>
      <c r="AH3353" s="5">
        <f>IF(SalesData[[#This Row],[Customers Visited]]=0,0,SalesData[[#This Row],[Contracts Signed]]/SalesData[[#This Row],[Customers Visited]])</f>
        <v>7.6923076923076927E-2</v>
      </c>
      <c r="AI3353" s="6">
        <f>IF(SalesData[[#This Row],[Contracts Signed]]=0,0,SalesData[[#This Row],[Profit(€)]]/SalesData[[#This Row],[Contracts Signed]])</f>
        <v>2606</v>
      </c>
      <c r="AJ3353" s="5" t="str">
        <f>TRIM(CLEAN(SalesData[[#This Row],[Retailer]]))</f>
        <v>Saxon Wheels</v>
      </c>
    </row>
    <row r="3354" spans="1:36" ht="14.25" hidden="1" x14ac:dyDescent="0.2">
      <c r="A3354" t="s">
        <v>4538</v>
      </c>
      <c r="B3354" s="1">
        <v>46066</v>
      </c>
      <c r="C3354" t="s">
        <v>121</v>
      </c>
      <c r="D3354" t="s">
        <v>54</v>
      </c>
      <c r="E3354" t="s">
        <v>26</v>
      </c>
      <c r="F3354" t="s">
        <v>7649</v>
      </c>
      <c r="G3354" t="s">
        <v>55</v>
      </c>
      <c r="H3354" t="s">
        <v>55</v>
      </c>
      <c r="I3354" t="s">
        <v>116</v>
      </c>
      <c r="J3354" t="s">
        <v>7026</v>
      </c>
      <c r="K3354" t="s">
        <v>78</v>
      </c>
      <c r="L3354" t="s">
        <v>46</v>
      </c>
      <c r="M3354" t="s">
        <v>47</v>
      </c>
      <c r="N3354" t="s">
        <v>69</v>
      </c>
      <c r="O3354" t="s">
        <v>70</v>
      </c>
      <c r="P3354" t="s">
        <v>58</v>
      </c>
      <c r="Q3354" t="s">
        <v>240</v>
      </c>
      <c r="R3354">
        <v>292</v>
      </c>
      <c r="S3354">
        <v>129</v>
      </c>
      <c r="T3354">
        <v>80</v>
      </c>
      <c r="U3354">
        <v>24</v>
      </c>
      <c r="V3354" t="s">
        <v>363</v>
      </c>
      <c r="W3354">
        <v>20001</v>
      </c>
      <c r="X3354" t="s">
        <v>6809</v>
      </c>
      <c r="Y3354">
        <v>18545</v>
      </c>
      <c r="Z3354">
        <v>480024</v>
      </c>
      <c r="AA3354">
        <v>34944</v>
      </c>
      <c r="AB3354" t="str">
        <f>(VLOOKUP(SalesData[[#This Row],[Month Number]],Reference!C$5:E$16,2,FALSE))</f>
        <v>Feb</v>
      </c>
      <c r="AC3354">
        <f>MONTH(SalesData[[#This Row],[Date]])</f>
        <v>2</v>
      </c>
      <c r="AD3354">
        <f>Reference!F$4</f>
        <v>2026</v>
      </c>
      <c r="AE3354" t="str">
        <f>IF(OR(SalesData[[#This Row],[Day]]="Saturday",SalesData[[#This Row],[Day]]="Sunday"),"Weekend","Weekday")</f>
        <v>Weekday</v>
      </c>
      <c r="AF3354" s="5">
        <f>IF(SalesData[[#This Row],[Contracts Offered]]=0,0,SalesData[[#This Row],[Contracts Signed]]/SalesData[[#This Row],[Contracts Offered]])</f>
        <v>0.3</v>
      </c>
      <c r="AG3354" s="5">
        <f>IF(SalesData[[#This Row],[Customers Visited]]=0,0,SalesData[[#This Row],[Test Drives]]/SalesData[[#This Row],[Customers Visited]])</f>
        <v>0.44178082191780821</v>
      </c>
      <c r="AH3354" s="5">
        <f>IF(SalesData[[#This Row],[Customers Visited]]=0,0,SalesData[[#This Row],[Contracts Signed]]/SalesData[[#This Row],[Customers Visited]])</f>
        <v>8.2191780821917804E-2</v>
      </c>
      <c r="AI3354" s="6">
        <f>IF(SalesData[[#This Row],[Contracts Signed]]=0,0,SalesData[[#This Row],[Profit(€)]]/SalesData[[#This Row],[Contracts Signed]])</f>
        <v>1456</v>
      </c>
      <c r="AJ3354" s="5" t="str">
        <f>TRIM(CLEAN(SalesData[[#This Row],[Retailer]]))</f>
        <v>Autohaus Berlin</v>
      </c>
    </row>
    <row r="3355" spans="1:36" ht="14.25" hidden="1" x14ac:dyDescent="0.2">
      <c r="A3355" t="s">
        <v>4539</v>
      </c>
      <c r="B3355" s="1">
        <v>46074</v>
      </c>
      <c r="C3355" t="s">
        <v>62</v>
      </c>
      <c r="D3355" t="s">
        <v>151</v>
      </c>
      <c r="E3355" t="s">
        <v>42</v>
      </c>
      <c r="F3355" t="s">
        <v>94</v>
      </c>
      <c r="G3355" t="s">
        <v>95</v>
      </c>
      <c r="H3355" t="s">
        <v>96</v>
      </c>
      <c r="I3355" t="s">
        <v>64</v>
      </c>
      <c r="J3355" t="s">
        <v>111</v>
      </c>
      <c r="K3355" t="s">
        <v>91</v>
      </c>
      <c r="L3355" t="s">
        <v>46</v>
      </c>
      <c r="M3355" t="s">
        <v>47</v>
      </c>
      <c r="N3355" t="s">
        <v>48</v>
      </c>
      <c r="O3355" t="s">
        <v>36</v>
      </c>
      <c r="P3355" t="s">
        <v>71</v>
      </c>
      <c r="Q3355" t="s">
        <v>189</v>
      </c>
      <c r="R3355">
        <v>161</v>
      </c>
      <c r="S3355">
        <v>74</v>
      </c>
      <c r="T3355">
        <v>50</v>
      </c>
      <c r="U3355">
        <v>20</v>
      </c>
      <c r="V3355" t="s">
        <v>6509</v>
      </c>
      <c r="W3355">
        <v>58242</v>
      </c>
      <c r="X3355" t="s">
        <v>7535</v>
      </c>
      <c r="Y3355">
        <v>42321</v>
      </c>
      <c r="Z3355">
        <v>1164840</v>
      </c>
      <c r="AA3355">
        <v>318420</v>
      </c>
      <c r="AB3355" t="str">
        <f>(VLOOKUP(SalesData[[#This Row],[Month Number]],Reference!C$5:E$16,2,FALSE))</f>
        <v>Feb</v>
      </c>
      <c r="AC3355">
        <f>MONTH(SalesData[[#This Row],[Date]])</f>
        <v>2</v>
      </c>
      <c r="AD3355">
        <f>Reference!F$4</f>
        <v>2026</v>
      </c>
      <c r="AE3355" t="str">
        <f>IF(OR(SalesData[[#This Row],[Day]]="Saturday",SalesData[[#This Row],[Day]]="Sunday"),"Weekend","Weekday")</f>
        <v>Weekend</v>
      </c>
      <c r="AF3355" s="5">
        <f>IF(SalesData[[#This Row],[Contracts Offered]]=0,0,SalesData[[#This Row],[Contracts Signed]]/SalesData[[#This Row],[Contracts Offered]])</f>
        <v>0.4</v>
      </c>
      <c r="AG3355" s="5">
        <f>IF(SalesData[[#This Row],[Customers Visited]]=0,0,SalesData[[#This Row],[Test Drives]]/SalesData[[#This Row],[Customers Visited]])</f>
        <v>0.45962732919254656</v>
      </c>
      <c r="AH3355" s="5">
        <f>IF(SalesData[[#This Row],[Customers Visited]]=0,0,SalesData[[#This Row],[Contracts Signed]]/SalesData[[#This Row],[Customers Visited]])</f>
        <v>0.12422360248447205</v>
      </c>
      <c r="AI3355" s="6">
        <f>IF(SalesData[[#This Row],[Contracts Signed]]=0,0,SalesData[[#This Row],[Profit(€)]]/SalesData[[#This Row],[Contracts Signed]])</f>
        <v>15921</v>
      </c>
      <c r="AJ3355" s="5" t="str">
        <f>TRIM(CLEAN(SalesData[[#This Row],[Retailer]]))</f>
        <v>Bavaria Motors</v>
      </c>
    </row>
    <row r="3356" spans="1:36" ht="14.25" hidden="1" x14ac:dyDescent="0.2">
      <c r="A3356" t="s">
        <v>4540</v>
      </c>
      <c r="B3356" s="1">
        <v>46071</v>
      </c>
      <c r="C3356" t="s">
        <v>62</v>
      </c>
      <c r="D3356" t="s">
        <v>82</v>
      </c>
      <c r="E3356" t="s">
        <v>26</v>
      </c>
      <c r="F3356" t="s">
        <v>101</v>
      </c>
      <c r="G3356" t="s">
        <v>102</v>
      </c>
      <c r="H3356" t="s">
        <v>103</v>
      </c>
      <c r="I3356" t="s">
        <v>104</v>
      </c>
      <c r="J3356" t="s">
        <v>105</v>
      </c>
      <c r="K3356" t="s">
        <v>66</v>
      </c>
      <c r="L3356" t="s">
        <v>33</v>
      </c>
      <c r="M3356" t="s">
        <v>68</v>
      </c>
      <c r="N3356" t="s">
        <v>69</v>
      </c>
      <c r="O3356" t="s">
        <v>70</v>
      </c>
      <c r="P3356" t="s">
        <v>37</v>
      </c>
      <c r="Q3356" t="s">
        <v>172</v>
      </c>
      <c r="R3356">
        <v>357</v>
      </c>
      <c r="S3356">
        <v>195</v>
      </c>
      <c r="T3356">
        <v>124</v>
      </c>
      <c r="U3356">
        <v>28</v>
      </c>
      <c r="V3356" t="s">
        <v>4912</v>
      </c>
      <c r="W3356">
        <v>32999</v>
      </c>
      <c r="X3356" t="s">
        <v>606</v>
      </c>
      <c r="Y3356">
        <v>29431</v>
      </c>
      <c r="Z3356">
        <v>923972</v>
      </c>
      <c r="AA3356">
        <v>99904</v>
      </c>
      <c r="AB3356" t="str">
        <f>(VLOOKUP(SalesData[[#This Row],[Month Number]],Reference!C$5:E$16,2,FALSE))</f>
        <v>Feb</v>
      </c>
      <c r="AC3356">
        <f>MONTH(SalesData[[#This Row],[Date]])</f>
        <v>2</v>
      </c>
      <c r="AD3356">
        <f>Reference!F$4</f>
        <v>2026</v>
      </c>
      <c r="AE3356" t="str">
        <f>IF(OR(SalesData[[#This Row],[Day]]="Saturday",SalesData[[#This Row],[Day]]="Sunday"),"Weekend","Weekday")</f>
        <v>Weekday</v>
      </c>
      <c r="AF3356" s="5">
        <f>IF(SalesData[[#This Row],[Contracts Offered]]=0,0,SalesData[[#This Row],[Contracts Signed]]/SalesData[[#This Row],[Contracts Offered]])</f>
        <v>0.22580645161290322</v>
      </c>
      <c r="AG3356" s="5">
        <f>IF(SalesData[[#This Row],[Customers Visited]]=0,0,SalesData[[#This Row],[Test Drives]]/SalesData[[#This Row],[Customers Visited]])</f>
        <v>0.54621848739495793</v>
      </c>
      <c r="AH3356" s="5">
        <f>IF(SalesData[[#This Row],[Customers Visited]]=0,0,SalesData[[#This Row],[Contracts Signed]]/SalesData[[#This Row],[Customers Visited]])</f>
        <v>7.8431372549019607E-2</v>
      </c>
      <c r="AI3356" s="6">
        <f>IF(SalesData[[#This Row],[Contracts Signed]]=0,0,SalesData[[#This Row],[Profit(€)]]/SalesData[[#This Row],[Contracts Signed]])</f>
        <v>3568</v>
      </c>
      <c r="AJ3356" s="5" t="str">
        <f>TRIM(CLEAN(SalesData[[#This Row],[Retailer]]))</f>
        <v>Ruhr Auto Plaza</v>
      </c>
    </row>
    <row r="3357" spans="1:36" ht="14.25" hidden="1" x14ac:dyDescent="0.2">
      <c r="A3357" t="s">
        <v>4541</v>
      </c>
      <c r="B3357" s="1">
        <v>46073</v>
      </c>
      <c r="C3357" t="s">
        <v>62</v>
      </c>
      <c r="D3357" t="s">
        <v>54</v>
      </c>
      <c r="E3357" t="s">
        <v>26</v>
      </c>
      <c r="F3357" t="s">
        <v>7649</v>
      </c>
      <c r="G3357" t="s">
        <v>55</v>
      </c>
      <c r="H3357" t="s">
        <v>55</v>
      </c>
      <c r="I3357" t="s">
        <v>104</v>
      </c>
      <c r="J3357" t="s">
        <v>7031</v>
      </c>
      <c r="K3357" t="s">
        <v>32</v>
      </c>
      <c r="L3357" t="s">
        <v>46</v>
      </c>
      <c r="M3357" t="s">
        <v>68</v>
      </c>
      <c r="N3357" t="s">
        <v>35</v>
      </c>
      <c r="O3357" t="s">
        <v>70</v>
      </c>
      <c r="P3357" t="s">
        <v>71</v>
      </c>
      <c r="Q3357" t="s">
        <v>38</v>
      </c>
      <c r="R3357">
        <v>269</v>
      </c>
      <c r="S3357">
        <v>145</v>
      </c>
      <c r="T3357">
        <v>97</v>
      </c>
      <c r="U3357">
        <v>23</v>
      </c>
      <c r="V3357" t="s">
        <v>5209</v>
      </c>
      <c r="W3357">
        <v>28073</v>
      </c>
      <c r="X3357" t="s">
        <v>205</v>
      </c>
      <c r="Y3357">
        <v>25047</v>
      </c>
      <c r="Z3357">
        <v>645679</v>
      </c>
      <c r="AA3357">
        <v>69598</v>
      </c>
      <c r="AB3357" t="str">
        <f>(VLOOKUP(SalesData[[#This Row],[Month Number]],Reference!C$5:E$16,2,FALSE))</f>
        <v>Feb</v>
      </c>
      <c r="AC3357">
        <f>MONTH(SalesData[[#This Row],[Date]])</f>
        <v>2</v>
      </c>
      <c r="AD3357">
        <f>Reference!F$4</f>
        <v>2026</v>
      </c>
      <c r="AE3357" t="str">
        <f>IF(OR(SalesData[[#This Row],[Day]]="Saturday",SalesData[[#This Row],[Day]]="Sunday"),"Weekend","Weekday")</f>
        <v>Weekday</v>
      </c>
      <c r="AF3357" s="5">
        <f>IF(SalesData[[#This Row],[Contracts Offered]]=0,0,SalesData[[#This Row],[Contracts Signed]]/SalesData[[#This Row],[Contracts Offered]])</f>
        <v>0.23711340206185566</v>
      </c>
      <c r="AG3357" s="5">
        <f>IF(SalesData[[#This Row],[Customers Visited]]=0,0,SalesData[[#This Row],[Test Drives]]/SalesData[[#This Row],[Customers Visited]])</f>
        <v>0.53903345724907059</v>
      </c>
      <c r="AH3357" s="5">
        <f>IF(SalesData[[#This Row],[Customers Visited]]=0,0,SalesData[[#This Row],[Contracts Signed]]/SalesData[[#This Row],[Customers Visited]])</f>
        <v>8.5501858736059477E-2</v>
      </c>
      <c r="AI3357" s="6">
        <f>IF(SalesData[[#This Row],[Contracts Signed]]=0,0,SalesData[[#This Row],[Profit(€)]]/SalesData[[#This Row],[Contracts Signed]])</f>
        <v>3026</v>
      </c>
      <c r="AJ3357" s="5" t="str">
        <f>TRIM(CLEAN(SalesData[[#This Row],[Retailer]]))</f>
        <v>Autohaus Berlin</v>
      </c>
    </row>
    <row r="3358" spans="1:36" ht="14.25" hidden="1" x14ac:dyDescent="0.2">
      <c r="A3358" t="s">
        <v>4542</v>
      </c>
      <c r="B3358" s="1">
        <v>46079</v>
      </c>
      <c r="C3358" t="s">
        <v>53</v>
      </c>
      <c r="D3358" t="s">
        <v>100</v>
      </c>
      <c r="E3358" t="s">
        <v>26</v>
      </c>
      <c r="F3358" t="s">
        <v>109</v>
      </c>
      <c r="G3358" t="s">
        <v>110</v>
      </c>
      <c r="H3358" t="s">
        <v>45</v>
      </c>
      <c r="I3358" t="s">
        <v>104</v>
      </c>
      <c r="J3358" t="s">
        <v>7031</v>
      </c>
      <c r="K3358" t="s">
        <v>78</v>
      </c>
      <c r="L3358" t="s">
        <v>46</v>
      </c>
      <c r="M3358" t="s">
        <v>47</v>
      </c>
      <c r="N3358" t="s">
        <v>48</v>
      </c>
      <c r="O3358" t="s">
        <v>36</v>
      </c>
      <c r="P3358" t="s">
        <v>71</v>
      </c>
      <c r="Q3358" t="s">
        <v>158</v>
      </c>
      <c r="R3358">
        <v>319</v>
      </c>
      <c r="S3358">
        <v>183</v>
      </c>
      <c r="T3358">
        <v>112</v>
      </c>
      <c r="U3358">
        <v>32</v>
      </c>
      <c r="V3358" t="s">
        <v>937</v>
      </c>
      <c r="W3358">
        <v>27788</v>
      </c>
      <c r="X3358" t="s">
        <v>7545</v>
      </c>
      <c r="Y3358">
        <v>24413</v>
      </c>
      <c r="Z3358">
        <v>889216</v>
      </c>
      <c r="AA3358">
        <v>108000</v>
      </c>
      <c r="AB3358" t="str">
        <f>(VLOOKUP(SalesData[[#This Row],[Month Number]],Reference!C$5:E$16,2,FALSE))</f>
        <v>Feb</v>
      </c>
      <c r="AC3358">
        <f>MONTH(SalesData[[#This Row],[Date]])</f>
        <v>2</v>
      </c>
      <c r="AD3358">
        <f>Reference!F$4</f>
        <v>2026</v>
      </c>
      <c r="AE3358" t="str">
        <f>IF(OR(SalesData[[#This Row],[Day]]="Saturday",SalesData[[#This Row],[Day]]="Sunday"),"Weekend","Weekday")</f>
        <v>Weekday</v>
      </c>
      <c r="AF3358" s="5">
        <f>IF(SalesData[[#This Row],[Contracts Offered]]=0,0,SalesData[[#This Row],[Contracts Signed]]/SalesData[[#This Row],[Contracts Offered]])</f>
        <v>0.2857142857142857</v>
      </c>
      <c r="AG3358" s="5">
        <f>IF(SalesData[[#This Row],[Customers Visited]]=0,0,SalesData[[#This Row],[Test Drives]]/SalesData[[#This Row],[Customers Visited]])</f>
        <v>0.57366771159874608</v>
      </c>
      <c r="AH3358" s="5">
        <f>IF(SalesData[[#This Row],[Customers Visited]]=0,0,SalesData[[#This Row],[Contracts Signed]]/SalesData[[#This Row],[Customers Visited]])</f>
        <v>0.10031347962382445</v>
      </c>
      <c r="AI3358" s="6">
        <f>IF(SalesData[[#This Row],[Contracts Signed]]=0,0,SalesData[[#This Row],[Profit(€)]]/SalesData[[#This Row],[Contracts Signed]])</f>
        <v>3375</v>
      </c>
      <c r="AJ3358" s="5" t="str">
        <f>TRIM(CLEAN(SalesData[[#This Row],[Retailer]]))</f>
        <v>Leipzig Mobility</v>
      </c>
    </row>
    <row r="3359" spans="1:36" ht="14.25" hidden="1" x14ac:dyDescent="0.2">
      <c r="A3359" t="s">
        <v>4543</v>
      </c>
      <c r="B3359" s="1">
        <v>46060</v>
      </c>
      <c r="C3359" t="s">
        <v>24</v>
      </c>
      <c r="D3359" t="s">
        <v>151</v>
      </c>
      <c r="E3359" t="s">
        <v>42</v>
      </c>
      <c r="F3359" t="s">
        <v>94</v>
      </c>
      <c r="G3359" t="s">
        <v>95</v>
      </c>
      <c r="H3359" t="s">
        <v>96</v>
      </c>
      <c r="I3359" t="s">
        <v>64</v>
      </c>
      <c r="J3359" t="s">
        <v>157</v>
      </c>
      <c r="K3359" t="s">
        <v>78</v>
      </c>
      <c r="L3359" t="s">
        <v>33</v>
      </c>
      <c r="M3359" t="s">
        <v>87</v>
      </c>
      <c r="N3359" t="s">
        <v>35</v>
      </c>
      <c r="O3359" t="s">
        <v>36</v>
      </c>
      <c r="P3359" t="s">
        <v>49</v>
      </c>
      <c r="Q3359" t="s">
        <v>240</v>
      </c>
      <c r="R3359">
        <v>250</v>
      </c>
      <c r="S3359">
        <v>137</v>
      </c>
      <c r="T3359">
        <v>92</v>
      </c>
      <c r="U3359">
        <v>32</v>
      </c>
      <c r="V3359" t="s">
        <v>6389</v>
      </c>
      <c r="W3359">
        <v>62060</v>
      </c>
      <c r="X3359" t="s">
        <v>2334</v>
      </c>
      <c r="Y3359">
        <v>48354</v>
      </c>
      <c r="Z3359">
        <v>1985920</v>
      </c>
      <c r="AA3359">
        <v>438592</v>
      </c>
      <c r="AB3359" t="str">
        <f>(VLOOKUP(SalesData[[#This Row],[Month Number]],Reference!C$5:E$16,2,FALSE))</f>
        <v>Feb</v>
      </c>
      <c r="AC3359">
        <f>MONTH(SalesData[[#This Row],[Date]])</f>
        <v>2</v>
      </c>
      <c r="AD3359">
        <f>Reference!F$4</f>
        <v>2026</v>
      </c>
      <c r="AE3359" t="str">
        <f>IF(OR(SalesData[[#This Row],[Day]]="Saturday",SalesData[[#This Row],[Day]]="Sunday"),"Weekend","Weekday")</f>
        <v>Weekend</v>
      </c>
      <c r="AF3359" s="5">
        <f>IF(SalesData[[#This Row],[Contracts Offered]]=0,0,SalesData[[#This Row],[Contracts Signed]]/SalesData[[#This Row],[Contracts Offered]])</f>
        <v>0.34782608695652173</v>
      </c>
      <c r="AG3359" s="5">
        <f>IF(SalesData[[#This Row],[Customers Visited]]=0,0,SalesData[[#This Row],[Test Drives]]/SalesData[[#This Row],[Customers Visited]])</f>
        <v>0.54800000000000004</v>
      </c>
      <c r="AH3359" s="5">
        <f>IF(SalesData[[#This Row],[Customers Visited]]=0,0,SalesData[[#This Row],[Contracts Signed]]/SalesData[[#This Row],[Customers Visited]])</f>
        <v>0.128</v>
      </c>
      <c r="AI3359" s="6">
        <f>IF(SalesData[[#This Row],[Contracts Signed]]=0,0,SalesData[[#This Row],[Profit(€)]]/SalesData[[#This Row],[Contracts Signed]])</f>
        <v>13706</v>
      </c>
      <c r="AJ3359" s="5" t="str">
        <f>TRIM(CLEAN(SalesData[[#This Row],[Retailer]]))</f>
        <v>Bavaria Motors</v>
      </c>
    </row>
    <row r="3360" spans="1:36" ht="14.25" x14ac:dyDescent="0.2">
      <c r="A3360" t="s">
        <v>4544</v>
      </c>
      <c r="B3360" s="1">
        <v>46067</v>
      </c>
      <c r="C3360" t="s">
        <v>121</v>
      </c>
      <c r="D3360" t="s">
        <v>151</v>
      </c>
      <c r="E3360" t="s">
        <v>42</v>
      </c>
      <c r="F3360" t="s">
        <v>109</v>
      </c>
      <c r="G3360" t="s">
        <v>110</v>
      </c>
      <c r="H3360" t="s">
        <v>45</v>
      </c>
      <c r="I3360" t="s">
        <v>30</v>
      </c>
      <c r="J3360" t="s">
        <v>86</v>
      </c>
      <c r="K3360" t="s">
        <v>78</v>
      </c>
      <c r="L3360" t="s">
        <v>33</v>
      </c>
      <c r="M3360" t="s">
        <v>68</v>
      </c>
      <c r="N3360" t="s">
        <v>69</v>
      </c>
      <c r="O3360" t="s">
        <v>70</v>
      </c>
      <c r="P3360" t="s">
        <v>58</v>
      </c>
      <c r="Q3360" t="s">
        <v>38</v>
      </c>
      <c r="R3360">
        <v>211</v>
      </c>
      <c r="S3360">
        <v>124</v>
      </c>
      <c r="T3360">
        <v>87</v>
      </c>
      <c r="U3360">
        <v>35</v>
      </c>
      <c r="V3360" t="s">
        <v>6860</v>
      </c>
      <c r="W3360">
        <v>53602</v>
      </c>
      <c r="X3360" t="s">
        <v>7300</v>
      </c>
      <c r="Y3360">
        <v>37942</v>
      </c>
      <c r="Z3360">
        <v>1876070</v>
      </c>
      <c r="AA3360">
        <v>548100</v>
      </c>
      <c r="AB3360" t="str">
        <f>(VLOOKUP(SalesData[[#This Row],[Month Number]],Reference!C$5:E$16,2,FALSE))</f>
        <v>Feb</v>
      </c>
      <c r="AC3360">
        <f>MONTH(SalesData[[#This Row],[Date]])</f>
        <v>2</v>
      </c>
      <c r="AD3360">
        <f>Reference!F$4</f>
        <v>2026</v>
      </c>
      <c r="AE3360" t="str">
        <f>IF(OR(SalesData[[#This Row],[Day]]="Saturday",SalesData[[#This Row],[Day]]="Sunday"),"Weekend","Weekday")</f>
        <v>Weekend</v>
      </c>
      <c r="AF3360" s="5">
        <f>IF(SalesData[[#This Row],[Contracts Offered]]=0,0,SalesData[[#This Row],[Contracts Signed]]/SalesData[[#This Row],[Contracts Offered]])</f>
        <v>0.40229885057471265</v>
      </c>
      <c r="AG3360" s="5">
        <f>IF(SalesData[[#This Row],[Customers Visited]]=0,0,SalesData[[#This Row],[Test Drives]]/SalesData[[#This Row],[Customers Visited]])</f>
        <v>0.58767772511848337</v>
      </c>
      <c r="AH3360" s="5">
        <f>IF(SalesData[[#This Row],[Customers Visited]]=0,0,SalesData[[#This Row],[Contracts Signed]]/SalesData[[#This Row],[Customers Visited]])</f>
        <v>0.16587677725118483</v>
      </c>
      <c r="AI3360" s="6">
        <f>IF(SalesData[[#This Row],[Contracts Signed]]=0,0,SalesData[[#This Row],[Profit(€)]]/SalesData[[#This Row],[Contracts Signed]])</f>
        <v>15660</v>
      </c>
      <c r="AJ3360" s="5" t="str">
        <f>TRIM(CLEAN(SalesData[[#This Row],[Retailer]]))</f>
        <v>Leipzig Mobility</v>
      </c>
    </row>
    <row r="3361" spans="1:36" ht="14.25" hidden="1" x14ac:dyDescent="0.2">
      <c r="A3361" t="s">
        <v>4545</v>
      </c>
      <c r="B3361" s="1">
        <v>46073</v>
      </c>
      <c r="C3361" t="s">
        <v>62</v>
      </c>
      <c r="D3361" t="s">
        <v>54</v>
      </c>
      <c r="E3361" t="s">
        <v>26</v>
      </c>
      <c r="F3361" t="s">
        <v>109</v>
      </c>
      <c r="G3361" t="s">
        <v>110</v>
      </c>
      <c r="H3361" t="s">
        <v>45</v>
      </c>
      <c r="I3361" t="s">
        <v>104</v>
      </c>
      <c r="J3361" t="s">
        <v>105</v>
      </c>
      <c r="K3361" t="s">
        <v>78</v>
      </c>
      <c r="L3361" t="s">
        <v>33</v>
      </c>
      <c r="M3361" t="s">
        <v>68</v>
      </c>
      <c r="N3361" t="s">
        <v>35</v>
      </c>
      <c r="O3361" t="s">
        <v>36</v>
      </c>
      <c r="P3361" t="s">
        <v>37</v>
      </c>
      <c r="Q3361" t="s">
        <v>158</v>
      </c>
      <c r="R3361">
        <v>473</v>
      </c>
      <c r="S3361">
        <v>252</v>
      </c>
      <c r="T3361">
        <v>172</v>
      </c>
      <c r="U3361">
        <v>31</v>
      </c>
      <c r="V3361" t="s">
        <v>1209</v>
      </c>
      <c r="W3361">
        <v>28058</v>
      </c>
      <c r="X3361" t="s">
        <v>2590</v>
      </c>
      <c r="Y3361">
        <v>24944</v>
      </c>
      <c r="Z3361">
        <v>869798</v>
      </c>
      <c r="AA3361">
        <v>96534</v>
      </c>
      <c r="AB3361" t="str">
        <f>(VLOOKUP(SalesData[[#This Row],[Month Number]],Reference!C$5:E$16,2,FALSE))</f>
        <v>Feb</v>
      </c>
      <c r="AC3361">
        <f>MONTH(SalesData[[#This Row],[Date]])</f>
        <v>2</v>
      </c>
      <c r="AD3361">
        <f>Reference!F$4</f>
        <v>2026</v>
      </c>
      <c r="AE3361" t="str">
        <f>IF(OR(SalesData[[#This Row],[Day]]="Saturday",SalesData[[#This Row],[Day]]="Sunday"),"Weekend","Weekday")</f>
        <v>Weekday</v>
      </c>
      <c r="AF3361" s="5">
        <f>IF(SalesData[[#This Row],[Contracts Offered]]=0,0,SalesData[[#This Row],[Contracts Signed]]/SalesData[[#This Row],[Contracts Offered]])</f>
        <v>0.18023255813953487</v>
      </c>
      <c r="AG3361" s="5">
        <f>IF(SalesData[[#This Row],[Customers Visited]]=0,0,SalesData[[#This Row],[Test Drives]]/SalesData[[#This Row],[Customers Visited]])</f>
        <v>0.53276955602537002</v>
      </c>
      <c r="AH3361" s="5">
        <f>IF(SalesData[[#This Row],[Customers Visited]]=0,0,SalesData[[#This Row],[Contracts Signed]]/SalesData[[#This Row],[Customers Visited]])</f>
        <v>6.5539112050739964E-2</v>
      </c>
      <c r="AI3361" s="6">
        <f>IF(SalesData[[#This Row],[Contracts Signed]]=0,0,SalesData[[#This Row],[Profit(€)]]/SalesData[[#This Row],[Contracts Signed]])</f>
        <v>3114</v>
      </c>
      <c r="AJ3361" s="5" t="str">
        <f>TRIM(CLEAN(SalesData[[#This Row],[Retailer]]))</f>
        <v>Leipzig Mobility</v>
      </c>
    </row>
    <row r="3362" spans="1:36" ht="14.25" hidden="1" x14ac:dyDescent="0.2">
      <c r="A3362" t="s">
        <v>4547</v>
      </c>
      <c r="B3362" s="1">
        <v>46071</v>
      </c>
      <c r="C3362" t="s">
        <v>62</v>
      </c>
      <c r="D3362" t="s">
        <v>82</v>
      </c>
      <c r="E3362" t="s">
        <v>26</v>
      </c>
      <c r="F3362" t="s">
        <v>101</v>
      </c>
      <c r="G3362" t="s">
        <v>102</v>
      </c>
      <c r="H3362" t="s">
        <v>103</v>
      </c>
      <c r="I3362" t="s">
        <v>116</v>
      </c>
      <c r="J3362" t="s">
        <v>117</v>
      </c>
      <c r="K3362" t="s">
        <v>78</v>
      </c>
      <c r="L3362" t="s">
        <v>67</v>
      </c>
      <c r="M3362" t="s">
        <v>87</v>
      </c>
      <c r="N3362" t="s">
        <v>48</v>
      </c>
      <c r="O3362" t="s">
        <v>70</v>
      </c>
      <c r="P3362" t="s">
        <v>71</v>
      </c>
      <c r="Q3362" t="s">
        <v>106</v>
      </c>
      <c r="R3362">
        <v>309</v>
      </c>
      <c r="S3362">
        <v>164</v>
      </c>
      <c r="T3362">
        <v>112</v>
      </c>
      <c r="U3362">
        <v>25</v>
      </c>
      <c r="V3362" t="s">
        <v>2774</v>
      </c>
      <c r="W3362">
        <v>24124</v>
      </c>
      <c r="X3362" t="s">
        <v>7397</v>
      </c>
      <c r="Y3362">
        <v>22229</v>
      </c>
      <c r="Z3362">
        <v>603100</v>
      </c>
      <c r="AA3362">
        <v>47375</v>
      </c>
      <c r="AB3362" t="str">
        <f>(VLOOKUP(SalesData[[#This Row],[Month Number]],Reference!C$5:E$16,2,FALSE))</f>
        <v>Feb</v>
      </c>
      <c r="AC3362">
        <f>MONTH(SalesData[[#This Row],[Date]])</f>
        <v>2</v>
      </c>
      <c r="AD3362">
        <f>Reference!F$4</f>
        <v>2026</v>
      </c>
      <c r="AE3362" t="str">
        <f>IF(OR(SalesData[[#This Row],[Day]]="Saturday",SalesData[[#This Row],[Day]]="Sunday"),"Weekend","Weekday")</f>
        <v>Weekday</v>
      </c>
      <c r="AF3362" s="5">
        <f>IF(SalesData[[#This Row],[Contracts Offered]]=0,0,SalesData[[#This Row],[Contracts Signed]]/SalesData[[#This Row],[Contracts Offered]])</f>
        <v>0.22321428571428573</v>
      </c>
      <c r="AG3362" s="5">
        <f>IF(SalesData[[#This Row],[Customers Visited]]=0,0,SalesData[[#This Row],[Test Drives]]/SalesData[[#This Row],[Customers Visited]])</f>
        <v>0.53074433656957931</v>
      </c>
      <c r="AH3362" s="5">
        <f>IF(SalesData[[#This Row],[Customers Visited]]=0,0,SalesData[[#This Row],[Contracts Signed]]/SalesData[[#This Row],[Customers Visited]])</f>
        <v>8.0906148867313912E-2</v>
      </c>
      <c r="AI3362" s="6">
        <f>IF(SalesData[[#This Row],[Contracts Signed]]=0,0,SalesData[[#This Row],[Profit(€)]]/SalesData[[#This Row],[Contracts Signed]])</f>
        <v>1895</v>
      </c>
      <c r="AJ3362" s="5" t="str">
        <f>TRIM(CLEAN(SalesData[[#This Row],[Retailer]]))</f>
        <v>Ruhr Auto Plaza</v>
      </c>
    </row>
    <row r="3363" spans="1:36" ht="14.25" hidden="1" x14ac:dyDescent="0.2">
      <c r="A3363" t="s">
        <v>4548</v>
      </c>
      <c r="B3363" s="1">
        <v>46065</v>
      </c>
      <c r="C3363" t="s">
        <v>121</v>
      </c>
      <c r="D3363" t="s">
        <v>100</v>
      </c>
      <c r="E3363" t="s">
        <v>26</v>
      </c>
      <c r="F3363" t="s">
        <v>7649</v>
      </c>
      <c r="G3363" t="s">
        <v>55</v>
      </c>
      <c r="H3363" t="s">
        <v>55</v>
      </c>
      <c r="I3363" t="s">
        <v>116</v>
      </c>
      <c r="J3363" t="s">
        <v>7090</v>
      </c>
      <c r="K3363" t="s">
        <v>32</v>
      </c>
      <c r="L3363" t="s">
        <v>46</v>
      </c>
      <c r="M3363" t="s">
        <v>68</v>
      </c>
      <c r="N3363" t="s">
        <v>69</v>
      </c>
      <c r="O3363" t="s">
        <v>70</v>
      </c>
      <c r="P3363" t="s">
        <v>71</v>
      </c>
      <c r="Q3363" t="s">
        <v>118</v>
      </c>
      <c r="R3363">
        <v>272</v>
      </c>
      <c r="S3363">
        <v>148</v>
      </c>
      <c r="T3363">
        <v>85</v>
      </c>
      <c r="U3363">
        <v>27</v>
      </c>
      <c r="V3363" t="s">
        <v>799</v>
      </c>
      <c r="W3363">
        <v>23494</v>
      </c>
      <c r="X3363" t="s">
        <v>4394</v>
      </c>
      <c r="Y3363">
        <v>21832</v>
      </c>
      <c r="Z3363">
        <v>634338</v>
      </c>
      <c r="AA3363">
        <v>44874</v>
      </c>
      <c r="AB3363" t="str">
        <f>(VLOOKUP(SalesData[[#This Row],[Month Number]],Reference!C$5:E$16,2,FALSE))</f>
        <v>Feb</v>
      </c>
      <c r="AC3363">
        <f>MONTH(SalesData[[#This Row],[Date]])</f>
        <v>2</v>
      </c>
      <c r="AD3363">
        <f>Reference!F$4</f>
        <v>2026</v>
      </c>
      <c r="AE3363" t="str">
        <f>IF(OR(SalesData[[#This Row],[Day]]="Saturday",SalesData[[#This Row],[Day]]="Sunday"),"Weekend","Weekday")</f>
        <v>Weekday</v>
      </c>
      <c r="AF3363" s="5">
        <f>IF(SalesData[[#This Row],[Contracts Offered]]=0,0,SalesData[[#This Row],[Contracts Signed]]/SalesData[[#This Row],[Contracts Offered]])</f>
        <v>0.31764705882352939</v>
      </c>
      <c r="AG3363" s="5">
        <f>IF(SalesData[[#This Row],[Customers Visited]]=0,0,SalesData[[#This Row],[Test Drives]]/SalesData[[#This Row],[Customers Visited]])</f>
        <v>0.54411764705882348</v>
      </c>
      <c r="AH3363" s="5">
        <f>IF(SalesData[[#This Row],[Customers Visited]]=0,0,SalesData[[#This Row],[Contracts Signed]]/SalesData[[#This Row],[Customers Visited]])</f>
        <v>9.9264705882352935E-2</v>
      </c>
      <c r="AI3363" s="6">
        <f>IF(SalesData[[#This Row],[Contracts Signed]]=0,0,SalesData[[#This Row],[Profit(€)]]/SalesData[[#This Row],[Contracts Signed]])</f>
        <v>1662</v>
      </c>
      <c r="AJ3363" s="5" t="str">
        <f>TRIM(CLEAN(SalesData[[#This Row],[Retailer]]))</f>
        <v>Autohaus Berlin</v>
      </c>
    </row>
    <row r="3364" spans="1:36" ht="14.25" x14ac:dyDescent="0.2">
      <c r="A3364" t="s">
        <v>4549</v>
      </c>
      <c r="B3364" s="1">
        <v>46081</v>
      </c>
      <c r="C3364" t="s">
        <v>53</v>
      </c>
      <c r="D3364" t="s">
        <v>151</v>
      </c>
      <c r="E3364" t="s">
        <v>42</v>
      </c>
      <c r="F3364" t="s">
        <v>101</v>
      </c>
      <c r="G3364" t="s">
        <v>102</v>
      </c>
      <c r="H3364" t="s">
        <v>103</v>
      </c>
      <c r="I3364" t="s">
        <v>30</v>
      </c>
      <c r="J3364" t="s">
        <v>166</v>
      </c>
      <c r="K3364" t="s">
        <v>66</v>
      </c>
      <c r="L3364" t="s">
        <v>46</v>
      </c>
      <c r="M3364" t="s">
        <v>87</v>
      </c>
      <c r="N3364" t="s">
        <v>69</v>
      </c>
      <c r="O3364" t="s">
        <v>36</v>
      </c>
      <c r="P3364" t="s">
        <v>58</v>
      </c>
      <c r="Q3364" t="s">
        <v>189</v>
      </c>
      <c r="R3364">
        <v>177</v>
      </c>
      <c r="S3364">
        <v>83</v>
      </c>
      <c r="T3364">
        <v>62</v>
      </c>
      <c r="U3364">
        <v>23</v>
      </c>
      <c r="V3364" t="s">
        <v>6708</v>
      </c>
      <c r="W3364">
        <v>68962</v>
      </c>
      <c r="X3364" t="s">
        <v>7316</v>
      </c>
      <c r="Y3364">
        <v>53721</v>
      </c>
      <c r="Z3364">
        <v>1586126</v>
      </c>
      <c r="AA3364">
        <v>350543</v>
      </c>
      <c r="AB3364" t="str">
        <f>(VLOOKUP(SalesData[[#This Row],[Month Number]],Reference!C$5:E$16,2,FALSE))</f>
        <v>Feb</v>
      </c>
      <c r="AC3364">
        <f>MONTH(SalesData[[#This Row],[Date]])</f>
        <v>2</v>
      </c>
      <c r="AD3364">
        <f>Reference!F$4</f>
        <v>2026</v>
      </c>
      <c r="AE3364" t="str">
        <f>IF(OR(SalesData[[#This Row],[Day]]="Saturday",SalesData[[#This Row],[Day]]="Sunday"),"Weekend","Weekday")</f>
        <v>Weekend</v>
      </c>
      <c r="AF3364" s="5">
        <f>IF(SalesData[[#This Row],[Contracts Offered]]=0,0,SalesData[[#This Row],[Contracts Signed]]/SalesData[[#This Row],[Contracts Offered]])</f>
        <v>0.37096774193548387</v>
      </c>
      <c r="AG3364" s="5">
        <f>IF(SalesData[[#This Row],[Customers Visited]]=0,0,SalesData[[#This Row],[Test Drives]]/SalesData[[#This Row],[Customers Visited]])</f>
        <v>0.46892655367231639</v>
      </c>
      <c r="AH3364" s="5">
        <f>IF(SalesData[[#This Row],[Customers Visited]]=0,0,SalesData[[#This Row],[Contracts Signed]]/SalesData[[#This Row],[Customers Visited]])</f>
        <v>0.12994350282485875</v>
      </c>
      <c r="AI3364" s="6">
        <f>IF(SalesData[[#This Row],[Contracts Signed]]=0,0,SalesData[[#This Row],[Profit(€)]]/SalesData[[#This Row],[Contracts Signed]])</f>
        <v>15241</v>
      </c>
      <c r="AJ3364" s="5" t="str">
        <f>TRIM(CLEAN(SalesData[[#This Row],[Retailer]]))</f>
        <v>Ruhr Auto Plaza</v>
      </c>
    </row>
    <row r="3365" spans="1:36" ht="14.25" hidden="1" x14ac:dyDescent="0.2">
      <c r="A3365" t="s">
        <v>4551</v>
      </c>
      <c r="B3365" s="1">
        <v>46063</v>
      </c>
      <c r="C3365" t="s">
        <v>121</v>
      </c>
      <c r="D3365" t="s">
        <v>63</v>
      </c>
      <c r="E3365" t="s">
        <v>26</v>
      </c>
      <c r="F3365" t="s">
        <v>127</v>
      </c>
      <c r="G3365" t="s">
        <v>128</v>
      </c>
      <c r="H3365" t="s">
        <v>103</v>
      </c>
      <c r="I3365" t="s">
        <v>116</v>
      </c>
      <c r="J3365" t="s">
        <v>132</v>
      </c>
      <c r="K3365" t="s">
        <v>91</v>
      </c>
      <c r="L3365" t="s">
        <v>46</v>
      </c>
      <c r="M3365" t="s">
        <v>68</v>
      </c>
      <c r="N3365" t="s">
        <v>69</v>
      </c>
      <c r="O3365" t="s">
        <v>70</v>
      </c>
      <c r="P3365" t="s">
        <v>58</v>
      </c>
      <c r="Q3365" t="s">
        <v>135</v>
      </c>
      <c r="R3365">
        <v>302</v>
      </c>
      <c r="S3365">
        <v>137</v>
      </c>
      <c r="T3365">
        <v>94</v>
      </c>
      <c r="U3365">
        <v>25</v>
      </c>
      <c r="V3365" t="s">
        <v>2360</v>
      </c>
      <c r="W3365">
        <v>25795</v>
      </c>
      <c r="X3365" t="s">
        <v>1957</v>
      </c>
      <c r="Y3365">
        <v>23905</v>
      </c>
      <c r="Z3365">
        <v>644875</v>
      </c>
      <c r="AA3365">
        <v>47250</v>
      </c>
      <c r="AB3365" t="str">
        <f>(VLOOKUP(SalesData[[#This Row],[Month Number]],Reference!C$5:E$16,2,FALSE))</f>
        <v>Feb</v>
      </c>
      <c r="AC3365">
        <f>MONTH(SalesData[[#This Row],[Date]])</f>
        <v>2</v>
      </c>
      <c r="AD3365">
        <f>Reference!F$4</f>
        <v>2026</v>
      </c>
      <c r="AE3365" t="str">
        <f>IF(OR(SalesData[[#This Row],[Day]]="Saturday",SalesData[[#This Row],[Day]]="Sunday"),"Weekend","Weekday")</f>
        <v>Weekday</v>
      </c>
      <c r="AF3365" s="5">
        <f>IF(SalesData[[#This Row],[Contracts Offered]]=0,0,SalesData[[#This Row],[Contracts Signed]]/SalesData[[#This Row],[Contracts Offered]])</f>
        <v>0.26595744680851063</v>
      </c>
      <c r="AG3365" s="5">
        <f>IF(SalesData[[#This Row],[Customers Visited]]=0,0,SalesData[[#This Row],[Test Drives]]/SalesData[[#This Row],[Customers Visited]])</f>
        <v>0.45364238410596025</v>
      </c>
      <c r="AH3365" s="5">
        <f>IF(SalesData[[#This Row],[Customers Visited]]=0,0,SalesData[[#This Row],[Contracts Signed]]/SalesData[[#This Row],[Customers Visited]])</f>
        <v>8.2781456953642391E-2</v>
      </c>
      <c r="AI3365" s="6">
        <f>IF(SalesData[[#This Row],[Contracts Signed]]=0,0,SalesData[[#This Row],[Profit(€)]]/SalesData[[#This Row],[Contracts Signed]])</f>
        <v>1890</v>
      </c>
      <c r="AJ3365" s="5" t="str">
        <f>TRIM(CLEAN(SalesData[[#This Row],[Retailer]]))</f>
        <v>Rhein Auto Group</v>
      </c>
    </row>
    <row r="3366" spans="1:36" ht="14.25" hidden="1" x14ac:dyDescent="0.2">
      <c r="A3366" t="s">
        <v>4552</v>
      </c>
      <c r="B3366" s="1">
        <v>46067</v>
      </c>
      <c r="C3366" t="s">
        <v>121</v>
      </c>
      <c r="D3366" t="s">
        <v>151</v>
      </c>
      <c r="E3366" t="s">
        <v>42</v>
      </c>
      <c r="F3366" t="s">
        <v>74</v>
      </c>
      <c r="G3366" t="s">
        <v>75</v>
      </c>
      <c r="H3366" t="s">
        <v>76</v>
      </c>
      <c r="I3366" t="s">
        <v>56</v>
      </c>
      <c r="J3366" t="s">
        <v>97</v>
      </c>
      <c r="K3366" t="s">
        <v>91</v>
      </c>
      <c r="L3366" t="s">
        <v>33</v>
      </c>
      <c r="M3366" t="s">
        <v>68</v>
      </c>
      <c r="N3366" t="s">
        <v>48</v>
      </c>
      <c r="O3366" t="s">
        <v>36</v>
      </c>
      <c r="P3366" t="s">
        <v>71</v>
      </c>
      <c r="Q3366" t="s">
        <v>79</v>
      </c>
      <c r="R3366">
        <v>241</v>
      </c>
      <c r="S3366">
        <v>122</v>
      </c>
      <c r="T3366">
        <v>94</v>
      </c>
      <c r="U3366">
        <v>30</v>
      </c>
      <c r="V3366" t="s">
        <v>6481</v>
      </c>
      <c r="W3366">
        <v>49104</v>
      </c>
      <c r="X3366" t="s">
        <v>7118</v>
      </c>
      <c r="Y3366">
        <v>39243</v>
      </c>
      <c r="Z3366">
        <v>1473120</v>
      </c>
      <c r="AA3366">
        <v>295830</v>
      </c>
      <c r="AB3366" t="str">
        <f>(VLOOKUP(SalesData[[#This Row],[Month Number]],Reference!C$5:E$16,2,FALSE))</f>
        <v>Feb</v>
      </c>
      <c r="AC3366">
        <f>MONTH(SalesData[[#This Row],[Date]])</f>
        <v>2</v>
      </c>
      <c r="AD3366">
        <f>Reference!F$4</f>
        <v>2026</v>
      </c>
      <c r="AE3366" t="str">
        <f>IF(OR(SalesData[[#This Row],[Day]]="Saturday",SalesData[[#This Row],[Day]]="Sunday"),"Weekend","Weekday")</f>
        <v>Weekend</v>
      </c>
      <c r="AF3366" s="5">
        <f>IF(SalesData[[#This Row],[Contracts Offered]]=0,0,SalesData[[#This Row],[Contracts Signed]]/SalesData[[#This Row],[Contracts Offered]])</f>
        <v>0.31914893617021278</v>
      </c>
      <c r="AG3366" s="5">
        <f>IF(SalesData[[#This Row],[Customers Visited]]=0,0,SalesData[[#This Row],[Test Drives]]/SalesData[[#This Row],[Customers Visited]])</f>
        <v>0.50622406639004147</v>
      </c>
      <c r="AH3366" s="5">
        <f>IF(SalesData[[#This Row],[Customers Visited]]=0,0,SalesData[[#This Row],[Contracts Signed]]/SalesData[[#This Row],[Customers Visited]])</f>
        <v>0.12448132780082988</v>
      </c>
      <c r="AI3366" s="6">
        <f>IF(SalesData[[#This Row],[Contracts Signed]]=0,0,SalesData[[#This Row],[Profit(€)]]/SalesData[[#This Row],[Contracts Signed]])</f>
        <v>9861</v>
      </c>
      <c r="AJ3366" s="5" t="str">
        <f>TRIM(CLEAN(SalesData[[#This Row],[Retailer]]))</f>
        <v>Stuttgart Auto Center</v>
      </c>
    </row>
    <row r="3367" spans="1:36" ht="14.25" x14ac:dyDescent="0.2">
      <c r="A3367" t="s">
        <v>4554</v>
      </c>
      <c r="B3367" s="1">
        <v>46063</v>
      </c>
      <c r="C3367" t="s">
        <v>121</v>
      </c>
      <c r="D3367" t="s">
        <v>63</v>
      </c>
      <c r="E3367" t="s">
        <v>26</v>
      </c>
      <c r="F3367" t="s">
        <v>83</v>
      </c>
      <c r="G3367" t="s">
        <v>84</v>
      </c>
      <c r="H3367" t="s">
        <v>85</v>
      </c>
      <c r="I3367" t="s">
        <v>30</v>
      </c>
      <c r="J3367" t="s">
        <v>86</v>
      </c>
      <c r="K3367" t="s">
        <v>91</v>
      </c>
      <c r="L3367" t="s">
        <v>33</v>
      </c>
      <c r="M3367" t="s">
        <v>68</v>
      </c>
      <c r="N3367" t="s">
        <v>35</v>
      </c>
      <c r="O3367" t="s">
        <v>36</v>
      </c>
      <c r="P3367" t="s">
        <v>58</v>
      </c>
      <c r="Q3367" t="s">
        <v>204</v>
      </c>
      <c r="R3367">
        <v>154</v>
      </c>
      <c r="S3367">
        <v>90</v>
      </c>
      <c r="T3367">
        <v>72</v>
      </c>
      <c r="U3367">
        <v>26</v>
      </c>
      <c r="V3367" t="s">
        <v>6688</v>
      </c>
      <c r="W3367">
        <v>60452</v>
      </c>
      <c r="X3367" t="s">
        <v>7437</v>
      </c>
      <c r="Y3367">
        <v>45006</v>
      </c>
      <c r="Z3367">
        <v>1571752</v>
      </c>
      <c r="AA3367">
        <v>401596</v>
      </c>
      <c r="AB3367" t="str">
        <f>(VLOOKUP(SalesData[[#This Row],[Month Number]],Reference!C$5:E$16,2,FALSE))</f>
        <v>Feb</v>
      </c>
      <c r="AC3367">
        <f>MONTH(SalesData[[#This Row],[Date]])</f>
        <v>2</v>
      </c>
      <c r="AD3367">
        <f>Reference!F$4</f>
        <v>2026</v>
      </c>
      <c r="AE3367" t="str">
        <f>IF(OR(SalesData[[#This Row],[Day]]="Saturday",SalesData[[#This Row],[Day]]="Sunday"),"Weekend","Weekday")</f>
        <v>Weekday</v>
      </c>
      <c r="AF3367" s="5">
        <f>IF(SalesData[[#This Row],[Contracts Offered]]=0,0,SalesData[[#This Row],[Contracts Signed]]/SalesData[[#This Row],[Contracts Offered]])</f>
        <v>0.3611111111111111</v>
      </c>
      <c r="AG3367" s="5">
        <f>IF(SalesData[[#This Row],[Customers Visited]]=0,0,SalesData[[#This Row],[Test Drives]]/SalesData[[#This Row],[Customers Visited]])</f>
        <v>0.58441558441558439</v>
      </c>
      <c r="AH3367" s="5">
        <f>IF(SalesData[[#This Row],[Customers Visited]]=0,0,SalesData[[#This Row],[Contracts Signed]]/SalesData[[#This Row],[Customers Visited]])</f>
        <v>0.16883116883116883</v>
      </c>
      <c r="AI3367" s="6">
        <f>IF(SalesData[[#This Row],[Contracts Signed]]=0,0,SalesData[[#This Row],[Profit(€)]]/SalesData[[#This Row],[Contracts Signed]])</f>
        <v>15446</v>
      </c>
      <c r="AJ3367" s="5" t="str">
        <f>TRIM(CLEAN(SalesData[[#This Row],[Retailer]]))</f>
        <v>Hannover Cars</v>
      </c>
    </row>
    <row r="3368" spans="1:36" ht="14.25" hidden="1" x14ac:dyDescent="0.2">
      <c r="A3368" t="s">
        <v>4555</v>
      </c>
      <c r="B3368" s="1">
        <v>46058</v>
      </c>
      <c r="C3368" t="s">
        <v>24</v>
      </c>
      <c r="D3368" t="s">
        <v>100</v>
      </c>
      <c r="E3368" t="s">
        <v>26</v>
      </c>
      <c r="F3368" t="s">
        <v>101</v>
      </c>
      <c r="G3368" t="s">
        <v>102</v>
      </c>
      <c r="H3368" t="s">
        <v>103</v>
      </c>
      <c r="I3368" t="s">
        <v>64</v>
      </c>
      <c r="J3368" t="s">
        <v>111</v>
      </c>
      <c r="K3368" t="s">
        <v>78</v>
      </c>
      <c r="L3368" t="s">
        <v>46</v>
      </c>
      <c r="M3368" t="s">
        <v>68</v>
      </c>
      <c r="N3368" t="s">
        <v>48</v>
      </c>
      <c r="O3368" t="s">
        <v>70</v>
      </c>
      <c r="P3368" t="s">
        <v>49</v>
      </c>
      <c r="Q3368" t="s">
        <v>240</v>
      </c>
      <c r="R3368">
        <v>284</v>
      </c>
      <c r="S3368">
        <v>130</v>
      </c>
      <c r="T3368">
        <v>95</v>
      </c>
      <c r="U3368">
        <v>26</v>
      </c>
      <c r="V3368" t="s">
        <v>6410</v>
      </c>
      <c r="W3368">
        <v>68392</v>
      </c>
      <c r="X3368" t="s">
        <v>7170</v>
      </c>
      <c r="Y3368">
        <v>52210</v>
      </c>
      <c r="Z3368">
        <v>1778192</v>
      </c>
      <c r="AA3368">
        <v>420732</v>
      </c>
      <c r="AB3368" t="str">
        <f>(VLOOKUP(SalesData[[#This Row],[Month Number]],Reference!C$5:E$16,2,FALSE))</f>
        <v>Feb</v>
      </c>
      <c r="AC3368">
        <f>MONTH(SalesData[[#This Row],[Date]])</f>
        <v>2</v>
      </c>
      <c r="AD3368">
        <f>Reference!F$4</f>
        <v>2026</v>
      </c>
      <c r="AE3368" t="str">
        <f>IF(OR(SalesData[[#This Row],[Day]]="Saturday",SalesData[[#This Row],[Day]]="Sunday"),"Weekend","Weekday")</f>
        <v>Weekday</v>
      </c>
      <c r="AF3368" s="5">
        <f>IF(SalesData[[#This Row],[Contracts Offered]]=0,0,SalesData[[#This Row],[Contracts Signed]]/SalesData[[#This Row],[Contracts Offered]])</f>
        <v>0.27368421052631581</v>
      </c>
      <c r="AG3368" s="5">
        <f>IF(SalesData[[#This Row],[Customers Visited]]=0,0,SalesData[[#This Row],[Test Drives]]/SalesData[[#This Row],[Customers Visited]])</f>
        <v>0.45774647887323944</v>
      </c>
      <c r="AH3368" s="5">
        <f>IF(SalesData[[#This Row],[Customers Visited]]=0,0,SalesData[[#This Row],[Contracts Signed]]/SalesData[[#This Row],[Customers Visited]])</f>
        <v>9.154929577464789E-2</v>
      </c>
      <c r="AI3368" s="6">
        <f>IF(SalesData[[#This Row],[Contracts Signed]]=0,0,SalesData[[#This Row],[Profit(€)]]/SalesData[[#This Row],[Contracts Signed]])</f>
        <v>16182</v>
      </c>
      <c r="AJ3368" s="5" t="str">
        <f>TRIM(CLEAN(SalesData[[#This Row],[Retailer]]))</f>
        <v>Ruhr Auto Plaza</v>
      </c>
    </row>
    <row r="3369" spans="1:36" ht="14.25" hidden="1" x14ac:dyDescent="0.2">
      <c r="A3369" t="s">
        <v>4557</v>
      </c>
      <c r="B3369" s="1">
        <v>46081</v>
      </c>
      <c r="C3369" t="s">
        <v>53</v>
      </c>
      <c r="D3369" t="s">
        <v>151</v>
      </c>
      <c r="E3369" t="s">
        <v>42</v>
      </c>
      <c r="F3369" t="s">
        <v>94</v>
      </c>
      <c r="G3369" t="s">
        <v>95</v>
      </c>
      <c r="H3369" t="s">
        <v>96</v>
      </c>
      <c r="I3369" t="s">
        <v>64</v>
      </c>
      <c r="J3369" t="s">
        <v>111</v>
      </c>
      <c r="K3369" t="s">
        <v>91</v>
      </c>
      <c r="L3369" t="s">
        <v>46</v>
      </c>
      <c r="M3369" t="s">
        <v>34</v>
      </c>
      <c r="N3369" t="s">
        <v>48</v>
      </c>
      <c r="O3369" t="s">
        <v>36</v>
      </c>
      <c r="P3369" t="s">
        <v>58</v>
      </c>
      <c r="Q3369" t="s">
        <v>172</v>
      </c>
      <c r="R3369">
        <v>205</v>
      </c>
      <c r="S3369">
        <v>120</v>
      </c>
      <c r="T3369">
        <v>81</v>
      </c>
      <c r="U3369">
        <v>34</v>
      </c>
      <c r="V3369" t="s">
        <v>6949</v>
      </c>
      <c r="W3369">
        <v>63086</v>
      </c>
      <c r="X3369" t="s">
        <v>7082</v>
      </c>
      <c r="Y3369">
        <v>45218</v>
      </c>
      <c r="Z3369">
        <v>2144924</v>
      </c>
      <c r="AA3369">
        <v>607512</v>
      </c>
      <c r="AB3369" t="str">
        <f>(VLOOKUP(SalesData[[#This Row],[Month Number]],Reference!C$5:E$16,2,FALSE))</f>
        <v>Feb</v>
      </c>
      <c r="AC3369">
        <f>MONTH(SalesData[[#This Row],[Date]])</f>
        <v>2</v>
      </c>
      <c r="AD3369">
        <f>Reference!F$4</f>
        <v>2026</v>
      </c>
      <c r="AE3369" t="str">
        <f>IF(OR(SalesData[[#This Row],[Day]]="Saturday",SalesData[[#This Row],[Day]]="Sunday"),"Weekend","Weekday")</f>
        <v>Weekend</v>
      </c>
      <c r="AF3369" s="5">
        <f>IF(SalesData[[#This Row],[Contracts Offered]]=0,0,SalesData[[#This Row],[Contracts Signed]]/SalesData[[#This Row],[Contracts Offered]])</f>
        <v>0.41975308641975306</v>
      </c>
      <c r="AG3369" s="5">
        <f>IF(SalesData[[#This Row],[Customers Visited]]=0,0,SalesData[[#This Row],[Test Drives]]/SalesData[[#This Row],[Customers Visited]])</f>
        <v>0.58536585365853655</v>
      </c>
      <c r="AH3369" s="5">
        <f>IF(SalesData[[#This Row],[Customers Visited]]=0,0,SalesData[[#This Row],[Contracts Signed]]/SalesData[[#This Row],[Customers Visited]])</f>
        <v>0.16585365853658537</v>
      </c>
      <c r="AI3369" s="6">
        <f>IF(SalesData[[#This Row],[Contracts Signed]]=0,0,SalesData[[#This Row],[Profit(€)]]/SalesData[[#This Row],[Contracts Signed]])</f>
        <v>17868</v>
      </c>
      <c r="AJ3369" s="5" t="str">
        <f>TRIM(CLEAN(SalesData[[#This Row],[Retailer]]))</f>
        <v>Bavaria Motors</v>
      </c>
    </row>
    <row r="3370" spans="1:36" ht="14.25" hidden="1" x14ac:dyDescent="0.2">
      <c r="A3370" t="s">
        <v>4558</v>
      </c>
      <c r="B3370" s="1">
        <v>46067</v>
      </c>
      <c r="C3370" t="s">
        <v>121</v>
      </c>
      <c r="D3370" t="s">
        <v>151</v>
      </c>
      <c r="E3370" t="s">
        <v>42</v>
      </c>
      <c r="F3370" t="s">
        <v>109</v>
      </c>
      <c r="G3370" t="s">
        <v>110</v>
      </c>
      <c r="H3370" t="s">
        <v>45</v>
      </c>
      <c r="I3370" t="s">
        <v>104</v>
      </c>
      <c r="J3370" t="s">
        <v>143</v>
      </c>
      <c r="K3370" t="s">
        <v>66</v>
      </c>
      <c r="L3370" t="s">
        <v>67</v>
      </c>
      <c r="M3370" t="s">
        <v>47</v>
      </c>
      <c r="N3370" t="s">
        <v>48</v>
      </c>
      <c r="O3370" t="s">
        <v>36</v>
      </c>
      <c r="P3370" t="s">
        <v>58</v>
      </c>
      <c r="Q3370" t="s">
        <v>189</v>
      </c>
      <c r="R3370">
        <v>460</v>
      </c>
      <c r="S3370">
        <v>222</v>
      </c>
      <c r="T3370">
        <v>136</v>
      </c>
      <c r="U3370">
        <v>36</v>
      </c>
      <c r="V3370" t="s">
        <v>767</v>
      </c>
      <c r="W3370">
        <v>33191</v>
      </c>
      <c r="X3370" t="s">
        <v>3997</v>
      </c>
      <c r="Y3370">
        <v>29925</v>
      </c>
      <c r="Z3370">
        <v>1194876</v>
      </c>
      <c r="AA3370">
        <v>117576</v>
      </c>
      <c r="AB3370" t="str">
        <f>(VLOOKUP(SalesData[[#This Row],[Month Number]],Reference!C$5:E$16,2,FALSE))</f>
        <v>Feb</v>
      </c>
      <c r="AC3370">
        <f>MONTH(SalesData[[#This Row],[Date]])</f>
        <v>2</v>
      </c>
      <c r="AD3370">
        <f>Reference!F$4</f>
        <v>2026</v>
      </c>
      <c r="AE3370" t="str">
        <f>IF(OR(SalesData[[#This Row],[Day]]="Saturday",SalesData[[#This Row],[Day]]="Sunday"),"Weekend","Weekday")</f>
        <v>Weekend</v>
      </c>
      <c r="AF3370" s="5">
        <f>IF(SalesData[[#This Row],[Contracts Offered]]=0,0,SalesData[[#This Row],[Contracts Signed]]/SalesData[[#This Row],[Contracts Offered]])</f>
        <v>0.26470588235294118</v>
      </c>
      <c r="AG3370" s="5">
        <f>IF(SalesData[[#This Row],[Customers Visited]]=0,0,SalesData[[#This Row],[Test Drives]]/SalesData[[#This Row],[Customers Visited]])</f>
        <v>0.4826086956521739</v>
      </c>
      <c r="AH3370" s="5">
        <f>IF(SalesData[[#This Row],[Customers Visited]]=0,0,SalesData[[#This Row],[Contracts Signed]]/SalesData[[#This Row],[Customers Visited]])</f>
        <v>7.8260869565217397E-2</v>
      </c>
      <c r="AI3370" s="6">
        <f>IF(SalesData[[#This Row],[Contracts Signed]]=0,0,SalesData[[#This Row],[Profit(€)]]/SalesData[[#This Row],[Contracts Signed]])</f>
        <v>3266</v>
      </c>
      <c r="AJ3370" s="5" t="str">
        <f>TRIM(CLEAN(SalesData[[#This Row],[Retailer]]))</f>
        <v>Leipzig Mobility</v>
      </c>
    </row>
    <row r="3371" spans="1:36" ht="14.25" hidden="1" x14ac:dyDescent="0.2">
      <c r="A3371" t="s">
        <v>4559</v>
      </c>
      <c r="B3371" s="1">
        <v>46064</v>
      </c>
      <c r="C3371" t="s">
        <v>121</v>
      </c>
      <c r="D3371" t="s">
        <v>82</v>
      </c>
      <c r="E3371" t="s">
        <v>26</v>
      </c>
      <c r="F3371" t="s">
        <v>114</v>
      </c>
      <c r="G3371" t="s">
        <v>115</v>
      </c>
      <c r="H3371" t="s">
        <v>115</v>
      </c>
      <c r="I3371" t="s">
        <v>56</v>
      </c>
      <c r="J3371" t="s">
        <v>97</v>
      </c>
      <c r="K3371" t="s">
        <v>32</v>
      </c>
      <c r="L3371" t="s">
        <v>33</v>
      </c>
      <c r="M3371" t="s">
        <v>47</v>
      </c>
      <c r="N3371" t="s">
        <v>48</v>
      </c>
      <c r="O3371" t="s">
        <v>70</v>
      </c>
      <c r="P3371" t="s">
        <v>37</v>
      </c>
      <c r="Q3371" t="s">
        <v>158</v>
      </c>
      <c r="R3371">
        <v>303</v>
      </c>
      <c r="S3371">
        <v>180</v>
      </c>
      <c r="T3371">
        <v>127</v>
      </c>
      <c r="U3371">
        <v>41</v>
      </c>
      <c r="V3371" t="s">
        <v>6634</v>
      </c>
      <c r="W3371">
        <v>40020</v>
      </c>
      <c r="X3371" t="s">
        <v>7426</v>
      </c>
      <c r="Y3371">
        <v>32476</v>
      </c>
      <c r="Z3371">
        <v>1640820</v>
      </c>
      <c r="AA3371">
        <v>309304</v>
      </c>
      <c r="AB3371" t="str">
        <f>(VLOOKUP(SalesData[[#This Row],[Month Number]],Reference!C$5:E$16,2,FALSE))</f>
        <v>Feb</v>
      </c>
      <c r="AC3371">
        <f>MONTH(SalesData[[#This Row],[Date]])</f>
        <v>2</v>
      </c>
      <c r="AD3371">
        <f>Reference!F$4</f>
        <v>2026</v>
      </c>
      <c r="AE3371" t="str">
        <f>IF(OR(SalesData[[#This Row],[Day]]="Saturday",SalesData[[#This Row],[Day]]="Sunday"),"Weekend","Weekday")</f>
        <v>Weekday</v>
      </c>
      <c r="AF3371" s="5">
        <f>IF(SalesData[[#This Row],[Contracts Offered]]=0,0,SalesData[[#This Row],[Contracts Signed]]/SalesData[[#This Row],[Contracts Offered]])</f>
        <v>0.32283464566929132</v>
      </c>
      <c r="AG3371" s="5">
        <f>IF(SalesData[[#This Row],[Customers Visited]]=0,0,SalesData[[#This Row],[Test Drives]]/SalesData[[#This Row],[Customers Visited]])</f>
        <v>0.59405940594059403</v>
      </c>
      <c r="AH3371" s="5">
        <f>IF(SalesData[[#This Row],[Customers Visited]]=0,0,SalesData[[#This Row],[Contracts Signed]]/SalesData[[#This Row],[Customers Visited]])</f>
        <v>0.13531353135313531</v>
      </c>
      <c r="AI3371" s="6">
        <f>IF(SalesData[[#This Row],[Contracts Signed]]=0,0,SalesData[[#This Row],[Profit(€)]]/SalesData[[#This Row],[Contracts Signed]])</f>
        <v>7544</v>
      </c>
      <c r="AJ3371" s="5" t="str">
        <f>TRIM(CLEAN(SalesData[[#This Row],[Retailer]]))</f>
        <v>Elbe Drive</v>
      </c>
    </row>
    <row r="3372" spans="1:36" ht="14.25" hidden="1" x14ac:dyDescent="0.2">
      <c r="A3372" t="s">
        <v>4560</v>
      </c>
      <c r="B3372" s="1">
        <v>46068</v>
      </c>
      <c r="C3372" t="s">
        <v>62</v>
      </c>
      <c r="D3372" t="s">
        <v>41</v>
      </c>
      <c r="E3372" t="s">
        <v>42</v>
      </c>
      <c r="F3372" t="s">
        <v>43</v>
      </c>
      <c r="G3372" t="s">
        <v>44</v>
      </c>
      <c r="H3372" t="s">
        <v>45</v>
      </c>
      <c r="I3372" t="s">
        <v>116</v>
      </c>
      <c r="J3372" t="s">
        <v>117</v>
      </c>
      <c r="K3372" t="s">
        <v>91</v>
      </c>
      <c r="L3372" t="s">
        <v>67</v>
      </c>
      <c r="M3372" t="s">
        <v>87</v>
      </c>
      <c r="N3372" t="s">
        <v>35</v>
      </c>
      <c r="O3372" t="s">
        <v>36</v>
      </c>
      <c r="P3372" t="s">
        <v>37</v>
      </c>
      <c r="Q3372" t="s">
        <v>88</v>
      </c>
      <c r="R3372">
        <v>372</v>
      </c>
      <c r="S3372">
        <v>162</v>
      </c>
      <c r="T3372">
        <v>112</v>
      </c>
      <c r="U3372">
        <v>23</v>
      </c>
      <c r="V3372" t="s">
        <v>2532</v>
      </c>
      <c r="W3372">
        <v>26354</v>
      </c>
      <c r="X3372" t="s">
        <v>7342</v>
      </c>
      <c r="Y3372">
        <v>24212</v>
      </c>
      <c r="Z3372">
        <v>606142</v>
      </c>
      <c r="AA3372">
        <v>49266</v>
      </c>
      <c r="AB3372" t="str">
        <f>(VLOOKUP(SalesData[[#This Row],[Month Number]],Reference!C$5:E$16,2,FALSE))</f>
        <v>Feb</v>
      </c>
      <c r="AC3372">
        <f>MONTH(SalesData[[#This Row],[Date]])</f>
        <v>2</v>
      </c>
      <c r="AD3372">
        <f>Reference!F$4</f>
        <v>2026</v>
      </c>
      <c r="AE3372" t="str">
        <f>IF(OR(SalesData[[#This Row],[Day]]="Saturday",SalesData[[#This Row],[Day]]="Sunday"),"Weekend","Weekday")</f>
        <v>Weekend</v>
      </c>
      <c r="AF3372" s="5">
        <f>IF(SalesData[[#This Row],[Contracts Offered]]=0,0,SalesData[[#This Row],[Contracts Signed]]/SalesData[[#This Row],[Contracts Offered]])</f>
        <v>0.20535714285714285</v>
      </c>
      <c r="AG3372" s="5">
        <f>IF(SalesData[[#This Row],[Customers Visited]]=0,0,SalesData[[#This Row],[Test Drives]]/SalesData[[#This Row],[Customers Visited]])</f>
        <v>0.43548387096774194</v>
      </c>
      <c r="AH3372" s="5">
        <f>IF(SalesData[[#This Row],[Customers Visited]]=0,0,SalesData[[#This Row],[Contracts Signed]]/SalesData[[#This Row],[Customers Visited]])</f>
        <v>6.1827956989247312E-2</v>
      </c>
      <c r="AI3372" s="6">
        <f>IF(SalesData[[#This Row],[Contracts Signed]]=0,0,SalesData[[#This Row],[Profit(€)]]/SalesData[[#This Row],[Contracts Signed]])</f>
        <v>2142</v>
      </c>
      <c r="AJ3372" s="5" t="str">
        <f>TRIM(CLEAN(SalesData[[#This Row],[Retailer]]))</f>
        <v>Saxon Wheels</v>
      </c>
    </row>
    <row r="3373" spans="1:36" ht="14.25" hidden="1" x14ac:dyDescent="0.2">
      <c r="A3373" t="s">
        <v>4561</v>
      </c>
      <c r="B3373" s="1">
        <v>46054</v>
      </c>
      <c r="C3373" t="s">
        <v>24</v>
      </c>
      <c r="D3373" t="s">
        <v>41</v>
      </c>
      <c r="E3373" t="s">
        <v>42</v>
      </c>
      <c r="F3373" t="s">
        <v>27</v>
      </c>
      <c r="G3373" t="s">
        <v>28</v>
      </c>
      <c r="H3373" t="s">
        <v>29</v>
      </c>
      <c r="I3373" t="s">
        <v>56</v>
      </c>
      <c r="J3373" t="s">
        <v>97</v>
      </c>
      <c r="K3373" t="s">
        <v>91</v>
      </c>
      <c r="L3373" t="s">
        <v>33</v>
      </c>
      <c r="M3373" t="s">
        <v>34</v>
      </c>
      <c r="N3373" t="s">
        <v>48</v>
      </c>
      <c r="O3373" t="s">
        <v>36</v>
      </c>
      <c r="P3373" t="s">
        <v>71</v>
      </c>
      <c r="Q3373" t="s">
        <v>50</v>
      </c>
      <c r="R3373">
        <v>292</v>
      </c>
      <c r="S3373">
        <v>144</v>
      </c>
      <c r="T3373">
        <v>111</v>
      </c>
      <c r="U3373">
        <v>35</v>
      </c>
      <c r="V3373" t="s">
        <v>6495</v>
      </c>
      <c r="W3373">
        <v>53422</v>
      </c>
      <c r="X3373" t="s">
        <v>5094</v>
      </c>
      <c r="Y3373">
        <v>40846</v>
      </c>
      <c r="Z3373">
        <v>1869770</v>
      </c>
      <c r="AA3373">
        <v>440160</v>
      </c>
      <c r="AB3373" t="str">
        <f>(VLOOKUP(SalesData[[#This Row],[Month Number]],Reference!C$5:E$16,2,FALSE))</f>
        <v>Feb</v>
      </c>
      <c r="AC3373">
        <f>MONTH(SalesData[[#This Row],[Date]])</f>
        <v>2</v>
      </c>
      <c r="AD3373">
        <f>Reference!F$4</f>
        <v>2026</v>
      </c>
      <c r="AE3373" t="str">
        <f>IF(OR(SalesData[[#This Row],[Day]]="Saturday",SalesData[[#This Row],[Day]]="Sunday"),"Weekend","Weekday")</f>
        <v>Weekend</v>
      </c>
      <c r="AF3373" s="5">
        <f>IF(SalesData[[#This Row],[Contracts Offered]]=0,0,SalesData[[#This Row],[Contracts Signed]]/SalesData[[#This Row],[Contracts Offered]])</f>
        <v>0.31531531531531531</v>
      </c>
      <c r="AG3373" s="5">
        <f>IF(SalesData[[#This Row],[Customers Visited]]=0,0,SalesData[[#This Row],[Test Drives]]/SalesData[[#This Row],[Customers Visited]])</f>
        <v>0.49315068493150682</v>
      </c>
      <c r="AH3373" s="5">
        <f>IF(SalesData[[#This Row],[Customers Visited]]=0,0,SalesData[[#This Row],[Contracts Signed]]/SalesData[[#This Row],[Customers Visited]])</f>
        <v>0.11986301369863013</v>
      </c>
      <c r="AI3373" s="6">
        <f>IF(SalesData[[#This Row],[Contracts Signed]]=0,0,SalesData[[#This Row],[Profit(€)]]/SalesData[[#This Row],[Contracts Signed]])</f>
        <v>12576</v>
      </c>
      <c r="AJ3373" s="5" t="str">
        <f>TRIM(CLEAN(SalesData[[#This Row],[Retailer]]))</f>
        <v>Main Auto Hub</v>
      </c>
    </row>
    <row r="3374" spans="1:36" ht="14.25" hidden="1" x14ac:dyDescent="0.2">
      <c r="A3374" t="s">
        <v>4562</v>
      </c>
      <c r="B3374" s="1">
        <v>46061</v>
      </c>
      <c r="C3374" t="s">
        <v>121</v>
      </c>
      <c r="D3374" t="s">
        <v>41</v>
      </c>
      <c r="E3374" t="s">
        <v>42</v>
      </c>
      <c r="F3374" t="s">
        <v>27</v>
      </c>
      <c r="G3374" t="s">
        <v>28</v>
      </c>
      <c r="H3374" t="s">
        <v>29</v>
      </c>
      <c r="I3374" t="s">
        <v>116</v>
      </c>
      <c r="J3374" t="s">
        <v>7090</v>
      </c>
      <c r="K3374" t="s">
        <v>78</v>
      </c>
      <c r="L3374" t="s">
        <v>46</v>
      </c>
      <c r="M3374" t="s">
        <v>34</v>
      </c>
      <c r="N3374" t="s">
        <v>35</v>
      </c>
      <c r="O3374" t="s">
        <v>70</v>
      </c>
      <c r="P3374" t="s">
        <v>58</v>
      </c>
      <c r="Q3374" t="s">
        <v>135</v>
      </c>
      <c r="R3374">
        <v>388</v>
      </c>
      <c r="S3374">
        <v>175</v>
      </c>
      <c r="T3374">
        <v>117</v>
      </c>
      <c r="U3374">
        <v>30</v>
      </c>
      <c r="V3374" t="s">
        <v>1838</v>
      </c>
      <c r="W3374">
        <v>25093</v>
      </c>
      <c r="X3374" t="s">
        <v>7596</v>
      </c>
      <c r="Y3374">
        <v>23032</v>
      </c>
      <c r="Z3374">
        <v>752790</v>
      </c>
      <c r="AA3374">
        <v>61830</v>
      </c>
      <c r="AB3374" t="str">
        <f>(VLOOKUP(SalesData[[#This Row],[Month Number]],Reference!C$5:E$16,2,FALSE))</f>
        <v>Feb</v>
      </c>
      <c r="AC3374">
        <f>MONTH(SalesData[[#This Row],[Date]])</f>
        <v>2</v>
      </c>
      <c r="AD3374">
        <f>Reference!F$4</f>
        <v>2026</v>
      </c>
      <c r="AE3374" t="str">
        <f>IF(OR(SalesData[[#This Row],[Day]]="Saturday",SalesData[[#This Row],[Day]]="Sunday"),"Weekend","Weekday")</f>
        <v>Weekend</v>
      </c>
      <c r="AF3374" s="5">
        <f>IF(SalesData[[#This Row],[Contracts Offered]]=0,0,SalesData[[#This Row],[Contracts Signed]]/SalesData[[#This Row],[Contracts Offered]])</f>
        <v>0.25641025641025639</v>
      </c>
      <c r="AG3374" s="5">
        <f>IF(SalesData[[#This Row],[Customers Visited]]=0,0,SalesData[[#This Row],[Test Drives]]/SalesData[[#This Row],[Customers Visited]])</f>
        <v>0.45103092783505155</v>
      </c>
      <c r="AH3374" s="5">
        <f>IF(SalesData[[#This Row],[Customers Visited]]=0,0,SalesData[[#This Row],[Contracts Signed]]/SalesData[[#This Row],[Customers Visited]])</f>
        <v>7.7319587628865982E-2</v>
      </c>
      <c r="AI3374" s="6">
        <f>IF(SalesData[[#This Row],[Contracts Signed]]=0,0,SalesData[[#This Row],[Profit(€)]]/SalesData[[#This Row],[Contracts Signed]])</f>
        <v>2061</v>
      </c>
      <c r="AJ3374" s="5" t="str">
        <f>TRIM(CLEAN(SalesData[[#This Row],[Retailer]]))</f>
        <v>Main Auto Hub</v>
      </c>
    </row>
    <row r="3375" spans="1:36" ht="14.25" x14ac:dyDescent="0.2">
      <c r="A3375" t="s">
        <v>4563</v>
      </c>
      <c r="B3375" s="1">
        <v>46057</v>
      </c>
      <c r="C3375" t="s">
        <v>24</v>
      </c>
      <c r="D3375" t="s">
        <v>82</v>
      </c>
      <c r="E3375" t="s">
        <v>26</v>
      </c>
      <c r="F3375" t="s">
        <v>109</v>
      </c>
      <c r="G3375" t="s">
        <v>110</v>
      </c>
      <c r="H3375" t="s">
        <v>45</v>
      </c>
      <c r="I3375" t="s">
        <v>30</v>
      </c>
      <c r="J3375" t="s">
        <v>7075</v>
      </c>
      <c r="K3375" t="s">
        <v>32</v>
      </c>
      <c r="L3375" t="s">
        <v>33</v>
      </c>
      <c r="M3375" t="s">
        <v>47</v>
      </c>
      <c r="N3375" t="s">
        <v>48</v>
      </c>
      <c r="O3375" t="s">
        <v>70</v>
      </c>
      <c r="P3375" t="s">
        <v>37</v>
      </c>
      <c r="Q3375" t="s">
        <v>189</v>
      </c>
      <c r="R3375">
        <v>261</v>
      </c>
      <c r="S3375">
        <v>138</v>
      </c>
      <c r="T3375">
        <v>100</v>
      </c>
      <c r="U3375">
        <v>34</v>
      </c>
      <c r="V3375" t="s">
        <v>6473</v>
      </c>
      <c r="W3375">
        <v>61332</v>
      </c>
      <c r="X3375" t="s">
        <v>7165</v>
      </c>
      <c r="Y3375">
        <v>45803</v>
      </c>
      <c r="Z3375">
        <v>2085288</v>
      </c>
      <c r="AA3375">
        <v>527986</v>
      </c>
      <c r="AB3375" t="str">
        <f>(VLOOKUP(SalesData[[#This Row],[Month Number]],Reference!C$5:E$16,2,FALSE))</f>
        <v>Feb</v>
      </c>
      <c r="AC3375">
        <f>MONTH(SalesData[[#This Row],[Date]])</f>
        <v>2</v>
      </c>
      <c r="AD3375">
        <f>Reference!F$4</f>
        <v>2026</v>
      </c>
      <c r="AE3375" t="str">
        <f>IF(OR(SalesData[[#This Row],[Day]]="Saturday",SalesData[[#This Row],[Day]]="Sunday"),"Weekend","Weekday")</f>
        <v>Weekday</v>
      </c>
      <c r="AF3375" s="5">
        <f>IF(SalesData[[#This Row],[Contracts Offered]]=0,0,SalesData[[#This Row],[Contracts Signed]]/SalesData[[#This Row],[Contracts Offered]])</f>
        <v>0.34</v>
      </c>
      <c r="AG3375" s="5">
        <f>IF(SalesData[[#This Row],[Customers Visited]]=0,0,SalesData[[#This Row],[Test Drives]]/SalesData[[#This Row],[Customers Visited]])</f>
        <v>0.52873563218390807</v>
      </c>
      <c r="AH3375" s="5">
        <f>IF(SalesData[[#This Row],[Customers Visited]]=0,0,SalesData[[#This Row],[Contracts Signed]]/SalesData[[#This Row],[Customers Visited]])</f>
        <v>0.13026819923371646</v>
      </c>
      <c r="AI3375" s="6">
        <f>IF(SalesData[[#This Row],[Contracts Signed]]=0,0,SalesData[[#This Row],[Profit(€)]]/SalesData[[#This Row],[Contracts Signed]])</f>
        <v>15529</v>
      </c>
      <c r="AJ3375" s="5" t="str">
        <f>TRIM(CLEAN(SalesData[[#This Row],[Retailer]]))</f>
        <v>Leipzig Mobility</v>
      </c>
    </row>
    <row r="3376" spans="1:36" ht="14.25" hidden="1" x14ac:dyDescent="0.2">
      <c r="A3376" t="s">
        <v>4564</v>
      </c>
      <c r="B3376" s="1">
        <v>46063</v>
      </c>
      <c r="C3376" t="s">
        <v>121</v>
      </c>
      <c r="D3376" t="s">
        <v>63</v>
      </c>
      <c r="E3376" t="s">
        <v>26</v>
      </c>
      <c r="F3376" t="s">
        <v>27</v>
      </c>
      <c r="G3376" t="s">
        <v>28</v>
      </c>
      <c r="H3376" t="s">
        <v>29</v>
      </c>
      <c r="I3376" t="s">
        <v>104</v>
      </c>
      <c r="J3376" t="s">
        <v>105</v>
      </c>
      <c r="K3376" t="s">
        <v>32</v>
      </c>
      <c r="L3376" t="s">
        <v>33</v>
      </c>
      <c r="M3376" t="s">
        <v>68</v>
      </c>
      <c r="N3376" t="s">
        <v>69</v>
      </c>
      <c r="O3376" t="s">
        <v>70</v>
      </c>
      <c r="P3376" t="s">
        <v>37</v>
      </c>
      <c r="Q3376" t="s">
        <v>129</v>
      </c>
      <c r="R3376">
        <v>339</v>
      </c>
      <c r="S3376">
        <v>180</v>
      </c>
      <c r="T3376">
        <v>104</v>
      </c>
      <c r="U3376">
        <v>27</v>
      </c>
      <c r="V3376" t="s">
        <v>597</v>
      </c>
      <c r="W3376">
        <v>27579</v>
      </c>
      <c r="X3376" t="s">
        <v>781</v>
      </c>
      <c r="Y3376">
        <v>25026</v>
      </c>
      <c r="Z3376">
        <v>744633</v>
      </c>
      <c r="AA3376">
        <v>68931</v>
      </c>
      <c r="AB3376" t="str">
        <f>(VLOOKUP(SalesData[[#This Row],[Month Number]],Reference!C$5:E$16,2,FALSE))</f>
        <v>Feb</v>
      </c>
      <c r="AC3376">
        <f>MONTH(SalesData[[#This Row],[Date]])</f>
        <v>2</v>
      </c>
      <c r="AD3376">
        <f>Reference!F$4</f>
        <v>2026</v>
      </c>
      <c r="AE3376" t="str">
        <f>IF(OR(SalesData[[#This Row],[Day]]="Saturday",SalesData[[#This Row],[Day]]="Sunday"),"Weekend","Weekday")</f>
        <v>Weekday</v>
      </c>
      <c r="AF3376" s="5">
        <f>IF(SalesData[[#This Row],[Contracts Offered]]=0,0,SalesData[[#This Row],[Contracts Signed]]/SalesData[[#This Row],[Contracts Offered]])</f>
        <v>0.25961538461538464</v>
      </c>
      <c r="AG3376" s="5">
        <f>IF(SalesData[[#This Row],[Customers Visited]]=0,0,SalesData[[#This Row],[Test Drives]]/SalesData[[#This Row],[Customers Visited]])</f>
        <v>0.53097345132743368</v>
      </c>
      <c r="AH3376" s="5">
        <f>IF(SalesData[[#This Row],[Customers Visited]]=0,0,SalesData[[#This Row],[Contracts Signed]]/SalesData[[#This Row],[Customers Visited]])</f>
        <v>7.9646017699115043E-2</v>
      </c>
      <c r="AI3376" s="6">
        <f>IF(SalesData[[#This Row],[Contracts Signed]]=0,0,SalesData[[#This Row],[Profit(€)]]/SalesData[[#This Row],[Contracts Signed]])</f>
        <v>2553</v>
      </c>
      <c r="AJ3376" s="5" t="str">
        <f>TRIM(CLEAN(SalesData[[#This Row],[Retailer]]))</f>
        <v>Main Auto Hub</v>
      </c>
    </row>
    <row r="3377" spans="1:36" ht="14.25" x14ac:dyDescent="0.2">
      <c r="A3377" t="s">
        <v>4566</v>
      </c>
      <c r="B3377" s="1">
        <v>46079</v>
      </c>
      <c r="C3377" t="s">
        <v>53</v>
      </c>
      <c r="D3377" t="s">
        <v>100</v>
      </c>
      <c r="E3377" t="s">
        <v>26</v>
      </c>
      <c r="F3377" t="s">
        <v>74</v>
      </c>
      <c r="G3377" t="s">
        <v>75</v>
      </c>
      <c r="H3377" t="s">
        <v>76</v>
      </c>
      <c r="I3377" t="s">
        <v>30</v>
      </c>
      <c r="J3377" t="s">
        <v>31</v>
      </c>
      <c r="K3377" t="s">
        <v>91</v>
      </c>
      <c r="L3377" t="s">
        <v>46</v>
      </c>
      <c r="M3377" t="s">
        <v>47</v>
      </c>
      <c r="N3377" t="s">
        <v>35</v>
      </c>
      <c r="O3377" t="s">
        <v>36</v>
      </c>
      <c r="P3377" t="s">
        <v>58</v>
      </c>
      <c r="Q3377" t="s">
        <v>204</v>
      </c>
      <c r="R3377">
        <v>275</v>
      </c>
      <c r="S3377">
        <v>139</v>
      </c>
      <c r="T3377">
        <v>98</v>
      </c>
      <c r="U3377">
        <v>45</v>
      </c>
      <c r="V3377" t="s">
        <v>7597</v>
      </c>
      <c r="W3377">
        <v>56639</v>
      </c>
      <c r="X3377" t="s">
        <v>7275</v>
      </c>
      <c r="Y3377">
        <v>40646</v>
      </c>
      <c r="Z3377">
        <v>2548755</v>
      </c>
      <c r="AA3377">
        <v>719685</v>
      </c>
      <c r="AB3377" t="str">
        <f>(VLOOKUP(SalesData[[#This Row],[Month Number]],Reference!C$5:E$16,2,FALSE))</f>
        <v>Feb</v>
      </c>
      <c r="AC3377">
        <f>MONTH(SalesData[[#This Row],[Date]])</f>
        <v>2</v>
      </c>
      <c r="AD3377">
        <f>Reference!F$4</f>
        <v>2026</v>
      </c>
      <c r="AE3377" t="str">
        <f>IF(OR(SalesData[[#This Row],[Day]]="Saturday",SalesData[[#This Row],[Day]]="Sunday"),"Weekend","Weekday")</f>
        <v>Weekday</v>
      </c>
      <c r="AF3377" s="5">
        <f>IF(SalesData[[#This Row],[Contracts Offered]]=0,0,SalesData[[#This Row],[Contracts Signed]]/SalesData[[#This Row],[Contracts Offered]])</f>
        <v>0.45918367346938777</v>
      </c>
      <c r="AG3377" s="5">
        <f>IF(SalesData[[#This Row],[Customers Visited]]=0,0,SalesData[[#This Row],[Test Drives]]/SalesData[[#This Row],[Customers Visited]])</f>
        <v>0.50545454545454549</v>
      </c>
      <c r="AH3377" s="5">
        <f>IF(SalesData[[#This Row],[Customers Visited]]=0,0,SalesData[[#This Row],[Contracts Signed]]/SalesData[[#This Row],[Customers Visited]])</f>
        <v>0.16363636363636364</v>
      </c>
      <c r="AI3377" s="6">
        <f>IF(SalesData[[#This Row],[Contracts Signed]]=0,0,SalesData[[#This Row],[Profit(€)]]/SalesData[[#This Row],[Contracts Signed]])</f>
        <v>15993</v>
      </c>
      <c r="AJ3377" s="5" t="str">
        <f>TRIM(CLEAN(SalesData[[#This Row],[Retailer]]))</f>
        <v>Stuttgart Auto Center</v>
      </c>
    </row>
    <row r="3378" spans="1:36" ht="14.25" hidden="1" x14ac:dyDescent="0.2">
      <c r="A3378" t="s">
        <v>4568</v>
      </c>
      <c r="B3378" s="1">
        <v>46067</v>
      </c>
      <c r="C3378" t="s">
        <v>121</v>
      </c>
      <c r="D3378" t="s">
        <v>151</v>
      </c>
      <c r="E3378" t="s">
        <v>42</v>
      </c>
      <c r="F3378" t="s">
        <v>109</v>
      </c>
      <c r="G3378" t="s">
        <v>110</v>
      </c>
      <c r="H3378" t="s">
        <v>45</v>
      </c>
      <c r="I3378" t="s">
        <v>116</v>
      </c>
      <c r="J3378" t="s">
        <v>132</v>
      </c>
      <c r="K3378" t="s">
        <v>66</v>
      </c>
      <c r="L3378" t="s">
        <v>46</v>
      </c>
      <c r="M3378" t="s">
        <v>87</v>
      </c>
      <c r="N3378" t="s">
        <v>69</v>
      </c>
      <c r="O3378" t="s">
        <v>70</v>
      </c>
      <c r="P3378" t="s">
        <v>49</v>
      </c>
      <c r="Q3378" t="s">
        <v>79</v>
      </c>
      <c r="R3378">
        <v>297</v>
      </c>
      <c r="S3378">
        <v>129</v>
      </c>
      <c r="T3378">
        <v>82</v>
      </c>
      <c r="U3378">
        <v>18</v>
      </c>
      <c r="V3378" t="s">
        <v>3935</v>
      </c>
      <c r="W3378">
        <v>20736</v>
      </c>
      <c r="X3378" t="s">
        <v>1278</v>
      </c>
      <c r="Y3378">
        <v>19146</v>
      </c>
      <c r="Z3378">
        <v>373248</v>
      </c>
      <c r="AA3378">
        <v>28620</v>
      </c>
      <c r="AB3378" t="str">
        <f>(VLOOKUP(SalesData[[#This Row],[Month Number]],Reference!C$5:E$16,2,FALSE))</f>
        <v>Feb</v>
      </c>
      <c r="AC3378">
        <f>MONTH(SalesData[[#This Row],[Date]])</f>
        <v>2</v>
      </c>
      <c r="AD3378">
        <f>Reference!F$4</f>
        <v>2026</v>
      </c>
      <c r="AE3378" t="str">
        <f>IF(OR(SalesData[[#This Row],[Day]]="Saturday",SalesData[[#This Row],[Day]]="Sunday"),"Weekend","Weekday")</f>
        <v>Weekend</v>
      </c>
      <c r="AF3378" s="5">
        <f>IF(SalesData[[#This Row],[Contracts Offered]]=0,0,SalesData[[#This Row],[Contracts Signed]]/SalesData[[#This Row],[Contracts Offered]])</f>
        <v>0.21951219512195122</v>
      </c>
      <c r="AG3378" s="5">
        <f>IF(SalesData[[#This Row],[Customers Visited]]=0,0,SalesData[[#This Row],[Test Drives]]/SalesData[[#This Row],[Customers Visited]])</f>
        <v>0.43434343434343436</v>
      </c>
      <c r="AH3378" s="5">
        <f>IF(SalesData[[#This Row],[Customers Visited]]=0,0,SalesData[[#This Row],[Contracts Signed]]/SalesData[[#This Row],[Customers Visited]])</f>
        <v>6.0606060606060608E-2</v>
      </c>
      <c r="AI3378" s="6">
        <f>IF(SalesData[[#This Row],[Contracts Signed]]=0,0,SalesData[[#This Row],[Profit(€)]]/SalesData[[#This Row],[Contracts Signed]])</f>
        <v>1590</v>
      </c>
      <c r="AJ3378" s="5" t="str">
        <f>TRIM(CLEAN(SalesData[[#This Row],[Retailer]]))</f>
        <v>Leipzig Mobility</v>
      </c>
    </row>
    <row r="3379" spans="1:36" ht="14.25" hidden="1" x14ac:dyDescent="0.2">
      <c r="A3379" t="s">
        <v>4569</v>
      </c>
      <c r="B3379" s="1">
        <v>46060</v>
      </c>
      <c r="C3379" t="s">
        <v>24</v>
      </c>
      <c r="D3379" t="s">
        <v>151</v>
      </c>
      <c r="E3379" t="s">
        <v>42</v>
      </c>
      <c r="F3379" t="s">
        <v>27</v>
      </c>
      <c r="G3379" t="s">
        <v>28</v>
      </c>
      <c r="H3379" t="s">
        <v>29</v>
      </c>
      <c r="I3379" t="s">
        <v>64</v>
      </c>
      <c r="J3379" t="s">
        <v>77</v>
      </c>
      <c r="K3379" t="s">
        <v>66</v>
      </c>
      <c r="L3379" t="s">
        <v>46</v>
      </c>
      <c r="M3379" t="s">
        <v>47</v>
      </c>
      <c r="N3379" t="s">
        <v>69</v>
      </c>
      <c r="O3379" t="s">
        <v>70</v>
      </c>
      <c r="P3379" t="s">
        <v>49</v>
      </c>
      <c r="Q3379" t="s">
        <v>167</v>
      </c>
      <c r="R3379">
        <v>245</v>
      </c>
      <c r="S3379">
        <v>142</v>
      </c>
      <c r="T3379">
        <v>103</v>
      </c>
      <c r="U3379">
        <v>33</v>
      </c>
      <c r="V3379" t="s">
        <v>7005</v>
      </c>
      <c r="W3379">
        <v>63240</v>
      </c>
      <c r="X3379" t="s">
        <v>552</v>
      </c>
      <c r="Y3379">
        <v>45863</v>
      </c>
      <c r="Z3379">
        <v>2086920</v>
      </c>
      <c r="AA3379">
        <v>573441</v>
      </c>
      <c r="AB3379" t="str">
        <f>(VLOOKUP(SalesData[[#This Row],[Month Number]],Reference!C$5:E$16,2,FALSE))</f>
        <v>Feb</v>
      </c>
      <c r="AC3379">
        <f>MONTH(SalesData[[#This Row],[Date]])</f>
        <v>2</v>
      </c>
      <c r="AD3379">
        <f>Reference!F$4</f>
        <v>2026</v>
      </c>
      <c r="AE3379" t="str">
        <f>IF(OR(SalesData[[#This Row],[Day]]="Saturday",SalesData[[#This Row],[Day]]="Sunday"),"Weekend","Weekday")</f>
        <v>Weekend</v>
      </c>
      <c r="AF3379" s="5">
        <f>IF(SalesData[[#This Row],[Contracts Offered]]=0,0,SalesData[[#This Row],[Contracts Signed]]/SalesData[[#This Row],[Contracts Offered]])</f>
        <v>0.32038834951456313</v>
      </c>
      <c r="AG3379" s="5">
        <f>IF(SalesData[[#This Row],[Customers Visited]]=0,0,SalesData[[#This Row],[Test Drives]]/SalesData[[#This Row],[Customers Visited]])</f>
        <v>0.57959183673469383</v>
      </c>
      <c r="AH3379" s="5">
        <f>IF(SalesData[[#This Row],[Customers Visited]]=0,0,SalesData[[#This Row],[Contracts Signed]]/SalesData[[#This Row],[Customers Visited]])</f>
        <v>0.13469387755102041</v>
      </c>
      <c r="AI3379" s="6">
        <f>IF(SalesData[[#This Row],[Contracts Signed]]=0,0,SalesData[[#This Row],[Profit(€)]]/SalesData[[#This Row],[Contracts Signed]])</f>
        <v>17377</v>
      </c>
      <c r="AJ3379" s="5" t="str">
        <f>TRIM(CLEAN(SalesData[[#This Row],[Retailer]]))</f>
        <v>Main Auto Hub</v>
      </c>
    </row>
    <row r="3380" spans="1:36" ht="14.25" hidden="1" x14ac:dyDescent="0.2">
      <c r="A3380" t="s">
        <v>4570</v>
      </c>
      <c r="B3380" s="1">
        <v>46069</v>
      </c>
      <c r="C3380" t="s">
        <v>62</v>
      </c>
      <c r="D3380" t="s">
        <v>25</v>
      </c>
      <c r="E3380" t="s">
        <v>26</v>
      </c>
      <c r="F3380" t="s">
        <v>74</v>
      </c>
      <c r="G3380" t="s">
        <v>75</v>
      </c>
      <c r="H3380" t="s">
        <v>76</v>
      </c>
      <c r="I3380" t="s">
        <v>116</v>
      </c>
      <c r="J3380" t="s">
        <v>117</v>
      </c>
      <c r="K3380" t="s">
        <v>66</v>
      </c>
      <c r="L3380" t="s">
        <v>67</v>
      </c>
      <c r="M3380" t="s">
        <v>47</v>
      </c>
      <c r="N3380" t="s">
        <v>35</v>
      </c>
      <c r="O3380" t="s">
        <v>70</v>
      </c>
      <c r="P3380" t="s">
        <v>58</v>
      </c>
      <c r="Q3380" t="s">
        <v>135</v>
      </c>
      <c r="R3380">
        <v>277</v>
      </c>
      <c r="S3380">
        <v>142</v>
      </c>
      <c r="T3380">
        <v>96</v>
      </c>
      <c r="U3380">
        <v>27</v>
      </c>
      <c r="V3380" t="s">
        <v>1825</v>
      </c>
      <c r="W3380">
        <v>26419</v>
      </c>
      <c r="X3380" t="s">
        <v>483</v>
      </c>
      <c r="Y3380">
        <v>24534</v>
      </c>
      <c r="Z3380">
        <v>713313</v>
      </c>
      <c r="AA3380">
        <v>50895</v>
      </c>
      <c r="AB3380" t="str">
        <f>(VLOOKUP(SalesData[[#This Row],[Month Number]],Reference!C$5:E$16,2,FALSE))</f>
        <v>Feb</v>
      </c>
      <c r="AC3380">
        <f>MONTH(SalesData[[#This Row],[Date]])</f>
        <v>2</v>
      </c>
      <c r="AD3380">
        <f>Reference!F$4</f>
        <v>2026</v>
      </c>
      <c r="AE3380" t="str">
        <f>IF(OR(SalesData[[#This Row],[Day]]="Saturday",SalesData[[#This Row],[Day]]="Sunday"),"Weekend","Weekday")</f>
        <v>Weekday</v>
      </c>
      <c r="AF3380" s="5">
        <f>IF(SalesData[[#This Row],[Contracts Offered]]=0,0,SalesData[[#This Row],[Contracts Signed]]/SalesData[[#This Row],[Contracts Offered]])</f>
        <v>0.28125</v>
      </c>
      <c r="AG3380" s="5">
        <f>IF(SalesData[[#This Row],[Customers Visited]]=0,0,SalesData[[#This Row],[Test Drives]]/SalesData[[#This Row],[Customers Visited]])</f>
        <v>0.5126353790613718</v>
      </c>
      <c r="AH3380" s="5">
        <f>IF(SalesData[[#This Row],[Customers Visited]]=0,0,SalesData[[#This Row],[Contracts Signed]]/SalesData[[#This Row],[Customers Visited]])</f>
        <v>9.7472924187725629E-2</v>
      </c>
      <c r="AI3380" s="6">
        <f>IF(SalesData[[#This Row],[Contracts Signed]]=0,0,SalesData[[#This Row],[Profit(€)]]/SalesData[[#This Row],[Contracts Signed]])</f>
        <v>1885</v>
      </c>
      <c r="AJ3380" s="5" t="str">
        <f>TRIM(CLEAN(SalesData[[#This Row],[Retailer]]))</f>
        <v>Stuttgart Auto Center</v>
      </c>
    </row>
    <row r="3381" spans="1:36" ht="14.25" hidden="1" x14ac:dyDescent="0.2">
      <c r="A3381" t="s">
        <v>4571</v>
      </c>
      <c r="B3381" s="1">
        <v>46063</v>
      </c>
      <c r="C3381" t="s">
        <v>121</v>
      </c>
      <c r="D3381" t="s">
        <v>63</v>
      </c>
      <c r="E3381" t="s">
        <v>26</v>
      </c>
      <c r="F3381" t="s">
        <v>127</v>
      </c>
      <c r="G3381" t="s">
        <v>128</v>
      </c>
      <c r="H3381" t="s">
        <v>103</v>
      </c>
      <c r="I3381" t="s">
        <v>116</v>
      </c>
      <c r="J3381" t="s">
        <v>7090</v>
      </c>
      <c r="K3381" t="s">
        <v>32</v>
      </c>
      <c r="L3381" t="s">
        <v>46</v>
      </c>
      <c r="M3381" t="s">
        <v>68</v>
      </c>
      <c r="N3381" t="s">
        <v>48</v>
      </c>
      <c r="O3381" t="s">
        <v>70</v>
      </c>
      <c r="P3381" t="s">
        <v>49</v>
      </c>
      <c r="Q3381" t="s">
        <v>129</v>
      </c>
      <c r="R3381">
        <v>292</v>
      </c>
      <c r="S3381">
        <v>161</v>
      </c>
      <c r="T3381">
        <v>95</v>
      </c>
      <c r="U3381">
        <v>21</v>
      </c>
      <c r="V3381" t="s">
        <v>1278</v>
      </c>
      <c r="W3381">
        <v>19895</v>
      </c>
      <c r="X3381" t="s">
        <v>7475</v>
      </c>
      <c r="Y3381">
        <v>17876</v>
      </c>
      <c r="Z3381">
        <v>417795</v>
      </c>
      <c r="AA3381">
        <v>42399</v>
      </c>
      <c r="AB3381" t="str">
        <f>(VLOOKUP(SalesData[[#This Row],[Month Number]],Reference!C$5:E$16,2,FALSE))</f>
        <v>Feb</v>
      </c>
      <c r="AC3381">
        <f>MONTH(SalesData[[#This Row],[Date]])</f>
        <v>2</v>
      </c>
      <c r="AD3381">
        <f>Reference!F$4</f>
        <v>2026</v>
      </c>
      <c r="AE3381" t="str">
        <f>IF(OR(SalesData[[#This Row],[Day]]="Saturday",SalesData[[#This Row],[Day]]="Sunday"),"Weekend","Weekday")</f>
        <v>Weekday</v>
      </c>
      <c r="AF3381" s="5">
        <f>IF(SalesData[[#This Row],[Contracts Offered]]=0,0,SalesData[[#This Row],[Contracts Signed]]/SalesData[[#This Row],[Contracts Offered]])</f>
        <v>0.22105263157894736</v>
      </c>
      <c r="AG3381" s="5">
        <f>IF(SalesData[[#This Row],[Customers Visited]]=0,0,SalesData[[#This Row],[Test Drives]]/SalesData[[#This Row],[Customers Visited]])</f>
        <v>0.55136986301369861</v>
      </c>
      <c r="AH3381" s="5">
        <f>IF(SalesData[[#This Row],[Customers Visited]]=0,0,SalesData[[#This Row],[Contracts Signed]]/SalesData[[#This Row],[Customers Visited]])</f>
        <v>7.1917808219178078E-2</v>
      </c>
      <c r="AI3381" s="6">
        <f>IF(SalesData[[#This Row],[Contracts Signed]]=0,0,SalesData[[#This Row],[Profit(€)]]/SalesData[[#This Row],[Contracts Signed]])</f>
        <v>2019</v>
      </c>
      <c r="AJ3381" s="5" t="str">
        <f>TRIM(CLEAN(SalesData[[#This Row],[Retailer]]))</f>
        <v>Rhein Auto Group</v>
      </c>
    </row>
    <row r="3382" spans="1:36" ht="14.25" hidden="1" x14ac:dyDescent="0.2">
      <c r="A3382" t="s">
        <v>4572</v>
      </c>
      <c r="B3382" s="1">
        <v>46078</v>
      </c>
      <c r="C3382" t="s">
        <v>53</v>
      </c>
      <c r="D3382" t="s">
        <v>82</v>
      </c>
      <c r="E3382" t="s">
        <v>26</v>
      </c>
      <c r="F3382" t="s">
        <v>94</v>
      </c>
      <c r="G3382" t="s">
        <v>95</v>
      </c>
      <c r="H3382" t="s">
        <v>96</v>
      </c>
      <c r="I3382" t="s">
        <v>56</v>
      </c>
      <c r="J3382" t="s">
        <v>57</v>
      </c>
      <c r="K3382" t="s">
        <v>32</v>
      </c>
      <c r="L3382" t="s">
        <v>46</v>
      </c>
      <c r="M3382" t="s">
        <v>47</v>
      </c>
      <c r="N3382" t="s">
        <v>35</v>
      </c>
      <c r="O3382" t="s">
        <v>70</v>
      </c>
      <c r="P3382" t="s">
        <v>71</v>
      </c>
      <c r="Q3382" t="s">
        <v>172</v>
      </c>
      <c r="R3382">
        <v>189</v>
      </c>
      <c r="S3382">
        <v>108</v>
      </c>
      <c r="T3382">
        <v>76</v>
      </c>
      <c r="U3382">
        <v>25</v>
      </c>
      <c r="V3382" t="s">
        <v>6773</v>
      </c>
      <c r="W3382">
        <v>50231</v>
      </c>
      <c r="X3382" t="s">
        <v>7588</v>
      </c>
      <c r="Y3382">
        <v>40598</v>
      </c>
      <c r="Z3382">
        <v>1255775</v>
      </c>
      <c r="AA3382">
        <v>240825</v>
      </c>
      <c r="AB3382" t="str">
        <f>(VLOOKUP(SalesData[[#This Row],[Month Number]],Reference!C$5:E$16,2,FALSE))</f>
        <v>Feb</v>
      </c>
      <c r="AC3382">
        <f>MONTH(SalesData[[#This Row],[Date]])</f>
        <v>2</v>
      </c>
      <c r="AD3382">
        <f>Reference!F$4</f>
        <v>2026</v>
      </c>
      <c r="AE3382" t="str">
        <f>IF(OR(SalesData[[#This Row],[Day]]="Saturday",SalesData[[#This Row],[Day]]="Sunday"),"Weekend","Weekday")</f>
        <v>Weekday</v>
      </c>
      <c r="AF3382" s="5">
        <f>IF(SalesData[[#This Row],[Contracts Offered]]=0,0,SalesData[[#This Row],[Contracts Signed]]/SalesData[[#This Row],[Contracts Offered]])</f>
        <v>0.32894736842105265</v>
      </c>
      <c r="AG3382" s="5">
        <f>IF(SalesData[[#This Row],[Customers Visited]]=0,0,SalesData[[#This Row],[Test Drives]]/SalesData[[#This Row],[Customers Visited]])</f>
        <v>0.5714285714285714</v>
      </c>
      <c r="AH3382" s="5">
        <f>IF(SalesData[[#This Row],[Customers Visited]]=0,0,SalesData[[#This Row],[Contracts Signed]]/SalesData[[#This Row],[Customers Visited]])</f>
        <v>0.13227513227513227</v>
      </c>
      <c r="AI3382" s="6">
        <f>IF(SalesData[[#This Row],[Contracts Signed]]=0,0,SalesData[[#This Row],[Profit(€)]]/SalesData[[#This Row],[Contracts Signed]])</f>
        <v>9633</v>
      </c>
      <c r="AJ3382" s="5" t="str">
        <f>TRIM(CLEAN(SalesData[[#This Row],[Retailer]]))</f>
        <v>Bavaria Motors</v>
      </c>
    </row>
    <row r="3383" spans="1:36" ht="14.25" hidden="1" x14ac:dyDescent="0.2">
      <c r="A3383" t="s">
        <v>4574</v>
      </c>
      <c r="B3383" s="1">
        <v>46058</v>
      </c>
      <c r="C3383" t="s">
        <v>24</v>
      </c>
      <c r="D3383" t="s">
        <v>100</v>
      </c>
      <c r="E3383" t="s">
        <v>26</v>
      </c>
      <c r="F3383" t="s">
        <v>114</v>
      </c>
      <c r="G3383" t="s">
        <v>115</v>
      </c>
      <c r="H3383" t="s">
        <v>115</v>
      </c>
      <c r="I3383" t="s">
        <v>64</v>
      </c>
      <c r="J3383" t="s">
        <v>77</v>
      </c>
      <c r="K3383" t="s">
        <v>66</v>
      </c>
      <c r="L3383" t="s">
        <v>46</v>
      </c>
      <c r="M3383" t="s">
        <v>47</v>
      </c>
      <c r="N3383" t="s">
        <v>69</v>
      </c>
      <c r="O3383" t="s">
        <v>70</v>
      </c>
      <c r="P3383" t="s">
        <v>49</v>
      </c>
      <c r="Q3383" t="s">
        <v>167</v>
      </c>
      <c r="R3383">
        <v>176</v>
      </c>
      <c r="S3383">
        <v>78</v>
      </c>
      <c r="T3383">
        <v>58</v>
      </c>
      <c r="U3383">
        <v>19</v>
      </c>
      <c r="V3383" t="s">
        <v>6737</v>
      </c>
      <c r="W3383">
        <v>65240</v>
      </c>
      <c r="X3383" t="s">
        <v>569</v>
      </c>
      <c r="Y3383">
        <v>49790</v>
      </c>
      <c r="Z3383">
        <v>1239560</v>
      </c>
      <c r="AA3383">
        <v>293550</v>
      </c>
      <c r="AB3383" t="str">
        <f>(VLOOKUP(SalesData[[#This Row],[Month Number]],Reference!C$5:E$16,2,FALSE))</f>
        <v>Feb</v>
      </c>
      <c r="AC3383">
        <f>MONTH(SalesData[[#This Row],[Date]])</f>
        <v>2</v>
      </c>
      <c r="AD3383">
        <f>Reference!F$4</f>
        <v>2026</v>
      </c>
      <c r="AE3383" t="str">
        <f>IF(OR(SalesData[[#This Row],[Day]]="Saturday",SalesData[[#This Row],[Day]]="Sunday"),"Weekend","Weekday")</f>
        <v>Weekday</v>
      </c>
      <c r="AF3383" s="5">
        <f>IF(SalesData[[#This Row],[Contracts Offered]]=0,0,SalesData[[#This Row],[Contracts Signed]]/SalesData[[#This Row],[Contracts Offered]])</f>
        <v>0.32758620689655171</v>
      </c>
      <c r="AG3383" s="5">
        <f>IF(SalesData[[#This Row],[Customers Visited]]=0,0,SalesData[[#This Row],[Test Drives]]/SalesData[[#This Row],[Customers Visited]])</f>
        <v>0.44318181818181818</v>
      </c>
      <c r="AH3383" s="5">
        <f>IF(SalesData[[#This Row],[Customers Visited]]=0,0,SalesData[[#This Row],[Contracts Signed]]/SalesData[[#This Row],[Customers Visited]])</f>
        <v>0.10795454545454546</v>
      </c>
      <c r="AI3383" s="6">
        <f>IF(SalesData[[#This Row],[Contracts Signed]]=0,0,SalesData[[#This Row],[Profit(€)]]/SalesData[[#This Row],[Contracts Signed]])</f>
        <v>15450</v>
      </c>
      <c r="AJ3383" s="5" t="str">
        <f>TRIM(CLEAN(SalesData[[#This Row],[Retailer]]))</f>
        <v>Elbe Drive</v>
      </c>
    </row>
    <row r="3384" spans="1:36" ht="14.25" hidden="1" x14ac:dyDescent="0.2">
      <c r="A3384" t="s">
        <v>4575</v>
      </c>
      <c r="B3384" s="1">
        <v>46066</v>
      </c>
      <c r="C3384" t="s">
        <v>121</v>
      </c>
      <c r="D3384" t="s">
        <v>54</v>
      </c>
      <c r="E3384" t="s">
        <v>26</v>
      </c>
      <c r="F3384" t="s">
        <v>27</v>
      </c>
      <c r="G3384" t="s">
        <v>28</v>
      </c>
      <c r="H3384" t="s">
        <v>29</v>
      </c>
      <c r="I3384" t="s">
        <v>116</v>
      </c>
      <c r="J3384" t="s">
        <v>7090</v>
      </c>
      <c r="K3384" t="s">
        <v>91</v>
      </c>
      <c r="L3384" t="s">
        <v>46</v>
      </c>
      <c r="M3384" t="s">
        <v>87</v>
      </c>
      <c r="N3384" t="s">
        <v>48</v>
      </c>
      <c r="O3384" t="s">
        <v>36</v>
      </c>
      <c r="P3384" t="s">
        <v>71</v>
      </c>
      <c r="Q3384" t="s">
        <v>129</v>
      </c>
      <c r="R3384">
        <v>390</v>
      </c>
      <c r="S3384">
        <v>181</v>
      </c>
      <c r="T3384">
        <v>108</v>
      </c>
      <c r="U3384">
        <v>33</v>
      </c>
      <c r="V3384" t="s">
        <v>1158</v>
      </c>
      <c r="W3384">
        <v>23258</v>
      </c>
      <c r="X3384" t="s">
        <v>2282</v>
      </c>
      <c r="Y3384">
        <v>21261</v>
      </c>
      <c r="Z3384">
        <v>767514</v>
      </c>
      <c r="AA3384">
        <v>65901</v>
      </c>
      <c r="AB3384" t="str">
        <f>(VLOOKUP(SalesData[[#This Row],[Month Number]],Reference!C$5:E$16,2,FALSE))</f>
        <v>Feb</v>
      </c>
      <c r="AC3384">
        <f>MONTH(SalesData[[#This Row],[Date]])</f>
        <v>2</v>
      </c>
      <c r="AD3384">
        <f>Reference!F$4</f>
        <v>2026</v>
      </c>
      <c r="AE3384" t="str">
        <f>IF(OR(SalesData[[#This Row],[Day]]="Saturday",SalesData[[#This Row],[Day]]="Sunday"),"Weekend","Weekday")</f>
        <v>Weekday</v>
      </c>
      <c r="AF3384" s="5">
        <f>IF(SalesData[[#This Row],[Contracts Offered]]=0,0,SalesData[[#This Row],[Contracts Signed]]/SalesData[[#This Row],[Contracts Offered]])</f>
        <v>0.30555555555555558</v>
      </c>
      <c r="AG3384" s="5">
        <f>IF(SalesData[[#This Row],[Customers Visited]]=0,0,SalesData[[#This Row],[Test Drives]]/SalesData[[#This Row],[Customers Visited]])</f>
        <v>0.46410256410256412</v>
      </c>
      <c r="AH3384" s="5">
        <f>IF(SalesData[[#This Row],[Customers Visited]]=0,0,SalesData[[#This Row],[Contracts Signed]]/SalesData[[#This Row],[Customers Visited]])</f>
        <v>8.461538461538462E-2</v>
      </c>
      <c r="AI3384" s="6">
        <f>IF(SalesData[[#This Row],[Contracts Signed]]=0,0,SalesData[[#This Row],[Profit(€)]]/SalesData[[#This Row],[Contracts Signed]])</f>
        <v>1997</v>
      </c>
      <c r="AJ3384" s="5" t="str">
        <f>TRIM(CLEAN(SalesData[[#This Row],[Retailer]]))</f>
        <v>Main Auto Hub</v>
      </c>
    </row>
    <row r="3385" spans="1:36" ht="14.25" x14ac:dyDescent="0.2">
      <c r="A3385" t="s">
        <v>4576</v>
      </c>
      <c r="B3385" s="1">
        <v>46075</v>
      </c>
      <c r="C3385" t="s">
        <v>53</v>
      </c>
      <c r="D3385" t="s">
        <v>41</v>
      </c>
      <c r="E3385" t="s">
        <v>42</v>
      </c>
      <c r="F3385" t="s">
        <v>127</v>
      </c>
      <c r="G3385" t="s">
        <v>128</v>
      </c>
      <c r="H3385" t="s">
        <v>103</v>
      </c>
      <c r="I3385" t="s">
        <v>30</v>
      </c>
      <c r="J3385" t="s">
        <v>7075</v>
      </c>
      <c r="K3385" t="s">
        <v>78</v>
      </c>
      <c r="L3385" t="s">
        <v>33</v>
      </c>
      <c r="M3385" t="s">
        <v>68</v>
      </c>
      <c r="N3385" t="s">
        <v>35</v>
      </c>
      <c r="O3385" t="s">
        <v>36</v>
      </c>
      <c r="P3385" t="s">
        <v>49</v>
      </c>
      <c r="Q3385" t="s">
        <v>135</v>
      </c>
      <c r="R3385">
        <v>241</v>
      </c>
      <c r="S3385">
        <v>136</v>
      </c>
      <c r="T3385">
        <v>109</v>
      </c>
      <c r="U3385">
        <v>34</v>
      </c>
      <c r="V3385" t="s">
        <v>6403</v>
      </c>
      <c r="W3385">
        <v>60068</v>
      </c>
      <c r="X3385" t="s">
        <v>7144</v>
      </c>
      <c r="Y3385">
        <v>45578</v>
      </c>
      <c r="Z3385">
        <v>2042312</v>
      </c>
      <c r="AA3385">
        <v>492660</v>
      </c>
      <c r="AB3385" t="str">
        <f>(VLOOKUP(SalesData[[#This Row],[Month Number]],Reference!C$5:E$16,2,FALSE))</f>
        <v>Feb</v>
      </c>
      <c r="AC3385">
        <f>MONTH(SalesData[[#This Row],[Date]])</f>
        <v>2</v>
      </c>
      <c r="AD3385">
        <f>Reference!F$4</f>
        <v>2026</v>
      </c>
      <c r="AE3385" t="str">
        <f>IF(OR(SalesData[[#This Row],[Day]]="Saturday",SalesData[[#This Row],[Day]]="Sunday"),"Weekend","Weekday")</f>
        <v>Weekend</v>
      </c>
      <c r="AF3385" s="5">
        <f>IF(SalesData[[#This Row],[Contracts Offered]]=0,0,SalesData[[#This Row],[Contracts Signed]]/SalesData[[#This Row],[Contracts Offered]])</f>
        <v>0.31192660550458717</v>
      </c>
      <c r="AG3385" s="5">
        <f>IF(SalesData[[#This Row],[Customers Visited]]=0,0,SalesData[[#This Row],[Test Drives]]/SalesData[[#This Row],[Customers Visited]])</f>
        <v>0.56431535269709543</v>
      </c>
      <c r="AH3385" s="5">
        <f>IF(SalesData[[#This Row],[Customers Visited]]=0,0,SalesData[[#This Row],[Contracts Signed]]/SalesData[[#This Row],[Customers Visited]])</f>
        <v>0.14107883817427386</v>
      </c>
      <c r="AI3385" s="6">
        <f>IF(SalesData[[#This Row],[Contracts Signed]]=0,0,SalesData[[#This Row],[Profit(€)]]/SalesData[[#This Row],[Contracts Signed]])</f>
        <v>14490</v>
      </c>
      <c r="AJ3385" s="5" t="str">
        <f>TRIM(CLEAN(SalesData[[#This Row],[Retailer]]))</f>
        <v>Rhein Auto Group</v>
      </c>
    </row>
    <row r="3386" spans="1:36" ht="14.25" hidden="1" x14ac:dyDescent="0.2">
      <c r="A3386" t="s">
        <v>4577</v>
      </c>
      <c r="B3386" s="1">
        <v>46072</v>
      </c>
      <c r="C3386" t="s">
        <v>62</v>
      </c>
      <c r="D3386" t="s">
        <v>100</v>
      </c>
      <c r="E3386" t="s">
        <v>26</v>
      </c>
      <c r="F3386" t="s">
        <v>43</v>
      </c>
      <c r="G3386" t="s">
        <v>44</v>
      </c>
      <c r="H3386" t="s">
        <v>45</v>
      </c>
      <c r="I3386" t="s">
        <v>116</v>
      </c>
      <c r="J3386" t="s">
        <v>7026</v>
      </c>
      <c r="K3386" t="s">
        <v>78</v>
      </c>
      <c r="L3386" t="s">
        <v>46</v>
      </c>
      <c r="M3386" t="s">
        <v>87</v>
      </c>
      <c r="N3386" t="s">
        <v>48</v>
      </c>
      <c r="O3386" t="s">
        <v>70</v>
      </c>
      <c r="P3386" t="s">
        <v>71</v>
      </c>
      <c r="Q3386" t="s">
        <v>38</v>
      </c>
      <c r="R3386">
        <v>369</v>
      </c>
      <c r="S3386">
        <v>175</v>
      </c>
      <c r="T3386">
        <v>101</v>
      </c>
      <c r="U3386">
        <v>24</v>
      </c>
      <c r="V3386" t="s">
        <v>636</v>
      </c>
      <c r="W3386">
        <v>25209</v>
      </c>
      <c r="X3386" t="s">
        <v>915</v>
      </c>
      <c r="Y3386">
        <v>22562</v>
      </c>
      <c r="Z3386">
        <v>605016</v>
      </c>
      <c r="AA3386">
        <v>63528</v>
      </c>
      <c r="AB3386" t="str">
        <f>(VLOOKUP(SalesData[[#This Row],[Month Number]],Reference!C$5:E$16,2,FALSE))</f>
        <v>Feb</v>
      </c>
      <c r="AC3386">
        <f>MONTH(SalesData[[#This Row],[Date]])</f>
        <v>2</v>
      </c>
      <c r="AD3386">
        <f>Reference!F$4</f>
        <v>2026</v>
      </c>
      <c r="AE3386" t="str">
        <f>IF(OR(SalesData[[#This Row],[Day]]="Saturday",SalesData[[#This Row],[Day]]="Sunday"),"Weekend","Weekday")</f>
        <v>Weekday</v>
      </c>
      <c r="AF3386" s="5">
        <f>IF(SalesData[[#This Row],[Contracts Offered]]=0,0,SalesData[[#This Row],[Contracts Signed]]/SalesData[[#This Row],[Contracts Offered]])</f>
        <v>0.23762376237623761</v>
      </c>
      <c r="AG3386" s="5">
        <f>IF(SalesData[[#This Row],[Customers Visited]]=0,0,SalesData[[#This Row],[Test Drives]]/SalesData[[#This Row],[Customers Visited]])</f>
        <v>0.4742547425474255</v>
      </c>
      <c r="AH3386" s="5">
        <f>IF(SalesData[[#This Row],[Customers Visited]]=0,0,SalesData[[#This Row],[Contracts Signed]]/SalesData[[#This Row],[Customers Visited]])</f>
        <v>6.5040650406504072E-2</v>
      </c>
      <c r="AI3386" s="6">
        <f>IF(SalesData[[#This Row],[Contracts Signed]]=0,0,SalesData[[#This Row],[Profit(€)]]/SalesData[[#This Row],[Contracts Signed]])</f>
        <v>2647</v>
      </c>
      <c r="AJ3386" s="5" t="str">
        <f>TRIM(CLEAN(SalesData[[#This Row],[Retailer]]))</f>
        <v>Saxon Wheels</v>
      </c>
    </row>
    <row r="3387" spans="1:36" ht="14.25" hidden="1" x14ac:dyDescent="0.2">
      <c r="A3387" t="s">
        <v>4578</v>
      </c>
      <c r="B3387" s="1">
        <v>46057</v>
      </c>
      <c r="C3387" t="s">
        <v>24</v>
      </c>
      <c r="D3387" t="s">
        <v>82</v>
      </c>
      <c r="E3387" t="s">
        <v>26</v>
      </c>
      <c r="F3387" t="s">
        <v>127</v>
      </c>
      <c r="G3387" t="s">
        <v>128</v>
      </c>
      <c r="H3387" t="s">
        <v>103</v>
      </c>
      <c r="I3387" t="s">
        <v>116</v>
      </c>
      <c r="J3387" t="s">
        <v>203</v>
      </c>
      <c r="K3387" t="s">
        <v>66</v>
      </c>
      <c r="L3387" t="s">
        <v>67</v>
      </c>
      <c r="M3387" t="s">
        <v>87</v>
      </c>
      <c r="N3387" t="s">
        <v>48</v>
      </c>
      <c r="O3387" t="s">
        <v>70</v>
      </c>
      <c r="P3387" t="s">
        <v>49</v>
      </c>
      <c r="Q3387" t="s">
        <v>240</v>
      </c>
      <c r="R3387">
        <v>227</v>
      </c>
      <c r="S3387">
        <v>125</v>
      </c>
      <c r="T3387">
        <v>86</v>
      </c>
      <c r="U3387">
        <v>20</v>
      </c>
      <c r="V3387" t="s">
        <v>333</v>
      </c>
      <c r="W3387">
        <v>27511</v>
      </c>
      <c r="X3387" t="s">
        <v>319</v>
      </c>
      <c r="Y3387">
        <v>24502</v>
      </c>
      <c r="Z3387">
        <v>550220</v>
      </c>
      <c r="AA3387">
        <v>60180</v>
      </c>
      <c r="AB3387" t="str">
        <f>(VLOOKUP(SalesData[[#This Row],[Month Number]],Reference!C$5:E$16,2,FALSE))</f>
        <v>Feb</v>
      </c>
      <c r="AC3387">
        <f>MONTH(SalesData[[#This Row],[Date]])</f>
        <v>2</v>
      </c>
      <c r="AD3387">
        <f>Reference!F$4</f>
        <v>2026</v>
      </c>
      <c r="AE3387" t="str">
        <f>IF(OR(SalesData[[#This Row],[Day]]="Saturday",SalesData[[#This Row],[Day]]="Sunday"),"Weekend","Weekday")</f>
        <v>Weekday</v>
      </c>
      <c r="AF3387" s="5">
        <f>IF(SalesData[[#This Row],[Contracts Offered]]=0,0,SalesData[[#This Row],[Contracts Signed]]/SalesData[[#This Row],[Contracts Offered]])</f>
        <v>0.23255813953488372</v>
      </c>
      <c r="AG3387" s="5">
        <f>IF(SalesData[[#This Row],[Customers Visited]]=0,0,SalesData[[#This Row],[Test Drives]]/SalesData[[#This Row],[Customers Visited]])</f>
        <v>0.5506607929515418</v>
      </c>
      <c r="AH3387" s="5">
        <f>IF(SalesData[[#This Row],[Customers Visited]]=0,0,SalesData[[#This Row],[Contracts Signed]]/SalesData[[#This Row],[Customers Visited]])</f>
        <v>8.8105726872246701E-2</v>
      </c>
      <c r="AI3387" s="6">
        <f>IF(SalesData[[#This Row],[Contracts Signed]]=0,0,SalesData[[#This Row],[Profit(€)]]/SalesData[[#This Row],[Contracts Signed]])</f>
        <v>3009</v>
      </c>
      <c r="AJ3387" s="5" t="str">
        <f>TRIM(CLEAN(SalesData[[#This Row],[Retailer]]))</f>
        <v>Rhein Auto Group</v>
      </c>
    </row>
    <row r="3388" spans="1:36" ht="14.25" hidden="1" x14ac:dyDescent="0.2">
      <c r="A3388" t="s">
        <v>4579</v>
      </c>
      <c r="B3388" s="1">
        <v>46062</v>
      </c>
      <c r="C3388" t="s">
        <v>121</v>
      </c>
      <c r="D3388" t="s">
        <v>25</v>
      </c>
      <c r="E3388" t="s">
        <v>26</v>
      </c>
      <c r="F3388" t="s">
        <v>27</v>
      </c>
      <c r="G3388" t="s">
        <v>28</v>
      </c>
      <c r="H3388" t="s">
        <v>29</v>
      </c>
      <c r="I3388" t="s">
        <v>104</v>
      </c>
      <c r="J3388" t="s">
        <v>143</v>
      </c>
      <c r="K3388" t="s">
        <v>91</v>
      </c>
      <c r="L3388" t="s">
        <v>67</v>
      </c>
      <c r="M3388" t="s">
        <v>47</v>
      </c>
      <c r="N3388" t="s">
        <v>35</v>
      </c>
      <c r="O3388" t="s">
        <v>36</v>
      </c>
      <c r="P3388" t="s">
        <v>37</v>
      </c>
      <c r="Q3388" t="s">
        <v>135</v>
      </c>
      <c r="R3388">
        <v>387</v>
      </c>
      <c r="S3388">
        <v>217</v>
      </c>
      <c r="T3388">
        <v>129</v>
      </c>
      <c r="U3388">
        <v>28</v>
      </c>
      <c r="V3388" t="s">
        <v>1500</v>
      </c>
      <c r="W3388">
        <v>32984</v>
      </c>
      <c r="X3388" t="s">
        <v>7039</v>
      </c>
      <c r="Y3388">
        <v>28818</v>
      </c>
      <c r="Z3388">
        <v>923552</v>
      </c>
      <c r="AA3388">
        <v>116648</v>
      </c>
      <c r="AB3388" t="str">
        <f>(VLOOKUP(SalesData[[#This Row],[Month Number]],Reference!C$5:E$16,2,FALSE))</f>
        <v>Feb</v>
      </c>
      <c r="AC3388">
        <f>MONTH(SalesData[[#This Row],[Date]])</f>
        <v>2</v>
      </c>
      <c r="AD3388">
        <f>Reference!F$4</f>
        <v>2026</v>
      </c>
      <c r="AE3388" t="str">
        <f>IF(OR(SalesData[[#This Row],[Day]]="Saturday",SalesData[[#This Row],[Day]]="Sunday"),"Weekend","Weekday")</f>
        <v>Weekday</v>
      </c>
      <c r="AF3388" s="5">
        <f>IF(SalesData[[#This Row],[Contracts Offered]]=0,0,SalesData[[#This Row],[Contracts Signed]]/SalesData[[#This Row],[Contracts Offered]])</f>
        <v>0.21705426356589147</v>
      </c>
      <c r="AG3388" s="5">
        <f>IF(SalesData[[#This Row],[Customers Visited]]=0,0,SalesData[[#This Row],[Test Drives]]/SalesData[[#This Row],[Customers Visited]])</f>
        <v>0.56072351421188626</v>
      </c>
      <c r="AH3388" s="5">
        <f>IF(SalesData[[#This Row],[Customers Visited]]=0,0,SalesData[[#This Row],[Contracts Signed]]/SalesData[[#This Row],[Customers Visited]])</f>
        <v>7.2351421188630485E-2</v>
      </c>
      <c r="AI3388" s="6">
        <f>IF(SalesData[[#This Row],[Contracts Signed]]=0,0,SalesData[[#This Row],[Profit(€)]]/SalesData[[#This Row],[Contracts Signed]])</f>
        <v>4166</v>
      </c>
      <c r="AJ3388" s="5" t="str">
        <f>TRIM(CLEAN(SalesData[[#This Row],[Retailer]]))</f>
        <v>Main Auto Hub</v>
      </c>
    </row>
    <row r="3389" spans="1:36" ht="14.25" hidden="1" x14ac:dyDescent="0.2">
      <c r="A3389" t="s">
        <v>4580</v>
      </c>
      <c r="B3389" s="1">
        <v>46057</v>
      </c>
      <c r="C3389" t="s">
        <v>24</v>
      </c>
      <c r="D3389" t="s">
        <v>82</v>
      </c>
      <c r="E3389" t="s">
        <v>26</v>
      </c>
      <c r="F3389" t="s">
        <v>101</v>
      </c>
      <c r="G3389" t="s">
        <v>102</v>
      </c>
      <c r="H3389" t="s">
        <v>103</v>
      </c>
      <c r="I3389" t="s">
        <v>104</v>
      </c>
      <c r="J3389" t="s">
        <v>140</v>
      </c>
      <c r="K3389" t="s">
        <v>91</v>
      </c>
      <c r="L3389" t="s">
        <v>46</v>
      </c>
      <c r="M3389" t="s">
        <v>87</v>
      </c>
      <c r="N3389" t="s">
        <v>48</v>
      </c>
      <c r="O3389" t="s">
        <v>70</v>
      </c>
      <c r="P3389" t="s">
        <v>71</v>
      </c>
      <c r="Q3389" t="s">
        <v>122</v>
      </c>
      <c r="R3389">
        <v>310</v>
      </c>
      <c r="S3389">
        <v>158</v>
      </c>
      <c r="T3389">
        <v>106</v>
      </c>
      <c r="U3389">
        <v>21</v>
      </c>
      <c r="V3389" t="s">
        <v>1436</v>
      </c>
      <c r="W3389">
        <v>33534</v>
      </c>
      <c r="X3389" t="s">
        <v>279</v>
      </c>
      <c r="Y3389">
        <v>30191</v>
      </c>
      <c r="Z3389">
        <v>704214</v>
      </c>
      <c r="AA3389">
        <v>70203</v>
      </c>
      <c r="AB3389" t="str">
        <f>(VLOOKUP(SalesData[[#This Row],[Month Number]],Reference!C$5:E$16,2,FALSE))</f>
        <v>Feb</v>
      </c>
      <c r="AC3389">
        <f>MONTH(SalesData[[#This Row],[Date]])</f>
        <v>2</v>
      </c>
      <c r="AD3389">
        <f>Reference!F$4</f>
        <v>2026</v>
      </c>
      <c r="AE3389" t="str">
        <f>IF(OR(SalesData[[#This Row],[Day]]="Saturday",SalesData[[#This Row],[Day]]="Sunday"),"Weekend","Weekday")</f>
        <v>Weekday</v>
      </c>
      <c r="AF3389" s="5">
        <f>IF(SalesData[[#This Row],[Contracts Offered]]=0,0,SalesData[[#This Row],[Contracts Signed]]/SalesData[[#This Row],[Contracts Offered]])</f>
        <v>0.19811320754716982</v>
      </c>
      <c r="AG3389" s="5">
        <f>IF(SalesData[[#This Row],[Customers Visited]]=0,0,SalesData[[#This Row],[Test Drives]]/SalesData[[#This Row],[Customers Visited]])</f>
        <v>0.50967741935483868</v>
      </c>
      <c r="AH3389" s="5">
        <f>IF(SalesData[[#This Row],[Customers Visited]]=0,0,SalesData[[#This Row],[Contracts Signed]]/SalesData[[#This Row],[Customers Visited]])</f>
        <v>6.7741935483870974E-2</v>
      </c>
      <c r="AI3389" s="6">
        <f>IF(SalesData[[#This Row],[Contracts Signed]]=0,0,SalesData[[#This Row],[Profit(€)]]/SalesData[[#This Row],[Contracts Signed]])</f>
        <v>3343</v>
      </c>
      <c r="AJ3389" s="5" t="str">
        <f>TRIM(CLEAN(SalesData[[#This Row],[Retailer]]))</f>
        <v>Ruhr Auto Plaza</v>
      </c>
    </row>
    <row r="3390" spans="1:36" ht="14.25" x14ac:dyDescent="0.2">
      <c r="A3390" t="s">
        <v>4581</v>
      </c>
      <c r="B3390" s="1">
        <v>46074</v>
      </c>
      <c r="C3390" t="s">
        <v>62</v>
      </c>
      <c r="D3390" t="s">
        <v>151</v>
      </c>
      <c r="E3390" t="s">
        <v>42</v>
      </c>
      <c r="F3390" t="s">
        <v>83</v>
      </c>
      <c r="G3390" t="s">
        <v>84</v>
      </c>
      <c r="H3390" t="s">
        <v>85</v>
      </c>
      <c r="I3390" t="s">
        <v>30</v>
      </c>
      <c r="J3390" t="s">
        <v>166</v>
      </c>
      <c r="K3390" t="s">
        <v>66</v>
      </c>
      <c r="L3390" t="s">
        <v>46</v>
      </c>
      <c r="M3390" t="s">
        <v>34</v>
      </c>
      <c r="N3390" t="s">
        <v>48</v>
      </c>
      <c r="O3390" t="s">
        <v>70</v>
      </c>
      <c r="P3390" t="s">
        <v>49</v>
      </c>
      <c r="Q3390" t="s">
        <v>88</v>
      </c>
      <c r="R3390">
        <v>193</v>
      </c>
      <c r="S3390">
        <v>89</v>
      </c>
      <c r="T3390">
        <v>67</v>
      </c>
      <c r="U3390">
        <v>24</v>
      </c>
      <c r="V3390" t="s">
        <v>6417</v>
      </c>
      <c r="W3390">
        <v>64400</v>
      </c>
      <c r="X3390" t="s">
        <v>7273</v>
      </c>
      <c r="Y3390">
        <v>45916</v>
      </c>
      <c r="Z3390">
        <v>1545600</v>
      </c>
      <c r="AA3390">
        <v>443616</v>
      </c>
      <c r="AB3390" t="str">
        <f>(VLOOKUP(SalesData[[#This Row],[Month Number]],Reference!C$5:E$16,2,FALSE))</f>
        <v>Feb</v>
      </c>
      <c r="AC3390">
        <f>MONTH(SalesData[[#This Row],[Date]])</f>
        <v>2</v>
      </c>
      <c r="AD3390">
        <f>Reference!F$4</f>
        <v>2026</v>
      </c>
      <c r="AE3390" t="str">
        <f>IF(OR(SalesData[[#This Row],[Day]]="Saturday",SalesData[[#This Row],[Day]]="Sunday"),"Weekend","Weekday")</f>
        <v>Weekend</v>
      </c>
      <c r="AF3390" s="5">
        <f>IF(SalesData[[#This Row],[Contracts Offered]]=0,0,SalesData[[#This Row],[Contracts Signed]]/SalesData[[#This Row],[Contracts Offered]])</f>
        <v>0.35820895522388058</v>
      </c>
      <c r="AG3390" s="5">
        <f>IF(SalesData[[#This Row],[Customers Visited]]=0,0,SalesData[[#This Row],[Test Drives]]/SalesData[[#This Row],[Customers Visited]])</f>
        <v>0.46113989637305697</v>
      </c>
      <c r="AH3390" s="5">
        <f>IF(SalesData[[#This Row],[Customers Visited]]=0,0,SalesData[[#This Row],[Contracts Signed]]/SalesData[[#This Row],[Customers Visited]])</f>
        <v>0.12435233160621761</v>
      </c>
      <c r="AI3390" s="6">
        <f>IF(SalesData[[#This Row],[Contracts Signed]]=0,0,SalesData[[#This Row],[Profit(€)]]/SalesData[[#This Row],[Contracts Signed]])</f>
        <v>18484</v>
      </c>
      <c r="AJ3390" s="5" t="str">
        <f>TRIM(CLEAN(SalesData[[#This Row],[Retailer]]))</f>
        <v>Hannover Cars</v>
      </c>
    </row>
    <row r="3391" spans="1:36" ht="14.25" hidden="1" x14ac:dyDescent="0.2">
      <c r="A3391" t="s">
        <v>4582</v>
      </c>
      <c r="B3391" s="1">
        <v>46076</v>
      </c>
      <c r="C3391" t="s">
        <v>53</v>
      </c>
      <c r="D3391" t="s">
        <v>25</v>
      </c>
      <c r="E3391" t="s">
        <v>26</v>
      </c>
      <c r="F3391" t="s">
        <v>43</v>
      </c>
      <c r="G3391" t="s">
        <v>44</v>
      </c>
      <c r="H3391" t="s">
        <v>45</v>
      </c>
      <c r="I3391" t="s">
        <v>104</v>
      </c>
      <c r="J3391" t="s">
        <v>7031</v>
      </c>
      <c r="K3391" t="s">
        <v>66</v>
      </c>
      <c r="L3391" t="s">
        <v>46</v>
      </c>
      <c r="M3391" t="s">
        <v>47</v>
      </c>
      <c r="N3391" t="s">
        <v>35</v>
      </c>
      <c r="O3391" t="s">
        <v>36</v>
      </c>
      <c r="P3391" t="s">
        <v>71</v>
      </c>
      <c r="Q3391" t="s">
        <v>106</v>
      </c>
      <c r="R3391">
        <v>419</v>
      </c>
      <c r="S3391">
        <v>209</v>
      </c>
      <c r="T3391">
        <v>135</v>
      </c>
      <c r="U3391">
        <v>30</v>
      </c>
      <c r="V3391" t="s">
        <v>2628</v>
      </c>
      <c r="W3391">
        <v>28115</v>
      </c>
      <c r="X3391" t="s">
        <v>209</v>
      </c>
      <c r="Y3391">
        <v>24191</v>
      </c>
      <c r="Z3391">
        <v>843450</v>
      </c>
      <c r="AA3391">
        <v>117720</v>
      </c>
      <c r="AB3391" t="str">
        <f>(VLOOKUP(SalesData[[#This Row],[Month Number]],Reference!C$5:E$16,2,FALSE))</f>
        <v>Feb</v>
      </c>
      <c r="AC3391">
        <f>MONTH(SalesData[[#This Row],[Date]])</f>
        <v>2</v>
      </c>
      <c r="AD3391">
        <f>Reference!F$4</f>
        <v>2026</v>
      </c>
      <c r="AE3391" t="str">
        <f>IF(OR(SalesData[[#This Row],[Day]]="Saturday",SalesData[[#This Row],[Day]]="Sunday"),"Weekend","Weekday")</f>
        <v>Weekday</v>
      </c>
      <c r="AF3391" s="5">
        <f>IF(SalesData[[#This Row],[Contracts Offered]]=0,0,SalesData[[#This Row],[Contracts Signed]]/SalesData[[#This Row],[Contracts Offered]])</f>
        <v>0.22222222222222221</v>
      </c>
      <c r="AG3391" s="5">
        <f>IF(SalesData[[#This Row],[Customers Visited]]=0,0,SalesData[[#This Row],[Test Drives]]/SalesData[[#This Row],[Customers Visited]])</f>
        <v>0.49880668257756561</v>
      </c>
      <c r="AH3391" s="5">
        <f>IF(SalesData[[#This Row],[Customers Visited]]=0,0,SalesData[[#This Row],[Contracts Signed]]/SalesData[[#This Row],[Customers Visited]])</f>
        <v>7.1599045346062054E-2</v>
      </c>
      <c r="AI3391" s="6">
        <f>IF(SalesData[[#This Row],[Contracts Signed]]=0,0,SalesData[[#This Row],[Profit(€)]]/SalesData[[#This Row],[Contracts Signed]])</f>
        <v>3924</v>
      </c>
      <c r="AJ3391" s="5" t="str">
        <f>TRIM(CLEAN(SalesData[[#This Row],[Retailer]]))</f>
        <v>Saxon Wheels</v>
      </c>
    </row>
    <row r="3392" spans="1:36" ht="14.25" hidden="1" x14ac:dyDescent="0.2">
      <c r="A3392" t="s">
        <v>4583</v>
      </c>
      <c r="B3392" s="1">
        <v>46065</v>
      </c>
      <c r="C3392" t="s">
        <v>121</v>
      </c>
      <c r="D3392" t="s">
        <v>100</v>
      </c>
      <c r="E3392" t="s">
        <v>26</v>
      </c>
      <c r="F3392" t="s">
        <v>114</v>
      </c>
      <c r="G3392" t="s">
        <v>115</v>
      </c>
      <c r="H3392" t="s">
        <v>115</v>
      </c>
      <c r="I3392" t="s">
        <v>56</v>
      </c>
      <c r="J3392" t="s">
        <v>137</v>
      </c>
      <c r="K3392" t="s">
        <v>78</v>
      </c>
      <c r="L3392" t="s">
        <v>46</v>
      </c>
      <c r="M3392" t="s">
        <v>87</v>
      </c>
      <c r="N3392" t="s">
        <v>35</v>
      </c>
      <c r="O3392" t="s">
        <v>70</v>
      </c>
      <c r="P3392" t="s">
        <v>71</v>
      </c>
      <c r="Q3392" t="s">
        <v>189</v>
      </c>
      <c r="R3392">
        <v>223</v>
      </c>
      <c r="S3392">
        <v>107</v>
      </c>
      <c r="T3392">
        <v>69</v>
      </c>
      <c r="U3392">
        <v>28</v>
      </c>
      <c r="V3392" t="s">
        <v>6888</v>
      </c>
      <c r="W3392">
        <v>51238</v>
      </c>
      <c r="X3392" t="s">
        <v>7425</v>
      </c>
      <c r="Y3392">
        <v>39811</v>
      </c>
      <c r="Z3392">
        <v>1434664</v>
      </c>
      <c r="AA3392">
        <v>319956</v>
      </c>
      <c r="AB3392" t="str">
        <f>(VLOOKUP(SalesData[[#This Row],[Month Number]],Reference!C$5:E$16,2,FALSE))</f>
        <v>Feb</v>
      </c>
      <c r="AC3392">
        <f>MONTH(SalesData[[#This Row],[Date]])</f>
        <v>2</v>
      </c>
      <c r="AD3392">
        <f>Reference!F$4</f>
        <v>2026</v>
      </c>
      <c r="AE3392" t="str">
        <f>IF(OR(SalesData[[#This Row],[Day]]="Saturday",SalesData[[#This Row],[Day]]="Sunday"),"Weekend","Weekday")</f>
        <v>Weekday</v>
      </c>
      <c r="AF3392" s="5">
        <f>IF(SalesData[[#This Row],[Contracts Offered]]=0,0,SalesData[[#This Row],[Contracts Signed]]/SalesData[[#This Row],[Contracts Offered]])</f>
        <v>0.40579710144927539</v>
      </c>
      <c r="AG3392" s="5">
        <f>IF(SalesData[[#This Row],[Customers Visited]]=0,0,SalesData[[#This Row],[Test Drives]]/SalesData[[#This Row],[Customers Visited]])</f>
        <v>0.47982062780269058</v>
      </c>
      <c r="AH3392" s="5">
        <f>IF(SalesData[[#This Row],[Customers Visited]]=0,0,SalesData[[#This Row],[Contracts Signed]]/SalesData[[#This Row],[Customers Visited]])</f>
        <v>0.12556053811659193</v>
      </c>
      <c r="AI3392" s="6">
        <f>IF(SalesData[[#This Row],[Contracts Signed]]=0,0,SalesData[[#This Row],[Profit(€)]]/SalesData[[#This Row],[Contracts Signed]])</f>
        <v>11427</v>
      </c>
      <c r="AJ3392" s="5" t="str">
        <f>TRIM(CLEAN(SalesData[[#This Row],[Retailer]]))</f>
        <v>Elbe Drive</v>
      </c>
    </row>
    <row r="3393" spans="1:36" ht="14.25" hidden="1" x14ac:dyDescent="0.2">
      <c r="A3393" t="s">
        <v>4584</v>
      </c>
      <c r="B3393" s="1">
        <v>46054</v>
      </c>
      <c r="C3393" t="s">
        <v>24</v>
      </c>
      <c r="D3393" t="s">
        <v>41</v>
      </c>
      <c r="E3393" t="s">
        <v>42</v>
      </c>
      <c r="F3393" t="s">
        <v>74</v>
      </c>
      <c r="G3393" t="s">
        <v>75</v>
      </c>
      <c r="H3393" t="s">
        <v>76</v>
      </c>
      <c r="I3393" t="s">
        <v>116</v>
      </c>
      <c r="J3393" t="s">
        <v>7090</v>
      </c>
      <c r="K3393" t="s">
        <v>78</v>
      </c>
      <c r="L3393" t="s">
        <v>46</v>
      </c>
      <c r="M3393" t="s">
        <v>47</v>
      </c>
      <c r="N3393" t="s">
        <v>35</v>
      </c>
      <c r="O3393" t="s">
        <v>70</v>
      </c>
      <c r="P3393" t="s">
        <v>49</v>
      </c>
      <c r="Q3393" t="s">
        <v>106</v>
      </c>
      <c r="R3393">
        <v>373</v>
      </c>
      <c r="S3393">
        <v>169</v>
      </c>
      <c r="T3393">
        <v>105</v>
      </c>
      <c r="U3393">
        <v>21</v>
      </c>
      <c r="V3393" t="s">
        <v>1808</v>
      </c>
      <c r="W3393">
        <v>22421</v>
      </c>
      <c r="X3393" t="s">
        <v>2081</v>
      </c>
      <c r="Y3393">
        <v>20554</v>
      </c>
      <c r="Z3393">
        <v>470841</v>
      </c>
      <c r="AA3393">
        <v>39207</v>
      </c>
      <c r="AB3393" t="str">
        <f>(VLOOKUP(SalesData[[#This Row],[Month Number]],Reference!C$5:E$16,2,FALSE))</f>
        <v>Feb</v>
      </c>
      <c r="AC3393">
        <f>MONTH(SalesData[[#This Row],[Date]])</f>
        <v>2</v>
      </c>
      <c r="AD3393">
        <f>Reference!F$4</f>
        <v>2026</v>
      </c>
      <c r="AE3393" t="str">
        <f>IF(OR(SalesData[[#This Row],[Day]]="Saturday",SalesData[[#This Row],[Day]]="Sunday"),"Weekend","Weekday")</f>
        <v>Weekend</v>
      </c>
      <c r="AF3393" s="5">
        <f>IF(SalesData[[#This Row],[Contracts Offered]]=0,0,SalesData[[#This Row],[Contracts Signed]]/SalesData[[#This Row],[Contracts Offered]])</f>
        <v>0.2</v>
      </c>
      <c r="AG3393" s="5">
        <f>IF(SalesData[[#This Row],[Customers Visited]]=0,0,SalesData[[#This Row],[Test Drives]]/SalesData[[#This Row],[Customers Visited]])</f>
        <v>0.45308310991957107</v>
      </c>
      <c r="AH3393" s="5">
        <f>IF(SalesData[[#This Row],[Customers Visited]]=0,0,SalesData[[#This Row],[Contracts Signed]]/SalesData[[#This Row],[Customers Visited]])</f>
        <v>5.6300268096514748E-2</v>
      </c>
      <c r="AI3393" s="6">
        <f>IF(SalesData[[#This Row],[Contracts Signed]]=0,0,SalesData[[#This Row],[Profit(€)]]/SalesData[[#This Row],[Contracts Signed]])</f>
        <v>1867</v>
      </c>
      <c r="AJ3393" s="5" t="str">
        <f>TRIM(CLEAN(SalesData[[#This Row],[Retailer]]))</f>
        <v>Stuttgart Auto Center</v>
      </c>
    </row>
    <row r="3394" spans="1:36" ht="14.25" hidden="1" x14ac:dyDescent="0.2">
      <c r="A3394" t="s">
        <v>4585</v>
      </c>
      <c r="B3394" s="1">
        <v>46074</v>
      </c>
      <c r="C3394" t="s">
        <v>62</v>
      </c>
      <c r="D3394" t="s">
        <v>151</v>
      </c>
      <c r="E3394" t="s">
        <v>42</v>
      </c>
      <c r="F3394" t="s">
        <v>83</v>
      </c>
      <c r="G3394" t="s">
        <v>84</v>
      </c>
      <c r="H3394" t="s">
        <v>85</v>
      </c>
      <c r="I3394" t="s">
        <v>56</v>
      </c>
      <c r="J3394" t="s">
        <v>97</v>
      </c>
      <c r="K3394" t="s">
        <v>91</v>
      </c>
      <c r="L3394" t="s">
        <v>33</v>
      </c>
      <c r="M3394" t="s">
        <v>34</v>
      </c>
      <c r="N3394" t="s">
        <v>35</v>
      </c>
      <c r="O3394" t="s">
        <v>36</v>
      </c>
      <c r="P3394" t="s">
        <v>71</v>
      </c>
      <c r="Q3394" t="s">
        <v>169</v>
      </c>
      <c r="R3394">
        <v>247</v>
      </c>
      <c r="S3394">
        <v>134</v>
      </c>
      <c r="T3394">
        <v>87</v>
      </c>
      <c r="U3394">
        <v>29</v>
      </c>
      <c r="V3394" t="s">
        <v>7011</v>
      </c>
      <c r="W3394">
        <v>43434</v>
      </c>
      <c r="X3394" t="s">
        <v>5862</v>
      </c>
      <c r="Y3394">
        <v>33037</v>
      </c>
      <c r="Z3394">
        <v>1259586</v>
      </c>
      <c r="AA3394">
        <v>301513</v>
      </c>
      <c r="AB3394" t="str">
        <f>(VLOOKUP(SalesData[[#This Row],[Month Number]],Reference!C$5:E$16,2,FALSE))</f>
        <v>Feb</v>
      </c>
      <c r="AC3394">
        <f>MONTH(SalesData[[#This Row],[Date]])</f>
        <v>2</v>
      </c>
      <c r="AD3394">
        <f>Reference!F$4</f>
        <v>2026</v>
      </c>
      <c r="AE3394" t="str">
        <f>IF(OR(SalesData[[#This Row],[Day]]="Saturday",SalesData[[#This Row],[Day]]="Sunday"),"Weekend","Weekday")</f>
        <v>Weekend</v>
      </c>
      <c r="AF3394" s="5">
        <f>IF(SalesData[[#This Row],[Contracts Offered]]=0,0,SalesData[[#This Row],[Contracts Signed]]/SalesData[[#This Row],[Contracts Offered]])</f>
        <v>0.33333333333333331</v>
      </c>
      <c r="AG3394" s="5">
        <f>IF(SalesData[[#This Row],[Customers Visited]]=0,0,SalesData[[#This Row],[Test Drives]]/SalesData[[#This Row],[Customers Visited]])</f>
        <v>0.54251012145748989</v>
      </c>
      <c r="AH3394" s="5">
        <f>IF(SalesData[[#This Row],[Customers Visited]]=0,0,SalesData[[#This Row],[Contracts Signed]]/SalesData[[#This Row],[Customers Visited]])</f>
        <v>0.11740890688259109</v>
      </c>
      <c r="AI3394" s="6">
        <f>IF(SalesData[[#This Row],[Contracts Signed]]=0,0,SalesData[[#This Row],[Profit(€)]]/SalesData[[#This Row],[Contracts Signed]])</f>
        <v>10397</v>
      </c>
      <c r="AJ3394" s="5" t="str">
        <f>TRIM(CLEAN(SalesData[[#This Row],[Retailer]]))</f>
        <v>Hannover Cars</v>
      </c>
    </row>
    <row r="3395" spans="1:36" ht="14.25" hidden="1" x14ac:dyDescent="0.2">
      <c r="A3395" t="s">
        <v>4586</v>
      </c>
      <c r="B3395" s="1">
        <v>46069</v>
      </c>
      <c r="C3395" t="s">
        <v>62</v>
      </c>
      <c r="D3395" t="s">
        <v>25</v>
      </c>
      <c r="E3395" t="s">
        <v>26</v>
      </c>
      <c r="F3395" t="s">
        <v>74</v>
      </c>
      <c r="G3395" t="s">
        <v>75</v>
      </c>
      <c r="H3395" t="s">
        <v>76</v>
      </c>
      <c r="I3395" t="s">
        <v>56</v>
      </c>
      <c r="J3395" t="s">
        <v>7028</v>
      </c>
      <c r="K3395" t="s">
        <v>66</v>
      </c>
      <c r="L3395" t="s">
        <v>46</v>
      </c>
      <c r="M3395" t="s">
        <v>47</v>
      </c>
      <c r="N3395" t="s">
        <v>69</v>
      </c>
      <c r="O3395" t="s">
        <v>36</v>
      </c>
      <c r="P3395" t="s">
        <v>71</v>
      </c>
      <c r="Q3395" t="s">
        <v>144</v>
      </c>
      <c r="R3395">
        <v>167</v>
      </c>
      <c r="S3395">
        <v>103</v>
      </c>
      <c r="T3395">
        <v>75</v>
      </c>
      <c r="U3395">
        <v>27</v>
      </c>
      <c r="V3395" t="s">
        <v>6993</v>
      </c>
      <c r="W3395">
        <v>40983</v>
      </c>
      <c r="X3395" t="s">
        <v>5237</v>
      </c>
      <c r="Y3395">
        <v>32735</v>
      </c>
      <c r="Z3395">
        <v>1106541</v>
      </c>
      <c r="AA3395">
        <v>222696</v>
      </c>
      <c r="AB3395" t="str">
        <f>(VLOOKUP(SalesData[[#This Row],[Month Number]],Reference!C$5:E$16,2,FALSE))</f>
        <v>Feb</v>
      </c>
      <c r="AC3395">
        <f>MONTH(SalesData[[#This Row],[Date]])</f>
        <v>2</v>
      </c>
      <c r="AD3395">
        <f>Reference!F$4</f>
        <v>2026</v>
      </c>
      <c r="AE3395" t="str">
        <f>IF(OR(SalesData[[#This Row],[Day]]="Saturday",SalesData[[#This Row],[Day]]="Sunday"),"Weekend","Weekday")</f>
        <v>Weekday</v>
      </c>
      <c r="AF3395" s="5">
        <f>IF(SalesData[[#This Row],[Contracts Offered]]=0,0,SalesData[[#This Row],[Contracts Signed]]/SalesData[[#This Row],[Contracts Offered]])</f>
        <v>0.36</v>
      </c>
      <c r="AG3395" s="5">
        <f>IF(SalesData[[#This Row],[Customers Visited]]=0,0,SalesData[[#This Row],[Test Drives]]/SalesData[[#This Row],[Customers Visited]])</f>
        <v>0.61676646706586824</v>
      </c>
      <c r="AH3395" s="5">
        <f>IF(SalesData[[#This Row],[Customers Visited]]=0,0,SalesData[[#This Row],[Contracts Signed]]/SalesData[[#This Row],[Customers Visited]])</f>
        <v>0.16167664670658682</v>
      </c>
      <c r="AI3395" s="6">
        <f>IF(SalesData[[#This Row],[Contracts Signed]]=0,0,SalesData[[#This Row],[Profit(€)]]/SalesData[[#This Row],[Contracts Signed]])</f>
        <v>8248</v>
      </c>
      <c r="AJ3395" s="5" t="str">
        <f>TRIM(CLEAN(SalesData[[#This Row],[Retailer]]))</f>
        <v>Stuttgart Auto Center</v>
      </c>
    </row>
    <row r="3396" spans="1:36" ht="14.25" hidden="1" x14ac:dyDescent="0.2">
      <c r="A3396" t="s">
        <v>4587</v>
      </c>
      <c r="B3396" s="1">
        <v>46078</v>
      </c>
      <c r="C3396" t="s">
        <v>53</v>
      </c>
      <c r="D3396" t="s">
        <v>82</v>
      </c>
      <c r="E3396" t="s">
        <v>26</v>
      </c>
      <c r="F3396" t="s">
        <v>83</v>
      </c>
      <c r="G3396" t="s">
        <v>84</v>
      </c>
      <c r="H3396" t="s">
        <v>85</v>
      </c>
      <c r="I3396" t="s">
        <v>116</v>
      </c>
      <c r="J3396" t="s">
        <v>7026</v>
      </c>
      <c r="K3396" t="s">
        <v>91</v>
      </c>
      <c r="L3396" t="s">
        <v>46</v>
      </c>
      <c r="M3396" t="s">
        <v>87</v>
      </c>
      <c r="N3396" t="s">
        <v>35</v>
      </c>
      <c r="O3396" t="s">
        <v>36</v>
      </c>
      <c r="P3396" t="s">
        <v>58</v>
      </c>
      <c r="Q3396" t="s">
        <v>347</v>
      </c>
      <c r="R3396">
        <v>309</v>
      </c>
      <c r="S3396">
        <v>127</v>
      </c>
      <c r="T3396">
        <v>86</v>
      </c>
      <c r="U3396">
        <v>23</v>
      </c>
      <c r="V3396" t="s">
        <v>2960</v>
      </c>
      <c r="W3396">
        <v>21663</v>
      </c>
      <c r="X3396" t="s">
        <v>2172</v>
      </c>
      <c r="Y3396">
        <v>19498</v>
      </c>
      <c r="Z3396">
        <v>498249</v>
      </c>
      <c r="AA3396">
        <v>49795</v>
      </c>
      <c r="AB3396" t="str">
        <f>(VLOOKUP(SalesData[[#This Row],[Month Number]],Reference!C$5:E$16,2,FALSE))</f>
        <v>Feb</v>
      </c>
      <c r="AC3396">
        <f>MONTH(SalesData[[#This Row],[Date]])</f>
        <v>2</v>
      </c>
      <c r="AD3396">
        <f>Reference!F$4</f>
        <v>2026</v>
      </c>
      <c r="AE3396" t="str">
        <f>IF(OR(SalesData[[#This Row],[Day]]="Saturday",SalesData[[#This Row],[Day]]="Sunday"),"Weekend","Weekday")</f>
        <v>Weekday</v>
      </c>
      <c r="AF3396" s="5">
        <f>IF(SalesData[[#This Row],[Contracts Offered]]=0,0,SalesData[[#This Row],[Contracts Signed]]/SalesData[[#This Row],[Contracts Offered]])</f>
        <v>0.26744186046511625</v>
      </c>
      <c r="AG3396" s="5">
        <f>IF(SalesData[[#This Row],[Customers Visited]]=0,0,SalesData[[#This Row],[Test Drives]]/SalesData[[#This Row],[Customers Visited]])</f>
        <v>0.4110032362459547</v>
      </c>
      <c r="AH3396" s="5">
        <f>IF(SalesData[[#This Row],[Customers Visited]]=0,0,SalesData[[#This Row],[Contracts Signed]]/SalesData[[#This Row],[Customers Visited]])</f>
        <v>7.4433656957928807E-2</v>
      </c>
      <c r="AI3396" s="6">
        <f>IF(SalesData[[#This Row],[Contracts Signed]]=0,0,SalesData[[#This Row],[Profit(€)]]/SalesData[[#This Row],[Contracts Signed]])</f>
        <v>2165</v>
      </c>
      <c r="AJ3396" s="5" t="str">
        <f>TRIM(CLEAN(SalesData[[#This Row],[Retailer]]))</f>
        <v>Hannover Cars</v>
      </c>
    </row>
    <row r="3397" spans="1:36" ht="14.25" x14ac:dyDescent="0.2">
      <c r="A3397" t="s">
        <v>4588</v>
      </c>
      <c r="B3397" s="1">
        <v>46067</v>
      </c>
      <c r="C3397" t="s">
        <v>121</v>
      </c>
      <c r="D3397" t="s">
        <v>151</v>
      </c>
      <c r="E3397" t="s">
        <v>42</v>
      </c>
      <c r="F3397" t="s">
        <v>127</v>
      </c>
      <c r="G3397" t="s">
        <v>128</v>
      </c>
      <c r="H3397" t="s">
        <v>103</v>
      </c>
      <c r="I3397" t="s">
        <v>30</v>
      </c>
      <c r="J3397" t="s">
        <v>166</v>
      </c>
      <c r="K3397" t="s">
        <v>66</v>
      </c>
      <c r="L3397" t="s">
        <v>46</v>
      </c>
      <c r="M3397" t="s">
        <v>87</v>
      </c>
      <c r="N3397" t="s">
        <v>48</v>
      </c>
      <c r="O3397" t="s">
        <v>70</v>
      </c>
      <c r="P3397" t="s">
        <v>71</v>
      </c>
      <c r="Q3397" t="s">
        <v>38</v>
      </c>
      <c r="R3397">
        <v>269</v>
      </c>
      <c r="S3397">
        <v>165</v>
      </c>
      <c r="T3397">
        <v>125</v>
      </c>
      <c r="U3397">
        <v>50</v>
      </c>
      <c r="V3397" t="s">
        <v>7181</v>
      </c>
      <c r="W3397">
        <v>66009</v>
      </c>
      <c r="X3397" t="s">
        <v>7318</v>
      </c>
      <c r="Y3397">
        <v>46292</v>
      </c>
      <c r="Z3397">
        <v>3300450</v>
      </c>
      <c r="AA3397">
        <v>985850</v>
      </c>
      <c r="AB3397" t="str">
        <f>(VLOOKUP(SalesData[[#This Row],[Month Number]],Reference!C$5:E$16,2,FALSE))</f>
        <v>Feb</v>
      </c>
      <c r="AC3397">
        <f>MONTH(SalesData[[#This Row],[Date]])</f>
        <v>2</v>
      </c>
      <c r="AD3397">
        <f>Reference!F$4</f>
        <v>2026</v>
      </c>
      <c r="AE3397" t="str">
        <f>IF(OR(SalesData[[#This Row],[Day]]="Saturday",SalesData[[#This Row],[Day]]="Sunday"),"Weekend","Weekday")</f>
        <v>Weekend</v>
      </c>
      <c r="AF3397" s="5">
        <f>IF(SalesData[[#This Row],[Contracts Offered]]=0,0,SalesData[[#This Row],[Contracts Signed]]/SalesData[[#This Row],[Contracts Offered]])</f>
        <v>0.4</v>
      </c>
      <c r="AG3397" s="5">
        <f>IF(SalesData[[#This Row],[Customers Visited]]=0,0,SalesData[[#This Row],[Test Drives]]/SalesData[[#This Row],[Customers Visited]])</f>
        <v>0.61338289962825276</v>
      </c>
      <c r="AH3397" s="5">
        <f>IF(SalesData[[#This Row],[Customers Visited]]=0,0,SalesData[[#This Row],[Contracts Signed]]/SalesData[[#This Row],[Customers Visited]])</f>
        <v>0.18587360594795538</v>
      </c>
      <c r="AI3397" s="6">
        <f>IF(SalesData[[#This Row],[Contracts Signed]]=0,0,SalesData[[#This Row],[Profit(€)]]/SalesData[[#This Row],[Contracts Signed]])</f>
        <v>19717</v>
      </c>
      <c r="AJ3397" s="5" t="str">
        <f>TRIM(CLEAN(SalesData[[#This Row],[Retailer]]))</f>
        <v>Rhein Auto Group</v>
      </c>
    </row>
    <row r="3398" spans="1:36" ht="14.25" hidden="1" x14ac:dyDescent="0.2">
      <c r="A3398" t="s">
        <v>4590</v>
      </c>
      <c r="B3398" s="1">
        <v>46076</v>
      </c>
      <c r="C3398" t="s">
        <v>53</v>
      </c>
      <c r="D3398" t="s">
        <v>25</v>
      </c>
      <c r="E3398" t="s">
        <v>26</v>
      </c>
      <c r="F3398" t="s">
        <v>101</v>
      </c>
      <c r="G3398" t="s">
        <v>102</v>
      </c>
      <c r="H3398" t="s">
        <v>103</v>
      </c>
      <c r="I3398" t="s">
        <v>56</v>
      </c>
      <c r="J3398" t="s">
        <v>137</v>
      </c>
      <c r="K3398" t="s">
        <v>32</v>
      </c>
      <c r="L3398" t="s">
        <v>46</v>
      </c>
      <c r="M3398" t="s">
        <v>34</v>
      </c>
      <c r="N3398" t="s">
        <v>69</v>
      </c>
      <c r="O3398" t="s">
        <v>36</v>
      </c>
      <c r="P3398" t="s">
        <v>37</v>
      </c>
      <c r="Q3398" t="s">
        <v>169</v>
      </c>
      <c r="R3398">
        <v>250</v>
      </c>
      <c r="S3398">
        <v>143</v>
      </c>
      <c r="T3398">
        <v>107</v>
      </c>
      <c r="U3398">
        <v>34</v>
      </c>
      <c r="V3398" t="s">
        <v>6833</v>
      </c>
      <c r="W3398">
        <v>51938</v>
      </c>
      <c r="X3398" t="s">
        <v>7330</v>
      </c>
      <c r="Y3398">
        <v>40136</v>
      </c>
      <c r="Z3398">
        <v>1765892</v>
      </c>
      <c r="AA3398">
        <v>401268</v>
      </c>
      <c r="AB3398" t="str">
        <f>(VLOOKUP(SalesData[[#This Row],[Month Number]],Reference!C$5:E$16,2,FALSE))</f>
        <v>Feb</v>
      </c>
      <c r="AC3398">
        <f>MONTH(SalesData[[#This Row],[Date]])</f>
        <v>2</v>
      </c>
      <c r="AD3398">
        <f>Reference!F$4</f>
        <v>2026</v>
      </c>
      <c r="AE3398" t="str">
        <f>IF(OR(SalesData[[#This Row],[Day]]="Saturday",SalesData[[#This Row],[Day]]="Sunday"),"Weekend","Weekday")</f>
        <v>Weekday</v>
      </c>
      <c r="AF3398" s="5">
        <f>IF(SalesData[[#This Row],[Contracts Offered]]=0,0,SalesData[[#This Row],[Contracts Signed]]/SalesData[[#This Row],[Contracts Offered]])</f>
        <v>0.31775700934579437</v>
      </c>
      <c r="AG3398" s="5">
        <f>IF(SalesData[[#This Row],[Customers Visited]]=0,0,SalesData[[#This Row],[Test Drives]]/SalesData[[#This Row],[Customers Visited]])</f>
        <v>0.57199999999999995</v>
      </c>
      <c r="AH3398" s="5">
        <f>IF(SalesData[[#This Row],[Customers Visited]]=0,0,SalesData[[#This Row],[Contracts Signed]]/SalesData[[#This Row],[Customers Visited]])</f>
        <v>0.13600000000000001</v>
      </c>
      <c r="AI3398" s="6">
        <f>IF(SalesData[[#This Row],[Contracts Signed]]=0,0,SalesData[[#This Row],[Profit(€)]]/SalesData[[#This Row],[Contracts Signed]])</f>
        <v>11802</v>
      </c>
      <c r="AJ3398" s="5" t="str">
        <f>TRIM(CLEAN(SalesData[[#This Row],[Retailer]]))</f>
        <v>Ruhr Auto Plaza</v>
      </c>
    </row>
    <row r="3399" spans="1:36" ht="14.25" hidden="1" x14ac:dyDescent="0.2">
      <c r="A3399" t="s">
        <v>4591</v>
      </c>
      <c r="B3399" s="1">
        <v>46068</v>
      </c>
      <c r="C3399" t="s">
        <v>62</v>
      </c>
      <c r="D3399" t="s">
        <v>41</v>
      </c>
      <c r="E3399" t="s">
        <v>42</v>
      </c>
      <c r="F3399" t="s">
        <v>83</v>
      </c>
      <c r="G3399" t="s">
        <v>84</v>
      </c>
      <c r="H3399" t="s">
        <v>85</v>
      </c>
      <c r="I3399" t="s">
        <v>104</v>
      </c>
      <c r="J3399" t="s">
        <v>140</v>
      </c>
      <c r="K3399" t="s">
        <v>91</v>
      </c>
      <c r="L3399" t="s">
        <v>46</v>
      </c>
      <c r="M3399" t="s">
        <v>47</v>
      </c>
      <c r="N3399" t="s">
        <v>48</v>
      </c>
      <c r="O3399" t="s">
        <v>70</v>
      </c>
      <c r="P3399" t="s">
        <v>71</v>
      </c>
      <c r="Q3399" t="s">
        <v>50</v>
      </c>
      <c r="R3399">
        <v>291</v>
      </c>
      <c r="S3399">
        <v>154</v>
      </c>
      <c r="T3399">
        <v>96</v>
      </c>
      <c r="U3399">
        <v>20</v>
      </c>
      <c r="V3399" t="s">
        <v>2604</v>
      </c>
      <c r="W3399">
        <v>25980</v>
      </c>
      <c r="X3399" t="s">
        <v>5619</v>
      </c>
      <c r="Y3399">
        <v>23379</v>
      </c>
      <c r="Z3399">
        <v>519600</v>
      </c>
      <c r="AA3399">
        <v>52020</v>
      </c>
      <c r="AB3399" t="str">
        <f>(VLOOKUP(SalesData[[#This Row],[Month Number]],Reference!C$5:E$16,2,FALSE))</f>
        <v>Feb</v>
      </c>
      <c r="AC3399">
        <f>MONTH(SalesData[[#This Row],[Date]])</f>
        <v>2</v>
      </c>
      <c r="AD3399">
        <f>Reference!F$4</f>
        <v>2026</v>
      </c>
      <c r="AE3399" t="str">
        <f>IF(OR(SalesData[[#This Row],[Day]]="Saturday",SalesData[[#This Row],[Day]]="Sunday"),"Weekend","Weekday")</f>
        <v>Weekend</v>
      </c>
      <c r="AF3399" s="5">
        <f>IF(SalesData[[#This Row],[Contracts Offered]]=0,0,SalesData[[#This Row],[Contracts Signed]]/SalesData[[#This Row],[Contracts Offered]])</f>
        <v>0.20833333333333334</v>
      </c>
      <c r="AG3399" s="5">
        <f>IF(SalesData[[#This Row],[Customers Visited]]=0,0,SalesData[[#This Row],[Test Drives]]/SalesData[[#This Row],[Customers Visited]])</f>
        <v>0.52920962199312716</v>
      </c>
      <c r="AH3399" s="5">
        <f>IF(SalesData[[#This Row],[Customers Visited]]=0,0,SalesData[[#This Row],[Contracts Signed]]/SalesData[[#This Row],[Customers Visited]])</f>
        <v>6.8728522336769765E-2</v>
      </c>
      <c r="AI3399" s="6">
        <f>IF(SalesData[[#This Row],[Contracts Signed]]=0,0,SalesData[[#This Row],[Profit(€)]]/SalesData[[#This Row],[Contracts Signed]])</f>
        <v>2601</v>
      </c>
      <c r="AJ3399" s="5" t="str">
        <f>TRIM(CLEAN(SalesData[[#This Row],[Retailer]]))</f>
        <v>Hannover Cars</v>
      </c>
    </row>
    <row r="3400" spans="1:36" ht="14.25" hidden="1" x14ac:dyDescent="0.2">
      <c r="A3400" t="s">
        <v>4592</v>
      </c>
      <c r="B3400" s="1">
        <v>46069</v>
      </c>
      <c r="C3400" t="s">
        <v>62</v>
      </c>
      <c r="D3400" t="s">
        <v>25</v>
      </c>
      <c r="E3400" t="s">
        <v>26</v>
      </c>
      <c r="F3400" t="s">
        <v>43</v>
      </c>
      <c r="G3400" t="s">
        <v>44</v>
      </c>
      <c r="H3400" t="s">
        <v>45</v>
      </c>
      <c r="I3400" t="s">
        <v>64</v>
      </c>
      <c r="J3400" t="s">
        <v>77</v>
      </c>
      <c r="K3400" t="s">
        <v>78</v>
      </c>
      <c r="L3400" t="s">
        <v>46</v>
      </c>
      <c r="M3400" t="s">
        <v>47</v>
      </c>
      <c r="N3400" t="s">
        <v>35</v>
      </c>
      <c r="O3400" t="s">
        <v>70</v>
      </c>
      <c r="P3400" t="s">
        <v>49</v>
      </c>
      <c r="Q3400" t="s">
        <v>169</v>
      </c>
      <c r="R3400">
        <v>235</v>
      </c>
      <c r="S3400">
        <v>110</v>
      </c>
      <c r="T3400">
        <v>83</v>
      </c>
      <c r="U3400">
        <v>22</v>
      </c>
      <c r="V3400" t="s">
        <v>6410</v>
      </c>
      <c r="W3400">
        <v>71031</v>
      </c>
      <c r="X3400" t="s">
        <v>7352</v>
      </c>
      <c r="Y3400">
        <v>54890</v>
      </c>
      <c r="Z3400">
        <v>1562682</v>
      </c>
      <c r="AA3400">
        <v>355102</v>
      </c>
      <c r="AB3400" t="str">
        <f>(VLOOKUP(SalesData[[#This Row],[Month Number]],Reference!C$5:E$16,2,FALSE))</f>
        <v>Feb</v>
      </c>
      <c r="AC3400">
        <f>MONTH(SalesData[[#This Row],[Date]])</f>
        <v>2</v>
      </c>
      <c r="AD3400">
        <f>Reference!F$4</f>
        <v>2026</v>
      </c>
      <c r="AE3400" t="str">
        <f>IF(OR(SalesData[[#This Row],[Day]]="Saturday",SalesData[[#This Row],[Day]]="Sunday"),"Weekend","Weekday")</f>
        <v>Weekday</v>
      </c>
      <c r="AF3400" s="5">
        <f>IF(SalesData[[#This Row],[Contracts Offered]]=0,0,SalesData[[#This Row],[Contracts Signed]]/SalesData[[#This Row],[Contracts Offered]])</f>
        <v>0.26506024096385544</v>
      </c>
      <c r="AG3400" s="5">
        <f>IF(SalesData[[#This Row],[Customers Visited]]=0,0,SalesData[[#This Row],[Test Drives]]/SalesData[[#This Row],[Customers Visited]])</f>
        <v>0.46808510638297873</v>
      </c>
      <c r="AH3400" s="5">
        <f>IF(SalesData[[#This Row],[Customers Visited]]=0,0,SalesData[[#This Row],[Contracts Signed]]/SalesData[[#This Row],[Customers Visited]])</f>
        <v>9.3617021276595741E-2</v>
      </c>
      <c r="AI3400" s="6">
        <f>IF(SalesData[[#This Row],[Contracts Signed]]=0,0,SalesData[[#This Row],[Profit(€)]]/SalesData[[#This Row],[Contracts Signed]])</f>
        <v>16141</v>
      </c>
      <c r="AJ3400" s="5" t="str">
        <f>TRIM(CLEAN(SalesData[[#This Row],[Retailer]]))</f>
        <v>Saxon Wheels</v>
      </c>
    </row>
    <row r="3401" spans="1:36" ht="14.25" x14ac:dyDescent="0.2">
      <c r="A3401" t="s">
        <v>4593</v>
      </c>
      <c r="B3401" s="1">
        <v>46075</v>
      </c>
      <c r="C3401" t="s">
        <v>53</v>
      </c>
      <c r="D3401" t="s">
        <v>41</v>
      </c>
      <c r="E3401" t="s">
        <v>42</v>
      </c>
      <c r="F3401" t="s">
        <v>7649</v>
      </c>
      <c r="G3401" t="s">
        <v>55</v>
      </c>
      <c r="H3401" t="s">
        <v>55</v>
      </c>
      <c r="I3401" t="s">
        <v>30</v>
      </c>
      <c r="J3401" t="s">
        <v>166</v>
      </c>
      <c r="K3401" t="s">
        <v>32</v>
      </c>
      <c r="L3401" t="s">
        <v>46</v>
      </c>
      <c r="M3401" t="s">
        <v>47</v>
      </c>
      <c r="N3401" t="s">
        <v>69</v>
      </c>
      <c r="O3401" t="s">
        <v>70</v>
      </c>
      <c r="P3401" t="s">
        <v>71</v>
      </c>
      <c r="Q3401" t="s">
        <v>79</v>
      </c>
      <c r="R3401">
        <v>251</v>
      </c>
      <c r="S3401">
        <v>122</v>
      </c>
      <c r="T3401">
        <v>91</v>
      </c>
      <c r="U3401">
        <v>33</v>
      </c>
      <c r="V3401" t="s">
        <v>7539</v>
      </c>
      <c r="W3401">
        <v>49897</v>
      </c>
      <c r="X3401" t="s">
        <v>1632</v>
      </c>
      <c r="Y3401">
        <v>38694</v>
      </c>
      <c r="Z3401">
        <v>1646601</v>
      </c>
      <c r="AA3401">
        <v>369699</v>
      </c>
      <c r="AB3401" t="str">
        <f>(VLOOKUP(SalesData[[#This Row],[Month Number]],Reference!C$5:E$16,2,FALSE))</f>
        <v>Feb</v>
      </c>
      <c r="AC3401">
        <f>MONTH(SalesData[[#This Row],[Date]])</f>
        <v>2</v>
      </c>
      <c r="AD3401">
        <f>Reference!F$4</f>
        <v>2026</v>
      </c>
      <c r="AE3401" t="str">
        <f>IF(OR(SalesData[[#This Row],[Day]]="Saturday",SalesData[[#This Row],[Day]]="Sunday"),"Weekend","Weekday")</f>
        <v>Weekend</v>
      </c>
      <c r="AF3401" s="5">
        <f>IF(SalesData[[#This Row],[Contracts Offered]]=0,0,SalesData[[#This Row],[Contracts Signed]]/SalesData[[#This Row],[Contracts Offered]])</f>
        <v>0.36263736263736263</v>
      </c>
      <c r="AG3401" s="5">
        <f>IF(SalesData[[#This Row],[Customers Visited]]=0,0,SalesData[[#This Row],[Test Drives]]/SalesData[[#This Row],[Customers Visited]])</f>
        <v>0.48605577689243029</v>
      </c>
      <c r="AH3401" s="5">
        <f>IF(SalesData[[#This Row],[Customers Visited]]=0,0,SalesData[[#This Row],[Contracts Signed]]/SalesData[[#This Row],[Customers Visited]])</f>
        <v>0.13147410358565736</v>
      </c>
      <c r="AI3401" s="6">
        <f>IF(SalesData[[#This Row],[Contracts Signed]]=0,0,SalesData[[#This Row],[Profit(€)]]/SalesData[[#This Row],[Contracts Signed]])</f>
        <v>11203</v>
      </c>
      <c r="AJ3401" s="5" t="str">
        <f>TRIM(CLEAN(SalesData[[#This Row],[Retailer]]))</f>
        <v>Autohaus Berlin</v>
      </c>
    </row>
    <row r="3402" spans="1:36" ht="14.25" hidden="1" x14ac:dyDescent="0.2">
      <c r="A3402" t="s">
        <v>4594</v>
      </c>
      <c r="B3402" s="1">
        <v>46076</v>
      </c>
      <c r="C3402" t="s">
        <v>53</v>
      </c>
      <c r="D3402" t="s">
        <v>25</v>
      </c>
      <c r="E3402" t="s">
        <v>26</v>
      </c>
      <c r="F3402" t="s">
        <v>101</v>
      </c>
      <c r="G3402" t="s">
        <v>102</v>
      </c>
      <c r="H3402" t="s">
        <v>103</v>
      </c>
      <c r="I3402" t="s">
        <v>116</v>
      </c>
      <c r="J3402" t="s">
        <v>7090</v>
      </c>
      <c r="K3402" t="s">
        <v>78</v>
      </c>
      <c r="L3402" t="s">
        <v>46</v>
      </c>
      <c r="M3402" t="s">
        <v>68</v>
      </c>
      <c r="N3402" t="s">
        <v>35</v>
      </c>
      <c r="O3402" t="s">
        <v>70</v>
      </c>
      <c r="P3402" t="s">
        <v>37</v>
      </c>
      <c r="Q3402" t="s">
        <v>240</v>
      </c>
      <c r="R3402">
        <v>317</v>
      </c>
      <c r="S3402">
        <v>129</v>
      </c>
      <c r="T3402">
        <v>85</v>
      </c>
      <c r="U3402">
        <v>16</v>
      </c>
      <c r="V3402" t="s">
        <v>579</v>
      </c>
      <c r="W3402">
        <v>23660</v>
      </c>
      <c r="X3402" t="s">
        <v>222</v>
      </c>
      <c r="Y3402">
        <v>21441</v>
      </c>
      <c r="Z3402">
        <v>378560</v>
      </c>
      <c r="AA3402">
        <v>35504</v>
      </c>
      <c r="AB3402" t="str">
        <f>(VLOOKUP(SalesData[[#This Row],[Month Number]],Reference!C$5:E$16,2,FALSE))</f>
        <v>Feb</v>
      </c>
      <c r="AC3402">
        <f>MONTH(SalesData[[#This Row],[Date]])</f>
        <v>2</v>
      </c>
      <c r="AD3402">
        <f>Reference!F$4</f>
        <v>2026</v>
      </c>
      <c r="AE3402" t="str">
        <f>IF(OR(SalesData[[#This Row],[Day]]="Saturday",SalesData[[#This Row],[Day]]="Sunday"),"Weekend","Weekday")</f>
        <v>Weekday</v>
      </c>
      <c r="AF3402" s="5">
        <f>IF(SalesData[[#This Row],[Contracts Offered]]=0,0,SalesData[[#This Row],[Contracts Signed]]/SalesData[[#This Row],[Contracts Offered]])</f>
        <v>0.18823529411764706</v>
      </c>
      <c r="AG3402" s="5">
        <f>IF(SalesData[[#This Row],[Customers Visited]]=0,0,SalesData[[#This Row],[Test Drives]]/SalesData[[#This Row],[Customers Visited]])</f>
        <v>0.40694006309148267</v>
      </c>
      <c r="AH3402" s="5">
        <f>IF(SalesData[[#This Row],[Customers Visited]]=0,0,SalesData[[#This Row],[Contracts Signed]]/SalesData[[#This Row],[Customers Visited]])</f>
        <v>5.0473186119873815E-2</v>
      </c>
      <c r="AI3402" s="6">
        <f>IF(SalesData[[#This Row],[Contracts Signed]]=0,0,SalesData[[#This Row],[Profit(€)]]/SalesData[[#This Row],[Contracts Signed]])</f>
        <v>2219</v>
      </c>
      <c r="AJ3402" s="5" t="str">
        <f>TRIM(CLEAN(SalesData[[#This Row],[Retailer]]))</f>
        <v>Ruhr Auto Plaza</v>
      </c>
    </row>
    <row r="3403" spans="1:36" ht="14.25" hidden="1" x14ac:dyDescent="0.2">
      <c r="A3403" t="s">
        <v>4595</v>
      </c>
      <c r="B3403" s="1">
        <v>46071</v>
      </c>
      <c r="C3403" t="s">
        <v>62</v>
      </c>
      <c r="D3403" t="s">
        <v>82</v>
      </c>
      <c r="E3403" t="s">
        <v>26</v>
      </c>
      <c r="F3403" t="s">
        <v>94</v>
      </c>
      <c r="G3403" t="s">
        <v>95</v>
      </c>
      <c r="H3403" t="s">
        <v>96</v>
      </c>
      <c r="I3403" t="s">
        <v>116</v>
      </c>
      <c r="J3403" t="s">
        <v>7090</v>
      </c>
      <c r="K3403" t="s">
        <v>32</v>
      </c>
      <c r="L3403" t="s">
        <v>46</v>
      </c>
      <c r="M3403" t="s">
        <v>87</v>
      </c>
      <c r="N3403" t="s">
        <v>35</v>
      </c>
      <c r="O3403" t="s">
        <v>70</v>
      </c>
      <c r="P3403" t="s">
        <v>37</v>
      </c>
      <c r="Q3403" t="s">
        <v>122</v>
      </c>
      <c r="R3403">
        <v>275</v>
      </c>
      <c r="S3403">
        <v>123</v>
      </c>
      <c r="T3403">
        <v>70</v>
      </c>
      <c r="U3403">
        <v>21</v>
      </c>
      <c r="V3403" t="s">
        <v>962</v>
      </c>
      <c r="W3403">
        <v>26444</v>
      </c>
      <c r="X3403" t="s">
        <v>7411</v>
      </c>
      <c r="Y3403">
        <v>24584</v>
      </c>
      <c r="Z3403">
        <v>555324</v>
      </c>
      <c r="AA3403">
        <v>39060</v>
      </c>
      <c r="AB3403" t="str">
        <f>(VLOOKUP(SalesData[[#This Row],[Month Number]],Reference!C$5:E$16,2,FALSE))</f>
        <v>Feb</v>
      </c>
      <c r="AC3403">
        <f>MONTH(SalesData[[#This Row],[Date]])</f>
        <v>2</v>
      </c>
      <c r="AD3403">
        <f>Reference!F$4</f>
        <v>2026</v>
      </c>
      <c r="AE3403" t="str">
        <f>IF(OR(SalesData[[#This Row],[Day]]="Saturday",SalesData[[#This Row],[Day]]="Sunday"),"Weekend","Weekday")</f>
        <v>Weekday</v>
      </c>
      <c r="AF3403" s="5">
        <f>IF(SalesData[[#This Row],[Contracts Offered]]=0,0,SalesData[[#This Row],[Contracts Signed]]/SalesData[[#This Row],[Contracts Offered]])</f>
        <v>0.3</v>
      </c>
      <c r="AG3403" s="5">
        <f>IF(SalesData[[#This Row],[Customers Visited]]=0,0,SalesData[[#This Row],[Test Drives]]/SalesData[[#This Row],[Customers Visited]])</f>
        <v>0.44727272727272727</v>
      </c>
      <c r="AH3403" s="5">
        <f>IF(SalesData[[#This Row],[Customers Visited]]=0,0,SalesData[[#This Row],[Contracts Signed]]/SalesData[[#This Row],[Customers Visited]])</f>
        <v>7.636363636363637E-2</v>
      </c>
      <c r="AI3403" s="6">
        <f>IF(SalesData[[#This Row],[Contracts Signed]]=0,0,SalesData[[#This Row],[Profit(€)]]/SalesData[[#This Row],[Contracts Signed]])</f>
        <v>1860</v>
      </c>
      <c r="AJ3403" s="5" t="str">
        <f>TRIM(CLEAN(SalesData[[#This Row],[Retailer]]))</f>
        <v>Bavaria Motors</v>
      </c>
    </row>
    <row r="3404" spans="1:36" ht="14.25" hidden="1" x14ac:dyDescent="0.2">
      <c r="A3404" t="s">
        <v>4596</v>
      </c>
      <c r="B3404" s="1">
        <v>46056</v>
      </c>
      <c r="C3404" t="s">
        <v>24</v>
      </c>
      <c r="D3404" t="s">
        <v>63</v>
      </c>
      <c r="E3404" t="s">
        <v>26</v>
      </c>
      <c r="F3404" t="s">
        <v>7649</v>
      </c>
      <c r="G3404" t="s">
        <v>55</v>
      </c>
      <c r="H3404" t="s">
        <v>55</v>
      </c>
      <c r="I3404" t="s">
        <v>104</v>
      </c>
      <c r="J3404" t="s">
        <v>7031</v>
      </c>
      <c r="K3404" t="s">
        <v>66</v>
      </c>
      <c r="L3404" t="s">
        <v>46</v>
      </c>
      <c r="M3404" t="s">
        <v>34</v>
      </c>
      <c r="N3404" t="s">
        <v>69</v>
      </c>
      <c r="O3404" t="s">
        <v>36</v>
      </c>
      <c r="P3404" t="s">
        <v>58</v>
      </c>
      <c r="Q3404" t="s">
        <v>152</v>
      </c>
      <c r="R3404">
        <v>407</v>
      </c>
      <c r="S3404">
        <v>162</v>
      </c>
      <c r="T3404">
        <v>114</v>
      </c>
      <c r="U3404">
        <v>32</v>
      </c>
      <c r="V3404" t="s">
        <v>2805</v>
      </c>
      <c r="W3404">
        <v>29253</v>
      </c>
      <c r="X3404" t="s">
        <v>2529</v>
      </c>
      <c r="Y3404">
        <v>25297</v>
      </c>
      <c r="Z3404">
        <v>936096</v>
      </c>
      <c r="AA3404">
        <v>126592</v>
      </c>
      <c r="AB3404" t="str">
        <f>(VLOOKUP(SalesData[[#This Row],[Month Number]],Reference!C$5:E$16,2,FALSE))</f>
        <v>Feb</v>
      </c>
      <c r="AC3404">
        <f>MONTH(SalesData[[#This Row],[Date]])</f>
        <v>2</v>
      </c>
      <c r="AD3404">
        <f>Reference!F$4</f>
        <v>2026</v>
      </c>
      <c r="AE3404" t="str">
        <f>IF(OR(SalesData[[#This Row],[Day]]="Saturday",SalesData[[#This Row],[Day]]="Sunday"),"Weekend","Weekday")</f>
        <v>Weekday</v>
      </c>
      <c r="AF3404" s="5">
        <f>IF(SalesData[[#This Row],[Contracts Offered]]=0,0,SalesData[[#This Row],[Contracts Signed]]/SalesData[[#This Row],[Contracts Offered]])</f>
        <v>0.2807017543859649</v>
      </c>
      <c r="AG3404" s="5">
        <f>IF(SalesData[[#This Row],[Customers Visited]]=0,0,SalesData[[#This Row],[Test Drives]]/SalesData[[#This Row],[Customers Visited]])</f>
        <v>0.39803439803439805</v>
      </c>
      <c r="AH3404" s="5">
        <f>IF(SalesData[[#This Row],[Customers Visited]]=0,0,SalesData[[#This Row],[Contracts Signed]]/SalesData[[#This Row],[Customers Visited]])</f>
        <v>7.8624078624078622E-2</v>
      </c>
      <c r="AI3404" s="6">
        <f>IF(SalesData[[#This Row],[Contracts Signed]]=0,0,SalesData[[#This Row],[Profit(€)]]/SalesData[[#This Row],[Contracts Signed]])</f>
        <v>3956</v>
      </c>
      <c r="AJ3404" s="5" t="str">
        <f>TRIM(CLEAN(SalesData[[#This Row],[Retailer]]))</f>
        <v>Autohaus Berlin</v>
      </c>
    </row>
    <row r="3405" spans="1:36" ht="14.25" hidden="1" x14ac:dyDescent="0.2">
      <c r="A3405" t="s">
        <v>4597</v>
      </c>
      <c r="B3405" s="1">
        <v>46057</v>
      </c>
      <c r="C3405" t="s">
        <v>24</v>
      </c>
      <c r="D3405" t="s">
        <v>82</v>
      </c>
      <c r="E3405" t="s">
        <v>26</v>
      </c>
      <c r="F3405" t="s">
        <v>94</v>
      </c>
      <c r="G3405" t="s">
        <v>95</v>
      </c>
      <c r="H3405" t="s">
        <v>96</v>
      </c>
      <c r="I3405" t="s">
        <v>116</v>
      </c>
      <c r="J3405" t="s">
        <v>132</v>
      </c>
      <c r="K3405" t="s">
        <v>66</v>
      </c>
      <c r="L3405" t="s">
        <v>46</v>
      </c>
      <c r="M3405" t="s">
        <v>87</v>
      </c>
      <c r="N3405" t="s">
        <v>69</v>
      </c>
      <c r="O3405" t="s">
        <v>36</v>
      </c>
      <c r="P3405" t="s">
        <v>71</v>
      </c>
      <c r="Q3405" t="s">
        <v>122</v>
      </c>
      <c r="R3405">
        <v>318</v>
      </c>
      <c r="S3405">
        <v>168</v>
      </c>
      <c r="T3405">
        <v>97</v>
      </c>
      <c r="U3405">
        <v>34</v>
      </c>
      <c r="V3405" t="s">
        <v>6909</v>
      </c>
      <c r="W3405">
        <v>21869</v>
      </c>
      <c r="X3405" t="s">
        <v>7129</v>
      </c>
      <c r="Y3405">
        <v>20158</v>
      </c>
      <c r="Z3405">
        <v>743546</v>
      </c>
      <c r="AA3405">
        <v>58174</v>
      </c>
      <c r="AB3405" t="str">
        <f>(VLOOKUP(SalesData[[#This Row],[Month Number]],Reference!C$5:E$16,2,FALSE))</f>
        <v>Feb</v>
      </c>
      <c r="AC3405">
        <f>MONTH(SalesData[[#This Row],[Date]])</f>
        <v>2</v>
      </c>
      <c r="AD3405">
        <f>Reference!F$4</f>
        <v>2026</v>
      </c>
      <c r="AE3405" t="str">
        <f>IF(OR(SalesData[[#This Row],[Day]]="Saturday",SalesData[[#This Row],[Day]]="Sunday"),"Weekend","Weekday")</f>
        <v>Weekday</v>
      </c>
      <c r="AF3405" s="5">
        <f>IF(SalesData[[#This Row],[Contracts Offered]]=0,0,SalesData[[#This Row],[Contracts Signed]]/SalesData[[#This Row],[Contracts Offered]])</f>
        <v>0.35051546391752575</v>
      </c>
      <c r="AG3405" s="5">
        <f>IF(SalesData[[#This Row],[Customers Visited]]=0,0,SalesData[[#This Row],[Test Drives]]/SalesData[[#This Row],[Customers Visited]])</f>
        <v>0.52830188679245282</v>
      </c>
      <c r="AH3405" s="5">
        <f>IF(SalesData[[#This Row],[Customers Visited]]=0,0,SalesData[[#This Row],[Contracts Signed]]/SalesData[[#This Row],[Customers Visited]])</f>
        <v>0.1069182389937107</v>
      </c>
      <c r="AI3405" s="6">
        <f>IF(SalesData[[#This Row],[Contracts Signed]]=0,0,SalesData[[#This Row],[Profit(€)]]/SalesData[[#This Row],[Contracts Signed]])</f>
        <v>1711</v>
      </c>
      <c r="AJ3405" s="5" t="str">
        <f>TRIM(CLEAN(SalesData[[#This Row],[Retailer]]))</f>
        <v>Bavaria Motors</v>
      </c>
    </row>
    <row r="3406" spans="1:36" ht="14.25" x14ac:dyDescent="0.2">
      <c r="A3406" t="s">
        <v>4598</v>
      </c>
      <c r="B3406" s="1">
        <v>46075</v>
      </c>
      <c r="C3406" t="s">
        <v>53</v>
      </c>
      <c r="D3406" t="s">
        <v>41</v>
      </c>
      <c r="E3406" t="s">
        <v>42</v>
      </c>
      <c r="F3406" t="s">
        <v>43</v>
      </c>
      <c r="G3406" t="s">
        <v>44</v>
      </c>
      <c r="H3406" t="s">
        <v>45</v>
      </c>
      <c r="I3406" t="s">
        <v>30</v>
      </c>
      <c r="J3406" t="s">
        <v>86</v>
      </c>
      <c r="K3406" t="s">
        <v>66</v>
      </c>
      <c r="L3406" t="s">
        <v>33</v>
      </c>
      <c r="M3406" t="s">
        <v>68</v>
      </c>
      <c r="N3406" t="s">
        <v>69</v>
      </c>
      <c r="O3406" t="s">
        <v>36</v>
      </c>
      <c r="P3406" t="s">
        <v>71</v>
      </c>
      <c r="Q3406" t="s">
        <v>79</v>
      </c>
      <c r="R3406">
        <v>233</v>
      </c>
      <c r="S3406">
        <v>134</v>
      </c>
      <c r="T3406">
        <v>108</v>
      </c>
      <c r="U3406">
        <v>36</v>
      </c>
      <c r="V3406" t="s">
        <v>6451</v>
      </c>
      <c r="W3406">
        <v>66677</v>
      </c>
      <c r="X3406" t="s">
        <v>7236</v>
      </c>
      <c r="Y3406">
        <v>50619</v>
      </c>
      <c r="Z3406">
        <v>2400372</v>
      </c>
      <c r="AA3406">
        <v>578088</v>
      </c>
      <c r="AB3406" t="str">
        <f>(VLOOKUP(SalesData[[#This Row],[Month Number]],Reference!C$5:E$16,2,FALSE))</f>
        <v>Feb</v>
      </c>
      <c r="AC3406">
        <f>MONTH(SalesData[[#This Row],[Date]])</f>
        <v>2</v>
      </c>
      <c r="AD3406">
        <f>Reference!F$4</f>
        <v>2026</v>
      </c>
      <c r="AE3406" t="str">
        <f>IF(OR(SalesData[[#This Row],[Day]]="Saturday",SalesData[[#This Row],[Day]]="Sunday"),"Weekend","Weekday")</f>
        <v>Weekend</v>
      </c>
      <c r="AF3406" s="5">
        <f>IF(SalesData[[#This Row],[Contracts Offered]]=0,0,SalesData[[#This Row],[Contracts Signed]]/SalesData[[#This Row],[Contracts Offered]])</f>
        <v>0.33333333333333331</v>
      </c>
      <c r="AG3406" s="5">
        <f>IF(SalesData[[#This Row],[Customers Visited]]=0,0,SalesData[[#This Row],[Test Drives]]/SalesData[[#This Row],[Customers Visited]])</f>
        <v>0.57510729613733902</v>
      </c>
      <c r="AH3406" s="5">
        <f>IF(SalesData[[#This Row],[Customers Visited]]=0,0,SalesData[[#This Row],[Contracts Signed]]/SalesData[[#This Row],[Customers Visited]])</f>
        <v>0.15450643776824036</v>
      </c>
      <c r="AI3406" s="6">
        <f>IF(SalesData[[#This Row],[Contracts Signed]]=0,0,SalesData[[#This Row],[Profit(€)]]/SalesData[[#This Row],[Contracts Signed]])</f>
        <v>16058</v>
      </c>
      <c r="AJ3406" s="5" t="str">
        <f>TRIM(CLEAN(SalesData[[#This Row],[Retailer]]))</f>
        <v>Saxon Wheels</v>
      </c>
    </row>
    <row r="3407" spans="1:36" ht="14.25" hidden="1" x14ac:dyDescent="0.2">
      <c r="A3407" t="s">
        <v>4599</v>
      </c>
      <c r="B3407" s="1">
        <v>46071</v>
      </c>
      <c r="C3407" t="s">
        <v>62</v>
      </c>
      <c r="D3407" t="s">
        <v>82</v>
      </c>
      <c r="E3407" t="s">
        <v>26</v>
      </c>
      <c r="F3407" t="s">
        <v>109</v>
      </c>
      <c r="G3407" t="s">
        <v>110</v>
      </c>
      <c r="H3407" t="s">
        <v>45</v>
      </c>
      <c r="I3407" t="s">
        <v>116</v>
      </c>
      <c r="J3407" t="s">
        <v>117</v>
      </c>
      <c r="K3407" t="s">
        <v>66</v>
      </c>
      <c r="L3407" t="s">
        <v>67</v>
      </c>
      <c r="M3407" t="s">
        <v>34</v>
      </c>
      <c r="N3407" t="s">
        <v>48</v>
      </c>
      <c r="O3407" t="s">
        <v>70</v>
      </c>
      <c r="P3407" t="s">
        <v>49</v>
      </c>
      <c r="Q3407" t="s">
        <v>167</v>
      </c>
      <c r="R3407">
        <v>362</v>
      </c>
      <c r="S3407">
        <v>197</v>
      </c>
      <c r="T3407">
        <v>123</v>
      </c>
      <c r="U3407">
        <v>29</v>
      </c>
      <c r="V3407" t="s">
        <v>1182</v>
      </c>
      <c r="W3407">
        <v>19689</v>
      </c>
      <c r="X3407" t="s">
        <v>7002</v>
      </c>
      <c r="Y3407">
        <v>17536</v>
      </c>
      <c r="Z3407">
        <v>570981</v>
      </c>
      <c r="AA3407">
        <v>62437</v>
      </c>
      <c r="AB3407" t="str">
        <f>(VLOOKUP(SalesData[[#This Row],[Month Number]],Reference!C$5:E$16,2,FALSE))</f>
        <v>Feb</v>
      </c>
      <c r="AC3407">
        <f>MONTH(SalesData[[#This Row],[Date]])</f>
        <v>2</v>
      </c>
      <c r="AD3407">
        <f>Reference!F$4</f>
        <v>2026</v>
      </c>
      <c r="AE3407" t="str">
        <f>IF(OR(SalesData[[#This Row],[Day]]="Saturday",SalesData[[#This Row],[Day]]="Sunday"),"Weekend","Weekday")</f>
        <v>Weekday</v>
      </c>
      <c r="AF3407" s="5">
        <f>IF(SalesData[[#This Row],[Contracts Offered]]=0,0,SalesData[[#This Row],[Contracts Signed]]/SalesData[[#This Row],[Contracts Offered]])</f>
        <v>0.23577235772357724</v>
      </c>
      <c r="AG3407" s="5">
        <f>IF(SalesData[[#This Row],[Customers Visited]]=0,0,SalesData[[#This Row],[Test Drives]]/SalesData[[#This Row],[Customers Visited]])</f>
        <v>0.54419889502762431</v>
      </c>
      <c r="AH3407" s="5">
        <f>IF(SalesData[[#This Row],[Customers Visited]]=0,0,SalesData[[#This Row],[Contracts Signed]]/SalesData[[#This Row],[Customers Visited]])</f>
        <v>8.0110497237569064E-2</v>
      </c>
      <c r="AI3407" s="6">
        <f>IF(SalesData[[#This Row],[Contracts Signed]]=0,0,SalesData[[#This Row],[Profit(€)]]/SalesData[[#This Row],[Contracts Signed]])</f>
        <v>2153</v>
      </c>
      <c r="AJ3407" s="5" t="str">
        <f>TRIM(CLEAN(SalesData[[#This Row],[Retailer]]))</f>
        <v>Leipzig Mobility</v>
      </c>
    </row>
    <row r="3408" spans="1:36" ht="14.25" hidden="1" x14ac:dyDescent="0.2">
      <c r="A3408" t="s">
        <v>4600</v>
      </c>
      <c r="B3408" s="1">
        <v>46071</v>
      </c>
      <c r="C3408" t="s">
        <v>62</v>
      </c>
      <c r="D3408" t="s">
        <v>82</v>
      </c>
      <c r="E3408" t="s">
        <v>26</v>
      </c>
      <c r="F3408" t="s">
        <v>27</v>
      </c>
      <c r="G3408" t="s">
        <v>28</v>
      </c>
      <c r="H3408" t="s">
        <v>29</v>
      </c>
      <c r="I3408" t="s">
        <v>116</v>
      </c>
      <c r="J3408" t="s">
        <v>7026</v>
      </c>
      <c r="K3408" t="s">
        <v>91</v>
      </c>
      <c r="L3408" t="s">
        <v>46</v>
      </c>
      <c r="M3408" t="s">
        <v>87</v>
      </c>
      <c r="N3408" t="s">
        <v>48</v>
      </c>
      <c r="O3408" t="s">
        <v>70</v>
      </c>
      <c r="P3408" t="s">
        <v>58</v>
      </c>
      <c r="Q3408" t="s">
        <v>158</v>
      </c>
      <c r="R3408">
        <v>331</v>
      </c>
      <c r="S3408">
        <v>170</v>
      </c>
      <c r="T3408">
        <v>97</v>
      </c>
      <c r="U3408">
        <v>28</v>
      </c>
      <c r="V3408" t="s">
        <v>4238</v>
      </c>
      <c r="W3408">
        <v>20735</v>
      </c>
      <c r="X3408" t="s">
        <v>7322</v>
      </c>
      <c r="Y3408">
        <v>18850</v>
      </c>
      <c r="Z3408">
        <v>580580</v>
      </c>
      <c r="AA3408">
        <v>52780</v>
      </c>
      <c r="AB3408" t="str">
        <f>(VLOOKUP(SalesData[[#This Row],[Month Number]],Reference!C$5:E$16,2,FALSE))</f>
        <v>Feb</v>
      </c>
      <c r="AC3408">
        <f>MONTH(SalesData[[#This Row],[Date]])</f>
        <v>2</v>
      </c>
      <c r="AD3408">
        <f>Reference!F$4</f>
        <v>2026</v>
      </c>
      <c r="AE3408" t="str">
        <f>IF(OR(SalesData[[#This Row],[Day]]="Saturday",SalesData[[#This Row],[Day]]="Sunday"),"Weekend","Weekday")</f>
        <v>Weekday</v>
      </c>
      <c r="AF3408" s="5">
        <f>IF(SalesData[[#This Row],[Contracts Offered]]=0,0,SalesData[[#This Row],[Contracts Signed]]/SalesData[[#This Row],[Contracts Offered]])</f>
        <v>0.28865979381443296</v>
      </c>
      <c r="AG3408" s="5">
        <f>IF(SalesData[[#This Row],[Customers Visited]]=0,0,SalesData[[#This Row],[Test Drives]]/SalesData[[#This Row],[Customers Visited]])</f>
        <v>0.51359516616314205</v>
      </c>
      <c r="AH3408" s="5">
        <f>IF(SalesData[[#This Row],[Customers Visited]]=0,0,SalesData[[#This Row],[Contracts Signed]]/SalesData[[#This Row],[Customers Visited]])</f>
        <v>8.4592145015105744E-2</v>
      </c>
      <c r="AI3408" s="6">
        <f>IF(SalesData[[#This Row],[Contracts Signed]]=0,0,SalesData[[#This Row],[Profit(€)]]/SalesData[[#This Row],[Contracts Signed]])</f>
        <v>1885</v>
      </c>
      <c r="AJ3408" s="5" t="str">
        <f>TRIM(CLEAN(SalesData[[#This Row],[Retailer]]))</f>
        <v>Main Auto Hub</v>
      </c>
    </row>
    <row r="3409" spans="1:36" ht="14.25" hidden="1" x14ac:dyDescent="0.2">
      <c r="A3409" t="s">
        <v>4601</v>
      </c>
      <c r="B3409" s="1">
        <v>46061</v>
      </c>
      <c r="C3409" t="s">
        <v>121</v>
      </c>
      <c r="D3409" t="s">
        <v>41</v>
      </c>
      <c r="E3409" t="s">
        <v>42</v>
      </c>
      <c r="F3409" t="s">
        <v>43</v>
      </c>
      <c r="G3409" t="s">
        <v>44</v>
      </c>
      <c r="H3409" t="s">
        <v>45</v>
      </c>
      <c r="I3409" t="s">
        <v>116</v>
      </c>
      <c r="J3409" t="s">
        <v>7026</v>
      </c>
      <c r="K3409" t="s">
        <v>91</v>
      </c>
      <c r="L3409" t="s">
        <v>46</v>
      </c>
      <c r="M3409" t="s">
        <v>87</v>
      </c>
      <c r="N3409" t="s">
        <v>35</v>
      </c>
      <c r="O3409" t="s">
        <v>36</v>
      </c>
      <c r="P3409" t="s">
        <v>49</v>
      </c>
      <c r="Q3409" t="s">
        <v>169</v>
      </c>
      <c r="R3409">
        <v>292</v>
      </c>
      <c r="S3409">
        <v>115</v>
      </c>
      <c r="T3409">
        <v>71</v>
      </c>
      <c r="U3409">
        <v>16</v>
      </c>
      <c r="V3409" t="s">
        <v>161</v>
      </c>
      <c r="W3409">
        <v>24562</v>
      </c>
      <c r="X3409" t="s">
        <v>3698</v>
      </c>
      <c r="Y3409">
        <v>22808</v>
      </c>
      <c r="Z3409">
        <v>392992</v>
      </c>
      <c r="AA3409">
        <v>28064</v>
      </c>
      <c r="AB3409" t="str">
        <f>(VLOOKUP(SalesData[[#This Row],[Month Number]],Reference!C$5:E$16,2,FALSE))</f>
        <v>Feb</v>
      </c>
      <c r="AC3409">
        <f>MONTH(SalesData[[#This Row],[Date]])</f>
        <v>2</v>
      </c>
      <c r="AD3409">
        <f>Reference!F$4</f>
        <v>2026</v>
      </c>
      <c r="AE3409" t="str">
        <f>IF(OR(SalesData[[#This Row],[Day]]="Saturday",SalesData[[#This Row],[Day]]="Sunday"),"Weekend","Weekday")</f>
        <v>Weekend</v>
      </c>
      <c r="AF3409" s="5">
        <f>IF(SalesData[[#This Row],[Contracts Offered]]=0,0,SalesData[[#This Row],[Contracts Signed]]/SalesData[[#This Row],[Contracts Offered]])</f>
        <v>0.22535211267605634</v>
      </c>
      <c r="AG3409" s="5">
        <f>IF(SalesData[[#This Row],[Customers Visited]]=0,0,SalesData[[#This Row],[Test Drives]]/SalesData[[#This Row],[Customers Visited]])</f>
        <v>0.39383561643835618</v>
      </c>
      <c r="AH3409" s="5">
        <f>IF(SalesData[[#This Row],[Customers Visited]]=0,0,SalesData[[#This Row],[Contracts Signed]]/SalesData[[#This Row],[Customers Visited]])</f>
        <v>5.4794520547945202E-2</v>
      </c>
      <c r="AI3409" s="6">
        <f>IF(SalesData[[#This Row],[Contracts Signed]]=0,0,SalesData[[#This Row],[Profit(€)]]/SalesData[[#This Row],[Contracts Signed]])</f>
        <v>1754</v>
      </c>
      <c r="AJ3409" s="5" t="str">
        <f>TRIM(CLEAN(SalesData[[#This Row],[Retailer]]))</f>
        <v>Saxon Wheels</v>
      </c>
    </row>
    <row r="3410" spans="1:36" ht="14.25" hidden="1" x14ac:dyDescent="0.2">
      <c r="A3410" t="s">
        <v>4602</v>
      </c>
      <c r="B3410" s="1">
        <v>46054</v>
      </c>
      <c r="C3410" t="s">
        <v>24</v>
      </c>
      <c r="D3410" t="s">
        <v>41</v>
      </c>
      <c r="E3410" t="s">
        <v>42</v>
      </c>
      <c r="F3410" t="s">
        <v>114</v>
      </c>
      <c r="G3410" t="s">
        <v>115</v>
      </c>
      <c r="H3410" t="s">
        <v>115</v>
      </c>
      <c r="I3410" t="s">
        <v>64</v>
      </c>
      <c r="J3410" t="s">
        <v>111</v>
      </c>
      <c r="K3410" t="s">
        <v>66</v>
      </c>
      <c r="L3410" t="s">
        <v>46</v>
      </c>
      <c r="M3410" t="s">
        <v>47</v>
      </c>
      <c r="N3410" t="s">
        <v>69</v>
      </c>
      <c r="O3410" t="s">
        <v>70</v>
      </c>
      <c r="P3410" t="s">
        <v>49</v>
      </c>
      <c r="Q3410" t="s">
        <v>59</v>
      </c>
      <c r="R3410">
        <v>264</v>
      </c>
      <c r="S3410">
        <v>153</v>
      </c>
      <c r="T3410">
        <v>118</v>
      </c>
      <c r="U3410">
        <v>36</v>
      </c>
      <c r="V3410" t="s">
        <v>6439</v>
      </c>
      <c r="W3410">
        <v>58772</v>
      </c>
      <c r="X3410" t="s">
        <v>7296</v>
      </c>
      <c r="Y3410">
        <v>44037</v>
      </c>
      <c r="Z3410">
        <v>2115792</v>
      </c>
      <c r="AA3410">
        <v>530460</v>
      </c>
      <c r="AB3410" t="str">
        <f>(VLOOKUP(SalesData[[#This Row],[Month Number]],Reference!C$5:E$16,2,FALSE))</f>
        <v>Feb</v>
      </c>
      <c r="AC3410">
        <f>MONTH(SalesData[[#This Row],[Date]])</f>
        <v>2</v>
      </c>
      <c r="AD3410">
        <f>Reference!F$4</f>
        <v>2026</v>
      </c>
      <c r="AE3410" t="str">
        <f>IF(OR(SalesData[[#This Row],[Day]]="Saturday",SalesData[[#This Row],[Day]]="Sunday"),"Weekend","Weekday")</f>
        <v>Weekend</v>
      </c>
      <c r="AF3410" s="5">
        <f>IF(SalesData[[#This Row],[Contracts Offered]]=0,0,SalesData[[#This Row],[Contracts Signed]]/SalesData[[#This Row],[Contracts Offered]])</f>
        <v>0.30508474576271188</v>
      </c>
      <c r="AG3410" s="5">
        <f>IF(SalesData[[#This Row],[Customers Visited]]=0,0,SalesData[[#This Row],[Test Drives]]/SalesData[[#This Row],[Customers Visited]])</f>
        <v>0.57954545454545459</v>
      </c>
      <c r="AH3410" s="5">
        <f>IF(SalesData[[#This Row],[Customers Visited]]=0,0,SalesData[[#This Row],[Contracts Signed]]/SalesData[[#This Row],[Customers Visited]])</f>
        <v>0.13636363636363635</v>
      </c>
      <c r="AI3410" s="6">
        <f>IF(SalesData[[#This Row],[Contracts Signed]]=0,0,SalesData[[#This Row],[Profit(€)]]/SalesData[[#This Row],[Contracts Signed]])</f>
        <v>14735</v>
      </c>
      <c r="AJ3410" s="5" t="str">
        <f>TRIM(CLEAN(SalesData[[#This Row],[Retailer]]))</f>
        <v>Elbe Drive</v>
      </c>
    </row>
    <row r="3411" spans="1:36" ht="14.25" hidden="1" x14ac:dyDescent="0.2">
      <c r="A3411" t="s">
        <v>4604</v>
      </c>
      <c r="B3411" s="1">
        <v>46054</v>
      </c>
      <c r="C3411" t="s">
        <v>24</v>
      </c>
      <c r="D3411" t="s">
        <v>41</v>
      </c>
      <c r="E3411" t="s">
        <v>42</v>
      </c>
      <c r="F3411" t="s">
        <v>74</v>
      </c>
      <c r="G3411" t="s">
        <v>75</v>
      </c>
      <c r="H3411" t="s">
        <v>76</v>
      </c>
      <c r="I3411" t="s">
        <v>104</v>
      </c>
      <c r="J3411" t="s">
        <v>7031</v>
      </c>
      <c r="K3411" t="s">
        <v>78</v>
      </c>
      <c r="L3411" t="s">
        <v>46</v>
      </c>
      <c r="M3411" t="s">
        <v>34</v>
      </c>
      <c r="N3411" t="s">
        <v>35</v>
      </c>
      <c r="O3411" t="s">
        <v>36</v>
      </c>
      <c r="P3411" t="s">
        <v>71</v>
      </c>
      <c r="Q3411" t="s">
        <v>122</v>
      </c>
      <c r="R3411">
        <v>341</v>
      </c>
      <c r="S3411">
        <v>185</v>
      </c>
      <c r="T3411">
        <v>130</v>
      </c>
      <c r="U3411">
        <v>34</v>
      </c>
      <c r="V3411" t="s">
        <v>2168</v>
      </c>
      <c r="W3411">
        <v>28717</v>
      </c>
      <c r="X3411" t="s">
        <v>1537</v>
      </c>
      <c r="Y3411">
        <v>24997</v>
      </c>
      <c r="Z3411">
        <v>976378</v>
      </c>
      <c r="AA3411">
        <v>126480</v>
      </c>
      <c r="AB3411" t="str">
        <f>(VLOOKUP(SalesData[[#This Row],[Month Number]],Reference!C$5:E$16,2,FALSE))</f>
        <v>Feb</v>
      </c>
      <c r="AC3411">
        <f>MONTH(SalesData[[#This Row],[Date]])</f>
        <v>2</v>
      </c>
      <c r="AD3411">
        <f>Reference!F$4</f>
        <v>2026</v>
      </c>
      <c r="AE3411" t="str">
        <f>IF(OR(SalesData[[#This Row],[Day]]="Saturday",SalesData[[#This Row],[Day]]="Sunday"),"Weekend","Weekday")</f>
        <v>Weekend</v>
      </c>
      <c r="AF3411" s="5">
        <f>IF(SalesData[[#This Row],[Contracts Offered]]=0,0,SalesData[[#This Row],[Contracts Signed]]/SalesData[[#This Row],[Contracts Offered]])</f>
        <v>0.26153846153846155</v>
      </c>
      <c r="AG3411" s="5">
        <f>IF(SalesData[[#This Row],[Customers Visited]]=0,0,SalesData[[#This Row],[Test Drives]]/SalesData[[#This Row],[Customers Visited]])</f>
        <v>0.54252199413489732</v>
      </c>
      <c r="AH3411" s="5">
        <f>IF(SalesData[[#This Row],[Customers Visited]]=0,0,SalesData[[#This Row],[Contracts Signed]]/SalesData[[#This Row],[Customers Visited]])</f>
        <v>9.9706744868035185E-2</v>
      </c>
      <c r="AI3411" s="6">
        <f>IF(SalesData[[#This Row],[Contracts Signed]]=0,0,SalesData[[#This Row],[Profit(€)]]/SalesData[[#This Row],[Contracts Signed]])</f>
        <v>3720</v>
      </c>
      <c r="AJ3411" s="5" t="str">
        <f>TRIM(CLEAN(SalesData[[#This Row],[Retailer]]))</f>
        <v>Stuttgart Auto Center</v>
      </c>
    </row>
    <row r="3412" spans="1:36" ht="14.25" hidden="1" x14ac:dyDescent="0.2">
      <c r="A3412" t="s">
        <v>4605</v>
      </c>
      <c r="B3412" s="1">
        <v>46080</v>
      </c>
      <c r="C3412" t="s">
        <v>53</v>
      </c>
      <c r="D3412" t="s">
        <v>54</v>
      </c>
      <c r="E3412" t="s">
        <v>26</v>
      </c>
      <c r="F3412" t="s">
        <v>114</v>
      </c>
      <c r="G3412" t="s">
        <v>115</v>
      </c>
      <c r="H3412" t="s">
        <v>115</v>
      </c>
      <c r="I3412" t="s">
        <v>116</v>
      </c>
      <c r="J3412" t="s">
        <v>132</v>
      </c>
      <c r="K3412" t="s">
        <v>66</v>
      </c>
      <c r="L3412" t="s">
        <v>46</v>
      </c>
      <c r="M3412" t="s">
        <v>34</v>
      </c>
      <c r="N3412" t="s">
        <v>35</v>
      </c>
      <c r="O3412" t="s">
        <v>70</v>
      </c>
      <c r="P3412" t="s">
        <v>71</v>
      </c>
      <c r="Q3412" t="s">
        <v>38</v>
      </c>
      <c r="R3412">
        <v>317</v>
      </c>
      <c r="S3412">
        <v>171</v>
      </c>
      <c r="T3412">
        <v>111</v>
      </c>
      <c r="U3412">
        <v>27</v>
      </c>
      <c r="V3412" t="s">
        <v>456</v>
      </c>
      <c r="W3412">
        <v>26129</v>
      </c>
      <c r="X3412" t="s">
        <v>1409</v>
      </c>
      <c r="Y3412">
        <v>24114</v>
      </c>
      <c r="Z3412">
        <v>705483</v>
      </c>
      <c r="AA3412">
        <v>54405</v>
      </c>
      <c r="AB3412" t="str">
        <f>(VLOOKUP(SalesData[[#This Row],[Month Number]],Reference!C$5:E$16,2,FALSE))</f>
        <v>Feb</v>
      </c>
      <c r="AC3412">
        <f>MONTH(SalesData[[#This Row],[Date]])</f>
        <v>2</v>
      </c>
      <c r="AD3412">
        <f>Reference!F$4</f>
        <v>2026</v>
      </c>
      <c r="AE3412" t="str">
        <f>IF(OR(SalesData[[#This Row],[Day]]="Saturday",SalesData[[#This Row],[Day]]="Sunday"),"Weekend","Weekday")</f>
        <v>Weekday</v>
      </c>
      <c r="AF3412" s="5">
        <f>IF(SalesData[[#This Row],[Contracts Offered]]=0,0,SalesData[[#This Row],[Contracts Signed]]/SalesData[[#This Row],[Contracts Offered]])</f>
        <v>0.24324324324324326</v>
      </c>
      <c r="AG3412" s="5">
        <f>IF(SalesData[[#This Row],[Customers Visited]]=0,0,SalesData[[#This Row],[Test Drives]]/SalesData[[#This Row],[Customers Visited]])</f>
        <v>0.5394321766561514</v>
      </c>
      <c r="AH3412" s="5">
        <f>IF(SalesData[[#This Row],[Customers Visited]]=0,0,SalesData[[#This Row],[Contracts Signed]]/SalesData[[#This Row],[Customers Visited]])</f>
        <v>8.5173501577287064E-2</v>
      </c>
      <c r="AI3412" s="6">
        <f>IF(SalesData[[#This Row],[Contracts Signed]]=0,0,SalesData[[#This Row],[Profit(€)]]/SalesData[[#This Row],[Contracts Signed]])</f>
        <v>2015</v>
      </c>
      <c r="AJ3412" s="5" t="str">
        <f>TRIM(CLEAN(SalesData[[#This Row],[Retailer]]))</f>
        <v>Elbe Drive</v>
      </c>
    </row>
    <row r="3413" spans="1:36" ht="14.25" hidden="1" x14ac:dyDescent="0.2">
      <c r="A3413" t="s">
        <v>4606</v>
      </c>
      <c r="B3413" s="1">
        <v>46066</v>
      </c>
      <c r="C3413" t="s">
        <v>121</v>
      </c>
      <c r="D3413" t="s">
        <v>54</v>
      </c>
      <c r="E3413" t="s">
        <v>26</v>
      </c>
      <c r="F3413" t="s">
        <v>83</v>
      </c>
      <c r="G3413" t="s">
        <v>84</v>
      </c>
      <c r="H3413" t="s">
        <v>85</v>
      </c>
      <c r="I3413" t="s">
        <v>116</v>
      </c>
      <c r="J3413" t="s">
        <v>7026</v>
      </c>
      <c r="K3413" t="s">
        <v>78</v>
      </c>
      <c r="L3413" t="s">
        <v>46</v>
      </c>
      <c r="M3413" t="s">
        <v>47</v>
      </c>
      <c r="N3413" t="s">
        <v>35</v>
      </c>
      <c r="O3413" t="s">
        <v>36</v>
      </c>
      <c r="P3413" t="s">
        <v>37</v>
      </c>
      <c r="Q3413" t="s">
        <v>189</v>
      </c>
      <c r="R3413">
        <v>242</v>
      </c>
      <c r="S3413">
        <v>104</v>
      </c>
      <c r="T3413">
        <v>65</v>
      </c>
      <c r="U3413">
        <v>17</v>
      </c>
      <c r="V3413" t="s">
        <v>2087</v>
      </c>
      <c r="W3413">
        <v>22605</v>
      </c>
      <c r="X3413" t="s">
        <v>7370</v>
      </c>
      <c r="Y3413">
        <v>20622</v>
      </c>
      <c r="Z3413">
        <v>384285</v>
      </c>
      <c r="AA3413">
        <v>33711</v>
      </c>
      <c r="AB3413" t="str">
        <f>(VLOOKUP(SalesData[[#This Row],[Month Number]],Reference!C$5:E$16,2,FALSE))</f>
        <v>Feb</v>
      </c>
      <c r="AC3413">
        <f>MONTH(SalesData[[#This Row],[Date]])</f>
        <v>2</v>
      </c>
      <c r="AD3413">
        <f>Reference!F$4</f>
        <v>2026</v>
      </c>
      <c r="AE3413" t="str">
        <f>IF(OR(SalesData[[#This Row],[Day]]="Saturday",SalesData[[#This Row],[Day]]="Sunday"),"Weekend","Weekday")</f>
        <v>Weekday</v>
      </c>
      <c r="AF3413" s="5">
        <f>IF(SalesData[[#This Row],[Contracts Offered]]=0,0,SalesData[[#This Row],[Contracts Signed]]/SalesData[[#This Row],[Contracts Offered]])</f>
        <v>0.26153846153846155</v>
      </c>
      <c r="AG3413" s="5">
        <f>IF(SalesData[[#This Row],[Customers Visited]]=0,0,SalesData[[#This Row],[Test Drives]]/SalesData[[#This Row],[Customers Visited]])</f>
        <v>0.42975206611570249</v>
      </c>
      <c r="AH3413" s="5">
        <f>IF(SalesData[[#This Row],[Customers Visited]]=0,0,SalesData[[#This Row],[Contracts Signed]]/SalesData[[#This Row],[Customers Visited]])</f>
        <v>7.0247933884297523E-2</v>
      </c>
      <c r="AI3413" s="6">
        <f>IF(SalesData[[#This Row],[Contracts Signed]]=0,0,SalesData[[#This Row],[Profit(€)]]/SalesData[[#This Row],[Contracts Signed]])</f>
        <v>1983</v>
      </c>
      <c r="AJ3413" s="5" t="str">
        <f>TRIM(CLEAN(SalesData[[#This Row],[Retailer]]))</f>
        <v>Hannover Cars</v>
      </c>
    </row>
    <row r="3414" spans="1:36" ht="14.25" x14ac:dyDescent="0.2">
      <c r="A3414" t="s">
        <v>4607</v>
      </c>
      <c r="B3414" s="1">
        <v>46063</v>
      </c>
      <c r="C3414" t="s">
        <v>121</v>
      </c>
      <c r="D3414" t="s">
        <v>63</v>
      </c>
      <c r="E3414" t="s">
        <v>26</v>
      </c>
      <c r="F3414" t="s">
        <v>94</v>
      </c>
      <c r="G3414" t="s">
        <v>95</v>
      </c>
      <c r="H3414" t="s">
        <v>96</v>
      </c>
      <c r="I3414" t="s">
        <v>30</v>
      </c>
      <c r="J3414" t="s">
        <v>31</v>
      </c>
      <c r="K3414" t="s">
        <v>66</v>
      </c>
      <c r="L3414" t="s">
        <v>46</v>
      </c>
      <c r="M3414" t="s">
        <v>47</v>
      </c>
      <c r="N3414" t="s">
        <v>35</v>
      </c>
      <c r="O3414" t="s">
        <v>70</v>
      </c>
      <c r="P3414" t="s">
        <v>58</v>
      </c>
      <c r="Q3414" t="s">
        <v>50</v>
      </c>
      <c r="R3414">
        <v>208</v>
      </c>
      <c r="S3414">
        <v>110</v>
      </c>
      <c r="T3414">
        <v>82</v>
      </c>
      <c r="U3414">
        <v>33</v>
      </c>
      <c r="V3414" t="s">
        <v>7100</v>
      </c>
      <c r="W3414">
        <v>51379</v>
      </c>
      <c r="X3414" t="s">
        <v>7393</v>
      </c>
      <c r="Y3414">
        <v>38141</v>
      </c>
      <c r="Z3414">
        <v>1695507</v>
      </c>
      <c r="AA3414">
        <v>436854</v>
      </c>
      <c r="AB3414" t="str">
        <f>(VLOOKUP(SalesData[[#This Row],[Month Number]],Reference!C$5:E$16,2,FALSE))</f>
        <v>Feb</v>
      </c>
      <c r="AC3414">
        <f>MONTH(SalesData[[#This Row],[Date]])</f>
        <v>2</v>
      </c>
      <c r="AD3414">
        <f>Reference!F$4</f>
        <v>2026</v>
      </c>
      <c r="AE3414" t="str">
        <f>IF(OR(SalesData[[#This Row],[Day]]="Saturday",SalesData[[#This Row],[Day]]="Sunday"),"Weekend","Weekday")</f>
        <v>Weekday</v>
      </c>
      <c r="AF3414" s="5">
        <f>IF(SalesData[[#This Row],[Contracts Offered]]=0,0,SalesData[[#This Row],[Contracts Signed]]/SalesData[[#This Row],[Contracts Offered]])</f>
        <v>0.40243902439024393</v>
      </c>
      <c r="AG3414" s="5">
        <f>IF(SalesData[[#This Row],[Customers Visited]]=0,0,SalesData[[#This Row],[Test Drives]]/SalesData[[#This Row],[Customers Visited]])</f>
        <v>0.52884615384615385</v>
      </c>
      <c r="AH3414" s="5">
        <f>IF(SalesData[[#This Row],[Customers Visited]]=0,0,SalesData[[#This Row],[Contracts Signed]]/SalesData[[#This Row],[Customers Visited]])</f>
        <v>0.15865384615384615</v>
      </c>
      <c r="AI3414" s="6">
        <f>IF(SalesData[[#This Row],[Contracts Signed]]=0,0,SalesData[[#This Row],[Profit(€)]]/SalesData[[#This Row],[Contracts Signed]])</f>
        <v>13238</v>
      </c>
      <c r="AJ3414" s="5" t="str">
        <f>TRIM(CLEAN(SalesData[[#This Row],[Retailer]]))</f>
        <v>Bavaria Motors</v>
      </c>
    </row>
    <row r="3415" spans="1:36" ht="14.25" hidden="1" x14ac:dyDescent="0.2">
      <c r="A3415" t="s">
        <v>4609</v>
      </c>
      <c r="B3415" s="1">
        <v>46079</v>
      </c>
      <c r="C3415" t="s">
        <v>53</v>
      </c>
      <c r="D3415" t="s">
        <v>100</v>
      </c>
      <c r="E3415" t="s">
        <v>26</v>
      </c>
      <c r="F3415" t="s">
        <v>27</v>
      </c>
      <c r="G3415" t="s">
        <v>28</v>
      </c>
      <c r="H3415" t="s">
        <v>29</v>
      </c>
      <c r="I3415" t="s">
        <v>116</v>
      </c>
      <c r="J3415" t="s">
        <v>203</v>
      </c>
      <c r="K3415" t="s">
        <v>91</v>
      </c>
      <c r="L3415" t="s">
        <v>67</v>
      </c>
      <c r="M3415" t="s">
        <v>47</v>
      </c>
      <c r="N3415" t="s">
        <v>48</v>
      </c>
      <c r="O3415" t="s">
        <v>70</v>
      </c>
      <c r="P3415" t="s">
        <v>71</v>
      </c>
      <c r="Q3415" t="s">
        <v>88</v>
      </c>
      <c r="R3415">
        <v>324</v>
      </c>
      <c r="S3415">
        <v>180</v>
      </c>
      <c r="T3415">
        <v>119</v>
      </c>
      <c r="U3415">
        <v>29</v>
      </c>
      <c r="V3415" t="s">
        <v>4155</v>
      </c>
      <c r="W3415">
        <v>22422</v>
      </c>
      <c r="X3415" t="s">
        <v>1248</v>
      </c>
      <c r="Y3415">
        <v>20227</v>
      </c>
      <c r="Z3415">
        <v>650238</v>
      </c>
      <c r="AA3415">
        <v>63655</v>
      </c>
      <c r="AB3415" t="str">
        <f>(VLOOKUP(SalesData[[#This Row],[Month Number]],Reference!C$5:E$16,2,FALSE))</f>
        <v>Feb</v>
      </c>
      <c r="AC3415">
        <f>MONTH(SalesData[[#This Row],[Date]])</f>
        <v>2</v>
      </c>
      <c r="AD3415">
        <f>Reference!F$4</f>
        <v>2026</v>
      </c>
      <c r="AE3415" t="str">
        <f>IF(OR(SalesData[[#This Row],[Day]]="Saturday",SalesData[[#This Row],[Day]]="Sunday"),"Weekend","Weekday")</f>
        <v>Weekday</v>
      </c>
      <c r="AF3415" s="5">
        <f>IF(SalesData[[#This Row],[Contracts Offered]]=0,0,SalesData[[#This Row],[Contracts Signed]]/SalesData[[#This Row],[Contracts Offered]])</f>
        <v>0.24369747899159663</v>
      </c>
      <c r="AG3415" s="5">
        <f>IF(SalesData[[#This Row],[Customers Visited]]=0,0,SalesData[[#This Row],[Test Drives]]/SalesData[[#This Row],[Customers Visited]])</f>
        <v>0.55555555555555558</v>
      </c>
      <c r="AH3415" s="5">
        <f>IF(SalesData[[#This Row],[Customers Visited]]=0,0,SalesData[[#This Row],[Contracts Signed]]/SalesData[[#This Row],[Customers Visited]])</f>
        <v>8.9506172839506168E-2</v>
      </c>
      <c r="AI3415" s="6">
        <f>IF(SalesData[[#This Row],[Contracts Signed]]=0,0,SalesData[[#This Row],[Profit(€)]]/SalesData[[#This Row],[Contracts Signed]])</f>
        <v>2195</v>
      </c>
      <c r="AJ3415" s="5" t="str">
        <f>TRIM(CLEAN(SalesData[[#This Row],[Retailer]]))</f>
        <v>Main Auto Hub</v>
      </c>
    </row>
    <row r="3416" spans="1:36" ht="14.25" hidden="1" x14ac:dyDescent="0.2">
      <c r="A3416" t="s">
        <v>4610</v>
      </c>
      <c r="B3416" s="1">
        <v>46058</v>
      </c>
      <c r="C3416" t="s">
        <v>24</v>
      </c>
      <c r="D3416" t="s">
        <v>100</v>
      </c>
      <c r="E3416" t="s">
        <v>26</v>
      </c>
      <c r="F3416" t="s">
        <v>83</v>
      </c>
      <c r="G3416" t="s">
        <v>84</v>
      </c>
      <c r="H3416" t="s">
        <v>85</v>
      </c>
      <c r="I3416" t="s">
        <v>116</v>
      </c>
      <c r="J3416" t="s">
        <v>132</v>
      </c>
      <c r="K3416" t="s">
        <v>66</v>
      </c>
      <c r="L3416" t="s">
        <v>46</v>
      </c>
      <c r="M3416" t="s">
        <v>34</v>
      </c>
      <c r="N3416" t="s">
        <v>69</v>
      </c>
      <c r="O3416" t="s">
        <v>36</v>
      </c>
      <c r="P3416" t="s">
        <v>71</v>
      </c>
      <c r="Q3416" t="s">
        <v>79</v>
      </c>
      <c r="R3416">
        <v>326</v>
      </c>
      <c r="S3416">
        <v>143</v>
      </c>
      <c r="T3416">
        <v>89</v>
      </c>
      <c r="U3416">
        <v>25</v>
      </c>
      <c r="V3416" t="s">
        <v>599</v>
      </c>
      <c r="W3416">
        <v>25393</v>
      </c>
      <c r="X3416" t="s">
        <v>3455</v>
      </c>
      <c r="Y3416">
        <v>22856</v>
      </c>
      <c r="Z3416">
        <v>634825</v>
      </c>
      <c r="AA3416">
        <v>63425</v>
      </c>
      <c r="AB3416" t="str">
        <f>(VLOOKUP(SalesData[[#This Row],[Month Number]],Reference!C$5:E$16,2,FALSE))</f>
        <v>Feb</v>
      </c>
      <c r="AC3416">
        <f>MONTH(SalesData[[#This Row],[Date]])</f>
        <v>2</v>
      </c>
      <c r="AD3416">
        <f>Reference!F$4</f>
        <v>2026</v>
      </c>
      <c r="AE3416" t="str">
        <f>IF(OR(SalesData[[#This Row],[Day]]="Saturday",SalesData[[#This Row],[Day]]="Sunday"),"Weekend","Weekday")</f>
        <v>Weekday</v>
      </c>
      <c r="AF3416" s="5">
        <f>IF(SalesData[[#This Row],[Contracts Offered]]=0,0,SalesData[[#This Row],[Contracts Signed]]/SalesData[[#This Row],[Contracts Offered]])</f>
        <v>0.2808988764044944</v>
      </c>
      <c r="AG3416" s="5">
        <f>IF(SalesData[[#This Row],[Customers Visited]]=0,0,SalesData[[#This Row],[Test Drives]]/SalesData[[#This Row],[Customers Visited]])</f>
        <v>0.43865030674846628</v>
      </c>
      <c r="AH3416" s="5">
        <f>IF(SalesData[[#This Row],[Customers Visited]]=0,0,SalesData[[#This Row],[Contracts Signed]]/SalesData[[#This Row],[Customers Visited]])</f>
        <v>7.6687116564417179E-2</v>
      </c>
      <c r="AI3416" s="6">
        <f>IF(SalesData[[#This Row],[Contracts Signed]]=0,0,SalesData[[#This Row],[Profit(€)]]/SalesData[[#This Row],[Contracts Signed]])</f>
        <v>2537</v>
      </c>
      <c r="AJ3416" s="5" t="str">
        <f>TRIM(CLEAN(SalesData[[#This Row],[Retailer]]))</f>
        <v>Hannover Cars</v>
      </c>
    </row>
    <row r="3417" spans="1:36" ht="14.25" hidden="1" x14ac:dyDescent="0.2">
      <c r="A3417" t="s">
        <v>4611</v>
      </c>
      <c r="B3417" s="1">
        <v>46060</v>
      </c>
      <c r="C3417" t="s">
        <v>24</v>
      </c>
      <c r="D3417" t="s">
        <v>151</v>
      </c>
      <c r="E3417" t="s">
        <v>42</v>
      </c>
      <c r="F3417" t="s">
        <v>94</v>
      </c>
      <c r="G3417" t="s">
        <v>95</v>
      </c>
      <c r="H3417" t="s">
        <v>96</v>
      </c>
      <c r="I3417" t="s">
        <v>116</v>
      </c>
      <c r="J3417" t="s">
        <v>7090</v>
      </c>
      <c r="K3417" t="s">
        <v>66</v>
      </c>
      <c r="L3417" t="s">
        <v>46</v>
      </c>
      <c r="M3417" t="s">
        <v>87</v>
      </c>
      <c r="N3417" t="s">
        <v>35</v>
      </c>
      <c r="O3417" t="s">
        <v>70</v>
      </c>
      <c r="P3417" t="s">
        <v>71</v>
      </c>
      <c r="Q3417" t="s">
        <v>240</v>
      </c>
      <c r="R3417">
        <v>347</v>
      </c>
      <c r="S3417">
        <v>165</v>
      </c>
      <c r="T3417">
        <v>99</v>
      </c>
      <c r="U3417">
        <v>29</v>
      </c>
      <c r="V3417" t="s">
        <v>654</v>
      </c>
      <c r="W3417">
        <v>23157</v>
      </c>
      <c r="X3417" t="s">
        <v>4732</v>
      </c>
      <c r="Y3417">
        <v>21462</v>
      </c>
      <c r="Z3417">
        <v>671553</v>
      </c>
      <c r="AA3417">
        <v>49155</v>
      </c>
      <c r="AB3417" t="str">
        <f>(VLOOKUP(SalesData[[#This Row],[Month Number]],Reference!C$5:E$16,2,FALSE))</f>
        <v>Feb</v>
      </c>
      <c r="AC3417">
        <f>MONTH(SalesData[[#This Row],[Date]])</f>
        <v>2</v>
      </c>
      <c r="AD3417">
        <f>Reference!F$4</f>
        <v>2026</v>
      </c>
      <c r="AE3417" t="str">
        <f>IF(OR(SalesData[[#This Row],[Day]]="Saturday",SalesData[[#This Row],[Day]]="Sunday"),"Weekend","Weekday")</f>
        <v>Weekend</v>
      </c>
      <c r="AF3417" s="5">
        <f>IF(SalesData[[#This Row],[Contracts Offered]]=0,0,SalesData[[#This Row],[Contracts Signed]]/SalesData[[#This Row],[Contracts Offered]])</f>
        <v>0.29292929292929293</v>
      </c>
      <c r="AG3417" s="5">
        <f>IF(SalesData[[#This Row],[Customers Visited]]=0,0,SalesData[[#This Row],[Test Drives]]/SalesData[[#This Row],[Customers Visited]])</f>
        <v>0.47550432276657062</v>
      </c>
      <c r="AH3417" s="5">
        <f>IF(SalesData[[#This Row],[Customers Visited]]=0,0,SalesData[[#This Row],[Contracts Signed]]/SalesData[[#This Row],[Customers Visited]])</f>
        <v>8.3573487031700283E-2</v>
      </c>
      <c r="AI3417" s="6">
        <f>IF(SalesData[[#This Row],[Contracts Signed]]=0,0,SalesData[[#This Row],[Profit(€)]]/SalesData[[#This Row],[Contracts Signed]])</f>
        <v>1695</v>
      </c>
      <c r="AJ3417" s="5" t="str">
        <f>TRIM(CLEAN(SalesData[[#This Row],[Retailer]]))</f>
        <v>Bavaria Motors</v>
      </c>
    </row>
    <row r="3418" spans="1:36" ht="14.25" hidden="1" x14ac:dyDescent="0.2">
      <c r="A3418" t="s">
        <v>4612</v>
      </c>
      <c r="B3418" s="1">
        <v>46075</v>
      </c>
      <c r="C3418" t="s">
        <v>53</v>
      </c>
      <c r="D3418" t="s">
        <v>41</v>
      </c>
      <c r="E3418" t="s">
        <v>42</v>
      </c>
      <c r="F3418" t="s">
        <v>114</v>
      </c>
      <c r="G3418" t="s">
        <v>115</v>
      </c>
      <c r="H3418" t="s">
        <v>115</v>
      </c>
      <c r="I3418" t="s">
        <v>64</v>
      </c>
      <c r="J3418" t="s">
        <v>111</v>
      </c>
      <c r="K3418" t="s">
        <v>78</v>
      </c>
      <c r="L3418" t="s">
        <v>46</v>
      </c>
      <c r="M3418" t="s">
        <v>34</v>
      </c>
      <c r="N3418" t="s">
        <v>48</v>
      </c>
      <c r="O3418" t="s">
        <v>36</v>
      </c>
      <c r="P3418" t="s">
        <v>58</v>
      </c>
      <c r="Q3418" t="s">
        <v>167</v>
      </c>
      <c r="R3418">
        <v>275</v>
      </c>
      <c r="S3418">
        <v>125</v>
      </c>
      <c r="T3418">
        <v>98</v>
      </c>
      <c r="U3418">
        <v>38</v>
      </c>
      <c r="V3418" t="s">
        <v>7598</v>
      </c>
      <c r="W3418">
        <v>63887</v>
      </c>
      <c r="X3418" t="s">
        <v>7149</v>
      </c>
      <c r="Y3418">
        <v>49971</v>
      </c>
      <c r="Z3418">
        <v>2427706</v>
      </c>
      <c r="AA3418">
        <v>528808</v>
      </c>
      <c r="AB3418" t="str">
        <f>(VLOOKUP(SalesData[[#This Row],[Month Number]],Reference!C$5:E$16,2,FALSE))</f>
        <v>Feb</v>
      </c>
      <c r="AC3418">
        <f>MONTH(SalesData[[#This Row],[Date]])</f>
        <v>2</v>
      </c>
      <c r="AD3418">
        <f>Reference!F$4</f>
        <v>2026</v>
      </c>
      <c r="AE3418" t="str">
        <f>IF(OR(SalesData[[#This Row],[Day]]="Saturday",SalesData[[#This Row],[Day]]="Sunday"),"Weekend","Weekday")</f>
        <v>Weekend</v>
      </c>
      <c r="AF3418" s="5">
        <f>IF(SalesData[[#This Row],[Contracts Offered]]=0,0,SalesData[[#This Row],[Contracts Signed]]/SalesData[[#This Row],[Contracts Offered]])</f>
        <v>0.38775510204081631</v>
      </c>
      <c r="AG3418" s="5">
        <f>IF(SalesData[[#This Row],[Customers Visited]]=0,0,SalesData[[#This Row],[Test Drives]]/SalesData[[#This Row],[Customers Visited]])</f>
        <v>0.45454545454545453</v>
      </c>
      <c r="AH3418" s="5">
        <f>IF(SalesData[[#This Row],[Customers Visited]]=0,0,SalesData[[#This Row],[Contracts Signed]]/SalesData[[#This Row],[Customers Visited]])</f>
        <v>0.13818181818181818</v>
      </c>
      <c r="AI3418" s="6">
        <f>IF(SalesData[[#This Row],[Contracts Signed]]=0,0,SalesData[[#This Row],[Profit(€)]]/SalesData[[#This Row],[Contracts Signed]])</f>
        <v>13916</v>
      </c>
      <c r="AJ3418" s="5" t="str">
        <f>TRIM(CLEAN(SalesData[[#This Row],[Retailer]]))</f>
        <v>Elbe Drive</v>
      </c>
    </row>
    <row r="3419" spans="1:36" ht="14.25" x14ac:dyDescent="0.2">
      <c r="A3419" t="s">
        <v>4614</v>
      </c>
      <c r="B3419" s="1">
        <v>46081</v>
      </c>
      <c r="C3419" t="s">
        <v>53</v>
      </c>
      <c r="D3419" t="s">
        <v>151</v>
      </c>
      <c r="E3419" t="s">
        <v>42</v>
      </c>
      <c r="F3419" t="s">
        <v>109</v>
      </c>
      <c r="G3419" t="s">
        <v>110</v>
      </c>
      <c r="H3419" t="s">
        <v>45</v>
      </c>
      <c r="I3419" t="s">
        <v>30</v>
      </c>
      <c r="J3419" t="s">
        <v>7075</v>
      </c>
      <c r="K3419" t="s">
        <v>66</v>
      </c>
      <c r="L3419" t="s">
        <v>33</v>
      </c>
      <c r="M3419" t="s">
        <v>68</v>
      </c>
      <c r="N3419" t="s">
        <v>69</v>
      </c>
      <c r="O3419" t="s">
        <v>36</v>
      </c>
      <c r="P3419" t="s">
        <v>58</v>
      </c>
      <c r="Q3419" t="s">
        <v>106</v>
      </c>
      <c r="R3419">
        <v>202</v>
      </c>
      <c r="S3419">
        <v>110</v>
      </c>
      <c r="T3419">
        <v>88</v>
      </c>
      <c r="U3419">
        <v>32</v>
      </c>
      <c r="V3419" t="s">
        <v>6960</v>
      </c>
      <c r="W3419">
        <v>57401</v>
      </c>
      <c r="X3419" t="s">
        <v>7193</v>
      </c>
      <c r="Y3419">
        <v>41528</v>
      </c>
      <c r="Z3419">
        <v>1836832</v>
      </c>
      <c r="AA3419">
        <v>507936</v>
      </c>
      <c r="AB3419" t="str">
        <f>(VLOOKUP(SalesData[[#This Row],[Month Number]],Reference!C$5:E$16,2,FALSE))</f>
        <v>Feb</v>
      </c>
      <c r="AC3419">
        <f>MONTH(SalesData[[#This Row],[Date]])</f>
        <v>2</v>
      </c>
      <c r="AD3419">
        <f>Reference!F$4</f>
        <v>2026</v>
      </c>
      <c r="AE3419" t="str">
        <f>IF(OR(SalesData[[#This Row],[Day]]="Saturday",SalesData[[#This Row],[Day]]="Sunday"),"Weekend","Weekday")</f>
        <v>Weekend</v>
      </c>
      <c r="AF3419" s="5">
        <f>IF(SalesData[[#This Row],[Contracts Offered]]=0,0,SalesData[[#This Row],[Contracts Signed]]/SalesData[[#This Row],[Contracts Offered]])</f>
        <v>0.36363636363636365</v>
      </c>
      <c r="AG3419" s="5">
        <f>IF(SalesData[[#This Row],[Customers Visited]]=0,0,SalesData[[#This Row],[Test Drives]]/SalesData[[#This Row],[Customers Visited]])</f>
        <v>0.54455445544554459</v>
      </c>
      <c r="AH3419" s="5">
        <f>IF(SalesData[[#This Row],[Customers Visited]]=0,0,SalesData[[#This Row],[Contracts Signed]]/SalesData[[#This Row],[Customers Visited]])</f>
        <v>0.15841584158415842</v>
      </c>
      <c r="AI3419" s="6">
        <f>IF(SalesData[[#This Row],[Contracts Signed]]=0,0,SalesData[[#This Row],[Profit(€)]]/SalesData[[#This Row],[Contracts Signed]])</f>
        <v>15873</v>
      </c>
      <c r="AJ3419" s="5" t="str">
        <f>TRIM(CLEAN(SalesData[[#This Row],[Retailer]]))</f>
        <v>Leipzig Mobility</v>
      </c>
    </row>
    <row r="3420" spans="1:36" ht="14.25" hidden="1" x14ac:dyDescent="0.2">
      <c r="A3420" t="s">
        <v>4615</v>
      </c>
      <c r="B3420" s="1">
        <v>46070</v>
      </c>
      <c r="C3420" t="s">
        <v>62</v>
      </c>
      <c r="D3420" t="s">
        <v>63</v>
      </c>
      <c r="E3420" t="s">
        <v>26</v>
      </c>
      <c r="F3420" t="s">
        <v>109</v>
      </c>
      <c r="G3420" t="s">
        <v>110</v>
      </c>
      <c r="H3420" t="s">
        <v>45</v>
      </c>
      <c r="I3420" t="s">
        <v>64</v>
      </c>
      <c r="J3420" t="s">
        <v>157</v>
      </c>
      <c r="K3420" t="s">
        <v>66</v>
      </c>
      <c r="L3420" t="s">
        <v>33</v>
      </c>
      <c r="M3420" t="s">
        <v>68</v>
      </c>
      <c r="N3420" t="s">
        <v>35</v>
      </c>
      <c r="O3420" t="s">
        <v>70</v>
      </c>
      <c r="P3420" t="s">
        <v>49</v>
      </c>
      <c r="Q3420" t="s">
        <v>106</v>
      </c>
      <c r="R3420">
        <v>262</v>
      </c>
      <c r="S3420">
        <v>127</v>
      </c>
      <c r="T3420">
        <v>95</v>
      </c>
      <c r="U3420">
        <v>28</v>
      </c>
      <c r="V3420" t="s">
        <v>6538</v>
      </c>
      <c r="W3420">
        <v>50961</v>
      </c>
      <c r="X3420" t="s">
        <v>7169</v>
      </c>
      <c r="Y3420">
        <v>39504</v>
      </c>
      <c r="Z3420">
        <v>1426908</v>
      </c>
      <c r="AA3420">
        <v>320796</v>
      </c>
      <c r="AB3420" t="str">
        <f>(VLOOKUP(SalesData[[#This Row],[Month Number]],Reference!C$5:E$16,2,FALSE))</f>
        <v>Feb</v>
      </c>
      <c r="AC3420">
        <f>MONTH(SalesData[[#This Row],[Date]])</f>
        <v>2</v>
      </c>
      <c r="AD3420">
        <f>Reference!F$4</f>
        <v>2026</v>
      </c>
      <c r="AE3420" t="str">
        <f>IF(OR(SalesData[[#This Row],[Day]]="Saturday",SalesData[[#This Row],[Day]]="Sunday"),"Weekend","Weekday")</f>
        <v>Weekday</v>
      </c>
      <c r="AF3420" s="5">
        <f>IF(SalesData[[#This Row],[Contracts Offered]]=0,0,SalesData[[#This Row],[Contracts Signed]]/SalesData[[#This Row],[Contracts Offered]])</f>
        <v>0.29473684210526313</v>
      </c>
      <c r="AG3420" s="5">
        <f>IF(SalesData[[#This Row],[Customers Visited]]=0,0,SalesData[[#This Row],[Test Drives]]/SalesData[[#This Row],[Customers Visited]])</f>
        <v>0.48473282442748089</v>
      </c>
      <c r="AH3420" s="5">
        <f>IF(SalesData[[#This Row],[Customers Visited]]=0,0,SalesData[[#This Row],[Contracts Signed]]/SalesData[[#This Row],[Customers Visited]])</f>
        <v>0.10687022900763359</v>
      </c>
      <c r="AI3420" s="6">
        <f>IF(SalesData[[#This Row],[Contracts Signed]]=0,0,SalesData[[#This Row],[Profit(€)]]/SalesData[[#This Row],[Contracts Signed]])</f>
        <v>11457</v>
      </c>
      <c r="AJ3420" s="5" t="str">
        <f>TRIM(CLEAN(SalesData[[#This Row],[Retailer]]))</f>
        <v>Leipzig Mobility</v>
      </c>
    </row>
    <row r="3421" spans="1:36" ht="14.25" hidden="1" x14ac:dyDescent="0.2">
      <c r="A3421" t="s">
        <v>4617</v>
      </c>
      <c r="B3421" s="1">
        <v>46056</v>
      </c>
      <c r="C3421" t="s">
        <v>24</v>
      </c>
      <c r="D3421" t="s">
        <v>63</v>
      </c>
      <c r="E3421" t="s">
        <v>26</v>
      </c>
      <c r="F3421" t="s">
        <v>7649</v>
      </c>
      <c r="G3421" t="s">
        <v>55</v>
      </c>
      <c r="H3421" t="s">
        <v>55</v>
      </c>
      <c r="I3421" t="s">
        <v>104</v>
      </c>
      <c r="J3421" t="s">
        <v>140</v>
      </c>
      <c r="K3421" t="s">
        <v>32</v>
      </c>
      <c r="L3421" t="s">
        <v>46</v>
      </c>
      <c r="M3421" t="s">
        <v>47</v>
      </c>
      <c r="N3421" t="s">
        <v>48</v>
      </c>
      <c r="O3421" t="s">
        <v>36</v>
      </c>
      <c r="P3421" t="s">
        <v>49</v>
      </c>
      <c r="Q3421" t="s">
        <v>144</v>
      </c>
      <c r="R3421">
        <v>267</v>
      </c>
      <c r="S3421">
        <v>115</v>
      </c>
      <c r="T3421">
        <v>75</v>
      </c>
      <c r="U3421">
        <v>18</v>
      </c>
      <c r="V3421" t="s">
        <v>1225</v>
      </c>
      <c r="W3421">
        <v>29024</v>
      </c>
      <c r="X3421" t="s">
        <v>4447</v>
      </c>
      <c r="Y3421">
        <v>26129</v>
      </c>
      <c r="Z3421">
        <v>522432</v>
      </c>
      <c r="AA3421">
        <v>52110</v>
      </c>
      <c r="AB3421" t="str">
        <f>(VLOOKUP(SalesData[[#This Row],[Month Number]],Reference!C$5:E$16,2,FALSE))</f>
        <v>Feb</v>
      </c>
      <c r="AC3421">
        <f>MONTH(SalesData[[#This Row],[Date]])</f>
        <v>2</v>
      </c>
      <c r="AD3421">
        <f>Reference!F$4</f>
        <v>2026</v>
      </c>
      <c r="AE3421" t="str">
        <f>IF(OR(SalesData[[#This Row],[Day]]="Saturday",SalesData[[#This Row],[Day]]="Sunday"),"Weekend","Weekday")</f>
        <v>Weekday</v>
      </c>
      <c r="AF3421" s="5">
        <f>IF(SalesData[[#This Row],[Contracts Offered]]=0,0,SalesData[[#This Row],[Contracts Signed]]/SalesData[[#This Row],[Contracts Offered]])</f>
        <v>0.24</v>
      </c>
      <c r="AG3421" s="5">
        <f>IF(SalesData[[#This Row],[Customers Visited]]=0,0,SalesData[[#This Row],[Test Drives]]/SalesData[[#This Row],[Customers Visited]])</f>
        <v>0.43071161048689138</v>
      </c>
      <c r="AH3421" s="5">
        <f>IF(SalesData[[#This Row],[Customers Visited]]=0,0,SalesData[[#This Row],[Contracts Signed]]/SalesData[[#This Row],[Customers Visited]])</f>
        <v>6.741573033707865E-2</v>
      </c>
      <c r="AI3421" s="6">
        <f>IF(SalesData[[#This Row],[Contracts Signed]]=0,0,SalesData[[#This Row],[Profit(€)]]/SalesData[[#This Row],[Contracts Signed]])</f>
        <v>2895</v>
      </c>
      <c r="AJ3421" s="5" t="str">
        <f>TRIM(CLEAN(SalesData[[#This Row],[Retailer]]))</f>
        <v>Autohaus Berlin</v>
      </c>
    </row>
    <row r="3422" spans="1:36" ht="14.25" hidden="1" x14ac:dyDescent="0.2">
      <c r="A3422" t="s">
        <v>4618</v>
      </c>
      <c r="B3422" s="1">
        <v>46054</v>
      </c>
      <c r="C3422" t="s">
        <v>24</v>
      </c>
      <c r="D3422" t="s">
        <v>41</v>
      </c>
      <c r="E3422" t="s">
        <v>42</v>
      </c>
      <c r="F3422" t="s">
        <v>83</v>
      </c>
      <c r="G3422" t="s">
        <v>84</v>
      </c>
      <c r="H3422" t="s">
        <v>85</v>
      </c>
      <c r="I3422" t="s">
        <v>64</v>
      </c>
      <c r="J3422" t="s">
        <v>111</v>
      </c>
      <c r="K3422" t="s">
        <v>66</v>
      </c>
      <c r="L3422" t="s">
        <v>46</v>
      </c>
      <c r="M3422" t="s">
        <v>34</v>
      </c>
      <c r="N3422" t="s">
        <v>35</v>
      </c>
      <c r="O3422" t="s">
        <v>70</v>
      </c>
      <c r="P3422" t="s">
        <v>37</v>
      </c>
      <c r="Q3422" t="s">
        <v>144</v>
      </c>
      <c r="R3422">
        <v>165</v>
      </c>
      <c r="S3422">
        <v>95</v>
      </c>
      <c r="T3422">
        <v>63</v>
      </c>
      <c r="U3422">
        <v>21</v>
      </c>
      <c r="V3422" t="s">
        <v>6864</v>
      </c>
      <c r="W3422">
        <v>53196</v>
      </c>
      <c r="X3422" t="s">
        <v>7176</v>
      </c>
      <c r="Y3422">
        <v>37783</v>
      </c>
      <c r="Z3422">
        <v>1117116</v>
      </c>
      <c r="AA3422">
        <v>323673</v>
      </c>
      <c r="AB3422" t="str">
        <f>(VLOOKUP(SalesData[[#This Row],[Month Number]],Reference!C$5:E$16,2,FALSE))</f>
        <v>Feb</v>
      </c>
      <c r="AC3422">
        <f>MONTH(SalesData[[#This Row],[Date]])</f>
        <v>2</v>
      </c>
      <c r="AD3422">
        <f>Reference!F$4</f>
        <v>2026</v>
      </c>
      <c r="AE3422" t="str">
        <f>IF(OR(SalesData[[#This Row],[Day]]="Saturday",SalesData[[#This Row],[Day]]="Sunday"),"Weekend","Weekday")</f>
        <v>Weekend</v>
      </c>
      <c r="AF3422" s="5">
        <f>IF(SalesData[[#This Row],[Contracts Offered]]=0,0,SalesData[[#This Row],[Contracts Signed]]/SalesData[[#This Row],[Contracts Offered]])</f>
        <v>0.33333333333333331</v>
      </c>
      <c r="AG3422" s="5">
        <f>IF(SalesData[[#This Row],[Customers Visited]]=0,0,SalesData[[#This Row],[Test Drives]]/SalesData[[#This Row],[Customers Visited]])</f>
        <v>0.5757575757575758</v>
      </c>
      <c r="AH3422" s="5">
        <f>IF(SalesData[[#This Row],[Customers Visited]]=0,0,SalesData[[#This Row],[Contracts Signed]]/SalesData[[#This Row],[Customers Visited]])</f>
        <v>0.12727272727272726</v>
      </c>
      <c r="AI3422" s="6">
        <f>IF(SalesData[[#This Row],[Contracts Signed]]=0,0,SalesData[[#This Row],[Profit(€)]]/SalesData[[#This Row],[Contracts Signed]])</f>
        <v>15413</v>
      </c>
      <c r="AJ3422" s="5" t="str">
        <f>TRIM(CLEAN(SalesData[[#This Row],[Retailer]]))</f>
        <v>Hannover Cars</v>
      </c>
    </row>
    <row r="3423" spans="1:36" ht="14.25" hidden="1" x14ac:dyDescent="0.2">
      <c r="A3423" t="s">
        <v>4619</v>
      </c>
      <c r="B3423" s="1">
        <v>46071</v>
      </c>
      <c r="C3423" t="s">
        <v>62</v>
      </c>
      <c r="D3423" t="s">
        <v>82</v>
      </c>
      <c r="E3423" t="s">
        <v>26</v>
      </c>
      <c r="F3423" t="s">
        <v>7649</v>
      </c>
      <c r="G3423" t="s">
        <v>55</v>
      </c>
      <c r="H3423" t="s">
        <v>55</v>
      </c>
      <c r="I3423" t="s">
        <v>104</v>
      </c>
      <c r="J3423" t="s">
        <v>7031</v>
      </c>
      <c r="K3423" t="s">
        <v>32</v>
      </c>
      <c r="L3423" t="s">
        <v>46</v>
      </c>
      <c r="M3423" t="s">
        <v>87</v>
      </c>
      <c r="N3423" t="s">
        <v>35</v>
      </c>
      <c r="O3423" t="s">
        <v>70</v>
      </c>
      <c r="P3423" t="s">
        <v>58</v>
      </c>
      <c r="Q3423" t="s">
        <v>106</v>
      </c>
      <c r="R3423">
        <v>448</v>
      </c>
      <c r="S3423">
        <v>190</v>
      </c>
      <c r="T3423">
        <v>115</v>
      </c>
      <c r="U3423">
        <v>38</v>
      </c>
      <c r="V3423" t="s">
        <v>6410</v>
      </c>
      <c r="W3423">
        <v>30707</v>
      </c>
      <c r="X3423" t="s">
        <v>847</v>
      </c>
      <c r="Y3423">
        <v>27413</v>
      </c>
      <c r="Z3423">
        <v>1166866</v>
      </c>
      <c r="AA3423">
        <v>125172</v>
      </c>
      <c r="AB3423" t="str">
        <f>(VLOOKUP(SalesData[[#This Row],[Month Number]],Reference!C$5:E$16,2,FALSE))</f>
        <v>Feb</v>
      </c>
      <c r="AC3423">
        <f>MONTH(SalesData[[#This Row],[Date]])</f>
        <v>2</v>
      </c>
      <c r="AD3423">
        <f>Reference!F$4</f>
        <v>2026</v>
      </c>
      <c r="AE3423" t="str">
        <f>IF(OR(SalesData[[#This Row],[Day]]="Saturday",SalesData[[#This Row],[Day]]="Sunday"),"Weekend","Weekday")</f>
        <v>Weekday</v>
      </c>
      <c r="AF3423" s="5">
        <f>IF(SalesData[[#This Row],[Contracts Offered]]=0,0,SalesData[[#This Row],[Contracts Signed]]/SalesData[[#This Row],[Contracts Offered]])</f>
        <v>0.33043478260869563</v>
      </c>
      <c r="AG3423" s="5">
        <f>IF(SalesData[[#This Row],[Customers Visited]]=0,0,SalesData[[#This Row],[Test Drives]]/SalesData[[#This Row],[Customers Visited]])</f>
        <v>0.42410714285714285</v>
      </c>
      <c r="AH3423" s="5">
        <f>IF(SalesData[[#This Row],[Customers Visited]]=0,0,SalesData[[#This Row],[Contracts Signed]]/SalesData[[#This Row],[Customers Visited]])</f>
        <v>8.4821428571428575E-2</v>
      </c>
      <c r="AI3423" s="6">
        <f>IF(SalesData[[#This Row],[Contracts Signed]]=0,0,SalesData[[#This Row],[Profit(€)]]/SalesData[[#This Row],[Contracts Signed]])</f>
        <v>3294</v>
      </c>
      <c r="AJ3423" s="5" t="str">
        <f>TRIM(CLEAN(SalesData[[#This Row],[Retailer]]))</f>
        <v>Autohaus Berlin</v>
      </c>
    </row>
    <row r="3424" spans="1:36" ht="14.25" hidden="1" x14ac:dyDescent="0.2">
      <c r="A3424" t="s">
        <v>4620</v>
      </c>
      <c r="B3424" s="1">
        <v>46060</v>
      </c>
      <c r="C3424" t="s">
        <v>24</v>
      </c>
      <c r="D3424" t="s">
        <v>151</v>
      </c>
      <c r="E3424" t="s">
        <v>42</v>
      </c>
      <c r="F3424" t="s">
        <v>7649</v>
      </c>
      <c r="G3424" t="s">
        <v>55</v>
      </c>
      <c r="H3424" t="s">
        <v>55</v>
      </c>
      <c r="I3424" t="s">
        <v>64</v>
      </c>
      <c r="J3424" t="s">
        <v>111</v>
      </c>
      <c r="K3424" t="s">
        <v>66</v>
      </c>
      <c r="L3424" t="s">
        <v>46</v>
      </c>
      <c r="M3424" t="s">
        <v>47</v>
      </c>
      <c r="N3424" t="s">
        <v>35</v>
      </c>
      <c r="O3424" t="s">
        <v>36</v>
      </c>
      <c r="P3424" t="s">
        <v>37</v>
      </c>
      <c r="Q3424" t="s">
        <v>50</v>
      </c>
      <c r="R3424">
        <v>173</v>
      </c>
      <c r="S3424">
        <v>88</v>
      </c>
      <c r="T3424">
        <v>67</v>
      </c>
      <c r="U3424">
        <v>24</v>
      </c>
      <c r="V3424" t="s">
        <v>6483</v>
      </c>
      <c r="W3424">
        <v>62999</v>
      </c>
      <c r="X3424" t="s">
        <v>7107</v>
      </c>
      <c r="Y3424">
        <v>46813</v>
      </c>
      <c r="Z3424">
        <v>1511976</v>
      </c>
      <c r="AA3424">
        <v>388464</v>
      </c>
      <c r="AB3424" t="str">
        <f>(VLOOKUP(SalesData[[#This Row],[Month Number]],Reference!C$5:E$16,2,FALSE))</f>
        <v>Feb</v>
      </c>
      <c r="AC3424">
        <f>MONTH(SalesData[[#This Row],[Date]])</f>
        <v>2</v>
      </c>
      <c r="AD3424">
        <f>Reference!F$4</f>
        <v>2026</v>
      </c>
      <c r="AE3424" t="str">
        <f>IF(OR(SalesData[[#This Row],[Day]]="Saturday",SalesData[[#This Row],[Day]]="Sunday"),"Weekend","Weekday")</f>
        <v>Weekend</v>
      </c>
      <c r="AF3424" s="5">
        <f>IF(SalesData[[#This Row],[Contracts Offered]]=0,0,SalesData[[#This Row],[Contracts Signed]]/SalesData[[#This Row],[Contracts Offered]])</f>
        <v>0.35820895522388058</v>
      </c>
      <c r="AG3424" s="5">
        <f>IF(SalesData[[#This Row],[Customers Visited]]=0,0,SalesData[[#This Row],[Test Drives]]/SalesData[[#This Row],[Customers Visited]])</f>
        <v>0.50867052023121384</v>
      </c>
      <c r="AH3424" s="5">
        <f>IF(SalesData[[#This Row],[Customers Visited]]=0,0,SalesData[[#This Row],[Contracts Signed]]/SalesData[[#This Row],[Customers Visited]])</f>
        <v>0.13872832369942195</v>
      </c>
      <c r="AI3424" s="6">
        <f>IF(SalesData[[#This Row],[Contracts Signed]]=0,0,SalesData[[#This Row],[Profit(€)]]/SalesData[[#This Row],[Contracts Signed]])</f>
        <v>16186</v>
      </c>
      <c r="AJ3424" s="5" t="str">
        <f>TRIM(CLEAN(SalesData[[#This Row],[Retailer]]))</f>
        <v>Autohaus Berlin</v>
      </c>
    </row>
    <row r="3425" spans="1:36" ht="14.25" hidden="1" x14ac:dyDescent="0.2">
      <c r="A3425" t="s">
        <v>4621</v>
      </c>
      <c r="B3425" s="1">
        <v>46078</v>
      </c>
      <c r="C3425" t="s">
        <v>53</v>
      </c>
      <c r="D3425" t="s">
        <v>82</v>
      </c>
      <c r="E3425" t="s">
        <v>26</v>
      </c>
      <c r="F3425" t="s">
        <v>43</v>
      </c>
      <c r="G3425" t="s">
        <v>44</v>
      </c>
      <c r="H3425" t="s">
        <v>45</v>
      </c>
      <c r="I3425" t="s">
        <v>56</v>
      </c>
      <c r="J3425" t="s">
        <v>179</v>
      </c>
      <c r="K3425" t="s">
        <v>78</v>
      </c>
      <c r="L3425" t="s">
        <v>67</v>
      </c>
      <c r="M3425" t="s">
        <v>34</v>
      </c>
      <c r="N3425" t="s">
        <v>35</v>
      </c>
      <c r="O3425" t="s">
        <v>36</v>
      </c>
      <c r="P3425" t="s">
        <v>71</v>
      </c>
      <c r="Q3425" t="s">
        <v>152</v>
      </c>
      <c r="R3425">
        <v>204</v>
      </c>
      <c r="S3425">
        <v>105</v>
      </c>
      <c r="T3425">
        <v>78</v>
      </c>
      <c r="U3425">
        <v>23</v>
      </c>
      <c r="V3425" t="s">
        <v>6926</v>
      </c>
      <c r="W3425">
        <v>49025</v>
      </c>
      <c r="X3425" t="s">
        <v>1959</v>
      </c>
      <c r="Y3425">
        <v>39251</v>
      </c>
      <c r="Z3425">
        <v>1127575</v>
      </c>
      <c r="AA3425">
        <v>224802</v>
      </c>
      <c r="AB3425" t="str">
        <f>(VLOOKUP(SalesData[[#This Row],[Month Number]],Reference!C$5:E$16,2,FALSE))</f>
        <v>Feb</v>
      </c>
      <c r="AC3425">
        <f>MONTH(SalesData[[#This Row],[Date]])</f>
        <v>2</v>
      </c>
      <c r="AD3425">
        <f>Reference!F$4</f>
        <v>2026</v>
      </c>
      <c r="AE3425" t="str">
        <f>IF(OR(SalesData[[#This Row],[Day]]="Saturday",SalesData[[#This Row],[Day]]="Sunday"),"Weekend","Weekday")</f>
        <v>Weekday</v>
      </c>
      <c r="AF3425" s="5">
        <f>IF(SalesData[[#This Row],[Contracts Offered]]=0,0,SalesData[[#This Row],[Contracts Signed]]/SalesData[[#This Row],[Contracts Offered]])</f>
        <v>0.29487179487179488</v>
      </c>
      <c r="AG3425" s="5">
        <f>IF(SalesData[[#This Row],[Customers Visited]]=0,0,SalesData[[#This Row],[Test Drives]]/SalesData[[#This Row],[Customers Visited]])</f>
        <v>0.51470588235294112</v>
      </c>
      <c r="AH3425" s="5">
        <f>IF(SalesData[[#This Row],[Customers Visited]]=0,0,SalesData[[#This Row],[Contracts Signed]]/SalesData[[#This Row],[Customers Visited]])</f>
        <v>0.11274509803921569</v>
      </c>
      <c r="AI3425" s="6">
        <f>IF(SalesData[[#This Row],[Contracts Signed]]=0,0,SalesData[[#This Row],[Profit(€)]]/SalesData[[#This Row],[Contracts Signed]])</f>
        <v>9774</v>
      </c>
      <c r="AJ3425" s="5" t="str">
        <f>TRIM(CLEAN(SalesData[[#This Row],[Retailer]]))</f>
        <v>Saxon Wheels</v>
      </c>
    </row>
    <row r="3426" spans="1:36" ht="14.25" hidden="1" x14ac:dyDescent="0.2">
      <c r="A3426" t="s">
        <v>4623</v>
      </c>
      <c r="B3426" s="1">
        <v>46059</v>
      </c>
      <c r="C3426" t="s">
        <v>24</v>
      </c>
      <c r="D3426" t="s">
        <v>54</v>
      </c>
      <c r="E3426" t="s">
        <v>26</v>
      </c>
      <c r="F3426" t="s">
        <v>94</v>
      </c>
      <c r="G3426" t="s">
        <v>95</v>
      </c>
      <c r="H3426" t="s">
        <v>96</v>
      </c>
      <c r="I3426" t="s">
        <v>64</v>
      </c>
      <c r="J3426" t="s">
        <v>111</v>
      </c>
      <c r="K3426" t="s">
        <v>91</v>
      </c>
      <c r="L3426" t="s">
        <v>46</v>
      </c>
      <c r="M3426" t="s">
        <v>47</v>
      </c>
      <c r="N3426" t="s">
        <v>48</v>
      </c>
      <c r="O3426" t="s">
        <v>70</v>
      </c>
      <c r="P3426" t="s">
        <v>37</v>
      </c>
      <c r="Q3426" t="s">
        <v>158</v>
      </c>
      <c r="R3426">
        <v>202</v>
      </c>
      <c r="S3426">
        <v>116</v>
      </c>
      <c r="T3426">
        <v>91</v>
      </c>
      <c r="U3426">
        <v>32</v>
      </c>
      <c r="V3426" t="s">
        <v>6612</v>
      </c>
      <c r="W3426">
        <v>72877</v>
      </c>
      <c r="X3426" t="s">
        <v>7108</v>
      </c>
      <c r="Y3426">
        <v>53544</v>
      </c>
      <c r="Z3426">
        <v>2332064</v>
      </c>
      <c r="AA3426">
        <v>618656</v>
      </c>
      <c r="AB3426" t="str">
        <f>(VLOOKUP(SalesData[[#This Row],[Month Number]],Reference!C$5:E$16,2,FALSE))</f>
        <v>Feb</v>
      </c>
      <c r="AC3426">
        <f>MONTH(SalesData[[#This Row],[Date]])</f>
        <v>2</v>
      </c>
      <c r="AD3426">
        <f>Reference!F$4</f>
        <v>2026</v>
      </c>
      <c r="AE3426" t="str">
        <f>IF(OR(SalesData[[#This Row],[Day]]="Saturday",SalesData[[#This Row],[Day]]="Sunday"),"Weekend","Weekday")</f>
        <v>Weekday</v>
      </c>
      <c r="AF3426" s="5">
        <f>IF(SalesData[[#This Row],[Contracts Offered]]=0,0,SalesData[[#This Row],[Contracts Signed]]/SalesData[[#This Row],[Contracts Offered]])</f>
        <v>0.35164835164835168</v>
      </c>
      <c r="AG3426" s="5">
        <f>IF(SalesData[[#This Row],[Customers Visited]]=0,0,SalesData[[#This Row],[Test Drives]]/SalesData[[#This Row],[Customers Visited]])</f>
        <v>0.57425742574257421</v>
      </c>
      <c r="AH3426" s="5">
        <f>IF(SalesData[[#This Row],[Customers Visited]]=0,0,SalesData[[#This Row],[Contracts Signed]]/SalesData[[#This Row],[Customers Visited]])</f>
        <v>0.15841584158415842</v>
      </c>
      <c r="AI3426" s="6">
        <f>IF(SalesData[[#This Row],[Contracts Signed]]=0,0,SalesData[[#This Row],[Profit(€)]]/SalesData[[#This Row],[Contracts Signed]])</f>
        <v>19333</v>
      </c>
      <c r="AJ3426" s="5" t="str">
        <f>TRIM(CLEAN(SalesData[[#This Row],[Retailer]]))</f>
        <v>Bavaria Motors</v>
      </c>
    </row>
    <row r="3427" spans="1:36" ht="14.25" hidden="1" x14ac:dyDescent="0.2">
      <c r="A3427" t="s">
        <v>4624</v>
      </c>
      <c r="B3427" s="1">
        <v>46060</v>
      </c>
      <c r="C3427" t="s">
        <v>24</v>
      </c>
      <c r="D3427" t="s">
        <v>151</v>
      </c>
      <c r="E3427" t="s">
        <v>42</v>
      </c>
      <c r="F3427" t="s">
        <v>109</v>
      </c>
      <c r="G3427" t="s">
        <v>110</v>
      </c>
      <c r="H3427" t="s">
        <v>45</v>
      </c>
      <c r="I3427" t="s">
        <v>64</v>
      </c>
      <c r="J3427" t="s">
        <v>65</v>
      </c>
      <c r="K3427" t="s">
        <v>78</v>
      </c>
      <c r="L3427" t="s">
        <v>33</v>
      </c>
      <c r="M3427" t="s">
        <v>87</v>
      </c>
      <c r="N3427" t="s">
        <v>35</v>
      </c>
      <c r="O3427" t="s">
        <v>36</v>
      </c>
      <c r="P3427" t="s">
        <v>71</v>
      </c>
      <c r="Q3427" t="s">
        <v>135</v>
      </c>
      <c r="R3427">
        <v>208</v>
      </c>
      <c r="S3427">
        <v>98</v>
      </c>
      <c r="T3427">
        <v>73</v>
      </c>
      <c r="U3427">
        <v>26</v>
      </c>
      <c r="V3427" t="s">
        <v>6655</v>
      </c>
      <c r="W3427">
        <v>54976</v>
      </c>
      <c r="X3427" t="s">
        <v>7494</v>
      </c>
      <c r="Y3427">
        <v>42870</v>
      </c>
      <c r="Z3427">
        <v>1429376</v>
      </c>
      <c r="AA3427">
        <v>314756</v>
      </c>
      <c r="AB3427" t="str">
        <f>(VLOOKUP(SalesData[[#This Row],[Month Number]],Reference!C$5:E$16,2,FALSE))</f>
        <v>Feb</v>
      </c>
      <c r="AC3427">
        <f>MONTH(SalesData[[#This Row],[Date]])</f>
        <v>2</v>
      </c>
      <c r="AD3427">
        <f>Reference!F$4</f>
        <v>2026</v>
      </c>
      <c r="AE3427" t="str">
        <f>IF(OR(SalesData[[#This Row],[Day]]="Saturday",SalesData[[#This Row],[Day]]="Sunday"),"Weekend","Weekday")</f>
        <v>Weekend</v>
      </c>
      <c r="AF3427" s="5">
        <f>IF(SalesData[[#This Row],[Contracts Offered]]=0,0,SalesData[[#This Row],[Contracts Signed]]/SalesData[[#This Row],[Contracts Offered]])</f>
        <v>0.35616438356164382</v>
      </c>
      <c r="AG3427" s="5">
        <f>IF(SalesData[[#This Row],[Customers Visited]]=0,0,SalesData[[#This Row],[Test Drives]]/SalesData[[#This Row],[Customers Visited]])</f>
        <v>0.47115384615384615</v>
      </c>
      <c r="AH3427" s="5">
        <f>IF(SalesData[[#This Row],[Customers Visited]]=0,0,SalesData[[#This Row],[Contracts Signed]]/SalesData[[#This Row],[Customers Visited]])</f>
        <v>0.125</v>
      </c>
      <c r="AI3427" s="6">
        <f>IF(SalesData[[#This Row],[Contracts Signed]]=0,0,SalesData[[#This Row],[Profit(€)]]/SalesData[[#This Row],[Contracts Signed]])</f>
        <v>12106</v>
      </c>
      <c r="AJ3427" s="5" t="str">
        <f>TRIM(CLEAN(SalesData[[#This Row],[Retailer]]))</f>
        <v>Leipzig Mobility</v>
      </c>
    </row>
    <row r="3428" spans="1:36" ht="14.25" hidden="1" x14ac:dyDescent="0.2">
      <c r="A3428" t="s">
        <v>4625</v>
      </c>
      <c r="B3428" s="1">
        <v>46074</v>
      </c>
      <c r="C3428" t="s">
        <v>62</v>
      </c>
      <c r="D3428" t="s">
        <v>151</v>
      </c>
      <c r="E3428" t="s">
        <v>42</v>
      </c>
      <c r="F3428" t="s">
        <v>83</v>
      </c>
      <c r="G3428" t="s">
        <v>84</v>
      </c>
      <c r="H3428" t="s">
        <v>85</v>
      </c>
      <c r="I3428" t="s">
        <v>104</v>
      </c>
      <c r="J3428" t="s">
        <v>105</v>
      </c>
      <c r="K3428" t="s">
        <v>66</v>
      </c>
      <c r="L3428" t="s">
        <v>33</v>
      </c>
      <c r="M3428" t="s">
        <v>34</v>
      </c>
      <c r="N3428" t="s">
        <v>48</v>
      </c>
      <c r="O3428" t="s">
        <v>36</v>
      </c>
      <c r="P3428" t="s">
        <v>58</v>
      </c>
      <c r="Q3428" t="s">
        <v>88</v>
      </c>
      <c r="R3428">
        <v>441</v>
      </c>
      <c r="S3428">
        <v>196</v>
      </c>
      <c r="T3428">
        <v>133</v>
      </c>
      <c r="U3428">
        <v>40</v>
      </c>
      <c r="V3428" t="s">
        <v>6728</v>
      </c>
      <c r="W3428">
        <v>32253</v>
      </c>
      <c r="X3428" t="s">
        <v>2006</v>
      </c>
      <c r="Y3428">
        <v>28522</v>
      </c>
      <c r="Z3428">
        <v>1290120</v>
      </c>
      <c r="AA3428">
        <v>149240</v>
      </c>
      <c r="AB3428" t="str">
        <f>(VLOOKUP(SalesData[[#This Row],[Month Number]],Reference!C$5:E$16,2,FALSE))</f>
        <v>Feb</v>
      </c>
      <c r="AC3428">
        <f>MONTH(SalesData[[#This Row],[Date]])</f>
        <v>2</v>
      </c>
      <c r="AD3428">
        <f>Reference!F$4</f>
        <v>2026</v>
      </c>
      <c r="AE3428" t="str">
        <f>IF(OR(SalesData[[#This Row],[Day]]="Saturday",SalesData[[#This Row],[Day]]="Sunday"),"Weekend","Weekday")</f>
        <v>Weekend</v>
      </c>
      <c r="AF3428" s="5">
        <f>IF(SalesData[[#This Row],[Contracts Offered]]=0,0,SalesData[[#This Row],[Contracts Signed]]/SalesData[[#This Row],[Contracts Offered]])</f>
        <v>0.3007518796992481</v>
      </c>
      <c r="AG3428" s="5">
        <f>IF(SalesData[[#This Row],[Customers Visited]]=0,0,SalesData[[#This Row],[Test Drives]]/SalesData[[#This Row],[Customers Visited]])</f>
        <v>0.44444444444444442</v>
      </c>
      <c r="AH3428" s="5">
        <f>IF(SalesData[[#This Row],[Customers Visited]]=0,0,SalesData[[#This Row],[Contracts Signed]]/SalesData[[#This Row],[Customers Visited]])</f>
        <v>9.0702947845804988E-2</v>
      </c>
      <c r="AI3428" s="6">
        <f>IF(SalesData[[#This Row],[Contracts Signed]]=0,0,SalesData[[#This Row],[Profit(€)]]/SalesData[[#This Row],[Contracts Signed]])</f>
        <v>3731</v>
      </c>
      <c r="AJ3428" s="5" t="str">
        <f>TRIM(CLEAN(SalesData[[#This Row],[Retailer]]))</f>
        <v>Hannover Cars</v>
      </c>
    </row>
    <row r="3429" spans="1:36" ht="14.25" hidden="1" x14ac:dyDescent="0.2">
      <c r="A3429" t="s">
        <v>4626</v>
      </c>
      <c r="B3429" s="1">
        <v>46074</v>
      </c>
      <c r="C3429" t="s">
        <v>62</v>
      </c>
      <c r="D3429" t="s">
        <v>151</v>
      </c>
      <c r="E3429" t="s">
        <v>42</v>
      </c>
      <c r="F3429" t="s">
        <v>74</v>
      </c>
      <c r="G3429" t="s">
        <v>75</v>
      </c>
      <c r="H3429" t="s">
        <v>76</v>
      </c>
      <c r="I3429" t="s">
        <v>56</v>
      </c>
      <c r="J3429" t="s">
        <v>179</v>
      </c>
      <c r="K3429" t="s">
        <v>78</v>
      </c>
      <c r="L3429" t="s">
        <v>67</v>
      </c>
      <c r="M3429" t="s">
        <v>87</v>
      </c>
      <c r="N3429" t="s">
        <v>35</v>
      </c>
      <c r="O3429" t="s">
        <v>70</v>
      </c>
      <c r="P3429" t="s">
        <v>49</v>
      </c>
      <c r="Q3429" t="s">
        <v>172</v>
      </c>
      <c r="R3429">
        <v>305</v>
      </c>
      <c r="S3429">
        <v>173</v>
      </c>
      <c r="T3429">
        <v>116</v>
      </c>
      <c r="U3429">
        <v>38</v>
      </c>
      <c r="V3429" t="s">
        <v>6540</v>
      </c>
      <c r="W3429">
        <v>52721</v>
      </c>
      <c r="X3429" t="s">
        <v>828</v>
      </c>
      <c r="Y3429">
        <v>41615</v>
      </c>
      <c r="Z3429">
        <v>2003398</v>
      </c>
      <c r="AA3429">
        <v>422028</v>
      </c>
      <c r="AB3429" t="str">
        <f>(VLOOKUP(SalesData[[#This Row],[Month Number]],Reference!C$5:E$16,2,FALSE))</f>
        <v>Feb</v>
      </c>
      <c r="AC3429">
        <f>MONTH(SalesData[[#This Row],[Date]])</f>
        <v>2</v>
      </c>
      <c r="AD3429">
        <f>Reference!F$4</f>
        <v>2026</v>
      </c>
      <c r="AE3429" t="str">
        <f>IF(OR(SalesData[[#This Row],[Day]]="Saturday",SalesData[[#This Row],[Day]]="Sunday"),"Weekend","Weekday")</f>
        <v>Weekend</v>
      </c>
      <c r="AF3429" s="5">
        <f>IF(SalesData[[#This Row],[Contracts Offered]]=0,0,SalesData[[#This Row],[Contracts Signed]]/SalesData[[#This Row],[Contracts Offered]])</f>
        <v>0.32758620689655171</v>
      </c>
      <c r="AG3429" s="5">
        <f>IF(SalesData[[#This Row],[Customers Visited]]=0,0,SalesData[[#This Row],[Test Drives]]/SalesData[[#This Row],[Customers Visited]])</f>
        <v>0.56721311475409841</v>
      </c>
      <c r="AH3429" s="5">
        <f>IF(SalesData[[#This Row],[Customers Visited]]=0,0,SalesData[[#This Row],[Contracts Signed]]/SalesData[[#This Row],[Customers Visited]])</f>
        <v>0.12459016393442623</v>
      </c>
      <c r="AI3429" s="6">
        <f>IF(SalesData[[#This Row],[Contracts Signed]]=0,0,SalesData[[#This Row],[Profit(€)]]/SalesData[[#This Row],[Contracts Signed]])</f>
        <v>11106</v>
      </c>
      <c r="AJ3429" s="5" t="str">
        <f>TRIM(CLEAN(SalesData[[#This Row],[Retailer]]))</f>
        <v>Stuttgart Auto Center</v>
      </c>
    </row>
    <row r="3430" spans="1:36" ht="14.25" hidden="1" x14ac:dyDescent="0.2">
      <c r="A3430" t="s">
        <v>4627</v>
      </c>
      <c r="B3430" s="1">
        <v>46081</v>
      </c>
      <c r="C3430" t="s">
        <v>53</v>
      </c>
      <c r="D3430" t="s">
        <v>151</v>
      </c>
      <c r="E3430" t="s">
        <v>42</v>
      </c>
      <c r="F3430" t="s">
        <v>109</v>
      </c>
      <c r="G3430" t="s">
        <v>110</v>
      </c>
      <c r="H3430" t="s">
        <v>45</v>
      </c>
      <c r="I3430" t="s">
        <v>64</v>
      </c>
      <c r="J3430" t="s">
        <v>7029</v>
      </c>
      <c r="K3430" t="s">
        <v>78</v>
      </c>
      <c r="L3430" t="s">
        <v>33</v>
      </c>
      <c r="M3430" t="s">
        <v>68</v>
      </c>
      <c r="N3430" t="s">
        <v>48</v>
      </c>
      <c r="O3430" t="s">
        <v>36</v>
      </c>
      <c r="P3430" t="s">
        <v>71</v>
      </c>
      <c r="Q3430" t="s">
        <v>129</v>
      </c>
      <c r="R3430">
        <v>239</v>
      </c>
      <c r="S3430">
        <v>111</v>
      </c>
      <c r="T3430">
        <v>88</v>
      </c>
      <c r="U3430">
        <v>27</v>
      </c>
      <c r="V3430" t="s">
        <v>6378</v>
      </c>
      <c r="W3430">
        <v>69959</v>
      </c>
      <c r="X3430" t="s">
        <v>7378</v>
      </c>
      <c r="Y3430">
        <v>52703</v>
      </c>
      <c r="Z3430">
        <v>1888893</v>
      </c>
      <c r="AA3430">
        <v>465912</v>
      </c>
      <c r="AB3430" t="str">
        <f>(VLOOKUP(SalesData[[#This Row],[Month Number]],Reference!C$5:E$16,2,FALSE))</f>
        <v>Feb</v>
      </c>
      <c r="AC3430">
        <f>MONTH(SalesData[[#This Row],[Date]])</f>
        <v>2</v>
      </c>
      <c r="AD3430">
        <f>Reference!F$4</f>
        <v>2026</v>
      </c>
      <c r="AE3430" t="str">
        <f>IF(OR(SalesData[[#This Row],[Day]]="Saturday",SalesData[[#This Row],[Day]]="Sunday"),"Weekend","Weekday")</f>
        <v>Weekend</v>
      </c>
      <c r="AF3430" s="5">
        <f>IF(SalesData[[#This Row],[Contracts Offered]]=0,0,SalesData[[#This Row],[Contracts Signed]]/SalesData[[#This Row],[Contracts Offered]])</f>
        <v>0.30681818181818182</v>
      </c>
      <c r="AG3430" s="5">
        <f>IF(SalesData[[#This Row],[Customers Visited]]=0,0,SalesData[[#This Row],[Test Drives]]/SalesData[[#This Row],[Customers Visited]])</f>
        <v>0.46443514644351463</v>
      </c>
      <c r="AH3430" s="5">
        <f>IF(SalesData[[#This Row],[Customers Visited]]=0,0,SalesData[[#This Row],[Contracts Signed]]/SalesData[[#This Row],[Customers Visited]])</f>
        <v>0.11297071129707113</v>
      </c>
      <c r="AI3430" s="6">
        <f>IF(SalesData[[#This Row],[Contracts Signed]]=0,0,SalesData[[#This Row],[Profit(€)]]/SalesData[[#This Row],[Contracts Signed]])</f>
        <v>17256</v>
      </c>
      <c r="AJ3430" s="5" t="str">
        <f>TRIM(CLEAN(SalesData[[#This Row],[Retailer]]))</f>
        <v>Leipzig Mobility</v>
      </c>
    </row>
    <row r="3431" spans="1:36" ht="14.25" hidden="1" x14ac:dyDescent="0.2">
      <c r="A3431" t="s">
        <v>4628</v>
      </c>
      <c r="B3431" s="1">
        <v>46063</v>
      </c>
      <c r="C3431" t="s">
        <v>121</v>
      </c>
      <c r="D3431" t="s">
        <v>63</v>
      </c>
      <c r="E3431" t="s">
        <v>26</v>
      </c>
      <c r="F3431" t="s">
        <v>83</v>
      </c>
      <c r="G3431" t="s">
        <v>84</v>
      </c>
      <c r="H3431" t="s">
        <v>85</v>
      </c>
      <c r="I3431" t="s">
        <v>56</v>
      </c>
      <c r="J3431" t="s">
        <v>97</v>
      </c>
      <c r="K3431" t="s">
        <v>66</v>
      </c>
      <c r="L3431" t="s">
        <v>33</v>
      </c>
      <c r="M3431" t="s">
        <v>34</v>
      </c>
      <c r="N3431" t="s">
        <v>35</v>
      </c>
      <c r="O3431" t="s">
        <v>70</v>
      </c>
      <c r="P3431" t="s">
        <v>37</v>
      </c>
      <c r="Q3431" t="s">
        <v>135</v>
      </c>
      <c r="R3431">
        <v>257</v>
      </c>
      <c r="S3431">
        <v>152</v>
      </c>
      <c r="T3431">
        <v>108</v>
      </c>
      <c r="U3431">
        <v>32</v>
      </c>
      <c r="V3431" t="s">
        <v>6421</v>
      </c>
      <c r="W3431">
        <v>48062</v>
      </c>
      <c r="X3431" t="s">
        <v>1551</v>
      </c>
      <c r="Y3431">
        <v>36411</v>
      </c>
      <c r="Z3431">
        <v>1537984</v>
      </c>
      <c r="AA3431">
        <v>372832</v>
      </c>
      <c r="AB3431" t="str">
        <f>(VLOOKUP(SalesData[[#This Row],[Month Number]],Reference!C$5:E$16,2,FALSE))</f>
        <v>Feb</v>
      </c>
      <c r="AC3431">
        <f>MONTH(SalesData[[#This Row],[Date]])</f>
        <v>2</v>
      </c>
      <c r="AD3431">
        <f>Reference!F$4</f>
        <v>2026</v>
      </c>
      <c r="AE3431" t="str">
        <f>IF(OR(SalesData[[#This Row],[Day]]="Saturday",SalesData[[#This Row],[Day]]="Sunday"),"Weekend","Weekday")</f>
        <v>Weekday</v>
      </c>
      <c r="AF3431" s="5">
        <f>IF(SalesData[[#This Row],[Contracts Offered]]=0,0,SalesData[[#This Row],[Contracts Signed]]/SalesData[[#This Row],[Contracts Offered]])</f>
        <v>0.29629629629629628</v>
      </c>
      <c r="AG3431" s="5">
        <f>IF(SalesData[[#This Row],[Customers Visited]]=0,0,SalesData[[#This Row],[Test Drives]]/SalesData[[#This Row],[Customers Visited]])</f>
        <v>0.59143968871595332</v>
      </c>
      <c r="AH3431" s="5">
        <f>IF(SalesData[[#This Row],[Customers Visited]]=0,0,SalesData[[#This Row],[Contracts Signed]]/SalesData[[#This Row],[Customers Visited]])</f>
        <v>0.1245136186770428</v>
      </c>
      <c r="AI3431" s="6">
        <f>IF(SalesData[[#This Row],[Contracts Signed]]=0,0,SalesData[[#This Row],[Profit(€)]]/SalesData[[#This Row],[Contracts Signed]])</f>
        <v>11651</v>
      </c>
      <c r="AJ3431" s="5" t="str">
        <f>TRIM(CLEAN(SalesData[[#This Row],[Retailer]]))</f>
        <v>Hannover Cars</v>
      </c>
    </row>
    <row r="3432" spans="1:36" ht="14.25" hidden="1" x14ac:dyDescent="0.2">
      <c r="A3432" t="s">
        <v>4629</v>
      </c>
      <c r="B3432" s="1">
        <v>46055</v>
      </c>
      <c r="C3432" t="s">
        <v>24</v>
      </c>
      <c r="D3432" t="s">
        <v>25</v>
      </c>
      <c r="E3432" t="s">
        <v>26</v>
      </c>
      <c r="F3432" t="s">
        <v>83</v>
      </c>
      <c r="G3432" t="s">
        <v>84</v>
      </c>
      <c r="H3432" t="s">
        <v>85</v>
      </c>
      <c r="I3432" t="s">
        <v>56</v>
      </c>
      <c r="J3432" t="s">
        <v>137</v>
      </c>
      <c r="K3432" t="s">
        <v>78</v>
      </c>
      <c r="L3432" t="s">
        <v>46</v>
      </c>
      <c r="M3432" t="s">
        <v>87</v>
      </c>
      <c r="N3432" t="s">
        <v>35</v>
      </c>
      <c r="O3432" t="s">
        <v>36</v>
      </c>
      <c r="P3432" t="s">
        <v>49</v>
      </c>
      <c r="Q3432" t="s">
        <v>118</v>
      </c>
      <c r="R3432">
        <v>225</v>
      </c>
      <c r="S3432">
        <v>118</v>
      </c>
      <c r="T3432">
        <v>88</v>
      </c>
      <c r="U3432">
        <v>27</v>
      </c>
      <c r="V3432" t="s">
        <v>6574</v>
      </c>
      <c r="W3432">
        <v>46690</v>
      </c>
      <c r="X3432" t="s">
        <v>51</v>
      </c>
      <c r="Y3432">
        <v>36285</v>
      </c>
      <c r="Z3432">
        <v>1260630</v>
      </c>
      <c r="AA3432">
        <v>280935</v>
      </c>
      <c r="AB3432" t="str">
        <f>(VLOOKUP(SalesData[[#This Row],[Month Number]],Reference!C$5:E$16,2,FALSE))</f>
        <v>Feb</v>
      </c>
      <c r="AC3432">
        <f>MONTH(SalesData[[#This Row],[Date]])</f>
        <v>2</v>
      </c>
      <c r="AD3432">
        <f>Reference!F$4</f>
        <v>2026</v>
      </c>
      <c r="AE3432" t="str">
        <f>IF(OR(SalesData[[#This Row],[Day]]="Saturday",SalesData[[#This Row],[Day]]="Sunday"),"Weekend","Weekday")</f>
        <v>Weekday</v>
      </c>
      <c r="AF3432" s="5">
        <f>IF(SalesData[[#This Row],[Contracts Offered]]=0,0,SalesData[[#This Row],[Contracts Signed]]/SalesData[[#This Row],[Contracts Offered]])</f>
        <v>0.30681818181818182</v>
      </c>
      <c r="AG3432" s="5">
        <f>IF(SalesData[[#This Row],[Customers Visited]]=0,0,SalesData[[#This Row],[Test Drives]]/SalesData[[#This Row],[Customers Visited]])</f>
        <v>0.52444444444444449</v>
      </c>
      <c r="AH3432" s="5">
        <f>IF(SalesData[[#This Row],[Customers Visited]]=0,0,SalesData[[#This Row],[Contracts Signed]]/SalesData[[#This Row],[Customers Visited]])</f>
        <v>0.12</v>
      </c>
      <c r="AI3432" s="6">
        <f>IF(SalesData[[#This Row],[Contracts Signed]]=0,0,SalesData[[#This Row],[Profit(€)]]/SalesData[[#This Row],[Contracts Signed]])</f>
        <v>10405</v>
      </c>
      <c r="AJ3432" s="5" t="str">
        <f>TRIM(CLEAN(SalesData[[#This Row],[Retailer]]))</f>
        <v>Hannover Cars</v>
      </c>
    </row>
    <row r="3433" spans="1:36" ht="14.25" hidden="1" x14ac:dyDescent="0.2">
      <c r="A3433" t="s">
        <v>4630</v>
      </c>
      <c r="B3433" s="1">
        <v>46067</v>
      </c>
      <c r="C3433" t="s">
        <v>121</v>
      </c>
      <c r="D3433" t="s">
        <v>151</v>
      </c>
      <c r="E3433" t="s">
        <v>42</v>
      </c>
      <c r="F3433" t="s">
        <v>114</v>
      </c>
      <c r="G3433" t="s">
        <v>115</v>
      </c>
      <c r="H3433" t="s">
        <v>115</v>
      </c>
      <c r="I3433" t="s">
        <v>104</v>
      </c>
      <c r="J3433" t="s">
        <v>140</v>
      </c>
      <c r="K3433" t="s">
        <v>91</v>
      </c>
      <c r="L3433" t="s">
        <v>46</v>
      </c>
      <c r="M3433" t="s">
        <v>68</v>
      </c>
      <c r="N3433" t="s">
        <v>48</v>
      </c>
      <c r="O3433" t="s">
        <v>70</v>
      </c>
      <c r="P3433" t="s">
        <v>58</v>
      </c>
      <c r="Q3433" t="s">
        <v>118</v>
      </c>
      <c r="R3433">
        <v>477</v>
      </c>
      <c r="S3433">
        <v>201</v>
      </c>
      <c r="T3433">
        <v>132</v>
      </c>
      <c r="U3433">
        <v>39</v>
      </c>
      <c r="V3433" t="s">
        <v>1487</v>
      </c>
      <c r="W3433">
        <v>31612</v>
      </c>
      <c r="X3433" t="s">
        <v>3113</v>
      </c>
      <c r="Y3433">
        <v>28459</v>
      </c>
      <c r="Z3433">
        <v>1232868</v>
      </c>
      <c r="AA3433">
        <v>122967</v>
      </c>
      <c r="AB3433" t="str">
        <f>(VLOOKUP(SalesData[[#This Row],[Month Number]],Reference!C$5:E$16,2,FALSE))</f>
        <v>Feb</v>
      </c>
      <c r="AC3433">
        <f>MONTH(SalesData[[#This Row],[Date]])</f>
        <v>2</v>
      </c>
      <c r="AD3433">
        <f>Reference!F$4</f>
        <v>2026</v>
      </c>
      <c r="AE3433" t="str">
        <f>IF(OR(SalesData[[#This Row],[Day]]="Saturday",SalesData[[#This Row],[Day]]="Sunday"),"Weekend","Weekday")</f>
        <v>Weekend</v>
      </c>
      <c r="AF3433" s="5">
        <f>IF(SalesData[[#This Row],[Contracts Offered]]=0,0,SalesData[[#This Row],[Contracts Signed]]/SalesData[[#This Row],[Contracts Offered]])</f>
        <v>0.29545454545454547</v>
      </c>
      <c r="AG3433" s="5">
        <f>IF(SalesData[[#This Row],[Customers Visited]]=0,0,SalesData[[#This Row],[Test Drives]]/SalesData[[#This Row],[Customers Visited]])</f>
        <v>0.42138364779874216</v>
      </c>
      <c r="AH3433" s="5">
        <f>IF(SalesData[[#This Row],[Customers Visited]]=0,0,SalesData[[#This Row],[Contracts Signed]]/SalesData[[#This Row],[Customers Visited]])</f>
        <v>8.1761006289308172E-2</v>
      </c>
      <c r="AI3433" s="6">
        <f>IF(SalesData[[#This Row],[Contracts Signed]]=0,0,SalesData[[#This Row],[Profit(€)]]/SalesData[[#This Row],[Contracts Signed]])</f>
        <v>3153</v>
      </c>
      <c r="AJ3433" s="5" t="str">
        <f>TRIM(CLEAN(SalesData[[#This Row],[Retailer]]))</f>
        <v>Elbe Drive</v>
      </c>
    </row>
    <row r="3434" spans="1:36" ht="14.25" hidden="1" x14ac:dyDescent="0.2">
      <c r="A3434" t="s">
        <v>4631</v>
      </c>
      <c r="B3434" s="1">
        <v>46060</v>
      </c>
      <c r="C3434" t="s">
        <v>24</v>
      </c>
      <c r="D3434" t="s">
        <v>151</v>
      </c>
      <c r="E3434" t="s">
        <v>42</v>
      </c>
      <c r="F3434" t="s">
        <v>83</v>
      </c>
      <c r="G3434" t="s">
        <v>84</v>
      </c>
      <c r="H3434" t="s">
        <v>85</v>
      </c>
      <c r="I3434" t="s">
        <v>56</v>
      </c>
      <c r="J3434" t="s">
        <v>179</v>
      </c>
      <c r="K3434" t="s">
        <v>78</v>
      </c>
      <c r="L3434" t="s">
        <v>67</v>
      </c>
      <c r="M3434" t="s">
        <v>68</v>
      </c>
      <c r="N3434" t="s">
        <v>35</v>
      </c>
      <c r="O3434" t="s">
        <v>70</v>
      </c>
      <c r="P3434" t="s">
        <v>58</v>
      </c>
      <c r="Q3434" t="s">
        <v>118</v>
      </c>
      <c r="R3434">
        <v>177</v>
      </c>
      <c r="S3434">
        <v>88</v>
      </c>
      <c r="T3434">
        <v>66</v>
      </c>
      <c r="U3434">
        <v>23</v>
      </c>
      <c r="V3434" t="s">
        <v>6775</v>
      </c>
      <c r="W3434">
        <v>45821</v>
      </c>
      <c r="X3434" t="s">
        <v>2138</v>
      </c>
      <c r="Y3434">
        <v>37298</v>
      </c>
      <c r="Z3434">
        <v>1053883</v>
      </c>
      <c r="AA3434">
        <v>196029</v>
      </c>
      <c r="AB3434" t="str">
        <f>(VLOOKUP(SalesData[[#This Row],[Month Number]],Reference!C$5:E$16,2,FALSE))</f>
        <v>Feb</v>
      </c>
      <c r="AC3434">
        <f>MONTH(SalesData[[#This Row],[Date]])</f>
        <v>2</v>
      </c>
      <c r="AD3434">
        <f>Reference!F$4</f>
        <v>2026</v>
      </c>
      <c r="AE3434" t="str">
        <f>IF(OR(SalesData[[#This Row],[Day]]="Saturday",SalesData[[#This Row],[Day]]="Sunday"),"Weekend","Weekday")</f>
        <v>Weekend</v>
      </c>
      <c r="AF3434" s="5">
        <f>IF(SalesData[[#This Row],[Contracts Offered]]=0,0,SalesData[[#This Row],[Contracts Signed]]/SalesData[[#This Row],[Contracts Offered]])</f>
        <v>0.34848484848484851</v>
      </c>
      <c r="AG3434" s="5">
        <f>IF(SalesData[[#This Row],[Customers Visited]]=0,0,SalesData[[#This Row],[Test Drives]]/SalesData[[#This Row],[Customers Visited]])</f>
        <v>0.49717514124293788</v>
      </c>
      <c r="AH3434" s="5">
        <f>IF(SalesData[[#This Row],[Customers Visited]]=0,0,SalesData[[#This Row],[Contracts Signed]]/SalesData[[#This Row],[Customers Visited]])</f>
        <v>0.12994350282485875</v>
      </c>
      <c r="AI3434" s="6">
        <f>IF(SalesData[[#This Row],[Contracts Signed]]=0,0,SalesData[[#This Row],[Profit(€)]]/SalesData[[#This Row],[Contracts Signed]])</f>
        <v>8523</v>
      </c>
      <c r="AJ3434" s="5" t="str">
        <f>TRIM(CLEAN(SalesData[[#This Row],[Retailer]]))</f>
        <v>Hannover Cars</v>
      </c>
    </row>
    <row r="3435" spans="1:36" ht="14.25" hidden="1" x14ac:dyDescent="0.2">
      <c r="A3435" t="s">
        <v>4632</v>
      </c>
      <c r="B3435" s="1">
        <v>46054</v>
      </c>
      <c r="C3435" t="s">
        <v>24</v>
      </c>
      <c r="D3435" t="s">
        <v>41</v>
      </c>
      <c r="E3435" t="s">
        <v>42</v>
      </c>
      <c r="F3435" t="s">
        <v>83</v>
      </c>
      <c r="G3435" t="s">
        <v>84</v>
      </c>
      <c r="H3435" t="s">
        <v>85</v>
      </c>
      <c r="I3435" t="s">
        <v>104</v>
      </c>
      <c r="J3435" t="s">
        <v>140</v>
      </c>
      <c r="K3435" t="s">
        <v>32</v>
      </c>
      <c r="L3435" t="s">
        <v>46</v>
      </c>
      <c r="M3435" t="s">
        <v>47</v>
      </c>
      <c r="N3435" t="s">
        <v>35</v>
      </c>
      <c r="O3435" t="s">
        <v>36</v>
      </c>
      <c r="P3435" t="s">
        <v>37</v>
      </c>
      <c r="Q3435" t="s">
        <v>144</v>
      </c>
      <c r="R3435">
        <v>395</v>
      </c>
      <c r="S3435">
        <v>201</v>
      </c>
      <c r="T3435">
        <v>144</v>
      </c>
      <c r="U3435">
        <v>29</v>
      </c>
      <c r="V3435" t="s">
        <v>4123</v>
      </c>
      <c r="W3435">
        <v>29353</v>
      </c>
      <c r="X3435" t="s">
        <v>2292</v>
      </c>
      <c r="Y3435">
        <v>25965</v>
      </c>
      <c r="Z3435">
        <v>851237</v>
      </c>
      <c r="AA3435">
        <v>98252</v>
      </c>
      <c r="AB3435" t="str">
        <f>(VLOOKUP(SalesData[[#This Row],[Month Number]],Reference!C$5:E$16,2,FALSE))</f>
        <v>Feb</v>
      </c>
      <c r="AC3435">
        <f>MONTH(SalesData[[#This Row],[Date]])</f>
        <v>2</v>
      </c>
      <c r="AD3435">
        <f>Reference!F$4</f>
        <v>2026</v>
      </c>
      <c r="AE3435" t="str">
        <f>IF(OR(SalesData[[#This Row],[Day]]="Saturday",SalesData[[#This Row],[Day]]="Sunday"),"Weekend","Weekday")</f>
        <v>Weekend</v>
      </c>
      <c r="AF3435" s="5">
        <f>IF(SalesData[[#This Row],[Contracts Offered]]=0,0,SalesData[[#This Row],[Contracts Signed]]/SalesData[[#This Row],[Contracts Offered]])</f>
        <v>0.2013888888888889</v>
      </c>
      <c r="AG3435" s="5">
        <f>IF(SalesData[[#This Row],[Customers Visited]]=0,0,SalesData[[#This Row],[Test Drives]]/SalesData[[#This Row],[Customers Visited]])</f>
        <v>0.50886075949367093</v>
      </c>
      <c r="AH3435" s="5">
        <f>IF(SalesData[[#This Row],[Customers Visited]]=0,0,SalesData[[#This Row],[Contracts Signed]]/SalesData[[#This Row],[Customers Visited]])</f>
        <v>7.3417721518987344E-2</v>
      </c>
      <c r="AI3435" s="6">
        <f>IF(SalesData[[#This Row],[Contracts Signed]]=0,0,SalesData[[#This Row],[Profit(€)]]/SalesData[[#This Row],[Contracts Signed]])</f>
        <v>3388</v>
      </c>
      <c r="AJ3435" s="5" t="str">
        <f>TRIM(CLEAN(SalesData[[#This Row],[Retailer]]))</f>
        <v>Hannover Cars</v>
      </c>
    </row>
    <row r="3436" spans="1:36" ht="14.25" hidden="1" x14ac:dyDescent="0.2">
      <c r="A3436" t="s">
        <v>4633</v>
      </c>
      <c r="B3436" s="1">
        <v>46065</v>
      </c>
      <c r="C3436" t="s">
        <v>121</v>
      </c>
      <c r="D3436" t="s">
        <v>100</v>
      </c>
      <c r="E3436" t="s">
        <v>26</v>
      </c>
      <c r="F3436" t="s">
        <v>83</v>
      </c>
      <c r="G3436" t="s">
        <v>84</v>
      </c>
      <c r="H3436" t="s">
        <v>85</v>
      </c>
      <c r="I3436" t="s">
        <v>104</v>
      </c>
      <c r="J3436" t="s">
        <v>7061</v>
      </c>
      <c r="K3436" t="s">
        <v>91</v>
      </c>
      <c r="L3436" t="s">
        <v>46</v>
      </c>
      <c r="M3436" t="s">
        <v>34</v>
      </c>
      <c r="N3436" t="s">
        <v>69</v>
      </c>
      <c r="O3436" t="s">
        <v>70</v>
      </c>
      <c r="P3436" t="s">
        <v>37</v>
      </c>
      <c r="Q3436" t="s">
        <v>79</v>
      </c>
      <c r="R3436">
        <v>467</v>
      </c>
      <c r="S3436">
        <v>187</v>
      </c>
      <c r="T3436">
        <v>108</v>
      </c>
      <c r="U3436">
        <v>22</v>
      </c>
      <c r="V3436" t="s">
        <v>313</v>
      </c>
      <c r="W3436">
        <v>28052</v>
      </c>
      <c r="X3436" t="s">
        <v>7311</v>
      </c>
      <c r="Y3436">
        <v>24841</v>
      </c>
      <c r="Z3436">
        <v>617144</v>
      </c>
      <c r="AA3436">
        <v>70642</v>
      </c>
      <c r="AB3436" t="str">
        <f>(VLOOKUP(SalesData[[#This Row],[Month Number]],Reference!C$5:E$16,2,FALSE))</f>
        <v>Feb</v>
      </c>
      <c r="AC3436">
        <f>MONTH(SalesData[[#This Row],[Date]])</f>
        <v>2</v>
      </c>
      <c r="AD3436">
        <f>Reference!F$4</f>
        <v>2026</v>
      </c>
      <c r="AE3436" t="str">
        <f>IF(OR(SalesData[[#This Row],[Day]]="Saturday",SalesData[[#This Row],[Day]]="Sunday"),"Weekend","Weekday")</f>
        <v>Weekday</v>
      </c>
      <c r="AF3436" s="5">
        <f>IF(SalesData[[#This Row],[Contracts Offered]]=0,0,SalesData[[#This Row],[Contracts Signed]]/SalesData[[#This Row],[Contracts Offered]])</f>
        <v>0.20370370370370369</v>
      </c>
      <c r="AG3436" s="5">
        <f>IF(SalesData[[#This Row],[Customers Visited]]=0,0,SalesData[[#This Row],[Test Drives]]/SalesData[[#This Row],[Customers Visited]])</f>
        <v>0.40042826552462529</v>
      </c>
      <c r="AH3436" s="5">
        <f>IF(SalesData[[#This Row],[Customers Visited]]=0,0,SalesData[[#This Row],[Contracts Signed]]/SalesData[[#This Row],[Customers Visited]])</f>
        <v>4.7109207708779445E-2</v>
      </c>
      <c r="AI3436" s="6">
        <f>IF(SalesData[[#This Row],[Contracts Signed]]=0,0,SalesData[[#This Row],[Profit(€)]]/SalesData[[#This Row],[Contracts Signed]])</f>
        <v>3211</v>
      </c>
      <c r="AJ3436" s="5" t="str">
        <f>TRIM(CLEAN(SalesData[[#This Row],[Retailer]]))</f>
        <v>Hannover Cars</v>
      </c>
    </row>
    <row r="3437" spans="1:36" ht="14.25" hidden="1" x14ac:dyDescent="0.2">
      <c r="A3437" t="s">
        <v>4634</v>
      </c>
      <c r="B3437" s="1">
        <v>46078</v>
      </c>
      <c r="C3437" t="s">
        <v>53</v>
      </c>
      <c r="D3437" t="s">
        <v>82</v>
      </c>
      <c r="E3437" t="s">
        <v>26</v>
      </c>
      <c r="F3437" t="s">
        <v>101</v>
      </c>
      <c r="G3437" t="s">
        <v>102</v>
      </c>
      <c r="H3437" t="s">
        <v>103</v>
      </c>
      <c r="I3437" t="s">
        <v>64</v>
      </c>
      <c r="J3437" t="s">
        <v>111</v>
      </c>
      <c r="K3437" t="s">
        <v>66</v>
      </c>
      <c r="L3437" t="s">
        <v>46</v>
      </c>
      <c r="M3437" t="s">
        <v>87</v>
      </c>
      <c r="N3437" t="s">
        <v>35</v>
      </c>
      <c r="O3437" t="s">
        <v>36</v>
      </c>
      <c r="P3437" t="s">
        <v>58</v>
      </c>
      <c r="Q3437" t="s">
        <v>129</v>
      </c>
      <c r="R3437">
        <v>266</v>
      </c>
      <c r="S3437">
        <v>119</v>
      </c>
      <c r="T3437">
        <v>88</v>
      </c>
      <c r="U3437">
        <v>31</v>
      </c>
      <c r="V3437" t="s">
        <v>6499</v>
      </c>
      <c r="W3437">
        <v>66267</v>
      </c>
      <c r="X3437" t="s">
        <v>7496</v>
      </c>
      <c r="Y3437">
        <v>47873</v>
      </c>
      <c r="Z3437">
        <v>2054277</v>
      </c>
      <c r="AA3437">
        <v>570214</v>
      </c>
      <c r="AB3437" t="str">
        <f>(VLOOKUP(SalesData[[#This Row],[Month Number]],Reference!C$5:E$16,2,FALSE))</f>
        <v>Feb</v>
      </c>
      <c r="AC3437">
        <f>MONTH(SalesData[[#This Row],[Date]])</f>
        <v>2</v>
      </c>
      <c r="AD3437">
        <f>Reference!F$4</f>
        <v>2026</v>
      </c>
      <c r="AE3437" t="str">
        <f>IF(OR(SalesData[[#This Row],[Day]]="Saturday",SalesData[[#This Row],[Day]]="Sunday"),"Weekend","Weekday")</f>
        <v>Weekday</v>
      </c>
      <c r="AF3437" s="5">
        <f>IF(SalesData[[#This Row],[Contracts Offered]]=0,0,SalesData[[#This Row],[Contracts Signed]]/SalesData[[#This Row],[Contracts Offered]])</f>
        <v>0.35227272727272729</v>
      </c>
      <c r="AG3437" s="5">
        <f>IF(SalesData[[#This Row],[Customers Visited]]=0,0,SalesData[[#This Row],[Test Drives]]/SalesData[[#This Row],[Customers Visited]])</f>
        <v>0.44736842105263158</v>
      </c>
      <c r="AH3437" s="5">
        <f>IF(SalesData[[#This Row],[Customers Visited]]=0,0,SalesData[[#This Row],[Contracts Signed]]/SalesData[[#This Row],[Customers Visited]])</f>
        <v>0.11654135338345864</v>
      </c>
      <c r="AI3437" s="6">
        <f>IF(SalesData[[#This Row],[Contracts Signed]]=0,0,SalesData[[#This Row],[Profit(€)]]/SalesData[[#This Row],[Contracts Signed]])</f>
        <v>18394</v>
      </c>
      <c r="AJ3437" s="5" t="str">
        <f>TRIM(CLEAN(SalesData[[#This Row],[Retailer]]))</f>
        <v>Ruhr Auto Plaza</v>
      </c>
    </row>
    <row r="3438" spans="1:36" ht="14.25" x14ac:dyDescent="0.2">
      <c r="A3438" t="s">
        <v>4635</v>
      </c>
      <c r="B3438" s="1">
        <v>46078</v>
      </c>
      <c r="C3438" t="s">
        <v>53</v>
      </c>
      <c r="D3438" t="s">
        <v>82</v>
      </c>
      <c r="E3438" t="s">
        <v>26</v>
      </c>
      <c r="F3438" t="s">
        <v>127</v>
      </c>
      <c r="G3438" t="s">
        <v>128</v>
      </c>
      <c r="H3438" t="s">
        <v>103</v>
      </c>
      <c r="I3438" t="s">
        <v>30</v>
      </c>
      <c r="J3438" t="s">
        <v>188</v>
      </c>
      <c r="K3438" t="s">
        <v>91</v>
      </c>
      <c r="L3438" t="s">
        <v>33</v>
      </c>
      <c r="M3438" t="s">
        <v>47</v>
      </c>
      <c r="N3438" t="s">
        <v>48</v>
      </c>
      <c r="O3438" t="s">
        <v>70</v>
      </c>
      <c r="P3438" t="s">
        <v>71</v>
      </c>
      <c r="Q3438" t="s">
        <v>129</v>
      </c>
      <c r="R3438">
        <v>278</v>
      </c>
      <c r="S3438">
        <v>138</v>
      </c>
      <c r="T3438">
        <v>96</v>
      </c>
      <c r="U3438">
        <v>42</v>
      </c>
      <c r="V3438" t="s">
        <v>7064</v>
      </c>
      <c r="W3438">
        <v>62654</v>
      </c>
      <c r="X3438" t="s">
        <v>7227</v>
      </c>
      <c r="Y3438">
        <v>48768</v>
      </c>
      <c r="Z3438">
        <v>2631468</v>
      </c>
      <c r="AA3438">
        <v>583212</v>
      </c>
      <c r="AB3438" t="str">
        <f>(VLOOKUP(SalesData[[#This Row],[Month Number]],Reference!C$5:E$16,2,FALSE))</f>
        <v>Feb</v>
      </c>
      <c r="AC3438">
        <f>MONTH(SalesData[[#This Row],[Date]])</f>
        <v>2</v>
      </c>
      <c r="AD3438">
        <f>Reference!F$4</f>
        <v>2026</v>
      </c>
      <c r="AE3438" t="str">
        <f>IF(OR(SalesData[[#This Row],[Day]]="Saturday",SalesData[[#This Row],[Day]]="Sunday"),"Weekend","Weekday")</f>
        <v>Weekday</v>
      </c>
      <c r="AF3438" s="5">
        <f>IF(SalesData[[#This Row],[Contracts Offered]]=0,0,SalesData[[#This Row],[Contracts Signed]]/SalesData[[#This Row],[Contracts Offered]])</f>
        <v>0.4375</v>
      </c>
      <c r="AG3438" s="5">
        <f>IF(SalesData[[#This Row],[Customers Visited]]=0,0,SalesData[[#This Row],[Test Drives]]/SalesData[[#This Row],[Customers Visited]])</f>
        <v>0.49640287769784175</v>
      </c>
      <c r="AH3438" s="5">
        <f>IF(SalesData[[#This Row],[Customers Visited]]=0,0,SalesData[[#This Row],[Contracts Signed]]/SalesData[[#This Row],[Customers Visited]])</f>
        <v>0.15107913669064749</v>
      </c>
      <c r="AI3438" s="6">
        <f>IF(SalesData[[#This Row],[Contracts Signed]]=0,0,SalesData[[#This Row],[Profit(€)]]/SalesData[[#This Row],[Contracts Signed]])</f>
        <v>13886</v>
      </c>
      <c r="AJ3438" s="5" t="str">
        <f>TRIM(CLEAN(SalesData[[#This Row],[Retailer]]))</f>
        <v>Rhein Auto Group</v>
      </c>
    </row>
    <row r="3439" spans="1:36" ht="14.25" hidden="1" x14ac:dyDescent="0.2">
      <c r="A3439" t="s">
        <v>4636</v>
      </c>
      <c r="B3439" s="1">
        <v>46066</v>
      </c>
      <c r="C3439" t="s">
        <v>121</v>
      </c>
      <c r="D3439" t="s">
        <v>54</v>
      </c>
      <c r="E3439" t="s">
        <v>26</v>
      </c>
      <c r="F3439" t="s">
        <v>7649</v>
      </c>
      <c r="G3439" t="s">
        <v>55</v>
      </c>
      <c r="H3439" t="s">
        <v>55</v>
      </c>
      <c r="I3439" t="s">
        <v>56</v>
      </c>
      <c r="J3439" t="s">
        <v>179</v>
      </c>
      <c r="K3439" t="s">
        <v>91</v>
      </c>
      <c r="L3439" t="s">
        <v>67</v>
      </c>
      <c r="M3439" t="s">
        <v>87</v>
      </c>
      <c r="N3439" t="s">
        <v>48</v>
      </c>
      <c r="O3439" t="s">
        <v>70</v>
      </c>
      <c r="P3439" t="s">
        <v>49</v>
      </c>
      <c r="Q3439" t="s">
        <v>189</v>
      </c>
      <c r="R3439">
        <v>303</v>
      </c>
      <c r="S3439">
        <v>179</v>
      </c>
      <c r="T3439">
        <v>122</v>
      </c>
      <c r="U3439">
        <v>44</v>
      </c>
      <c r="V3439" t="s">
        <v>6406</v>
      </c>
      <c r="W3439">
        <v>44078</v>
      </c>
      <c r="X3439" t="s">
        <v>3904</v>
      </c>
      <c r="Y3439">
        <v>33839</v>
      </c>
      <c r="Z3439">
        <v>1939432</v>
      </c>
      <c r="AA3439">
        <v>450516</v>
      </c>
      <c r="AB3439" t="str">
        <f>(VLOOKUP(SalesData[[#This Row],[Month Number]],Reference!C$5:E$16,2,FALSE))</f>
        <v>Feb</v>
      </c>
      <c r="AC3439">
        <f>MONTH(SalesData[[#This Row],[Date]])</f>
        <v>2</v>
      </c>
      <c r="AD3439">
        <f>Reference!F$4</f>
        <v>2026</v>
      </c>
      <c r="AE3439" t="str">
        <f>IF(OR(SalesData[[#This Row],[Day]]="Saturday",SalesData[[#This Row],[Day]]="Sunday"),"Weekend","Weekday")</f>
        <v>Weekday</v>
      </c>
      <c r="AF3439" s="5">
        <f>IF(SalesData[[#This Row],[Contracts Offered]]=0,0,SalesData[[#This Row],[Contracts Signed]]/SalesData[[#This Row],[Contracts Offered]])</f>
        <v>0.36065573770491804</v>
      </c>
      <c r="AG3439" s="5">
        <f>IF(SalesData[[#This Row],[Customers Visited]]=0,0,SalesData[[#This Row],[Test Drives]]/SalesData[[#This Row],[Customers Visited]])</f>
        <v>0.5907590759075908</v>
      </c>
      <c r="AH3439" s="5">
        <f>IF(SalesData[[#This Row],[Customers Visited]]=0,0,SalesData[[#This Row],[Contracts Signed]]/SalesData[[#This Row],[Customers Visited]])</f>
        <v>0.14521452145214522</v>
      </c>
      <c r="AI3439" s="6">
        <f>IF(SalesData[[#This Row],[Contracts Signed]]=0,0,SalesData[[#This Row],[Profit(€)]]/SalesData[[#This Row],[Contracts Signed]])</f>
        <v>10239</v>
      </c>
      <c r="AJ3439" s="5" t="str">
        <f>TRIM(CLEAN(SalesData[[#This Row],[Retailer]]))</f>
        <v>Autohaus Berlin</v>
      </c>
    </row>
    <row r="3440" spans="1:36" ht="14.25" hidden="1" x14ac:dyDescent="0.2">
      <c r="A3440" t="s">
        <v>4637</v>
      </c>
      <c r="B3440" s="1">
        <v>46078</v>
      </c>
      <c r="C3440" t="s">
        <v>53</v>
      </c>
      <c r="D3440" t="s">
        <v>82</v>
      </c>
      <c r="E3440" t="s">
        <v>26</v>
      </c>
      <c r="F3440" t="s">
        <v>43</v>
      </c>
      <c r="G3440" t="s">
        <v>44</v>
      </c>
      <c r="H3440" t="s">
        <v>45</v>
      </c>
      <c r="I3440" t="s">
        <v>116</v>
      </c>
      <c r="J3440" t="s">
        <v>132</v>
      </c>
      <c r="K3440" t="s">
        <v>91</v>
      </c>
      <c r="L3440" t="s">
        <v>46</v>
      </c>
      <c r="M3440" t="s">
        <v>47</v>
      </c>
      <c r="N3440" t="s">
        <v>69</v>
      </c>
      <c r="O3440" t="s">
        <v>36</v>
      </c>
      <c r="P3440" t="s">
        <v>58</v>
      </c>
      <c r="Q3440" t="s">
        <v>189</v>
      </c>
      <c r="R3440">
        <v>325</v>
      </c>
      <c r="S3440">
        <v>168</v>
      </c>
      <c r="T3440">
        <v>114</v>
      </c>
      <c r="U3440">
        <v>32</v>
      </c>
      <c r="V3440" t="s">
        <v>367</v>
      </c>
      <c r="W3440">
        <v>24267</v>
      </c>
      <c r="X3440" t="s">
        <v>138</v>
      </c>
      <c r="Y3440">
        <v>22504</v>
      </c>
      <c r="Z3440">
        <v>776544</v>
      </c>
      <c r="AA3440">
        <v>56416</v>
      </c>
      <c r="AB3440" t="str">
        <f>(VLOOKUP(SalesData[[#This Row],[Month Number]],Reference!C$5:E$16,2,FALSE))</f>
        <v>Feb</v>
      </c>
      <c r="AC3440">
        <f>MONTH(SalesData[[#This Row],[Date]])</f>
        <v>2</v>
      </c>
      <c r="AD3440">
        <f>Reference!F$4</f>
        <v>2026</v>
      </c>
      <c r="AE3440" t="str">
        <f>IF(OR(SalesData[[#This Row],[Day]]="Saturday",SalesData[[#This Row],[Day]]="Sunday"),"Weekend","Weekday")</f>
        <v>Weekday</v>
      </c>
      <c r="AF3440" s="5">
        <f>IF(SalesData[[#This Row],[Contracts Offered]]=0,0,SalesData[[#This Row],[Contracts Signed]]/SalesData[[#This Row],[Contracts Offered]])</f>
        <v>0.2807017543859649</v>
      </c>
      <c r="AG3440" s="5">
        <f>IF(SalesData[[#This Row],[Customers Visited]]=0,0,SalesData[[#This Row],[Test Drives]]/SalesData[[#This Row],[Customers Visited]])</f>
        <v>0.51692307692307693</v>
      </c>
      <c r="AH3440" s="5">
        <f>IF(SalesData[[#This Row],[Customers Visited]]=0,0,SalesData[[#This Row],[Contracts Signed]]/SalesData[[#This Row],[Customers Visited]])</f>
        <v>9.8461538461538461E-2</v>
      </c>
      <c r="AI3440" s="6">
        <f>IF(SalesData[[#This Row],[Contracts Signed]]=0,0,SalesData[[#This Row],[Profit(€)]]/SalesData[[#This Row],[Contracts Signed]])</f>
        <v>1763</v>
      </c>
      <c r="AJ3440" s="5" t="str">
        <f>TRIM(CLEAN(SalesData[[#This Row],[Retailer]]))</f>
        <v>Saxon Wheels</v>
      </c>
    </row>
    <row r="3441" spans="1:36" ht="14.25" hidden="1" x14ac:dyDescent="0.2">
      <c r="A3441" t="s">
        <v>4638</v>
      </c>
      <c r="B3441" s="1">
        <v>46056</v>
      </c>
      <c r="C3441" t="s">
        <v>24</v>
      </c>
      <c r="D3441" t="s">
        <v>63</v>
      </c>
      <c r="E3441" t="s">
        <v>26</v>
      </c>
      <c r="F3441" t="s">
        <v>94</v>
      </c>
      <c r="G3441" t="s">
        <v>95</v>
      </c>
      <c r="H3441" t="s">
        <v>96</v>
      </c>
      <c r="I3441" t="s">
        <v>64</v>
      </c>
      <c r="J3441" t="s">
        <v>7029</v>
      </c>
      <c r="K3441" t="s">
        <v>91</v>
      </c>
      <c r="L3441" t="s">
        <v>33</v>
      </c>
      <c r="M3441" t="s">
        <v>47</v>
      </c>
      <c r="N3441" t="s">
        <v>48</v>
      </c>
      <c r="O3441" t="s">
        <v>36</v>
      </c>
      <c r="P3441" t="s">
        <v>37</v>
      </c>
      <c r="Q3441" t="s">
        <v>118</v>
      </c>
      <c r="R3441">
        <v>250</v>
      </c>
      <c r="S3441">
        <v>146</v>
      </c>
      <c r="T3441">
        <v>112</v>
      </c>
      <c r="U3441">
        <v>35</v>
      </c>
      <c r="V3441" t="s">
        <v>6682</v>
      </c>
      <c r="W3441">
        <v>71419</v>
      </c>
      <c r="X3441" t="s">
        <v>7144</v>
      </c>
      <c r="Y3441">
        <v>52051</v>
      </c>
      <c r="Z3441">
        <v>2499665</v>
      </c>
      <c r="AA3441">
        <v>677880</v>
      </c>
      <c r="AB3441" t="str">
        <f>(VLOOKUP(SalesData[[#This Row],[Month Number]],Reference!C$5:E$16,2,FALSE))</f>
        <v>Feb</v>
      </c>
      <c r="AC3441">
        <f>MONTH(SalesData[[#This Row],[Date]])</f>
        <v>2</v>
      </c>
      <c r="AD3441">
        <f>Reference!F$4</f>
        <v>2026</v>
      </c>
      <c r="AE3441" t="str">
        <f>IF(OR(SalesData[[#This Row],[Day]]="Saturday",SalesData[[#This Row],[Day]]="Sunday"),"Weekend","Weekday")</f>
        <v>Weekday</v>
      </c>
      <c r="AF3441" s="5">
        <f>IF(SalesData[[#This Row],[Contracts Offered]]=0,0,SalesData[[#This Row],[Contracts Signed]]/SalesData[[#This Row],[Contracts Offered]])</f>
        <v>0.3125</v>
      </c>
      <c r="AG3441" s="5">
        <f>IF(SalesData[[#This Row],[Customers Visited]]=0,0,SalesData[[#This Row],[Test Drives]]/SalesData[[#This Row],[Customers Visited]])</f>
        <v>0.58399999999999996</v>
      </c>
      <c r="AH3441" s="5">
        <f>IF(SalesData[[#This Row],[Customers Visited]]=0,0,SalesData[[#This Row],[Contracts Signed]]/SalesData[[#This Row],[Customers Visited]])</f>
        <v>0.14000000000000001</v>
      </c>
      <c r="AI3441" s="6">
        <f>IF(SalesData[[#This Row],[Contracts Signed]]=0,0,SalesData[[#This Row],[Profit(€)]]/SalesData[[#This Row],[Contracts Signed]])</f>
        <v>19368</v>
      </c>
      <c r="AJ3441" s="5" t="str">
        <f>TRIM(CLEAN(SalesData[[#This Row],[Retailer]]))</f>
        <v>Bavaria Motors</v>
      </c>
    </row>
    <row r="3442" spans="1:36" ht="14.25" hidden="1" x14ac:dyDescent="0.2">
      <c r="A3442" t="s">
        <v>4639</v>
      </c>
      <c r="B3442" s="1">
        <v>46080</v>
      </c>
      <c r="C3442" t="s">
        <v>53</v>
      </c>
      <c r="D3442" t="s">
        <v>54</v>
      </c>
      <c r="E3442" t="s">
        <v>26</v>
      </c>
      <c r="F3442" t="s">
        <v>83</v>
      </c>
      <c r="G3442" t="s">
        <v>84</v>
      </c>
      <c r="H3442" t="s">
        <v>85</v>
      </c>
      <c r="I3442" t="s">
        <v>64</v>
      </c>
      <c r="J3442" t="s">
        <v>65</v>
      </c>
      <c r="K3442" t="s">
        <v>78</v>
      </c>
      <c r="L3442" t="s">
        <v>33</v>
      </c>
      <c r="M3442" t="s">
        <v>87</v>
      </c>
      <c r="N3442" t="s">
        <v>69</v>
      </c>
      <c r="O3442" t="s">
        <v>36</v>
      </c>
      <c r="P3442" t="s">
        <v>49</v>
      </c>
      <c r="Q3442" t="s">
        <v>189</v>
      </c>
      <c r="R3442">
        <v>248</v>
      </c>
      <c r="S3442">
        <v>110</v>
      </c>
      <c r="T3442">
        <v>82</v>
      </c>
      <c r="U3442">
        <v>28</v>
      </c>
      <c r="V3442" t="s">
        <v>6709</v>
      </c>
      <c r="W3442">
        <v>51917</v>
      </c>
      <c r="X3442" t="s">
        <v>7544</v>
      </c>
      <c r="Y3442">
        <v>38152</v>
      </c>
      <c r="Z3442">
        <v>1453676</v>
      </c>
      <c r="AA3442">
        <v>385420</v>
      </c>
      <c r="AB3442" t="str">
        <f>(VLOOKUP(SalesData[[#This Row],[Month Number]],Reference!C$5:E$16,2,FALSE))</f>
        <v>Feb</v>
      </c>
      <c r="AC3442">
        <f>MONTH(SalesData[[#This Row],[Date]])</f>
        <v>2</v>
      </c>
      <c r="AD3442">
        <f>Reference!F$4</f>
        <v>2026</v>
      </c>
      <c r="AE3442" t="str">
        <f>IF(OR(SalesData[[#This Row],[Day]]="Saturday",SalesData[[#This Row],[Day]]="Sunday"),"Weekend","Weekday")</f>
        <v>Weekday</v>
      </c>
      <c r="AF3442" s="5">
        <f>IF(SalesData[[#This Row],[Contracts Offered]]=0,0,SalesData[[#This Row],[Contracts Signed]]/SalesData[[#This Row],[Contracts Offered]])</f>
        <v>0.34146341463414637</v>
      </c>
      <c r="AG3442" s="5">
        <f>IF(SalesData[[#This Row],[Customers Visited]]=0,0,SalesData[[#This Row],[Test Drives]]/SalesData[[#This Row],[Customers Visited]])</f>
        <v>0.44354838709677419</v>
      </c>
      <c r="AH3442" s="5">
        <f>IF(SalesData[[#This Row],[Customers Visited]]=0,0,SalesData[[#This Row],[Contracts Signed]]/SalesData[[#This Row],[Customers Visited]])</f>
        <v>0.11290322580645161</v>
      </c>
      <c r="AI3442" s="6">
        <f>IF(SalesData[[#This Row],[Contracts Signed]]=0,0,SalesData[[#This Row],[Profit(€)]]/SalesData[[#This Row],[Contracts Signed]])</f>
        <v>13765</v>
      </c>
      <c r="AJ3442" s="5" t="str">
        <f>TRIM(CLEAN(SalesData[[#This Row],[Retailer]]))</f>
        <v>Hannover Cars</v>
      </c>
    </row>
    <row r="3443" spans="1:36" ht="14.25" hidden="1" x14ac:dyDescent="0.2">
      <c r="A3443" t="s">
        <v>4640</v>
      </c>
      <c r="B3443" s="1">
        <v>46078</v>
      </c>
      <c r="C3443" t="s">
        <v>53</v>
      </c>
      <c r="D3443" t="s">
        <v>82</v>
      </c>
      <c r="E3443" t="s">
        <v>26</v>
      </c>
      <c r="F3443" t="s">
        <v>27</v>
      </c>
      <c r="G3443" t="s">
        <v>28</v>
      </c>
      <c r="H3443" t="s">
        <v>29</v>
      </c>
      <c r="I3443" t="s">
        <v>104</v>
      </c>
      <c r="J3443" t="s">
        <v>140</v>
      </c>
      <c r="K3443" t="s">
        <v>66</v>
      </c>
      <c r="L3443" t="s">
        <v>46</v>
      </c>
      <c r="M3443" t="s">
        <v>34</v>
      </c>
      <c r="N3443" t="s">
        <v>69</v>
      </c>
      <c r="O3443" t="s">
        <v>36</v>
      </c>
      <c r="P3443" t="s">
        <v>71</v>
      </c>
      <c r="Q3443" t="s">
        <v>172</v>
      </c>
      <c r="R3443">
        <v>308</v>
      </c>
      <c r="S3443">
        <v>132</v>
      </c>
      <c r="T3443">
        <v>90</v>
      </c>
      <c r="U3443">
        <v>24</v>
      </c>
      <c r="V3443" t="s">
        <v>752</v>
      </c>
      <c r="W3443">
        <v>30827</v>
      </c>
      <c r="X3443" t="s">
        <v>1192</v>
      </c>
      <c r="Y3443">
        <v>27768</v>
      </c>
      <c r="Z3443">
        <v>739848</v>
      </c>
      <c r="AA3443">
        <v>73416</v>
      </c>
      <c r="AB3443" t="str">
        <f>(VLOOKUP(SalesData[[#This Row],[Month Number]],Reference!C$5:E$16,2,FALSE))</f>
        <v>Feb</v>
      </c>
      <c r="AC3443">
        <f>MONTH(SalesData[[#This Row],[Date]])</f>
        <v>2</v>
      </c>
      <c r="AD3443">
        <f>Reference!F$4</f>
        <v>2026</v>
      </c>
      <c r="AE3443" t="str">
        <f>IF(OR(SalesData[[#This Row],[Day]]="Saturday",SalesData[[#This Row],[Day]]="Sunday"),"Weekend","Weekday")</f>
        <v>Weekday</v>
      </c>
      <c r="AF3443" s="5">
        <f>IF(SalesData[[#This Row],[Contracts Offered]]=0,0,SalesData[[#This Row],[Contracts Signed]]/SalesData[[#This Row],[Contracts Offered]])</f>
        <v>0.26666666666666666</v>
      </c>
      <c r="AG3443" s="5">
        <f>IF(SalesData[[#This Row],[Customers Visited]]=0,0,SalesData[[#This Row],[Test Drives]]/SalesData[[#This Row],[Customers Visited]])</f>
        <v>0.42857142857142855</v>
      </c>
      <c r="AH3443" s="5">
        <f>IF(SalesData[[#This Row],[Customers Visited]]=0,0,SalesData[[#This Row],[Contracts Signed]]/SalesData[[#This Row],[Customers Visited]])</f>
        <v>7.792207792207792E-2</v>
      </c>
      <c r="AI3443" s="6">
        <f>IF(SalesData[[#This Row],[Contracts Signed]]=0,0,SalesData[[#This Row],[Profit(€)]]/SalesData[[#This Row],[Contracts Signed]])</f>
        <v>3059</v>
      </c>
      <c r="AJ3443" s="5" t="str">
        <f>TRIM(CLEAN(SalesData[[#This Row],[Retailer]]))</f>
        <v>Main Auto Hub</v>
      </c>
    </row>
    <row r="3444" spans="1:36" ht="14.25" hidden="1" x14ac:dyDescent="0.2">
      <c r="A3444" t="s">
        <v>4641</v>
      </c>
      <c r="B3444" s="1">
        <v>46080</v>
      </c>
      <c r="C3444" t="s">
        <v>53</v>
      </c>
      <c r="D3444" t="s">
        <v>54</v>
      </c>
      <c r="E3444" t="s">
        <v>26</v>
      </c>
      <c r="F3444" t="s">
        <v>109</v>
      </c>
      <c r="G3444" t="s">
        <v>110</v>
      </c>
      <c r="H3444" t="s">
        <v>45</v>
      </c>
      <c r="I3444" t="s">
        <v>104</v>
      </c>
      <c r="J3444" t="s">
        <v>7031</v>
      </c>
      <c r="K3444" t="s">
        <v>66</v>
      </c>
      <c r="L3444" t="s">
        <v>46</v>
      </c>
      <c r="M3444" t="s">
        <v>68</v>
      </c>
      <c r="N3444" t="s">
        <v>48</v>
      </c>
      <c r="O3444" t="s">
        <v>70</v>
      </c>
      <c r="P3444" t="s">
        <v>49</v>
      </c>
      <c r="Q3444" t="s">
        <v>59</v>
      </c>
      <c r="R3444">
        <v>427</v>
      </c>
      <c r="S3444">
        <v>219</v>
      </c>
      <c r="T3444">
        <v>144</v>
      </c>
      <c r="U3444">
        <v>24</v>
      </c>
      <c r="V3444" t="s">
        <v>917</v>
      </c>
      <c r="W3444">
        <v>25552</v>
      </c>
      <c r="X3444" t="s">
        <v>4401</v>
      </c>
      <c r="Y3444">
        <v>22630</v>
      </c>
      <c r="Z3444">
        <v>613248</v>
      </c>
      <c r="AA3444">
        <v>70128</v>
      </c>
      <c r="AB3444" t="str">
        <f>(VLOOKUP(SalesData[[#This Row],[Month Number]],Reference!C$5:E$16,2,FALSE))</f>
        <v>Feb</v>
      </c>
      <c r="AC3444">
        <f>MONTH(SalesData[[#This Row],[Date]])</f>
        <v>2</v>
      </c>
      <c r="AD3444">
        <f>Reference!F$4</f>
        <v>2026</v>
      </c>
      <c r="AE3444" t="str">
        <f>IF(OR(SalesData[[#This Row],[Day]]="Saturday",SalesData[[#This Row],[Day]]="Sunday"),"Weekend","Weekday")</f>
        <v>Weekday</v>
      </c>
      <c r="AF3444" s="5">
        <f>IF(SalesData[[#This Row],[Contracts Offered]]=0,0,SalesData[[#This Row],[Contracts Signed]]/SalesData[[#This Row],[Contracts Offered]])</f>
        <v>0.16666666666666666</v>
      </c>
      <c r="AG3444" s="5">
        <f>IF(SalesData[[#This Row],[Customers Visited]]=0,0,SalesData[[#This Row],[Test Drives]]/SalesData[[#This Row],[Customers Visited]])</f>
        <v>0.51288056206088994</v>
      </c>
      <c r="AH3444" s="5">
        <f>IF(SalesData[[#This Row],[Customers Visited]]=0,0,SalesData[[#This Row],[Contracts Signed]]/SalesData[[#This Row],[Customers Visited]])</f>
        <v>5.6206088992974239E-2</v>
      </c>
      <c r="AI3444" s="6">
        <f>IF(SalesData[[#This Row],[Contracts Signed]]=0,0,SalesData[[#This Row],[Profit(€)]]/SalesData[[#This Row],[Contracts Signed]])</f>
        <v>2922</v>
      </c>
      <c r="AJ3444" s="5" t="str">
        <f>TRIM(CLEAN(SalesData[[#This Row],[Retailer]]))</f>
        <v>Leipzig Mobility</v>
      </c>
    </row>
    <row r="3445" spans="1:36" ht="14.25" hidden="1" x14ac:dyDescent="0.2">
      <c r="A3445" t="s">
        <v>4642</v>
      </c>
      <c r="B3445" s="1">
        <v>46064</v>
      </c>
      <c r="C3445" t="s">
        <v>121</v>
      </c>
      <c r="D3445" t="s">
        <v>82</v>
      </c>
      <c r="E3445" t="s">
        <v>26</v>
      </c>
      <c r="F3445" t="s">
        <v>43</v>
      </c>
      <c r="G3445" t="s">
        <v>44</v>
      </c>
      <c r="H3445" t="s">
        <v>45</v>
      </c>
      <c r="I3445" t="s">
        <v>116</v>
      </c>
      <c r="J3445" t="s">
        <v>132</v>
      </c>
      <c r="K3445" t="s">
        <v>32</v>
      </c>
      <c r="L3445" t="s">
        <v>46</v>
      </c>
      <c r="M3445" t="s">
        <v>68</v>
      </c>
      <c r="N3445" t="s">
        <v>35</v>
      </c>
      <c r="O3445" t="s">
        <v>36</v>
      </c>
      <c r="P3445" t="s">
        <v>71</v>
      </c>
      <c r="Q3445" t="s">
        <v>79</v>
      </c>
      <c r="R3445">
        <v>340</v>
      </c>
      <c r="S3445">
        <v>175</v>
      </c>
      <c r="T3445">
        <v>103</v>
      </c>
      <c r="U3445">
        <v>31</v>
      </c>
      <c r="V3445" t="s">
        <v>4445</v>
      </c>
      <c r="W3445">
        <v>24800</v>
      </c>
      <c r="X3445" t="s">
        <v>3014</v>
      </c>
      <c r="Y3445">
        <v>22132</v>
      </c>
      <c r="Z3445">
        <v>768800</v>
      </c>
      <c r="AA3445">
        <v>82708</v>
      </c>
      <c r="AB3445" t="str">
        <f>(VLOOKUP(SalesData[[#This Row],[Month Number]],Reference!C$5:E$16,2,FALSE))</f>
        <v>Feb</v>
      </c>
      <c r="AC3445">
        <f>MONTH(SalesData[[#This Row],[Date]])</f>
        <v>2</v>
      </c>
      <c r="AD3445">
        <f>Reference!F$4</f>
        <v>2026</v>
      </c>
      <c r="AE3445" t="str">
        <f>IF(OR(SalesData[[#This Row],[Day]]="Saturday",SalesData[[#This Row],[Day]]="Sunday"),"Weekend","Weekday")</f>
        <v>Weekday</v>
      </c>
      <c r="AF3445" s="5">
        <f>IF(SalesData[[#This Row],[Contracts Offered]]=0,0,SalesData[[#This Row],[Contracts Signed]]/SalesData[[#This Row],[Contracts Offered]])</f>
        <v>0.30097087378640774</v>
      </c>
      <c r="AG3445" s="5">
        <f>IF(SalesData[[#This Row],[Customers Visited]]=0,0,SalesData[[#This Row],[Test Drives]]/SalesData[[#This Row],[Customers Visited]])</f>
        <v>0.51470588235294112</v>
      </c>
      <c r="AH3445" s="5">
        <f>IF(SalesData[[#This Row],[Customers Visited]]=0,0,SalesData[[#This Row],[Contracts Signed]]/SalesData[[#This Row],[Customers Visited]])</f>
        <v>9.1176470588235289E-2</v>
      </c>
      <c r="AI3445" s="6">
        <f>IF(SalesData[[#This Row],[Contracts Signed]]=0,0,SalesData[[#This Row],[Profit(€)]]/SalesData[[#This Row],[Contracts Signed]])</f>
        <v>2668</v>
      </c>
      <c r="AJ3445" s="5" t="str">
        <f>TRIM(CLEAN(SalesData[[#This Row],[Retailer]]))</f>
        <v>Saxon Wheels</v>
      </c>
    </row>
    <row r="3446" spans="1:36" ht="14.25" hidden="1" x14ac:dyDescent="0.2">
      <c r="A3446" t="s">
        <v>4643</v>
      </c>
      <c r="B3446" s="1">
        <v>46077</v>
      </c>
      <c r="C3446" t="s">
        <v>53</v>
      </c>
      <c r="D3446" t="s">
        <v>63</v>
      </c>
      <c r="E3446" t="s">
        <v>26</v>
      </c>
      <c r="F3446" t="s">
        <v>114</v>
      </c>
      <c r="G3446" t="s">
        <v>115</v>
      </c>
      <c r="H3446" t="s">
        <v>115</v>
      </c>
      <c r="I3446" t="s">
        <v>116</v>
      </c>
      <c r="J3446" t="s">
        <v>132</v>
      </c>
      <c r="K3446" t="s">
        <v>66</v>
      </c>
      <c r="L3446" t="s">
        <v>46</v>
      </c>
      <c r="M3446" t="s">
        <v>68</v>
      </c>
      <c r="N3446" t="s">
        <v>69</v>
      </c>
      <c r="O3446" t="s">
        <v>70</v>
      </c>
      <c r="P3446" t="s">
        <v>49</v>
      </c>
      <c r="Q3446" t="s">
        <v>169</v>
      </c>
      <c r="R3446">
        <v>420</v>
      </c>
      <c r="S3446">
        <v>183</v>
      </c>
      <c r="T3446">
        <v>112</v>
      </c>
      <c r="U3446">
        <v>29</v>
      </c>
      <c r="V3446" t="s">
        <v>3128</v>
      </c>
      <c r="W3446">
        <v>20365</v>
      </c>
      <c r="X3446" t="s">
        <v>1244</v>
      </c>
      <c r="Y3446">
        <v>18676</v>
      </c>
      <c r="Z3446">
        <v>590585</v>
      </c>
      <c r="AA3446">
        <v>48981</v>
      </c>
      <c r="AB3446" t="str">
        <f>(VLOOKUP(SalesData[[#This Row],[Month Number]],Reference!C$5:E$16,2,FALSE))</f>
        <v>Feb</v>
      </c>
      <c r="AC3446">
        <f>MONTH(SalesData[[#This Row],[Date]])</f>
        <v>2</v>
      </c>
      <c r="AD3446">
        <f>Reference!F$4</f>
        <v>2026</v>
      </c>
      <c r="AE3446" t="str">
        <f>IF(OR(SalesData[[#This Row],[Day]]="Saturday",SalesData[[#This Row],[Day]]="Sunday"),"Weekend","Weekday")</f>
        <v>Weekday</v>
      </c>
      <c r="AF3446" s="5">
        <f>IF(SalesData[[#This Row],[Contracts Offered]]=0,0,SalesData[[#This Row],[Contracts Signed]]/SalesData[[#This Row],[Contracts Offered]])</f>
        <v>0.25892857142857145</v>
      </c>
      <c r="AG3446" s="5">
        <f>IF(SalesData[[#This Row],[Customers Visited]]=0,0,SalesData[[#This Row],[Test Drives]]/SalesData[[#This Row],[Customers Visited]])</f>
        <v>0.43571428571428572</v>
      </c>
      <c r="AH3446" s="5">
        <f>IF(SalesData[[#This Row],[Customers Visited]]=0,0,SalesData[[#This Row],[Contracts Signed]]/SalesData[[#This Row],[Customers Visited]])</f>
        <v>6.9047619047619052E-2</v>
      </c>
      <c r="AI3446" s="6">
        <f>IF(SalesData[[#This Row],[Contracts Signed]]=0,0,SalesData[[#This Row],[Profit(€)]]/SalesData[[#This Row],[Contracts Signed]])</f>
        <v>1689</v>
      </c>
      <c r="AJ3446" s="5" t="str">
        <f>TRIM(CLEAN(SalesData[[#This Row],[Retailer]]))</f>
        <v>Elbe Drive</v>
      </c>
    </row>
    <row r="3447" spans="1:36" ht="14.25" hidden="1" x14ac:dyDescent="0.2">
      <c r="A3447" t="s">
        <v>4644</v>
      </c>
      <c r="B3447" s="1">
        <v>46072</v>
      </c>
      <c r="C3447" t="s">
        <v>62</v>
      </c>
      <c r="D3447" t="s">
        <v>100</v>
      </c>
      <c r="E3447" t="s">
        <v>26</v>
      </c>
      <c r="F3447" t="s">
        <v>114</v>
      </c>
      <c r="G3447" t="s">
        <v>115</v>
      </c>
      <c r="H3447" t="s">
        <v>115</v>
      </c>
      <c r="I3447" t="s">
        <v>64</v>
      </c>
      <c r="J3447" t="s">
        <v>111</v>
      </c>
      <c r="K3447" t="s">
        <v>78</v>
      </c>
      <c r="L3447" t="s">
        <v>46</v>
      </c>
      <c r="M3447" t="s">
        <v>34</v>
      </c>
      <c r="N3447" t="s">
        <v>35</v>
      </c>
      <c r="O3447" t="s">
        <v>36</v>
      </c>
      <c r="P3447" t="s">
        <v>71</v>
      </c>
      <c r="Q3447" t="s">
        <v>129</v>
      </c>
      <c r="R3447">
        <v>225</v>
      </c>
      <c r="S3447">
        <v>133</v>
      </c>
      <c r="T3447">
        <v>100</v>
      </c>
      <c r="U3447">
        <v>36</v>
      </c>
      <c r="V3447" t="s">
        <v>6881</v>
      </c>
      <c r="W3447">
        <v>57274</v>
      </c>
      <c r="X3447" t="s">
        <v>7404</v>
      </c>
      <c r="Y3447">
        <v>44897</v>
      </c>
      <c r="Z3447">
        <v>2061864</v>
      </c>
      <c r="AA3447">
        <v>445572</v>
      </c>
      <c r="AB3447" t="str">
        <f>(VLOOKUP(SalesData[[#This Row],[Month Number]],Reference!C$5:E$16,2,FALSE))</f>
        <v>Feb</v>
      </c>
      <c r="AC3447">
        <f>MONTH(SalesData[[#This Row],[Date]])</f>
        <v>2</v>
      </c>
      <c r="AD3447">
        <f>Reference!F$4</f>
        <v>2026</v>
      </c>
      <c r="AE3447" t="str">
        <f>IF(OR(SalesData[[#This Row],[Day]]="Saturday",SalesData[[#This Row],[Day]]="Sunday"),"Weekend","Weekday")</f>
        <v>Weekday</v>
      </c>
      <c r="AF3447" s="5">
        <f>IF(SalesData[[#This Row],[Contracts Offered]]=0,0,SalesData[[#This Row],[Contracts Signed]]/SalesData[[#This Row],[Contracts Offered]])</f>
        <v>0.36</v>
      </c>
      <c r="AG3447" s="5">
        <f>IF(SalesData[[#This Row],[Customers Visited]]=0,0,SalesData[[#This Row],[Test Drives]]/SalesData[[#This Row],[Customers Visited]])</f>
        <v>0.59111111111111114</v>
      </c>
      <c r="AH3447" s="5">
        <f>IF(SalesData[[#This Row],[Customers Visited]]=0,0,SalesData[[#This Row],[Contracts Signed]]/SalesData[[#This Row],[Customers Visited]])</f>
        <v>0.16</v>
      </c>
      <c r="AI3447" s="6">
        <f>IF(SalesData[[#This Row],[Contracts Signed]]=0,0,SalesData[[#This Row],[Profit(€)]]/SalesData[[#This Row],[Contracts Signed]])</f>
        <v>12377</v>
      </c>
      <c r="AJ3447" s="5" t="str">
        <f>TRIM(CLEAN(SalesData[[#This Row],[Retailer]]))</f>
        <v>Elbe Drive</v>
      </c>
    </row>
    <row r="3448" spans="1:36" ht="14.25" hidden="1" x14ac:dyDescent="0.2">
      <c r="A3448" t="s">
        <v>4645</v>
      </c>
      <c r="B3448" s="1">
        <v>46064</v>
      </c>
      <c r="C3448" t="s">
        <v>121</v>
      </c>
      <c r="D3448" t="s">
        <v>82</v>
      </c>
      <c r="E3448" t="s">
        <v>26</v>
      </c>
      <c r="F3448" t="s">
        <v>7649</v>
      </c>
      <c r="G3448" t="s">
        <v>55</v>
      </c>
      <c r="H3448" t="s">
        <v>55</v>
      </c>
      <c r="I3448" t="s">
        <v>56</v>
      </c>
      <c r="J3448" t="s">
        <v>97</v>
      </c>
      <c r="K3448" t="s">
        <v>32</v>
      </c>
      <c r="L3448" t="s">
        <v>33</v>
      </c>
      <c r="M3448" t="s">
        <v>68</v>
      </c>
      <c r="N3448" t="s">
        <v>35</v>
      </c>
      <c r="O3448" t="s">
        <v>70</v>
      </c>
      <c r="P3448" t="s">
        <v>58</v>
      </c>
      <c r="Q3448" t="s">
        <v>88</v>
      </c>
      <c r="R3448">
        <v>243</v>
      </c>
      <c r="S3448">
        <v>150</v>
      </c>
      <c r="T3448">
        <v>116</v>
      </c>
      <c r="U3448">
        <v>43</v>
      </c>
      <c r="V3448" t="s">
        <v>6968</v>
      </c>
      <c r="W3448">
        <v>39951</v>
      </c>
      <c r="X3448" t="s">
        <v>7400</v>
      </c>
      <c r="Y3448">
        <v>31845</v>
      </c>
      <c r="Z3448">
        <v>1717893</v>
      </c>
      <c r="AA3448">
        <v>348558</v>
      </c>
      <c r="AB3448" t="str">
        <f>(VLOOKUP(SalesData[[#This Row],[Month Number]],Reference!C$5:E$16,2,FALSE))</f>
        <v>Feb</v>
      </c>
      <c r="AC3448">
        <f>MONTH(SalesData[[#This Row],[Date]])</f>
        <v>2</v>
      </c>
      <c r="AD3448">
        <f>Reference!F$4</f>
        <v>2026</v>
      </c>
      <c r="AE3448" t="str">
        <f>IF(OR(SalesData[[#This Row],[Day]]="Saturday",SalesData[[#This Row],[Day]]="Sunday"),"Weekend","Weekday")</f>
        <v>Weekday</v>
      </c>
      <c r="AF3448" s="5">
        <f>IF(SalesData[[#This Row],[Contracts Offered]]=0,0,SalesData[[#This Row],[Contracts Signed]]/SalesData[[#This Row],[Contracts Offered]])</f>
        <v>0.37068965517241381</v>
      </c>
      <c r="AG3448" s="5">
        <f>IF(SalesData[[#This Row],[Customers Visited]]=0,0,SalesData[[#This Row],[Test Drives]]/SalesData[[#This Row],[Customers Visited]])</f>
        <v>0.61728395061728392</v>
      </c>
      <c r="AH3448" s="5">
        <f>IF(SalesData[[#This Row],[Customers Visited]]=0,0,SalesData[[#This Row],[Contracts Signed]]/SalesData[[#This Row],[Customers Visited]])</f>
        <v>0.17695473251028807</v>
      </c>
      <c r="AI3448" s="6">
        <f>IF(SalesData[[#This Row],[Contracts Signed]]=0,0,SalesData[[#This Row],[Profit(€)]]/SalesData[[#This Row],[Contracts Signed]])</f>
        <v>8106</v>
      </c>
      <c r="AJ3448" s="5" t="str">
        <f>TRIM(CLEAN(SalesData[[#This Row],[Retailer]]))</f>
        <v>Autohaus Berlin</v>
      </c>
    </row>
    <row r="3449" spans="1:36" ht="14.25" hidden="1" x14ac:dyDescent="0.2">
      <c r="A3449" t="s">
        <v>4646</v>
      </c>
      <c r="B3449" s="1">
        <v>46077</v>
      </c>
      <c r="C3449" t="s">
        <v>53</v>
      </c>
      <c r="D3449" t="s">
        <v>63</v>
      </c>
      <c r="E3449" t="s">
        <v>26</v>
      </c>
      <c r="F3449" t="s">
        <v>127</v>
      </c>
      <c r="G3449" t="s">
        <v>128</v>
      </c>
      <c r="H3449" t="s">
        <v>103</v>
      </c>
      <c r="I3449" t="s">
        <v>104</v>
      </c>
      <c r="J3449" t="s">
        <v>105</v>
      </c>
      <c r="K3449" t="s">
        <v>66</v>
      </c>
      <c r="L3449" t="s">
        <v>33</v>
      </c>
      <c r="M3449" t="s">
        <v>47</v>
      </c>
      <c r="N3449" t="s">
        <v>69</v>
      </c>
      <c r="O3449" t="s">
        <v>36</v>
      </c>
      <c r="P3449" t="s">
        <v>71</v>
      </c>
      <c r="Q3449" t="s">
        <v>59</v>
      </c>
      <c r="R3449">
        <v>329</v>
      </c>
      <c r="S3449">
        <v>141</v>
      </c>
      <c r="T3449">
        <v>81</v>
      </c>
      <c r="U3449">
        <v>25</v>
      </c>
      <c r="V3449" t="s">
        <v>1823</v>
      </c>
      <c r="W3449">
        <v>29582</v>
      </c>
      <c r="X3449" t="s">
        <v>3713</v>
      </c>
      <c r="Y3449">
        <v>26707</v>
      </c>
      <c r="Z3449">
        <v>739550</v>
      </c>
      <c r="AA3449">
        <v>71875</v>
      </c>
      <c r="AB3449" t="str">
        <f>(VLOOKUP(SalesData[[#This Row],[Month Number]],Reference!C$5:E$16,2,FALSE))</f>
        <v>Feb</v>
      </c>
      <c r="AC3449">
        <f>MONTH(SalesData[[#This Row],[Date]])</f>
        <v>2</v>
      </c>
      <c r="AD3449">
        <f>Reference!F$4</f>
        <v>2026</v>
      </c>
      <c r="AE3449" t="str">
        <f>IF(OR(SalesData[[#This Row],[Day]]="Saturday",SalesData[[#This Row],[Day]]="Sunday"),"Weekend","Weekday")</f>
        <v>Weekday</v>
      </c>
      <c r="AF3449" s="5">
        <f>IF(SalesData[[#This Row],[Contracts Offered]]=0,0,SalesData[[#This Row],[Contracts Signed]]/SalesData[[#This Row],[Contracts Offered]])</f>
        <v>0.30864197530864196</v>
      </c>
      <c r="AG3449" s="5">
        <f>IF(SalesData[[#This Row],[Customers Visited]]=0,0,SalesData[[#This Row],[Test Drives]]/SalesData[[#This Row],[Customers Visited]])</f>
        <v>0.42857142857142855</v>
      </c>
      <c r="AH3449" s="5">
        <f>IF(SalesData[[#This Row],[Customers Visited]]=0,0,SalesData[[#This Row],[Contracts Signed]]/SalesData[[#This Row],[Customers Visited]])</f>
        <v>7.598784194528875E-2</v>
      </c>
      <c r="AI3449" s="6">
        <f>IF(SalesData[[#This Row],[Contracts Signed]]=0,0,SalesData[[#This Row],[Profit(€)]]/SalesData[[#This Row],[Contracts Signed]])</f>
        <v>2875</v>
      </c>
      <c r="AJ3449" s="5" t="str">
        <f>TRIM(CLEAN(SalesData[[#This Row],[Retailer]]))</f>
        <v>Rhein Auto Group</v>
      </c>
    </row>
    <row r="3450" spans="1:36" ht="14.25" hidden="1" x14ac:dyDescent="0.2">
      <c r="A3450" t="s">
        <v>4647</v>
      </c>
      <c r="B3450" s="1">
        <v>46076</v>
      </c>
      <c r="C3450" t="s">
        <v>53</v>
      </c>
      <c r="D3450" t="s">
        <v>25</v>
      </c>
      <c r="E3450" t="s">
        <v>26</v>
      </c>
      <c r="F3450" t="s">
        <v>101</v>
      </c>
      <c r="G3450" t="s">
        <v>102</v>
      </c>
      <c r="H3450" t="s">
        <v>103</v>
      </c>
      <c r="I3450" t="s">
        <v>56</v>
      </c>
      <c r="J3450" t="s">
        <v>97</v>
      </c>
      <c r="K3450" t="s">
        <v>32</v>
      </c>
      <c r="L3450" t="s">
        <v>33</v>
      </c>
      <c r="M3450" t="s">
        <v>87</v>
      </c>
      <c r="N3450" t="s">
        <v>35</v>
      </c>
      <c r="O3450" t="s">
        <v>70</v>
      </c>
      <c r="P3450" t="s">
        <v>71</v>
      </c>
      <c r="Q3450" t="s">
        <v>106</v>
      </c>
      <c r="R3450">
        <v>218</v>
      </c>
      <c r="S3450">
        <v>115</v>
      </c>
      <c r="T3450">
        <v>85</v>
      </c>
      <c r="U3450">
        <v>27</v>
      </c>
      <c r="V3450" t="s">
        <v>6683</v>
      </c>
      <c r="W3450">
        <v>49257</v>
      </c>
      <c r="X3450" t="s">
        <v>2561</v>
      </c>
      <c r="Y3450">
        <v>39734</v>
      </c>
      <c r="Z3450">
        <v>1329939</v>
      </c>
      <c r="AA3450">
        <v>257121</v>
      </c>
      <c r="AB3450" t="str">
        <f>(VLOOKUP(SalesData[[#This Row],[Month Number]],Reference!C$5:E$16,2,FALSE))</f>
        <v>Feb</v>
      </c>
      <c r="AC3450">
        <f>MONTH(SalesData[[#This Row],[Date]])</f>
        <v>2</v>
      </c>
      <c r="AD3450">
        <f>Reference!F$4</f>
        <v>2026</v>
      </c>
      <c r="AE3450" t="str">
        <f>IF(OR(SalesData[[#This Row],[Day]]="Saturday",SalesData[[#This Row],[Day]]="Sunday"),"Weekend","Weekday")</f>
        <v>Weekday</v>
      </c>
      <c r="AF3450" s="5">
        <f>IF(SalesData[[#This Row],[Contracts Offered]]=0,0,SalesData[[#This Row],[Contracts Signed]]/SalesData[[#This Row],[Contracts Offered]])</f>
        <v>0.31764705882352939</v>
      </c>
      <c r="AG3450" s="5">
        <f>IF(SalesData[[#This Row],[Customers Visited]]=0,0,SalesData[[#This Row],[Test Drives]]/SalesData[[#This Row],[Customers Visited]])</f>
        <v>0.52752293577981646</v>
      </c>
      <c r="AH3450" s="5">
        <f>IF(SalesData[[#This Row],[Customers Visited]]=0,0,SalesData[[#This Row],[Contracts Signed]]/SalesData[[#This Row],[Customers Visited]])</f>
        <v>0.12385321100917432</v>
      </c>
      <c r="AI3450" s="6">
        <f>IF(SalesData[[#This Row],[Contracts Signed]]=0,0,SalesData[[#This Row],[Profit(€)]]/SalesData[[#This Row],[Contracts Signed]])</f>
        <v>9523</v>
      </c>
      <c r="AJ3450" s="5" t="str">
        <f>TRIM(CLEAN(SalesData[[#This Row],[Retailer]]))</f>
        <v>Ruhr Auto Plaza</v>
      </c>
    </row>
    <row r="3451" spans="1:36" ht="14.25" hidden="1" x14ac:dyDescent="0.2">
      <c r="A3451" t="s">
        <v>4648</v>
      </c>
      <c r="B3451" s="1">
        <v>46060</v>
      </c>
      <c r="C3451" t="s">
        <v>24</v>
      </c>
      <c r="D3451" t="s">
        <v>151</v>
      </c>
      <c r="E3451" t="s">
        <v>42</v>
      </c>
      <c r="F3451" t="s">
        <v>101</v>
      </c>
      <c r="G3451" t="s">
        <v>102</v>
      </c>
      <c r="H3451" t="s">
        <v>103</v>
      </c>
      <c r="I3451" t="s">
        <v>56</v>
      </c>
      <c r="J3451" t="s">
        <v>97</v>
      </c>
      <c r="K3451" t="s">
        <v>91</v>
      </c>
      <c r="L3451" t="s">
        <v>33</v>
      </c>
      <c r="M3451" t="s">
        <v>68</v>
      </c>
      <c r="N3451" t="s">
        <v>48</v>
      </c>
      <c r="O3451" t="s">
        <v>70</v>
      </c>
      <c r="P3451" t="s">
        <v>49</v>
      </c>
      <c r="Q3451" t="s">
        <v>144</v>
      </c>
      <c r="R3451">
        <v>190</v>
      </c>
      <c r="S3451">
        <v>98</v>
      </c>
      <c r="T3451">
        <v>67</v>
      </c>
      <c r="U3451">
        <v>17</v>
      </c>
      <c r="V3451" t="s">
        <v>3724</v>
      </c>
      <c r="W3451">
        <v>50519</v>
      </c>
      <c r="X3451" t="s">
        <v>7144</v>
      </c>
      <c r="Y3451">
        <v>38105</v>
      </c>
      <c r="Z3451">
        <v>858823</v>
      </c>
      <c r="AA3451">
        <v>211038</v>
      </c>
      <c r="AB3451" t="str">
        <f>(VLOOKUP(SalesData[[#This Row],[Month Number]],Reference!C$5:E$16,2,FALSE))</f>
        <v>Feb</v>
      </c>
      <c r="AC3451">
        <f>MONTH(SalesData[[#This Row],[Date]])</f>
        <v>2</v>
      </c>
      <c r="AD3451">
        <f>Reference!F$4</f>
        <v>2026</v>
      </c>
      <c r="AE3451" t="str">
        <f>IF(OR(SalesData[[#This Row],[Day]]="Saturday",SalesData[[#This Row],[Day]]="Sunday"),"Weekend","Weekday")</f>
        <v>Weekend</v>
      </c>
      <c r="AF3451" s="5">
        <f>IF(SalesData[[#This Row],[Contracts Offered]]=0,0,SalesData[[#This Row],[Contracts Signed]]/SalesData[[#This Row],[Contracts Offered]])</f>
        <v>0.2537313432835821</v>
      </c>
      <c r="AG3451" s="5">
        <f>IF(SalesData[[#This Row],[Customers Visited]]=0,0,SalesData[[#This Row],[Test Drives]]/SalesData[[#This Row],[Customers Visited]])</f>
        <v>0.51578947368421058</v>
      </c>
      <c r="AH3451" s="5">
        <f>IF(SalesData[[#This Row],[Customers Visited]]=0,0,SalesData[[#This Row],[Contracts Signed]]/SalesData[[#This Row],[Customers Visited]])</f>
        <v>8.9473684210526316E-2</v>
      </c>
      <c r="AI3451" s="6">
        <f>IF(SalesData[[#This Row],[Contracts Signed]]=0,0,SalesData[[#This Row],[Profit(€)]]/SalesData[[#This Row],[Contracts Signed]])</f>
        <v>12414</v>
      </c>
      <c r="AJ3451" s="5" t="str">
        <f>TRIM(CLEAN(SalesData[[#This Row],[Retailer]]))</f>
        <v>Ruhr Auto Plaza</v>
      </c>
    </row>
    <row r="3452" spans="1:36" ht="14.25" hidden="1" x14ac:dyDescent="0.2">
      <c r="A3452" t="s">
        <v>4649</v>
      </c>
      <c r="B3452" s="1">
        <v>46074</v>
      </c>
      <c r="C3452" t="s">
        <v>62</v>
      </c>
      <c r="D3452" t="s">
        <v>151</v>
      </c>
      <c r="E3452" t="s">
        <v>42</v>
      </c>
      <c r="F3452" t="s">
        <v>114</v>
      </c>
      <c r="G3452" t="s">
        <v>115</v>
      </c>
      <c r="H3452" t="s">
        <v>115</v>
      </c>
      <c r="I3452" t="s">
        <v>104</v>
      </c>
      <c r="J3452" t="s">
        <v>7031</v>
      </c>
      <c r="K3452" t="s">
        <v>32</v>
      </c>
      <c r="L3452" t="s">
        <v>46</v>
      </c>
      <c r="M3452" t="s">
        <v>34</v>
      </c>
      <c r="N3452" t="s">
        <v>35</v>
      </c>
      <c r="O3452" t="s">
        <v>70</v>
      </c>
      <c r="P3452" t="s">
        <v>49</v>
      </c>
      <c r="Q3452" t="s">
        <v>106</v>
      </c>
      <c r="R3452">
        <v>272</v>
      </c>
      <c r="S3452">
        <v>129</v>
      </c>
      <c r="T3452">
        <v>91</v>
      </c>
      <c r="U3452">
        <v>19</v>
      </c>
      <c r="V3452" t="s">
        <v>4475</v>
      </c>
      <c r="W3452">
        <v>32858</v>
      </c>
      <c r="X3452" t="s">
        <v>3756</v>
      </c>
      <c r="Y3452">
        <v>29502</v>
      </c>
      <c r="Z3452">
        <v>624302</v>
      </c>
      <c r="AA3452">
        <v>63764</v>
      </c>
      <c r="AB3452" t="str">
        <f>(VLOOKUP(SalesData[[#This Row],[Month Number]],Reference!C$5:E$16,2,FALSE))</f>
        <v>Feb</v>
      </c>
      <c r="AC3452">
        <f>MONTH(SalesData[[#This Row],[Date]])</f>
        <v>2</v>
      </c>
      <c r="AD3452">
        <f>Reference!F$4</f>
        <v>2026</v>
      </c>
      <c r="AE3452" t="str">
        <f>IF(OR(SalesData[[#This Row],[Day]]="Saturday",SalesData[[#This Row],[Day]]="Sunday"),"Weekend","Weekday")</f>
        <v>Weekend</v>
      </c>
      <c r="AF3452" s="5">
        <f>IF(SalesData[[#This Row],[Contracts Offered]]=0,0,SalesData[[#This Row],[Contracts Signed]]/SalesData[[#This Row],[Contracts Offered]])</f>
        <v>0.2087912087912088</v>
      </c>
      <c r="AG3452" s="5">
        <f>IF(SalesData[[#This Row],[Customers Visited]]=0,0,SalesData[[#This Row],[Test Drives]]/SalesData[[#This Row],[Customers Visited]])</f>
        <v>0.47426470588235292</v>
      </c>
      <c r="AH3452" s="5">
        <f>IF(SalesData[[#This Row],[Customers Visited]]=0,0,SalesData[[#This Row],[Contracts Signed]]/SalesData[[#This Row],[Customers Visited]])</f>
        <v>6.985294117647059E-2</v>
      </c>
      <c r="AI3452" s="6">
        <f>IF(SalesData[[#This Row],[Contracts Signed]]=0,0,SalesData[[#This Row],[Profit(€)]]/SalesData[[#This Row],[Contracts Signed]])</f>
        <v>3356</v>
      </c>
      <c r="AJ3452" s="5" t="str">
        <f>TRIM(CLEAN(SalesData[[#This Row],[Retailer]]))</f>
        <v>Elbe Drive</v>
      </c>
    </row>
    <row r="3453" spans="1:36" ht="14.25" hidden="1" x14ac:dyDescent="0.2">
      <c r="A3453" t="s">
        <v>4650</v>
      </c>
      <c r="B3453" s="1">
        <v>46073</v>
      </c>
      <c r="C3453" t="s">
        <v>62</v>
      </c>
      <c r="D3453" t="s">
        <v>54</v>
      </c>
      <c r="E3453" t="s">
        <v>26</v>
      </c>
      <c r="F3453" t="s">
        <v>74</v>
      </c>
      <c r="G3453" t="s">
        <v>75</v>
      </c>
      <c r="H3453" t="s">
        <v>76</v>
      </c>
      <c r="I3453" t="s">
        <v>104</v>
      </c>
      <c r="J3453" t="s">
        <v>140</v>
      </c>
      <c r="K3453" t="s">
        <v>78</v>
      </c>
      <c r="L3453" t="s">
        <v>46</v>
      </c>
      <c r="M3453" t="s">
        <v>87</v>
      </c>
      <c r="N3453" t="s">
        <v>48</v>
      </c>
      <c r="O3453" t="s">
        <v>70</v>
      </c>
      <c r="P3453" t="s">
        <v>58</v>
      </c>
      <c r="Q3453" t="s">
        <v>79</v>
      </c>
      <c r="R3453">
        <v>360</v>
      </c>
      <c r="S3453">
        <v>197</v>
      </c>
      <c r="T3453">
        <v>117</v>
      </c>
      <c r="U3453">
        <v>41</v>
      </c>
      <c r="V3453" t="s">
        <v>6661</v>
      </c>
      <c r="W3453">
        <v>25480</v>
      </c>
      <c r="X3453" t="s">
        <v>7338</v>
      </c>
      <c r="Y3453">
        <v>22136</v>
      </c>
      <c r="Z3453">
        <v>1044680</v>
      </c>
      <c r="AA3453">
        <v>137104</v>
      </c>
      <c r="AB3453" t="str">
        <f>(VLOOKUP(SalesData[[#This Row],[Month Number]],Reference!C$5:E$16,2,FALSE))</f>
        <v>Feb</v>
      </c>
      <c r="AC3453">
        <f>MONTH(SalesData[[#This Row],[Date]])</f>
        <v>2</v>
      </c>
      <c r="AD3453">
        <f>Reference!F$4</f>
        <v>2026</v>
      </c>
      <c r="AE3453" t="str">
        <f>IF(OR(SalesData[[#This Row],[Day]]="Saturday",SalesData[[#This Row],[Day]]="Sunday"),"Weekend","Weekday")</f>
        <v>Weekday</v>
      </c>
      <c r="AF3453" s="5">
        <f>IF(SalesData[[#This Row],[Contracts Offered]]=0,0,SalesData[[#This Row],[Contracts Signed]]/SalesData[[#This Row],[Contracts Offered]])</f>
        <v>0.3504273504273504</v>
      </c>
      <c r="AG3453" s="5">
        <f>IF(SalesData[[#This Row],[Customers Visited]]=0,0,SalesData[[#This Row],[Test Drives]]/SalesData[[#This Row],[Customers Visited]])</f>
        <v>0.54722222222222228</v>
      </c>
      <c r="AH3453" s="5">
        <f>IF(SalesData[[#This Row],[Customers Visited]]=0,0,SalesData[[#This Row],[Contracts Signed]]/SalesData[[#This Row],[Customers Visited]])</f>
        <v>0.11388888888888889</v>
      </c>
      <c r="AI3453" s="6">
        <f>IF(SalesData[[#This Row],[Contracts Signed]]=0,0,SalesData[[#This Row],[Profit(€)]]/SalesData[[#This Row],[Contracts Signed]])</f>
        <v>3344</v>
      </c>
      <c r="AJ3453" s="5" t="str">
        <f>TRIM(CLEAN(SalesData[[#This Row],[Retailer]]))</f>
        <v>Stuttgart Auto Center</v>
      </c>
    </row>
    <row r="3454" spans="1:36" ht="14.25" hidden="1" x14ac:dyDescent="0.2">
      <c r="A3454" t="s">
        <v>4651</v>
      </c>
      <c r="B3454" s="1">
        <v>46068</v>
      </c>
      <c r="C3454" t="s">
        <v>62</v>
      </c>
      <c r="D3454" t="s">
        <v>41</v>
      </c>
      <c r="E3454" t="s">
        <v>42</v>
      </c>
      <c r="F3454" t="s">
        <v>27</v>
      </c>
      <c r="G3454" t="s">
        <v>28</v>
      </c>
      <c r="H3454" t="s">
        <v>29</v>
      </c>
      <c r="I3454" t="s">
        <v>116</v>
      </c>
      <c r="J3454" t="s">
        <v>132</v>
      </c>
      <c r="K3454" t="s">
        <v>32</v>
      </c>
      <c r="L3454" t="s">
        <v>46</v>
      </c>
      <c r="M3454" t="s">
        <v>68</v>
      </c>
      <c r="N3454" t="s">
        <v>48</v>
      </c>
      <c r="O3454" t="s">
        <v>70</v>
      </c>
      <c r="P3454" t="s">
        <v>71</v>
      </c>
      <c r="Q3454" t="s">
        <v>172</v>
      </c>
      <c r="R3454">
        <v>238</v>
      </c>
      <c r="S3454">
        <v>101</v>
      </c>
      <c r="T3454">
        <v>69</v>
      </c>
      <c r="U3454">
        <v>16</v>
      </c>
      <c r="V3454" t="s">
        <v>1746</v>
      </c>
      <c r="W3454">
        <v>24363</v>
      </c>
      <c r="X3454" t="s">
        <v>7358</v>
      </c>
      <c r="Y3454">
        <v>21838</v>
      </c>
      <c r="Z3454">
        <v>389808</v>
      </c>
      <c r="AA3454">
        <v>40400</v>
      </c>
      <c r="AB3454" t="str">
        <f>(VLOOKUP(SalesData[[#This Row],[Month Number]],Reference!C$5:E$16,2,FALSE))</f>
        <v>Feb</v>
      </c>
      <c r="AC3454">
        <f>MONTH(SalesData[[#This Row],[Date]])</f>
        <v>2</v>
      </c>
      <c r="AD3454">
        <f>Reference!F$4</f>
        <v>2026</v>
      </c>
      <c r="AE3454" t="str">
        <f>IF(OR(SalesData[[#This Row],[Day]]="Saturday",SalesData[[#This Row],[Day]]="Sunday"),"Weekend","Weekday")</f>
        <v>Weekend</v>
      </c>
      <c r="AF3454" s="5">
        <f>IF(SalesData[[#This Row],[Contracts Offered]]=0,0,SalesData[[#This Row],[Contracts Signed]]/SalesData[[#This Row],[Contracts Offered]])</f>
        <v>0.2318840579710145</v>
      </c>
      <c r="AG3454" s="5">
        <f>IF(SalesData[[#This Row],[Customers Visited]]=0,0,SalesData[[#This Row],[Test Drives]]/SalesData[[#This Row],[Customers Visited]])</f>
        <v>0.42436974789915966</v>
      </c>
      <c r="AH3454" s="5">
        <f>IF(SalesData[[#This Row],[Customers Visited]]=0,0,SalesData[[#This Row],[Contracts Signed]]/SalesData[[#This Row],[Customers Visited]])</f>
        <v>6.7226890756302518E-2</v>
      </c>
      <c r="AI3454" s="6">
        <f>IF(SalesData[[#This Row],[Contracts Signed]]=0,0,SalesData[[#This Row],[Profit(€)]]/SalesData[[#This Row],[Contracts Signed]])</f>
        <v>2525</v>
      </c>
      <c r="AJ3454" s="5" t="str">
        <f>TRIM(CLEAN(SalesData[[#This Row],[Retailer]]))</f>
        <v>Main Auto Hub</v>
      </c>
    </row>
    <row r="3455" spans="1:36" ht="14.25" x14ac:dyDescent="0.2">
      <c r="A3455" t="s">
        <v>4653</v>
      </c>
      <c r="B3455" s="1">
        <v>46062</v>
      </c>
      <c r="C3455" t="s">
        <v>121</v>
      </c>
      <c r="D3455" t="s">
        <v>25</v>
      </c>
      <c r="E3455" t="s">
        <v>26</v>
      </c>
      <c r="F3455" t="s">
        <v>43</v>
      </c>
      <c r="G3455" t="s">
        <v>44</v>
      </c>
      <c r="H3455" t="s">
        <v>45</v>
      </c>
      <c r="I3455" t="s">
        <v>30</v>
      </c>
      <c r="J3455" t="s">
        <v>188</v>
      </c>
      <c r="K3455" t="s">
        <v>66</v>
      </c>
      <c r="L3455" t="s">
        <v>33</v>
      </c>
      <c r="M3455" t="s">
        <v>87</v>
      </c>
      <c r="N3455" t="s">
        <v>35</v>
      </c>
      <c r="O3455" t="s">
        <v>36</v>
      </c>
      <c r="P3455" t="s">
        <v>37</v>
      </c>
      <c r="Q3455" t="s">
        <v>118</v>
      </c>
      <c r="R3455">
        <v>197</v>
      </c>
      <c r="S3455">
        <v>91</v>
      </c>
      <c r="T3455">
        <v>63</v>
      </c>
      <c r="U3455">
        <v>24</v>
      </c>
      <c r="V3455" t="s">
        <v>6581</v>
      </c>
      <c r="W3455">
        <v>51198</v>
      </c>
      <c r="X3455" t="s">
        <v>7224</v>
      </c>
      <c r="Y3455">
        <v>37765</v>
      </c>
      <c r="Z3455">
        <v>1228752</v>
      </c>
      <c r="AA3455">
        <v>322392</v>
      </c>
      <c r="AB3455" t="str">
        <f>(VLOOKUP(SalesData[[#This Row],[Month Number]],Reference!C$5:E$16,2,FALSE))</f>
        <v>Feb</v>
      </c>
      <c r="AC3455">
        <f>MONTH(SalesData[[#This Row],[Date]])</f>
        <v>2</v>
      </c>
      <c r="AD3455">
        <f>Reference!F$4</f>
        <v>2026</v>
      </c>
      <c r="AE3455" t="str">
        <f>IF(OR(SalesData[[#This Row],[Day]]="Saturday",SalesData[[#This Row],[Day]]="Sunday"),"Weekend","Weekday")</f>
        <v>Weekday</v>
      </c>
      <c r="AF3455" s="5">
        <f>IF(SalesData[[#This Row],[Contracts Offered]]=0,0,SalesData[[#This Row],[Contracts Signed]]/SalesData[[#This Row],[Contracts Offered]])</f>
        <v>0.38095238095238093</v>
      </c>
      <c r="AG3455" s="5">
        <f>IF(SalesData[[#This Row],[Customers Visited]]=0,0,SalesData[[#This Row],[Test Drives]]/SalesData[[#This Row],[Customers Visited]])</f>
        <v>0.46192893401015228</v>
      </c>
      <c r="AH3455" s="5">
        <f>IF(SalesData[[#This Row],[Customers Visited]]=0,0,SalesData[[#This Row],[Contracts Signed]]/SalesData[[#This Row],[Customers Visited]])</f>
        <v>0.12182741116751269</v>
      </c>
      <c r="AI3455" s="6">
        <f>IF(SalesData[[#This Row],[Contracts Signed]]=0,0,SalesData[[#This Row],[Profit(€)]]/SalesData[[#This Row],[Contracts Signed]])</f>
        <v>13433</v>
      </c>
      <c r="AJ3455" s="5" t="str">
        <f>TRIM(CLEAN(SalesData[[#This Row],[Retailer]]))</f>
        <v>Saxon Wheels</v>
      </c>
    </row>
    <row r="3456" spans="1:36" ht="14.25" hidden="1" x14ac:dyDescent="0.2">
      <c r="A3456" t="s">
        <v>4654</v>
      </c>
      <c r="B3456" s="1">
        <v>46068</v>
      </c>
      <c r="C3456" t="s">
        <v>62</v>
      </c>
      <c r="D3456" t="s">
        <v>41</v>
      </c>
      <c r="E3456" t="s">
        <v>42</v>
      </c>
      <c r="F3456" t="s">
        <v>27</v>
      </c>
      <c r="G3456" t="s">
        <v>28</v>
      </c>
      <c r="H3456" t="s">
        <v>29</v>
      </c>
      <c r="I3456" t="s">
        <v>64</v>
      </c>
      <c r="J3456" t="s">
        <v>111</v>
      </c>
      <c r="K3456" t="s">
        <v>66</v>
      </c>
      <c r="L3456" t="s">
        <v>46</v>
      </c>
      <c r="M3456" t="s">
        <v>87</v>
      </c>
      <c r="N3456" t="s">
        <v>35</v>
      </c>
      <c r="O3456" t="s">
        <v>70</v>
      </c>
      <c r="P3456" t="s">
        <v>58</v>
      </c>
      <c r="Q3456" t="s">
        <v>144</v>
      </c>
      <c r="R3456">
        <v>237</v>
      </c>
      <c r="S3456">
        <v>104</v>
      </c>
      <c r="T3456">
        <v>69</v>
      </c>
      <c r="U3456">
        <v>25</v>
      </c>
      <c r="V3456" t="s">
        <v>6828</v>
      </c>
      <c r="W3456">
        <v>58999</v>
      </c>
      <c r="X3456" t="s">
        <v>7126</v>
      </c>
      <c r="Y3456">
        <v>43522</v>
      </c>
      <c r="Z3456">
        <v>1474975</v>
      </c>
      <c r="AA3456">
        <v>386925</v>
      </c>
      <c r="AB3456" t="str">
        <f>(VLOOKUP(SalesData[[#This Row],[Month Number]],Reference!C$5:E$16,2,FALSE))</f>
        <v>Feb</v>
      </c>
      <c r="AC3456">
        <f>MONTH(SalesData[[#This Row],[Date]])</f>
        <v>2</v>
      </c>
      <c r="AD3456">
        <f>Reference!F$4</f>
        <v>2026</v>
      </c>
      <c r="AE3456" t="str">
        <f>IF(OR(SalesData[[#This Row],[Day]]="Saturday",SalesData[[#This Row],[Day]]="Sunday"),"Weekend","Weekday")</f>
        <v>Weekend</v>
      </c>
      <c r="AF3456" s="5">
        <f>IF(SalesData[[#This Row],[Contracts Offered]]=0,0,SalesData[[#This Row],[Contracts Signed]]/SalesData[[#This Row],[Contracts Offered]])</f>
        <v>0.36231884057971014</v>
      </c>
      <c r="AG3456" s="5">
        <f>IF(SalesData[[#This Row],[Customers Visited]]=0,0,SalesData[[#This Row],[Test Drives]]/SalesData[[#This Row],[Customers Visited]])</f>
        <v>0.43881856540084391</v>
      </c>
      <c r="AH3456" s="5">
        <f>IF(SalesData[[#This Row],[Customers Visited]]=0,0,SalesData[[#This Row],[Contracts Signed]]/SalesData[[#This Row],[Customers Visited]])</f>
        <v>0.10548523206751055</v>
      </c>
      <c r="AI3456" s="6">
        <f>IF(SalesData[[#This Row],[Contracts Signed]]=0,0,SalesData[[#This Row],[Profit(€)]]/SalesData[[#This Row],[Contracts Signed]])</f>
        <v>15477</v>
      </c>
      <c r="AJ3456" s="5" t="str">
        <f>TRIM(CLEAN(SalesData[[#This Row],[Retailer]]))</f>
        <v>Main Auto Hub</v>
      </c>
    </row>
    <row r="3457" spans="1:36" ht="14.25" hidden="1" x14ac:dyDescent="0.2">
      <c r="A3457" t="s">
        <v>4655</v>
      </c>
      <c r="B3457" s="1">
        <v>46068</v>
      </c>
      <c r="C3457" t="s">
        <v>62</v>
      </c>
      <c r="D3457" t="s">
        <v>41</v>
      </c>
      <c r="E3457" t="s">
        <v>42</v>
      </c>
      <c r="F3457" t="s">
        <v>101</v>
      </c>
      <c r="G3457" t="s">
        <v>102</v>
      </c>
      <c r="H3457" t="s">
        <v>103</v>
      </c>
      <c r="I3457" t="s">
        <v>64</v>
      </c>
      <c r="J3457" t="s">
        <v>77</v>
      </c>
      <c r="K3457" t="s">
        <v>78</v>
      </c>
      <c r="L3457" t="s">
        <v>46</v>
      </c>
      <c r="M3457" t="s">
        <v>87</v>
      </c>
      <c r="N3457" t="s">
        <v>35</v>
      </c>
      <c r="O3457" t="s">
        <v>36</v>
      </c>
      <c r="P3457" t="s">
        <v>71</v>
      </c>
      <c r="Q3457" t="s">
        <v>158</v>
      </c>
      <c r="R3457">
        <v>146</v>
      </c>
      <c r="S3457">
        <v>85</v>
      </c>
      <c r="T3457">
        <v>58</v>
      </c>
      <c r="U3457">
        <v>18</v>
      </c>
      <c r="V3457" t="s">
        <v>6609</v>
      </c>
      <c r="W3457">
        <v>64650</v>
      </c>
      <c r="X3457" t="s">
        <v>2061</v>
      </c>
      <c r="Y3457">
        <v>50643</v>
      </c>
      <c r="Z3457">
        <v>1163700</v>
      </c>
      <c r="AA3457">
        <v>252126</v>
      </c>
      <c r="AB3457" t="str">
        <f>(VLOOKUP(SalesData[[#This Row],[Month Number]],Reference!C$5:E$16,2,FALSE))</f>
        <v>Feb</v>
      </c>
      <c r="AC3457">
        <f>MONTH(SalesData[[#This Row],[Date]])</f>
        <v>2</v>
      </c>
      <c r="AD3457">
        <f>Reference!F$4</f>
        <v>2026</v>
      </c>
      <c r="AE3457" t="str">
        <f>IF(OR(SalesData[[#This Row],[Day]]="Saturday",SalesData[[#This Row],[Day]]="Sunday"),"Weekend","Weekday")</f>
        <v>Weekend</v>
      </c>
      <c r="AF3457" s="5">
        <f>IF(SalesData[[#This Row],[Contracts Offered]]=0,0,SalesData[[#This Row],[Contracts Signed]]/SalesData[[#This Row],[Contracts Offered]])</f>
        <v>0.31034482758620691</v>
      </c>
      <c r="AG3457" s="5">
        <f>IF(SalesData[[#This Row],[Customers Visited]]=0,0,SalesData[[#This Row],[Test Drives]]/SalesData[[#This Row],[Customers Visited]])</f>
        <v>0.5821917808219178</v>
      </c>
      <c r="AH3457" s="5">
        <f>IF(SalesData[[#This Row],[Customers Visited]]=0,0,SalesData[[#This Row],[Contracts Signed]]/SalesData[[#This Row],[Customers Visited]])</f>
        <v>0.12328767123287671</v>
      </c>
      <c r="AI3457" s="6">
        <f>IF(SalesData[[#This Row],[Contracts Signed]]=0,0,SalesData[[#This Row],[Profit(€)]]/SalesData[[#This Row],[Contracts Signed]])</f>
        <v>14007</v>
      </c>
      <c r="AJ3457" s="5" t="str">
        <f>TRIM(CLEAN(SalesData[[#This Row],[Retailer]]))</f>
        <v>Ruhr Auto Plaza</v>
      </c>
    </row>
    <row r="3458" spans="1:36" ht="14.25" hidden="1" x14ac:dyDescent="0.2">
      <c r="A3458" t="s">
        <v>4656</v>
      </c>
      <c r="B3458" s="1">
        <v>46080</v>
      </c>
      <c r="C3458" t="s">
        <v>53</v>
      </c>
      <c r="D3458" t="s">
        <v>54</v>
      </c>
      <c r="E3458" t="s">
        <v>26</v>
      </c>
      <c r="F3458" t="s">
        <v>101</v>
      </c>
      <c r="G3458" t="s">
        <v>102</v>
      </c>
      <c r="H3458" t="s">
        <v>103</v>
      </c>
      <c r="I3458" t="s">
        <v>116</v>
      </c>
      <c r="J3458" t="s">
        <v>7026</v>
      </c>
      <c r="K3458" t="s">
        <v>66</v>
      </c>
      <c r="L3458" t="s">
        <v>46</v>
      </c>
      <c r="M3458" t="s">
        <v>47</v>
      </c>
      <c r="N3458" t="s">
        <v>35</v>
      </c>
      <c r="O3458" t="s">
        <v>70</v>
      </c>
      <c r="P3458" t="s">
        <v>37</v>
      </c>
      <c r="Q3458" t="s">
        <v>129</v>
      </c>
      <c r="R3458">
        <v>427</v>
      </c>
      <c r="S3458">
        <v>211</v>
      </c>
      <c r="T3458">
        <v>125</v>
      </c>
      <c r="U3458">
        <v>25</v>
      </c>
      <c r="V3458" t="s">
        <v>3021</v>
      </c>
      <c r="W3458">
        <v>20768</v>
      </c>
      <c r="X3458" t="s">
        <v>6615</v>
      </c>
      <c r="Y3458">
        <v>18751</v>
      </c>
      <c r="Z3458">
        <v>519200</v>
      </c>
      <c r="AA3458">
        <v>50425</v>
      </c>
      <c r="AB3458" t="str">
        <f>(VLOOKUP(SalesData[[#This Row],[Month Number]],Reference!C$5:E$16,2,FALSE))</f>
        <v>Feb</v>
      </c>
      <c r="AC3458">
        <f>MONTH(SalesData[[#This Row],[Date]])</f>
        <v>2</v>
      </c>
      <c r="AD3458">
        <f>Reference!F$4</f>
        <v>2026</v>
      </c>
      <c r="AE3458" t="str">
        <f>IF(OR(SalesData[[#This Row],[Day]]="Saturday",SalesData[[#This Row],[Day]]="Sunday"),"Weekend","Weekday")</f>
        <v>Weekday</v>
      </c>
      <c r="AF3458" s="5">
        <f>IF(SalesData[[#This Row],[Contracts Offered]]=0,0,SalesData[[#This Row],[Contracts Signed]]/SalesData[[#This Row],[Contracts Offered]])</f>
        <v>0.2</v>
      </c>
      <c r="AG3458" s="5">
        <f>IF(SalesData[[#This Row],[Customers Visited]]=0,0,SalesData[[#This Row],[Test Drives]]/SalesData[[#This Row],[Customers Visited]])</f>
        <v>0.49414519906323184</v>
      </c>
      <c r="AH3458" s="5">
        <f>IF(SalesData[[#This Row],[Customers Visited]]=0,0,SalesData[[#This Row],[Contracts Signed]]/SalesData[[#This Row],[Customers Visited]])</f>
        <v>5.8548009367681501E-2</v>
      </c>
      <c r="AI3458" s="6">
        <f>IF(SalesData[[#This Row],[Contracts Signed]]=0,0,SalesData[[#This Row],[Profit(€)]]/SalesData[[#This Row],[Contracts Signed]])</f>
        <v>2017</v>
      </c>
      <c r="AJ3458" s="5" t="str">
        <f>TRIM(CLEAN(SalesData[[#This Row],[Retailer]]))</f>
        <v>Ruhr Auto Plaza</v>
      </c>
    </row>
    <row r="3459" spans="1:36" ht="14.25" x14ac:dyDescent="0.2">
      <c r="A3459" t="s">
        <v>4657</v>
      </c>
      <c r="B3459" s="1">
        <v>46072</v>
      </c>
      <c r="C3459" t="s">
        <v>62</v>
      </c>
      <c r="D3459" t="s">
        <v>100</v>
      </c>
      <c r="E3459" t="s">
        <v>26</v>
      </c>
      <c r="F3459" t="s">
        <v>83</v>
      </c>
      <c r="G3459" t="s">
        <v>84</v>
      </c>
      <c r="H3459" t="s">
        <v>85</v>
      </c>
      <c r="I3459" t="s">
        <v>30</v>
      </c>
      <c r="J3459" t="s">
        <v>31</v>
      </c>
      <c r="K3459" t="s">
        <v>91</v>
      </c>
      <c r="L3459" t="s">
        <v>46</v>
      </c>
      <c r="M3459" t="s">
        <v>87</v>
      </c>
      <c r="N3459" t="s">
        <v>69</v>
      </c>
      <c r="O3459" t="s">
        <v>70</v>
      </c>
      <c r="P3459" t="s">
        <v>49</v>
      </c>
      <c r="Q3459" t="s">
        <v>189</v>
      </c>
      <c r="R3459">
        <v>194</v>
      </c>
      <c r="S3459">
        <v>108</v>
      </c>
      <c r="T3459">
        <v>80</v>
      </c>
      <c r="U3459">
        <v>26</v>
      </c>
      <c r="V3459" t="s">
        <v>6497</v>
      </c>
      <c r="W3459">
        <v>60652</v>
      </c>
      <c r="X3459" t="s">
        <v>7059</v>
      </c>
      <c r="Y3459">
        <v>44700</v>
      </c>
      <c r="Z3459">
        <v>1576952</v>
      </c>
      <c r="AA3459">
        <v>414752</v>
      </c>
      <c r="AB3459" t="str">
        <f>(VLOOKUP(SalesData[[#This Row],[Month Number]],Reference!C$5:E$16,2,FALSE))</f>
        <v>Feb</v>
      </c>
      <c r="AC3459">
        <f>MONTH(SalesData[[#This Row],[Date]])</f>
        <v>2</v>
      </c>
      <c r="AD3459">
        <f>Reference!F$4</f>
        <v>2026</v>
      </c>
      <c r="AE3459" t="str">
        <f>IF(OR(SalesData[[#This Row],[Day]]="Saturday",SalesData[[#This Row],[Day]]="Sunday"),"Weekend","Weekday")</f>
        <v>Weekday</v>
      </c>
      <c r="AF3459" s="5">
        <f>IF(SalesData[[#This Row],[Contracts Offered]]=0,0,SalesData[[#This Row],[Contracts Signed]]/SalesData[[#This Row],[Contracts Offered]])</f>
        <v>0.32500000000000001</v>
      </c>
      <c r="AG3459" s="5">
        <f>IF(SalesData[[#This Row],[Customers Visited]]=0,0,SalesData[[#This Row],[Test Drives]]/SalesData[[#This Row],[Customers Visited]])</f>
        <v>0.55670103092783507</v>
      </c>
      <c r="AH3459" s="5">
        <f>IF(SalesData[[#This Row],[Customers Visited]]=0,0,SalesData[[#This Row],[Contracts Signed]]/SalesData[[#This Row],[Customers Visited]])</f>
        <v>0.13402061855670103</v>
      </c>
      <c r="AI3459" s="6">
        <f>IF(SalesData[[#This Row],[Contracts Signed]]=0,0,SalesData[[#This Row],[Profit(€)]]/SalesData[[#This Row],[Contracts Signed]])</f>
        <v>15952</v>
      </c>
      <c r="AJ3459" s="5" t="str">
        <f>TRIM(CLEAN(SalesData[[#This Row],[Retailer]]))</f>
        <v>Hannover Cars</v>
      </c>
    </row>
    <row r="3460" spans="1:36" ht="14.25" hidden="1" x14ac:dyDescent="0.2">
      <c r="A3460" t="s">
        <v>4658</v>
      </c>
      <c r="B3460" s="1">
        <v>46066</v>
      </c>
      <c r="C3460" t="s">
        <v>121</v>
      </c>
      <c r="D3460" t="s">
        <v>54</v>
      </c>
      <c r="E3460" t="s">
        <v>26</v>
      </c>
      <c r="F3460" t="s">
        <v>74</v>
      </c>
      <c r="G3460" t="s">
        <v>75</v>
      </c>
      <c r="H3460" t="s">
        <v>76</v>
      </c>
      <c r="I3460" t="s">
        <v>56</v>
      </c>
      <c r="J3460" t="s">
        <v>137</v>
      </c>
      <c r="K3460" t="s">
        <v>66</v>
      </c>
      <c r="L3460" t="s">
        <v>46</v>
      </c>
      <c r="M3460" t="s">
        <v>68</v>
      </c>
      <c r="N3460" t="s">
        <v>35</v>
      </c>
      <c r="O3460" t="s">
        <v>36</v>
      </c>
      <c r="P3460" t="s">
        <v>49</v>
      </c>
      <c r="Q3460" t="s">
        <v>144</v>
      </c>
      <c r="R3460">
        <v>219</v>
      </c>
      <c r="S3460">
        <v>117</v>
      </c>
      <c r="T3460">
        <v>90</v>
      </c>
      <c r="U3460">
        <v>25</v>
      </c>
      <c r="V3460" t="s">
        <v>6550</v>
      </c>
      <c r="W3460">
        <v>53651</v>
      </c>
      <c r="X3460" t="s">
        <v>1632</v>
      </c>
      <c r="Y3460">
        <v>42502</v>
      </c>
      <c r="Z3460">
        <v>1341275</v>
      </c>
      <c r="AA3460">
        <v>278725</v>
      </c>
      <c r="AB3460" t="str">
        <f>(VLOOKUP(SalesData[[#This Row],[Month Number]],Reference!C$5:E$16,2,FALSE))</f>
        <v>Feb</v>
      </c>
      <c r="AC3460">
        <f>MONTH(SalesData[[#This Row],[Date]])</f>
        <v>2</v>
      </c>
      <c r="AD3460">
        <f>Reference!F$4</f>
        <v>2026</v>
      </c>
      <c r="AE3460" t="str">
        <f>IF(OR(SalesData[[#This Row],[Day]]="Saturday",SalesData[[#This Row],[Day]]="Sunday"),"Weekend","Weekday")</f>
        <v>Weekday</v>
      </c>
      <c r="AF3460" s="5">
        <f>IF(SalesData[[#This Row],[Contracts Offered]]=0,0,SalesData[[#This Row],[Contracts Signed]]/SalesData[[#This Row],[Contracts Offered]])</f>
        <v>0.27777777777777779</v>
      </c>
      <c r="AG3460" s="5">
        <f>IF(SalesData[[#This Row],[Customers Visited]]=0,0,SalesData[[#This Row],[Test Drives]]/SalesData[[#This Row],[Customers Visited]])</f>
        <v>0.53424657534246578</v>
      </c>
      <c r="AH3460" s="5">
        <f>IF(SalesData[[#This Row],[Customers Visited]]=0,0,SalesData[[#This Row],[Contracts Signed]]/SalesData[[#This Row],[Customers Visited]])</f>
        <v>0.11415525114155251</v>
      </c>
      <c r="AI3460" s="6">
        <f>IF(SalesData[[#This Row],[Contracts Signed]]=0,0,SalesData[[#This Row],[Profit(€)]]/SalesData[[#This Row],[Contracts Signed]])</f>
        <v>11149</v>
      </c>
      <c r="AJ3460" s="5" t="str">
        <f>TRIM(CLEAN(SalesData[[#This Row],[Retailer]]))</f>
        <v>Stuttgart Auto Center</v>
      </c>
    </row>
    <row r="3461" spans="1:36" ht="14.25" hidden="1" x14ac:dyDescent="0.2">
      <c r="A3461" t="s">
        <v>4659</v>
      </c>
      <c r="B3461" s="1">
        <v>46059</v>
      </c>
      <c r="C3461" t="s">
        <v>24</v>
      </c>
      <c r="D3461" t="s">
        <v>54</v>
      </c>
      <c r="E3461" t="s">
        <v>26</v>
      </c>
      <c r="F3461" t="s">
        <v>7649</v>
      </c>
      <c r="G3461" t="s">
        <v>55</v>
      </c>
      <c r="H3461" t="s">
        <v>55</v>
      </c>
      <c r="I3461" t="s">
        <v>116</v>
      </c>
      <c r="J3461" t="s">
        <v>7090</v>
      </c>
      <c r="K3461" t="s">
        <v>66</v>
      </c>
      <c r="L3461" t="s">
        <v>46</v>
      </c>
      <c r="M3461" t="s">
        <v>34</v>
      </c>
      <c r="N3461" t="s">
        <v>35</v>
      </c>
      <c r="O3461" t="s">
        <v>36</v>
      </c>
      <c r="P3461" t="s">
        <v>71</v>
      </c>
      <c r="Q3461" t="s">
        <v>152</v>
      </c>
      <c r="R3461">
        <v>351</v>
      </c>
      <c r="S3461">
        <v>161</v>
      </c>
      <c r="T3461">
        <v>103</v>
      </c>
      <c r="U3461">
        <v>32</v>
      </c>
      <c r="V3461" t="s">
        <v>1865</v>
      </c>
      <c r="W3461">
        <v>22150</v>
      </c>
      <c r="X3461" t="s">
        <v>7411</v>
      </c>
      <c r="Y3461">
        <v>20435</v>
      </c>
      <c r="Z3461">
        <v>708800</v>
      </c>
      <c r="AA3461">
        <v>54880</v>
      </c>
      <c r="AB3461" t="str">
        <f>(VLOOKUP(SalesData[[#This Row],[Month Number]],Reference!C$5:E$16,2,FALSE))</f>
        <v>Feb</v>
      </c>
      <c r="AC3461">
        <f>MONTH(SalesData[[#This Row],[Date]])</f>
        <v>2</v>
      </c>
      <c r="AD3461">
        <f>Reference!F$4</f>
        <v>2026</v>
      </c>
      <c r="AE3461" t="str">
        <f>IF(OR(SalesData[[#This Row],[Day]]="Saturday",SalesData[[#This Row],[Day]]="Sunday"),"Weekend","Weekday")</f>
        <v>Weekday</v>
      </c>
      <c r="AF3461" s="5">
        <f>IF(SalesData[[#This Row],[Contracts Offered]]=0,0,SalesData[[#This Row],[Contracts Signed]]/SalesData[[#This Row],[Contracts Offered]])</f>
        <v>0.31067961165048541</v>
      </c>
      <c r="AG3461" s="5">
        <f>IF(SalesData[[#This Row],[Customers Visited]]=0,0,SalesData[[#This Row],[Test Drives]]/SalesData[[#This Row],[Customers Visited]])</f>
        <v>0.45868945868945871</v>
      </c>
      <c r="AH3461" s="5">
        <f>IF(SalesData[[#This Row],[Customers Visited]]=0,0,SalesData[[#This Row],[Contracts Signed]]/SalesData[[#This Row],[Customers Visited]])</f>
        <v>9.1168091168091173E-2</v>
      </c>
      <c r="AI3461" s="6">
        <f>IF(SalesData[[#This Row],[Contracts Signed]]=0,0,SalesData[[#This Row],[Profit(€)]]/SalesData[[#This Row],[Contracts Signed]])</f>
        <v>1715</v>
      </c>
      <c r="AJ3461" s="5" t="str">
        <f>TRIM(CLEAN(SalesData[[#This Row],[Retailer]]))</f>
        <v>Autohaus Berlin</v>
      </c>
    </row>
    <row r="3462" spans="1:36" ht="14.25" hidden="1" x14ac:dyDescent="0.2">
      <c r="A3462" t="s">
        <v>4660</v>
      </c>
      <c r="B3462" s="1">
        <v>46068</v>
      </c>
      <c r="C3462" t="s">
        <v>62</v>
      </c>
      <c r="D3462" t="s">
        <v>41</v>
      </c>
      <c r="E3462" t="s">
        <v>42</v>
      </c>
      <c r="F3462" t="s">
        <v>83</v>
      </c>
      <c r="G3462" t="s">
        <v>84</v>
      </c>
      <c r="H3462" t="s">
        <v>85</v>
      </c>
      <c r="I3462" t="s">
        <v>116</v>
      </c>
      <c r="J3462" t="s">
        <v>7026</v>
      </c>
      <c r="K3462" t="s">
        <v>78</v>
      </c>
      <c r="L3462" t="s">
        <v>46</v>
      </c>
      <c r="M3462" t="s">
        <v>34</v>
      </c>
      <c r="N3462" t="s">
        <v>69</v>
      </c>
      <c r="O3462" t="s">
        <v>36</v>
      </c>
      <c r="P3462" t="s">
        <v>58</v>
      </c>
      <c r="Q3462" t="s">
        <v>158</v>
      </c>
      <c r="R3462">
        <v>259</v>
      </c>
      <c r="S3462">
        <v>107</v>
      </c>
      <c r="T3462">
        <v>60</v>
      </c>
      <c r="U3462">
        <v>18</v>
      </c>
      <c r="V3462" t="s">
        <v>3416</v>
      </c>
      <c r="W3462">
        <v>27093</v>
      </c>
      <c r="X3462" t="s">
        <v>2270</v>
      </c>
      <c r="Y3462">
        <v>24420</v>
      </c>
      <c r="Z3462">
        <v>487674</v>
      </c>
      <c r="AA3462">
        <v>48114</v>
      </c>
      <c r="AB3462" t="str">
        <f>(VLOOKUP(SalesData[[#This Row],[Month Number]],Reference!C$5:E$16,2,FALSE))</f>
        <v>Feb</v>
      </c>
      <c r="AC3462">
        <f>MONTH(SalesData[[#This Row],[Date]])</f>
        <v>2</v>
      </c>
      <c r="AD3462">
        <f>Reference!F$4</f>
        <v>2026</v>
      </c>
      <c r="AE3462" t="str">
        <f>IF(OR(SalesData[[#This Row],[Day]]="Saturday",SalesData[[#This Row],[Day]]="Sunday"),"Weekend","Weekday")</f>
        <v>Weekend</v>
      </c>
      <c r="AF3462" s="5">
        <f>IF(SalesData[[#This Row],[Contracts Offered]]=0,0,SalesData[[#This Row],[Contracts Signed]]/SalesData[[#This Row],[Contracts Offered]])</f>
        <v>0.3</v>
      </c>
      <c r="AG3462" s="5">
        <f>IF(SalesData[[#This Row],[Customers Visited]]=0,0,SalesData[[#This Row],[Test Drives]]/SalesData[[#This Row],[Customers Visited]])</f>
        <v>0.41312741312741313</v>
      </c>
      <c r="AH3462" s="5">
        <f>IF(SalesData[[#This Row],[Customers Visited]]=0,0,SalesData[[#This Row],[Contracts Signed]]/SalesData[[#This Row],[Customers Visited]])</f>
        <v>6.9498069498069498E-2</v>
      </c>
      <c r="AI3462" s="6">
        <f>IF(SalesData[[#This Row],[Contracts Signed]]=0,0,SalesData[[#This Row],[Profit(€)]]/SalesData[[#This Row],[Contracts Signed]])</f>
        <v>2673</v>
      </c>
      <c r="AJ3462" s="5" t="str">
        <f>TRIM(CLEAN(SalesData[[#This Row],[Retailer]]))</f>
        <v>Hannover Cars</v>
      </c>
    </row>
    <row r="3463" spans="1:36" ht="14.25" hidden="1" x14ac:dyDescent="0.2">
      <c r="A3463" t="s">
        <v>4661</v>
      </c>
      <c r="B3463" s="1">
        <v>46062</v>
      </c>
      <c r="C3463" t="s">
        <v>121</v>
      </c>
      <c r="D3463" t="s">
        <v>25</v>
      </c>
      <c r="E3463" t="s">
        <v>26</v>
      </c>
      <c r="F3463" t="s">
        <v>114</v>
      </c>
      <c r="G3463" t="s">
        <v>115</v>
      </c>
      <c r="H3463" t="s">
        <v>115</v>
      </c>
      <c r="I3463" t="s">
        <v>104</v>
      </c>
      <c r="J3463" t="s">
        <v>105</v>
      </c>
      <c r="K3463" t="s">
        <v>78</v>
      </c>
      <c r="L3463" t="s">
        <v>33</v>
      </c>
      <c r="M3463" t="s">
        <v>68</v>
      </c>
      <c r="N3463" t="s">
        <v>35</v>
      </c>
      <c r="O3463" t="s">
        <v>70</v>
      </c>
      <c r="P3463" t="s">
        <v>37</v>
      </c>
      <c r="Q3463" t="s">
        <v>152</v>
      </c>
      <c r="R3463">
        <v>264</v>
      </c>
      <c r="S3463">
        <v>142</v>
      </c>
      <c r="T3463">
        <v>95</v>
      </c>
      <c r="U3463">
        <v>19</v>
      </c>
      <c r="V3463" t="s">
        <v>1776</v>
      </c>
      <c r="W3463">
        <v>26533</v>
      </c>
      <c r="X3463" t="s">
        <v>674</v>
      </c>
      <c r="Y3463">
        <v>22915</v>
      </c>
      <c r="Z3463">
        <v>504127</v>
      </c>
      <c r="AA3463">
        <v>68742</v>
      </c>
      <c r="AB3463" t="str">
        <f>(VLOOKUP(SalesData[[#This Row],[Month Number]],Reference!C$5:E$16,2,FALSE))</f>
        <v>Feb</v>
      </c>
      <c r="AC3463">
        <f>MONTH(SalesData[[#This Row],[Date]])</f>
        <v>2</v>
      </c>
      <c r="AD3463">
        <f>Reference!F$4</f>
        <v>2026</v>
      </c>
      <c r="AE3463" t="str">
        <f>IF(OR(SalesData[[#This Row],[Day]]="Saturday",SalesData[[#This Row],[Day]]="Sunday"),"Weekend","Weekday")</f>
        <v>Weekday</v>
      </c>
      <c r="AF3463" s="5">
        <f>IF(SalesData[[#This Row],[Contracts Offered]]=0,0,SalesData[[#This Row],[Contracts Signed]]/SalesData[[#This Row],[Contracts Offered]])</f>
        <v>0.2</v>
      </c>
      <c r="AG3463" s="5">
        <f>IF(SalesData[[#This Row],[Customers Visited]]=0,0,SalesData[[#This Row],[Test Drives]]/SalesData[[#This Row],[Customers Visited]])</f>
        <v>0.53787878787878785</v>
      </c>
      <c r="AH3463" s="5">
        <f>IF(SalesData[[#This Row],[Customers Visited]]=0,0,SalesData[[#This Row],[Contracts Signed]]/SalesData[[#This Row],[Customers Visited]])</f>
        <v>7.1969696969696975E-2</v>
      </c>
      <c r="AI3463" s="6">
        <f>IF(SalesData[[#This Row],[Contracts Signed]]=0,0,SalesData[[#This Row],[Profit(€)]]/SalesData[[#This Row],[Contracts Signed]])</f>
        <v>3618</v>
      </c>
      <c r="AJ3463" s="5" t="str">
        <f>TRIM(CLEAN(SalesData[[#This Row],[Retailer]]))</f>
        <v>Elbe Drive</v>
      </c>
    </row>
    <row r="3464" spans="1:36" ht="14.25" hidden="1" x14ac:dyDescent="0.2">
      <c r="A3464" t="s">
        <v>4662</v>
      </c>
      <c r="B3464" s="1">
        <v>46070</v>
      </c>
      <c r="C3464" t="s">
        <v>62</v>
      </c>
      <c r="D3464" t="s">
        <v>63</v>
      </c>
      <c r="E3464" t="s">
        <v>26</v>
      </c>
      <c r="F3464" t="s">
        <v>94</v>
      </c>
      <c r="G3464" t="s">
        <v>95</v>
      </c>
      <c r="H3464" t="s">
        <v>96</v>
      </c>
      <c r="I3464" t="s">
        <v>116</v>
      </c>
      <c r="J3464" t="s">
        <v>7090</v>
      </c>
      <c r="K3464" t="s">
        <v>66</v>
      </c>
      <c r="L3464" t="s">
        <v>46</v>
      </c>
      <c r="M3464" t="s">
        <v>87</v>
      </c>
      <c r="N3464" t="s">
        <v>69</v>
      </c>
      <c r="O3464" t="s">
        <v>70</v>
      </c>
      <c r="P3464" t="s">
        <v>71</v>
      </c>
      <c r="Q3464" t="s">
        <v>118</v>
      </c>
      <c r="R3464">
        <v>332</v>
      </c>
      <c r="S3464">
        <v>176</v>
      </c>
      <c r="T3464">
        <v>103</v>
      </c>
      <c r="U3464">
        <v>29</v>
      </c>
      <c r="V3464" t="s">
        <v>1422</v>
      </c>
      <c r="W3464">
        <v>23251</v>
      </c>
      <c r="X3464" t="s">
        <v>519</v>
      </c>
      <c r="Y3464">
        <v>21082</v>
      </c>
      <c r="Z3464">
        <v>674279</v>
      </c>
      <c r="AA3464">
        <v>62901</v>
      </c>
      <c r="AB3464" t="str">
        <f>(VLOOKUP(SalesData[[#This Row],[Month Number]],Reference!C$5:E$16,2,FALSE))</f>
        <v>Feb</v>
      </c>
      <c r="AC3464">
        <f>MONTH(SalesData[[#This Row],[Date]])</f>
        <v>2</v>
      </c>
      <c r="AD3464">
        <f>Reference!F$4</f>
        <v>2026</v>
      </c>
      <c r="AE3464" t="str">
        <f>IF(OR(SalesData[[#This Row],[Day]]="Saturday",SalesData[[#This Row],[Day]]="Sunday"),"Weekend","Weekday")</f>
        <v>Weekday</v>
      </c>
      <c r="AF3464" s="5">
        <f>IF(SalesData[[#This Row],[Contracts Offered]]=0,0,SalesData[[#This Row],[Contracts Signed]]/SalesData[[#This Row],[Contracts Offered]])</f>
        <v>0.28155339805825241</v>
      </c>
      <c r="AG3464" s="5">
        <f>IF(SalesData[[#This Row],[Customers Visited]]=0,0,SalesData[[#This Row],[Test Drives]]/SalesData[[#This Row],[Customers Visited]])</f>
        <v>0.53012048192771088</v>
      </c>
      <c r="AH3464" s="5">
        <f>IF(SalesData[[#This Row],[Customers Visited]]=0,0,SalesData[[#This Row],[Contracts Signed]]/SalesData[[#This Row],[Customers Visited]])</f>
        <v>8.7349397590361449E-2</v>
      </c>
      <c r="AI3464" s="6">
        <f>IF(SalesData[[#This Row],[Contracts Signed]]=0,0,SalesData[[#This Row],[Profit(€)]]/SalesData[[#This Row],[Contracts Signed]])</f>
        <v>2169</v>
      </c>
      <c r="AJ3464" s="5" t="str">
        <f>TRIM(CLEAN(SalesData[[#This Row],[Retailer]]))</f>
        <v>Bavaria Motors</v>
      </c>
    </row>
    <row r="3465" spans="1:36" ht="14.25" hidden="1" x14ac:dyDescent="0.2">
      <c r="A3465" t="s">
        <v>4663</v>
      </c>
      <c r="B3465" s="1">
        <v>46066</v>
      </c>
      <c r="C3465" t="s">
        <v>121</v>
      </c>
      <c r="D3465" t="s">
        <v>54</v>
      </c>
      <c r="E3465" t="s">
        <v>26</v>
      </c>
      <c r="F3465" t="s">
        <v>7649</v>
      </c>
      <c r="G3465" t="s">
        <v>55</v>
      </c>
      <c r="H3465" t="s">
        <v>55</v>
      </c>
      <c r="I3465" t="s">
        <v>104</v>
      </c>
      <c r="J3465" t="s">
        <v>105</v>
      </c>
      <c r="K3465" t="s">
        <v>78</v>
      </c>
      <c r="L3465" t="s">
        <v>33</v>
      </c>
      <c r="M3465" t="s">
        <v>47</v>
      </c>
      <c r="N3465" t="s">
        <v>35</v>
      </c>
      <c r="O3465" t="s">
        <v>36</v>
      </c>
      <c r="P3465" t="s">
        <v>58</v>
      </c>
      <c r="Q3465" t="s">
        <v>167</v>
      </c>
      <c r="R3465">
        <v>404</v>
      </c>
      <c r="S3465">
        <v>228</v>
      </c>
      <c r="T3465">
        <v>162</v>
      </c>
      <c r="U3465">
        <v>51</v>
      </c>
      <c r="V3465" t="s">
        <v>6477</v>
      </c>
      <c r="W3465">
        <v>28069</v>
      </c>
      <c r="X3465" t="s">
        <v>5384</v>
      </c>
      <c r="Y3465">
        <v>24397</v>
      </c>
      <c r="Z3465">
        <v>1431519</v>
      </c>
      <c r="AA3465">
        <v>187272</v>
      </c>
      <c r="AB3465" t="str">
        <f>(VLOOKUP(SalesData[[#This Row],[Month Number]],Reference!C$5:E$16,2,FALSE))</f>
        <v>Feb</v>
      </c>
      <c r="AC3465">
        <f>MONTH(SalesData[[#This Row],[Date]])</f>
        <v>2</v>
      </c>
      <c r="AD3465">
        <f>Reference!F$4</f>
        <v>2026</v>
      </c>
      <c r="AE3465" t="str">
        <f>IF(OR(SalesData[[#This Row],[Day]]="Saturday",SalesData[[#This Row],[Day]]="Sunday"),"Weekend","Weekday")</f>
        <v>Weekday</v>
      </c>
      <c r="AF3465" s="5">
        <f>IF(SalesData[[#This Row],[Contracts Offered]]=0,0,SalesData[[#This Row],[Contracts Signed]]/SalesData[[#This Row],[Contracts Offered]])</f>
        <v>0.31481481481481483</v>
      </c>
      <c r="AG3465" s="5">
        <f>IF(SalesData[[#This Row],[Customers Visited]]=0,0,SalesData[[#This Row],[Test Drives]]/SalesData[[#This Row],[Customers Visited]])</f>
        <v>0.5643564356435643</v>
      </c>
      <c r="AH3465" s="5">
        <f>IF(SalesData[[#This Row],[Customers Visited]]=0,0,SalesData[[#This Row],[Contracts Signed]]/SalesData[[#This Row],[Customers Visited]])</f>
        <v>0.12623762376237624</v>
      </c>
      <c r="AI3465" s="6">
        <f>IF(SalesData[[#This Row],[Contracts Signed]]=0,0,SalesData[[#This Row],[Profit(€)]]/SalesData[[#This Row],[Contracts Signed]])</f>
        <v>3672</v>
      </c>
      <c r="AJ3465" s="5" t="str">
        <f>TRIM(CLEAN(SalesData[[#This Row],[Retailer]]))</f>
        <v>Autohaus Berlin</v>
      </c>
    </row>
    <row r="3466" spans="1:36" ht="14.25" hidden="1" x14ac:dyDescent="0.2">
      <c r="A3466" t="s">
        <v>4664</v>
      </c>
      <c r="B3466" s="1">
        <v>46064</v>
      </c>
      <c r="C3466" t="s">
        <v>121</v>
      </c>
      <c r="D3466" t="s">
        <v>82</v>
      </c>
      <c r="E3466" t="s">
        <v>26</v>
      </c>
      <c r="F3466" t="s">
        <v>114</v>
      </c>
      <c r="G3466" t="s">
        <v>115</v>
      </c>
      <c r="H3466" t="s">
        <v>115</v>
      </c>
      <c r="I3466" t="s">
        <v>64</v>
      </c>
      <c r="J3466" t="s">
        <v>157</v>
      </c>
      <c r="K3466" t="s">
        <v>91</v>
      </c>
      <c r="L3466" t="s">
        <v>33</v>
      </c>
      <c r="M3466" t="s">
        <v>87</v>
      </c>
      <c r="N3466" t="s">
        <v>69</v>
      </c>
      <c r="O3466" t="s">
        <v>70</v>
      </c>
      <c r="P3466" t="s">
        <v>49</v>
      </c>
      <c r="Q3466" t="s">
        <v>106</v>
      </c>
      <c r="R3466">
        <v>260</v>
      </c>
      <c r="S3466">
        <v>127</v>
      </c>
      <c r="T3466">
        <v>100</v>
      </c>
      <c r="U3466">
        <v>33</v>
      </c>
      <c r="V3466" t="s">
        <v>6792</v>
      </c>
      <c r="W3466">
        <v>61224</v>
      </c>
      <c r="X3466" t="s">
        <v>7056</v>
      </c>
      <c r="Y3466">
        <v>44986</v>
      </c>
      <c r="Z3466">
        <v>2020392</v>
      </c>
      <c r="AA3466">
        <v>535854</v>
      </c>
      <c r="AB3466" t="str">
        <f>(VLOOKUP(SalesData[[#This Row],[Month Number]],Reference!C$5:E$16,2,FALSE))</f>
        <v>Feb</v>
      </c>
      <c r="AC3466">
        <f>MONTH(SalesData[[#This Row],[Date]])</f>
        <v>2</v>
      </c>
      <c r="AD3466">
        <f>Reference!F$4</f>
        <v>2026</v>
      </c>
      <c r="AE3466" t="str">
        <f>IF(OR(SalesData[[#This Row],[Day]]="Saturday",SalesData[[#This Row],[Day]]="Sunday"),"Weekend","Weekday")</f>
        <v>Weekday</v>
      </c>
      <c r="AF3466" s="5">
        <f>IF(SalesData[[#This Row],[Contracts Offered]]=0,0,SalesData[[#This Row],[Contracts Signed]]/SalesData[[#This Row],[Contracts Offered]])</f>
        <v>0.33</v>
      </c>
      <c r="AG3466" s="5">
        <f>IF(SalesData[[#This Row],[Customers Visited]]=0,0,SalesData[[#This Row],[Test Drives]]/SalesData[[#This Row],[Customers Visited]])</f>
        <v>0.48846153846153845</v>
      </c>
      <c r="AH3466" s="5">
        <f>IF(SalesData[[#This Row],[Customers Visited]]=0,0,SalesData[[#This Row],[Contracts Signed]]/SalesData[[#This Row],[Customers Visited]])</f>
        <v>0.12692307692307692</v>
      </c>
      <c r="AI3466" s="6">
        <f>IF(SalesData[[#This Row],[Contracts Signed]]=0,0,SalesData[[#This Row],[Profit(€)]]/SalesData[[#This Row],[Contracts Signed]])</f>
        <v>16238</v>
      </c>
      <c r="AJ3466" s="5" t="str">
        <f>TRIM(CLEAN(SalesData[[#This Row],[Retailer]]))</f>
        <v>Elbe Drive</v>
      </c>
    </row>
    <row r="3467" spans="1:36" ht="14.25" x14ac:dyDescent="0.2">
      <c r="A3467" t="s">
        <v>4666</v>
      </c>
      <c r="B3467" s="1">
        <v>46072</v>
      </c>
      <c r="C3467" t="s">
        <v>62</v>
      </c>
      <c r="D3467" t="s">
        <v>100</v>
      </c>
      <c r="E3467" t="s">
        <v>26</v>
      </c>
      <c r="F3467" t="s">
        <v>27</v>
      </c>
      <c r="G3467" t="s">
        <v>28</v>
      </c>
      <c r="H3467" t="s">
        <v>29</v>
      </c>
      <c r="I3467" t="s">
        <v>30</v>
      </c>
      <c r="J3467" t="s">
        <v>166</v>
      </c>
      <c r="K3467" t="s">
        <v>91</v>
      </c>
      <c r="L3467" t="s">
        <v>46</v>
      </c>
      <c r="M3467" t="s">
        <v>47</v>
      </c>
      <c r="N3467" t="s">
        <v>69</v>
      </c>
      <c r="O3467" t="s">
        <v>36</v>
      </c>
      <c r="P3467" t="s">
        <v>71</v>
      </c>
      <c r="Q3467" t="s">
        <v>189</v>
      </c>
      <c r="R3467">
        <v>154</v>
      </c>
      <c r="S3467">
        <v>95</v>
      </c>
      <c r="T3467">
        <v>65</v>
      </c>
      <c r="U3467">
        <v>29</v>
      </c>
      <c r="V3467" t="s">
        <v>7486</v>
      </c>
      <c r="W3467">
        <v>65653</v>
      </c>
      <c r="X3467" t="s">
        <v>1813</v>
      </c>
      <c r="Y3467">
        <v>50910</v>
      </c>
      <c r="Z3467">
        <v>1903937</v>
      </c>
      <c r="AA3467">
        <v>427547</v>
      </c>
      <c r="AB3467" t="str">
        <f>(VLOOKUP(SalesData[[#This Row],[Month Number]],Reference!C$5:E$16,2,FALSE))</f>
        <v>Feb</v>
      </c>
      <c r="AC3467">
        <f>MONTH(SalesData[[#This Row],[Date]])</f>
        <v>2</v>
      </c>
      <c r="AD3467">
        <f>Reference!F$4</f>
        <v>2026</v>
      </c>
      <c r="AE3467" t="str">
        <f>IF(OR(SalesData[[#This Row],[Day]]="Saturday",SalesData[[#This Row],[Day]]="Sunday"),"Weekend","Weekday")</f>
        <v>Weekday</v>
      </c>
      <c r="AF3467" s="5">
        <f>IF(SalesData[[#This Row],[Contracts Offered]]=0,0,SalesData[[#This Row],[Contracts Signed]]/SalesData[[#This Row],[Contracts Offered]])</f>
        <v>0.44615384615384618</v>
      </c>
      <c r="AG3467" s="5">
        <f>IF(SalesData[[#This Row],[Customers Visited]]=0,0,SalesData[[#This Row],[Test Drives]]/SalesData[[#This Row],[Customers Visited]])</f>
        <v>0.61688311688311692</v>
      </c>
      <c r="AH3467" s="5">
        <f>IF(SalesData[[#This Row],[Customers Visited]]=0,0,SalesData[[#This Row],[Contracts Signed]]/SalesData[[#This Row],[Customers Visited]])</f>
        <v>0.18831168831168832</v>
      </c>
      <c r="AI3467" s="6">
        <f>IF(SalesData[[#This Row],[Contracts Signed]]=0,0,SalesData[[#This Row],[Profit(€)]]/SalesData[[#This Row],[Contracts Signed]])</f>
        <v>14743</v>
      </c>
      <c r="AJ3467" s="5" t="str">
        <f>TRIM(CLEAN(SalesData[[#This Row],[Retailer]]))</f>
        <v>Main Auto Hub</v>
      </c>
    </row>
    <row r="3468" spans="1:36" ht="14.25" hidden="1" x14ac:dyDescent="0.2">
      <c r="A3468" t="s">
        <v>4667</v>
      </c>
      <c r="B3468" s="1">
        <v>46072</v>
      </c>
      <c r="C3468" t="s">
        <v>62</v>
      </c>
      <c r="D3468" t="s">
        <v>100</v>
      </c>
      <c r="E3468" t="s">
        <v>26</v>
      </c>
      <c r="F3468" t="s">
        <v>27</v>
      </c>
      <c r="G3468" t="s">
        <v>28</v>
      </c>
      <c r="H3468" t="s">
        <v>29</v>
      </c>
      <c r="I3468" t="s">
        <v>56</v>
      </c>
      <c r="J3468" t="s">
        <v>57</v>
      </c>
      <c r="K3468" t="s">
        <v>91</v>
      </c>
      <c r="L3468" t="s">
        <v>46</v>
      </c>
      <c r="M3468" t="s">
        <v>47</v>
      </c>
      <c r="N3468" t="s">
        <v>48</v>
      </c>
      <c r="O3468" t="s">
        <v>36</v>
      </c>
      <c r="P3468" t="s">
        <v>71</v>
      </c>
      <c r="Q3468" t="s">
        <v>88</v>
      </c>
      <c r="R3468">
        <v>253</v>
      </c>
      <c r="S3468">
        <v>152</v>
      </c>
      <c r="T3468">
        <v>105</v>
      </c>
      <c r="U3468">
        <v>33</v>
      </c>
      <c r="V3468" t="s">
        <v>6731</v>
      </c>
      <c r="W3468">
        <v>41848</v>
      </c>
      <c r="X3468" t="s">
        <v>735</v>
      </c>
      <c r="Y3468">
        <v>32741</v>
      </c>
      <c r="Z3468">
        <v>1380984</v>
      </c>
      <c r="AA3468">
        <v>300531</v>
      </c>
      <c r="AB3468" t="str">
        <f>(VLOOKUP(SalesData[[#This Row],[Month Number]],Reference!C$5:E$16,2,FALSE))</f>
        <v>Feb</v>
      </c>
      <c r="AC3468">
        <f>MONTH(SalesData[[#This Row],[Date]])</f>
        <v>2</v>
      </c>
      <c r="AD3468">
        <f>Reference!F$4</f>
        <v>2026</v>
      </c>
      <c r="AE3468" t="str">
        <f>IF(OR(SalesData[[#This Row],[Day]]="Saturday",SalesData[[#This Row],[Day]]="Sunday"),"Weekend","Weekday")</f>
        <v>Weekday</v>
      </c>
      <c r="AF3468" s="5">
        <f>IF(SalesData[[#This Row],[Contracts Offered]]=0,0,SalesData[[#This Row],[Contracts Signed]]/SalesData[[#This Row],[Contracts Offered]])</f>
        <v>0.31428571428571428</v>
      </c>
      <c r="AG3468" s="5">
        <f>IF(SalesData[[#This Row],[Customers Visited]]=0,0,SalesData[[#This Row],[Test Drives]]/SalesData[[#This Row],[Customers Visited]])</f>
        <v>0.60079051383399207</v>
      </c>
      <c r="AH3468" s="5">
        <f>IF(SalesData[[#This Row],[Customers Visited]]=0,0,SalesData[[#This Row],[Contracts Signed]]/SalesData[[#This Row],[Customers Visited]])</f>
        <v>0.13043478260869565</v>
      </c>
      <c r="AI3468" s="6">
        <f>IF(SalesData[[#This Row],[Contracts Signed]]=0,0,SalesData[[#This Row],[Profit(€)]]/SalesData[[#This Row],[Contracts Signed]])</f>
        <v>9107</v>
      </c>
      <c r="AJ3468" s="5" t="str">
        <f>TRIM(CLEAN(SalesData[[#This Row],[Retailer]]))</f>
        <v>Main Auto Hub</v>
      </c>
    </row>
    <row r="3469" spans="1:36" ht="14.25" x14ac:dyDescent="0.2">
      <c r="A3469" t="s">
        <v>4668</v>
      </c>
      <c r="B3469" s="1">
        <v>46069</v>
      </c>
      <c r="C3469" t="s">
        <v>62</v>
      </c>
      <c r="D3469" t="s">
        <v>25</v>
      </c>
      <c r="E3469" t="s">
        <v>26</v>
      </c>
      <c r="F3469" t="s">
        <v>7649</v>
      </c>
      <c r="G3469" t="s">
        <v>55</v>
      </c>
      <c r="H3469" t="s">
        <v>55</v>
      </c>
      <c r="I3469" t="s">
        <v>30</v>
      </c>
      <c r="J3469" t="s">
        <v>86</v>
      </c>
      <c r="K3469" t="s">
        <v>32</v>
      </c>
      <c r="L3469" t="s">
        <v>33</v>
      </c>
      <c r="M3469" t="s">
        <v>34</v>
      </c>
      <c r="N3469" t="s">
        <v>69</v>
      </c>
      <c r="O3469" t="s">
        <v>36</v>
      </c>
      <c r="P3469" t="s">
        <v>37</v>
      </c>
      <c r="Q3469" t="s">
        <v>38</v>
      </c>
      <c r="R3469">
        <v>203</v>
      </c>
      <c r="S3469">
        <v>95</v>
      </c>
      <c r="T3469">
        <v>76</v>
      </c>
      <c r="U3469">
        <v>26</v>
      </c>
      <c r="V3469" t="s">
        <v>6559</v>
      </c>
      <c r="W3469">
        <v>68459</v>
      </c>
      <c r="X3469" t="s">
        <v>1403</v>
      </c>
      <c r="Y3469">
        <v>52360</v>
      </c>
      <c r="Z3469">
        <v>1779934</v>
      </c>
      <c r="AA3469">
        <v>418574</v>
      </c>
      <c r="AB3469" t="str">
        <f>(VLOOKUP(SalesData[[#This Row],[Month Number]],Reference!C$5:E$16,2,FALSE))</f>
        <v>Feb</v>
      </c>
      <c r="AC3469">
        <f>MONTH(SalesData[[#This Row],[Date]])</f>
        <v>2</v>
      </c>
      <c r="AD3469">
        <f>Reference!F$4</f>
        <v>2026</v>
      </c>
      <c r="AE3469" t="str">
        <f>IF(OR(SalesData[[#This Row],[Day]]="Saturday",SalesData[[#This Row],[Day]]="Sunday"),"Weekend","Weekday")</f>
        <v>Weekday</v>
      </c>
      <c r="AF3469" s="5">
        <f>IF(SalesData[[#This Row],[Contracts Offered]]=0,0,SalesData[[#This Row],[Contracts Signed]]/SalesData[[#This Row],[Contracts Offered]])</f>
        <v>0.34210526315789475</v>
      </c>
      <c r="AG3469" s="5">
        <f>IF(SalesData[[#This Row],[Customers Visited]]=0,0,SalesData[[#This Row],[Test Drives]]/SalesData[[#This Row],[Customers Visited]])</f>
        <v>0.46798029556650245</v>
      </c>
      <c r="AH3469" s="5">
        <f>IF(SalesData[[#This Row],[Customers Visited]]=0,0,SalesData[[#This Row],[Contracts Signed]]/SalesData[[#This Row],[Customers Visited]])</f>
        <v>0.12807881773399016</v>
      </c>
      <c r="AI3469" s="6">
        <f>IF(SalesData[[#This Row],[Contracts Signed]]=0,0,SalesData[[#This Row],[Profit(€)]]/SalesData[[#This Row],[Contracts Signed]])</f>
        <v>16099</v>
      </c>
      <c r="AJ3469" s="5" t="str">
        <f>TRIM(CLEAN(SalesData[[#This Row],[Retailer]]))</f>
        <v>Autohaus Berlin</v>
      </c>
    </row>
    <row r="3470" spans="1:36" ht="14.25" hidden="1" x14ac:dyDescent="0.2">
      <c r="A3470" t="s">
        <v>4669</v>
      </c>
      <c r="B3470" s="1">
        <v>46076</v>
      </c>
      <c r="C3470" t="s">
        <v>53</v>
      </c>
      <c r="D3470" t="s">
        <v>25</v>
      </c>
      <c r="E3470" t="s">
        <v>26</v>
      </c>
      <c r="F3470" t="s">
        <v>109</v>
      </c>
      <c r="G3470" t="s">
        <v>110</v>
      </c>
      <c r="H3470" t="s">
        <v>45</v>
      </c>
      <c r="I3470" t="s">
        <v>104</v>
      </c>
      <c r="J3470" t="s">
        <v>140</v>
      </c>
      <c r="K3470" t="s">
        <v>91</v>
      </c>
      <c r="L3470" t="s">
        <v>46</v>
      </c>
      <c r="M3470" t="s">
        <v>87</v>
      </c>
      <c r="N3470" t="s">
        <v>35</v>
      </c>
      <c r="O3470" t="s">
        <v>36</v>
      </c>
      <c r="P3470" t="s">
        <v>37</v>
      </c>
      <c r="Q3470" t="s">
        <v>129</v>
      </c>
      <c r="R3470">
        <v>402</v>
      </c>
      <c r="S3470">
        <v>170</v>
      </c>
      <c r="T3470">
        <v>109</v>
      </c>
      <c r="U3470">
        <v>24</v>
      </c>
      <c r="V3470" t="s">
        <v>2825</v>
      </c>
      <c r="W3470">
        <v>28397</v>
      </c>
      <c r="X3470" t="s">
        <v>7405</v>
      </c>
      <c r="Y3470">
        <v>25268</v>
      </c>
      <c r="Z3470">
        <v>681528</v>
      </c>
      <c r="AA3470">
        <v>75096</v>
      </c>
      <c r="AB3470" t="str">
        <f>(VLOOKUP(SalesData[[#This Row],[Month Number]],Reference!C$5:E$16,2,FALSE))</f>
        <v>Feb</v>
      </c>
      <c r="AC3470">
        <f>MONTH(SalesData[[#This Row],[Date]])</f>
        <v>2</v>
      </c>
      <c r="AD3470">
        <f>Reference!F$4</f>
        <v>2026</v>
      </c>
      <c r="AE3470" t="str">
        <f>IF(OR(SalesData[[#This Row],[Day]]="Saturday",SalesData[[#This Row],[Day]]="Sunday"),"Weekend","Weekday")</f>
        <v>Weekday</v>
      </c>
      <c r="AF3470" s="5">
        <f>IF(SalesData[[#This Row],[Contracts Offered]]=0,0,SalesData[[#This Row],[Contracts Signed]]/SalesData[[#This Row],[Contracts Offered]])</f>
        <v>0.22018348623853212</v>
      </c>
      <c r="AG3470" s="5">
        <f>IF(SalesData[[#This Row],[Customers Visited]]=0,0,SalesData[[#This Row],[Test Drives]]/SalesData[[#This Row],[Customers Visited]])</f>
        <v>0.4228855721393035</v>
      </c>
      <c r="AH3470" s="5">
        <f>IF(SalesData[[#This Row],[Customers Visited]]=0,0,SalesData[[#This Row],[Contracts Signed]]/SalesData[[#This Row],[Customers Visited]])</f>
        <v>5.9701492537313432E-2</v>
      </c>
      <c r="AI3470" s="6">
        <f>IF(SalesData[[#This Row],[Contracts Signed]]=0,0,SalesData[[#This Row],[Profit(€)]]/SalesData[[#This Row],[Contracts Signed]])</f>
        <v>3129</v>
      </c>
      <c r="AJ3470" s="5" t="str">
        <f>TRIM(CLEAN(SalesData[[#This Row],[Retailer]]))</f>
        <v>Leipzig Mobility</v>
      </c>
    </row>
    <row r="3471" spans="1:36" ht="14.25" hidden="1" x14ac:dyDescent="0.2">
      <c r="A3471" t="s">
        <v>4671</v>
      </c>
      <c r="B3471" s="1">
        <v>46071</v>
      </c>
      <c r="C3471" t="s">
        <v>62</v>
      </c>
      <c r="D3471" t="s">
        <v>82</v>
      </c>
      <c r="E3471" t="s">
        <v>26</v>
      </c>
      <c r="F3471" t="s">
        <v>109</v>
      </c>
      <c r="G3471" t="s">
        <v>110</v>
      </c>
      <c r="H3471" t="s">
        <v>45</v>
      </c>
      <c r="I3471" t="s">
        <v>116</v>
      </c>
      <c r="J3471" t="s">
        <v>7090</v>
      </c>
      <c r="K3471" t="s">
        <v>66</v>
      </c>
      <c r="L3471" t="s">
        <v>46</v>
      </c>
      <c r="M3471" t="s">
        <v>68</v>
      </c>
      <c r="N3471" t="s">
        <v>69</v>
      </c>
      <c r="O3471" t="s">
        <v>36</v>
      </c>
      <c r="P3471" t="s">
        <v>71</v>
      </c>
      <c r="Q3471" t="s">
        <v>240</v>
      </c>
      <c r="R3471">
        <v>398</v>
      </c>
      <c r="S3471">
        <v>209</v>
      </c>
      <c r="T3471">
        <v>136</v>
      </c>
      <c r="U3471">
        <v>33</v>
      </c>
      <c r="V3471" t="s">
        <v>456</v>
      </c>
      <c r="W3471">
        <v>23185</v>
      </c>
      <c r="X3471" t="s">
        <v>7204</v>
      </c>
      <c r="Y3471">
        <v>20822</v>
      </c>
      <c r="Z3471">
        <v>765105</v>
      </c>
      <c r="AA3471">
        <v>77979</v>
      </c>
      <c r="AB3471" t="str">
        <f>(VLOOKUP(SalesData[[#This Row],[Month Number]],Reference!C$5:E$16,2,FALSE))</f>
        <v>Feb</v>
      </c>
      <c r="AC3471">
        <f>MONTH(SalesData[[#This Row],[Date]])</f>
        <v>2</v>
      </c>
      <c r="AD3471">
        <f>Reference!F$4</f>
        <v>2026</v>
      </c>
      <c r="AE3471" t="str">
        <f>IF(OR(SalesData[[#This Row],[Day]]="Saturday",SalesData[[#This Row],[Day]]="Sunday"),"Weekend","Weekday")</f>
        <v>Weekday</v>
      </c>
      <c r="AF3471" s="5">
        <f>IF(SalesData[[#This Row],[Contracts Offered]]=0,0,SalesData[[#This Row],[Contracts Signed]]/SalesData[[#This Row],[Contracts Offered]])</f>
        <v>0.24264705882352941</v>
      </c>
      <c r="AG3471" s="5">
        <f>IF(SalesData[[#This Row],[Customers Visited]]=0,0,SalesData[[#This Row],[Test Drives]]/SalesData[[#This Row],[Customers Visited]])</f>
        <v>0.52512562814070352</v>
      </c>
      <c r="AH3471" s="5">
        <f>IF(SalesData[[#This Row],[Customers Visited]]=0,0,SalesData[[#This Row],[Contracts Signed]]/SalesData[[#This Row],[Customers Visited]])</f>
        <v>8.2914572864321606E-2</v>
      </c>
      <c r="AI3471" s="6">
        <f>IF(SalesData[[#This Row],[Contracts Signed]]=0,0,SalesData[[#This Row],[Profit(€)]]/SalesData[[#This Row],[Contracts Signed]])</f>
        <v>2363</v>
      </c>
      <c r="AJ3471" s="5" t="str">
        <f>TRIM(CLEAN(SalesData[[#This Row],[Retailer]]))</f>
        <v>Leipzig Mobility</v>
      </c>
    </row>
    <row r="3472" spans="1:36" ht="14.25" hidden="1" x14ac:dyDescent="0.2">
      <c r="A3472" t="s">
        <v>4672</v>
      </c>
      <c r="B3472" s="1">
        <v>46060</v>
      </c>
      <c r="C3472" t="s">
        <v>24</v>
      </c>
      <c r="D3472" t="s">
        <v>151</v>
      </c>
      <c r="E3472" t="s">
        <v>42</v>
      </c>
      <c r="F3472" t="s">
        <v>43</v>
      </c>
      <c r="G3472" t="s">
        <v>44</v>
      </c>
      <c r="H3472" t="s">
        <v>45</v>
      </c>
      <c r="I3472" t="s">
        <v>56</v>
      </c>
      <c r="J3472" t="s">
        <v>137</v>
      </c>
      <c r="K3472" t="s">
        <v>91</v>
      </c>
      <c r="L3472" t="s">
        <v>46</v>
      </c>
      <c r="M3472" t="s">
        <v>34</v>
      </c>
      <c r="N3472" t="s">
        <v>48</v>
      </c>
      <c r="O3472" t="s">
        <v>36</v>
      </c>
      <c r="P3472" t="s">
        <v>71</v>
      </c>
      <c r="Q3472" t="s">
        <v>152</v>
      </c>
      <c r="R3472">
        <v>259</v>
      </c>
      <c r="S3472">
        <v>132</v>
      </c>
      <c r="T3472">
        <v>88</v>
      </c>
      <c r="U3472">
        <v>32</v>
      </c>
      <c r="V3472" t="s">
        <v>6429</v>
      </c>
      <c r="W3472">
        <v>40849</v>
      </c>
      <c r="X3472" t="s">
        <v>443</v>
      </c>
      <c r="Y3472">
        <v>30812</v>
      </c>
      <c r="Z3472">
        <v>1307168</v>
      </c>
      <c r="AA3472">
        <v>321184</v>
      </c>
      <c r="AB3472" t="str">
        <f>(VLOOKUP(SalesData[[#This Row],[Month Number]],Reference!C$5:E$16,2,FALSE))</f>
        <v>Feb</v>
      </c>
      <c r="AC3472">
        <f>MONTH(SalesData[[#This Row],[Date]])</f>
        <v>2</v>
      </c>
      <c r="AD3472">
        <f>Reference!F$4</f>
        <v>2026</v>
      </c>
      <c r="AE3472" t="str">
        <f>IF(OR(SalesData[[#This Row],[Day]]="Saturday",SalesData[[#This Row],[Day]]="Sunday"),"Weekend","Weekday")</f>
        <v>Weekend</v>
      </c>
      <c r="AF3472" s="5">
        <f>IF(SalesData[[#This Row],[Contracts Offered]]=0,0,SalesData[[#This Row],[Contracts Signed]]/SalesData[[#This Row],[Contracts Offered]])</f>
        <v>0.36363636363636365</v>
      </c>
      <c r="AG3472" s="5">
        <f>IF(SalesData[[#This Row],[Customers Visited]]=0,0,SalesData[[#This Row],[Test Drives]]/SalesData[[#This Row],[Customers Visited]])</f>
        <v>0.50965250965250963</v>
      </c>
      <c r="AH3472" s="5">
        <f>IF(SalesData[[#This Row],[Customers Visited]]=0,0,SalesData[[#This Row],[Contracts Signed]]/SalesData[[#This Row],[Customers Visited]])</f>
        <v>0.12355212355212356</v>
      </c>
      <c r="AI3472" s="6">
        <f>IF(SalesData[[#This Row],[Contracts Signed]]=0,0,SalesData[[#This Row],[Profit(€)]]/SalesData[[#This Row],[Contracts Signed]])</f>
        <v>10037</v>
      </c>
      <c r="AJ3472" s="5" t="str">
        <f>TRIM(CLEAN(SalesData[[#This Row],[Retailer]]))</f>
        <v>Saxon Wheels</v>
      </c>
    </row>
    <row r="3473" spans="1:36" ht="14.25" hidden="1" x14ac:dyDescent="0.2">
      <c r="A3473" t="s">
        <v>4673</v>
      </c>
      <c r="B3473" s="1">
        <v>46067</v>
      </c>
      <c r="C3473" t="s">
        <v>121</v>
      </c>
      <c r="D3473" t="s">
        <v>151</v>
      </c>
      <c r="E3473" t="s">
        <v>42</v>
      </c>
      <c r="F3473" t="s">
        <v>101</v>
      </c>
      <c r="G3473" t="s">
        <v>102</v>
      </c>
      <c r="H3473" t="s">
        <v>103</v>
      </c>
      <c r="I3473" t="s">
        <v>104</v>
      </c>
      <c r="J3473" t="s">
        <v>143</v>
      </c>
      <c r="K3473" t="s">
        <v>32</v>
      </c>
      <c r="L3473" t="s">
        <v>67</v>
      </c>
      <c r="M3473" t="s">
        <v>87</v>
      </c>
      <c r="N3473" t="s">
        <v>35</v>
      </c>
      <c r="O3473" t="s">
        <v>36</v>
      </c>
      <c r="P3473" t="s">
        <v>58</v>
      </c>
      <c r="Q3473" t="s">
        <v>152</v>
      </c>
      <c r="R3473">
        <v>371</v>
      </c>
      <c r="S3473">
        <v>200</v>
      </c>
      <c r="T3473">
        <v>123</v>
      </c>
      <c r="U3473">
        <v>39</v>
      </c>
      <c r="V3473" t="s">
        <v>7188</v>
      </c>
      <c r="W3473">
        <v>33656</v>
      </c>
      <c r="X3473" t="s">
        <v>7504</v>
      </c>
      <c r="Y3473">
        <v>30105</v>
      </c>
      <c r="Z3473">
        <v>1312584</v>
      </c>
      <c r="AA3473">
        <v>138489</v>
      </c>
      <c r="AB3473" t="str">
        <f>(VLOOKUP(SalesData[[#This Row],[Month Number]],Reference!C$5:E$16,2,FALSE))</f>
        <v>Feb</v>
      </c>
      <c r="AC3473">
        <f>MONTH(SalesData[[#This Row],[Date]])</f>
        <v>2</v>
      </c>
      <c r="AD3473">
        <f>Reference!F$4</f>
        <v>2026</v>
      </c>
      <c r="AE3473" t="str">
        <f>IF(OR(SalesData[[#This Row],[Day]]="Saturday",SalesData[[#This Row],[Day]]="Sunday"),"Weekend","Weekday")</f>
        <v>Weekend</v>
      </c>
      <c r="AF3473" s="5">
        <f>IF(SalesData[[#This Row],[Contracts Offered]]=0,0,SalesData[[#This Row],[Contracts Signed]]/SalesData[[#This Row],[Contracts Offered]])</f>
        <v>0.31707317073170732</v>
      </c>
      <c r="AG3473" s="5">
        <f>IF(SalesData[[#This Row],[Customers Visited]]=0,0,SalesData[[#This Row],[Test Drives]]/SalesData[[#This Row],[Customers Visited]])</f>
        <v>0.53908355795148244</v>
      </c>
      <c r="AH3473" s="5">
        <f>IF(SalesData[[#This Row],[Customers Visited]]=0,0,SalesData[[#This Row],[Contracts Signed]]/SalesData[[#This Row],[Customers Visited]])</f>
        <v>0.10512129380053908</v>
      </c>
      <c r="AI3473" s="6">
        <f>IF(SalesData[[#This Row],[Contracts Signed]]=0,0,SalesData[[#This Row],[Profit(€)]]/SalesData[[#This Row],[Contracts Signed]])</f>
        <v>3551</v>
      </c>
      <c r="AJ3473" s="5" t="str">
        <f>TRIM(CLEAN(SalesData[[#This Row],[Retailer]]))</f>
        <v>Ruhr Auto Plaza</v>
      </c>
    </row>
    <row r="3474" spans="1:36" ht="14.25" hidden="1" x14ac:dyDescent="0.2">
      <c r="A3474" t="s">
        <v>4674</v>
      </c>
      <c r="B3474" s="1">
        <v>46055</v>
      </c>
      <c r="C3474" t="s">
        <v>24</v>
      </c>
      <c r="D3474" t="s">
        <v>25</v>
      </c>
      <c r="E3474" t="s">
        <v>26</v>
      </c>
      <c r="F3474" t="s">
        <v>83</v>
      </c>
      <c r="G3474" t="s">
        <v>84</v>
      </c>
      <c r="H3474" t="s">
        <v>85</v>
      </c>
      <c r="I3474" t="s">
        <v>104</v>
      </c>
      <c r="J3474" t="s">
        <v>105</v>
      </c>
      <c r="K3474" t="s">
        <v>66</v>
      </c>
      <c r="L3474" t="s">
        <v>33</v>
      </c>
      <c r="M3474" t="s">
        <v>87</v>
      </c>
      <c r="N3474" t="s">
        <v>35</v>
      </c>
      <c r="O3474" t="s">
        <v>70</v>
      </c>
      <c r="P3474" t="s">
        <v>37</v>
      </c>
      <c r="Q3474" t="s">
        <v>122</v>
      </c>
      <c r="R3474">
        <v>351</v>
      </c>
      <c r="S3474">
        <v>151</v>
      </c>
      <c r="T3474">
        <v>103</v>
      </c>
      <c r="U3474">
        <v>20</v>
      </c>
      <c r="V3474" t="s">
        <v>3698</v>
      </c>
      <c r="W3474">
        <v>34008</v>
      </c>
      <c r="X3474" t="s">
        <v>5601</v>
      </c>
      <c r="Y3474">
        <v>30549</v>
      </c>
      <c r="Z3474">
        <v>680160</v>
      </c>
      <c r="AA3474">
        <v>69180</v>
      </c>
      <c r="AB3474" t="str">
        <f>(VLOOKUP(SalesData[[#This Row],[Month Number]],Reference!C$5:E$16,2,FALSE))</f>
        <v>Feb</v>
      </c>
      <c r="AC3474">
        <f>MONTH(SalesData[[#This Row],[Date]])</f>
        <v>2</v>
      </c>
      <c r="AD3474">
        <f>Reference!F$4</f>
        <v>2026</v>
      </c>
      <c r="AE3474" t="str">
        <f>IF(OR(SalesData[[#This Row],[Day]]="Saturday",SalesData[[#This Row],[Day]]="Sunday"),"Weekend","Weekday")</f>
        <v>Weekday</v>
      </c>
      <c r="AF3474" s="5">
        <f>IF(SalesData[[#This Row],[Contracts Offered]]=0,0,SalesData[[#This Row],[Contracts Signed]]/SalesData[[#This Row],[Contracts Offered]])</f>
        <v>0.1941747572815534</v>
      </c>
      <c r="AG3474" s="5">
        <f>IF(SalesData[[#This Row],[Customers Visited]]=0,0,SalesData[[#This Row],[Test Drives]]/SalesData[[#This Row],[Customers Visited]])</f>
        <v>0.43019943019943019</v>
      </c>
      <c r="AH3474" s="5">
        <f>IF(SalesData[[#This Row],[Customers Visited]]=0,0,SalesData[[#This Row],[Contracts Signed]]/SalesData[[#This Row],[Customers Visited]])</f>
        <v>5.6980056980056981E-2</v>
      </c>
      <c r="AI3474" s="6">
        <f>IF(SalesData[[#This Row],[Contracts Signed]]=0,0,SalesData[[#This Row],[Profit(€)]]/SalesData[[#This Row],[Contracts Signed]])</f>
        <v>3459</v>
      </c>
      <c r="AJ3474" s="5" t="str">
        <f>TRIM(CLEAN(SalesData[[#This Row],[Retailer]]))</f>
        <v>Hannover Cars</v>
      </c>
    </row>
    <row r="3475" spans="1:36" ht="14.25" hidden="1" x14ac:dyDescent="0.2">
      <c r="A3475" t="s">
        <v>4675</v>
      </c>
      <c r="B3475" s="1">
        <v>46077</v>
      </c>
      <c r="C3475" t="s">
        <v>53</v>
      </c>
      <c r="D3475" t="s">
        <v>63</v>
      </c>
      <c r="E3475" t="s">
        <v>26</v>
      </c>
      <c r="F3475" t="s">
        <v>43</v>
      </c>
      <c r="G3475" t="s">
        <v>44</v>
      </c>
      <c r="H3475" t="s">
        <v>45</v>
      </c>
      <c r="I3475" t="s">
        <v>56</v>
      </c>
      <c r="J3475" t="s">
        <v>7028</v>
      </c>
      <c r="K3475" t="s">
        <v>91</v>
      </c>
      <c r="L3475" t="s">
        <v>46</v>
      </c>
      <c r="M3475" t="s">
        <v>68</v>
      </c>
      <c r="N3475" t="s">
        <v>35</v>
      </c>
      <c r="O3475" t="s">
        <v>70</v>
      </c>
      <c r="P3475" t="s">
        <v>49</v>
      </c>
      <c r="Q3475" t="s">
        <v>152</v>
      </c>
      <c r="R3475">
        <v>199</v>
      </c>
      <c r="S3475">
        <v>113</v>
      </c>
      <c r="T3475">
        <v>81</v>
      </c>
      <c r="U3475">
        <v>23</v>
      </c>
      <c r="V3475" t="s">
        <v>6626</v>
      </c>
      <c r="W3475">
        <v>52081</v>
      </c>
      <c r="X3475" t="s">
        <v>407</v>
      </c>
      <c r="Y3475">
        <v>40249</v>
      </c>
      <c r="Z3475">
        <v>1197863</v>
      </c>
      <c r="AA3475">
        <v>272136</v>
      </c>
      <c r="AB3475" t="str">
        <f>(VLOOKUP(SalesData[[#This Row],[Month Number]],Reference!C$5:E$16,2,FALSE))</f>
        <v>Feb</v>
      </c>
      <c r="AC3475">
        <f>MONTH(SalesData[[#This Row],[Date]])</f>
        <v>2</v>
      </c>
      <c r="AD3475">
        <f>Reference!F$4</f>
        <v>2026</v>
      </c>
      <c r="AE3475" t="str">
        <f>IF(OR(SalesData[[#This Row],[Day]]="Saturday",SalesData[[#This Row],[Day]]="Sunday"),"Weekend","Weekday")</f>
        <v>Weekday</v>
      </c>
      <c r="AF3475" s="5">
        <f>IF(SalesData[[#This Row],[Contracts Offered]]=0,0,SalesData[[#This Row],[Contracts Signed]]/SalesData[[#This Row],[Contracts Offered]])</f>
        <v>0.2839506172839506</v>
      </c>
      <c r="AG3475" s="5">
        <f>IF(SalesData[[#This Row],[Customers Visited]]=0,0,SalesData[[#This Row],[Test Drives]]/SalesData[[#This Row],[Customers Visited]])</f>
        <v>0.56783919597989951</v>
      </c>
      <c r="AH3475" s="5">
        <f>IF(SalesData[[#This Row],[Customers Visited]]=0,0,SalesData[[#This Row],[Contracts Signed]]/SalesData[[#This Row],[Customers Visited]])</f>
        <v>0.11557788944723618</v>
      </c>
      <c r="AI3475" s="6">
        <f>IF(SalesData[[#This Row],[Contracts Signed]]=0,0,SalesData[[#This Row],[Profit(€)]]/SalesData[[#This Row],[Contracts Signed]])</f>
        <v>11832</v>
      </c>
      <c r="AJ3475" s="5" t="str">
        <f>TRIM(CLEAN(SalesData[[#This Row],[Retailer]]))</f>
        <v>Saxon Wheels</v>
      </c>
    </row>
    <row r="3476" spans="1:36" ht="14.25" hidden="1" x14ac:dyDescent="0.2">
      <c r="A3476" t="s">
        <v>4676</v>
      </c>
      <c r="B3476" s="1">
        <v>46060</v>
      </c>
      <c r="C3476" t="s">
        <v>24</v>
      </c>
      <c r="D3476" t="s">
        <v>151</v>
      </c>
      <c r="E3476" t="s">
        <v>42</v>
      </c>
      <c r="F3476" t="s">
        <v>94</v>
      </c>
      <c r="G3476" t="s">
        <v>95</v>
      </c>
      <c r="H3476" t="s">
        <v>96</v>
      </c>
      <c r="I3476" t="s">
        <v>56</v>
      </c>
      <c r="J3476" t="s">
        <v>57</v>
      </c>
      <c r="K3476" t="s">
        <v>91</v>
      </c>
      <c r="L3476" t="s">
        <v>46</v>
      </c>
      <c r="M3476" t="s">
        <v>87</v>
      </c>
      <c r="N3476" t="s">
        <v>69</v>
      </c>
      <c r="O3476" t="s">
        <v>36</v>
      </c>
      <c r="P3476" t="s">
        <v>37</v>
      </c>
      <c r="Q3476" t="s">
        <v>144</v>
      </c>
      <c r="R3476">
        <v>289</v>
      </c>
      <c r="S3476">
        <v>177</v>
      </c>
      <c r="T3476">
        <v>114</v>
      </c>
      <c r="U3476">
        <v>45</v>
      </c>
      <c r="V3476" t="s">
        <v>6820</v>
      </c>
      <c r="W3476">
        <v>40178</v>
      </c>
      <c r="X3476" t="s">
        <v>3288</v>
      </c>
      <c r="Y3476">
        <v>32077</v>
      </c>
      <c r="Z3476">
        <v>1808010</v>
      </c>
      <c r="AA3476">
        <v>364545</v>
      </c>
      <c r="AB3476" t="str">
        <f>(VLOOKUP(SalesData[[#This Row],[Month Number]],Reference!C$5:E$16,2,FALSE))</f>
        <v>Feb</v>
      </c>
      <c r="AC3476">
        <f>MONTH(SalesData[[#This Row],[Date]])</f>
        <v>2</v>
      </c>
      <c r="AD3476">
        <f>Reference!F$4</f>
        <v>2026</v>
      </c>
      <c r="AE3476" t="str">
        <f>IF(OR(SalesData[[#This Row],[Day]]="Saturday",SalesData[[#This Row],[Day]]="Sunday"),"Weekend","Weekday")</f>
        <v>Weekend</v>
      </c>
      <c r="AF3476" s="5">
        <f>IF(SalesData[[#This Row],[Contracts Offered]]=0,0,SalesData[[#This Row],[Contracts Signed]]/SalesData[[#This Row],[Contracts Offered]])</f>
        <v>0.39473684210526316</v>
      </c>
      <c r="AG3476" s="5">
        <f>IF(SalesData[[#This Row],[Customers Visited]]=0,0,SalesData[[#This Row],[Test Drives]]/SalesData[[#This Row],[Customers Visited]])</f>
        <v>0.61245674740484424</v>
      </c>
      <c r="AH3476" s="5">
        <f>IF(SalesData[[#This Row],[Customers Visited]]=0,0,SalesData[[#This Row],[Contracts Signed]]/SalesData[[#This Row],[Customers Visited]])</f>
        <v>0.15570934256055363</v>
      </c>
      <c r="AI3476" s="6">
        <f>IF(SalesData[[#This Row],[Contracts Signed]]=0,0,SalesData[[#This Row],[Profit(€)]]/SalesData[[#This Row],[Contracts Signed]])</f>
        <v>8101</v>
      </c>
      <c r="AJ3476" s="5" t="str">
        <f>TRIM(CLEAN(SalesData[[#This Row],[Retailer]]))</f>
        <v>Bavaria Motors</v>
      </c>
    </row>
    <row r="3477" spans="1:36" ht="14.25" hidden="1" x14ac:dyDescent="0.2">
      <c r="A3477" t="s">
        <v>4677</v>
      </c>
      <c r="B3477" s="1">
        <v>46079</v>
      </c>
      <c r="C3477" t="s">
        <v>53</v>
      </c>
      <c r="D3477" t="s">
        <v>100</v>
      </c>
      <c r="E3477" t="s">
        <v>26</v>
      </c>
      <c r="F3477" t="s">
        <v>109</v>
      </c>
      <c r="G3477" t="s">
        <v>110</v>
      </c>
      <c r="H3477" t="s">
        <v>45</v>
      </c>
      <c r="I3477" t="s">
        <v>64</v>
      </c>
      <c r="J3477" t="s">
        <v>77</v>
      </c>
      <c r="K3477" t="s">
        <v>78</v>
      </c>
      <c r="L3477" t="s">
        <v>46</v>
      </c>
      <c r="M3477" t="s">
        <v>68</v>
      </c>
      <c r="N3477" t="s">
        <v>69</v>
      </c>
      <c r="O3477" t="s">
        <v>70</v>
      </c>
      <c r="P3477" t="s">
        <v>58</v>
      </c>
      <c r="Q3477" t="s">
        <v>50</v>
      </c>
      <c r="R3477">
        <v>265</v>
      </c>
      <c r="S3477">
        <v>117</v>
      </c>
      <c r="T3477">
        <v>80</v>
      </c>
      <c r="U3477">
        <v>33</v>
      </c>
      <c r="V3477" t="s">
        <v>6501</v>
      </c>
      <c r="W3477">
        <v>60364</v>
      </c>
      <c r="X3477" t="s">
        <v>1734</v>
      </c>
      <c r="Y3477">
        <v>43358</v>
      </c>
      <c r="Z3477">
        <v>1992012</v>
      </c>
      <c r="AA3477">
        <v>561198</v>
      </c>
      <c r="AB3477" t="str">
        <f>(VLOOKUP(SalesData[[#This Row],[Month Number]],Reference!C$5:E$16,2,FALSE))</f>
        <v>Feb</v>
      </c>
      <c r="AC3477">
        <f>MONTH(SalesData[[#This Row],[Date]])</f>
        <v>2</v>
      </c>
      <c r="AD3477">
        <f>Reference!F$4</f>
        <v>2026</v>
      </c>
      <c r="AE3477" t="str">
        <f>IF(OR(SalesData[[#This Row],[Day]]="Saturday",SalesData[[#This Row],[Day]]="Sunday"),"Weekend","Weekday")</f>
        <v>Weekday</v>
      </c>
      <c r="AF3477" s="5">
        <f>IF(SalesData[[#This Row],[Contracts Offered]]=0,0,SalesData[[#This Row],[Contracts Signed]]/SalesData[[#This Row],[Contracts Offered]])</f>
        <v>0.41249999999999998</v>
      </c>
      <c r="AG3477" s="5">
        <f>IF(SalesData[[#This Row],[Customers Visited]]=0,0,SalesData[[#This Row],[Test Drives]]/SalesData[[#This Row],[Customers Visited]])</f>
        <v>0.44150943396226416</v>
      </c>
      <c r="AH3477" s="5">
        <f>IF(SalesData[[#This Row],[Customers Visited]]=0,0,SalesData[[#This Row],[Contracts Signed]]/SalesData[[#This Row],[Customers Visited]])</f>
        <v>0.12452830188679245</v>
      </c>
      <c r="AI3477" s="6">
        <f>IF(SalesData[[#This Row],[Contracts Signed]]=0,0,SalesData[[#This Row],[Profit(€)]]/SalesData[[#This Row],[Contracts Signed]])</f>
        <v>17006</v>
      </c>
      <c r="AJ3477" s="5" t="str">
        <f>TRIM(CLEAN(SalesData[[#This Row],[Retailer]]))</f>
        <v>Leipzig Mobility</v>
      </c>
    </row>
    <row r="3478" spans="1:36" ht="14.25" hidden="1" x14ac:dyDescent="0.2">
      <c r="A3478" t="s">
        <v>4678</v>
      </c>
      <c r="B3478" s="1">
        <v>46070</v>
      </c>
      <c r="C3478" t="s">
        <v>62</v>
      </c>
      <c r="D3478" t="s">
        <v>63</v>
      </c>
      <c r="E3478" t="s">
        <v>26</v>
      </c>
      <c r="F3478" t="s">
        <v>74</v>
      </c>
      <c r="G3478" t="s">
        <v>75</v>
      </c>
      <c r="H3478" t="s">
        <v>76</v>
      </c>
      <c r="I3478" t="s">
        <v>116</v>
      </c>
      <c r="J3478" t="s">
        <v>7026</v>
      </c>
      <c r="K3478" t="s">
        <v>91</v>
      </c>
      <c r="L3478" t="s">
        <v>46</v>
      </c>
      <c r="M3478" t="s">
        <v>87</v>
      </c>
      <c r="N3478" t="s">
        <v>48</v>
      </c>
      <c r="O3478" t="s">
        <v>70</v>
      </c>
      <c r="P3478" t="s">
        <v>58</v>
      </c>
      <c r="Q3478" t="s">
        <v>152</v>
      </c>
      <c r="R3478">
        <v>365</v>
      </c>
      <c r="S3478">
        <v>196</v>
      </c>
      <c r="T3478">
        <v>135</v>
      </c>
      <c r="U3478">
        <v>41</v>
      </c>
      <c r="V3478" t="s">
        <v>6952</v>
      </c>
      <c r="W3478">
        <v>21088</v>
      </c>
      <c r="X3478" t="s">
        <v>2195</v>
      </c>
      <c r="Y3478">
        <v>18879</v>
      </c>
      <c r="Z3478">
        <v>864608</v>
      </c>
      <c r="AA3478">
        <v>90569</v>
      </c>
      <c r="AB3478" t="str">
        <f>(VLOOKUP(SalesData[[#This Row],[Month Number]],Reference!C$5:E$16,2,FALSE))</f>
        <v>Feb</v>
      </c>
      <c r="AC3478">
        <f>MONTH(SalesData[[#This Row],[Date]])</f>
        <v>2</v>
      </c>
      <c r="AD3478">
        <f>Reference!F$4</f>
        <v>2026</v>
      </c>
      <c r="AE3478" t="str">
        <f>IF(OR(SalesData[[#This Row],[Day]]="Saturday",SalesData[[#This Row],[Day]]="Sunday"),"Weekend","Weekday")</f>
        <v>Weekday</v>
      </c>
      <c r="AF3478" s="5">
        <f>IF(SalesData[[#This Row],[Contracts Offered]]=0,0,SalesData[[#This Row],[Contracts Signed]]/SalesData[[#This Row],[Contracts Offered]])</f>
        <v>0.3037037037037037</v>
      </c>
      <c r="AG3478" s="5">
        <f>IF(SalesData[[#This Row],[Customers Visited]]=0,0,SalesData[[#This Row],[Test Drives]]/SalesData[[#This Row],[Customers Visited]])</f>
        <v>0.53698630136986303</v>
      </c>
      <c r="AH3478" s="5">
        <f>IF(SalesData[[#This Row],[Customers Visited]]=0,0,SalesData[[#This Row],[Contracts Signed]]/SalesData[[#This Row],[Customers Visited]])</f>
        <v>0.11232876712328767</v>
      </c>
      <c r="AI3478" s="6">
        <f>IF(SalesData[[#This Row],[Contracts Signed]]=0,0,SalesData[[#This Row],[Profit(€)]]/SalesData[[#This Row],[Contracts Signed]])</f>
        <v>2209</v>
      </c>
      <c r="AJ3478" s="5" t="str">
        <f>TRIM(CLEAN(SalesData[[#This Row],[Retailer]]))</f>
        <v>Stuttgart Auto Center</v>
      </c>
    </row>
    <row r="3479" spans="1:36" ht="14.25" hidden="1" x14ac:dyDescent="0.2">
      <c r="A3479" t="s">
        <v>4679</v>
      </c>
      <c r="B3479" s="1">
        <v>46081</v>
      </c>
      <c r="C3479" t="s">
        <v>53</v>
      </c>
      <c r="D3479" t="s">
        <v>151</v>
      </c>
      <c r="E3479" t="s">
        <v>42</v>
      </c>
      <c r="F3479" t="s">
        <v>101</v>
      </c>
      <c r="G3479" t="s">
        <v>102</v>
      </c>
      <c r="H3479" t="s">
        <v>103</v>
      </c>
      <c r="I3479" t="s">
        <v>104</v>
      </c>
      <c r="J3479" t="s">
        <v>7061</v>
      </c>
      <c r="K3479" t="s">
        <v>66</v>
      </c>
      <c r="L3479" t="s">
        <v>46</v>
      </c>
      <c r="M3479" t="s">
        <v>34</v>
      </c>
      <c r="N3479" t="s">
        <v>35</v>
      </c>
      <c r="O3479" t="s">
        <v>36</v>
      </c>
      <c r="P3479" t="s">
        <v>37</v>
      </c>
      <c r="Q3479" t="s">
        <v>172</v>
      </c>
      <c r="R3479">
        <v>487</v>
      </c>
      <c r="S3479">
        <v>234</v>
      </c>
      <c r="T3479">
        <v>157</v>
      </c>
      <c r="U3479">
        <v>34</v>
      </c>
      <c r="V3479" t="s">
        <v>180</v>
      </c>
      <c r="W3479">
        <v>32031</v>
      </c>
      <c r="X3479" t="s">
        <v>950</v>
      </c>
      <c r="Y3479">
        <v>28197</v>
      </c>
      <c r="Z3479">
        <v>1089054</v>
      </c>
      <c r="AA3479">
        <v>130356</v>
      </c>
      <c r="AB3479" t="str">
        <f>(VLOOKUP(SalesData[[#This Row],[Month Number]],Reference!C$5:E$16,2,FALSE))</f>
        <v>Feb</v>
      </c>
      <c r="AC3479">
        <f>MONTH(SalesData[[#This Row],[Date]])</f>
        <v>2</v>
      </c>
      <c r="AD3479">
        <f>Reference!F$4</f>
        <v>2026</v>
      </c>
      <c r="AE3479" t="str">
        <f>IF(OR(SalesData[[#This Row],[Day]]="Saturday",SalesData[[#This Row],[Day]]="Sunday"),"Weekend","Weekday")</f>
        <v>Weekend</v>
      </c>
      <c r="AF3479" s="5">
        <f>IF(SalesData[[#This Row],[Contracts Offered]]=0,0,SalesData[[#This Row],[Contracts Signed]]/SalesData[[#This Row],[Contracts Offered]])</f>
        <v>0.21656050955414013</v>
      </c>
      <c r="AG3479" s="5">
        <f>IF(SalesData[[#This Row],[Customers Visited]]=0,0,SalesData[[#This Row],[Test Drives]]/SalesData[[#This Row],[Customers Visited]])</f>
        <v>0.48049281314168379</v>
      </c>
      <c r="AH3479" s="5">
        <f>IF(SalesData[[#This Row],[Customers Visited]]=0,0,SalesData[[#This Row],[Contracts Signed]]/SalesData[[#This Row],[Customers Visited]])</f>
        <v>6.9815195071868577E-2</v>
      </c>
      <c r="AI3479" s="6">
        <f>IF(SalesData[[#This Row],[Contracts Signed]]=0,0,SalesData[[#This Row],[Profit(€)]]/SalesData[[#This Row],[Contracts Signed]])</f>
        <v>3834</v>
      </c>
      <c r="AJ3479" s="5" t="str">
        <f>TRIM(CLEAN(SalesData[[#This Row],[Retailer]]))</f>
        <v>Ruhr Auto Plaza</v>
      </c>
    </row>
    <row r="3480" spans="1:36" ht="14.25" hidden="1" x14ac:dyDescent="0.2">
      <c r="A3480" t="s">
        <v>4680</v>
      </c>
      <c r="B3480" s="1">
        <v>46070</v>
      </c>
      <c r="C3480" t="s">
        <v>62</v>
      </c>
      <c r="D3480" t="s">
        <v>63</v>
      </c>
      <c r="E3480" t="s">
        <v>26</v>
      </c>
      <c r="F3480" t="s">
        <v>114</v>
      </c>
      <c r="G3480" t="s">
        <v>115</v>
      </c>
      <c r="H3480" t="s">
        <v>115</v>
      </c>
      <c r="I3480" t="s">
        <v>116</v>
      </c>
      <c r="J3480" t="s">
        <v>117</v>
      </c>
      <c r="K3480" t="s">
        <v>66</v>
      </c>
      <c r="L3480" t="s">
        <v>67</v>
      </c>
      <c r="M3480" t="s">
        <v>47</v>
      </c>
      <c r="N3480" t="s">
        <v>69</v>
      </c>
      <c r="O3480" t="s">
        <v>36</v>
      </c>
      <c r="P3480" t="s">
        <v>58</v>
      </c>
      <c r="Q3480" t="s">
        <v>152</v>
      </c>
      <c r="R3480">
        <v>221</v>
      </c>
      <c r="S3480">
        <v>92</v>
      </c>
      <c r="T3480">
        <v>54</v>
      </c>
      <c r="U3480">
        <v>19</v>
      </c>
      <c r="V3480" t="s">
        <v>6937</v>
      </c>
      <c r="W3480">
        <v>22899</v>
      </c>
      <c r="X3480" t="s">
        <v>964</v>
      </c>
      <c r="Y3480">
        <v>21126</v>
      </c>
      <c r="Z3480">
        <v>435081</v>
      </c>
      <c r="AA3480">
        <v>33687</v>
      </c>
      <c r="AB3480" t="str">
        <f>(VLOOKUP(SalesData[[#This Row],[Month Number]],Reference!C$5:E$16,2,FALSE))</f>
        <v>Feb</v>
      </c>
      <c r="AC3480">
        <f>MONTH(SalesData[[#This Row],[Date]])</f>
        <v>2</v>
      </c>
      <c r="AD3480">
        <f>Reference!F$4</f>
        <v>2026</v>
      </c>
      <c r="AE3480" t="str">
        <f>IF(OR(SalesData[[#This Row],[Day]]="Saturday",SalesData[[#This Row],[Day]]="Sunday"),"Weekend","Weekday")</f>
        <v>Weekday</v>
      </c>
      <c r="AF3480" s="5">
        <f>IF(SalesData[[#This Row],[Contracts Offered]]=0,0,SalesData[[#This Row],[Contracts Signed]]/SalesData[[#This Row],[Contracts Offered]])</f>
        <v>0.35185185185185186</v>
      </c>
      <c r="AG3480" s="5">
        <f>IF(SalesData[[#This Row],[Customers Visited]]=0,0,SalesData[[#This Row],[Test Drives]]/SalesData[[#This Row],[Customers Visited]])</f>
        <v>0.41628959276018102</v>
      </c>
      <c r="AH3480" s="5">
        <f>IF(SalesData[[#This Row],[Customers Visited]]=0,0,SalesData[[#This Row],[Contracts Signed]]/SalesData[[#This Row],[Customers Visited]])</f>
        <v>8.5972850678733032E-2</v>
      </c>
      <c r="AI3480" s="6">
        <f>IF(SalesData[[#This Row],[Contracts Signed]]=0,0,SalesData[[#This Row],[Profit(€)]]/SalesData[[#This Row],[Contracts Signed]])</f>
        <v>1773</v>
      </c>
      <c r="AJ3480" s="5" t="str">
        <f>TRIM(CLEAN(SalesData[[#This Row],[Retailer]]))</f>
        <v>Elbe Drive</v>
      </c>
    </row>
    <row r="3481" spans="1:36" ht="14.25" hidden="1" x14ac:dyDescent="0.2">
      <c r="A3481" t="s">
        <v>4681</v>
      </c>
      <c r="B3481" s="1">
        <v>46075</v>
      </c>
      <c r="C3481" t="s">
        <v>53</v>
      </c>
      <c r="D3481" t="s">
        <v>41</v>
      </c>
      <c r="E3481" t="s">
        <v>42</v>
      </c>
      <c r="F3481" t="s">
        <v>114</v>
      </c>
      <c r="G3481" t="s">
        <v>115</v>
      </c>
      <c r="H3481" t="s">
        <v>115</v>
      </c>
      <c r="I3481" t="s">
        <v>104</v>
      </c>
      <c r="J3481" t="s">
        <v>7061</v>
      </c>
      <c r="K3481" t="s">
        <v>32</v>
      </c>
      <c r="L3481" t="s">
        <v>46</v>
      </c>
      <c r="M3481" t="s">
        <v>87</v>
      </c>
      <c r="N3481" t="s">
        <v>35</v>
      </c>
      <c r="O3481" t="s">
        <v>36</v>
      </c>
      <c r="P3481" t="s">
        <v>71</v>
      </c>
      <c r="Q3481" t="s">
        <v>129</v>
      </c>
      <c r="R3481">
        <v>412</v>
      </c>
      <c r="S3481">
        <v>217</v>
      </c>
      <c r="T3481">
        <v>155</v>
      </c>
      <c r="U3481">
        <v>34</v>
      </c>
      <c r="V3481" t="s">
        <v>425</v>
      </c>
      <c r="W3481">
        <v>32413</v>
      </c>
      <c r="X3481" t="s">
        <v>1122</v>
      </c>
      <c r="Y3481">
        <v>27955</v>
      </c>
      <c r="Z3481">
        <v>1102042</v>
      </c>
      <c r="AA3481">
        <v>151572</v>
      </c>
      <c r="AB3481" t="str">
        <f>(VLOOKUP(SalesData[[#This Row],[Month Number]],Reference!C$5:E$16,2,FALSE))</f>
        <v>Feb</v>
      </c>
      <c r="AC3481">
        <f>MONTH(SalesData[[#This Row],[Date]])</f>
        <v>2</v>
      </c>
      <c r="AD3481">
        <f>Reference!F$4</f>
        <v>2026</v>
      </c>
      <c r="AE3481" t="str">
        <f>IF(OR(SalesData[[#This Row],[Day]]="Saturday",SalesData[[#This Row],[Day]]="Sunday"),"Weekend","Weekday")</f>
        <v>Weekend</v>
      </c>
      <c r="AF3481" s="5">
        <f>IF(SalesData[[#This Row],[Contracts Offered]]=0,0,SalesData[[#This Row],[Contracts Signed]]/SalesData[[#This Row],[Contracts Offered]])</f>
        <v>0.21935483870967742</v>
      </c>
      <c r="AG3481" s="5">
        <f>IF(SalesData[[#This Row],[Customers Visited]]=0,0,SalesData[[#This Row],[Test Drives]]/SalesData[[#This Row],[Customers Visited]])</f>
        <v>0.52669902912621358</v>
      </c>
      <c r="AH3481" s="5">
        <f>IF(SalesData[[#This Row],[Customers Visited]]=0,0,SalesData[[#This Row],[Contracts Signed]]/SalesData[[#This Row],[Customers Visited]])</f>
        <v>8.2524271844660199E-2</v>
      </c>
      <c r="AI3481" s="6">
        <f>IF(SalesData[[#This Row],[Contracts Signed]]=0,0,SalesData[[#This Row],[Profit(€)]]/SalesData[[#This Row],[Contracts Signed]])</f>
        <v>4458</v>
      </c>
      <c r="AJ3481" s="5" t="str">
        <f>TRIM(CLEAN(SalesData[[#This Row],[Retailer]]))</f>
        <v>Elbe Drive</v>
      </c>
    </row>
    <row r="3482" spans="1:36" ht="14.25" hidden="1" x14ac:dyDescent="0.2">
      <c r="A3482" t="s">
        <v>4682</v>
      </c>
      <c r="B3482" s="1">
        <v>46063</v>
      </c>
      <c r="C3482" t="s">
        <v>121</v>
      </c>
      <c r="D3482" t="s">
        <v>63</v>
      </c>
      <c r="E3482" t="s">
        <v>26</v>
      </c>
      <c r="F3482" t="s">
        <v>114</v>
      </c>
      <c r="G3482" t="s">
        <v>115</v>
      </c>
      <c r="H3482" t="s">
        <v>115</v>
      </c>
      <c r="I3482" t="s">
        <v>116</v>
      </c>
      <c r="J3482" t="s">
        <v>203</v>
      </c>
      <c r="K3482" t="s">
        <v>32</v>
      </c>
      <c r="L3482" t="s">
        <v>67</v>
      </c>
      <c r="M3482" t="s">
        <v>87</v>
      </c>
      <c r="N3482" t="s">
        <v>69</v>
      </c>
      <c r="O3482" t="s">
        <v>36</v>
      </c>
      <c r="P3482" t="s">
        <v>37</v>
      </c>
      <c r="Q3482" t="s">
        <v>347</v>
      </c>
      <c r="R3482">
        <v>309</v>
      </c>
      <c r="S3482">
        <v>125</v>
      </c>
      <c r="T3482">
        <v>70</v>
      </c>
      <c r="U3482">
        <v>23</v>
      </c>
      <c r="V3482" t="s">
        <v>1170</v>
      </c>
      <c r="W3482">
        <v>21948</v>
      </c>
      <c r="X3482" t="s">
        <v>4313</v>
      </c>
      <c r="Y3482">
        <v>19829</v>
      </c>
      <c r="Z3482">
        <v>504804</v>
      </c>
      <c r="AA3482">
        <v>48737</v>
      </c>
      <c r="AB3482" t="str">
        <f>(VLOOKUP(SalesData[[#This Row],[Month Number]],Reference!C$5:E$16,2,FALSE))</f>
        <v>Feb</v>
      </c>
      <c r="AC3482">
        <f>MONTH(SalesData[[#This Row],[Date]])</f>
        <v>2</v>
      </c>
      <c r="AD3482">
        <f>Reference!F$4</f>
        <v>2026</v>
      </c>
      <c r="AE3482" t="str">
        <f>IF(OR(SalesData[[#This Row],[Day]]="Saturday",SalesData[[#This Row],[Day]]="Sunday"),"Weekend","Weekday")</f>
        <v>Weekday</v>
      </c>
      <c r="AF3482" s="5">
        <f>IF(SalesData[[#This Row],[Contracts Offered]]=0,0,SalesData[[#This Row],[Contracts Signed]]/SalesData[[#This Row],[Contracts Offered]])</f>
        <v>0.32857142857142857</v>
      </c>
      <c r="AG3482" s="5">
        <f>IF(SalesData[[#This Row],[Customers Visited]]=0,0,SalesData[[#This Row],[Test Drives]]/SalesData[[#This Row],[Customers Visited]])</f>
        <v>0.4045307443365696</v>
      </c>
      <c r="AH3482" s="5">
        <f>IF(SalesData[[#This Row],[Customers Visited]]=0,0,SalesData[[#This Row],[Contracts Signed]]/SalesData[[#This Row],[Customers Visited]])</f>
        <v>7.4433656957928807E-2</v>
      </c>
      <c r="AI3482" s="6">
        <f>IF(SalesData[[#This Row],[Contracts Signed]]=0,0,SalesData[[#This Row],[Profit(€)]]/SalesData[[#This Row],[Contracts Signed]])</f>
        <v>2119</v>
      </c>
      <c r="AJ3482" s="5" t="str">
        <f>TRIM(CLEAN(SalesData[[#This Row],[Retailer]]))</f>
        <v>Elbe Drive</v>
      </c>
    </row>
    <row r="3483" spans="1:36" ht="14.25" hidden="1" x14ac:dyDescent="0.2">
      <c r="A3483" t="s">
        <v>4683</v>
      </c>
      <c r="B3483" s="1">
        <v>46056</v>
      </c>
      <c r="C3483" t="s">
        <v>24</v>
      </c>
      <c r="D3483" t="s">
        <v>63</v>
      </c>
      <c r="E3483" t="s">
        <v>26</v>
      </c>
      <c r="F3483" t="s">
        <v>27</v>
      </c>
      <c r="G3483" t="s">
        <v>28</v>
      </c>
      <c r="H3483" t="s">
        <v>29</v>
      </c>
      <c r="I3483" t="s">
        <v>64</v>
      </c>
      <c r="J3483" t="s">
        <v>7029</v>
      </c>
      <c r="K3483" t="s">
        <v>78</v>
      </c>
      <c r="L3483" t="s">
        <v>33</v>
      </c>
      <c r="M3483" t="s">
        <v>68</v>
      </c>
      <c r="N3483" t="s">
        <v>69</v>
      </c>
      <c r="O3483" t="s">
        <v>36</v>
      </c>
      <c r="P3483" t="s">
        <v>58</v>
      </c>
      <c r="Q3483" t="s">
        <v>169</v>
      </c>
      <c r="R3483">
        <v>255</v>
      </c>
      <c r="S3483">
        <v>142</v>
      </c>
      <c r="T3483">
        <v>102</v>
      </c>
      <c r="U3483">
        <v>41</v>
      </c>
      <c r="V3483" t="s">
        <v>6693</v>
      </c>
      <c r="W3483">
        <v>71059</v>
      </c>
      <c r="X3483" t="s">
        <v>4831</v>
      </c>
      <c r="Y3483">
        <v>55220</v>
      </c>
      <c r="Z3483">
        <v>2913419</v>
      </c>
      <c r="AA3483">
        <v>649399</v>
      </c>
      <c r="AB3483" t="str">
        <f>(VLOOKUP(SalesData[[#This Row],[Month Number]],Reference!C$5:E$16,2,FALSE))</f>
        <v>Feb</v>
      </c>
      <c r="AC3483">
        <f>MONTH(SalesData[[#This Row],[Date]])</f>
        <v>2</v>
      </c>
      <c r="AD3483">
        <f>Reference!F$4</f>
        <v>2026</v>
      </c>
      <c r="AE3483" t="str">
        <f>IF(OR(SalesData[[#This Row],[Day]]="Saturday",SalesData[[#This Row],[Day]]="Sunday"),"Weekend","Weekday")</f>
        <v>Weekday</v>
      </c>
      <c r="AF3483" s="5">
        <f>IF(SalesData[[#This Row],[Contracts Offered]]=0,0,SalesData[[#This Row],[Contracts Signed]]/SalesData[[#This Row],[Contracts Offered]])</f>
        <v>0.40196078431372551</v>
      </c>
      <c r="AG3483" s="5">
        <f>IF(SalesData[[#This Row],[Customers Visited]]=0,0,SalesData[[#This Row],[Test Drives]]/SalesData[[#This Row],[Customers Visited]])</f>
        <v>0.55686274509803924</v>
      </c>
      <c r="AH3483" s="5">
        <f>IF(SalesData[[#This Row],[Customers Visited]]=0,0,SalesData[[#This Row],[Contracts Signed]]/SalesData[[#This Row],[Customers Visited]])</f>
        <v>0.16078431372549021</v>
      </c>
      <c r="AI3483" s="6">
        <f>IF(SalesData[[#This Row],[Contracts Signed]]=0,0,SalesData[[#This Row],[Profit(€)]]/SalesData[[#This Row],[Contracts Signed]])</f>
        <v>15839</v>
      </c>
      <c r="AJ3483" s="5" t="str">
        <f>TRIM(CLEAN(SalesData[[#This Row],[Retailer]]))</f>
        <v>Main Auto Hub</v>
      </c>
    </row>
    <row r="3484" spans="1:36" ht="14.25" hidden="1" x14ac:dyDescent="0.2">
      <c r="A3484" t="s">
        <v>4684</v>
      </c>
      <c r="B3484" s="1">
        <v>46067</v>
      </c>
      <c r="C3484" t="s">
        <v>121</v>
      </c>
      <c r="D3484" t="s">
        <v>151</v>
      </c>
      <c r="E3484" t="s">
        <v>42</v>
      </c>
      <c r="F3484" t="s">
        <v>7649</v>
      </c>
      <c r="G3484" t="s">
        <v>55</v>
      </c>
      <c r="H3484" t="s">
        <v>55</v>
      </c>
      <c r="I3484" t="s">
        <v>64</v>
      </c>
      <c r="J3484" t="s">
        <v>157</v>
      </c>
      <c r="K3484" t="s">
        <v>66</v>
      </c>
      <c r="L3484" t="s">
        <v>33</v>
      </c>
      <c r="M3484" t="s">
        <v>68</v>
      </c>
      <c r="N3484" t="s">
        <v>69</v>
      </c>
      <c r="O3484" t="s">
        <v>70</v>
      </c>
      <c r="P3484" t="s">
        <v>71</v>
      </c>
      <c r="Q3484" t="s">
        <v>122</v>
      </c>
      <c r="R3484">
        <v>198</v>
      </c>
      <c r="S3484">
        <v>93</v>
      </c>
      <c r="T3484">
        <v>71</v>
      </c>
      <c r="U3484">
        <v>22</v>
      </c>
      <c r="V3484" t="s">
        <v>6474</v>
      </c>
      <c r="W3484">
        <v>66482</v>
      </c>
      <c r="X3484" t="s">
        <v>698</v>
      </c>
      <c r="Y3484">
        <v>51372</v>
      </c>
      <c r="Z3484">
        <v>1462604</v>
      </c>
      <c r="AA3484">
        <v>332420</v>
      </c>
      <c r="AB3484" t="str">
        <f>(VLOOKUP(SalesData[[#This Row],[Month Number]],Reference!C$5:E$16,2,FALSE))</f>
        <v>Feb</v>
      </c>
      <c r="AC3484">
        <f>MONTH(SalesData[[#This Row],[Date]])</f>
        <v>2</v>
      </c>
      <c r="AD3484">
        <f>Reference!F$4</f>
        <v>2026</v>
      </c>
      <c r="AE3484" t="str">
        <f>IF(OR(SalesData[[#This Row],[Day]]="Saturday",SalesData[[#This Row],[Day]]="Sunday"),"Weekend","Weekday")</f>
        <v>Weekend</v>
      </c>
      <c r="AF3484" s="5">
        <f>IF(SalesData[[#This Row],[Contracts Offered]]=0,0,SalesData[[#This Row],[Contracts Signed]]/SalesData[[#This Row],[Contracts Offered]])</f>
        <v>0.30985915492957744</v>
      </c>
      <c r="AG3484" s="5">
        <f>IF(SalesData[[#This Row],[Customers Visited]]=0,0,SalesData[[#This Row],[Test Drives]]/SalesData[[#This Row],[Customers Visited]])</f>
        <v>0.46969696969696972</v>
      </c>
      <c r="AH3484" s="5">
        <f>IF(SalesData[[#This Row],[Customers Visited]]=0,0,SalesData[[#This Row],[Contracts Signed]]/SalesData[[#This Row],[Customers Visited]])</f>
        <v>0.1111111111111111</v>
      </c>
      <c r="AI3484" s="6">
        <f>IF(SalesData[[#This Row],[Contracts Signed]]=0,0,SalesData[[#This Row],[Profit(€)]]/SalesData[[#This Row],[Contracts Signed]])</f>
        <v>15110</v>
      </c>
      <c r="AJ3484" s="5" t="str">
        <f>TRIM(CLEAN(SalesData[[#This Row],[Retailer]]))</f>
        <v>Autohaus Berlin</v>
      </c>
    </row>
    <row r="3485" spans="1:36" ht="14.25" hidden="1" x14ac:dyDescent="0.2">
      <c r="A3485" t="s">
        <v>4685</v>
      </c>
      <c r="B3485" s="1">
        <v>46075</v>
      </c>
      <c r="C3485" t="s">
        <v>53</v>
      </c>
      <c r="D3485" t="s">
        <v>41</v>
      </c>
      <c r="E3485" t="s">
        <v>42</v>
      </c>
      <c r="F3485" t="s">
        <v>101</v>
      </c>
      <c r="G3485" t="s">
        <v>102</v>
      </c>
      <c r="H3485" t="s">
        <v>103</v>
      </c>
      <c r="I3485" t="s">
        <v>116</v>
      </c>
      <c r="J3485" t="s">
        <v>203</v>
      </c>
      <c r="K3485" t="s">
        <v>91</v>
      </c>
      <c r="L3485" t="s">
        <v>67</v>
      </c>
      <c r="M3485" t="s">
        <v>87</v>
      </c>
      <c r="N3485" t="s">
        <v>35</v>
      </c>
      <c r="O3485" t="s">
        <v>36</v>
      </c>
      <c r="P3485" t="s">
        <v>37</v>
      </c>
      <c r="Q3485" t="s">
        <v>118</v>
      </c>
      <c r="R3485">
        <v>406</v>
      </c>
      <c r="S3485">
        <v>213</v>
      </c>
      <c r="T3485">
        <v>138</v>
      </c>
      <c r="U3485">
        <v>26</v>
      </c>
      <c r="V3485" t="s">
        <v>352</v>
      </c>
      <c r="W3485">
        <v>20412</v>
      </c>
      <c r="X3485" t="s">
        <v>2751</v>
      </c>
      <c r="Y3485">
        <v>18738</v>
      </c>
      <c r="Z3485">
        <v>530712</v>
      </c>
      <c r="AA3485">
        <v>43524</v>
      </c>
      <c r="AB3485" t="str">
        <f>(VLOOKUP(SalesData[[#This Row],[Month Number]],Reference!C$5:E$16,2,FALSE))</f>
        <v>Feb</v>
      </c>
      <c r="AC3485">
        <f>MONTH(SalesData[[#This Row],[Date]])</f>
        <v>2</v>
      </c>
      <c r="AD3485">
        <f>Reference!F$4</f>
        <v>2026</v>
      </c>
      <c r="AE3485" t="str">
        <f>IF(OR(SalesData[[#This Row],[Day]]="Saturday",SalesData[[#This Row],[Day]]="Sunday"),"Weekend","Weekday")</f>
        <v>Weekend</v>
      </c>
      <c r="AF3485" s="5">
        <f>IF(SalesData[[#This Row],[Contracts Offered]]=0,0,SalesData[[#This Row],[Contracts Signed]]/SalesData[[#This Row],[Contracts Offered]])</f>
        <v>0.18840579710144928</v>
      </c>
      <c r="AG3485" s="5">
        <f>IF(SalesData[[#This Row],[Customers Visited]]=0,0,SalesData[[#This Row],[Test Drives]]/SalesData[[#This Row],[Customers Visited]])</f>
        <v>0.52463054187192115</v>
      </c>
      <c r="AH3485" s="5">
        <f>IF(SalesData[[#This Row],[Customers Visited]]=0,0,SalesData[[#This Row],[Contracts Signed]]/SalesData[[#This Row],[Customers Visited]])</f>
        <v>6.4039408866995079E-2</v>
      </c>
      <c r="AI3485" s="6">
        <f>IF(SalesData[[#This Row],[Contracts Signed]]=0,0,SalesData[[#This Row],[Profit(€)]]/SalesData[[#This Row],[Contracts Signed]])</f>
        <v>1674</v>
      </c>
      <c r="AJ3485" s="5" t="str">
        <f>TRIM(CLEAN(SalesData[[#This Row],[Retailer]]))</f>
        <v>Ruhr Auto Plaza</v>
      </c>
    </row>
    <row r="3486" spans="1:36" ht="14.25" hidden="1" x14ac:dyDescent="0.2">
      <c r="A3486" t="s">
        <v>4686</v>
      </c>
      <c r="B3486" s="1">
        <v>46056</v>
      </c>
      <c r="C3486" t="s">
        <v>24</v>
      </c>
      <c r="D3486" t="s">
        <v>63</v>
      </c>
      <c r="E3486" t="s">
        <v>26</v>
      </c>
      <c r="F3486" t="s">
        <v>43</v>
      </c>
      <c r="G3486" t="s">
        <v>44</v>
      </c>
      <c r="H3486" t="s">
        <v>45</v>
      </c>
      <c r="I3486" t="s">
        <v>116</v>
      </c>
      <c r="J3486" t="s">
        <v>117</v>
      </c>
      <c r="K3486" t="s">
        <v>66</v>
      </c>
      <c r="L3486" t="s">
        <v>67</v>
      </c>
      <c r="M3486" t="s">
        <v>68</v>
      </c>
      <c r="N3486" t="s">
        <v>48</v>
      </c>
      <c r="O3486" t="s">
        <v>36</v>
      </c>
      <c r="P3486" t="s">
        <v>37</v>
      </c>
      <c r="Q3486" t="s">
        <v>189</v>
      </c>
      <c r="R3486">
        <v>236</v>
      </c>
      <c r="S3486">
        <v>123</v>
      </c>
      <c r="T3486">
        <v>75</v>
      </c>
      <c r="U3486">
        <v>16</v>
      </c>
      <c r="V3486" t="s">
        <v>1255</v>
      </c>
      <c r="W3486">
        <v>22578</v>
      </c>
      <c r="X3486" t="s">
        <v>1500</v>
      </c>
      <c r="Y3486">
        <v>20886</v>
      </c>
      <c r="Z3486">
        <v>361248</v>
      </c>
      <c r="AA3486">
        <v>27072</v>
      </c>
      <c r="AB3486" t="str">
        <f>(VLOOKUP(SalesData[[#This Row],[Month Number]],Reference!C$5:E$16,2,FALSE))</f>
        <v>Feb</v>
      </c>
      <c r="AC3486">
        <f>MONTH(SalesData[[#This Row],[Date]])</f>
        <v>2</v>
      </c>
      <c r="AD3486">
        <f>Reference!F$4</f>
        <v>2026</v>
      </c>
      <c r="AE3486" t="str">
        <f>IF(OR(SalesData[[#This Row],[Day]]="Saturday",SalesData[[#This Row],[Day]]="Sunday"),"Weekend","Weekday")</f>
        <v>Weekday</v>
      </c>
      <c r="AF3486" s="5">
        <f>IF(SalesData[[#This Row],[Contracts Offered]]=0,0,SalesData[[#This Row],[Contracts Signed]]/SalesData[[#This Row],[Contracts Offered]])</f>
        <v>0.21333333333333335</v>
      </c>
      <c r="AG3486" s="5">
        <f>IF(SalesData[[#This Row],[Customers Visited]]=0,0,SalesData[[#This Row],[Test Drives]]/SalesData[[#This Row],[Customers Visited]])</f>
        <v>0.52118644067796616</v>
      </c>
      <c r="AH3486" s="5">
        <f>IF(SalesData[[#This Row],[Customers Visited]]=0,0,SalesData[[#This Row],[Contracts Signed]]/SalesData[[#This Row],[Customers Visited]])</f>
        <v>6.7796610169491525E-2</v>
      </c>
      <c r="AI3486" s="6">
        <f>IF(SalesData[[#This Row],[Contracts Signed]]=0,0,SalesData[[#This Row],[Profit(€)]]/SalesData[[#This Row],[Contracts Signed]])</f>
        <v>1692</v>
      </c>
      <c r="AJ3486" s="5" t="str">
        <f>TRIM(CLEAN(SalesData[[#This Row],[Retailer]]))</f>
        <v>Saxon Wheels</v>
      </c>
    </row>
    <row r="3487" spans="1:36" ht="14.25" hidden="1" x14ac:dyDescent="0.2">
      <c r="A3487" t="s">
        <v>4687</v>
      </c>
      <c r="B3487" s="1">
        <v>46060</v>
      </c>
      <c r="C3487" t="s">
        <v>24</v>
      </c>
      <c r="D3487" t="s">
        <v>151</v>
      </c>
      <c r="E3487" t="s">
        <v>42</v>
      </c>
      <c r="F3487" t="s">
        <v>27</v>
      </c>
      <c r="G3487" t="s">
        <v>28</v>
      </c>
      <c r="H3487" t="s">
        <v>29</v>
      </c>
      <c r="I3487" t="s">
        <v>104</v>
      </c>
      <c r="J3487" t="s">
        <v>7031</v>
      </c>
      <c r="K3487" t="s">
        <v>78</v>
      </c>
      <c r="L3487" t="s">
        <v>46</v>
      </c>
      <c r="M3487" t="s">
        <v>68</v>
      </c>
      <c r="N3487" t="s">
        <v>35</v>
      </c>
      <c r="O3487" t="s">
        <v>70</v>
      </c>
      <c r="P3487" t="s">
        <v>49</v>
      </c>
      <c r="Q3487" t="s">
        <v>88</v>
      </c>
      <c r="R3487">
        <v>420</v>
      </c>
      <c r="S3487">
        <v>228</v>
      </c>
      <c r="T3487">
        <v>161</v>
      </c>
      <c r="U3487">
        <v>27</v>
      </c>
      <c r="V3487" t="s">
        <v>3447</v>
      </c>
      <c r="W3487">
        <v>32918</v>
      </c>
      <c r="X3487" t="s">
        <v>1953</v>
      </c>
      <c r="Y3487">
        <v>29577</v>
      </c>
      <c r="Z3487">
        <v>888786</v>
      </c>
      <c r="AA3487">
        <v>90207</v>
      </c>
      <c r="AB3487" t="str">
        <f>(VLOOKUP(SalesData[[#This Row],[Month Number]],Reference!C$5:E$16,2,FALSE))</f>
        <v>Feb</v>
      </c>
      <c r="AC3487">
        <f>MONTH(SalesData[[#This Row],[Date]])</f>
        <v>2</v>
      </c>
      <c r="AD3487">
        <f>Reference!F$4</f>
        <v>2026</v>
      </c>
      <c r="AE3487" t="str">
        <f>IF(OR(SalesData[[#This Row],[Day]]="Saturday",SalesData[[#This Row],[Day]]="Sunday"),"Weekend","Weekday")</f>
        <v>Weekend</v>
      </c>
      <c r="AF3487" s="5">
        <f>IF(SalesData[[#This Row],[Contracts Offered]]=0,0,SalesData[[#This Row],[Contracts Signed]]/SalesData[[#This Row],[Contracts Offered]])</f>
        <v>0.16770186335403728</v>
      </c>
      <c r="AG3487" s="5">
        <f>IF(SalesData[[#This Row],[Customers Visited]]=0,0,SalesData[[#This Row],[Test Drives]]/SalesData[[#This Row],[Customers Visited]])</f>
        <v>0.54285714285714282</v>
      </c>
      <c r="AH3487" s="5">
        <f>IF(SalesData[[#This Row],[Customers Visited]]=0,0,SalesData[[#This Row],[Contracts Signed]]/SalesData[[#This Row],[Customers Visited]])</f>
        <v>6.4285714285714279E-2</v>
      </c>
      <c r="AI3487" s="6">
        <f>IF(SalesData[[#This Row],[Contracts Signed]]=0,0,SalesData[[#This Row],[Profit(€)]]/SalesData[[#This Row],[Contracts Signed]])</f>
        <v>3341</v>
      </c>
      <c r="AJ3487" s="5" t="str">
        <f>TRIM(CLEAN(SalesData[[#This Row],[Retailer]]))</f>
        <v>Main Auto Hub</v>
      </c>
    </row>
    <row r="3488" spans="1:36" ht="14.25" hidden="1" x14ac:dyDescent="0.2">
      <c r="A3488" t="s">
        <v>4688</v>
      </c>
      <c r="B3488" s="1">
        <v>46062</v>
      </c>
      <c r="C3488" t="s">
        <v>121</v>
      </c>
      <c r="D3488" t="s">
        <v>25</v>
      </c>
      <c r="E3488" t="s">
        <v>26</v>
      </c>
      <c r="F3488" t="s">
        <v>83</v>
      </c>
      <c r="G3488" t="s">
        <v>84</v>
      </c>
      <c r="H3488" t="s">
        <v>85</v>
      </c>
      <c r="I3488" t="s">
        <v>116</v>
      </c>
      <c r="J3488" t="s">
        <v>132</v>
      </c>
      <c r="K3488" t="s">
        <v>66</v>
      </c>
      <c r="L3488" t="s">
        <v>46</v>
      </c>
      <c r="M3488" t="s">
        <v>34</v>
      </c>
      <c r="N3488" t="s">
        <v>48</v>
      </c>
      <c r="O3488" t="s">
        <v>70</v>
      </c>
      <c r="P3488" t="s">
        <v>58</v>
      </c>
      <c r="Q3488" t="s">
        <v>135</v>
      </c>
      <c r="R3488">
        <v>278</v>
      </c>
      <c r="S3488">
        <v>145</v>
      </c>
      <c r="T3488">
        <v>98</v>
      </c>
      <c r="U3488">
        <v>28</v>
      </c>
      <c r="V3488" t="s">
        <v>1895</v>
      </c>
      <c r="W3488">
        <v>22519</v>
      </c>
      <c r="X3488" t="s">
        <v>7599</v>
      </c>
      <c r="Y3488">
        <v>20215</v>
      </c>
      <c r="Z3488">
        <v>630532</v>
      </c>
      <c r="AA3488">
        <v>64512</v>
      </c>
      <c r="AB3488" t="str">
        <f>(VLOOKUP(SalesData[[#This Row],[Month Number]],Reference!C$5:E$16,2,FALSE))</f>
        <v>Feb</v>
      </c>
      <c r="AC3488">
        <f>MONTH(SalesData[[#This Row],[Date]])</f>
        <v>2</v>
      </c>
      <c r="AD3488">
        <f>Reference!F$4</f>
        <v>2026</v>
      </c>
      <c r="AE3488" t="str">
        <f>IF(OR(SalesData[[#This Row],[Day]]="Saturday",SalesData[[#This Row],[Day]]="Sunday"),"Weekend","Weekday")</f>
        <v>Weekday</v>
      </c>
      <c r="AF3488" s="5">
        <f>IF(SalesData[[#This Row],[Contracts Offered]]=0,0,SalesData[[#This Row],[Contracts Signed]]/SalesData[[#This Row],[Contracts Offered]])</f>
        <v>0.2857142857142857</v>
      </c>
      <c r="AG3488" s="5">
        <f>IF(SalesData[[#This Row],[Customers Visited]]=0,0,SalesData[[#This Row],[Test Drives]]/SalesData[[#This Row],[Customers Visited]])</f>
        <v>0.52158273381294962</v>
      </c>
      <c r="AH3488" s="5">
        <f>IF(SalesData[[#This Row],[Customers Visited]]=0,0,SalesData[[#This Row],[Contracts Signed]]/SalesData[[#This Row],[Customers Visited]])</f>
        <v>0.10071942446043165</v>
      </c>
      <c r="AI3488" s="6">
        <f>IF(SalesData[[#This Row],[Contracts Signed]]=0,0,SalesData[[#This Row],[Profit(€)]]/SalesData[[#This Row],[Contracts Signed]])</f>
        <v>2304</v>
      </c>
      <c r="AJ3488" s="5" t="str">
        <f>TRIM(CLEAN(SalesData[[#This Row],[Retailer]]))</f>
        <v>Hannover Cars</v>
      </c>
    </row>
    <row r="3489" spans="1:36" ht="14.25" hidden="1" x14ac:dyDescent="0.2">
      <c r="A3489" t="s">
        <v>4689</v>
      </c>
      <c r="B3489" s="1">
        <v>46063</v>
      </c>
      <c r="C3489" t="s">
        <v>121</v>
      </c>
      <c r="D3489" t="s">
        <v>63</v>
      </c>
      <c r="E3489" t="s">
        <v>26</v>
      </c>
      <c r="F3489" t="s">
        <v>27</v>
      </c>
      <c r="G3489" t="s">
        <v>28</v>
      </c>
      <c r="H3489" t="s">
        <v>29</v>
      </c>
      <c r="I3489" t="s">
        <v>104</v>
      </c>
      <c r="J3489" t="s">
        <v>140</v>
      </c>
      <c r="K3489" t="s">
        <v>66</v>
      </c>
      <c r="L3489" t="s">
        <v>46</v>
      </c>
      <c r="M3489" t="s">
        <v>34</v>
      </c>
      <c r="N3489" t="s">
        <v>48</v>
      </c>
      <c r="O3489" t="s">
        <v>70</v>
      </c>
      <c r="P3489" t="s">
        <v>37</v>
      </c>
      <c r="Q3489" t="s">
        <v>118</v>
      </c>
      <c r="R3489">
        <v>369</v>
      </c>
      <c r="S3489">
        <v>210</v>
      </c>
      <c r="T3489">
        <v>127</v>
      </c>
      <c r="U3489">
        <v>31</v>
      </c>
      <c r="V3489" t="s">
        <v>5017</v>
      </c>
      <c r="W3489">
        <v>32368</v>
      </c>
      <c r="X3489" t="s">
        <v>7249</v>
      </c>
      <c r="Y3489">
        <v>28172</v>
      </c>
      <c r="Z3489">
        <v>1003408</v>
      </c>
      <c r="AA3489">
        <v>130076</v>
      </c>
      <c r="AB3489" t="str">
        <f>(VLOOKUP(SalesData[[#This Row],[Month Number]],Reference!C$5:E$16,2,FALSE))</f>
        <v>Feb</v>
      </c>
      <c r="AC3489">
        <f>MONTH(SalesData[[#This Row],[Date]])</f>
        <v>2</v>
      </c>
      <c r="AD3489">
        <f>Reference!F$4</f>
        <v>2026</v>
      </c>
      <c r="AE3489" t="str">
        <f>IF(OR(SalesData[[#This Row],[Day]]="Saturday",SalesData[[#This Row],[Day]]="Sunday"),"Weekend","Weekday")</f>
        <v>Weekday</v>
      </c>
      <c r="AF3489" s="5">
        <f>IF(SalesData[[#This Row],[Contracts Offered]]=0,0,SalesData[[#This Row],[Contracts Signed]]/SalesData[[#This Row],[Contracts Offered]])</f>
        <v>0.24409448818897639</v>
      </c>
      <c r="AG3489" s="5">
        <f>IF(SalesData[[#This Row],[Customers Visited]]=0,0,SalesData[[#This Row],[Test Drives]]/SalesData[[#This Row],[Customers Visited]])</f>
        <v>0.56910569105691056</v>
      </c>
      <c r="AH3489" s="5">
        <f>IF(SalesData[[#This Row],[Customers Visited]]=0,0,SalesData[[#This Row],[Contracts Signed]]/SalesData[[#This Row],[Customers Visited]])</f>
        <v>8.4010840108401083E-2</v>
      </c>
      <c r="AI3489" s="6">
        <f>IF(SalesData[[#This Row],[Contracts Signed]]=0,0,SalesData[[#This Row],[Profit(€)]]/SalesData[[#This Row],[Contracts Signed]])</f>
        <v>4196</v>
      </c>
      <c r="AJ3489" s="5" t="str">
        <f>TRIM(CLEAN(SalesData[[#This Row],[Retailer]]))</f>
        <v>Main Auto Hub</v>
      </c>
    </row>
    <row r="3490" spans="1:36" ht="14.25" hidden="1" x14ac:dyDescent="0.2">
      <c r="A3490" t="s">
        <v>4690</v>
      </c>
      <c r="B3490" s="1">
        <v>46065</v>
      </c>
      <c r="C3490" t="s">
        <v>121</v>
      </c>
      <c r="D3490" t="s">
        <v>100</v>
      </c>
      <c r="E3490" t="s">
        <v>26</v>
      </c>
      <c r="F3490" t="s">
        <v>109</v>
      </c>
      <c r="G3490" t="s">
        <v>110</v>
      </c>
      <c r="H3490" t="s">
        <v>45</v>
      </c>
      <c r="I3490" t="s">
        <v>64</v>
      </c>
      <c r="J3490" t="s">
        <v>111</v>
      </c>
      <c r="K3490" t="s">
        <v>32</v>
      </c>
      <c r="L3490" t="s">
        <v>46</v>
      </c>
      <c r="M3490" t="s">
        <v>47</v>
      </c>
      <c r="N3490" t="s">
        <v>48</v>
      </c>
      <c r="O3490" t="s">
        <v>70</v>
      </c>
      <c r="P3490" t="s">
        <v>58</v>
      </c>
      <c r="Q3490" t="s">
        <v>204</v>
      </c>
      <c r="R3490">
        <v>192</v>
      </c>
      <c r="S3490">
        <v>85</v>
      </c>
      <c r="T3490">
        <v>67</v>
      </c>
      <c r="U3490">
        <v>21</v>
      </c>
      <c r="V3490" t="s">
        <v>6827</v>
      </c>
      <c r="W3490">
        <v>60496</v>
      </c>
      <c r="X3490" t="s">
        <v>7314</v>
      </c>
      <c r="Y3490">
        <v>43680</v>
      </c>
      <c r="Z3490">
        <v>1270416</v>
      </c>
      <c r="AA3490">
        <v>353136</v>
      </c>
      <c r="AB3490" t="str">
        <f>(VLOOKUP(SalesData[[#This Row],[Month Number]],Reference!C$5:E$16,2,FALSE))</f>
        <v>Feb</v>
      </c>
      <c r="AC3490">
        <f>MONTH(SalesData[[#This Row],[Date]])</f>
        <v>2</v>
      </c>
      <c r="AD3490">
        <f>Reference!F$4</f>
        <v>2026</v>
      </c>
      <c r="AE3490" t="str">
        <f>IF(OR(SalesData[[#This Row],[Day]]="Saturday",SalesData[[#This Row],[Day]]="Sunday"),"Weekend","Weekday")</f>
        <v>Weekday</v>
      </c>
      <c r="AF3490" s="5">
        <f>IF(SalesData[[#This Row],[Contracts Offered]]=0,0,SalesData[[#This Row],[Contracts Signed]]/SalesData[[#This Row],[Contracts Offered]])</f>
        <v>0.31343283582089554</v>
      </c>
      <c r="AG3490" s="5">
        <f>IF(SalesData[[#This Row],[Customers Visited]]=0,0,SalesData[[#This Row],[Test Drives]]/SalesData[[#This Row],[Customers Visited]])</f>
        <v>0.44270833333333331</v>
      </c>
      <c r="AH3490" s="5">
        <f>IF(SalesData[[#This Row],[Customers Visited]]=0,0,SalesData[[#This Row],[Contracts Signed]]/SalesData[[#This Row],[Customers Visited]])</f>
        <v>0.109375</v>
      </c>
      <c r="AI3490" s="6">
        <f>IF(SalesData[[#This Row],[Contracts Signed]]=0,0,SalesData[[#This Row],[Profit(€)]]/SalesData[[#This Row],[Contracts Signed]])</f>
        <v>16816</v>
      </c>
      <c r="AJ3490" s="5" t="str">
        <f>TRIM(CLEAN(SalesData[[#This Row],[Retailer]]))</f>
        <v>Leipzig Mobility</v>
      </c>
    </row>
    <row r="3491" spans="1:36" ht="14.25" hidden="1" x14ac:dyDescent="0.2">
      <c r="A3491" t="s">
        <v>4691</v>
      </c>
      <c r="B3491" s="1">
        <v>46059</v>
      </c>
      <c r="C3491" t="s">
        <v>24</v>
      </c>
      <c r="D3491" t="s">
        <v>54</v>
      </c>
      <c r="E3491" t="s">
        <v>26</v>
      </c>
      <c r="F3491" t="s">
        <v>127</v>
      </c>
      <c r="G3491" t="s">
        <v>128</v>
      </c>
      <c r="H3491" t="s">
        <v>103</v>
      </c>
      <c r="I3491" t="s">
        <v>104</v>
      </c>
      <c r="J3491" t="s">
        <v>140</v>
      </c>
      <c r="K3491" t="s">
        <v>32</v>
      </c>
      <c r="L3491" t="s">
        <v>46</v>
      </c>
      <c r="M3491" t="s">
        <v>68</v>
      </c>
      <c r="N3491" t="s">
        <v>48</v>
      </c>
      <c r="O3491" t="s">
        <v>70</v>
      </c>
      <c r="P3491" t="s">
        <v>37</v>
      </c>
      <c r="Q3491" t="s">
        <v>135</v>
      </c>
      <c r="R3491">
        <v>410</v>
      </c>
      <c r="S3491">
        <v>203</v>
      </c>
      <c r="T3491">
        <v>129</v>
      </c>
      <c r="U3491">
        <v>25</v>
      </c>
      <c r="V3491" t="s">
        <v>3337</v>
      </c>
      <c r="W3491">
        <v>27170</v>
      </c>
      <c r="X3491" t="s">
        <v>4553</v>
      </c>
      <c r="Y3491">
        <v>23661</v>
      </c>
      <c r="Z3491">
        <v>679250</v>
      </c>
      <c r="AA3491">
        <v>87725</v>
      </c>
      <c r="AB3491" t="str">
        <f>(VLOOKUP(SalesData[[#This Row],[Month Number]],Reference!C$5:E$16,2,FALSE))</f>
        <v>Feb</v>
      </c>
      <c r="AC3491">
        <f>MONTH(SalesData[[#This Row],[Date]])</f>
        <v>2</v>
      </c>
      <c r="AD3491">
        <f>Reference!F$4</f>
        <v>2026</v>
      </c>
      <c r="AE3491" t="str">
        <f>IF(OR(SalesData[[#This Row],[Day]]="Saturday",SalesData[[#This Row],[Day]]="Sunday"),"Weekend","Weekday")</f>
        <v>Weekday</v>
      </c>
      <c r="AF3491" s="5">
        <f>IF(SalesData[[#This Row],[Contracts Offered]]=0,0,SalesData[[#This Row],[Contracts Signed]]/SalesData[[#This Row],[Contracts Offered]])</f>
        <v>0.19379844961240311</v>
      </c>
      <c r="AG3491" s="5">
        <f>IF(SalesData[[#This Row],[Customers Visited]]=0,0,SalesData[[#This Row],[Test Drives]]/SalesData[[#This Row],[Customers Visited]])</f>
        <v>0.49512195121951219</v>
      </c>
      <c r="AH3491" s="5">
        <f>IF(SalesData[[#This Row],[Customers Visited]]=0,0,SalesData[[#This Row],[Contracts Signed]]/SalesData[[#This Row],[Customers Visited]])</f>
        <v>6.097560975609756E-2</v>
      </c>
      <c r="AI3491" s="6">
        <f>IF(SalesData[[#This Row],[Contracts Signed]]=0,0,SalesData[[#This Row],[Profit(€)]]/SalesData[[#This Row],[Contracts Signed]])</f>
        <v>3509</v>
      </c>
      <c r="AJ3491" s="5" t="str">
        <f>TRIM(CLEAN(SalesData[[#This Row],[Retailer]]))</f>
        <v>Rhein Auto Group</v>
      </c>
    </row>
    <row r="3492" spans="1:36" ht="14.25" hidden="1" x14ac:dyDescent="0.2">
      <c r="A3492" t="s">
        <v>4692</v>
      </c>
      <c r="B3492" s="1">
        <v>46076</v>
      </c>
      <c r="C3492" t="s">
        <v>53</v>
      </c>
      <c r="D3492" t="s">
        <v>25</v>
      </c>
      <c r="E3492" t="s">
        <v>26</v>
      </c>
      <c r="F3492" t="s">
        <v>27</v>
      </c>
      <c r="G3492" t="s">
        <v>28</v>
      </c>
      <c r="H3492" t="s">
        <v>29</v>
      </c>
      <c r="I3492" t="s">
        <v>116</v>
      </c>
      <c r="J3492" t="s">
        <v>203</v>
      </c>
      <c r="K3492" t="s">
        <v>32</v>
      </c>
      <c r="L3492" t="s">
        <v>67</v>
      </c>
      <c r="M3492" t="s">
        <v>87</v>
      </c>
      <c r="N3492" t="s">
        <v>35</v>
      </c>
      <c r="O3492" t="s">
        <v>70</v>
      </c>
      <c r="P3492" t="s">
        <v>49</v>
      </c>
      <c r="Q3492" t="s">
        <v>122</v>
      </c>
      <c r="R3492">
        <v>280</v>
      </c>
      <c r="S3492">
        <v>142</v>
      </c>
      <c r="T3492">
        <v>94</v>
      </c>
      <c r="U3492">
        <v>19</v>
      </c>
      <c r="V3492" t="s">
        <v>1776</v>
      </c>
      <c r="W3492">
        <v>20776</v>
      </c>
      <c r="X3492" t="s">
        <v>1692</v>
      </c>
      <c r="Y3492">
        <v>18497</v>
      </c>
      <c r="Z3492">
        <v>394744</v>
      </c>
      <c r="AA3492">
        <v>43301</v>
      </c>
      <c r="AB3492" t="str">
        <f>(VLOOKUP(SalesData[[#This Row],[Month Number]],Reference!C$5:E$16,2,FALSE))</f>
        <v>Feb</v>
      </c>
      <c r="AC3492">
        <f>MONTH(SalesData[[#This Row],[Date]])</f>
        <v>2</v>
      </c>
      <c r="AD3492">
        <f>Reference!F$4</f>
        <v>2026</v>
      </c>
      <c r="AE3492" t="str">
        <f>IF(OR(SalesData[[#This Row],[Day]]="Saturday",SalesData[[#This Row],[Day]]="Sunday"),"Weekend","Weekday")</f>
        <v>Weekday</v>
      </c>
      <c r="AF3492" s="5">
        <f>IF(SalesData[[#This Row],[Contracts Offered]]=0,0,SalesData[[#This Row],[Contracts Signed]]/SalesData[[#This Row],[Contracts Offered]])</f>
        <v>0.20212765957446807</v>
      </c>
      <c r="AG3492" s="5">
        <f>IF(SalesData[[#This Row],[Customers Visited]]=0,0,SalesData[[#This Row],[Test Drives]]/SalesData[[#This Row],[Customers Visited]])</f>
        <v>0.50714285714285712</v>
      </c>
      <c r="AH3492" s="5">
        <f>IF(SalesData[[#This Row],[Customers Visited]]=0,0,SalesData[[#This Row],[Contracts Signed]]/SalesData[[#This Row],[Customers Visited]])</f>
        <v>6.7857142857142852E-2</v>
      </c>
      <c r="AI3492" s="6">
        <f>IF(SalesData[[#This Row],[Contracts Signed]]=0,0,SalesData[[#This Row],[Profit(€)]]/SalesData[[#This Row],[Contracts Signed]])</f>
        <v>2279</v>
      </c>
      <c r="AJ3492" s="5" t="str">
        <f>TRIM(CLEAN(SalesData[[#This Row],[Retailer]]))</f>
        <v>Main Auto Hub</v>
      </c>
    </row>
    <row r="3493" spans="1:36" ht="14.25" hidden="1" x14ac:dyDescent="0.2">
      <c r="A3493" t="s">
        <v>4693</v>
      </c>
      <c r="B3493" s="1">
        <v>46075</v>
      </c>
      <c r="C3493" t="s">
        <v>53</v>
      </c>
      <c r="D3493" t="s">
        <v>41</v>
      </c>
      <c r="E3493" t="s">
        <v>42</v>
      </c>
      <c r="F3493" t="s">
        <v>127</v>
      </c>
      <c r="G3493" t="s">
        <v>128</v>
      </c>
      <c r="H3493" t="s">
        <v>103</v>
      </c>
      <c r="I3493" t="s">
        <v>56</v>
      </c>
      <c r="J3493" t="s">
        <v>137</v>
      </c>
      <c r="K3493" t="s">
        <v>66</v>
      </c>
      <c r="L3493" t="s">
        <v>46</v>
      </c>
      <c r="M3493" t="s">
        <v>68</v>
      </c>
      <c r="N3493" t="s">
        <v>35</v>
      </c>
      <c r="O3493" t="s">
        <v>36</v>
      </c>
      <c r="P3493" t="s">
        <v>58</v>
      </c>
      <c r="Q3493" t="s">
        <v>347</v>
      </c>
      <c r="R3493">
        <v>301</v>
      </c>
      <c r="S3493">
        <v>178</v>
      </c>
      <c r="T3493">
        <v>114</v>
      </c>
      <c r="U3493">
        <v>49</v>
      </c>
      <c r="V3493" t="s">
        <v>7600</v>
      </c>
      <c r="W3493">
        <v>52224</v>
      </c>
      <c r="X3493" t="s">
        <v>7472</v>
      </c>
      <c r="Y3493">
        <v>42404</v>
      </c>
      <c r="Z3493">
        <v>2558976</v>
      </c>
      <c r="AA3493">
        <v>481180</v>
      </c>
      <c r="AB3493" t="str">
        <f>(VLOOKUP(SalesData[[#This Row],[Month Number]],Reference!C$5:E$16,2,FALSE))</f>
        <v>Feb</v>
      </c>
      <c r="AC3493">
        <f>MONTH(SalesData[[#This Row],[Date]])</f>
        <v>2</v>
      </c>
      <c r="AD3493">
        <f>Reference!F$4</f>
        <v>2026</v>
      </c>
      <c r="AE3493" t="str">
        <f>IF(OR(SalesData[[#This Row],[Day]]="Saturday",SalesData[[#This Row],[Day]]="Sunday"),"Weekend","Weekday")</f>
        <v>Weekend</v>
      </c>
      <c r="AF3493" s="5">
        <f>IF(SalesData[[#This Row],[Contracts Offered]]=0,0,SalesData[[#This Row],[Contracts Signed]]/SalesData[[#This Row],[Contracts Offered]])</f>
        <v>0.42982456140350878</v>
      </c>
      <c r="AG3493" s="5">
        <f>IF(SalesData[[#This Row],[Customers Visited]]=0,0,SalesData[[#This Row],[Test Drives]]/SalesData[[#This Row],[Customers Visited]])</f>
        <v>0.59136212624584716</v>
      </c>
      <c r="AH3493" s="5">
        <f>IF(SalesData[[#This Row],[Customers Visited]]=0,0,SalesData[[#This Row],[Contracts Signed]]/SalesData[[#This Row],[Customers Visited]])</f>
        <v>0.16279069767441862</v>
      </c>
      <c r="AI3493" s="6">
        <f>IF(SalesData[[#This Row],[Contracts Signed]]=0,0,SalesData[[#This Row],[Profit(€)]]/SalesData[[#This Row],[Contracts Signed]])</f>
        <v>9820</v>
      </c>
      <c r="AJ3493" s="5" t="str">
        <f>TRIM(CLEAN(SalesData[[#This Row],[Retailer]]))</f>
        <v>Rhein Auto Group</v>
      </c>
    </row>
    <row r="3494" spans="1:36" ht="14.25" hidden="1" x14ac:dyDescent="0.2">
      <c r="A3494" t="s">
        <v>4694</v>
      </c>
      <c r="B3494" s="1">
        <v>46069</v>
      </c>
      <c r="C3494" t="s">
        <v>62</v>
      </c>
      <c r="D3494" t="s">
        <v>25</v>
      </c>
      <c r="E3494" t="s">
        <v>26</v>
      </c>
      <c r="F3494" t="s">
        <v>114</v>
      </c>
      <c r="G3494" t="s">
        <v>115</v>
      </c>
      <c r="H3494" t="s">
        <v>115</v>
      </c>
      <c r="I3494" t="s">
        <v>56</v>
      </c>
      <c r="J3494" t="s">
        <v>179</v>
      </c>
      <c r="K3494" t="s">
        <v>32</v>
      </c>
      <c r="L3494" t="s">
        <v>67</v>
      </c>
      <c r="M3494" t="s">
        <v>47</v>
      </c>
      <c r="N3494" t="s">
        <v>48</v>
      </c>
      <c r="O3494" t="s">
        <v>70</v>
      </c>
      <c r="P3494" t="s">
        <v>71</v>
      </c>
      <c r="Q3494" t="s">
        <v>38</v>
      </c>
      <c r="R3494">
        <v>215</v>
      </c>
      <c r="S3494">
        <v>110</v>
      </c>
      <c r="T3494">
        <v>80</v>
      </c>
      <c r="U3494">
        <v>26</v>
      </c>
      <c r="V3494" t="s">
        <v>6902</v>
      </c>
      <c r="W3494">
        <v>46252</v>
      </c>
      <c r="X3494" t="s">
        <v>7089</v>
      </c>
      <c r="Y3494">
        <v>36374</v>
      </c>
      <c r="Z3494">
        <v>1202552</v>
      </c>
      <c r="AA3494">
        <v>256828</v>
      </c>
      <c r="AB3494" t="str">
        <f>(VLOOKUP(SalesData[[#This Row],[Month Number]],Reference!C$5:E$16,2,FALSE))</f>
        <v>Feb</v>
      </c>
      <c r="AC3494">
        <f>MONTH(SalesData[[#This Row],[Date]])</f>
        <v>2</v>
      </c>
      <c r="AD3494">
        <f>Reference!F$4</f>
        <v>2026</v>
      </c>
      <c r="AE3494" t="str">
        <f>IF(OR(SalesData[[#This Row],[Day]]="Saturday",SalesData[[#This Row],[Day]]="Sunday"),"Weekend","Weekday")</f>
        <v>Weekday</v>
      </c>
      <c r="AF3494" s="5">
        <f>IF(SalesData[[#This Row],[Contracts Offered]]=0,0,SalesData[[#This Row],[Contracts Signed]]/SalesData[[#This Row],[Contracts Offered]])</f>
        <v>0.32500000000000001</v>
      </c>
      <c r="AG3494" s="5">
        <f>IF(SalesData[[#This Row],[Customers Visited]]=0,0,SalesData[[#This Row],[Test Drives]]/SalesData[[#This Row],[Customers Visited]])</f>
        <v>0.51162790697674421</v>
      </c>
      <c r="AH3494" s="5">
        <f>IF(SalesData[[#This Row],[Customers Visited]]=0,0,SalesData[[#This Row],[Contracts Signed]]/SalesData[[#This Row],[Customers Visited]])</f>
        <v>0.12093023255813953</v>
      </c>
      <c r="AI3494" s="6">
        <f>IF(SalesData[[#This Row],[Contracts Signed]]=0,0,SalesData[[#This Row],[Profit(€)]]/SalesData[[#This Row],[Contracts Signed]])</f>
        <v>9878</v>
      </c>
      <c r="AJ3494" s="5" t="str">
        <f>TRIM(CLEAN(SalesData[[#This Row],[Retailer]]))</f>
        <v>Elbe Drive</v>
      </c>
    </row>
    <row r="3495" spans="1:36" ht="14.25" hidden="1" x14ac:dyDescent="0.2">
      <c r="A3495" t="s">
        <v>4695</v>
      </c>
      <c r="B3495" s="1">
        <v>46065</v>
      </c>
      <c r="C3495" t="s">
        <v>121</v>
      </c>
      <c r="D3495" t="s">
        <v>100</v>
      </c>
      <c r="E3495" t="s">
        <v>26</v>
      </c>
      <c r="F3495" t="s">
        <v>101</v>
      </c>
      <c r="G3495" t="s">
        <v>102</v>
      </c>
      <c r="H3495" t="s">
        <v>103</v>
      </c>
      <c r="I3495" t="s">
        <v>116</v>
      </c>
      <c r="J3495" t="s">
        <v>203</v>
      </c>
      <c r="K3495" t="s">
        <v>32</v>
      </c>
      <c r="L3495" t="s">
        <v>67</v>
      </c>
      <c r="M3495" t="s">
        <v>68</v>
      </c>
      <c r="N3495" t="s">
        <v>48</v>
      </c>
      <c r="O3495" t="s">
        <v>70</v>
      </c>
      <c r="P3495" t="s">
        <v>49</v>
      </c>
      <c r="Q3495" t="s">
        <v>38</v>
      </c>
      <c r="R3495">
        <v>404</v>
      </c>
      <c r="S3495">
        <v>223</v>
      </c>
      <c r="T3495">
        <v>130</v>
      </c>
      <c r="U3495">
        <v>32</v>
      </c>
      <c r="V3495" t="s">
        <v>2628</v>
      </c>
      <c r="W3495">
        <v>26983</v>
      </c>
      <c r="X3495" t="s">
        <v>435</v>
      </c>
      <c r="Y3495">
        <v>25015</v>
      </c>
      <c r="Z3495">
        <v>863456</v>
      </c>
      <c r="AA3495">
        <v>62976</v>
      </c>
      <c r="AB3495" t="str">
        <f>(VLOOKUP(SalesData[[#This Row],[Month Number]],Reference!C$5:E$16,2,FALSE))</f>
        <v>Feb</v>
      </c>
      <c r="AC3495">
        <f>MONTH(SalesData[[#This Row],[Date]])</f>
        <v>2</v>
      </c>
      <c r="AD3495">
        <f>Reference!F$4</f>
        <v>2026</v>
      </c>
      <c r="AE3495" t="str">
        <f>IF(OR(SalesData[[#This Row],[Day]]="Saturday",SalesData[[#This Row],[Day]]="Sunday"),"Weekend","Weekday")</f>
        <v>Weekday</v>
      </c>
      <c r="AF3495" s="5">
        <f>IF(SalesData[[#This Row],[Contracts Offered]]=0,0,SalesData[[#This Row],[Contracts Signed]]/SalesData[[#This Row],[Contracts Offered]])</f>
        <v>0.24615384615384617</v>
      </c>
      <c r="AG3495" s="5">
        <f>IF(SalesData[[#This Row],[Customers Visited]]=0,0,SalesData[[#This Row],[Test Drives]]/SalesData[[#This Row],[Customers Visited]])</f>
        <v>0.55198019801980203</v>
      </c>
      <c r="AH3495" s="5">
        <f>IF(SalesData[[#This Row],[Customers Visited]]=0,0,SalesData[[#This Row],[Contracts Signed]]/SalesData[[#This Row],[Customers Visited]])</f>
        <v>7.9207920792079209E-2</v>
      </c>
      <c r="AI3495" s="6">
        <f>IF(SalesData[[#This Row],[Contracts Signed]]=0,0,SalesData[[#This Row],[Profit(€)]]/SalesData[[#This Row],[Contracts Signed]])</f>
        <v>1968</v>
      </c>
      <c r="AJ3495" s="5" t="str">
        <f>TRIM(CLEAN(SalesData[[#This Row],[Retailer]]))</f>
        <v>Ruhr Auto Plaza</v>
      </c>
    </row>
    <row r="3496" spans="1:36" ht="14.25" hidden="1" x14ac:dyDescent="0.2">
      <c r="A3496" t="s">
        <v>4697</v>
      </c>
      <c r="B3496" s="1">
        <v>46070</v>
      </c>
      <c r="C3496" t="s">
        <v>62</v>
      </c>
      <c r="D3496" t="s">
        <v>63</v>
      </c>
      <c r="E3496" t="s">
        <v>26</v>
      </c>
      <c r="F3496" t="s">
        <v>127</v>
      </c>
      <c r="G3496" t="s">
        <v>128</v>
      </c>
      <c r="H3496" t="s">
        <v>103</v>
      </c>
      <c r="I3496" t="s">
        <v>116</v>
      </c>
      <c r="J3496" t="s">
        <v>7090</v>
      </c>
      <c r="K3496" t="s">
        <v>78</v>
      </c>
      <c r="L3496" t="s">
        <v>46</v>
      </c>
      <c r="M3496" t="s">
        <v>34</v>
      </c>
      <c r="N3496" t="s">
        <v>35</v>
      </c>
      <c r="O3496" t="s">
        <v>36</v>
      </c>
      <c r="P3496" t="s">
        <v>37</v>
      </c>
      <c r="Q3496" t="s">
        <v>88</v>
      </c>
      <c r="R3496">
        <v>345</v>
      </c>
      <c r="S3496">
        <v>177</v>
      </c>
      <c r="T3496">
        <v>111</v>
      </c>
      <c r="U3496">
        <v>31</v>
      </c>
      <c r="V3496" t="s">
        <v>6494</v>
      </c>
      <c r="W3496">
        <v>23924</v>
      </c>
      <c r="X3496" t="s">
        <v>1178</v>
      </c>
      <c r="Y3496">
        <v>22186</v>
      </c>
      <c r="Z3496">
        <v>741644</v>
      </c>
      <c r="AA3496">
        <v>53878</v>
      </c>
      <c r="AB3496" t="str">
        <f>(VLOOKUP(SalesData[[#This Row],[Month Number]],Reference!C$5:E$16,2,FALSE))</f>
        <v>Feb</v>
      </c>
      <c r="AC3496">
        <f>MONTH(SalesData[[#This Row],[Date]])</f>
        <v>2</v>
      </c>
      <c r="AD3496">
        <f>Reference!F$4</f>
        <v>2026</v>
      </c>
      <c r="AE3496" t="str">
        <f>IF(OR(SalesData[[#This Row],[Day]]="Saturday",SalesData[[#This Row],[Day]]="Sunday"),"Weekend","Weekday")</f>
        <v>Weekday</v>
      </c>
      <c r="AF3496" s="5">
        <f>IF(SalesData[[#This Row],[Contracts Offered]]=0,0,SalesData[[#This Row],[Contracts Signed]]/SalesData[[#This Row],[Contracts Offered]])</f>
        <v>0.27927927927927926</v>
      </c>
      <c r="AG3496" s="5">
        <f>IF(SalesData[[#This Row],[Customers Visited]]=0,0,SalesData[[#This Row],[Test Drives]]/SalesData[[#This Row],[Customers Visited]])</f>
        <v>0.5130434782608696</v>
      </c>
      <c r="AH3496" s="5">
        <f>IF(SalesData[[#This Row],[Customers Visited]]=0,0,SalesData[[#This Row],[Contracts Signed]]/SalesData[[#This Row],[Customers Visited]])</f>
        <v>8.9855072463768115E-2</v>
      </c>
      <c r="AI3496" s="6">
        <f>IF(SalesData[[#This Row],[Contracts Signed]]=0,0,SalesData[[#This Row],[Profit(€)]]/SalesData[[#This Row],[Contracts Signed]])</f>
        <v>1738</v>
      </c>
      <c r="AJ3496" s="5" t="str">
        <f>TRIM(CLEAN(SalesData[[#This Row],[Retailer]]))</f>
        <v>Rhein Auto Group</v>
      </c>
    </row>
    <row r="3497" spans="1:36" ht="14.25" hidden="1" x14ac:dyDescent="0.2">
      <c r="A3497" t="s">
        <v>4698</v>
      </c>
      <c r="B3497" s="1">
        <v>46075</v>
      </c>
      <c r="C3497" t="s">
        <v>53</v>
      </c>
      <c r="D3497" t="s">
        <v>41</v>
      </c>
      <c r="E3497" t="s">
        <v>42</v>
      </c>
      <c r="F3497" t="s">
        <v>74</v>
      </c>
      <c r="G3497" t="s">
        <v>75</v>
      </c>
      <c r="H3497" t="s">
        <v>76</v>
      </c>
      <c r="I3497" t="s">
        <v>116</v>
      </c>
      <c r="J3497" t="s">
        <v>203</v>
      </c>
      <c r="K3497" t="s">
        <v>66</v>
      </c>
      <c r="L3497" t="s">
        <v>67</v>
      </c>
      <c r="M3497" t="s">
        <v>34</v>
      </c>
      <c r="N3497" t="s">
        <v>48</v>
      </c>
      <c r="O3497" t="s">
        <v>36</v>
      </c>
      <c r="P3497" t="s">
        <v>49</v>
      </c>
      <c r="Q3497" t="s">
        <v>240</v>
      </c>
      <c r="R3497">
        <v>249</v>
      </c>
      <c r="S3497">
        <v>95</v>
      </c>
      <c r="T3497">
        <v>59</v>
      </c>
      <c r="U3497">
        <v>13</v>
      </c>
      <c r="V3497" t="s">
        <v>1608</v>
      </c>
      <c r="W3497">
        <v>25987</v>
      </c>
      <c r="X3497" t="s">
        <v>7601</v>
      </c>
      <c r="Y3497">
        <v>24020</v>
      </c>
      <c r="Z3497">
        <v>337831</v>
      </c>
      <c r="AA3497">
        <v>25571</v>
      </c>
      <c r="AB3497" t="str">
        <f>(VLOOKUP(SalesData[[#This Row],[Month Number]],Reference!C$5:E$16,2,FALSE))</f>
        <v>Feb</v>
      </c>
      <c r="AC3497">
        <f>MONTH(SalesData[[#This Row],[Date]])</f>
        <v>2</v>
      </c>
      <c r="AD3497">
        <f>Reference!F$4</f>
        <v>2026</v>
      </c>
      <c r="AE3497" t="str">
        <f>IF(OR(SalesData[[#This Row],[Day]]="Saturday",SalesData[[#This Row],[Day]]="Sunday"),"Weekend","Weekday")</f>
        <v>Weekend</v>
      </c>
      <c r="AF3497" s="5">
        <f>IF(SalesData[[#This Row],[Contracts Offered]]=0,0,SalesData[[#This Row],[Contracts Signed]]/SalesData[[#This Row],[Contracts Offered]])</f>
        <v>0.22033898305084745</v>
      </c>
      <c r="AG3497" s="5">
        <f>IF(SalesData[[#This Row],[Customers Visited]]=0,0,SalesData[[#This Row],[Test Drives]]/SalesData[[#This Row],[Customers Visited]])</f>
        <v>0.38152610441767071</v>
      </c>
      <c r="AH3497" s="5">
        <f>IF(SalesData[[#This Row],[Customers Visited]]=0,0,SalesData[[#This Row],[Contracts Signed]]/SalesData[[#This Row],[Customers Visited]])</f>
        <v>5.2208835341365459E-2</v>
      </c>
      <c r="AI3497" s="6">
        <f>IF(SalesData[[#This Row],[Contracts Signed]]=0,0,SalesData[[#This Row],[Profit(€)]]/SalesData[[#This Row],[Contracts Signed]])</f>
        <v>1967</v>
      </c>
      <c r="AJ3497" s="5" t="str">
        <f>TRIM(CLEAN(SalesData[[#This Row],[Retailer]]))</f>
        <v>Stuttgart Auto Center</v>
      </c>
    </row>
    <row r="3498" spans="1:36" ht="14.25" hidden="1" x14ac:dyDescent="0.2">
      <c r="A3498" t="s">
        <v>4699</v>
      </c>
      <c r="B3498" s="1">
        <v>46068</v>
      </c>
      <c r="C3498" t="s">
        <v>62</v>
      </c>
      <c r="D3498" t="s">
        <v>41</v>
      </c>
      <c r="E3498" t="s">
        <v>42</v>
      </c>
      <c r="F3498" t="s">
        <v>27</v>
      </c>
      <c r="G3498" t="s">
        <v>28</v>
      </c>
      <c r="H3498" t="s">
        <v>29</v>
      </c>
      <c r="I3498" t="s">
        <v>104</v>
      </c>
      <c r="J3498" t="s">
        <v>7061</v>
      </c>
      <c r="K3498" t="s">
        <v>78</v>
      </c>
      <c r="L3498" t="s">
        <v>46</v>
      </c>
      <c r="M3498" t="s">
        <v>34</v>
      </c>
      <c r="N3498" t="s">
        <v>69</v>
      </c>
      <c r="O3498" t="s">
        <v>36</v>
      </c>
      <c r="P3498" t="s">
        <v>58</v>
      </c>
      <c r="Q3498" t="s">
        <v>144</v>
      </c>
      <c r="R3498">
        <v>335</v>
      </c>
      <c r="S3498">
        <v>144</v>
      </c>
      <c r="T3498">
        <v>84</v>
      </c>
      <c r="U3498">
        <v>25</v>
      </c>
      <c r="V3498" t="s">
        <v>2646</v>
      </c>
      <c r="W3498">
        <v>33569</v>
      </c>
      <c r="X3498" t="s">
        <v>1717</v>
      </c>
      <c r="Y3498">
        <v>29710</v>
      </c>
      <c r="Z3498">
        <v>839225</v>
      </c>
      <c r="AA3498">
        <v>96475</v>
      </c>
      <c r="AB3498" t="str">
        <f>(VLOOKUP(SalesData[[#This Row],[Month Number]],Reference!C$5:E$16,2,FALSE))</f>
        <v>Feb</v>
      </c>
      <c r="AC3498">
        <f>MONTH(SalesData[[#This Row],[Date]])</f>
        <v>2</v>
      </c>
      <c r="AD3498">
        <f>Reference!F$4</f>
        <v>2026</v>
      </c>
      <c r="AE3498" t="str">
        <f>IF(OR(SalesData[[#This Row],[Day]]="Saturday",SalesData[[#This Row],[Day]]="Sunday"),"Weekend","Weekday")</f>
        <v>Weekend</v>
      </c>
      <c r="AF3498" s="5">
        <f>IF(SalesData[[#This Row],[Contracts Offered]]=0,0,SalesData[[#This Row],[Contracts Signed]]/SalesData[[#This Row],[Contracts Offered]])</f>
        <v>0.29761904761904762</v>
      </c>
      <c r="AG3498" s="5">
        <f>IF(SalesData[[#This Row],[Customers Visited]]=0,0,SalesData[[#This Row],[Test Drives]]/SalesData[[#This Row],[Customers Visited]])</f>
        <v>0.42985074626865671</v>
      </c>
      <c r="AH3498" s="5">
        <f>IF(SalesData[[#This Row],[Customers Visited]]=0,0,SalesData[[#This Row],[Contracts Signed]]/SalesData[[#This Row],[Customers Visited]])</f>
        <v>7.4626865671641784E-2</v>
      </c>
      <c r="AI3498" s="6">
        <f>IF(SalesData[[#This Row],[Contracts Signed]]=0,0,SalesData[[#This Row],[Profit(€)]]/SalesData[[#This Row],[Contracts Signed]])</f>
        <v>3859</v>
      </c>
      <c r="AJ3498" s="5" t="str">
        <f>TRIM(CLEAN(SalesData[[#This Row],[Retailer]]))</f>
        <v>Main Auto Hub</v>
      </c>
    </row>
    <row r="3499" spans="1:36" ht="14.25" hidden="1" x14ac:dyDescent="0.2">
      <c r="A3499" t="s">
        <v>4700</v>
      </c>
      <c r="B3499" s="1">
        <v>46080</v>
      </c>
      <c r="C3499" t="s">
        <v>53</v>
      </c>
      <c r="D3499" t="s">
        <v>54</v>
      </c>
      <c r="E3499" t="s">
        <v>26</v>
      </c>
      <c r="F3499" t="s">
        <v>43</v>
      </c>
      <c r="G3499" t="s">
        <v>44</v>
      </c>
      <c r="H3499" t="s">
        <v>45</v>
      </c>
      <c r="I3499" t="s">
        <v>116</v>
      </c>
      <c r="J3499" t="s">
        <v>117</v>
      </c>
      <c r="K3499" t="s">
        <v>32</v>
      </c>
      <c r="L3499" t="s">
        <v>67</v>
      </c>
      <c r="M3499" t="s">
        <v>68</v>
      </c>
      <c r="N3499" t="s">
        <v>48</v>
      </c>
      <c r="O3499" t="s">
        <v>70</v>
      </c>
      <c r="P3499" t="s">
        <v>37</v>
      </c>
      <c r="Q3499" t="s">
        <v>240</v>
      </c>
      <c r="R3499">
        <v>402</v>
      </c>
      <c r="S3499">
        <v>198</v>
      </c>
      <c r="T3499">
        <v>127</v>
      </c>
      <c r="U3499">
        <v>28</v>
      </c>
      <c r="V3499" t="s">
        <v>1787</v>
      </c>
      <c r="W3499">
        <v>22966</v>
      </c>
      <c r="X3499" t="s">
        <v>640</v>
      </c>
      <c r="Y3499">
        <v>21159</v>
      </c>
      <c r="Z3499">
        <v>643048</v>
      </c>
      <c r="AA3499">
        <v>50596</v>
      </c>
      <c r="AB3499" t="str">
        <f>(VLOOKUP(SalesData[[#This Row],[Month Number]],Reference!C$5:E$16,2,FALSE))</f>
        <v>Feb</v>
      </c>
      <c r="AC3499">
        <f>MONTH(SalesData[[#This Row],[Date]])</f>
        <v>2</v>
      </c>
      <c r="AD3499">
        <f>Reference!F$4</f>
        <v>2026</v>
      </c>
      <c r="AE3499" t="str">
        <f>IF(OR(SalesData[[#This Row],[Day]]="Saturday",SalesData[[#This Row],[Day]]="Sunday"),"Weekend","Weekday")</f>
        <v>Weekday</v>
      </c>
      <c r="AF3499" s="5">
        <f>IF(SalesData[[#This Row],[Contracts Offered]]=0,0,SalesData[[#This Row],[Contracts Signed]]/SalesData[[#This Row],[Contracts Offered]])</f>
        <v>0.22047244094488189</v>
      </c>
      <c r="AG3499" s="5">
        <f>IF(SalesData[[#This Row],[Customers Visited]]=0,0,SalesData[[#This Row],[Test Drives]]/SalesData[[#This Row],[Customers Visited]])</f>
        <v>0.4925373134328358</v>
      </c>
      <c r="AH3499" s="5">
        <f>IF(SalesData[[#This Row],[Customers Visited]]=0,0,SalesData[[#This Row],[Contracts Signed]]/SalesData[[#This Row],[Customers Visited]])</f>
        <v>6.965174129353234E-2</v>
      </c>
      <c r="AI3499" s="6">
        <f>IF(SalesData[[#This Row],[Contracts Signed]]=0,0,SalesData[[#This Row],[Profit(€)]]/SalesData[[#This Row],[Contracts Signed]])</f>
        <v>1807</v>
      </c>
      <c r="AJ3499" s="5" t="str">
        <f>TRIM(CLEAN(SalesData[[#This Row],[Retailer]]))</f>
        <v>Saxon Wheels</v>
      </c>
    </row>
    <row r="3500" spans="1:36" ht="14.25" hidden="1" x14ac:dyDescent="0.2">
      <c r="A3500" t="s">
        <v>4701</v>
      </c>
      <c r="B3500" s="1">
        <v>46076</v>
      </c>
      <c r="C3500" t="s">
        <v>53</v>
      </c>
      <c r="D3500" t="s">
        <v>25</v>
      </c>
      <c r="E3500" t="s">
        <v>26</v>
      </c>
      <c r="F3500" t="s">
        <v>27</v>
      </c>
      <c r="G3500" t="s">
        <v>28</v>
      </c>
      <c r="H3500" t="s">
        <v>29</v>
      </c>
      <c r="I3500" t="s">
        <v>64</v>
      </c>
      <c r="J3500" t="s">
        <v>77</v>
      </c>
      <c r="K3500" t="s">
        <v>91</v>
      </c>
      <c r="L3500" t="s">
        <v>46</v>
      </c>
      <c r="M3500" t="s">
        <v>87</v>
      </c>
      <c r="N3500" t="s">
        <v>69</v>
      </c>
      <c r="O3500" t="s">
        <v>36</v>
      </c>
      <c r="P3500" t="s">
        <v>58</v>
      </c>
      <c r="Q3500" t="s">
        <v>129</v>
      </c>
      <c r="R3500">
        <v>248</v>
      </c>
      <c r="S3500">
        <v>119</v>
      </c>
      <c r="T3500">
        <v>81</v>
      </c>
      <c r="U3500">
        <v>30</v>
      </c>
      <c r="V3500" t="s">
        <v>6585</v>
      </c>
      <c r="W3500">
        <v>61879</v>
      </c>
      <c r="X3500" t="s">
        <v>5094</v>
      </c>
      <c r="Y3500">
        <v>48365</v>
      </c>
      <c r="Z3500">
        <v>1856370</v>
      </c>
      <c r="AA3500">
        <v>405420</v>
      </c>
      <c r="AB3500" t="str">
        <f>(VLOOKUP(SalesData[[#This Row],[Month Number]],Reference!C$5:E$16,2,FALSE))</f>
        <v>Feb</v>
      </c>
      <c r="AC3500">
        <f>MONTH(SalesData[[#This Row],[Date]])</f>
        <v>2</v>
      </c>
      <c r="AD3500">
        <f>Reference!F$4</f>
        <v>2026</v>
      </c>
      <c r="AE3500" t="str">
        <f>IF(OR(SalesData[[#This Row],[Day]]="Saturday",SalesData[[#This Row],[Day]]="Sunday"),"Weekend","Weekday")</f>
        <v>Weekday</v>
      </c>
      <c r="AF3500" s="5">
        <f>IF(SalesData[[#This Row],[Contracts Offered]]=0,0,SalesData[[#This Row],[Contracts Signed]]/SalesData[[#This Row],[Contracts Offered]])</f>
        <v>0.37037037037037035</v>
      </c>
      <c r="AG3500" s="5">
        <f>IF(SalesData[[#This Row],[Customers Visited]]=0,0,SalesData[[#This Row],[Test Drives]]/SalesData[[#This Row],[Customers Visited]])</f>
        <v>0.47983870967741937</v>
      </c>
      <c r="AH3500" s="5">
        <f>IF(SalesData[[#This Row],[Customers Visited]]=0,0,SalesData[[#This Row],[Contracts Signed]]/SalesData[[#This Row],[Customers Visited]])</f>
        <v>0.12096774193548387</v>
      </c>
      <c r="AI3500" s="6">
        <f>IF(SalesData[[#This Row],[Contracts Signed]]=0,0,SalesData[[#This Row],[Profit(€)]]/SalesData[[#This Row],[Contracts Signed]])</f>
        <v>13514</v>
      </c>
      <c r="AJ3500" s="5" t="str">
        <f>TRIM(CLEAN(SalesData[[#This Row],[Retailer]]))</f>
        <v>Main Auto Hub</v>
      </c>
    </row>
    <row r="3501" spans="1:36" ht="14.25" hidden="1" x14ac:dyDescent="0.2">
      <c r="A3501" t="s">
        <v>4702</v>
      </c>
      <c r="B3501" s="1">
        <v>46063</v>
      </c>
      <c r="C3501" t="s">
        <v>121</v>
      </c>
      <c r="D3501" t="s">
        <v>63</v>
      </c>
      <c r="E3501" t="s">
        <v>26</v>
      </c>
      <c r="F3501" t="s">
        <v>94</v>
      </c>
      <c r="G3501" t="s">
        <v>95</v>
      </c>
      <c r="H3501" t="s">
        <v>96</v>
      </c>
      <c r="I3501" t="s">
        <v>56</v>
      </c>
      <c r="J3501" t="s">
        <v>57</v>
      </c>
      <c r="K3501" t="s">
        <v>66</v>
      </c>
      <c r="L3501" t="s">
        <v>46</v>
      </c>
      <c r="M3501" t="s">
        <v>34</v>
      </c>
      <c r="N3501" t="s">
        <v>48</v>
      </c>
      <c r="O3501" t="s">
        <v>36</v>
      </c>
      <c r="P3501" t="s">
        <v>58</v>
      </c>
      <c r="Q3501" t="s">
        <v>50</v>
      </c>
      <c r="R3501">
        <v>309</v>
      </c>
      <c r="S3501">
        <v>175</v>
      </c>
      <c r="T3501">
        <v>119</v>
      </c>
      <c r="U3501">
        <v>51</v>
      </c>
      <c r="V3501" t="s">
        <v>6877</v>
      </c>
      <c r="W3501">
        <v>46580</v>
      </c>
      <c r="X3501" t="s">
        <v>7109</v>
      </c>
      <c r="Y3501">
        <v>34949</v>
      </c>
      <c r="Z3501">
        <v>2375580</v>
      </c>
      <c r="AA3501">
        <v>593181</v>
      </c>
      <c r="AB3501" t="str">
        <f>(VLOOKUP(SalesData[[#This Row],[Month Number]],Reference!C$5:E$16,2,FALSE))</f>
        <v>Feb</v>
      </c>
      <c r="AC3501">
        <f>MONTH(SalesData[[#This Row],[Date]])</f>
        <v>2</v>
      </c>
      <c r="AD3501">
        <f>Reference!F$4</f>
        <v>2026</v>
      </c>
      <c r="AE3501" t="str">
        <f>IF(OR(SalesData[[#This Row],[Day]]="Saturday",SalesData[[#This Row],[Day]]="Sunday"),"Weekend","Weekday")</f>
        <v>Weekday</v>
      </c>
      <c r="AF3501" s="5">
        <f>IF(SalesData[[#This Row],[Contracts Offered]]=0,0,SalesData[[#This Row],[Contracts Signed]]/SalesData[[#This Row],[Contracts Offered]])</f>
        <v>0.42857142857142855</v>
      </c>
      <c r="AG3501" s="5">
        <f>IF(SalesData[[#This Row],[Customers Visited]]=0,0,SalesData[[#This Row],[Test Drives]]/SalesData[[#This Row],[Customers Visited]])</f>
        <v>0.56634304207119746</v>
      </c>
      <c r="AH3501" s="5">
        <f>IF(SalesData[[#This Row],[Customers Visited]]=0,0,SalesData[[#This Row],[Contracts Signed]]/SalesData[[#This Row],[Customers Visited]])</f>
        <v>0.1650485436893204</v>
      </c>
      <c r="AI3501" s="6">
        <f>IF(SalesData[[#This Row],[Contracts Signed]]=0,0,SalesData[[#This Row],[Profit(€)]]/SalesData[[#This Row],[Contracts Signed]])</f>
        <v>11631</v>
      </c>
      <c r="AJ3501" s="5" t="str">
        <f>TRIM(CLEAN(SalesData[[#This Row],[Retailer]]))</f>
        <v>Bavaria Motors</v>
      </c>
    </row>
    <row r="3502" spans="1:36" ht="14.25" hidden="1" x14ac:dyDescent="0.2">
      <c r="A3502" t="s">
        <v>4703</v>
      </c>
      <c r="B3502" s="1">
        <v>46078</v>
      </c>
      <c r="C3502" t="s">
        <v>53</v>
      </c>
      <c r="D3502" t="s">
        <v>82</v>
      </c>
      <c r="E3502" t="s">
        <v>26</v>
      </c>
      <c r="F3502" t="s">
        <v>109</v>
      </c>
      <c r="G3502" t="s">
        <v>110</v>
      </c>
      <c r="H3502" t="s">
        <v>45</v>
      </c>
      <c r="I3502" t="s">
        <v>104</v>
      </c>
      <c r="J3502" t="s">
        <v>143</v>
      </c>
      <c r="K3502" t="s">
        <v>91</v>
      </c>
      <c r="L3502" t="s">
        <v>67</v>
      </c>
      <c r="M3502" t="s">
        <v>68</v>
      </c>
      <c r="N3502" t="s">
        <v>35</v>
      </c>
      <c r="O3502" t="s">
        <v>70</v>
      </c>
      <c r="P3502" t="s">
        <v>71</v>
      </c>
      <c r="Q3502" t="s">
        <v>38</v>
      </c>
      <c r="R3502">
        <v>464</v>
      </c>
      <c r="S3502">
        <v>256</v>
      </c>
      <c r="T3502">
        <v>183</v>
      </c>
      <c r="U3502">
        <v>43</v>
      </c>
      <c r="V3502" t="s">
        <v>4145</v>
      </c>
      <c r="W3502">
        <v>27629</v>
      </c>
      <c r="X3502" t="s">
        <v>7602</v>
      </c>
      <c r="Y3502">
        <v>24161</v>
      </c>
      <c r="Z3502">
        <v>1188047</v>
      </c>
      <c r="AA3502">
        <v>149124</v>
      </c>
      <c r="AB3502" t="str">
        <f>(VLOOKUP(SalesData[[#This Row],[Month Number]],Reference!C$5:E$16,2,FALSE))</f>
        <v>Feb</v>
      </c>
      <c r="AC3502">
        <f>MONTH(SalesData[[#This Row],[Date]])</f>
        <v>2</v>
      </c>
      <c r="AD3502">
        <f>Reference!F$4</f>
        <v>2026</v>
      </c>
      <c r="AE3502" t="str">
        <f>IF(OR(SalesData[[#This Row],[Day]]="Saturday",SalesData[[#This Row],[Day]]="Sunday"),"Weekend","Weekday")</f>
        <v>Weekday</v>
      </c>
      <c r="AF3502" s="5">
        <f>IF(SalesData[[#This Row],[Contracts Offered]]=0,0,SalesData[[#This Row],[Contracts Signed]]/SalesData[[#This Row],[Contracts Offered]])</f>
        <v>0.23497267759562843</v>
      </c>
      <c r="AG3502" s="5">
        <f>IF(SalesData[[#This Row],[Customers Visited]]=0,0,SalesData[[#This Row],[Test Drives]]/SalesData[[#This Row],[Customers Visited]])</f>
        <v>0.55172413793103448</v>
      </c>
      <c r="AH3502" s="5">
        <f>IF(SalesData[[#This Row],[Customers Visited]]=0,0,SalesData[[#This Row],[Contracts Signed]]/SalesData[[#This Row],[Customers Visited]])</f>
        <v>9.2672413793103453E-2</v>
      </c>
      <c r="AI3502" s="6">
        <f>IF(SalesData[[#This Row],[Contracts Signed]]=0,0,SalesData[[#This Row],[Profit(€)]]/SalesData[[#This Row],[Contracts Signed]])</f>
        <v>3468</v>
      </c>
      <c r="AJ3502" s="5" t="str">
        <f>TRIM(CLEAN(SalesData[[#This Row],[Retailer]]))</f>
        <v>Leipzig Mobility</v>
      </c>
    </row>
    <row r="3503" spans="1:36" ht="14.25" hidden="1" x14ac:dyDescent="0.2">
      <c r="A3503" t="s">
        <v>4704</v>
      </c>
      <c r="B3503" s="1">
        <v>46081</v>
      </c>
      <c r="C3503" t="s">
        <v>53</v>
      </c>
      <c r="D3503" t="s">
        <v>151</v>
      </c>
      <c r="E3503" t="s">
        <v>42</v>
      </c>
      <c r="F3503" t="s">
        <v>101</v>
      </c>
      <c r="G3503" t="s">
        <v>102</v>
      </c>
      <c r="H3503" t="s">
        <v>103</v>
      </c>
      <c r="I3503" t="s">
        <v>104</v>
      </c>
      <c r="J3503" t="s">
        <v>7061</v>
      </c>
      <c r="K3503" t="s">
        <v>66</v>
      </c>
      <c r="L3503" t="s">
        <v>46</v>
      </c>
      <c r="M3503" t="s">
        <v>87</v>
      </c>
      <c r="N3503" t="s">
        <v>35</v>
      </c>
      <c r="O3503" t="s">
        <v>70</v>
      </c>
      <c r="P3503" t="s">
        <v>37</v>
      </c>
      <c r="Q3503" t="s">
        <v>144</v>
      </c>
      <c r="R3503">
        <v>342</v>
      </c>
      <c r="S3503">
        <v>179</v>
      </c>
      <c r="T3503">
        <v>111</v>
      </c>
      <c r="U3503">
        <v>23</v>
      </c>
      <c r="V3503" t="s">
        <v>6575</v>
      </c>
      <c r="W3503">
        <v>34345</v>
      </c>
      <c r="X3503" t="s">
        <v>273</v>
      </c>
      <c r="Y3503">
        <v>29725</v>
      </c>
      <c r="Z3503">
        <v>789935</v>
      </c>
      <c r="AA3503">
        <v>106260</v>
      </c>
      <c r="AB3503" t="str">
        <f>(VLOOKUP(SalesData[[#This Row],[Month Number]],Reference!C$5:E$16,2,FALSE))</f>
        <v>Feb</v>
      </c>
      <c r="AC3503">
        <f>MONTH(SalesData[[#This Row],[Date]])</f>
        <v>2</v>
      </c>
      <c r="AD3503">
        <f>Reference!F$4</f>
        <v>2026</v>
      </c>
      <c r="AE3503" t="str">
        <f>IF(OR(SalesData[[#This Row],[Day]]="Saturday",SalesData[[#This Row],[Day]]="Sunday"),"Weekend","Weekday")</f>
        <v>Weekend</v>
      </c>
      <c r="AF3503" s="5">
        <f>IF(SalesData[[#This Row],[Contracts Offered]]=0,0,SalesData[[#This Row],[Contracts Signed]]/SalesData[[#This Row],[Contracts Offered]])</f>
        <v>0.2072072072072072</v>
      </c>
      <c r="AG3503" s="5">
        <f>IF(SalesData[[#This Row],[Customers Visited]]=0,0,SalesData[[#This Row],[Test Drives]]/SalesData[[#This Row],[Customers Visited]])</f>
        <v>0.52339181286549707</v>
      </c>
      <c r="AH3503" s="5">
        <f>IF(SalesData[[#This Row],[Customers Visited]]=0,0,SalesData[[#This Row],[Contracts Signed]]/SalesData[[#This Row],[Customers Visited]])</f>
        <v>6.725146198830409E-2</v>
      </c>
      <c r="AI3503" s="6">
        <f>IF(SalesData[[#This Row],[Contracts Signed]]=0,0,SalesData[[#This Row],[Profit(€)]]/SalesData[[#This Row],[Contracts Signed]])</f>
        <v>4620</v>
      </c>
      <c r="AJ3503" s="5" t="str">
        <f>TRIM(CLEAN(SalesData[[#This Row],[Retailer]]))</f>
        <v>Ruhr Auto Plaza</v>
      </c>
    </row>
    <row r="3504" spans="1:36" ht="14.25" hidden="1" x14ac:dyDescent="0.2">
      <c r="A3504" t="s">
        <v>4705</v>
      </c>
      <c r="B3504" s="1">
        <v>46075</v>
      </c>
      <c r="C3504" t="s">
        <v>53</v>
      </c>
      <c r="D3504" t="s">
        <v>41</v>
      </c>
      <c r="E3504" t="s">
        <v>42</v>
      </c>
      <c r="F3504" t="s">
        <v>109</v>
      </c>
      <c r="G3504" t="s">
        <v>110</v>
      </c>
      <c r="H3504" t="s">
        <v>45</v>
      </c>
      <c r="I3504" t="s">
        <v>116</v>
      </c>
      <c r="J3504" t="s">
        <v>203</v>
      </c>
      <c r="K3504" t="s">
        <v>32</v>
      </c>
      <c r="L3504" t="s">
        <v>67</v>
      </c>
      <c r="M3504" t="s">
        <v>68</v>
      </c>
      <c r="N3504" t="s">
        <v>48</v>
      </c>
      <c r="O3504" t="s">
        <v>36</v>
      </c>
      <c r="P3504" t="s">
        <v>58</v>
      </c>
      <c r="Q3504" t="s">
        <v>240</v>
      </c>
      <c r="R3504">
        <v>277</v>
      </c>
      <c r="S3504">
        <v>142</v>
      </c>
      <c r="T3504">
        <v>83</v>
      </c>
      <c r="U3504">
        <v>24</v>
      </c>
      <c r="V3504" t="s">
        <v>4622</v>
      </c>
      <c r="W3504">
        <v>26102</v>
      </c>
      <c r="X3504" t="s">
        <v>2267</v>
      </c>
      <c r="Y3504">
        <v>24068</v>
      </c>
      <c r="Z3504">
        <v>626448</v>
      </c>
      <c r="AA3504">
        <v>48816</v>
      </c>
      <c r="AB3504" t="str">
        <f>(VLOOKUP(SalesData[[#This Row],[Month Number]],Reference!C$5:E$16,2,FALSE))</f>
        <v>Feb</v>
      </c>
      <c r="AC3504">
        <f>MONTH(SalesData[[#This Row],[Date]])</f>
        <v>2</v>
      </c>
      <c r="AD3504">
        <f>Reference!F$4</f>
        <v>2026</v>
      </c>
      <c r="AE3504" t="str">
        <f>IF(OR(SalesData[[#This Row],[Day]]="Saturday",SalesData[[#This Row],[Day]]="Sunday"),"Weekend","Weekday")</f>
        <v>Weekend</v>
      </c>
      <c r="AF3504" s="5">
        <f>IF(SalesData[[#This Row],[Contracts Offered]]=0,0,SalesData[[#This Row],[Contracts Signed]]/SalesData[[#This Row],[Contracts Offered]])</f>
        <v>0.28915662650602408</v>
      </c>
      <c r="AG3504" s="5">
        <f>IF(SalesData[[#This Row],[Customers Visited]]=0,0,SalesData[[#This Row],[Test Drives]]/SalesData[[#This Row],[Customers Visited]])</f>
        <v>0.5126353790613718</v>
      </c>
      <c r="AH3504" s="5">
        <f>IF(SalesData[[#This Row],[Customers Visited]]=0,0,SalesData[[#This Row],[Contracts Signed]]/SalesData[[#This Row],[Customers Visited]])</f>
        <v>8.6642599277978335E-2</v>
      </c>
      <c r="AI3504" s="6">
        <f>IF(SalesData[[#This Row],[Contracts Signed]]=0,0,SalesData[[#This Row],[Profit(€)]]/SalesData[[#This Row],[Contracts Signed]])</f>
        <v>2034</v>
      </c>
      <c r="AJ3504" s="5" t="str">
        <f>TRIM(CLEAN(SalesData[[#This Row],[Retailer]]))</f>
        <v>Leipzig Mobility</v>
      </c>
    </row>
    <row r="3505" spans="1:36" ht="14.25" hidden="1" x14ac:dyDescent="0.2">
      <c r="A3505" t="s">
        <v>4706</v>
      </c>
      <c r="B3505" s="1">
        <v>46081</v>
      </c>
      <c r="C3505" t="s">
        <v>53</v>
      </c>
      <c r="D3505" t="s">
        <v>151</v>
      </c>
      <c r="E3505" t="s">
        <v>42</v>
      </c>
      <c r="F3505" t="s">
        <v>94</v>
      </c>
      <c r="G3505" t="s">
        <v>95</v>
      </c>
      <c r="H3505" t="s">
        <v>96</v>
      </c>
      <c r="I3505" t="s">
        <v>116</v>
      </c>
      <c r="J3505" t="s">
        <v>203</v>
      </c>
      <c r="K3505" t="s">
        <v>32</v>
      </c>
      <c r="L3505" t="s">
        <v>67</v>
      </c>
      <c r="M3505" t="s">
        <v>87</v>
      </c>
      <c r="N3505" t="s">
        <v>35</v>
      </c>
      <c r="O3505" t="s">
        <v>36</v>
      </c>
      <c r="P3505" t="s">
        <v>37</v>
      </c>
      <c r="Q3505" t="s">
        <v>38</v>
      </c>
      <c r="R3505">
        <v>425</v>
      </c>
      <c r="S3505">
        <v>170</v>
      </c>
      <c r="T3505">
        <v>96</v>
      </c>
      <c r="U3505">
        <v>26</v>
      </c>
      <c r="V3505" t="s">
        <v>1628</v>
      </c>
      <c r="W3505">
        <v>27363</v>
      </c>
      <c r="X3505" t="s">
        <v>506</v>
      </c>
      <c r="Y3505">
        <v>25414</v>
      </c>
      <c r="Z3505">
        <v>711438</v>
      </c>
      <c r="AA3505">
        <v>50674</v>
      </c>
      <c r="AB3505" t="str">
        <f>(VLOOKUP(SalesData[[#This Row],[Month Number]],Reference!C$5:E$16,2,FALSE))</f>
        <v>Feb</v>
      </c>
      <c r="AC3505">
        <f>MONTH(SalesData[[#This Row],[Date]])</f>
        <v>2</v>
      </c>
      <c r="AD3505">
        <f>Reference!F$4</f>
        <v>2026</v>
      </c>
      <c r="AE3505" t="str">
        <f>IF(OR(SalesData[[#This Row],[Day]]="Saturday",SalesData[[#This Row],[Day]]="Sunday"),"Weekend","Weekday")</f>
        <v>Weekend</v>
      </c>
      <c r="AF3505" s="5">
        <f>IF(SalesData[[#This Row],[Contracts Offered]]=0,0,SalesData[[#This Row],[Contracts Signed]]/SalesData[[#This Row],[Contracts Offered]])</f>
        <v>0.27083333333333331</v>
      </c>
      <c r="AG3505" s="5">
        <f>IF(SalesData[[#This Row],[Customers Visited]]=0,0,SalesData[[#This Row],[Test Drives]]/SalesData[[#This Row],[Customers Visited]])</f>
        <v>0.4</v>
      </c>
      <c r="AH3505" s="5">
        <f>IF(SalesData[[#This Row],[Customers Visited]]=0,0,SalesData[[#This Row],[Contracts Signed]]/SalesData[[#This Row],[Customers Visited]])</f>
        <v>6.1176470588235297E-2</v>
      </c>
      <c r="AI3505" s="6">
        <f>IF(SalesData[[#This Row],[Contracts Signed]]=0,0,SalesData[[#This Row],[Profit(€)]]/SalesData[[#This Row],[Contracts Signed]])</f>
        <v>1949</v>
      </c>
      <c r="AJ3505" s="5" t="str">
        <f>TRIM(CLEAN(SalesData[[#This Row],[Retailer]]))</f>
        <v>Bavaria Motors</v>
      </c>
    </row>
    <row r="3506" spans="1:36" ht="14.25" x14ac:dyDescent="0.2">
      <c r="A3506" t="s">
        <v>4707</v>
      </c>
      <c r="B3506" s="1">
        <v>46069</v>
      </c>
      <c r="C3506" t="s">
        <v>62</v>
      </c>
      <c r="D3506" t="s">
        <v>25</v>
      </c>
      <c r="E3506" t="s">
        <v>26</v>
      </c>
      <c r="F3506" t="s">
        <v>83</v>
      </c>
      <c r="G3506" t="s">
        <v>84</v>
      </c>
      <c r="H3506" t="s">
        <v>85</v>
      </c>
      <c r="I3506" t="s">
        <v>30</v>
      </c>
      <c r="J3506" t="s">
        <v>7075</v>
      </c>
      <c r="K3506" t="s">
        <v>91</v>
      </c>
      <c r="L3506" t="s">
        <v>33</v>
      </c>
      <c r="M3506" t="s">
        <v>47</v>
      </c>
      <c r="N3506" t="s">
        <v>35</v>
      </c>
      <c r="O3506" t="s">
        <v>70</v>
      </c>
      <c r="P3506" t="s">
        <v>58</v>
      </c>
      <c r="Q3506" t="s">
        <v>189</v>
      </c>
      <c r="R3506">
        <v>280</v>
      </c>
      <c r="S3506">
        <v>164</v>
      </c>
      <c r="T3506">
        <v>112</v>
      </c>
      <c r="U3506">
        <v>47</v>
      </c>
      <c r="V3506" t="s">
        <v>6425</v>
      </c>
      <c r="W3506">
        <v>57856</v>
      </c>
      <c r="X3506" t="s">
        <v>7472</v>
      </c>
      <c r="Y3506">
        <v>40838</v>
      </c>
      <c r="Z3506">
        <v>2719232</v>
      </c>
      <c r="AA3506">
        <v>799846</v>
      </c>
      <c r="AB3506" t="str">
        <f>(VLOOKUP(SalesData[[#This Row],[Month Number]],Reference!C$5:E$16,2,FALSE))</f>
        <v>Feb</v>
      </c>
      <c r="AC3506">
        <f>MONTH(SalesData[[#This Row],[Date]])</f>
        <v>2</v>
      </c>
      <c r="AD3506">
        <f>Reference!F$4</f>
        <v>2026</v>
      </c>
      <c r="AE3506" t="str">
        <f>IF(OR(SalesData[[#This Row],[Day]]="Saturday",SalesData[[#This Row],[Day]]="Sunday"),"Weekend","Weekday")</f>
        <v>Weekday</v>
      </c>
      <c r="AF3506" s="5">
        <f>IF(SalesData[[#This Row],[Contracts Offered]]=0,0,SalesData[[#This Row],[Contracts Signed]]/SalesData[[#This Row],[Contracts Offered]])</f>
        <v>0.41964285714285715</v>
      </c>
      <c r="AG3506" s="5">
        <f>IF(SalesData[[#This Row],[Customers Visited]]=0,0,SalesData[[#This Row],[Test Drives]]/SalesData[[#This Row],[Customers Visited]])</f>
        <v>0.58571428571428574</v>
      </c>
      <c r="AH3506" s="5">
        <f>IF(SalesData[[#This Row],[Customers Visited]]=0,0,SalesData[[#This Row],[Contracts Signed]]/SalesData[[#This Row],[Customers Visited]])</f>
        <v>0.16785714285714284</v>
      </c>
      <c r="AI3506" s="6">
        <f>IF(SalesData[[#This Row],[Contracts Signed]]=0,0,SalesData[[#This Row],[Profit(€)]]/SalesData[[#This Row],[Contracts Signed]])</f>
        <v>17018</v>
      </c>
      <c r="AJ3506" s="5" t="str">
        <f>TRIM(CLEAN(SalesData[[#This Row],[Retailer]]))</f>
        <v>Hannover Cars</v>
      </c>
    </row>
    <row r="3507" spans="1:36" ht="14.25" hidden="1" x14ac:dyDescent="0.2">
      <c r="A3507" t="s">
        <v>4708</v>
      </c>
      <c r="B3507" s="1">
        <v>46071</v>
      </c>
      <c r="C3507" t="s">
        <v>62</v>
      </c>
      <c r="D3507" t="s">
        <v>82</v>
      </c>
      <c r="E3507" t="s">
        <v>26</v>
      </c>
      <c r="F3507" t="s">
        <v>43</v>
      </c>
      <c r="G3507" t="s">
        <v>44</v>
      </c>
      <c r="H3507" t="s">
        <v>45</v>
      </c>
      <c r="I3507" t="s">
        <v>64</v>
      </c>
      <c r="J3507" t="s">
        <v>157</v>
      </c>
      <c r="K3507" t="s">
        <v>78</v>
      </c>
      <c r="L3507" t="s">
        <v>33</v>
      </c>
      <c r="M3507" t="s">
        <v>68</v>
      </c>
      <c r="N3507" t="s">
        <v>69</v>
      </c>
      <c r="O3507" t="s">
        <v>36</v>
      </c>
      <c r="P3507" t="s">
        <v>71</v>
      </c>
      <c r="Q3507" t="s">
        <v>169</v>
      </c>
      <c r="R3507">
        <v>199</v>
      </c>
      <c r="S3507">
        <v>117</v>
      </c>
      <c r="T3507">
        <v>84</v>
      </c>
      <c r="U3507">
        <v>32</v>
      </c>
      <c r="V3507" t="s">
        <v>7603</v>
      </c>
      <c r="W3507">
        <v>58397</v>
      </c>
      <c r="X3507" t="s">
        <v>7235</v>
      </c>
      <c r="Y3507">
        <v>42994</v>
      </c>
      <c r="Z3507">
        <v>1868704</v>
      </c>
      <c r="AA3507">
        <v>492896</v>
      </c>
      <c r="AB3507" t="str">
        <f>(VLOOKUP(SalesData[[#This Row],[Month Number]],Reference!C$5:E$16,2,FALSE))</f>
        <v>Feb</v>
      </c>
      <c r="AC3507">
        <f>MONTH(SalesData[[#This Row],[Date]])</f>
        <v>2</v>
      </c>
      <c r="AD3507">
        <f>Reference!F$4</f>
        <v>2026</v>
      </c>
      <c r="AE3507" t="str">
        <f>IF(OR(SalesData[[#This Row],[Day]]="Saturday",SalesData[[#This Row],[Day]]="Sunday"),"Weekend","Weekday")</f>
        <v>Weekday</v>
      </c>
      <c r="AF3507" s="5">
        <f>IF(SalesData[[#This Row],[Contracts Offered]]=0,0,SalesData[[#This Row],[Contracts Signed]]/SalesData[[#This Row],[Contracts Offered]])</f>
        <v>0.38095238095238093</v>
      </c>
      <c r="AG3507" s="5">
        <f>IF(SalesData[[#This Row],[Customers Visited]]=0,0,SalesData[[#This Row],[Test Drives]]/SalesData[[#This Row],[Customers Visited]])</f>
        <v>0.5879396984924623</v>
      </c>
      <c r="AH3507" s="5">
        <f>IF(SalesData[[#This Row],[Customers Visited]]=0,0,SalesData[[#This Row],[Contracts Signed]]/SalesData[[#This Row],[Customers Visited]])</f>
        <v>0.16080402010050251</v>
      </c>
      <c r="AI3507" s="6">
        <f>IF(SalesData[[#This Row],[Contracts Signed]]=0,0,SalesData[[#This Row],[Profit(€)]]/SalesData[[#This Row],[Contracts Signed]])</f>
        <v>15403</v>
      </c>
      <c r="AJ3507" s="5" t="str">
        <f>TRIM(CLEAN(SalesData[[#This Row],[Retailer]]))</f>
        <v>Saxon Wheels</v>
      </c>
    </row>
    <row r="3508" spans="1:36" ht="14.25" x14ac:dyDescent="0.2">
      <c r="A3508" t="s">
        <v>4709</v>
      </c>
      <c r="B3508" s="1">
        <v>46081</v>
      </c>
      <c r="C3508" t="s">
        <v>53</v>
      </c>
      <c r="D3508" t="s">
        <v>151</v>
      </c>
      <c r="E3508" t="s">
        <v>42</v>
      </c>
      <c r="F3508" t="s">
        <v>74</v>
      </c>
      <c r="G3508" t="s">
        <v>75</v>
      </c>
      <c r="H3508" t="s">
        <v>76</v>
      </c>
      <c r="I3508" t="s">
        <v>30</v>
      </c>
      <c r="J3508" t="s">
        <v>86</v>
      </c>
      <c r="K3508" t="s">
        <v>66</v>
      </c>
      <c r="L3508" t="s">
        <v>33</v>
      </c>
      <c r="M3508" t="s">
        <v>87</v>
      </c>
      <c r="N3508" t="s">
        <v>35</v>
      </c>
      <c r="O3508" t="s">
        <v>70</v>
      </c>
      <c r="P3508" t="s">
        <v>37</v>
      </c>
      <c r="Q3508" t="s">
        <v>59</v>
      </c>
      <c r="R3508">
        <v>244</v>
      </c>
      <c r="S3508">
        <v>128</v>
      </c>
      <c r="T3508">
        <v>92</v>
      </c>
      <c r="U3508">
        <v>36</v>
      </c>
      <c r="V3508" t="s">
        <v>6514</v>
      </c>
      <c r="W3508">
        <v>61519</v>
      </c>
      <c r="X3508" t="s">
        <v>504</v>
      </c>
      <c r="Y3508">
        <v>47225</v>
      </c>
      <c r="Z3508">
        <v>2214684</v>
      </c>
      <c r="AA3508">
        <v>514584</v>
      </c>
      <c r="AB3508" t="str">
        <f>(VLOOKUP(SalesData[[#This Row],[Month Number]],Reference!C$5:E$16,2,FALSE))</f>
        <v>Feb</v>
      </c>
      <c r="AC3508">
        <f>MONTH(SalesData[[#This Row],[Date]])</f>
        <v>2</v>
      </c>
      <c r="AD3508">
        <f>Reference!F$4</f>
        <v>2026</v>
      </c>
      <c r="AE3508" t="str">
        <f>IF(OR(SalesData[[#This Row],[Day]]="Saturday",SalesData[[#This Row],[Day]]="Sunday"),"Weekend","Weekday")</f>
        <v>Weekend</v>
      </c>
      <c r="AF3508" s="5">
        <f>IF(SalesData[[#This Row],[Contracts Offered]]=0,0,SalesData[[#This Row],[Contracts Signed]]/SalesData[[#This Row],[Contracts Offered]])</f>
        <v>0.39130434782608697</v>
      </c>
      <c r="AG3508" s="5">
        <f>IF(SalesData[[#This Row],[Customers Visited]]=0,0,SalesData[[#This Row],[Test Drives]]/SalesData[[#This Row],[Customers Visited]])</f>
        <v>0.52459016393442626</v>
      </c>
      <c r="AH3508" s="5">
        <f>IF(SalesData[[#This Row],[Customers Visited]]=0,0,SalesData[[#This Row],[Contracts Signed]]/SalesData[[#This Row],[Customers Visited]])</f>
        <v>0.14754098360655737</v>
      </c>
      <c r="AI3508" s="6">
        <f>IF(SalesData[[#This Row],[Contracts Signed]]=0,0,SalesData[[#This Row],[Profit(€)]]/SalesData[[#This Row],[Contracts Signed]])</f>
        <v>14294</v>
      </c>
      <c r="AJ3508" s="5" t="str">
        <f>TRIM(CLEAN(SalesData[[#This Row],[Retailer]]))</f>
        <v>Stuttgart Auto Center</v>
      </c>
    </row>
    <row r="3509" spans="1:36" ht="14.25" hidden="1" x14ac:dyDescent="0.2">
      <c r="A3509" t="s">
        <v>4710</v>
      </c>
      <c r="B3509" s="1">
        <v>46061</v>
      </c>
      <c r="C3509" t="s">
        <v>121</v>
      </c>
      <c r="D3509" t="s">
        <v>41</v>
      </c>
      <c r="E3509" t="s">
        <v>42</v>
      </c>
      <c r="F3509" t="s">
        <v>27</v>
      </c>
      <c r="G3509" t="s">
        <v>28</v>
      </c>
      <c r="H3509" t="s">
        <v>29</v>
      </c>
      <c r="I3509" t="s">
        <v>64</v>
      </c>
      <c r="J3509" t="s">
        <v>65</v>
      </c>
      <c r="K3509" t="s">
        <v>32</v>
      </c>
      <c r="L3509" t="s">
        <v>33</v>
      </c>
      <c r="M3509" t="s">
        <v>87</v>
      </c>
      <c r="N3509" t="s">
        <v>69</v>
      </c>
      <c r="O3509" t="s">
        <v>36</v>
      </c>
      <c r="P3509" t="s">
        <v>71</v>
      </c>
      <c r="Q3509" t="s">
        <v>79</v>
      </c>
      <c r="R3509">
        <v>182</v>
      </c>
      <c r="S3509">
        <v>87</v>
      </c>
      <c r="T3509">
        <v>60</v>
      </c>
      <c r="U3509">
        <v>21</v>
      </c>
      <c r="V3509" t="s">
        <v>6659</v>
      </c>
      <c r="W3509">
        <v>67518</v>
      </c>
      <c r="X3509" t="s">
        <v>1325</v>
      </c>
      <c r="Y3509">
        <v>51415</v>
      </c>
      <c r="Z3509">
        <v>1417878</v>
      </c>
      <c r="AA3509">
        <v>338163</v>
      </c>
      <c r="AB3509" t="str">
        <f>(VLOOKUP(SalesData[[#This Row],[Month Number]],Reference!C$5:E$16,2,FALSE))</f>
        <v>Feb</v>
      </c>
      <c r="AC3509">
        <f>MONTH(SalesData[[#This Row],[Date]])</f>
        <v>2</v>
      </c>
      <c r="AD3509">
        <f>Reference!F$4</f>
        <v>2026</v>
      </c>
      <c r="AE3509" t="str">
        <f>IF(OR(SalesData[[#This Row],[Day]]="Saturday",SalesData[[#This Row],[Day]]="Sunday"),"Weekend","Weekday")</f>
        <v>Weekend</v>
      </c>
      <c r="AF3509" s="5">
        <f>IF(SalesData[[#This Row],[Contracts Offered]]=0,0,SalesData[[#This Row],[Contracts Signed]]/SalesData[[#This Row],[Contracts Offered]])</f>
        <v>0.35</v>
      </c>
      <c r="AG3509" s="5">
        <f>IF(SalesData[[#This Row],[Customers Visited]]=0,0,SalesData[[#This Row],[Test Drives]]/SalesData[[#This Row],[Customers Visited]])</f>
        <v>0.47802197802197804</v>
      </c>
      <c r="AH3509" s="5">
        <f>IF(SalesData[[#This Row],[Customers Visited]]=0,0,SalesData[[#This Row],[Contracts Signed]]/SalesData[[#This Row],[Customers Visited]])</f>
        <v>0.11538461538461539</v>
      </c>
      <c r="AI3509" s="6">
        <f>IF(SalesData[[#This Row],[Contracts Signed]]=0,0,SalesData[[#This Row],[Profit(€)]]/SalesData[[#This Row],[Contracts Signed]])</f>
        <v>16103</v>
      </c>
      <c r="AJ3509" s="5" t="str">
        <f>TRIM(CLEAN(SalesData[[#This Row],[Retailer]]))</f>
        <v>Main Auto Hub</v>
      </c>
    </row>
    <row r="3510" spans="1:36" ht="14.25" x14ac:dyDescent="0.2">
      <c r="A3510" t="s">
        <v>4711</v>
      </c>
      <c r="B3510" s="1">
        <v>46054</v>
      </c>
      <c r="C3510" t="s">
        <v>24</v>
      </c>
      <c r="D3510" t="s">
        <v>41</v>
      </c>
      <c r="E3510" t="s">
        <v>42</v>
      </c>
      <c r="F3510" t="s">
        <v>114</v>
      </c>
      <c r="G3510" t="s">
        <v>115</v>
      </c>
      <c r="H3510" t="s">
        <v>115</v>
      </c>
      <c r="I3510" t="s">
        <v>30</v>
      </c>
      <c r="J3510" t="s">
        <v>31</v>
      </c>
      <c r="K3510" t="s">
        <v>78</v>
      </c>
      <c r="L3510" t="s">
        <v>46</v>
      </c>
      <c r="M3510" t="s">
        <v>34</v>
      </c>
      <c r="N3510" t="s">
        <v>35</v>
      </c>
      <c r="O3510" t="s">
        <v>70</v>
      </c>
      <c r="P3510" t="s">
        <v>37</v>
      </c>
      <c r="Q3510" t="s">
        <v>204</v>
      </c>
      <c r="R3510">
        <v>154</v>
      </c>
      <c r="S3510">
        <v>82</v>
      </c>
      <c r="T3510">
        <v>64</v>
      </c>
      <c r="U3510">
        <v>22</v>
      </c>
      <c r="V3510" t="s">
        <v>7247</v>
      </c>
      <c r="W3510">
        <v>61149</v>
      </c>
      <c r="X3510" t="s">
        <v>7178</v>
      </c>
      <c r="Y3510">
        <v>44502</v>
      </c>
      <c r="Z3510">
        <v>1345278</v>
      </c>
      <c r="AA3510">
        <v>366234</v>
      </c>
      <c r="AB3510" t="str">
        <f>(VLOOKUP(SalesData[[#This Row],[Month Number]],Reference!C$5:E$16,2,FALSE))</f>
        <v>Feb</v>
      </c>
      <c r="AC3510">
        <f>MONTH(SalesData[[#This Row],[Date]])</f>
        <v>2</v>
      </c>
      <c r="AD3510">
        <f>Reference!F$4</f>
        <v>2026</v>
      </c>
      <c r="AE3510" t="str">
        <f>IF(OR(SalesData[[#This Row],[Day]]="Saturday",SalesData[[#This Row],[Day]]="Sunday"),"Weekend","Weekday")</f>
        <v>Weekend</v>
      </c>
      <c r="AF3510" s="5">
        <f>IF(SalesData[[#This Row],[Contracts Offered]]=0,0,SalesData[[#This Row],[Contracts Signed]]/SalesData[[#This Row],[Contracts Offered]])</f>
        <v>0.34375</v>
      </c>
      <c r="AG3510" s="5">
        <f>IF(SalesData[[#This Row],[Customers Visited]]=0,0,SalesData[[#This Row],[Test Drives]]/SalesData[[#This Row],[Customers Visited]])</f>
        <v>0.53246753246753242</v>
      </c>
      <c r="AH3510" s="5">
        <f>IF(SalesData[[#This Row],[Customers Visited]]=0,0,SalesData[[#This Row],[Contracts Signed]]/SalesData[[#This Row],[Customers Visited]])</f>
        <v>0.14285714285714285</v>
      </c>
      <c r="AI3510" s="6">
        <f>IF(SalesData[[#This Row],[Contracts Signed]]=0,0,SalesData[[#This Row],[Profit(€)]]/SalesData[[#This Row],[Contracts Signed]])</f>
        <v>16647</v>
      </c>
      <c r="AJ3510" s="5" t="str">
        <f>TRIM(CLEAN(SalesData[[#This Row],[Retailer]]))</f>
        <v>Elbe Drive</v>
      </c>
    </row>
    <row r="3511" spans="1:36" ht="14.25" hidden="1" x14ac:dyDescent="0.2">
      <c r="A3511" t="s">
        <v>4712</v>
      </c>
      <c r="B3511" s="1">
        <v>46058</v>
      </c>
      <c r="C3511" t="s">
        <v>24</v>
      </c>
      <c r="D3511" t="s">
        <v>100</v>
      </c>
      <c r="E3511" t="s">
        <v>26</v>
      </c>
      <c r="F3511" t="s">
        <v>43</v>
      </c>
      <c r="G3511" t="s">
        <v>44</v>
      </c>
      <c r="H3511" t="s">
        <v>45</v>
      </c>
      <c r="I3511" t="s">
        <v>64</v>
      </c>
      <c r="J3511" t="s">
        <v>7029</v>
      </c>
      <c r="K3511" t="s">
        <v>91</v>
      </c>
      <c r="L3511" t="s">
        <v>33</v>
      </c>
      <c r="M3511" t="s">
        <v>68</v>
      </c>
      <c r="N3511" t="s">
        <v>69</v>
      </c>
      <c r="O3511" t="s">
        <v>70</v>
      </c>
      <c r="P3511" t="s">
        <v>58</v>
      </c>
      <c r="Q3511" t="s">
        <v>122</v>
      </c>
      <c r="R3511">
        <v>237</v>
      </c>
      <c r="S3511">
        <v>127</v>
      </c>
      <c r="T3511">
        <v>96</v>
      </c>
      <c r="U3511">
        <v>30</v>
      </c>
      <c r="V3511" t="s">
        <v>6466</v>
      </c>
      <c r="W3511">
        <v>70726</v>
      </c>
      <c r="X3511" t="s">
        <v>2110</v>
      </c>
      <c r="Y3511">
        <v>54232</v>
      </c>
      <c r="Z3511">
        <v>2121780</v>
      </c>
      <c r="AA3511">
        <v>494820</v>
      </c>
      <c r="AB3511" t="str">
        <f>(VLOOKUP(SalesData[[#This Row],[Month Number]],Reference!C$5:E$16,2,FALSE))</f>
        <v>Feb</v>
      </c>
      <c r="AC3511">
        <f>MONTH(SalesData[[#This Row],[Date]])</f>
        <v>2</v>
      </c>
      <c r="AD3511">
        <f>Reference!F$4</f>
        <v>2026</v>
      </c>
      <c r="AE3511" t="str">
        <f>IF(OR(SalesData[[#This Row],[Day]]="Saturday",SalesData[[#This Row],[Day]]="Sunday"),"Weekend","Weekday")</f>
        <v>Weekday</v>
      </c>
      <c r="AF3511" s="5">
        <f>IF(SalesData[[#This Row],[Contracts Offered]]=0,0,SalesData[[#This Row],[Contracts Signed]]/SalesData[[#This Row],[Contracts Offered]])</f>
        <v>0.3125</v>
      </c>
      <c r="AG3511" s="5">
        <f>IF(SalesData[[#This Row],[Customers Visited]]=0,0,SalesData[[#This Row],[Test Drives]]/SalesData[[#This Row],[Customers Visited]])</f>
        <v>0.53586497890295359</v>
      </c>
      <c r="AH3511" s="5">
        <f>IF(SalesData[[#This Row],[Customers Visited]]=0,0,SalesData[[#This Row],[Contracts Signed]]/SalesData[[#This Row],[Customers Visited]])</f>
        <v>0.12658227848101267</v>
      </c>
      <c r="AI3511" s="6">
        <f>IF(SalesData[[#This Row],[Contracts Signed]]=0,0,SalesData[[#This Row],[Profit(€)]]/SalesData[[#This Row],[Contracts Signed]])</f>
        <v>16494</v>
      </c>
      <c r="AJ3511" s="5" t="str">
        <f>TRIM(CLEAN(SalesData[[#This Row],[Retailer]]))</f>
        <v>Saxon Wheels</v>
      </c>
    </row>
    <row r="3512" spans="1:36" ht="14.25" hidden="1" x14ac:dyDescent="0.2">
      <c r="A3512" t="s">
        <v>4713</v>
      </c>
      <c r="B3512" s="1">
        <v>46064</v>
      </c>
      <c r="C3512" t="s">
        <v>121</v>
      </c>
      <c r="D3512" t="s">
        <v>82</v>
      </c>
      <c r="E3512" t="s">
        <v>26</v>
      </c>
      <c r="F3512" t="s">
        <v>74</v>
      </c>
      <c r="G3512" t="s">
        <v>75</v>
      </c>
      <c r="H3512" t="s">
        <v>76</v>
      </c>
      <c r="I3512" t="s">
        <v>56</v>
      </c>
      <c r="J3512" t="s">
        <v>179</v>
      </c>
      <c r="K3512" t="s">
        <v>66</v>
      </c>
      <c r="L3512" t="s">
        <v>67</v>
      </c>
      <c r="M3512" t="s">
        <v>68</v>
      </c>
      <c r="N3512" t="s">
        <v>69</v>
      </c>
      <c r="O3512" t="s">
        <v>70</v>
      </c>
      <c r="P3512" t="s">
        <v>37</v>
      </c>
      <c r="Q3512" t="s">
        <v>118</v>
      </c>
      <c r="R3512">
        <v>255</v>
      </c>
      <c r="S3512">
        <v>142</v>
      </c>
      <c r="T3512">
        <v>107</v>
      </c>
      <c r="U3512">
        <v>33</v>
      </c>
      <c r="V3512" t="s">
        <v>7005</v>
      </c>
      <c r="W3512">
        <v>42038</v>
      </c>
      <c r="X3512" t="s">
        <v>2179</v>
      </c>
      <c r="Y3512">
        <v>33309</v>
      </c>
      <c r="Z3512">
        <v>1387254</v>
      </c>
      <c r="AA3512">
        <v>288057</v>
      </c>
      <c r="AB3512" t="str">
        <f>(VLOOKUP(SalesData[[#This Row],[Month Number]],Reference!C$5:E$16,2,FALSE))</f>
        <v>Feb</v>
      </c>
      <c r="AC3512">
        <f>MONTH(SalesData[[#This Row],[Date]])</f>
        <v>2</v>
      </c>
      <c r="AD3512">
        <f>Reference!F$4</f>
        <v>2026</v>
      </c>
      <c r="AE3512" t="str">
        <f>IF(OR(SalesData[[#This Row],[Day]]="Saturday",SalesData[[#This Row],[Day]]="Sunday"),"Weekend","Weekday")</f>
        <v>Weekday</v>
      </c>
      <c r="AF3512" s="5">
        <f>IF(SalesData[[#This Row],[Contracts Offered]]=0,0,SalesData[[#This Row],[Contracts Signed]]/SalesData[[#This Row],[Contracts Offered]])</f>
        <v>0.30841121495327101</v>
      </c>
      <c r="AG3512" s="5">
        <f>IF(SalesData[[#This Row],[Customers Visited]]=0,0,SalesData[[#This Row],[Test Drives]]/SalesData[[#This Row],[Customers Visited]])</f>
        <v>0.55686274509803924</v>
      </c>
      <c r="AH3512" s="5">
        <f>IF(SalesData[[#This Row],[Customers Visited]]=0,0,SalesData[[#This Row],[Contracts Signed]]/SalesData[[#This Row],[Customers Visited]])</f>
        <v>0.12941176470588237</v>
      </c>
      <c r="AI3512" s="6">
        <f>IF(SalesData[[#This Row],[Contracts Signed]]=0,0,SalesData[[#This Row],[Profit(€)]]/SalesData[[#This Row],[Contracts Signed]])</f>
        <v>8729</v>
      </c>
      <c r="AJ3512" s="5" t="str">
        <f>TRIM(CLEAN(SalesData[[#This Row],[Retailer]]))</f>
        <v>Stuttgart Auto Center</v>
      </c>
    </row>
    <row r="3513" spans="1:36" ht="14.25" hidden="1" x14ac:dyDescent="0.2">
      <c r="A3513" t="s">
        <v>4714</v>
      </c>
      <c r="B3513" s="1">
        <v>46062</v>
      </c>
      <c r="C3513" t="s">
        <v>121</v>
      </c>
      <c r="D3513" t="s">
        <v>25</v>
      </c>
      <c r="E3513" t="s">
        <v>26</v>
      </c>
      <c r="F3513" t="s">
        <v>27</v>
      </c>
      <c r="G3513" t="s">
        <v>28</v>
      </c>
      <c r="H3513" t="s">
        <v>29</v>
      </c>
      <c r="I3513" t="s">
        <v>64</v>
      </c>
      <c r="J3513" t="s">
        <v>77</v>
      </c>
      <c r="K3513" t="s">
        <v>32</v>
      </c>
      <c r="L3513" t="s">
        <v>46</v>
      </c>
      <c r="M3513" t="s">
        <v>87</v>
      </c>
      <c r="N3513" t="s">
        <v>48</v>
      </c>
      <c r="O3513" t="s">
        <v>70</v>
      </c>
      <c r="P3513" t="s">
        <v>71</v>
      </c>
      <c r="Q3513" t="s">
        <v>50</v>
      </c>
      <c r="R3513">
        <v>270</v>
      </c>
      <c r="S3513">
        <v>126</v>
      </c>
      <c r="T3513">
        <v>87</v>
      </c>
      <c r="U3513">
        <v>34</v>
      </c>
      <c r="V3513" t="s">
        <v>6955</v>
      </c>
      <c r="W3513">
        <v>59956</v>
      </c>
      <c r="X3513" t="s">
        <v>876</v>
      </c>
      <c r="Y3513">
        <v>46224</v>
      </c>
      <c r="Z3513">
        <v>2038504</v>
      </c>
      <c r="AA3513">
        <v>466888</v>
      </c>
      <c r="AB3513" t="str">
        <f>(VLOOKUP(SalesData[[#This Row],[Month Number]],Reference!C$5:E$16,2,FALSE))</f>
        <v>Feb</v>
      </c>
      <c r="AC3513">
        <f>MONTH(SalesData[[#This Row],[Date]])</f>
        <v>2</v>
      </c>
      <c r="AD3513">
        <f>Reference!F$4</f>
        <v>2026</v>
      </c>
      <c r="AE3513" t="str">
        <f>IF(OR(SalesData[[#This Row],[Day]]="Saturday",SalesData[[#This Row],[Day]]="Sunday"),"Weekend","Weekday")</f>
        <v>Weekday</v>
      </c>
      <c r="AF3513" s="5">
        <f>IF(SalesData[[#This Row],[Contracts Offered]]=0,0,SalesData[[#This Row],[Contracts Signed]]/SalesData[[#This Row],[Contracts Offered]])</f>
        <v>0.39080459770114945</v>
      </c>
      <c r="AG3513" s="5">
        <f>IF(SalesData[[#This Row],[Customers Visited]]=0,0,SalesData[[#This Row],[Test Drives]]/SalesData[[#This Row],[Customers Visited]])</f>
        <v>0.46666666666666667</v>
      </c>
      <c r="AH3513" s="5">
        <f>IF(SalesData[[#This Row],[Customers Visited]]=0,0,SalesData[[#This Row],[Contracts Signed]]/SalesData[[#This Row],[Customers Visited]])</f>
        <v>0.12592592592592591</v>
      </c>
      <c r="AI3513" s="6">
        <f>IF(SalesData[[#This Row],[Contracts Signed]]=0,0,SalesData[[#This Row],[Profit(€)]]/SalesData[[#This Row],[Contracts Signed]])</f>
        <v>13732</v>
      </c>
      <c r="AJ3513" s="5" t="str">
        <f>TRIM(CLEAN(SalesData[[#This Row],[Retailer]]))</f>
        <v>Main Auto Hub</v>
      </c>
    </row>
    <row r="3514" spans="1:36" ht="14.25" hidden="1" x14ac:dyDescent="0.2">
      <c r="A3514" t="s">
        <v>4715</v>
      </c>
      <c r="B3514" s="1">
        <v>46055</v>
      </c>
      <c r="C3514" t="s">
        <v>24</v>
      </c>
      <c r="D3514" t="s">
        <v>25</v>
      </c>
      <c r="E3514" t="s">
        <v>26</v>
      </c>
      <c r="F3514" t="s">
        <v>101</v>
      </c>
      <c r="G3514" t="s">
        <v>102</v>
      </c>
      <c r="H3514" t="s">
        <v>103</v>
      </c>
      <c r="I3514" t="s">
        <v>104</v>
      </c>
      <c r="J3514" t="s">
        <v>7061</v>
      </c>
      <c r="K3514" t="s">
        <v>91</v>
      </c>
      <c r="L3514" t="s">
        <v>46</v>
      </c>
      <c r="M3514" t="s">
        <v>68</v>
      </c>
      <c r="N3514" t="s">
        <v>48</v>
      </c>
      <c r="O3514" t="s">
        <v>36</v>
      </c>
      <c r="P3514" t="s">
        <v>37</v>
      </c>
      <c r="Q3514" t="s">
        <v>59</v>
      </c>
      <c r="R3514">
        <v>306</v>
      </c>
      <c r="S3514">
        <v>125</v>
      </c>
      <c r="T3514">
        <v>76</v>
      </c>
      <c r="U3514">
        <v>17</v>
      </c>
      <c r="V3514" t="s">
        <v>1598</v>
      </c>
      <c r="W3514">
        <v>28646</v>
      </c>
      <c r="X3514" t="s">
        <v>1052</v>
      </c>
      <c r="Y3514">
        <v>25768</v>
      </c>
      <c r="Z3514">
        <v>486982</v>
      </c>
      <c r="AA3514">
        <v>48926</v>
      </c>
      <c r="AB3514" t="str">
        <f>(VLOOKUP(SalesData[[#This Row],[Month Number]],Reference!C$5:E$16,2,FALSE))</f>
        <v>Feb</v>
      </c>
      <c r="AC3514">
        <f>MONTH(SalesData[[#This Row],[Date]])</f>
        <v>2</v>
      </c>
      <c r="AD3514">
        <f>Reference!F$4</f>
        <v>2026</v>
      </c>
      <c r="AE3514" t="str">
        <f>IF(OR(SalesData[[#This Row],[Day]]="Saturday",SalesData[[#This Row],[Day]]="Sunday"),"Weekend","Weekday")</f>
        <v>Weekday</v>
      </c>
      <c r="AF3514" s="5">
        <f>IF(SalesData[[#This Row],[Contracts Offered]]=0,0,SalesData[[#This Row],[Contracts Signed]]/SalesData[[#This Row],[Contracts Offered]])</f>
        <v>0.22368421052631579</v>
      </c>
      <c r="AG3514" s="5">
        <f>IF(SalesData[[#This Row],[Customers Visited]]=0,0,SalesData[[#This Row],[Test Drives]]/SalesData[[#This Row],[Customers Visited]])</f>
        <v>0.40849673202614378</v>
      </c>
      <c r="AH3514" s="5">
        <f>IF(SalesData[[#This Row],[Customers Visited]]=0,0,SalesData[[#This Row],[Contracts Signed]]/SalesData[[#This Row],[Customers Visited]])</f>
        <v>5.5555555555555552E-2</v>
      </c>
      <c r="AI3514" s="6">
        <f>IF(SalesData[[#This Row],[Contracts Signed]]=0,0,SalesData[[#This Row],[Profit(€)]]/SalesData[[#This Row],[Contracts Signed]])</f>
        <v>2878</v>
      </c>
      <c r="AJ3514" s="5" t="str">
        <f>TRIM(CLEAN(SalesData[[#This Row],[Retailer]]))</f>
        <v>Ruhr Auto Plaza</v>
      </c>
    </row>
    <row r="3515" spans="1:36" ht="14.25" hidden="1" x14ac:dyDescent="0.2">
      <c r="A3515" t="s">
        <v>4716</v>
      </c>
      <c r="B3515" s="1">
        <v>46057</v>
      </c>
      <c r="C3515" t="s">
        <v>24</v>
      </c>
      <c r="D3515" t="s">
        <v>82</v>
      </c>
      <c r="E3515" t="s">
        <v>26</v>
      </c>
      <c r="F3515" t="s">
        <v>74</v>
      </c>
      <c r="G3515" t="s">
        <v>75</v>
      </c>
      <c r="H3515" t="s">
        <v>76</v>
      </c>
      <c r="I3515" t="s">
        <v>116</v>
      </c>
      <c r="J3515" t="s">
        <v>7090</v>
      </c>
      <c r="K3515" t="s">
        <v>66</v>
      </c>
      <c r="L3515" t="s">
        <v>46</v>
      </c>
      <c r="M3515" t="s">
        <v>34</v>
      </c>
      <c r="N3515" t="s">
        <v>48</v>
      </c>
      <c r="O3515" t="s">
        <v>70</v>
      </c>
      <c r="P3515" t="s">
        <v>71</v>
      </c>
      <c r="Q3515" t="s">
        <v>79</v>
      </c>
      <c r="R3515">
        <v>323</v>
      </c>
      <c r="S3515">
        <v>153</v>
      </c>
      <c r="T3515">
        <v>106</v>
      </c>
      <c r="U3515">
        <v>25</v>
      </c>
      <c r="V3515" t="s">
        <v>3622</v>
      </c>
      <c r="W3515">
        <v>22253</v>
      </c>
      <c r="X3515" t="s">
        <v>3197</v>
      </c>
      <c r="Y3515">
        <v>20301</v>
      </c>
      <c r="Z3515">
        <v>556325</v>
      </c>
      <c r="AA3515">
        <v>48800</v>
      </c>
      <c r="AB3515" t="str">
        <f>(VLOOKUP(SalesData[[#This Row],[Month Number]],Reference!C$5:E$16,2,FALSE))</f>
        <v>Feb</v>
      </c>
      <c r="AC3515">
        <f>MONTH(SalesData[[#This Row],[Date]])</f>
        <v>2</v>
      </c>
      <c r="AD3515">
        <f>Reference!F$4</f>
        <v>2026</v>
      </c>
      <c r="AE3515" t="str">
        <f>IF(OR(SalesData[[#This Row],[Day]]="Saturday",SalesData[[#This Row],[Day]]="Sunday"),"Weekend","Weekday")</f>
        <v>Weekday</v>
      </c>
      <c r="AF3515" s="5">
        <f>IF(SalesData[[#This Row],[Contracts Offered]]=0,0,SalesData[[#This Row],[Contracts Signed]]/SalesData[[#This Row],[Contracts Offered]])</f>
        <v>0.23584905660377359</v>
      </c>
      <c r="AG3515" s="5">
        <f>IF(SalesData[[#This Row],[Customers Visited]]=0,0,SalesData[[#This Row],[Test Drives]]/SalesData[[#This Row],[Customers Visited]])</f>
        <v>0.47368421052631576</v>
      </c>
      <c r="AH3515" s="5">
        <f>IF(SalesData[[#This Row],[Customers Visited]]=0,0,SalesData[[#This Row],[Contracts Signed]]/SalesData[[#This Row],[Customers Visited]])</f>
        <v>7.7399380804953566E-2</v>
      </c>
      <c r="AI3515" s="6">
        <f>IF(SalesData[[#This Row],[Contracts Signed]]=0,0,SalesData[[#This Row],[Profit(€)]]/SalesData[[#This Row],[Contracts Signed]])</f>
        <v>1952</v>
      </c>
      <c r="AJ3515" s="5" t="str">
        <f>TRIM(CLEAN(SalesData[[#This Row],[Retailer]]))</f>
        <v>Stuttgart Auto Center</v>
      </c>
    </row>
    <row r="3516" spans="1:36" ht="14.25" hidden="1" x14ac:dyDescent="0.2">
      <c r="A3516" t="s">
        <v>4717</v>
      </c>
      <c r="B3516" s="1">
        <v>46078</v>
      </c>
      <c r="C3516" t="s">
        <v>53</v>
      </c>
      <c r="D3516" t="s">
        <v>82</v>
      </c>
      <c r="E3516" t="s">
        <v>26</v>
      </c>
      <c r="F3516" t="s">
        <v>114</v>
      </c>
      <c r="G3516" t="s">
        <v>115</v>
      </c>
      <c r="H3516" t="s">
        <v>115</v>
      </c>
      <c r="I3516" t="s">
        <v>64</v>
      </c>
      <c r="J3516" t="s">
        <v>7029</v>
      </c>
      <c r="K3516" t="s">
        <v>66</v>
      </c>
      <c r="L3516" t="s">
        <v>33</v>
      </c>
      <c r="M3516" t="s">
        <v>68</v>
      </c>
      <c r="N3516" t="s">
        <v>35</v>
      </c>
      <c r="O3516" t="s">
        <v>70</v>
      </c>
      <c r="P3516" t="s">
        <v>37</v>
      </c>
      <c r="Q3516" t="s">
        <v>88</v>
      </c>
      <c r="R3516">
        <v>226</v>
      </c>
      <c r="S3516">
        <v>112</v>
      </c>
      <c r="T3516">
        <v>77</v>
      </c>
      <c r="U3516">
        <v>27</v>
      </c>
      <c r="V3516" t="s">
        <v>6400</v>
      </c>
      <c r="W3516">
        <v>54047</v>
      </c>
      <c r="X3516" t="s">
        <v>7177</v>
      </c>
      <c r="Y3516">
        <v>42393</v>
      </c>
      <c r="Z3516">
        <v>1459269</v>
      </c>
      <c r="AA3516">
        <v>314658</v>
      </c>
      <c r="AB3516" t="str">
        <f>(VLOOKUP(SalesData[[#This Row],[Month Number]],Reference!C$5:E$16,2,FALSE))</f>
        <v>Feb</v>
      </c>
      <c r="AC3516">
        <f>MONTH(SalesData[[#This Row],[Date]])</f>
        <v>2</v>
      </c>
      <c r="AD3516">
        <f>Reference!F$4</f>
        <v>2026</v>
      </c>
      <c r="AE3516" t="str">
        <f>IF(OR(SalesData[[#This Row],[Day]]="Saturday",SalesData[[#This Row],[Day]]="Sunday"),"Weekend","Weekday")</f>
        <v>Weekday</v>
      </c>
      <c r="AF3516" s="5">
        <f>IF(SalesData[[#This Row],[Contracts Offered]]=0,0,SalesData[[#This Row],[Contracts Signed]]/SalesData[[#This Row],[Contracts Offered]])</f>
        <v>0.35064935064935066</v>
      </c>
      <c r="AG3516" s="5">
        <f>IF(SalesData[[#This Row],[Customers Visited]]=0,0,SalesData[[#This Row],[Test Drives]]/SalesData[[#This Row],[Customers Visited]])</f>
        <v>0.49557522123893805</v>
      </c>
      <c r="AH3516" s="5">
        <f>IF(SalesData[[#This Row],[Customers Visited]]=0,0,SalesData[[#This Row],[Contracts Signed]]/SalesData[[#This Row],[Customers Visited]])</f>
        <v>0.11946902654867257</v>
      </c>
      <c r="AI3516" s="6">
        <f>IF(SalesData[[#This Row],[Contracts Signed]]=0,0,SalesData[[#This Row],[Profit(€)]]/SalesData[[#This Row],[Contracts Signed]])</f>
        <v>11654</v>
      </c>
      <c r="AJ3516" s="5" t="str">
        <f>TRIM(CLEAN(SalesData[[#This Row],[Retailer]]))</f>
        <v>Elbe Drive</v>
      </c>
    </row>
    <row r="3517" spans="1:36" ht="14.25" hidden="1" x14ac:dyDescent="0.2">
      <c r="A3517" t="s">
        <v>4718</v>
      </c>
      <c r="B3517" s="1">
        <v>46057</v>
      </c>
      <c r="C3517" t="s">
        <v>24</v>
      </c>
      <c r="D3517" t="s">
        <v>82</v>
      </c>
      <c r="E3517" t="s">
        <v>26</v>
      </c>
      <c r="F3517" t="s">
        <v>74</v>
      </c>
      <c r="G3517" t="s">
        <v>75</v>
      </c>
      <c r="H3517" t="s">
        <v>76</v>
      </c>
      <c r="I3517" t="s">
        <v>116</v>
      </c>
      <c r="J3517" t="s">
        <v>203</v>
      </c>
      <c r="K3517" t="s">
        <v>66</v>
      </c>
      <c r="L3517" t="s">
        <v>67</v>
      </c>
      <c r="M3517" t="s">
        <v>47</v>
      </c>
      <c r="N3517" t="s">
        <v>35</v>
      </c>
      <c r="O3517" t="s">
        <v>70</v>
      </c>
      <c r="P3517" t="s">
        <v>71</v>
      </c>
      <c r="Q3517" t="s">
        <v>59</v>
      </c>
      <c r="R3517">
        <v>295</v>
      </c>
      <c r="S3517">
        <v>161</v>
      </c>
      <c r="T3517">
        <v>102</v>
      </c>
      <c r="U3517">
        <v>24</v>
      </c>
      <c r="V3517" t="s">
        <v>2563</v>
      </c>
      <c r="W3517">
        <v>20365</v>
      </c>
      <c r="X3517" t="s">
        <v>1717</v>
      </c>
      <c r="Y3517">
        <v>18675</v>
      </c>
      <c r="Z3517">
        <v>488760</v>
      </c>
      <c r="AA3517">
        <v>40560</v>
      </c>
      <c r="AB3517" t="str">
        <f>(VLOOKUP(SalesData[[#This Row],[Month Number]],Reference!C$5:E$16,2,FALSE))</f>
        <v>Feb</v>
      </c>
      <c r="AC3517">
        <f>MONTH(SalesData[[#This Row],[Date]])</f>
        <v>2</v>
      </c>
      <c r="AD3517">
        <f>Reference!F$4</f>
        <v>2026</v>
      </c>
      <c r="AE3517" t="str">
        <f>IF(OR(SalesData[[#This Row],[Day]]="Saturday",SalesData[[#This Row],[Day]]="Sunday"),"Weekend","Weekday")</f>
        <v>Weekday</v>
      </c>
      <c r="AF3517" s="5">
        <f>IF(SalesData[[#This Row],[Contracts Offered]]=0,0,SalesData[[#This Row],[Contracts Signed]]/SalesData[[#This Row],[Contracts Offered]])</f>
        <v>0.23529411764705882</v>
      </c>
      <c r="AG3517" s="5">
        <f>IF(SalesData[[#This Row],[Customers Visited]]=0,0,SalesData[[#This Row],[Test Drives]]/SalesData[[#This Row],[Customers Visited]])</f>
        <v>0.54576271186440672</v>
      </c>
      <c r="AH3517" s="5">
        <f>IF(SalesData[[#This Row],[Customers Visited]]=0,0,SalesData[[#This Row],[Contracts Signed]]/SalesData[[#This Row],[Customers Visited]])</f>
        <v>8.1355932203389825E-2</v>
      </c>
      <c r="AI3517" s="6">
        <f>IF(SalesData[[#This Row],[Contracts Signed]]=0,0,SalesData[[#This Row],[Profit(€)]]/SalesData[[#This Row],[Contracts Signed]])</f>
        <v>1690</v>
      </c>
      <c r="AJ3517" s="5" t="str">
        <f>TRIM(CLEAN(SalesData[[#This Row],[Retailer]]))</f>
        <v>Stuttgart Auto Center</v>
      </c>
    </row>
    <row r="3518" spans="1:36" ht="14.25" hidden="1" x14ac:dyDescent="0.2">
      <c r="A3518" t="s">
        <v>4719</v>
      </c>
      <c r="B3518" s="1">
        <v>46070</v>
      </c>
      <c r="C3518" t="s">
        <v>62</v>
      </c>
      <c r="D3518" t="s">
        <v>63</v>
      </c>
      <c r="E3518" t="s">
        <v>26</v>
      </c>
      <c r="F3518" t="s">
        <v>94</v>
      </c>
      <c r="G3518" t="s">
        <v>95</v>
      </c>
      <c r="H3518" t="s">
        <v>96</v>
      </c>
      <c r="I3518" t="s">
        <v>56</v>
      </c>
      <c r="J3518" t="s">
        <v>179</v>
      </c>
      <c r="K3518" t="s">
        <v>66</v>
      </c>
      <c r="L3518" t="s">
        <v>67</v>
      </c>
      <c r="M3518" t="s">
        <v>87</v>
      </c>
      <c r="N3518" t="s">
        <v>35</v>
      </c>
      <c r="O3518" t="s">
        <v>70</v>
      </c>
      <c r="P3518" t="s">
        <v>37</v>
      </c>
      <c r="Q3518" t="s">
        <v>189</v>
      </c>
      <c r="R3518">
        <v>195</v>
      </c>
      <c r="S3518">
        <v>93</v>
      </c>
      <c r="T3518">
        <v>69</v>
      </c>
      <c r="U3518">
        <v>22</v>
      </c>
      <c r="V3518" t="s">
        <v>6474</v>
      </c>
      <c r="W3518">
        <v>40523</v>
      </c>
      <c r="X3518" t="s">
        <v>2176</v>
      </c>
      <c r="Y3518">
        <v>32161</v>
      </c>
      <c r="Z3518">
        <v>891506</v>
      </c>
      <c r="AA3518">
        <v>183964</v>
      </c>
      <c r="AB3518" t="str">
        <f>(VLOOKUP(SalesData[[#This Row],[Month Number]],Reference!C$5:E$16,2,FALSE))</f>
        <v>Feb</v>
      </c>
      <c r="AC3518">
        <f>MONTH(SalesData[[#This Row],[Date]])</f>
        <v>2</v>
      </c>
      <c r="AD3518">
        <f>Reference!F$4</f>
        <v>2026</v>
      </c>
      <c r="AE3518" t="str">
        <f>IF(OR(SalesData[[#This Row],[Day]]="Saturday",SalesData[[#This Row],[Day]]="Sunday"),"Weekend","Weekday")</f>
        <v>Weekday</v>
      </c>
      <c r="AF3518" s="5">
        <f>IF(SalesData[[#This Row],[Contracts Offered]]=0,0,SalesData[[#This Row],[Contracts Signed]]/SalesData[[#This Row],[Contracts Offered]])</f>
        <v>0.3188405797101449</v>
      </c>
      <c r="AG3518" s="5">
        <f>IF(SalesData[[#This Row],[Customers Visited]]=0,0,SalesData[[#This Row],[Test Drives]]/SalesData[[#This Row],[Customers Visited]])</f>
        <v>0.47692307692307695</v>
      </c>
      <c r="AH3518" s="5">
        <f>IF(SalesData[[#This Row],[Customers Visited]]=0,0,SalesData[[#This Row],[Contracts Signed]]/SalesData[[#This Row],[Customers Visited]])</f>
        <v>0.11282051282051282</v>
      </c>
      <c r="AI3518" s="6">
        <f>IF(SalesData[[#This Row],[Contracts Signed]]=0,0,SalesData[[#This Row],[Profit(€)]]/SalesData[[#This Row],[Contracts Signed]])</f>
        <v>8362</v>
      </c>
      <c r="AJ3518" s="5" t="str">
        <f>TRIM(CLEAN(SalesData[[#This Row],[Retailer]]))</f>
        <v>Bavaria Motors</v>
      </c>
    </row>
    <row r="3519" spans="1:36" ht="14.25" hidden="1" x14ac:dyDescent="0.2">
      <c r="A3519" t="s">
        <v>4720</v>
      </c>
      <c r="B3519" s="1">
        <v>46061</v>
      </c>
      <c r="C3519" t="s">
        <v>121</v>
      </c>
      <c r="D3519" t="s">
        <v>41</v>
      </c>
      <c r="E3519" t="s">
        <v>42</v>
      </c>
      <c r="F3519" t="s">
        <v>74</v>
      </c>
      <c r="G3519" t="s">
        <v>75</v>
      </c>
      <c r="H3519" t="s">
        <v>76</v>
      </c>
      <c r="I3519" t="s">
        <v>104</v>
      </c>
      <c r="J3519" t="s">
        <v>105</v>
      </c>
      <c r="K3519" t="s">
        <v>91</v>
      </c>
      <c r="L3519" t="s">
        <v>33</v>
      </c>
      <c r="M3519" t="s">
        <v>47</v>
      </c>
      <c r="N3519" t="s">
        <v>35</v>
      </c>
      <c r="O3519" t="s">
        <v>36</v>
      </c>
      <c r="P3519" t="s">
        <v>58</v>
      </c>
      <c r="Q3519" t="s">
        <v>79</v>
      </c>
      <c r="R3519">
        <v>458</v>
      </c>
      <c r="S3519">
        <v>249</v>
      </c>
      <c r="T3519">
        <v>157</v>
      </c>
      <c r="U3519">
        <v>51</v>
      </c>
      <c r="V3519" t="s">
        <v>6754</v>
      </c>
      <c r="W3519">
        <v>33918</v>
      </c>
      <c r="X3519" t="s">
        <v>2159</v>
      </c>
      <c r="Y3519">
        <v>30606</v>
      </c>
      <c r="Z3519">
        <v>1729818</v>
      </c>
      <c r="AA3519">
        <v>168912</v>
      </c>
      <c r="AB3519" t="str">
        <f>(VLOOKUP(SalesData[[#This Row],[Month Number]],Reference!C$5:E$16,2,FALSE))</f>
        <v>Feb</v>
      </c>
      <c r="AC3519">
        <f>MONTH(SalesData[[#This Row],[Date]])</f>
        <v>2</v>
      </c>
      <c r="AD3519">
        <f>Reference!F$4</f>
        <v>2026</v>
      </c>
      <c r="AE3519" t="str">
        <f>IF(OR(SalesData[[#This Row],[Day]]="Saturday",SalesData[[#This Row],[Day]]="Sunday"),"Weekend","Weekday")</f>
        <v>Weekend</v>
      </c>
      <c r="AF3519" s="5">
        <f>IF(SalesData[[#This Row],[Contracts Offered]]=0,0,SalesData[[#This Row],[Contracts Signed]]/SalesData[[#This Row],[Contracts Offered]])</f>
        <v>0.32484076433121017</v>
      </c>
      <c r="AG3519" s="5">
        <f>IF(SalesData[[#This Row],[Customers Visited]]=0,0,SalesData[[#This Row],[Test Drives]]/SalesData[[#This Row],[Customers Visited]])</f>
        <v>0.54366812227074235</v>
      </c>
      <c r="AH3519" s="5">
        <f>IF(SalesData[[#This Row],[Customers Visited]]=0,0,SalesData[[#This Row],[Contracts Signed]]/SalesData[[#This Row],[Customers Visited]])</f>
        <v>0.11135371179039301</v>
      </c>
      <c r="AI3519" s="6">
        <f>IF(SalesData[[#This Row],[Contracts Signed]]=0,0,SalesData[[#This Row],[Profit(€)]]/SalesData[[#This Row],[Contracts Signed]])</f>
        <v>3312</v>
      </c>
      <c r="AJ3519" s="5" t="str">
        <f>TRIM(CLEAN(SalesData[[#This Row],[Retailer]]))</f>
        <v>Stuttgart Auto Center</v>
      </c>
    </row>
    <row r="3520" spans="1:36" ht="14.25" hidden="1" x14ac:dyDescent="0.2">
      <c r="A3520" t="s">
        <v>4721</v>
      </c>
      <c r="B3520" s="1">
        <v>46072</v>
      </c>
      <c r="C3520" t="s">
        <v>62</v>
      </c>
      <c r="D3520" t="s">
        <v>100</v>
      </c>
      <c r="E3520" t="s">
        <v>26</v>
      </c>
      <c r="F3520" t="s">
        <v>101</v>
      </c>
      <c r="G3520" t="s">
        <v>102</v>
      </c>
      <c r="H3520" t="s">
        <v>103</v>
      </c>
      <c r="I3520" t="s">
        <v>104</v>
      </c>
      <c r="J3520" t="s">
        <v>7061</v>
      </c>
      <c r="K3520" t="s">
        <v>91</v>
      </c>
      <c r="L3520" t="s">
        <v>46</v>
      </c>
      <c r="M3520" t="s">
        <v>47</v>
      </c>
      <c r="N3520" t="s">
        <v>69</v>
      </c>
      <c r="O3520" t="s">
        <v>70</v>
      </c>
      <c r="P3520" t="s">
        <v>71</v>
      </c>
      <c r="Q3520" t="s">
        <v>172</v>
      </c>
      <c r="R3520">
        <v>385</v>
      </c>
      <c r="S3520">
        <v>177</v>
      </c>
      <c r="T3520">
        <v>119</v>
      </c>
      <c r="U3520">
        <v>23</v>
      </c>
      <c r="V3520" t="s">
        <v>2604</v>
      </c>
      <c r="W3520">
        <v>33603</v>
      </c>
      <c r="X3520" t="s">
        <v>583</v>
      </c>
      <c r="Y3520">
        <v>30460</v>
      </c>
      <c r="Z3520">
        <v>772869</v>
      </c>
      <c r="AA3520">
        <v>72289</v>
      </c>
      <c r="AB3520" t="str">
        <f>(VLOOKUP(SalesData[[#This Row],[Month Number]],Reference!C$5:E$16,2,FALSE))</f>
        <v>Feb</v>
      </c>
      <c r="AC3520">
        <f>MONTH(SalesData[[#This Row],[Date]])</f>
        <v>2</v>
      </c>
      <c r="AD3520">
        <f>Reference!F$4</f>
        <v>2026</v>
      </c>
      <c r="AE3520" t="str">
        <f>IF(OR(SalesData[[#This Row],[Day]]="Saturday",SalesData[[#This Row],[Day]]="Sunday"),"Weekend","Weekday")</f>
        <v>Weekday</v>
      </c>
      <c r="AF3520" s="5">
        <f>IF(SalesData[[#This Row],[Contracts Offered]]=0,0,SalesData[[#This Row],[Contracts Signed]]/SalesData[[#This Row],[Contracts Offered]])</f>
        <v>0.19327731092436976</v>
      </c>
      <c r="AG3520" s="5">
        <f>IF(SalesData[[#This Row],[Customers Visited]]=0,0,SalesData[[#This Row],[Test Drives]]/SalesData[[#This Row],[Customers Visited]])</f>
        <v>0.45974025974025973</v>
      </c>
      <c r="AH3520" s="5">
        <f>IF(SalesData[[#This Row],[Customers Visited]]=0,0,SalesData[[#This Row],[Contracts Signed]]/SalesData[[#This Row],[Customers Visited]])</f>
        <v>5.9740259740259739E-2</v>
      </c>
      <c r="AI3520" s="6">
        <f>IF(SalesData[[#This Row],[Contracts Signed]]=0,0,SalesData[[#This Row],[Profit(€)]]/SalesData[[#This Row],[Contracts Signed]])</f>
        <v>3143</v>
      </c>
      <c r="AJ3520" s="5" t="str">
        <f>TRIM(CLEAN(SalesData[[#This Row],[Retailer]]))</f>
        <v>Ruhr Auto Plaza</v>
      </c>
    </row>
    <row r="3521" spans="1:36" ht="14.25" hidden="1" x14ac:dyDescent="0.2">
      <c r="A3521" t="s">
        <v>4722</v>
      </c>
      <c r="B3521" s="1">
        <v>46072</v>
      </c>
      <c r="C3521" t="s">
        <v>62</v>
      </c>
      <c r="D3521" t="s">
        <v>100</v>
      </c>
      <c r="E3521" t="s">
        <v>26</v>
      </c>
      <c r="F3521" t="s">
        <v>109</v>
      </c>
      <c r="G3521" t="s">
        <v>110</v>
      </c>
      <c r="H3521" t="s">
        <v>45</v>
      </c>
      <c r="I3521" t="s">
        <v>116</v>
      </c>
      <c r="J3521" t="s">
        <v>7026</v>
      </c>
      <c r="K3521" t="s">
        <v>91</v>
      </c>
      <c r="L3521" t="s">
        <v>46</v>
      </c>
      <c r="M3521" t="s">
        <v>87</v>
      </c>
      <c r="N3521" t="s">
        <v>35</v>
      </c>
      <c r="O3521" t="s">
        <v>70</v>
      </c>
      <c r="P3521" t="s">
        <v>58</v>
      </c>
      <c r="Q3521" t="s">
        <v>118</v>
      </c>
      <c r="R3521">
        <v>400</v>
      </c>
      <c r="S3521">
        <v>190</v>
      </c>
      <c r="T3521">
        <v>108</v>
      </c>
      <c r="U3521">
        <v>36</v>
      </c>
      <c r="V3521" t="s">
        <v>722</v>
      </c>
      <c r="W3521">
        <v>22258</v>
      </c>
      <c r="X3521" t="s">
        <v>519</v>
      </c>
      <c r="Y3521">
        <v>20331</v>
      </c>
      <c r="Z3521">
        <v>801288</v>
      </c>
      <c r="AA3521">
        <v>69372</v>
      </c>
      <c r="AB3521" t="str">
        <f>(VLOOKUP(SalesData[[#This Row],[Month Number]],Reference!C$5:E$16,2,FALSE))</f>
        <v>Feb</v>
      </c>
      <c r="AC3521">
        <f>MONTH(SalesData[[#This Row],[Date]])</f>
        <v>2</v>
      </c>
      <c r="AD3521">
        <f>Reference!F$4</f>
        <v>2026</v>
      </c>
      <c r="AE3521" t="str">
        <f>IF(OR(SalesData[[#This Row],[Day]]="Saturday",SalesData[[#This Row],[Day]]="Sunday"),"Weekend","Weekday")</f>
        <v>Weekday</v>
      </c>
      <c r="AF3521" s="5">
        <f>IF(SalesData[[#This Row],[Contracts Offered]]=0,0,SalesData[[#This Row],[Contracts Signed]]/SalesData[[#This Row],[Contracts Offered]])</f>
        <v>0.33333333333333331</v>
      </c>
      <c r="AG3521" s="5">
        <f>IF(SalesData[[#This Row],[Customers Visited]]=0,0,SalesData[[#This Row],[Test Drives]]/SalesData[[#This Row],[Customers Visited]])</f>
        <v>0.47499999999999998</v>
      </c>
      <c r="AH3521" s="5">
        <f>IF(SalesData[[#This Row],[Customers Visited]]=0,0,SalesData[[#This Row],[Contracts Signed]]/SalesData[[#This Row],[Customers Visited]])</f>
        <v>0.09</v>
      </c>
      <c r="AI3521" s="6">
        <f>IF(SalesData[[#This Row],[Contracts Signed]]=0,0,SalesData[[#This Row],[Profit(€)]]/SalesData[[#This Row],[Contracts Signed]])</f>
        <v>1927</v>
      </c>
      <c r="AJ3521" s="5" t="str">
        <f>TRIM(CLEAN(SalesData[[#This Row],[Retailer]]))</f>
        <v>Leipzig Mobility</v>
      </c>
    </row>
    <row r="3522" spans="1:36" ht="14.25" hidden="1" x14ac:dyDescent="0.2">
      <c r="A3522" t="s">
        <v>4723</v>
      </c>
      <c r="B3522" s="1">
        <v>46072</v>
      </c>
      <c r="C3522" t="s">
        <v>62</v>
      </c>
      <c r="D3522" t="s">
        <v>100</v>
      </c>
      <c r="E3522" t="s">
        <v>26</v>
      </c>
      <c r="F3522" t="s">
        <v>101</v>
      </c>
      <c r="G3522" t="s">
        <v>102</v>
      </c>
      <c r="H3522" t="s">
        <v>103</v>
      </c>
      <c r="I3522" t="s">
        <v>56</v>
      </c>
      <c r="J3522" t="s">
        <v>179</v>
      </c>
      <c r="K3522" t="s">
        <v>78</v>
      </c>
      <c r="L3522" t="s">
        <v>67</v>
      </c>
      <c r="M3522" t="s">
        <v>87</v>
      </c>
      <c r="N3522" t="s">
        <v>69</v>
      </c>
      <c r="O3522" t="s">
        <v>70</v>
      </c>
      <c r="P3522" t="s">
        <v>71</v>
      </c>
      <c r="Q3522" t="s">
        <v>152</v>
      </c>
      <c r="R3522">
        <v>233</v>
      </c>
      <c r="S3522">
        <v>107</v>
      </c>
      <c r="T3522">
        <v>74</v>
      </c>
      <c r="U3522">
        <v>24</v>
      </c>
      <c r="V3522" t="s">
        <v>6621</v>
      </c>
      <c r="W3522">
        <v>45830</v>
      </c>
      <c r="X3522" t="s">
        <v>1101</v>
      </c>
      <c r="Y3522">
        <v>35409</v>
      </c>
      <c r="Z3522">
        <v>1099920</v>
      </c>
      <c r="AA3522">
        <v>250104</v>
      </c>
      <c r="AB3522" t="str">
        <f>(VLOOKUP(SalesData[[#This Row],[Month Number]],Reference!C$5:E$16,2,FALSE))</f>
        <v>Feb</v>
      </c>
      <c r="AC3522">
        <f>MONTH(SalesData[[#This Row],[Date]])</f>
        <v>2</v>
      </c>
      <c r="AD3522">
        <f>Reference!F$4</f>
        <v>2026</v>
      </c>
      <c r="AE3522" t="str">
        <f>IF(OR(SalesData[[#This Row],[Day]]="Saturday",SalesData[[#This Row],[Day]]="Sunday"),"Weekend","Weekday")</f>
        <v>Weekday</v>
      </c>
      <c r="AF3522" s="5">
        <f>IF(SalesData[[#This Row],[Contracts Offered]]=0,0,SalesData[[#This Row],[Contracts Signed]]/SalesData[[#This Row],[Contracts Offered]])</f>
        <v>0.32432432432432434</v>
      </c>
      <c r="AG3522" s="5">
        <f>IF(SalesData[[#This Row],[Customers Visited]]=0,0,SalesData[[#This Row],[Test Drives]]/SalesData[[#This Row],[Customers Visited]])</f>
        <v>0.45922746781115881</v>
      </c>
      <c r="AH3522" s="5">
        <f>IF(SalesData[[#This Row],[Customers Visited]]=0,0,SalesData[[#This Row],[Contracts Signed]]/SalesData[[#This Row],[Customers Visited]])</f>
        <v>0.10300429184549356</v>
      </c>
      <c r="AI3522" s="6">
        <f>IF(SalesData[[#This Row],[Contracts Signed]]=0,0,SalesData[[#This Row],[Profit(€)]]/SalesData[[#This Row],[Contracts Signed]])</f>
        <v>10421</v>
      </c>
      <c r="AJ3522" s="5" t="str">
        <f>TRIM(CLEAN(SalesData[[#This Row],[Retailer]]))</f>
        <v>Ruhr Auto Plaza</v>
      </c>
    </row>
    <row r="3523" spans="1:36" ht="14.25" hidden="1" x14ac:dyDescent="0.2">
      <c r="A3523" t="s">
        <v>4724</v>
      </c>
      <c r="B3523" s="1">
        <v>46054</v>
      </c>
      <c r="C3523" t="s">
        <v>24</v>
      </c>
      <c r="D3523" t="s">
        <v>41</v>
      </c>
      <c r="E3523" t="s">
        <v>42</v>
      </c>
      <c r="F3523" t="s">
        <v>127</v>
      </c>
      <c r="G3523" t="s">
        <v>128</v>
      </c>
      <c r="H3523" t="s">
        <v>103</v>
      </c>
      <c r="I3523" t="s">
        <v>104</v>
      </c>
      <c r="J3523" t="s">
        <v>7061</v>
      </c>
      <c r="K3523" t="s">
        <v>66</v>
      </c>
      <c r="L3523" t="s">
        <v>46</v>
      </c>
      <c r="M3523" t="s">
        <v>47</v>
      </c>
      <c r="N3523" t="s">
        <v>48</v>
      </c>
      <c r="O3523" t="s">
        <v>36</v>
      </c>
      <c r="P3523" t="s">
        <v>71</v>
      </c>
      <c r="Q3523" t="s">
        <v>38</v>
      </c>
      <c r="R3523">
        <v>329</v>
      </c>
      <c r="S3523">
        <v>154</v>
      </c>
      <c r="T3523">
        <v>90</v>
      </c>
      <c r="U3523">
        <v>27</v>
      </c>
      <c r="V3523" t="s">
        <v>1195</v>
      </c>
      <c r="W3523">
        <v>29838</v>
      </c>
      <c r="X3523" t="s">
        <v>2267</v>
      </c>
      <c r="Y3523">
        <v>27054</v>
      </c>
      <c r="Z3523">
        <v>805626</v>
      </c>
      <c r="AA3523">
        <v>75168</v>
      </c>
      <c r="AB3523" t="str">
        <f>(VLOOKUP(SalesData[[#This Row],[Month Number]],Reference!C$5:E$16,2,FALSE))</f>
        <v>Feb</v>
      </c>
      <c r="AC3523">
        <f>MONTH(SalesData[[#This Row],[Date]])</f>
        <v>2</v>
      </c>
      <c r="AD3523">
        <f>Reference!F$4</f>
        <v>2026</v>
      </c>
      <c r="AE3523" t="str">
        <f>IF(OR(SalesData[[#This Row],[Day]]="Saturday",SalesData[[#This Row],[Day]]="Sunday"),"Weekend","Weekday")</f>
        <v>Weekend</v>
      </c>
      <c r="AF3523" s="5">
        <f>IF(SalesData[[#This Row],[Contracts Offered]]=0,0,SalesData[[#This Row],[Contracts Signed]]/SalesData[[#This Row],[Contracts Offered]])</f>
        <v>0.3</v>
      </c>
      <c r="AG3523" s="5">
        <f>IF(SalesData[[#This Row],[Customers Visited]]=0,0,SalesData[[#This Row],[Test Drives]]/SalesData[[#This Row],[Customers Visited]])</f>
        <v>0.46808510638297873</v>
      </c>
      <c r="AH3523" s="5">
        <f>IF(SalesData[[#This Row],[Customers Visited]]=0,0,SalesData[[#This Row],[Contracts Signed]]/SalesData[[#This Row],[Customers Visited]])</f>
        <v>8.2066869300911852E-2</v>
      </c>
      <c r="AI3523" s="6">
        <f>IF(SalesData[[#This Row],[Contracts Signed]]=0,0,SalesData[[#This Row],[Profit(€)]]/SalesData[[#This Row],[Contracts Signed]])</f>
        <v>2784</v>
      </c>
      <c r="AJ3523" s="5" t="str">
        <f>TRIM(CLEAN(SalesData[[#This Row],[Retailer]]))</f>
        <v>Rhein Auto Group</v>
      </c>
    </row>
    <row r="3524" spans="1:36" ht="14.25" hidden="1" x14ac:dyDescent="0.2">
      <c r="A3524" t="s">
        <v>4725</v>
      </c>
      <c r="B3524" s="1">
        <v>46077</v>
      </c>
      <c r="C3524" t="s">
        <v>53</v>
      </c>
      <c r="D3524" t="s">
        <v>63</v>
      </c>
      <c r="E3524" t="s">
        <v>26</v>
      </c>
      <c r="F3524" t="s">
        <v>74</v>
      </c>
      <c r="G3524" t="s">
        <v>75</v>
      </c>
      <c r="H3524" t="s">
        <v>76</v>
      </c>
      <c r="I3524" t="s">
        <v>116</v>
      </c>
      <c r="J3524" t="s">
        <v>7090</v>
      </c>
      <c r="K3524" t="s">
        <v>78</v>
      </c>
      <c r="L3524" t="s">
        <v>46</v>
      </c>
      <c r="M3524" t="s">
        <v>68</v>
      </c>
      <c r="N3524" t="s">
        <v>69</v>
      </c>
      <c r="O3524" t="s">
        <v>70</v>
      </c>
      <c r="P3524" t="s">
        <v>37</v>
      </c>
      <c r="Q3524" t="s">
        <v>240</v>
      </c>
      <c r="R3524">
        <v>361</v>
      </c>
      <c r="S3524">
        <v>139</v>
      </c>
      <c r="T3524">
        <v>83</v>
      </c>
      <c r="U3524">
        <v>21</v>
      </c>
      <c r="V3524" t="s">
        <v>718</v>
      </c>
      <c r="W3524">
        <v>19317</v>
      </c>
      <c r="X3524" t="s">
        <v>7153</v>
      </c>
      <c r="Y3524">
        <v>17736</v>
      </c>
      <c r="Z3524">
        <v>405657</v>
      </c>
      <c r="AA3524">
        <v>33201</v>
      </c>
      <c r="AB3524" t="str">
        <f>(VLOOKUP(SalesData[[#This Row],[Month Number]],Reference!C$5:E$16,2,FALSE))</f>
        <v>Feb</v>
      </c>
      <c r="AC3524">
        <f>MONTH(SalesData[[#This Row],[Date]])</f>
        <v>2</v>
      </c>
      <c r="AD3524">
        <f>Reference!F$4</f>
        <v>2026</v>
      </c>
      <c r="AE3524" t="str">
        <f>IF(OR(SalesData[[#This Row],[Day]]="Saturday",SalesData[[#This Row],[Day]]="Sunday"),"Weekend","Weekday")</f>
        <v>Weekday</v>
      </c>
      <c r="AF3524" s="5">
        <f>IF(SalesData[[#This Row],[Contracts Offered]]=0,0,SalesData[[#This Row],[Contracts Signed]]/SalesData[[#This Row],[Contracts Offered]])</f>
        <v>0.25301204819277107</v>
      </c>
      <c r="AG3524" s="5">
        <f>IF(SalesData[[#This Row],[Customers Visited]]=0,0,SalesData[[#This Row],[Test Drives]]/SalesData[[#This Row],[Customers Visited]])</f>
        <v>0.38504155124653738</v>
      </c>
      <c r="AH3524" s="5">
        <f>IF(SalesData[[#This Row],[Customers Visited]]=0,0,SalesData[[#This Row],[Contracts Signed]]/SalesData[[#This Row],[Customers Visited]])</f>
        <v>5.817174515235457E-2</v>
      </c>
      <c r="AI3524" s="6">
        <f>IF(SalesData[[#This Row],[Contracts Signed]]=0,0,SalesData[[#This Row],[Profit(€)]]/SalesData[[#This Row],[Contracts Signed]])</f>
        <v>1581</v>
      </c>
      <c r="AJ3524" s="5" t="str">
        <f>TRIM(CLEAN(SalesData[[#This Row],[Retailer]]))</f>
        <v>Stuttgart Auto Center</v>
      </c>
    </row>
    <row r="3525" spans="1:36" ht="14.25" hidden="1" x14ac:dyDescent="0.2">
      <c r="A3525" t="s">
        <v>4726</v>
      </c>
      <c r="B3525" s="1">
        <v>46071</v>
      </c>
      <c r="C3525" t="s">
        <v>62</v>
      </c>
      <c r="D3525" t="s">
        <v>82</v>
      </c>
      <c r="E3525" t="s">
        <v>26</v>
      </c>
      <c r="F3525" t="s">
        <v>74</v>
      </c>
      <c r="G3525" t="s">
        <v>75</v>
      </c>
      <c r="H3525" t="s">
        <v>76</v>
      </c>
      <c r="I3525" t="s">
        <v>64</v>
      </c>
      <c r="J3525" t="s">
        <v>7029</v>
      </c>
      <c r="K3525" t="s">
        <v>78</v>
      </c>
      <c r="L3525" t="s">
        <v>33</v>
      </c>
      <c r="M3525" t="s">
        <v>34</v>
      </c>
      <c r="N3525" t="s">
        <v>35</v>
      </c>
      <c r="O3525" t="s">
        <v>36</v>
      </c>
      <c r="P3525" t="s">
        <v>49</v>
      </c>
      <c r="Q3525" t="s">
        <v>240</v>
      </c>
      <c r="R3525">
        <v>263</v>
      </c>
      <c r="S3525">
        <v>157</v>
      </c>
      <c r="T3525">
        <v>115</v>
      </c>
      <c r="U3525">
        <v>35</v>
      </c>
      <c r="V3525" t="s">
        <v>6882</v>
      </c>
      <c r="W3525">
        <v>69656</v>
      </c>
      <c r="X3525" t="s">
        <v>7508</v>
      </c>
      <c r="Y3525">
        <v>53637</v>
      </c>
      <c r="Z3525">
        <v>2437960</v>
      </c>
      <c r="AA3525">
        <v>560665</v>
      </c>
      <c r="AB3525" t="str">
        <f>(VLOOKUP(SalesData[[#This Row],[Month Number]],Reference!C$5:E$16,2,FALSE))</f>
        <v>Feb</v>
      </c>
      <c r="AC3525">
        <f>MONTH(SalesData[[#This Row],[Date]])</f>
        <v>2</v>
      </c>
      <c r="AD3525">
        <f>Reference!F$4</f>
        <v>2026</v>
      </c>
      <c r="AE3525" t="str">
        <f>IF(OR(SalesData[[#This Row],[Day]]="Saturday",SalesData[[#This Row],[Day]]="Sunday"),"Weekend","Weekday")</f>
        <v>Weekday</v>
      </c>
      <c r="AF3525" s="5">
        <f>IF(SalesData[[#This Row],[Contracts Offered]]=0,0,SalesData[[#This Row],[Contracts Signed]]/SalesData[[#This Row],[Contracts Offered]])</f>
        <v>0.30434782608695654</v>
      </c>
      <c r="AG3525" s="5">
        <f>IF(SalesData[[#This Row],[Customers Visited]]=0,0,SalesData[[#This Row],[Test Drives]]/SalesData[[#This Row],[Customers Visited]])</f>
        <v>0.59695817490494296</v>
      </c>
      <c r="AH3525" s="5">
        <f>IF(SalesData[[#This Row],[Customers Visited]]=0,0,SalesData[[#This Row],[Contracts Signed]]/SalesData[[#This Row],[Customers Visited]])</f>
        <v>0.13307984790874525</v>
      </c>
      <c r="AI3525" s="6">
        <f>IF(SalesData[[#This Row],[Contracts Signed]]=0,0,SalesData[[#This Row],[Profit(€)]]/SalesData[[#This Row],[Contracts Signed]])</f>
        <v>16019</v>
      </c>
      <c r="AJ3525" s="5" t="str">
        <f>TRIM(CLEAN(SalesData[[#This Row],[Retailer]]))</f>
        <v>Stuttgart Auto Center</v>
      </c>
    </row>
    <row r="3526" spans="1:36" ht="14.25" hidden="1" x14ac:dyDescent="0.2">
      <c r="A3526" t="s">
        <v>4727</v>
      </c>
      <c r="B3526" s="1">
        <v>46054</v>
      </c>
      <c r="C3526" t="s">
        <v>24</v>
      </c>
      <c r="D3526" t="s">
        <v>41</v>
      </c>
      <c r="E3526" t="s">
        <v>42</v>
      </c>
      <c r="F3526" t="s">
        <v>43</v>
      </c>
      <c r="G3526" t="s">
        <v>44</v>
      </c>
      <c r="H3526" t="s">
        <v>45</v>
      </c>
      <c r="I3526" t="s">
        <v>56</v>
      </c>
      <c r="J3526" t="s">
        <v>97</v>
      </c>
      <c r="K3526" t="s">
        <v>66</v>
      </c>
      <c r="L3526" t="s">
        <v>33</v>
      </c>
      <c r="M3526" t="s">
        <v>34</v>
      </c>
      <c r="N3526" t="s">
        <v>69</v>
      </c>
      <c r="O3526" t="s">
        <v>36</v>
      </c>
      <c r="P3526" t="s">
        <v>49</v>
      </c>
      <c r="Q3526" t="s">
        <v>189</v>
      </c>
      <c r="R3526">
        <v>312</v>
      </c>
      <c r="S3526">
        <v>179</v>
      </c>
      <c r="T3526">
        <v>117</v>
      </c>
      <c r="U3526">
        <v>39</v>
      </c>
      <c r="V3526" t="s">
        <v>6443</v>
      </c>
      <c r="W3526">
        <v>41128</v>
      </c>
      <c r="X3526" t="s">
        <v>638</v>
      </c>
      <c r="Y3526">
        <v>31274</v>
      </c>
      <c r="Z3526">
        <v>1603992</v>
      </c>
      <c r="AA3526">
        <v>384306</v>
      </c>
      <c r="AB3526" t="str">
        <f>(VLOOKUP(SalesData[[#This Row],[Month Number]],Reference!C$5:E$16,2,FALSE))</f>
        <v>Feb</v>
      </c>
      <c r="AC3526">
        <f>MONTH(SalesData[[#This Row],[Date]])</f>
        <v>2</v>
      </c>
      <c r="AD3526">
        <f>Reference!F$4</f>
        <v>2026</v>
      </c>
      <c r="AE3526" t="str">
        <f>IF(OR(SalesData[[#This Row],[Day]]="Saturday",SalesData[[#This Row],[Day]]="Sunday"),"Weekend","Weekday")</f>
        <v>Weekend</v>
      </c>
      <c r="AF3526" s="5">
        <f>IF(SalesData[[#This Row],[Contracts Offered]]=0,0,SalesData[[#This Row],[Contracts Signed]]/SalesData[[#This Row],[Contracts Offered]])</f>
        <v>0.33333333333333331</v>
      </c>
      <c r="AG3526" s="5">
        <f>IF(SalesData[[#This Row],[Customers Visited]]=0,0,SalesData[[#This Row],[Test Drives]]/SalesData[[#This Row],[Customers Visited]])</f>
        <v>0.57371794871794868</v>
      </c>
      <c r="AH3526" s="5">
        <f>IF(SalesData[[#This Row],[Customers Visited]]=0,0,SalesData[[#This Row],[Contracts Signed]]/SalesData[[#This Row],[Customers Visited]])</f>
        <v>0.125</v>
      </c>
      <c r="AI3526" s="6">
        <f>IF(SalesData[[#This Row],[Contracts Signed]]=0,0,SalesData[[#This Row],[Profit(€)]]/SalesData[[#This Row],[Contracts Signed]])</f>
        <v>9854</v>
      </c>
      <c r="AJ3526" s="5" t="str">
        <f>TRIM(CLEAN(SalesData[[#This Row],[Retailer]]))</f>
        <v>Saxon Wheels</v>
      </c>
    </row>
    <row r="3527" spans="1:36" ht="14.25" hidden="1" x14ac:dyDescent="0.2">
      <c r="A3527" t="s">
        <v>4728</v>
      </c>
      <c r="B3527" s="1">
        <v>46072</v>
      </c>
      <c r="C3527" t="s">
        <v>62</v>
      </c>
      <c r="D3527" t="s">
        <v>100</v>
      </c>
      <c r="E3527" t="s">
        <v>26</v>
      </c>
      <c r="F3527" t="s">
        <v>101</v>
      </c>
      <c r="G3527" t="s">
        <v>102</v>
      </c>
      <c r="H3527" t="s">
        <v>103</v>
      </c>
      <c r="I3527" t="s">
        <v>64</v>
      </c>
      <c r="J3527" t="s">
        <v>7029</v>
      </c>
      <c r="K3527" t="s">
        <v>91</v>
      </c>
      <c r="L3527" t="s">
        <v>33</v>
      </c>
      <c r="M3527" t="s">
        <v>87</v>
      </c>
      <c r="N3527" t="s">
        <v>35</v>
      </c>
      <c r="O3527" t="s">
        <v>70</v>
      </c>
      <c r="P3527" t="s">
        <v>37</v>
      </c>
      <c r="Q3527" t="s">
        <v>347</v>
      </c>
      <c r="R3527">
        <v>191</v>
      </c>
      <c r="S3527">
        <v>113</v>
      </c>
      <c r="T3527">
        <v>90</v>
      </c>
      <c r="U3527">
        <v>25</v>
      </c>
      <c r="V3527" t="s">
        <v>6603</v>
      </c>
      <c r="W3527">
        <v>60108</v>
      </c>
      <c r="X3527" t="s">
        <v>7391</v>
      </c>
      <c r="Y3527">
        <v>44549</v>
      </c>
      <c r="Z3527">
        <v>1502700</v>
      </c>
      <c r="AA3527">
        <v>388975</v>
      </c>
      <c r="AB3527" t="str">
        <f>(VLOOKUP(SalesData[[#This Row],[Month Number]],Reference!C$5:E$16,2,FALSE))</f>
        <v>Feb</v>
      </c>
      <c r="AC3527">
        <f>MONTH(SalesData[[#This Row],[Date]])</f>
        <v>2</v>
      </c>
      <c r="AD3527">
        <f>Reference!F$4</f>
        <v>2026</v>
      </c>
      <c r="AE3527" t="str">
        <f>IF(OR(SalesData[[#This Row],[Day]]="Saturday",SalesData[[#This Row],[Day]]="Sunday"),"Weekend","Weekday")</f>
        <v>Weekday</v>
      </c>
      <c r="AF3527" s="5">
        <f>IF(SalesData[[#This Row],[Contracts Offered]]=0,0,SalesData[[#This Row],[Contracts Signed]]/SalesData[[#This Row],[Contracts Offered]])</f>
        <v>0.27777777777777779</v>
      </c>
      <c r="AG3527" s="5">
        <f>IF(SalesData[[#This Row],[Customers Visited]]=0,0,SalesData[[#This Row],[Test Drives]]/SalesData[[#This Row],[Customers Visited]])</f>
        <v>0.59162303664921467</v>
      </c>
      <c r="AH3527" s="5">
        <f>IF(SalesData[[#This Row],[Customers Visited]]=0,0,SalesData[[#This Row],[Contracts Signed]]/SalesData[[#This Row],[Customers Visited]])</f>
        <v>0.13089005235602094</v>
      </c>
      <c r="AI3527" s="6">
        <f>IF(SalesData[[#This Row],[Contracts Signed]]=0,0,SalesData[[#This Row],[Profit(€)]]/SalesData[[#This Row],[Contracts Signed]])</f>
        <v>15559</v>
      </c>
      <c r="AJ3527" s="5" t="str">
        <f>TRIM(CLEAN(SalesData[[#This Row],[Retailer]]))</f>
        <v>Ruhr Auto Plaza</v>
      </c>
    </row>
    <row r="3528" spans="1:36" ht="14.25" hidden="1" x14ac:dyDescent="0.2">
      <c r="A3528" t="s">
        <v>4729</v>
      </c>
      <c r="B3528" s="1">
        <v>46070</v>
      </c>
      <c r="C3528" t="s">
        <v>62</v>
      </c>
      <c r="D3528" t="s">
        <v>63</v>
      </c>
      <c r="E3528" t="s">
        <v>26</v>
      </c>
      <c r="F3528" t="s">
        <v>27</v>
      </c>
      <c r="G3528" t="s">
        <v>28</v>
      </c>
      <c r="H3528" t="s">
        <v>29</v>
      </c>
      <c r="I3528" t="s">
        <v>56</v>
      </c>
      <c r="J3528" t="s">
        <v>137</v>
      </c>
      <c r="K3528" t="s">
        <v>66</v>
      </c>
      <c r="L3528" t="s">
        <v>46</v>
      </c>
      <c r="M3528" t="s">
        <v>87</v>
      </c>
      <c r="N3528" t="s">
        <v>35</v>
      </c>
      <c r="O3528" t="s">
        <v>70</v>
      </c>
      <c r="P3528" t="s">
        <v>58</v>
      </c>
      <c r="Q3528" t="s">
        <v>158</v>
      </c>
      <c r="R3528">
        <v>311</v>
      </c>
      <c r="S3528">
        <v>193</v>
      </c>
      <c r="T3528">
        <v>145</v>
      </c>
      <c r="U3528">
        <v>48</v>
      </c>
      <c r="V3528" t="s">
        <v>6713</v>
      </c>
      <c r="W3528">
        <v>51311</v>
      </c>
      <c r="X3528" t="s">
        <v>1937</v>
      </c>
      <c r="Y3528">
        <v>40810</v>
      </c>
      <c r="Z3528">
        <v>2462928</v>
      </c>
      <c r="AA3528">
        <v>504048</v>
      </c>
      <c r="AB3528" t="str">
        <f>(VLOOKUP(SalesData[[#This Row],[Month Number]],Reference!C$5:E$16,2,FALSE))</f>
        <v>Feb</v>
      </c>
      <c r="AC3528">
        <f>MONTH(SalesData[[#This Row],[Date]])</f>
        <v>2</v>
      </c>
      <c r="AD3528">
        <f>Reference!F$4</f>
        <v>2026</v>
      </c>
      <c r="AE3528" t="str">
        <f>IF(OR(SalesData[[#This Row],[Day]]="Saturday",SalesData[[#This Row],[Day]]="Sunday"),"Weekend","Weekday")</f>
        <v>Weekday</v>
      </c>
      <c r="AF3528" s="5">
        <f>IF(SalesData[[#This Row],[Contracts Offered]]=0,0,SalesData[[#This Row],[Contracts Signed]]/SalesData[[#This Row],[Contracts Offered]])</f>
        <v>0.33103448275862069</v>
      </c>
      <c r="AG3528" s="5">
        <f>IF(SalesData[[#This Row],[Customers Visited]]=0,0,SalesData[[#This Row],[Test Drives]]/SalesData[[#This Row],[Customers Visited]])</f>
        <v>0.62057877813504825</v>
      </c>
      <c r="AH3528" s="5">
        <f>IF(SalesData[[#This Row],[Customers Visited]]=0,0,SalesData[[#This Row],[Contracts Signed]]/SalesData[[#This Row],[Customers Visited]])</f>
        <v>0.15434083601286175</v>
      </c>
      <c r="AI3528" s="6">
        <f>IF(SalesData[[#This Row],[Contracts Signed]]=0,0,SalesData[[#This Row],[Profit(€)]]/SalesData[[#This Row],[Contracts Signed]])</f>
        <v>10501</v>
      </c>
      <c r="AJ3528" s="5" t="str">
        <f>TRIM(CLEAN(SalesData[[#This Row],[Retailer]]))</f>
        <v>Main Auto Hub</v>
      </c>
    </row>
    <row r="3529" spans="1:36" ht="14.25" hidden="1" x14ac:dyDescent="0.2">
      <c r="A3529" t="s">
        <v>4730</v>
      </c>
      <c r="B3529" s="1">
        <v>46068</v>
      </c>
      <c r="C3529" t="s">
        <v>62</v>
      </c>
      <c r="D3529" t="s">
        <v>41</v>
      </c>
      <c r="E3529" t="s">
        <v>42</v>
      </c>
      <c r="F3529" t="s">
        <v>94</v>
      </c>
      <c r="G3529" t="s">
        <v>95</v>
      </c>
      <c r="H3529" t="s">
        <v>96</v>
      </c>
      <c r="I3529" t="s">
        <v>64</v>
      </c>
      <c r="J3529" t="s">
        <v>157</v>
      </c>
      <c r="K3529" t="s">
        <v>32</v>
      </c>
      <c r="L3529" t="s">
        <v>33</v>
      </c>
      <c r="M3529" t="s">
        <v>47</v>
      </c>
      <c r="N3529" t="s">
        <v>48</v>
      </c>
      <c r="O3529" t="s">
        <v>70</v>
      </c>
      <c r="P3529" t="s">
        <v>58</v>
      </c>
      <c r="Q3529" t="s">
        <v>59</v>
      </c>
      <c r="R3529">
        <v>170</v>
      </c>
      <c r="S3529">
        <v>89</v>
      </c>
      <c r="T3529">
        <v>64</v>
      </c>
      <c r="U3529">
        <v>27</v>
      </c>
      <c r="V3529" t="s">
        <v>7245</v>
      </c>
      <c r="W3529">
        <v>71597</v>
      </c>
      <c r="X3529" t="s">
        <v>7227</v>
      </c>
      <c r="Y3529">
        <v>52414</v>
      </c>
      <c r="Z3529">
        <v>1933119</v>
      </c>
      <c r="AA3529">
        <v>517941</v>
      </c>
      <c r="AB3529" t="str">
        <f>(VLOOKUP(SalesData[[#This Row],[Month Number]],Reference!C$5:E$16,2,FALSE))</f>
        <v>Feb</v>
      </c>
      <c r="AC3529">
        <f>MONTH(SalesData[[#This Row],[Date]])</f>
        <v>2</v>
      </c>
      <c r="AD3529">
        <f>Reference!F$4</f>
        <v>2026</v>
      </c>
      <c r="AE3529" t="str">
        <f>IF(OR(SalesData[[#This Row],[Day]]="Saturday",SalesData[[#This Row],[Day]]="Sunday"),"Weekend","Weekday")</f>
        <v>Weekend</v>
      </c>
      <c r="AF3529" s="5">
        <f>IF(SalesData[[#This Row],[Contracts Offered]]=0,0,SalesData[[#This Row],[Contracts Signed]]/SalesData[[#This Row],[Contracts Offered]])</f>
        <v>0.421875</v>
      </c>
      <c r="AG3529" s="5">
        <f>IF(SalesData[[#This Row],[Customers Visited]]=0,0,SalesData[[#This Row],[Test Drives]]/SalesData[[#This Row],[Customers Visited]])</f>
        <v>0.52352941176470591</v>
      </c>
      <c r="AH3529" s="5">
        <f>IF(SalesData[[#This Row],[Customers Visited]]=0,0,SalesData[[#This Row],[Contracts Signed]]/SalesData[[#This Row],[Customers Visited]])</f>
        <v>0.1588235294117647</v>
      </c>
      <c r="AI3529" s="6">
        <f>IF(SalesData[[#This Row],[Contracts Signed]]=0,0,SalesData[[#This Row],[Profit(€)]]/SalesData[[#This Row],[Contracts Signed]])</f>
        <v>19183</v>
      </c>
      <c r="AJ3529" s="5" t="str">
        <f>TRIM(CLEAN(SalesData[[#This Row],[Retailer]]))</f>
        <v>Bavaria Motors</v>
      </c>
    </row>
    <row r="3530" spans="1:36" ht="14.25" hidden="1" x14ac:dyDescent="0.2">
      <c r="A3530" t="s">
        <v>4731</v>
      </c>
      <c r="B3530" s="1">
        <v>46076</v>
      </c>
      <c r="C3530" t="s">
        <v>53</v>
      </c>
      <c r="D3530" t="s">
        <v>25</v>
      </c>
      <c r="E3530" t="s">
        <v>26</v>
      </c>
      <c r="F3530" t="s">
        <v>109</v>
      </c>
      <c r="G3530" t="s">
        <v>110</v>
      </c>
      <c r="H3530" t="s">
        <v>45</v>
      </c>
      <c r="I3530" t="s">
        <v>116</v>
      </c>
      <c r="J3530" t="s">
        <v>117</v>
      </c>
      <c r="K3530" t="s">
        <v>78</v>
      </c>
      <c r="L3530" t="s">
        <v>67</v>
      </c>
      <c r="M3530" t="s">
        <v>47</v>
      </c>
      <c r="N3530" t="s">
        <v>35</v>
      </c>
      <c r="O3530" t="s">
        <v>36</v>
      </c>
      <c r="P3530" t="s">
        <v>71</v>
      </c>
      <c r="Q3530" t="s">
        <v>240</v>
      </c>
      <c r="R3530">
        <v>367</v>
      </c>
      <c r="S3530">
        <v>164</v>
      </c>
      <c r="T3530">
        <v>114</v>
      </c>
      <c r="U3530">
        <v>27</v>
      </c>
      <c r="V3530" t="s">
        <v>618</v>
      </c>
      <c r="W3530">
        <v>25820</v>
      </c>
      <c r="X3530" t="s">
        <v>466</v>
      </c>
      <c r="Y3530">
        <v>23861</v>
      </c>
      <c r="Z3530">
        <v>697140</v>
      </c>
      <c r="AA3530">
        <v>52893</v>
      </c>
      <c r="AB3530" t="str">
        <f>(VLOOKUP(SalesData[[#This Row],[Month Number]],Reference!C$5:E$16,2,FALSE))</f>
        <v>Feb</v>
      </c>
      <c r="AC3530">
        <f>MONTH(SalesData[[#This Row],[Date]])</f>
        <v>2</v>
      </c>
      <c r="AD3530">
        <f>Reference!F$4</f>
        <v>2026</v>
      </c>
      <c r="AE3530" t="str">
        <f>IF(OR(SalesData[[#This Row],[Day]]="Saturday",SalesData[[#This Row],[Day]]="Sunday"),"Weekend","Weekday")</f>
        <v>Weekday</v>
      </c>
      <c r="AF3530" s="5">
        <f>IF(SalesData[[#This Row],[Contracts Offered]]=0,0,SalesData[[#This Row],[Contracts Signed]]/SalesData[[#This Row],[Contracts Offered]])</f>
        <v>0.23684210526315788</v>
      </c>
      <c r="AG3530" s="5">
        <f>IF(SalesData[[#This Row],[Customers Visited]]=0,0,SalesData[[#This Row],[Test Drives]]/SalesData[[#This Row],[Customers Visited]])</f>
        <v>0.44686648501362397</v>
      </c>
      <c r="AH3530" s="5">
        <f>IF(SalesData[[#This Row],[Customers Visited]]=0,0,SalesData[[#This Row],[Contracts Signed]]/SalesData[[#This Row],[Customers Visited]])</f>
        <v>7.3569482288828342E-2</v>
      </c>
      <c r="AI3530" s="6">
        <f>IF(SalesData[[#This Row],[Contracts Signed]]=0,0,SalesData[[#This Row],[Profit(€)]]/SalesData[[#This Row],[Contracts Signed]])</f>
        <v>1959</v>
      </c>
      <c r="AJ3530" s="5" t="str">
        <f>TRIM(CLEAN(SalesData[[#This Row],[Retailer]]))</f>
        <v>Leipzig Mobility</v>
      </c>
    </row>
    <row r="3531" spans="1:36" ht="14.25" hidden="1" x14ac:dyDescent="0.2">
      <c r="A3531" t="s">
        <v>4733</v>
      </c>
      <c r="B3531" s="1">
        <v>46067</v>
      </c>
      <c r="C3531" t="s">
        <v>121</v>
      </c>
      <c r="D3531" t="s">
        <v>151</v>
      </c>
      <c r="E3531" t="s">
        <v>42</v>
      </c>
      <c r="F3531" t="s">
        <v>114</v>
      </c>
      <c r="G3531" t="s">
        <v>115</v>
      </c>
      <c r="H3531" t="s">
        <v>115</v>
      </c>
      <c r="I3531" t="s">
        <v>116</v>
      </c>
      <c r="J3531" t="s">
        <v>132</v>
      </c>
      <c r="K3531" t="s">
        <v>66</v>
      </c>
      <c r="L3531" t="s">
        <v>46</v>
      </c>
      <c r="M3531" t="s">
        <v>68</v>
      </c>
      <c r="N3531" t="s">
        <v>35</v>
      </c>
      <c r="O3531" t="s">
        <v>36</v>
      </c>
      <c r="P3531" t="s">
        <v>37</v>
      </c>
      <c r="Q3531" t="s">
        <v>189</v>
      </c>
      <c r="R3531">
        <v>388</v>
      </c>
      <c r="S3531">
        <v>160</v>
      </c>
      <c r="T3531">
        <v>97</v>
      </c>
      <c r="U3531">
        <v>28</v>
      </c>
      <c r="V3531" t="s">
        <v>648</v>
      </c>
      <c r="W3531">
        <v>25841</v>
      </c>
      <c r="X3531" t="s">
        <v>6194</v>
      </c>
      <c r="Y3531">
        <v>23660</v>
      </c>
      <c r="Z3531">
        <v>723548</v>
      </c>
      <c r="AA3531">
        <v>61068</v>
      </c>
      <c r="AB3531" t="str">
        <f>(VLOOKUP(SalesData[[#This Row],[Month Number]],Reference!C$5:E$16,2,FALSE))</f>
        <v>Feb</v>
      </c>
      <c r="AC3531">
        <f>MONTH(SalesData[[#This Row],[Date]])</f>
        <v>2</v>
      </c>
      <c r="AD3531">
        <f>Reference!F$4</f>
        <v>2026</v>
      </c>
      <c r="AE3531" t="str">
        <f>IF(OR(SalesData[[#This Row],[Day]]="Saturday",SalesData[[#This Row],[Day]]="Sunday"),"Weekend","Weekday")</f>
        <v>Weekend</v>
      </c>
      <c r="AF3531" s="5">
        <f>IF(SalesData[[#This Row],[Contracts Offered]]=0,0,SalesData[[#This Row],[Contracts Signed]]/SalesData[[#This Row],[Contracts Offered]])</f>
        <v>0.28865979381443296</v>
      </c>
      <c r="AG3531" s="5">
        <f>IF(SalesData[[#This Row],[Customers Visited]]=0,0,SalesData[[#This Row],[Test Drives]]/SalesData[[#This Row],[Customers Visited]])</f>
        <v>0.41237113402061853</v>
      </c>
      <c r="AH3531" s="5">
        <f>IF(SalesData[[#This Row],[Customers Visited]]=0,0,SalesData[[#This Row],[Contracts Signed]]/SalesData[[#This Row],[Customers Visited]])</f>
        <v>7.2164948453608241E-2</v>
      </c>
      <c r="AI3531" s="6">
        <f>IF(SalesData[[#This Row],[Contracts Signed]]=0,0,SalesData[[#This Row],[Profit(€)]]/SalesData[[#This Row],[Contracts Signed]])</f>
        <v>2181</v>
      </c>
      <c r="AJ3531" s="5" t="str">
        <f>TRIM(CLEAN(SalesData[[#This Row],[Retailer]]))</f>
        <v>Elbe Drive</v>
      </c>
    </row>
    <row r="3532" spans="1:36" ht="14.25" hidden="1" x14ac:dyDescent="0.2">
      <c r="A3532" t="s">
        <v>4734</v>
      </c>
      <c r="B3532" s="1">
        <v>46077</v>
      </c>
      <c r="C3532" t="s">
        <v>53</v>
      </c>
      <c r="D3532" t="s">
        <v>63</v>
      </c>
      <c r="E3532" t="s">
        <v>26</v>
      </c>
      <c r="F3532" t="s">
        <v>74</v>
      </c>
      <c r="G3532" t="s">
        <v>75</v>
      </c>
      <c r="H3532" t="s">
        <v>76</v>
      </c>
      <c r="I3532" t="s">
        <v>116</v>
      </c>
      <c r="J3532" t="s">
        <v>117</v>
      </c>
      <c r="K3532" t="s">
        <v>32</v>
      </c>
      <c r="L3532" t="s">
        <v>67</v>
      </c>
      <c r="M3532" t="s">
        <v>47</v>
      </c>
      <c r="N3532" t="s">
        <v>35</v>
      </c>
      <c r="O3532" t="s">
        <v>36</v>
      </c>
      <c r="P3532" t="s">
        <v>37</v>
      </c>
      <c r="Q3532" t="s">
        <v>38</v>
      </c>
      <c r="R3532">
        <v>348</v>
      </c>
      <c r="S3532">
        <v>132</v>
      </c>
      <c r="T3532">
        <v>78</v>
      </c>
      <c r="U3532">
        <v>21</v>
      </c>
      <c r="V3532" t="s">
        <v>696</v>
      </c>
      <c r="W3532">
        <v>22631</v>
      </c>
      <c r="X3532" t="s">
        <v>2267</v>
      </c>
      <c r="Y3532">
        <v>20276</v>
      </c>
      <c r="Z3532">
        <v>475251</v>
      </c>
      <c r="AA3532">
        <v>49455</v>
      </c>
      <c r="AB3532" t="str">
        <f>(VLOOKUP(SalesData[[#This Row],[Month Number]],Reference!C$5:E$16,2,FALSE))</f>
        <v>Feb</v>
      </c>
      <c r="AC3532">
        <f>MONTH(SalesData[[#This Row],[Date]])</f>
        <v>2</v>
      </c>
      <c r="AD3532">
        <f>Reference!F$4</f>
        <v>2026</v>
      </c>
      <c r="AE3532" t="str">
        <f>IF(OR(SalesData[[#This Row],[Day]]="Saturday",SalesData[[#This Row],[Day]]="Sunday"),"Weekend","Weekday")</f>
        <v>Weekday</v>
      </c>
      <c r="AF3532" s="5">
        <f>IF(SalesData[[#This Row],[Contracts Offered]]=0,0,SalesData[[#This Row],[Contracts Signed]]/SalesData[[#This Row],[Contracts Offered]])</f>
        <v>0.26923076923076922</v>
      </c>
      <c r="AG3532" s="5">
        <f>IF(SalesData[[#This Row],[Customers Visited]]=0,0,SalesData[[#This Row],[Test Drives]]/SalesData[[#This Row],[Customers Visited]])</f>
        <v>0.37931034482758619</v>
      </c>
      <c r="AH3532" s="5">
        <f>IF(SalesData[[#This Row],[Customers Visited]]=0,0,SalesData[[#This Row],[Contracts Signed]]/SalesData[[#This Row],[Customers Visited]])</f>
        <v>6.0344827586206899E-2</v>
      </c>
      <c r="AI3532" s="6">
        <f>IF(SalesData[[#This Row],[Contracts Signed]]=0,0,SalesData[[#This Row],[Profit(€)]]/SalesData[[#This Row],[Contracts Signed]])</f>
        <v>2355</v>
      </c>
      <c r="AJ3532" s="5" t="str">
        <f>TRIM(CLEAN(SalesData[[#This Row],[Retailer]]))</f>
        <v>Stuttgart Auto Center</v>
      </c>
    </row>
    <row r="3533" spans="1:36" ht="14.25" hidden="1" x14ac:dyDescent="0.2">
      <c r="A3533" t="s">
        <v>4735</v>
      </c>
      <c r="B3533" s="1">
        <v>46061</v>
      </c>
      <c r="C3533" t="s">
        <v>121</v>
      </c>
      <c r="D3533" t="s">
        <v>41</v>
      </c>
      <c r="E3533" t="s">
        <v>42</v>
      </c>
      <c r="F3533" t="s">
        <v>114</v>
      </c>
      <c r="G3533" t="s">
        <v>115</v>
      </c>
      <c r="H3533" t="s">
        <v>115</v>
      </c>
      <c r="I3533" t="s">
        <v>104</v>
      </c>
      <c r="J3533" t="s">
        <v>143</v>
      </c>
      <c r="K3533" t="s">
        <v>78</v>
      </c>
      <c r="L3533" t="s">
        <v>67</v>
      </c>
      <c r="M3533" t="s">
        <v>87</v>
      </c>
      <c r="N3533" t="s">
        <v>69</v>
      </c>
      <c r="O3533" t="s">
        <v>36</v>
      </c>
      <c r="P3533" t="s">
        <v>58</v>
      </c>
      <c r="Q3533" t="s">
        <v>204</v>
      </c>
      <c r="R3533">
        <v>475</v>
      </c>
      <c r="S3533">
        <v>238</v>
      </c>
      <c r="T3533">
        <v>161</v>
      </c>
      <c r="U3533">
        <v>47</v>
      </c>
      <c r="V3533" t="s">
        <v>2805</v>
      </c>
      <c r="W3533">
        <v>27458</v>
      </c>
      <c r="X3533" t="s">
        <v>534</v>
      </c>
      <c r="Y3533">
        <v>24064</v>
      </c>
      <c r="Z3533">
        <v>1290526</v>
      </c>
      <c r="AA3533">
        <v>159518</v>
      </c>
      <c r="AB3533" t="str">
        <f>(VLOOKUP(SalesData[[#This Row],[Month Number]],Reference!C$5:E$16,2,FALSE))</f>
        <v>Feb</v>
      </c>
      <c r="AC3533">
        <f>MONTH(SalesData[[#This Row],[Date]])</f>
        <v>2</v>
      </c>
      <c r="AD3533">
        <f>Reference!F$4</f>
        <v>2026</v>
      </c>
      <c r="AE3533" t="str">
        <f>IF(OR(SalesData[[#This Row],[Day]]="Saturday",SalesData[[#This Row],[Day]]="Sunday"),"Weekend","Weekday")</f>
        <v>Weekend</v>
      </c>
      <c r="AF3533" s="5">
        <f>IF(SalesData[[#This Row],[Contracts Offered]]=0,0,SalesData[[#This Row],[Contracts Signed]]/SalesData[[#This Row],[Contracts Offered]])</f>
        <v>0.29192546583850931</v>
      </c>
      <c r="AG3533" s="5">
        <f>IF(SalesData[[#This Row],[Customers Visited]]=0,0,SalesData[[#This Row],[Test Drives]]/SalesData[[#This Row],[Customers Visited]])</f>
        <v>0.50105263157894742</v>
      </c>
      <c r="AH3533" s="5">
        <f>IF(SalesData[[#This Row],[Customers Visited]]=0,0,SalesData[[#This Row],[Contracts Signed]]/SalesData[[#This Row],[Customers Visited]])</f>
        <v>9.8947368421052631E-2</v>
      </c>
      <c r="AI3533" s="6">
        <f>IF(SalesData[[#This Row],[Contracts Signed]]=0,0,SalesData[[#This Row],[Profit(€)]]/SalesData[[#This Row],[Contracts Signed]])</f>
        <v>3394</v>
      </c>
      <c r="AJ3533" s="5" t="str">
        <f>TRIM(CLEAN(SalesData[[#This Row],[Retailer]]))</f>
        <v>Elbe Drive</v>
      </c>
    </row>
    <row r="3534" spans="1:36" ht="14.25" hidden="1" x14ac:dyDescent="0.2">
      <c r="A3534" t="s">
        <v>4736</v>
      </c>
      <c r="B3534" s="1">
        <v>46068</v>
      </c>
      <c r="C3534" t="s">
        <v>62</v>
      </c>
      <c r="D3534" t="s">
        <v>41</v>
      </c>
      <c r="E3534" t="s">
        <v>42</v>
      </c>
      <c r="F3534" t="s">
        <v>127</v>
      </c>
      <c r="G3534" t="s">
        <v>128</v>
      </c>
      <c r="H3534" t="s">
        <v>103</v>
      </c>
      <c r="I3534" t="s">
        <v>104</v>
      </c>
      <c r="J3534" t="s">
        <v>7031</v>
      </c>
      <c r="K3534" t="s">
        <v>91</v>
      </c>
      <c r="L3534" t="s">
        <v>46</v>
      </c>
      <c r="M3534" t="s">
        <v>87</v>
      </c>
      <c r="N3534" t="s">
        <v>69</v>
      </c>
      <c r="O3534" t="s">
        <v>70</v>
      </c>
      <c r="P3534" t="s">
        <v>49</v>
      </c>
      <c r="Q3534" t="s">
        <v>204</v>
      </c>
      <c r="R3534">
        <v>348</v>
      </c>
      <c r="S3534">
        <v>146</v>
      </c>
      <c r="T3534">
        <v>91</v>
      </c>
      <c r="U3534">
        <v>20</v>
      </c>
      <c r="V3534" t="s">
        <v>2883</v>
      </c>
      <c r="W3534">
        <v>30732</v>
      </c>
      <c r="X3534" t="s">
        <v>4997</v>
      </c>
      <c r="Y3534">
        <v>27686</v>
      </c>
      <c r="Z3534">
        <v>614640</v>
      </c>
      <c r="AA3534">
        <v>60920</v>
      </c>
      <c r="AB3534" t="str">
        <f>(VLOOKUP(SalesData[[#This Row],[Month Number]],Reference!C$5:E$16,2,FALSE))</f>
        <v>Feb</v>
      </c>
      <c r="AC3534">
        <f>MONTH(SalesData[[#This Row],[Date]])</f>
        <v>2</v>
      </c>
      <c r="AD3534">
        <f>Reference!F$4</f>
        <v>2026</v>
      </c>
      <c r="AE3534" t="str">
        <f>IF(OR(SalesData[[#This Row],[Day]]="Saturday",SalesData[[#This Row],[Day]]="Sunday"),"Weekend","Weekday")</f>
        <v>Weekend</v>
      </c>
      <c r="AF3534" s="5">
        <f>IF(SalesData[[#This Row],[Contracts Offered]]=0,0,SalesData[[#This Row],[Contracts Signed]]/SalesData[[#This Row],[Contracts Offered]])</f>
        <v>0.21978021978021978</v>
      </c>
      <c r="AG3534" s="5">
        <f>IF(SalesData[[#This Row],[Customers Visited]]=0,0,SalesData[[#This Row],[Test Drives]]/SalesData[[#This Row],[Customers Visited]])</f>
        <v>0.41954022988505746</v>
      </c>
      <c r="AH3534" s="5">
        <f>IF(SalesData[[#This Row],[Customers Visited]]=0,0,SalesData[[#This Row],[Contracts Signed]]/SalesData[[#This Row],[Customers Visited]])</f>
        <v>5.7471264367816091E-2</v>
      </c>
      <c r="AI3534" s="6">
        <f>IF(SalesData[[#This Row],[Contracts Signed]]=0,0,SalesData[[#This Row],[Profit(€)]]/SalesData[[#This Row],[Contracts Signed]])</f>
        <v>3046</v>
      </c>
      <c r="AJ3534" s="5" t="str">
        <f>TRIM(CLEAN(SalesData[[#This Row],[Retailer]]))</f>
        <v>Rhein Auto Group</v>
      </c>
    </row>
    <row r="3535" spans="1:36" ht="14.25" hidden="1" x14ac:dyDescent="0.2">
      <c r="A3535" t="s">
        <v>4737</v>
      </c>
      <c r="B3535" s="1">
        <v>46076</v>
      </c>
      <c r="C3535" t="s">
        <v>53</v>
      </c>
      <c r="D3535" t="s">
        <v>25</v>
      </c>
      <c r="E3535" t="s">
        <v>26</v>
      </c>
      <c r="F3535" t="s">
        <v>101</v>
      </c>
      <c r="G3535" t="s">
        <v>102</v>
      </c>
      <c r="H3535" t="s">
        <v>103</v>
      </c>
      <c r="I3535" t="s">
        <v>104</v>
      </c>
      <c r="J3535" t="s">
        <v>140</v>
      </c>
      <c r="K3535" t="s">
        <v>66</v>
      </c>
      <c r="L3535" t="s">
        <v>46</v>
      </c>
      <c r="M3535" t="s">
        <v>34</v>
      </c>
      <c r="N3535" t="s">
        <v>48</v>
      </c>
      <c r="O3535" t="s">
        <v>36</v>
      </c>
      <c r="P3535" t="s">
        <v>37</v>
      </c>
      <c r="Q3535" t="s">
        <v>167</v>
      </c>
      <c r="R3535">
        <v>320</v>
      </c>
      <c r="S3535">
        <v>162</v>
      </c>
      <c r="T3535">
        <v>94</v>
      </c>
      <c r="U3535">
        <v>25</v>
      </c>
      <c r="V3535" t="s">
        <v>4066</v>
      </c>
      <c r="W3535">
        <v>32944</v>
      </c>
      <c r="X3535" t="s">
        <v>985</v>
      </c>
      <c r="Y3535">
        <v>28762</v>
      </c>
      <c r="Z3535">
        <v>823600</v>
      </c>
      <c r="AA3535">
        <v>104550</v>
      </c>
      <c r="AB3535" t="str">
        <f>(VLOOKUP(SalesData[[#This Row],[Month Number]],Reference!C$5:E$16,2,FALSE))</f>
        <v>Feb</v>
      </c>
      <c r="AC3535">
        <f>MONTH(SalesData[[#This Row],[Date]])</f>
        <v>2</v>
      </c>
      <c r="AD3535">
        <f>Reference!F$4</f>
        <v>2026</v>
      </c>
      <c r="AE3535" t="str">
        <f>IF(OR(SalesData[[#This Row],[Day]]="Saturday",SalesData[[#This Row],[Day]]="Sunday"),"Weekend","Weekday")</f>
        <v>Weekday</v>
      </c>
      <c r="AF3535" s="5">
        <f>IF(SalesData[[#This Row],[Contracts Offered]]=0,0,SalesData[[#This Row],[Contracts Signed]]/SalesData[[#This Row],[Contracts Offered]])</f>
        <v>0.26595744680851063</v>
      </c>
      <c r="AG3535" s="5">
        <f>IF(SalesData[[#This Row],[Customers Visited]]=0,0,SalesData[[#This Row],[Test Drives]]/SalesData[[#This Row],[Customers Visited]])</f>
        <v>0.50624999999999998</v>
      </c>
      <c r="AH3535" s="5">
        <f>IF(SalesData[[#This Row],[Customers Visited]]=0,0,SalesData[[#This Row],[Contracts Signed]]/SalesData[[#This Row],[Customers Visited]])</f>
        <v>7.8125E-2</v>
      </c>
      <c r="AI3535" s="6">
        <f>IF(SalesData[[#This Row],[Contracts Signed]]=0,0,SalesData[[#This Row],[Profit(€)]]/SalesData[[#This Row],[Contracts Signed]])</f>
        <v>4182</v>
      </c>
      <c r="AJ3535" s="5" t="str">
        <f>TRIM(CLEAN(SalesData[[#This Row],[Retailer]]))</f>
        <v>Ruhr Auto Plaza</v>
      </c>
    </row>
    <row r="3536" spans="1:36" ht="14.25" hidden="1" x14ac:dyDescent="0.2">
      <c r="A3536" t="s">
        <v>4738</v>
      </c>
      <c r="B3536" s="1">
        <v>46061</v>
      </c>
      <c r="C3536" t="s">
        <v>121</v>
      </c>
      <c r="D3536" t="s">
        <v>41</v>
      </c>
      <c r="E3536" t="s">
        <v>42</v>
      </c>
      <c r="F3536" t="s">
        <v>43</v>
      </c>
      <c r="G3536" t="s">
        <v>44</v>
      </c>
      <c r="H3536" t="s">
        <v>45</v>
      </c>
      <c r="I3536" t="s">
        <v>104</v>
      </c>
      <c r="J3536" t="s">
        <v>7031</v>
      </c>
      <c r="K3536" t="s">
        <v>66</v>
      </c>
      <c r="L3536" t="s">
        <v>46</v>
      </c>
      <c r="M3536" t="s">
        <v>47</v>
      </c>
      <c r="N3536" t="s">
        <v>48</v>
      </c>
      <c r="O3536" t="s">
        <v>70</v>
      </c>
      <c r="P3536" t="s">
        <v>49</v>
      </c>
      <c r="Q3536" t="s">
        <v>240</v>
      </c>
      <c r="R3536">
        <v>307</v>
      </c>
      <c r="S3536">
        <v>153</v>
      </c>
      <c r="T3536">
        <v>103</v>
      </c>
      <c r="U3536">
        <v>21</v>
      </c>
      <c r="V3536" t="s">
        <v>915</v>
      </c>
      <c r="W3536">
        <v>27193</v>
      </c>
      <c r="X3536" t="s">
        <v>1017</v>
      </c>
      <c r="Y3536">
        <v>23541</v>
      </c>
      <c r="Z3536">
        <v>571053</v>
      </c>
      <c r="AA3536">
        <v>76692</v>
      </c>
      <c r="AB3536" t="str">
        <f>(VLOOKUP(SalesData[[#This Row],[Month Number]],Reference!C$5:E$16,2,FALSE))</f>
        <v>Feb</v>
      </c>
      <c r="AC3536">
        <f>MONTH(SalesData[[#This Row],[Date]])</f>
        <v>2</v>
      </c>
      <c r="AD3536">
        <f>Reference!F$4</f>
        <v>2026</v>
      </c>
      <c r="AE3536" t="str">
        <f>IF(OR(SalesData[[#This Row],[Day]]="Saturday",SalesData[[#This Row],[Day]]="Sunday"),"Weekend","Weekday")</f>
        <v>Weekend</v>
      </c>
      <c r="AF3536" s="5">
        <f>IF(SalesData[[#This Row],[Contracts Offered]]=0,0,SalesData[[#This Row],[Contracts Signed]]/SalesData[[#This Row],[Contracts Offered]])</f>
        <v>0.20388349514563106</v>
      </c>
      <c r="AG3536" s="5">
        <f>IF(SalesData[[#This Row],[Customers Visited]]=0,0,SalesData[[#This Row],[Test Drives]]/SalesData[[#This Row],[Customers Visited]])</f>
        <v>0.49837133550488599</v>
      </c>
      <c r="AH3536" s="5">
        <f>IF(SalesData[[#This Row],[Customers Visited]]=0,0,SalesData[[#This Row],[Contracts Signed]]/SalesData[[#This Row],[Customers Visited]])</f>
        <v>6.8403908794788276E-2</v>
      </c>
      <c r="AI3536" s="6">
        <f>IF(SalesData[[#This Row],[Contracts Signed]]=0,0,SalesData[[#This Row],[Profit(€)]]/SalesData[[#This Row],[Contracts Signed]])</f>
        <v>3652</v>
      </c>
      <c r="AJ3536" s="5" t="str">
        <f>TRIM(CLEAN(SalesData[[#This Row],[Retailer]]))</f>
        <v>Saxon Wheels</v>
      </c>
    </row>
    <row r="3537" spans="1:36" ht="14.25" hidden="1" x14ac:dyDescent="0.2">
      <c r="A3537" t="s">
        <v>4739</v>
      </c>
      <c r="B3537" s="1">
        <v>46059</v>
      </c>
      <c r="C3537" t="s">
        <v>24</v>
      </c>
      <c r="D3537" t="s">
        <v>54</v>
      </c>
      <c r="E3537" t="s">
        <v>26</v>
      </c>
      <c r="F3537" t="s">
        <v>127</v>
      </c>
      <c r="G3537" t="s">
        <v>128</v>
      </c>
      <c r="H3537" t="s">
        <v>103</v>
      </c>
      <c r="I3537" t="s">
        <v>104</v>
      </c>
      <c r="J3537" t="s">
        <v>143</v>
      </c>
      <c r="K3537" t="s">
        <v>91</v>
      </c>
      <c r="L3537" t="s">
        <v>67</v>
      </c>
      <c r="M3537" t="s">
        <v>68</v>
      </c>
      <c r="N3537" t="s">
        <v>35</v>
      </c>
      <c r="O3537" t="s">
        <v>36</v>
      </c>
      <c r="P3537" t="s">
        <v>71</v>
      </c>
      <c r="Q3537" t="s">
        <v>240</v>
      </c>
      <c r="R3537">
        <v>302</v>
      </c>
      <c r="S3537">
        <v>130</v>
      </c>
      <c r="T3537">
        <v>93</v>
      </c>
      <c r="U3537">
        <v>21</v>
      </c>
      <c r="V3537" t="s">
        <v>3319</v>
      </c>
      <c r="W3537">
        <v>28931</v>
      </c>
      <c r="X3537" t="s">
        <v>3542</v>
      </c>
      <c r="Y3537">
        <v>26087</v>
      </c>
      <c r="Z3537">
        <v>607551</v>
      </c>
      <c r="AA3537">
        <v>59724</v>
      </c>
      <c r="AB3537" t="str">
        <f>(VLOOKUP(SalesData[[#This Row],[Month Number]],Reference!C$5:E$16,2,FALSE))</f>
        <v>Feb</v>
      </c>
      <c r="AC3537">
        <f>MONTH(SalesData[[#This Row],[Date]])</f>
        <v>2</v>
      </c>
      <c r="AD3537">
        <f>Reference!F$4</f>
        <v>2026</v>
      </c>
      <c r="AE3537" t="str">
        <f>IF(OR(SalesData[[#This Row],[Day]]="Saturday",SalesData[[#This Row],[Day]]="Sunday"),"Weekend","Weekday")</f>
        <v>Weekday</v>
      </c>
      <c r="AF3537" s="5">
        <f>IF(SalesData[[#This Row],[Contracts Offered]]=0,0,SalesData[[#This Row],[Contracts Signed]]/SalesData[[#This Row],[Contracts Offered]])</f>
        <v>0.22580645161290322</v>
      </c>
      <c r="AG3537" s="5">
        <f>IF(SalesData[[#This Row],[Customers Visited]]=0,0,SalesData[[#This Row],[Test Drives]]/SalesData[[#This Row],[Customers Visited]])</f>
        <v>0.43046357615894038</v>
      </c>
      <c r="AH3537" s="5">
        <f>IF(SalesData[[#This Row],[Customers Visited]]=0,0,SalesData[[#This Row],[Contracts Signed]]/SalesData[[#This Row],[Customers Visited]])</f>
        <v>6.9536423841059597E-2</v>
      </c>
      <c r="AI3537" s="6">
        <f>IF(SalesData[[#This Row],[Contracts Signed]]=0,0,SalesData[[#This Row],[Profit(€)]]/SalesData[[#This Row],[Contracts Signed]])</f>
        <v>2844</v>
      </c>
      <c r="AJ3537" s="5" t="str">
        <f>TRIM(CLEAN(SalesData[[#This Row],[Retailer]]))</f>
        <v>Rhein Auto Group</v>
      </c>
    </row>
    <row r="3538" spans="1:36" ht="14.25" hidden="1" x14ac:dyDescent="0.2">
      <c r="A3538" t="s">
        <v>4740</v>
      </c>
      <c r="B3538" s="1">
        <v>46056</v>
      </c>
      <c r="C3538" t="s">
        <v>24</v>
      </c>
      <c r="D3538" t="s">
        <v>63</v>
      </c>
      <c r="E3538" t="s">
        <v>26</v>
      </c>
      <c r="F3538" t="s">
        <v>94</v>
      </c>
      <c r="G3538" t="s">
        <v>95</v>
      </c>
      <c r="H3538" t="s">
        <v>96</v>
      </c>
      <c r="I3538" t="s">
        <v>116</v>
      </c>
      <c r="J3538" t="s">
        <v>7090</v>
      </c>
      <c r="K3538" t="s">
        <v>66</v>
      </c>
      <c r="L3538" t="s">
        <v>46</v>
      </c>
      <c r="M3538" t="s">
        <v>34</v>
      </c>
      <c r="N3538" t="s">
        <v>69</v>
      </c>
      <c r="O3538" t="s">
        <v>36</v>
      </c>
      <c r="P3538" t="s">
        <v>71</v>
      </c>
      <c r="Q3538" t="s">
        <v>169</v>
      </c>
      <c r="R3538">
        <v>325</v>
      </c>
      <c r="S3538">
        <v>124</v>
      </c>
      <c r="T3538">
        <v>85</v>
      </c>
      <c r="U3538">
        <v>23</v>
      </c>
      <c r="V3538" t="s">
        <v>2812</v>
      </c>
      <c r="W3538">
        <v>25444</v>
      </c>
      <c r="X3538" t="s">
        <v>1612</v>
      </c>
      <c r="Y3538">
        <v>23075</v>
      </c>
      <c r="Z3538">
        <v>585212</v>
      </c>
      <c r="AA3538">
        <v>54487</v>
      </c>
      <c r="AB3538" t="str">
        <f>(VLOOKUP(SalesData[[#This Row],[Month Number]],Reference!C$5:E$16,2,FALSE))</f>
        <v>Feb</v>
      </c>
      <c r="AC3538">
        <f>MONTH(SalesData[[#This Row],[Date]])</f>
        <v>2</v>
      </c>
      <c r="AD3538">
        <f>Reference!F$4</f>
        <v>2026</v>
      </c>
      <c r="AE3538" t="str">
        <f>IF(OR(SalesData[[#This Row],[Day]]="Saturday",SalesData[[#This Row],[Day]]="Sunday"),"Weekend","Weekday")</f>
        <v>Weekday</v>
      </c>
      <c r="AF3538" s="5">
        <f>IF(SalesData[[#This Row],[Contracts Offered]]=0,0,SalesData[[#This Row],[Contracts Signed]]/SalesData[[#This Row],[Contracts Offered]])</f>
        <v>0.27058823529411763</v>
      </c>
      <c r="AG3538" s="5">
        <f>IF(SalesData[[#This Row],[Customers Visited]]=0,0,SalesData[[#This Row],[Test Drives]]/SalesData[[#This Row],[Customers Visited]])</f>
        <v>0.38153846153846155</v>
      </c>
      <c r="AH3538" s="5">
        <f>IF(SalesData[[#This Row],[Customers Visited]]=0,0,SalesData[[#This Row],[Contracts Signed]]/SalesData[[#This Row],[Customers Visited]])</f>
        <v>7.0769230769230765E-2</v>
      </c>
      <c r="AI3538" s="6">
        <f>IF(SalesData[[#This Row],[Contracts Signed]]=0,0,SalesData[[#This Row],[Profit(€)]]/SalesData[[#This Row],[Contracts Signed]])</f>
        <v>2369</v>
      </c>
      <c r="AJ3538" s="5" t="str">
        <f>TRIM(CLEAN(SalesData[[#This Row],[Retailer]]))</f>
        <v>Bavaria Motors</v>
      </c>
    </row>
    <row r="3539" spans="1:36" ht="14.25" x14ac:dyDescent="0.2">
      <c r="A3539" t="s">
        <v>4741</v>
      </c>
      <c r="B3539" s="1">
        <v>46064</v>
      </c>
      <c r="C3539" t="s">
        <v>121</v>
      </c>
      <c r="D3539" t="s">
        <v>82</v>
      </c>
      <c r="E3539" t="s">
        <v>26</v>
      </c>
      <c r="F3539" t="s">
        <v>43</v>
      </c>
      <c r="G3539" t="s">
        <v>44</v>
      </c>
      <c r="H3539" t="s">
        <v>45</v>
      </c>
      <c r="I3539" t="s">
        <v>30</v>
      </c>
      <c r="J3539" t="s">
        <v>86</v>
      </c>
      <c r="K3539" t="s">
        <v>78</v>
      </c>
      <c r="L3539" t="s">
        <v>33</v>
      </c>
      <c r="M3539" t="s">
        <v>47</v>
      </c>
      <c r="N3539" t="s">
        <v>35</v>
      </c>
      <c r="O3539" t="s">
        <v>36</v>
      </c>
      <c r="P3539" t="s">
        <v>37</v>
      </c>
      <c r="Q3539" t="s">
        <v>204</v>
      </c>
      <c r="R3539">
        <v>177</v>
      </c>
      <c r="S3539">
        <v>95</v>
      </c>
      <c r="T3539">
        <v>68</v>
      </c>
      <c r="U3539">
        <v>24</v>
      </c>
      <c r="V3539" t="s">
        <v>6868</v>
      </c>
      <c r="W3539">
        <v>67332</v>
      </c>
      <c r="X3539" t="s">
        <v>7326</v>
      </c>
      <c r="Y3539">
        <v>49987</v>
      </c>
      <c r="Z3539">
        <v>1615968</v>
      </c>
      <c r="AA3539">
        <v>416280</v>
      </c>
      <c r="AB3539" t="str">
        <f>(VLOOKUP(SalesData[[#This Row],[Month Number]],Reference!C$5:E$16,2,FALSE))</f>
        <v>Feb</v>
      </c>
      <c r="AC3539">
        <f>MONTH(SalesData[[#This Row],[Date]])</f>
        <v>2</v>
      </c>
      <c r="AD3539">
        <f>Reference!F$4</f>
        <v>2026</v>
      </c>
      <c r="AE3539" t="str">
        <f>IF(OR(SalesData[[#This Row],[Day]]="Saturday",SalesData[[#This Row],[Day]]="Sunday"),"Weekend","Weekday")</f>
        <v>Weekday</v>
      </c>
      <c r="AF3539" s="5">
        <f>IF(SalesData[[#This Row],[Contracts Offered]]=0,0,SalesData[[#This Row],[Contracts Signed]]/SalesData[[#This Row],[Contracts Offered]])</f>
        <v>0.35294117647058826</v>
      </c>
      <c r="AG3539" s="5">
        <f>IF(SalesData[[#This Row],[Customers Visited]]=0,0,SalesData[[#This Row],[Test Drives]]/SalesData[[#This Row],[Customers Visited]])</f>
        <v>0.53672316384180796</v>
      </c>
      <c r="AH3539" s="5">
        <f>IF(SalesData[[#This Row],[Customers Visited]]=0,0,SalesData[[#This Row],[Contracts Signed]]/SalesData[[#This Row],[Customers Visited]])</f>
        <v>0.13559322033898305</v>
      </c>
      <c r="AI3539" s="6">
        <f>IF(SalesData[[#This Row],[Contracts Signed]]=0,0,SalesData[[#This Row],[Profit(€)]]/SalesData[[#This Row],[Contracts Signed]])</f>
        <v>17345</v>
      </c>
      <c r="AJ3539" s="5" t="str">
        <f>TRIM(CLEAN(SalesData[[#This Row],[Retailer]]))</f>
        <v>Saxon Wheels</v>
      </c>
    </row>
    <row r="3540" spans="1:36" ht="14.25" hidden="1" x14ac:dyDescent="0.2">
      <c r="A3540" t="s">
        <v>4742</v>
      </c>
      <c r="B3540" s="1">
        <v>46077</v>
      </c>
      <c r="C3540" t="s">
        <v>53</v>
      </c>
      <c r="D3540" t="s">
        <v>63</v>
      </c>
      <c r="E3540" t="s">
        <v>26</v>
      </c>
      <c r="F3540" t="s">
        <v>94</v>
      </c>
      <c r="G3540" t="s">
        <v>95</v>
      </c>
      <c r="H3540" t="s">
        <v>96</v>
      </c>
      <c r="I3540" t="s">
        <v>56</v>
      </c>
      <c r="J3540" t="s">
        <v>57</v>
      </c>
      <c r="K3540" t="s">
        <v>32</v>
      </c>
      <c r="L3540" t="s">
        <v>46</v>
      </c>
      <c r="M3540" t="s">
        <v>68</v>
      </c>
      <c r="N3540" t="s">
        <v>69</v>
      </c>
      <c r="O3540" t="s">
        <v>36</v>
      </c>
      <c r="P3540" t="s">
        <v>58</v>
      </c>
      <c r="Q3540" t="s">
        <v>122</v>
      </c>
      <c r="R3540">
        <v>244</v>
      </c>
      <c r="S3540">
        <v>121</v>
      </c>
      <c r="T3540">
        <v>93</v>
      </c>
      <c r="U3540">
        <v>37</v>
      </c>
      <c r="V3540" t="s">
        <v>7432</v>
      </c>
      <c r="W3540">
        <v>46139</v>
      </c>
      <c r="X3540" t="s">
        <v>678</v>
      </c>
      <c r="Y3540">
        <v>35285</v>
      </c>
      <c r="Z3540">
        <v>1707143</v>
      </c>
      <c r="AA3540">
        <v>401598</v>
      </c>
      <c r="AB3540" t="str">
        <f>(VLOOKUP(SalesData[[#This Row],[Month Number]],Reference!C$5:E$16,2,FALSE))</f>
        <v>Feb</v>
      </c>
      <c r="AC3540">
        <f>MONTH(SalesData[[#This Row],[Date]])</f>
        <v>2</v>
      </c>
      <c r="AD3540">
        <f>Reference!F$4</f>
        <v>2026</v>
      </c>
      <c r="AE3540" t="str">
        <f>IF(OR(SalesData[[#This Row],[Day]]="Saturday",SalesData[[#This Row],[Day]]="Sunday"),"Weekend","Weekday")</f>
        <v>Weekday</v>
      </c>
      <c r="AF3540" s="5">
        <f>IF(SalesData[[#This Row],[Contracts Offered]]=0,0,SalesData[[#This Row],[Contracts Signed]]/SalesData[[#This Row],[Contracts Offered]])</f>
        <v>0.39784946236559138</v>
      </c>
      <c r="AG3540" s="5">
        <f>IF(SalesData[[#This Row],[Customers Visited]]=0,0,SalesData[[#This Row],[Test Drives]]/SalesData[[#This Row],[Customers Visited]])</f>
        <v>0.49590163934426229</v>
      </c>
      <c r="AH3540" s="5">
        <f>IF(SalesData[[#This Row],[Customers Visited]]=0,0,SalesData[[#This Row],[Contracts Signed]]/SalesData[[#This Row],[Customers Visited]])</f>
        <v>0.15163934426229508</v>
      </c>
      <c r="AI3540" s="6">
        <f>IF(SalesData[[#This Row],[Contracts Signed]]=0,0,SalesData[[#This Row],[Profit(€)]]/SalesData[[#This Row],[Contracts Signed]])</f>
        <v>10854</v>
      </c>
      <c r="AJ3540" s="5" t="str">
        <f>TRIM(CLEAN(SalesData[[#This Row],[Retailer]]))</f>
        <v>Bavaria Motors</v>
      </c>
    </row>
    <row r="3541" spans="1:36" ht="14.25" hidden="1" x14ac:dyDescent="0.2">
      <c r="A3541" t="s">
        <v>4743</v>
      </c>
      <c r="B3541" s="1">
        <v>46063</v>
      </c>
      <c r="C3541" t="s">
        <v>121</v>
      </c>
      <c r="D3541" t="s">
        <v>63</v>
      </c>
      <c r="E3541" t="s">
        <v>26</v>
      </c>
      <c r="F3541" t="s">
        <v>83</v>
      </c>
      <c r="G3541" t="s">
        <v>84</v>
      </c>
      <c r="H3541" t="s">
        <v>85</v>
      </c>
      <c r="I3541" t="s">
        <v>104</v>
      </c>
      <c r="J3541" t="s">
        <v>143</v>
      </c>
      <c r="K3541" t="s">
        <v>78</v>
      </c>
      <c r="L3541" t="s">
        <v>67</v>
      </c>
      <c r="M3541" t="s">
        <v>68</v>
      </c>
      <c r="N3541" t="s">
        <v>69</v>
      </c>
      <c r="O3541" t="s">
        <v>36</v>
      </c>
      <c r="P3541" t="s">
        <v>71</v>
      </c>
      <c r="Q3541" t="s">
        <v>204</v>
      </c>
      <c r="R3541">
        <v>480</v>
      </c>
      <c r="S3541">
        <v>222</v>
      </c>
      <c r="T3541">
        <v>142</v>
      </c>
      <c r="U3541">
        <v>42</v>
      </c>
      <c r="V3541" t="s">
        <v>375</v>
      </c>
      <c r="W3541">
        <v>27221</v>
      </c>
      <c r="X3541" t="s">
        <v>4064</v>
      </c>
      <c r="Y3541">
        <v>24644</v>
      </c>
      <c r="Z3541">
        <v>1143282</v>
      </c>
      <c r="AA3541">
        <v>108234</v>
      </c>
      <c r="AB3541" t="str">
        <f>(VLOOKUP(SalesData[[#This Row],[Month Number]],Reference!C$5:E$16,2,FALSE))</f>
        <v>Feb</v>
      </c>
      <c r="AC3541">
        <f>MONTH(SalesData[[#This Row],[Date]])</f>
        <v>2</v>
      </c>
      <c r="AD3541">
        <f>Reference!F$4</f>
        <v>2026</v>
      </c>
      <c r="AE3541" t="str">
        <f>IF(OR(SalesData[[#This Row],[Day]]="Saturday",SalesData[[#This Row],[Day]]="Sunday"),"Weekend","Weekday")</f>
        <v>Weekday</v>
      </c>
      <c r="AF3541" s="5">
        <f>IF(SalesData[[#This Row],[Contracts Offered]]=0,0,SalesData[[#This Row],[Contracts Signed]]/SalesData[[#This Row],[Contracts Offered]])</f>
        <v>0.29577464788732394</v>
      </c>
      <c r="AG3541" s="5">
        <f>IF(SalesData[[#This Row],[Customers Visited]]=0,0,SalesData[[#This Row],[Test Drives]]/SalesData[[#This Row],[Customers Visited]])</f>
        <v>0.46250000000000002</v>
      </c>
      <c r="AH3541" s="5">
        <f>IF(SalesData[[#This Row],[Customers Visited]]=0,0,SalesData[[#This Row],[Contracts Signed]]/SalesData[[#This Row],[Customers Visited]])</f>
        <v>8.7499999999999994E-2</v>
      </c>
      <c r="AI3541" s="6">
        <f>IF(SalesData[[#This Row],[Contracts Signed]]=0,0,SalesData[[#This Row],[Profit(€)]]/SalesData[[#This Row],[Contracts Signed]])</f>
        <v>2577</v>
      </c>
      <c r="AJ3541" s="5" t="str">
        <f>TRIM(CLEAN(SalesData[[#This Row],[Retailer]]))</f>
        <v>Hannover Cars</v>
      </c>
    </row>
    <row r="3542" spans="1:36" ht="14.25" hidden="1" x14ac:dyDescent="0.2">
      <c r="A3542" t="s">
        <v>4744</v>
      </c>
      <c r="B3542" s="1">
        <v>46064</v>
      </c>
      <c r="C3542" t="s">
        <v>121</v>
      </c>
      <c r="D3542" t="s">
        <v>82</v>
      </c>
      <c r="E3542" t="s">
        <v>26</v>
      </c>
      <c r="F3542" t="s">
        <v>94</v>
      </c>
      <c r="G3542" t="s">
        <v>95</v>
      </c>
      <c r="H3542" t="s">
        <v>96</v>
      </c>
      <c r="I3542" t="s">
        <v>56</v>
      </c>
      <c r="J3542" t="s">
        <v>97</v>
      </c>
      <c r="K3542" t="s">
        <v>78</v>
      </c>
      <c r="L3542" t="s">
        <v>33</v>
      </c>
      <c r="M3542" t="s">
        <v>47</v>
      </c>
      <c r="N3542" t="s">
        <v>69</v>
      </c>
      <c r="O3542" t="s">
        <v>70</v>
      </c>
      <c r="P3542" t="s">
        <v>49</v>
      </c>
      <c r="Q3542" t="s">
        <v>172</v>
      </c>
      <c r="R3542">
        <v>302</v>
      </c>
      <c r="S3542">
        <v>144</v>
      </c>
      <c r="T3542">
        <v>108</v>
      </c>
      <c r="U3542">
        <v>29</v>
      </c>
      <c r="V3542" t="s">
        <v>6681</v>
      </c>
      <c r="W3542">
        <v>48414</v>
      </c>
      <c r="X3542" t="s">
        <v>7196</v>
      </c>
      <c r="Y3542">
        <v>39132</v>
      </c>
      <c r="Z3542">
        <v>1404006</v>
      </c>
      <c r="AA3542">
        <v>269178</v>
      </c>
      <c r="AB3542" t="str">
        <f>(VLOOKUP(SalesData[[#This Row],[Month Number]],Reference!C$5:E$16,2,FALSE))</f>
        <v>Feb</v>
      </c>
      <c r="AC3542">
        <f>MONTH(SalesData[[#This Row],[Date]])</f>
        <v>2</v>
      </c>
      <c r="AD3542">
        <f>Reference!F$4</f>
        <v>2026</v>
      </c>
      <c r="AE3542" t="str">
        <f>IF(OR(SalesData[[#This Row],[Day]]="Saturday",SalesData[[#This Row],[Day]]="Sunday"),"Weekend","Weekday")</f>
        <v>Weekday</v>
      </c>
      <c r="AF3542" s="5">
        <f>IF(SalesData[[#This Row],[Contracts Offered]]=0,0,SalesData[[#This Row],[Contracts Signed]]/SalesData[[#This Row],[Contracts Offered]])</f>
        <v>0.26851851851851855</v>
      </c>
      <c r="AG3542" s="5">
        <f>IF(SalesData[[#This Row],[Customers Visited]]=0,0,SalesData[[#This Row],[Test Drives]]/SalesData[[#This Row],[Customers Visited]])</f>
        <v>0.47682119205298013</v>
      </c>
      <c r="AH3542" s="5">
        <f>IF(SalesData[[#This Row],[Customers Visited]]=0,0,SalesData[[#This Row],[Contracts Signed]]/SalesData[[#This Row],[Customers Visited]])</f>
        <v>9.602649006622517E-2</v>
      </c>
      <c r="AI3542" s="6">
        <f>IF(SalesData[[#This Row],[Contracts Signed]]=0,0,SalesData[[#This Row],[Profit(€)]]/SalesData[[#This Row],[Contracts Signed]])</f>
        <v>9282</v>
      </c>
      <c r="AJ3542" s="5" t="str">
        <f>TRIM(CLEAN(SalesData[[#This Row],[Retailer]]))</f>
        <v>Bavaria Motors</v>
      </c>
    </row>
    <row r="3543" spans="1:36" ht="14.25" hidden="1" x14ac:dyDescent="0.2">
      <c r="A3543" t="s">
        <v>4745</v>
      </c>
      <c r="B3543" s="1">
        <v>46066</v>
      </c>
      <c r="C3543" t="s">
        <v>121</v>
      </c>
      <c r="D3543" t="s">
        <v>54</v>
      </c>
      <c r="E3543" t="s">
        <v>26</v>
      </c>
      <c r="F3543" t="s">
        <v>43</v>
      </c>
      <c r="G3543" t="s">
        <v>44</v>
      </c>
      <c r="H3543" t="s">
        <v>45</v>
      </c>
      <c r="I3543" t="s">
        <v>104</v>
      </c>
      <c r="J3543" t="s">
        <v>7061</v>
      </c>
      <c r="K3543" t="s">
        <v>66</v>
      </c>
      <c r="L3543" t="s">
        <v>46</v>
      </c>
      <c r="M3543" t="s">
        <v>87</v>
      </c>
      <c r="N3543" t="s">
        <v>35</v>
      </c>
      <c r="O3543" t="s">
        <v>70</v>
      </c>
      <c r="P3543" t="s">
        <v>58</v>
      </c>
      <c r="Q3543" t="s">
        <v>152</v>
      </c>
      <c r="R3543">
        <v>501</v>
      </c>
      <c r="S3543">
        <v>267</v>
      </c>
      <c r="T3543">
        <v>171</v>
      </c>
      <c r="U3543">
        <v>49</v>
      </c>
      <c r="V3543" t="s">
        <v>628</v>
      </c>
      <c r="W3543">
        <v>34244</v>
      </c>
      <c r="X3543" t="s">
        <v>1105</v>
      </c>
      <c r="Y3543">
        <v>30975</v>
      </c>
      <c r="Z3543">
        <v>1677956</v>
      </c>
      <c r="AA3543">
        <v>160181</v>
      </c>
      <c r="AB3543" t="str">
        <f>(VLOOKUP(SalesData[[#This Row],[Month Number]],Reference!C$5:E$16,2,FALSE))</f>
        <v>Feb</v>
      </c>
      <c r="AC3543">
        <f>MONTH(SalesData[[#This Row],[Date]])</f>
        <v>2</v>
      </c>
      <c r="AD3543">
        <f>Reference!F$4</f>
        <v>2026</v>
      </c>
      <c r="AE3543" t="str">
        <f>IF(OR(SalesData[[#This Row],[Day]]="Saturday",SalesData[[#This Row],[Day]]="Sunday"),"Weekend","Weekday")</f>
        <v>Weekday</v>
      </c>
      <c r="AF3543" s="5">
        <f>IF(SalesData[[#This Row],[Contracts Offered]]=0,0,SalesData[[#This Row],[Contracts Signed]]/SalesData[[#This Row],[Contracts Offered]])</f>
        <v>0.28654970760233917</v>
      </c>
      <c r="AG3543" s="5">
        <f>IF(SalesData[[#This Row],[Customers Visited]]=0,0,SalesData[[#This Row],[Test Drives]]/SalesData[[#This Row],[Customers Visited]])</f>
        <v>0.53293413173652693</v>
      </c>
      <c r="AH3543" s="5">
        <f>IF(SalesData[[#This Row],[Customers Visited]]=0,0,SalesData[[#This Row],[Contracts Signed]]/SalesData[[#This Row],[Customers Visited]])</f>
        <v>9.7804391217564873E-2</v>
      </c>
      <c r="AI3543" s="6">
        <f>IF(SalesData[[#This Row],[Contracts Signed]]=0,0,SalesData[[#This Row],[Profit(€)]]/SalesData[[#This Row],[Contracts Signed]])</f>
        <v>3269</v>
      </c>
      <c r="AJ3543" s="5" t="str">
        <f>TRIM(CLEAN(SalesData[[#This Row],[Retailer]]))</f>
        <v>Saxon Wheels</v>
      </c>
    </row>
    <row r="3544" spans="1:36" ht="14.25" hidden="1" x14ac:dyDescent="0.2">
      <c r="A3544" t="s">
        <v>4746</v>
      </c>
      <c r="B3544" s="1">
        <v>46066</v>
      </c>
      <c r="C3544" t="s">
        <v>121</v>
      </c>
      <c r="D3544" t="s">
        <v>54</v>
      </c>
      <c r="E3544" t="s">
        <v>26</v>
      </c>
      <c r="F3544" t="s">
        <v>83</v>
      </c>
      <c r="G3544" t="s">
        <v>84</v>
      </c>
      <c r="H3544" t="s">
        <v>85</v>
      </c>
      <c r="I3544" t="s">
        <v>56</v>
      </c>
      <c r="J3544" t="s">
        <v>137</v>
      </c>
      <c r="K3544" t="s">
        <v>78</v>
      </c>
      <c r="L3544" t="s">
        <v>46</v>
      </c>
      <c r="M3544" t="s">
        <v>34</v>
      </c>
      <c r="N3544" t="s">
        <v>35</v>
      </c>
      <c r="O3544" t="s">
        <v>36</v>
      </c>
      <c r="P3544" t="s">
        <v>71</v>
      </c>
      <c r="Q3544" t="s">
        <v>118</v>
      </c>
      <c r="R3544">
        <v>205</v>
      </c>
      <c r="S3544">
        <v>115</v>
      </c>
      <c r="T3544">
        <v>89</v>
      </c>
      <c r="U3544">
        <v>28</v>
      </c>
      <c r="V3544" t="s">
        <v>6576</v>
      </c>
      <c r="W3544">
        <v>42985</v>
      </c>
      <c r="X3544" t="s">
        <v>1263</v>
      </c>
      <c r="Y3544">
        <v>33909</v>
      </c>
      <c r="Z3544">
        <v>1203580</v>
      </c>
      <c r="AA3544">
        <v>254128</v>
      </c>
      <c r="AB3544" t="str">
        <f>(VLOOKUP(SalesData[[#This Row],[Month Number]],Reference!C$5:E$16,2,FALSE))</f>
        <v>Feb</v>
      </c>
      <c r="AC3544">
        <f>MONTH(SalesData[[#This Row],[Date]])</f>
        <v>2</v>
      </c>
      <c r="AD3544">
        <f>Reference!F$4</f>
        <v>2026</v>
      </c>
      <c r="AE3544" t="str">
        <f>IF(OR(SalesData[[#This Row],[Day]]="Saturday",SalesData[[#This Row],[Day]]="Sunday"),"Weekend","Weekday")</f>
        <v>Weekday</v>
      </c>
      <c r="AF3544" s="5">
        <f>IF(SalesData[[#This Row],[Contracts Offered]]=0,0,SalesData[[#This Row],[Contracts Signed]]/SalesData[[#This Row],[Contracts Offered]])</f>
        <v>0.3146067415730337</v>
      </c>
      <c r="AG3544" s="5">
        <f>IF(SalesData[[#This Row],[Customers Visited]]=0,0,SalesData[[#This Row],[Test Drives]]/SalesData[[#This Row],[Customers Visited]])</f>
        <v>0.56097560975609762</v>
      </c>
      <c r="AH3544" s="5">
        <f>IF(SalesData[[#This Row],[Customers Visited]]=0,0,SalesData[[#This Row],[Contracts Signed]]/SalesData[[#This Row],[Customers Visited]])</f>
        <v>0.13658536585365855</v>
      </c>
      <c r="AI3544" s="6">
        <f>IF(SalesData[[#This Row],[Contracts Signed]]=0,0,SalesData[[#This Row],[Profit(€)]]/SalesData[[#This Row],[Contracts Signed]])</f>
        <v>9076</v>
      </c>
      <c r="AJ3544" s="5" t="str">
        <f>TRIM(CLEAN(SalesData[[#This Row],[Retailer]]))</f>
        <v>Hannover Cars</v>
      </c>
    </row>
    <row r="3545" spans="1:36" ht="14.25" hidden="1" x14ac:dyDescent="0.2">
      <c r="A3545" t="s">
        <v>4747</v>
      </c>
      <c r="B3545" s="1">
        <v>46081</v>
      </c>
      <c r="C3545" t="s">
        <v>53</v>
      </c>
      <c r="D3545" t="s">
        <v>151</v>
      </c>
      <c r="E3545" t="s">
        <v>42</v>
      </c>
      <c r="F3545" t="s">
        <v>109</v>
      </c>
      <c r="G3545" t="s">
        <v>110</v>
      </c>
      <c r="H3545" t="s">
        <v>45</v>
      </c>
      <c r="I3545" t="s">
        <v>56</v>
      </c>
      <c r="J3545" t="s">
        <v>97</v>
      </c>
      <c r="K3545" t="s">
        <v>91</v>
      </c>
      <c r="L3545" t="s">
        <v>33</v>
      </c>
      <c r="M3545" t="s">
        <v>34</v>
      </c>
      <c r="N3545" t="s">
        <v>69</v>
      </c>
      <c r="O3545" t="s">
        <v>36</v>
      </c>
      <c r="P3545" t="s">
        <v>49</v>
      </c>
      <c r="Q3545" t="s">
        <v>169</v>
      </c>
      <c r="R3545">
        <v>312</v>
      </c>
      <c r="S3545">
        <v>181</v>
      </c>
      <c r="T3545">
        <v>133</v>
      </c>
      <c r="U3545">
        <v>38</v>
      </c>
      <c r="V3545" t="s">
        <v>6747</v>
      </c>
      <c r="W3545">
        <v>52725</v>
      </c>
      <c r="X3545" t="s">
        <v>1347</v>
      </c>
      <c r="Y3545">
        <v>39567</v>
      </c>
      <c r="Z3545">
        <v>2003550</v>
      </c>
      <c r="AA3545">
        <v>500004</v>
      </c>
      <c r="AB3545" t="str">
        <f>(VLOOKUP(SalesData[[#This Row],[Month Number]],Reference!C$5:E$16,2,FALSE))</f>
        <v>Feb</v>
      </c>
      <c r="AC3545">
        <f>MONTH(SalesData[[#This Row],[Date]])</f>
        <v>2</v>
      </c>
      <c r="AD3545">
        <f>Reference!F$4</f>
        <v>2026</v>
      </c>
      <c r="AE3545" t="str">
        <f>IF(OR(SalesData[[#This Row],[Day]]="Saturday",SalesData[[#This Row],[Day]]="Sunday"),"Weekend","Weekday")</f>
        <v>Weekend</v>
      </c>
      <c r="AF3545" s="5">
        <f>IF(SalesData[[#This Row],[Contracts Offered]]=0,0,SalesData[[#This Row],[Contracts Signed]]/SalesData[[#This Row],[Contracts Offered]])</f>
        <v>0.2857142857142857</v>
      </c>
      <c r="AG3545" s="5">
        <f>IF(SalesData[[#This Row],[Customers Visited]]=0,0,SalesData[[#This Row],[Test Drives]]/SalesData[[#This Row],[Customers Visited]])</f>
        <v>0.58012820512820518</v>
      </c>
      <c r="AH3545" s="5">
        <f>IF(SalesData[[#This Row],[Customers Visited]]=0,0,SalesData[[#This Row],[Contracts Signed]]/SalesData[[#This Row],[Customers Visited]])</f>
        <v>0.12179487179487179</v>
      </c>
      <c r="AI3545" s="6">
        <f>IF(SalesData[[#This Row],[Contracts Signed]]=0,0,SalesData[[#This Row],[Profit(€)]]/SalesData[[#This Row],[Contracts Signed]])</f>
        <v>13158</v>
      </c>
      <c r="AJ3545" s="5" t="str">
        <f>TRIM(CLEAN(SalesData[[#This Row],[Retailer]]))</f>
        <v>Leipzig Mobility</v>
      </c>
    </row>
    <row r="3546" spans="1:36" ht="14.25" hidden="1" x14ac:dyDescent="0.2">
      <c r="A3546" t="s">
        <v>4749</v>
      </c>
      <c r="B3546" s="1">
        <v>46059</v>
      </c>
      <c r="C3546" t="s">
        <v>24</v>
      </c>
      <c r="D3546" t="s">
        <v>54</v>
      </c>
      <c r="E3546" t="s">
        <v>26</v>
      </c>
      <c r="F3546" t="s">
        <v>7649</v>
      </c>
      <c r="G3546" t="s">
        <v>55</v>
      </c>
      <c r="H3546" t="s">
        <v>55</v>
      </c>
      <c r="I3546" t="s">
        <v>64</v>
      </c>
      <c r="J3546" t="s">
        <v>77</v>
      </c>
      <c r="K3546" t="s">
        <v>78</v>
      </c>
      <c r="L3546" t="s">
        <v>46</v>
      </c>
      <c r="M3546" t="s">
        <v>87</v>
      </c>
      <c r="N3546" t="s">
        <v>69</v>
      </c>
      <c r="O3546" t="s">
        <v>36</v>
      </c>
      <c r="P3546" t="s">
        <v>49</v>
      </c>
      <c r="Q3546" t="s">
        <v>106</v>
      </c>
      <c r="R3546">
        <v>243</v>
      </c>
      <c r="S3546">
        <v>115</v>
      </c>
      <c r="T3546">
        <v>77</v>
      </c>
      <c r="U3546">
        <v>27</v>
      </c>
      <c r="V3546" t="s">
        <v>6683</v>
      </c>
      <c r="W3546">
        <v>63558</v>
      </c>
      <c r="X3546" t="s">
        <v>7404</v>
      </c>
      <c r="Y3546">
        <v>49202</v>
      </c>
      <c r="Z3546">
        <v>1716066</v>
      </c>
      <c r="AA3546">
        <v>387612</v>
      </c>
      <c r="AB3546" t="str">
        <f>(VLOOKUP(SalesData[[#This Row],[Month Number]],Reference!C$5:E$16,2,FALSE))</f>
        <v>Feb</v>
      </c>
      <c r="AC3546">
        <f>MONTH(SalesData[[#This Row],[Date]])</f>
        <v>2</v>
      </c>
      <c r="AD3546">
        <f>Reference!F$4</f>
        <v>2026</v>
      </c>
      <c r="AE3546" t="str">
        <f>IF(OR(SalesData[[#This Row],[Day]]="Saturday",SalesData[[#This Row],[Day]]="Sunday"),"Weekend","Weekday")</f>
        <v>Weekday</v>
      </c>
      <c r="AF3546" s="5">
        <f>IF(SalesData[[#This Row],[Contracts Offered]]=0,0,SalesData[[#This Row],[Contracts Signed]]/SalesData[[#This Row],[Contracts Offered]])</f>
        <v>0.35064935064935066</v>
      </c>
      <c r="AG3546" s="5">
        <f>IF(SalesData[[#This Row],[Customers Visited]]=0,0,SalesData[[#This Row],[Test Drives]]/SalesData[[#This Row],[Customers Visited]])</f>
        <v>0.47325102880658437</v>
      </c>
      <c r="AH3546" s="5">
        <f>IF(SalesData[[#This Row],[Customers Visited]]=0,0,SalesData[[#This Row],[Contracts Signed]]/SalesData[[#This Row],[Customers Visited]])</f>
        <v>0.1111111111111111</v>
      </c>
      <c r="AI3546" s="6">
        <f>IF(SalesData[[#This Row],[Contracts Signed]]=0,0,SalesData[[#This Row],[Profit(€)]]/SalesData[[#This Row],[Contracts Signed]])</f>
        <v>14356</v>
      </c>
      <c r="AJ3546" s="5" t="str">
        <f>TRIM(CLEAN(SalesData[[#This Row],[Retailer]]))</f>
        <v>Autohaus Berlin</v>
      </c>
    </row>
    <row r="3547" spans="1:36" ht="14.25" hidden="1" x14ac:dyDescent="0.2">
      <c r="A3547" t="s">
        <v>4750</v>
      </c>
      <c r="B3547" s="1">
        <v>46059</v>
      </c>
      <c r="C3547" t="s">
        <v>24</v>
      </c>
      <c r="D3547" t="s">
        <v>54</v>
      </c>
      <c r="E3547" t="s">
        <v>26</v>
      </c>
      <c r="F3547" t="s">
        <v>101</v>
      </c>
      <c r="G3547" t="s">
        <v>102</v>
      </c>
      <c r="H3547" t="s">
        <v>103</v>
      </c>
      <c r="I3547" t="s">
        <v>56</v>
      </c>
      <c r="J3547" t="s">
        <v>137</v>
      </c>
      <c r="K3547" t="s">
        <v>32</v>
      </c>
      <c r="L3547" t="s">
        <v>46</v>
      </c>
      <c r="M3547" t="s">
        <v>68</v>
      </c>
      <c r="N3547" t="s">
        <v>48</v>
      </c>
      <c r="O3547" t="s">
        <v>70</v>
      </c>
      <c r="P3547" t="s">
        <v>71</v>
      </c>
      <c r="Q3547" t="s">
        <v>189</v>
      </c>
      <c r="R3547">
        <v>297</v>
      </c>
      <c r="S3547">
        <v>179</v>
      </c>
      <c r="T3547">
        <v>130</v>
      </c>
      <c r="U3547">
        <v>35</v>
      </c>
      <c r="V3547" t="s">
        <v>1672</v>
      </c>
      <c r="W3547">
        <v>54057</v>
      </c>
      <c r="X3547" t="s">
        <v>678</v>
      </c>
      <c r="Y3547">
        <v>41782</v>
      </c>
      <c r="Z3547">
        <v>1891995</v>
      </c>
      <c r="AA3547">
        <v>429625</v>
      </c>
      <c r="AB3547" t="str">
        <f>(VLOOKUP(SalesData[[#This Row],[Month Number]],Reference!C$5:E$16,2,FALSE))</f>
        <v>Feb</v>
      </c>
      <c r="AC3547">
        <f>MONTH(SalesData[[#This Row],[Date]])</f>
        <v>2</v>
      </c>
      <c r="AD3547">
        <f>Reference!F$4</f>
        <v>2026</v>
      </c>
      <c r="AE3547" t="str">
        <f>IF(OR(SalesData[[#This Row],[Day]]="Saturday",SalesData[[#This Row],[Day]]="Sunday"),"Weekend","Weekday")</f>
        <v>Weekday</v>
      </c>
      <c r="AF3547" s="5">
        <f>IF(SalesData[[#This Row],[Contracts Offered]]=0,0,SalesData[[#This Row],[Contracts Signed]]/SalesData[[#This Row],[Contracts Offered]])</f>
        <v>0.26923076923076922</v>
      </c>
      <c r="AG3547" s="5">
        <f>IF(SalesData[[#This Row],[Customers Visited]]=0,0,SalesData[[#This Row],[Test Drives]]/SalesData[[#This Row],[Customers Visited]])</f>
        <v>0.60269360269360273</v>
      </c>
      <c r="AH3547" s="5">
        <f>IF(SalesData[[#This Row],[Customers Visited]]=0,0,SalesData[[#This Row],[Contracts Signed]]/SalesData[[#This Row],[Customers Visited]])</f>
        <v>0.11784511784511785</v>
      </c>
      <c r="AI3547" s="6">
        <f>IF(SalesData[[#This Row],[Contracts Signed]]=0,0,SalesData[[#This Row],[Profit(€)]]/SalesData[[#This Row],[Contracts Signed]])</f>
        <v>12275</v>
      </c>
      <c r="AJ3547" s="5" t="str">
        <f>TRIM(CLEAN(SalesData[[#This Row],[Retailer]]))</f>
        <v>Ruhr Auto Plaza</v>
      </c>
    </row>
    <row r="3548" spans="1:36" ht="14.25" hidden="1" x14ac:dyDescent="0.2">
      <c r="A3548" t="s">
        <v>4751</v>
      </c>
      <c r="B3548" s="1">
        <v>46071</v>
      </c>
      <c r="C3548" t="s">
        <v>62</v>
      </c>
      <c r="D3548" t="s">
        <v>82</v>
      </c>
      <c r="E3548" t="s">
        <v>26</v>
      </c>
      <c r="F3548" t="s">
        <v>74</v>
      </c>
      <c r="G3548" t="s">
        <v>75</v>
      </c>
      <c r="H3548" t="s">
        <v>76</v>
      </c>
      <c r="I3548" t="s">
        <v>64</v>
      </c>
      <c r="J3548" t="s">
        <v>111</v>
      </c>
      <c r="K3548" t="s">
        <v>66</v>
      </c>
      <c r="L3548" t="s">
        <v>46</v>
      </c>
      <c r="M3548" t="s">
        <v>47</v>
      </c>
      <c r="N3548" t="s">
        <v>35</v>
      </c>
      <c r="O3548" t="s">
        <v>36</v>
      </c>
      <c r="P3548" t="s">
        <v>58</v>
      </c>
      <c r="Q3548" t="s">
        <v>144</v>
      </c>
      <c r="R3548">
        <v>223</v>
      </c>
      <c r="S3548">
        <v>110</v>
      </c>
      <c r="T3548">
        <v>83</v>
      </c>
      <c r="U3548">
        <v>34</v>
      </c>
      <c r="V3548" t="s">
        <v>7184</v>
      </c>
      <c r="W3548">
        <v>55082</v>
      </c>
      <c r="X3548" t="s">
        <v>7593</v>
      </c>
      <c r="Y3548">
        <v>42585</v>
      </c>
      <c r="Z3548">
        <v>1872788</v>
      </c>
      <c r="AA3548">
        <v>424898</v>
      </c>
      <c r="AB3548" t="str">
        <f>(VLOOKUP(SalesData[[#This Row],[Month Number]],Reference!C$5:E$16,2,FALSE))</f>
        <v>Feb</v>
      </c>
      <c r="AC3548">
        <f>MONTH(SalesData[[#This Row],[Date]])</f>
        <v>2</v>
      </c>
      <c r="AD3548">
        <f>Reference!F$4</f>
        <v>2026</v>
      </c>
      <c r="AE3548" t="str">
        <f>IF(OR(SalesData[[#This Row],[Day]]="Saturday",SalesData[[#This Row],[Day]]="Sunday"),"Weekend","Weekday")</f>
        <v>Weekday</v>
      </c>
      <c r="AF3548" s="5">
        <f>IF(SalesData[[#This Row],[Contracts Offered]]=0,0,SalesData[[#This Row],[Contracts Signed]]/SalesData[[#This Row],[Contracts Offered]])</f>
        <v>0.40963855421686746</v>
      </c>
      <c r="AG3548" s="5">
        <f>IF(SalesData[[#This Row],[Customers Visited]]=0,0,SalesData[[#This Row],[Test Drives]]/SalesData[[#This Row],[Customers Visited]])</f>
        <v>0.49327354260089684</v>
      </c>
      <c r="AH3548" s="5">
        <f>IF(SalesData[[#This Row],[Customers Visited]]=0,0,SalesData[[#This Row],[Contracts Signed]]/SalesData[[#This Row],[Customers Visited]])</f>
        <v>0.15246636771300448</v>
      </c>
      <c r="AI3548" s="6">
        <f>IF(SalesData[[#This Row],[Contracts Signed]]=0,0,SalesData[[#This Row],[Profit(€)]]/SalesData[[#This Row],[Contracts Signed]])</f>
        <v>12497</v>
      </c>
      <c r="AJ3548" s="5" t="str">
        <f>TRIM(CLEAN(SalesData[[#This Row],[Retailer]]))</f>
        <v>Stuttgart Auto Center</v>
      </c>
    </row>
    <row r="3549" spans="1:36" ht="14.25" hidden="1" x14ac:dyDescent="0.2">
      <c r="A3549" t="s">
        <v>4752</v>
      </c>
      <c r="B3549" s="1">
        <v>46067</v>
      </c>
      <c r="C3549" t="s">
        <v>121</v>
      </c>
      <c r="D3549" t="s">
        <v>151</v>
      </c>
      <c r="E3549" t="s">
        <v>42</v>
      </c>
      <c r="F3549" t="s">
        <v>43</v>
      </c>
      <c r="G3549" t="s">
        <v>44</v>
      </c>
      <c r="H3549" t="s">
        <v>45</v>
      </c>
      <c r="I3549" t="s">
        <v>56</v>
      </c>
      <c r="J3549" t="s">
        <v>97</v>
      </c>
      <c r="K3549" t="s">
        <v>78</v>
      </c>
      <c r="L3549" t="s">
        <v>33</v>
      </c>
      <c r="M3549" t="s">
        <v>68</v>
      </c>
      <c r="N3549" t="s">
        <v>69</v>
      </c>
      <c r="O3549" t="s">
        <v>36</v>
      </c>
      <c r="P3549" t="s">
        <v>71</v>
      </c>
      <c r="Q3549" t="s">
        <v>88</v>
      </c>
      <c r="R3549">
        <v>203</v>
      </c>
      <c r="S3549">
        <v>117</v>
      </c>
      <c r="T3549">
        <v>78</v>
      </c>
      <c r="U3549">
        <v>27</v>
      </c>
      <c r="V3549" t="s">
        <v>6386</v>
      </c>
      <c r="W3549">
        <v>44795</v>
      </c>
      <c r="X3549" t="s">
        <v>7494</v>
      </c>
      <c r="Y3549">
        <v>34798</v>
      </c>
      <c r="Z3549">
        <v>1209465</v>
      </c>
      <c r="AA3549">
        <v>269919</v>
      </c>
      <c r="AB3549" t="str">
        <f>(VLOOKUP(SalesData[[#This Row],[Month Number]],Reference!C$5:E$16,2,FALSE))</f>
        <v>Feb</v>
      </c>
      <c r="AC3549">
        <f>MONTH(SalesData[[#This Row],[Date]])</f>
        <v>2</v>
      </c>
      <c r="AD3549">
        <f>Reference!F$4</f>
        <v>2026</v>
      </c>
      <c r="AE3549" t="str">
        <f>IF(OR(SalesData[[#This Row],[Day]]="Saturday",SalesData[[#This Row],[Day]]="Sunday"),"Weekend","Weekday")</f>
        <v>Weekend</v>
      </c>
      <c r="AF3549" s="5">
        <f>IF(SalesData[[#This Row],[Contracts Offered]]=0,0,SalesData[[#This Row],[Contracts Signed]]/SalesData[[#This Row],[Contracts Offered]])</f>
        <v>0.34615384615384615</v>
      </c>
      <c r="AG3549" s="5">
        <f>IF(SalesData[[#This Row],[Customers Visited]]=0,0,SalesData[[#This Row],[Test Drives]]/SalesData[[#This Row],[Customers Visited]])</f>
        <v>0.57635467980295563</v>
      </c>
      <c r="AH3549" s="5">
        <f>IF(SalesData[[#This Row],[Customers Visited]]=0,0,SalesData[[#This Row],[Contracts Signed]]/SalesData[[#This Row],[Customers Visited]])</f>
        <v>0.13300492610837439</v>
      </c>
      <c r="AI3549" s="6">
        <f>IF(SalesData[[#This Row],[Contracts Signed]]=0,0,SalesData[[#This Row],[Profit(€)]]/SalesData[[#This Row],[Contracts Signed]])</f>
        <v>9997</v>
      </c>
      <c r="AJ3549" s="5" t="str">
        <f>TRIM(CLEAN(SalesData[[#This Row],[Retailer]]))</f>
        <v>Saxon Wheels</v>
      </c>
    </row>
    <row r="3550" spans="1:36" ht="14.25" x14ac:dyDescent="0.2">
      <c r="A3550" t="s">
        <v>4754</v>
      </c>
      <c r="B3550" s="1">
        <v>46059</v>
      </c>
      <c r="C3550" t="s">
        <v>24</v>
      </c>
      <c r="D3550" t="s">
        <v>54</v>
      </c>
      <c r="E3550" t="s">
        <v>26</v>
      </c>
      <c r="F3550" t="s">
        <v>127</v>
      </c>
      <c r="G3550" t="s">
        <v>128</v>
      </c>
      <c r="H3550" t="s">
        <v>103</v>
      </c>
      <c r="I3550" t="s">
        <v>30</v>
      </c>
      <c r="J3550" t="s">
        <v>31</v>
      </c>
      <c r="K3550" t="s">
        <v>32</v>
      </c>
      <c r="L3550" t="s">
        <v>46</v>
      </c>
      <c r="M3550" t="s">
        <v>47</v>
      </c>
      <c r="N3550" t="s">
        <v>48</v>
      </c>
      <c r="O3550" t="s">
        <v>70</v>
      </c>
      <c r="P3550" t="s">
        <v>71</v>
      </c>
      <c r="Q3550" t="s">
        <v>347</v>
      </c>
      <c r="R3550">
        <v>261</v>
      </c>
      <c r="S3550">
        <v>161</v>
      </c>
      <c r="T3550">
        <v>128</v>
      </c>
      <c r="U3550">
        <v>45</v>
      </c>
      <c r="V3550" t="s">
        <v>6348</v>
      </c>
      <c r="W3550">
        <v>52234</v>
      </c>
      <c r="X3550" t="s">
        <v>2192</v>
      </c>
      <c r="Y3550">
        <v>37034</v>
      </c>
      <c r="Z3550">
        <v>2350530</v>
      </c>
      <c r="AA3550">
        <v>684000</v>
      </c>
      <c r="AB3550" t="str">
        <f>(VLOOKUP(SalesData[[#This Row],[Month Number]],Reference!C$5:E$16,2,FALSE))</f>
        <v>Feb</v>
      </c>
      <c r="AC3550">
        <f>MONTH(SalesData[[#This Row],[Date]])</f>
        <v>2</v>
      </c>
      <c r="AD3550">
        <f>Reference!F$4</f>
        <v>2026</v>
      </c>
      <c r="AE3550" t="str">
        <f>IF(OR(SalesData[[#This Row],[Day]]="Saturday",SalesData[[#This Row],[Day]]="Sunday"),"Weekend","Weekday")</f>
        <v>Weekday</v>
      </c>
      <c r="AF3550" s="5">
        <f>IF(SalesData[[#This Row],[Contracts Offered]]=0,0,SalesData[[#This Row],[Contracts Signed]]/SalesData[[#This Row],[Contracts Offered]])</f>
        <v>0.3515625</v>
      </c>
      <c r="AG3550" s="5">
        <f>IF(SalesData[[#This Row],[Customers Visited]]=0,0,SalesData[[#This Row],[Test Drives]]/SalesData[[#This Row],[Customers Visited]])</f>
        <v>0.61685823754789271</v>
      </c>
      <c r="AH3550" s="5">
        <f>IF(SalesData[[#This Row],[Customers Visited]]=0,0,SalesData[[#This Row],[Contracts Signed]]/SalesData[[#This Row],[Customers Visited]])</f>
        <v>0.17241379310344829</v>
      </c>
      <c r="AI3550" s="6">
        <f>IF(SalesData[[#This Row],[Contracts Signed]]=0,0,SalesData[[#This Row],[Profit(€)]]/SalesData[[#This Row],[Contracts Signed]])</f>
        <v>15200</v>
      </c>
      <c r="AJ3550" s="5" t="str">
        <f>TRIM(CLEAN(SalesData[[#This Row],[Retailer]]))</f>
        <v>Rhein Auto Group</v>
      </c>
    </row>
    <row r="3551" spans="1:36" ht="14.25" x14ac:dyDescent="0.2">
      <c r="A3551" t="s">
        <v>4755</v>
      </c>
      <c r="B3551" s="1">
        <v>46077</v>
      </c>
      <c r="C3551" t="s">
        <v>53</v>
      </c>
      <c r="D3551" t="s">
        <v>63</v>
      </c>
      <c r="E3551" t="s">
        <v>26</v>
      </c>
      <c r="F3551" t="s">
        <v>74</v>
      </c>
      <c r="G3551" t="s">
        <v>75</v>
      </c>
      <c r="H3551" t="s">
        <v>76</v>
      </c>
      <c r="I3551" t="s">
        <v>30</v>
      </c>
      <c r="J3551" t="s">
        <v>86</v>
      </c>
      <c r="K3551" t="s">
        <v>66</v>
      </c>
      <c r="L3551" t="s">
        <v>33</v>
      </c>
      <c r="M3551" t="s">
        <v>87</v>
      </c>
      <c r="N3551" t="s">
        <v>69</v>
      </c>
      <c r="O3551" t="s">
        <v>36</v>
      </c>
      <c r="P3551" t="s">
        <v>71</v>
      </c>
      <c r="Q3551" t="s">
        <v>144</v>
      </c>
      <c r="R3551">
        <v>242</v>
      </c>
      <c r="S3551">
        <v>143</v>
      </c>
      <c r="T3551">
        <v>113</v>
      </c>
      <c r="U3551">
        <v>40</v>
      </c>
      <c r="V3551" t="s">
        <v>6793</v>
      </c>
      <c r="W3551">
        <v>64807</v>
      </c>
      <c r="X3551" t="s">
        <v>7149</v>
      </c>
      <c r="Y3551">
        <v>46788</v>
      </c>
      <c r="Z3551">
        <v>2592280</v>
      </c>
      <c r="AA3551">
        <v>720760</v>
      </c>
      <c r="AB3551" t="str">
        <f>(VLOOKUP(SalesData[[#This Row],[Month Number]],Reference!C$5:E$16,2,FALSE))</f>
        <v>Feb</v>
      </c>
      <c r="AC3551">
        <f>MONTH(SalesData[[#This Row],[Date]])</f>
        <v>2</v>
      </c>
      <c r="AD3551">
        <f>Reference!F$4</f>
        <v>2026</v>
      </c>
      <c r="AE3551" t="str">
        <f>IF(OR(SalesData[[#This Row],[Day]]="Saturday",SalesData[[#This Row],[Day]]="Sunday"),"Weekend","Weekday")</f>
        <v>Weekday</v>
      </c>
      <c r="AF3551" s="5">
        <f>IF(SalesData[[#This Row],[Contracts Offered]]=0,0,SalesData[[#This Row],[Contracts Signed]]/SalesData[[#This Row],[Contracts Offered]])</f>
        <v>0.35398230088495575</v>
      </c>
      <c r="AG3551" s="5">
        <f>IF(SalesData[[#This Row],[Customers Visited]]=0,0,SalesData[[#This Row],[Test Drives]]/SalesData[[#This Row],[Customers Visited]])</f>
        <v>0.59090909090909094</v>
      </c>
      <c r="AH3551" s="5">
        <f>IF(SalesData[[#This Row],[Customers Visited]]=0,0,SalesData[[#This Row],[Contracts Signed]]/SalesData[[#This Row],[Customers Visited]])</f>
        <v>0.16528925619834711</v>
      </c>
      <c r="AI3551" s="6">
        <f>IF(SalesData[[#This Row],[Contracts Signed]]=0,0,SalesData[[#This Row],[Profit(€)]]/SalesData[[#This Row],[Contracts Signed]])</f>
        <v>18019</v>
      </c>
      <c r="AJ3551" s="5" t="str">
        <f>TRIM(CLEAN(SalesData[[#This Row],[Retailer]]))</f>
        <v>Stuttgart Auto Center</v>
      </c>
    </row>
    <row r="3552" spans="1:36" ht="14.25" hidden="1" x14ac:dyDescent="0.2">
      <c r="A3552" t="s">
        <v>4756</v>
      </c>
      <c r="B3552" s="1">
        <v>46064</v>
      </c>
      <c r="C3552" t="s">
        <v>121</v>
      </c>
      <c r="D3552" t="s">
        <v>82</v>
      </c>
      <c r="E3552" t="s">
        <v>26</v>
      </c>
      <c r="F3552" t="s">
        <v>101</v>
      </c>
      <c r="G3552" t="s">
        <v>102</v>
      </c>
      <c r="H3552" t="s">
        <v>103</v>
      </c>
      <c r="I3552" t="s">
        <v>104</v>
      </c>
      <c r="J3552" t="s">
        <v>7061</v>
      </c>
      <c r="K3552" t="s">
        <v>32</v>
      </c>
      <c r="L3552" t="s">
        <v>46</v>
      </c>
      <c r="M3552" t="s">
        <v>87</v>
      </c>
      <c r="N3552" t="s">
        <v>35</v>
      </c>
      <c r="O3552" t="s">
        <v>70</v>
      </c>
      <c r="P3552" t="s">
        <v>71</v>
      </c>
      <c r="Q3552" t="s">
        <v>59</v>
      </c>
      <c r="R3552">
        <v>469</v>
      </c>
      <c r="S3552">
        <v>253</v>
      </c>
      <c r="T3552">
        <v>176</v>
      </c>
      <c r="U3552">
        <v>33</v>
      </c>
      <c r="V3552" t="s">
        <v>1278</v>
      </c>
      <c r="W3552">
        <v>30917</v>
      </c>
      <c r="X3552" t="s">
        <v>6110</v>
      </c>
      <c r="Y3552">
        <v>26897</v>
      </c>
      <c r="Z3552">
        <v>1020261</v>
      </c>
      <c r="AA3552">
        <v>132660</v>
      </c>
      <c r="AB3552" t="str">
        <f>(VLOOKUP(SalesData[[#This Row],[Month Number]],Reference!C$5:E$16,2,FALSE))</f>
        <v>Feb</v>
      </c>
      <c r="AC3552">
        <f>MONTH(SalesData[[#This Row],[Date]])</f>
        <v>2</v>
      </c>
      <c r="AD3552">
        <f>Reference!F$4</f>
        <v>2026</v>
      </c>
      <c r="AE3552" t="str">
        <f>IF(OR(SalesData[[#This Row],[Day]]="Saturday",SalesData[[#This Row],[Day]]="Sunday"),"Weekend","Weekday")</f>
        <v>Weekday</v>
      </c>
      <c r="AF3552" s="5">
        <f>IF(SalesData[[#This Row],[Contracts Offered]]=0,0,SalesData[[#This Row],[Contracts Signed]]/SalesData[[#This Row],[Contracts Offered]])</f>
        <v>0.1875</v>
      </c>
      <c r="AG3552" s="5">
        <f>IF(SalesData[[#This Row],[Customers Visited]]=0,0,SalesData[[#This Row],[Test Drives]]/SalesData[[#This Row],[Customers Visited]])</f>
        <v>0.53944562899786785</v>
      </c>
      <c r="AH3552" s="5">
        <f>IF(SalesData[[#This Row],[Customers Visited]]=0,0,SalesData[[#This Row],[Contracts Signed]]/SalesData[[#This Row],[Customers Visited]])</f>
        <v>7.0362473347547971E-2</v>
      </c>
      <c r="AI3552" s="6">
        <f>IF(SalesData[[#This Row],[Contracts Signed]]=0,0,SalesData[[#This Row],[Profit(€)]]/SalesData[[#This Row],[Contracts Signed]])</f>
        <v>4020</v>
      </c>
      <c r="AJ3552" s="5" t="str">
        <f>TRIM(CLEAN(SalesData[[#This Row],[Retailer]]))</f>
        <v>Ruhr Auto Plaza</v>
      </c>
    </row>
    <row r="3553" spans="1:36" ht="14.25" hidden="1" x14ac:dyDescent="0.2">
      <c r="A3553" t="s">
        <v>4757</v>
      </c>
      <c r="B3553" s="1">
        <v>46062</v>
      </c>
      <c r="C3553" t="s">
        <v>121</v>
      </c>
      <c r="D3553" t="s">
        <v>25</v>
      </c>
      <c r="E3553" t="s">
        <v>26</v>
      </c>
      <c r="F3553" t="s">
        <v>101</v>
      </c>
      <c r="G3553" t="s">
        <v>102</v>
      </c>
      <c r="H3553" t="s">
        <v>103</v>
      </c>
      <c r="I3553" t="s">
        <v>104</v>
      </c>
      <c r="J3553" t="s">
        <v>7061</v>
      </c>
      <c r="K3553" t="s">
        <v>66</v>
      </c>
      <c r="L3553" t="s">
        <v>46</v>
      </c>
      <c r="M3553" t="s">
        <v>87</v>
      </c>
      <c r="N3553" t="s">
        <v>48</v>
      </c>
      <c r="O3553" t="s">
        <v>36</v>
      </c>
      <c r="P3553" t="s">
        <v>37</v>
      </c>
      <c r="Q3553" t="s">
        <v>158</v>
      </c>
      <c r="R3553">
        <v>333</v>
      </c>
      <c r="S3553">
        <v>166</v>
      </c>
      <c r="T3553">
        <v>116</v>
      </c>
      <c r="U3553">
        <v>26</v>
      </c>
      <c r="V3553" t="s">
        <v>1197</v>
      </c>
      <c r="W3553">
        <v>31074</v>
      </c>
      <c r="X3553" t="s">
        <v>1259</v>
      </c>
      <c r="Y3553">
        <v>26873</v>
      </c>
      <c r="Z3553">
        <v>807924</v>
      </c>
      <c r="AA3553">
        <v>109226</v>
      </c>
      <c r="AB3553" t="str">
        <f>(VLOOKUP(SalesData[[#This Row],[Month Number]],Reference!C$5:E$16,2,FALSE))</f>
        <v>Feb</v>
      </c>
      <c r="AC3553">
        <f>MONTH(SalesData[[#This Row],[Date]])</f>
        <v>2</v>
      </c>
      <c r="AD3553">
        <f>Reference!F$4</f>
        <v>2026</v>
      </c>
      <c r="AE3553" t="str">
        <f>IF(OR(SalesData[[#This Row],[Day]]="Saturday",SalesData[[#This Row],[Day]]="Sunday"),"Weekend","Weekday")</f>
        <v>Weekday</v>
      </c>
      <c r="AF3553" s="5">
        <f>IF(SalesData[[#This Row],[Contracts Offered]]=0,0,SalesData[[#This Row],[Contracts Signed]]/SalesData[[#This Row],[Contracts Offered]])</f>
        <v>0.22413793103448276</v>
      </c>
      <c r="AG3553" s="5">
        <f>IF(SalesData[[#This Row],[Customers Visited]]=0,0,SalesData[[#This Row],[Test Drives]]/SalesData[[#This Row],[Customers Visited]])</f>
        <v>0.49849849849849848</v>
      </c>
      <c r="AH3553" s="5">
        <f>IF(SalesData[[#This Row],[Customers Visited]]=0,0,SalesData[[#This Row],[Contracts Signed]]/SalesData[[#This Row],[Customers Visited]])</f>
        <v>7.8078078078078081E-2</v>
      </c>
      <c r="AI3553" s="6">
        <f>IF(SalesData[[#This Row],[Contracts Signed]]=0,0,SalesData[[#This Row],[Profit(€)]]/SalesData[[#This Row],[Contracts Signed]])</f>
        <v>4201</v>
      </c>
      <c r="AJ3553" s="5" t="str">
        <f>TRIM(CLEAN(SalesData[[#This Row],[Retailer]]))</f>
        <v>Ruhr Auto Plaza</v>
      </c>
    </row>
    <row r="3554" spans="1:36" ht="14.25" hidden="1" x14ac:dyDescent="0.2">
      <c r="A3554" t="s">
        <v>4759</v>
      </c>
      <c r="B3554" s="1">
        <v>46080</v>
      </c>
      <c r="C3554" t="s">
        <v>53</v>
      </c>
      <c r="D3554" t="s">
        <v>54</v>
      </c>
      <c r="E3554" t="s">
        <v>26</v>
      </c>
      <c r="F3554" t="s">
        <v>43</v>
      </c>
      <c r="G3554" t="s">
        <v>44</v>
      </c>
      <c r="H3554" t="s">
        <v>45</v>
      </c>
      <c r="I3554" t="s">
        <v>116</v>
      </c>
      <c r="J3554" t="s">
        <v>117</v>
      </c>
      <c r="K3554" t="s">
        <v>78</v>
      </c>
      <c r="L3554" t="s">
        <v>67</v>
      </c>
      <c r="M3554" t="s">
        <v>34</v>
      </c>
      <c r="N3554" t="s">
        <v>69</v>
      </c>
      <c r="O3554" t="s">
        <v>36</v>
      </c>
      <c r="P3554" t="s">
        <v>37</v>
      </c>
      <c r="Q3554" t="s">
        <v>167</v>
      </c>
      <c r="R3554">
        <v>353</v>
      </c>
      <c r="S3554">
        <v>149</v>
      </c>
      <c r="T3554">
        <v>84</v>
      </c>
      <c r="U3554">
        <v>25</v>
      </c>
      <c r="V3554" t="s">
        <v>5143</v>
      </c>
      <c r="W3554">
        <v>23820</v>
      </c>
      <c r="X3554" t="s">
        <v>5435</v>
      </c>
      <c r="Y3554">
        <v>21357</v>
      </c>
      <c r="Z3554">
        <v>595500</v>
      </c>
      <c r="AA3554">
        <v>61575</v>
      </c>
      <c r="AB3554" t="str">
        <f>(VLOOKUP(SalesData[[#This Row],[Month Number]],Reference!C$5:E$16,2,FALSE))</f>
        <v>Feb</v>
      </c>
      <c r="AC3554">
        <f>MONTH(SalesData[[#This Row],[Date]])</f>
        <v>2</v>
      </c>
      <c r="AD3554">
        <f>Reference!F$4</f>
        <v>2026</v>
      </c>
      <c r="AE3554" t="str">
        <f>IF(OR(SalesData[[#This Row],[Day]]="Saturday",SalesData[[#This Row],[Day]]="Sunday"),"Weekend","Weekday")</f>
        <v>Weekday</v>
      </c>
      <c r="AF3554" s="5">
        <f>IF(SalesData[[#This Row],[Contracts Offered]]=0,0,SalesData[[#This Row],[Contracts Signed]]/SalesData[[#This Row],[Contracts Offered]])</f>
        <v>0.29761904761904762</v>
      </c>
      <c r="AG3554" s="5">
        <f>IF(SalesData[[#This Row],[Customers Visited]]=0,0,SalesData[[#This Row],[Test Drives]]/SalesData[[#This Row],[Customers Visited]])</f>
        <v>0.42209631728045327</v>
      </c>
      <c r="AH3554" s="5">
        <f>IF(SalesData[[#This Row],[Customers Visited]]=0,0,SalesData[[#This Row],[Contracts Signed]]/SalesData[[#This Row],[Customers Visited]])</f>
        <v>7.0821529745042494E-2</v>
      </c>
      <c r="AI3554" s="6">
        <f>IF(SalesData[[#This Row],[Contracts Signed]]=0,0,SalesData[[#This Row],[Profit(€)]]/SalesData[[#This Row],[Contracts Signed]])</f>
        <v>2463</v>
      </c>
      <c r="AJ3554" s="5" t="str">
        <f>TRIM(CLEAN(SalesData[[#This Row],[Retailer]]))</f>
        <v>Saxon Wheels</v>
      </c>
    </row>
    <row r="3555" spans="1:36" ht="14.25" hidden="1" x14ac:dyDescent="0.2">
      <c r="A3555" t="s">
        <v>4760</v>
      </c>
      <c r="B3555" s="1">
        <v>46059</v>
      </c>
      <c r="C3555" t="s">
        <v>24</v>
      </c>
      <c r="D3555" t="s">
        <v>54</v>
      </c>
      <c r="E3555" t="s">
        <v>26</v>
      </c>
      <c r="F3555" t="s">
        <v>127</v>
      </c>
      <c r="G3555" t="s">
        <v>128</v>
      </c>
      <c r="H3555" t="s">
        <v>103</v>
      </c>
      <c r="I3555" t="s">
        <v>56</v>
      </c>
      <c r="J3555" t="s">
        <v>179</v>
      </c>
      <c r="K3555" t="s">
        <v>78</v>
      </c>
      <c r="L3555" t="s">
        <v>67</v>
      </c>
      <c r="M3555" t="s">
        <v>68</v>
      </c>
      <c r="N3555" t="s">
        <v>35</v>
      </c>
      <c r="O3555" t="s">
        <v>36</v>
      </c>
      <c r="P3555" t="s">
        <v>58</v>
      </c>
      <c r="Q3555" t="s">
        <v>88</v>
      </c>
      <c r="R3555">
        <v>240</v>
      </c>
      <c r="S3555">
        <v>131</v>
      </c>
      <c r="T3555">
        <v>100</v>
      </c>
      <c r="U3555">
        <v>38</v>
      </c>
      <c r="V3555" t="s">
        <v>6971</v>
      </c>
      <c r="W3555">
        <v>53791</v>
      </c>
      <c r="X3555" t="s">
        <v>2179</v>
      </c>
      <c r="Y3555">
        <v>42183</v>
      </c>
      <c r="Z3555">
        <v>2044058</v>
      </c>
      <c r="AA3555">
        <v>441104</v>
      </c>
      <c r="AB3555" t="str">
        <f>(VLOOKUP(SalesData[[#This Row],[Month Number]],Reference!C$5:E$16,2,FALSE))</f>
        <v>Feb</v>
      </c>
      <c r="AC3555">
        <f>MONTH(SalesData[[#This Row],[Date]])</f>
        <v>2</v>
      </c>
      <c r="AD3555">
        <f>Reference!F$4</f>
        <v>2026</v>
      </c>
      <c r="AE3555" t="str">
        <f>IF(OR(SalesData[[#This Row],[Day]]="Saturday",SalesData[[#This Row],[Day]]="Sunday"),"Weekend","Weekday")</f>
        <v>Weekday</v>
      </c>
      <c r="AF3555" s="5">
        <f>IF(SalesData[[#This Row],[Contracts Offered]]=0,0,SalesData[[#This Row],[Contracts Signed]]/SalesData[[#This Row],[Contracts Offered]])</f>
        <v>0.38</v>
      </c>
      <c r="AG3555" s="5">
        <f>IF(SalesData[[#This Row],[Customers Visited]]=0,0,SalesData[[#This Row],[Test Drives]]/SalesData[[#This Row],[Customers Visited]])</f>
        <v>0.54583333333333328</v>
      </c>
      <c r="AH3555" s="5">
        <f>IF(SalesData[[#This Row],[Customers Visited]]=0,0,SalesData[[#This Row],[Contracts Signed]]/SalesData[[#This Row],[Customers Visited]])</f>
        <v>0.15833333333333333</v>
      </c>
      <c r="AI3555" s="6">
        <f>IF(SalesData[[#This Row],[Contracts Signed]]=0,0,SalesData[[#This Row],[Profit(€)]]/SalesData[[#This Row],[Contracts Signed]])</f>
        <v>11608</v>
      </c>
      <c r="AJ3555" s="5" t="str">
        <f>TRIM(CLEAN(SalesData[[#This Row],[Retailer]]))</f>
        <v>Rhein Auto Group</v>
      </c>
    </row>
    <row r="3556" spans="1:36" ht="14.25" x14ac:dyDescent="0.2">
      <c r="A3556" t="s">
        <v>4761</v>
      </c>
      <c r="B3556" s="1">
        <v>46062</v>
      </c>
      <c r="C3556" t="s">
        <v>121</v>
      </c>
      <c r="D3556" t="s">
        <v>25</v>
      </c>
      <c r="E3556" t="s">
        <v>26</v>
      </c>
      <c r="F3556" t="s">
        <v>101</v>
      </c>
      <c r="G3556" t="s">
        <v>102</v>
      </c>
      <c r="H3556" t="s">
        <v>103</v>
      </c>
      <c r="I3556" t="s">
        <v>30</v>
      </c>
      <c r="J3556" t="s">
        <v>166</v>
      </c>
      <c r="K3556" t="s">
        <v>78</v>
      </c>
      <c r="L3556" t="s">
        <v>46</v>
      </c>
      <c r="M3556" t="s">
        <v>34</v>
      </c>
      <c r="N3556" t="s">
        <v>35</v>
      </c>
      <c r="O3556" t="s">
        <v>70</v>
      </c>
      <c r="P3556" t="s">
        <v>58</v>
      </c>
      <c r="Q3556" t="s">
        <v>240</v>
      </c>
      <c r="R3556">
        <v>275</v>
      </c>
      <c r="S3556">
        <v>136</v>
      </c>
      <c r="T3556">
        <v>97</v>
      </c>
      <c r="U3556">
        <v>41</v>
      </c>
      <c r="V3556" t="s">
        <v>7604</v>
      </c>
      <c r="W3556">
        <v>63931</v>
      </c>
      <c r="X3556" t="s">
        <v>7460</v>
      </c>
      <c r="Y3556">
        <v>48339</v>
      </c>
      <c r="Z3556">
        <v>2621171</v>
      </c>
      <c r="AA3556">
        <v>639272</v>
      </c>
      <c r="AB3556" t="str">
        <f>(VLOOKUP(SalesData[[#This Row],[Month Number]],Reference!C$5:E$16,2,FALSE))</f>
        <v>Feb</v>
      </c>
      <c r="AC3556">
        <f>MONTH(SalesData[[#This Row],[Date]])</f>
        <v>2</v>
      </c>
      <c r="AD3556">
        <f>Reference!F$4</f>
        <v>2026</v>
      </c>
      <c r="AE3556" t="str">
        <f>IF(OR(SalesData[[#This Row],[Day]]="Saturday",SalesData[[#This Row],[Day]]="Sunday"),"Weekend","Weekday")</f>
        <v>Weekday</v>
      </c>
      <c r="AF3556" s="5">
        <f>IF(SalesData[[#This Row],[Contracts Offered]]=0,0,SalesData[[#This Row],[Contracts Signed]]/SalesData[[#This Row],[Contracts Offered]])</f>
        <v>0.42268041237113402</v>
      </c>
      <c r="AG3556" s="5">
        <f>IF(SalesData[[#This Row],[Customers Visited]]=0,0,SalesData[[#This Row],[Test Drives]]/SalesData[[#This Row],[Customers Visited]])</f>
        <v>0.49454545454545457</v>
      </c>
      <c r="AH3556" s="5">
        <f>IF(SalesData[[#This Row],[Customers Visited]]=0,0,SalesData[[#This Row],[Contracts Signed]]/SalesData[[#This Row],[Customers Visited]])</f>
        <v>0.14909090909090908</v>
      </c>
      <c r="AI3556" s="6">
        <f>IF(SalesData[[#This Row],[Contracts Signed]]=0,0,SalesData[[#This Row],[Profit(€)]]/SalesData[[#This Row],[Contracts Signed]])</f>
        <v>15592</v>
      </c>
      <c r="AJ3556" s="5" t="str">
        <f>TRIM(CLEAN(SalesData[[#This Row],[Retailer]]))</f>
        <v>Ruhr Auto Plaza</v>
      </c>
    </row>
    <row r="3557" spans="1:36" ht="14.25" hidden="1" x14ac:dyDescent="0.2">
      <c r="A3557" t="s">
        <v>4762</v>
      </c>
      <c r="B3557" s="1">
        <v>46057</v>
      </c>
      <c r="C3557" t="s">
        <v>24</v>
      </c>
      <c r="D3557" t="s">
        <v>82</v>
      </c>
      <c r="E3557" t="s">
        <v>26</v>
      </c>
      <c r="F3557" t="s">
        <v>114</v>
      </c>
      <c r="G3557" t="s">
        <v>115</v>
      </c>
      <c r="H3557" t="s">
        <v>115</v>
      </c>
      <c r="I3557" t="s">
        <v>64</v>
      </c>
      <c r="J3557" t="s">
        <v>157</v>
      </c>
      <c r="K3557" t="s">
        <v>91</v>
      </c>
      <c r="L3557" t="s">
        <v>33</v>
      </c>
      <c r="M3557" t="s">
        <v>47</v>
      </c>
      <c r="N3557" t="s">
        <v>69</v>
      </c>
      <c r="O3557" t="s">
        <v>36</v>
      </c>
      <c r="P3557" t="s">
        <v>71</v>
      </c>
      <c r="Q3557" t="s">
        <v>172</v>
      </c>
      <c r="R3557">
        <v>151</v>
      </c>
      <c r="S3557">
        <v>88</v>
      </c>
      <c r="T3557">
        <v>64</v>
      </c>
      <c r="U3557">
        <v>23</v>
      </c>
      <c r="V3557" t="s">
        <v>6775</v>
      </c>
      <c r="W3557">
        <v>62725</v>
      </c>
      <c r="X3557" t="s">
        <v>826</v>
      </c>
      <c r="Y3557">
        <v>45349</v>
      </c>
      <c r="Z3557">
        <v>1442675</v>
      </c>
      <c r="AA3557">
        <v>399648</v>
      </c>
      <c r="AB3557" t="str">
        <f>(VLOOKUP(SalesData[[#This Row],[Month Number]],Reference!C$5:E$16,2,FALSE))</f>
        <v>Feb</v>
      </c>
      <c r="AC3557">
        <f>MONTH(SalesData[[#This Row],[Date]])</f>
        <v>2</v>
      </c>
      <c r="AD3557">
        <f>Reference!F$4</f>
        <v>2026</v>
      </c>
      <c r="AE3557" t="str">
        <f>IF(OR(SalesData[[#This Row],[Day]]="Saturday",SalesData[[#This Row],[Day]]="Sunday"),"Weekend","Weekday")</f>
        <v>Weekday</v>
      </c>
      <c r="AF3557" s="5">
        <f>IF(SalesData[[#This Row],[Contracts Offered]]=0,0,SalesData[[#This Row],[Contracts Signed]]/SalesData[[#This Row],[Contracts Offered]])</f>
        <v>0.359375</v>
      </c>
      <c r="AG3557" s="5">
        <f>IF(SalesData[[#This Row],[Customers Visited]]=0,0,SalesData[[#This Row],[Test Drives]]/SalesData[[#This Row],[Customers Visited]])</f>
        <v>0.58278145695364236</v>
      </c>
      <c r="AH3557" s="5">
        <f>IF(SalesData[[#This Row],[Customers Visited]]=0,0,SalesData[[#This Row],[Contracts Signed]]/SalesData[[#This Row],[Customers Visited]])</f>
        <v>0.15231788079470199</v>
      </c>
      <c r="AI3557" s="6">
        <f>IF(SalesData[[#This Row],[Contracts Signed]]=0,0,SalesData[[#This Row],[Profit(€)]]/SalesData[[#This Row],[Contracts Signed]])</f>
        <v>17376</v>
      </c>
      <c r="AJ3557" s="5" t="str">
        <f>TRIM(CLEAN(SalesData[[#This Row],[Retailer]]))</f>
        <v>Elbe Drive</v>
      </c>
    </row>
    <row r="3558" spans="1:36" ht="14.25" hidden="1" x14ac:dyDescent="0.2">
      <c r="A3558" t="s">
        <v>4763</v>
      </c>
      <c r="B3558" s="1">
        <v>46055</v>
      </c>
      <c r="C3558" t="s">
        <v>24</v>
      </c>
      <c r="D3558" t="s">
        <v>25</v>
      </c>
      <c r="E3558" t="s">
        <v>26</v>
      </c>
      <c r="F3558" t="s">
        <v>7649</v>
      </c>
      <c r="G3558" t="s">
        <v>55</v>
      </c>
      <c r="H3558" t="s">
        <v>55</v>
      </c>
      <c r="I3558" t="s">
        <v>64</v>
      </c>
      <c r="J3558" t="s">
        <v>111</v>
      </c>
      <c r="K3558" t="s">
        <v>78</v>
      </c>
      <c r="L3558" t="s">
        <v>46</v>
      </c>
      <c r="M3558" t="s">
        <v>47</v>
      </c>
      <c r="N3558" t="s">
        <v>48</v>
      </c>
      <c r="O3558" t="s">
        <v>70</v>
      </c>
      <c r="P3558" t="s">
        <v>37</v>
      </c>
      <c r="Q3558" t="s">
        <v>79</v>
      </c>
      <c r="R3558">
        <v>200</v>
      </c>
      <c r="S3558">
        <v>89</v>
      </c>
      <c r="T3558">
        <v>69</v>
      </c>
      <c r="U3558">
        <v>24</v>
      </c>
      <c r="V3558" t="s">
        <v>6417</v>
      </c>
      <c r="W3558">
        <v>58713</v>
      </c>
      <c r="X3558" t="s">
        <v>7217</v>
      </c>
      <c r="Y3558">
        <v>44515</v>
      </c>
      <c r="Z3558">
        <v>1409112</v>
      </c>
      <c r="AA3558">
        <v>340752</v>
      </c>
      <c r="AB3558" t="str">
        <f>(VLOOKUP(SalesData[[#This Row],[Month Number]],Reference!C$5:E$16,2,FALSE))</f>
        <v>Feb</v>
      </c>
      <c r="AC3558">
        <f>MONTH(SalesData[[#This Row],[Date]])</f>
        <v>2</v>
      </c>
      <c r="AD3558">
        <f>Reference!F$4</f>
        <v>2026</v>
      </c>
      <c r="AE3558" t="str">
        <f>IF(OR(SalesData[[#This Row],[Day]]="Saturday",SalesData[[#This Row],[Day]]="Sunday"),"Weekend","Weekday")</f>
        <v>Weekday</v>
      </c>
      <c r="AF3558" s="5">
        <f>IF(SalesData[[#This Row],[Contracts Offered]]=0,0,SalesData[[#This Row],[Contracts Signed]]/SalesData[[#This Row],[Contracts Offered]])</f>
        <v>0.34782608695652173</v>
      </c>
      <c r="AG3558" s="5">
        <f>IF(SalesData[[#This Row],[Customers Visited]]=0,0,SalesData[[#This Row],[Test Drives]]/SalesData[[#This Row],[Customers Visited]])</f>
        <v>0.44500000000000001</v>
      </c>
      <c r="AH3558" s="5">
        <f>IF(SalesData[[#This Row],[Customers Visited]]=0,0,SalesData[[#This Row],[Contracts Signed]]/SalesData[[#This Row],[Customers Visited]])</f>
        <v>0.12</v>
      </c>
      <c r="AI3558" s="6">
        <f>IF(SalesData[[#This Row],[Contracts Signed]]=0,0,SalesData[[#This Row],[Profit(€)]]/SalesData[[#This Row],[Contracts Signed]])</f>
        <v>14198</v>
      </c>
      <c r="AJ3558" s="5" t="str">
        <f>TRIM(CLEAN(SalesData[[#This Row],[Retailer]]))</f>
        <v>Autohaus Berlin</v>
      </c>
    </row>
    <row r="3559" spans="1:36" ht="14.25" hidden="1" x14ac:dyDescent="0.2">
      <c r="A3559" t="s">
        <v>4764</v>
      </c>
      <c r="B3559" s="1">
        <v>46055</v>
      </c>
      <c r="C3559" t="s">
        <v>24</v>
      </c>
      <c r="D3559" t="s">
        <v>25</v>
      </c>
      <c r="E3559" t="s">
        <v>26</v>
      </c>
      <c r="F3559" t="s">
        <v>7649</v>
      </c>
      <c r="G3559" t="s">
        <v>55</v>
      </c>
      <c r="H3559" t="s">
        <v>55</v>
      </c>
      <c r="I3559" t="s">
        <v>56</v>
      </c>
      <c r="J3559" t="s">
        <v>137</v>
      </c>
      <c r="K3559" t="s">
        <v>32</v>
      </c>
      <c r="L3559" t="s">
        <v>46</v>
      </c>
      <c r="M3559" t="s">
        <v>34</v>
      </c>
      <c r="N3559" t="s">
        <v>48</v>
      </c>
      <c r="O3559" t="s">
        <v>36</v>
      </c>
      <c r="P3559" t="s">
        <v>37</v>
      </c>
      <c r="Q3559" t="s">
        <v>189</v>
      </c>
      <c r="R3559">
        <v>174</v>
      </c>
      <c r="S3559">
        <v>95</v>
      </c>
      <c r="T3559">
        <v>72</v>
      </c>
      <c r="U3559">
        <v>23</v>
      </c>
      <c r="V3559" t="s">
        <v>6644</v>
      </c>
      <c r="W3559">
        <v>53551</v>
      </c>
      <c r="X3559" t="s">
        <v>7033</v>
      </c>
      <c r="Y3559">
        <v>40488</v>
      </c>
      <c r="Z3559">
        <v>1231673</v>
      </c>
      <c r="AA3559">
        <v>300449</v>
      </c>
      <c r="AB3559" t="str">
        <f>(VLOOKUP(SalesData[[#This Row],[Month Number]],Reference!C$5:E$16,2,FALSE))</f>
        <v>Feb</v>
      </c>
      <c r="AC3559">
        <f>MONTH(SalesData[[#This Row],[Date]])</f>
        <v>2</v>
      </c>
      <c r="AD3559">
        <f>Reference!F$4</f>
        <v>2026</v>
      </c>
      <c r="AE3559" t="str">
        <f>IF(OR(SalesData[[#This Row],[Day]]="Saturday",SalesData[[#This Row],[Day]]="Sunday"),"Weekend","Weekday")</f>
        <v>Weekday</v>
      </c>
      <c r="AF3559" s="5">
        <f>IF(SalesData[[#This Row],[Contracts Offered]]=0,0,SalesData[[#This Row],[Contracts Signed]]/SalesData[[#This Row],[Contracts Offered]])</f>
        <v>0.31944444444444442</v>
      </c>
      <c r="AG3559" s="5">
        <f>IF(SalesData[[#This Row],[Customers Visited]]=0,0,SalesData[[#This Row],[Test Drives]]/SalesData[[#This Row],[Customers Visited]])</f>
        <v>0.54597701149425293</v>
      </c>
      <c r="AH3559" s="5">
        <f>IF(SalesData[[#This Row],[Customers Visited]]=0,0,SalesData[[#This Row],[Contracts Signed]]/SalesData[[#This Row],[Customers Visited]])</f>
        <v>0.13218390804597702</v>
      </c>
      <c r="AI3559" s="6">
        <f>IF(SalesData[[#This Row],[Contracts Signed]]=0,0,SalesData[[#This Row],[Profit(€)]]/SalesData[[#This Row],[Contracts Signed]])</f>
        <v>13063</v>
      </c>
      <c r="AJ3559" s="5" t="str">
        <f>TRIM(CLEAN(SalesData[[#This Row],[Retailer]]))</f>
        <v>Autohaus Berlin</v>
      </c>
    </row>
    <row r="3560" spans="1:36" ht="14.25" x14ac:dyDescent="0.2">
      <c r="A3560" t="s">
        <v>4765</v>
      </c>
      <c r="B3560" s="1">
        <v>46064</v>
      </c>
      <c r="C3560" t="s">
        <v>121</v>
      </c>
      <c r="D3560" t="s">
        <v>82</v>
      </c>
      <c r="E3560" t="s">
        <v>26</v>
      </c>
      <c r="F3560" t="s">
        <v>7649</v>
      </c>
      <c r="G3560" t="s">
        <v>55</v>
      </c>
      <c r="H3560" t="s">
        <v>55</v>
      </c>
      <c r="I3560" t="s">
        <v>30</v>
      </c>
      <c r="J3560" t="s">
        <v>7075</v>
      </c>
      <c r="K3560" t="s">
        <v>91</v>
      </c>
      <c r="L3560" t="s">
        <v>33</v>
      </c>
      <c r="M3560" t="s">
        <v>34</v>
      </c>
      <c r="N3560" t="s">
        <v>35</v>
      </c>
      <c r="O3560" t="s">
        <v>36</v>
      </c>
      <c r="P3560" t="s">
        <v>37</v>
      </c>
      <c r="Q3560" t="s">
        <v>122</v>
      </c>
      <c r="R3560">
        <v>178</v>
      </c>
      <c r="S3560">
        <v>90</v>
      </c>
      <c r="T3560">
        <v>71</v>
      </c>
      <c r="U3560">
        <v>27</v>
      </c>
      <c r="V3560" t="s">
        <v>7100</v>
      </c>
      <c r="W3560">
        <v>57458</v>
      </c>
      <c r="X3560" t="s">
        <v>7529</v>
      </c>
      <c r="Y3560">
        <v>40918</v>
      </c>
      <c r="Z3560">
        <v>1551366</v>
      </c>
      <c r="AA3560">
        <v>446580</v>
      </c>
      <c r="AB3560" t="str">
        <f>(VLOOKUP(SalesData[[#This Row],[Month Number]],Reference!C$5:E$16,2,FALSE))</f>
        <v>Feb</v>
      </c>
      <c r="AC3560">
        <f>MONTH(SalesData[[#This Row],[Date]])</f>
        <v>2</v>
      </c>
      <c r="AD3560">
        <f>Reference!F$4</f>
        <v>2026</v>
      </c>
      <c r="AE3560" t="str">
        <f>IF(OR(SalesData[[#This Row],[Day]]="Saturday",SalesData[[#This Row],[Day]]="Sunday"),"Weekend","Weekday")</f>
        <v>Weekday</v>
      </c>
      <c r="AF3560" s="5">
        <f>IF(SalesData[[#This Row],[Contracts Offered]]=0,0,SalesData[[#This Row],[Contracts Signed]]/SalesData[[#This Row],[Contracts Offered]])</f>
        <v>0.38028169014084506</v>
      </c>
      <c r="AG3560" s="5">
        <f>IF(SalesData[[#This Row],[Customers Visited]]=0,0,SalesData[[#This Row],[Test Drives]]/SalesData[[#This Row],[Customers Visited]])</f>
        <v>0.5056179775280899</v>
      </c>
      <c r="AH3560" s="5">
        <f>IF(SalesData[[#This Row],[Customers Visited]]=0,0,SalesData[[#This Row],[Contracts Signed]]/SalesData[[#This Row],[Customers Visited]])</f>
        <v>0.15168539325842698</v>
      </c>
      <c r="AI3560" s="6">
        <f>IF(SalesData[[#This Row],[Contracts Signed]]=0,0,SalesData[[#This Row],[Profit(€)]]/SalesData[[#This Row],[Contracts Signed]])</f>
        <v>16540</v>
      </c>
      <c r="AJ3560" s="5" t="str">
        <f>TRIM(CLEAN(SalesData[[#This Row],[Retailer]]))</f>
        <v>Autohaus Berlin</v>
      </c>
    </row>
    <row r="3561" spans="1:36" ht="14.25" hidden="1" x14ac:dyDescent="0.2">
      <c r="A3561" t="s">
        <v>4766</v>
      </c>
      <c r="B3561" s="1">
        <v>46068</v>
      </c>
      <c r="C3561" t="s">
        <v>62</v>
      </c>
      <c r="D3561" t="s">
        <v>41</v>
      </c>
      <c r="E3561" t="s">
        <v>42</v>
      </c>
      <c r="F3561" t="s">
        <v>7649</v>
      </c>
      <c r="G3561" t="s">
        <v>55</v>
      </c>
      <c r="H3561" t="s">
        <v>55</v>
      </c>
      <c r="I3561" t="s">
        <v>116</v>
      </c>
      <c r="J3561" t="s">
        <v>117</v>
      </c>
      <c r="K3561" t="s">
        <v>32</v>
      </c>
      <c r="L3561" t="s">
        <v>67</v>
      </c>
      <c r="M3561" t="s">
        <v>34</v>
      </c>
      <c r="N3561" t="s">
        <v>48</v>
      </c>
      <c r="O3561" t="s">
        <v>70</v>
      </c>
      <c r="P3561" t="s">
        <v>37</v>
      </c>
      <c r="Q3561" t="s">
        <v>135</v>
      </c>
      <c r="R3561">
        <v>227</v>
      </c>
      <c r="S3561">
        <v>114</v>
      </c>
      <c r="T3561">
        <v>67</v>
      </c>
      <c r="U3561">
        <v>19</v>
      </c>
      <c r="V3561" t="s">
        <v>508</v>
      </c>
      <c r="W3561">
        <v>26581</v>
      </c>
      <c r="X3561" t="s">
        <v>3906</v>
      </c>
      <c r="Y3561">
        <v>24680</v>
      </c>
      <c r="Z3561">
        <v>505039</v>
      </c>
      <c r="AA3561">
        <v>36119</v>
      </c>
      <c r="AB3561" t="str">
        <f>(VLOOKUP(SalesData[[#This Row],[Month Number]],Reference!C$5:E$16,2,FALSE))</f>
        <v>Feb</v>
      </c>
      <c r="AC3561">
        <f>MONTH(SalesData[[#This Row],[Date]])</f>
        <v>2</v>
      </c>
      <c r="AD3561">
        <f>Reference!F$4</f>
        <v>2026</v>
      </c>
      <c r="AE3561" t="str">
        <f>IF(OR(SalesData[[#This Row],[Day]]="Saturday",SalesData[[#This Row],[Day]]="Sunday"),"Weekend","Weekday")</f>
        <v>Weekend</v>
      </c>
      <c r="AF3561" s="5">
        <f>IF(SalesData[[#This Row],[Contracts Offered]]=0,0,SalesData[[#This Row],[Contracts Signed]]/SalesData[[#This Row],[Contracts Offered]])</f>
        <v>0.28358208955223879</v>
      </c>
      <c r="AG3561" s="5">
        <f>IF(SalesData[[#This Row],[Customers Visited]]=0,0,SalesData[[#This Row],[Test Drives]]/SalesData[[#This Row],[Customers Visited]])</f>
        <v>0.50220264317180618</v>
      </c>
      <c r="AH3561" s="5">
        <f>IF(SalesData[[#This Row],[Customers Visited]]=0,0,SalesData[[#This Row],[Contracts Signed]]/SalesData[[#This Row],[Customers Visited]])</f>
        <v>8.3700440528634359E-2</v>
      </c>
      <c r="AI3561" s="6">
        <f>IF(SalesData[[#This Row],[Contracts Signed]]=0,0,SalesData[[#This Row],[Profit(€)]]/SalesData[[#This Row],[Contracts Signed]])</f>
        <v>1901</v>
      </c>
      <c r="AJ3561" s="5" t="str">
        <f>TRIM(CLEAN(SalesData[[#This Row],[Retailer]]))</f>
        <v>Autohaus Berlin</v>
      </c>
    </row>
    <row r="3562" spans="1:36" ht="14.25" hidden="1" x14ac:dyDescent="0.2">
      <c r="A3562" t="s">
        <v>4767</v>
      </c>
      <c r="B3562" s="1">
        <v>46059</v>
      </c>
      <c r="C3562" t="s">
        <v>24</v>
      </c>
      <c r="D3562" t="s">
        <v>54</v>
      </c>
      <c r="E3562" t="s">
        <v>26</v>
      </c>
      <c r="F3562" t="s">
        <v>114</v>
      </c>
      <c r="G3562" t="s">
        <v>115</v>
      </c>
      <c r="H3562" t="s">
        <v>115</v>
      </c>
      <c r="I3562" t="s">
        <v>104</v>
      </c>
      <c r="J3562" t="s">
        <v>143</v>
      </c>
      <c r="K3562" t="s">
        <v>32</v>
      </c>
      <c r="L3562" t="s">
        <v>67</v>
      </c>
      <c r="M3562" t="s">
        <v>47</v>
      </c>
      <c r="N3562" t="s">
        <v>69</v>
      </c>
      <c r="O3562" t="s">
        <v>36</v>
      </c>
      <c r="P3562" t="s">
        <v>49</v>
      </c>
      <c r="Q3562" t="s">
        <v>88</v>
      </c>
      <c r="R3562">
        <v>389</v>
      </c>
      <c r="S3562">
        <v>199</v>
      </c>
      <c r="T3562">
        <v>125</v>
      </c>
      <c r="U3562">
        <v>31</v>
      </c>
      <c r="V3562" t="s">
        <v>4134</v>
      </c>
      <c r="W3562">
        <v>33126</v>
      </c>
      <c r="X3562" t="s">
        <v>3163</v>
      </c>
      <c r="Y3562">
        <v>29391</v>
      </c>
      <c r="Z3562">
        <v>1026906</v>
      </c>
      <c r="AA3562">
        <v>115785</v>
      </c>
      <c r="AB3562" t="str">
        <f>(VLOOKUP(SalesData[[#This Row],[Month Number]],Reference!C$5:E$16,2,FALSE))</f>
        <v>Feb</v>
      </c>
      <c r="AC3562">
        <f>MONTH(SalesData[[#This Row],[Date]])</f>
        <v>2</v>
      </c>
      <c r="AD3562">
        <f>Reference!F$4</f>
        <v>2026</v>
      </c>
      <c r="AE3562" t="str">
        <f>IF(OR(SalesData[[#This Row],[Day]]="Saturday",SalesData[[#This Row],[Day]]="Sunday"),"Weekend","Weekday")</f>
        <v>Weekday</v>
      </c>
      <c r="AF3562" s="5">
        <f>IF(SalesData[[#This Row],[Contracts Offered]]=0,0,SalesData[[#This Row],[Contracts Signed]]/SalesData[[#This Row],[Contracts Offered]])</f>
        <v>0.248</v>
      </c>
      <c r="AG3562" s="5">
        <f>IF(SalesData[[#This Row],[Customers Visited]]=0,0,SalesData[[#This Row],[Test Drives]]/SalesData[[#This Row],[Customers Visited]])</f>
        <v>0.51156812339331614</v>
      </c>
      <c r="AH3562" s="5">
        <f>IF(SalesData[[#This Row],[Customers Visited]]=0,0,SalesData[[#This Row],[Contracts Signed]]/SalesData[[#This Row],[Customers Visited]])</f>
        <v>7.9691516709511565E-2</v>
      </c>
      <c r="AI3562" s="6">
        <f>IF(SalesData[[#This Row],[Contracts Signed]]=0,0,SalesData[[#This Row],[Profit(€)]]/SalesData[[#This Row],[Contracts Signed]])</f>
        <v>3735</v>
      </c>
      <c r="AJ3562" s="5" t="str">
        <f>TRIM(CLEAN(SalesData[[#This Row],[Retailer]]))</f>
        <v>Elbe Drive</v>
      </c>
    </row>
    <row r="3563" spans="1:36" ht="14.25" x14ac:dyDescent="0.2">
      <c r="A3563" t="s">
        <v>4768</v>
      </c>
      <c r="B3563" s="1">
        <v>46058</v>
      </c>
      <c r="C3563" t="s">
        <v>24</v>
      </c>
      <c r="D3563" t="s">
        <v>100</v>
      </c>
      <c r="E3563" t="s">
        <v>26</v>
      </c>
      <c r="F3563" t="s">
        <v>94</v>
      </c>
      <c r="G3563" t="s">
        <v>95</v>
      </c>
      <c r="H3563" t="s">
        <v>96</v>
      </c>
      <c r="I3563" t="s">
        <v>30</v>
      </c>
      <c r="J3563" t="s">
        <v>188</v>
      </c>
      <c r="K3563" t="s">
        <v>32</v>
      </c>
      <c r="L3563" t="s">
        <v>33</v>
      </c>
      <c r="M3563" t="s">
        <v>47</v>
      </c>
      <c r="N3563" t="s">
        <v>48</v>
      </c>
      <c r="O3563" t="s">
        <v>70</v>
      </c>
      <c r="P3563" t="s">
        <v>58</v>
      </c>
      <c r="Q3563" t="s">
        <v>169</v>
      </c>
      <c r="R3563">
        <v>175</v>
      </c>
      <c r="S3563">
        <v>104</v>
      </c>
      <c r="T3563">
        <v>77</v>
      </c>
      <c r="U3563">
        <v>33</v>
      </c>
      <c r="V3563" t="s">
        <v>7401</v>
      </c>
      <c r="W3563">
        <v>61816</v>
      </c>
      <c r="X3563" t="s">
        <v>7154</v>
      </c>
      <c r="Y3563">
        <v>46947</v>
      </c>
      <c r="Z3563">
        <v>2039928</v>
      </c>
      <c r="AA3563">
        <v>490677</v>
      </c>
      <c r="AB3563" t="str">
        <f>(VLOOKUP(SalesData[[#This Row],[Month Number]],Reference!C$5:E$16,2,FALSE))</f>
        <v>Feb</v>
      </c>
      <c r="AC3563">
        <f>MONTH(SalesData[[#This Row],[Date]])</f>
        <v>2</v>
      </c>
      <c r="AD3563">
        <f>Reference!F$4</f>
        <v>2026</v>
      </c>
      <c r="AE3563" t="str">
        <f>IF(OR(SalesData[[#This Row],[Day]]="Saturday",SalesData[[#This Row],[Day]]="Sunday"),"Weekend","Weekday")</f>
        <v>Weekday</v>
      </c>
      <c r="AF3563" s="5">
        <f>IF(SalesData[[#This Row],[Contracts Offered]]=0,0,SalesData[[#This Row],[Contracts Signed]]/SalesData[[#This Row],[Contracts Offered]])</f>
        <v>0.42857142857142855</v>
      </c>
      <c r="AG3563" s="5">
        <f>IF(SalesData[[#This Row],[Customers Visited]]=0,0,SalesData[[#This Row],[Test Drives]]/SalesData[[#This Row],[Customers Visited]])</f>
        <v>0.59428571428571431</v>
      </c>
      <c r="AH3563" s="5">
        <f>IF(SalesData[[#This Row],[Customers Visited]]=0,0,SalesData[[#This Row],[Contracts Signed]]/SalesData[[#This Row],[Customers Visited]])</f>
        <v>0.18857142857142858</v>
      </c>
      <c r="AI3563" s="6">
        <f>IF(SalesData[[#This Row],[Contracts Signed]]=0,0,SalesData[[#This Row],[Profit(€)]]/SalesData[[#This Row],[Contracts Signed]])</f>
        <v>14869</v>
      </c>
      <c r="AJ3563" s="5" t="str">
        <f>TRIM(CLEAN(SalesData[[#This Row],[Retailer]]))</f>
        <v>Bavaria Motors</v>
      </c>
    </row>
    <row r="3564" spans="1:36" ht="14.25" hidden="1" x14ac:dyDescent="0.2">
      <c r="A3564" t="s">
        <v>4769</v>
      </c>
      <c r="B3564" s="1">
        <v>46071</v>
      </c>
      <c r="C3564" t="s">
        <v>62</v>
      </c>
      <c r="D3564" t="s">
        <v>82</v>
      </c>
      <c r="E3564" t="s">
        <v>26</v>
      </c>
      <c r="F3564" t="s">
        <v>43</v>
      </c>
      <c r="G3564" t="s">
        <v>44</v>
      </c>
      <c r="H3564" t="s">
        <v>45</v>
      </c>
      <c r="I3564" t="s">
        <v>64</v>
      </c>
      <c r="J3564" t="s">
        <v>77</v>
      </c>
      <c r="K3564" t="s">
        <v>91</v>
      </c>
      <c r="L3564" t="s">
        <v>46</v>
      </c>
      <c r="M3564" t="s">
        <v>47</v>
      </c>
      <c r="N3564" t="s">
        <v>69</v>
      </c>
      <c r="O3564" t="s">
        <v>36</v>
      </c>
      <c r="P3564" t="s">
        <v>37</v>
      </c>
      <c r="Q3564" t="s">
        <v>169</v>
      </c>
      <c r="R3564">
        <v>191</v>
      </c>
      <c r="S3564">
        <v>101</v>
      </c>
      <c r="T3564">
        <v>67</v>
      </c>
      <c r="U3564">
        <v>25</v>
      </c>
      <c r="V3564" t="s">
        <v>6551</v>
      </c>
      <c r="W3564">
        <v>65902</v>
      </c>
      <c r="X3564" t="s">
        <v>7263</v>
      </c>
      <c r="Y3564">
        <v>50693</v>
      </c>
      <c r="Z3564">
        <v>1647550</v>
      </c>
      <c r="AA3564">
        <v>380225</v>
      </c>
      <c r="AB3564" t="str">
        <f>(VLOOKUP(SalesData[[#This Row],[Month Number]],Reference!C$5:E$16,2,FALSE))</f>
        <v>Feb</v>
      </c>
      <c r="AC3564">
        <f>MONTH(SalesData[[#This Row],[Date]])</f>
        <v>2</v>
      </c>
      <c r="AD3564">
        <f>Reference!F$4</f>
        <v>2026</v>
      </c>
      <c r="AE3564" t="str">
        <f>IF(OR(SalesData[[#This Row],[Day]]="Saturday",SalesData[[#This Row],[Day]]="Sunday"),"Weekend","Weekday")</f>
        <v>Weekday</v>
      </c>
      <c r="AF3564" s="5">
        <f>IF(SalesData[[#This Row],[Contracts Offered]]=0,0,SalesData[[#This Row],[Contracts Signed]]/SalesData[[#This Row],[Contracts Offered]])</f>
        <v>0.37313432835820898</v>
      </c>
      <c r="AG3564" s="5">
        <f>IF(SalesData[[#This Row],[Customers Visited]]=0,0,SalesData[[#This Row],[Test Drives]]/SalesData[[#This Row],[Customers Visited]])</f>
        <v>0.52879581151832455</v>
      </c>
      <c r="AH3564" s="5">
        <f>IF(SalesData[[#This Row],[Customers Visited]]=0,0,SalesData[[#This Row],[Contracts Signed]]/SalesData[[#This Row],[Customers Visited]])</f>
        <v>0.13089005235602094</v>
      </c>
      <c r="AI3564" s="6">
        <f>IF(SalesData[[#This Row],[Contracts Signed]]=0,0,SalesData[[#This Row],[Profit(€)]]/SalesData[[#This Row],[Contracts Signed]])</f>
        <v>15209</v>
      </c>
      <c r="AJ3564" s="5" t="str">
        <f>TRIM(CLEAN(SalesData[[#This Row],[Retailer]]))</f>
        <v>Saxon Wheels</v>
      </c>
    </row>
    <row r="3565" spans="1:36" ht="14.25" hidden="1" x14ac:dyDescent="0.2">
      <c r="A3565" t="s">
        <v>4770</v>
      </c>
      <c r="B3565" s="1">
        <v>46061</v>
      </c>
      <c r="C3565" t="s">
        <v>121</v>
      </c>
      <c r="D3565" t="s">
        <v>41</v>
      </c>
      <c r="E3565" t="s">
        <v>42</v>
      </c>
      <c r="F3565" t="s">
        <v>7649</v>
      </c>
      <c r="G3565" t="s">
        <v>55</v>
      </c>
      <c r="H3565" t="s">
        <v>55</v>
      </c>
      <c r="I3565" t="s">
        <v>116</v>
      </c>
      <c r="J3565" t="s">
        <v>203</v>
      </c>
      <c r="K3565" t="s">
        <v>78</v>
      </c>
      <c r="L3565" t="s">
        <v>67</v>
      </c>
      <c r="M3565" t="s">
        <v>68</v>
      </c>
      <c r="N3565" t="s">
        <v>35</v>
      </c>
      <c r="O3565" t="s">
        <v>70</v>
      </c>
      <c r="P3565" t="s">
        <v>58</v>
      </c>
      <c r="Q3565" t="s">
        <v>189</v>
      </c>
      <c r="R3565">
        <v>416</v>
      </c>
      <c r="S3565">
        <v>187</v>
      </c>
      <c r="T3565">
        <v>111</v>
      </c>
      <c r="U3565">
        <v>37</v>
      </c>
      <c r="V3565" t="s">
        <v>517</v>
      </c>
      <c r="W3565">
        <v>24102</v>
      </c>
      <c r="X3565" t="s">
        <v>854</v>
      </c>
      <c r="Y3565">
        <v>21592</v>
      </c>
      <c r="Z3565">
        <v>891774</v>
      </c>
      <c r="AA3565">
        <v>92870</v>
      </c>
      <c r="AB3565" t="str">
        <f>(VLOOKUP(SalesData[[#This Row],[Month Number]],Reference!C$5:E$16,2,FALSE))</f>
        <v>Feb</v>
      </c>
      <c r="AC3565">
        <f>MONTH(SalesData[[#This Row],[Date]])</f>
        <v>2</v>
      </c>
      <c r="AD3565">
        <f>Reference!F$4</f>
        <v>2026</v>
      </c>
      <c r="AE3565" t="str">
        <f>IF(OR(SalesData[[#This Row],[Day]]="Saturday",SalesData[[#This Row],[Day]]="Sunday"),"Weekend","Weekday")</f>
        <v>Weekend</v>
      </c>
      <c r="AF3565" s="5">
        <f>IF(SalesData[[#This Row],[Contracts Offered]]=0,0,SalesData[[#This Row],[Contracts Signed]]/SalesData[[#This Row],[Contracts Offered]])</f>
        <v>0.33333333333333331</v>
      </c>
      <c r="AG3565" s="5">
        <f>IF(SalesData[[#This Row],[Customers Visited]]=0,0,SalesData[[#This Row],[Test Drives]]/SalesData[[#This Row],[Customers Visited]])</f>
        <v>0.44951923076923078</v>
      </c>
      <c r="AH3565" s="5">
        <f>IF(SalesData[[#This Row],[Customers Visited]]=0,0,SalesData[[#This Row],[Contracts Signed]]/SalesData[[#This Row],[Customers Visited]])</f>
        <v>8.8942307692307696E-2</v>
      </c>
      <c r="AI3565" s="6">
        <f>IF(SalesData[[#This Row],[Contracts Signed]]=0,0,SalesData[[#This Row],[Profit(€)]]/SalesData[[#This Row],[Contracts Signed]])</f>
        <v>2510</v>
      </c>
      <c r="AJ3565" s="5" t="str">
        <f>TRIM(CLEAN(SalesData[[#This Row],[Retailer]]))</f>
        <v>Autohaus Berlin</v>
      </c>
    </row>
    <row r="3566" spans="1:36" ht="14.25" hidden="1" x14ac:dyDescent="0.2">
      <c r="A3566" t="s">
        <v>4771</v>
      </c>
      <c r="B3566" s="1">
        <v>46056</v>
      </c>
      <c r="C3566" t="s">
        <v>24</v>
      </c>
      <c r="D3566" t="s">
        <v>63</v>
      </c>
      <c r="E3566" t="s">
        <v>26</v>
      </c>
      <c r="F3566" t="s">
        <v>74</v>
      </c>
      <c r="G3566" t="s">
        <v>75</v>
      </c>
      <c r="H3566" t="s">
        <v>76</v>
      </c>
      <c r="I3566" t="s">
        <v>56</v>
      </c>
      <c r="J3566" t="s">
        <v>97</v>
      </c>
      <c r="K3566" t="s">
        <v>32</v>
      </c>
      <c r="L3566" t="s">
        <v>33</v>
      </c>
      <c r="M3566" t="s">
        <v>68</v>
      </c>
      <c r="N3566" t="s">
        <v>69</v>
      </c>
      <c r="O3566" t="s">
        <v>70</v>
      </c>
      <c r="P3566" t="s">
        <v>37</v>
      </c>
      <c r="Q3566" t="s">
        <v>135</v>
      </c>
      <c r="R3566">
        <v>277</v>
      </c>
      <c r="S3566">
        <v>131</v>
      </c>
      <c r="T3566">
        <v>99</v>
      </c>
      <c r="U3566">
        <v>28</v>
      </c>
      <c r="V3566" t="s">
        <v>6550</v>
      </c>
      <c r="W3566">
        <v>51371</v>
      </c>
      <c r="X3566" t="s">
        <v>7265</v>
      </c>
      <c r="Y3566">
        <v>40274</v>
      </c>
      <c r="Z3566">
        <v>1438388</v>
      </c>
      <c r="AA3566">
        <v>310716</v>
      </c>
      <c r="AB3566" t="str">
        <f>(VLOOKUP(SalesData[[#This Row],[Month Number]],Reference!C$5:E$16,2,FALSE))</f>
        <v>Feb</v>
      </c>
      <c r="AC3566">
        <f>MONTH(SalesData[[#This Row],[Date]])</f>
        <v>2</v>
      </c>
      <c r="AD3566">
        <f>Reference!F$4</f>
        <v>2026</v>
      </c>
      <c r="AE3566" t="str">
        <f>IF(OR(SalesData[[#This Row],[Day]]="Saturday",SalesData[[#This Row],[Day]]="Sunday"),"Weekend","Weekday")</f>
        <v>Weekday</v>
      </c>
      <c r="AF3566" s="5">
        <f>IF(SalesData[[#This Row],[Contracts Offered]]=0,0,SalesData[[#This Row],[Contracts Signed]]/SalesData[[#This Row],[Contracts Offered]])</f>
        <v>0.28282828282828282</v>
      </c>
      <c r="AG3566" s="5">
        <f>IF(SalesData[[#This Row],[Customers Visited]]=0,0,SalesData[[#This Row],[Test Drives]]/SalesData[[#This Row],[Customers Visited]])</f>
        <v>0.47292418772563177</v>
      </c>
      <c r="AH3566" s="5">
        <f>IF(SalesData[[#This Row],[Customers Visited]]=0,0,SalesData[[#This Row],[Contracts Signed]]/SalesData[[#This Row],[Customers Visited]])</f>
        <v>0.10108303249097472</v>
      </c>
      <c r="AI3566" s="6">
        <f>IF(SalesData[[#This Row],[Contracts Signed]]=0,0,SalesData[[#This Row],[Profit(€)]]/SalesData[[#This Row],[Contracts Signed]])</f>
        <v>11097</v>
      </c>
      <c r="AJ3566" s="5" t="str">
        <f>TRIM(CLEAN(SalesData[[#This Row],[Retailer]]))</f>
        <v>Stuttgart Auto Center</v>
      </c>
    </row>
    <row r="3567" spans="1:36" ht="14.25" hidden="1" x14ac:dyDescent="0.2">
      <c r="A3567" t="s">
        <v>4772</v>
      </c>
      <c r="B3567" s="1">
        <v>46069</v>
      </c>
      <c r="C3567" t="s">
        <v>62</v>
      </c>
      <c r="D3567" t="s">
        <v>25</v>
      </c>
      <c r="E3567" t="s">
        <v>26</v>
      </c>
      <c r="F3567" t="s">
        <v>43</v>
      </c>
      <c r="G3567" t="s">
        <v>44</v>
      </c>
      <c r="H3567" t="s">
        <v>45</v>
      </c>
      <c r="I3567" t="s">
        <v>56</v>
      </c>
      <c r="J3567" t="s">
        <v>7028</v>
      </c>
      <c r="K3567" t="s">
        <v>32</v>
      </c>
      <c r="L3567" t="s">
        <v>46</v>
      </c>
      <c r="M3567" t="s">
        <v>34</v>
      </c>
      <c r="N3567" t="s">
        <v>69</v>
      </c>
      <c r="O3567" t="s">
        <v>36</v>
      </c>
      <c r="P3567" t="s">
        <v>71</v>
      </c>
      <c r="Q3567" t="s">
        <v>106</v>
      </c>
      <c r="R3567">
        <v>268</v>
      </c>
      <c r="S3567">
        <v>154</v>
      </c>
      <c r="T3567">
        <v>117</v>
      </c>
      <c r="U3567">
        <v>36</v>
      </c>
      <c r="V3567" t="s">
        <v>6700</v>
      </c>
      <c r="W3567">
        <v>44711</v>
      </c>
      <c r="X3567" t="s">
        <v>1101</v>
      </c>
      <c r="Y3567">
        <v>34408</v>
      </c>
      <c r="Z3567">
        <v>1609596</v>
      </c>
      <c r="AA3567">
        <v>370908</v>
      </c>
      <c r="AB3567" t="str">
        <f>(VLOOKUP(SalesData[[#This Row],[Month Number]],Reference!C$5:E$16,2,FALSE))</f>
        <v>Feb</v>
      </c>
      <c r="AC3567">
        <f>MONTH(SalesData[[#This Row],[Date]])</f>
        <v>2</v>
      </c>
      <c r="AD3567">
        <f>Reference!F$4</f>
        <v>2026</v>
      </c>
      <c r="AE3567" t="str">
        <f>IF(OR(SalesData[[#This Row],[Day]]="Saturday",SalesData[[#This Row],[Day]]="Sunday"),"Weekend","Weekday")</f>
        <v>Weekday</v>
      </c>
      <c r="AF3567" s="5">
        <f>IF(SalesData[[#This Row],[Contracts Offered]]=0,0,SalesData[[#This Row],[Contracts Signed]]/SalesData[[#This Row],[Contracts Offered]])</f>
        <v>0.30769230769230771</v>
      </c>
      <c r="AG3567" s="5">
        <f>IF(SalesData[[#This Row],[Customers Visited]]=0,0,SalesData[[#This Row],[Test Drives]]/SalesData[[#This Row],[Customers Visited]])</f>
        <v>0.57462686567164178</v>
      </c>
      <c r="AH3567" s="5">
        <f>IF(SalesData[[#This Row],[Customers Visited]]=0,0,SalesData[[#This Row],[Contracts Signed]]/SalesData[[#This Row],[Customers Visited]])</f>
        <v>0.13432835820895522</v>
      </c>
      <c r="AI3567" s="6">
        <f>IF(SalesData[[#This Row],[Contracts Signed]]=0,0,SalesData[[#This Row],[Profit(€)]]/SalesData[[#This Row],[Contracts Signed]])</f>
        <v>10303</v>
      </c>
      <c r="AJ3567" s="5" t="str">
        <f>TRIM(CLEAN(SalesData[[#This Row],[Retailer]]))</f>
        <v>Saxon Wheels</v>
      </c>
    </row>
    <row r="3568" spans="1:36" ht="14.25" hidden="1" x14ac:dyDescent="0.2">
      <c r="A3568" t="s">
        <v>4773</v>
      </c>
      <c r="B3568" s="1">
        <v>46076</v>
      </c>
      <c r="C3568" t="s">
        <v>53</v>
      </c>
      <c r="D3568" t="s">
        <v>25</v>
      </c>
      <c r="E3568" t="s">
        <v>26</v>
      </c>
      <c r="F3568" t="s">
        <v>74</v>
      </c>
      <c r="G3568" t="s">
        <v>75</v>
      </c>
      <c r="H3568" t="s">
        <v>76</v>
      </c>
      <c r="I3568" t="s">
        <v>64</v>
      </c>
      <c r="J3568" t="s">
        <v>157</v>
      </c>
      <c r="K3568" t="s">
        <v>78</v>
      </c>
      <c r="L3568" t="s">
        <v>33</v>
      </c>
      <c r="M3568" t="s">
        <v>47</v>
      </c>
      <c r="N3568" t="s">
        <v>69</v>
      </c>
      <c r="O3568" t="s">
        <v>70</v>
      </c>
      <c r="P3568" t="s">
        <v>58</v>
      </c>
      <c r="Q3568" t="s">
        <v>189</v>
      </c>
      <c r="R3568">
        <v>150</v>
      </c>
      <c r="S3568">
        <v>82</v>
      </c>
      <c r="T3568">
        <v>58</v>
      </c>
      <c r="U3568">
        <v>22</v>
      </c>
      <c r="V3568" t="s">
        <v>7247</v>
      </c>
      <c r="W3568">
        <v>66216</v>
      </c>
      <c r="X3568" t="s">
        <v>7435</v>
      </c>
      <c r="Y3568">
        <v>47499</v>
      </c>
      <c r="Z3568">
        <v>1456752</v>
      </c>
      <c r="AA3568">
        <v>411774</v>
      </c>
      <c r="AB3568" t="str">
        <f>(VLOOKUP(SalesData[[#This Row],[Month Number]],Reference!C$5:E$16,2,FALSE))</f>
        <v>Feb</v>
      </c>
      <c r="AC3568">
        <f>MONTH(SalesData[[#This Row],[Date]])</f>
        <v>2</v>
      </c>
      <c r="AD3568">
        <f>Reference!F$4</f>
        <v>2026</v>
      </c>
      <c r="AE3568" t="str">
        <f>IF(OR(SalesData[[#This Row],[Day]]="Saturday",SalesData[[#This Row],[Day]]="Sunday"),"Weekend","Weekday")</f>
        <v>Weekday</v>
      </c>
      <c r="AF3568" s="5">
        <f>IF(SalesData[[#This Row],[Contracts Offered]]=0,0,SalesData[[#This Row],[Contracts Signed]]/SalesData[[#This Row],[Contracts Offered]])</f>
        <v>0.37931034482758619</v>
      </c>
      <c r="AG3568" s="5">
        <f>IF(SalesData[[#This Row],[Customers Visited]]=0,0,SalesData[[#This Row],[Test Drives]]/SalesData[[#This Row],[Customers Visited]])</f>
        <v>0.54666666666666663</v>
      </c>
      <c r="AH3568" s="5">
        <f>IF(SalesData[[#This Row],[Customers Visited]]=0,0,SalesData[[#This Row],[Contracts Signed]]/SalesData[[#This Row],[Customers Visited]])</f>
        <v>0.14666666666666667</v>
      </c>
      <c r="AI3568" s="6">
        <f>IF(SalesData[[#This Row],[Contracts Signed]]=0,0,SalesData[[#This Row],[Profit(€)]]/SalesData[[#This Row],[Contracts Signed]])</f>
        <v>18717</v>
      </c>
      <c r="AJ3568" s="5" t="str">
        <f>TRIM(CLEAN(SalesData[[#This Row],[Retailer]]))</f>
        <v>Stuttgart Auto Center</v>
      </c>
    </row>
    <row r="3569" spans="1:36" ht="14.25" hidden="1" x14ac:dyDescent="0.2">
      <c r="A3569" t="s">
        <v>4774</v>
      </c>
      <c r="B3569" s="1">
        <v>46075</v>
      </c>
      <c r="C3569" t="s">
        <v>53</v>
      </c>
      <c r="D3569" t="s">
        <v>41</v>
      </c>
      <c r="E3569" t="s">
        <v>42</v>
      </c>
      <c r="F3569" t="s">
        <v>127</v>
      </c>
      <c r="G3569" t="s">
        <v>128</v>
      </c>
      <c r="H3569" t="s">
        <v>103</v>
      </c>
      <c r="I3569" t="s">
        <v>64</v>
      </c>
      <c r="J3569" t="s">
        <v>7029</v>
      </c>
      <c r="K3569" t="s">
        <v>78</v>
      </c>
      <c r="L3569" t="s">
        <v>33</v>
      </c>
      <c r="M3569" t="s">
        <v>47</v>
      </c>
      <c r="N3569" t="s">
        <v>35</v>
      </c>
      <c r="O3569" t="s">
        <v>36</v>
      </c>
      <c r="P3569" t="s">
        <v>71</v>
      </c>
      <c r="Q3569" t="s">
        <v>129</v>
      </c>
      <c r="R3569">
        <v>279</v>
      </c>
      <c r="S3569">
        <v>127</v>
      </c>
      <c r="T3569">
        <v>89</v>
      </c>
      <c r="U3569">
        <v>33</v>
      </c>
      <c r="V3569" t="s">
        <v>6792</v>
      </c>
      <c r="W3569">
        <v>59572</v>
      </c>
      <c r="X3569" t="s">
        <v>7093</v>
      </c>
      <c r="Y3569">
        <v>46028</v>
      </c>
      <c r="Z3569">
        <v>1965876</v>
      </c>
      <c r="AA3569">
        <v>446952</v>
      </c>
      <c r="AB3569" t="str">
        <f>(VLOOKUP(SalesData[[#This Row],[Month Number]],Reference!C$5:E$16,2,FALSE))</f>
        <v>Feb</v>
      </c>
      <c r="AC3569">
        <f>MONTH(SalesData[[#This Row],[Date]])</f>
        <v>2</v>
      </c>
      <c r="AD3569">
        <f>Reference!F$4</f>
        <v>2026</v>
      </c>
      <c r="AE3569" t="str">
        <f>IF(OR(SalesData[[#This Row],[Day]]="Saturday",SalesData[[#This Row],[Day]]="Sunday"),"Weekend","Weekday")</f>
        <v>Weekend</v>
      </c>
      <c r="AF3569" s="5">
        <f>IF(SalesData[[#This Row],[Contracts Offered]]=0,0,SalesData[[#This Row],[Contracts Signed]]/SalesData[[#This Row],[Contracts Offered]])</f>
        <v>0.3707865168539326</v>
      </c>
      <c r="AG3569" s="5">
        <f>IF(SalesData[[#This Row],[Customers Visited]]=0,0,SalesData[[#This Row],[Test Drives]]/SalesData[[#This Row],[Customers Visited]])</f>
        <v>0.45519713261648748</v>
      </c>
      <c r="AH3569" s="5">
        <f>IF(SalesData[[#This Row],[Customers Visited]]=0,0,SalesData[[#This Row],[Contracts Signed]]/SalesData[[#This Row],[Customers Visited]])</f>
        <v>0.11827956989247312</v>
      </c>
      <c r="AI3569" s="6">
        <f>IF(SalesData[[#This Row],[Contracts Signed]]=0,0,SalesData[[#This Row],[Profit(€)]]/SalesData[[#This Row],[Contracts Signed]])</f>
        <v>13544</v>
      </c>
      <c r="AJ3569" s="5" t="str">
        <f>TRIM(CLEAN(SalesData[[#This Row],[Retailer]]))</f>
        <v>Rhein Auto Group</v>
      </c>
    </row>
    <row r="3570" spans="1:36" ht="14.25" x14ac:dyDescent="0.2">
      <c r="A3570" t="s">
        <v>4775</v>
      </c>
      <c r="B3570" s="1">
        <v>46069</v>
      </c>
      <c r="C3570" t="s">
        <v>62</v>
      </c>
      <c r="D3570" t="s">
        <v>25</v>
      </c>
      <c r="E3570" t="s">
        <v>26</v>
      </c>
      <c r="F3570" t="s">
        <v>101</v>
      </c>
      <c r="G3570" t="s">
        <v>102</v>
      </c>
      <c r="H3570" t="s">
        <v>103</v>
      </c>
      <c r="I3570" t="s">
        <v>30</v>
      </c>
      <c r="J3570" t="s">
        <v>188</v>
      </c>
      <c r="K3570" t="s">
        <v>78</v>
      </c>
      <c r="L3570" t="s">
        <v>33</v>
      </c>
      <c r="M3570" t="s">
        <v>47</v>
      </c>
      <c r="N3570" t="s">
        <v>48</v>
      </c>
      <c r="O3570" t="s">
        <v>36</v>
      </c>
      <c r="P3570" t="s">
        <v>49</v>
      </c>
      <c r="Q3570" t="s">
        <v>144</v>
      </c>
      <c r="R3570">
        <v>186</v>
      </c>
      <c r="S3570">
        <v>86</v>
      </c>
      <c r="T3570">
        <v>63</v>
      </c>
      <c r="U3570">
        <v>20</v>
      </c>
      <c r="V3570" t="s">
        <v>6726</v>
      </c>
      <c r="W3570">
        <v>51231</v>
      </c>
      <c r="X3570" t="s">
        <v>7300</v>
      </c>
      <c r="Y3570">
        <v>39468</v>
      </c>
      <c r="Z3570">
        <v>1024620</v>
      </c>
      <c r="AA3570">
        <v>235260</v>
      </c>
      <c r="AB3570" t="str">
        <f>(VLOOKUP(SalesData[[#This Row],[Month Number]],Reference!C$5:E$16,2,FALSE))</f>
        <v>Feb</v>
      </c>
      <c r="AC3570">
        <f>MONTH(SalesData[[#This Row],[Date]])</f>
        <v>2</v>
      </c>
      <c r="AD3570">
        <f>Reference!F$4</f>
        <v>2026</v>
      </c>
      <c r="AE3570" t="str">
        <f>IF(OR(SalesData[[#This Row],[Day]]="Saturday",SalesData[[#This Row],[Day]]="Sunday"),"Weekend","Weekday")</f>
        <v>Weekday</v>
      </c>
      <c r="AF3570" s="5">
        <f>IF(SalesData[[#This Row],[Contracts Offered]]=0,0,SalesData[[#This Row],[Contracts Signed]]/SalesData[[#This Row],[Contracts Offered]])</f>
        <v>0.31746031746031744</v>
      </c>
      <c r="AG3570" s="5">
        <f>IF(SalesData[[#This Row],[Customers Visited]]=0,0,SalesData[[#This Row],[Test Drives]]/SalesData[[#This Row],[Customers Visited]])</f>
        <v>0.46236559139784944</v>
      </c>
      <c r="AH3570" s="5">
        <f>IF(SalesData[[#This Row],[Customers Visited]]=0,0,SalesData[[#This Row],[Contracts Signed]]/SalesData[[#This Row],[Customers Visited]])</f>
        <v>0.10752688172043011</v>
      </c>
      <c r="AI3570" s="6">
        <f>IF(SalesData[[#This Row],[Contracts Signed]]=0,0,SalesData[[#This Row],[Profit(€)]]/SalesData[[#This Row],[Contracts Signed]])</f>
        <v>11763</v>
      </c>
      <c r="AJ3570" s="5" t="str">
        <f>TRIM(CLEAN(SalesData[[#This Row],[Retailer]]))</f>
        <v>Ruhr Auto Plaza</v>
      </c>
    </row>
    <row r="3571" spans="1:36" ht="14.25" x14ac:dyDescent="0.2">
      <c r="A3571" t="s">
        <v>4776</v>
      </c>
      <c r="B3571" s="1">
        <v>46071</v>
      </c>
      <c r="C3571" t="s">
        <v>62</v>
      </c>
      <c r="D3571" t="s">
        <v>82</v>
      </c>
      <c r="E3571" t="s">
        <v>26</v>
      </c>
      <c r="F3571" t="s">
        <v>127</v>
      </c>
      <c r="G3571" t="s">
        <v>128</v>
      </c>
      <c r="H3571" t="s">
        <v>103</v>
      </c>
      <c r="I3571" t="s">
        <v>30</v>
      </c>
      <c r="J3571" t="s">
        <v>188</v>
      </c>
      <c r="K3571" t="s">
        <v>78</v>
      </c>
      <c r="L3571" t="s">
        <v>33</v>
      </c>
      <c r="M3571" t="s">
        <v>47</v>
      </c>
      <c r="N3571" t="s">
        <v>69</v>
      </c>
      <c r="O3571" t="s">
        <v>36</v>
      </c>
      <c r="P3571" t="s">
        <v>37</v>
      </c>
      <c r="Q3571" t="s">
        <v>204</v>
      </c>
      <c r="R3571">
        <v>272</v>
      </c>
      <c r="S3571">
        <v>166</v>
      </c>
      <c r="T3571">
        <v>126</v>
      </c>
      <c r="U3571">
        <v>46</v>
      </c>
      <c r="V3571" t="s">
        <v>6708</v>
      </c>
      <c r="W3571">
        <v>59246</v>
      </c>
      <c r="X3571" t="s">
        <v>3065</v>
      </c>
      <c r="Y3571">
        <v>42194</v>
      </c>
      <c r="Z3571">
        <v>2725316</v>
      </c>
      <c r="AA3571">
        <v>784392</v>
      </c>
      <c r="AB3571" t="str">
        <f>(VLOOKUP(SalesData[[#This Row],[Month Number]],Reference!C$5:E$16,2,FALSE))</f>
        <v>Feb</v>
      </c>
      <c r="AC3571">
        <f>MONTH(SalesData[[#This Row],[Date]])</f>
        <v>2</v>
      </c>
      <c r="AD3571">
        <f>Reference!F$4</f>
        <v>2026</v>
      </c>
      <c r="AE3571" t="str">
        <f>IF(OR(SalesData[[#This Row],[Day]]="Saturday",SalesData[[#This Row],[Day]]="Sunday"),"Weekend","Weekday")</f>
        <v>Weekday</v>
      </c>
      <c r="AF3571" s="5">
        <f>IF(SalesData[[#This Row],[Contracts Offered]]=0,0,SalesData[[#This Row],[Contracts Signed]]/SalesData[[#This Row],[Contracts Offered]])</f>
        <v>0.36507936507936506</v>
      </c>
      <c r="AG3571" s="5">
        <f>IF(SalesData[[#This Row],[Customers Visited]]=0,0,SalesData[[#This Row],[Test Drives]]/SalesData[[#This Row],[Customers Visited]])</f>
        <v>0.61029411764705888</v>
      </c>
      <c r="AH3571" s="5">
        <f>IF(SalesData[[#This Row],[Customers Visited]]=0,0,SalesData[[#This Row],[Contracts Signed]]/SalesData[[#This Row],[Customers Visited]])</f>
        <v>0.16911764705882354</v>
      </c>
      <c r="AI3571" s="6">
        <f>IF(SalesData[[#This Row],[Contracts Signed]]=0,0,SalesData[[#This Row],[Profit(€)]]/SalesData[[#This Row],[Contracts Signed]])</f>
        <v>17052</v>
      </c>
      <c r="AJ3571" s="5" t="str">
        <f>TRIM(CLEAN(SalesData[[#This Row],[Retailer]]))</f>
        <v>Rhein Auto Group</v>
      </c>
    </row>
    <row r="3572" spans="1:36" ht="14.25" x14ac:dyDescent="0.2">
      <c r="A3572" t="s">
        <v>4777</v>
      </c>
      <c r="B3572" s="1">
        <v>46058</v>
      </c>
      <c r="C3572" t="s">
        <v>24</v>
      </c>
      <c r="D3572" t="s">
        <v>100</v>
      </c>
      <c r="E3572" t="s">
        <v>26</v>
      </c>
      <c r="F3572" t="s">
        <v>83</v>
      </c>
      <c r="G3572" t="s">
        <v>84</v>
      </c>
      <c r="H3572" t="s">
        <v>85</v>
      </c>
      <c r="I3572" t="s">
        <v>30</v>
      </c>
      <c r="J3572" t="s">
        <v>31</v>
      </c>
      <c r="K3572" t="s">
        <v>91</v>
      </c>
      <c r="L3572" t="s">
        <v>46</v>
      </c>
      <c r="M3572" t="s">
        <v>87</v>
      </c>
      <c r="N3572" t="s">
        <v>48</v>
      </c>
      <c r="O3572" t="s">
        <v>36</v>
      </c>
      <c r="P3572" t="s">
        <v>58</v>
      </c>
      <c r="Q3572" t="s">
        <v>135</v>
      </c>
      <c r="R3572">
        <v>240</v>
      </c>
      <c r="S3572">
        <v>125</v>
      </c>
      <c r="T3572">
        <v>102</v>
      </c>
      <c r="U3572">
        <v>40</v>
      </c>
      <c r="V3572" t="s">
        <v>7382</v>
      </c>
      <c r="W3572">
        <v>50446</v>
      </c>
      <c r="X3572" t="s">
        <v>7324</v>
      </c>
      <c r="Y3572">
        <v>38303</v>
      </c>
      <c r="Z3572">
        <v>2017840</v>
      </c>
      <c r="AA3572">
        <v>485720</v>
      </c>
      <c r="AB3572" t="str">
        <f>(VLOOKUP(SalesData[[#This Row],[Month Number]],Reference!C$5:E$16,2,FALSE))</f>
        <v>Feb</v>
      </c>
      <c r="AC3572">
        <f>MONTH(SalesData[[#This Row],[Date]])</f>
        <v>2</v>
      </c>
      <c r="AD3572">
        <f>Reference!F$4</f>
        <v>2026</v>
      </c>
      <c r="AE3572" t="str">
        <f>IF(OR(SalesData[[#This Row],[Day]]="Saturday",SalesData[[#This Row],[Day]]="Sunday"),"Weekend","Weekday")</f>
        <v>Weekday</v>
      </c>
      <c r="AF3572" s="5">
        <f>IF(SalesData[[#This Row],[Contracts Offered]]=0,0,SalesData[[#This Row],[Contracts Signed]]/SalesData[[#This Row],[Contracts Offered]])</f>
        <v>0.39215686274509803</v>
      </c>
      <c r="AG3572" s="5">
        <f>IF(SalesData[[#This Row],[Customers Visited]]=0,0,SalesData[[#This Row],[Test Drives]]/SalesData[[#This Row],[Customers Visited]])</f>
        <v>0.52083333333333337</v>
      </c>
      <c r="AH3572" s="5">
        <f>IF(SalesData[[#This Row],[Customers Visited]]=0,0,SalesData[[#This Row],[Contracts Signed]]/SalesData[[#This Row],[Customers Visited]])</f>
        <v>0.16666666666666666</v>
      </c>
      <c r="AI3572" s="6">
        <f>IF(SalesData[[#This Row],[Contracts Signed]]=0,0,SalesData[[#This Row],[Profit(€)]]/SalesData[[#This Row],[Contracts Signed]])</f>
        <v>12143</v>
      </c>
      <c r="AJ3572" s="5" t="str">
        <f>TRIM(CLEAN(SalesData[[#This Row],[Retailer]]))</f>
        <v>Hannover Cars</v>
      </c>
    </row>
    <row r="3573" spans="1:36" ht="14.25" hidden="1" x14ac:dyDescent="0.2">
      <c r="A3573" t="s">
        <v>4778</v>
      </c>
      <c r="B3573" s="1">
        <v>46066</v>
      </c>
      <c r="C3573" t="s">
        <v>121</v>
      </c>
      <c r="D3573" t="s">
        <v>54</v>
      </c>
      <c r="E3573" t="s">
        <v>26</v>
      </c>
      <c r="F3573" t="s">
        <v>127</v>
      </c>
      <c r="G3573" t="s">
        <v>128</v>
      </c>
      <c r="H3573" t="s">
        <v>103</v>
      </c>
      <c r="I3573" t="s">
        <v>64</v>
      </c>
      <c r="J3573" t="s">
        <v>65</v>
      </c>
      <c r="K3573" t="s">
        <v>91</v>
      </c>
      <c r="L3573" t="s">
        <v>33</v>
      </c>
      <c r="M3573" t="s">
        <v>47</v>
      </c>
      <c r="N3573" t="s">
        <v>48</v>
      </c>
      <c r="O3573" t="s">
        <v>70</v>
      </c>
      <c r="P3573" t="s">
        <v>58</v>
      </c>
      <c r="Q3573" t="s">
        <v>167</v>
      </c>
      <c r="R3573">
        <v>283</v>
      </c>
      <c r="S3573">
        <v>148</v>
      </c>
      <c r="T3573">
        <v>117</v>
      </c>
      <c r="U3573">
        <v>43</v>
      </c>
      <c r="V3573" t="s">
        <v>6850</v>
      </c>
      <c r="W3573">
        <v>71532</v>
      </c>
      <c r="X3573" t="s">
        <v>7511</v>
      </c>
      <c r="Y3573">
        <v>51217</v>
      </c>
      <c r="Z3573">
        <v>3075876</v>
      </c>
      <c r="AA3573">
        <v>873545</v>
      </c>
      <c r="AB3573" t="str">
        <f>(VLOOKUP(SalesData[[#This Row],[Month Number]],Reference!C$5:E$16,2,FALSE))</f>
        <v>Feb</v>
      </c>
      <c r="AC3573">
        <f>MONTH(SalesData[[#This Row],[Date]])</f>
        <v>2</v>
      </c>
      <c r="AD3573">
        <f>Reference!F$4</f>
        <v>2026</v>
      </c>
      <c r="AE3573" t="str">
        <f>IF(OR(SalesData[[#This Row],[Day]]="Saturday",SalesData[[#This Row],[Day]]="Sunday"),"Weekend","Weekday")</f>
        <v>Weekday</v>
      </c>
      <c r="AF3573" s="5">
        <f>IF(SalesData[[#This Row],[Contracts Offered]]=0,0,SalesData[[#This Row],[Contracts Signed]]/SalesData[[#This Row],[Contracts Offered]])</f>
        <v>0.36752136752136755</v>
      </c>
      <c r="AG3573" s="5">
        <f>IF(SalesData[[#This Row],[Customers Visited]]=0,0,SalesData[[#This Row],[Test Drives]]/SalesData[[#This Row],[Customers Visited]])</f>
        <v>0.52296819787985871</v>
      </c>
      <c r="AH3573" s="5">
        <f>IF(SalesData[[#This Row],[Customers Visited]]=0,0,SalesData[[#This Row],[Contracts Signed]]/SalesData[[#This Row],[Customers Visited]])</f>
        <v>0.1519434628975265</v>
      </c>
      <c r="AI3573" s="6">
        <f>IF(SalesData[[#This Row],[Contracts Signed]]=0,0,SalesData[[#This Row],[Profit(€)]]/SalesData[[#This Row],[Contracts Signed]])</f>
        <v>20315</v>
      </c>
      <c r="AJ3573" s="5" t="str">
        <f>TRIM(CLEAN(SalesData[[#This Row],[Retailer]]))</f>
        <v>Rhein Auto Group</v>
      </c>
    </row>
    <row r="3574" spans="1:36" ht="14.25" hidden="1" x14ac:dyDescent="0.2">
      <c r="A3574" t="s">
        <v>4779</v>
      </c>
      <c r="B3574" s="1">
        <v>46080</v>
      </c>
      <c r="C3574" t="s">
        <v>53</v>
      </c>
      <c r="D3574" t="s">
        <v>54</v>
      </c>
      <c r="E3574" t="s">
        <v>26</v>
      </c>
      <c r="F3574" t="s">
        <v>114</v>
      </c>
      <c r="G3574" t="s">
        <v>115</v>
      </c>
      <c r="H3574" t="s">
        <v>115</v>
      </c>
      <c r="I3574" t="s">
        <v>56</v>
      </c>
      <c r="J3574" t="s">
        <v>137</v>
      </c>
      <c r="K3574" t="s">
        <v>32</v>
      </c>
      <c r="L3574" t="s">
        <v>46</v>
      </c>
      <c r="M3574" t="s">
        <v>34</v>
      </c>
      <c r="N3574" t="s">
        <v>48</v>
      </c>
      <c r="O3574" t="s">
        <v>36</v>
      </c>
      <c r="P3574" t="s">
        <v>37</v>
      </c>
      <c r="Q3574" t="s">
        <v>59</v>
      </c>
      <c r="R3574">
        <v>162</v>
      </c>
      <c r="S3574">
        <v>95</v>
      </c>
      <c r="T3574">
        <v>72</v>
      </c>
      <c r="U3574">
        <v>20</v>
      </c>
      <c r="V3574" t="s">
        <v>6421</v>
      </c>
      <c r="W3574">
        <v>44867</v>
      </c>
      <c r="X3574" t="s">
        <v>1830</v>
      </c>
      <c r="Y3574">
        <v>34690</v>
      </c>
      <c r="Z3574">
        <v>897340</v>
      </c>
      <c r="AA3574">
        <v>203540</v>
      </c>
      <c r="AB3574" t="str">
        <f>(VLOOKUP(SalesData[[#This Row],[Month Number]],Reference!C$5:E$16,2,FALSE))</f>
        <v>Feb</v>
      </c>
      <c r="AC3574">
        <f>MONTH(SalesData[[#This Row],[Date]])</f>
        <v>2</v>
      </c>
      <c r="AD3574">
        <f>Reference!F$4</f>
        <v>2026</v>
      </c>
      <c r="AE3574" t="str">
        <f>IF(OR(SalesData[[#This Row],[Day]]="Saturday",SalesData[[#This Row],[Day]]="Sunday"),"Weekend","Weekday")</f>
        <v>Weekday</v>
      </c>
      <c r="AF3574" s="5">
        <f>IF(SalesData[[#This Row],[Contracts Offered]]=0,0,SalesData[[#This Row],[Contracts Signed]]/SalesData[[#This Row],[Contracts Offered]])</f>
        <v>0.27777777777777779</v>
      </c>
      <c r="AG3574" s="5">
        <f>IF(SalesData[[#This Row],[Customers Visited]]=0,0,SalesData[[#This Row],[Test Drives]]/SalesData[[#This Row],[Customers Visited]])</f>
        <v>0.5864197530864198</v>
      </c>
      <c r="AH3574" s="5">
        <f>IF(SalesData[[#This Row],[Customers Visited]]=0,0,SalesData[[#This Row],[Contracts Signed]]/SalesData[[#This Row],[Customers Visited]])</f>
        <v>0.12345679012345678</v>
      </c>
      <c r="AI3574" s="6">
        <f>IF(SalesData[[#This Row],[Contracts Signed]]=0,0,SalesData[[#This Row],[Profit(€)]]/SalesData[[#This Row],[Contracts Signed]])</f>
        <v>10177</v>
      </c>
      <c r="AJ3574" s="5" t="str">
        <f>TRIM(CLEAN(SalesData[[#This Row],[Retailer]]))</f>
        <v>Elbe Drive</v>
      </c>
    </row>
    <row r="3575" spans="1:36" ht="14.25" x14ac:dyDescent="0.2">
      <c r="A3575" t="s">
        <v>4780</v>
      </c>
      <c r="B3575" s="1">
        <v>46073</v>
      </c>
      <c r="C3575" t="s">
        <v>62</v>
      </c>
      <c r="D3575" t="s">
        <v>54</v>
      </c>
      <c r="E3575" t="s">
        <v>26</v>
      </c>
      <c r="F3575" t="s">
        <v>43</v>
      </c>
      <c r="G3575" t="s">
        <v>44</v>
      </c>
      <c r="H3575" t="s">
        <v>45</v>
      </c>
      <c r="I3575" t="s">
        <v>30</v>
      </c>
      <c r="J3575" t="s">
        <v>86</v>
      </c>
      <c r="K3575" t="s">
        <v>32</v>
      </c>
      <c r="L3575" t="s">
        <v>33</v>
      </c>
      <c r="M3575" t="s">
        <v>87</v>
      </c>
      <c r="N3575" t="s">
        <v>69</v>
      </c>
      <c r="O3575" t="s">
        <v>70</v>
      </c>
      <c r="P3575" t="s">
        <v>71</v>
      </c>
      <c r="Q3575" t="s">
        <v>204</v>
      </c>
      <c r="R3575">
        <v>154</v>
      </c>
      <c r="S3575">
        <v>91</v>
      </c>
      <c r="T3575">
        <v>67</v>
      </c>
      <c r="U3575">
        <v>23</v>
      </c>
      <c r="V3575" t="s">
        <v>6448</v>
      </c>
      <c r="W3575">
        <v>61055</v>
      </c>
      <c r="X3575" t="s">
        <v>1390</v>
      </c>
      <c r="Y3575">
        <v>46107</v>
      </c>
      <c r="Z3575">
        <v>1404265</v>
      </c>
      <c r="AA3575">
        <v>343804</v>
      </c>
      <c r="AB3575" t="str">
        <f>(VLOOKUP(SalesData[[#This Row],[Month Number]],Reference!C$5:E$16,2,FALSE))</f>
        <v>Feb</v>
      </c>
      <c r="AC3575">
        <f>MONTH(SalesData[[#This Row],[Date]])</f>
        <v>2</v>
      </c>
      <c r="AD3575">
        <f>Reference!F$4</f>
        <v>2026</v>
      </c>
      <c r="AE3575" t="str">
        <f>IF(OR(SalesData[[#This Row],[Day]]="Saturday",SalesData[[#This Row],[Day]]="Sunday"),"Weekend","Weekday")</f>
        <v>Weekday</v>
      </c>
      <c r="AF3575" s="5">
        <f>IF(SalesData[[#This Row],[Contracts Offered]]=0,0,SalesData[[#This Row],[Contracts Signed]]/SalesData[[#This Row],[Contracts Offered]])</f>
        <v>0.34328358208955223</v>
      </c>
      <c r="AG3575" s="5">
        <f>IF(SalesData[[#This Row],[Customers Visited]]=0,0,SalesData[[#This Row],[Test Drives]]/SalesData[[#This Row],[Customers Visited]])</f>
        <v>0.59090909090909094</v>
      </c>
      <c r="AH3575" s="5">
        <f>IF(SalesData[[#This Row],[Customers Visited]]=0,0,SalesData[[#This Row],[Contracts Signed]]/SalesData[[#This Row],[Customers Visited]])</f>
        <v>0.14935064935064934</v>
      </c>
      <c r="AI3575" s="6">
        <f>IF(SalesData[[#This Row],[Contracts Signed]]=0,0,SalesData[[#This Row],[Profit(€)]]/SalesData[[#This Row],[Contracts Signed]])</f>
        <v>14948</v>
      </c>
      <c r="AJ3575" s="5" t="str">
        <f>TRIM(CLEAN(SalesData[[#This Row],[Retailer]]))</f>
        <v>Saxon Wheels</v>
      </c>
    </row>
    <row r="3576" spans="1:36" ht="14.25" hidden="1" x14ac:dyDescent="0.2">
      <c r="A3576" t="s">
        <v>4781</v>
      </c>
      <c r="B3576" s="1">
        <v>46075</v>
      </c>
      <c r="C3576" t="s">
        <v>53</v>
      </c>
      <c r="D3576" t="s">
        <v>41</v>
      </c>
      <c r="E3576" t="s">
        <v>42</v>
      </c>
      <c r="F3576" t="s">
        <v>127</v>
      </c>
      <c r="G3576" t="s">
        <v>128</v>
      </c>
      <c r="H3576" t="s">
        <v>103</v>
      </c>
      <c r="I3576" t="s">
        <v>56</v>
      </c>
      <c r="J3576" t="s">
        <v>57</v>
      </c>
      <c r="K3576" t="s">
        <v>91</v>
      </c>
      <c r="L3576" t="s">
        <v>46</v>
      </c>
      <c r="M3576" t="s">
        <v>34</v>
      </c>
      <c r="N3576" t="s">
        <v>69</v>
      </c>
      <c r="O3576" t="s">
        <v>36</v>
      </c>
      <c r="P3576" t="s">
        <v>49</v>
      </c>
      <c r="Q3576" t="s">
        <v>167</v>
      </c>
      <c r="R3576">
        <v>292</v>
      </c>
      <c r="S3576">
        <v>159</v>
      </c>
      <c r="T3576">
        <v>101</v>
      </c>
      <c r="U3576">
        <v>38</v>
      </c>
      <c r="V3576" t="s">
        <v>6934</v>
      </c>
      <c r="W3576">
        <v>49958</v>
      </c>
      <c r="X3576" t="s">
        <v>572</v>
      </c>
      <c r="Y3576">
        <v>40215</v>
      </c>
      <c r="Z3576">
        <v>1898404</v>
      </c>
      <c r="AA3576">
        <v>370234</v>
      </c>
      <c r="AB3576" t="str">
        <f>(VLOOKUP(SalesData[[#This Row],[Month Number]],Reference!C$5:E$16,2,FALSE))</f>
        <v>Feb</v>
      </c>
      <c r="AC3576">
        <f>MONTH(SalesData[[#This Row],[Date]])</f>
        <v>2</v>
      </c>
      <c r="AD3576">
        <f>Reference!F$4</f>
        <v>2026</v>
      </c>
      <c r="AE3576" t="str">
        <f>IF(OR(SalesData[[#This Row],[Day]]="Saturday",SalesData[[#This Row],[Day]]="Sunday"),"Weekend","Weekday")</f>
        <v>Weekend</v>
      </c>
      <c r="AF3576" s="5">
        <f>IF(SalesData[[#This Row],[Contracts Offered]]=0,0,SalesData[[#This Row],[Contracts Signed]]/SalesData[[#This Row],[Contracts Offered]])</f>
        <v>0.37623762376237624</v>
      </c>
      <c r="AG3576" s="5">
        <f>IF(SalesData[[#This Row],[Customers Visited]]=0,0,SalesData[[#This Row],[Test Drives]]/SalesData[[#This Row],[Customers Visited]])</f>
        <v>0.54452054794520544</v>
      </c>
      <c r="AH3576" s="5">
        <f>IF(SalesData[[#This Row],[Customers Visited]]=0,0,SalesData[[#This Row],[Contracts Signed]]/SalesData[[#This Row],[Customers Visited]])</f>
        <v>0.13013698630136986</v>
      </c>
      <c r="AI3576" s="6">
        <f>IF(SalesData[[#This Row],[Contracts Signed]]=0,0,SalesData[[#This Row],[Profit(€)]]/SalesData[[#This Row],[Contracts Signed]])</f>
        <v>9743</v>
      </c>
      <c r="AJ3576" s="5" t="str">
        <f>TRIM(CLEAN(SalesData[[#This Row],[Retailer]]))</f>
        <v>Rhein Auto Group</v>
      </c>
    </row>
    <row r="3577" spans="1:36" ht="14.25" hidden="1" x14ac:dyDescent="0.2">
      <c r="A3577" t="s">
        <v>4782</v>
      </c>
      <c r="B3577" s="1">
        <v>46077</v>
      </c>
      <c r="C3577" t="s">
        <v>53</v>
      </c>
      <c r="D3577" t="s">
        <v>63</v>
      </c>
      <c r="E3577" t="s">
        <v>26</v>
      </c>
      <c r="F3577" t="s">
        <v>43</v>
      </c>
      <c r="G3577" t="s">
        <v>44</v>
      </c>
      <c r="H3577" t="s">
        <v>45</v>
      </c>
      <c r="I3577" t="s">
        <v>64</v>
      </c>
      <c r="J3577" t="s">
        <v>77</v>
      </c>
      <c r="K3577" t="s">
        <v>32</v>
      </c>
      <c r="L3577" t="s">
        <v>46</v>
      </c>
      <c r="M3577" t="s">
        <v>34</v>
      </c>
      <c r="N3577" t="s">
        <v>48</v>
      </c>
      <c r="O3577" t="s">
        <v>36</v>
      </c>
      <c r="P3577" t="s">
        <v>37</v>
      </c>
      <c r="Q3577" t="s">
        <v>158</v>
      </c>
      <c r="R3577">
        <v>163</v>
      </c>
      <c r="S3577">
        <v>95</v>
      </c>
      <c r="T3577">
        <v>74</v>
      </c>
      <c r="U3577">
        <v>21</v>
      </c>
      <c r="V3577" t="s">
        <v>6864</v>
      </c>
      <c r="W3577">
        <v>70096</v>
      </c>
      <c r="X3577" t="s">
        <v>7448</v>
      </c>
      <c r="Y3577">
        <v>54241</v>
      </c>
      <c r="Z3577">
        <v>1472016</v>
      </c>
      <c r="AA3577">
        <v>332955</v>
      </c>
      <c r="AB3577" t="str">
        <f>(VLOOKUP(SalesData[[#This Row],[Month Number]],Reference!C$5:E$16,2,FALSE))</f>
        <v>Feb</v>
      </c>
      <c r="AC3577">
        <f>MONTH(SalesData[[#This Row],[Date]])</f>
        <v>2</v>
      </c>
      <c r="AD3577">
        <f>Reference!F$4</f>
        <v>2026</v>
      </c>
      <c r="AE3577" t="str">
        <f>IF(OR(SalesData[[#This Row],[Day]]="Saturday",SalesData[[#This Row],[Day]]="Sunday"),"Weekend","Weekday")</f>
        <v>Weekday</v>
      </c>
      <c r="AF3577" s="5">
        <f>IF(SalesData[[#This Row],[Contracts Offered]]=0,0,SalesData[[#This Row],[Contracts Signed]]/SalesData[[#This Row],[Contracts Offered]])</f>
        <v>0.28378378378378377</v>
      </c>
      <c r="AG3577" s="5">
        <f>IF(SalesData[[#This Row],[Customers Visited]]=0,0,SalesData[[#This Row],[Test Drives]]/SalesData[[#This Row],[Customers Visited]])</f>
        <v>0.58282208588957052</v>
      </c>
      <c r="AH3577" s="5">
        <f>IF(SalesData[[#This Row],[Customers Visited]]=0,0,SalesData[[#This Row],[Contracts Signed]]/SalesData[[#This Row],[Customers Visited]])</f>
        <v>0.12883435582822086</v>
      </c>
      <c r="AI3577" s="6">
        <f>IF(SalesData[[#This Row],[Contracts Signed]]=0,0,SalesData[[#This Row],[Profit(€)]]/SalesData[[#This Row],[Contracts Signed]])</f>
        <v>15855</v>
      </c>
      <c r="AJ3577" s="5" t="str">
        <f>TRIM(CLEAN(SalesData[[#This Row],[Retailer]]))</f>
        <v>Saxon Wheels</v>
      </c>
    </row>
    <row r="3578" spans="1:36" ht="14.25" x14ac:dyDescent="0.2">
      <c r="A3578" t="s">
        <v>4783</v>
      </c>
      <c r="B3578" s="1">
        <v>46076</v>
      </c>
      <c r="C3578" t="s">
        <v>53</v>
      </c>
      <c r="D3578" t="s">
        <v>25</v>
      </c>
      <c r="E3578" t="s">
        <v>26</v>
      </c>
      <c r="F3578" t="s">
        <v>43</v>
      </c>
      <c r="G3578" t="s">
        <v>44</v>
      </c>
      <c r="H3578" t="s">
        <v>45</v>
      </c>
      <c r="I3578" t="s">
        <v>30</v>
      </c>
      <c r="J3578" t="s">
        <v>7075</v>
      </c>
      <c r="K3578" t="s">
        <v>91</v>
      </c>
      <c r="L3578" t="s">
        <v>33</v>
      </c>
      <c r="M3578" t="s">
        <v>47</v>
      </c>
      <c r="N3578" t="s">
        <v>48</v>
      </c>
      <c r="O3578" t="s">
        <v>70</v>
      </c>
      <c r="P3578" t="s">
        <v>49</v>
      </c>
      <c r="Q3578" t="s">
        <v>106</v>
      </c>
      <c r="R3578">
        <v>149</v>
      </c>
      <c r="S3578">
        <v>72</v>
      </c>
      <c r="T3578">
        <v>50</v>
      </c>
      <c r="U3578">
        <v>19</v>
      </c>
      <c r="V3578" t="s">
        <v>6784</v>
      </c>
      <c r="W3578">
        <v>62920</v>
      </c>
      <c r="X3578" t="s">
        <v>7380</v>
      </c>
      <c r="Y3578">
        <v>45688</v>
      </c>
      <c r="Z3578">
        <v>1195480</v>
      </c>
      <c r="AA3578">
        <v>327408</v>
      </c>
      <c r="AB3578" t="str">
        <f>(VLOOKUP(SalesData[[#This Row],[Month Number]],Reference!C$5:E$16,2,FALSE))</f>
        <v>Feb</v>
      </c>
      <c r="AC3578">
        <f>MONTH(SalesData[[#This Row],[Date]])</f>
        <v>2</v>
      </c>
      <c r="AD3578">
        <f>Reference!F$4</f>
        <v>2026</v>
      </c>
      <c r="AE3578" t="str">
        <f>IF(OR(SalesData[[#This Row],[Day]]="Saturday",SalesData[[#This Row],[Day]]="Sunday"),"Weekend","Weekday")</f>
        <v>Weekday</v>
      </c>
      <c r="AF3578" s="5">
        <f>IF(SalesData[[#This Row],[Contracts Offered]]=0,0,SalesData[[#This Row],[Contracts Signed]]/SalesData[[#This Row],[Contracts Offered]])</f>
        <v>0.38</v>
      </c>
      <c r="AG3578" s="5">
        <f>IF(SalesData[[#This Row],[Customers Visited]]=0,0,SalesData[[#This Row],[Test Drives]]/SalesData[[#This Row],[Customers Visited]])</f>
        <v>0.48322147651006714</v>
      </c>
      <c r="AH3578" s="5">
        <f>IF(SalesData[[#This Row],[Customers Visited]]=0,0,SalesData[[#This Row],[Contracts Signed]]/SalesData[[#This Row],[Customers Visited]])</f>
        <v>0.12751677852348994</v>
      </c>
      <c r="AI3578" s="6">
        <f>IF(SalesData[[#This Row],[Contracts Signed]]=0,0,SalesData[[#This Row],[Profit(€)]]/SalesData[[#This Row],[Contracts Signed]])</f>
        <v>17232</v>
      </c>
      <c r="AJ3578" s="5" t="str">
        <f>TRIM(CLEAN(SalesData[[#This Row],[Retailer]]))</f>
        <v>Saxon Wheels</v>
      </c>
    </row>
    <row r="3579" spans="1:36" ht="14.25" hidden="1" x14ac:dyDescent="0.2">
      <c r="A3579" t="s">
        <v>4784</v>
      </c>
      <c r="B3579" s="1">
        <v>46078</v>
      </c>
      <c r="C3579" t="s">
        <v>53</v>
      </c>
      <c r="D3579" t="s">
        <v>82</v>
      </c>
      <c r="E3579" t="s">
        <v>26</v>
      </c>
      <c r="F3579" t="s">
        <v>114</v>
      </c>
      <c r="G3579" t="s">
        <v>115</v>
      </c>
      <c r="H3579" t="s">
        <v>115</v>
      </c>
      <c r="I3579" t="s">
        <v>64</v>
      </c>
      <c r="J3579" t="s">
        <v>7029</v>
      </c>
      <c r="K3579" t="s">
        <v>78</v>
      </c>
      <c r="L3579" t="s">
        <v>33</v>
      </c>
      <c r="M3579" t="s">
        <v>34</v>
      </c>
      <c r="N3579" t="s">
        <v>69</v>
      </c>
      <c r="O3579" t="s">
        <v>70</v>
      </c>
      <c r="P3579" t="s">
        <v>49</v>
      </c>
      <c r="Q3579" t="s">
        <v>152</v>
      </c>
      <c r="R3579">
        <v>155</v>
      </c>
      <c r="S3579">
        <v>85</v>
      </c>
      <c r="T3579">
        <v>62</v>
      </c>
      <c r="U3579">
        <v>18</v>
      </c>
      <c r="V3579" t="s">
        <v>6609</v>
      </c>
      <c r="W3579">
        <v>60412</v>
      </c>
      <c r="X3579" t="s">
        <v>7073</v>
      </c>
      <c r="Y3579">
        <v>43657</v>
      </c>
      <c r="Z3579">
        <v>1087416</v>
      </c>
      <c r="AA3579">
        <v>301590</v>
      </c>
      <c r="AB3579" t="str">
        <f>(VLOOKUP(SalesData[[#This Row],[Month Number]],Reference!C$5:E$16,2,FALSE))</f>
        <v>Feb</v>
      </c>
      <c r="AC3579">
        <f>MONTH(SalesData[[#This Row],[Date]])</f>
        <v>2</v>
      </c>
      <c r="AD3579">
        <f>Reference!F$4</f>
        <v>2026</v>
      </c>
      <c r="AE3579" t="str">
        <f>IF(OR(SalesData[[#This Row],[Day]]="Saturday",SalesData[[#This Row],[Day]]="Sunday"),"Weekend","Weekday")</f>
        <v>Weekday</v>
      </c>
      <c r="AF3579" s="5">
        <f>IF(SalesData[[#This Row],[Contracts Offered]]=0,0,SalesData[[#This Row],[Contracts Signed]]/SalesData[[#This Row],[Contracts Offered]])</f>
        <v>0.29032258064516131</v>
      </c>
      <c r="AG3579" s="5">
        <f>IF(SalesData[[#This Row],[Customers Visited]]=0,0,SalesData[[#This Row],[Test Drives]]/SalesData[[#This Row],[Customers Visited]])</f>
        <v>0.54838709677419351</v>
      </c>
      <c r="AH3579" s="5">
        <f>IF(SalesData[[#This Row],[Customers Visited]]=0,0,SalesData[[#This Row],[Contracts Signed]]/SalesData[[#This Row],[Customers Visited]])</f>
        <v>0.11612903225806452</v>
      </c>
      <c r="AI3579" s="6">
        <f>IF(SalesData[[#This Row],[Contracts Signed]]=0,0,SalesData[[#This Row],[Profit(€)]]/SalesData[[#This Row],[Contracts Signed]])</f>
        <v>16755</v>
      </c>
      <c r="AJ3579" s="5" t="str">
        <f>TRIM(CLEAN(SalesData[[#This Row],[Retailer]]))</f>
        <v>Elbe Drive</v>
      </c>
    </row>
    <row r="3580" spans="1:36" ht="14.25" hidden="1" x14ac:dyDescent="0.2">
      <c r="A3580" t="s">
        <v>4785</v>
      </c>
      <c r="B3580" s="1">
        <v>46071</v>
      </c>
      <c r="C3580" t="s">
        <v>62</v>
      </c>
      <c r="D3580" t="s">
        <v>82</v>
      </c>
      <c r="E3580" t="s">
        <v>26</v>
      </c>
      <c r="F3580" t="s">
        <v>27</v>
      </c>
      <c r="G3580" t="s">
        <v>28</v>
      </c>
      <c r="H3580" t="s">
        <v>29</v>
      </c>
      <c r="I3580" t="s">
        <v>116</v>
      </c>
      <c r="J3580" t="s">
        <v>7026</v>
      </c>
      <c r="K3580" t="s">
        <v>91</v>
      </c>
      <c r="L3580" t="s">
        <v>46</v>
      </c>
      <c r="M3580" t="s">
        <v>68</v>
      </c>
      <c r="N3580" t="s">
        <v>48</v>
      </c>
      <c r="O3580" t="s">
        <v>70</v>
      </c>
      <c r="P3580" t="s">
        <v>49</v>
      </c>
      <c r="Q3580" t="s">
        <v>122</v>
      </c>
      <c r="R3580">
        <v>222</v>
      </c>
      <c r="S3580">
        <v>87</v>
      </c>
      <c r="T3580">
        <v>57</v>
      </c>
      <c r="U3580">
        <v>13</v>
      </c>
      <c r="V3580" t="s">
        <v>1804</v>
      </c>
      <c r="W3580">
        <v>26074</v>
      </c>
      <c r="X3580" t="s">
        <v>898</v>
      </c>
      <c r="Y3580">
        <v>23257</v>
      </c>
      <c r="Z3580">
        <v>338962</v>
      </c>
      <c r="AA3580">
        <v>36621</v>
      </c>
      <c r="AB3580" t="str">
        <f>(VLOOKUP(SalesData[[#This Row],[Month Number]],Reference!C$5:E$16,2,FALSE))</f>
        <v>Feb</v>
      </c>
      <c r="AC3580">
        <f>MONTH(SalesData[[#This Row],[Date]])</f>
        <v>2</v>
      </c>
      <c r="AD3580">
        <f>Reference!F$4</f>
        <v>2026</v>
      </c>
      <c r="AE3580" t="str">
        <f>IF(OR(SalesData[[#This Row],[Day]]="Saturday",SalesData[[#This Row],[Day]]="Sunday"),"Weekend","Weekday")</f>
        <v>Weekday</v>
      </c>
      <c r="AF3580" s="5">
        <f>IF(SalesData[[#This Row],[Contracts Offered]]=0,0,SalesData[[#This Row],[Contracts Signed]]/SalesData[[#This Row],[Contracts Offered]])</f>
        <v>0.22807017543859648</v>
      </c>
      <c r="AG3580" s="5">
        <f>IF(SalesData[[#This Row],[Customers Visited]]=0,0,SalesData[[#This Row],[Test Drives]]/SalesData[[#This Row],[Customers Visited]])</f>
        <v>0.39189189189189189</v>
      </c>
      <c r="AH3580" s="5">
        <f>IF(SalesData[[#This Row],[Customers Visited]]=0,0,SalesData[[#This Row],[Contracts Signed]]/SalesData[[#This Row],[Customers Visited]])</f>
        <v>5.8558558558558557E-2</v>
      </c>
      <c r="AI3580" s="6">
        <f>IF(SalesData[[#This Row],[Contracts Signed]]=0,0,SalesData[[#This Row],[Profit(€)]]/SalesData[[#This Row],[Contracts Signed]])</f>
        <v>2817</v>
      </c>
      <c r="AJ3580" s="5" t="str">
        <f>TRIM(CLEAN(SalesData[[#This Row],[Retailer]]))</f>
        <v>Main Auto Hub</v>
      </c>
    </row>
    <row r="3581" spans="1:36" ht="14.25" hidden="1" x14ac:dyDescent="0.2">
      <c r="A3581" t="s">
        <v>4786</v>
      </c>
      <c r="B3581" s="1">
        <v>46056</v>
      </c>
      <c r="C3581" t="s">
        <v>24</v>
      </c>
      <c r="D3581" t="s">
        <v>63</v>
      </c>
      <c r="E3581" t="s">
        <v>26</v>
      </c>
      <c r="F3581" t="s">
        <v>109</v>
      </c>
      <c r="G3581" t="s">
        <v>110</v>
      </c>
      <c r="H3581" t="s">
        <v>45</v>
      </c>
      <c r="I3581" t="s">
        <v>64</v>
      </c>
      <c r="J3581" t="s">
        <v>111</v>
      </c>
      <c r="K3581" t="s">
        <v>78</v>
      </c>
      <c r="L3581" t="s">
        <v>46</v>
      </c>
      <c r="M3581" t="s">
        <v>47</v>
      </c>
      <c r="N3581" t="s">
        <v>69</v>
      </c>
      <c r="O3581" t="s">
        <v>70</v>
      </c>
      <c r="P3581" t="s">
        <v>58</v>
      </c>
      <c r="Q3581" t="s">
        <v>167</v>
      </c>
      <c r="R3581">
        <v>187</v>
      </c>
      <c r="S3581">
        <v>103</v>
      </c>
      <c r="T3581">
        <v>72</v>
      </c>
      <c r="U3581">
        <v>26</v>
      </c>
      <c r="V3581" t="s">
        <v>6533</v>
      </c>
      <c r="W3581">
        <v>60245</v>
      </c>
      <c r="X3581" t="s">
        <v>7295</v>
      </c>
      <c r="Y3581">
        <v>47350</v>
      </c>
      <c r="Z3581">
        <v>1566370</v>
      </c>
      <c r="AA3581">
        <v>335270</v>
      </c>
      <c r="AB3581" t="str">
        <f>(VLOOKUP(SalesData[[#This Row],[Month Number]],Reference!C$5:E$16,2,FALSE))</f>
        <v>Feb</v>
      </c>
      <c r="AC3581">
        <f>MONTH(SalesData[[#This Row],[Date]])</f>
        <v>2</v>
      </c>
      <c r="AD3581">
        <f>Reference!F$4</f>
        <v>2026</v>
      </c>
      <c r="AE3581" t="str">
        <f>IF(OR(SalesData[[#This Row],[Day]]="Saturday",SalesData[[#This Row],[Day]]="Sunday"),"Weekend","Weekday")</f>
        <v>Weekday</v>
      </c>
      <c r="AF3581" s="5">
        <f>IF(SalesData[[#This Row],[Contracts Offered]]=0,0,SalesData[[#This Row],[Contracts Signed]]/SalesData[[#This Row],[Contracts Offered]])</f>
        <v>0.3611111111111111</v>
      </c>
      <c r="AG3581" s="5">
        <f>IF(SalesData[[#This Row],[Customers Visited]]=0,0,SalesData[[#This Row],[Test Drives]]/SalesData[[#This Row],[Customers Visited]])</f>
        <v>0.55080213903743314</v>
      </c>
      <c r="AH3581" s="5">
        <f>IF(SalesData[[#This Row],[Customers Visited]]=0,0,SalesData[[#This Row],[Contracts Signed]]/SalesData[[#This Row],[Customers Visited]])</f>
        <v>0.13903743315508021</v>
      </c>
      <c r="AI3581" s="6">
        <f>IF(SalesData[[#This Row],[Contracts Signed]]=0,0,SalesData[[#This Row],[Profit(€)]]/SalesData[[#This Row],[Contracts Signed]])</f>
        <v>12895</v>
      </c>
      <c r="AJ3581" s="5" t="str">
        <f>TRIM(CLEAN(SalesData[[#This Row],[Retailer]]))</f>
        <v>Leipzig Mobility</v>
      </c>
    </row>
    <row r="3582" spans="1:36" ht="14.25" hidden="1" x14ac:dyDescent="0.2">
      <c r="A3582" t="s">
        <v>4787</v>
      </c>
      <c r="B3582" s="1">
        <v>46076</v>
      </c>
      <c r="C3582" t="s">
        <v>53</v>
      </c>
      <c r="D3582" t="s">
        <v>25</v>
      </c>
      <c r="E3582" t="s">
        <v>26</v>
      </c>
      <c r="F3582" t="s">
        <v>114</v>
      </c>
      <c r="G3582" t="s">
        <v>115</v>
      </c>
      <c r="H3582" t="s">
        <v>115</v>
      </c>
      <c r="I3582" t="s">
        <v>116</v>
      </c>
      <c r="J3582" t="s">
        <v>132</v>
      </c>
      <c r="K3582" t="s">
        <v>78</v>
      </c>
      <c r="L3582" t="s">
        <v>46</v>
      </c>
      <c r="M3582" t="s">
        <v>87</v>
      </c>
      <c r="N3582" t="s">
        <v>35</v>
      </c>
      <c r="O3582" t="s">
        <v>70</v>
      </c>
      <c r="P3582" t="s">
        <v>49</v>
      </c>
      <c r="Q3582" t="s">
        <v>144</v>
      </c>
      <c r="R3582">
        <v>344</v>
      </c>
      <c r="S3582">
        <v>144</v>
      </c>
      <c r="T3582">
        <v>95</v>
      </c>
      <c r="U3582">
        <v>22</v>
      </c>
      <c r="V3582" t="s">
        <v>3899</v>
      </c>
      <c r="W3582">
        <v>25232</v>
      </c>
      <c r="X3582" t="s">
        <v>561</v>
      </c>
      <c r="Y3582">
        <v>22861</v>
      </c>
      <c r="Z3582">
        <v>555104</v>
      </c>
      <c r="AA3582">
        <v>52162</v>
      </c>
      <c r="AB3582" t="str">
        <f>(VLOOKUP(SalesData[[#This Row],[Month Number]],Reference!C$5:E$16,2,FALSE))</f>
        <v>Feb</v>
      </c>
      <c r="AC3582">
        <f>MONTH(SalesData[[#This Row],[Date]])</f>
        <v>2</v>
      </c>
      <c r="AD3582">
        <f>Reference!F$4</f>
        <v>2026</v>
      </c>
      <c r="AE3582" t="str">
        <f>IF(OR(SalesData[[#This Row],[Day]]="Saturday",SalesData[[#This Row],[Day]]="Sunday"),"Weekend","Weekday")</f>
        <v>Weekday</v>
      </c>
      <c r="AF3582" s="5">
        <f>IF(SalesData[[#This Row],[Contracts Offered]]=0,0,SalesData[[#This Row],[Contracts Signed]]/SalesData[[#This Row],[Contracts Offered]])</f>
        <v>0.23157894736842105</v>
      </c>
      <c r="AG3582" s="5">
        <f>IF(SalesData[[#This Row],[Customers Visited]]=0,0,SalesData[[#This Row],[Test Drives]]/SalesData[[#This Row],[Customers Visited]])</f>
        <v>0.41860465116279072</v>
      </c>
      <c r="AH3582" s="5">
        <f>IF(SalesData[[#This Row],[Customers Visited]]=0,0,SalesData[[#This Row],[Contracts Signed]]/SalesData[[#This Row],[Customers Visited]])</f>
        <v>6.3953488372093026E-2</v>
      </c>
      <c r="AI3582" s="6">
        <f>IF(SalesData[[#This Row],[Contracts Signed]]=0,0,SalesData[[#This Row],[Profit(€)]]/SalesData[[#This Row],[Contracts Signed]])</f>
        <v>2371</v>
      </c>
      <c r="AJ3582" s="5" t="str">
        <f>TRIM(CLEAN(SalesData[[#This Row],[Retailer]]))</f>
        <v>Elbe Drive</v>
      </c>
    </row>
    <row r="3583" spans="1:36" ht="14.25" hidden="1" x14ac:dyDescent="0.2">
      <c r="A3583" t="s">
        <v>4788</v>
      </c>
      <c r="B3583" s="1">
        <v>46066</v>
      </c>
      <c r="C3583" t="s">
        <v>121</v>
      </c>
      <c r="D3583" t="s">
        <v>54</v>
      </c>
      <c r="E3583" t="s">
        <v>26</v>
      </c>
      <c r="F3583" t="s">
        <v>109</v>
      </c>
      <c r="G3583" t="s">
        <v>110</v>
      </c>
      <c r="H3583" t="s">
        <v>45</v>
      </c>
      <c r="I3583" t="s">
        <v>104</v>
      </c>
      <c r="J3583" t="s">
        <v>143</v>
      </c>
      <c r="K3583" t="s">
        <v>91</v>
      </c>
      <c r="L3583" t="s">
        <v>67</v>
      </c>
      <c r="M3583" t="s">
        <v>68</v>
      </c>
      <c r="N3583" t="s">
        <v>35</v>
      </c>
      <c r="O3583" t="s">
        <v>36</v>
      </c>
      <c r="P3583" t="s">
        <v>58</v>
      </c>
      <c r="Q3583" t="s">
        <v>118</v>
      </c>
      <c r="R3583">
        <v>335</v>
      </c>
      <c r="S3583">
        <v>143</v>
      </c>
      <c r="T3583">
        <v>102</v>
      </c>
      <c r="U3583">
        <v>25</v>
      </c>
      <c r="V3583" t="s">
        <v>599</v>
      </c>
      <c r="W3583">
        <v>31323</v>
      </c>
      <c r="X3583" t="s">
        <v>7446</v>
      </c>
      <c r="Y3583">
        <v>27439</v>
      </c>
      <c r="Z3583">
        <v>783075</v>
      </c>
      <c r="AA3583">
        <v>97100</v>
      </c>
      <c r="AB3583" t="str">
        <f>(VLOOKUP(SalesData[[#This Row],[Month Number]],Reference!C$5:E$16,2,FALSE))</f>
        <v>Feb</v>
      </c>
      <c r="AC3583">
        <f>MONTH(SalesData[[#This Row],[Date]])</f>
        <v>2</v>
      </c>
      <c r="AD3583">
        <f>Reference!F$4</f>
        <v>2026</v>
      </c>
      <c r="AE3583" t="str">
        <f>IF(OR(SalesData[[#This Row],[Day]]="Saturday",SalesData[[#This Row],[Day]]="Sunday"),"Weekend","Weekday")</f>
        <v>Weekday</v>
      </c>
      <c r="AF3583" s="5">
        <f>IF(SalesData[[#This Row],[Contracts Offered]]=0,0,SalesData[[#This Row],[Contracts Signed]]/SalesData[[#This Row],[Contracts Offered]])</f>
        <v>0.24509803921568626</v>
      </c>
      <c r="AG3583" s="5">
        <f>IF(SalesData[[#This Row],[Customers Visited]]=0,0,SalesData[[#This Row],[Test Drives]]/SalesData[[#This Row],[Customers Visited]])</f>
        <v>0.42686567164179107</v>
      </c>
      <c r="AH3583" s="5">
        <f>IF(SalesData[[#This Row],[Customers Visited]]=0,0,SalesData[[#This Row],[Contracts Signed]]/SalesData[[#This Row],[Customers Visited]])</f>
        <v>7.4626865671641784E-2</v>
      </c>
      <c r="AI3583" s="6">
        <f>IF(SalesData[[#This Row],[Contracts Signed]]=0,0,SalesData[[#This Row],[Profit(€)]]/SalesData[[#This Row],[Contracts Signed]])</f>
        <v>3884</v>
      </c>
      <c r="AJ3583" s="5" t="str">
        <f>TRIM(CLEAN(SalesData[[#This Row],[Retailer]]))</f>
        <v>Leipzig Mobility</v>
      </c>
    </row>
    <row r="3584" spans="1:36" ht="14.25" hidden="1" x14ac:dyDescent="0.2">
      <c r="A3584" t="s">
        <v>4789</v>
      </c>
      <c r="B3584" s="1">
        <v>46065</v>
      </c>
      <c r="C3584" t="s">
        <v>121</v>
      </c>
      <c r="D3584" t="s">
        <v>100</v>
      </c>
      <c r="E3584" t="s">
        <v>26</v>
      </c>
      <c r="F3584" t="s">
        <v>127</v>
      </c>
      <c r="G3584" t="s">
        <v>128</v>
      </c>
      <c r="H3584" t="s">
        <v>103</v>
      </c>
      <c r="I3584" t="s">
        <v>116</v>
      </c>
      <c r="J3584" t="s">
        <v>203</v>
      </c>
      <c r="K3584" t="s">
        <v>66</v>
      </c>
      <c r="L3584" t="s">
        <v>67</v>
      </c>
      <c r="M3584" t="s">
        <v>34</v>
      </c>
      <c r="N3584" t="s">
        <v>48</v>
      </c>
      <c r="O3584" t="s">
        <v>70</v>
      </c>
      <c r="P3584" t="s">
        <v>71</v>
      </c>
      <c r="Q3584" t="s">
        <v>135</v>
      </c>
      <c r="R3584">
        <v>242</v>
      </c>
      <c r="S3584">
        <v>104</v>
      </c>
      <c r="T3584">
        <v>66</v>
      </c>
      <c r="U3584">
        <v>18</v>
      </c>
      <c r="V3584" t="s">
        <v>430</v>
      </c>
      <c r="W3584">
        <v>22860</v>
      </c>
      <c r="X3584" t="s">
        <v>7140</v>
      </c>
      <c r="Y3584">
        <v>21064</v>
      </c>
      <c r="Z3584">
        <v>411480</v>
      </c>
      <c r="AA3584">
        <v>32328</v>
      </c>
      <c r="AB3584" t="str">
        <f>(VLOOKUP(SalesData[[#This Row],[Month Number]],Reference!C$5:E$16,2,FALSE))</f>
        <v>Feb</v>
      </c>
      <c r="AC3584">
        <f>MONTH(SalesData[[#This Row],[Date]])</f>
        <v>2</v>
      </c>
      <c r="AD3584">
        <f>Reference!F$4</f>
        <v>2026</v>
      </c>
      <c r="AE3584" t="str">
        <f>IF(OR(SalesData[[#This Row],[Day]]="Saturday",SalesData[[#This Row],[Day]]="Sunday"),"Weekend","Weekday")</f>
        <v>Weekday</v>
      </c>
      <c r="AF3584" s="5">
        <f>IF(SalesData[[#This Row],[Contracts Offered]]=0,0,SalesData[[#This Row],[Contracts Signed]]/SalesData[[#This Row],[Contracts Offered]])</f>
        <v>0.27272727272727271</v>
      </c>
      <c r="AG3584" s="5">
        <f>IF(SalesData[[#This Row],[Customers Visited]]=0,0,SalesData[[#This Row],[Test Drives]]/SalesData[[#This Row],[Customers Visited]])</f>
        <v>0.42975206611570249</v>
      </c>
      <c r="AH3584" s="5">
        <f>IF(SalesData[[#This Row],[Customers Visited]]=0,0,SalesData[[#This Row],[Contracts Signed]]/SalesData[[#This Row],[Customers Visited]])</f>
        <v>7.43801652892562E-2</v>
      </c>
      <c r="AI3584" s="6">
        <f>IF(SalesData[[#This Row],[Contracts Signed]]=0,0,SalesData[[#This Row],[Profit(€)]]/SalesData[[#This Row],[Contracts Signed]])</f>
        <v>1796</v>
      </c>
      <c r="AJ3584" s="5" t="str">
        <f>TRIM(CLEAN(SalesData[[#This Row],[Retailer]]))</f>
        <v>Rhein Auto Group</v>
      </c>
    </row>
    <row r="3585" spans="1:36" ht="14.25" hidden="1" x14ac:dyDescent="0.2">
      <c r="A3585" t="s">
        <v>4790</v>
      </c>
      <c r="B3585" s="1">
        <v>46054</v>
      </c>
      <c r="C3585" t="s">
        <v>24</v>
      </c>
      <c r="D3585" t="s">
        <v>41</v>
      </c>
      <c r="E3585" t="s">
        <v>42</v>
      </c>
      <c r="F3585" t="s">
        <v>43</v>
      </c>
      <c r="G3585" t="s">
        <v>44</v>
      </c>
      <c r="H3585" t="s">
        <v>45</v>
      </c>
      <c r="I3585" t="s">
        <v>56</v>
      </c>
      <c r="J3585" t="s">
        <v>179</v>
      </c>
      <c r="K3585" t="s">
        <v>91</v>
      </c>
      <c r="L3585" t="s">
        <v>67</v>
      </c>
      <c r="M3585" t="s">
        <v>47</v>
      </c>
      <c r="N3585" t="s">
        <v>69</v>
      </c>
      <c r="O3585" t="s">
        <v>70</v>
      </c>
      <c r="P3585" t="s">
        <v>71</v>
      </c>
      <c r="Q3585" t="s">
        <v>59</v>
      </c>
      <c r="R3585">
        <v>226</v>
      </c>
      <c r="S3585">
        <v>137</v>
      </c>
      <c r="T3585">
        <v>89</v>
      </c>
      <c r="U3585">
        <v>28</v>
      </c>
      <c r="V3585" t="s">
        <v>6377</v>
      </c>
      <c r="W3585">
        <v>49957</v>
      </c>
      <c r="X3585" t="s">
        <v>7107</v>
      </c>
      <c r="Y3585">
        <v>37802</v>
      </c>
      <c r="Z3585">
        <v>1398796</v>
      </c>
      <c r="AA3585">
        <v>340340</v>
      </c>
      <c r="AB3585" t="str">
        <f>(VLOOKUP(SalesData[[#This Row],[Month Number]],Reference!C$5:E$16,2,FALSE))</f>
        <v>Feb</v>
      </c>
      <c r="AC3585">
        <f>MONTH(SalesData[[#This Row],[Date]])</f>
        <v>2</v>
      </c>
      <c r="AD3585">
        <f>Reference!F$4</f>
        <v>2026</v>
      </c>
      <c r="AE3585" t="str">
        <f>IF(OR(SalesData[[#This Row],[Day]]="Saturday",SalesData[[#This Row],[Day]]="Sunday"),"Weekend","Weekday")</f>
        <v>Weekend</v>
      </c>
      <c r="AF3585" s="5">
        <f>IF(SalesData[[#This Row],[Contracts Offered]]=0,0,SalesData[[#This Row],[Contracts Signed]]/SalesData[[#This Row],[Contracts Offered]])</f>
        <v>0.3146067415730337</v>
      </c>
      <c r="AG3585" s="5">
        <f>IF(SalesData[[#This Row],[Customers Visited]]=0,0,SalesData[[#This Row],[Test Drives]]/SalesData[[#This Row],[Customers Visited]])</f>
        <v>0.60619469026548678</v>
      </c>
      <c r="AH3585" s="5">
        <f>IF(SalesData[[#This Row],[Customers Visited]]=0,0,SalesData[[#This Row],[Contracts Signed]]/SalesData[[#This Row],[Customers Visited]])</f>
        <v>0.12389380530973451</v>
      </c>
      <c r="AI3585" s="6">
        <f>IF(SalesData[[#This Row],[Contracts Signed]]=0,0,SalesData[[#This Row],[Profit(€)]]/SalesData[[#This Row],[Contracts Signed]])</f>
        <v>12155</v>
      </c>
      <c r="AJ3585" s="5" t="str">
        <f>TRIM(CLEAN(SalesData[[#This Row],[Retailer]]))</f>
        <v>Saxon Wheels</v>
      </c>
    </row>
    <row r="3586" spans="1:36" ht="14.25" hidden="1" x14ac:dyDescent="0.2">
      <c r="A3586" t="s">
        <v>4792</v>
      </c>
      <c r="B3586" s="1">
        <v>46067</v>
      </c>
      <c r="C3586" t="s">
        <v>121</v>
      </c>
      <c r="D3586" t="s">
        <v>151</v>
      </c>
      <c r="E3586" t="s">
        <v>42</v>
      </c>
      <c r="F3586" t="s">
        <v>114</v>
      </c>
      <c r="G3586" t="s">
        <v>115</v>
      </c>
      <c r="H3586" t="s">
        <v>115</v>
      </c>
      <c r="I3586" t="s">
        <v>104</v>
      </c>
      <c r="J3586" t="s">
        <v>105</v>
      </c>
      <c r="K3586" t="s">
        <v>78</v>
      </c>
      <c r="L3586" t="s">
        <v>33</v>
      </c>
      <c r="M3586" t="s">
        <v>47</v>
      </c>
      <c r="N3586" t="s">
        <v>48</v>
      </c>
      <c r="O3586" t="s">
        <v>70</v>
      </c>
      <c r="P3586" t="s">
        <v>58</v>
      </c>
      <c r="Q3586" t="s">
        <v>50</v>
      </c>
      <c r="R3586">
        <v>498</v>
      </c>
      <c r="S3586">
        <v>259</v>
      </c>
      <c r="T3586">
        <v>167</v>
      </c>
      <c r="U3586">
        <v>51</v>
      </c>
      <c r="V3586" t="s">
        <v>7605</v>
      </c>
      <c r="W3586">
        <v>30140</v>
      </c>
      <c r="X3586" t="s">
        <v>4401</v>
      </c>
      <c r="Y3586">
        <v>26513</v>
      </c>
      <c r="Z3586">
        <v>1537140</v>
      </c>
      <c r="AA3586">
        <v>184977</v>
      </c>
      <c r="AB3586" t="str">
        <f>(VLOOKUP(SalesData[[#This Row],[Month Number]],Reference!C$5:E$16,2,FALSE))</f>
        <v>Feb</v>
      </c>
      <c r="AC3586">
        <f>MONTH(SalesData[[#This Row],[Date]])</f>
        <v>2</v>
      </c>
      <c r="AD3586">
        <f>Reference!F$4</f>
        <v>2026</v>
      </c>
      <c r="AE3586" t="str">
        <f>IF(OR(SalesData[[#This Row],[Day]]="Saturday",SalesData[[#This Row],[Day]]="Sunday"),"Weekend","Weekday")</f>
        <v>Weekend</v>
      </c>
      <c r="AF3586" s="5">
        <f>IF(SalesData[[#This Row],[Contracts Offered]]=0,0,SalesData[[#This Row],[Contracts Signed]]/SalesData[[#This Row],[Contracts Offered]])</f>
        <v>0.30538922155688625</v>
      </c>
      <c r="AG3586" s="5">
        <f>IF(SalesData[[#This Row],[Customers Visited]]=0,0,SalesData[[#This Row],[Test Drives]]/SalesData[[#This Row],[Customers Visited]])</f>
        <v>0.52008032128514059</v>
      </c>
      <c r="AH3586" s="5">
        <f>IF(SalesData[[#This Row],[Customers Visited]]=0,0,SalesData[[#This Row],[Contracts Signed]]/SalesData[[#This Row],[Customers Visited]])</f>
        <v>0.10240963855421686</v>
      </c>
      <c r="AI3586" s="6">
        <f>IF(SalesData[[#This Row],[Contracts Signed]]=0,0,SalesData[[#This Row],[Profit(€)]]/SalesData[[#This Row],[Contracts Signed]])</f>
        <v>3627</v>
      </c>
      <c r="AJ3586" s="5" t="str">
        <f>TRIM(CLEAN(SalesData[[#This Row],[Retailer]]))</f>
        <v>Elbe Drive</v>
      </c>
    </row>
    <row r="3587" spans="1:36" ht="14.25" x14ac:dyDescent="0.2">
      <c r="A3587" t="s">
        <v>4793</v>
      </c>
      <c r="B3587" s="1">
        <v>46078</v>
      </c>
      <c r="C3587" t="s">
        <v>53</v>
      </c>
      <c r="D3587" t="s">
        <v>82</v>
      </c>
      <c r="E3587" t="s">
        <v>26</v>
      </c>
      <c r="F3587" t="s">
        <v>127</v>
      </c>
      <c r="G3587" t="s">
        <v>128</v>
      </c>
      <c r="H3587" t="s">
        <v>103</v>
      </c>
      <c r="I3587" t="s">
        <v>30</v>
      </c>
      <c r="J3587" t="s">
        <v>166</v>
      </c>
      <c r="K3587" t="s">
        <v>32</v>
      </c>
      <c r="L3587" t="s">
        <v>46</v>
      </c>
      <c r="M3587" t="s">
        <v>68</v>
      </c>
      <c r="N3587" t="s">
        <v>35</v>
      </c>
      <c r="O3587" t="s">
        <v>36</v>
      </c>
      <c r="P3587" t="s">
        <v>58</v>
      </c>
      <c r="Q3587" t="s">
        <v>240</v>
      </c>
      <c r="R3587">
        <v>206</v>
      </c>
      <c r="S3587">
        <v>101</v>
      </c>
      <c r="T3587">
        <v>70</v>
      </c>
      <c r="U3587">
        <v>30</v>
      </c>
      <c r="V3587" t="s">
        <v>7500</v>
      </c>
      <c r="W3587">
        <v>59614</v>
      </c>
      <c r="X3587" t="s">
        <v>1325</v>
      </c>
      <c r="Y3587">
        <v>42050</v>
      </c>
      <c r="Z3587">
        <v>1788420</v>
      </c>
      <c r="AA3587">
        <v>526920</v>
      </c>
      <c r="AB3587" t="str">
        <f>(VLOOKUP(SalesData[[#This Row],[Month Number]],Reference!C$5:E$16,2,FALSE))</f>
        <v>Feb</v>
      </c>
      <c r="AC3587">
        <f>MONTH(SalesData[[#This Row],[Date]])</f>
        <v>2</v>
      </c>
      <c r="AD3587">
        <f>Reference!F$4</f>
        <v>2026</v>
      </c>
      <c r="AE3587" t="str">
        <f>IF(OR(SalesData[[#This Row],[Day]]="Saturday",SalesData[[#This Row],[Day]]="Sunday"),"Weekend","Weekday")</f>
        <v>Weekday</v>
      </c>
      <c r="AF3587" s="5">
        <f>IF(SalesData[[#This Row],[Contracts Offered]]=0,0,SalesData[[#This Row],[Contracts Signed]]/SalesData[[#This Row],[Contracts Offered]])</f>
        <v>0.42857142857142855</v>
      </c>
      <c r="AG3587" s="5">
        <f>IF(SalesData[[#This Row],[Customers Visited]]=0,0,SalesData[[#This Row],[Test Drives]]/SalesData[[#This Row],[Customers Visited]])</f>
        <v>0.49029126213592233</v>
      </c>
      <c r="AH3587" s="5">
        <f>IF(SalesData[[#This Row],[Customers Visited]]=0,0,SalesData[[#This Row],[Contracts Signed]]/SalesData[[#This Row],[Customers Visited]])</f>
        <v>0.14563106796116504</v>
      </c>
      <c r="AI3587" s="6">
        <f>IF(SalesData[[#This Row],[Contracts Signed]]=0,0,SalesData[[#This Row],[Profit(€)]]/SalesData[[#This Row],[Contracts Signed]])</f>
        <v>17564</v>
      </c>
      <c r="AJ3587" s="5" t="str">
        <f>TRIM(CLEAN(SalesData[[#This Row],[Retailer]]))</f>
        <v>Rhein Auto Group</v>
      </c>
    </row>
    <row r="3588" spans="1:36" ht="14.25" hidden="1" x14ac:dyDescent="0.2">
      <c r="A3588" t="s">
        <v>4794</v>
      </c>
      <c r="B3588" s="1">
        <v>46080</v>
      </c>
      <c r="C3588" t="s">
        <v>53</v>
      </c>
      <c r="D3588" t="s">
        <v>54</v>
      </c>
      <c r="E3588" t="s">
        <v>26</v>
      </c>
      <c r="F3588" t="s">
        <v>74</v>
      </c>
      <c r="G3588" t="s">
        <v>75</v>
      </c>
      <c r="H3588" t="s">
        <v>76</v>
      </c>
      <c r="I3588" t="s">
        <v>116</v>
      </c>
      <c r="J3588" t="s">
        <v>7026</v>
      </c>
      <c r="K3588" t="s">
        <v>66</v>
      </c>
      <c r="L3588" t="s">
        <v>46</v>
      </c>
      <c r="M3588" t="s">
        <v>47</v>
      </c>
      <c r="N3588" t="s">
        <v>35</v>
      </c>
      <c r="O3588" t="s">
        <v>70</v>
      </c>
      <c r="P3588" t="s">
        <v>37</v>
      </c>
      <c r="Q3588" t="s">
        <v>189</v>
      </c>
      <c r="R3588">
        <v>312</v>
      </c>
      <c r="S3588">
        <v>135</v>
      </c>
      <c r="T3588">
        <v>77</v>
      </c>
      <c r="U3588">
        <v>18</v>
      </c>
      <c r="V3588" t="s">
        <v>1366</v>
      </c>
      <c r="W3588">
        <v>21503</v>
      </c>
      <c r="X3588" t="s">
        <v>3455</v>
      </c>
      <c r="Y3588">
        <v>19399</v>
      </c>
      <c r="Z3588">
        <v>387054</v>
      </c>
      <c r="AA3588">
        <v>37872</v>
      </c>
      <c r="AB3588" t="str">
        <f>(VLOOKUP(SalesData[[#This Row],[Month Number]],Reference!C$5:E$16,2,FALSE))</f>
        <v>Feb</v>
      </c>
      <c r="AC3588">
        <f>MONTH(SalesData[[#This Row],[Date]])</f>
        <v>2</v>
      </c>
      <c r="AD3588">
        <f>Reference!F$4</f>
        <v>2026</v>
      </c>
      <c r="AE3588" t="str">
        <f>IF(OR(SalesData[[#This Row],[Day]]="Saturday",SalesData[[#This Row],[Day]]="Sunday"),"Weekend","Weekday")</f>
        <v>Weekday</v>
      </c>
      <c r="AF3588" s="5">
        <f>IF(SalesData[[#This Row],[Contracts Offered]]=0,0,SalesData[[#This Row],[Contracts Signed]]/SalesData[[#This Row],[Contracts Offered]])</f>
        <v>0.23376623376623376</v>
      </c>
      <c r="AG3588" s="5">
        <f>IF(SalesData[[#This Row],[Customers Visited]]=0,0,SalesData[[#This Row],[Test Drives]]/SalesData[[#This Row],[Customers Visited]])</f>
        <v>0.43269230769230771</v>
      </c>
      <c r="AH3588" s="5">
        <f>IF(SalesData[[#This Row],[Customers Visited]]=0,0,SalesData[[#This Row],[Contracts Signed]]/SalesData[[#This Row],[Customers Visited]])</f>
        <v>5.7692307692307696E-2</v>
      </c>
      <c r="AI3588" s="6">
        <f>IF(SalesData[[#This Row],[Contracts Signed]]=0,0,SalesData[[#This Row],[Profit(€)]]/SalesData[[#This Row],[Contracts Signed]])</f>
        <v>2104</v>
      </c>
      <c r="AJ3588" s="5" t="str">
        <f>TRIM(CLEAN(SalesData[[#This Row],[Retailer]]))</f>
        <v>Stuttgart Auto Center</v>
      </c>
    </row>
    <row r="3589" spans="1:36" ht="14.25" hidden="1" x14ac:dyDescent="0.2">
      <c r="A3589" t="s">
        <v>4795</v>
      </c>
      <c r="B3589" s="1">
        <v>46067</v>
      </c>
      <c r="C3589" t="s">
        <v>121</v>
      </c>
      <c r="D3589" t="s">
        <v>151</v>
      </c>
      <c r="E3589" t="s">
        <v>42</v>
      </c>
      <c r="F3589" t="s">
        <v>101</v>
      </c>
      <c r="G3589" t="s">
        <v>102</v>
      </c>
      <c r="H3589" t="s">
        <v>103</v>
      </c>
      <c r="I3589" t="s">
        <v>104</v>
      </c>
      <c r="J3589" t="s">
        <v>140</v>
      </c>
      <c r="K3589" t="s">
        <v>91</v>
      </c>
      <c r="L3589" t="s">
        <v>46</v>
      </c>
      <c r="M3589" t="s">
        <v>47</v>
      </c>
      <c r="N3589" t="s">
        <v>35</v>
      </c>
      <c r="O3589" t="s">
        <v>36</v>
      </c>
      <c r="P3589" t="s">
        <v>58</v>
      </c>
      <c r="Q3589" t="s">
        <v>50</v>
      </c>
      <c r="R3589">
        <v>467</v>
      </c>
      <c r="S3589">
        <v>205</v>
      </c>
      <c r="T3589">
        <v>126</v>
      </c>
      <c r="U3589">
        <v>38</v>
      </c>
      <c r="V3589" t="s">
        <v>1103</v>
      </c>
      <c r="W3589">
        <v>33684</v>
      </c>
      <c r="X3589" t="s">
        <v>7580</v>
      </c>
      <c r="Y3589">
        <v>30645</v>
      </c>
      <c r="Z3589">
        <v>1279992</v>
      </c>
      <c r="AA3589">
        <v>115482</v>
      </c>
      <c r="AB3589" t="str">
        <f>(VLOOKUP(SalesData[[#This Row],[Month Number]],Reference!C$5:E$16,2,FALSE))</f>
        <v>Feb</v>
      </c>
      <c r="AC3589">
        <f>MONTH(SalesData[[#This Row],[Date]])</f>
        <v>2</v>
      </c>
      <c r="AD3589">
        <f>Reference!F$4</f>
        <v>2026</v>
      </c>
      <c r="AE3589" t="str">
        <f>IF(OR(SalesData[[#This Row],[Day]]="Saturday",SalesData[[#This Row],[Day]]="Sunday"),"Weekend","Weekday")</f>
        <v>Weekend</v>
      </c>
      <c r="AF3589" s="5">
        <f>IF(SalesData[[#This Row],[Contracts Offered]]=0,0,SalesData[[#This Row],[Contracts Signed]]/SalesData[[#This Row],[Contracts Offered]])</f>
        <v>0.30158730158730157</v>
      </c>
      <c r="AG3589" s="5">
        <f>IF(SalesData[[#This Row],[Customers Visited]]=0,0,SalesData[[#This Row],[Test Drives]]/SalesData[[#This Row],[Customers Visited]])</f>
        <v>0.43897216274089934</v>
      </c>
      <c r="AH3589" s="5">
        <f>IF(SalesData[[#This Row],[Customers Visited]]=0,0,SalesData[[#This Row],[Contracts Signed]]/SalesData[[#This Row],[Customers Visited]])</f>
        <v>8.137044967880086E-2</v>
      </c>
      <c r="AI3589" s="6">
        <f>IF(SalesData[[#This Row],[Contracts Signed]]=0,0,SalesData[[#This Row],[Profit(€)]]/SalesData[[#This Row],[Contracts Signed]])</f>
        <v>3039</v>
      </c>
      <c r="AJ3589" s="5" t="str">
        <f>TRIM(CLEAN(SalesData[[#This Row],[Retailer]]))</f>
        <v>Ruhr Auto Plaza</v>
      </c>
    </row>
    <row r="3590" spans="1:36" ht="14.25" hidden="1" x14ac:dyDescent="0.2">
      <c r="A3590" t="s">
        <v>4796</v>
      </c>
      <c r="B3590" s="1">
        <v>46077</v>
      </c>
      <c r="C3590" t="s">
        <v>53</v>
      </c>
      <c r="D3590" t="s">
        <v>63</v>
      </c>
      <c r="E3590" t="s">
        <v>26</v>
      </c>
      <c r="F3590" t="s">
        <v>101</v>
      </c>
      <c r="G3590" t="s">
        <v>102</v>
      </c>
      <c r="H3590" t="s">
        <v>103</v>
      </c>
      <c r="I3590" t="s">
        <v>56</v>
      </c>
      <c r="J3590" t="s">
        <v>137</v>
      </c>
      <c r="K3590" t="s">
        <v>78</v>
      </c>
      <c r="L3590" t="s">
        <v>46</v>
      </c>
      <c r="M3590" t="s">
        <v>87</v>
      </c>
      <c r="N3590" t="s">
        <v>48</v>
      </c>
      <c r="O3590" t="s">
        <v>70</v>
      </c>
      <c r="P3590" t="s">
        <v>58</v>
      </c>
      <c r="Q3590" t="s">
        <v>59</v>
      </c>
      <c r="R3590">
        <v>217</v>
      </c>
      <c r="S3590">
        <v>133</v>
      </c>
      <c r="T3590">
        <v>93</v>
      </c>
      <c r="U3590">
        <v>30</v>
      </c>
      <c r="V3590" t="s">
        <v>6778</v>
      </c>
      <c r="W3590">
        <v>49640</v>
      </c>
      <c r="X3590" t="s">
        <v>7325</v>
      </c>
      <c r="Y3590">
        <v>39773</v>
      </c>
      <c r="Z3590">
        <v>1489200</v>
      </c>
      <c r="AA3590">
        <v>296010</v>
      </c>
      <c r="AB3590" t="str">
        <f>(VLOOKUP(SalesData[[#This Row],[Month Number]],Reference!C$5:E$16,2,FALSE))</f>
        <v>Feb</v>
      </c>
      <c r="AC3590">
        <f>MONTH(SalesData[[#This Row],[Date]])</f>
        <v>2</v>
      </c>
      <c r="AD3590">
        <f>Reference!F$4</f>
        <v>2026</v>
      </c>
      <c r="AE3590" t="str">
        <f>IF(OR(SalesData[[#This Row],[Day]]="Saturday",SalesData[[#This Row],[Day]]="Sunday"),"Weekend","Weekday")</f>
        <v>Weekday</v>
      </c>
      <c r="AF3590" s="5">
        <f>IF(SalesData[[#This Row],[Contracts Offered]]=0,0,SalesData[[#This Row],[Contracts Signed]]/SalesData[[#This Row],[Contracts Offered]])</f>
        <v>0.32258064516129031</v>
      </c>
      <c r="AG3590" s="5">
        <f>IF(SalesData[[#This Row],[Customers Visited]]=0,0,SalesData[[#This Row],[Test Drives]]/SalesData[[#This Row],[Customers Visited]])</f>
        <v>0.61290322580645162</v>
      </c>
      <c r="AH3590" s="5">
        <f>IF(SalesData[[#This Row],[Customers Visited]]=0,0,SalesData[[#This Row],[Contracts Signed]]/SalesData[[#This Row],[Customers Visited]])</f>
        <v>0.13824884792626729</v>
      </c>
      <c r="AI3590" s="6">
        <f>IF(SalesData[[#This Row],[Contracts Signed]]=0,0,SalesData[[#This Row],[Profit(€)]]/SalesData[[#This Row],[Contracts Signed]])</f>
        <v>9867</v>
      </c>
      <c r="AJ3590" s="5" t="str">
        <f>TRIM(CLEAN(SalesData[[#This Row],[Retailer]]))</f>
        <v>Ruhr Auto Plaza</v>
      </c>
    </row>
    <row r="3591" spans="1:36" ht="14.25" x14ac:dyDescent="0.2">
      <c r="A3591" t="s">
        <v>4797</v>
      </c>
      <c r="B3591" s="1">
        <v>46080</v>
      </c>
      <c r="C3591" t="s">
        <v>53</v>
      </c>
      <c r="D3591" t="s">
        <v>54</v>
      </c>
      <c r="E3591" t="s">
        <v>26</v>
      </c>
      <c r="F3591" t="s">
        <v>7649</v>
      </c>
      <c r="G3591" t="s">
        <v>55</v>
      </c>
      <c r="H3591" t="s">
        <v>55</v>
      </c>
      <c r="I3591" t="s">
        <v>30</v>
      </c>
      <c r="J3591" t="s">
        <v>188</v>
      </c>
      <c r="K3591" t="s">
        <v>78</v>
      </c>
      <c r="L3591" t="s">
        <v>33</v>
      </c>
      <c r="M3591" t="s">
        <v>68</v>
      </c>
      <c r="N3591" t="s">
        <v>69</v>
      </c>
      <c r="O3591" t="s">
        <v>36</v>
      </c>
      <c r="P3591" t="s">
        <v>37</v>
      </c>
      <c r="Q3591" t="s">
        <v>79</v>
      </c>
      <c r="R3591">
        <v>261</v>
      </c>
      <c r="S3591">
        <v>129</v>
      </c>
      <c r="T3591">
        <v>91</v>
      </c>
      <c r="U3591">
        <v>39</v>
      </c>
      <c r="V3591" t="s">
        <v>7473</v>
      </c>
      <c r="W3591">
        <v>62037</v>
      </c>
      <c r="X3591" t="s">
        <v>7246</v>
      </c>
      <c r="Y3591">
        <v>47022</v>
      </c>
      <c r="Z3591">
        <v>2419443</v>
      </c>
      <c r="AA3591">
        <v>585585</v>
      </c>
      <c r="AB3591" t="str">
        <f>(VLOOKUP(SalesData[[#This Row],[Month Number]],Reference!C$5:E$16,2,FALSE))</f>
        <v>Feb</v>
      </c>
      <c r="AC3591">
        <f>MONTH(SalesData[[#This Row],[Date]])</f>
        <v>2</v>
      </c>
      <c r="AD3591">
        <f>Reference!F$4</f>
        <v>2026</v>
      </c>
      <c r="AE3591" t="str">
        <f>IF(OR(SalesData[[#This Row],[Day]]="Saturday",SalesData[[#This Row],[Day]]="Sunday"),"Weekend","Weekday")</f>
        <v>Weekday</v>
      </c>
      <c r="AF3591" s="5">
        <f>IF(SalesData[[#This Row],[Contracts Offered]]=0,0,SalesData[[#This Row],[Contracts Signed]]/SalesData[[#This Row],[Contracts Offered]])</f>
        <v>0.42857142857142855</v>
      </c>
      <c r="AG3591" s="5">
        <f>IF(SalesData[[#This Row],[Customers Visited]]=0,0,SalesData[[#This Row],[Test Drives]]/SalesData[[#This Row],[Customers Visited]])</f>
        <v>0.4942528735632184</v>
      </c>
      <c r="AH3591" s="5">
        <f>IF(SalesData[[#This Row],[Customers Visited]]=0,0,SalesData[[#This Row],[Contracts Signed]]/SalesData[[#This Row],[Customers Visited]])</f>
        <v>0.14942528735632185</v>
      </c>
      <c r="AI3591" s="6">
        <f>IF(SalesData[[#This Row],[Contracts Signed]]=0,0,SalesData[[#This Row],[Profit(€)]]/SalesData[[#This Row],[Contracts Signed]])</f>
        <v>15015</v>
      </c>
      <c r="AJ3591" s="5" t="str">
        <f>TRIM(CLEAN(SalesData[[#This Row],[Retailer]]))</f>
        <v>Autohaus Berlin</v>
      </c>
    </row>
    <row r="3592" spans="1:36" ht="14.25" hidden="1" x14ac:dyDescent="0.2">
      <c r="A3592" t="s">
        <v>4798</v>
      </c>
      <c r="B3592" s="1">
        <v>46065</v>
      </c>
      <c r="C3592" t="s">
        <v>121</v>
      </c>
      <c r="D3592" t="s">
        <v>100</v>
      </c>
      <c r="E3592" t="s">
        <v>26</v>
      </c>
      <c r="F3592" t="s">
        <v>114</v>
      </c>
      <c r="G3592" t="s">
        <v>115</v>
      </c>
      <c r="H3592" t="s">
        <v>115</v>
      </c>
      <c r="I3592" t="s">
        <v>56</v>
      </c>
      <c r="J3592" t="s">
        <v>97</v>
      </c>
      <c r="K3592" t="s">
        <v>78</v>
      </c>
      <c r="L3592" t="s">
        <v>33</v>
      </c>
      <c r="M3592" t="s">
        <v>68</v>
      </c>
      <c r="N3592" t="s">
        <v>48</v>
      </c>
      <c r="O3592" t="s">
        <v>70</v>
      </c>
      <c r="P3592" t="s">
        <v>58</v>
      </c>
      <c r="Q3592" t="s">
        <v>204</v>
      </c>
      <c r="R3592">
        <v>307</v>
      </c>
      <c r="S3592">
        <v>169</v>
      </c>
      <c r="T3592">
        <v>126</v>
      </c>
      <c r="U3592">
        <v>42</v>
      </c>
      <c r="V3592" t="s">
        <v>6588</v>
      </c>
      <c r="W3592">
        <v>46619</v>
      </c>
      <c r="X3592" t="s">
        <v>5350</v>
      </c>
      <c r="Y3592">
        <v>37766</v>
      </c>
      <c r="Z3592">
        <v>1957998</v>
      </c>
      <c r="AA3592">
        <v>371826</v>
      </c>
      <c r="AB3592" t="str">
        <f>(VLOOKUP(SalesData[[#This Row],[Month Number]],Reference!C$5:E$16,2,FALSE))</f>
        <v>Feb</v>
      </c>
      <c r="AC3592">
        <f>MONTH(SalesData[[#This Row],[Date]])</f>
        <v>2</v>
      </c>
      <c r="AD3592">
        <f>Reference!F$4</f>
        <v>2026</v>
      </c>
      <c r="AE3592" t="str">
        <f>IF(OR(SalesData[[#This Row],[Day]]="Saturday",SalesData[[#This Row],[Day]]="Sunday"),"Weekend","Weekday")</f>
        <v>Weekday</v>
      </c>
      <c r="AF3592" s="5">
        <f>IF(SalesData[[#This Row],[Contracts Offered]]=0,0,SalesData[[#This Row],[Contracts Signed]]/SalesData[[#This Row],[Contracts Offered]])</f>
        <v>0.33333333333333331</v>
      </c>
      <c r="AG3592" s="5">
        <f>IF(SalesData[[#This Row],[Customers Visited]]=0,0,SalesData[[#This Row],[Test Drives]]/SalesData[[#This Row],[Customers Visited]])</f>
        <v>0.55048859934853422</v>
      </c>
      <c r="AH3592" s="5">
        <f>IF(SalesData[[#This Row],[Customers Visited]]=0,0,SalesData[[#This Row],[Contracts Signed]]/SalesData[[#This Row],[Customers Visited]])</f>
        <v>0.13680781758957655</v>
      </c>
      <c r="AI3592" s="6">
        <f>IF(SalesData[[#This Row],[Contracts Signed]]=0,0,SalesData[[#This Row],[Profit(€)]]/SalesData[[#This Row],[Contracts Signed]])</f>
        <v>8853</v>
      </c>
      <c r="AJ3592" s="5" t="str">
        <f>TRIM(CLEAN(SalesData[[#This Row],[Retailer]]))</f>
        <v>Elbe Drive</v>
      </c>
    </row>
    <row r="3593" spans="1:36" ht="14.25" hidden="1" x14ac:dyDescent="0.2">
      <c r="A3593" t="s">
        <v>4799</v>
      </c>
      <c r="B3593" s="1">
        <v>46054</v>
      </c>
      <c r="C3593" t="s">
        <v>24</v>
      </c>
      <c r="D3593" t="s">
        <v>41</v>
      </c>
      <c r="E3593" t="s">
        <v>42</v>
      </c>
      <c r="F3593" t="s">
        <v>101</v>
      </c>
      <c r="G3593" t="s">
        <v>102</v>
      </c>
      <c r="H3593" t="s">
        <v>103</v>
      </c>
      <c r="I3593" t="s">
        <v>64</v>
      </c>
      <c r="J3593" t="s">
        <v>7029</v>
      </c>
      <c r="K3593" t="s">
        <v>66</v>
      </c>
      <c r="L3593" t="s">
        <v>33</v>
      </c>
      <c r="M3593" t="s">
        <v>87</v>
      </c>
      <c r="N3593" t="s">
        <v>48</v>
      </c>
      <c r="O3593" t="s">
        <v>70</v>
      </c>
      <c r="P3593" t="s">
        <v>58</v>
      </c>
      <c r="Q3593" t="s">
        <v>347</v>
      </c>
      <c r="R3593">
        <v>242</v>
      </c>
      <c r="S3593">
        <v>133</v>
      </c>
      <c r="T3593">
        <v>97</v>
      </c>
      <c r="U3593">
        <v>34</v>
      </c>
      <c r="V3593" t="s">
        <v>6344</v>
      </c>
      <c r="W3593">
        <v>56294</v>
      </c>
      <c r="X3593" t="s">
        <v>5488</v>
      </c>
      <c r="Y3593">
        <v>44032</v>
      </c>
      <c r="Z3593">
        <v>1913996</v>
      </c>
      <c r="AA3593">
        <v>416908</v>
      </c>
      <c r="AB3593" t="str">
        <f>(VLOOKUP(SalesData[[#This Row],[Month Number]],Reference!C$5:E$16,2,FALSE))</f>
        <v>Feb</v>
      </c>
      <c r="AC3593">
        <f>MONTH(SalesData[[#This Row],[Date]])</f>
        <v>2</v>
      </c>
      <c r="AD3593">
        <f>Reference!F$4</f>
        <v>2026</v>
      </c>
      <c r="AE3593" t="str">
        <f>IF(OR(SalesData[[#This Row],[Day]]="Saturday",SalesData[[#This Row],[Day]]="Sunday"),"Weekend","Weekday")</f>
        <v>Weekend</v>
      </c>
      <c r="AF3593" s="5">
        <f>IF(SalesData[[#This Row],[Contracts Offered]]=0,0,SalesData[[#This Row],[Contracts Signed]]/SalesData[[#This Row],[Contracts Offered]])</f>
        <v>0.35051546391752575</v>
      </c>
      <c r="AG3593" s="5">
        <f>IF(SalesData[[#This Row],[Customers Visited]]=0,0,SalesData[[#This Row],[Test Drives]]/SalesData[[#This Row],[Customers Visited]])</f>
        <v>0.54958677685950408</v>
      </c>
      <c r="AH3593" s="5">
        <f>IF(SalesData[[#This Row],[Customers Visited]]=0,0,SalesData[[#This Row],[Contracts Signed]]/SalesData[[#This Row],[Customers Visited]])</f>
        <v>0.14049586776859505</v>
      </c>
      <c r="AI3593" s="6">
        <f>IF(SalesData[[#This Row],[Contracts Signed]]=0,0,SalesData[[#This Row],[Profit(€)]]/SalesData[[#This Row],[Contracts Signed]])</f>
        <v>12262</v>
      </c>
      <c r="AJ3593" s="5" t="str">
        <f>TRIM(CLEAN(SalesData[[#This Row],[Retailer]]))</f>
        <v>Ruhr Auto Plaza</v>
      </c>
    </row>
    <row r="3594" spans="1:36" ht="14.25" hidden="1" x14ac:dyDescent="0.2">
      <c r="A3594" t="s">
        <v>4800</v>
      </c>
      <c r="B3594" s="1">
        <v>46066</v>
      </c>
      <c r="C3594" t="s">
        <v>121</v>
      </c>
      <c r="D3594" t="s">
        <v>54</v>
      </c>
      <c r="E3594" t="s">
        <v>26</v>
      </c>
      <c r="F3594" t="s">
        <v>127</v>
      </c>
      <c r="G3594" t="s">
        <v>128</v>
      </c>
      <c r="H3594" t="s">
        <v>103</v>
      </c>
      <c r="I3594" t="s">
        <v>104</v>
      </c>
      <c r="J3594" t="s">
        <v>105</v>
      </c>
      <c r="K3594" t="s">
        <v>91</v>
      </c>
      <c r="L3594" t="s">
        <v>33</v>
      </c>
      <c r="M3594" t="s">
        <v>34</v>
      </c>
      <c r="N3594" t="s">
        <v>48</v>
      </c>
      <c r="O3594" t="s">
        <v>70</v>
      </c>
      <c r="P3594" t="s">
        <v>49</v>
      </c>
      <c r="Q3594" t="s">
        <v>50</v>
      </c>
      <c r="R3594">
        <v>268</v>
      </c>
      <c r="S3594">
        <v>150</v>
      </c>
      <c r="T3594">
        <v>103</v>
      </c>
      <c r="U3594">
        <v>24</v>
      </c>
      <c r="V3594" t="s">
        <v>333</v>
      </c>
      <c r="W3594">
        <v>29017</v>
      </c>
      <c r="X3594" t="s">
        <v>7484</v>
      </c>
      <c r="Y3594">
        <v>25357</v>
      </c>
      <c r="Z3594">
        <v>696408</v>
      </c>
      <c r="AA3594">
        <v>87840</v>
      </c>
      <c r="AB3594" t="str">
        <f>(VLOOKUP(SalesData[[#This Row],[Month Number]],Reference!C$5:E$16,2,FALSE))</f>
        <v>Feb</v>
      </c>
      <c r="AC3594">
        <f>MONTH(SalesData[[#This Row],[Date]])</f>
        <v>2</v>
      </c>
      <c r="AD3594">
        <f>Reference!F$4</f>
        <v>2026</v>
      </c>
      <c r="AE3594" t="str">
        <f>IF(OR(SalesData[[#This Row],[Day]]="Saturday",SalesData[[#This Row],[Day]]="Sunday"),"Weekend","Weekday")</f>
        <v>Weekday</v>
      </c>
      <c r="AF3594" s="5">
        <f>IF(SalesData[[#This Row],[Contracts Offered]]=0,0,SalesData[[#This Row],[Contracts Signed]]/SalesData[[#This Row],[Contracts Offered]])</f>
        <v>0.23300970873786409</v>
      </c>
      <c r="AG3594" s="5">
        <f>IF(SalesData[[#This Row],[Customers Visited]]=0,0,SalesData[[#This Row],[Test Drives]]/SalesData[[#This Row],[Customers Visited]])</f>
        <v>0.55970149253731338</v>
      </c>
      <c r="AH3594" s="5">
        <f>IF(SalesData[[#This Row],[Customers Visited]]=0,0,SalesData[[#This Row],[Contracts Signed]]/SalesData[[#This Row],[Customers Visited]])</f>
        <v>8.9552238805970144E-2</v>
      </c>
      <c r="AI3594" s="6">
        <f>IF(SalesData[[#This Row],[Contracts Signed]]=0,0,SalesData[[#This Row],[Profit(€)]]/SalesData[[#This Row],[Contracts Signed]])</f>
        <v>3660</v>
      </c>
      <c r="AJ3594" s="5" t="str">
        <f>TRIM(CLEAN(SalesData[[#This Row],[Retailer]]))</f>
        <v>Rhein Auto Group</v>
      </c>
    </row>
    <row r="3595" spans="1:36" ht="14.25" hidden="1" x14ac:dyDescent="0.2">
      <c r="A3595" t="s">
        <v>4801</v>
      </c>
      <c r="B3595" s="1">
        <v>46064</v>
      </c>
      <c r="C3595" t="s">
        <v>121</v>
      </c>
      <c r="D3595" t="s">
        <v>82</v>
      </c>
      <c r="E3595" t="s">
        <v>26</v>
      </c>
      <c r="F3595" t="s">
        <v>7649</v>
      </c>
      <c r="G3595" t="s">
        <v>55</v>
      </c>
      <c r="H3595" t="s">
        <v>55</v>
      </c>
      <c r="I3595" t="s">
        <v>64</v>
      </c>
      <c r="J3595" t="s">
        <v>111</v>
      </c>
      <c r="K3595" t="s">
        <v>32</v>
      </c>
      <c r="L3595" t="s">
        <v>46</v>
      </c>
      <c r="M3595" t="s">
        <v>68</v>
      </c>
      <c r="N3595" t="s">
        <v>48</v>
      </c>
      <c r="O3595" t="s">
        <v>36</v>
      </c>
      <c r="P3595" t="s">
        <v>49</v>
      </c>
      <c r="Q3595" t="s">
        <v>189</v>
      </c>
      <c r="R3595">
        <v>239</v>
      </c>
      <c r="S3595">
        <v>129</v>
      </c>
      <c r="T3595">
        <v>90</v>
      </c>
      <c r="U3595">
        <v>32</v>
      </c>
      <c r="V3595" t="s">
        <v>6394</v>
      </c>
      <c r="W3595">
        <v>59337</v>
      </c>
      <c r="X3595" t="s">
        <v>7055</v>
      </c>
      <c r="Y3595">
        <v>46627</v>
      </c>
      <c r="Z3595">
        <v>1898784</v>
      </c>
      <c r="AA3595">
        <v>406720</v>
      </c>
      <c r="AB3595" t="str">
        <f>(VLOOKUP(SalesData[[#This Row],[Month Number]],Reference!C$5:E$16,2,FALSE))</f>
        <v>Feb</v>
      </c>
      <c r="AC3595">
        <f>MONTH(SalesData[[#This Row],[Date]])</f>
        <v>2</v>
      </c>
      <c r="AD3595">
        <f>Reference!F$4</f>
        <v>2026</v>
      </c>
      <c r="AE3595" t="str">
        <f>IF(OR(SalesData[[#This Row],[Day]]="Saturday",SalesData[[#This Row],[Day]]="Sunday"),"Weekend","Weekday")</f>
        <v>Weekday</v>
      </c>
      <c r="AF3595" s="5">
        <f>IF(SalesData[[#This Row],[Contracts Offered]]=0,0,SalesData[[#This Row],[Contracts Signed]]/SalesData[[#This Row],[Contracts Offered]])</f>
        <v>0.35555555555555557</v>
      </c>
      <c r="AG3595" s="5">
        <f>IF(SalesData[[#This Row],[Customers Visited]]=0,0,SalesData[[#This Row],[Test Drives]]/SalesData[[#This Row],[Customers Visited]])</f>
        <v>0.53974895397489542</v>
      </c>
      <c r="AH3595" s="5">
        <f>IF(SalesData[[#This Row],[Customers Visited]]=0,0,SalesData[[#This Row],[Contracts Signed]]/SalesData[[#This Row],[Customers Visited]])</f>
        <v>0.13389121338912133</v>
      </c>
      <c r="AI3595" s="6">
        <f>IF(SalesData[[#This Row],[Contracts Signed]]=0,0,SalesData[[#This Row],[Profit(€)]]/SalesData[[#This Row],[Contracts Signed]])</f>
        <v>12710</v>
      </c>
      <c r="AJ3595" s="5" t="str">
        <f>TRIM(CLEAN(SalesData[[#This Row],[Retailer]]))</f>
        <v>Autohaus Berlin</v>
      </c>
    </row>
    <row r="3596" spans="1:36" ht="14.25" hidden="1" x14ac:dyDescent="0.2">
      <c r="A3596" t="s">
        <v>4803</v>
      </c>
      <c r="B3596" s="1">
        <v>46070</v>
      </c>
      <c r="C3596" t="s">
        <v>62</v>
      </c>
      <c r="D3596" t="s">
        <v>63</v>
      </c>
      <c r="E3596" t="s">
        <v>26</v>
      </c>
      <c r="F3596" t="s">
        <v>43</v>
      </c>
      <c r="G3596" t="s">
        <v>44</v>
      </c>
      <c r="H3596" t="s">
        <v>45</v>
      </c>
      <c r="I3596" t="s">
        <v>56</v>
      </c>
      <c r="J3596" t="s">
        <v>97</v>
      </c>
      <c r="K3596" t="s">
        <v>91</v>
      </c>
      <c r="L3596" t="s">
        <v>33</v>
      </c>
      <c r="M3596" t="s">
        <v>87</v>
      </c>
      <c r="N3596" t="s">
        <v>69</v>
      </c>
      <c r="O3596" t="s">
        <v>70</v>
      </c>
      <c r="P3596" t="s">
        <v>37</v>
      </c>
      <c r="Q3596" t="s">
        <v>79</v>
      </c>
      <c r="R3596">
        <v>220</v>
      </c>
      <c r="S3596">
        <v>132</v>
      </c>
      <c r="T3596">
        <v>90</v>
      </c>
      <c r="U3596">
        <v>30</v>
      </c>
      <c r="V3596" t="s">
        <v>6591</v>
      </c>
      <c r="W3596">
        <v>47197</v>
      </c>
      <c r="X3596" t="s">
        <v>1978</v>
      </c>
      <c r="Y3596">
        <v>37579</v>
      </c>
      <c r="Z3596">
        <v>1415910</v>
      </c>
      <c r="AA3596">
        <v>288540</v>
      </c>
      <c r="AB3596" t="str">
        <f>(VLOOKUP(SalesData[[#This Row],[Month Number]],Reference!C$5:E$16,2,FALSE))</f>
        <v>Feb</v>
      </c>
      <c r="AC3596">
        <f>MONTH(SalesData[[#This Row],[Date]])</f>
        <v>2</v>
      </c>
      <c r="AD3596">
        <f>Reference!F$4</f>
        <v>2026</v>
      </c>
      <c r="AE3596" t="str">
        <f>IF(OR(SalesData[[#This Row],[Day]]="Saturday",SalesData[[#This Row],[Day]]="Sunday"),"Weekend","Weekday")</f>
        <v>Weekday</v>
      </c>
      <c r="AF3596" s="5">
        <f>IF(SalesData[[#This Row],[Contracts Offered]]=0,0,SalesData[[#This Row],[Contracts Signed]]/SalesData[[#This Row],[Contracts Offered]])</f>
        <v>0.33333333333333331</v>
      </c>
      <c r="AG3596" s="5">
        <f>IF(SalesData[[#This Row],[Customers Visited]]=0,0,SalesData[[#This Row],[Test Drives]]/SalesData[[#This Row],[Customers Visited]])</f>
        <v>0.6</v>
      </c>
      <c r="AH3596" s="5">
        <f>IF(SalesData[[#This Row],[Customers Visited]]=0,0,SalesData[[#This Row],[Contracts Signed]]/SalesData[[#This Row],[Customers Visited]])</f>
        <v>0.13636363636363635</v>
      </c>
      <c r="AI3596" s="6">
        <f>IF(SalesData[[#This Row],[Contracts Signed]]=0,0,SalesData[[#This Row],[Profit(€)]]/SalesData[[#This Row],[Contracts Signed]])</f>
        <v>9618</v>
      </c>
      <c r="AJ3596" s="5" t="str">
        <f>TRIM(CLEAN(SalesData[[#This Row],[Retailer]]))</f>
        <v>Saxon Wheels</v>
      </c>
    </row>
    <row r="3597" spans="1:36" ht="14.25" hidden="1" x14ac:dyDescent="0.2">
      <c r="A3597" t="s">
        <v>4804</v>
      </c>
      <c r="B3597" s="1">
        <v>46073</v>
      </c>
      <c r="C3597" t="s">
        <v>62</v>
      </c>
      <c r="D3597" t="s">
        <v>54</v>
      </c>
      <c r="E3597" t="s">
        <v>26</v>
      </c>
      <c r="F3597" t="s">
        <v>27</v>
      </c>
      <c r="G3597" t="s">
        <v>28</v>
      </c>
      <c r="H3597" t="s">
        <v>29</v>
      </c>
      <c r="I3597" t="s">
        <v>64</v>
      </c>
      <c r="J3597" t="s">
        <v>157</v>
      </c>
      <c r="K3597" t="s">
        <v>78</v>
      </c>
      <c r="L3597" t="s">
        <v>33</v>
      </c>
      <c r="M3597" t="s">
        <v>47</v>
      </c>
      <c r="N3597" t="s">
        <v>69</v>
      </c>
      <c r="O3597" t="s">
        <v>70</v>
      </c>
      <c r="P3597" t="s">
        <v>37</v>
      </c>
      <c r="Q3597" t="s">
        <v>240</v>
      </c>
      <c r="R3597">
        <v>248</v>
      </c>
      <c r="S3597">
        <v>125</v>
      </c>
      <c r="T3597">
        <v>89</v>
      </c>
      <c r="U3597">
        <v>27</v>
      </c>
      <c r="V3597" t="s">
        <v>6929</v>
      </c>
      <c r="W3597">
        <v>67068</v>
      </c>
      <c r="X3597" t="s">
        <v>4802</v>
      </c>
      <c r="Y3597">
        <v>51069</v>
      </c>
      <c r="Z3597">
        <v>1810836</v>
      </c>
      <c r="AA3597">
        <v>431973</v>
      </c>
      <c r="AB3597" t="str">
        <f>(VLOOKUP(SalesData[[#This Row],[Month Number]],Reference!C$5:E$16,2,FALSE))</f>
        <v>Feb</v>
      </c>
      <c r="AC3597">
        <f>MONTH(SalesData[[#This Row],[Date]])</f>
        <v>2</v>
      </c>
      <c r="AD3597">
        <f>Reference!F$4</f>
        <v>2026</v>
      </c>
      <c r="AE3597" t="str">
        <f>IF(OR(SalesData[[#This Row],[Day]]="Saturday",SalesData[[#This Row],[Day]]="Sunday"),"Weekend","Weekday")</f>
        <v>Weekday</v>
      </c>
      <c r="AF3597" s="5">
        <f>IF(SalesData[[#This Row],[Contracts Offered]]=0,0,SalesData[[#This Row],[Contracts Signed]]/SalesData[[#This Row],[Contracts Offered]])</f>
        <v>0.30337078651685395</v>
      </c>
      <c r="AG3597" s="5">
        <f>IF(SalesData[[#This Row],[Customers Visited]]=0,0,SalesData[[#This Row],[Test Drives]]/SalesData[[#This Row],[Customers Visited]])</f>
        <v>0.50403225806451613</v>
      </c>
      <c r="AH3597" s="5">
        <f>IF(SalesData[[#This Row],[Customers Visited]]=0,0,SalesData[[#This Row],[Contracts Signed]]/SalesData[[#This Row],[Customers Visited]])</f>
        <v>0.10887096774193548</v>
      </c>
      <c r="AI3597" s="6">
        <f>IF(SalesData[[#This Row],[Contracts Signed]]=0,0,SalesData[[#This Row],[Profit(€)]]/SalesData[[#This Row],[Contracts Signed]])</f>
        <v>15999</v>
      </c>
      <c r="AJ3597" s="5" t="str">
        <f>TRIM(CLEAN(SalesData[[#This Row],[Retailer]]))</f>
        <v>Main Auto Hub</v>
      </c>
    </row>
    <row r="3598" spans="1:36" ht="14.25" hidden="1" x14ac:dyDescent="0.2">
      <c r="A3598" t="s">
        <v>4805</v>
      </c>
      <c r="B3598" s="1">
        <v>46079</v>
      </c>
      <c r="C3598" t="s">
        <v>53</v>
      </c>
      <c r="D3598" t="s">
        <v>100</v>
      </c>
      <c r="E3598" t="s">
        <v>26</v>
      </c>
      <c r="F3598" t="s">
        <v>101</v>
      </c>
      <c r="G3598" t="s">
        <v>102</v>
      </c>
      <c r="H3598" t="s">
        <v>103</v>
      </c>
      <c r="I3598" t="s">
        <v>56</v>
      </c>
      <c r="J3598" t="s">
        <v>97</v>
      </c>
      <c r="K3598" t="s">
        <v>78</v>
      </c>
      <c r="L3598" t="s">
        <v>33</v>
      </c>
      <c r="M3598" t="s">
        <v>68</v>
      </c>
      <c r="N3598" t="s">
        <v>35</v>
      </c>
      <c r="O3598" t="s">
        <v>36</v>
      </c>
      <c r="P3598" t="s">
        <v>71</v>
      </c>
      <c r="Q3598" t="s">
        <v>79</v>
      </c>
      <c r="R3598">
        <v>319</v>
      </c>
      <c r="S3598">
        <v>162</v>
      </c>
      <c r="T3598">
        <v>112</v>
      </c>
      <c r="U3598">
        <v>40</v>
      </c>
      <c r="V3598" t="s">
        <v>6703</v>
      </c>
      <c r="W3598">
        <v>53940</v>
      </c>
      <c r="X3598" t="s">
        <v>7232</v>
      </c>
      <c r="Y3598">
        <v>41438</v>
      </c>
      <c r="Z3598">
        <v>2157600</v>
      </c>
      <c r="AA3598">
        <v>500080</v>
      </c>
      <c r="AB3598" t="str">
        <f>(VLOOKUP(SalesData[[#This Row],[Month Number]],Reference!C$5:E$16,2,FALSE))</f>
        <v>Feb</v>
      </c>
      <c r="AC3598">
        <f>MONTH(SalesData[[#This Row],[Date]])</f>
        <v>2</v>
      </c>
      <c r="AD3598">
        <f>Reference!F$4</f>
        <v>2026</v>
      </c>
      <c r="AE3598" t="str">
        <f>IF(OR(SalesData[[#This Row],[Day]]="Saturday",SalesData[[#This Row],[Day]]="Sunday"),"Weekend","Weekday")</f>
        <v>Weekday</v>
      </c>
      <c r="AF3598" s="5">
        <f>IF(SalesData[[#This Row],[Contracts Offered]]=0,0,SalesData[[#This Row],[Contracts Signed]]/SalesData[[#This Row],[Contracts Offered]])</f>
        <v>0.35714285714285715</v>
      </c>
      <c r="AG3598" s="5">
        <f>IF(SalesData[[#This Row],[Customers Visited]]=0,0,SalesData[[#This Row],[Test Drives]]/SalesData[[#This Row],[Customers Visited]])</f>
        <v>0.50783699059561127</v>
      </c>
      <c r="AH3598" s="5">
        <f>IF(SalesData[[#This Row],[Customers Visited]]=0,0,SalesData[[#This Row],[Contracts Signed]]/SalesData[[#This Row],[Customers Visited]])</f>
        <v>0.12539184952978055</v>
      </c>
      <c r="AI3598" s="6">
        <f>IF(SalesData[[#This Row],[Contracts Signed]]=0,0,SalesData[[#This Row],[Profit(€)]]/SalesData[[#This Row],[Contracts Signed]])</f>
        <v>12502</v>
      </c>
      <c r="AJ3598" s="5" t="str">
        <f>TRIM(CLEAN(SalesData[[#This Row],[Retailer]]))</f>
        <v>Ruhr Auto Plaza</v>
      </c>
    </row>
    <row r="3599" spans="1:36" ht="14.25" hidden="1" x14ac:dyDescent="0.2">
      <c r="A3599" t="s">
        <v>4806</v>
      </c>
      <c r="B3599" s="1">
        <v>46065</v>
      </c>
      <c r="C3599" t="s">
        <v>121</v>
      </c>
      <c r="D3599" t="s">
        <v>100</v>
      </c>
      <c r="E3599" t="s">
        <v>26</v>
      </c>
      <c r="F3599" t="s">
        <v>74</v>
      </c>
      <c r="G3599" t="s">
        <v>75</v>
      </c>
      <c r="H3599" t="s">
        <v>76</v>
      </c>
      <c r="I3599" t="s">
        <v>104</v>
      </c>
      <c r="J3599" t="s">
        <v>105</v>
      </c>
      <c r="K3599" t="s">
        <v>66</v>
      </c>
      <c r="L3599" t="s">
        <v>33</v>
      </c>
      <c r="M3599" t="s">
        <v>34</v>
      </c>
      <c r="N3599" t="s">
        <v>35</v>
      </c>
      <c r="O3599" t="s">
        <v>36</v>
      </c>
      <c r="P3599" t="s">
        <v>37</v>
      </c>
      <c r="Q3599" t="s">
        <v>240</v>
      </c>
      <c r="R3599">
        <v>465</v>
      </c>
      <c r="S3599">
        <v>268</v>
      </c>
      <c r="T3599">
        <v>185</v>
      </c>
      <c r="U3599">
        <v>44</v>
      </c>
      <c r="V3599" t="s">
        <v>1355</v>
      </c>
      <c r="W3599">
        <v>33456</v>
      </c>
      <c r="X3599" t="s">
        <v>313</v>
      </c>
      <c r="Y3599">
        <v>28808</v>
      </c>
      <c r="Z3599">
        <v>1472064</v>
      </c>
      <c r="AA3599">
        <v>204512</v>
      </c>
      <c r="AB3599" t="str">
        <f>(VLOOKUP(SalesData[[#This Row],[Month Number]],Reference!C$5:E$16,2,FALSE))</f>
        <v>Feb</v>
      </c>
      <c r="AC3599">
        <f>MONTH(SalesData[[#This Row],[Date]])</f>
        <v>2</v>
      </c>
      <c r="AD3599">
        <f>Reference!F$4</f>
        <v>2026</v>
      </c>
      <c r="AE3599" t="str">
        <f>IF(OR(SalesData[[#This Row],[Day]]="Saturday",SalesData[[#This Row],[Day]]="Sunday"),"Weekend","Weekday")</f>
        <v>Weekday</v>
      </c>
      <c r="AF3599" s="5">
        <f>IF(SalesData[[#This Row],[Contracts Offered]]=0,0,SalesData[[#This Row],[Contracts Signed]]/SalesData[[#This Row],[Contracts Offered]])</f>
        <v>0.23783783783783785</v>
      </c>
      <c r="AG3599" s="5">
        <f>IF(SalesData[[#This Row],[Customers Visited]]=0,0,SalesData[[#This Row],[Test Drives]]/SalesData[[#This Row],[Customers Visited]])</f>
        <v>0.57634408602150533</v>
      </c>
      <c r="AH3599" s="5">
        <f>IF(SalesData[[#This Row],[Customers Visited]]=0,0,SalesData[[#This Row],[Contracts Signed]]/SalesData[[#This Row],[Customers Visited]])</f>
        <v>9.4623655913978491E-2</v>
      </c>
      <c r="AI3599" s="6">
        <f>IF(SalesData[[#This Row],[Contracts Signed]]=0,0,SalesData[[#This Row],[Profit(€)]]/SalesData[[#This Row],[Contracts Signed]])</f>
        <v>4648</v>
      </c>
      <c r="AJ3599" s="5" t="str">
        <f>TRIM(CLEAN(SalesData[[#This Row],[Retailer]]))</f>
        <v>Stuttgart Auto Center</v>
      </c>
    </row>
    <row r="3600" spans="1:36" ht="14.25" hidden="1" x14ac:dyDescent="0.2">
      <c r="A3600" t="s">
        <v>4807</v>
      </c>
      <c r="B3600" s="1">
        <v>46061</v>
      </c>
      <c r="C3600" t="s">
        <v>121</v>
      </c>
      <c r="D3600" t="s">
        <v>41</v>
      </c>
      <c r="E3600" t="s">
        <v>42</v>
      </c>
      <c r="F3600" t="s">
        <v>109</v>
      </c>
      <c r="G3600" t="s">
        <v>110</v>
      </c>
      <c r="H3600" t="s">
        <v>45</v>
      </c>
      <c r="I3600" t="s">
        <v>56</v>
      </c>
      <c r="J3600" t="s">
        <v>179</v>
      </c>
      <c r="K3600" t="s">
        <v>66</v>
      </c>
      <c r="L3600" t="s">
        <v>67</v>
      </c>
      <c r="M3600" t="s">
        <v>87</v>
      </c>
      <c r="N3600" t="s">
        <v>48</v>
      </c>
      <c r="O3600" t="s">
        <v>70</v>
      </c>
      <c r="P3600" t="s">
        <v>37</v>
      </c>
      <c r="Q3600" t="s">
        <v>152</v>
      </c>
      <c r="R3600">
        <v>180</v>
      </c>
      <c r="S3600">
        <v>114</v>
      </c>
      <c r="T3600">
        <v>82</v>
      </c>
      <c r="U3600">
        <v>20</v>
      </c>
      <c r="V3600" t="s">
        <v>356</v>
      </c>
      <c r="W3600">
        <v>39636</v>
      </c>
      <c r="X3600" t="s">
        <v>1263</v>
      </c>
      <c r="Y3600">
        <v>30539</v>
      </c>
      <c r="Z3600">
        <v>792720</v>
      </c>
      <c r="AA3600">
        <v>181940</v>
      </c>
      <c r="AB3600" t="str">
        <f>(VLOOKUP(SalesData[[#This Row],[Month Number]],Reference!C$5:E$16,2,FALSE))</f>
        <v>Feb</v>
      </c>
      <c r="AC3600">
        <f>MONTH(SalesData[[#This Row],[Date]])</f>
        <v>2</v>
      </c>
      <c r="AD3600">
        <f>Reference!F$4</f>
        <v>2026</v>
      </c>
      <c r="AE3600" t="str">
        <f>IF(OR(SalesData[[#This Row],[Day]]="Saturday",SalesData[[#This Row],[Day]]="Sunday"),"Weekend","Weekday")</f>
        <v>Weekend</v>
      </c>
      <c r="AF3600" s="5">
        <f>IF(SalesData[[#This Row],[Contracts Offered]]=0,0,SalesData[[#This Row],[Contracts Signed]]/SalesData[[#This Row],[Contracts Offered]])</f>
        <v>0.24390243902439024</v>
      </c>
      <c r="AG3600" s="5">
        <f>IF(SalesData[[#This Row],[Customers Visited]]=0,0,SalesData[[#This Row],[Test Drives]]/SalesData[[#This Row],[Customers Visited]])</f>
        <v>0.6333333333333333</v>
      </c>
      <c r="AH3600" s="5">
        <f>IF(SalesData[[#This Row],[Customers Visited]]=0,0,SalesData[[#This Row],[Contracts Signed]]/SalesData[[#This Row],[Customers Visited]])</f>
        <v>0.1111111111111111</v>
      </c>
      <c r="AI3600" s="6">
        <f>IF(SalesData[[#This Row],[Contracts Signed]]=0,0,SalesData[[#This Row],[Profit(€)]]/SalesData[[#This Row],[Contracts Signed]])</f>
        <v>9097</v>
      </c>
      <c r="AJ3600" s="5" t="str">
        <f>TRIM(CLEAN(SalesData[[#This Row],[Retailer]]))</f>
        <v>Leipzig Mobility</v>
      </c>
    </row>
    <row r="3601" spans="1:36" ht="14.25" hidden="1" x14ac:dyDescent="0.2">
      <c r="A3601" t="s">
        <v>4808</v>
      </c>
      <c r="B3601" s="1">
        <v>46068</v>
      </c>
      <c r="C3601" t="s">
        <v>62</v>
      </c>
      <c r="D3601" t="s">
        <v>41</v>
      </c>
      <c r="E3601" t="s">
        <v>42</v>
      </c>
      <c r="F3601" t="s">
        <v>114</v>
      </c>
      <c r="G3601" t="s">
        <v>115</v>
      </c>
      <c r="H3601" t="s">
        <v>115</v>
      </c>
      <c r="I3601" t="s">
        <v>56</v>
      </c>
      <c r="J3601" t="s">
        <v>7028</v>
      </c>
      <c r="K3601" t="s">
        <v>91</v>
      </c>
      <c r="L3601" t="s">
        <v>46</v>
      </c>
      <c r="M3601" t="s">
        <v>87</v>
      </c>
      <c r="N3601" t="s">
        <v>69</v>
      </c>
      <c r="O3601" t="s">
        <v>70</v>
      </c>
      <c r="P3601" t="s">
        <v>37</v>
      </c>
      <c r="Q3601" t="s">
        <v>135</v>
      </c>
      <c r="R3601">
        <v>220</v>
      </c>
      <c r="S3601">
        <v>104</v>
      </c>
      <c r="T3601">
        <v>78</v>
      </c>
      <c r="U3601">
        <v>22</v>
      </c>
      <c r="V3601" t="s">
        <v>7020</v>
      </c>
      <c r="W3601">
        <v>44337</v>
      </c>
      <c r="X3601" t="s">
        <v>809</v>
      </c>
      <c r="Y3601">
        <v>35938</v>
      </c>
      <c r="Z3601">
        <v>975414</v>
      </c>
      <c r="AA3601">
        <v>184778</v>
      </c>
      <c r="AB3601" t="str">
        <f>(VLOOKUP(SalesData[[#This Row],[Month Number]],Reference!C$5:E$16,2,FALSE))</f>
        <v>Feb</v>
      </c>
      <c r="AC3601">
        <f>MONTH(SalesData[[#This Row],[Date]])</f>
        <v>2</v>
      </c>
      <c r="AD3601">
        <f>Reference!F$4</f>
        <v>2026</v>
      </c>
      <c r="AE3601" t="str">
        <f>IF(OR(SalesData[[#This Row],[Day]]="Saturday",SalesData[[#This Row],[Day]]="Sunday"),"Weekend","Weekday")</f>
        <v>Weekend</v>
      </c>
      <c r="AF3601" s="5">
        <f>IF(SalesData[[#This Row],[Contracts Offered]]=0,0,SalesData[[#This Row],[Contracts Signed]]/SalesData[[#This Row],[Contracts Offered]])</f>
        <v>0.28205128205128205</v>
      </c>
      <c r="AG3601" s="5">
        <f>IF(SalesData[[#This Row],[Customers Visited]]=0,0,SalesData[[#This Row],[Test Drives]]/SalesData[[#This Row],[Customers Visited]])</f>
        <v>0.47272727272727272</v>
      </c>
      <c r="AH3601" s="5">
        <f>IF(SalesData[[#This Row],[Customers Visited]]=0,0,SalesData[[#This Row],[Contracts Signed]]/SalesData[[#This Row],[Customers Visited]])</f>
        <v>0.1</v>
      </c>
      <c r="AI3601" s="6">
        <f>IF(SalesData[[#This Row],[Contracts Signed]]=0,0,SalesData[[#This Row],[Profit(€)]]/SalesData[[#This Row],[Contracts Signed]])</f>
        <v>8399</v>
      </c>
      <c r="AJ3601" s="5" t="str">
        <f>TRIM(CLEAN(SalesData[[#This Row],[Retailer]]))</f>
        <v>Elbe Drive</v>
      </c>
    </row>
    <row r="3602" spans="1:36" ht="14.25" hidden="1" x14ac:dyDescent="0.2">
      <c r="A3602" t="s">
        <v>4809</v>
      </c>
      <c r="B3602" s="1">
        <v>46067</v>
      </c>
      <c r="C3602" t="s">
        <v>121</v>
      </c>
      <c r="D3602" t="s">
        <v>151</v>
      </c>
      <c r="E3602" t="s">
        <v>42</v>
      </c>
      <c r="F3602" t="s">
        <v>43</v>
      </c>
      <c r="G3602" t="s">
        <v>44</v>
      </c>
      <c r="H3602" t="s">
        <v>45</v>
      </c>
      <c r="I3602" t="s">
        <v>56</v>
      </c>
      <c r="J3602" t="s">
        <v>57</v>
      </c>
      <c r="K3602" t="s">
        <v>91</v>
      </c>
      <c r="L3602" t="s">
        <v>46</v>
      </c>
      <c r="M3602" t="s">
        <v>87</v>
      </c>
      <c r="N3602" t="s">
        <v>69</v>
      </c>
      <c r="O3602" t="s">
        <v>70</v>
      </c>
      <c r="P3602" t="s">
        <v>49</v>
      </c>
      <c r="Q3602" t="s">
        <v>122</v>
      </c>
      <c r="R3602">
        <v>259</v>
      </c>
      <c r="S3602">
        <v>162</v>
      </c>
      <c r="T3602">
        <v>117</v>
      </c>
      <c r="U3602">
        <v>34</v>
      </c>
      <c r="V3602" t="s">
        <v>6747</v>
      </c>
      <c r="W3602">
        <v>50982</v>
      </c>
      <c r="X3602" t="s">
        <v>7109</v>
      </c>
      <c r="Y3602">
        <v>41606</v>
      </c>
      <c r="Z3602">
        <v>1733388</v>
      </c>
      <c r="AA3602">
        <v>318784</v>
      </c>
      <c r="AB3602" t="str">
        <f>(VLOOKUP(SalesData[[#This Row],[Month Number]],Reference!C$5:E$16,2,FALSE))</f>
        <v>Feb</v>
      </c>
      <c r="AC3602">
        <f>MONTH(SalesData[[#This Row],[Date]])</f>
        <v>2</v>
      </c>
      <c r="AD3602">
        <f>Reference!F$4</f>
        <v>2026</v>
      </c>
      <c r="AE3602" t="str">
        <f>IF(OR(SalesData[[#This Row],[Day]]="Saturday",SalesData[[#This Row],[Day]]="Sunday"),"Weekend","Weekday")</f>
        <v>Weekend</v>
      </c>
      <c r="AF3602" s="5">
        <f>IF(SalesData[[#This Row],[Contracts Offered]]=0,0,SalesData[[#This Row],[Contracts Signed]]/SalesData[[#This Row],[Contracts Offered]])</f>
        <v>0.29059829059829062</v>
      </c>
      <c r="AG3602" s="5">
        <f>IF(SalesData[[#This Row],[Customers Visited]]=0,0,SalesData[[#This Row],[Test Drives]]/SalesData[[#This Row],[Customers Visited]])</f>
        <v>0.62548262548262545</v>
      </c>
      <c r="AH3602" s="5">
        <f>IF(SalesData[[#This Row],[Customers Visited]]=0,0,SalesData[[#This Row],[Contracts Signed]]/SalesData[[#This Row],[Customers Visited]])</f>
        <v>0.13127413127413126</v>
      </c>
      <c r="AI3602" s="6">
        <f>IF(SalesData[[#This Row],[Contracts Signed]]=0,0,SalesData[[#This Row],[Profit(€)]]/SalesData[[#This Row],[Contracts Signed]])</f>
        <v>9376</v>
      </c>
      <c r="AJ3602" s="5" t="str">
        <f>TRIM(CLEAN(SalesData[[#This Row],[Retailer]]))</f>
        <v>Saxon Wheels</v>
      </c>
    </row>
    <row r="3603" spans="1:36" ht="14.25" x14ac:dyDescent="0.2">
      <c r="A3603" t="s">
        <v>4810</v>
      </c>
      <c r="B3603" s="1">
        <v>46072</v>
      </c>
      <c r="C3603" t="s">
        <v>62</v>
      </c>
      <c r="D3603" t="s">
        <v>100</v>
      </c>
      <c r="E3603" t="s">
        <v>26</v>
      </c>
      <c r="F3603" t="s">
        <v>7649</v>
      </c>
      <c r="G3603" t="s">
        <v>55</v>
      </c>
      <c r="H3603" t="s">
        <v>55</v>
      </c>
      <c r="I3603" t="s">
        <v>30</v>
      </c>
      <c r="J3603" t="s">
        <v>86</v>
      </c>
      <c r="K3603" t="s">
        <v>91</v>
      </c>
      <c r="L3603" t="s">
        <v>33</v>
      </c>
      <c r="M3603" t="s">
        <v>68</v>
      </c>
      <c r="N3603" t="s">
        <v>48</v>
      </c>
      <c r="O3603" t="s">
        <v>70</v>
      </c>
      <c r="P3603" t="s">
        <v>71</v>
      </c>
      <c r="Q3603" t="s">
        <v>59</v>
      </c>
      <c r="R3603">
        <v>204</v>
      </c>
      <c r="S3603">
        <v>114</v>
      </c>
      <c r="T3603">
        <v>88</v>
      </c>
      <c r="U3603">
        <v>31</v>
      </c>
      <c r="V3603" t="s">
        <v>6500</v>
      </c>
      <c r="W3603">
        <v>61171</v>
      </c>
      <c r="X3603" t="s">
        <v>7385</v>
      </c>
      <c r="Y3603">
        <v>44959</v>
      </c>
      <c r="Z3603">
        <v>1896301</v>
      </c>
      <c r="AA3603">
        <v>502572</v>
      </c>
      <c r="AB3603" t="str">
        <f>(VLOOKUP(SalesData[[#This Row],[Month Number]],Reference!C$5:E$16,2,FALSE))</f>
        <v>Feb</v>
      </c>
      <c r="AC3603">
        <f>MONTH(SalesData[[#This Row],[Date]])</f>
        <v>2</v>
      </c>
      <c r="AD3603">
        <f>Reference!F$4</f>
        <v>2026</v>
      </c>
      <c r="AE3603" t="str">
        <f>IF(OR(SalesData[[#This Row],[Day]]="Saturday",SalesData[[#This Row],[Day]]="Sunday"),"Weekend","Weekday")</f>
        <v>Weekday</v>
      </c>
      <c r="AF3603" s="5">
        <f>IF(SalesData[[#This Row],[Contracts Offered]]=0,0,SalesData[[#This Row],[Contracts Signed]]/SalesData[[#This Row],[Contracts Offered]])</f>
        <v>0.35227272727272729</v>
      </c>
      <c r="AG3603" s="5">
        <f>IF(SalesData[[#This Row],[Customers Visited]]=0,0,SalesData[[#This Row],[Test Drives]]/SalesData[[#This Row],[Customers Visited]])</f>
        <v>0.55882352941176472</v>
      </c>
      <c r="AH3603" s="5">
        <f>IF(SalesData[[#This Row],[Customers Visited]]=0,0,SalesData[[#This Row],[Contracts Signed]]/SalesData[[#This Row],[Customers Visited]])</f>
        <v>0.15196078431372548</v>
      </c>
      <c r="AI3603" s="6">
        <f>IF(SalesData[[#This Row],[Contracts Signed]]=0,0,SalesData[[#This Row],[Profit(€)]]/SalesData[[#This Row],[Contracts Signed]])</f>
        <v>16212</v>
      </c>
      <c r="AJ3603" s="5" t="str">
        <f>TRIM(CLEAN(SalesData[[#This Row],[Retailer]]))</f>
        <v>Autohaus Berlin</v>
      </c>
    </row>
    <row r="3604" spans="1:36" ht="14.25" hidden="1" x14ac:dyDescent="0.2">
      <c r="A3604" t="s">
        <v>4811</v>
      </c>
      <c r="B3604" s="1">
        <v>46077</v>
      </c>
      <c r="C3604" t="s">
        <v>53</v>
      </c>
      <c r="D3604" t="s">
        <v>63</v>
      </c>
      <c r="E3604" t="s">
        <v>26</v>
      </c>
      <c r="F3604" t="s">
        <v>114</v>
      </c>
      <c r="G3604" t="s">
        <v>115</v>
      </c>
      <c r="H3604" t="s">
        <v>115</v>
      </c>
      <c r="I3604" t="s">
        <v>64</v>
      </c>
      <c r="J3604" t="s">
        <v>7029</v>
      </c>
      <c r="K3604" t="s">
        <v>91</v>
      </c>
      <c r="L3604" t="s">
        <v>33</v>
      </c>
      <c r="M3604" t="s">
        <v>34</v>
      </c>
      <c r="N3604" t="s">
        <v>69</v>
      </c>
      <c r="O3604" t="s">
        <v>70</v>
      </c>
      <c r="P3604" t="s">
        <v>37</v>
      </c>
      <c r="Q3604" t="s">
        <v>50</v>
      </c>
      <c r="R3604">
        <v>244</v>
      </c>
      <c r="S3604">
        <v>112</v>
      </c>
      <c r="T3604">
        <v>87</v>
      </c>
      <c r="U3604">
        <v>27</v>
      </c>
      <c r="V3604" t="s">
        <v>6400</v>
      </c>
      <c r="W3604">
        <v>65128</v>
      </c>
      <c r="X3604" t="s">
        <v>3526</v>
      </c>
      <c r="Y3604">
        <v>48849</v>
      </c>
      <c r="Z3604">
        <v>1758456</v>
      </c>
      <c r="AA3604">
        <v>439533</v>
      </c>
      <c r="AB3604" t="str">
        <f>(VLOOKUP(SalesData[[#This Row],[Month Number]],Reference!C$5:E$16,2,FALSE))</f>
        <v>Feb</v>
      </c>
      <c r="AC3604">
        <f>MONTH(SalesData[[#This Row],[Date]])</f>
        <v>2</v>
      </c>
      <c r="AD3604">
        <f>Reference!F$4</f>
        <v>2026</v>
      </c>
      <c r="AE3604" t="str">
        <f>IF(OR(SalesData[[#This Row],[Day]]="Saturday",SalesData[[#This Row],[Day]]="Sunday"),"Weekend","Weekday")</f>
        <v>Weekday</v>
      </c>
      <c r="AF3604" s="5">
        <f>IF(SalesData[[#This Row],[Contracts Offered]]=0,0,SalesData[[#This Row],[Contracts Signed]]/SalesData[[#This Row],[Contracts Offered]])</f>
        <v>0.31034482758620691</v>
      </c>
      <c r="AG3604" s="5">
        <f>IF(SalesData[[#This Row],[Customers Visited]]=0,0,SalesData[[#This Row],[Test Drives]]/SalesData[[#This Row],[Customers Visited]])</f>
        <v>0.45901639344262296</v>
      </c>
      <c r="AH3604" s="5">
        <f>IF(SalesData[[#This Row],[Customers Visited]]=0,0,SalesData[[#This Row],[Contracts Signed]]/SalesData[[#This Row],[Customers Visited]])</f>
        <v>0.11065573770491803</v>
      </c>
      <c r="AI3604" s="6">
        <f>IF(SalesData[[#This Row],[Contracts Signed]]=0,0,SalesData[[#This Row],[Profit(€)]]/SalesData[[#This Row],[Contracts Signed]])</f>
        <v>16279</v>
      </c>
      <c r="AJ3604" s="5" t="str">
        <f>TRIM(CLEAN(SalesData[[#This Row],[Retailer]]))</f>
        <v>Elbe Drive</v>
      </c>
    </row>
    <row r="3605" spans="1:36" ht="14.25" hidden="1" x14ac:dyDescent="0.2">
      <c r="A3605" t="s">
        <v>4812</v>
      </c>
      <c r="B3605" s="1">
        <v>46073</v>
      </c>
      <c r="C3605" t="s">
        <v>62</v>
      </c>
      <c r="D3605" t="s">
        <v>54</v>
      </c>
      <c r="E3605" t="s">
        <v>26</v>
      </c>
      <c r="F3605" t="s">
        <v>94</v>
      </c>
      <c r="G3605" t="s">
        <v>95</v>
      </c>
      <c r="H3605" t="s">
        <v>96</v>
      </c>
      <c r="I3605" t="s">
        <v>56</v>
      </c>
      <c r="J3605" t="s">
        <v>7028</v>
      </c>
      <c r="K3605" t="s">
        <v>32</v>
      </c>
      <c r="L3605" t="s">
        <v>46</v>
      </c>
      <c r="M3605" t="s">
        <v>34</v>
      </c>
      <c r="N3605" t="s">
        <v>35</v>
      </c>
      <c r="O3605" t="s">
        <v>36</v>
      </c>
      <c r="P3605" t="s">
        <v>49</v>
      </c>
      <c r="Q3605" t="s">
        <v>38</v>
      </c>
      <c r="R3605">
        <v>269</v>
      </c>
      <c r="S3605">
        <v>125</v>
      </c>
      <c r="T3605">
        <v>88</v>
      </c>
      <c r="U3605">
        <v>30</v>
      </c>
      <c r="V3605" t="s">
        <v>6629</v>
      </c>
      <c r="W3605">
        <v>53373</v>
      </c>
      <c r="X3605" t="s">
        <v>7171</v>
      </c>
      <c r="Y3605">
        <v>41920</v>
      </c>
      <c r="Z3605">
        <v>1601190</v>
      </c>
      <c r="AA3605">
        <v>343590</v>
      </c>
      <c r="AB3605" t="str">
        <f>(VLOOKUP(SalesData[[#This Row],[Month Number]],Reference!C$5:E$16,2,FALSE))</f>
        <v>Feb</v>
      </c>
      <c r="AC3605">
        <f>MONTH(SalesData[[#This Row],[Date]])</f>
        <v>2</v>
      </c>
      <c r="AD3605">
        <f>Reference!F$4</f>
        <v>2026</v>
      </c>
      <c r="AE3605" t="str">
        <f>IF(OR(SalesData[[#This Row],[Day]]="Saturday",SalesData[[#This Row],[Day]]="Sunday"),"Weekend","Weekday")</f>
        <v>Weekday</v>
      </c>
      <c r="AF3605" s="5">
        <f>IF(SalesData[[#This Row],[Contracts Offered]]=0,0,SalesData[[#This Row],[Contracts Signed]]/SalesData[[#This Row],[Contracts Offered]])</f>
        <v>0.34090909090909088</v>
      </c>
      <c r="AG3605" s="5">
        <f>IF(SalesData[[#This Row],[Customers Visited]]=0,0,SalesData[[#This Row],[Test Drives]]/SalesData[[#This Row],[Customers Visited]])</f>
        <v>0.46468401486988847</v>
      </c>
      <c r="AH3605" s="5">
        <f>IF(SalesData[[#This Row],[Customers Visited]]=0,0,SalesData[[#This Row],[Contracts Signed]]/SalesData[[#This Row],[Customers Visited]])</f>
        <v>0.11152416356877323</v>
      </c>
      <c r="AI3605" s="6">
        <f>IF(SalesData[[#This Row],[Contracts Signed]]=0,0,SalesData[[#This Row],[Profit(€)]]/SalesData[[#This Row],[Contracts Signed]])</f>
        <v>11453</v>
      </c>
      <c r="AJ3605" s="5" t="str">
        <f>TRIM(CLEAN(SalesData[[#This Row],[Retailer]]))</f>
        <v>Bavaria Motors</v>
      </c>
    </row>
    <row r="3606" spans="1:36" ht="14.25" hidden="1" x14ac:dyDescent="0.2">
      <c r="A3606" t="s">
        <v>4813</v>
      </c>
      <c r="B3606" s="1">
        <v>46063</v>
      </c>
      <c r="C3606" t="s">
        <v>121</v>
      </c>
      <c r="D3606" t="s">
        <v>63</v>
      </c>
      <c r="E3606" t="s">
        <v>26</v>
      </c>
      <c r="F3606" t="s">
        <v>114</v>
      </c>
      <c r="G3606" t="s">
        <v>115</v>
      </c>
      <c r="H3606" t="s">
        <v>115</v>
      </c>
      <c r="I3606" t="s">
        <v>104</v>
      </c>
      <c r="J3606" t="s">
        <v>140</v>
      </c>
      <c r="K3606" t="s">
        <v>32</v>
      </c>
      <c r="L3606" t="s">
        <v>46</v>
      </c>
      <c r="M3606" t="s">
        <v>68</v>
      </c>
      <c r="N3606" t="s">
        <v>48</v>
      </c>
      <c r="O3606" t="s">
        <v>70</v>
      </c>
      <c r="P3606" t="s">
        <v>71</v>
      </c>
      <c r="Q3606" t="s">
        <v>122</v>
      </c>
      <c r="R3606">
        <v>292</v>
      </c>
      <c r="S3606">
        <v>122</v>
      </c>
      <c r="T3606">
        <v>76</v>
      </c>
      <c r="U3606">
        <v>24</v>
      </c>
      <c r="V3606" t="s">
        <v>849</v>
      </c>
      <c r="W3606">
        <v>28898</v>
      </c>
      <c r="X3606" t="s">
        <v>4064</v>
      </c>
      <c r="Y3606">
        <v>25457</v>
      </c>
      <c r="Z3606">
        <v>693552</v>
      </c>
      <c r="AA3606">
        <v>82584</v>
      </c>
      <c r="AB3606" t="str">
        <f>(VLOOKUP(SalesData[[#This Row],[Month Number]],Reference!C$5:E$16,2,FALSE))</f>
        <v>Feb</v>
      </c>
      <c r="AC3606">
        <f>MONTH(SalesData[[#This Row],[Date]])</f>
        <v>2</v>
      </c>
      <c r="AD3606">
        <f>Reference!F$4</f>
        <v>2026</v>
      </c>
      <c r="AE3606" t="str">
        <f>IF(OR(SalesData[[#This Row],[Day]]="Saturday",SalesData[[#This Row],[Day]]="Sunday"),"Weekend","Weekday")</f>
        <v>Weekday</v>
      </c>
      <c r="AF3606" s="5">
        <f>IF(SalesData[[#This Row],[Contracts Offered]]=0,0,SalesData[[#This Row],[Contracts Signed]]/SalesData[[#This Row],[Contracts Offered]])</f>
        <v>0.31578947368421051</v>
      </c>
      <c r="AG3606" s="5">
        <f>IF(SalesData[[#This Row],[Customers Visited]]=0,0,SalesData[[#This Row],[Test Drives]]/SalesData[[#This Row],[Customers Visited]])</f>
        <v>0.4178082191780822</v>
      </c>
      <c r="AH3606" s="5">
        <f>IF(SalesData[[#This Row],[Customers Visited]]=0,0,SalesData[[#This Row],[Contracts Signed]]/SalesData[[#This Row],[Customers Visited]])</f>
        <v>8.2191780821917804E-2</v>
      </c>
      <c r="AI3606" s="6">
        <f>IF(SalesData[[#This Row],[Contracts Signed]]=0,0,SalesData[[#This Row],[Profit(€)]]/SalesData[[#This Row],[Contracts Signed]])</f>
        <v>3441</v>
      </c>
      <c r="AJ3606" s="5" t="str">
        <f>TRIM(CLEAN(SalesData[[#This Row],[Retailer]]))</f>
        <v>Elbe Drive</v>
      </c>
    </row>
    <row r="3607" spans="1:36" ht="14.25" hidden="1" x14ac:dyDescent="0.2">
      <c r="A3607" t="s">
        <v>4814</v>
      </c>
      <c r="B3607" s="1">
        <v>46066</v>
      </c>
      <c r="C3607" t="s">
        <v>121</v>
      </c>
      <c r="D3607" t="s">
        <v>54</v>
      </c>
      <c r="E3607" t="s">
        <v>26</v>
      </c>
      <c r="F3607" t="s">
        <v>83</v>
      </c>
      <c r="G3607" t="s">
        <v>84</v>
      </c>
      <c r="H3607" t="s">
        <v>85</v>
      </c>
      <c r="I3607" t="s">
        <v>104</v>
      </c>
      <c r="J3607" t="s">
        <v>105</v>
      </c>
      <c r="K3607" t="s">
        <v>66</v>
      </c>
      <c r="L3607" t="s">
        <v>33</v>
      </c>
      <c r="M3607" t="s">
        <v>87</v>
      </c>
      <c r="N3607" t="s">
        <v>35</v>
      </c>
      <c r="O3607" t="s">
        <v>36</v>
      </c>
      <c r="P3607" t="s">
        <v>71</v>
      </c>
      <c r="Q3607" t="s">
        <v>189</v>
      </c>
      <c r="R3607">
        <v>436</v>
      </c>
      <c r="S3607">
        <v>251</v>
      </c>
      <c r="T3607">
        <v>155</v>
      </c>
      <c r="U3607">
        <v>43</v>
      </c>
      <c r="V3607" t="s">
        <v>4209</v>
      </c>
      <c r="W3607">
        <v>28222</v>
      </c>
      <c r="X3607" t="s">
        <v>4553</v>
      </c>
      <c r="Y3607">
        <v>24328</v>
      </c>
      <c r="Z3607">
        <v>1213546</v>
      </c>
      <c r="AA3607">
        <v>167442</v>
      </c>
      <c r="AB3607" t="str">
        <f>(VLOOKUP(SalesData[[#This Row],[Month Number]],Reference!C$5:E$16,2,FALSE))</f>
        <v>Feb</v>
      </c>
      <c r="AC3607">
        <f>MONTH(SalesData[[#This Row],[Date]])</f>
        <v>2</v>
      </c>
      <c r="AD3607">
        <f>Reference!F$4</f>
        <v>2026</v>
      </c>
      <c r="AE3607" t="str">
        <f>IF(OR(SalesData[[#This Row],[Day]]="Saturday",SalesData[[#This Row],[Day]]="Sunday"),"Weekend","Weekday")</f>
        <v>Weekday</v>
      </c>
      <c r="AF3607" s="5">
        <f>IF(SalesData[[#This Row],[Contracts Offered]]=0,0,SalesData[[#This Row],[Contracts Signed]]/SalesData[[#This Row],[Contracts Offered]])</f>
        <v>0.27741935483870966</v>
      </c>
      <c r="AG3607" s="5">
        <f>IF(SalesData[[#This Row],[Customers Visited]]=0,0,SalesData[[#This Row],[Test Drives]]/SalesData[[#This Row],[Customers Visited]])</f>
        <v>0.57568807339449546</v>
      </c>
      <c r="AH3607" s="5">
        <f>IF(SalesData[[#This Row],[Customers Visited]]=0,0,SalesData[[#This Row],[Contracts Signed]]/SalesData[[#This Row],[Customers Visited]])</f>
        <v>9.862385321100918E-2</v>
      </c>
      <c r="AI3607" s="6">
        <f>IF(SalesData[[#This Row],[Contracts Signed]]=0,0,SalesData[[#This Row],[Profit(€)]]/SalesData[[#This Row],[Contracts Signed]])</f>
        <v>3894</v>
      </c>
      <c r="AJ3607" s="5" t="str">
        <f>TRIM(CLEAN(SalesData[[#This Row],[Retailer]]))</f>
        <v>Hannover Cars</v>
      </c>
    </row>
    <row r="3608" spans="1:36" ht="14.25" hidden="1" x14ac:dyDescent="0.2">
      <c r="A3608" t="s">
        <v>4815</v>
      </c>
      <c r="B3608" s="1">
        <v>46063</v>
      </c>
      <c r="C3608" t="s">
        <v>121</v>
      </c>
      <c r="D3608" t="s">
        <v>63</v>
      </c>
      <c r="E3608" t="s">
        <v>26</v>
      </c>
      <c r="F3608" t="s">
        <v>114</v>
      </c>
      <c r="G3608" t="s">
        <v>115</v>
      </c>
      <c r="H3608" t="s">
        <v>115</v>
      </c>
      <c r="I3608" t="s">
        <v>56</v>
      </c>
      <c r="J3608" t="s">
        <v>7028</v>
      </c>
      <c r="K3608" t="s">
        <v>32</v>
      </c>
      <c r="L3608" t="s">
        <v>46</v>
      </c>
      <c r="M3608" t="s">
        <v>47</v>
      </c>
      <c r="N3608" t="s">
        <v>35</v>
      </c>
      <c r="O3608" t="s">
        <v>36</v>
      </c>
      <c r="P3608" t="s">
        <v>37</v>
      </c>
      <c r="Q3608" t="s">
        <v>135</v>
      </c>
      <c r="R3608">
        <v>289</v>
      </c>
      <c r="S3608">
        <v>164</v>
      </c>
      <c r="T3608">
        <v>119</v>
      </c>
      <c r="U3608">
        <v>40</v>
      </c>
      <c r="V3608" t="s">
        <v>6903</v>
      </c>
      <c r="W3608">
        <v>50432</v>
      </c>
      <c r="X3608" t="s">
        <v>7385</v>
      </c>
      <c r="Y3608">
        <v>38591</v>
      </c>
      <c r="Z3608">
        <v>2017280</v>
      </c>
      <c r="AA3608">
        <v>473640</v>
      </c>
      <c r="AB3608" t="str">
        <f>(VLOOKUP(SalesData[[#This Row],[Month Number]],Reference!C$5:E$16,2,FALSE))</f>
        <v>Feb</v>
      </c>
      <c r="AC3608">
        <f>MONTH(SalesData[[#This Row],[Date]])</f>
        <v>2</v>
      </c>
      <c r="AD3608">
        <f>Reference!F$4</f>
        <v>2026</v>
      </c>
      <c r="AE3608" t="str">
        <f>IF(OR(SalesData[[#This Row],[Day]]="Saturday",SalesData[[#This Row],[Day]]="Sunday"),"Weekend","Weekday")</f>
        <v>Weekday</v>
      </c>
      <c r="AF3608" s="5">
        <f>IF(SalesData[[#This Row],[Contracts Offered]]=0,0,SalesData[[#This Row],[Contracts Signed]]/SalesData[[#This Row],[Contracts Offered]])</f>
        <v>0.33613445378151263</v>
      </c>
      <c r="AG3608" s="5">
        <f>IF(SalesData[[#This Row],[Customers Visited]]=0,0,SalesData[[#This Row],[Test Drives]]/SalesData[[#This Row],[Customers Visited]])</f>
        <v>0.56747404844290661</v>
      </c>
      <c r="AH3608" s="5">
        <f>IF(SalesData[[#This Row],[Customers Visited]]=0,0,SalesData[[#This Row],[Contracts Signed]]/SalesData[[#This Row],[Customers Visited]])</f>
        <v>0.13840830449826991</v>
      </c>
      <c r="AI3608" s="6">
        <f>IF(SalesData[[#This Row],[Contracts Signed]]=0,0,SalesData[[#This Row],[Profit(€)]]/SalesData[[#This Row],[Contracts Signed]])</f>
        <v>11841</v>
      </c>
      <c r="AJ3608" s="5" t="str">
        <f>TRIM(CLEAN(SalesData[[#This Row],[Retailer]]))</f>
        <v>Elbe Drive</v>
      </c>
    </row>
    <row r="3609" spans="1:36" ht="14.25" hidden="1" x14ac:dyDescent="0.2">
      <c r="A3609" t="s">
        <v>4816</v>
      </c>
      <c r="B3609" s="1">
        <v>46055</v>
      </c>
      <c r="C3609" t="s">
        <v>24</v>
      </c>
      <c r="D3609" t="s">
        <v>25</v>
      </c>
      <c r="E3609" t="s">
        <v>26</v>
      </c>
      <c r="F3609" t="s">
        <v>74</v>
      </c>
      <c r="G3609" t="s">
        <v>75</v>
      </c>
      <c r="H3609" t="s">
        <v>76</v>
      </c>
      <c r="I3609" t="s">
        <v>64</v>
      </c>
      <c r="J3609" t="s">
        <v>7029</v>
      </c>
      <c r="K3609" t="s">
        <v>32</v>
      </c>
      <c r="L3609" t="s">
        <v>33</v>
      </c>
      <c r="M3609" t="s">
        <v>87</v>
      </c>
      <c r="N3609" t="s">
        <v>69</v>
      </c>
      <c r="O3609" t="s">
        <v>36</v>
      </c>
      <c r="P3609" t="s">
        <v>49</v>
      </c>
      <c r="Q3609" t="s">
        <v>240</v>
      </c>
      <c r="R3609">
        <v>247</v>
      </c>
      <c r="S3609">
        <v>122</v>
      </c>
      <c r="T3609">
        <v>81</v>
      </c>
      <c r="U3609">
        <v>32</v>
      </c>
      <c r="V3609" t="s">
        <v>6751</v>
      </c>
      <c r="W3609">
        <v>51811</v>
      </c>
      <c r="X3609" t="s">
        <v>5237</v>
      </c>
      <c r="Y3609">
        <v>40474</v>
      </c>
      <c r="Z3609">
        <v>1657952</v>
      </c>
      <c r="AA3609">
        <v>362784</v>
      </c>
      <c r="AB3609" t="str">
        <f>(VLOOKUP(SalesData[[#This Row],[Month Number]],Reference!C$5:E$16,2,FALSE))</f>
        <v>Feb</v>
      </c>
      <c r="AC3609">
        <f>MONTH(SalesData[[#This Row],[Date]])</f>
        <v>2</v>
      </c>
      <c r="AD3609">
        <f>Reference!F$4</f>
        <v>2026</v>
      </c>
      <c r="AE3609" t="str">
        <f>IF(OR(SalesData[[#This Row],[Day]]="Saturday",SalesData[[#This Row],[Day]]="Sunday"),"Weekend","Weekday")</f>
        <v>Weekday</v>
      </c>
      <c r="AF3609" s="5">
        <f>IF(SalesData[[#This Row],[Contracts Offered]]=0,0,SalesData[[#This Row],[Contracts Signed]]/SalesData[[#This Row],[Contracts Offered]])</f>
        <v>0.39506172839506171</v>
      </c>
      <c r="AG3609" s="5">
        <f>IF(SalesData[[#This Row],[Customers Visited]]=0,0,SalesData[[#This Row],[Test Drives]]/SalesData[[#This Row],[Customers Visited]])</f>
        <v>0.49392712550607287</v>
      </c>
      <c r="AH3609" s="5">
        <f>IF(SalesData[[#This Row],[Customers Visited]]=0,0,SalesData[[#This Row],[Contracts Signed]]/SalesData[[#This Row],[Customers Visited]])</f>
        <v>0.12955465587044535</v>
      </c>
      <c r="AI3609" s="6">
        <f>IF(SalesData[[#This Row],[Contracts Signed]]=0,0,SalesData[[#This Row],[Profit(€)]]/SalesData[[#This Row],[Contracts Signed]])</f>
        <v>11337</v>
      </c>
      <c r="AJ3609" s="5" t="str">
        <f>TRIM(CLEAN(SalesData[[#This Row],[Retailer]]))</f>
        <v>Stuttgart Auto Center</v>
      </c>
    </row>
    <row r="3610" spans="1:36" ht="14.25" hidden="1" x14ac:dyDescent="0.2">
      <c r="A3610" t="s">
        <v>4817</v>
      </c>
      <c r="B3610" s="1">
        <v>46056</v>
      </c>
      <c r="C3610" t="s">
        <v>24</v>
      </c>
      <c r="D3610" t="s">
        <v>63</v>
      </c>
      <c r="E3610" t="s">
        <v>26</v>
      </c>
      <c r="F3610" t="s">
        <v>83</v>
      </c>
      <c r="G3610" t="s">
        <v>84</v>
      </c>
      <c r="H3610" t="s">
        <v>85</v>
      </c>
      <c r="I3610" t="s">
        <v>64</v>
      </c>
      <c r="J3610" t="s">
        <v>111</v>
      </c>
      <c r="K3610" t="s">
        <v>91</v>
      </c>
      <c r="L3610" t="s">
        <v>46</v>
      </c>
      <c r="M3610" t="s">
        <v>87</v>
      </c>
      <c r="N3610" t="s">
        <v>48</v>
      </c>
      <c r="O3610" t="s">
        <v>36</v>
      </c>
      <c r="P3610" t="s">
        <v>58</v>
      </c>
      <c r="Q3610" t="s">
        <v>88</v>
      </c>
      <c r="R3610">
        <v>286</v>
      </c>
      <c r="S3610">
        <v>146</v>
      </c>
      <c r="T3610">
        <v>104</v>
      </c>
      <c r="U3610">
        <v>44</v>
      </c>
      <c r="V3610" t="s">
        <v>7558</v>
      </c>
      <c r="W3610">
        <v>55182</v>
      </c>
      <c r="X3610" t="s">
        <v>3488</v>
      </c>
      <c r="Y3610">
        <v>40179</v>
      </c>
      <c r="Z3610">
        <v>2428008</v>
      </c>
      <c r="AA3610">
        <v>660132</v>
      </c>
      <c r="AB3610" t="str">
        <f>(VLOOKUP(SalesData[[#This Row],[Month Number]],Reference!C$5:E$16,2,FALSE))</f>
        <v>Feb</v>
      </c>
      <c r="AC3610">
        <f>MONTH(SalesData[[#This Row],[Date]])</f>
        <v>2</v>
      </c>
      <c r="AD3610">
        <f>Reference!F$4</f>
        <v>2026</v>
      </c>
      <c r="AE3610" t="str">
        <f>IF(OR(SalesData[[#This Row],[Day]]="Saturday",SalesData[[#This Row],[Day]]="Sunday"),"Weekend","Weekday")</f>
        <v>Weekday</v>
      </c>
      <c r="AF3610" s="5">
        <f>IF(SalesData[[#This Row],[Contracts Offered]]=0,0,SalesData[[#This Row],[Contracts Signed]]/SalesData[[#This Row],[Contracts Offered]])</f>
        <v>0.42307692307692307</v>
      </c>
      <c r="AG3610" s="5">
        <f>IF(SalesData[[#This Row],[Customers Visited]]=0,0,SalesData[[#This Row],[Test Drives]]/SalesData[[#This Row],[Customers Visited]])</f>
        <v>0.51048951048951052</v>
      </c>
      <c r="AH3610" s="5">
        <f>IF(SalesData[[#This Row],[Customers Visited]]=0,0,SalesData[[#This Row],[Contracts Signed]]/SalesData[[#This Row],[Customers Visited]])</f>
        <v>0.15384615384615385</v>
      </c>
      <c r="AI3610" s="6">
        <f>IF(SalesData[[#This Row],[Contracts Signed]]=0,0,SalesData[[#This Row],[Profit(€)]]/SalesData[[#This Row],[Contracts Signed]])</f>
        <v>15003</v>
      </c>
      <c r="AJ3610" s="5" t="str">
        <f>TRIM(CLEAN(SalesData[[#This Row],[Retailer]]))</f>
        <v>Hannover Cars</v>
      </c>
    </row>
    <row r="3611" spans="1:36" ht="14.25" hidden="1" x14ac:dyDescent="0.2">
      <c r="A3611" t="s">
        <v>4818</v>
      </c>
      <c r="B3611" s="1">
        <v>46071</v>
      </c>
      <c r="C3611" t="s">
        <v>62</v>
      </c>
      <c r="D3611" t="s">
        <v>82</v>
      </c>
      <c r="E3611" t="s">
        <v>26</v>
      </c>
      <c r="F3611" t="s">
        <v>83</v>
      </c>
      <c r="G3611" t="s">
        <v>84</v>
      </c>
      <c r="H3611" t="s">
        <v>85</v>
      </c>
      <c r="I3611" t="s">
        <v>104</v>
      </c>
      <c r="J3611" t="s">
        <v>7031</v>
      </c>
      <c r="K3611" t="s">
        <v>78</v>
      </c>
      <c r="L3611" t="s">
        <v>46</v>
      </c>
      <c r="M3611" t="s">
        <v>34</v>
      </c>
      <c r="N3611" t="s">
        <v>35</v>
      </c>
      <c r="O3611" t="s">
        <v>70</v>
      </c>
      <c r="P3611" t="s">
        <v>71</v>
      </c>
      <c r="Q3611" t="s">
        <v>158</v>
      </c>
      <c r="R3611">
        <v>475</v>
      </c>
      <c r="S3611">
        <v>202</v>
      </c>
      <c r="T3611">
        <v>120</v>
      </c>
      <c r="U3611">
        <v>32</v>
      </c>
      <c r="V3611" t="s">
        <v>1746</v>
      </c>
      <c r="W3611">
        <v>31545</v>
      </c>
      <c r="X3611" t="s">
        <v>642</v>
      </c>
      <c r="Y3611">
        <v>28136</v>
      </c>
      <c r="Z3611">
        <v>1009440</v>
      </c>
      <c r="AA3611">
        <v>109088</v>
      </c>
      <c r="AB3611" t="str">
        <f>(VLOOKUP(SalesData[[#This Row],[Month Number]],Reference!C$5:E$16,2,FALSE))</f>
        <v>Feb</v>
      </c>
      <c r="AC3611">
        <f>MONTH(SalesData[[#This Row],[Date]])</f>
        <v>2</v>
      </c>
      <c r="AD3611">
        <f>Reference!F$4</f>
        <v>2026</v>
      </c>
      <c r="AE3611" t="str">
        <f>IF(OR(SalesData[[#This Row],[Day]]="Saturday",SalesData[[#This Row],[Day]]="Sunday"),"Weekend","Weekday")</f>
        <v>Weekday</v>
      </c>
      <c r="AF3611" s="5">
        <f>IF(SalesData[[#This Row],[Contracts Offered]]=0,0,SalesData[[#This Row],[Contracts Signed]]/SalesData[[#This Row],[Contracts Offered]])</f>
        <v>0.26666666666666666</v>
      </c>
      <c r="AG3611" s="5">
        <f>IF(SalesData[[#This Row],[Customers Visited]]=0,0,SalesData[[#This Row],[Test Drives]]/SalesData[[#This Row],[Customers Visited]])</f>
        <v>0.42526315789473684</v>
      </c>
      <c r="AH3611" s="5">
        <f>IF(SalesData[[#This Row],[Customers Visited]]=0,0,SalesData[[#This Row],[Contracts Signed]]/SalesData[[#This Row],[Customers Visited]])</f>
        <v>6.7368421052631577E-2</v>
      </c>
      <c r="AI3611" s="6">
        <f>IF(SalesData[[#This Row],[Contracts Signed]]=0,0,SalesData[[#This Row],[Profit(€)]]/SalesData[[#This Row],[Contracts Signed]])</f>
        <v>3409</v>
      </c>
      <c r="AJ3611" s="5" t="str">
        <f>TRIM(CLEAN(SalesData[[#This Row],[Retailer]]))</f>
        <v>Hannover Cars</v>
      </c>
    </row>
    <row r="3612" spans="1:36" ht="14.25" x14ac:dyDescent="0.2">
      <c r="A3612" t="s">
        <v>4819</v>
      </c>
      <c r="B3612" s="1">
        <v>46069</v>
      </c>
      <c r="C3612" t="s">
        <v>62</v>
      </c>
      <c r="D3612" t="s">
        <v>25</v>
      </c>
      <c r="E3612" t="s">
        <v>26</v>
      </c>
      <c r="F3612" t="s">
        <v>109</v>
      </c>
      <c r="G3612" t="s">
        <v>110</v>
      </c>
      <c r="H3612" t="s">
        <v>45</v>
      </c>
      <c r="I3612" t="s">
        <v>30</v>
      </c>
      <c r="J3612" t="s">
        <v>86</v>
      </c>
      <c r="K3612" t="s">
        <v>66</v>
      </c>
      <c r="L3612" t="s">
        <v>33</v>
      </c>
      <c r="M3612" t="s">
        <v>47</v>
      </c>
      <c r="N3612" t="s">
        <v>69</v>
      </c>
      <c r="O3612" t="s">
        <v>70</v>
      </c>
      <c r="P3612" t="s">
        <v>49</v>
      </c>
      <c r="Q3612" t="s">
        <v>152</v>
      </c>
      <c r="R3612">
        <v>268</v>
      </c>
      <c r="S3612">
        <v>136</v>
      </c>
      <c r="T3612">
        <v>105</v>
      </c>
      <c r="U3612">
        <v>30</v>
      </c>
      <c r="V3612" t="s">
        <v>6366</v>
      </c>
      <c r="W3612">
        <v>53045</v>
      </c>
      <c r="X3612" t="s">
        <v>7395</v>
      </c>
      <c r="Y3612">
        <v>39038</v>
      </c>
      <c r="Z3612">
        <v>1591350</v>
      </c>
      <c r="AA3612">
        <v>420210</v>
      </c>
      <c r="AB3612" t="str">
        <f>(VLOOKUP(SalesData[[#This Row],[Month Number]],Reference!C$5:E$16,2,FALSE))</f>
        <v>Feb</v>
      </c>
      <c r="AC3612">
        <f>MONTH(SalesData[[#This Row],[Date]])</f>
        <v>2</v>
      </c>
      <c r="AD3612">
        <f>Reference!F$4</f>
        <v>2026</v>
      </c>
      <c r="AE3612" t="str">
        <f>IF(OR(SalesData[[#This Row],[Day]]="Saturday",SalesData[[#This Row],[Day]]="Sunday"),"Weekend","Weekday")</f>
        <v>Weekday</v>
      </c>
      <c r="AF3612" s="5">
        <f>IF(SalesData[[#This Row],[Contracts Offered]]=0,0,SalesData[[#This Row],[Contracts Signed]]/SalesData[[#This Row],[Contracts Offered]])</f>
        <v>0.2857142857142857</v>
      </c>
      <c r="AG3612" s="5">
        <f>IF(SalesData[[#This Row],[Customers Visited]]=0,0,SalesData[[#This Row],[Test Drives]]/SalesData[[#This Row],[Customers Visited]])</f>
        <v>0.5074626865671642</v>
      </c>
      <c r="AH3612" s="5">
        <f>IF(SalesData[[#This Row],[Customers Visited]]=0,0,SalesData[[#This Row],[Contracts Signed]]/SalesData[[#This Row],[Customers Visited]])</f>
        <v>0.11194029850746269</v>
      </c>
      <c r="AI3612" s="6">
        <f>IF(SalesData[[#This Row],[Contracts Signed]]=0,0,SalesData[[#This Row],[Profit(€)]]/SalesData[[#This Row],[Contracts Signed]])</f>
        <v>14007</v>
      </c>
      <c r="AJ3612" s="5" t="str">
        <f>TRIM(CLEAN(SalesData[[#This Row],[Retailer]]))</f>
        <v>Leipzig Mobility</v>
      </c>
    </row>
    <row r="3613" spans="1:36" ht="14.25" hidden="1" x14ac:dyDescent="0.2">
      <c r="A3613" t="s">
        <v>4820</v>
      </c>
      <c r="B3613" s="1">
        <v>46067</v>
      </c>
      <c r="C3613" t="s">
        <v>121</v>
      </c>
      <c r="D3613" t="s">
        <v>151</v>
      </c>
      <c r="E3613" t="s">
        <v>42</v>
      </c>
      <c r="F3613" t="s">
        <v>7649</v>
      </c>
      <c r="G3613" t="s">
        <v>55</v>
      </c>
      <c r="H3613" t="s">
        <v>55</v>
      </c>
      <c r="I3613" t="s">
        <v>56</v>
      </c>
      <c r="J3613" t="s">
        <v>137</v>
      </c>
      <c r="K3613" t="s">
        <v>32</v>
      </c>
      <c r="L3613" t="s">
        <v>46</v>
      </c>
      <c r="M3613" t="s">
        <v>68</v>
      </c>
      <c r="N3613" t="s">
        <v>35</v>
      </c>
      <c r="O3613" t="s">
        <v>36</v>
      </c>
      <c r="P3613" t="s">
        <v>71</v>
      </c>
      <c r="Q3613" t="s">
        <v>158</v>
      </c>
      <c r="R3613">
        <v>187</v>
      </c>
      <c r="S3613">
        <v>89</v>
      </c>
      <c r="T3613">
        <v>58</v>
      </c>
      <c r="U3613">
        <v>24</v>
      </c>
      <c r="V3613" t="s">
        <v>6417</v>
      </c>
      <c r="W3613">
        <v>46352</v>
      </c>
      <c r="X3613" t="s">
        <v>1114</v>
      </c>
      <c r="Y3613">
        <v>36572</v>
      </c>
      <c r="Z3613">
        <v>1112448</v>
      </c>
      <c r="AA3613">
        <v>234720</v>
      </c>
      <c r="AB3613" t="str">
        <f>(VLOOKUP(SalesData[[#This Row],[Month Number]],Reference!C$5:E$16,2,FALSE))</f>
        <v>Feb</v>
      </c>
      <c r="AC3613">
        <f>MONTH(SalesData[[#This Row],[Date]])</f>
        <v>2</v>
      </c>
      <c r="AD3613">
        <f>Reference!F$4</f>
        <v>2026</v>
      </c>
      <c r="AE3613" t="str">
        <f>IF(OR(SalesData[[#This Row],[Day]]="Saturday",SalesData[[#This Row],[Day]]="Sunday"),"Weekend","Weekday")</f>
        <v>Weekend</v>
      </c>
      <c r="AF3613" s="5">
        <f>IF(SalesData[[#This Row],[Contracts Offered]]=0,0,SalesData[[#This Row],[Contracts Signed]]/SalesData[[#This Row],[Contracts Offered]])</f>
        <v>0.41379310344827586</v>
      </c>
      <c r="AG3613" s="5">
        <f>IF(SalesData[[#This Row],[Customers Visited]]=0,0,SalesData[[#This Row],[Test Drives]]/SalesData[[#This Row],[Customers Visited]])</f>
        <v>0.47593582887700536</v>
      </c>
      <c r="AH3613" s="5">
        <f>IF(SalesData[[#This Row],[Customers Visited]]=0,0,SalesData[[#This Row],[Contracts Signed]]/SalesData[[#This Row],[Customers Visited]])</f>
        <v>0.12834224598930483</v>
      </c>
      <c r="AI3613" s="6">
        <f>IF(SalesData[[#This Row],[Contracts Signed]]=0,0,SalesData[[#This Row],[Profit(€)]]/SalesData[[#This Row],[Contracts Signed]])</f>
        <v>9780</v>
      </c>
      <c r="AJ3613" s="5" t="str">
        <f>TRIM(CLEAN(SalesData[[#This Row],[Retailer]]))</f>
        <v>Autohaus Berlin</v>
      </c>
    </row>
    <row r="3614" spans="1:36" ht="14.25" hidden="1" x14ac:dyDescent="0.2">
      <c r="A3614" t="s">
        <v>4821</v>
      </c>
      <c r="B3614" s="1">
        <v>46057</v>
      </c>
      <c r="C3614" t="s">
        <v>24</v>
      </c>
      <c r="D3614" t="s">
        <v>82</v>
      </c>
      <c r="E3614" t="s">
        <v>26</v>
      </c>
      <c r="F3614" t="s">
        <v>127</v>
      </c>
      <c r="G3614" t="s">
        <v>128</v>
      </c>
      <c r="H3614" t="s">
        <v>103</v>
      </c>
      <c r="I3614" t="s">
        <v>116</v>
      </c>
      <c r="J3614" t="s">
        <v>7090</v>
      </c>
      <c r="K3614" t="s">
        <v>91</v>
      </c>
      <c r="L3614" t="s">
        <v>46</v>
      </c>
      <c r="M3614" t="s">
        <v>68</v>
      </c>
      <c r="N3614" t="s">
        <v>69</v>
      </c>
      <c r="O3614" t="s">
        <v>36</v>
      </c>
      <c r="P3614" t="s">
        <v>37</v>
      </c>
      <c r="Q3614" t="s">
        <v>172</v>
      </c>
      <c r="R3614">
        <v>419</v>
      </c>
      <c r="S3614">
        <v>199</v>
      </c>
      <c r="T3614">
        <v>112</v>
      </c>
      <c r="U3614">
        <v>32</v>
      </c>
      <c r="V3614" t="s">
        <v>538</v>
      </c>
      <c r="W3614">
        <v>24348</v>
      </c>
      <c r="X3614" t="s">
        <v>7168</v>
      </c>
      <c r="Y3614">
        <v>22217</v>
      </c>
      <c r="Z3614">
        <v>779136</v>
      </c>
      <c r="AA3614">
        <v>68192</v>
      </c>
      <c r="AB3614" t="str">
        <f>(VLOOKUP(SalesData[[#This Row],[Month Number]],Reference!C$5:E$16,2,FALSE))</f>
        <v>Feb</v>
      </c>
      <c r="AC3614">
        <f>MONTH(SalesData[[#This Row],[Date]])</f>
        <v>2</v>
      </c>
      <c r="AD3614">
        <f>Reference!F$4</f>
        <v>2026</v>
      </c>
      <c r="AE3614" t="str">
        <f>IF(OR(SalesData[[#This Row],[Day]]="Saturday",SalesData[[#This Row],[Day]]="Sunday"),"Weekend","Weekday")</f>
        <v>Weekday</v>
      </c>
      <c r="AF3614" s="5">
        <f>IF(SalesData[[#This Row],[Contracts Offered]]=0,0,SalesData[[#This Row],[Contracts Signed]]/SalesData[[#This Row],[Contracts Offered]])</f>
        <v>0.2857142857142857</v>
      </c>
      <c r="AG3614" s="5">
        <f>IF(SalesData[[#This Row],[Customers Visited]]=0,0,SalesData[[#This Row],[Test Drives]]/SalesData[[#This Row],[Customers Visited]])</f>
        <v>0.47494033412887826</v>
      </c>
      <c r="AH3614" s="5">
        <f>IF(SalesData[[#This Row],[Customers Visited]]=0,0,SalesData[[#This Row],[Contracts Signed]]/SalesData[[#This Row],[Customers Visited]])</f>
        <v>7.6372315035799526E-2</v>
      </c>
      <c r="AI3614" s="6">
        <f>IF(SalesData[[#This Row],[Contracts Signed]]=0,0,SalesData[[#This Row],[Profit(€)]]/SalesData[[#This Row],[Contracts Signed]])</f>
        <v>2131</v>
      </c>
      <c r="AJ3614" s="5" t="str">
        <f>TRIM(CLEAN(SalesData[[#This Row],[Retailer]]))</f>
        <v>Rhein Auto Group</v>
      </c>
    </row>
    <row r="3615" spans="1:36" ht="14.25" hidden="1" x14ac:dyDescent="0.2">
      <c r="A3615" t="s">
        <v>4822</v>
      </c>
      <c r="B3615" s="1">
        <v>46058</v>
      </c>
      <c r="C3615" t="s">
        <v>24</v>
      </c>
      <c r="D3615" t="s">
        <v>100</v>
      </c>
      <c r="E3615" t="s">
        <v>26</v>
      </c>
      <c r="F3615" t="s">
        <v>83</v>
      </c>
      <c r="G3615" t="s">
        <v>84</v>
      </c>
      <c r="H3615" t="s">
        <v>85</v>
      </c>
      <c r="I3615" t="s">
        <v>116</v>
      </c>
      <c r="J3615" t="s">
        <v>117</v>
      </c>
      <c r="K3615" t="s">
        <v>78</v>
      </c>
      <c r="L3615" t="s">
        <v>67</v>
      </c>
      <c r="M3615" t="s">
        <v>47</v>
      </c>
      <c r="N3615" t="s">
        <v>48</v>
      </c>
      <c r="O3615" t="s">
        <v>36</v>
      </c>
      <c r="P3615" t="s">
        <v>37</v>
      </c>
      <c r="Q3615" t="s">
        <v>118</v>
      </c>
      <c r="R3615">
        <v>372</v>
      </c>
      <c r="S3615">
        <v>195</v>
      </c>
      <c r="T3615">
        <v>135</v>
      </c>
      <c r="U3615">
        <v>29</v>
      </c>
      <c r="V3615" t="s">
        <v>6595</v>
      </c>
      <c r="W3615">
        <v>22054</v>
      </c>
      <c r="X3615" t="s">
        <v>6070</v>
      </c>
      <c r="Y3615">
        <v>19832</v>
      </c>
      <c r="Z3615">
        <v>639566</v>
      </c>
      <c r="AA3615">
        <v>64438</v>
      </c>
      <c r="AB3615" t="str">
        <f>(VLOOKUP(SalesData[[#This Row],[Month Number]],Reference!C$5:E$16,2,FALSE))</f>
        <v>Feb</v>
      </c>
      <c r="AC3615">
        <f>MONTH(SalesData[[#This Row],[Date]])</f>
        <v>2</v>
      </c>
      <c r="AD3615">
        <f>Reference!F$4</f>
        <v>2026</v>
      </c>
      <c r="AE3615" t="str">
        <f>IF(OR(SalesData[[#This Row],[Day]]="Saturday",SalesData[[#This Row],[Day]]="Sunday"),"Weekend","Weekday")</f>
        <v>Weekday</v>
      </c>
      <c r="AF3615" s="5">
        <f>IF(SalesData[[#This Row],[Contracts Offered]]=0,0,SalesData[[#This Row],[Contracts Signed]]/SalesData[[#This Row],[Contracts Offered]])</f>
        <v>0.21481481481481482</v>
      </c>
      <c r="AG3615" s="5">
        <f>IF(SalesData[[#This Row],[Customers Visited]]=0,0,SalesData[[#This Row],[Test Drives]]/SalesData[[#This Row],[Customers Visited]])</f>
        <v>0.52419354838709675</v>
      </c>
      <c r="AH3615" s="5">
        <f>IF(SalesData[[#This Row],[Customers Visited]]=0,0,SalesData[[#This Row],[Contracts Signed]]/SalesData[[#This Row],[Customers Visited]])</f>
        <v>7.7956989247311828E-2</v>
      </c>
      <c r="AI3615" s="6">
        <f>IF(SalesData[[#This Row],[Contracts Signed]]=0,0,SalesData[[#This Row],[Profit(€)]]/SalesData[[#This Row],[Contracts Signed]])</f>
        <v>2222</v>
      </c>
      <c r="AJ3615" s="5" t="str">
        <f>TRIM(CLEAN(SalesData[[#This Row],[Retailer]]))</f>
        <v>Hannover Cars</v>
      </c>
    </row>
    <row r="3616" spans="1:36" ht="14.25" x14ac:dyDescent="0.2">
      <c r="A3616" t="s">
        <v>4823</v>
      </c>
      <c r="B3616" s="1">
        <v>46059</v>
      </c>
      <c r="C3616" t="s">
        <v>24</v>
      </c>
      <c r="D3616" t="s">
        <v>54</v>
      </c>
      <c r="E3616" t="s">
        <v>26</v>
      </c>
      <c r="F3616" t="s">
        <v>114</v>
      </c>
      <c r="G3616" t="s">
        <v>115</v>
      </c>
      <c r="H3616" t="s">
        <v>115</v>
      </c>
      <c r="I3616" t="s">
        <v>30</v>
      </c>
      <c r="J3616" t="s">
        <v>188</v>
      </c>
      <c r="K3616" t="s">
        <v>78</v>
      </c>
      <c r="L3616" t="s">
        <v>33</v>
      </c>
      <c r="M3616" t="s">
        <v>47</v>
      </c>
      <c r="N3616" t="s">
        <v>69</v>
      </c>
      <c r="O3616" t="s">
        <v>36</v>
      </c>
      <c r="P3616" t="s">
        <v>37</v>
      </c>
      <c r="Q3616" t="s">
        <v>189</v>
      </c>
      <c r="R3616">
        <v>151</v>
      </c>
      <c r="S3616">
        <v>76</v>
      </c>
      <c r="T3616">
        <v>61</v>
      </c>
      <c r="U3616">
        <v>20</v>
      </c>
      <c r="V3616" t="s">
        <v>6471</v>
      </c>
      <c r="W3616">
        <v>55888</v>
      </c>
      <c r="X3616" t="s">
        <v>2667</v>
      </c>
      <c r="Y3616">
        <v>42528</v>
      </c>
      <c r="Z3616">
        <v>1117760</v>
      </c>
      <c r="AA3616">
        <v>267200</v>
      </c>
      <c r="AB3616" t="str">
        <f>(VLOOKUP(SalesData[[#This Row],[Month Number]],Reference!C$5:E$16,2,FALSE))</f>
        <v>Feb</v>
      </c>
      <c r="AC3616">
        <f>MONTH(SalesData[[#This Row],[Date]])</f>
        <v>2</v>
      </c>
      <c r="AD3616">
        <f>Reference!F$4</f>
        <v>2026</v>
      </c>
      <c r="AE3616" t="str">
        <f>IF(OR(SalesData[[#This Row],[Day]]="Saturday",SalesData[[#This Row],[Day]]="Sunday"),"Weekend","Weekday")</f>
        <v>Weekday</v>
      </c>
      <c r="AF3616" s="5">
        <f>IF(SalesData[[#This Row],[Contracts Offered]]=0,0,SalesData[[#This Row],[Contracts Signed]]/SalesData[[#This Row],[Contracts Offered]])</f>
        <v>0.32786885245901637</v>
      </c>
      <c r="AG3616" s="5">
        <f>IF(SalesData[[#This Row],[Customers Visited]]=0,0,SalesData[[#This Row],[Test Drives]]/SalesData[[#This Row],[Customers Visited]])</f>
        <v>0.50331125827814571</v>
      </c>
      <c r="AH3616" s="5">
        <f>IF(SalesData[[#This Row],[Customers Visited]]=0,0,SalesData[[#This Row],[Contracts Signed]]/SalesData[[#This Row],[Customers Visited]])</f>
        <v>0.13245033112582782</v>
      </c>
      <c r="AI3616" s="6">
        <f>IF(SalesData[[#This Row],[Contracts Signed]]=0,0,SalesData[[#This Row],[Profit(€)]]/SalesData[[#This Row],[Contracts Signed]])</f>
        <v>13360</v>
      </c>
      <c r="AJ3616" s="5" t="str">
        <f>TRIM(CLEAN(SalesData[[#This Row],[Retailer]]))</f>
        <v>Elbe Drive</v>
      </c>
    </row>
    <row r="3617" spans="1:36" ht="14.25" x14ac:dyDescent="0.2">
      <c r="A3617" t="s">
        <v>4824</v>
      </c>
      <c r="B3617" s="1">
        <v>46060</v>
      </c>
      <c r="C3617" t="s">
        <v>24</v>
      </c>
      <c r="D3617" t="s">
        <v>151</v>
      </c>
      <c r="E3617" t="s">
        <v>42</v>
      </c>
      <c r="F3617" t="s">
        <v>27</v>
      </c>
      <c r="G3617" t="s">
        <v>28</v>
      </c>
      <c r="H3617" t="s">
        <v>29</v>
      </c>
      <c r="I3617" t="s">
        <v>30</v>
      </c>
      <c r="J3617" t="s">
        <v>31</v>
      </c>
      <c r="K3617" t="s">
        <v>78</v>
      </c>
      <c r="L3617" t="s">
        <v>46</v>
      </c>
      <c r="M3617" t="s">
        <v>87</v>
      </c>
      <c r="N3617" t="s">
        <v>48</v>
      </c>
      <c r="O3617" t="s">
        <v>70</v>
      </c>
      <c r="P3617" t="s">
        <v>58</v>
      </c>
      <c r="Q3617" t="s">
        <v>172</v>
      </c>
      <c r="R3617">
        <v>222</v>
      </c>
      <c r="S3617">
        <v>123</v>
      </c>
      <c r="T3617">
        <v>87</v>
      </c>
      <c r="U3617">
        <v>37</v>
      </c>
      <c r="V3617" t="s">
        <v>7492</v>
      </c>
      <c r="W3617">
        <v>62791</v>
      </c>
      <c r="X3617" t="s">
        <v>7150</v>
      </c>
      <c r="Y3617">
        <v>45140</v>
      </c>
      <c r="Z3617">
        <v>2323267</v>
      </c>
      <c r="AA3617">
        <v>653087</v>
      </c>
      <c r="AB3617" t="str">
        <f>(VLOOKUP(SalesData[[#This Row],[Month Number]],Reference!C$5:E$16,2,FALSE))</f>
        <v>Feb</v>
      </c>
      <c r="AC3617">
        <f>MONTH(SalesData[[#This Row],[Date]])</f>
        <v>2</v>
      </c>
      <c r="AD3617">
        <f>Reference!F$4</f>
        <v>2026</v>
      </c>
      <c r="AE3617" t="str">
        <f>IF(OR(SalesData[[#This Row],[Day]]="Saturday",SalesData[[#This Row],[Day]]="Sunday"),"Weekend","Weekday")</f>
        <v>Weekend</v>
      </c>
      <c r="AF3617" s="5">
        <f>IF(SalesData[[#This Row],[Contracts Offered]]=0,0,SalesData[[#This Row],[Contracts Signed]]/SalesData[[#This Row],[Contracts Offered]])</f>
        <v>0.42528735632183906</v>
      </c>
      <c r="AG3617" s="5">
        <f>IF(SalesData[[#This Row],[Customers Visited]]=0,0,SalesData[[#This Row],[Test Drives]]/SalesData[[#This Row],[Customers Visited]])</f>
        <v>0.55405405405405406</v>
      </c>
      <c r="AH3617" s="5">
        <f>IF(SalesData[[#This Row],[Customers Visited]]=0,0,SalesData[[#This Row],[Contracts Signed]]/SalesData[[#This Row],[Customers Visited]])</f>
        <v>0.16666666666666666</v>
      </c>
      <c r="AI3617" s="6">
        <f>IF(SalesData[[#This Row],[Contracts Signed]]=0,0,SalesData[[#This Row],[Profit(€)]]/SalesData[[#This Row],[Contracts Signed]])</f>
        <v>17651</v>
      </c>
      <c r="AJ3617" s="5" t="str">
        <f>TRIM(CLEAN(SalesData[[#This Row],[Retailer]]))</f>
        <v>Main Auto Hub</v>
      </c>
    </row>
    <row r="3618" spans="1:36" ht="14.25" hidden="1" x14ac:dyDescent="0.2">
      <c r="A3618" t="s">
        <v>4825</v>
      </c>
      <c r="B3618" s="1">
        <v>46054</v>
      </c>
      <c r="C3618" t="s">
        <v>24</v>
      </c>
      <c r="D3618" t="s">
        <v>41</v>
      </c>
      <c r="E3618" t="s">
        <v>42</v>
      </c>
      <c r="F3618" t="s">
        <v>74</v>
      </c>
      <c r="G3618" t="s">
        <v>75</v>
      </c>
      <c r="H3618" t="s">
        <v>76</v>
      </c>
      <c r="I3618" t="s">
        <v>56</v>
      </c>
      <c r="J3618" t="s">
        <v>137</v>
      </c>
      <c r="K3618" t="s">
        <v>78</v>
      </c>
      <c r="L3618" t="s">
        <v>46</v>
      </c>
      <c r="M3618" t="s">
        <v>34</v>
      </c>
      <c r="N3618" t="s">
        <v>48</v>
      </c>
      <c r="O3618" t="s">
        <v>70</v>
      </c>
      <c r="P3618" t="s">
        <v>58</v>
      </c>
      <c r="Q3618" t="s">
        <v>59</v>
      </c>
      <c r="R3618">
        <v>211</v>
      </c>
      <c r="S3618">
        <v>105</v>
      </c>
      <c r="T3618">
        <v>72</v>
      </c>
      <c r="U3618">
        <v>24</v>
      </c>
      <c r="V3618" t="s">
        <v>6537</v>
      </c>
      <c r="W3618">
        <v>55767</v>
      </c>
      <c r="X3618" t="s">
        <v>7275</v>
      </c>
      <c r="Y3618">
        <v>45393</v>
      </c>
      <c r="Z3618">
        <v>1338408</v>
      </c>
      <c r="AA3618">
        <v>248976</v>
      </c>
      <c r="AB3618" t="str">
        <f>(VLOOKUP(SalesData[[#This Row],[Month Number]],Reference!C$5:E$16,2,FALSE))</f>
        <v>Feb</v>
      </c>
      <c r="AC3618">
        <f>MONTH(SalesData[[#This Row],[Date]])</f>
        <v>2</v>
      </c>
      <c r="AD3618">
        <f>Reference!F$4</f>
        <v>2026</v>
      </c>
      <c r="AE3618" t="str">
        <f>IF(OR(SalesData[[#This Row],[Day]]="Saturday",SalesData[[#This Row],[Day]]="Sunday"),"Weekend","Weekday")</f>
        <v>Weekend</v>
      </c>
      <c r="AF3618" s="5">
        <f>IF(SalesData[[#This Row],[Contracts Offered]]=0,0,SalesData[[#This Row],[Contracts Signed]]/SalesData[[#This Row],[Contracts Offered]])</f>
        <v>0.33333333333333331</v>
      </c>
      <c r="AG3618" s="5">
        <f>IF(SalesData[[#This Row],[Customers Visited]]=0,0,SalesData[[#This Row],[Test Drives]]/SalesData[[#This Row],[Customers Visited]])</f>
        <v>0.49763033175355448</v>
      </c>
      <c r="AH3618" s="5">
        <f>IF(SalesData[[#This Row],[Customers Visited]]=0,0,SalesData[[#This Row],[Contracts Signed]]/SalesData[[#This Row],[Customers Visited]])</f>
        <v>0.11374407582938388</v>
      </c>
      <c r="AI3618" s="6">
        <f>IF(SalesData[[#This Row],[Contracts Signed]]=0,0,SalesData[[#This Row],[Profit(€)]]/SalesData[[#This Row],[Contracts Signed]])</f>
        <v>10374</v>
      </c>
      <c r="AJ3618" s="5" t="str">
        <f>TRIM(CLEAN(SalesData[[#This Row],[Retailer]]))</f>
        <v>Stuttgart Auto Center</v>
      </c>
    </row>
    <row r="3619" spans="1:36" ht="14.25" x14ac:dyDescent="0.2">
      <c r="A3619" t="s">
        <v>4826</v>
      </c>
      <c r="B3619" s="1">
        <v>46056</v>
      </c>
      <c r="C3619" t="s">
        <v>24</v>
      </c>
      <c r="D3619" t="s">
        <v>63</v>
      </c>
      <c r="E3619" t="s">
        <v>26</v>
      </c>
      <c r="F3619" t="s">
        <v>114</v>
      </c>
      <c r="G3619" t="s">
        <v>115</v>
      </c>
      <c r="H3619" t="s">
        <v>115</v>
      </c>
      <c r="I3619" t="s">
        <v>30</v>
      </c>
      <c r="J3619" t="s">
        <v>188</v>
      </c>
      <c r="K3619" t="s">
        <v>78</v>
      </c>
      <c r="L3619" t="s">
        <v>33</v>
      </c>
      <c r="M3619" t="s">
        <v>68</v>
      </c>
      <c r="N3619" t="s">
        <v>69</v>
      </c>
      <c r="O3619" t="s">
        <v>70</v>
      </c>
      <c r="P3619" t="s">
        <v>49</v>
      </c>
      <c r="Q3619" t="s">
        <v>88</v>
      </c>
      <c r="R3619">
        <v>177</v>
      </c>
      <c r="S3619">
        <v>108</v>
      </c>
      <c r="T3619">
        <v>75</v>
      </c>
      <c r="U3619">
        <v>29</v>
      </c>
      <c r="V3619" t="s">
        <v>6727</v>
      </c>
      <c r="W3619">
        <v>57534</v>
      </c>
      <c r="X3619" t="s">
        <v>7346</v>
      </c>
      <c r="Y3619">
        <v>41363</v>
      </c>
      <c r="Z3619">
        <v>1668486</v>
      </c>
      <c r="AA3619">
        <v>468959</v>
      </c>
      <c r="AB3619" t="str">
        <f>(VLOOKUP(SalesData[[#This Row],[Month Number]],Reference!C$5:E$16,2,FALSE))</f>
        <v>Feb</v>
      </c>
      <c r="AC3619">
        <f>MONTH(SalesData[[#This Row],[Date]])</f>
        <v>2</v>
      </c>
      <c r="AD3619">
        <f>Reference!F$4</f>
        <v>2026</v>
      </c>
      <c r="AE3619" t="str">
        <f>IF(OR(SalesData[[#This Row],[Day]]="Saturday",SalesData[[#This Row],[Day]]="Sunday"),"Weekend","Weekday")</f>
        <v>Weekday</v>
      </c>
      <c r="AF3619" s="5">
        <f>IF(SalesData[[#This Row],[Contracts Offered]]=0,0,SalesData[[#This Row],[Contracts Signed]]/SalesData[[#This Row],[Contracts Offered]])</f>
        <v>0.38666666666666666</v>
      </c>
      <c r="AG3619" s="5">
        <f>IF(SalesData[[#This Row],[Customers Visited]]=0,0,SalesData[[#This Row],[Test Drives]]/SalesData[[#This Row],[Customers Visited]])</f>
        <v>0.61016949152542377</v>
      </c>
      <c r="AH3619" s="5">
        <f>IF(SalesData[[#This Row],[Customers Visited]]=0,0,SalesData[[#This Row],[Contracts Signed]]/SalesData[[#This Row],[Customers Visited]])</f>
        <v>0.16384180790960451</v>
      </c>
      <c r="AI3619" s="6">
        <f>IF(SalesData[[#This Row],[Contracts Signed]]=0,0,SalesData[[#This Row],[Profit(€)]]/SalesData[[#This Row],[Contracts Signed]])</f>
        <v>16171</v>
      </c>
      <c r="AJ3619" s="5" t="str">
        <f>TRIM(CLEAN(SalesData[[#This Row],[Retailer]]))</f>
        <v>Elbe Drive</v>
      </c>
    </row>
    <row r="3620" spans="1:36" ht="14.25" hidden="1" x14ac:dyDescent="0.2">
      <c r="A3620" t="s">
        <v>4827</v>
      </c>
      <c r="B3620" s="1">
        <v>46054</v>
      </c>
      <c r="C3620" t="s">
        <v>24</v>
      </c>
      <c r="D3620" t="s">
        <v>41</v>
      </c>
      <c r="E3620" t="s">
        <v>42</v>
      </c>
      <c r="F3620" t="s">
        <v>27</v>
      </c>
      <c r="G3620" t="s">
        <v>28</v>
      </c>
      <c r="H3620" t="s">
        <v>29</v>
      </c>
      <c r="I3620" t="s">
        <v>56</v>
      </c>
      <c r="J3620" t="s">
        <v>137</v>
      </c>
      <c r="K3620" t="s">
        <v>78</v>
      </c>
      <c r="L3620" t="s">
        <v>46</v>
      </c>
      <c r="M3620" t="s">
        <v>68</v>
      </c>
      <c r="N3620" t="s">
        <v>35</v>
      </c>
      <c r="O3620" t="s">
        <v>36</v>
      </c>
      <c r="P3620" t="s">
        <v>49</v>
      </c>
      <c r="Q3620" t="s">
        <v>79</v>
      </c>
      <c r="R3620">
        <v>181</v>
      </c>
      <c r="S3620">
        <v>94</v>
      </c>
      <c r="T3620">
        <v>68</v>
      </c>
      <c r="U3620">
        <v>20</v>
      </c>
      <c r="V3620" t="s">
        <v>7070</v>
      </c>
      <c r="W3620">
        <v>53439</v>
      </c>
      <c r="X3620" t="s">
        <v>7494</v>
      </c>
      <c r="Y3620">
        <v>43797</v>
      </c>
      <c r="Z3620">
        <v>1068780</v>
      </c>
      <c r="AA3620">
        <v>192840</v>
      </c>
      <c r="AB3620" t="str">
        <f>(VLOOKUP(SalesData[[#This Row],[Month Number]],Reference!C$5:E$16,2,FALSE))</f>
        <v>Feb</v>
      </c>
      <c r="AC3620">
        <f>MONTH(SalesData[[#This Row],[Date]])</f>
        <v>2</v>
      </c>
      <c r="AD3620">
        <f>Reference!F$4</f>
        <v>2026</v>
      </c>
      <c r="AE3620" t="str">
        <f>IF(OR(SalesData[[#This Row],[Day]]="Saturday",SalesData[[#This Row],[Day]]="Sunday"),"Weekend","Weekday")</f>
        <v>Weekend</v>
      </c>
      <c r="AF3620" s="5">
        <f>IF(SalesData[[#This Row],[Contracts Offered]]=0,0,SalesData[[#This Row],[Contracts Signed]]/SalesData[[#This Row],[Contracts Offered]])</f>
        <v>0.29411764705882354</v>
      </c>
      <c r="AG3620" s="5">
        <f>IF(SalesData[[#This Row],[Customers Visited]]=0,0,SalesData[[#This Row],[Test Drives]]/SalesData[[#This Row],[Customers Visited]])</f>
        <v>0.51933701657458564</v>
      </c>
      <c r="AH3620" s="5">
        <f>IF(SalesData[[#This Row],[Customers Visited]]=0,0,SalesData[[#This Row],[Contracts Signed]]/SalesData[[#This Row],[Customers Visited]])</f>
        <v>0.11049723756906077</v>
      </c>
      <c r="AI3620" s="6">
        <f>IF(SalesData[[#This Row],[Contracts Signed]]=0,0,SalesData[[#This Row],[Profit(€)]]/SalesData[[#This Row],[Contracts Signed]])</f>
        <v>9642</v>
      </c>
      <c r="AJ3620" s="5" t="str">
        <f>TRIM(CLEAN(SalesData[[#This Row],[Retailer]]))</f>
        <v>Main Auto Hub</v>
      </c>
    </row>
    <row r="3621" spans="1:36" ht="14.25" hidden="1" x14ac:dyDescent="0.2">
      <c r="A3621" t="s">
        <v>4829</v>
      </c>
      <c r="B3621" s="1">
        <v>46067</v>
      </c>
      <c r="C3621" t="s">
        <v>121</v>
      </c>
      <c r="D3621" t="s">
        <v>151</v>
      </c>
      <c r="E3621" t="s">
        <v>42</v>
      </c>
      <c r="F3621" t="s">
        <v>109</v>
      </c>
      <c r="G3621" t="s">
        <v>110</v>
      </c>
      <c r="H3621" t="s">
        <v>45</v>
      </c>
      <c r="I3621" t="s">
        <v>64</v>
      </c>
      <c r="J3621" t="s">
        <v>7029</v>
      </c>
      <c r="K3621" t="s">
        <v>78</v>
      </c>
      <c r="L3621" t="s">
        <v>33</v>
      </c>
      <c r="M3621" t="s">
        <v>68</v>
      </c>
      <c r="N3621" t="s">
        <v>35</v>
      </c>
      <c r="O3621" t="s">
        <v>70</v>
      </c>
      <c r="P3621" t="s">
        <v>49</v>
      </c>
      <c r="Q3621" t="s">
        <v>79</v>
      </c>
      <c r="R3621">
        <v>273</v>
      </c>
      <c r="S3621">
        <v>159</v>
      </c>
      <c r="T3621">
        <v>126</v>
      </c>
      <c r="U3621">
        <v>35</v>
      </c>
      <c r="V3621" t="s">
        <v>6641</v>
      </c>
      <c r="W3621">
        <v>58535</v>
      </c>
      <c r="X3621" t="s">
        <v>589</v>
      </c>
      <c r="Y3621">
        <v>43121</v>
      </c>
      <c r="Z3621">
        <v>2048725</v>
      </c>
      <c r="AA3621">
        <v>539490</v>
      </c>
      <c r="AB3621" t="str">
        <f>(VLOOKUP(SalesData[[#This Row],[Month Number]],Reference!C$5:E$16,2,FALSE))</f>
        <v>Feb</v>
      </c>
      <c r="AC3621">
        <f>MONTH(SalesData[[#This Row],[Date]])</f>
        <v>2</v>
      </c>
      <c r="AD3621">
        <f>Reference!F$4</f>
        <v>2026</v>
      </c>
      <c r="AE3621" t="str">
        <f>IF(OR(SalesData[[#This Row],[Day]]="Saturday",SalesData[[#This Row],[Day]]="Sunday"),"Weekend","Weekday")</f>
        <v>Weekend</v>
      </c>
      <c r="AF3621" s="5">
        <f>IF(SalesData[[#This Row],[Contracts Offered]]=0,0,SalesData[[#This Row],[Contracts Signed]]/SalesData[[#This Row],[Contracts Offered]])</f>
        <v>0.27777777777777779</v>
      </c>
      <c r="AG3621" s="5">
        <f>IF(SalesData[[#This Row],[Customers Visited]]=0,0,SalesData[[#This Row],[Test Drives]]/SalesData[[#This Row],[Customers Visited]])</f>
        <v>0.58241758241758246</v>
      </c>
      <c r="AH3621" s="5">
        <f>IF(SalesData[[#This Row],[Customers Visited]]=0,0,SalesData[[#This Row],[Contracts Signed]]/SalesData[[#This Row],[Customers Visited]])</f>
        <v>0.12820512820512819</v>
      </c>
      <c r="AI3621" s="6">
        <f>IF(SalesData[[#This Row],[Contracts Signed]]=0,0,SalesData[[#This Row],[Profit(€)]]/SalesData[[#This Row],[Contracts Signed]])</f>
        <v>15414</v>
      </c>
      <c r="AJ3621" s="5" t="str">
        <f>TRIM(CLEAN(SalesData[[#This Row],[Retailer]]))</f>
        <v>Leipzig Mobility</v>
      </c>
    </row>
    <row r="3622" spans="1:36" ht="14.25" x14ac:dyDescent="0.2">
      <c r="A3622" t="s">
        <v>4830</v>
      </c>
      <c r="B3622" s="1">
        <v>46068</v>
      </c>
      <c r="C3622" t="s">
        <v>62</v>
      </c>
      <c r="D3622" t="s">
        <v>41</v>
      </c>
      <c r="E3622" t="s">
        <v>42</v>
      </c>
      <c r="F3622" t="s">
        <v>43</v>
      </c>
      <c r="G3622" t="s">
        <v>44</v>
      </c>
      <c r="H3622" t="s">
        <v>45</v>
      </c>
      <c r="I3622" t="s">
        <v>30</v>
      </c>
      <c r="J3622" t="s">
        <v>166</v>
      </c>
      <c r="K3622" t="s">
        <v>78</v>
      </c>
      <c r="L3622" t="s">
        <v>46</v>
      </c>
      <c r="M3622" t="s">
        <v>47</v>
      </c>
      <c r="N3622" t="s">
        <v>69</v>
      </c>
      <c r="O3622" t="s">
        <v>70</v>
      </c>
      <c r="P3622" t="s">
        <v>71</v>
      </c>
      <c r="Q3622" t="s">
        <v>59</v>
      </c>
      <c r="R3622">
        <v>190</v>
      </c>
      <c r="S3622">
        <v>90</v>
      </c>
      <c r="T3622">
        <v>65</v>
      </c>
      <c r="U3622">
        <v>23</v>
      </c>
      <c r="V3622" t="s">
        <v>6344</v>
      </c>
      <c r="W3622">
        <v>63751</v>
      </c>
      <c r="X3622" t="s">
        <v>7195</v>
      </c>
      <c r="Y3622">
        <v>47584</v>
      </c>
      <c r="Z3622">
        <v>1466273</v>
      </c>
      <c r="AA3622">
        <v>371841</v>
      </c>
      <c r="AB3622" t="str">
        <f>(VLOOKUP(SalesData[[#This Row],[Month Number]],Reference!C$5:E$16,2,FALSE))</f>
        <v>Feb</v>
      </c>
      <c r="AC3622">
        <f>MONTH(SalesData[[#This Row],[Date]])</f>
        <v>2</v>
      </c>
      <c r="AD3622">
        <f>Reference!F$4</f>
        <v>2026</v>
      </c>
      <c r="AE3622" t="str">
        <f>IF(OR(SalesData[[#This Row],[Day]]="Saturday",SalesData[[#This Row],[Day]]="Sunday"),"Weekend","Weekday")</f>
        <v>Weekend</v>
      </c>
      <c r="AF3622" s="5">
        <f>IF(SalesData[[#This Row],[Contracts Offered]]=0,0,SalesData[[#This Row],[Contracts Signed]]/SalesData[[#This Row],[Contracts Offered]])</f>
        <v>0.35384615384615387</v>
      </c>
      <c r="AG3622" s="5">
        <f>IF(SalesData[[#This Row],[Customers Visited]]=0,0,SalesData[[#This Row],[Test Drives]]/SalesData[[#This Row],[Customers Visited]])</f>
        <v>0.47368421052631576</v>
      </c>
      <c r="AH3622" s="5">
        <f>IF(SalesData[[#This Row],[Customers Visited]]=0,0,SalesData[[#This Row],[Contracts Signed]]/SalesData[[#This Row],[Customers Visited]])</f>
        <v>0.12105263157894737</v>
      </c>
      <c r="AI3622" s="6">
        <f>IF(SalesData[[#This Row],[Contracts Signed]]=0,0,SalesData[[#This Row],[Profit(€)]]/SalesData[[#This Row],[Contracts Signed]])</f>
        <v>16167</v>
      </c>
      <c r="AJ3622" s="5" t="str">
        <f>TRIM(CLEAN(SalesData[[#This Row],[Retailer]]))</f>
        <v>Saxon Wheels</v>
      </c>
    </row>
    <row r="3623" spans="1:36" ht="14.25" hidden="1" x14ac:dyDescent="0.2">
      <c r="A3623" t="s">
        <v>4832</v>
      </c>
      <c r="B3623" s="1">
        <v>46054</v>
      </c>
      <c r="C3623" t="s">
        <v>24</v>
      </c>
      <c r="D3623" t="s">
        <v>41</v>
      </c>
      <c r="E3623" t="s">
        <v>42</v>
      </c>
      <c r="F3623" t="s">
        <v>27</v>
      </c>
      <c r="G3623" t="s">
        <v>28</v>
      </c>
      <c r="H3623" t="s">
        <v>29</v>
      </c>
      <c r="I3623" t="s">
        <v>104</v>
      </c>
      <c r="J3623" t="s">
        <v>143</v>
      </c>
      <c r="K3623" t="s">
        <v>91</v>
      </c>
      <c r="L3623" t="s">
        <v>67</v>
      </c>
      <c r="M3623" t="s">
        <v>34</v>
      </c>
      <c r="N3623" t="s">
        <v>69</v>
      </c>
      <c r="O3623" t="s">
        <v>70</v>
      </c>
      <c r="P3623" t="s">
        <v>37</v>
      </c>
      <c r="Q3623" t="s">
        <v>122</v>
      </c>
      <c r="R3623">
        <v>399</v>
      </c>
      <c r="S3623">
        <v>205</v>
      </c>
      <c r="T3623">
        <v>121</v>
      </c>
      <c r="U3623">
        <v>29</v>
      </c>
      <c r="V3623" t="s">
        <v>3362</v>
      </c>
      <c r="W3623">
        <v>25247</v>
      </c>
      <c r="X3623" t="s">
        <v>155</v>
      </c>
      <c r="Y3623">
        <v>22643</v>
      </c>
      <c r="Z3623">
        <v>732163</v>
      </c>
      <c r="AA3623">
        <v>75516</v>
      </c>
      <c r="AB3623" t="str">
        <f>(VLOOKUP(SalesData[[#This Row],[Month Number]],Reference!C$5:E$16,2,FALSE))</f>
        <v>Feb</v>
      </c>
      <c r="AC3623">
        <f>MONTH(SalesData[[#This Row],[Date]])</f>
        <v>2</v>
      </c>
      <c r="AD3623">
        <f>Reference!F$4</f>
        <v>2026</v>
      </c>
      <c r="AE3623" t="str">
        <f>IF(OR(SalesData[[#This Row],[Day]]="Saturday",SalesData[[#This Row],[Day]]="Sunday"),"Weekend","Weekday")</f>
        <v>Weekend</v>
      </c>
      <c r="AF3623" s="5">
        <f>IF(SalesData[[#This Row],[Contracts Offered]]=0,0,SalesData[[#This Row],[Contracts Signed]]/SalesData[[#This Row],[Contracts Offered]])</f>
        <v>0.23966942148760331</v>
      </c>
      <c r="AG3623" s="5">
        <f>IF(SalesData[[#This Row],[Customers Visited]]=0,0,SalesData[[#This Row],[Test Drives]]/SalesData[[#This Row],[Customers Visited]])</f>
        <v>0.51378446115288223</v>
      </c>
      <c r="AH3623" s="5">
        <f>IF(SalesData[[#This Row],[Customers Visited]]=0,0,SalesData[[#This Row],[Contracts Signed]]/SalesData[[#This Row],[Customers Visited]])</f>
        <v>7.2681704260651625E-2</v>
      </c>
      <c r="AI3623" s="6">
        <f>IF(SalesData[[#This Row],[Contracts Signed]]=0,0,SalesData[[#This Row],[Profit(€)]]/SalesData[[#This Row],[Contracts Signed]])</f>
        <v>2604</v>
      </c>
      <c r="AJ3623" s="5" t="str">
        <f>TRIM(CLEAN(SalesData[[#This Row],[Retailer]]))</f>
        <v>Main Auto Hub</v>
      </c>
    </row>
    <row r="3624" spans="1:36" ht="14.25" x14ac:dyDescent="0.2">
      <c r="A3624" t="s">
        <v>4833</v>
      </c>
      <c r="B3624" s="1">
        <v>46078</v>
      </c>
      <c r="C3624" t="s">
        <v>53</v>
      </c>
      <c r="D3624" t="s">
        <v>82</v>
      </c>
      <c r="E3624" t="s">
        <v>26</v>
      </c>
      <c r="F3624" t="s">
        <v>114</v>
      </c>
      <c r="G3624" t="s">
        <v>115</v>
      </c>
      <c r="H3624" t="s">
        <v>115</v>
      </c>
      <c r="I3624" t="s">
        <v>30</v>
      </c>
      <c r="J3624" t="s">
        <v>31</v>
      </c>
      <c r="K3624" t="s">
        <v>91</v>
      </c>
      <c r="L3624" t="s">
        <v>46</v>
      </c>
      <c r="M3624" t="s">
        <v>34</v>
      </c>
      <c r="N3624" t="s">
        <v>69</v>
      </c>
      <c r="O3624" t="s">
        <v>70</v>
      </c>
      <c r="P3624" t="s">
        <v>49</v>
      </c>
      <c r="Q3624" t="s">
        <v>169</v>
      </c>
      <c r="R3624">
        <v>202</v>
      </c>
      <c r="S3624">
        <v>94</v>
      </c>
      <c r="T3624">
        <v>73</v>
      </c>
      <c r="U3624">
        <v>23</v>
      </c>
      <c r="V3624" t="s">
        <v>7606</v>
      </c>
      <c r="W3624">
        <v>57379</v>
      </c>
      <c r="X3624" t="s">
        <v>7232</v>
      </c>
      <c r="Y3624">
        <v>42700</v>
      </c>
      <c r="Z3624">
        <v>1319717</v>
      </c>
      <c r="AA3624">
        <v>337617</v>
      </c>
      <c r="AB3624" t="str">
        <f>(VLOOKUP(SalesData[[#This Row],[Month Number]],Reference!C$5:E$16,2,FALSE))</f>
        <v>Feb</v>
      </c>
      <c r="AC3624">
        <f>MONTH(SalesData[[#This Row],[Date]])</f>
        <v>2</v>
      </c>
      <c r="AD3624">
        <f>Reference!F$4</f>
        <v>2026</v>
      </c>
      <c r="AE3624" t="str">
        <f>IF(OR(SalesData[[#This Row],[Day]]="Saturday",SalesData[[#This Row],[Day]]="Sunday"),"Weekend","Weekday")</f>
        <v>Weekday</v>
      </c>
      <c r="AF3624" s="5">
        <f>IF(SalesData[[#This Row],[Contracts Offered]]=0,0,SalesData[[#This Row],[Contracts Signed]]/SalesData[[#This Row],[Contracts Offered]])</f>
        <v>0.31506849315068491</v>
      </c>
      <c r="AG3624" s="5">
        <f>IF(SalesData[[#This Row],[Customers Visited]]=0,0,SalesData[[#This Row],[Test Drives]]/SalesData[[#This Row],[Customers Visited]])</f>
        <v>0.46534653465346537</v>
      </c>
      <c r="AH3624" s="5">
        <f>IF(SalesData[[#This Row],[Customers Visited]]=0,0,SalesData[[#This Row],[Contracts Signed]]/SalesData[[#This Row],[Customers Visited]])</f>
        <v>0.11386138613861387</v>
      </c>
      <c r="AI3624" s="6">
        <f>IF(SalesData[[#This Row],[Contracts Signed]]=0,0,SalesData[[#This Row],[Profit(€)]]/SalesData[[#This Row],[Contracts Signed]])</f>
        <v>14679</v>
      </c>
      <c r="AJ3624" s="5" t="str">
        <f>TRIM(CLEAN(SalesData[[#This Row],[Retailer]]))</f>
        <v>Elbe Drive</v>
      </c>
    </row>
    <row r="3625" spans="1:36" ht="14.25" hidden="1" x14ac:dyDescent="0.2">
      <c r="A3625" t="s">
        <v>4834</v>
      </c>
      <c r="B3625" s="1">
        <v>46079</v>
      </c>
      <c r="C3625" t="s">
        <v>53</v>
      </c>
      <c r="D3625" t="s">
        <v>100</v>
      </c>
      <c r="E3625" t="s">
        <v>26</v>
      </c>
      <c r="F3625" t="s">
        <v>43</v>
      </c>
      <c r="G3625" t="s">
        <v>44</v>
      </c>
      <c r="H3625" t="s">
        <v>45</v>
      </c>
      <c r="I3625" t="s">
        <v>116</v>
      </c>
      <c r="J3625" t="s">
        <v>203</v>
      </c>
      <c r="K3625" t="s">
        <v>91</v>
      </c>
      <c r="L3625" t="s">
        <v>67</v>
      </c>
      <c r="M3625" t="s">
        <v>47</v>
      </c>
      <c r="N3625" t="s">
        <v>48</v>
      </c>
      <c r="O3625" t="s">
        <v>36</v>
      </c>
      <c r="P3625" t="s">
        <v>58</v>
      </c>
      <c r="Q3625" t="s">
        <v>144</v>
      </c>
      <c r="R3625">
        <v>399</v>
      </c>
      <c r="S3625">
        <v>203</v>
      </c>
      <c r="T3625">
        <v>139</v>
      </c>
      <c r="U3625">
        <v>37</v>
      </c>
      <c r="V3625" t="s">
        <v>1158</v>
      </c>
      <c r="W3625">
        <v>22594</v>
      </c>
      <c r="X3625" t="s">
        <v>2708</v>
      </c>
      <c r="Y3625">
        <v>20433</v>
      </c>
      <c r="Z3625">
        <v>835978</v>
      </c>
      <c r="AA3625">
        <v>79957</v>
      </c>
      <c r="AB3625" t="str">
        <f>(VLOOKUP(SalesData[[#This Row],[Month Number]],Reference!C$5:E$16,2,FALSE))</f>
        <v>Feb</v>
      </c>
      <c r="AC3625">
        <f>MONTH(SalesData[[#This Row],[Date]])</f>
        <v>2</v>
      </c>
      <c r="AD3625">
        <f>Reference!F$4</f>
        <v>2026</v>
      </c>
      <c r="AE3625" t="str">
        <f>IF(OR(SalesData[[#This Row],[Day]]="Saturday",SalesData[[#This Row],[Day]]="Sunday"),"Weekend","Weekday")</f>
        <v>Weekday</v>
      </c>
      <c r="AF3625" s="5">
        <f>IF(SalesData[[#This Row],[Contracts Offered]]=0,0,SalesData[[#This Row],[Contracts Signed]]/SalesData[[#This Row],[Contracts Offered]])</f>
        <v>0.26618705035971224</v>
      </c>
      <c r="AG3625" s="5">
        <f>IF(SalesData[[#This Row],[Customers Visited]]=0,0,SalesData[[#This Row],[Test Drives]]/SalesData[[#This Row],[Customers Visited]])</f>
        <v>0.50877192982456143</v>
      </c>
      <c r="AH3625" s="5">
        <f>IF(SalesData[[#This Row],[Customers Visited]]=0,0,SalesData[[#This Row],[Contracts Signed]]/SalesData[[#This Row],[Customers Visited]])</f>
        <v>9.2731829573934832E-2</v>
      </c>
      <c r="AI3625" s="6">
        <f>IF(SalesData[[#This Row],[Contracts Signed]]=0,0,SalesData[[#This Row],[Profit(€)]]/SalesData[[#This Row],[Contracts Signed]])</f>
        <v>2161</v>
      </c>
      <c r="AJ3625" s="5" t="str">
        <f>TRIM(CLEAN(SalesData[[#This Row],[Retailer]]))</f>
        <v>Saxon Wheels</v>
      </c>
    </row>
    <row r="3626" spans="1:36" ht="14.25" x14ac:dyDescent="0.2">
      <c r="A3626" t="s">
        <v>4835</v>
      </c>
      <c r="B3626" s="1">
        <v>46070</v>
      </c>
      <c r="C3626" t="s">
        <v>62</v>
      </c>
      <c r="D3626" t="s">
        <v>63</v>
      </c>
      <c r="E3626" t="s">
        <v>26</v>
      </c>
      <c r="F3626" t="s">
        <v>101</v>
      </c>
      <c r="G3626" t="s">
        <v>102</v>
      </c>
      <c r="H3626" t="s">
        <v>103</v>
      </c>
      <c r="I3626" t="s">
        <v>30</v>
      </c>
      <c r="J3626" t="s">
        <v>166</v>
      </c>
      <c r="K3626" t="s">
        <v>32</v>
      </c>
      <c r="L3626" t="s">
        <v>46</v>
      </c>
      <c r="M3626" t="s">
        <v>34</v>
      </c>
      <c r="N3626" t="s">
        <v>35</v>
      </c>
      <c r="O3626" t="s">
        <v>36</v>
      </c>
      <c r="P3626" t="s">
        <v>37</v>
      </c>
      <c r="Q3626" t="s">
        <v>122</v>
      </c>
      <c r="R3626">
        <v>192</v>
      </c>
      <c r="S3626">
        <v>108</v>
      </c>
      <c r="T3626">
        <v>79</v>
      </c>
      <c r="U3626">
        <v>26</v>
      </c>
      <c r="V3626" t="s">
        <v>6497</v>
      </c>
      <c r="W3626">
        <v>53995</v>
      </c>
      <c r="X3626" t="s">
        <v>7410</v>
      </c>
      <c r="Y3626">
        <v>38302</v>
      </c>
      <c r="Z3626">
        <v>1403870</v>
      </c>
      <c r="AA3626">
        <v>408018</v>
      </c>
      <c r="AB3626" t="str">
        <f>(VLOOKUP(SalesData[[#This Row],[Month Number]],Reference!C$5:E$16,2,FALSE))</f>
        <v>Feb</v>
      </c>
      <c r="AC3626">
        <f>MONTH(SalesData[[#This Row],[Date]])</f>
        <v>2</v>
      </c>
      <c r="AD3626">
        <f>Reference!F$4</f>
        <v>2026</v>
      </c>
      <c r="AE3626" t="str">
        <f>IF(OR(SalesData[[#This Row],[Day]]="Saturday",SalesData[[#This Row],[Day]]="Sunday"),"Weekend","Weekday")</f>
        <v>Weekday</v>
      </c>
      <c r="AF3626" s="5">
        <f>IF(SalesData[[#This Row],[Contracts Offered]]=0,0,SalesData[[#This Row],[Contracts Signed]]/SalesData[[#This Row],[Contracts Offered]])</f>
        <v>0.32911392405063289</v>
      </c>
      <c r="AG3626" s="5">
        <f>IF(SalesData[[#This Row],[Customers Visited]]=0,0,SalesData[[#This Row],[Test Drives]]/SalesData[[#This Row],[Customers Visited]])</f>
        <v>0.5625</v>
      </c>
      <c r="AH3626" s="5">
        <f>IF(SalesData[[#This Row],[Customers Visited]]=0,0,SalesData[[#This Row],[Contracts Signed]]/SalesData[[#This Row],[Customers Visited]])</f>
        <v>0.13541666666666666</v>
      </c>
      <c r="AI3626" s="6">
        <f>IF(SalesData[[#This Row],[Contracts Signed]]=0,0,SalesData[[#This Row],[Profit(€)]]/SalesData[[#This Row],[Contracts Signed]])</f>
        <v>15693</v>
      </c>
      <c r="AJ3626" s="5" t="str">
        <f>TRIM(CLEAN(SalesData[[#This Row],[Retailer]]))</f>
        <v>Ruhr Auto Plaza</v>
      </c>
    </row>
    <row r="3627" spans="1:36" ht="14.25" x14ac:dyDescent="0.2">
      <c r="A3627" t="s">
        <v>4836</v>
      </c>
      <c r="B3627" s="1">
        <v>46067</v>
      </c>
      <c r="C3627" t="s">
        <v>121</v>
      </c>
      <c r="D3627" t="s">
        <v>151</v>
      </c>
      <c r="E3627" t="s">
        <v>42</v>
      </c>
      <c r="F3627" t="s">
        <v>83</v>
      </c>
      <c r="G3627" t="s">
        <v>84</v>
      </c>
      <c r="H3627" t="s">
        <v>85</v>
      </c>
      <c r="I3627" t="s">
        <v>30</v>
      </c>
      <c r="J3627" t="s">
        <v>166</v>
      </c>
      <c r="K3627" t="s">
        <v>66</v>
      </c>
      <c r="L3627" t="s">
        <v>46</v>
      </c>
      <c r="M3627" t="s">
        <v>87</v>
      </c>
      <c r="N3627" t="s">
        <v>69</v>
      </c>
      <c r="O3627" t="s">
        <v>36</v>
      </c>
      <c r="P3627" t="s">
        <v>71</v>
      </c>
      <c r="Q3627" t="s">
        <v>158</v>
      </c>
      <c r="R3627">
        <v>223</v>
      </c>
      <c r="S3627">
        <v>137</v>
      </c>
      <c r="T3627">
        <v>109</v>
      </c>
      <c r="U3627">
        <v>37</v>
      </c>
      <c r="V3627" t="s">
        <v>7003</v>
      </c>
      <c r="W3627">
        <v>63400</v>
      </c>
      <c r="X3627" t="s">
        <v>7299</v>
      </c>
      <c r="Y3627">
        <v>48832</v>
      </c>
      <c r="Z3627">
        <v>2345800</v>
      </c>
      <c r="AA3627">
        <v>539016</v>
      </c>
      <c r="AB3627" t="str">
        <f>(VLOOKUP(SalesData[[#This Row],[Month Number]],Reference!C$5:E$16,2,FALSE))</f>
        <v>Feb</v>
      </c>
      <c r="AC3627">
        <f>MONTH(SalesData[[#This Row],[Date]])</f>
        <v>2</v>
      </c>
      <c r="AD3627">
        <f>Reference!F$4</f>
        <v>2026</v>
      </c>
      <c r="AE3627" t="str">
        <f>IF(OR(SalesData[[#This Row],[Day]]="Saturday",SalesData[[#This Row],[Day]]="Sunday"),"Weekend","Weekday")</f>
        <v>Weekend</v>
      </c>
      <c r="AF3627" s="5">
        <f>IF(SalesData[[#This Row],[Contracts Offered]]=0,0,SalesData[[#This Row],[Contracts Signed]]/SalesData[[#This Row],[Contracts Offered]])</f>
        <v>0.33944954128440369</v>
      </c>
      <c r="AG3627" s="5">
        <f>IF(SalesData[[#This Row],[Customers Visited]]=0,0,SalesData[[#This Row],[Test Drives]]/SalesData[[#This Row],[Customers Visited]])</f>
        <v>0.61434977578475336</v>
      </c>
      <c r="AH3627" s="5">
        <f>IF(SalesData[[#This Row],[Customers Visited]]=0,0,SalesData[[#This Row],[Contracts Signed]]/SalesData[[#This Row],[Customers Visited]])</f>
        <v>0.16591928251121077</v>
      </c>
      <c r="AI3627" s="6">
        <f>IF(SalesData[[#This Row],[Contracts Signed]]=0,0,SalesData[[#This Row],[Profit(€)]]/SalesData[[#This Row],[Contracts Signed]])</f>
        <v>14568</v>
      </c>
      <c r="AJ3627" s="5" t="str">
        <f>TRIM(CLEAN(SalesData[[#This Row],[Retailer]]))</f>
        <v>Hannover Cars</v>
      </c>
    </row>
    <row r="3628" spans="1:36" ht="14.25" hidden="1" x14ac:dyDescent="0.2">
      <c r="A3628" t="s">
        <v>4837</v>
      </c>
      <c r="B3628" s="1">
        <v>46054</v>
      </c>
      <c r="C3628" t="s">
        <v>24</v>
      </c>
      <c r="D3628" t="s">
        <v>41</v>
      </c>
      <c r="E3628" t="s">
        <v>42</v>
      </c>
      <c r="F3628" t="s">
        <v>94</v>
      </c>
      <c r="G3628" t="s">
        <v>95</v>
      </c>
      <c r="H3628" t="s">
        <v>96</v>
      </c>
      <c r="I3628" t="s">
        <v>104</v>
      </c>
      <c r="J3628" t="s">
        <v>143</v>
      </c>
      <c r="K3628" t="s">
        <v>66</v>
      </c>
      <c r="L3628" t="s">
        <v>67</v>
      </c>
      <c r="M3628" t="s">
        <v>34</v>
      </c>
      <c r="N3628" t="s">
        <v>35</v>
      </c>
      <c r="O3628" t="s">
        <v>70</v>
      </c>
      <c r="P3628" t="s">
        <v>37</v>
      </c>
      <c r="Q3628" t="s">
        <v>88</v>
      </c>
      <c r="R3628">
        <v>507</v>
      </c>
      <c r="S3628">
        <v>227</v>
      </c>
      <c r="T3628">
        <v>136</v>
      </c>
      <c r="U3628">
        <v>34</v>
      </c>
      <c r="V3628" t="s">
        <v>3302</v>
      </c>
      <c r="W3628">
        <v>27888</v>
      </c>
      <c r="X3628" t="s">
        <v>4313</v>
      </c>
      <c r="Y3628">
        <v>24599</v>
      </c>
      <c r="Z3628">
        <v>948192</v>
      </c>
      <c r="AA3628">
        <v>111826</v>
      </c>
      <c r="AB3628" t="str">
        <f>(VLOOKUP(SalesData[[#This Row],[Month Number]],Reference!C$5:E$16,2,FALSE))</f>
        <v>Feb</v>
      </c>
      <c r="AC3628">
        <f>MONTH(SalesData[[#This Row],[Date]])</f>
        <v>2</v>
      </c>
      <c r="AD3628">
        <f>Reference!F$4</f>
        <v>2026</v>
      </c>
      <c r="AE3628" t="str">
        <f>IF(OR(SalesData[[#This Row],[Day]]="Saturday",SalesData[[#This Row],[Day]]="Sunday"),"Weekend","Weekday")</f>
        <v>Weekend</v>
      </c>
      <c r="AF3628" s="5">
        <f>IF(SalesData[[#This Row],[Contracts Offered]]=0,0,SalesData[[#This Row],[Contracts Signed]]/SalesData[[#This Row],[Contracts Offered]])</f>
        <v>0.25</v>
      </c>
      <c r="AG3628" s="5">
        <f>IF(SalesData[[#This Row],[Customers Visited]]=0,0,SalesData[[#This Row],[Test Drives]]/SalesData[[#This Row],[Customers Visited]])</f>
        <v>0.44773175542406313</v>
      </c>
      <c r="AH3628" s="5">
        <f>IF(SalesData[[#This Row],[Customers Visited]]=0,0,SalesData[[#This Row],[Contracts Signed]]/SalesData[[#This Row],[Customers Visited]])</f>
        <v>6.7061143984220903E-2</v>
      </c>
      <c r="AI3628" s="6">
        <f>IF(SalesData[[#This Row],[Contracts Signed]]=0,0,SalesData[[#This Row],[Profit(€)]]/SalesData[[#This Row],[Contracts Signed]])</f>
        <v>3289</v>
      </c>
      <c r="AJ3628" s="5" t="str">
        <f>TRIM(CLEAN(SalesData[[#This Row],[Retailer]]))</f>
        <v>Bavaria Motors</v>
      </c>
    </row>
    <row r="3629" spans="1:36" ht="14.25" hidden="1" x14ac:dyDescent="0.2">
      <c r="A3629" t="s">
        <v>4838</v>
      </c>
      <c r="B3629" s="1">
        <v>46079</v>
      </c>
      <c r="C3629" t="s">
        <v>53</v>
      </c>
      <c r="D3629" t="s">
        <v>100</v>
      </c>
      <c r="E3629" t="s">
        <v>26</v>
      </c>
      <c r="F3629" t="s">
        <v>127</v>
      </c>
      <c r="G3629" t="s">
        <v>128</v>
      </c>
      <c r="H3629" t="s">
        <v>103</v>
      </c>
      <c r="I3629" t="s">
        <v>56</v>
      </c>
      <c r="J3629" t="s">
        <v>179</v>
      </c>
      <c r="K3629" t="s">
        <v>32</v>
      </c>
      <c r="L3629" t="s">
        <v>67</v>
      </c>
      <c r="M3629" t="s">
        <v>34</v>
      </c>
      <c r="N3629" t="s">
        <v>35</v>
      </c>
      <c r="O3629" t="s">
        <v>36</v>
      </c>
      <c r="P3629" t="s">
        <v>49</v>
      </c>
      <c r="Q3629" t="s">
        <v>158</v>
      </c>
      <c r="R3629">
        <v>287</v>
      </c>
      <c r="S3629">
        <v>159</v>
      </c>
      <c r="T3629">
        <v>113</v>
      </c>
      <c r="U3629">
        <v>32</v>
      </c>
      <c r="V3629" t="s">
        <v>6488</v>
      </c>
      <c r="W3629">
        <v>48847</v>
      </c>
      <c r="X3629" t="s">
        <v>2541</v>
      </c>
      <c r="Y3629">
        <v>38959</v>
      </c>
      <c r="Z3629">
        <v>1563104</v>
      </c>
      <c r="AA3629">
        <v>316416</v>
      </c>
      <c r="AB3629" t="str">
        <f>(VLOOKUP(SalesData[[#This Row],[Month Number]],Reference!C$5:E$16,2,FALSE))</f>
        <v>Feb</v>
      </c>
      <c r="AC3629">
        <f>MONTH(SalesData[[#This Row],[Date]])</f>
        <v>2</v>
      </c>
      <c r="AD3629">
        <f>Reference!F$4</f>
        <v>2026</v>
      </c>
      <c r="AE3629" t="str">
        <f>IF(OR(SalesData[[#This Row],[Day]]="Saturday",SalesData[[#This Row],[Day]]="Sunday"),"Weekend","Weekday")</f>
        <v>Weekday</v>
      </c>
      <c r="AF3629" s="5">
        <f>IF(SalesData[[#This Row],[Contracts Offered]]=0,0,SalesData[[#This Row],[Contracts Signed]]/SalesData[[#This Row],[Contracts Offered]])</f>
        <v>0.2831858407079646</v>
      </c>
      <c r="AG3629" s="5">
        <f>IF(SalesData[[#This Row],[Customers Visited]]=0,0,SalesData[[#This Row],[Test Drives]]/SalesData[[#This Row],[Customers Visited]])</f>
        <v>0.55400696864111498</v>
      </c>
      <c r="AH3629" s="5">
        <f>IF(SalesData[[#This Row],[Customers Visited]]=0,0,SalesData[[#This Row],[Contracts Signed]]/SalesData[[#This Row],[Customers Visited]])</f>
        <v>0.11149825783972125</v>
      </c>
      <c r="AI3629" s="6">
        <f>IF(SalesData[[#This Row],[Contracts Signed]]=0,0,SalesData[[#This Row],[Profit(€)]]/SalesData[[#This Row],[Contracts Signed]])</f>
        <v>9888</v>
      </c>
      <c r="AJ3629" s="5" t="str">
        <f>TRIM(CLEAN(SalesData[[#This Row],[Retailer]]))</f>
        <v>Rhein Auto Group</v>
      </c>
    </row>
    <row r="3630" spans="1:36" ht="14.25" hidden="1" x14ac:dyDescent="0.2">
      <c r="A3630" t="s">
        <v>4839</v>
      </c>
      <c r="B3630" s="1">
        <v>46072</v>
      </c>
      <c r="C3630" t="s">
        <v>62</v>
      </c>
      <c r="D3630" t="s">
        <v>100</v>
      </c>
      <c r="E3630" t="s">
        <v>26</v>
      </c>
      <c r="F3630" t="s">
        <v>127</v>
      </c>
      <c r="G3630" t="s">
        <v>128</v>
      </c>
      <c r="H3630" t="s">
        <v>103</v>
      </c>
      <c r="I3630" t="s">
        <v>104</v>
      </c>
      <c r="J3630" t="s">
        <v>7031</v>
      </c>
      <c r="K3630" t="s">
        <v>78</v>
      </c>
      <c r="L3630" t="s">
        <v>46</v>
      </c>
      <c r="M3630" t="s">
        <v>68</v>
      </c>
      <c r="N3630" t="s">
        <v>35</v>
      </c>
      <c r="O3630" t="s">
        <v>70</v>
      </c>
      <c r="P3630" t="s">
        <v>37</v>
      </c>
      <c r="Q3630" t="s">
        <v>79</v>
      </c>
      <c r="R3630">
        <v>260</v>
      </c>
      <c r="S3630">
        <v>124</v>
      </c>
      <c r="T3630">
        <v>73</v>
      </c>
      <c r="U3630">
        <v>18</v>
      </c>
      <c r="V3630" t="s">
        <v>884</v>
      </c>
      <c r="W3630">
        <v>29228</v>
      </c>
      <c r="X3630" t="s">
        <v>1978</v>
      </c>
      <c r="Y3630">
        <v>25492</v>
      </c>
      <c r="Z3630">
        <v>526104</v>
      </c>
      <c r="AA3630">
        <v>67248</v>
      </c>
      <c r="AB3630" t="str">
        <f>(VLOOKUP(SalesData[[#This Row],[Month Number]],Reference!C$5:E$16,2,FALSE))</f>
        <v>Feb</v>
      </c>
      <c r="AC3630">
        <f>MONTH(SalesData[[#This Row],[Date]])</f>
        <v>2</v>
      </c>
      <c r="AD3630">
        <f>Reference!F$4</f>
        <v>2026</v>
      </c>
      <c r="AE3630" t="str">
        <f>IF(OR(SalesData[[#This Row],[Day]]="Saturday",SalesData[[#This Row],[Day]]="Sunday"),"Weekend","Weekday")</f>
        <v>Weekday</v>
      </c>
      <c r="AF3630" s="5">
        <f>IF(SalesData[[#This Row],[Contracts Offered]]=0,0,SalesData[[#This Row],[Contracts Signed]]/SalesData[[#This Row],[Contracts Offered]])</f>
        <v>0.24657534246575341</v>
      </c>
      <c r="AG3630" s="5">
        <f>IF(SalesData[[#This Row],[Customers Visited]]=0,0,SalesData[[#This Row],[Test Drives]]/SalesData[[#This Row],[Customers Visited]])</f>
        <v>0.47692307692307695</v>
      </c>
      <c r="AH3630" s="5">
        <f>IF(SalesData[[#This Row],[Customers Visited]]=0,0,SalesData[[#This Row],[Contracts Signed]]/SalesData[[#This Row],[Customers Visited]])</f>
        <v>6.9230769230769235E-2</v>
      </c>
      <c r="AI3630" s="6">
        <f>IF(SalesData[[#This Row],[Contracts Signed]]=0,0,SalesData[[#This Row],[Profit(€)]]/SalesData[[#This Row],[Contracts Signed]])</f>
        <v>3736</v>
      </c>
      <c r="AJ3630" s="5" t="str">
        <f>TRIM(CLEAN(SalesData[[#This Row],[Retailer]]))</f>
        <v>Rhein Auto Group</v>
      </c>
    </row>
    <row r="3631" spans="1:36" ht="14.25" hidden="1" x14ac:dyDescent="0.2">
      <c r="A3631" t="s">
        <v>4841</v>
      </c>
      <c r="B3631" s="1">
        <v>46064</v>
      </c>
      <c r="C3631" t="s">
        <v>121</v>
      </c>
      <c r="D3631" t="s">
        <v>82</v>
      </c>
      <c r="E3631" t="s">
        <v>26</v>
      </c>
      <c r="F3631" t="s">
        <v>43</v>
      </c>
      <c r="G3631" t="s">
        <v>44</v>
      </c>
      <c r="H3631" t="s">
        <v>45</v>
      </c>
      <c r="I3631" t="s">
        <v>116</v>
      </c>
      <c r="J3631" t="s">
        <v>7090</v>
      </c>
      <c r="K3631" t="s">
        <v>32</v>
      </c>
      <c r="L3631" t="s">
        <v>46</v>
      </c>
      <c r="M3631" t="s">
        <v>47</v>
      </c>
      <c r="N3631" t="s">
        <v>35</v>
      </c>
      <c r="O3631" t="s">
        <v>36</v>
      </c>
      <c r="P3631" t="s">
        <v>71</v>
      </c>
      <c r="Q3631" t="s">
        <v>129</v>
      </c>
      <c r="R3631">
        <v>245</v>
      </c>
      <c r="S3631">
        <v>102</v>
      </c>
      <c r="T3631">
        <v>68</v>
      </c>
      <c r="U3631">
        <v>14</v>
      </c>
      <c r="V3631" t="s">
        <v>915</v>
      </c>
      <c r="W3631">
        <v>23636</v>
      </c>
      <c r="X3631" t="s">
        <v>2010</v>
      </c>
      <c r="Y3631">
        <v>21217</v>
      </c>
      <c r="Z3631">
        <v>330904</v>
      </c>
      <c r="AA3631">
        <v>33866</v>
      </c>
      <c r="AB3631" t="str">
        <f>(VLOOKUP(SalesData[[#This Row],[Month Number]],Reference!C$5:E$16,2,FALSE))</f>
        <v>Feb</v>
      </c>
      <c r="AC3631">
        <f>MONTH(SalesData[[#This Row],[Date]])</f>
        <v>2</v>
      </c>
      <c r="AD3631">
        <f>Reference!F$4</f>
        <v>2026</v>
      </c>
      <c r="AE3631" t="str">
        <f>IF(OR(SalesData[[#This Row],[Day]]="Saturday",SalesData[[#This Row],[Day]]="Sunday"),"Weekend","Weekday")</f>
        <v>Weekday</v>
      </c>
      <c r="AF3631" s="5">
        <f>IF(SalesData[[#This Row],[Contracts Offered]]=0,0,SalesData[[#This Row],[Contracts Signed]]/SalesData[[#This Row],[Contracts Offered]])</f>
        <v>0.20588235294117646</v>
      </c>
      <c r="AG3631" s="5">
        <f>IF(SalesData[[#This Row],[Customers Visited]]=0,0,SalesData[[#This Row],[Test Drives]]/SalesData[[#This Row],[Customers Visited]])</f>
        <v>0.41632653061224489</v>
      </c>
      <c r="AH3631" s="5">
        <f>IF(SalesData[[#This Row],[Customers Visited]]=0,0,SalesData[[#This Row],[Contracts Signed]]/SalesData[[#This Row],[Customers Visited]])</f>
        <v>5.7142857142857141E-2</v>
      </c>
      <c r="AI3631" s="6">
        <f>IF(SalesData[[#This Row],[Contracts Signed]]=0,0,SalesData[[#This Row],[Profit(€)]]/SalesData[[#This Row],[Contracts Signed]])</f>
        <v>2419</v>
      </c>
      <c r="AJ3631" s="5" t="str">
        <f>TRIM(CLEAN(SalesData[[#This Row],[Retailer]]))</f>
        <v>Saxon Wheels</v>
      </c>
    </row>
    <row r="3632" spans="1:36" ht="14.25" hidden="1" x14ac:dyDescent="0.2">
      <c r="A3632" t="s">
        <v>4842</v>
      </c>
      <c r="B3632" s="1">
        <v>46062</v>
      </c>
      <c r="C3632" t="s">
        <v>121</v>
      </c>
      <c r="D3632" t="s">
        <v>25</v>
      </c>
      <c r="E3632" t="s">
        <v>26</v>
      </c>
      <c r="F3632" t="s">
        <v>7649</v>
      </c>
      <c r="G3632" t="s">
        <v>55</v>
      </c>
      <c r="H3632" t="s">
        <v>55</v>
      </c>
      <c r="I3632" t="s">
        <v>64</v>
      </c>
      <c r="J3632" t="s">
        <v>65</v>
      </c>
      <c r="K3632" t="s">
        <v>66</v>
      </c>
      <c r="L3632" t="s">
        <v>33</v>
      </c>
      <c r="M3632" t="s">
        <v>87</v>
      </c>
      <c r="N3632" t="s">
        <v>35</v>
      </c>
      <c r="O3632" t="s">
        <v>70</v>
      </c>
      <c r="P3632" t="s">
        <v>37</v>
      </c>
      <c r="Q3632" t="s">
        <v>106</v>
      </c>
      <c r="R3632">
        <v>234</v>
      </c>
      <c r="S3632">
        <v>122</v>
      </c>
      <c r="T3632">
        <v>85</v>
      </c>
      <c r="U3632">
        <v>33</v>
      </c>
      <c r="V3632" t="s">
        <v>7539</v>
      </c>
      <c r="W3632">
        <v>56481</v>
      </c>
      <c r="X3632" t="s">
        <v>7034</v>
      </c>
      <c r="Y3632">
        <v>44609</v>
      </c>
      <c r="Z3632">
        <v>1863873</v>
      </c>
      <c r="AA3632">
        <v>391776</v>
      </c>
      <c r="AB3632" t="str">
        <f>(VLOOKUP(SalesData[[#This Row],[Month Number]],Reference!C$5:E$16,2,FALSE))</f>
        <v>Feb</v>
      </c>
      <c r="AC3632">
        <f>MONTH(SalesData[[#This Row],[Date]])</f>
        <v>2</v>
      </c>
      <c r="AD3632">
        <f>Reference!F$4</f>
        <v>2026</v>
      </c>
      <c r="AE3632" t="str">
        <f>IF(OR(SalesData[[#This Row],[Day]]="Saturday",SalesData[[#This Row],[Day]]="Sunday"),"Weekend","Weekday")</f>
        <v>Weekday</v>
      </c>
      <c r="AF3632" s="5">
        <f>IF(SalesData[[#This Row],[Contracts Offered]]=0,0,SalesData[[#This Row],[Contracts Signed]]/SalesData[[#This Row],[Contracts Offered]])</f>
        <v>0.38823529411764707</v>
      </c>
      <c r="AG3632" s="5">
        <f>IF(SalesData[[#This Row],[Customers Visited]]=0,0,SalesData[[#This Row],[Test Drives]]/SalesData[[#This Row],[Customers Visited]])</f>
        <v>0.5213675213675214</v>
      </c>
      <c r="AH3632" s="5">
        <f>IF(SalesData[[#This Row],[Customers Visited]]=0,0,SalesData[[#This Row],[Contracts Signed]]/SalesData[[#This Row],[Customers Visited]])</f>
        <v>0.14102564102564102</v>
      </c>
      <c r="AI3632" s="6">
        <f>IF(SalesData[[#This Row],[Contracts Signed]]=0,0,SalesData[[#This Row],[Profit(€)]]/SalesData[[#This Row],[Contracts Signed]])</f>
        <v>11872</v>
      </c>
      <c r="AJ3632" s="5" t="str">
        <f>TRIM(CLEAN(SalesData[[#This Row],[Retailer]]))</f>
        <v>Autohaus Berlin</v>
      </c>
    </row>
    <row r="3633" spans="1:36" ht="14.25" hidden="1" x14ac:dyDescent="0.2">
      <c r="A3633" t="s">
        <v>4843</v>
      </c>
      <c r="B3633" s="1">
        <v>46076</v>
      </c>
      <c r="C3633" t="s">
        <v>53</v>
      </c>
      <c r="D3633" t="s">
        <v>25</v>
      </c>
      <c r="E3633" t="s">
        <v>26</v>
      </c>
      <c r="F3633" t="s">
        <v>83</v>
      </c>
      <c r="G3633" t="s">
        <v>84</v>
      </c>
      <c r="H3633" t="s">
        <v>85</v>
      </c>
      <c r="I3633" t="s">
        <v>104</v>
      </c>
      <c r="J3633" t="s">
        <v>143</v>
      </c>
      <c r="K3633" t="s">
        <v>66</v>
      </c>
      <c r="L3633" t="s">
        <v>67</v>
      </c>
      <c r="M3633" t="s">
        <v>87</v>
      </c>
      <c r="N3633" t="s">
        <v>69</v>
      </c>
      <c r="O3633" t="s">
        <v>70</v>
      </c>
      <c r="P3633" t="s">
        <v>71</v>
      </c>
      <c r="Q3633" t="s">
        <v>158</v>
      </c>
      <c r="R3633">
        <v>345</v>
      </c>
      <c r="S3633">
        <v>169</v>
      </c>
      <c r="T3633">
        <v>106</v>
      </c>
      <c r="U3633">
        <v>29</v>
      </c>
      <c r="V3633" t="s">
        <v>833</v>
      </c>
      <c r="W3633">
        <v>26156</v>
      </c>
      <c r="X3633" t="s">
        <v>4732</v>
      </c>
      <c r="Y3633">
        <v>23236</v>
      </c>
      <c r="Z3633">
        <v>758524</v>
      </c>
      <c r="AA3633">
        <v>84680</v>
      </c>
      <c r="AB3633" t="str">
        <f>(VLOOKUP(SalesData[[#This Row],[Month Number]],Reference!C$5:E$16,2,FALSE))</f>
        <v>Feb</v>
      </c>
      <c r="AC3633">
        <f>MONTH(SalesData[[#This Row],[Date]])</f>
        <v>2</v>
      </c>
      <c r="AD3633">
        <f>Reference!F$4</f>
        <v>2026</v>
      </c>
      <c r="AE3633" t="str">
        <f>IF(OR(SalesData[[#This Row],[Day]]="Saturday",SalesData[[#This Row],[Day]]="Sunday"),"Weekend","Weekday")</f>
        <v>Weekday</v>
      </c>
      <c r="AF3633" s="5">
        <f>IF(SalesData[[#This Row],[Contracts Offered]]=0,0,SalesData[[#This Row],[Contracts Signed]]/SalesData[[#This Row],[Contracts Offered]])</f>
        <v>0.27358490566037735</v>
      </c>
      <c r="AG3633" s="5">
        <f>IF(SalesData[[#This Row],[Customers Visited]]=0,0,SalesData[[#This Row],[Test Drives]]/SalesData[[#This Row],[Customers Visited]])</f>
        <v>0.48985507246376814</v>
      </c>
      <c r="AH3633" s="5">
        <f>IF(SalesData[[#This Row],[Customers Visited]]=0,0,SalesData[[#This Row],[Contracts Signed]]/SalesData[[#This Row],[Customers Visited]])</f>
        <v>8.4057971014492749E-2</v>
      </c>
      <c r="AI3633" s="6">
        <f>IF(SalesData[[#This Row],[Contracts Signed]]=0,0,SalesData[[#This Row],[Profit(€)]]/SalesData[[#This Row],[Contracts Signed]])</f>
        <v>2920</v>
      </c>
      <c r="AJ3633" s="5" t="str">
        <f>TRIM(CLEAN(SalesData[[#This Row],[Retailer]]))</f>
        <v>Hannover Cars</v>
      </c>
    </row>
    <row r="3634" spans="1:36" ht="14.25" hidden="1" x14ac:dyDescent="0.2">
      <c r="A3634" t="s">
        <v>4844</v>
      </c>
      <c r="B3634" s="1">
        <v>46078</v>
      </c>
      <c r="C3634" t="s">
        <v>53</v>
      </c>
      <c r="D3634" t="s">
        <v>82</v>
      </c>
      <c r="E3634" t="s">
        <v>26</v>
      </c>
      <c r="F3634" t="s">
        <v>43</v>
      </c>
      <c r="G3634" t="s">
        <v>44</v>
      </c>
      <c r="H3634" t="s">
        <v>45</v>
      </c>
      <c r="I3634" t="s">
        <v>104</v>
      </c>
      <c r="J3634" t="s">
        <v>140</v>
      </c>
      <c r="K3634" t="s">
        <v>66</v>
      </c>
      <c r="L3634" t="s">
        <v>46</v>
      </c>
      <c r="M3634" t="s">
        <v>68</v>
      </c>
      <c r="N3634" t="s">
        <v>35</v>
      </c>
      <c r="O3634" t="s">
        <v>70</v>
      </c>
      <c r="P3634" t="s">
        <v>71</v>
      </c>
      <c r="Q3634" t="s">
        <v>240</v>
      </c>
      <c r="R3634">
        <v>494</v>
      </c>
      <c r="S3634">
        <v>271</v>
      </c>
      <c r="T3634">
        <v>177</v>
      </c>
      <c r="U3634">
        <v>37</v>
      </c>
      <c r="V3634" t="s">
        <v>7023</v>
      </c>
      <c r="W3634">
        <v>26286</v>
      </c>
      <c r="X3634" t="s">
        <v>7297</v>
      </c>
      <c r="Y3634">
        <v>22973</v>
      </c>
      <c r="Z3634">
        <v>972582</v>
      </c>
      <c r="AA3634">
        <v>122581</v>
      </c>
      <c r="AB3634" t="str">
        <f>(VLOOKUP(SalesData[[#This Row],[Month Number]],Reference!C$5:E$16,2,FALSE))</f>
        <v>Feb</v>
      </c>
      <c r="AC3634">
        <f>MONTH(SalesData[[#This Row],[Date]])</f>
        <v>2</v>
      </c>
      <c r="AD3634">
        <f>Reference!F$4</f>
        <v>2026</v>
      </c>
      <c r="AE3634" t="str">
        <f>IF(OR(SalesData[[#This Row],[Day]]="Saturday",SalesData[[#This Row],[Day]]="Sunday"),"Weekend","Weekday")</f>
        <v>Weekday</v>
      </c>
      <c r="AF3634" s="5">
        <f>IF(SalesData[[#This Row],[Contracts Offered]]=0,0,SalesData[[#This Row],[Contracts Signed]]/SalesData[[#This Row],[Contracts Offered]])</f>
        <v>0.20903954802259886</v>
      </c>
      <c r="AG3634" s="5">
        <f>IF(SalesData[[#This Row],[Customers Visited]]=0,0,SalesData[[#This Row],[Test Drives]]/SalesData[[#This Row],[Customers Visited]])</f>
        <v>0.54858299595141702</v>
      </c>
      <c r="AH3634" s="5">
        <f>IF(SalesData[[#This Row],[Customers Visited]]=0,0,SalesData[[#This Row],[Contracts Signed]]/SalesData[[#This Row],[Customers Visited]])</f>
        <v>7.4898785425101214E-2</v>
      </c>
      <c r="AI3634" s="6">
        <f>IF(SalesData[[#This Row],[Contracts Signed]]=0,0,SalesData[[#This Row],[Profit(€)]]/SalesData[[#This Row],[Contracts Signed]])</f>
        <v>3313</v>
      </c>
      <c r="AJ3634" s="5" t="str">
        <f>TRIM(CLEAN(SalesData[[#This Row],[Retailer]]))</f>
        <v>Saxon Wheels</v>
      </c>
    </row>
    <row r="3635" spans="1:36" ht="14.25" hidden="1" x14ac:dyDescent="0.2">
      <c r="A3635" t="s">
        <v>4845</v>
      </c>
      <c r="B3635" s="1">
        <v>46071</v>
      </c>
      <c r="C3635" t="s">
        <v>62</v>
      </c>
      <c r="D3635" t="s">
        <v>82</v>
      </c>
      <c r="E3635" t="s">
        <v>26</v>
      </c>
      <c r="F3635" t="s">
        <v>27</v>
      </c>
      <c r="G3635" t="s">
        <v>28</v>
      </c>
      <c r="H3635" t="s">
        <v>29</v>
      </c>
      <c r="I3635" t="s">
        <v>56</v>
      </c>
      <c r="J3635" t="s">
        <v>97</v>
      </c>
      <c r="K3635" t="s">
        <v>66</v>
      </c>
      <c r="L3635" t="s">
        <v>33</v>
      </c>
      <c r="M3635" t="s">
        <v>87</v>
      </c>
      <c r="N3635" t="s">
        <v>69</v>
      </c>
      <c r="O3635" t="s">
        <v>70</v>
      </c>
      <c r="P3635" t="s">
        <v>49</v>
      </c>
      <c r="Q3635" t="s">
        <v>38</v>
      </c>
      <c r="R3635">
        <v>199</v>
      </c>
      <c r="S3635">
        <v>105</v>
      </c>
      <c r="T3635">
        <v>79</v>
      </c>
      <c r="U3635">
        <v>19</v>
      </c>
      <c r="V3635" t="s">
        <v>743</v>
      </c>
      <c r="W3635">
        <v>39859</v>
      </c>
      <c r="X3635" t="s">
        <v>958</v>
      </c>
      <c r="Y3635">
        <v>31601</v>
      </c>
      <c r="Z3635">
        <v>757321</v>
      </c>
      <c r="AA3635">
        <v>156902</v>
      </c>
      <c r="AB3635" t="str">
        <f>(VLOOKUP(SalesData[[#This Row],[Month Number]],Reference!C$5:E$16,2,FALSE))</f>
        <v>Feb</v>
      </c>
      <c r="AC3635">
        <f>MONTH(SalesData[[#This Row],[Date]])</f>
        <v>2</v>
      </c>
      <c r="AD3635">
        <f>Reference!F$4</f>
        <v>2026</v>
      </c>
      <c r="AE3635" t="str">
        <f>IF(OR(SalesData[[#This Row],[Day]]="Saturday",SalesData[[#This Row],[Day]]="Sunday"),"Weekend","Weekday")</f>
        <v>Weekday</v>
      </c>
      <c r="AF3635" s="5">
        <f>IF(SalesData[[#This Row],[Contracts Offered]]=0,0,SalesData[[#This Row],[Contracts Signed]]/SalesData[[#This Row],[Contracts Offered]])</f>
        <v>0.24050632911392406</v>
      </c>
      <c r="AG3635" s="5">
        <f>IF(SalesData[[#This Row],[Customers Visited]]=0,0,SalesData[[#This Row],[Test Drives]]/SalesData[[#This Row],[Customers Visited]])</f>
        <v>0.52763819095477382</v>
      </c>
      <c r="AH3635" s="5">
        <f>IF(SalesData[[#This Row],[Customers Visited]]=0,0,SalesData[[#This Row],[Contracts Signed]]/SalesData[[#This Row],[Customers Visited]])</f>
        <v>9.5477386934673364E-2</v>
      </c>
      <c r="AI3635" s="6">
        <f>IF(SalesData[[#This Row],[Contracts Signed]]=0,0,SalesData[[#This Row],[Profit(€)]]/SalesData[[#This Row],[Contracts Signed]])</f>
        <v>8258</v>
      </c>
      <c r="AJ3635" s="5" t="str">
        <f>TRIM(CLEAN(SalesData[[#This Row],[Retailer]]))</f>
        <v>Main Auto Hub</v>
      </c>
    </row>
    <row r="3636" spans="1:36" ht="14.25" x14ac:dyDescent="0.2">
      <c r="A3636" t="s">
        <v>4846</v>
      </c>
      <c r="B3636" s="1">
        <v>46055</v>
      </c>
      <c r="C3636" t="s">
        <v>24</v>
      </c>
      <c r="D3636" t="s">
        <v>25</v>
      </c>
      <c r="E3636" t="s">
        <v>26</v>
      </c>
      <c r="F3636" t="s">
        <v>43</v>
      </c>
      <c r="G3636" t="s">
        <v>44</v>
      </c>
      <c r="H3636" t="s">
        <v>45</v>
      </c>
      <c r="I3636" t="s">
        <v>30</v>
      </c>
      <c r="J3636" t="s">
        <v>166</v>
      </c>
      <c r="K3636" t="s">
        <v>78</v>
      </c>
      <c r="L3636" t="s">
        <v>46</v>
      </c>
      <c r="M3636" t="s">
        <v>87</v>
      </c>
      <c r="N3636" t="s">
        <v>69</v>
      </c>
      <c r="O3636" t="s">
        <v>36</v>
      </c>
      <c r="P3636" t="s">
        <v>58</v>
      </c>
      <c r="Q3636" t="s">
        <v>144</v>
      </c>
      <c r="R3636">
        <v>261</v>
      </c>
      <c r="S3636">
        <v>120</v>
      </c>
      <c r="T3636">
        <v>90</v>
      </c>
      <c r="U3636">
        <v>36</v>
      </c>
      <c r="V3636" t="s">
        <v>7100</v>
      </c>
      <c r="W3636">
        <v>65395</v>
      </c>
      <c r="X3636" t="s">
        <v>7132</v>
      </c>
      <c r="Y3636">
        <v>46809</v>
      </c>
      <c r="Z3636">
        <v>2354220</v>
      </c>
      <c r="AA3636">
        <v>669096</v>
      </c>
      <c r="AB3636" t="str">
        <f>(VLOOKUP(SalesData[[#This Row],[Month Number]],Reference!C$5:E$16,2,FALSE))</f>
        <v>Feb</v>
      </c>
      <c r="AC3636">
        <f>MONTH(SalesData[[#This Row],[Date]])</f>
        <v>2</v>
      </c>
      <c r="AD3636">
        <f>Reference!F$4</f>
        <v>2026</v>
      </c>
      <c r="AE3636" t="str">
        <f>IF(OR(SalesData[[#This Row],[Day]]="Saturday",SalesData[[#This Row],[Day]]="Sunday"),"Weekend","Weekday")</f>
        <v>Weekday</v>
      </c>
      <c r="AF3636" s="5">
        <f>IF(SalesData[[#This Row],[Contracts Offered]]=0,0,SalesData[[#This Row],[Contracts Signed]]/SalesData[[#This Row],[Contracts Offered]])</f>
        <v>0.4</v>
      </c>
      <c r="AG3636" s="5">
        <f>IF(SalesData[[#This Row],[Customers Visited]]=0,0,SalesData[[#This Row],[Test Drives]]/SalesData[[#This Row],[Customers Visited]])</f>
        <v>0.45977011494252873</v>
      </c>
      <c r="AH3636" s="5">
        <f>IF(SalesData[[#This Row],[Customers Visited]]=0,0,SalesData[[#This Row],[Contracts Signed]]/SalesData[[#This Row],[Customers Visited]])</f>
        <v>0.13793103448275862</v>
      </c>
      <c r="AI3636" s="6">
        <f>IF(SalesData[[#This Row],[Contracts Signed]]=0,0,SalesData[[#This Row],[Profit(€)]]/SalesData[[#This Row],[Contracts Signed]])</f>
        <v>18586</v>
      </c>
      <c r="AJ3636" s="5" t="str">
        <f>TRIM(CLEAN(SalesData[[#This Row],[Retailer]]))</f>
        <v>Saxon Wheels</v>
      </c>
    </row>
    <row r="3637" spans="1:36" ht="14.25" hidden="1" x14ac:dyDescent="0.2">
      <c r="A3637" t="s">
        <v>4847</v>
      </c>
      <c r="B3637" s="1">
        <v>46055</v>
      </c>
      <c r="C3637" t="s">
        <v>24</v>
      </c>
      <c r="D3637" t="s">
        <v>25</v>
      </c>
      <c r="E3637" t="s">
        <v>26</v>
      </c>
      <c r="F3637" t="s">
        <v>127</v>
      </c>
      <c r="G3637" t="s">
        <v>128</v>
      </c>
      <c r="H3637" t="s">
        <v>103</v>
      </c>
      <c r="I3637" t="s">
        <v>104</v>
      </c>
      <c r="J3637" t="s">
        <v>7031</v>
      </c>
      <c r="K3637" t="s">
        <v>32</v>
      </c>
      <c r="L3637" t="s">
        <v>46</v>
      </c>
      <c r="M3637" t="s">
        <v>47</v>
      </c>
      <c r="N3637" t="s">
        <v>69</v>
      </c>
      <c r="O3637" t="s">
        <v>70</v>
      </c>
      <c r="P3637" t="s">
        <v>37</v>
      </c>
      <c r="Q3637" t="s">
        <v>118</v>
      </c>
      <c r="R3637">
        <v>290</v>
      </c>
      <c r="S3637">
        <v>129</v>
      </c>
      <c r="T3637">
        <v>89</v>
      </c>
      <c r="U3637">
        <v>21</v>
      </c>
      <c r="V3637" t="s">
        <v>89</v>
      </c>
      <c r="W3637">
        <v>27523</v>
      </c>
      <c r="X3637" t="s">
        <v>4891</v>
      </c>
      <c r="Y3637">
        <v>23784</v>
      </c>
      <c r="Z3637">
        <v>577983</v>
      </c>
      <c r="AA3637">
        <v>78519</v>
      </c>
      <c r="AB3637" t="str">
        <f>(VLOOKUP(SalesData[[#This Row],[Month Number]],Reference!C$5:E$16,2,FALSE))</f>
        <v>Feb</v>
      </c>
      <c r="AC3637">
        <f>MONTH(SalesData[[#This Row],[Date]])</f>
        <v>2</v>
      </c>
      <c r="AD3637">
        <f>Reference!F$4</f>
        <v>2026</v>
      </c>
      <c r="AE3637" t="str">
        <f>IF(OR(SalesData[[#This Row],[Day]]="Saturday",SalesData[[#This Row],[Day]]="Sunday"),"Weekend","Weekday")</f>
        <v>Weekday</v>
      </c>
      <c r="AF3637" s="5">
        <f>IF(SalesData[[#This Row],[Contracts Offered]]=0,0,SalesData[[#This Row],[Contracts Signed]]/SalesData[[#This Row],[Contracts Offered]])</f>
        <v>0.23595505617977527</v>
      </c>
      <c r="AG3637" s="5">
        <f>IF(SalesData[[#This Row],[Customers Visited]]=0,0,SalesData[[#This Row],[Test Drives]]/SalesData[[#This Row],[Customers Visited]])</f>
        <v>0.44482758620689655</v>
      </c>
      <c r="AH3637" s="5">
        <f>IF(SalesData[[#This Row],[Customers Visited]]=0,0,SalesData[[#This Row],[Contracts Signed]]/SalesData[[#This Row],[Customers Visited]])</f>
        <v>7.2413793103448282E-2</v>
      </c>
      <c r="AI3637" s="6">
        <f>IF(SalesData[[#This Row],[Contracts Signed]]=0,0,SalesData[[#This Row],[Profit(€)]]/SalesData[[#This Row],[Contracts Signed]])</f>
        <v>3739</v>
      </c>
      <c r="AJ3637" s="5" t="str">
        <f>TRIM(CLEAN(SalesData[[#This Row],[Retailer]]))</f>
        <v>Rhein Auto Group</v>
      </c>
    </row>
    <row r="3638" spans="1:36" ht="14.25" hidden="1" x14ac:dyDescent="0.2">
      <c r="A3638" t="s">
        <v>4848</v>
      </c>
      <c r="B3638" s="1">
        <v>46078</v>
      </c>
      <c r="C3638" t="s">
        <v>53</v>
      </c>
      <c r="D3638" t="s">
        <v>82</v>
      </c>
      <c r="E3638" t="s">
        <v>26</v>
      </c>
      <c r="F3638" t="s">
        <v>109</v>
      </c>
      <c r="G3638" t="s">
        <v>110</v>
      </c>
      <c r="H3638" t="s">
        <v>45</v>
      </c>
      <c r="I3638" t="s">
        <v>64</v>
      </c>
      <c r="J3638" t="s">
        <v>7029</v>
      </c>
      <c r="K3638" t="s">
        <v>78</v>
      </c>
      <c r="L3638" t="s">
        <v>33</v>
      </c>
      <c r="M3638" t="s">
        <v>87</v>
      </c>
      <c r="N3638" t="s">
        <v>48</v>
      </c>
      <c r="O3638" t="s">
        <v>70</v>
      </c>
      <c r="P3638" t="s">
        <v>58</v>
      </c>
      <c r="Q3638" t="s">
        <v>59</v>
      </c>
      <c r="R3638">
        <v>290</v>
      </c>
      <c r="S3638">
        <v>129</v>
      </c>
      <c r="T3638">
        <v>87</v>
      </c>
      <c r="U3638">
        <v>36</v>
      </c>
      <c r="V3638" t="s">
        <v>6513</v>
      </c>
      <c r="W3638">
        <v>57362</v>
      </c>
      <c r="X3638" t="s">
        <v>7425</v>
      </c>
      <c r="Y3638">
        <v>44465</v>
      </c>
      <c r="Z3638">
        <v>2065032</v>
      </c>
      <c r="AA3638">
        <v>464292</v>
      </c>
      <c r="AB3638" t="str">
        <f>(VLOOKUP(SalesData[[#This Row],[Month Number]],Reference!C$5:E$16,2,FALSE))</f>
        <v>Feb</v>
      </c>
      <c r="AC3638">
        <f>MONTH(SalesData[[#This Row],[Date]])</f>
        <v>2</v>
      </c>
      <c r="AD3638">
        <f>Reference!F$4</f>
        <v>2026</v>
      </c>
      <c r="AE3638" t="str">
        <f>IF(OR(SalesData[[#This Row],[Day]]="Saturday",SalesData[[#This Row],[Day]]="Sunday"),"Weekend","Weekday")</f>
        <v>Weekday</v>
      </c>
      <c r="AF3638" s="5">
        <f>IF(SalesData[[#This Row],[Contracts Offered]]=0,0,SalesData[[#This Row],[Contracts Signed]]/SalesData[[#This Row],[Contracts Offered]])</f>
        <v>0.41379310344827586</v>
      </c>
      <c r="AG3638" s="5">
        <f>IF(SalesData[[#This Row],[Customers Visited]]=0,0,SalesData[[#This Row],[Test Drives]]/SalesData[[#This Row],[Customers Visited]])</f>
        <v>0.44482758620689655</v>
      </c>
      <c r="AH3638" s="5">
        <f>IF(SalesData[[#This Row],[Customers Visited]]=0,0,SalesData[[#This Row],[Contracts Signed]]/SalesData[[#This Row],[Customers Visited]])</f>
        <v>0.12413793103448276</v>
      </c>
      <c r="AI3638" s="6">
        <f>IF(SalesData[[#This Row],[Contracts Signed]]=0,0,SalesData[[#This Row],[Profit(€)]]/SalesData[[#This Row],[Contracts Signed]])</f>
        <v>12897</v>
      </c>
      <c r="AJ3638" s="5" t="str">
        <f>TRIM(CLEAN(SalesData[[#This Row],[Retailer]]))</f>
        <v>Leipzig Mobility</v>
      </c>
    </row>
    <row r="3639" spans="1:36" ht="14.25" hidden="1" x14ac:dyDescent="0.2">
      <c r="A3639" t="s">
        <v>4849</v>
      </c>
      <c r="B3639" s="1">
        <v>46068</v>
      </c>
      <c r="C3639" t="s">
        <v>62</v>
      </c>
      <c r="D3639" t="s">
        <v>41</v>
      </c>
      <c r="E3639" t="s">
        <v>42</v>
      </c>
      <c r="F3639" t="s">
        <v>127</v>
      </c>
      <c r="G3639" t="s">
        <v>128</v>
      </c>
      <c r="H3639" t="s">
        <v>103</v>
      </c>
      <c r="I3639" t="s">
        <v>56</v>
      </c>
      <c r="J3639" t="s">
        <v>97</v>
      </c>
      <c r="K3639" t="s">
        <v>91</v>
      </c>
      <c r="L3639" t="s">
        <v>33</v>
      </c>
      <c r="M3639" t="s">
        <v>47</v>
      </c>
      <c r="N3639" t="s">
        <v>48</v>
      </c>
      <c r="O3639" t="s">
        <v>70</v>
      </c>
      <c r="P3639" t="s">
        <v>37</v>
      </c>
      <c r="Q3639" t="s">
        <v>204</v>
      </c>
      <c r="R3639">
        <v>218</v>
      </c>
      <c r="S3639">
        <v>133</v>
      </c>
      <c r="T3639">
        <v>85</v>
      </c>
      <c r="U3639">
        <v>28</v>
      </c>
      <c r="V3639" t="s">
        <v>6421</v>
      </c>
      <c r="W3639">
        <v>55816</v>
      </c>
      <c r="X3639" t="s">
        <v>7508</v>
      </c>
      <c r="Y3639">
        <v>42310</v>
      </c>
      <c r="Z3639">
        <v>1562848</v>
      </c>
      <c r="AA3639">
        <v>378168</v>
      </c>
      <c r="AB3639" t="str">
        <f>(VLOOKUP(SalesData[[#This Row],[Month Number]],Reference!C$5:E$16,2,FALSE))</f>
        <v>Feb</v>
      </c>
      <c r="AC3639">
        <f>MONTH(SalesData[[#This Row],[Date]])</f>
        <v>2</v>
      </c>
      <c r="AD3639">
        <f>Reference!F$4</f>
        <v>2026</v>
      </c>
      <c r="AE3639" t="str">
        <f>IF(OR(SalesData[[#This Row],[Day]]="Saturday",SalesData[[#This Row],[Day]]="Sunday"),"Weekend","Weekday")</f>
        <v>Weekend</v>
      </c>
      <c r="AF3639" s="5">
        <f>IF(SalesData[[#This Row],[Contracts Offered]]=0,0,SalesData[[#This Row],[Contracts Signed]]/SalesData[[#This Row],[Contracts Offered]])</f>
        <v>0.32941176470588235</v>
      </c>
      <c r="AG3639" s="5">
        <f>IF(SalesData[[#This Row],[Customers Visited]]=0,0,SalesData[[#This Row],[Test Drives]]/SalesData[[#This Row],[Customers Visited]])</f>
        <v>0.61009174311926606</v>
      </c>
      <c r="AH3639" s="5">
        <f>IF(SalesData[[#This Row],[Customers Visited]]=0,0,SalesData[[#This Row],[Contracts Signed]]/SalesData[[#This Row],[Customers Visited]])</f>
        <v>0.12844036697247707</v>
      </c>
      <c r="AI3639" s="6">
        <f>IF(SalesData[[#This Row],[Contracts Signed]]=0,0,SalesData[[#This Row],[Profit(€)]]/SalesData[[#This Row],[Contracts Signed]])</f>
        <v>13506</v>
      </c>
      <c r="AJ3639" s="5" t="str">
        <f>TRIM(CLEAN(SalesData[[#This Row],[Retailer]]))</f>
        <v>Rhein Auto Group</v>
      </c>
    </row>
    <row r="3640" spans="1:36" ht="14.25" hidden="1" x14ac:dyDescent="0.2">
      <c r="A3640" t="s">
        <v>4850</v>
      </c>
      <c r="B3640" s="1">
        <v>46074</v>
      </c>
      <c r="C3640" t="s">
        <v>62</v>
      </c>
      <c r="D3640" t="s">
        <v>151</v>
      </c>
      <c r="E3640" t="s">
        <v>42</v>
      </c>
      <c r="F3640" t="s">
        <v>114</v>
      </c>
      <c r="G3640" t="s">
        <v>115</v>
      </c>
      <c r="H3640" t="s">
        <v>115</v>
      </c>
      <c r="I3640" t="s">
        <v>64</v>
      </c>
      <c r="J3640" t="s">
        <v>157</v>
      </c>
      <c r="K3640" t="s">
        <v>32</v>
      </c>
      <c r="L3640" t="s">
        <v>33</v>
      </c>
      <c r="M3640" t="s">
        <v>87</v>
      </c>
      <c r="N3640" t="s">
        <v>69</v>
      </c>
      <c r="O3640" t="s">
        <v>70</v>
      </c>
      <c r="P3640" t="s">
        <v>49</v>
      </c>
      <c r="Q3640" t="s">
        <v>189</v>
      </c>
      <c r="R3640">
        <v>202</v>
      </c>
      <c r="S3640">
        <v>93</v>
      </c>
      <c r="T3640">
        <v>62</v>
      </c>
      <c r="U3640">
        <v>20</v>
      </c>
      <c r="V3640" t="s">
        <v>6885</v>
      </c>
      <c r="W3640">
        <v>51536</v>
      </c>
      <c r="X3640" t="s">
        <v>7339</v>
      </c>
      <c r="Y3640">
        <v>37926</v>
      </c>
      <c r="Z3640">
        <v>1030720</v>
      </c>
      <c r="AA3640">
        <v>272200</v>
      </c>
      <c r="AB3640" t="str">
        <f>(VLOOKUP(SalesData[[#This Row],[Month Number]],Reference!C$5:E$16,2,FALSE))</f>
        <v>Feb</v>
      </c>
      <c r="AC3640">
        <f>MONTH(SalesData[[#This Row],[Date]])</f>
        <v>2</v>
      </c>
      <c r="AD3640">
        <f>Reference!F$4</f>
        <v>2026</v>
      </c>
      <c r="AE3640" t="str">
        <f>IF(OR(SalesData[[#This Row],[Day]]="Saturday",SalesData[[#This Row],[Day]]="Sunday"),"Weekend","Weekday")</f>
        <v>Weekend</v>
      </c>
      <c r="AF3640" s="5">
        <f>IF(SalesData[[#This Row],[Contracts Offered]]=0,0,SalesData[[#This Row],[Contracts Signed]]/SalesData[[#This Row],[Contracts Offered]])</f>
        <v>0.32258064516129031</v>
      </c>
      <c r="AG3640" s="5">
        <f>IF(SalesData[[#This Row],[Customers Visited]]=0,0,SalesData[[#This Row],[Test Drives]]/SalesData[[#This Row],[Customers Visited]])</f>
        <v>0.46039603960396042</v>
      </c>
      <c r="AH3640" s="5">
        <f>IF(SalesData[[#This Row],[Customers Visited]]=0,0,SalesData[[#This Row],[Contracts Signed]]/SalesData[[#This Row],[Customers Visited]])</f>
        <v>9.9009900990099015E-2</v>
      </c>
      <c r="AI3640" s="6">
        <f>IF(SalesData[[#This Row],[Contracts Signed]]=0,0,SalesData[[#This Row],[Profit(€)]]/SalesData[[#This Row],[Contracts Signed]])</f>
        <v>13610</v>
      </c>
      <c r="AJ3640" s="5" t="str">
        <f>TRIM(CLEAN(SalesData[[#This Row],[Retailer]]))</f>
        <v>Elbe Drive</v>
      </c>
    </row>
    <row r="3641" spans="1:36" ht="14.25" hidden="1" x14ac:dyDescent="0.2">
      <c r="A3641" t="s">
        <v>4851</v>
      </c>
      <c r="B3641" s="1">
        <v>46079</v>
      </c>
      <c r="C3641" t="s">
        <v>53</v>
      </c>
      <c r="D3641" t="s">
        <v>100</v>
      </c>
      <c r="E3641" t="s">
        <v>26</v>
      </c>
      <c r="F3641" t="s">
        <v>27</v>
      </c>
      <c r="G3641" t="s">
        <v>28</v>
      </c>
      <c r="H3641" t="s">
        <v>29</v>
      </c>
      <c r="I3641" t="s">
        <v>64</v>
      </c>
      <c r="J3641" t="s">
        <v>157</v>
      </c>
      <c r="K3641" t="s">
        <v>78</v>
      </c>
      <c r="L3641" t="s">
        <v>33</v>
      </c>
      <c r="M3641" t="s">
        <v>68</v>
      </c>
      <c r="N3641" t="s">
        <v>69</v>
      </c>
      <c r="O3641" t="s">
        <v>70</v>
      </c>
      <c r="P3641" t="s">
        <v>58</v>
      </c>
      <c r="Q3641" t="s">
        <v>118</v>
      </c>
      <c r="R3641">
        <v>260</v>
      </c>
      <c r="S3641">
        <v>142</v>
      </c>
      <c r="T3641">
        <v>109</v>
      </c>
      <c r="U3641">
        <v>38</v>
      </c>
      <c r="V3641" t="s">
        <v>6829</v>
      </c>
      <c r="W3641">
        <v>56927</v>
      </c>
      <c r="X3641" t="s">
        <v>7384</v>
      </c>
      <c r="Y3641">
        <v>42552</v>
      </c>
      <c r="Z3641">
        <v>2163226</v>
      </c>
      <c r="AA3641">
        <v>546250</v>
      </c>
      <c r="AB3641" t="str">
        <f>(VLOOKUP(SalesData[[#This Row],[Month Number]],Reference!C$5:E$16,2,FALSE))</f>
        <v>Feb</v>
      </c>
      <c r="AC3641">
        <f>MONTH(SalesData[[#This Row],[Date]])</f>
        <v>2</v>
      </c>
      <c r="AD3641">
        <f>Reference!F$4</f>
        <v>2026</v>
      </c>
      <c r="AE3641" t="str">
        <f>IF(OR(SalesData[[#This Row],[Day]]="Saturday",SalesData[[#This Row],[Day]]="Sunday"),"Weekend","Weekday")</f>
        <v>Weekday</v>
      </c>
      <c r="AF3641" s="5">
        <f>IF(SalesData[[#This Row],[Contracts Offered]]=0,0,SalesData[[#This Row],[Contracts Signed]]/SalesData[[#This Row],[Contracts Offered]])</f>
        <v>0.34862385321100919</v>
      </c>
      <c r="AG3641" s="5">
        <f>IF(SalesData[[#This Row],[Customers Visited]]=0,0,SalesData[[#This Row],[Test Drives]]/SalesData[[#This Row],[Customers Visited]])</f>
        <v>0.5461538461538461</v>
      </c>
      <c r="AH3641" s="5">
        <f>IF(SalesData[[#This Row],[Customers Visited]]=0,0,SalesData[[#This Row],[Contracts Signed]]/SalesData[[#This Row],[Customers Visited]])</f>
        <v>0.14615384615384616</v>
      </c>
      <c r="AI3641" s="6">
        <f>IF(SalesData[[#This Row],[Contracts Signed]]=0,0,SalesData[[#This Row],[Profit(€)]]/SalesData[[#This Row],[Contracts Signed]])</f>
        <v>14375</v>
      </c>
      <c r="AJ3641" s="5" t="str">
        <f>TRIM(CLEAN(SalesData[[#This Row],[Retailer]]))</f>
        <v>Main Auto Hub</v>
      </c>
    </row>
    <row r="3642" spans="1:36" ht="14.25" hidden="1" x14ac:dyDescent="0.2">
      <c r="A3642" t="s">
        <v>4852</v>
      </c>
      <c r="B3642" s="1">
        <v>46062</v>
      </c>
      <c r="C3642" t="s">
        <v>121</v>
      </c>
      <c r="D3642" t="s">
        <v>25</v>
      </c>
      <c r="E3642" t="s">
        <v>26</v>
      </c>
      <c r="F3642" t="s">
        <v>114</v>
      </c>
      <c r="G3642" t="s">
        <v>115</v>
      </c>
      <c r="H3642" t="s">
        <v>115</v>
      </c>
      <c r="I3642" t="s">
        <v>56</v>
      </c>
      <c r="J3642" t="s">
        <v>57</v>
      </c>
      <c r="K3642" t="s">
        <v>78</v>
      </c>
      <c r="L3642" t="s">
        <v>46</v>
      </c>
      <c r="M3642" t="s">
        <v>87</v>
      </c>
      <c r="N3642" t="s">
        <v>48</v>
      </c>
      <c r="O3642" t="s">
        <v>36</v>
      </c>
      <c r="P3642" t="s">
        <v>58</v>
      </c>
      <c r="Q3642" t="s">
        <v>106</v>
      </c>
      <c r="R3642">
        <v>220</v>
      </c>
      <c r="S3642">
        <v>125</v>
      </c>
      <c r="T3642">
        <v>90</v>
      </c>
      <c r="U3642">
        <v>34</v>
      </c>
      <c r="V3642" t="s">
        <v>6982</v>
      </c>
      <c r="W3642">
        <v>44219</v>
      </c>
      <c r="X3642" t="s">
        <v>7135</v>
      </c>
      <c r="Y3642">
        <v>35639</v>
      </c>
      <c r="Z3642">
        <v>1503446</v>
      </c>
      <c r="AA3642">
        <v>291720</v>
      </c>
      <c r="AB3642" t="str">
        <f>(VLOOKUP(SalesData[[#This Row],[Month Number]],Reference!C$5:E$16,2,FALSE))</f>
        <v>Feb</v>
      </c>
      <c r="AC3642">
        <f>MONTH(SalesData[[#This Row],[Date]])</f>
        <v>2</v>
      </c>
      <c r="AD3642">
        <f>Reference!F$4</f>
        <v>2026</v>
      </c>
      <c r="AE3642" t="str">
        <f>IF(OR(SalesData[[#This Row],[Day]]="Saturday",SalesData[[#This Row],[Day]]="Sunday"),"Weekend","Weekday")</f>
        <v>Weekday</v>
      </c>
      <c r="AF3642" s="5">
        <f>IF(SalesData[[#This Row],[Contracts Offered]]=0,0,SalesData[[#This Row],[Contracts Signed]]/SalesData[[#This Row],[Contracts Offered]])</f>
        <v>0.37777777777777777</v>
      </c>
      <c r="AG3642" s="5">
        <f>IF(SalesData[[#This Row],[Customers Visited]]=0,0,SalesData[[#This Row],[Test Drives]]/SalesData[[#This Row],[Customers Visited]])</f>
        <v>0.56818181818181823</v>
      </c>
      <c r="AH3642" s="5">
        <f>IF(SalesData[[#This Row],[Customers Visited]]=0,0,SalesData[[#This Row],[Contracts Signed]]/SalesData[[#This Row],[Customers Visited]])</f>
        <v>0.15454545454545454</v>
      </c>
      <c r="AI3642" s="6">
        <f>IF(SalesData[[#This Row],[Contracts Signed]]=0,0,SalesData[[#This Row],[Profit(€)]]/SalesData[[#This Row],[Contracts Signed]])</f>
        <v>8580</v>
      </c>
      <c r="AJ3642" s="5" t="str">
        <f>TRIM(CLEAN(SalesData[[#This Row],[Retailer]]))</f>
        <v>Elbe Drive</v>
      </c>
    </row>
    <row r="3643" spans="1:36" ht="14.25" hidden="1" x14ac:dyDescent="0.2">
      <c r="A3643" t="s">
        <v>4853</v>
      </c>
      <c r="B3643" s="1">
        <v>46057</v>
      </c>
      <c r="C3643" t="s">
        <v>24</v>
      </c>
      <c r="D3643" t="s">
        <v>82</v>
      </c>
      <c r="E3643" t="s">
        <v>26</v>
      </c>
      <c r="F3643" t="s">
        <v>83</v>
      </c>
      <c r="G3643" t="s">
        <v>84</v>
      </c>
      <c r="H3643" t="s">
        <v>85</v>
      </c>
      <c r="I3643" t="s">
        <v>116</v>
      </c>
      <c r="J3643" t="s">
        <v>7090</v>
      </c>
      <c r="K3643" t="s">
        <v>91</v>
      </c>
      <c r="L3643" t="s">
        <v>46</v>
      </c>
      <c r="M3643" t="s">
        <v>34</v>
      </c>
      <c r="N3643" t="s">
        <v>35</v>
      </c>
      <c r="O3643" t="s">
        <v>36</v>
      </c>
      <c r="P3643" t="s">
        <v>49</v>
      </c>
      <c r="Q3643" t="s">
        <v>152</v>
      </c>
      <c r="R3643">
        <v>316</v>
      </c>
      <c r="S3643">
        <v>131</v>
      </c>
      <c r="T3643">
        <v>77</v>
      </c>
      <c r="U3643">
        <v>22</v>
      </c>
      <c r="V3643" t="s">
        <v>1288</v>
      </c>
      <c r="W3643">
        <v>25058</v>
      </c>
      <c r="X3643" t="s">
        <v>2590</v>
      </c>
      <c r="Y3643">
        <v>22339</v>
      </c>
      <c r="Z3643">
        <v>551276</v>
      </c>
      <c r="AA3643">
        <v>59818</v>
      </c>
      <c r="AB3643" t="str">
        <f>(VLOOKUP(SalesData[[#This Row],[Month Number]],Reference!C$5:E$16,2,FALSE))</f>
        <v>Feb</v>
      </c>
      <c r="AC3643">
        <f>MONTH(SalesData[[#This Row],[Date]])</f>
        <v>2</v>
      </c>
      <c r="AD3643">
        <f>Reference!F$4</f>
        <v>2026</v>
      </c>
      <c r="AE3643" t="str">
        <f>IF(OR(SalesData[[#This Row],[Day]]="Saturday",SalesData[[#This Row],[Day]]="Sunday"),"Weekend","Weekday")</f>
        <v>Weekday</v>
      </c>
      <c r="AF3643" s="5">
        <f>IF(SalesData[[#This Row],[Contracts Offered]]=0,0,SalesData[[#This Row],[Contracts Signed]]/SalesData[[#This Row],[Contracts Offered]])</f>
        <v>0.2857142857142857</v>
      </c>
      <c r="AG3643" s="5">
        <f>IF(SalesData[[#This Row],[Customers Visited]]=0,0,SalesData[[#This Row],[Test Drives]]/SalesData[[#This Row],[Customers Visited]])</f>
        <v>0.41455696202531644</v>
      </c>
      <c r="AH3643" s="5">
        <f>IF(SalesData[[#This Row],[Customers Visited]]=0,0,SalesData[[#This Row],[Contracts Signed]]/SalesData[[#This Row],[Customers Visited]])</f>
        <v>6.9620253164556958E-2</v>
      </c>
      <c r="AI3643" s="6">
        <f>IF(SalesData[[#This Row],[Contracts Signed]]=0,0,SalesData[[#This Row],[Profit(€)]]/SalesData[[#This Row],[Contracts Signed]])</f>
        <v>2719</v>
      </c>
      <c r="AJ3643" s="5" t="str">
        <f>TRIM(CLEAN(SalesData[[#This Row],[Retailer]]))</f>
        <v>Hannover Cars</v>
      </c>
    </row>
    <row r="3644" spans="1:36" ht="14.25" hidden="1" x14ac:dyDescent="0.2">
      <c r="A3644" t="s">
        <v>4854</v>
      </c>
      <c r="B3644" s="1">
        <v>46059</v>
      </c>
      <c r="C3644" t="s">
        <v>24</v>
      </c>
      <c r="D3644" t="s">
        <v>54</v>
      </c>
      <c r="E3644" t="s">
        <v>26</v>
      </c>
      <c r="F3644" t="s">
        <v>43</v>
      </c>
      <c r="G3644" t="s">
        <v>44</v>
      </c>
      <c r="H3644" t="s">
        <v>45</v>
      </c>
      <c r="I3644" t="s">
        <v>116</v>
      </c>
      <c r="J3644" t="s">
        <v>7090</v>
      </c>
      <c r="K3644" t="s">
        <v>32</v>
      </c>
      <c r="L3644" t="s">
        <v>46</v>
      </c>
      <c r="M3644" t="s">
        <v>47</v>
      </c>
      <c r="N3644" t="s">
        <v>69</v>
      </c>
      <c r="O3644" t="s">
        <v>36</v>
      </c>
      <c r="P3644" t="s">
        <v>58</v>
      </c>
      <c r="Q3644" t="s">
        <v>347</v>
      </c>
      <c r="R3644">
        <v>377</v>
      </c>
      <c r="S3644">
        <v>199</v>
      </c>
      <c r="T3644">
        <v>121</v>
      </c>
      <c r="U3644">
        <v>39</v>
      </c>
      <c r="V3644" t="s">
        <v>3275</v>
      </c>
      <c r="W3644">
        <v>23795</v>
      </c>
      <c r="X3644" t="s">
        <v>7023</v>
      </c>
      <c r="Y3644">
        <v>21793</v>
      </c>
      <c r="Z3644">
        <v>928005</v>
      </c>
      <c r="AA3644">
        <v>78078</v>
      </c>
      <c r="AB3644" t="str">
        <f>(VLOOKUP(SalesData[[#This Row],[Month Number]],Reference!C$5:E$16,2,FALSE))</f>
        <v>Feb</v>
      </c>
      <c r="AC3644">
        <f>MONTH(SalesData[[#This Row],[Date]])</f>
        <v>2</v>
      </c>
      <c r="AD3644">
        <f>Reference!F$4</f>
        <v>2026</v>
      </c>
      <c r="AE3644" t="str">
        <f>IF(OR(SalesData[[#This Row],[Day]]="Saturday",SalesData[[#This Row],[Day]]="Sunday"),"Weekend","Weekday")</f>
        <v>Weekday</v>
      </c>
      <c r="AF3644" s="5">
        <f>IF(SalesData[[#This Row],[Contracts Offered]]=0,0,SalesData[[#This Row],[Contracts Signed]]/SalesData[[#This Row],[Contracts Offered]])</f>
        <v>0.32231404958677684</v>
      </c>
      <c r="AG3644" s="5">
        <f>IF(SalesData[[#This Row],[Customers Visited]]=0,0,SalesData[[#This Row],[Test Drives]]/SalesData[[#This Row],[Customers Visited]])</f>
        <v>0.52785145888594165</v>
      </c>
      <c r="AH3644" s="5">
        <f>IF(SalesData[[#This Row],[Customers Visited]]=0,0,SalesData[[#This Row],[Contracts Signed]]/SalesData[[#This Row],[Customers Visited]])</f>
        <v>0.10344827586206896</v>
      </c>
      <c r="AI3644" s="6">
        <f>IF(SalesData[[#This Row],[Contracts Signed]]=0,0,SalesData[[#This Row],[Profit(€)]]/SalesData[[#This Row],[Contracts Signed]])</f>
        <v>2002</v>
      </c>
      <c r="AJ3644" s="5" t="str">
        <f>TRIM(CLEAN(SalesData[[#This Row],[Retailer]]))</f>
        <v>Saxon Wheels</v>
      </c>
    </row>
    <row r="3645" spans="1:36" ht="14.25" hidden="1" x14ac:dyDescent="0.2">
      <c r="A3645" t="s">
        <v>4855</v>
      </c>
      <c r="B3645" s="1">
        <v>46079</v>
      </c>
      <c r="C3645" t="s">
        <v>53</v>
      </c>
      <c r="D3645" t="s">
        <v>100</v>
      </c>
      <c r="E3645" t="s">
        <v>26</v>
      </c>
      <c r="F3645" t="s">
        <v>74</v>
      </c>
      <c r="G3645" t="s">
        <v>75</v>
      </c>
      <c r="H3645" t="s">
        <v>76</v>
      </c>
      <c r="I3645" t="s">
        <v>56</v>
      </c>
      <c r="J3645" t="s">
        <v>179</v>
      </c>
      <c r="K3645" t="s">
        <v>91</v>
      </c>
      <c r="L3645" t="s">
        <v>67</v>
      </c>
      <c r="M3645" t="s">
        <v>68</v>
      </c>
      <c r="N3645" t="s">
        <v>69</v>
      </c>
      <c r="O3645" t="s">
        <v>36</v>
      </c>
      <c r="P3645" t="s">
        <v>37</v>
      </c>
      <c r="Q3645" t="s">
        <v>144</v>
      </c>
      <c r="R3645">
        <v>173</v>
      </c>
      <c r="S3645">
        <v>95</v>
      </c>
      <c r="T3645">
        <v>68</v>
      </c>
      <c r="U3645">
        <v>21</v>
      </c>
      <c r="V3645" t="s">
        <v>6864</v>
      </c>
      <c r="W3645">
        <v>42549</v>
      </c>
      <c r="X3645" t="s">
        <v>7255</v>
      </c>
      <c r="Y3645">
        <v>32711</v>
      </c>
      <c r="Z3645">
        <v>893529</v>
      </c>
      <c r="AA3645">
        <v>206598</v>
      </c>
      <c r="AB3645" t="str">
        <f>(VLOOKUP(SalesData[[#This Row],[Month Number]],Reference!C$5:E$16,2,FALSE))</f>
        <v>Feb</v>
      </c>
      <c r="AC3645">
        <f>MONTH(SalesData[[#This Row],[Date]])</f>
        <v>2</v>
      </c>
      <c r="AD3645">
        <f>Reference!F$4</f>
        <v>2026</v>
      </c>
      <c r="AE3645" t="str">
        <f>IF(OR(SalesData[[#This Row],[Day]]="Saturday",SalesData[[#This Row],[Day]]="Sunday"),"Weekend","Weekday")</f>
        <v>Weekday</v>
      </c>
      <c r="AF3645" s="5">
        <f>IF(SalesData[[#This Row],[Contracts Offered]]=0,0,SalesData[[#This Row],[Contracts Signed]]/SalesData[[#This Row],[Contracts Offered]])</f>
        <v>0.30882352941176472</v>
      </c>
      <c r="AG3645" s="5">
        <f>IF(SalesData[[#This Row],[Customers Visited]]=0,0,SalesData[[#This Row],[Test Drives]]/SalesData[[#This Row],[Customers Visited]])</f>
        <v>0.54913294797687862</v>
      </c>
      <c r="AH3645" s="5">
        <f>IF(SalesData[[#This Row],[Customers Visited]]=0,0,SalesData[[#This Row],[Contracts Signed]]/SalesData[[#This Row],[Customers Visited]])</f>
        <v>0.12138728323699421</v>
      </c>
      <c r="AI3645" s="6">
        <f>IF(SalesData[[#This Row],[Contracts Signed]]=0,0,SalesData[[#This Row],[Profit(€)]]/SalesData[[#This Row],[Contracts Signed]])</f>
        <v>9838</v>
      </c>
      <c r="AJ3645" s="5" t="str">
        <f>TRIM(CLEAN(SalesData[[#This Row],[Retailer]]))</f>
        <v>Stuttgart Auto Center</v>
      </c>
    </row>
    <row r="3646" spans="1:36" ht="14.25" hidden="1" x14ac:dyDescent="0.2">
      <c r="A3646" t="s">
        <v>4856</v>
      </c>
      <c r="B3646" s="1">
        <v>46060</v>
      </c>
      <c r="C3646" t="s">
        <v>24</v>
      </c>
      <c r="D3646" t="s">
        <v>151</v>
      </c>
      <c r="E3646" t="s">
        <v>42</v>
      </c>
      <c r="F3646" t="s">
        <v>94</v>
      </c>
      <c r="G3646" t="s">
        <v>95</v>
      </c>
      <c r="H3646" t="s">
        <v>96</v>
      </c>
      <c r="I3646" t="s">
        <v>116</v>
      </c>
      <c r="J3646" t="s">
        <v>7090</v>
      </c>
      <c r="K3646" t="s">
        <v>32</v>
      </c>
      <c r="L3646" t="s">
        <v>46</v>
      </c>
      <c r="M3646" t="s">
        <v>47</v>
      </c>
      <c r="N3646" t="s">
        <v>48</v>
      </c>
      <c r="O3646" t="s">
        <v>70</v>
      </c>
      <c r="P3646" t="s">
        <v>71</v>
      </c>
      <c r="Q3646" t="s">
        <v>144</v>
      </c>
      <c r="R3646">
        <v>388</v>
      </c>
      <c r="S3646">
        <v>175</v>
      </c>
      <c r="T3646">
        <v>101</v>
      </c>
      <c r="U3646">
        <v>28</v>
      </c>
      <c r="V3646" t="s">
        <v>333</v>
      </c>
      <c r="W3646">
        <v>22479</v>
      </c>
      <c r="X3646" t="s">
        <v>3197</v>
      </c>
      <c r="Y3646">
        <v>20714</v>
      </c>
      <c r="Z3646">
        <v>629412</v>
      </c>
      <c r="AA3646">
        <v>49420</v>
      </c>
      <c r="AB3646" t="str">
        <f>(VLOOKUP(SalesData[[#This Row],[Month Number]],Reference!C$5:E$16,2,FALSE))</f>
        <v>Feb</v>
      </c>
      <c r="AC3646">
        <f>MONTH(SalesData[[#This Row],[Date]])</f>
        <v>2</v>
      </c>
      <c r="AD3646">
        <f>Reference!F$4</f>
        <v>2026</v>
      </c>
      <c r="AE3646" t="str">
        <f>IF(OR(SalesData[[#This Row],[Day]]="Saturday",SalesData[[#This Row],[Day]]="Sunday"),"Weekend","Weekday")</f>
        <v>Weekend</v>
      </c>
      <c r="AF3646" s="5">
        <f>IF(SalesData[[#This Row],[Contracts Offered]]=0,0,SalesData[[#This Row],[Contracts Signed]]/SalesData[[#This Row],[Contracts Offered]])</f>
        <v>0.27722772277227725</v>
      </c>
      <c r="AG3646" s="5">
        <f>IF(SalesData[[#This Row],[Customers Visited]]=0,0,SalesData[[#This Row],[Test Drives]]/SalesData[[#This Row],[Customers Visited]])</f>
        <v>0.45103092783505155</v>
      </c>
      <c r="AH3646" s="5">
        <f>IF(SalesData[[#This Row],[Customers Visited]]=0,0,SalesData[[#This Row],[Contracts Signed]]/SalesData[[#This Row],[Customers Visited]])</f>
        <v>7.2164948453608241E-2</v>
      </c>
      <c r="AI3646" s="6">
        <f>IF(SalesData[[#This Row],[Contracts Signed]]=0,0,SalesData[[#This Row],[Profit(€)]]/SalesData[[#This Row],[Contracts Signed]])</f>
        <v>1765</v>
      </c>
      <c r="AJ3646" s="5" t="str">
        <f>TRIM(CLEAN(SalesData[[#This Row],[Retailer]]))</f>
        <v>Bavaria Motors</v>
      </c>
    </row>
    <row r="3647" spans="1:36" ht="14.25" hidden="1" x14ac:dyDescent="0.2">
      <c r="A3647" t="s">
        <v>4857</v>
      </c>
      <c r="B3647" s="1">
        <v>46055</v>
      </c>
      <c r="C3647" t="s">
        <v>24</v>
      </c>
      <c r="D3647" t="s">
        <v>25</v>
      </c>
      <c r="E3647" t="s">
        <v>26</v>
      </c>
      <c r="F3647" t="s">
        <v>74</v>
      </c>
      <c r="G3647" t="s">
        <v>75</v>
      </c>
      <c r="H3647" t="s">
        <v>76</v>
      </c>
      <c r="I3647" t="s">
        <v>104</v>
      </c>
      <c r="J3647" t="s">
        <v>105</v>
      </c>
      <c r="K3647" t="s">
        <v>66</v>
      </c>
      <c r="L3647" t="s">
        <v>33</v>
      </c>
      <c r="M3647" t="s">
        <v>34</v>
      </c>
      <c r="N3647" t="s">
        <v>35</v>
      </c>
      <c r="O3647" t="s">
        <v>36</v>
      </c>
      <c r="P3647" t="s">
        <v>58</v>
      </c>
      <c r="Q3647" t="s">
        <v>172</v>
      </c>
      <c r="R3647">
        <v>393</v>
      </c>
      <c r="S3647">
        <v>191</v>
      </c>
      <c r="T3647">
        <v>123</v>
      </c>
      <c r="U3647">
        <v>40</v>
      </c>
      <c r="V3647" t="s">
        <v>7281</v>
      </c>
      <c r="W3647">
        <v>28333</v>
      </c>
      <c r="X3647" t="s">
        <v>676</v>
      </c>
      <c r="Y3647">
        <v>25059</v>
      </c>
      <c r="Z3647">
        <v>1133320</v>
      </c>
      <c r="AA3647">
        <v>130960</v>
      </c>
      <c r="AB3647" t="str">
        <f>(VLOOKUP(SalesData[[#This Row],[Month Number]],Reference!C$5:E$16,2,FALSE))</f>
        <v>Feb</v>
      </c>
      <c r="AC3647">
        <f>MONTH(SalesData[[#This Row],[Date]])</f>
        <v>2</v>
      </c>
      <c r="AD3647">
        <f>Reference!F$4</f>
        <v>2026</v>
      </c>
      <c r="AE3647" t="str">
        <f>IF(OR(SalesData[[#This Row],[Day]]="Saturday",SalesData[[#This Row],[Day]]="Sunday"),"Weekend","Weekday")</f>
        <v>Weekday</v>
      </c>
      <c r="AF3647" s="5">
        <f>IF(SalesData[[#This Row],[Contracts Offered]]=0,0,SalesData[[#This Row],[Contracts Signed]]/SalesData[[#This Row],[Contracts Offered]])</f>
        <v>0.32520325203252032</v>
      </c>
      <c r="AG3647" s="5">
        <f>IF(SalesData[[#This Row],[Customers Visited]]=0,0,SalesData[[#This Row],[Test Drives]]/SalesData[[#This Row],[Customers Visited]])</f>
        <v>0.48600508905852419</v>
      </c>
      <c r="AH3647" s="5">
        <f>IF(SalesData[[#This Row],[Customers Visited]]=0,0,SalesData[[#This Row],[Contracts Signed]]/SalesData[[#This Row],[Customers Visited]])</f>
        <v>0.10178117048346055</v>
      </c>
      <c r="AI3647" s="6">
        <f>IF(SalesData[[#This Row],[Contracts Signed]]=0,0,SalesData[[#This Row],[Profit(€)]]/SalesData[[#This Row],[Contracts Signed]])</f>
        <v>3274</v>
      </c>
      <c r="AJ3647" s="5" t="str">
        <f>TRIM(CLEAN(SalesData[[#This Row],[Retailer]]))</f>
        <v>Stuttgart Auto Center</v>
      </c>
    </row>
    <row r="3648" spans="1:36" ht="14.25" hidden="1" x14ac:dyDescent="0.2">
      <c r="A3648" t="s">
        <v>4858</v>
      </c>
      <c r="B3648" s="1">
        <v>46072</v>
      </c>
      <c r="C3648" t="s">
        <v>62</v>
      </c>
      <c r="D3648" t="s">
        <v>100</v>
      </c>
      <c r="E3648" t="s">
        <v>26</v>
      </c>
      <c r="F3648" t="s">
        <v>7649</v>
      </c>
      <c r="G3648" t="s">
        <v>55</v>
      </c>
      <c r="H3648" t="s">
        <v>55</v>
      </c>
      <c r="I3648" t="s">
        <v>104</v>
      </c>
      <c r="J3648" t="s">
        <v>7061</v>
      </c>
      <c r="K3648" t="s">
        <v>32</v>
      </c>
      <c r="L3648" t="s">
        <v>46</v>
      </c>
      <c r="M3648" t="s">
        <v>87</v>
      </c>
      <c r="N3648" t="s">
        <v>48</v>
      </c>
      <c r="O3648" t="s">
        <v>36</v>
      </c>
      <c r="P3648" t="s">
        <v>37</v>
      </c>
      <c r="Q3648" t="s">
        <v>172</v>
      </c>
      <c r="R3648">
        <v>322</v>
      </c>
      <c r="S3648">
        <v>129</v>
      </c>
      <c r="T3648">
        <v>89</v>
      </c>
      <c r="U3648">
        <v>23</v>
      </c>
      <c r="V3648" t="s">
        <v>3611</v>
      </c>
      <c r="W3648">
        <v>31287</v>
      </c>
      <c r="X3648" t="s">
        <v>1556</v>
      </c>
      <c r="Y3648">
        <v>28296</v>
      </c>
      <c r="Z3648">
        <v>719601</v>
      </c>
      <c r="AA3648">
        <v>68793</v>
      </c>
      <c r="AB3648" t="str">
        <f>(VLOOKUP(SalesData[[#This Row],[Month Number]],Reference!C$5:E$16,2,FALSE))</f>
        <v>Feb</v>
      </c>
      <c r="AC3648">
        <f>MONTH(SalesData[[#This Row],[Date]])</f>
        <v>2</v>
      </c>
      <c r="AD3648">
        <f>Reference!F$4</f>
        <v>2026</v>
      </c>
      <c r="AE3648" t="str">
        <f>IF(OR(SalesData[[#This Row],[Day]]="Saturday",SalesData[[#This Row],[Day]]="Sunday"),"Weekend","Weekday")</f>
        <v>Weekday</v>
      </c>
      <c r="AF3648" s="5">
        <f>IF(SalesData[[#This Row],[Contracts Offered]]=0,0,SalesData[[#This Row],[Contracts Signed]]/SalesData[[#This Row],[Contracts Offered]])</f>
        <v>0.25842696629213485</v>
      </c>
      <c r="AG3648" s="5">
        <f>IF(SalesData[[#This Row],[Customers Visited]]=0,0,SalesData[[#This Row],[Test Drives]]/SalesData[[#This Row],[Customers Visited]])</f>
        <v>0.40062111801242234</v>
      </c>
      <c r="AH3648" s="5">
        <f>IF(SalesData[[#This Row],[Customers Visited]]=0,0,SalesData[[#This Row],[Contracts Signed]]/SalesData[[#This Row],[Customers Visited]])</f>
        <v>7.1428571428571425E-2</v>
      </c>
      <c r="AI3648" s="6">
        <f>IF(SalesData[[#This Row],[Contracts Signed]]=0,0,SalesData[[#This Row],[Profit(€)]]/SalesData[[#This Row],[Contracts Signed]])</f>
        <v>2991</v>
      </c>
      <c r="AJ3648" s="5" t="str">
        <f>TRIM(CLEAN(SalesData[[#This Row],[Retailer]]))</f>
        <v>Autohaus Berlin</v>
      </c>
    </row>
    <row r="3649" spans="1:36" ht="14.25" hidden="1" x14ac:dyDescent="0.2">
      <c r="A3649" t="s">
        <v>4859</v>
      </c>
      <c r="B3649" s="1">
        <v>46068</v>
      </c>
      <c r="C3649" t="s">
        <v>62</v>
      </c>
      <c r="D3649" t="s">
        <v>41</v>
      </c>
      <c r="E3649" t="s">
        <v>42</v>
      </c>
      <c r="F3649" t="s">
        <v>127</v>
      </c>
      <c r="G3649" t="s">
        <v>128</v>
      </c>
      <c r="H3649" t="s">
        <v>103</v>
      </c>
      <c r="I3649" t="s">
        <v>104</v>
      </c>
      <c r="J3649" t="s">
        <v>143</v>
      </c>
      <c r="K3649" t="s">
        <v>78</v>
      </c>
      <c r="L3649" t="s">
        <v>67</v>
      </c>
      <c r="M3649" t="s">
        <v>34</v>
      </c>
      <c r="N3649" t="s">
        <v>35</v>
      </c>
      <c r="O3649" t="s">
        <v>70</v>
      </c>
      <c r="P3649" t="s">
        <v>37</v>
      </c>
      <c r="Q3649" t="s">
        <v>118</v>
      </c>
      <c r="R3649">
        <v>414</v>
      </c>
      <c r="S3649">
        <v>184</v>
      </c>
      <c r="T3649">
        <v>121</v>
      </c>
      <c r="U3649">
        <v>29</v>
      </c>
      <c r="V3649" t="s">
        <v>1327</v>
      </c>
      <c r="W3649">
        <v>32789</v>
      </c>
      <c r="X3649" t="s">
        <v>519</v>
      </c>
      <c r="Y3649">
        <v>29786</v>
      </c>
      <c r="Z3649">
        <v>950881</v>
      </c>
      <c r="AA3649">
        <v>87087</v>
      </c>
      <c r="AB3649" t="str">
        <f>(VLOOKUP(SalesData[[#This Row],[Month Number]],Reference!C$5:E$16,2,FALSE))</f>
        <v>Feb</v>
      </c>
      <c r="AC3649">
        <f>MONTH(SalesData[[#This Row],[Date]])</f>
        <v>2</v>
      </c>
      <c r="AD3649">
        <f>Reference!F$4</f>
        <v>2026</v>
      </c>
      <c r="AE3649" t="str">
        <f>IF(OR(SalesData[[#This Row],[Day]]="Saturday",SalesData[[#This Row],[Day]]="Sunday"),"Weekend","Weekday")</f>
        <v>Weekend</v>
      </c>
      <c r="AF3649" s="5">
        <f>IF(SalesData[[#This Row],[Contracts Offered]]=0,0,SalesData[[#This Row],[Contracts Signed]]/SalesData[[#This Row],[Contracts Offered]])</f>
        <v>0.23966942148760331</v>
      </c>
      <c r="AG3649" s="5">
        <f>IF(SalesData[[#This Row],[Customers Visited]]=0,0,SalesData[[#This Row],[Test Drives]]/SalesData[[#This Row],[Customers Visited]])</f>
        <v>0.44444444444444442</v>
      </c>
      <c r="AH3649" s="5">
        <f>IF(SalesData[[#This Row],[Customers Visited]]=0,0,SalesData[[#This Row],[Contracts Signed]]/SalesData[[#This Row],[Customers Visited]])</f>
        <v>7.0048309178743967E-2</v>
      </c>
      <c r="AI3649" s="6">
        <f>IF(SalesData[[#This Row],[Contracts Signed]]=0,0,SalesData[[#This Row],[Profit(€)]]/SalesData[[#This Row],[Contracts Signed]])</f>
        <v>3003</v>
      </c>
      <c r="AJ3649" s="5" t="str">
        <f>TRIM(CLEAN(SalesData[[#This Row],[Retailer]]))</f>
        <v>Rhein Auto Group</v>
      </c>
    </row>
    <row r="3650" spans="1:36" ht="14.25" x14ac:dyDescent="0.2">
      <c r="A3650" t="s">
        <v>4860</v>
      </c>
      <c r="B3650" s="1">
        <v>46072</v>
      </c>
      <c r="C3650" t="s">
        <v>62</v>
      </c>
      <c r="D3650" t="s">
        <v>100</v>
      </c>
      <c r="E3650" t="s">
        <v>26</v>
      </c>
      <c r="F3650" t="s">
        <v>7649</v>
      </c>
      <c r="G3650" t="s">
        <v>55</v>
      </c>
      <c r="H3650" t="s">
        <v>55</v>
      </c>
      <c r="I3650" t="s">
        <v>30</v>
      </c>
      <c r="J3650" t="s">
        <v>7075</v>
      </c>
      <c r="K3650" t="s">
        <v>66</v>
      </c>
      <c r="L3650" t="s">
        <v>33</v>
      </c>
      <c r="M3650" t="s">
        <v>87</v>
      </c>
      <c r="N3650" t="s">
        <v>48</v>
      </c>
      <c r="O3650" t="s">
        <v>70</v>
      </c>
      <c r="P3650" t="s">
        <v>71</v>
      </c>
      <c r="Q3650" t="s">
        <v>158</v>
      </c>
      <c r="R3650">
        <v>141</v>
      </c>
      <c r="S3650">
        <v>73</v>
      </c>
      <c r="T3650">
        <v>52</v>
      </c>
      <c r="U3650">
        <v>21</v>
      </c>
      <c r="V3650" t="s">
        <v>6407</v>
      </c>
      <c r="W3650">
        <v>67054</v>
      </c>
      <c r="X3650" t="s">
        <v>2061</v>
      </c>
      <c r="Y3650">
        <v>47473</v>
      </c>
      <c r="Z3650">
        <v>1408134</v>
      </c>
      <c r="AA3650">
        <v>411201</v>
      </c>
      <c r="AB3650" t="str">
        <f>(VLOOKUP(SalesData[[#This Row],[Month Number]],Reference!C$5:E$16,2,FALSE))</f>
        <v>Feb</v>
      </c>
      <c r="AC3650">
        <f>MONTH(SalesData[[#This Row],[Date]])</f>
        <v>2</v>
      </c>
      <c r="AD3650">
        <f>Reference!F$4</f>
        <v>2026</v>
      </c>
      <c r="AE3650" t="str">
        <f>IF(OR(SalesData[[#This Row],[Day]]="Saturday",SalesData[[#This Row],[Day]]="Sunday"),"Weekend","Weekday")</f>
        <v>Weekday</v>
      </c>
      <c r="AF3650" s="5">
        <f>IF(SalesData[[#This Row],[Contracts Offered]]=0,0,SalesData[[#This Row],[Contracts Signed]]/SalesData[[#This Row],[Contracts Offered]])</f>
        <v>0.40384615384615385</v>
      </c>
      <c r="AG3650" s="5">
        <f>IF(SalesData[[#This Row],[Customers Visited]]=0,0,SalesData[[#This Row],[Test Drives]]/SalesData[[#This Row],[Customers Visited]])</f>
        <v>0.51773049645390068</v>
      </c>
      <c r="AH3650" s="5">
        <f>IF(SalesData[[#This Row],[Customers Visited]]=0,0,SalesData[[#This Row],[Contracts Signed]]/SalesData[[#This Row],[Customers Visited]])</f>
        <v>0.14893617021276595</v>
      </c>
      <c r="AI3650" s="6">
        <f>IF(SalesData[[#This Row],[Contracts Signed]]=0,0,SalesData[[#This Row],[Profit(€)]]/SalesData[[#This Row],[Contracts Signed]])</f>
        <v>19581</v>
      </c>
      <c r="AJ3650" s="5" t="str">
        <f>TRIM(CLEAN(SalesData[[#This Row],[Retailer]]))</f>
        <v>Autohaus Berlin</v>
      </c>
    </row>
    <row r="3651" spans="1:36" ht="14.25" x14ac:dyDescent="0.2">
      <c r="A3651" t="s">
        <v>4861</v>
      </c>
      <c r="B3651" s="1">
        <v>46057</v>
      </c>
      <c r="C3651" t="s">
        <v>24</v>
      </c>
      <c r="D3651" t="s">
        <v>82</v>
      </c>
      <c r="E3651" t="s">
        <v>26</v>
      </c>
      <c r="F3651" t="s">
        <v>27</v>
      </c>
      <c r="G3651" t="s">
        <v>28</v>
      </c>
      <c r="H3651" t="s">
        <v>29</v>
      </c>
      <c r="I3651" t="s">
        <v>30</v>
      </c>
      <c r="J3651" t="s">
        <v>166</v>
      </c>
      <c r="K3651" t="s">
        <v>78</v>
      </c>
      <c r="L3651" t="s">
        <v>46</v>
      </c>
      <c r="M3651" t="s">
        <v>47</v>
      </c>
      <c r="N3651" t="s">
        <v>48</v>
      </c>
      <c r="O3651" t="s">
        <v>70</v>
      </c>
      <c r="P3651" t="s">
        <v>71</v>
      </c>
      <c r="Q3651" t="s">
        <v>172</v>
      </c>
      <c r="R3651">
        <v>254</v>
      </c>
      <c r="S3651">
        <v>135</v>
      </c>
      <c r="T3651">
        <v>92</v>
      </c>
      <c r="U3651">
        <v>35</v>
      </c>
      <c r="V3651" t="s">
        <v>6604</v>
      </c>
      <c r="W3651">
        <v>53474</v>
      </c>
      <c r="X3651" t="s">
        <v>5878</v>
      </c>
      <c r="Y3651">
        <v>39289</v>
      </c>
      <c r="Z3651">
        <v>1871590</v>
      </c>
      <c r="AA3651">
        <v>496475</v>
      </c>
      <c r="AB3651" t="str">
        <f>(VLOOKUP(SalesData[[#This Row],[Month Number]],Reference!C$5:E$16,2,FALSE))</f>
        <v>Feb</v>
      </c>
      <c r="AC3651">
        <f>MONTH(SalesData[[#This Row],[Date]])</f>
        <v>2</v>
      </c>
      <c r="AD3651">
        <f>Reference!F$4</f>
        <v>2026</v>
      </c>
      <c r="AE3651" t="str">
        <f>IF(OR(SalesData[[#This Row],[Day]]="Saturday",SalesData[[#This Row],[Day]]="Sunday"),"Weekend","Weekday")</f>
        <v>Weekday</v>
      </c>
      <c r="AF3651" s="5">
        <f>IF(SalesData[[#This Row],[Contracts Offered]]=0,0,SalesData[[#This Row],[Contracts Signed]]/SalesData[[#This Row],[Contracts Offered]])</f>
        <v>0.38043478260869568</v>
      </c>
      <c r="AG3651" s="5">
        <f>IF(SalesData[[#This Row],[Customers Visited]]=0,0,SalesData[[#This Row],[Test Drives]]/SalesData[[#This Row],[Customers Visited]])</f>
        <v>0.53149606299212604</v>
      </c>
      <c r="AH3651" s="5">
        <f>IF(SalesData[[#This Row],[Customers Visited]]=0,0,SalesData[[#This Row],[Contracts Signed]]/SalesData[[#This Row],[Customers Visited]])</f>
        <v>0.13779527559055119</v>
      </c>
      <c r="AI3651" s="6">
        <f>IF(SalesData[[#This Row],[Contracts Signed]]=0,0,SalesData[[#This Row],[Profit(€)]]/SalesData[[#This Row],[Contracts Signed]])</f>
        <v>14185</v>
      </c>
      <c r="AJ3651" s="5" t="str">
        <f>TRIM(CLEAN(SalesData[[#This Row],[Retailer]]))</f>
        <v>Main Auto Hub</v>
      </c>
    </row>
    <row r="3652" spans="1:36" ht="14.25" hidden="1" x14ac:dyDescent="0.2">
      <c r="A3652" t="s">
        <v>4862</v>
      </c>
      <c r="B3652" s="1">
        <v>46076</v>
      </c>
      <c r="C3652" t="s">
        <v>53</v>
      </c>
      <c r="D3652" t="s">
        <v>25</v>
      </c>
      <c r="E3652" t="s">
        <v>26</v>
      </c>
      <c r="F3652" t="s">
        <v>109</v>
      </c>
      <c r="G3652" t="s">
        <v>110</v>
      </c>
      <c r="H3652" t="s">
        <v>45</v>
      </c>
      <c r="I3652" t="s">
        <v>56</v>
      </c>
      <c r="J3652" t="s">
        <v>97</v>
      </c>
      <c r="K3652" t="s">
        <v>32</v>
      </c>
      <c r="L3652" t="s">
        <v>33</v>
      </c>
      <c r="M3652" t="s">
        <v>68</v>
      </c>
      <c r="N3652" t="s">
        <v>35</v>
      </c>
      <c r="O3652" t="s">
        <v>36</v>
      </c>
      <c r="P3652" t="s">
        <v>49</v>
      </c>
      <c r="Q3652" t="s">
        <v>129</v>
      </c>
      <c r="R3652">
        <v>263</v>
      </c>
      <c r="S3652">
        <v>121</v>
      </c>
      <c r="T3652">
        <v>91</v>
      </c>
      <c r="U3652">
        <v>25</v>
      </c>
      <c r="V3652" t="s">
        <v>6997</v>
      </c>
      <c r="W3652">
        <v>48504</v>
      </c>
      <c r="X3652" t="s">
        <v>7400</v>
      </c>
      <c r="Y3652">
        <v>38464</v>
      </c>
      <c r="Z3652">
        <v>1212600</v>
      </c>
      <c r="AA3652">
        <v>251000</v>
      </c>
      <c r="AB3652" t="str">
        <f>(VLOOKUP(SalesData[[#This Row],[Month Number]],Reference!C$5:E$16,2,FALSE))</f>
        <v>Feb</v>
      </c>
      <c r="AC3652">
        <f>MONTH(SalesData[[#This Row],[Date]])</f>
        <v>2</v>
      </c>
      <c r="AD3652">
        <f>Reference!F$4</f>
        <v>2026</v>
      </c>
      <c r="AE3652" t="str">
        <f>IF(OR(SalesData[[#This Row],[Day]]="Saturday",SalesData[[#This Row],[Day]]="Sunday"),"Weekend","Weekday")</f>
        <v>Weekday</v>
      </c>
      <c r="AF3652" s="5">
        <f>IF(SalesData[[#This Row],[Contracts Offered]]=0,0,SalesData[[#This Row],[Contracts Signed]]/SalesData[[#This Row],[Contracts Offered]])</f>
        <v>0.27472527472527475</v>
      </c>
      <c r="AG3652" s="5">
        <f>IF(SalesData[[#This Row],[Customers Visited]]=0,0,SalesData[[#This Row],[Test Drives]]/SalesData[[#This Row],[Customers Visited]])</f>
        <v>0.46007604562737642</v>
      </c>
      <c r="AH3652" s="5">
        <f>IF(SalesData[[#This Row],[Customers Visited]]=0,0,SalesData[[#This Row],[Contracts Signed]]/SalesData[[#This Row],[Customers Visited]])</f>
        <v>9.5057034220532313E-2</v>
      </c>
      <c r="AI3652" s="6">
        <f>IF(SalesData[[#This Row],[Contracts Signed]]=0,0,SalesData[[#This Row],[Profit(€)]]/SalesData[[#This Row],[Contracts Signed]])</f>
        <v>10040</v>
      </c>
      <c r="AJ3652" s="5" t="str">
        <f>TRIM(CLEAN(SalesData[[#This Row],[Retailer]]))</f>
        <v>Leipzig Mobility</v>
      </c>
    </row>
    <row r="3653" spans="1:36" ht="14.25" hidden="1" x14ac:dyDescent="0.2">
      <c r="A3653" t="s">
        <v>4863</v>
      </c>
      <c r="B3653" s="1">
        <v>46070</v>
      </c>
      <c r="C3653" t="s">
        <v>62</v>
      </c>
      <c r="D3653" t="s">
        <v>63</v>
      </c>
      <c r="E3653" t="s">
        <v>26</v>
      </c>
      <c r="F3653" t="s">
        <v>101</v>
      </c>
      <c r="G3653" t="s">
        <v>102</v>
      </c>
      <c r="H3653" t="s">
        <v>103</v>
      </c>
      <c r="I3653" t="s">
        <v>64</v>
      </c>
      <c r="J3653" t="s">
        <v>157</v>
      </c>
      <c r="K3653" t="s">
        <v>66</v>
      </c>
      <c r="L3653" t="s">
        <v>33</v>
      </c>
      <c r="M3653" t="s">
        <v>87</v>
      </c>
      <c r="N3653" t="s">
        <v>48</v>
      </c>
      <c r="O3653" t="s">
        <v>36</v>
      </c>
      <c r="P3653" t="s">
        <v>58</v>
      </c>
      <c r="Q3653" t="s">
        <v>204</v>
      </c>
      <c r="R3653">
        <v>217</v>
      </c>
      <c r="S3653">
        <v>117</v>
      </c>
      <c r="T3653">
        <v>79</v>
      </c>
      <c r="U3653">
        <v>34</v>
      </c>
      <c r="V3653" t="s">
        <v>6580</v>
      </c>
      <c r="W3653">
        <v>56359</v>
      </c>
      <c r="X3653" t="s">
        <v>7294</v>
      </c>
      <c r="Y3653">
        <v>43428</v>
      </c>
      <c r="Z3653">
        <v>1916206</v>
      </c>
      <c r="AA3653">
        <v>439654</v>
      </c>
      <c r="AB3653" t="str">
        <f>(VLOOKUP(SalesData[[#This Row],[Month Number]],Reference!C$5:E$16,2,FALSE))</f>
        <v>Feb</v>
      </c>
      <c r="AC3653">
        <f>MONTH(SalesData[[#This Row],[Date]])</f>
        <v>2</v>
      </c>
      <c r="AD3653">
        <f>Reference!F$4</f>
        <v>2026</v>
      </c>
      <c r="AE3653" t="str">
        <f>IF(OR(SalesData[[#This Row],[Day]]="Saturday",SalesData[[#This Row],[Day]]="Sunday"),"Weekend","Weekday")</f>
        <v>Weekday</v>
      </c>
      <c r="AF3653" s="5">
        <f>IF(SalesData[[#This Row],[Contracts Offered]]=0,0,SalesData[[#This Row],[Contracts Signed]]/SalesData[[#This Row],[Contracts Offered]])</f>
        <v>0.43037974683544306</v>
      </c>
      <c r="AG3653" s="5">
        <f>IF(SalesData[[#This Row],[Customers Visited]]=0,0,SalesData[[#This Row],[Test Drives]]/SalesData[[#This Row],[Customers Visited]])</f>
        <v>0.53917050691244239</v>
      </c>
      <c r="AH3653" s="5">
        <f>IF(SalesData[[#This Row],[Customers Visited]]=0,0,SalesData[[#This Row],[Contracts Signed]]/SalesData[[#This Row],[Customers Visited]])</f>
        <v>0.15668202764976957</v>
      </c>
      <c r="AI3653" s="6">
        <f>IF(SalesData[[#This Row],[Contracts Signed]]=0,0,SalesData[[#This Row],[Profit(€)]]/SalesData[[#This Row],[Contracts Signed]])</f>
        <v>12931</v>
      </c>
      <c r="AJ3653" s="5" t="str">
        <f>TRIM(CLEAN(SalesData[[#This Row],[Retailer]]))</f>
        <v>Ruhr Auto Plaza</v>
      </c>
    </row>
    <row r="3654" spans="1:36" ht="14.25" x14ac:dyDescent="0.2">
      <c r="A3654" t="s">
        <v>4864</v>
      </c>
      <c r="B3654" s="1">
        <v>46059</v>
      </c>
      <c r="C3654" t="s">
        <v>24</v>
      </c>
      <c r="D3654" t="s">
        <v>54</v>
      </c>
      <c r="E3654" t="s">
        <v>26</v>
      </c>
      <c r="F3654" t="s">
        <v>94</v>
      </c>
      <c r="G3654" t="s">
        <v>95</v>
      </c>
      <c r="H3654" t="s">
        <v>96</v>
      </c>
      <c r="I3654" t="s">
        <v>30</v>
      </c>
      <c r="J3654" t="s">
        <v>7075</v>
      </c>
      <c r="K3654" t="s">
        <v>32</v>
      </c>
      <c r="L3654" t="s">
        <v>33</v>
      </c>
      <c r="M3654" t="s">
        <v>47</v>
      </c>
      <c r="N3654" t="s">
        <v>69</v>
      </c>
      <c r="O3654" t="s">
        <v>70</v>
      </c>
      <c r="P3654" t="s">
        <v>71</v>
      </c>
      <c r="Q3654" t="s">
        <v>79</v>
      </c>
      <c r="R3654">
        <v>184</v>
      </c>
      <c r="S3654">
        <v>85</v>
      </c>
      <c r="T3654">
        <v>69</v>
      </c>
      <c r="U3654">
        <v>26</v>
      </c>
      <c r="V3654" t="s">
        <v>7159</v>
      </c>
      <c r="W3654">
        <v>66566</v>
      </c>
      <c r="X3654" t="s">
        <v>7260</v>
      </c>
      <c r="Y3654">
        <v>49542</v>
      </c>
      <c r="Z3654">
        <v>1730716</v>
      </c>
      <c r="AA3654">
        <v>442624</v>
      </c>
      <c r="AB3654" t="str">
        <f>(VLOOKUP(SalesData[[#This Row],[Month Number]],Reference!C$5:E$16,2,FALSE))</f>
        <v>Feb</v>
      </c>
      <c r="AC3654">
        <f>MONTH(SalesData[[#This Row],[Date]])</f>
        <v>2</v>
      </c>
      <c r="AD3654">
        <f>Reference!F$4</f>
        <v>2026</v>
      </c>
      <c r="AE3654" t="str">
        <f>IF(OR(SalesData[[#This Row],[Day]]="Saturday",SalesData[[#This Row],[Day]]="Sunday"),"Weekend","Weekday")</f>
        <v>Weekday</v>
      </c>
      <c r="AF3654" s="5">
        <f>IF(SalesData[[#This Row],[Contracts Offered]]=0,0,SalesData[[#This Row],[Contracts Signed]]/SalesData[[#This Row],[Contracts Offered]])</f>
        <v>0.37681159420289856</v>
      </c>
      <c r="AG3654" s="5">
        <f>IF(SalesData[[#This Row],[Customers Visited]]=0,0,SalesData[[#This Row],[Test Drives]]/SalesData[[#This Row],[Customers Visited]])</f>
        <v>0.46195652173913043</v>
      </c>
      <c r="AH3654" s="5">
        <f>IF(SalesData[[#This Row],[Customers Visited]]=0,0,SalesData[[#This Row],[Contracts Signed]]/SalesData[[#This Row],[Customers Visited]])</f>
        <v>0.14130434782608695</v>
      </c>
      <c r="AI3654" s="6">
        <f>IF(SalesData[[#This Row],[Contracts Signed]]=0,0,SalesData[[#This Row],[Profit(€)]]/SalesData[[#This Row],[Contracts Signed]])</f>
        <v>17024</v>
      </c>
      <c r="AJ3654" s="5" t="str">
        <f>TRIM(CLEAN(SalesData[[#This Row],[Retailer]]))</f>
        <v>Bavaria Motors</v>
      </c>
    </row>
    <row r="3655" spans="1:36" ht="14.25" hidden="1" x14ac:dyDescent="0.2">
      <c r="A3655" t="s">
        <v>4865</v>
      </c>
      <c r="B3655" s="1">
        <v>46065</v>
      </c>
      <c r="C3655" t="s">
        <v>121</v>
      </c>
      <c r="D3655" t="s">
        <v>100</v>
      </c>
      <c r="E3655" t="s">
        <v>26</v>
      </c>
      <c r="F3655" t="s">
        <v>7649</v>
      </c>
      <c r="G3655" t="s">
        <v>55</v>
      </c>
      <c r="H3655" t="s">
        <v>55</v>
      </c>
      <c r="I3655" t="s">
        <v>116</v>
      </c>
      <c r="J3655" t="s">
        <v>203</v>
      </c>
      <c r="K3655" t="s">
        <v>32</v>
      </c>
      <c r="L3655" t="s">
        <v>67</v>
      </c>
      <c r="M3655" t="s">
        <v>68</v>
      </c>
      <c r="N3655" t="s">
        <v>48</v>
      </c>
      <c r="O3655" t="s">
        <v>36</v>
      </c>
      <c r="P3655" t="s">
        <v>58</v>
      </c>
      <c r="Q3655" t="s">
        <v>59</v>
      </c>
      <c r="R3655">
        <v>302</v>
      </c>
      <c r="S3655">
        <v>165</v>
      </c>
      <c r="T3655">
        <v>106</v>
      </c>
      <c r="U3655">
        <v>30</v>
      </c>
      <c r="V3655" t="s">
        <v>752</v>
      </c>
      <c r="W3655">
        <v>25668</v>
      </c>
      <c r="X3655" t="s">
        <v>7379</v>
      </c>
      <c r="Y3655">
        <v>23483</v>
      </c>
      <c r="Z3655">
        <v>770040</v>
      </c>
      <c r="AA3655">
        <v>65550</v>
      </c>
      <c r="AB3655" t="str">
        <f>(VLOOKUP(SalesData[[#This Row],[Month Number]],Reference!C$5:E$16,2,FALSE))</f>
        <v>Feb</v>
      </c>
      <c r="AC3655">
        <f>MONTH(SalesData[[#This Row],[Date]])</f>
        <v>2</v>
      </c>
      <c r="AD3655">
        <f>Reference!F$4</f>
        <v>2026</v>
      </c>
      <c r="AE3655" t="str">
        <f>IF(OR(SalesData[[#This Row],[Day]]="Saturday",SalesData[[#This Row],[Day]]="Sunday"),"Weekend","Weekday")</f>
        <v>Weekday</v>
      </c>
      <c r="AF3655" s="5">
        <f>IF(SalesData[[#This Row],[Contracts Offered]]=0,0,SalesData[[#This Row],[Contracts Signed]]/SalesData[[#This Row],[Contracts Offered]])</f>
        <v>0.28301886792452829</v>
      </c>
      <c r="AG3655" s="5">
        <f>IF(SalesData[[#This Row],[Customers Visited]]=0,0,SalesData[[#This Row],[Test Drives]]/SalesData[[#This Row],[Customers Visited]])</f>
        <v>0.54635761589403975</v>
      </c>
      <c r="AH3655" s="5">
        <f>IF(SalesData[[#This Row],[Customers Visited]]=0,0,SalesData[[#This Row],[Contracts Signed]]/SalesData[[#This Row],[Customers Visited]])</f>
        <v>9.9337748344370855E-2</v>
      </c>
      <c r="AI3655" s="6">
        <f>IF(SalesData[[#This Row],[Contracts Signed]]=0,0,SalesData[[#This Row],[Profit(€)]]/SalesData[[#This Row],[Contracts Signed]])</f>
        <v>2185</v>
      </c>
      <c r="AJ3655" s="5" t="str">
        <f>TRIM(CLEAN(SalesData[[#This Row],[Retailer]]))</f>
        <v>Autohaus Berlin</v>
      </c>
    </row>
    <row r="3656" spans="1:36" ht="14.25" x14ac:dyDescent="0.2">
      <c r="A3656" t="s">
        <v>4866</v>
      </c>
      <c r="B3656" s="1">
        <v>46054</v>
      </c>
      <c r="C3656" t="s">
        <v>24</v>
      </c>
      <c r="D3656" t="s">
        <v>41</v>
      </c>
      <c r="E3656" t="s">
        <v>42</v>
      </c>
      <c r="F3656" t="s">
        <v>7649</v>
      </c>
      <c r="G3656" t="s">
        <v>55</v>
      </c>
      <c r="H3656" t="s">
        <v>55</v>
      </c>
      <c r="I3656" t="s">
        <v>30</v>
      </c>
      <c r="J3656" t="s">
        <v>31</v>
      </c>
      <c r="K3656" t="s">
        <v>66</v>
      </c>
      <c r="L3656" t="s">
        <v>46</v>
      </c>
      <c r="M3656" t="s">
        <v>68</v>
      </c>
      <c r="N3656" t="s">
        <v>35</v>
      </c>
      <c r="O3656" t="s">
        <v>70</v>
      </c>
      <c r="P3656" t="s">
        <v>49</v>
      </c>
      <c r="Q3656" t="s">
        <v>169</v>
      </c>
      <c r="R3656">
        <v>234</v>
      </c>
      <c r="S3656">
        <v>124</v>
      </c>
      <c r="T3656">
        <v>100</v>
      </c>
      <c r="U3656">
        <v>35</v>
      </c>
      <c r="V3656" t="s">
        <v>6860</v>
      </c>
      <c r="W3656">
        <v>66367</v>
      </c>
      <c r="X3656" t="s">
        <v>2061</v>
      </c>
      <c r="Y3656">
        <v>49134</v>
      </c>
      <c r="Z3656">
        <v>2322845</v>
      </c>
      <c r="AA3656">
        <v>603155</v>
      </c>
      <c r="AB3656" t="str">
        <f>(VLOOKUP(SalesData[[#This Row],[Month Number]],Reference!C$5:E$16,2,FALSE))</f>
        <v>Feb</v>
      </c>
      <c r="AC3656">
        <f>MONTH(SalesData[[#This Row],[Date]])</f>
        <v>2</v>
      </c>
      <c r="AD3656">
        <f>Reference!F$4</f>
        <v>2026</v>
      </c>
      <c r="AE3656" t="str">
        <f>IF(OR(SalesData[[#This Row],[Day]]="Saturday",SalesData[[#This Row],[Day]]="Sunday"),"Weekend","Weekday")</f>
        <v>Weekend</v>
      </c>
      <c r="AF3656" s="5">
        <f>IF(SalesData[[#This Row],[Contracts Offered]]=0,0,SalesData[[#This Row],[Contracts Signed]]/SalesData[[#This Row],[Contracts Offered]])</f>
        <v>0.35</v>
      </c>
      <c r="AG3656" s="5">
        <f>IF(SalesData[[#This Row],[Customers Visited]]=0,0,SalesData[[#This Row],[Test Drives]]/SalesData[[#This Row],[Customers Visited]])</f>
        <v>0.52991452991452992</v>
      </c>
      <c r="AH3656" s="5">
        <f>IF(SalesData[[#This Row],[Customers Visited]]=0,0,SalesData[[#This Row],[Contracts Signed]]/SalesData[[#This Row],[Customers Visited]])</f>
        <v>0.14957264957264957</v>
      </c>
      <c r="AI3656" s="6">
        <f>IF(SalesData[[#This Row],[Contracts Signed]]=0,0,SalesData[[#This Row],[Profit(€)]]/SalesData[[#This Row],[Contracts Signed]])</f>
        <v>17233</v>
      </c>
      <c r="AJ3656" s="5" t="str">
        <f>TRIM(CLEAN(SalesData[[#This Row],[Retailer]]))</f>
        <v>Autohaus Berlin</v>
      </c>
    </row>
    <row r="3657" spans="1:36" ht="14.25" hidden="1" x14ac:dyDescent="0.2">
      <c r="A3657" t="s">
        <v>4867</v>
      </c>
      <c r="B3657" s="1">
        <v>46070</v>
      </c>
      <c r="C3657" t="s">
        <v>62</v>
      </c>
      <c r="D3657" t="s">
        <v>63</v>
      </c>
      <c r="E3657" t="s">
        <v>26</v>
      </c>
      <c r="F3657" t="s">
        <v>83</v>
      </c>
      <c r="G3657" t="s">
        <v>84</v>
      </c>
      <c r="H3657" t="s">
        <v>85</v>
      </c>
      <c r="I3657" t="s">
        <v>116</v>
      </c>
      <c r="J3657" t="s">
        <v>7090</v>
      </c>
      <c r="K3657" t="s">
        <v>91</v>
      </c>
      <c r="L3657" t="s">
        <v>46</v>
      </c>
      <c r="M3657" t="s">
        <v>87</v>
      </c>
      <c r="N3657" t="s">
        <v>69</v>
      </c>
      <c r="O3657" t="s">
        <v>70</v>
      </c>
      <c r="P3657" t="s">
        <v>71</v>
      </c>
      <c r="Q3657" t="s">
        <v>38</v>
      </c>
      <c r="R3657">
        <v>308</v>
      </c>
      <c r="S3657">
        <v>144</v>
      </c>
      <c r="T3657">
        <v>92</v>
      </c>
      <c r="U3657">
        <v>21</v>
      </c>
      <c r="V3657" t="s">
        <v>661</v>
      </c>
      <c r="W3657">
        <v>26270</v>
      </c>
      <c r="X3657" t="s">
        <v>130</v>
      </c>
      <c r="Y3657">
        <v>24081</v>
      </c>
      <c r="Z3657">
        <v>551670</v>
      </c>
      <c r="AA3657">
        <v>45969</v>
      </c>
      <c r="AB3657" t="str">
        <f>(VLOOKUP(SalesData[[#This Row],[Month Number]],Reference!C$5:E$16,2,FALSE))</f>
        <v>Feb</v>
      </c>
      <c r="AC3657">
        <f>MONTH(SalesData[[#This Row],[Date]])</f>
        <v>2</v>
      </c>
      <c r="AD3657">
        <f>Reference!F$4</f>
        <v>2026</v>
      </c>
      <c r="AE3657" t="str">
        <f>IF(OR(SalesData[[#This Row],[Day]]="Saturday",SalesData[[#This Row],[Day]]="Sunday"),"Weekend","Weekday")</f>
        <v>Weekday</v>
      </c>
      <c r="AF3657" s="5">
        <f>IF(SalesData[[#This Row],[Contracts Offered]]=0,0,SalesData[[#This Row],[Contracts Signed]]/SalesData[[#This Row],[Contracts Offered]])</f>
        <v>0.22826086956521738</v>
      </c>
      <c r="AG3657" s="5">
        <f>IF(SalesData[[#This Row],[Customers Visited]]=0,0,SalesData[[#This Row],[Test Drives]]/SalesData[[#This Row],[Customers Visited]])</f>
        <v>0.46753246753246752</v>
      </c>
      <c r="AH3657" s="5">
        <f>IF(SalesData[[#This Row],[Customers Visited]]=0,0,SalesData[[#This Row],[Contracts Signed]]/SalesData[[#This Row],[Customers Visited]])</f>
        <v>6.8181818181818177E-2</v>
      </c>
      <c r="AI3657" s="6">
        <f>IF(SalesData[[#This Row],[Contracts Signed]]=0,0,SalesData[[#This Row],[Profit(€)]]/SalesData[[#This Row],[Contracts Signed]])</f>
        <v>2189</v>
      </c>
      <c r="AJ3657" s="5" t="str">
        <f>TRIM(CLEAN(SalesData[[#This Row],[Retailer]]))</f>
        <v>Hannover Cars</v>
      </c>
    </row>
    <row r="3658" spans="1:36" ht="14.25" x14ac:dyDescent="0.2">
      <c r="A3658" t="s">
        <v>4868</v>
      </c>
      <c r="B3658" s="1">
        <v>46064</v>
      </c>
      <c r="C3658" t="s">
        <v>121</v>
      </c>
      <c r="D3658" t="s">
        <v>82</v>
      </c>
      <c r="E3658" t="s">
        <v>26</v>
      </c>
      <c r="F3658" t="s">
        <v>83</v>
      </c>
      <c r="G3658" t="s">
        <v>84</v>
      </c>
      <c r="H3658" t="s">
        <v>85</v>
      </c>
      <c r="I3658" t="s">
        <v>30</v>
      </c>
      <c r="J3658" t="s">
        <v>166</v>
      </c>
      <c r="K3658" t="s">
        <v>78</v>
      </c>
      <c r="L3658" t="s">
        <v>46</v>
      </c>
      <c r="M3658" t="s">
        <v>87</v>
      </c>
      <c r="N3658" t="s">
        <v>69</v>
      </c>
      <c r="O3658" t="s">
        <v>36</v>
      </c>
      <c r="P3658" t="s">
        <v>71</v>
      </c>
      <c r="Q3658" t="s">
        <v>240</v>
      </c>
      <c r="R3658">
        <v>216</v>
      </c>
      <c r="S3658">
        <v>131</v>
      </c>
      <c r="T3658">
        <v>93</v>
      </c>
      <c r="U3658">
        <v>41</v>
      </c>
      <c r="V3658" t="s">
        <v>7547</v>
      </c>
      <c r="W3658">
        <v>64524</v>
      </c>
      <c r="X3658" t="s">
        <v>1215</v>
      </c>
      <c r="Y3658">
        <v>49300</v>
      </c>
      <c r="Z3658">
        <v>2645484</v>
      </c>
      <c r="AA3658">
        <v>624184</v>
      </c>
      <c r="AB3658" t="str">
        <f>(VLOOKUP(SalesData[[#This Row],[Month Number]],Reference!C$5:E$16,2,FALSE))</f>
        <v>Feb</v>
      </c>
      <c r="AC3658">
        <f>MONTH(SalesData[[#This Row],[Date]])</f>
        <v>2</v>
      </c>
      <c r="AD3658">
        <f>Reference!F$4</f>
        <v>2026</v>
      </c>
      <c r="AE3658" t="str">
        <f>IF(OR(SalesData[[#This Row],[Day]]="Saturday",SalesData[[#This Row],[Day]]="Sunday"),"Weekend","Weekday")</f>
        <v>Weekday</v>
      </c>
      <c r="AF3658" s="5">
        <f>IF(SalesData[[#This Row],[Contracts Offered]]=0,0,SalesData[[#This Row],[Contracts Signed]]/SalesData[[#This Row],[Contracts Offered]])</f>
        <v>0.44086021505376344</v>
      </c>
      <c r="AG3658" s="5">
        <f>IF(SalesData[[#This Row],[Customers Visited]]=0,0,SalesData[[#This Row],[Test Drives]]/SalesData[[#This Row],[Customers Visited]])</f>
        <v>0.60648148148148151</v>
      </c>
      <c r="AH3658" s="5">
        <f>IF(SalesData[[#This Row],[Customers Visited]]=0,0,SalesData[[#This Row],[Contracts Signed]]/SalesData[[#This Row],[Customers Visited]])</f>
        <v>0.18981481481481483</v>
      </c>
      <c r="AI3658" s="6">
        <f>IF(SalesData[[#This Row],[Contracts Signed]]=0,0,SalesData[[#This Row],[Profit(€)]]/SalesData[[#This Row],[Contracts Signed]])</f>
        <v>15224</v>
      </c>
      <c r="AJ3658" s="5" t="str">
        <f>TRIM(CLEAN(SalesData[[#This Row],[Retailer]]))</f>
        <v>Hannover Cars</v>
      </c>
    </row>
    <row r="3659" spans="1:36" ht="14.25" x14ac:dyDescent="0.2">
      <c r="A3659" t="s">
        <v>4869</v>
      </c>
      <c r="B3659" s="1">
        <v>46071</v>
      </c>
      <c r="C3659" t="s">
        <v>62</v>
      </c>
      <c r="D3659" t="s">
        <v>82</v>
      </c>
      <c r="E3659" t="s">
        <v>26</v>
      </c>
      <c r="F3659" t="s">
        <v>7649</v>
      </c>
      <c r="G3659" t="s">
        <v>55</v>
      </c>
      <c r="H3659" t="s">
        <v>55</v>
      </c>
      <c r="I3659" t="s">
        <v>30</v>
      </c>
      <c r="J3659" t="s">
        <v>166</v>
      </c>
      <c r="K3659" t="s">
        <v>66</v>
      </c>
      <c r="L3659" t="s">
        <v>46</v>
      </c>
      <c r="M3659" t="s">
        <v>34</v>
      </c>
      <c r="N3659" t="s">
        <v>35</v>
      </c>
      <c r="O3659" t="s">
        <v>70</v>
      </c>
      <c r="P3659" t="s">
        <v>71</v>
      </c>
      <c r="Q3659" t="s">
        <v>172</v>
      </c>
      <c r="R3659">
        <v>224</v>
      </c>
      <c r="S3659">
        <v>128</v>
      </c>
      <c r="T3659">
        <v>94</v>
      </c>
      <c r="U3659">
        <v>40</v>
      </c>
      <c r="V3659" t="s">
        <v>7076</v>
      </c>
      <c r="W3659">
        <v>69397</v>
      </c>
      <c r="X3659" t="s">
        <v>7108</v>
      </c>
      <c r="Y3659">
        <v>50608</v>
      </c>
      <c r="Z3659">
        <v>2775880</v>
      </c>
      <c r="AA3659">
        <v>751560</v>
      </c>
      <c r="AB3659" t="str">
        <f>(VLOOKUP(SalesData[[#This Row],[Month Number]],Reference!C$5:E$16,2,FALSE))</f>
        <v>Feb</v>
      </c>
      <c r="AC3659">
        <f>MONTH(SalesData[[#This Row],[Date]])</f>
        <v>2</v>
      </c>
      <c r="AD3659">
        <f>Reference!F$4</f>
        <v>2026</v>
      </c>
      <c r="AE3659" t="str">
        <f>IF(OR(SalesData[[#This Row],[Day]]="Saturday",SalesData[[#This Row],[Day]]="Sunday"),"Weekend","Weekday")</f>
        <v>Weekday</v>
      </c>
      <c r="AF3659" s="5">
        <f>IF(SalesData[[#This Row],[Contracts Offered]]=0,0,SalesData[[#This Row],[Contracts Signed]]/SalesData[[#This Row],[Contracts Offered]])</f>
        <v>0.42553191489361702</v>
      </c>
      <c r="AG3659" s="5">
        <f>IF(SalesData[[#This Row],[Customers Visited]]=0,0,SalesData[[#This Row],[Test Drives]]/SalesData[[#This Row],[Customers Visited]])</f>
        <v>0.5714285714285714</v>
      </c>
      <c r="AH3659" s="5">
        <f>IF(SalesData[[#This Row],[Customers Visited]]=0,0,SalesData[[#This Row],[Contracts Signed]]/SalesData[[#This Row],[Customers Visited]])</f>
        <v>0.17857142857142858</v>
      </c>
      <c r="AI3659" s="6">
        <f>IF(SalesData[[#This Row],[Contracts Signed]]=0,0,SalesData[[#This Row],[Profit(€)]]/SalesData[[#This Row],[Contracts Signed]])</f>
        <v>18789</v>
      </c>
      <c r="AJ3659" s="5" t="str">
        <f>TRIM(CLEAN(SalesData[[#This Row],[Retailer]]))</f>
        <v>Autohaus Berlin</v>
      </c>
    </row>
    <row r="3660" spans="1:36" ht="14.25" hidden="1" x14ac:dyDescent="0.2">
      <c r="A3660" t="s">
        <v>4870</v>
      </c>
      <c r="B3660" s="1">
        <v>46080</v>
      </c>
      <c r="C3660" t="s">
        <v>53</v>
      </c>
      <c r="D3660" t="s">
        <v>54</v>
      </c>
      <c r="E3660" t="s">
        <v>26</v>
      </c>
      <c r="F3660" t="s">
        <v>74</v>
      </c>
      <c r="G3660" t="s">
        <v>75</v>
      </c>
      <c r="H3660" t="s">
        <v>76</v>
      </c>
      <c r="I3660" t="s">
        <v>64</v>
      </c>
      <c r="J3660" t="s">
        <v>7029</v>
      </c>
      <c r="K3660" t="s">
        <v>66</v>
      </c>
      <c r="L3660" t="s">
        <v>33</v>
      </c>
      <c r="M3660" t="s">
        <v>87</v>
      </c>
      <c r="N3660" t="s">
        <v>69</v>
      </c>
      <c r="O3660" t="s">
        <v>70</v>
      </c>
      <c r="P3660" t="s">
        <v>71</v>
      </c>
      <c r="Q3660" t="s">
        <v>88</v>
      </c>
      <c r="R3660">
        <v>197</v>
      </c>
      <c r="S3660">
        <v>114</v>
      </c>
      <c r="T3660">
        <v>83</v>
      </c>
      <c r="U3660">
        <v>27</v>
      </c>
      <c r="V3660" t="s">
        <v>6441</v>
      </c>
      <c r="W3660">
        <v>63098</v>
      </c>
      <c r="X3660" t="s">
        <v>7326</v>
      </c>
      <c r="Y3660">
        <v>45543</v>
      </c>
      <c r="Z3660">
        <v>1703646</v>
      </c>
      <c r="AA3660">
        <v>473985</v>
      </c>
      <c r="AB3660" t="str">
        <f>(VLOOKUP(SalesData[[#This Row],[Month Number]],Reference!C$5:E$16,2,FALSE))</f>
        <v>Feb</v>
      </c>
      <c r="AC3660">
        <f>MONTH(SalesData[[#This Row],[Date]])</f>
        <v>2</v>
      </c>
      <c r="AD3660">
        <f>Reference!F$4</f>
        <v>2026</v>
      </c>
      <c r="AE3660" t="str">
        <f>IF(OR(SalesData[[#This Row],[Day]]="Saturday",SalesData[[#This Row],[Day]]="Sunday"),"Weekend","Weekday")</f>
        <v>Weekday</v>
      </c>
      <c r="AF3660" s="5">
        <f>IF(SalesData[[#This Row],[Contracts Offered]]=0,0,SalesData[[#This Row],[Contracts Signed]]/SalesData[[#This Row],[Contracts Offered]])</f>
        <v>0.3253012048192771</v>
      </c>
      <c r="AG3660" s="5">
        <f>IF(SalesData[[#This Row],[Customers Visited]]=0,0,SalesData[[#This Row],[Test Drives]]/SalesData[[#This Row],[Customers Visited]])</f>
        <v>0.57868020304568524</v>
      </c>
      <c r="AH3660" s="5">
        <f>IF(SalesData[[#This Row],[Customers Visited]]=0,0,SalesData[[#This Row],[Contracts Signed]]/SalesData[[#This Row],[Customers Visited]])</f>
        <v>0.13705583756345177</v>
      </c>
      <c r="AI3660" s="6">
        <f>IF(SalesData[[#This Row],[Contracts Signed]]=0,0,SalesData[[#This Row],[Profit(€)]]/SalesData[[#This Row],[Contracts Signed]])</f>
        <v>17555</v>
      </c>
      <c r="AJ3660" s="5" t="str">
        <f>TRIM(CLEAN(SalesData[[#This Row],[Retailer]]))</f>
        <v>Stuttgart Auto Center</v>
      </c>
    </row>
    <row r="3661" spans="1:36" ht="14.25" hidden="1" x14ac:dyDescent="0.2">
      <c r="A3661" t="s">
        <v>4871</v>
      </c>
      <c r="B3661" s="1">
        <v>46069</v>
      </c>
      <c r="C3661" t="s">
        <v>62</v>
      </c>
      <c r="D3661" t="s">
        <v>25</v>
      </c>
      <c r="E3661" t="s">
        <v>26</v>
      </c>
      <c r="F3661" t="s">
        <v>74</v>
      </c>
      <c r="G3661" t="s">
        <v>75</v>
      </c>
      <c r="H3661" t="s">
        <v>76</v>
      </c>
      <c r="I3661" t="s">
        <v>64</v>
      </c>
      <c r="J3661" t="s">
        <v>111</v>
      </c>
      <c r="K3661" t="s">
        <v>78</v>
      </c>
      <c r="L3661" t="s">
        <v>46</v>
      </c>
      <c r="M3661" t="s">
        <v>47</v>
      </c>
      <c r="N3661" t="s">
        <v>35</v>
      </c>
      <c r="O3661" t="s">
        <v>70</v>
      </c>
      <c r="P3661" t="s">
        <v>71</v>
      </c>
      <c r="Q3661" t="s">
        <v>144</v>
      </c>
      <c r="R3661">
        <v>207</v>
      </c>
      <c r="S3661">
        <v>122</v>
      </c>
      <c r="T3661">
        <v>85</v>
      </c>
      <c r="U3661">
        <v>30</v>
      </c>
      <c r="V3661" t="s">
        <v>6481</v>
      </c>
      <c r="W3661">
        <v>60813</v>
      </c>
      <c r="X3661" t="s">
        <v>4573</v>
      </c>
      <c r="Y3661">
        <v>45442</v>
      </c>
      <c r="Z3661">
        <v>1824390</v>
      </c>
      <c r="AA3661">
        <v>461130</v>
      </c>
      <c r="AB3661" t="str">
        <f>(VLOOKUP(SalesData[[#This Row],[Month Number]],Reference!C$5:E$16,2,FALSE))</f>
        <v>Feb</v>
      </c>
      <c r="AC3661">
        <f>MONTH(SalesData[[#This Row],[Date]])</f>
        <v>2</v>
      </c>
      <c r="AD3661">
        <f>Reference!F$4</f>
        <v>2026</v>
      </c>
      <c r="AE3661" t="str">
        <f>IF(OR(SalesData[[#This Row],[Day]]="Saturday",SalesData[[#This Row],[Day]]="Sunday"),"Weekend","Weekday")</f>
        <v>Weekday</v>
      </c>
      <c r="AF3661" s="5">
        <f>IF(SalesData[[#This Row],[Contracts Offered]]=0,0,SalesData[[#This Row],[Contracts Signed]]/SalesData[[#This Row],[Contracts Offered]])</f>
        <v>0.35294117647058826</v>
      </c>
      <c r="AG3661" s="5">
        <f>IF(SalesData[[#This Row],[Customers Visited]]=0,0,SalesData[[#This Row],[Test Drives]]/SalesData[[#This Row],[Customers Visited]])</f>
        <v>0.58937198067632846</v>
      </c>
      <c r="AH3661" s="5">
        <f>IF(SalesData[[#This Row],[Customers Visited]]=0,0,SalesData[[#This Row],[Contracts Signed]]/SalesData[[#This Row],[Customers Visited]])</f>
        <v>0.14492753623188406</v>
      </c>
      <c r="AI3661" s="6">
        <f>IF(SalesData[[#This Row],[Contracts Signed]]=0,0,SalesData[[#This Row],[Profit(€)]]/SalesData[[#This Row],[Contracts Signed]])</f>
        <v>15371</v>
      </c>
      <c r="AJ3661" s="5" t="str">
        <f>TRIM(CLEAN(SalesData[[#This Row],[Retailer]]))</f>
        <v>Stuttgart Auto Center</v>
      </c>
    </row>
    <row r="3662" spans="1:36" ht="14.25" hidden="1" x14ac:dyDescent="0.2">
      <c r="A3662" t="s">
        <v>4872</v>
      </c>
      <c r="B3662" s="1">
        <v>46066</v>
      </c>
      <c r="C3662" t="s">
        <v>121</v>
      </c>
      <c r="D3662" t="s">
        <v>54</v>
      </c>
      <c r="E3662" t="s">
        <v>26</v>
      </c>
      <c r="F3662" t="s">
        <v>27</v>
      </c>
      <c r="G3662" t="s">
        <v>28</v>
      </c>
      <c r="H3662" t="s">
        <v>29</v>
      </c>
      <c r="I3662" t="s">
        <v>116</v>
      </c>
      <c r="J3662" t="s">
        <v>117</v>
      </c>
      <c r="K3662" t="s">
        <v>91</v>
      </c>
      <c r="L3662" t="s">
        <v>67</v>
      </c>
      <c r="M3662" t="s">
        <v>47</v>
      </c>
      <c r="N3662" t="s">
        <v>35</v>
      </c>
      <c r="O3662" t="s">
        <v>36</v>
      </c>
      <c r="P3662" t="s">
        <v>37</v>
      </c>
      <c r="Q3662" t="s">
        <v>240</v>
      </c>
      <c r="R3662">
        <v>266</v>
      </c>
      <c r="S3662">
        <v>128</v>
      </c>
      <c r="T3662">
        <v>81</v>
      </c>
      <c r="U3662">
        <v>21</v>
      </c>
      <c r="V3662" t="s">
        <v>1741</v>
      </c>
      <c r="W3662">
        <v>22030</v>
      </c>
      <c r="X3662" t="s">
        <v>7221</v>
      </c>
      <c r="Y3662">
        <v>20367</v>
      </c>
      <c r="Z3662">
        <v>462630</v>
      </c>
      <c r="AA3662">
        <v>34923</v>
      </c>
      <c r="AB3662" t="str">
        <f>(VLOOKUP(SalesData[[#This Row],[Month Number]],Reference!C$5:E$16,2,FALSE))</f>
        <v>Feb</v>
      </c>
      <c r="AC3662">
        <f>MONTH(SalesData[[#This Row],[Date]])</f>
        <v>2</v>
      </c>
      <c r="AD3662">
        <f>Reference!F$4</f>
        <v>2026</v>
      </c>
      <c r="AE3662" t="str">
        <f>IF(OR(SalesData[[#This Row],[Day]]="Saturday",SalesData[[#This Row],[Day]]="Sunday"),"Weekend","Weekday")</f>
        <v>Weekday</v>
      </c>
      <c r="AF3662" s="5">
        <f>IF(SalesData[[#This Row],[Contracts Offered]]=0,0,SalesData[[#This Row],[Contracts Signed]]/SalesData[[#This Row],[Contracts Offered]])</f>
        <v>0.25925925925925924</v>
      </c>
      <c r="AG3662" s="5">
        <f>IF(SalesData[[#This Row],[Customers Visited]]=0,0,SalesData[[#This Row],[Test Drives]]/SalesData[[#This Row],[Customers Visited]])</f>
        <v>0.48120300751879697</v>
      </c>
      <c r="AH3662" s="5">
        <f>IF(SalesData[[#This Row],[Customers Visited]]=0,0,SalesData[[#This Row],[Contracts Signed]]/SalesData[[#This Row],[Customers Visited]])</f>
        <v>7.8947368421052627E-2</v>
      </c>
      <c r="AI3662" s="6">
        <f>IF(SalesData[[#This Row],[Contracts Signed]]=0,0,SalesData[[#This Row],[Profit(€)]]/SalesData[[#This Row],[Contracts Signed]])</f>
        <v>1663</v>
      </c>
      <c r="AJ3662" s="5" t="str">
        <f>TRIM(CLEAN(SalesData[[#This Row],[Retailer]]))</f>
        <v>Main Auto Hub</v>
      </c>
    </row>
    <row r="3663" spans="1:36" ht="14.25" x14ac:dyDescent="0.2">
      <c r="A3663" t="s">
        <v>4873</v>
      </c>
      <c r="B3663" s="1">
        <v>46058</v>
      </c>
      <c r="C3663" t="s">
        <v>24</v>
      </c>
      <c r="D3663" t="s">
        <v>100</v>
      </c>
      <c r="E3663" t="s">
        <v>26</v>
      </c>
      <c r="F3663" t="s">
        <v>74</v>
      </c>
      <c r="G3663" t="s">
        <v>75</v>
      </c>
      <c r="H3663" t="s">
        <v>76</v>
      </c>
      <c r="I3663" t="s">
        <v>30</v>
      </c>
      <c r="J3663" t="s">
        <v>188</v>
      </c>
      <c r="K3663" t="s">
        <v>78</v>
      </c>
      <c r="L3663" t="s">
        <v>33</v>
      </c>
      <c r="M3663" t="s">
        <v>34</v>
      </c>
      <c r="N3663" t="s">
        <v>48</v>
      </c>
      <c r="O3663" t="s">
        <v>36</v>
      </c>
      <c r="P3663" t="s">
        <v>37</v>
      </c>
      <c r="Q3663" t="s">
        <v>347</v>
      </c>
      <c r="R3663">
        <v>246</v>
      </c>
      <c r="S3663">
        <v>127</v>
      </c>
      <c r="T3663">
        <v>95</v>
      </c>
      <c r="U3663">
        <v>37</v>
      </c>
      <c r="V3663" t="s">
        <v>6636</v>
      </c>
      <c r="W3663">
        <v>62799</v>
      </c>
      <c r="X3663" t="s">
        <v>7036</v>
      </c>
      <c r="Y3663">
        <v>46054</v>
      </c>
      <c r="Z3663">
        <v>2323563</v>
      </c>
      <c r="AA3663">
        <v>619565</v>
      </c>
      <c r="AB3663" t="str">
        <f>(VLOOKUP(SalesData[[#This Row],[Month Number]],Reference!C$5:E$16,2,FALSE))</f>
        <v>Feb</v>
      </c>
      <c r="AC3663">
        <f>MONTH(SalesData[[#This Row],[Date]])</f>
        <v>2</v>
      </c>
      <c r="AD3663">
        <f>Reference!F$4</f>
        <v>2026</v>
      </c>
      <c r="AE3663" t="str">
        <f>IF(OR(SalesData[[#This Row],[Day]]="Saturday",SalesData[[#This Row],[Day]]="Sunday"),"Weekend","Weekday")</f>
        <v>Weekday</v>
      </c>
      <c r="AF3663" s="5">
        <f>IF(SalesData[[#This Row],[Contracts Offered]]=0,0,SalesData[[#This Row],[Contracts Signed]]/SalesData[[#This Row],[Contracts Offered]])</f>
        <v>0.38947368421052631</v>
      </c>
      <c r="AG3663" s="5">
        <f>IF(SalesData[[#This Row],[Customers Visited]]=0,0,SalesData[[#This Row],[Test Drives]]/SalesData[[#This Row],[Customers Visited]])</f>
        <v>0.51626016260162599</v>
      </c>
      <c r="AH3663" s="5">
        <f>IF(SalesData[[#This Row],[Customers Visited]]=0,0,SalesData[[#This Row],[Contracts Signed]]/SalesData[[#This Row],[Customers Visited]])</f>
        <v>0.15040650406504066</v>
      </c>
      <c r="AI3663" s="6">
        <f>IF(SalesData[[#This Row],[Contracts Signed]]=0,0,SalesData[[#This Row],[Profit(€)]]/SalesData[[#This Row],[Contracts Signed]])</f>
        <v>16745</v>
      </c>
      <c r="AJ3663" s="5" t="str">
        <f>TRIM(CLEAN(SalesData[[#This Row],[Retailer]]))</f>
        <v>Stuttgart Auto Center</v>
      </c>
    </row>
    <row r="3664" spans="1:36" ht="14.25" hidden="1" x14ac:dyDescent="0.2">
      <c r="A3664" t="s">
        <v>4874</v>
      </c>
      <c r="B3664" s="1">
        <v>46068</v>
      </c>
      <c r="C3664" t="s">
        <v>62</v>
      </c>
      <c r="D3664" t="s">
        <v>41</v>
      </c>
      <c r="E3664" t="s">
        <v>42</v>
      </c>
      <c r="F3664" t="s">
        <v>83</v>
      </c>
      <c r="G3664" t="s">
        <v>84</v>
      </c>
      <c r="H3664" t="s">
        <v>85</v>
      </c>
      <c r="I3664" t="s">
        <v>116</v>
      </c>
      <c r="J3664" t="s">
        <v>117</v>
      </c>
      <c r="K3664" t="s">
        <v>66</v>
      </c>
      <c r="L3664" t="s">
        <v>67</v>
      </c>
      <c r="M3664" t="s">
        <v>47</v>
      </c>
      <c r="N3664" t="s">
        <v>69</v>
      </c>
      <c r="O3664" t="s">
        <v>70</v>
      </c>
      <c r="P3664" t="s">
        <v>58</v>
      </c>
      <c r="Q3664" t="s">
        <v>50</v>
      </c>
      <c r="R3664">
        <v>281</v>
      </c>
      <c r="S3664">
        <v>155</v>
      </c>
      <c r="T3664">
        <v>88</v>
      </c>
      <c r="U3664">
        <v>28</v>
      </c>
      <c r="V3664" t="s">
        <v>1783</v>
      </c>
      <c r="W3664">
        <v>26287</v>
      </c>
      <c r="X3664" t="s">
        <v>7545</v>
      </c>
      <c r="Y3664">
        <v>24274</v>
      </c>
      <c r="Z3664">
        <v>736036</v>
      </c>
      <c r="AA3664">
        <v>56364</v>
      </c>
      <c r="AB3664" t="str">
        <f>(VLOOKUP(SalesData[[#This Row],[Month Number]],Reference!C$5:E$16,2,FALSE))</f>
        <v>Feb</v>
      </c>
      <c r="AC3664">
        <f>MONTH(SalesData[[#This Row],[Date]])</f>
        <v>2</v>
      </c>
      <c r="AD3664">
        <f>Reference!F$4</f>
        <v>2026</v>
      </c>
      <c r="AE3664" t="str">
        <f>IF(OR(SalesData[[#This Row],[Day]]="Saturday",SalesData[[#This Row],[Day]]="Sunday"),"Weekend","Weekday")</f>
        <v>Weekend</v>
      </c>
      <c r="AF3664" s="5">
        <f>IF(SalesData[[#This Row],[Contracts Offered]]=0,0,SalesData[[#This Row],[Contracts Signed]]/SalesData[[#This Row],[Contracts Offered]])</f>
        <v>0.31818181818181818</v>
      </c>
      <c r="AG3664" s="5">
        <f>IF(SalesData[[#This Row],[Customers Visited]]=0,0,SalesData[[#This Row],[Test Drives]]/SalesData[[#This Row],[Customers Visited]])</f>
        <v>0.55160142348754448</v>
      </c>
      <c r="AH3664" s="5">
        <f>IF(SalesData[[#This Row],[Customers Visited]]=0,0,SalesData[[#This Row],[Contracts Signed]]/SalesData[[#This Row],[Customers Visited]])</f>
        <v>9.9644128113879002E-2</v>
      </c>
      <c r="AI3664" s="6">
        <f>IF(SalesData[[#This Row],[Contracts Signed]]=0,0,SalesData[[#This Row],[Profit(€)]]/SalesData[[#This Row],[Contracts Signed]])</f>
        <v>2013</v>
      </c>
      <c r="AJ3664" s="5" t="str">
        <f>TRIM(CLEAN(SalesData[[#This Row],[Retailer]]))</f>
        <v>Hannover Cars</v>
      </c>
    </row>
    <row r="3665" spans="1:36" ht="14.25" hidden="1" x14ac:dyDescent="0.2">
      <c r="A3665" t="s">
        <v>4875</v>
      </c>
      <c r="B3665" s="1">
        <v>46079</v>
      </c>
      <c r="C3665" t="s">
        <v>53</v>
      </c>
      <c r="D3665" t="s">
        <v>100</v>
      </c>
      <c r="E3665" t="s">
        <v>26</v>
      </c>
      <c r="F3665" t="s">
        <v>114</v>
      </c>
      <c r="G3665" t="s">
        <v>115</v>
      </c>
      <c r="H3665" t="s">
        <v>115</v>
      </c>
      <c r="I3665" t="s">
        <v>104</v>
      </c>
      <c r="J3665" t="s">
        <v>143</v>
      </c>
      <c r="K3665" t="s">
        <v>66</v>
      </c>
      <c r="L3665" t="s">
        <v>67</v>
      </c>
      <c r="M3665" t="s">
        <v>68</v>
      </c>
      <c r="N3665" t="s">
        <v>35</v>
      </c>
      <c r="O3665" t="s">
        <v>70</v>
      </c>
      <c r="P3665" t="s">
        <v>37</v>
      </c>
      <c r="Q3665" t="s">
        <v>38</v>
      </c>
      <c r="R3665">
        <v>504</v>
      </c>
      <c r="S3665">
        <v>266</v>
      </c>
      <c r="T3665">
        <v>181</v>
      </c>
      <c r="U3665">
        <v>40</v>
      </c>
      <c r="V3665" t="s">
        <v>1149</v>
      </c>
      <c r="W3665">
        <v>31317</v>
      </c>
      <c r="X3665" t="s">
        <v>7156</v>
      </c>
      <c r="Y3665">
        <v>27772</v>
      </c>
      <c r="Z3665">
        <v>1252680</v>
      </c>
      <c r="AA3665">
        <v>141800</v>
      </c>
      <c r="AB3665" t="str">
        <f>(VLOOKUP(SalesData[[#This Row],[Month Number]],Reference!C$5:E$16,2,FALSE))</f>
        <v>Feb</v>
      </c>
      <c r="AC3665">
        <f>MONTH(SalesData[[#This Row],[Date]])</f>
        <v>2</v>
      </c>
      <c r="AD3665">
        <f>Reference!F$4</f>
        <v>2026</v>
      </c>
      <c r="AE3665" t="str">
        <f>IF(OR(SalesData[[#This Row],[Day]]="Saturday",SalesData[[#This Row],[Day]]="Sunday"),"Weekend","Weekday")</f>
        <v>Weekday</v>
      </c>
      <c r="AF3665" s="5">
        <f>IF(SalesData[[#This Row],[Contracts Offered]]=0,0,SalesData[[#This Row],[Contracts Signed]]/SalesData[[#This Row],[Contracts Offered]])</f>
        <v>0.22099447513812154</v>
      </c>
      <c r="AG3665" s="5">
        <f>IF(SalesData[[#This Row],[Customers Visited]]=0,0,SalesData[[#This Row],[Test Drives]]/SalesData[[#This Row],[Customers Visited]])</f>
        <v>0.52777777777777779</v>
      </c>
      <c r="AH3665" s="5">
        <f>IF(SalesData[[#This Row],[Customers Visited]]=0,0,SalesData[[#This Row],[Contracts Signed]]/SalesData[[#This Row],[Customers Visited]])</f>
        <v>7.9365079365079361E-2</v>
      </c>
      <c r="AI3665" s="6">
        <f>IF(SalesData[[#This Row],[Contracts Signed]]=0,0,SalesData[[#This Row],[Profit(€)]]/SalesData[[#This Row],[Contracts Signed]])</f>
        <v>3545</v>
      </c>
      <c r="AJ3665" s="5" t="str">
        <f>TRIM(CLEAN(SalesData[[#This Row],[Retailer]]))</f>
        <v>Elbe Drive</v>
      </c>
    </row>
    <row r="3666" spans="1:36" ht="14.25" hidden="1" x14ac:dyDescent="0.2">
      <c r="A3666" t="s">
        <v>4876</v>
      </c>
      <c r="B3666" s="1">
        <v>46073</v>
      </c>
      <c r="C3666" t="s">
        <v>62</v>
      </c>
      <c r="D3666" t="s">
        <v>54</v>
      </c>
      <c r="E3666" t="s">
        <v>26</v>
      </c>
      <c r="F3666" t="s">
        <v>109</v>
      </c>
      <c r="G3666" t="s">
        <v>110</v>
      </c>
      <c r="H3666" t="s">
        <v>45</v>
      </c>
      <c r="I3666" t="s">
        <v>116</v>
      </c>
      <c r="J3666" t="s">
        <v>7026</v>
      </c>
      <c r="K3666" t="s">
        <v>78</v>
      </c>
      <c r="L3666" t="s">
        <v>46</v>
      </c>
      <c r="M3666" t="s">
        <v>68</v>
      </c>
      <c r="N3666" t="s">
        <v>35</v>
      </c>
      <c r="O3666" t="s">
        <v>70</v>
      </c>
      <c r="P3666" t="s">
        <v>71</v>
      </c>
      <c r="Q3666" t="s">
        <v>144</v>
      </c>
      <c r="R3666">
        <v>366</v>
      </c>
      <c r="S3666">
        <v>189</v>
      </c>
      <c r="T3666">
        <v>131</v>
      </c>
      <c r="U3666">
        <v>28</v>
      </c>
      <c r="V3666" t="s">
        <v>288</v>
      </c>
      <c r="W3666">
        <v>27113</v>
      </c>
      <c r="X3666" t="s">
        <v>450</v>
      </c>
      <c r="Y3666">
        <v>24516</v>
      </c>
      <c r="Z3666">
        <v>759164</v>
      </c>
      <c r="AA3666">
        <v>72716</v>
      </c>
      <c r="AB3666" t="str">
        <f>(VLOOKUP(SalesData[[#This Row],[Month Number]],Reference!C$5:E$16,2,FALSE))</f>
        <v>Feb</v>
      </c>
      <c r="AC3666">
        <f>MONTH(SalesData[[#This Row],[Date]])</f>
        <v>2</v>
      </c>
      <c r="AD3666">
        <f>Reference!F$4</f>
        <v>2026</v>
      </c>
      <c r="AE3666" t="str">
        <f>IF(OR(SalesData[[#This Row],[Day]]="Saturday",SalesData[[#This Row],[Day]]="Sunday"),"Weekend","Weekday")</f>
        <v>Weekday</v>
      </c>
      <c r="AF3666" s="5">
        <f>IF(SalesData[[#This Row],[Contracts Offered]]=0,0,SalesData[[#This Row],[Contracts Signed]]/SalesData[[#This Row],[Contracts Offered]])</f>
        <v>0.21374045801526717</v>
      </c>
      <c r="AG3666" s="5">
        <f>IF(SalesData[[#This Row],[Customers Visited]]=0,0,SalesData[[#This Row],[Test Drives]]/SalesData[[#This Row],[Customers Visited]])</f>
        <v>0.51639344262295084</v>
      </c>
      <c r="AH3666" s="5">
        <f>IF(SalesData[[#This Row],[Customers Visited]]=0,0,SalesData[[#This Row],[Contracts Signed]]/SalesData[[#This Row],[Customers Visited]])</f>
        <v>7.650273224043716E-2</v>
      </c>
      <c r="AI3666" s="6">
        <f>IF(SalesData[[#This Row],[Contracts Signed]]=0,0,SalesData[[#This Row],[Profit(€)]]/SalesData[[#This Row],[Contracts Signed]])</f>
        <v>2597</v>
      </c>
      <c r="AJ3666" s="5" t="str">
        <f>TRIM(CLEAN(SalesData[[#This Row],[Retailer]]))</f>
        <v>Leipzig Mobility</v>
      </c>
    </row>
    <row r="3667" spans="1:36" ht="14.25" hidden="1" x14ac:dyDescent="0.2">
      <c r="A3667" t="s">
        <v>4877</v>
      </c>
      <c r="B3667" s="1">
        <v>46060</v>
      </c>
      <c r="C3667" t="s">
        <v>24</v>
      </c>
      <c r="D3667" t="s">
        <v>151</v>
      </c>
      <c r="E3667" t="s">
        <v>42</v>
      </c>
      <c r="F3667" t="s">
        <v>74</v>
      </c>
      <c r="G3667" t="s">
        <v>75</v>
      </c>
      <c r="H3667" t="s">
        <v>76</v>
      </c>
      <c r="I3667" t="s">
        <v>56</v>
      </c>
      <c r="J3667" t="s">
        <v>179</v>
      </c>
      <c r="K3667" t="s">
        <v>91</v>
      </c>
      <c r="L3667" t="s">
        <v>67</v>
      </c>
      <c r="M3667" t="s">
        <v>34</v>
      </c>
      <c r="N3667" t="s">
        <v>35</v>
      </c>
      <c r="O3667" t="s">
        <v>70</v>
      </c>
      <c r="P3667" t="s">
        <v>49</v>
      </c>
      <c r="Q3667" t="s">
        <v>189</v>
      </c>
      <c r="R3667">
        <v>246</v>
      </c>
      <c r="S3667">
        <v>126</v>
      </c>
      <c r="T3667">
        <v>90</v>
      </c>
      <c r="U3667">
        <v>25</v>
      </c>
      <c r="V3667" t="s">
        <v>6752</v>
      </c>
      <c r="W3667">
        <v>42658</v>
      </c>
      <c r="X3667" t="s">
        <v>5854</v>
      </c>
      <c r="Y3667">
        <v>34329</v>
      </c>
      <c r="Z3667">
        <v>1066450</v>
      </c>
      <c r="AA3667">
        <v>208225</v>
      </c>
      <c r="AB3667" t="str">
        <f>(VLOOKUP(SalesData[[#This Row],[Month Number]],Reference!C$5:E$16,2,FALSE))</f>
        <v>Feb</v>
      </c>
      <c r="AC3667">
        <f>MONTH(SalesData[[#This Row],[Date]])</f>
        <v>2</v>
      </c>
      <c r="AD3667">
        <f>Reference!F$4</f>
        <v>2026</v>
      </c>
      <c r="AE3667" t="str">
        <f>IF(OR(SalesData[[#This Row],[Day]]="Saturday",SalesData[[#This Row],[Day]]="Sunday"),"Weekend","Weekday")</f>
        <v>Weekend</v>
      </c>
      <c r="AF3667" s="5">
        <f>IF(SalesData[[#This Row],[Contracts Offered]]=0,0,SalesData[[#This Row],[Contracts Signed]]/SalesData[[#This Row],[Contracts Offered]])</f>
        <v>0.27777777777777779</v>
      </c>
      <c r="AG3667" s="5">
        <f>IF(SalesData[[#This Row],[Customers Visited]]=0,0,SalesData[[#This Row],[Test Drives]]/SalesData[[#This Row],[Customers Visited]])</f>
        <v>0.51219512195121952</v>
      </c>
      <c r="AH3667" s="5">
        <f>IF(SalesData[[#This Row],[Customers Visited]]=0,0,SalesData[[#This Row],[Contracts Signed]]/SalesData[[#This Row],[Customers Visited]])</f>
        <v>0.1016260162601626</v>
      </c>
      <c r="AI3667" s="6">
        <f>IF(SalesData[[#This Row],[Contracts Signed]]=0,0,SalesData[[#This Row],[Profit(€)]]/SalesData[[#This Row],[Contracts Signed]])</f>
        <v>8329</v>
      </c>
      <c r="AJ3667" s="5" t="str">
        <f>TRIM(CLEAN(SalesData[[#This Row],[Retailer]]))</f>
        <v>Stuttgart Auto Center</v>
      </c>
    </row>
    <row r="3668" spans="1:36" ht="14.25" x14ac:dyDescent="0.2">
      <c r="A3668" t="s">
        <v>4878</v>
      </c>
      <c r="B3668" s="1">
        <v>46074</v>
      </c>
      <c r="C3668" t="s">
        <v>62</v>
      </c>
      <c r="D3668" t="s">
        <v>151</v>
      </c>
      <c r="E3668" t="s">
        <v>42</v>
      </c>
      <c r="F3668" t="s">
        <v>109</v>
      </c>
      <c r="G3668" t="s">
        <v>110</v>
      </c>
      <c r="H3668" t="s">
        <v>45</v>
      </c>
      <c r="I3668" t="s">
        <v>30</v>
      </c>
      <c r="J3668" t="s">
        <v>7075</v>
      </c>
      <c r="K3668" t="s">
        <v>91</v>
      </c>
      <c r="L3668" t="s">
        <v>33</v>
      </c>
      <c r="M3668" t="s">
        <v>68</v>
      </c>
      <c r="N3668" t="s">
        <v>48</v>
      </c>
      <c r="O3668" t="s">
        <v>70</v>
      </c>
      <c r="P3668" t="s">
        <v>37</v>
      </c>
      <c r="Q3668" t="s">
        <v>129</v>
      </c>
      <c r="R3668">
        <v>254</v>
      </c>
      <c r="S3668">
        <v>157</v>
      </c>
      <c r="T3668">
        <v>117</v>
      </c>
      <c r="U3668">
        <v>36</v>
      </c>
      <c r="V3668" t="s">
        <v>6757</v>
      </c>
      <c r="W3668">
        <v>53748</v>
      </c>
      <c r="X3668" t="s">
        <v>7291</v>
      </c>
      <c r="Y3668">
        <v>38013</v>
      </c>
      <c r="Z3668">
        <v>1934928</v>
      </c>
      <c r="AA3668">
        <v>566460</v>
      </c>
      <c r="AB3668" t="str">
        <f>(VLOOKUP(SalesData[[#This Row],[Month Number]],Reference!C$5:E$16,2,FALSE))</f>
        <v>Feb</v>
      </c>
      <c r="AC3668">
        <f>MONTH(SalesData[[#This Row],[Date]])</f>
        <v>2</v>
      </c>
      <c r="AD3668">
        <f>Reference!F$4</f>
        <v>2026</v>
      </c>
      <c r="AE3668" t="str">
        <f>IF(OR(SalesData[[#This Row],[Day]]="Saturday",SalesData[[#This Row],[Day]]="Sunday"),"Weekend","Weekday")</f>
        <v>Weekend</v>
      </c>
      <c r="AF3668" s="5">
        <f>IF(SalesData[[#This Row],[Contracts Offered]]=0,0,SalesData[[#This Row],[Contracts Signed]]/SalesData[[#This Row],[Contracts Offered]])</f>
        <v>0.30769230769230771</v>
      </c>
      <c r="AG3668" s="5">
        <f>IF(SalesData[[#This Row],[Customers Visited]]=0,0,SalesData[[#This Row],[Test Drives]]/SalesData[[#This Row],[Customers Visited]])</f>
        <v>0.61811023622047245</v>
      </c>
      <c r="AH3668" s="5">
        <f>IF(SalesData[[#This Row],[Customers Visited]]=0,0,SalesData[[#This Row],[Contracts Signed]]/SalesData[[#This Row],[Customers Visited]])</f>
        <v>0.14173228346456693</v>
      </c>
      <c r="AI3668" s="6">
        <f>IF(SalesData[[#This Row],[Contracts Signed]]=0,0,SalesData[[#This Row],[Profit(€)]]/SalesData[[#This Row],[Contracts Signed]])</f>
        <v>15735</v>
      </c>
      <c r="AJ3668" s="5" t="str">
        <f>TRIM(CLEAN(SalesData[[#This Row],[Retailer]]))</f>
        <v>Leipzig Mobility</v>
      </c>
    </row>
    <row r="3669" spans="1:36" ht="14.25" x14ac:dyDescent="0.2">
      <c r="A3669" t="s">
        <v>4879</v>
      </c>
      <c r="B3669" s="1">
        <v>46073</v>
      </c>
      <c r="C3669" t="s">
        <v>62</v>
      </c>
      <c r="D3669" t="s">
        <v>54</v>
      </c>
      <c r="E3669" t="s">
        <v>26</v>
      </c>
      <c r="F3669" t="s">
        <v>43</v>
      </c>
      <c r="G3669" t="s">
        <v>44</v>
      </c>
      <c r="H3669" t="s">
        <v>45</v>
      </c>
      <c r="I3669" t="s">
        <v>30</v>
      </c>
      <c r="J3669" t="s">
        <v>31</v>
      </c>
      <c r="K3669" t="s">
        <v>91</v>
      </c>
      <c r="L3669" t="s">
        <v>46</v>
      </c>
      <c r="M3669" t="s">
        <v>87</v>
      </c>
      <c r="N3669" t="s">
        <v>48</v>
      </c>
      <c r="O3669" t="s">
        <v>70</v>
      </c>
      <c r="P3669" t="s">
        <v>71</v>
      </c>
      <c r="Q3669" t="s">
        <v>38</v>
      </c>
      <c r="R3669">
        <v>149</v>
      </c>
      <c r="S3669">
        <v>74</v>
      </c>
      <c r="T3669">
        <v>55</v>
      </c>
      <c r="U3669">
        <v>21</v>
      </c>
      <c r="V3669" t="s">
        <v>6475</v>
      </c>
      <c r="W3669">
        <v>53170</v>
      </c>
      <c r="X3669" t="s">
        <v>7328</v>
      </c>
      <c r="Y3669">
        <v>39621</v>
      </c>
      <c r="Z3669">
        <v>1116570</v>
      </c>
      <c r="AA3669">
        <v>284529</v>
      </c>
      <c r="AB3669" t="str">
        <f>(VLOOKUP(SalesData[[#This Row],[Month Number]],Reference!C$5:E$16,2,FALSE))</f>
        <v>Feb</v>
      </c>
      <c r="AC3669">
        <f>MONTH(SalesData[[#This Row],[Date]])</f>
        <v>2</v>
      </c>
      <c r="AD3669">
        <f>Reference!F$4</f>
        <v>2026</v>
      </c>
      <c r="AE3669" t="str">
        <f>IF(OR(SalesData[[#This Row],[Day]]="Saturday",SalesData[[#This Row],[Day]]="Sunday"),"Weekend","Weekday")</f>
        <v>Weekday</v>
      </c>
      <c r="AF3669" s="5">
        <f>IF(SalesData[[#This Row],[Contracts Offered]]=0,0,SalesData[[#This Row],[Contracts Signed]]/SalesData[[#This Row],[Contracts Offered]])</f>
        <v>0.38181818181818183</v>
      </c>
      <c r="AG3669" s="5">
        <f>IF(SalesData[[#This Row],[Customers Visited]]=0,0,SalesData[[#This Row],[Test Drives]]/SalesData[[#This Row],[Customers Visited]])</f>
        <v>0.49664429530201343</v>
      </c>
      <c r="AH3669" s="5">
        <f>IF(SalesData[[#This Row],[Customers Visited]]=0,0,SalesData[[#This Row],[Contracts Signed]]/SalesData[[#This Row],[Customers Visited]])</f>
        <v>0.14093959731543623</v>
      </c>
      <c r="AI3669" s="6">
        <f>IF(SalesData[[#This Row],[Contracts Signed]]=0,0,SalesData[[#This Row],[Profit(€)]]/SalesData[[#This Row],[Contracts Signed]])</f>
        <v>13549</v>
      </c>
      <c r="AJ3669" s="5" t="str">
        <f>TRIM(CLEAN(SalesData[[#This Row],[Retailer]]))</f>
        <v>Saxon Wheels</v>
      </c>
    </row>
    <row r="3670" spans="1:36" ht="14.25" hidden="1" x14ac:dyDescent="0.2">
      <c r="A3670" t="s">
        <v>4880</v>
      </c>
      <c r="B3670" s="1">
        <v>46078</v>
      </c>
      <c r="C3670" t="s">
        <v>53</v>
      </c>
      <c r="D3670" t="s">
        <v>82</v>
      </c>
      <c r="E3670" t="s">
        <v>26</v>
      </c>
      <c r="F3670" t="s">
        <v>101</v>
      </c>
      <c r="G3670" t="s">
        <v>102</v>
      </c>
      <c r="H3670" t="s">
        <v>103</v>
      </c>
      <c r="I3670" t="s">
        <v>116</v>
      </c>
      <c r="J3670" t="s">
        <v>132</v>
      </c>
      <c r="K3670" t="s">
        <v>78</v>
      </c>
      <c r="L3670" t="s">
        <v>46</v>
      </c>
      <c r="M3670" t="s">
        <v>47</v>
      </c>
      <c r="N3670" t="s">
        <v>35</v>
      </c>
      <c r="O3670" t="s">
        <v>36</v>
      </c>
      <c r="P3670" t="s">
        <v>71</v>
      </c>
      <c r="Q3670" t="s">
        <v>167</v>
      </c>
      <c r="R3670">
        <v>370</v>
      </c>
      <c r="S3670">
        <v>159</v>
      </c>
      <c r="T3670">
        <v>98</v>
      </c>
      <c r="U3670">
        <v>27</v>
      </c>
      <c r="V3670" t="s">
        <v>317</v>
      </c>
      <c r="W3670">
        <v>23238</v>
      </c>
      <c r="X3670" t="s">
        <v>7234</v>
      </c>
      <c r="Y3670">
        <v>21197</v>
      </c>
      <c r="Z3670">
        <v>627426</v>
      </c>
      <c r="AA3670">
        <v>55107</v>
      </c>
      <c r="AB3670" t="str">
        <f>(VLOOKUP(SalesData[[#This Row],[Month Number]],Reference!C$5:E$16,2,FALSE))</f>
        <v>Feb</v>
      </c>
      <c r="AC3670">
        <f>MONTH(SalesData[[#This Row],[Date]])</f>
        <v>2</v>
      </c>
      <c r="AD3670">
        <f>Reference!F$4</f>
        <v>2026</v>
      </c>
      <c r="AE3670" t="str">
        <f>IF(OR(SalesData[[#This Row],[Day]]="Saturday",SalesData[[#This Row],[Day]]="Sunday"),"Weekend","Weekday")</f>
        <v>Weekday</v>
      </c>
      <c r="AF3670" s="5">
        <f>IF(SalesData[[#This Row],[Contracts Offered]]=0,0,SalesData[[#This Row],[Contracts Signed]]/SalesData[[#This Row],[Contracts Offered]])</f>
        <v>0.27551020408163263</v>
      </c>
      <c r="AG3670" s="5">
        <f>IF(SalesData[[#This Row],[Customers Visited]]=0,0,SalesData[[#This Row],[Test Drives]]/SalesData[[#This Row],[Customers Visited]])</f>
        <v>0.42972972972972973</v>
      </c>
      <c r="AH3670" s="5">
        <f>IF(SalesData[[#This Row],[Customers Visited]]=0,0,SalesData[[#This Row],[Contracts Signed]]/SalesData[[#This Row],[Customers Visited]])</f>
        <v>7.2972972972972977E-2</v>
      </c>
      <c r="AI3670" s="6">
        <f>IF(SalesData[[#This Row],[Contracts Signed]]=0,0,SalesData[[#This Row],[Profit(€)]]/SalesData[[#This Row],[Contracts Signed]])</f>
        <v>2041</v>
      </c>
      <c r="AJ3670" s="5" t="str">
        <f>TRIM(CLEAN(SalesData[[#This Row],[Retailer]]))</f>
        <v>Ruhr Auto Plaza</v>
      </c>
    </row>
    <row r="3671" spans="1:36" ht="14.25" x14ac:dyDescent="0.2">
      <c r="A3671" t="s">
        <v>4881</v>
      </c>
      <c r="B3671" s="1">
        <v>46067</v>
      </c>
      <c r="C3671" t="s">
        <v>121</v>
      </c>
      <c r="D3671" t="s">
        <v>151</v>
      </c>
      <c r="E3671" t="s">
        <v>42</v>
      </c>
      <c r="F3671" t="s">
        <v>7649</v>
      </c>
      <c r="G3671" t="s">
        <v>55</v>
      </c>
      <c r="H3671" t="s">
        <v>55</v>
      </c>
      <c r="I3671" t="s">
        <v>30</v>
      </c>
      <c r="J3671" t="s">
        <v>166</v>
      </c>
      <c r="K3671" t="s">
        <v>66</v>
      </c>
      <c r="L3671" t="s">
        <v>46</v>
      </c>
      <c r="M3671" t="s">
        <v>87</v>
      </c>
      <c r="N3671" t="s">
        <v>48</v>
      </c>
      <c r="O3671" t="s">
        <v>70</v>
      </c>
      <c r="P3671" t="s">
        <v>37</v>
      </c>
      <c r="Q3671" t="s">
        <v>167</v>
      </c>
      <c r="R3671">
        <v>158</v>
      </c>
      <c r="S3671">
        <v>71</v>
      </c>
      <c r="T3671">
        <v>52</v>
      </c>
      <c r="U3671">
        <v>17</v>
      </c>
      <c r="V3671" t="s">
        <v>6456</v>
      </c>
      <c r="W3671">
        <v>68212</v>
      </c>
      <c r="X3671" t="s">
        <v>2040</v>
      </c>
      <c r="Y3671">
        <v>51256</v>
      </c>
      <c r="Z3671">
        <v>1159604</v>
      </c>
      <c r="AA3671">
        <v>288252</v>
      </c>
      <c r="AB3671" t="str">
        <f>(VLOOKUP(SalesData[[#This Row],[Month Number]],Reference!C$5:E$16,2,FALSE))</f>
        <v>Feb</v>
      </c>
      <c r="AC3671">
        <f>MONTH(SalesData[[#This Row],[Date]])</f>
        <v>2</v>
      </c>
      <c r="AD3671">
        <f>Reference!F$4</f>
        <v>2026</v>
      </c>
      <c r="AE3671" t="str">
        <f>IF(OR(SalesData[[#This Row],[Day]]="Saturday",SalesData[[#This Row],[Day]]="Sunday"),"Weekend","Weekday")</f>
        <v>Weekend</v>
      </c>
      <c r="AF3671" s="5">
        <f>IF(SalesData[[#This Row],[Contracts Offered]]=0,0,SalesData[[#This Row],[Contracts Signed]]/SalesData[[#This Row],[Contracts Offered]])</f>
        <v>0.32692307692307693</v>
      </c>
      <c r="AG3671" s="5">
        <f>IF(SalesData[[#This Row],[Customers Visited]]=0,0,SalesData[[#This Row],[Test Drives]]/SalesData[[#This Row],[Customers Visited]])</f>
        <v>0.44936708860759494</v>
      </c>
      <c r="AH3671" s="5">
        <f>IF(SalesData[[#This Row],[Customers Visited]]=0,0,SalesData[[#This Row],[Contracts Signed]]/SalesData[[#This Row],[Customers Visited]])</f>
        <v>0.10759493670886076</v>
      </c>
      <c r="AI3671" s="6">
        <f>IF(SalesData[[#This Row],[Contracts Signed]]=0,0,SalesData[[#This Row],[Profit(€)]]/SalesData[[#This Row],[Contracts Signed]])</f>
        <v>16956</v>
      </c>
      <c r="AJ3671" s="5" t="str">
        <f>TRIM(CLEAN(SalesData[[#This Row],[Retailer]]))</f>
        <v>Autohaus Berlin</v>
      </c>
    </row>
    <row r="3672" spans="1:36" ht="14.25" hidden="1" x14ac:dyDescent="0.2">
      <c r="A3672" t="s">
        <v>4882</v>
      </c>
      <c r="B3672" s="1">
        <v>46054</v>
      </c>
      <c r="C3672" t="s">
        <v>24</v>
      </c>
      <c r="D3672" t="s">
        <v>41</v>
      </c>
      <c r="E3672" t="s">
        <v>42</v>
      </c>
      <c r="F3672" t="s">
        <v>109</v>
      </c>
      <c r="G3672" t="s">
        <v>110</v>
      </c>
      <c r="H3672" t="s">
        <v>45</v>
      </c>
      <c r="I3672" t="s">
        <v>116</v>
      </c>
      <c r="J3672" t="s">
        <v>7090</v>
      </c>
      <c r="K3672" t="s">
        <v>91</v>
      </c>
      <c r="L3672" t="s">
        <v>46</v>
      </c>
      <c r="M3672" t="s">
        <v>87</v>
      </c>
      <c r="N3672" t="s">
        <v>48</v>
      </c>
      <c r="O3672" t="s">
        <v>70</v>
      </c>
      <c r="P3672" t="s">
        <v>71</v>
      </c>
      <c r="Q3672" t="s">
        <v>122</v>
      </c>
      <c r="R3672">
        <v>385</v>
      </c>
      <c r="S3672">
        <v>154</v>
      </c>
      <c r="T3672">
        <v>96</v>
      </c>
      <c r="U3672">
        <v>22</v>
      </c>
      <c r="V3672" t="s">
        <v>527</v>
      </c>
      <c r="W3672">
        <v>26986</v>
      </c>
      <c r="X3672" t="s">
        <v>781</v>
      </c>
      <c r="Y3672">
        <v>24568</v>
      </c>
      <c r="Z3672">
        <v>593692</v>
      </c>
      <c r="AA3672">
        <v>53196</v>
      </c>
      <c r="AB3672" t="str">
        <f>(VLOOKUP(SalesData[[#This Row],[Month Number]],Reference!C$5:E$16,2,FALSE))</f>
        <v>Feb</v>
      </c>
      <c r="AC3672">
        <f>MONTH(SalesData[[#This Row],[Date]])</f>
        <v>2</v>
      </c>
      <c r="AD3672">
        <f>Reference!F$4</f>
        <v>2026</v>
      </c>
      <c r="AE3672" t="str">
        <f>IF(OR(SalesData[[#This Row],[Day]]="Saturday",SalesData[[#This Row],[Day]]="Sunday"),"Weekend","Weekday")</f>
        <v>Weekend</v>
      </c>
      <c r="AF3672" s="5">
        <f>IF(SalesData[[#This Row],[Contracts Offered]]=0,0,SalesData[[#This Row],[Contracts Signed]]/SalesData[[#This Row],[Contracts Offered]])</f>
        <v>0.22916666666666666</v>
      </c>
      <c r="AG3672" s="5">
        <f>IF(SalesData[[#This Row],[Customers Visited]]=0,0,SalesData[[#This Row],[Test Drives]]/SalesData[[#This Row],[Customers Visited]])</f>
        <v>0.4</v>
      </c>
      <c r="AH3672" s="5">
        <f>IF(SalesData[[#This Row],[Customers Visited]]=0,0,SalesData[[#This Row],[Contracts Signed]]/SalesData[[#This Row],[Customers Visited]])</f>
        <v>5.7142857142857141E-2</v>
      </c>
      <c r="AI3672" s="6">
        <f>IF(SalesData[[#This Row],[Contracts Signed]]=0,0,SalesData[[#This Row],[Profit(€)]]/SalesData[[#This Row],[Contracts Signed]])</f>
        <v>2418</v>
      </c>
      <c r="AJ3672" s="5" t="str">
        <f>TRIM(CLEAN(SalesData[[#This Row],[Retailer]]))</f>
        <v>Leipzig Mobility</v>
      </c>
    </row>
    <row r="3673" spans="1:36" ht="14.25" hidden="1" x14ac:dyDescent="0.2">
      <c r="A3673" t="s">
        <v>4883</v>
      </c>
      <c r="B3673" s="1">
        <v>46065</v>
      </c>
      <c r="C3673" t="s">
        <v>121</v>
      </c>
      <c r="D3673" t="s">
        <v>100</v>
      </c>
      <c r="E3673" t="s">
        <v>26</v>
      </c>
      <c r="F3673" t="s">
        <v>94</v>
      </c>
      <c r="G3673" t="s">
        <v>95</v>
      </c>
      <c r="H3673" t="s">
        <v>96</v>
      </c>
      <c r="I3673" t="s">
        <v>56</v>
      </c>
      <c r="J3673" t="s">
        <v>7028</v>
      </c>
      <c r="K3673" t="s">
        <v>91</v>
      </c>
      <c r="L3673" t="s">
        <v>46</v>
      </c>
      <c r="M3673" t="s">
        <v>87</v>
      </c>
      <c r="N3673" t="s">
        <v>35</v>
      </c>
      <c r="O3673" t="s">
        <v>36</v>
      </c>
      <c r="P3673" t="s">
        <v>71</v>
      </c>
      <c r="Q3673" t="s">
        <v>129</v>
      </c>
      <c r="R3673">
        <v>189</v>
      </c>
      <c r="S3673">
        <v>119</v>
      </c>
      <c r="T3673">
        <v>88</v>
      </c>
      <c r="U3673">
        <v>31</v>
      </c>
      <c r="V3673" t="s">
        <v>6499</v>
      </c>
      <c r="W3673">
        <v>49523</v>
      </c>
      <c r="X3673" t="s">
        <v>2192</v>
      </c>
      <c r="Y3673">
        <v>38729</v>
      </c>
      <c r="Z3673">
        <v>1535213</v>
      </c>
      <c r="AA3673">
        <v>334614</v>
      </c>
      <c r="AB3673" t="str">
        <f>(VLOOKUP(SalesData[[#This Row],[Month Number]],Reference!C$5:E$16,2,FALSE))</f>
        <v>Feb</v>
      </c>
      <c r="AC3673">
        <f>MONTH(SalesData[[#This Row],[Date]])</f>
        <v>2</v>
      </c>
      <c r="AD3673">
        <f>Reference!F$4</f>
        <v>2026</v>
      </c>
      <c r="AE3673" t="str">
        <f>IF(OR(SalesData[[#This Row],[Day]]="Saturday",SalesData[[#This Row],[Day]]="Sunday"),"Weekend","Weekday")</f>
        <v>Weekday</v>
      </c>
      <c r="AF3673" s="5">
        <f>IF(SalesData[[#This Row],[Contracts Offered]]=0,0,SalesData[[#This Row],[Contracts Signed]]/SalesData[[#This Row],[Contracts Offered]])</f>
        <v>0.35227272727272729</v>
      </c>
      <c r="AG3673" s="5">
        <f>IF(SalesData[[#This Row],[Customers Visited]]=0,0,SalesData[[#This Row],[Test Drives]]/SalesData[[#This Row],[Customers Visited]])</f>
        <v>0.62962962962962965</v>
      </c>
      <c r="AH3673" s="5">
        <f>IF(SalesData[[#This Row],[Customers Visited]]=0,0,SalesData[[#This Row],[Contracts Signed]]/SalesData[[#This Row],[Customers Visited]])</f>
        <v>0.16402116402116401</v>
      </c>
      <c r="AI3673" s="6">
        <f>IF(SalesData[[#This Row],[Contracts Signed]]=0,0,SalesData[[#This Row],[Profit(€)]]/SalesData[[#This Row],[Contracts Signed]])</f>
        <v>10794</v>
      </c>
      <c r="AJ3673" s="5" t="str">
        <f>TRIM(CLEAN(SalesData[[#This Row],[Retailer]]))</f>
        <v>Bavaria Motors</v>
      </c>
    </row>
    <row r="3674" spans="1:36" ht="14.25" hidden="1" x14ac:dyDescent="0.2">
      <c r="A3674" t="s">
        <v>4884</v>
      </c>
      <c r="B3674" s="1">
        <v>46061</v>
      </c>
      <c r="C3674" t="s">
        <v>121</v>
      </c>
      <c r="D3674" t="s">
        <v>41</v>
      </c>
      <c r="E3674" t="s">
        <v>42</v>
      </c>
      <c r="F3674" t="s">
        <v>43</v>
      </c>
      <c r="G3674" t="s">
        <v>44</v>
      </c>
      <c r="H3674" t="s">
        <v>45</v>
      </c>
      <c r="I3674" t="s">
        <v>56</v>
      </c>
      <c r="J3674" t="s">
        <v>97</v>
      </c>
      <c r="K3674" t="s">
        <v>66</v>
      </c>
      <c r="L3674" t="s">
        <v>33</v>
      </c>
      <c r="M3674" t="s">
        <v>34</v>
      </c>
      <c r="N3674" t="s">
        <v>35</v>
      </c>
      <c r="O3674" t="s">
        <v>70</v>
      </c>
      <c r="P3674" t="s">
        <v>37</v>
      </c>
      <c r="Q3674" t="s">
        <v>38</v>
      </c>
      <c r="R3674">
        <v>236</v>
      </c>
      <c r="S3674">
        <v>140</v>
      </c>
      <c r="T3674">
        <v>103</v>
      </c>
      <c r="U3674">
        <v>25</v>
      </c>
      <c r="V3674" t="s">
        <v>871</v>
      </c>
      <c r="W3674">
        <v>44225</v>
      </c>
      <c r="X3674" t="s">
        <v>3042</v>
      </c>
      <c r="Y3674">
        <v>33799</v>
      </c>
      <c r="Z3674">
        <v>1105625</v>
      </c>
      <c r="AA3674">
        <v>260650</v>
      </c>
      <c r="AB3674" t="str">
        <f>(VLOOKUP(SalesData[[#This Row],[Month Number]],Reference!C$5:E$16,2,FALSE))</f>
        <v>Feb</v>
      </c>
      <c r="AC3674">
        <f>MONTH(SalesData[[#This Row],[Date]])</f>
        <v>2</v>
      </c>
      <c r="AD3674">
        <f>Reference!F$4</f>
        <v>2026</v>
      </c>
      <c r="AE3674" t="str">
        <f>IF(OR(SalesData[[#This Row],[Day]]="Saturday",SalesData[[#This Row],[Day]]="Sunday"),"Weekend","Weekday")</f>
        <v>Weekend</v>
      </c>
      <c r="AF3674" s="5">
        <f>IF(SalesData[[#This Row],[Contracts Offered]]=0,0,SalesData[[#This Row],[Contracts Signed]]/SalesData[[#This Row],[Contracts Offered]])</f>
        <v>0.24271844660194175</v>
      </c>
      <c r="AG3674" s="5">
        <f>IF(SalesData[[#This Row],[Customers Visited]]=0,0,SalesData[[#This Row],[Test Drives]]/SalesData[[#This Row],[Customers Visited]])</f>
        <v>0.59322033898305082</v>
      </c>
      <c r="AH3674" s="5">
        <f>IF(SalesData[[#This Row],[Customers Visited]]=0,0,SalesData[[#This Row],[Contracts Signed]]/SalesData[[#This Row],[Customers Visited]])</f>
        <v>0.1059322033898305</v>
      </c>
      <c r="AI3674" s="6">
        <f>IF(SalesData[[#This Row],[Contracts Signed]]=0,0,SalesData[[#This Row],[Profit(€)]]/SalesData[[#This Row],[Contracts Signed]])</f>
        <v>10426</v>
      </c>
      <c r="AJ3674" s="5" t="str">
        <f>TRIM(CLEAN(SalesData[[#This Row],[Retailer]]))</f>
        <v>Saxon Wheels</v>
      </c>
    </row>
    <row r="3675" spans="1:36" ht="14.25" hidden="1" x14ac:dyDescent="0.2">
      <c r="A3675" t="s">
        <v>4885</v>
      </c>
      <c r="B3675" s="1">
        <v>46061</v>
      </c>
      <c r="C3675" t="s">
        <v>121</v>
      </c>
      <c r="D3675" t="s">
        <v>41</v>
      </c>
      <c r="E3675" t="s">
        <v>42</v>
      </c>
      <c r="F3675" t="s">
        <v>101</v>
      </c>
      <c r="G3675" t="s">
        <v>102</v>
      </c>
      <c r="H3675" t="s">
        <v>103</v>
      </c>
      <c r="I3675" t="s">
        <v>56</v>
      </c>
      <c r="J3675" t="s">
        <v>7028</v>
      </c>
      <c r="K3675" t="s">
        <v>66</v>
      </c>
      <c r="L3675" t="s">
        <v>46</v>
      </c>
      <c r="M3675" t="s">
        <v>34</v>
      </c>
      <c r="N3675" t="s">
        <v>69</v>
      </c>
      <c r="O3675" t="s">
        <v>36</v>
      </c>
      <c r="P3675" t="s">
        <v>58</v>
      </c>
      <c r="Q3675" t="s">
        <v>118</v>
      </c>
      <c r="R3675">
        <v>228</v>
      </c>
      <c r="S3675">
        <v>109</v>
      </c>
      <c r="T3675">
        <v>73</v>
      </c>
      <c r="U3675">
        <v>29</v>
      </c>
      <c r="V3675" t="s">
        <v>6687</v>
      </c>
      <c r="W3675">
        <v>52546</v>
      </c>
      <c r="X3675" t="s">
        <v>1677</v>
      </c>
      <c r="Y3675">
        <v>41713</v>
      </c>
      <c r="Z3675">
        <v>1523834</v>
      </c>
      <c r="AA3675">
        <v>314157</v>
      </c>
      <c r="AB3675" t="str">
        <f>(VLOOKUP(SalesData[[#This Row],[Month Number]],Reference!C$5:E$16,2,FALSE))</f>
        <v>Feb</v>
      </c>
      <c r="AC3675">
        <f>MONTH(SalesData[[#This Row],[Date]])</f>
        <v>2</v>
      </c>
      <c r="AD3675">
        <f>Reference!F$4</f>
        <v>2026</v>
      </c>
      <c r="AE3675" t="str">
        <f>IF(OR(SalesData[[#This Row],[Day]]="Saturday",SalesData[[#This Row],[Day]]="Sunday"),"Weekend","Weekday")</f>
        <v>Weekend</v>
      </c>
      <c r="AF3675" s="5">
        <f>IF(SalesData[[#This Row],[Contracts Offered]]=0,0,SalesData[[#This Row],[Contracts Signed]]/SalesData[[#This Row],[Contracts Offered]])</f>
        <v>0.39726027397260272</v>
      </c>
      <c r="AG3675" s="5">
        <f>IF(SalesData[[#This Row],[Customers Visited]]=0,0,SalesData[[#This Row],[Test Drives]]/SalesData[[#This Row],[Customers Visited]])</f>
        <v>0.47807017543859648</v>
      </c>
      <c r="AH3675" s="5">
        <f>IF(SalesData[[#This Row],[Customers Visited]]=0,0,SalesData[[#This Row],[Contracts Signed]]/SalesData[[#This Row],[Customers Visited]])</f>
        <v>0.12719298245614036</v>
      </c>
      <c r="AI3675" s="6">
        <f>IF(SalesData[[#This Row],[Contracts Signed]]=0,0,SalesData[[#This Row],[Profit(€)]]/SalesData[[#This Row],[Contracts Signed]])</f>
        <v>10833</v>
      </c>
      <c r="AJ3675" s="5" t="str">
        <f>TRIM(CLEAN(SalesData[[#This Row],[Retailer]]))</f>
        <v>Ruhr Auto Plaza</v>
      </c>
    </row>
    <row r="3676" spans="1:36" ht="14.25" hidden="1" x14ac:dyDescent="0.2">
      <c r="A3676" t="s">
        <v>4886</v>
      </c>
      <c r="B3676" s="1">
        <v>46077</v>
      </c>
      <c r="C3676" t="s">
        <v>53</v>
      </c>
      <c r="D3676" t="s">
        <v>63</v>
      </c>
      <c r="E3676" t="s">
        <v>26</v>
      </c>
      <c r="F3676" t="s">
        <v>94</v>
      </c>
      <c r="G3676" t="s">
        <v>95</v>
      </c>
      <c r="H3676" t="s">
        <v>96</v>
      </c>
      <c r="I3676" t="s">
        <v>104</v>
      </c>
      <c r="J3676" t="s">
        <v>143</v>
      </c>
      <c r="K3676" t="s">
        <v>66</v>
      </c>
      <c r="L3676" t="s">
        <v>67</v>
      </c>
      <c r="M3676" t="s">
        <v>34</v>
      </c>
      <c r="N3676" t="s">
        <v>48</v>
      </c>
      <c r="O3676" t="s">
        <v>36</v>
      </c>
      <c r="P3676" t="s">
        <v>37</v>
      </c>
      <c r="Q3676" t="s">
        <v>189</v>
      </c>
      <c r="R3676">
        <v>516</v>
      </c>
      <c r="S3676">
        <v>258</v>
      </c>
      <c r="T3676">
        <v>172</v>
      </c>
      <c r="U3676">
        <v>43</v>
      </c>
      <c r="V3676" t="s">
        <v>508</v>
      </c>
      <c r="W3676">
        <v>28227</v>
      </c>
      <c r="X3676" t="s">
        <v>2829</v>
      </c>
      <c r="Y3676">
        <v>25458</v>
      </c>
      <c r="Z3676">
        <v>1213761</v>
      </c>
      <c r="AA3676">
        <v>119067</v>
      </c>
      <c r="AB3676" t="str">
        <f>(VLOOKUP(SalesData[[#This Row],[Month Number]],Reference!C$5:E$16,2,FALSE))</f>
        <v>Feb</v>
      </c>
      <c r="AC3676">
        <f>MONTH(SalesData[[#This Row],[Date]])</f>
        <v>2</v>
      </c>
      <c r="AD3676">
        <f>Reference!F$4</f>
        <v>2026</v>
      </c>
      <c r="AE3676" t="str">
        <f>IF(OR(SalesData[[#This Row],[Day]]="Saturday",SalesData[[#This Row],[Day]]="Sunday"),"Weekend","Weekday")</f>
        <v>Weekday</v>
      </c>
      <c r="AF3676" s="5">
        <f>IF(SalesData[[#This Row],[Contracts Offered]]=0,0,SalesData[[#This Row],[Contracts Signed]]/SalesData[[#This Row],[Contracts Offered]])</f>
        <v>0.25</v>
      </c>
      <c r="AG3676" s="5">
        <f>IF(SalesData[[#This Row],[Customers Visited]]=0,0,SalesData[[#This Row],[Test Drives]]/SalesData[[#This Row],[Customers Visited]])</f>
        <v>0.5</v>
      </c>
      <c r="AH3676" s="5">
        <f>IF(SalesData[[#This Row],[Customers Visited]]=0,0,SalesData[[#This Row],[Contracts Signed]]/SalesData[[#This Row],[Customers Visited]])</f>
        <v>8.3333333333333329E-2</v>
      </c>
      <c r="AI3676" s="6">
        <f>IF(SalesData[[#This Row],[Contracts Signed]]=0,0,SalesData[[#This Row],[Profit(€)]]/SalesData[[#This Row],[Contracts Signed]])</f>
        <v>2769</v>
      </c>
      <c r="AJ3676" s="5" t="str">
        <f>TRIM(CLEAN(SalesData[[#This Row],[Retailer]]))</f>
        <v>Bavaria Motors</v>
      </c>
    </row>
    <row r="3677" spans="1:36" ht="14.25" hidden="1" x14ac:dyDescent="0.2">
      <c r="A3677" t="s">
        <v>4887</v>
      </c>
      <c r="B3677" s="1">
        <v>46068</v>
      </c>
      <c r="C3677" t="s">
        <v>62</v>
      </c>
      <c r="D3677" t="s">
        <v>41</v>
      </c>
      <c r="E3677" t="s">
        <v>42</v>
      </c>
      <c r="F3677" t="s">
        <v>74</v>
      </c>
      <c r="G3677" t="s">
        <v>75</v>
      </c>
      <c r="H3677" t="s">
        <v>76</v>
      </c>
      <c r="I3677" t="s">
        <v>104</v>
      </c>
      <c r="J3677" t="s">
        <v>7061</v>
      </c>
      <c r="K3677" t="s">
        <v>66</v>
      </c>
      <c r="L3677" t="s">
        <v>46</v>
      </c>
      <c r="M3677" t="s">
        <v>68</v>
      </c>
      <c r="N3677" t="s">
        <v>69</v>
      </c>
      <c r="O3677" t="s">
        <v>70</v>
      </c>
      <c r="P3677" t="s">
        <v>37</v>
      </c>
      <c r="Q3677" t="s">
        <v>50</v>
      </c>
      <c r="R3677">
        <v>385</v>
      </c>
      <c r="S3677">
        <v>184</v>
      </c>
      <c r="T3677">
        <v>125</v>
      </c>
      <c r="U3677">
        <v>27</v>
      </c>
      <c r="V3677" t="s">
        <v>4665</v>
      </c>
      <c r="W3677">
        <v>26162</v>
      </c>
      <c r="X3677" t="s">
        <v>556</v>
      </c>
      <c r="Y3677">
        <v>23015</v>
      </c>
      <c r="Z3677">
        <v>706374</v>
      </c>
      <c r="AA3677">
        <v>84969</v>
      </c>
      <c r="AB3677" t="str">
        <f>(VLOOKUP(SalesData[[#This Row],[Month Number]],Reference!C$5:E$16,2,FALSE))</f>
        <v>Feb</v>
      </c>
      <c r="AC3677">
        <f>MONTH(SalesData[[#This Row],[Date]])</f>
        <v>2</v>
      </c>
      <c r="AD3677">
        <f>Reference!F$4</f>
        <v>2026</v>
      </c>
      <c r="AE3677" t="str">
        <f>IF(OR(SalesData[[#This Row],[Day]]="Saturday",SalesData[[#This Row],[Day]]="Sunday"),"Weekend","Weekday")</f>
        <v>Weekend</v>
      </c>
      <c r="AF3677" s="5">
        <f>IF(SalesData[[#This Row],[Contracts Offered]]=0,0,SalesData[[#This Row],[Contracts Signed]]/SalesData[[#This Row],[Contracts Offered]])</f>
        <v>0.216</v>
      </c>
      <c r="AG3677" s="5">
        <f>IF(SalesData[[#This Row],[Customers Visited]]=0,0,SalesData[[#This Row],[Test Drives]]/SalesData[[#This Row],[Customers Visited]])</f>
        <v>0.47792207792207791</v>
      </c>
      <c r="AH3677" s="5">
        <f>IF(SalesData[[#This Row],[Customers Visited]]=0,0,SalesData[[#This Row],[Contracts Signed]]/SalesData[[#This Row],[Customers Visited]])</f>
        <v>7.0129870129870125E-2</v>
      </c>
      <c r="AI3677" s="6">
        <f>IF(SalesData[[#This Row],[Contracts Signed]]=0,0,SalesData[[#This Row],[Profit(€)]]/SalesData[[#This Row],[Contracts Signed]])</f>
        <v>3147</v>
      </c>
      <c r="AJ3677" s="5" t="str">
        <f>TRIM(CLEAN(SalesData[[#This Row],[Retailer]]))</f>
        <v>Stuttgart Auto Center</v>
      </c>
    </row>
    <row r="3678" spans="1:36" ht="14.25" hidden="1" x14ac:dyDescent="0.2">
      <c r="A3678" t="s">
        <v>4888</v>
      </c>
      <c r="B3678" s="1">
        <v>46078</v>
      </c>
      <c r="C3678" t="s">
        <v>53</v>
      </c>
      <c r="D3678" t="s">
        <v>82</v>
      </c>
      <c r="E3678" t="s">
        <v>26</v>
      </c>
      <c r="F3678" t="s">
        <v>127</v>
      </c>
      <c r="G3678" t="s">
        <v>128</v>
      </c>
      <c r="H3678" t="s">
        <v>103</v>
      </c>
      <c r="I3678" t="s">
        <v>64</v>
      </c>
      <c r="J3678" t="s">
        <v>77</v>
      </c>
      <c r="K3678" t="s">
        <v>78</v>
      </c>
      <c r="L3678" t="s">
        <v>46</v>
      </c>
      <c r="M3678" t="s">
        <v>47</v>
      </c>
      <c r="N3678" t="s">
        <v>69</v>
      </c>
      <c r="O3678" t="s">
        <v>36</v>
      </c>
      <c r="P3678" t="s">
        <v>37</v>
      </c>
      <c r="Q3678" t="s">
        <v>204</v>
      </c>
      <c r="R3678">
        <v>266</v>
      </c>
      <c r="S3678">
        <v>119</v>
      </c>
      <c r="T3678">
        <v>84</v>
      </c>
      <c r="U3678">
        <v>31</v>
      </c>
      <c r="V3678" t="s">
        <v>6499</v>
      </c>
      <c r="W3678">
        <v>64439</v>
      </c>
      <c r="X3678" t="s">
        <v>7034</v>
      </c>
      <c r="Y3678">
        <v>48306</v>
      </c>
      <c r="Z3678">
        <v>1997609</v>
      </c>
      <c r="AA3678">
        <v>500123</v>
      </c>
      <c r="AB3678" t="str">
        <f>(VLOOKUP(SalesData[[#This Row],[Month Number]],Reference!C$5:E$16,2,FALSE))</f>
        <v>Feb</v>
      </c>
      <c r="AC3678">
        <f>MONTH(SalesData[[#This Row],[Date]])</f>
        <v>2</v>
      </c>
      <c r="AD3678">
        <f>Reference!F$4</f>
        <v>2026</v>
      </c>
      <c r="AE3678" t="str">
        <f>IF(OR(SalesData[[#This Row],[Day]]="Saturday",SalesData[[#This Row],[Day]]="Sunday"),"Weekend","Weekday")</f>
        <v>Weekday</v>
      </c>
      <c r="AF3678" s="5">
        <f>IF(SalesData[[#This Row],[Contracts Offered]]=0,0,SalesData[[#This Row],[Contracts Signed]]/SalesData[[#This Row],[Contracts Offered]])</f>
        <v>0.36904761904761907</v>
      </c>
      <c r="AG3678" s="5">
        <f>IF(SalesData[[#This Row],[Customers Visited]]=0,0,SalesData[[#This Row],[Test Drives]]/SalesData[[#This Row],[Customers Visited]])</f>
        <v>0.44736842105263158</v>
      </c>
      <c r="AH3678" s="5">
        <f>IF(SalesData[[#This Row],[Customers Visited]]=0,0,SalesData[[#This Row],[Contracts Signed]]/SalesData[[#This Row],[Customers Visited]])</f>
        <v>0.11654135338345864</v>
      </c>
      <c r="AI3678" s="6">
        <f>IF(SalesData[[#This Row],[Contracts Signed]]=0,0,SalesData[[#This Row],[Profit(€)]]/SalesData[[#This Row],[Contracts Signed]])</f>
        <v>16133</v>
      </c>
      <c r="AJ3678" s="5" t="str">
        <f>TRIM(CLEAN(SalesData[[#This Row],[Retailer]]))</f>
        <v>Rhein Auto Group</v>
      </c>
    </row>
    <row r="3679" spans="1:36" ht="14.25" hidden="1" x14ac:dyDescent="0.2">
      <c r="A3679" t="s">
        <v>4889</v>
      </c>
      <c r="B3679" s="1">
        <v>46074</v>
      </c>
      <c r="C3679" t="s">
        <v>62</v>
      </c>
      <c r="D3679" t="s">
        <v>151</v>
      </c>
      <c r="E3679" t="s">
        <v>42</v>
      </c>
      <c r="F3679" t="s">
        <v>114</v>
      </c>
      <c r="G3679" t="s">
        <v>115</v>
      </c>
      <c r="H3679" t="s">
        <v>115</v>
      </c>
      <c r="I3679" t="s">
        <v>56</v>
      </c>
      <c r="J3679" t="s">
        <v>97</v>
      </c>
      <c r="K3679" t="s">
        <v>78</v>
      </c>
      <c r="L3679" t="s">
        <v>33</v>
      </c>
      <c r="M3679" t="s">
        <v>68</v>
      </c>
      <c r="N3679" t="s">
        <v>69</v>
      </c>
      <c r="O3679" t="s">
        <v>70</v>
      </c>
      <c r="P3679" t="s">
        <v>71</v>
      </c>
      <c r="Q3679" t="s">
        <v>129</v>
      </c>
      <c r="R3679">
        <v>236</v>
      </c>
      <c r="S3679">
        <v>142</v>
      </c>
      <c r="T3679">
        <v>96</v>
      </c>
      <c r="U3679">
        <v>33</v>
      </c>
      <c r="V3679" t="s">
        <v>7005</v>
      </c>
      <c r="W3679">
        <v>42060</v>
      </c>
      <c r="X3679" t="s">
        <v>550</v>
      </c>
      <c r="Y3679">
        <v>34140</v>
      </c>
      <c r="Z3679">
        <v>1387980</v>
      </c>
      <c r="AA3679">
        <v>261360</v>
      </c>
      <c r="AB3679" t="str">
        <f>(VLOOKUP(SalesData[[#This Row],[Month Number]],Reference!C$5:E$16,2,FALSE))</f>
        <v>Feb</v>
      </c>
      <c r="AC3679">
        <f>MONTH(SalesData[[#This Row],[Date]])</f>
        <v>2</v>
      </c>
      <c r="AD3679">
        <f>Reference!F$4</f>
        <v>2026</v>
      </c>
      <c r="AE3679" t="str">
        <f>IF(OR(SalesData[[#This Row],[Day]]="Saturday",SalesData[[#This Row],[Day]]="Sunday"),"Weekend","Weekday")</f>
        <v>Weekend</v>
      </c>
      <c r="AF3679" s="5">
        <f>IF(SalesData[[#This Row],[Contracts Offered]]=0,0,SalesData[[#This Row],[Contracts Signed]]/SalesData[[#This Row],[Contracts Offered]])</f>
        <v>0.34375</v>
      </c>
      <c r="AG3679" s="5">
        <f>IF(SalesData[[#This Row],[Customers Visited]]=0,0,SalesData[[#This Row],[Test Drives]]/SalesData[[#This Row],[Customers Visited]])</f>
        <v>0.60169491525423724</v>
      </c>
      <c r="AH3679" s="5">
        <f>IF(SalesData[[#This Row],[Customers Visited]]=0,0,SalesData[[#This Row],[Contracts Signed]]/SalesData[[#This Row],[Customers Visited]])</f>
        <v>0.13983050847457626</v>
      </c>
      <c r="AI3679" s="6">
        <f>IF(SalesData[[#This Row],[Contracts Signed]]=0,0,SalesData[[#This Row],[Profit(€)]]/SalesData[[#This Row],[Contracts Signed]])</f>
        <v>7920</v>
      </c>
      <c r="AJ3679" s="5" t="str">
        <f>TRIM(CLEAN(SalesData[[#This Row],[Retailer]]))</f>
        <v>Elbe Drive</v>
      </c>
    </row>
    <row r="3680" spans="1:36" ht="14.25" hidden="1" x14ac:dyDescent="0.2">
      <c r="A3680" t="s">
        <v>4890</v>
      </c>
      <c r="B3680" s="1">
        <v>46073</v>
      </c>
      <c r="C3680" t="s">
        <v>62</v>
      </c>
      <c r="D3680" t="s">
        <v>54</v>
      </c>
      <c r="E3680" t="s">
        <v>26</v>
      </c>
      <c r="F3680" t="s">
        <v>114</v>
      </c>
      <c r="G3680" t="s">
        <v>115</v>
      </c>
      <c r="H3680" t="s">
        <v>115</v>
      </c>
      <c r="I3680" t="s">
        <v>56</v>
      </c>
      <c r="J3680" t="s">
        <v>137</v>
      </c>
      <c r="K3680" t="s">
        <v>78</v>
      </c>
      <c r="L3680" t="s">
        <v>46</v>
      </c>
      <c r="M3680" t="s">
        <v>47</v>
      </c>
      <c r="N3680" t="s">
        <v>35</v>
      </c>
      <c r="O3680" t="s">
        <v>70</v>
      </c>
      <c r="P3680" t="s">
        <v>37</v>
      </c>
      <c r="Q3680" t="s">
        <v>144</v>
      </c>
      <c r="R3680">
        <v>174</v>
      </c>
      <c r="S3680">
        <v>96</v>
      </c>
      <c r="T3680">
        <v>67</v>
      </c>
      <c r="U3680">
        <v>21</v>
      </c>
      <c r="V3680" t="s">
        <v>6542</v>
      </c>
      <c r="W3680">
        <v>46851</v>
      </c>
      <c r="X3680" t="s">
        <v>1903</v>
      </c>
      <c r="Y3680">
        <v>37000</v>
      </c>
      <c r="Z3680">
        <v>983871</v>
      </c>
      <c r="AA3680">
        <v>206871</v>
      </c>
      <c r="AB3680" t="str">
        <f>(VLOOKUP(SalesData[[#This Row],[Month Number]],Reference!C$5:E$16,2,FALSE))</f>
        <v>Feb</v>
      </c>
      <c r="AC3680">
        <f>MONTH(SalesData[[#This Row],[Date]])</f>
        <v>2</v>
      </c>
      <c r="AD3680">
        <f>Reference!F$4</f>
        <v>2026</v>
      </c>
      <c r="AE3680" t="str">
        <f>IF(OR(SalesData[[#This Row],[Day]]="Saturday",SalesData[[#This Row],[Day]]="Sunday"),"Weekend","Weekday")</f>
        <v>Weekday</v>
      </c>
      <c r="AF3680" s="5">
        <f>IF(SalesData[[#This Row],[Contracts Offered]]=0,0,SalesData[[#This Row],[Contracts Signed]]/SalesData[[#This Row],[Contracts Offered]])</f>
        <v>0.31343283582089554</v>
      </c>
      <c r="AG3680" s="5">
        <f>IF(SalesData[[#This Row],[Customers Visited]]=0,0,SalesData[[#This Row],[Test Drives]]/SalesData[[#This Row],[Customers Visited]])</f>
        <v>0.55172413793103448</v>
      </c>
      <c r="AH3680" s="5">
        <f>IF(SalesData[[#This Row],[Customers Visited]]=0,0,SalesData[[#This Row],[Contracts Signed]]/SalesData[[#This Row],[Customers Visited]])</f>
        <v>0.1206896551724138</v>
      </c>
      <c r="AI3680" s="6">
        <f>IF(SalesData[[#This Row],[Contracts Signed]]=0,0,SalesData[[#This Row],[Profit(€)]]/SalesData[[#This Row],[Contracts Signed]])</f>
        <v>9851</v>
      </c>
      <c r="AJ3680" s="5" t="str">
        <f>TRIM(CLEAN(SalesData[[#This Row],[Retailer]]))</f>
        <v>Elbe Drive</v>
      </c>
    </row>
    <row r="3681" spans="1:36" ht="14.25" hidden="1" x14ac:dyDescent="0.2">
      <c r="A3681" t="s">
        <v>4892</v>
      </c>
      <c r="B3681" s="1">
        <v>46061</v>
      </c>
      <c r="C3681" t="s">
        <v>121</v>
      </c>
      <c r="D3681" t="s">
        <v>41</v>
      </c>
      <c r="E3681" t="s">
        <v>42</v>
      </c>
      <c r="F3681" t="s">
        <v>109</v>
      </c>
      <c r="G3681" t="s">
        <v>110</v>
      </c>
      <c r="H3681" t="s">
        <v>45</v>
      </c>
      <c r="I3681" t="s">
        <v>64</v>
      </c>
      <c r="J3681" t="s">
        <v>65</v>
      </c>
      <c r="K3681" t="s">
        <v>91</v>
      </c>
      <c r="L3681" t="s">
        <v>33</v>
      </c>
      <c r="M3681" t="s">
        <v>47</v>
      </c>
      <c r="N3681" t="s">
        <v>69</v>
      </c>
      <c r="O3681" t="s">
        <v>36</v>
      </c>
      <c r="P3681" t="s">
        <v>71</v>
      </c>
      <c r="Q3681" t="s">
        <v>50</v>
      </c>
      <c r="R3681">
        <v>259</v>
      </c>
      <c r="S3681">
        <v>136</v>
      </c>
      <c r="T3681">
        <v>104</v>
      </c>
      <c r="U3681">
        <v>31</v>
      </c>
      <c r="V3681" t="s">
        <v>6874</v>
      </c>
      <c r="W3681">
        <v>53684</v>
      </c>
      <c r="X3681" t="s">
        <v>7276</v>
      </c>
      <c r="Y3681">
        <v>39211</v>
      </c>
      <c r="Z3681">
        <v>1664204</v>
      </c>
      <c r="AA3681">
        <v>448663</v>
      </c>
      <c r="AB3681" t="str">
        <f>(VLOOKUP(SalesData[[#This Row],[Month Number]],Reference!C$5:E$16,2,FALSE))</f>
        <v>Feb</v>
      </c>
      <c r="AC3681">
        <f>MONTH(SalesData[[#This Row],[Date]])</f>
        <v>2</v>
      </c>
      <c r="AD3681">
        <f>Reference!F$4</f>
        <v>2026</v>
      </c>
      <c r="AE3681" t="str">
        <f>IF(OR(SalesData[[#This Row],[Day]]="Saturday",SalesData[[#This Row],[Day]]="Sunday"),"Weekend","Weekday")</f>
        <v>Weekend</v>
      </c>
      <c r="AF3681" s="5">
        <f>IF(SalesData[[#This Row],[Contracts Offered]]=0,0,SalesData[[#This Row],[Contracts Signed]]/SalesData[[#This Row],[Contracts Offered]])</f>
        <v>0.29807692307692307</v>
      </c>
      <c r="AG3681" s="5">
        <f>IF(SalesData[[#This Row],[Customers Visited]]=0,0,SalesData[[#This Row],[Test Drives]]/SalesData[[#This Row],[Customers Visited]])</f>
        <v>0.52509652509652505</v>
      </c>
      <c r="AH3681" s="5">
        <f>IF(SalesData[[#This Row],[Customers Visited]]=0,0,SalesData[[#This Row],[Contracts Signed]]/SalesData[[#This Row],[Customers Visited]])</f>
        <v>0.11969111969111969</v>
      </c>
      <c r="AI3681" s="6">
        <f>IF(SalesData[[#This Row],[Contracts Signed]]=0,0,SalesData[[#This Row],[Profit(€)]]/SalesData[[#This Row],[Contracts Signed]])</f>
        <v>14473</v>
      </c>
      <c r="AJ3681" s="5" t="str">
        <f>TRIM(CLEAN(SalesData[[#This Row],[Retailer]]))</f>
        <v>Leipzig Mobility</v>
      </c>
    </row>
    <row r="3682" spans="1:36" ht="14.25" hidden="1" x14ac:dyDescent="0.2">
      <c r="A3682" t="s">
        <v>4893</v>
      </c>
      <c r="B3682" s="1">
        <v>46063</v>
      </c>
      <c r="C3682" t="s">
        <v>121</v>
      </c>
      <c r="D3682" t="s">
        <v>63</v>
      </c>
      <c r="E3682" t="s">
        <v>26</v>
      </c>
      <c r="F3682" t="s">
        <v>101</v>
      </c>
      <c r="G3682" t="s">
        <v>102</v>
      </c>
      <c r="H3682" t="s">
        <v>103</v>
      </c>
      <c r="I3682" t="s">
        <v>56</v>
      </c>
      <c r="J3682" t="s">
        <v>137</v>
      </c>
      <c r="K3682" t="s">
        <v>78</v>
      </c>
      <c r="L3682" t="s">
        <v>46</v>
      </c>
      <c r="M3682" t="s">
        <v>87</v>
      </c>
      <c r="N3682" t="s">
        <v>35</v>
      </c>
      <c r="O3682" t="s">
        <v>70</v>
      </c>
      <c r="P3682" t="s">
        <v>37</v>
      </c>
      <c r="Q3682" t="s">
        <v>189</v>
      </c>
      <c r="R3682">
        <v>216</v>
      </c>
      <c r="S3682">
        <v>104</v>
      </c>
      <c r="T3682">
        <v>66</v>
      </c>
      <c r="U3682">
        <v>20</v>
      </c>
      <c r="V3682" t="s">
        <v>576</v>
      </c>
      <c r="W3682">
        <v>40253</v>
      </c>
      <c r="X3682" t="s">
        <v>7362</v>
      </c>
      <c r="Y3682">
        <v>31907</v>
      </c>
      <c r="Z3682">
        <v>805060</v>
      </c>
      <c r="AA3682">
        <v>166920</v>
      </c>
      <c r="AB3682" t="str">
        <f>(VLOOKUP(SalesData[[#This Row],[Month Number]],Reference!C$5:E$16,2,FALSE))</f>
        <v>Feb</v>
      </c>
      <c r="AC3682">
        <f>MONTH(SalesData[[#This Row],[Date]])</f>
        <v>2</v>
      </c>
      <c r="AD3682">
        <f>Reference!F$4</f>
        <v>2026</v>
      </c>
      <c r="AE3682" t="str">
        <f>IF(OR(SalesData[[#This Row],[Day]]="Saturday",SalesData[[#This Row],[Day]]="Sunday"),"Weekend","Weekday")</f>
        <v>Weekday</v>
      </c>
      <c r="AF3682" s="5">
        <f>IF(SalesData[[#This Row],[Contracts Offered]]=0,0,SalesData[[#This Row],[Contracts Signed]]/SalesData[[#This Row],[Contracts Offered]])</f>
        <v>0.30303030303030304</v>
      </c>
      <c r="AG3682" s="5">
        <f>IF(SalesData[[#This Row],[Customers Visited]]=0,0,SalesData[[#This Row],[Test Drives]]/SalesData[[#This Row],[Customers Visited]])</f>
        <v>0.48148148148148145</v>
      </c>
      <c r="AH3682" s="5">
        <f>IF(SalesData[[#This Row],[Customers Visited]]=0,0,SalesData[[#This Row],[Contracts Signed]]/SalesData[[#This Row],[Customers Visited]])</f>
        <v>9.2592592592592587E-2</v>
      </c>
      <c r="AI3682" s="6">
        <f>IF(SalesData[[#This Row],[Contracts Signed]]=0,0,SalesData[[#This Row],[Profit(€)]]/SalesData[[#This Row],[Contracts Signed]])</f>
        <v>8346</v>
      </c>
      <c r="AJ3682" s="5" t="str">
        <f>TRIM(CLEAN(SalesData[[#This Row],[Retailer]]))</f>
        <v>Ruhr Auto Plaza</v>
      </c>
    </row>
    <row r="3683" spans="1:36" ht="14.25" hidden="1" x14ac:dyDescent="0.2">
      <c r="A3683" t="s">
        <v>4895</v>
      </c>
      <c r="B3683" s="1">
        <v>46061</v>
      </c>
      <c r="C3683" t="s">
        <v>121</v>
      </c>
      <c r="D3683" t="s">
        <v>41</v>
      </c>
      <c r="E3683" t="s">
        <v>42</v>
      </c>
      <c r="F3683" t="s">
        <v>114</v>
      </c>
      <c r="G3683" t="s">
        <v>115</v>
      </c>
      <c r="H3683" t="s">
        <v>115</v>
      </c>
      <c r="I3683" t="s">
        <v>116</v>
      </c>
      <c r="J3683" t="s">
        <v>7026</v>
      </c>
      <c r="K3683" t="s">
        <v>91</v>
      </c>
      <c r="L3683" t="s">
        <v>46</v>
      </c>
      <c r="M3683" t="s">
        <v>47</v>
      </c>
      <c r="N3683" t="s">
        <v>48</v>
      </c>
      <c r="O3683" t="s">
        <v>70</v>
      </c>
      <c r="P3683" t="s">
        <v>71</v>
      </c>
      <c r="Q3683" t="s">
        <v>204</v>
      </c>
      <c r="R3683">
        <v>339</v>
      </c>
      <c r="S3683">
        <v>133</v>
      </c>
      <c r="T3683">
        <v>90</v>
      </c>
      <c r="U3683">
        <v>21</v>
      </c>
      <c r="V3683" t="s">
        <v>456</v>
      </c>
      <c r="W3683">
        <v>24869</v>
      </c>
      <c r="X3683" t="s">
        <v>7264</v>
      </c>
      <c r="Y3683">
        <v>22608</v>
      </c>
      <c r="Z3683">
        <v>522249</v>
      </c>
      <c r="AA3683">
        <v>47481</v>
      </c>
      <c r="AB3683" t="str">
        <f>(VLOOKUP(SalesData[[#This Row],[Month Number]],Reference!C$5:E$16,2,FALSE))</f>
        <v>Feb</v>
      </c>
      <c r="AC3683">
        <f>MONTH(SalesData[[#This Row],[Date]])</f>
        <v>2</v>
      </c>
      <c r="AD3683">
        <f>Reference!F$4</f>
        <v>2026</v>
      </c>
      <c r="AE3683" t="str">
        <f>IF(OR(SalesData[[#This Row],[Day]]="Saturday",SalesData[[#This Row],[Day]]="Sunday"),"Weekend","Weekday")</f>
        <v>Weekend</v>
      </c>
      <c r="AF3683" s="5">
        <f>IF(SalesData[[#This Row],[Contracts Offered]]=0,0,SalesData[[#This Row],[Contracts Signed]]/SalesData[[#This Row],[Contracts Offered]])</f>
        <v>0.23333333333333334</v>
      </c>
      <c r="AG3683" s="5">
        <f>IF(SalesData[[#This Row],[Customers Visited]]=0,0,SalesData[[#This Row],[Test Drives]]/SalesData[[#This Row],[Customers Visited]])</f>
        <v>0.39233038348082594</v>
      </c>
      <c r="AH3683" s="5">
        <f>IF(SalesData[[#This Row],[Customers Visited]]=0,0,SalesData[[#This Row],[Contracts Signed]]/SalesData[[#This Row],[Customers Visited]])</f>
        <v>6.1946902654867256E-2</v>
      </c>
      <c r="AI3683" s="6">
        <f>IF(SalesData[[#This Row],[Contracts Signed]]=0,0,SalesData[[#This Row],[Profit(€)]]/SalesData[[#This Row],[Contracts Signed]])</f>
        <v>2261</v>
      </c>
      <c r="AJ3683" s="5" t="str">
        <f>TRIM(CLEAN(SalesData[[#This Row],[Retailer]]))</f>
        <v>Elbe Drive</v>
      </c>
    </row>
    <row r="3684" spans="1:36" ht="14.25" hidden="1" x14ac:dyDescent="0.2">
      <c r="A3684" t="s">
        <v>4896</v>
      </c>
      <c r="B3684" s="1">
        <v>46077</v>
      </c>
      <c r="C3684" t="s">
        <v>53</v>
      </c>
      <c r="D3684" t="s">
        <v>63</v>
      </c>
      <c r="E3684" t="s">
        <v>26</v>
      </c>
      <c r="F3684" t="s">
        <v>74</v>
      </c>
      <c r="G3684" t="s">
        <v>75</v>
      </c>
      <c r="H3684" t="s">
        <v>76</v>
      </c>
      <c r="I3684" t="s">
        <v>56</v>
      </c>
      <c r="J3684" t="s">
        <v>7028</v>
      </c>
      <c r="K3684" t="s">
        <v>78</v>
      </c>
      <c r="L3684" t="s">
        <v>46</v>
      </c>
      <c r="M3684" t="s">
        <v>68</v>
      </c>
      <c r="N3684" t="s">
        <v>48</v>
      </c>
      <c r="O3684" t="s">
        <v>36</v>
      </c>
      <c r="P3684" t="s">
        <v>71</v>
      </c>
      <c r="Q3684" t="s">
        <v>129</v>
      </c>
      <c r="R3684">
        <v>170</v>
      </c>
      <c r="S3684">
        <v>81</v>
      </c>
      <c r="T3684">
        <v>56</v>
      </c>
      <c r="U3684">
        <v>18</v>
      </c>
      <c r="V3684" t="s">
        <v>6433</v>
      </c>
      <c r="W3684">
        <v>42379</v>
      </c>
      <c r="X3684" t="s">
        <v>4802</v>
      </c>
      <c r="Y3684">
        <v>34577</v>
      </c>
      <c r="Z3684">
        <v>762822</v>
      </c>
      <c r="AA3684">
        <v>140436</v>
      </c>
      <c r="AB3684" t="str">
        <f>(VLOOKUP(SalesData[[#This Row],[Month Number]],Reference!C$5:E$16,2,FALSE))</f>
        <v>Feb</v>
      </c>
      <c r="AC3684">
        <f>MONTH(SalesData[[#This Row],[Date]])</f>
        <v>2</v>
      </c>
      <c r="AD3684">
        <f>Reference!F$4</f>
        <v>2026</v>
      </c>
      <c r="AE3684" t="str">
        <f>IF(OR(SalesData[[#This Row],[Day]]="Saturday",SalesData[[#This Row],[Day]]="Sunday"),"Weekend","Weekday")</f>
        <v>Weekday</v>
      </c>
      <c r="AF3684" s="5">
        <f>IF(SalesData[[#This Row],[Contracts Offered]]=0,0,SalesData[[#This Row],[Contracts Signed]]/SalesData[[#This Row],[Contracts Offered]])</f>
        <v>0.32142857142857145</v>
      </c>
      <c r="AG3684" s="5">
        <f>IF(SalesData[[#This Row],[Customers Visited]]=0,0,SalesData[[#This Row],[Test Drives]]/SalesData[[#This Row],[Customers Visited]])</f>
        <v>0.47647058823529409</v>
      </c>
      <c r="AH3684" s="5">
        <f>IF(SalesData[[#This Row],[Customers Visited]]=0,0,SalesData[[#This Row],[Contracts Signed]]/SalesData[[#This Row],[Customers Visited]])</f>
        <v>0.10588235294117647</v>
      </c>
      <c r="AI3684" s="6">
        <f>IF(SalesData[[#This Row],[Contracts Signed]]=0,0,SalesData[[#This Row],[Profit(€)]]/SalesData[[#This Row],[Contracts Signed]])</f>
        <v>7802</v>
      </c>
      <c r="AJ3684" s="5" t="str">
        <f>TRIM(CLEAN(SalesData[[#This Row],[Retailer]]))</f>
        <v>Stuttgart Auto Center</v>
      </c>
    </row>
    <row r="3685" spans="1:36" ht="14.25" x14ac:dyDescent="0.2">
      <c r="A3685" t="s">
        <v>4897</v>
      </c>
      <c r="B3685" s="1">
        <v>46060</v>
      </c>
      <c r="C3685" t="s">
        <v>24</v>
      </c>
      <c r="D3685" t="s">
        <v>151</v>
      </c>
      <c r="E3685" t="s">
        <v>42</v>
      </c>
      <c r="F3685" t="s">
        <v>94</v>
      </c>
      <c r="G3685" t="s">
        <v>95</v>
      </c>
      <c r="H3685" t="s">
        <v>96</v>
      </c>
      <c r="I3685" t="s">
        <v>30</v>
      </c>
      <c r="J3685" t="s">
        <v>31</v>
      </c>
      <c r="K3685" t="s">
        <v>78</v>
      </c>
      <c r="L3685" t="s">
        <v>46</v>
      </c>
      <c r="M3685" t="s">
        <v>87</v>
      </c>
      <c r="N3685" t="s">
        <v>35</v>
      </c>
      <c r="O3685" t="s">
        <v>70</v>
      </c>
      <c r="P3685" t="s">
        <v>71</v>
      </c>
      <c r="Q3685" t="s">
        <v>38</v>
      </c>
      <c r="R3685">
        <v>241</v>
      </c>
      <c r="S3685">
        <v>136</v>
      </c>
      <c r="T3685">
        <v>101</v>
      </c>
      <c r="U3685">
        <v>42</v>
      </c>
      <c r="V3685" t="s">
        <v>7607</v>
      </c>
      <c r="W3685">
        <v>53042</v>
      </c>
      <c r="X3685" t="s">
        <v>7208</v>
      </c>
      <c r="Y3685">
        <v>41079</v>
      </c>
      <c r="Z3685">
        <v>2227764</v>
      </c>
      <c r="AA3685">
        <v>502446</v>
      </c>
      <c r="AB3685" t="str">
        <f>(VLOOKUP(SalesData[[#This Row],[Month Number]],Reference!C$5:E$16,2,FALSE))</f>
        <v>Feb</v>
      </c>
      <c r="AC3685">
        <f>MONTH(SalesData[[#This Row],[Date]])</f>
        <v>2</v>
      </c>
      <c r="AD3685">
        <f>Reference!F$4</f>
        <v>2026</v>
      </c>
      <c r="AE3685" t="str">
        <f>IF(OR(SalesData[[#This Row],[Day]]="Saturday",SalesData[[#This Row],[Day]]="Sunday"),"Weekend","Weekday")</f>
        <v>Weekend</v>
      </c>
      <c r="AF3685" s="5">
        <f>IF(SalesData[[#This Row],[Contracts Offered]]=0,0,SalesData[[#This Row],[Contracts Signed]]/SalesData[[#This Row],[Contracts Offered]])</f>
        <v>0.41584158415841582</v>
      </c>
      <c r="AG3685" s="5">
        <f>IF(SalesData[[#This Row],[Customers Visited]]=0,0,SalesData[[#This Row],[Test Drives]]/SalesData[[#This Row],[Customers Visited]])</f>
        <v>0.56431535269709543</v>
      </c>
      <c r="AH3685" s="5">
        <f>IF(SalesData[[#This Row],[Customers Visited]]=0,0,SalesData[[#This Row],[Contracts Signed]]/SalesData[[#This Row],[Customers Visited]])</f>
        <v>0.17427385892116182</v>
      </c>
      <c r="AI3685" s="6">
        <f>IF(SalesData[[#This Row],[Contracts Signed]]=0,0,SalesData[[#This Row],[Profit(€)]]/SalesData[[#This Row],[Contracts Signed]])</f>
        <v>11963</v>
      </c>
      <c r="AJ3685" s="5" t="str">
        <f>TRIM(CLEAN(SalesData[[#This Row],[Retailer]]))</f>
        <v>Bavaria Motors</v>
      </c>
    </row>
    <row r="3686" spans="1:36" ht="14.25" hidden="1" x14ac:dyDescent="0.2">
      <c r="A3686" t="s">
        <v>4898</v>
      </c>
      <c r="B3686" s="1">
        <v>46061</v>
      </c>
      <c r="C3686" t="s">
        <v>121</v>
      </c>
      <c r="D3686" t="s">
        <v>41</v>
      </c>
      <c r="E3686" t="s">
        <v>42</v>
      </c>
      <c r="F3686" t="s">
        <v>74</v>
      </c>
      <c r="G3686" t="s">
        <v>75</v>
      </c>
      <c r="H3686" t="s">
        <v>76</v>
      </c>
      <c r="I3686" t="s">
        <v>116</v>
      </c>
      <c r="J3686" t="s">
        <v>7090</v>
      </c>
      <c r="K3686" t="s">
        <v>32</v>
      </c>
      <c r="L3686" t="s">
        <v>46</v>
      </c>
      <c r="M3686" t="s">
        <v>47</v>
      </c>
      <c r="N3686" t="s">
        <v>35</v>
      </c>
      <c r="O3686" t="s">
        <v>36</v>
      </c>
      <c r="P3686" t="s">
        <v>49</v>
      </c>
      <c r="Q3686" t="s">
        <v>129</v>
      </c>
      <c r="R3686">
        <v>286</v>
      </c>
      <c r="S3686">
        <v>150</v>
      </c>
      <c r="T3686">
        <v>85</v>
      </c>
      <c r="U3686">
        <v>22</v>
      </c>
      <c r="V3686" t="s">
        <v>4665</v>
      </c>
      <c r="W3686">
        <v>24469</v>
      </c>
      <c r="X3686" t="s">
        <v>5738</v>
      </c>
      <c r="Y3686">
        <v>22604</v>
      </c>
      <c r="Z3686">
        <v>538318</v>
      </c>
      <c r="AA3686">
        <v>41030</v>
      </c>
      <c r="AB3686" t="str">
        <f>(VLOOKUP(SalesData[[#This Row],[Month Number]],Reference!C$5:E$16,2,FALSE))</f>
        <v>Feb</v>
      </c>
      <c r="AC3686">
        <f>MONTH(SalesData[[#This Row],[Date]])</f>
        <v>2</v>
      </c>
      <c r="AD3686">
        <f>Reference!F$4</f>
        <v>2026</v>
      </c>
      <c r="AE3686" t="str">
        <f>IF(OR(SalesData[[#This Row],[Day]]="Saturday",SalesData[[#This Row],[Day]]="Sunday"),"Weekend","Weekday")</f>
        <v>Weekend</v>
      </c>
      <c r="AF3686" s="5">
        <f>IF(SalesData[[#This Row],[Contracts Offered]]=0,0,SalesData[[#This Row],[Contracts Signed]]/SalesData[[#This Row],[Contracts Offered]])</f>
        <v>0.25882352941176473</v>
      </c>
      <c r="AG3686" s="5">
        <f>IF(SalesData[[#This Row],[Customers Visited]]=0,0,SalesData[[#This Row],[Test Drives]]/SalesData[[#This Row],[Customers Visited]])</f>
        <v>0.52447552447552448</v>
      </c>
      <c r="AH3686" s="5">
        <f>IF(SalesData[[#This Row],[Customers Visited]]=0,0,SalesData[[#This Row],[Contracts Signed]]/SalesData[[#This Row],[Customers Visited]])</f>
        <v>7.6923076923076927E-2</v>
      </c>
      <c r="AI3686" s="6">
        <f>IF(SalesData[[#This Row],[Contracts Signed]]=0,0,SalesData[[#This Row],[Profit(€)]]/SalesData[[#This Row],[Contracts Signed]])</f>
        <v>1865</v>
      </c>
      <c r="AJ3686" s="5" t="str">
        <f>TRIM(CLEAN(SalesData[[#This Row],[Retailer]]))</f>
        <v>Stuttgart Auto Center</v>
      </c>
    </row>
    <row r="3687" spans="1:36" ht="14.25" hidden="1" x14ac:dyDescent="0.2">
      <c r="A3687" t="s">
        <v>4899</v>
      </c>
      <c r="B3687" s="1">
        <v>46062</v>
      </c>
      <c r="C3687" t="s">
        <v>121</v>
      </c>
      <c r="D3687" t="s">
        <v>25</v>
      </c>
      <c r="E3687" t="s">
        <v>26</v>
      </c>
      <c r="F3687" t="s">
        <v>94</v>
      </c>
      <c r="G3687" t="s">
        <v>95</v>
      </c>
      <c r="H3687" t="s">
        <v>96</v>
      </c>
      <c r="I3687" t="s">
        <v>64</v>
      </c>
      <c r="J3687" t="s">
        <v>7029</v>
      </c>
      <c r="K3687" t="s">
        <v>32</v>
      </c>
      <c r="L3687" t="s">
        <v>33</v>
      </c>
      <c r="M3687" t="s">
        <v>34</v>
      </c>
      <c r="N3687" t="s">
        <v>48</v>
      </c>
      <c r="O3687" t="s">
        <v>36</v>
      </c>
      <c r="P3687" t="s">
        <v>49</v>
      </c>
      <c r="Q3687" t="s">
        <v>59</v>
      </c>
      <c r="R3687">
        <v>174</v>
      </c>
      <c r="S3687">
        <v>97</v>
      </c>
      <c r="T3687">
        <v>69</v>
      </c>
      <c r="U3687">
        <v>24</v>
      </c>
      <c r="V3687" t="s">
        <v>6892</v>
      </c>
      <c r="W3687">
        <v>57797</v>
      </c>
      <c r="X3687" t="s">
        <v>7179</v>
      </c>
      <c r="Y3687">
        <v>45316</v>
      </c>
      <c r="Z3687">
        <v>1387128</v>
      </c>
      <c r="AA3687">
        <v>299544</v>
      </c>
      <c r="AB3687" t="str">
        <f>(VLOOKUP(SalesData[[#This Row],[Month Number]],Reference!C$5:E$16,2,FALSE))</f>
        <v>Feb</v>
      </c>
      <c r="AC3687">
        <f>MONTH(SalesData[[#This Row],[Date]])</f>
        <v>2</v>
      </c>
      <c r="AD3687">
        <f>Reference!F$4</f>
        <v>2026</v>
      </c>
      <c r="AE3687" t="str">
        <f>IF(OR(SalesData[[#This Row],[Day]]="Saturday",SalesData[[#This Row],[Day]]="Sunday"),"Weekend","Weekday")</f>
        <v>Weekday</v>
      </c>
      <c r="AF3687" s="5">
        <f>IF(SalesData[[#This Row],[Contracts Offered]]=0,0,SalesData[[#This Row],[Contracts Signed]]/SalesData[[#This Row],[Contracts Offered]])</f>
        <v>0.34782608695652173</v>
      </c>
      <c r="AG3687" s="5">
        <f>IF(SalesData[[#This Row],[Customers Visited]]=0,0,SalesData[[#This Row],[Test Drives]]/SalesData[[#This Row],[Customers Visited]])</f>
        <v>0.55747126436781613</v>
      </c>
      <c r="AH3687" s="5">
        <f>IF(SalesData[[#This Row],[Customers Visited]]=0,0,SalesData[[#This Row],[Contracts Signed]]/SalesData[[#This Row],[Customers Visited]])</f>
        <v>0.13793103448275862</v>
      </c>
      <c r="AI3687" s="6">
        <f>IF(SalesData[[#This Row],[Contracts Signed]]=0,0,SalesData[[#This Row],[Profit(€)]]/SalesData[[#This Row],[Contracts Signed]])</f>
        <v>12481</v>
      </c>
      <c r="AJ3687" s="5" t="str">
        <f>TRIM(CLEAN(SalesData[[#This Row],[Retailer]]))</f>
        <v>Bavaria Motors</v>
      </c>
    </row>
    <row r="3688" spans="1:36" ht="14.25" x14ac:dyDescent="0.2">
      <c r="A3688" t="s">
        <v>4900</v>
      </c>
      <c r="B3688" s="1">
        <v>46079</v>
      </c>
      <c r="C3688" t="s">
        <v>53</v>
      </c>
      <c r="D3688" t="s">
        <v>100</v>
      </c>
      <c r="E3688" t="s">
        <v>26</v>
      </c>
      <c r="F3688" t="s">
        <v>7649</v>
      </c>
      <c r="G3688" t="s">
        <v>55</v>
      </c>
      <c r="H3688" t="s">
        <v>55</v>
      </c>
      <c r="I3688" t="s">
        <v>30</v>
      </c>
      <c r="J3688" t="s">
        <v>7075</v>
      </c>
      <c r="K3688" t="s">
        <v>32</v>
      </c>
      <c r="L3688" t="s">
        <v>33</v>
      </c>
      <c r="M3688" t="s">
        <v>34</v>
      </c>
      <c r="N3688" t="s">
        <v>48</v>
      </c>
      <c r="O3688" t="s">
        <v>70</v>
      </c>
      <c r="P3688" t="s">
        <v>49</v>
      </c>
      <c r="Q3688" t="s">
        <v>158</v>
      </c>
      <c r="R3688">
        <v>239</v>
      </c>
      <c r="S3688">
        <v>136</v>
      </c>
      <c r="T3688">
        <v>109</v>
      </c>
      <c r="U3688">
        <v>40</v>
      </c>
      <c r="V3688" t="s">
        <v>6966</v>
      </c>
      <c r="W3688">
        <v>60800</v>
      </c>
      <c r="X3688" t="s">
        <v>3593</v>
      </c>
      <c r="Y3688">
        <v>45599</v>
      </c>
      <c r="Z3688">
        <v>2432000</v>
      </c>
      <c r="AA3688">
        <v>608040</v>
      </c>
      <c r="AB3688" t="str">
        <f>(VLOOKUP(SalesData[[#This Row],[Month Number]],Reference!C$5:E$16,2,FALSE))</f>
        <v>Feb</v>
      </c>
      <c r="AC3688">
        <f>MONTH(SalesData[[#This Row],[Date]])</f>
        <v>2</v>
      </c>
      <c r="AD3688">
        <f>Reference!F$4</f>
        <v>2026</v>
      </c>
      <c r="AE3688" t="str">
        <f>IF(OR(SalesData[[#This Row],[Day]]="Saturday",SalesData[[#This Row],[Day]]="Sunday"),"Weekend","Weekday")</f>
        <v>Weekday</v>
      </c>
      <c r="AF3688" s="5">
        <f>IF(SalesData[[#This Row],[Contracts Offered]]=0,0,SalesData[[#This Row],[Contracts Signed]]/SalesData[[#This Row],[Contracts Offered]])</f>
        <v>0.3669724770642202</v>
      </c>
      <c r="AG3688" s="5">
        <f>IF(SalesData[[#This Row],[Customers Visited]]=0,0,SalesData[[#This Row],[Test Drives]]/SalesData[[#This Row],[Customers Visited]])</f>
        <v>0.56903765690376573</v>
      </c>
      <c r="AH3688" s="5">
        <f>IF(SalesData[[#This Row],[Customers Visited]]=0,0,SalesData[[#This Row],[Contracts Signed]]/SalesData[[#This Row],[Customers Visited]])</f>
        <v>0.16736401673640167</v>
      </c>
      <c r="AI3688" s="6">
        <f>IF(SalesData[[#This Row],[Contracts Signed]]=0,0,SalesData[[#This Row],[Profit(€)]]/SalesData[[#This Row],[Contracts Signed]])</f>
        <v>15201</v>
      </c>
      <c r="AJ3688" s="5" t="str">
        <f>TRIM(CLEAN(SalesData[[#This Row],[Retailer]]))</f>
        <v>Autohaus Berlin</v>
      </c>
    </row>
    <row r="3689" spans="1:36" ht="14.25" x14ac:dyDescent="0.2">
      <c r="A3689" t="s">
        <v>4901</v>
      </c>
      <c r="B3689" s="1">
        <v>46059</v>
      </c>
      <c r="C3689" t="s">
        <v>24</v>
      </c>
      <c r="D3689" t="s">
        <v>54</v>
      </c>
      <c r="E3689" t="s">
        <v>26</v>
      </c>
      <c r="F3689" t="s">
        <v>43</v>
      </c>
      <c r="G3689" t="s">
        <v>44</v>
      </c>
      <c r="H3689" t="s">
        <v>45</v>
      </c>
      <c r="I3689" t="s">
        <v>30</v>
      </c>
      <c r="J3689" t="s">
        <v>188</v>
      </c>
      <c r="K3689" t="s">
        <v>66</v>
      </c>
      <c r="L3689" t="s">
        <v>33</v>
      </c>
      <c r="M3689" t="s">
        <v>47</v>
      </c>
      <c r="N3689" t="s">
        <v>69</v>
      </c>
      <c r="O3689" t="s">
        <v>36</v>
      </c>
      <c r="P3689" t="s">
        <v>71</v>
      </c>
      <c r="Q3689" t="s">
        <v>118</v>
      </c>
      <c r="R3689">
        <v>211</v>
      </c>
      <c r="S3689">
        <v>108</v>
      </c>
      <c r="T3689">
        <v>80</v>
      </c>
      <c r="U3689">
        <v>31</v>
      </c>
      <c r="V3689" t="s">
        <v>6511</v>
      </c>
      <c r="W3689">
        <v>68216</v>
      </c>
      <c r="X3689" t="s">
        <v>7390</v>
      </c>
      <c r="Y3689">
        <v>50206</v>
      </c>
      <c r="Z3689">
        <v>2114696</v>
      </c>
      <c r="AA3689">
        <v>558310</v>
      </c>
      <c r="AB3689" t="str">
        <f>(VLOOKUP(SalesData[[#This Row],[Month Number]],Reference!C$5:E$16,2,FALSE))</f>
        <v>Feb</v>
      </c>
      <c r="AC3689">
        <f>MONTH(SalesData[[#This Row],[Date]])</f>
        <v>2</v>
      </c>
      <c r="AD3689">
        <f>Reference!F$4</f>
        <v>2026</v>
      </c>
      <c r="AE3689" t="str">
        <f>IF(OR(SalesData[[#This Row],[Day]]="Saturday",SalesData[[#This Row],[Day]]="Sunday"),"Weekend","Weekday")</f>
        <v>Weekday</v>
      </c>
      <c r="AF3689" s="5">
        <f>IF(SalesData[[#This Row],[Contracts Offered]]=0,0,SalesData[[#This Row],[Contracts Signed]]/SalesData[[#This Row],[Contracts Offered]])</f>
        <v>0.38750000000000001</v>
      </c>
      <c r="AG3689" s="5">
        <f>IF(SalesData[[#This Row],[Customers Visited]]=0,0,SalesData[[#This Row],[Test Drives]]/SalesData[[#This Row],[Customers Visited]])</f>
        <v>0.51184834123222744</v>
      </c>
      <c r="AH3689" s="5">
        <f>IF(SalesData[[#This Row],[Customers Visited]]=0,0,SalesData[[#This Row],[Contracts Signed]]/SalesData[[#This Row],[Customers Visited]])</f>
        <v>0.14691943127962084</v>
      </c>
      <c r="AI3689" s="6">
        <f>IF(SalesData[[#This Row],[Contracts Signed]]=0,0,SalesData[[#This Row],[Profit(€)]]/SalesData[[#This Row],[Contracts Signed]])</f>
        <v>18010</v>
      </c>
      <c r="AJ3689" s="5" t="str">
        <f>TRIM(CLEAN(SalesData[[#This Row],[Retailer]]))</f>
        <v>Saxon Wheels</v>
      </c>
    </row>
    <row r="3690" spans="1:36" ht="14.25" hidden="1" x14ac:dyDescent="0.2">
      <c r="A3690" t="s">
        <v>4903</v>
      </c>
      <c r="B3690" s="1">
        <v>46056</v>
      </c>
      <c r="C3690" t="s">
        <v>24</v>
      </c>
      <c r="D3690" t="s">
        <v>63</v>
      </c>
      <c r="E3690" t="s">
        <v>26</v>
      </c>
      <c r="F3690" t="s">
        <v>114</v>
      </c>
      <c r="G3690" t="s">
        <v>115</v>
      </c>
      <c r="H3690" t="s">
        <v>115</v>
      </c>
      <c r="I3690" t="s">
        <v>56</v>
      </c>
      <c r="J3690" t="s">
        <v>7028</v>
      </c>
      <c r="K3690" t="s">
        <v>91</v>
      </c>
      <c r="L3690" t="s">
        <v>46</v>
      </c>
      <c r="M3690" t="s">
        <v>68</v>
      </c>
      <c r="N3690" t="s">
        <v>35</v>
      </c>
      <c r="O3690" t="s">
        <v>36</v>
      </c>
      <c r="P3690" t="s">
        <v>58</v>
      </c>
      <c r="Q3690" t="s">
        <v>204</v>
      </c>
      <c r="R3690">
        <v>233</v>
      </c>
      <c r="S3690">
        <v>141</v>
      </c>
      <c r="T3690">
        <v>90</v>
      </c>
      <c r="U3690">
        <v>38</v>
      </c>
      <c r="V3690" t="s">
        <v>6919</v>
      </c>
      <c r="W3690">
        <v>51865</v>
      </c>
      <c r="X3690" t="s">
        <v>2006</v>
      </c>
      <c r="Y3690">
        <v>40695</v>
      </c>
      <c r="Z3690">
        <v>1970870</v>
      </c>
      <c r="AA3690">
        <v>424460</v>
      </c>
      <c r="AB3690" t="str">
        <f>(VLOOKUP(SalesData[[#This Row],[Month Number]],Reference!C$5:E$16,2,FALSE))</f>
        <v>Feb</v>
      </c>
      <c r="AC3690">
        <f>MONTH(SalesData[[#This Row],[Date]])</f>
        <v>2</v>
      </c>
      <c r="AD3690">
        <f>Reference!F$4</f>
        <v>2026</v>
      </c>
      <c r="AE3690" t="str">
        <f>IF(OR(SalesData[[#This Row],[Day]]="Saturday",SalesData[[#This Row],[Day]]="Sunday"),"Weekend","Weekday")</f>
        <v>Weekday</v>
      </c>
      <c r="AF3690" s="5">
        <f>IF(SalesData[[#This Row],[Contracts Offered]]=0,0,SalesData[[#This Row],[Contracts Signed]]/SalesData[[#This Row],[Contracts Offered]])</f>
        <v>0.42222222222222222</v>
      </c>
      <c r="AG3690" s="5">
        <f>IF(SalesData[[#This Row],[Customers Visited]]=0,0,SalesData[[#This Row],[Test Drives]]/SalesData[[#This Row],[Customers Visited]])</f>
        <v>0.60515021459227469</v>
      </c>
      <c r="AH3690" s="5">
        <f>IF(SalesData[[#This Row],[Customers Visited]]=0,0,SalesData[[#This Row],[Contracts Signed]]/SalesData[[#This Row],[Customers Visited]])</f>
        <v>0.1630901287553648</v>
      </c>
      <c r="AI3690" s="6">
        <f>IF(SalesData[[#This Row],[Contracts Signed]]=0,0,SalesData[[#This Row],[Profit(€)]]/SalesData[[#This Row],[Contracts Signed]])</f>
        <v>11170</v>
      </c>
      <c r="AJ3690" s="5" t="str">
        <f>TRIM(CLEAN(SalesData[[#This Row],[Retailer]]))</f>
        <v>Elbe Drive</v>
      </c>
    </row>
    <row r="3691" spans="1:36" ht="14.25" hidden="1" x14ac:dyDescent="0.2">
      <c r="A3691" t="s">
        <v>4904</v>
      </c>
      <c r="B3691" s="1">
        <v>46080</v>
      </c>
      <c r="C3691" t="s">
        <v>53</v>
      </c>
      <c r="D3691" t="s">
        <v>54</v>
      </c>
      <c r="E3691" t="s">
        <v>26</v>
      </c>
      <c r="F3691" t="s">
        <v>114</v>
      </c>
      <c r="G3691" t="s">
        <v>115</v>
      </c>
      <c r="H3691" t="s">
        <v>115</v>
      </c>
      <c r="I3691" t="s">
        <v>116</v>
      </c>
      <c r="J3691" t="s">
        <v>7090</v>
      </c>
      <c r="K3691" t="s">
        <v>32</v>
      </c>
      <c r="L3691" t="s">
        <v>46</v>
      </c>
      <c r="M3691" t="s">
        <v>68</v>
      </c>
      <c r="N3691" t="s">
        <v>35</v>
      </c>
      <c r="O3691" t="s">
        <v>70</v>
      </c>
      <c r="P3691" t="s">
        <v>71</v>
      </c>
      <c r="Q3691" t="s">
        <v>118</v>
      </c>
      <c r="R3691">
        <v>363</v>
      </c>
      <c r="S3691">
        <v>151</v>
      </c>
      <c r="T3691">
        <v>97</v>
      </c>
      <c r="U3691">
        <v>28</v>
      </c>
      <c r="V3691" t="s">
        <v>1103</v>
      </c>
      <c r="W3691">
        <v>23875</v>
      </c>
      <c r="X3691" t="s">
        <v>816</v>
      </c>
      <c r="Y3691">
        <v>21678</v>
      </c>
      <c r="Z3691">
        <v>668500</v>
      </c>
      <c r="AA3691">
        <v>61516</v>
      </c>
      <c r="AB3691" t="str">
        <f>(VLOOKUP(SalesData[[#This Row],[Month Number]],Reference!C$5:E$16,2,FALSE))</f>
        <v>Feb</v>
      </c>
      <c r="AC3691">
        <f>MONTH(SalesData[[#This Row],[Date]])</f>
        <v>2</v>
      </c>
      <c r="AD3691">
        <f>Reference!F$4</f>
        <v>2026</v>
      </c>
      <c r="AE3691" t="str">
        <f>IF(OR(SalesData[[#This Row],[Day]]="Saturday",SalesData[[#This Row],[Day]]="Sunday"),"Weekend","Weekday")</f>
        <v>Weekday</v>
      </c>
      <c r="AF3691" s="5">
        <f>IF(SalesData[[#This Row],[Contracts Offered]]=0,0,SalesData[[#This Row],[Contracts Signed]]/SalesData[[#This Row],[Contracts Offered]])</f>
        <v>0.28865979381443296</v>
      </c>
      <c r="AG3691" s="5">
        <f>IF(SalesData[[#This Row],[Customers Visited]]=0,0,SalesData[[#This Row],[Test Drives]]/SalesData[[#This Row],[Customers Visited]])</f>
        <v>0.41597796143250687</v>
      </c>
      <c r="AH3691" s="5">
        <f>IF(SalesData[[#This Row],[Customers Visited]]=0,0,SalesData[[#This Row],[Contracts Signed]]/SalesData[[#This Row],[Customers Visited]])</f>
        <v>7.7134986225895319E-2</v>
      </c>
      <c r="AI3691" s="6">
        <f>IF(SalesData[[#This Row],[Contracts Signed]]=0,0,SalesData[[#This Row],[Profit(€)]]/SalesData[[#This Row],[Contracts Signed]])</f>
        <v>2197</v>
      </c>
      <c r="AJ3691" s="5" t="str">
        <f>TRIM(CLEAN(SalesData[[#This Row],[Retailer]]))</f>
        <v>Elbe Drive</v>
      </c>
    </row>
    <row r="3692" spans="1:36" ht="14.25" hidden="1" x14ac:dyDescent="0.2">
      <c r="A3692" t="s">
        <v>4905</v>
      </c>
      <c r="B3692" s="1">
        <v>46074</v>
      </c>
      <c r="C3692" t="s">
        <v>62</v>
      </c>
      <c r="D3692" t="s">
        <v>151</v>
      </c>
      <c r="E3692" t="s">
        <v>42</v>
      </c>
      <c r="F3692" t="s">
        <v>101</v>
      </c>
      <c r="G3692" t="s">
        <v>102</v>
      </c>
      <c r="H3692" t="s">
        <v>103</v>
      </c>
      <c r="I3692" t="s">
        <v>56</v>
      </c>
      <c r="J3692" t="s">
        <v>7028</v>
      </c>
      <c r="K3692" t="s">
        <v>91</v>
      </c>
      <c r="L3692" t="s">
        <v>46</v>
      </c>
      <c r="M3692" t="s">
        <v>68</v>
      </c>
      <c r="N3692" t="s">
        <v>35</v>
      </c>
      <c r="O3692" t="s">
        <v>70</v>
      </c>
      <c r="P3692" t="s">
        <v>58</v>
      </c>
      <c r="Q3692" t="s">
        <v>38</v>
      </c>
      <c r="R3692">
        <v>181</v>
      </c>
      <c r="S3692">
        <v>93</v>
      </c>
      <c r="T3692">
        <v>66</v>
      </c>
      <c r="U3692">
        <v>20</v>
      </c>
      <c r="V3692" t="s">
        <v>6885</v>
      </c>
      <c r="W3692">
        <v>45723</v>
      </c>
      <c r="X3692" t="s">
        <v>2997</v>
      </c>
      <c r="Y3692">
        <v>35141</v>
      </c>
      <c r="Z3692">
        <v>914460</v>
      </c>
      <c r="AA3692">
        <v>211640</v>
      </c>
      <c r="AB3692" t="str">
        <f>(VLOOKUP(SalesData[[#This Row],[Month Number]],Reference!C$5:E$16,2,FALSE))</f>
        <v>Feb</v>
      </c>
      <c r="AC3692">
        <f>MONTH(SalesData[[#This Row],[Date]])</f>
        <v>2</v>
      </c>
      <c r="AD3692">
        <f>Reference!F$4</f>
        <v>2026</v>
      </c>
      <c r="AE3692" t="str">
        <f>IF(OR(SalesData[[#This Row],[Day]]="Saturday",SalesData[[#This Row],[Day]]="Sunday"),"Weekend","Weekday")</f>
        <v>Weekend</v>
      </c>
      <c r="AF3692" s="5">
        <f>IF(SalesData[[#This Row],[Contracts Offered]]=0,0,SalesData[[#This Row],[Contracts Signed]]/SalesData[[#This Row],[Contracts Offered]])</f>
        <v>0.30303030303030304</v>
      </c>
      <c r="AG3692" s="5">
        <f>IF(SalesData[[#This Row],[Customers Visited]]=0,0,SalesData[[#This Row],[Test Drives]]/SalesData[[#This Row],[Customers Visited]])</f>
        <v>0.51381215469613262</v>
      </c>
      <c r="AH3692" s="5">
        <f>IF(SalesData[[#This Row],[Customers Visited]]=0,0,SalesData[[#This Row],[Contracts Signed]]/SalesData[[#This Row],[Customers Visited]])</f>
        <v>0.11049723756906077</v>
      </c>
      <c r="AI3692" s="6">
        <f>IF(SalesData[[#This Row],[Contracts Signed]]=0,0,SalesData[[#This Row],[Profit(€)]]/SalesData[[#This Row],[Contracts Signed]])</f>
        <v>10582</v>
      </c>
      <c r="AJ3692" s="5" t="str">
        <f>TRIM(CLEAN(SalesData[[#This Row],[Retailer]]))</f>
        <v>Ruhr Auto Plaza</v>
      </c>
    </row>
    <row r="3693" spans="1:36" ht="14.25" hidden="1" x14ac:dyDescent="0.2">
      <c r="A3693" t="s">
        <v>4906</v>
      </c>
      <c r="B3693" s="1">
        <v>46081</v>
      </c>
      <c r="C3693" t="s">
        <v>53</v>
      </c>
      <c r="D3693" t="s">
        <v>151</v>
      </c>
      <c r="E3693" t="s">
        <v>42</v>
      </c>
      <c r="F3693" t="s">
        <v>94</v>
      </c>
      <c r="G3693" t="s">
        <v>95</v>
      </c>
      <c r="H3693" t="s">
        <v>96</v>
      </c>
      <c r="I3693" t="s">
        <v>56</v>
      </c>
      <c r="J3693" t="s">
        <v>179</v>
      </c>
      <c r="K3693" t="s">
        <v>66</v>
      </c>
      <c r="L3693" t="s">
        <v>67</v>
      </c>
      <c r="M3693" t="s">
        <v>68</v>
      </c>
      <c r="N3693" t="s">
        <v>48</v>
      </c>
      <c r="O3693" t="s">
        <v>70</v>
      </c>
      <c r="P3693" t="s">
        <v>37</v>
      </c>
      <c r="Q3693" t="s">
        <v>167</v>
      </c>
      <c r="R3693">
        <v>166</v>
      </c>
      <c r="S3693">
        <v>82</v>
      </c>
      <c r="T3693">
        <v>58</v>
      </c>
      <c r="U3693">
        <v>17</v>
      </c>
      <c r="V3693" t="s">
        <v>7498</v>
      </c>
      <c r="W3693">
        <v>54451</v>
      </c>
      <c r="X3693" t="s">
        <v>407</v>
      </c>
      <c r="Y3693">
        <v>42129</v>
      </c>
      <c r="Z3693">
        <v>925667</v>
      </c>
      <c r="AA3693">
        <v>209474</v>
      </c>
      <c r="AB3693" t="str">
        <f>(VLOOKUP(SalesData[[#This Row],[Month Number]],Reference!C$5:E$16,2,FALSE))</f>
        <v>Feb</v>
      </c>
      <c r="AC3693">
        <f>MONTH(SalesData[[#This Row],[Date]])</f>
        <v>2</v>
      </c>
      <c r="AD3693">
        <f>Reference!F$4</f>
        <v>2026</v>
      </c>
      <c r="AE3693" t="str">
        <f>IF(OR(SalesData[[#This Row],[Day]]="Saturday",SalesData[[#This Row],[Day]]="Sunday"),"Weekend","Weekday")</f>
        <v>Weekend</v>
      </c>
      <c r="AF3693" s="5">
        <f>IF(SalesData[[#This Row],[Contracts Offered]]=0,0,SalesData[[#This Row],[Contracts Signed]]/SalesData[[#This Row],[Contracts Offered]])</f>
        <v>0.29310344827586204</v>
      </c>
      <c r="AG3693" s="5">
        <f>IF(SalesData[[#This Row],[Customers Visited]]=0,0,SalesData[[#This Row],[Test Drives]]/SalesData[[#This Row],[Customers Visited]])</f>
        <v>0.49397590361445781</v>
      </c>
      <c r="AH3693" s="5">
        <f>IF(SalesData[[#This Row],[Customers Visited]]=0,0,SalesData[[#This Row],[Contracts Signed]]/SalesData[[#This Row],[Customers Visited]])</f>
        <v>0.10240963855421686</v>
      </c>
      <c r="AI3693" s="6">
        <f>IF(SalesData[[#This Row],[Contracts Signed]]=0,0,SalesData[[#This Row],[Profit(€)]]/SalesData[[#This Row],[Contracts Signed]])</f>
        <v>12322</v>
      </c>
      <c r="AJ3693" s="5" t="str">
        <f>TRIM(CLEAN(SalesData[[#This Row],[Retailer]]))</f>
        <v>Bavaria Motors</v>
      </c>
    </row>
    <row r="3694" spans="1:36" ht="14.25" hidden="1" x14ac:dyDescent="0.2">
      <c r="A3694" t="s">
        <v>4907</v>
      </c>
      <c r="B3694" s="1">
        <v>46073</v>
      </c>
      <c r="C3694" t="s">
        <v>62</v>
      </c>
      <c r="D3694" t="s">
        <v>54</v>
      </c>
      <c r="E3694" t="s">
        <v>26</v>
      </c>
      <c r="F3694" t="s">
        <v>114</v>
      </c>
      <c r="G3694" t="s">
        <v>115</v>
      </c>
      <c r="H3694" t="s">
        <v>115</v>
      </c>
      <c r="I3694" t="s">
        <v>104</v>
      </c>
      <c r="J3694" t="s">
        <v>7061</v>
      </c>
      <c r="K3694" t="s">
        <v>91</v>
      </c>
      <c r="L3694" t="s">
        <v>46</v>
      </c>
      <c r="M3694" t="s">
        <v>68</v>
      </c>
      <c r="N3694" t="s">
        <v>69</v>
      </c>
      <c r="O3694" t="s">
        <v>36</v>
      </c>
      <c r="P3694" t="s">
        <v>49</v>
      </c>
      <c r="Q3694" t="s">
        <v>204</v>
      </c>
      <c r="R3694">
        <v>482</v>
      </c>
      <c r="S3694">
        <v>259</v>
      </c>
      <c r="T3694">
        <v>177</v>
      </c>
      <c r="U3694">
        <v>38</v>
      </c>
      <c r="V3694" t="s">
        <v>4665</v>
      </c>
      <c r="W3694">
        <v>27872</v>
      </c>
      <c r="X3694" t="s">
        <v>2590</v>
      </c>
      <c r="Y3694">
        <v>24181</v>
      </c>
      <c r="Z3694">
        <v>1059136</v>
      </c>
      <c r="AA3694">
        <v>140258</v>
      </c>
      <c r="AB3694" t="str">
        <f>(VLOOKUP(SalesData[[#This Row],[Month Number]],Reference!C$5:E$16,2,FALSE))</f>
        <v>Feb</v>
      </c>
      <c r="AC3694">
        <f>MONTH(SalesData[[#This Row],[Date]])</f>
        <v>2</v>
      </c>
      <c r="AD3694">
        <f>Reference!F$4</f>
        <v>2026</v>
      </c>
      <c r="AE3694" t="str">
        <f>IF(OR(SalesData[[#This Row],[Day]]="Saturday",SalesData[[#This Row],[Day]]="Sunday"),"Weekend","Weekday")</f>
        <v>Weekday</v>
      </c>
      <c r="AF3694" s="5">
        <f>IF(SalesData[[#This Row],[Contracts Offered]]=0,0,SalesData[[#This Row],[Contracts Signed]]/SalesData[[#This Row],[Contracts Offered]])</f>
        <v>0.21468926553672316</v>
      </c>
      <c r="AG3694" s="5">
        <f>IF(SalesData[[#This Row],[Customers Visited]]=0,0,SalesData[[#This Row],[Test Drives]]/SalesData[[#This Row],[Customers Visited]])</f>
        <v>0.53734439834024894</v>
      </c>
      <c r="AH3694" s="5">
        <f>IF(SalesData[[#This Row],[Customers Visited]]=0,0,SalesData[[#This Row],[Contracts Signed]]/SalesData[[#This Row],[Customers Visited]])</f>
        <v>7.8838174273858919E-2</v>
      </c>
      <c r="AI3694" s="6">
        <f>IF(SalesData[[#This Row],[Contracts Signed]]=0,0,SalesData[[#This Row],[Profit(€)]]/SalesData[[#This Row],[Contracts Signed]])</f>
        <v>3691</v>
      </c>
      <c r="AJ3694" s="5" t="str">
        <f>TRIM(CLEAN(SalesData[[#This Row],[Retailer]]))</f>
        <v>Elbe Drive</v>
      </c>
    </row>
    <row r="3695" spans="1:36" ht="14.25" x14ac:dyDescent="0.2">
      <c r="A3695" t="s">
        <v>4909</v>
      </c>
      <c r="B3695" s="1">
        <v>46080</v>
      </c>
      <c r="C3695" t="s">
        <v>53</v>
      </c>
      <c r="D3695" t="s">
        <v>54</v>
      </c>
      <c r="E3695" t="s">
        <v>26</v>
      </c>
      <c r="F3695" t="s">
        <v>7649</v>
      </c>
      <c r="G3695" t="s">
        <v>55</v>
      </c>
      <c r="H3695" t="s">
        <v>55</v>
      </c>
      <c r="I3695" t="s">
        <v>30</v>
      </c>
      <c r="J3695" t="s">
        <v>86</v>
      </c>
      <c r="K3695" t="s">
        <v>66</v>
      </c>
      <c r="L3695" t="s">
        <v>33</v>
      </c>
      <c r="M3695" t="s">
        <v>87</v>
      </c>
      <c r="N3695" t="s">
        <v>35</v>
      </c>
      <c r="O3695" t="s">
        <v>70</v>
      </c>
      <c r="P3695" t="s">
        <v>49</v>
      </c>
      <c r="Q3695" t="s">
        <v>347</v>
      </c>
      <c r="R3695">
        <v>213</v>
      </c>
      <c r="S3695">
        <v>124</v>
      </c>
      <c r="T3695">
        <v>101</v>
      </c>
      <c r="U3695">
        <v>35</v>
      </c>
      <c r="V3695" t="s">
        <v>6860</v>
      </c>
      <c r="W3695">
        <v>64835</v>
      </c>
      <c r="X3695" t="s">
        <v>7179</v>
      </c>
      <c r="Y3695">
        <v>49528</v>
      </c>
      <c r="Z3695">
        <v>2269225</v>
      </c>
      <c r="AA3695">
        <v>535745</v>
      </c>
      <c r="AB3695" t="str">
        <f>(VLOOKUP(SalesData[[#This Row],[Month Number]],Reference!C$5:E$16,2,FALSE))</f>
        <v>Feb</v>
      </c>
      <c r="AC3695">
        <f>MONTH(SalesData[[#This Row],[Date]])</f>
        <v>2</v>
      </c>
      <c r="AD3695">
        <f>Reference!F$4</f>
        <v>2026</v>
      </c>
      <c r="AE3695" t="str">
        <f>IF(OR(SalesData[[#This Row],[Day]]="Saturday",SalesData[[#This Row],[Day]]="Sunday"),"Weekend","Weekday")</f>
        <v>Weekday</v>
      </c>
      <c r="AF3695" s="5">
        <f>IF(SalesData[[#This Row],[Contracts Offered]]=0,0,SalesData[[#This Row],[Contracts Signed]]/SalesData[[#This Row],[Contracts Offered]])</f>
        <v>0.34653465346534651</v>
      </c>
      <c r="AG3695" s="5">
        <f>IF(SalesData[[#This Row],[Customers Visited]]=0,0,SalesData[[#This Row],[Test Drives]]/SalesData[[#This Row],[Customers Visited]])</f>
        <v>0.5821596244131455</v>
      </c>
      <c r="AH3695" s="5">
        <f>IF(SalesData[[#This Row],[Customers Visited]]=0,0,SalesData[[#This Row],[Contracts Signed]]/SalesData[[#This Row],[Customers Visited]])</f>
        <v>0.16431924882629109</v>
      </c>
      <c r="AI3695" s="6">
        <f>IF(SalesData[[#This Row],[Contracts Signed]]=0,0,SalesData[[#This Row],[Profit(€)]]/SalesData[[#This Row],[Contracts Signed]])</f>
        <v>15307</v>
      </c>
      <c r="AJ3695" s="5" t="str">
        <f>TRIM(CLEAN(SalesData[[#This Row],[Retailer]]))</f>
        <v>Autohaus Berlin</v>
      </c>
    </row>
    <row r="3696" spans="1:36" ht="14.25" hidden="1" x14ac:dyDescent="0.2">
      <c r="A3696" t="s">
        <v>4910</v>
      </c>
      <c r="B3696" s="1">
        <v>46077</v>
      </c>
      <c r="C3696" t="s">
        <v>53</v>
      </c>
      <c r="D3696" t="s">
        <v>63</v>
      </c>
      <c r="E3696" t="s">
        <v>26</v>
      </c>
      <c r="F3696" t="s">
        <v>127</v>
      </c>
      <c r="G3696" t="s">
        <v>128</v>
      </c>
      <c r="H3696" t="s">
        <v>103</v>
      </c>
      <c r="I3696" t="s">
        <v>64</v>
      </c>
      <c r="J3696" t="s">
        <v>111</v>
      </c>
      <c r="K3696" t="s">
        <v>78</v>
      </c>
      <c r="L3696" t="s">
        <v>46</v>
      </c>
      <c r="M3696" t="s">
        <v>68</v>
      </c>
      <c r="N3696" t="s">
        <v>69</v>
      </c>
      <c r="O3696" t="s">
        <v>70</v>
      </c>
      <c r="P3696" t="s">
        <v>49</v>
      </c>
      <c r="Q3696" t="s">
        <v>59</v>
      </c>
      <c r="R3696">
        <v>245</v>
      </c>
      <c r="S3696">
        <v>125</v>
      </c>
      <c r="T3696">
        <v>93</v>
      </c>
      <c r="U3696">
        <v>27</v>
      </c>
      <c r="V3696" t="s">
        <v>6929</v>
      </c>
      <c r="W3696">
        <v>68419</v>
      </c>
      <c r="X3696" t="s">
        <v>7213</v>
      </c>
      <c r="Y3696">
        <v>51726</v>
      </c>
      <c r="Z3696">
        <v>1847313</v>
      </c>
      <c r="AA3696">
        <v>450711</v>
      </c>
      <c r="AB3696" t="str">
        <f>(VLOOKUP(SalesData[[#This Row],[Month Number]],Reference!C$5:E$16,2,FALSE))</f>
        <v>Feb</v>
      </c>
      <c r="AC3696">
        <f>MONTH(SalesData[[#This Row],[Date]])</f>
        <v>2</v>
      </c>
      <c r="AD3696">
        <f>Reference!F$4</f>
        <v>2026</v>
      </c>
      <c r="AE3696" t="str">
        <f>IF(OR(SalesData[[#This Row],[Day]]="Saturday",SalesData[[#This Row],[Day]]="Sunday"),"Weekend","Weekday")</f>
        <v>Weekday</v>
      </c>
      <c r="AF3696" s="5">
        <f>IF(SalesData[[#This Row],[Contracts Offered]]=0,0,SalesData[[#This Row],[Contracts Signed]]/SalesData[[#This Row],[Contracts Offered]])</f>
        <v>0.29032258064516131</v>
      </c>
      <c r="AG3696" s="5">
        <f>IF(SalesData[[#This Row],[Customers Visited]]=0,0,SalesData[[#This Row],[Test Drives]]/SalesData[[#This Row],[Customers Visited]])</f>
        <v>0.51020408163265307</v>
      </c>
      <c r="AH3696" s="5">
        <f>IF(SalesData[[#This Row],[Customers Visited]]=0,0,SalesData[[#This Row],[Contracts Signed]]/SalesData[[#This Row],[Customers Visited]])</f>
        <v>0.11020408163265306</v>
      </c>
      <c r="AI3696" s="6">
        <f>IF(SalesData[[#This Row],[Contracts Signed]]=0,0,SalesData[[#This Row],[Profit(€)]]/SalesData[[#This Row],[Contracts Signed]])</f>
        <v>16693</v>
      </c>
      <c r="AJ3696" s="5" t="str">
        <f>TRIM(CLEAN(SalesData[[#This Row],[Retailer]]))</f>
        <v>Rhein Auto Group</v>
      </c>
    </row>
    <row r="3697" spans="1:36" ht="14.25" hidden="1" x14ac:dyDescent="0.2">
      <c r="A3697" t="s">
        <v>4911</v>
      </c>
      <c r="B3697" s="1">
        <v>46056</v>
      </c>
      <c r="C3697" t="s">
        <v>24</v>
      </c>
      <c r="D3697" t="s">
        <v>63</v>
      </c>
      <c r="E3697" t="s">
        <v>26</v>
      </c>
      <c r="F3697" t="s">
        <v>109</v>
      </c>
      <c r="G3697" t="s">
        <v>110</v>
      </c>
      <c r="H3697" t="s">
        <v>45</v>
      </c>
      <c r="I3697" t="s">
        <v>104</v>
      </c>
      <c r="J3697" t="s">
        <v>105</v>
      </c>
      <c r="K3697" t="s">
        <v>32</v>
      </c>
      <c r="L3697" t="s">
        <v>33</v>
      </c>
      <c r="M3697" t="s">
        <v>87</v>
      </c>
      <c r="N3697" t="s">
        <v>69</v>
      </c>
      <c r="O3697" t="s">
        <v>70</v>
      </c>
      <c r="P3697" t="s">
        <v>71</v>
      </c>
      <c r="Q3697" t="s">
        <v>106</v>
      </c>
      <c r="R3697">
        <v>292</v>
      </c>
      <c r="S3697">
        <v>135</v>
      </c>
      <c r="T3697">
        <v>82</v>
      </c>
      <c r="U3697">
        <v>19</v>
      </c>
      <c r="V3697" t="s">
        <v>1253</v>
      </c>
      <c r="W3697">
        <v>26054</v>
      </c>
      <c r="X3697" t="s">
        <v>2270</v>
      </c>
      <c r="Y3697">
        <v>23387</v>
      </c>
      <c r="Z3697">
        <v>495026</v>
      </c>
      <c r="AA3697">
        <v>50673</v>
      </c>
      <c r="AB3697" t="str">
        <f>(VLOOKUP(SalesData[[#This Row],[Month Number]],Reference!C$5:E$16,2,FALSE))</f>
        <v>Feb</v>
      </c>
      <c r="AC3697">
        <f>MONTH(SalesData[[#This Row],[Date]])</f>
        <v>2</v>
      </c>
      <c r="AD3697">
        <f>Reference!F$4</f>
        <v>2026</v>
      </c>
      <c r="AE3697" t="str">
        <f>IF(OR(SalesData[[#This Row],[Day]]="Saturday",SalesData[[#This Row],[Day]]="Sunday"),"Weekend","Weekday")</f>
        <v>Weekday</v>
      </c>
      <c r="AF3697" s="5">
        <f>IF(SalesData[[#This Row],[Contracts Offered]]=0,0,SalesData[[#This Row],[Contracts Signed]]/SalesData[[#This Row],[Contracts Offered]])</f>
        <v>0.23170731707317074</v>
      </c>
      <c r="AG3697" s="5">
        <f>IF(SalesData[[#This Row],[Customers Visited]]=0,0,SalesData[[#This Row],[Test Drives]]/SalesData[[#This Row],[Customers Visited]])</f>
        <v>0.46232876712328769</v>
      </c>
      <c r="AH3697" s="5">
        <f>IF(SalesData[[#This Row],[Customers Visited]]=0,0,SalesData[[#This Row],[Contracts Signed]]/SalesData[[#This Row],[Customers Visited]])</f>
        <v>6.5068493150684928E-2</v>
      </c>
      <c r="AI3697" s="6">
        <f>IF(SalesData[[#This Row],[Contracts Signed]]=0,0,SalesData[[#This Row],[Profit(€)]]/SalesData[[#This Row],[Contracts Signed]])</f>
        <v>2667</v>
      </c>
      <c r="AJ3697" s="5" t="str">
        <f>TRIM(CLEAN(SalesData[[#This Row],[Retailer]]))</f>
        <v>Leipzig Mobility</v>
      </c>
    </row>
    <row r="3698" spans="1:36" ht="14.25" hidden="1" x14ac:dyDescent="0.2">
      <c r="A3698" t="s">
        <v>4913</v>
      </c>
      <c r="B3698" s="1">
        <v>46061</v>
      </c>
      <c r="C3698" t="s">
        <v>121</v>
      </c>
      <c r="D3698" t="s">
        <v>41</v>
      </c>
      <c r="E3698" t="s">
        <v>42</v>
      </c>
      <c r="F3698" t="s">
        <v>109</v>
      </c>
      <c r="G3698" t="s">
        <v>110</v>
      </c>
      <c r="H3698" t="s">
        <v>45</v>
      </c>
      <c r="I3698" t="s">
        <v>104</v>
      </c>
      <c r="J3698" t="s">
        <v>7061</v>
      </c>
      <c r="K3698" t="s">
        <v>66</v>
      </c>
      <c r="L3698" t="s">
        <v>46</v>
      </c>
      <c r="M3698" t="s">
        <v>68</v>
      </c>
      <c r="N3698" t="s">
        <v>48</v>
      </c>
      <c r="O3698" t="s">
        <v>70</v>
      </c>
      <c r="P3698" t="s">
        <v>58</v>
      </c>
      <c r="Q3698" t="s">
        <v>135</v>
      </c>
      <c r="R3698">
        <v>372</v>
      </c>
      <c r="S3698">
        <v>167</v>
      </c>
      <c r="T3698">
        <v>116</v>
      </c>
      <c r="U3698">
        <v>26</v>
      </c>
      <c r="V3698" t="s">
        <v>252</v>
      </c>
      <c r="W3698">
        <v>27255</v>
      </c>
      <c r="X3698" t="s">
        <v>7540</v>
      </c>
      <c r="Y3698">
        <v>24488</v>
      </c>
      <c r="Z3698">
        <v>708630</v>
      </c>
      <c r="AA3698">
        <v>71942</v>
      </c>
      <c r="AB3698" t="str">
        <f>(VLOOKUP(SalesData[[#This Row],[Month Number]],Reference!C$5:E$16,2,FALSE))</f>
        <v>Feb</v>
      </c>
      <c r="AC3698">
        <f>MONTH(SalesData[[#This Row],[Date]])</f>
        <v>2</v>
      </c>
      <c r="AD3698">
        <f>Reference!F$4</f>
        <v>2026</v>
      </c>
      <c r="AE3698" t="str">
        <f>IF(OR(SalesData[[#This Row],[Day]]="Saturday",SalesData[[#This Row],[Day]]="Sunday"),"Weekend","Weekday")</f>
        <v>Weekend</v>
      </c>
      <c r="AF3698" s="5">
        <f>IF(SalesData[[#This Row],[Contracts Offered]]=0,0,SalesData[[#This Row],[Contracts Signed]]/SalesData[[#This Row],[Contracts Offered]])</f>
        <v>0.22413793103448276</v>
      </c>
      <c r="AG3698" s="5">
        <f>IF(SalesData[[#This Row],[Customers Visited]]=0,0,SalesData[[#This Row],[Test Drives]]/SalesData[[#This Row],[Customers Visited]])</f>
        <v>0.44892473118279569</v>
      </c>
      <c r="AH3698" s="5">
        <f>IF(SalesData[[#This Row],[Customers Visited]]=0,0,SalesData[[#This Row],[Contracts Signed]]/SalesData[[#This Row],[Customers Visited]])</f>
        <v>6.9892473118279563E-2</v>
      </c>
      <c r="AI3698" s="6">
        <f>IF(SalesData[[#This Row],[Contracts Signed]]=0,0,SalesData[[#This Row],[Profit(€)]]/SalesData[[#This Row],[Contracts Signed]])</f>
        <v>2767</v>
      </c>
      <c r="AJ3698" s="5" t="str">
        <f>TRIM(CLEAN(SalesData[[#This Row],[Retailer]]))</f>
        <v>Leipzig Mobility</v>
      </c>
    </row>
    <row r="3699" spans="1:36" ht="14.25" hidden="1" x14ac:dyDescent="0.2">
      <c r="A3699" t="s">
        <v>4914</v>
      </c>
      <c r="B3699" s="1">
        <v>46064</v>
      </c>
      <c r="C3699" t="s">
        <v>121</v>
      </c>
      <c r="D3699" t="s">
        <v>82</v>
      </c>
      <c r="E3699" t="s">
        <v>26</v>
      </c>
      <c r="F3699" t="s">
        <v>127</v>
      </c>
      <c r="G3699" t="s">
        <v>128</v>
      </c>
      <c r="H3699" t="s">
        <v>103</v>
      </c>
      <c r="I3699" t="s">
        <v>64</v>
      </c>
      <c r="J3699" t="s">
        <v>77</v>
      </c>
      <c r="K3699" t="s">
        <v>66</v>
      </c>
      <c r="L3699" t="s">
        <v>46</v>
      </c>
      <c r="M3699" t="s">
        <v>34</v>
      </c>
      <c r="N3699" t="s">
        <v>35</v>
      </c>
      <c r="O3699" t="s">
        <v>70</v>
      </c>
      <c r="P3699" t="s">
        <v>49</v>
      </c>
      <c r="Q3699" t="s">
        <v>59</v>
      </c>
      <c r="R3699">
        <v>190</v>
      </c>
      <c r="S3699">
        <v>109</v>
      </c>
      <c r="T3699">
        <v>72</v>
      </c>
      <c r="U3699">
        <v>22</v>
      </c>
      <c r="V3699" t="s">
        <v>6427</v>
      </c>
      <c r="W3699">
        <v>54333</v>
      </c>
      <c r="X3699" t="s">
        <v>7089</v>
      </c>
      <c r="Y3699">
        <v>38586</v>
      </c>
      <c r="Z3699">
        <v>1195326</v>
      </c>
      <c r="AA3699">
        <v>346434</v>
      </c>
      <c r="AB3699" t="str">
        <f>(VLOOKUP(SalesData[[#This Row],[Month Number]],Reference!C$5:E$16,2,FALSE))</f>
        <v>Feb</v>
      </c>
      <c r="AC3699">
        <f>MONTH(SalesData[[#This Row],[Date]])</f>
        <v>2</v>
      </c>
      <c r="AD3699">
        <f>Reference!F$4</f>
        <v>2026</v>
      </c>
      <c r="AE3699" t="str">
        <f>IF(OR(SalesData[[#This Row],[Day]]="Saturday",SalesData[[#This Row],[Day]]="Sunday"),"Weekend","Weekday")</f>
        <v>Weekday</v>
      </c>
      <c r="AF3699" s="5">
        <f>IF(SalesData[[#This Row],[Contracts Offered]]=0,0,SalesData[[#This Row],[Contracts Signed]]/SalesData[[#This Row],[Contracts Offered]])</f>
        <v>0.30555555555555558</v>
      </c>
      <c r="AG3699" s="5">
        <f>IF(SalesData[[#This Row],[Customers Visited]]=0,0,SalesData[[#This Row],[Test Drives]]/SalesData[[#This Row],[Customers Visited]])</f>
        <v>0.5736842105263158</v>
      </c>
      <c r="AH3699" s="5">
        <f>IF(SalesData[[#This Row],[Customers Visited]]=0,0,SalesData[[#This Row],[Contracts Signed]]/SalesData[[#This Row],[Customers Visited]])</f>
        <v>0.11578947368421053</v>
      </c>
      <c r="AI3699" s="6">
        <f>IF(SalesData[[#This Row],[Contracts Signed]]=0,0,SalesData[[#This Row],[Profit(€)]]/SalesData[[#This Row],[Contracts Signed]])</f>
        <v>15747</v>
      </c>
      <c r="AJ3699" s="5" t="str">
        <f>TRIM(CLEAN(SalesData[[#This Row],[Retailer]]))</f>
        <v>Rhein Auto Group</v>
      </c>
    </row>
    <row r="3700" spans="1:36" ht="14.25" hidden="1" x14ac:dyDescent="0.2">
      <c r="A3700" t="s">
        <v>4915</v>
      </c>
      <c r="B3700" s="1">
        <v>46065</v>
      </c>
      <c r="C3700" t="s">
        <v>121</v>
      </c>
      <c r="D3700" t="s">
        <v>100</v>
      </c>
      <c r="E3700" t="s">
        <v>26</v>
      </c>
      <c r="F3700" t="s">
        <v>114</v>
      </c>
      <c r="G3700" t="s">
        <v>115</v>
      </c>
      <c r="H3700" t="s">
        <v>115</v>
      </c>
      <c r="I3700" t="s">
        <v>116</v>
      </c>
      <c r="J3700" t="s">
        <v>7026</v>
      </c>
      <c r="K3700" t="s">
        <v>32</v>
      </c>
      <c r="L3700" t="s">
        <v>46</v>
      </c>
      <c r="M3700" t="s">
        <v>47</v>
      </c>
      <c r="N3700" t="s">
        <v>48</v>
      </c>
      <c r="O3700" t="s">
        <v>36</v>
      </c>
      <c r="P3700" t="s">
        <v>49</v>
      </c>
      <c r="Q3700" t="s">
        <v>204</v>
      </c>
      <c r="R3700">
        <v>312</v>
      </c>
      <c r="S3700">
        <v>159</v>
      </c>
      <c r="T3700">
        <v>89</v>
      </c>
      <c r="U3700">
        <v>21</v>
      </c>
      <c r="V3700" t="s">
        <v>822</v>
      </c>
      <c r="W3700">
        <v>22023</v>
      </c>
      <c r="X3700" t="s">
        <v>7409</v>
      </c>
      <c r="Y3700">
        <v>19752</v>
      </c>
      <c r="Z3700">
        <v>462483</v>
      </c>
      <c r="AA3700">
        <v>47691</v>
      </c>
      <c r="AB3700" t="str">
        <f>(VLOOKUP(SalesData[[#This Row],[Month Number]],Reference!C$5:E$16,2,FALSE))</f>
        <v>Feb</v>
      </c>
      <c r="AC3700">
        <f>MONTH(SalesData[[#This Row],[Date]])</f>
        <v>2</v>
      </c>
      <c r="AD3700">
        <f>Reference!F$4</f>
        <v>2026</v>
      </c>
      <c r="AE3700" t="str">
        <f>IF(OR(SalesData[[#This Row],[Day]]="Saturday",SalesData[[#This Row],[Day]]="Sunday"),"Weekend","Weekday")</f>
        <v>Weekday</v>
      </c>
      <c r="AF3700" s="5">
        <f>IF(SalesData[[#This Row],[Contracts Offered]]=0,0,SalesData[[#This Row],[Contracts Signed]]/SalesData[[#This Row],[Contracts Offered]])</f>
        <v>0.23595505617977527</v>
      </c>
      <c r="AG3700" s="5">
        <f>IF(SalesData[[#This Row],[Customers Visited]]=0,0,SalesData[[#This Row],[Test Drives]]/SalesData[[#This Row],[Customers Visited]])</f>
        <v>0.50961538461538458</v>
      </c>
      <c r="AH3700" s="5">
        <f>IF(SalesData[[#This Row],[Customers Visited]]=0,0,SalesData[[#This Row],[Contracts Signed]]/SalesData[[#This Row],[Customers Visited]])</f>
        <v>6.7307692307692304E-2</v>
      </c>
      <c r="AI3700" s="6">
        <f>IF(SalesData[[#This Row],[Contracts Signed]]=0,0,SalesData[[#This Row],[Profit(€)]]/SalesData[[#This Row],[Contracts Signed]])</f>
        <v>2271</v>
      </c>
      <c r="AJ3700" s="5" t="str">
        <f>TRIM(CLEAN(SalesData[[#This Row],[Retailer]]))</f>
        <v>Elbe Drive</v>
      </c>
    </row>
    <row r="3701" spans="1:36" ht="14.25" x14ac:dyDescent="0.2">
      <c r="A3701" t="s">
        <v>4916</v>
      </c>
      <c r="B3701" s="1">
        <v>46073</v>
      </c>
      <c r="C3701" t="s">
        <v>62</v>
      </c>
      <c r="D3701" t="s">
        <v>54</v>
      </c>
      <c r="E3701" t="s">
        <v>26</v>
      </c>
      <c r="F3701" t="s">
        <v>114</v>
      </c>
      <c r="G3701" t="s">
        <v>115</v>
      </c>
      <c r="H3701" t="s">
        <v>115</v>
      </c>
      <c r="I3701" t="s">
        <v>30</v>
      </c>
      <c r="J3701" t="s">
        <v>188</v>
      </c>
      <c r="K3701" t="s">
        <v>91</v>
      </c>
      <c r="L3701" t="s">
        <v>33</v>
      </c>
      <c r="M3701" t="s">
        <v>34</v>
      </c>
      <c r="N3701" t="s">
        <v>35</v>
      </c>
      <c r="O3701" t="s">
        <v>70</v>
      </c>
      <c r="P3701" t="s">
        <v>49</v>
      </c>
      <c r="Q3701" t="s">
        <v>88</v>
      </c>
      <c r="R3701">
        <v>222</v>
      </c>
      <c r="S3701">
        <v>132</v>
      </c>
      <c r="T3701">
        <v>94</v>
      </c>
      <c r="U3701">
        <v>38</v>
      </c>
      <c r="V3701" t="s">
        <v>6848</v>
      </c>
      <c r="W3701">
        <v>59223</v>
      </c>
      <c r="X3701" t="s">
        <v>7494</v>
      </c>
      <c r="Y3701">
        <v>44340</v>
      </c>
      <c r="Z3701">
        <v>2250474</v>
      </c>
      <c r="AA3701">
        <v>565554</v>
      </c>
      <c r="AB3701" t="str">
        <f>(VLOOKUP(SalesData[[#This Row],[Month Number]],Reference!C$5:E$16,2,FALSE))</f>
        <v>Feb</v>
      </c>
      <c r="AC3701">
        <f>MONTH(SalesData[[#This Row],[Date]])</f>
        <v>2</v>
      </c>
      <c r="AD3701">
        <f>Reference!F$4</f>
        <v>2026</v>
      </c>
      <c r="AE3701" t="str">
        <f>IF(OR(SalesData[[#This Row],[Day]]="Saturday",SalesData[[#This Row],[Day]]="Sunday"),"Weekend","Weekday")</f>
        <v>Weekday</v>
      </c>
      <c r="AF3701" s="5">
        <f>IF(SalesData[[#This Row],[Contracts Offered]]=0,0,SalesData[[#This Row],[Contracts Signed]]/SalesData[[#This Row],[Contracts Offered]])</f>
        <v>0.40425531914893614</v>
      </c>
      <c r="AG3701" s="5">
        <f>IF(SalesData[[#This Row],[Customers Visited]]=0,0,SalesData[[#This Row],[Test Drives]]/SalesData[[#This Row],[Customers Visited]])</f>
        <v>0.59459459459459463</v>
      </c>
      <c r="AH3701" s="5">
        <f>IF(SalesData[[#This Row],[Customers Visited]]=0,0,SalesData[[#This Row],[Contracts Signed]]/SalesData[[#This Row],[Customers Visited]])</f>
        <v>0.17117117117117117</v>
      </c>
      <c r="AI3701" s="6">
        <f>IF(SalesData[[#This Row],[Contracts Signed]]=0,0,SalesData[[#This Row],[Profit(€)]]/SalesData[[#This Row],[Contracts Signed]])</f>
        <v>14883</v>
      </c>
      <c r="AJ3701" s="5" t="str">
        <f>TRIM(CLEAN(SalesData[[#This Row],[Retailer]]))</f>
        <v>Elbe Drive</v>
      </c>
    </row>
    <row r="3702" spans="1:36" ht="14.25" hidden="1" x14ac:dyDescent="0.2">
      <c r="A3702" t="s">
        <v>4918</v>
      </c>
      <c r="B3702" s="1">
        <v>46064</v>
      </c>
      <c r="C3702" t="s">
        <v>121</v>
      </c>
      <c r="D3702" t="s">
        <v>82</v>
      </c>
      <c r="E3702" t="s">
        <v>26</v>
      </c>
      <c r="F3702" t="s">
        <v>127</v>
      </c>
      <c r="G3702" t="s">
        <v>128</v>
      </c>
      <c r="H3702" t="s">
        <v>103</v>
      </c>
      <c r="I3702" t="s">
        <v>64</v>
      </c>
      <c r="J3702" t="s">
        <v>77</v>
      </c>
      <c r="K3702" t="s">
        <v>78</v>
      </c>
      <c r="L3702" t="s">
        <v>46</v>
      </c>
      <c r="M3702" t="s">
        <v>34</v>
      </c>
      <c r="N3702" t="s">
        <v>69</v>
      </c>
      <c r="O3702" t="s">
        <v>36</v>
      </c>
      <c r="P3702" t="s">
        <v>58</v>
      </c>
      <c r="Q3702" t="s">
        <v>79</v>
      </c>
      <c r="R3702">
        <v>166</v>
      </c>
      <c r="S3702">
        <v>96</v>
      </c>
      <c r="T3702">
        <v>65</v>
      </c>
      <c r="U3702">
        <v>26</v>
      </c>
      <c r="V3702" t="s">
        <v>6694</v>
      </c>
      <c r="W3702">
        <v>60355</v>
      </c>
      <c r="X3702" t="s">
        <v>107</v>
      </c>
      <c r="Y3702">
        <v>45033</v>
      </c>
      <c r="Z3702">
        <v>1569230</v>
      </c>
      <c r="AA3702">
        <v>398372</v>
      </c>
      <c r="AB3702" t="str">
        <f>(VLOOKUP(SalesData[[#This Row],[Month Number]],Reference!C$5:E$16,2,FALSE))</f>
        <v>Feb</v>
      </c>
      <c r="AC3702">
        <f>MONTH(SalesData[[#This Row],[Date]])</f>
        <v>2</v>
      </c>
      <c r="AD3702">
        <f>Reference!F$4</f>
        <v>2026</v>
      </c>
      <c r="AE3702" t="str">
        <f>IF(OR(SalesData[[#This Row],[Day]]="Saturday",SalesData[[#This Row],[Day]]="Sunday"),"Weekend","Weekday")</f>
        <v>Weekday</v>
      </c>
      <c r="AF3702" s="5">
        <f>IF(SalesData[[#This Row],[Contracts Offered]]=0,0,SalesData[[#This Row],[Contracts Signed]]/SalesData[[#This Row],[Contracts Offered]])</f>
        <v>0.4</v>
      </c>
      <c r="AG3702" s="5">
        <f>IF(SalesData[[#This Row],[Customers Visited]]=0,0,SalesData[[#This Row],[Test Drives]]/SalesData[[#This Row],[Customers Visited]])</f>
        <v>0.57831325301204817</v>
      </c>
      <c r="AH3702" s="5">
        <f>IF(SalesData[[#This Row],[Customers Visited]]=0,0,SalesData[[#This Row],[Contracts Signed]]/SalesData[[#This Row],[Customers Visited]])</f>
        <v>0.15662650602409639</v>
      </c>
      <c r="AI3702" s="6">
        <f>IF(SalesData[[#This Row],[Contracts Signed]]=0,0,SalesData[[#This Row],[Profit(€)]]/SalesData[[#This Row],[Contracts Signed]])</f>
        <v>15322</v>
      </c>
      <c r="AJ3702" s="5" t="str">
        <f>TRIM(CLEAN(SalesData[[#This Row],[Retailer]]))</f>
        <v>Rhein Auto Group</v>
      </c>
    </row>
    <row r="3703" spans="1:36" ht="14.25" x14ac:dyDescent="0.2">
      <c r="A3703" t="s">
        <v>4919</v>
      </c>
      <c r="B3703" s="1">
        <v>46065</v>
      </c>
      <c r="C3703" t="s">
        <v>121</v>
      </c>
      <c r="D3703" t="s">
        <v>100</v>
      </c>
      <c r="E3703" t="s">
        <v>26</v>
      </c>
      <c r="F3703" t="s">
        <v>43</v>
      </c>
      <c r="G3703" t="s">
        <v>44</v>
      </c>
      <c r="H3703" t="s">
        <v>45</v>
      </c>
      <c r="I3703" t="s">
        <v>30</v>
      </c>
      <c r="J3703" t="s">
        <v>31</v>
      </c>
      <c r="K3703" t="s">
        <v>66</v>
      </c>
      <c r="L3703" t="s">
        <v>46</v>
      </c>
      <c r="M3703" t="s">
        <v>68</v>
      </c>
      <c r="N3703" t="s">
        <v>48</v>
      </c>
      <c r="O3703" t="s">
        <v>36</v>
      </c>
      <c r="P3703" t="s">
        <v>49</v>
      </c>
      <c r="Q3703" t="s">
        <v>158</v>
      </c>
      <c r="R3703">
        <v>211</v>
      </c>
      <c r="S3703">
        <v>114</v>
      </c>
      <c r="T3703">
        <v>91</v>
      </c>
      <c r="U3703">
        <v>31</v>
      </c>
      <c r="V3703" t="s">
        <v>6500</v>
      </c>
      <c r="W3703">
        <v>62193</v>
      </c>
      <c r="X3703" t="s">
        <v>7059</v>
      </c>
      <c r="Y3703">
        <v>47066</v>
      </c>
      <c r="Z3703">
        <v>1927983</v>
      </c>
      <c r="AA3703">
        <v>468937</v>
      </c>
      <c r="AB3703" t="str">
        <f>(VLOOKUP(SalesData[[#This Row],[Month Number]],Reference!C$5:E$16,2,FALSE))</f>
        <v>Feb</v>
      </c>
      <c r="AC3703">
        <f>MONTH(SalesData[[#This Row],[Date]])</f>
        <v>2</v>
      </c>
      <c r="AD3703">
        <f>Reference!F$4</f>
        <v>2026</v>
      </c>
      <c r="AE3703" t="str">
        <f>IF(OR(SalesData[[#This Row],[Day]]="Saturday",SalesData[[#This Row],[Day]]="Sunday"),"Weekend","Weekday")</f>
        <v>Weekday</v>
      </c>
      <c r="AF3703" s="5">
        <f>IF(SalesData[[#This Row],[Contracts Offered]]=0,0,SalesData[[#This Row],[Contracts Signed]]/SalesData[[#This Row],[Contracts Offered]])</f>
        <v>0.34065934065934067</v>
      </c>
      <c r="AG3703" s="5">
        <f>IF(SalesData[[#This Row],[Customers Visited]]=0,0,SalesData[[#This Row],[Test Drives]]/SalesData[[#This Row],[Customers Visited]])</f>
        <v>0.54028436018957349</v>
      </c>
      <c r="AH3703" s="5">
        <f>IF(SalesData[[#This Row],[Customers Visited]]=0,0,SalesData[[#This Row],[Contracts Signed]]/SalesData[[#This Row],[Customers Visited]])</f>
        <v>0.14691943127962084</v>
      </c>
      <c r="AI3703" s="6">
        <f>IF(SalesData[[#This Row],[Contracts Signed]]=0,0,SalesData[[#This Row],[Profit(€)]]/SalesData[[#This Row],[Contracts Signed]])</f>
        <v>15127</v>
      </c>
      <c r="AJ3703" s="5" t="str">
        <f>TRIM(CLEAN(SalesData[[#This Row],[Retailer]]))</f>
        <v>Saxon Wheels</v>
      </c>
    </row>
    <row r="3704" spans="1:36" ht="14.25" hidden="1" x14ac:dyDescent="0.2">
      <c r="A3704" t="s">
        <v>4920</v>
      </c>
      <c r="B3704" s="1">
        <v>46062</v>
      </c>
      <c r="C3704" t="s">
        <v>121</v>
      </c>
      <c r="D3704" t="s">
        <v>25</v>
      </c>
      <c r="E3704" t="s">
        <v>26</v>
      </c>
      <c r="F3704" t="s">
        <v>94</v>
      </c>
      <c r="G3704" t="s">
        <v>95</v>
      </c>
      <c r="H3704" t="s">
        <v>96</v>
      </c>
      <c r="I3704" t="s">
        <v>64</v>
      </c>
      <c r="J3704" t="s">
        <v>111</v>
      </c>
      <c r="K3704" t="s">
        <v>91</v>
      </c>
      <c r="L3704" t="s">
        <v>46</v>
      </c>
      <c r="M3704" t="s">
        <v>34</v>
      </c>
      <c r="N3704" t="s">
        <v>69</v>
      </c>
      <c r="O3704" t="s">
        <v>36</v>
      </c>
      <c r="P3704" t="s">
        <v>58</v>
      </c>
      <c r="Q3704" t="s">
        <v>347</v>
      </c>
      <c r="R3704">
        <v>242</v>
      </c>
      <c r="S3704">
        <v>119</v>
      </c>
      <c r="T3704">
        <v>81</v>
      </c>
      <c r="U3704">
        <v>37</v>
      </c>
      <c r="V3704" t="s">
        <v>7546</v>
      </c>
      <c r="W3704">
        <v>67353</v>
      </c>
      <c r="X3704" t="s">
        <v>92</v>
      </c>
      <c r="Y3704">
        <v>50407</v>
      </c>
      <c r="Z3704">
        <v>2492061</v>
      </c>
      <c r="AA3704">
        <v>627002</v>
      </c>
      <c r="AB3704" t="str">
        <f>(VLOOKUP(SalesData[[#This Row],[Month Number]],Reference!C$5:E$16,2,FALSE))</f>
        <v>Feb</v>
      </c>
      <c r="AC3704">
        <f>MONTH(SalesData[[#This Row],[Date]])</f>
        <v>2</v>
      </c>
      <c r="AD3704">
        <f>Reference!F$4</f>
        <v>2026</v>
      </c>
      <c r="AE3704" t="str">
        <f>IF(OR(SalesData[[#This Row],[Day]]="Saturday",SalesData[[#This Row],[Day]]="Sunday"),"Weekend","Weekday")</f>
        <v>Weekday</v>
      </c>
      <c r="AF3704" s="5">
        <f>IF(SalesData[[#This Row],[Contracts Offered]]=0,0,SalesData[[#This Row],[Contracts Signed]]/SalesData[[#This Row],[Contracts Offered]])</f>
        <v>0.4567901234567901</v>
      </c>
      <c r="AG3704" s="5">
        <f>IF(SalesData[[#This Row],[Customers Visited]]=0,0,SalesData[[#This Row],[Test Drives]]/SalesData[[#This Row],[Customers Visited]])</f>
        <v>0.49173553719008267</v>
      </c>
      <c r="AH3704" s="5">
        <f>IF(SalesData[[#This Row],[Customers Visited]]=0,0,SalesData[[#This Row],[Contracts Signed]]/SalesData[[#This Row],[Customers Visited]])</f>
        <v>0.15289256198347106</v>
      </c>
      <c r="AI3704" s="6">
        <f>IF(SalesData[[#This Row],[Contracts Signed]]=0,0,SalesData[[#This Row],[Profit(€)]]/SalesData[[#This Row],[Contracts Signed]])</f>
        <v>16946</v>
      </c>
      <c r="AJ3704" s="5" t="str">
        <f>TRIM(CLEAN(SalesData[[#This Row],[Retailer]]))</f>
        <v>Bavaria Motors</v>
      </c>
    </row>
    <row r="3705" spans="1:36" ht="14.25" hidden="1" x14ac:dyDescent="0.2">
      <c r="A3705" t="s">
        <v>4921</v>
      </c>
      <c r="B3705" s="1">
        <v>46077</v>
      </c>
      <c r="C3705" t="s">
        <v>53</v>
      </c>
      <c r="D3705" t="s">
        <v>63</v>
      </c>
      <c r="E3705" t="s">
        <v>26</v>
      </c>
      <c r="F3705" t="s">
        <v>94</v>
      </c>
      <c r="G3705" t="s">
        <v>95</v>
      </c>
      <c r="H3705" t="s">
        <v>96</v>
      </c>
      <c r="I3705" t="s">
        <v>64</v>
      </c>
      <c r="J3705" t="s">
        <v>157</v>
      </c>
      <c r="K3705" t="s">
        <v>78</v>
      </c>
      <c r="L3705" t="s">
        <v>33</v>
      </c>
      <c r="M3705" t="s">
        <v>47</v>
      </c>
      <c r="N3705" t="s">
        <v>35</v>
      </c>
      <c r="O3705" t="s">
        <v>70</v>
      </c>
      <c r="P3705" t="s">
        <v>71</v>
      </c>
      <c r="Q3705" t="s">
        <v>347</v>
      </c>
      <c r="R3705">
        <v>243</v>
      </c>
      <c r="S3705">
        <v>119</v>
      </c>
      <c r="T3705">
        <v>83</v>
      </c>
      <c r="U3705">
        <v>33</v>
      </c>
      <c r="V3705" t="s">
        <v>6373</v>
      </c>
      <c r="W3705">
        <v>67694</v>
      </c>
      <c r="X3705" t="s">
        <v>7269</v>
      </c>
      <c r="Y3705">
        <v>50156</v>
      </c>
      <c r="Z3705">
        <v>2233902</v>
      </c>
      <c r="AA3705">
        <v>578754</v>
      </c>
      <c r="AB3705" t="str">
        <f>(VLOOKUP(SalesData[[#This Row],[Month Number]],Reference!C$5:E$16,2,FALSE))</f>
        <v>Feb</v>
      </c>
      <c r="AC3705">
        <f>MONTH(SalesData[[#This Row],[Date]])</f>
        <v>2</v>
      </c>
      <c r="AD3705">
        <f>Reference!F$4</f>
        <v>2026</v>
      </c>
      <c r="AE3705" t="str">
        <f>IF(OR(SalesData[[#This Row],[Day]]="Saturday",SalesData[[#This Row],[Day]]="Sunday"),"Weekend","Weekday")</f>
        <v>Weekday</v>
      </c>
      <c r="AF3705" s="5">
        <f>IF(SalesData[[#This Row],[Contracts Offered]]=0,0,SalesData[[#This Row],[Contracts Signed]]/SalesData[[#This Row],[Contracts Offered]])</f>
        <v>0.39759036144578314</v>
      </c>
      <c r="AG3705" s="5">
        <f>IF(SalesData[[#This Row],[Customers Visited]]=0,0,SalesData[[#This Row],[Test Drives]]/SalesData[[#This Row],[Customers Visited]])</f>
        <v>0.48971193415637859</v>
      </c>
      <c r="AH3705" s="5">
        <f>IF(SalesData[[#This Row],[Customers Visited]]=0,0,SalesData[[#This Row],[Contracts Signed]]/SalesData[[#This Row],[Customers Visited]])</f>
        <v>0.13580246913580246</v>
      </c>
      <c r="AI3705" s="6">
        <f>IF(SalesData[[#This Row],[Contracts Signed]]=0,0,SalesData[[#This Row],[Profit(€)]]/SalesData[[#This Row],[Contracts Signed]])</f>
        <v>17538</v>
      </c>
      <c r="AJ3705" s="5" t="str">
        <f>TRIM(CLEAN(SalesData[[#This Row],[Retailer]]))</f>
        <v>Bavaria Motors</v>
      </c>
    </row>
    <row r="3706" spans="1:36" ht="14.25" hidden="1" x14ac:dyDescent="0.2">
      <c r="A3706" t="s">
        <v>4922</v>
      </c>
      <c r="B3706" s="1">
        <v>46055</v>
      </c>
      <c r="C3706" t="s">
        <v>24</v>
      </c>
      <c r="D3706" t="s">
        <v>25</v>
      </c>
      <c r="E3706" t="s">
        <v>26</v>
      </c>
      <c r="F3706" t="s">
        <v>114</v>
      </c>
      <c r="G3706" t="s">
        <v>115</v>
      </c>
      <c r="H3706" t="s">
        <v>115</v>
      </c>
      <c r="I3706" t="s">
        <v>64</v>
      </c>
      <c r="J3706" t="s">
        <v>65</v>
      </c>
      <c r="K3706" t="s">
        <v>78</v>
      </c>
      <c r="L3706" t="s">
        <v>33</v>
      </c>
      <c r="M3706" t="s">
        <v>87</v>
      </c>
      <c r="N3706" t="s">
        <v>69</v>
      </c>
      <c r="O3706" t="s">
        <v>70</v>
      </c>
      <c r="P3706" t="s">
        <v>37</v>
      </c>
      <c r="Q3706" t="s">
        <v>118</v>
      </c>
      <c r="R3706">
        <v>237</v>
      </c>
      <c r="S3706">
        <v>118</v>
      </c>
      <c r="T3706">
        <v>83</v>
      </c>
      <c r="U3706">
        <v>29</v>
      </c>
      <c r="V3706" t="s">
        <v>6406</v>
      </c>
      <c r="W3706">
        <v>54008</v>
      </c>
      <c r="X3706" t="s">
        <v>1390</v>
      </c>
      <c r="Y3706">
        <v>41173</v>
      </c>
      <c r="Z3706">
        <v>1566232</v>
      </c>
      <c r="AA3706">
        <v>372215</v>
      </c>
      <c r="AB3706" t="str">
        <f>(VLOOKUP(SalesData[[#This Row],[Month Number]],Reference!C$5:E$16,2,FALSE))</f>
        <v>Feb</v>
      </c>
      <c r="AC3706">
        <f>MONTH(SalesData[[#This Row],[Date]])</f>
        <v>2</v>
      </c>
      <c r="AD3706">
        <f>Reference!F$4</f>
        <v>2026</v>
      </c>
      <c r="AE3706" t="str">
        <f>IF(OR(SalesData[[#This Row],[Day]]="Saturday",SalesData[[#This Row],[Day]]="Sunday"),"Weekend","Weekday")</f>
        <v>Weekday</v>
      </c>
      <c r="AF3706" s="5">
        <f>IF(SalesData[[#This Row],[Contracts Offered]]=0,0,SalesData[[#This Row],[Contracts Signed]]/SalesData[[#This Row],[Contracts Offered]])</f>
        <v>0.3493975903614458</v>
      </c>
      <c r="AG3706" s="5">
        <f>IF(SalesData[[#This Row],[Customers Visited]]=0,0,SalesData[[#This Row],[Test Drives]]/SalesData[[#This Row],[Customers Visited]])</f>
        <v>0.49789029535864981</v>
      </c>
      <c r="AH3706" s="5">
        <f>IF(SalesData[[#This Row],[Customers Visited]]=0,0,SalesData[[#This Row],[Contracts Signed]]/SalesData[[#This Row],[Customers Visited]])</f>
        <v>0.12236286919831224</v>
      </c>
      <c r="AI3706" s="6">
        <f>IF(SalesData[[#This Row],[Contracts Signed]]=0,0,SalesData[[#This Row],[Profit(€)]]/SalesData[[#This Row],[Contracts Signed]])</f>
        <v>12835</v>
      </c>
      <c r="AJ3706" s="5" t="str">
        <f>TRIM(CLEAN(SalesData[[#This Row],[Retailer]]))</f>
        <v>Elbe Drive</v>
      </c>
    </row>
    <row r="3707" spans="1:36" ht="14.25" hidden="1" x14ac:dyDescent="0.2">
      <c r="A3707" t="s">
        <v>4923</v>
      </c>
      <c r="B3707" s="1">
        <v>46058</v>
      </c>
      <c r="C3707" t="s">
        <v>24</v>
      </c>
      <c r="D3707" t="s">
        <v>100</v>
      </c>
      <c r="E3707" t="s">
        <v>26</v>
      </c>
      <c r="F3707" t="s">
        <v>114</v>
      </c>
      <c r="G3707" t="s">
        <v>115</v>
      </c>
      <c r="H3707" t="s">
        <v>115</v>
      </c>
      <c r="I3707" t="s">
        <v>104</v>
      </c>
      <c r="J3707" t="s">
        <v>7061</v>
      </c>
      <c r="K3707" t="s">
        <v>32</v>
      </c>
      <c r="L3707" t="s">
        <v>46</v>
      </c>
      <c r="M3707" t="s">
        <v>68</v>
      </c>
      <c r="N3707" t="s">
        <v>69</v>
      </c>
      <c r="O3707" t="s">
        <v>70</v>
      </c>
      <c r="P3707" t="s">
        <v>37</v>
      </c>
      <c r="Q3707" t="s">
        <v>59</v>
      </c>
      <c r="R3707">
        <v>390</v>
      </c>
      <c r="S3707">
        <v>205</v>
      </c>
      <c r="T3707">
        <v>124</v>
      </c>
      <c r="U3707">
        <v>33</v>
      </c>
      <c r="V3707" t="s">
        <v>4353</v>
      </c>
      <c r="W3707">
        <v>32345</v>
      </c>
      <c r="X3707" t="s">
        <v>864</v>
      </c>
      <c r="Y3707">
        <v>28272</v>
      </c>
      <c r="Z3707">
        <v>1067385</v>
      </c>
      <c r="AA3707">
        <v>134409</v>
      </c>
      <c r="AB3707" t="str">
        <f>(VLOOKUP(SalesData[[#This Row],[Month Number]],Reference!C$5:E$16,2,FALSE))</f>
        <v>Feb</v>
      </c>
      <c r="AC3707">
        <f>MONTH(SalesData[[#This Row],[Date]])</f>
        <v>2</v>
      </c>
      <c r="AD3707">
        <f>Reference!F$4</f>
        <v>2026</v>
      </c>
      <c r="AE3707" t="str">
        <f>IF(OR(SalesData[[#This Row],[Day]]="Saturday",SalesData[[#This Row],[Day]]="Sunday"),"Weekend","Weekday")</f>
        <v>Weekday</v>
      </c>
      <c r="AF3707" s="5">
        <f>IF(SalesData[[#This Row],[Contracts Offered]]=0,0,SalesData[[#This Row],[Contracts Signed]]/SalesData[[#This Row],[Contracts Offered]])</f>
        <v>0.2661290322580645</v>
      </c>
      <c r="AG3707" s="5">
        <f>IF(SalesData[[#This Row],[Customers Visited]]=0,0,SalesData[[#This Row],[Test Drives]]/SalesData[[#This Row],[Customers Visited]])</f>
        <v>0.52564102564102566</v>
      </c>
      <c r="AH3707" s="5">
        <f>IF(SalesData[[#This Row],[Customers Visited]]=0,0,SalesData[[#This Row],[Contracts Signed]]/SalesData[[#This Row],[Customers Visited]])</f>
        <v>8.461538461538462E-2</v>
      </c>
      <c r="AI3707" s="6">
        <f>IF(SalesData[[#This Row],[Contracts Signed]]=0,0,SalesData[[#This Row],[Profit(€)]]/SalesData[[#This Row],[Contracts Signed]])</f>
        <v>4073</v>
      </c>
      <c r="AJ3707" s="5" t="str">
        <f>TRIM(CLEAN(SalesData[[#This Row],[Retailer]]))</f>
        <v>Elbe Drive</v>
      </c>
    </row>
    <row r="3708" spans="1:36" ht="14.25" hidden="1" x14ac:dyDescent="0.2">
      <c r="A3708" t="s">
        <v>4924</v>
      </c>
      <c r="B3708" s="1">
        <v>46059</v>
      </c>
      <c r="C3708" t="s">
        <v>24</v>
      </c>
      <c r="D3708" t="s">
        <v>54</v>
      </c>
      <c r="E3708" t="s">
        <v>26</v>
      </c>
      <c r="F3708" t="s">
        <v>7649</v>
      </c>
      <c r="G3708" t="s">
        <v>55</v>
      </c>
      <c r="H3708" t="s">
        <v>55</v>
      </c>
      <c r="I3708" t="s">
        <v>104</v>
      </c>
      <c r="J3708" t="s">
        <v>140</v>
      </c>
      <c r="K3708" t="s">
        <v>66</v>
      </c>
      <c r="L3708" t="s">
        <v>46</v>
      </c>
      <c r="M3708" t="s">
        <v>68</v>
      </c>
      <c r="N3708" t="s">
        <v>35</v>
      </c>
      <c r="O3708" t="s">
        <v>36</v>
      </c>
      <c r="P3708" t="s">
        <v>37</v>
      </c>
      <c r="Q3708" t="s">
        <v>88</v>
      </c>
      <c r="R3708">
        <v>304</v>
      </c>
      <c r="S3708">
        <v>134</v>
      </c>
      <c r="T3708">
        <v>91</v>
      </c>
      <c r="U3708">
        <v>23</v>
      </c>
      <c r="V3708" t="s">
        <v>833</v>
      </c>
      <c r="W3708">
        <v>29571</v>
      </c>
      <c r="X3708" t="s">
        <v>1717</v>
      </c>
      <c r="Y3708">
        <v>26396</v>
      </c>
      <c r="Z3708">
        <v>680133</v>
      </c>
      <c r="AA3708">
        <v>73025</v>
      </c>
      <c r="AB3708" t="str">
        <f>(VLOOKUP(SalesData[[#This Row],[Month Number]],Reference!C$5:E$16,2,FALSE))</f>
        <v>Feb</v>
      </c>
      <c r="AC3708">
        <f>MONTH(SalesData[[#This Row],[Date]])</f>
        <v>2</v>
      </c>
      <c r="AD3708">
        <f>Reference!F$4</f>
        <v>2026</v>
      </c>
      <c r="AE3708" t="str">
        <f>IF(OR(SalesData[[#This Row],[Day]]="Saturday",SalesData[[#This Row],[Day]]="Sunday"),"Weekend","Weekday")</f>
        <v>Weekday</v>
      </c>
      <c r="AF3708" s="5">
        <f>IF(SalesData[[#This Row],[Contracts Offered]]=0,0,SalesData[[#This Row],[Contracts Signed]]/SalesData[[#This Row],[Contracts Offered]])</f>
        <v>0.25274725274725274</v>
      </c>
      <c r="AG3708" s="5">
        <f>IF(SalesData[[#This Row],[Customers Visited]]=0,0,SalesData[[#This Row],[Test Drives]]/SalesData[[#This Row],[Customers Visited]])</f>
        <v>0.44078947368421051</v>
      </c>
      <c r="AH3708" s="5">
        <f>IF(SalesData[[#This Row],[Customers Visited]]=0,0,SalesData[[#This Row],[Contracts Signed]]/SalesData[[#This Row],[Customers Visited]])</f>
        <v>7.5657894736842105E-2</v>
      </c>
      <c r="AI3708" s="6">
        <f>IF(SalesData[[#This Row],[Contracts Signed]]=0,0,SalesData[[#This Row],[Profit(€)]]/SalesData[[#This Row],[Contracts Signed]])</f>
        <v>3175</v>
      </c>
      <c r="AJ3708" s="5" t="str">
        <f>TRIM(CLEAN(SalesData[[#This Row],[Retailer]]))</f>
        <v>Autohaus Berlin</v>
      </c>
    </row>
    <row r="3709" spans="1:36" ht="14.25" hidden="1" x14ac:dyDescent="0.2">
      <c r="A3709" t="s">
        <v>4926</v>
      </c>
      <c r="B3709" s="1">
        <v>46056</v>
      </c>
      <c r="C3709" t="s">
        <v>24</v>
      </c>
      <c r="D3709" t="s">
        <v>63</v>
      </c>
      <c r="E3709" t="s">
        <v>26</v>
      </c>
      <c r="F3709" t="s">
        <v>101</v>
      </c>
      <c r="G3709" t="s">
        <v>102</v>
      </c>
      <c r="H3709" t="s">
        <v>103</v>
      </c>
      <c r="I3709" t="s">
        <v>104</v>
      </c>
      <c r="J3709" t="s">
        <v>7031</v>
      </c>
      <c r="K3709" t="s">
        <v>32</v>
      </c>
      <c r="L3709" t="s">
        <v>46</v>
      </c>
      <c r="M3709" t="s">
        <v>47</v>
      </c>
      <c r="N3709" t="s">
        <v>48</v>
      </c>
      <c r="O3709" t="s">
        <v>36</v>
      </c>
      <c r="P3709" t="s">
        <v>37</v>
      </c>
      <c r="Q3709" t="s">
        <v>38</v>
      </c>
      <c r="R3709">
        <v>450</v>
      </c>
      <c r="S3709">
        <v>227</v>
      </c>
      <c r="T3709">
        <v>161</v>
      </c>
      <c r="U3709">
        <v>29</v>
      </c>
      <c r="V3709" t="s">
        <v>727</v>
      </c>
      <c r="W3709">
        <v>29500</v>
      </c>
      <c r="X3709" t="s">
        <v>1518</v>
      </c>
      <c r="Y3709">
        <v>26362</v>
      </c>
      <c r="Z3709">
        <v>855500</v>
      </c>
      <c r="AA3709">
        <v>91002</v>
      </c>
      <c r="AB3709" t="str">
        <f>(VLOOKUP(SalesData[[#This Row],[Month Number]],Reference!C$5:E$16,2,FALSE))</f>
        <v>Feb</v>
      </c>
      <c r="AC3709">
        <f>MONTH(SalesData[[#This Row],[Date]])</f>
        <v>2</v>
      </c>
      <c r="AD3709">
        <f>Reference!F$4</f>
        <v>2026</v>
      </c>
      <c r="AE3709" t="str">
        <f>IF(OR(SalesData[[#This Row],[Day]]="Saturday",SalesData[[#This Row],[Day]]="Sunday"),"Weekend","Weekday")</f>
        <v>Weekday</v>
      </c>
      <c r="AF3709" s="5">
        <f>IF(SalesData[[#This Row],[Contracts Offered]]=0,0,SalesData[[#This Row],[Contracts Signed]]/SalesData[[#This Row],[Contracts Offered]])</f>
        <v>0.18012422360248448</v>
      </c>
      <c r="AG3709" s="5">
        <f>IF(SalesData[[#This Row],[Customers Visited]]=0,0,SalesData[[#This Row],[Test Drives]]/SalesData[[#This Row],[Customers Visited]])</f>
        <v>0.50444444444444447</v>
      </c>
      <c r="AH3709" s="5">
        <f>IF(SalesData[[#This Row],[Customers Visited]]=0,0,SalesData[[#This Row],[Contracts Signed]]/SalesData[[#This Row],[Customers Visited]])</f>
        <v>6.4444444444444443E-2</v>
      </c>
      <c r="AI3709" s="6">
        <f>IF(SalesData[[#This Row],[Contracts Signed]]=0,0,SalesData[[#This Row],[Profit(€)]]/SalesData[[#This Row],[Contracts Signed]])</f>
        <v>3138</v>
      </c>
      <c r="AJ3709" s="5" t="str">
        <f>TRIM(CLEAN(SalesData[[#This Row],[Retailer]]))</f>
        <v>Ruhr Auto Plaza</v>
      </c>
    </row>
    <row r="3710" spans="1:36" ht="14.25" x14ac:dyDescent="0.2">
      <c r="A3710" t="s">
        <v>4927</v>
      </c>
      <c r="B3710" s="1">
        <v>46058</v>
      </c>
      <c r="C3710" t="s">
        <v>24</v>
      </c>
      <c r="D3710" t="s">
        <v>100</v>
      </c>
      <c r="E3710" t="s">
        <v>26</v>
      </c>
      <c r="F3710" t="s">
        <v>101</v>
      </c>
      <c r="G3710" t="s">
        <v>102</v>
      </c>
      <c r="H3710" t="s">
        <v>103</v>
      </c>
      <c r="I3710" t="s">
        <v>30</v>
      </c>
      <c r="J3710" t="s">
        <v>86</v>
      </c>
      <c r="K3710" t="s">
        <v>91</v>
      </c>
      <c r="L3710" t="s">
        <v>33</v>
      </c>
      <c r="M3710" t="s">
        <v>47</v>
      </c>
      <c r="N3710" t="s">
        <v>35</v>
      </c>
      <c r="O3710" t="s">
        <v>70</v>
      </c>
      <c r="P3710" t="s">
        <v>49</v>
      </c>
      <c r="Q3710" t="s">
        <v>38</v>
      </c>
      <c r="R3710">
        <v>147</v>
      </c>
      <c r="S3710">
        <v>78</v>
      </c>
      <c r="T3710">
        <v>54</v>
      </c>
      <c r="U3710">
        <v>18</v>
      </c>
      <c r="V3710" t="s">
        <v>6386</v>
      </c>
      <c r="W3710">
        <v>58566</v>
      </c>
      <c r="X3710" t="s">
        <v>7346</v>
      </c>
      <c r="Y3710">
        <v>41677</v>
      </c>
      <c r="Z3710">
        <v>1054188</v>
      </c>
      <c r="AA3710">
        <v>304002</v>
      </c>
      <c r="AB3710" t="str">
        <f>(VLOOKUP(SalesData[[#This Row],[Month Number]],Reference!C$5:E$16,2,FALSE))</f>
        <v>Feb</v>
      </c>
      <c r="AC3710">
        <f>MONTH(SalesData[[#This Row],[Date]])</f>
        <v>2</v>
      </c>
      <c r="AD3710">
        <f>Reference!F$4</f>
        <v>2026</v>
      </c>
      <c r="AE3710" t="str">
        <f>IF(OR(SalesData[[#This Row],[Day]]="Saturday",SalesData[[#This Row],[Day]]="Sunday"),"Weekend","Weekday")</f>
        <v>Weekday</v>
      </c>
      <c r="AF3710" s="5">
        <f>IF(SalesData[[#This Row],[Contracts Offered]]=0,0,SalesData[[#This Row],[Contracts Signed]]/SalesData[[#This Row],[Contracts Offered]])</f>
        <v>0.33333333333333331</v>
      </c>
      <c r="AG3710" s="5">
        <f>IF(SalesData[[#This Row],[Customers Visited]]=0,0,SalesData[[#This Row],[Test Drives]]/SalesData[[#This Row],[Customers Visited]])</f>
        <v>0.53061224489795922</v>
      </c>
      <c r="AH3710" s="5">
        <f>IF(SalesData[[#This Row],[Customers Visited]]=0,0,SalesData[[#This Row],[Contracts Signed]]/SalesData[[#This Row],[Customers Visited]])</f>
        <v>0.12244897959183673</v>
      </c>
      <c r="AI3710" s="6">
        <f>IF(SalesData[[#This Row],[Contracts Signed]]=0,0,SalesData[[#This Row],[Profit(€)]]/SalesData[[#This Row],[Contracts Signed]])</f>
        <v>16889</v>
      </c>
      <c r="AJ3710" s="5" t="str">
        <f>TRIM(CLEAN(SalesData[[#This Row],[Retailer]]))</f>
        <v>Ruhr Auto Plaza</v>
      </c>
    </row>
    <row r="3711" spans="1:36" ht="14.25" hidden="1" x14ac:dyDescent="0.2">
      <c r="A3711" t="s">
        <v>4928</v>
      </c>
      <c r="B3711" s="1">
        <v>46069</v>
      </c>
      <c r="C3711" t="s">
        <v>62</v>
      </c>
      <c r="D3711" t="s">
        <v>25</v>
      </c>
      <c r="E3711" t="s">
        <v>26</v>
      </c>
      <c r="F3711" t="s">
        <v>74</v>
      </c>
      <c r="G3711" t="s">
        <v>75</v>
      </c>
      <c r="H3711" t="s">
        <v>76</v>
      </c>
      <c r="I3711" t="s">
        <v>116</v>
      </c>
      <c r="J3711" t="s">
        <v>7090</v>
      </c>
      <c r="K3711" t="s">
        <v>32</v>
      </c>
      <c r="L3711" t="s">
        <v>46</v>
      </c>
      <c r="M3711" t="s">
        <v>34</v>
      </c>
      <c r="N3711" t="s">
        <v>69</v>
      </c>
      <c r="O3711" t="s">
        <v>36</v>
      </c>
      <c r="P3711" t="s">
        <v>58</v>
      </c>
      <c r="Q3711" t="s">
        <v>38</v>
      </c>
      <c r="R3711">
        <v>296</v>
      </c>
      <c r="S3711">
        <v>117</v>
      </c>
      <c r="T3711">
        <v>71</v>
      </c>
      <c r="U3711">
        <v>26</v>
      </c>
      <c r="V3711" t="s">
        <v>6433</v>
      </c>
      <c r="W3711">
        <v>25387</v>
      </c>
      <c r="X3711" t="s">
        <v>161</v>
      </c>
      <c r="Y3711">
        <v>22996</v>
      </c>
      <c r="Z3711">
        <v>660062</v>
      </c>
      <c r="AA3711">
        <v>62166</v>
      </c>
      <c r="AB3711" t="str">
        <f>(VLOOKUP(SalesData[[#This Row],[Month Number]],Reference!C$5:E$16,2,FALSE))</f>
        <v>Feb</v>
      </c>
      <c r="AC3711">
        <f>MONTH(SalesData[[#This Row],[Date]])</f>
        <v>2</v>
      </c>
      <c r="AD3711">
        <f>Reference!F$4</f>
        <v>2026</v>
      </c>
      <c r="AE3711" t="str">
        <f>IF(OR(SalesData[[#This Row],[Day]]="Saturday",SalesData[[#This Row],[Day]]="Sunday"),"Weekend","Weekday")</f>
        <v>Weekday</v>
      </c>
      <c r="AF3711" s="5">
        <f>IF(SalesData[[#This Row],[Contracts Offered]]=0,0,SalesData[[#This Row],[Contracts Signed]]/SalesData[[#This Row],[Contracts Offered]])</f>
        <v>0.36619718309859156</v>
      </c>
      <c r="AG3711" s="5">
        <f>IF(SalesData[[#This Row],[Customers Visited]]=0,0,SalesData[[#This Row],[Test Drives]]/SalesData[[#This Row],[Customers Visited]])</f>
        <v>0.39527027027027029</v>
      </c>
      <c r="AH3711" s="5">
        <f>IF(SalesData[[#This Row],[Customers Visited]]=0,0,SalesData[[#This Row],[Contracts Signed]]/SalesData[[#This Row],[Customers Visited]])</f>
        <v>8.7837837837837843E-2</v>
      </c>
      <c r="AI3711" s="6">
        <f>IF(SalesData[[#This Row],[Contracts Signed]]=0,0,SalesData[[#This Row],[Profit(€)]]/SalesData[[#This Row],[Contracts Signed]])</f>
        <v>2391</v>
      </c>
      <c r="AJ3711" s="5" t="str">
        <f>TRIM(CLEAN(SalesData[[#This Row],[Retailer]]))</f>
        <v>Stuttgart Auto Center</v>
      </c>
    </row>
    <row r="3712" spans="1:36" ht="14.25" x14ac:dyDescent="0.2">
      <c r="A3712" t="s">
        <v>4929</v>
      </c>
      <c r="B3712" s="1">
        <v>46076</v>
      </c>
      <c r="C3712" t="s">
        <v>53</v>
      </c>
      <c r="D3712" t="s">
        <v>25</v>
      </c>
      <c r="E3712" t="s">
        <v>26</v>
      </c>
      <c r="F3712" t="s">
        <v>94</v>
      </c>
      <c r="G3712" t="s">
        <v>95</v>
      </c>
      <c r="H3712" t="s">
        <v>96</v>
      </c>
      <c r="I3712" t="s">
        <v>30</v>
      </c>
      <c r="J3712" t="s">
        <v>166</v>
      </c>
      <c r="K3712" t="s">
        <v>32</v>
      </c>
      <c r="L3712" t="s">
        <v>46</v>
      </c>
      <c r="M3712" t="s">
        <v>87</v>
      </c>
      <c r="N3712" t="s">
        <v>69</v>
      </c>
      <c r="O3712" t="s">
        <v>36</v>
      </c>
      <c r="P3712" t="s">
        <v>71</v>
      </c>
      <c r="Q3712" t="s">
        <v>347</v>
      </c>
      <c r="R3712">
        <v>185</v>
      </c>
      <c r="S3712">
        <v>113</v>
      </c>
      <c r="T3712">
        <v>88</v>
      </c>
      <c r="U3712">
        <v>36</v>
      </c>
      <c r="V3712" t="s">
        <v>7516</v>
      </c>
      <c r="W3712">
        <v>65954</v>
      </c>
      <c r="X3712" t="s">
        <v>1906</v>
      </c>
      <c r="Y3712">
        <v>47100</v>
      </c>
      <c r="Z3712">
        <v>2374344</v>
      </c>
      <c r="AA3712">
        <v>678744</v>
      </c>
      <c r="AB3712" t="str">
        <f>(VLOOKUP(SalesData[[#This Row],[Month Number]],Reference!C$5:E$16,2,FALSE))</f>
        <v>Feb</v>
      </c>
      <c r="AC3712">
        <f>MONTH(SalesData[[#This Row],[Date]])</f>
        <v>2</v>
      </c>
      <c r="AD3712">
        <f>Reference!F$4</f>
        <v>2026</v>
      </c>
      <c r="AE3712" t="str">
        <f>IF(OR(SalesData[[#This Row],[Day]]="Saturday",SalesData[[#This Row],[Day]]="Sunday"),"Weekend","Weekday")</f>
        <v>Weekday</v>
      </c>
      <c r="AF3712" s="5">
        <f>IF(SalesData[[#This Row],[Contracts Offered]]=0,0,SalesData[[#This Row],[Contracts Signed]]/SalesData[[#This Row],[Contracts Offered]])</f>
        <v>0.40909090909090912</v>
      </c>
      <c r="AG3712" s="5">
        <f>IF(SalesData[[#This Row],[Customers Visited]]=0,0,SalesData[[#This Row],[Test Drives]]/SalesData[[#This Row],[Customers Visited]])</f>
        <v>0.61081081081081079</v>
      </c>
      <c r="AH3712" s="5">
        <f>IF(SalesData[[#This Row],[Customers Visited]]=0,0,SalesData[[#This Row],[Contracts Signed]]/SalesData[[#This Row],[Customers Visited]])</f>
        <v>0.19459459459459461</v>
      </c>
      <c r="AI3712" s="6">
        <f>IF(SalesData[[#This Row],[Contracts Signed]]=0,0,SalesData[[#This Row],[Profit(€)]]/SalesData[[#This Row],[Contracts Signed]])</f>
        <v>18854</v>
      </c>
      <c r="AJ3712" s="5" t="str">
        <f>TRIM(CLEAN(SalesData[[#This Row],[Retailer]]))</f>
        <v>Bavaria Motors</v>
      </c>
    </row>
    <row r="3713" spans="1:36" ht="14.25" x14ac:dyDescent="0.2">
      <c r="A3713" t="s">
        <v>4930</v>
      </c>
      <c r="B3713" s="1">
        <v>46056</v>
      </c>
      <c r="C3713" t="s">
        <v>24</v>
      </c>
      <c r="D3713" t="s">
        <v>63</v>
      </c>
      <c r="E3713" t="s">
        <v>26</v>
      </c>
      <c r="F3713" t="s">
        <v>114</v>
      </c>
      <c r="G3713" t="s">
        <v>115</v>
      </c>
      <c r="H3713" t="s">
        <v>115</v>
      </c>
      <c r="I3713" t="s">
        <v>30</v>
      </c>
      <c r="J3713" t="s">
        <v>188</v>
      </c>
      <c r="K3713" t="s">
        <v>32</v>
      </c>
      <c r="L3713" t="s">
        <v>33</v>
      </c>
      <c r="M3713" t="s">
        <v>87</v>
      </c>
      <c r="N3713" t="s">
        <v>69</v>
      </c>
      <c r="O3713" t="s">
        <v>36</v>
      </c>
      <c r="P3713" t="s">
        <v>71</v>
      </c>
      <c r="Q3713" t="s">
        <v>129</v>
      </c>
      <c r="R3713">
        <v>211</v>
      </c>
      <c r="S3713">
        <v>121</v>
      </c>
      <c r="T3713">
        <v>90</v>
      </c>
      <c r="U3713">
        <v>35</v>
      </c>
      <c r="V3713" t="s">
        <v>6412</v>
      </c>
      <c r="W3713">
        <v>59499</v>
      </c>
      <c r="X3713" t="s">
        <v>7465</v>
      </c>
      <c r="Y3713">
        <v>43020</v>
      </c>
      <c r="Z3713">
        <v>2082465</v>
      </c>
      <c r="AA3713">
        <v>576765</v>
      </c>
      <c r="AB3713" t="str">
        <f>(VLOOKUP(SalesData[[#This Row],[Month Number]],Reference!C$5:E$16,2,FALSE))</f>
        <v>Feb</v>
      </c>
      <c r="AC3713">
        <f>MONTH(SalesData[[#This Row],[Date]])</f>
        <v>2</v>
      </c>
      <c r="AD3713">
        <f>Reference!F$4</f>
        <v>2026</v>
      </c>
      <c r="AE3713" t="str">
        <f>IF(OR(SalesData[[#This Row],[Day]]="Saturday",SalesData[[#This Row],[Day]]="Sunday"),"Weekend","Weekday")</f>
        <v>Weekday</v>
      </c>
      <c r="AF3713" s="5">
        <f>IF(SalesData[[#This Row],[Contracts Offered]]=0,0,SalesData[[#This Row],[Contracts Signed]]/SalesData[[#This Row],[Contracts Offered]])</f>
        <v>0.3888888888888889</v>
      </c>
      <c r="AG3713" s="5">
        <f>IF(SalesData[[#This Row],[Customers Visited]]=0,0,SalesData[[#This Row],[Test Drives]]/SalesData[[#This Row],[Customers Visited]])</f>
        <v>0.57345971563981046</v>
      </c>
      <c r="AH3713" s="5">
        <f>IF(SalesData[[#This Row],[Customers Visited]]=0,0,SalesData[[#This Row],[Contracts Signed]]/SalesData[[#This Row],[Customers Visited]])</f>
        <v>0.16587677725118483</v>
      </c>
      <c r="AI3713" s="6">
        <f>IF(SalesData[[#This Row],[Contracts Signed]]=0,0,SalesData[[#This Row],[Profit(€)]]/SalesData[[#This Row],[Contracts Signed]])</f>
        <v>16479</v>
      </c>
      <c r="AJ3713" s="5" t="str">
        <f>TRIM(CLEAN(SalesData[[#This Row],[Retailer]]))</f>
        <v>Elbe Drive</v>
      </c>
    </row>
    <row r="3714" spans="1:36" ht="14.25" hidden="1" x14ac:dyDescent="0.2">
      <c r="A3714" t="s">
        <v>4931</v>
      </c>
      <c r="B3714" s="1">
        <v>46075</v>
      </c>
      <c r="C3714" t="s">
        <v>53</v>
      </c>
      <c r="D3714" t="s">
        <v>41</v>
      </c>
      <c r="E3714" t="s">
        <v>42</v>
      </c>
      <c r="F3714" t="s">
        <v>83</v>
      </c>
      <c r="G3714" t="s">
        <v>84</v>
      </c>
      <c r="H3714" t="s">
        <v>85</v>
      </c>
      <c r="I3714" t="s">
        <v>64</v>
      </c>
      <c r="J3714" t="s">
        <v>77</v>
      </c>
      <c r="K3714" t="s">
        <v>66</v>
      </c>
      <c r="L3714" t="s">
        <v>46</v>
      </c>
      <c r="M3714" t="s">
        <v>47</v>
      </c>
      <c r="N3714" t="s">
        <v>69</v>
      </c>
      <c r="O3714" t="s">
        <v>36</v>
      </c>
      <c r="P3714" t="s">
        <v>37</v>
      </c>
      <c r="Q3714" t="s">
        <v>122</v>
      </c>
      <c r="R3714">
        <v>149</v>
      </c>
      <c r="S3714">
        <v>86</v>
      </c>
      <c r="T3714">
        <v>64</v>
      </c>
      <c r="U3714">
        <v>19</v>
      </c>
      <c r="V3714" t="s">
        <v>6671</v>
      </c>
      <c r="W3714">
        <v>65326</v>
      </c>
      <c r="X3714" t="s">
        <v>3042</v>
      </c>
      <c r="Y3714">
        <v>49450</v>
      </c>
      <c r="Z3714">
        <v>1241194</v>
      </c>
      <c r="AA3714">
        <v>301644</v>
      </c>
      <c r="AB3714" t="str">
        <f>(VLOOKUP(SalesData[[#This Row],[Month Number]],Reference!C$5:E$16,2,FALSE))</f>
        <v>Feb</v>
      </c>
      <c r="AC3714">
        <f>MONTH(SalesData[[#This Row],[Date]])</f>
        <v>2</v>
      </c>
      <c r="AD3714">
        <f>Reference!F$4</f>
        <v>2026</v>
      </c>
      <c r="AE3714" t="str">
        <f>IF(OR(SalesData[[#This Row],[Day]]="Saturday",SalesData[[#This Row],[Day]]="Sunday"),"Weekend","Weekday")</f>
        <v>Weekend</v>
      </c>
      <c r="AF3714" s="5">
        <f>IF(SalesData[[#This Row],[Contracts Offered]]=0,0,SalesData[[#This Row],[Contracts Signed]]/SalesData[[#This Row],[Contracts Offered]])</f>
        <v>0.296875</v>
      </c>
      <c r="AG3714" s="5">
        <f>IF(SalesData[[#This Row],[Customers Visited]]=0,0,SalesData[[#This Row],[Test Drives]]/SalesData[[#This Row],[Customers Visited]])</f>
        <v>0.57718120805369133</v>
      </c>
      <c r="AH3714" s="5">
        <f>IF(SalesData[[#This Row],[Customers Visited]]=0,0,SalesData[[#This Row],[Contracts Signed]]/SalesData[[#This Row],[Customers Visited]])</f>
        <v>0.12751677852348994</v>
      </c>
      <c r="AI3714" s="6">
        <f>IF(SalesData[[#This Row],[Contracts Signed]]=0,0,SalesData[[#This Row],[Profit(€)]]/SalesData[[#This Row],[Contracts Signed]])</f>
        <v>15876</v>
      </c>
      <c r="AJ3714" s="5" t="str">
        <f>TRIM(CLEAN(SalesData[[#This Row],[Retailer]]))</f>
        <v>Hannover Cars</v>
      </c>
    </row>
    <row r="3715" spans="1:36" ht="14.25" hidden="1" x14ac:dyDescent="0.2">
      <c r="A3715" t="s">
        <v>4933</v>
      </c>
      <c r="B3715" s="1">
        <v>46068</v>
      </c>
      <c r="C3715" t="s">
        <v>62</v>
      </c>
      <c r="D3715" t="s">
        <v>41</v>
      </c>
      <c r="E3715" t="s">
        <v>42</v>
      </c>
      <c r="F3715" t="s">
        <v>83</v>
      </c>
      <c r="G3715" t="s">
        <v>84</v>
      </c>
      <c r="H3715" t="s">
        <v>85</v>
      </c>
      <c r="I3715" t="s">
        <v>104</v>
      </c>
      <c r="J3715" t="s">
        <v>143</v>
      </c>
      <c r="K3715" t="s">
        <v>32</v>
      </c>
      <c r="L3715" t="s">
        <v>67</v>
      </c>
      <c r="M3715" t="s">
        <v>47</v>
      </c>
      <c r="N3715" t="s">
        <v>35</v>
      </c>
      <c r="O3715" t="s">
        <v>70</v>
      </c>
      <c r="P3715" t="s">
        <v>71</v>
      </c>
      <c r="Q3715" t="s">
        <v>189</v>
      </c>
      <c r="R3715">
        <v>477</v>
      </c>
      <c r="S3715">
        <v>194</v>
      </c>
      <c r="T3715">
        <v>122</v>
      </c>
      <c r="U3715">
        <v>26</v>
      </c>
      <c r="V3715" t="s">
        <v>3347</v>
      </c>
      <c r="W3715">
        <v>25985</v>
      </c>
      <c r="X3715" t="s">
        <v>483</v>
      </c>
      <c r="Y3715">
        <v>22473</v>
      </c>
      <c r="Z3715">
        <v>675610</v>
      </c>
      <c r="AA3715">
        <v>91312</v>
      </c>
      <c r="AB3715" t="str">
        <f>(VLOOKUP(SalesData[[#This Row],[Month Number]],Reference!C$5:E$16,2,FALSE))</f>
        <v>Feb</v>
      </c>
      <c r="AC3715">
        <f>MONTH(SalesData[[#This Row],[Date]])</f>
        <v>2</v>
      </c>
      <c r="AD3715">
        <f>Reference!F$4</f>
        <v>2026</v>
      </c>
      <c r="AE3715" t="str">
        <f>IF(OR(SalesData[[#This Row],[Day]]="Saturday",SalesData[[#This Row],[Day]]="Sunday"),"Weekend","Weekday")</f>
        <v>Weekend</v>
      </c>
      <c r="AF3715" s="5">
        <f>IF(SalesData[[#This Row],[Contracts Offered]]=0,0,SalesData[[#This Row],[Contracts Signed]]/SalesData[[#This Row],[Contracts Offered]])</f>
        <v>0.21311475409836064</v>
      </c>
      <c r="AG3715" s="5">
        <f>IF(SalesData[[#This Row],[Customers Visited]]=0,0,SalesData[[#This Row],[Test Drives]]/SalesData[[#This Row],[Customers Visited]])</f>
        <v>0.40670859538784065</v>
      </c>
      <c r="AH3715" s="5">
        <f>IF(SalesData[[#This Row],[Customers Visited]]=0,0,SalesData[[#This Row],[Contracts Signed]]/SalesData[[#This Row],[Customers Visited]])</f>
        <v>5.450733752620545E-2</v>
      </c>
      <c r="AI3715" s="6">
        <f>IF(SalesData[[#This Row],[Contracts Signed]]=0,0,SalesData[[#This Row],[Profit(€)]]/SalesData[[#This Row],[Contracts Signed]])</f>
        <v>3512</v>
      </c>
      <c r="AJ3715" s="5" t="str">
        <f>TRIM(CLEAN(SalesData[[#This Row],[Retailer]]))</f>
        <v>Hannover Cars</v>
      </c>
    </row>
    <row r="3716" spans="1:36" ht="14.25" hidden="1" x14ac:dyDescent="0.2">
      <c r="A3716" t="s">
        <v>4935</v>
      </c>
      <c r="B3716" s="1">
        <v>46077</v>
      </c>
      <c r="C3716" t="s">
        <v>53</v>
      </c>
      <c r="D3716" t="s">
        <v>63</v>
      </c>
      <c r="E3716" t="s">
        <v>26</v>
      </c>
      <c r="F3716" t="s">
        <v>83</v>
      </c>
      <c r="G3716" t="s">
        <v>84</v>
      </c>
      <c r="H3716" t="s">
        <v>85</v>
      </c>
      <c r="I3716" t="s">
        <v>56</v>
      </c>
      <c r="J3716" t="s">
        <v>179</v>
      </c>
      <c r="K3716" t="s">
        <v>66</v>
      </c>
      <c r="L3716" t="s">
        <v>67</v>
      </c>
      <c r="M3716" t="s">
        <v>87</v>
      </c>
      <c r="N3716" t="s">
        <v>35</v>
      </c>
      <c r="O3716" t="s">
        <v>36</v>
      </c>
      <c r="P3716" t="s">
        <v>58</v>
      </c>
      <c r="Q3716" t="s">
        <v>38</v>
      </c>
      <c r="R3716">
        <v>193</v>
      </c>
      <c r="S3716">
        <v>99</v>
      </c>
      <c r="T3716">
        <v>63</v>
      </c>
      <c r="U3716">
        <v>24</v>
      </c>
      <c r="V3716" t="s">
        <v>6429</v>
      </c>
      <c r="W3716">
        <v>42320</v>
      </c>
      <c r="X3716" t="s">
        <v>7380</v>
      </c>
      <c r="Y3716">
        <v>32920</v>
      </c>
      <c r="Z3716">
        <v>1015680</v>
      </c>
      <c r="AA3716">
        <v>225600</v>
      </c>
      <c r="AB3716" t="str">
        <f>(VLOOKUP(SalesData[[#This Row],[Month Number]],Reference!C$5:E$16,2,FALSE))</f>
        <v>Feb</v>
      </c>
      <c r="AC3716">
        <f>MONTH(SalesData[[#This Row],[Date]])</f>
        <v>2</v>
      </c>
      <c r="AD3716">
        <f>Reference!F$4</f>
        <v>2026</v>
      </c>
      <c r="AE3716" t="str">
        <f>IF(OR(SalesData[[#This Row],[Day]]="Saturday",SalesData[[#This Row],[Day]]="Sunday"),"Weekend","Weekday")</f>
        <v>Weekday</v>
      </c>
      <c r="AF3716" s="5">
        <f>IF(SalesData[[#This Row],[Contracts Offered]]=0,0,SalesData[[#This Row],[Contracts Signed]]/SalesData[[#This Row],[Contracts Offered]])</f>
        <v>0.38095238095238093</v>
      </c>
      <c r="AG3716" s="5">
        <f>IF(SalesData[[#This Row],[Customers Visited]]=0,0,SalesData[[#This Row],[Test Drives]]/SalesData[[#This Row],[Customers Visited]])</f>
        <v>0.51295336787564771</v>
      </c>
      <c r="AH3716" s="5">
        <f>IF(SalesData[[#This Row],[Customers Visited]]=0,0,SalesData[[#This Row],[Contracts Signed]]/SalesData[[#This Row],[Customers Visited]])</f>
        <v>0.12435233160621761</v>
      </c>
      <c r="AI3716" s="6">
        <f>IF(SalesData[[#This Row],[Contracts Signed]]=0,0,SalesData[[#This Row],[Profit(€)]]/SalesData[[#This Row],[Contracts Signed]])</f>
        <v>9400</v>
      </c>
      <c r="AJ3716" s="5" t="str">
        <f>TRIM(CLEAN(SalesData[[#This Row],[Retailer]]))</f>
        <v>Hannover Cars</v>
      </c>
    </row>
    <row r="3717" spans="1:36" ht="14.25" hidden="1" x14ac:dyDescent="0.2">
      <c r="A3717" t="s">
        <v>4936</v>
      </c>
      <c r="B3717" s="1">
        <v>46061</v>
      </c>
      <c r="C3717" t="s">
        <v>121</v>
      </c>
      <c r="D3717" t="s">
        <v>41</v>
      </c>
      <c r="E3717" t="s">
        <v>42</v>
      </c>
      <c r="F3717" t="s">
        <v>27</v>
      </c>
      <c r="G3717" t="s">
        <v>28</v>
      </c>
      <c r="H3717" t="s">
        <v>29</v>
      </c>
      <c r="I3717" t="s">
        <v>64</v>
      </c>
      <c r="J3717" t="s">
        <v>77</v>
      </c>
      <c r="K3717" t="s">
        <v>66</v>
      </c>
      <c r="L3717" t="s">
        <v>46</v>
      </c>
      <c r="M3717" t="s">
        <v>68</v>
      </c>
      <c r="N3717" t="s">
        <v>48</v>
      </c>
      <c r="O3717" t="s">
        <v>36</v>
      </c>
      <c r="P3717" t="s">
        <v>71</v>
      </c>
      <c r="Q3717" t="s">
        <v>144</v>
      </c>
      <c r="R3717">
        <v>251</v>
      </c>
      <c r="S3717">
        <v>144</v>
      </c>
      <c r="T3717">
        <v>103</v>
      </c>
      <c r="U3717">
        <v>38</v>
      </c>
      <c r="V3717" t="s">
        <v>6784</v>
      </c>
      <c r="W3717">
        <v>70152</v>
      </c>
      <c r="X3717" t="s">
        <v>7262</v>
      </c>
      <c r="Y3717">
        <v>51741</v>
      </c>
      <c r="Z3717">
        <v>2665776</v>
      </c>
      <c r="AA3717">
        <v>699618</v>
      </c>
      <c r="AB3717" t="str">
        <f>(VLOOKUP(SalesData[[#This Row],[Month Number]],Reference!C$5:E$16,2,FALSE))</f>
        <v>Feb</v>
      </c>
      <c r="AC3717">
        <f>MONTH(SalesData[[#This Row],[Date]])</f>
        <v>2</v>
      </c>
      <c r="AD3717">
        <f>Reference!F$4</f>
        <v>2026</v>
      </c>
      <c r="AE3717" t="str">
        <f>IF(OR(SalesData[[#This Row],[Day]]="Saturday",SalesData[[#This Row],[Day]]="Sunday"),"Weekend","Weekday")</f>
        <v>Weekend</v>
      </c>
      <c r="AF3717" s="5">
        <f>IF(SalesData[[#This Row],[Contracts Offered]]=0,0,SalesData[[#This Row],[Contracts Signed]]/SalesData[[#This Row],[Contracts Offered]])</f>
        <v>0.36893203883495146</v>
      </c>
      <c r="AG3717" s="5">
        <f>IF(SalesData[[#This Row],[Customers Visited]]=0,0,SalesData[[#This Row],[Test Drives]]/SalesData[[#This Row],[Customers Visited]])</f>
        <v>0.57370517928286857</v>
      </c>
      <c r="AH3717" s="5">
        <f>IF(SalesData[[#This Row],[Customers Visited]]=0,0,SalesData[[#This Row],[Contracts Signed]]/SalesData[[#This Row],[Customers Visited]])</f>
        <v>0.15139442231075698</v>
      </c>
      <c r="AI3717" s="6">
        <f>IF(SalesData[[#This Row],[Contracts Signed]]=0,0,SalesData[[#This Row],[Profit(€)]]/SalesData[[#This Row],[Contracts Signed]])</f>
        <v>18411</v>
      </c>
      <c r="AJ3717" s="5" t="str">
        <f>TRIM(CLEAN(SalesData[[#This Row],[Retailer]]))</f>
        <v>Main Auto Hub</v>
      </c>
    </row>
    <row r="3718" spans="1:36" ht="14.25" hidden="1" x14ac:dyDescent="0.2">
      <c r="A3718" t="s">
        <v>4937</v>
      </c>
      <c r="B3718" s="1">
        <v>46074</v>
      </c>
      <c r="C3718" t="s">
        <v>62</v>
      </c>
      <c r="D3718" t="s">
        <v>151</v>
      </c>
      <c r="E3718" t="s">
        <v>42</v>
      </c>
      <c r="F3718" t="s">
        <v>83</v>
      </c>
      <c r="G3718" t="s">
        <v>84</v>
      </c>
      <c r="H3718" t="s">
        <v>85</v>
      </c>
      <c r="I3718" t="s">
        <v>116</v>
      </c>
      <c r="J3718" t="s">
        <v>7026</v>
      </c>
      <c r="K3718" t="s">
        <v>32</v>
      </c>
      <c r="L3718" t="s">
        <v>46</v>
      </c>
      <c r="M3718" t="s">
        <v>47</v>
      </c>
      <c r="N3718" t="s">
        <v>69</v>
      </c>
      <c r="O3718" t="s">
        <v>70</v>
      </c>
      <c r="P3718" t="s">
        <v>71</v>
      </c>
      <c r="Q3718" t="s">
        <v>169</v>
      </c>
      <c r="R3718">
        <v>346</v>
      </c>
      <c r="S3718">
        <v>183</v>
      </c>
      <c r="T3718">
        <v>124</v>
      </c>
      <c r="U3718">
        <v>26</v>
      </c>
      <c r="V3718" t="s">
        <v>452</v>
      </c>
      <c r="W3718">
        <v>20745</v>
      </c>
      <c r="X3718" t="s">
        <v>7608</v>
      </c>
      <c r="Y3718">
        <v>19025</v>
      </c>
      <c r="Z3718">
        <v>539370</v>
      </c>
      <c r="AA3718">
        <v>44720</v>
      </c>
      <c r="AB3718" t="str">
        <f>(VLOOKUP(SalesData[[#This Row],[Month Number]],Reference!C$5:E$16,2,FALSE))</f>
        <v>Feb</v>
      </c>
      <c r="AC3718">
        <f>MONTH(SalesData[[#This Row],[Date]])</f>
        <v>2</v>
      </c>
      <c r="AD3718">
        <f>Reference!F$4</f>
        <v>2026</v>
      </c>
      <c r="AE3718" t="str">
        <f>IF(OR(SalesData[[#This Row],[Day]]="Saturday",SalesData[[#This Row],[Day]]="Sunday"),"Weekend","Weekday")</f>
        <v>Weekend</v>
      </c>
      <c r="AF3718" s="5">
        <f>IF(SalesData[[#This Row],[Contracts Offered]]=0,0,SalesData[[#This Row],[Contracts Signed]]/SalesData[[#This Row],[Contracts Offered]])</f>
        <v>0.20967741935483872</v>
      </c>
      <c r="AG3718" s="5">
        <f>IF(SalesData[[#This Row],[Customers Visited]]=0,0,SalesData[[#This Row],[Test Drives]]/SalesData[[#This Row],[Customers Visited]])</f>
        <v>0.52890173410404628</v>
      </c>
      <c r="AH3718" s="5">
        <f>IF(SalesData[[#This Row],[Customers Visited]]=0,0,SalesData[[#This Row],[Contracts Signed]]/SalesData[[#This Row],[Customers Visited]])</f>
        <v>7.5144508670520235E-2</v>
      </c>
      <c r="AI3718" s="6">
        <f>IF(SalesData[[#This Row],[Contracts Signed]]=0,0,SalesData[[#This Row],[Profit(€)]]/SalesData[[#This Row],[Contracts Signed]])</f>
        <v>1720</v>
      </c>
      <c r="AJ3718" s="5" t="str">
        <f>TRIM(CLEAN(SalesData[[#This Row],[Retailer]]))</f>
        <v>Hannover Cars</v>
      </c>
    </row>
    <row r="3719" spans="1:36" ht="14.25" hidden="1" x14ac:dyDescent="0.2">
      <c r="A3719" t="s">
        <v>4938</v>
      </c>
      <c r="B3719" s="1">
        <v>46063</v>
      </c>
      <c r="C3719" t="s">
        <v>121</v>
      </c>
      <c r="D3719" t="s">
        <v>63</v>
      </c>
      <c r="E3719" t="s">
        <v>26</v>
      </c>
      <c r="F3719" t="s">
        <v>74</v>
      </c>
      <c r="G3719" t="s">
        <v>75</v>
      </c>
      <c r="H3719" t="s">
        <v>76</v>
      </c>
      <c r="I3719" t="s">
        <v>116</v>
      </c>
      <c r="J3719" t="s">
        <v>117</v>
      </c>
      <c r="K3719" t="s">
        <v>78</v>
      </c>
      <c r="L3719" t="s">
        <v>67</v>
      </c>
      <c r="M3719" t="s">
        <v>47</v>
      </c>
      <c r="N3719" t="s">
        <v>48</v>
      </c>
      <c r="O3719" t="s">
        <v>70</v>
      </c>
      <c r="P3719" t="s">
        <v>37</v>
      </c>
      <c r="Q3719" t="s">
        <v>106</v>
      </c>
      <c r="R3719">
        <v>367</v>
      </c>
      <c r="S3719">
        <v>163</v>
      </c>
      <c r="T3719">
        <v>113</v>
      </c>
      <c r="U3719">
        <v>23</v>
      </c>
      <c r="V3719" t="s">
        <v>6780</v>
      </c>
      <c r="W3719">
        <v>23849</v>
      </c>
      <c r="X3719" t="s">
        <v>7409</v>
      </c>
      <c r="Y3719">
        <v>21252</v>
      </c>
      <c r="Z3719">
        <v>548527</v>
      </c>
      <c r="AA3719">
        <v>59731</v>
      </c>
      <c r="AB3719" t="str">
        <f>(VLOOKUP(SalesData[[#This Row],[Month Number]],Reference!C$5:E$16,2,FALSE))</f>
        <v>Feb</v>
      </c>
      <c r="AC3719">
        <f>MONTH(SalesData[[#This Row],[Date]])</f>
        <v>2</v>
      </c>
      <c r="AD3719">
        <f>Reference!F$4</f>
        <v>2026</v>
      </c>
      <c r="AE3719" t="str">
        <f>IF(OR(SalesData[[#This Row],[Day]]="Saturday",SalesData[[#This Row],[Day]]="Sunday"),"Weekend","Weekday")</f>
        <v>Weekday</v>
      </c>
      <c r="AF3719" s="5">
        <f>IF(SalesData[[#This Row],[Contracts Offered]]=0,0,SalesData[[#This Row],[Contracts Signed]]/SalesData[[#This Row],[Contracts Offered]])</f>
        <v>0.20353982300884957</v>
      </c>
      <c r="AG3719" s="5">
        <f>IF(SalesData[[#This Row],[Customers Visited]]=0,0,SalesData[[#This Row],[Test Drives]]/SalesData[[#This Row],[Customers Visited]])</f>
        <v>0.44414168937329701</v>
      </c>
      <c r="AH3719" s="5">
        <f>IF(SalesData[[#This Row],[Customers Visited]]=0,0,SalesData[[#This Row],[Contracts Signed]]/SalesData[[#This Row],[Customers Visited]])</f>
        <v>6.2670299727520432E-2</v>
      </c>
      <c r="AI3719" s="6">
        <f>IF(SalesData[[#This Row],[Contracts Signed]]=0,0,SalesData[[#This Row],[Profit(€)]]/SalesData[[#This Row],[Contracts Signed]])</f>
        <v>2597</v>
      </c>
      <c r="AJ3719" s="5" t="str">
        <f>TRIM(CLEAN(SalesData[[#This Row],[Retailer]]))</f>
        <v>Stuttgart Auto Center</v>
      </c>
    </row>
    <row r="3720" spans="1:36" ht="14.25" hidden="1" x14ac:dyDescent="0.2">
      <c r="A3720" t="s">
        <v>4939</v>
      </c>
      <c r="B3720" s="1">
        <v>46067</v>
      </c>
      <c r="C3720" t="s">
        <v>121</v>
      </c>
      <c r="D3720" t="s">
        <v>151</v>
      </c>
      <c r="E3720" t="s">
        <v>42</v>
      </c>
      <c r="F3720" t="s">
        <v>7649</v>
      </c>
      <c r="G3720" t="s">
        <v>55</v>
      </c>
      <c r="H3720" t="s">
        <v>55</v>
      </c>
      <c r="I3720" t="s">
        <v>116</v>
      </c>
      <c r="J3720" t="s">
        <v>117</v>
      </c>
      <c r="K3720" t="s">
        <v>91</v>
      </c>
      <c r="L3720" t="s">
        <v>67</v>
      </c>
      <c r="M3720" t="s">
        <v>68</v>
      </c>
      <c r="N3720" t="s">
        <v>69</v>
      </c>
      <c r="O3720" t="s">
        <v>70</v>
      </c>
      <c r="P3720" t="s">
        <v>71</v>
      </c>
      <c r="Q3720" t="s">
        <v>122</v>
      </c>
      <c r="R3720">
        <v>303</v>
      </c>
      <c r="S3720">
        <v>157</v>
      </c>
      <c r="T3720">
        <v>105</v>
      </c>
      <c r="U3720">
        <v>26</v>
      </c>
      <c r="V3720" t="s">
        <v>1444</v>
      </c>
      <c r="W3720">
        <v>24130</v>
      </c>
      <c r="X3720" t="s">
        <v>3347</v>
      </c>
      <c r="Y3720">
        <v>21911</v>
      </c>
      <c r="Z3720">
        <v>627380</v>
      </c>
      <c r="AA3720">
        <v>57694</v>
      </c>
      <c r="AB3720" t="str">
        <f>(VLOOKUP(SalesData[[#This Row],[Month Number]],Reference!C$5:E$16,2,FALSE))</f>
        <v>Feb</v>
      </c>
      <c r="AC3720">
        <f>MONTH(SalesData[[#This Row],[Date]])</f>
        <v>2</v>
      </c>
      <c r="AD3720">
        <f>Reference!F$4</f>
        <v>2026</v>
      </c>
      <c r="AE3720" t="str">
        <f>IF(OR(SalesData[[#This Row],[Day]]="Saturday",SalesData[[#This Row],[Day]]="Sunday"),"Weekend","Weekday")</f>
        <v>Weekend</v>
      </c>
      <c r="AF3720" s="5">
        <f>IF(SalesData[[#This Row],[Contracts Offered]]=0,0,SalesData[[#This Row],[Contracts Signed]]/SalesData[[#This Row],[Contracts Offered]])</f>
        <v>0.24761904761904763</v>
      </c>
      <c r="AG3720" s="5">
        <f>IF(SalesData[[#This Row],[Customers Visited]]=0,0,SalesData[[#This Row],[Test Drives]]/SalesData[[#This Row],[Customers Visited]])</f>
        <v>0.5181518151815182</v>
      </c>
      <c r="AH3720" s="5">
        <f>IF(SalesData[[#This Row],[Customers Visited]]=0,0,SalesData[[#This Row],[Contracts Signed]]/SalesData[[#This Row],[Customers Visited]])</f>
        <v>8.5808580858085806E-2</v>
      </c>
      <c r="AI3720" s="6">
        <f>IF(SalesData[[#This Row],[Contracts Signed]]=0,0,SalesData[[#This Row],[Profit(€)]]/SalesData[[#This Row],[Contracts Signed]])</f>
        <v>2219</v>
      </c>
      <c r="AJ3720" s="5" t="str">
        <f>TRIM(CLEAN(SalesData[[#This Row],[Retailer]]))</f>
        <v>Autohaus Berlin</v>
      </c>
    </row>
    <row r="3721" spans="1:36" ht="14.25" hidden="1" x14ac:dyDescent="0.2">
      <c r="A3721" t="s">
        <v>4940</v>
      </c>
      <c r="B3721" s="1">
        <v>46072</v>
      </c>
      <c r="C3721" t="s">
        <v>62</v>
      </c>
      <c r="D3721" t="s">
        <v>100</v>
      </c>
      <c r="E3721" t="s">
        <v>26</v>
      </c>
      <c r="F3721" t="s">
        <v>43</v>
      </c>
      <c r="G3721" t="s">
        <v>44</v>
      </c>
      <c r="H3721" t="s">
        <v>45</v>
      </c>
      <c r="I3721" t="s">
        <v>64</v>
      </c>
      <c r="J3721" t="s">
        <v>157</v>
      </c>
      <c r="K3721" t="s">
        <v>91</v>
      </c>
      <c r="L3721" t="s">
        <v>33</v>
      </c>
      <c r="M3721" t="s">
        <v>87</v>
      </c>
      <c r="N3721" t="s">
        <v>48</v>
      </c>
      <c r="O3721" t="s">
        <v>70</v>
      </c>
      <c r="P3721" t="s">
        <v>37</v>
      </c>
      <c r="Q3721" t="s">
        <v>118</v>
      </c>
      <c r="R3721">
        <v>219</v>
      </c>
      <c r="S3721">
        <v>109</v>
      </c>
      <c r="T3721">
        <v>79</v>
      </c>
      <c r="U3721">
        <v>24</v>
      </c>
      <c r="V3721" t="s">
        <v>6702</v>
      </c>
      <c r="W3721">
        <v>67889</v>
      </c>
      <c r="X3721" t="s">
        <v>7609</v>
      </c>
      <c r="Y3721">
        <v>51516</v>
      </c>
      <c r="Z3721">
        <v>1629336</v>
      </c>
      <c r="AA3721">
        <v>392952</v>
      </c>
      <c r="AB3721" t="str">
        <f>(VLOOKUP(SalesData[[#This Row],[Month Number]],Reference!C$5:E$16,2,FALSE))</f>
        <v>Feb</v>
      </c>
      <c r="AC3721">
        <f>MONTH(SalesData[[#This Row],[Date]])</f>
        <v>2</v>
      </c>
      <c r="AD3721">
        <f>Reference!F$4</f>
        <v>2026</v>
      </c>
      <c r="AE3721" t="str">
        <f>IF(OR(SalesData[[#This Row],[Day]]="Saturday",SalesData[[#This Row],[Day]]="Sunday"),"Weekend","Weekday")</f>
        <v>Weekday</v>
      </c>
      <c r="AF3721" s="5">
        <f>IF(SalesData[[#This Row],[Contracts Offered]]=0,0,SalesData[[#This Row],[Contracts Signed]]/SalesData[[#This Row],[Contracts Offered]])</f>
        <v>0.30379746835443039</v>
      </c>
      <c r="AG3721" s="5">
        <f>IF(SalesData[[#This Row],[Customers Visited]]=0,0,SalesData[[#This Row],[Test Drives]]/SalesData[[#This Row],[Customers Visited]])</f>
        <v>0.49771689497716892</v>
      </c>
      <c r="AH3721" s="5">
        <f>IF(SalesData[[#This Row],[Customers Visited]]=0,0,SalesData[[#This Row],[Contracts Signed]]/SalesData[[#This Row],[Customers Visited]])</f>
        <v>0.1095890410958904</v>
      </c>
      <c r="AI3721" s="6">
        <f>IF(SalesData[[#This Row],[Contracts Signed]]=0,0,SalesData[[#This Row],[Profit(€)]]/SalesData[[#This Row],[Contracts Signed]])</f>
        <v>16373</v>
      </c>
      <c r="AJ3721" s="5" t="str">
        <f>TRIM(CLEAN(SalesData[[#This Row],[Retailer]]))</f>
        <v>Saxon Wheels</v>
      </c>
    </row>
    <row r="3722" spans="1:36" ht="14.25" x14ac:dyDescent="0.2">
      <c r="A3722" t="s">
        <v>4941</v>
      </c>
      <c r="B3722" s="1">
        <v>46073</v>
      </c>
      <c r="C3722" t="s">
        <v>62</v>
      </c>
      <c r="D3722" t="s">
        <v>54</v>
      </c>
      <c r="E3722" t="s">
        <v>26</v>
      </c>
      <c r="F3722" t="s">
        <v>43</v>
      </c>
      <c r="G3722" t="s">
        <v>44</v>
      </c>
      <c r="H3722" t="s">
        <v>45</v>
      </c>
      <c r="I3722" t="s">
        <v>30</v>
      </c>
      <c r="J3722" t="s">
        <v>86</v>
      </c>
      <c r="K3722" t="s">
        <v>78</v>
      </c>
      <c r="L3722" t="s">
        <v>33</v>
      </c>
      <c r="M3722" t="s">
        <v>87</v>
      </c>
      <c r="N3722" t="s">
        <v>48</v>
      </c>
      <c r="O3722" t="s">
        <v>70</v>
      </c>
      <c r="P3722" t="s">
        <v>71</v>
      </c>
      <c r="Q3722" t="s">
        <v>240</v>
      </c>
      <c r="R3722">
        <v>269</v>
      </c>
      <c r="S3722">
        <v>128</v>
      </c>
      <c r="T3722">
        <v>100</v>
      </c>
      <c r="U3722">
        <v>33</v>
      </c>
      <c r="V3722" t="s">
        <v>6879</v>
      </c>
      <c r="W3722">
        <v>52633</v>
      </c>
      <c r="X3722" t="s">
        <v>958</v>
      </c>
      <c r="Y3722">
        <v>37116</v>
      </c>
      <c r="Z3722">
        <v>1736889</v>
      </c>
      <c r="AA3722">
        <v>512061</v>
      </c>
      <c r="AB3722" t="str">
        <f>(VLOOKUP(SalesData[[#This Row],[Month Number]],Reference!C$5:E$16,2,FALSE))</f>
        <v>Feb</v>
      </c>
      <c r="AC3722">
        <f>MONTH(SalesData[[#This Row],[Date]])</f>
        <v>2</v>
      </c>
      <c r="AD3722">
        <f>Reference!F$4</f>
        <v>2026</v>
      </c>
      <c r="AE3722" t="str">
        <f>IF(OR(SalesData[[#This Row],[Day]]="Saturday",SalesData[[#This Row],[Day]]="Sunday"),"Weekend","Weekday")</f>
        <v>Weekday</v>
      </c>
      <c r="AF3722" s="5">
        <f>IF(SalesData[[#This Row],[Contracts Offered]]=0,0,SalesData[[#This Row],[Contracts Signed]]/SalesData[[#This Row],[Contracts Offered]])</f>
        <v>0.33</v>
      </c>
      <c r="AG3722" s="5">
        <f>IF(SalesData[[#This Row],[Customers Visited]]=0,0,SalesData[[#This Row],[Test Drives]]/SalesData[[#This Row],[Customers Visited]])</f>
        <v>0.47583643122676578</v>
      </c>
      <c r="AH3722" s="5">
        <f>IF(SalesData[[#This Row],[Customers Visited]]=0,0,SalesData[[#This Row],[Contracts Signed]]/SalesData[[#This Row],[Customers Visited]])</f>
        <v>0.12267657992565056</v>
      </c>
      <c r="AI3722" s="6">
        <f>IF(SalesData[[#This Row],[Contracts Signed]]=0,0,SalesData[[#This Row],[Profit(€)]]/SalesData[[#This Row],[Contracts Signed]])</f>
        <v>15517</v>
      </c>
      <c r="AJ3722" s="5" t="str">
        <f>TRIM(CLEAN(SalesData[[#This Row],[Retailer]]))</f>
        <v>Saxon Wheels</v>
      </c>
    </row>
    <row r="3723" spans="1:36" ht="14.25" hidden="1" x14ac:dyDescent="0.2">
      <c r="A3723" t="s">
        <v>4942</v>
      </c>
      <c r="B3723" s="1">
        <v>46058</v>
      </c>
      <c r="C3723" t="s">
        <v>24</v>
      </c>
      <c r="D3723" t="s">
        <v>100</v>
      </c>
      <c r="E3723" t="s">
        <v>26</v>
      </c>
      <c r="F3723" t="s">
        <v>43</v>
      </c>
      <c r="G3723" t="s">
        <v>44</v>
      </c>
      <c r="H3723" t="s">
        <v>45</v>
      </c>
      <c r="I3723" t="s">
        <v>116</v>
      </c>
      <c r="J3723" t="s">
        <v>132</v>
      </c>
      <c r="K3723" t="s">
        <v>91</v>
      </c>
      <c r="L3723" t="s">
        <v>46</v>
      </c>
      <c r="M3723" t="s">
        <v>47</v>
      </c>
      <c r="N3723" t="s">
        <v>35</v>
      </c>
      <c r="O3723" t="s">
        <v>36</v>
      </c>
      <c r="P3723" t="s">
        <v>58</v>
      </c>
      <c r="Q3723" t="s">
        <v>169</v>
      </c>
      <c r="R3723">
        <v>375</v>
      </c>
      <c r="S3723">
        <v>179</v>
      </c>
      <c r="T3723">
        <v>104</v>
      </c>
      <c r="U3723">
        <v>35</v>
      </c>
      <c r="V3723" t="s">
        <v>1672</v>
      </c>
      <c r="W3723">
        <v>19139</v>
      </c>
      <c r="X3723" t="s">
        <v>7563</v>
      </c>
      <c r="Y3723">
        <v>17441</v>
      </c>
      <c r="Z3723">
        <v>669865</v>
      </c>
      <c r="AA3723">
        <v>59430</v>
      </c>
      <c r="AB3723" t="str">
        <f>(VLOOKUP(SalesData[[#This Row],[Month Number]],Reference!C$5:E$16,2,FALSE))</f>
        <v>Feb</v>
      </c>
      <c r="AC3723">
        <f>MONTH(SalesData[[#This Row],[Date]])</f>
        <v>2</v>
      </c>
      <c r="AD3723">
        <f>Reference!F$4</f>
        <v>2026</v>
      </c>
      <c r="AE3723" t="str">
        <f>IF(OR(SalesData[[#This Row],[Day]]="Saturday",SalesData[[#This Row],[Day]]="Sunday"),"Weekend","Weekday")</f>
        <v>Weekday</v>
      </c>
      <c r="AF3723" s="5">
        <f>IF(SalesData[[#This Row],[Contracts Offered]]=0,0,SalesData[[#This Row],[Contracts Signed]]/SalesData[[#This Row],[Contracts Offered]])</f>
        <v>0.33653846153846156</v>
      </c>
      <c r="AG3723" s="5">
        <f>IF(SalesData[[#This Row],[Customers Visited]]=0,0,SalesData[[#This Row],[Test Drives]]/SalesData[[#This Row],[Customers Visited]])</f>
        <v>0.47733333333333333</v>
      </c>
      <c r="AH3723" s="5">
        <f>IF(SalesData[[#This Row],[Customers Visited]]=0,0,SalesData[[#This Row],[Contracts Signed]]/SalesData[[#This Row],[Customers Visited]])</f>
        <v>9.3333333333333338E-2</v>
      </c>
      <c r="AI3723" s="6">
        <f>IF(SalesData[[#This Row],[Contracts Signed]]=0,0,SalesData[[#This Row],[Profit(€)]]/SalesData[[#This Row],[Contracts Signed]])</f>
        <v>1698</v>
      </c>
      <c r="AJ3723" s="5" t="str">
        <f>TRIM(CLEAN(SalesData[[#This Row],[Retailer]]))</f>
        <v>Saxon Wheels</v>
      </c>
    </row>
    <row r="3724" spans="1:36" ht="14.25" hidden="1" x14ac:dyDescent="0.2">
      <c r="A3724" t="s">
        <v>4943</v>
      </c>
      <c r="B3724" s="1">
        <v>46055</v>
      </c>
      <c r="C3724" t="s">
        <v>24</v>
      </c>
      <c r="D3724" t="s">
        <v>25</v>
      </c>
      <c r="E3724" t="s">
        <v>26</v>
      </c>
      <c r="F3724" t="s">
        <v>114</v>
      </c>
      <c r="G3724" t="s">
        <v>115</v>
      </c>
      <c r="H3724" t="s">
        <v>115</v>
      </c>
      <c r="I3724" t="s">
        <v>116</v>
      </c>
      <c r="J3724" t="s">
        <v>117</v>
      </c>
      <c r="K3724" t="s">
        <v>78</v>
      </c>
      <c r="L3724" t="s">
        <v>67</v>
      </c>
      <c r="M3724" t="s">
        <v>47</v>
      </c>
      <c r="N3724" t="s">
        <v>35</v>
      </c>
      <c r="O3724" t="s">
        <v>36</v>
      </c>
      <c r="P3724" t="s">
        <v>58</v>
      </c>
      <c r="Q3724" t="s">
        <v>144</v>
      </c>
      <c r="R3724">
        <v>248</v>
      </c>
      <c r="S3724">
        <v>128</v>
      </c>
      <c r="T3724">
        <v>88</v>
      </c>
      <c r="U3724">
        <v>26</v>
      </c>
      <c r="V3724" t="s">
        <v>6854</v>
      </c>
      <c r="W3724">
        <v>22456</v>
      </c>
      <c r="X3724" t="s">
        <v>7509</v>
      </c>
      <c r="Y3724">
        <v>20289</v>
      </c>
      <c r="Z3724">
        <v>583856</v>
      </c>
      <c r="AA3724">
        <v>56342</v>
      </c>
      <c r="AB3724" t="str">
        <f>(VLOOKUP(SalesData[[#This Row],[Month Number]],Reference!C$5:E$16,2,FALSE))</f>
        <v>Feb</v>
      </c>
      <c r="AC3724">
        <f>MONTH(SalesData[[#This Row],[Date]])</f>
        <v>2</v>
      </c>
      <c r="AD3724">
        <f>Reference!F$4</f>
        <v>2026</v>
      </c>
      <c r="AE3724" t="str">
        <f>IF(OR(SalesData[[#This Row],[Day]]="Saturday",SalesData[[#This Row],[Day]]="Sunday"),"Weekend","Weekday")</f>
        <v>Weekday</v>
      </c>
      <c r="AF3724" s="5">
        <f>IF(SalesData[[#This Row],[Contracts Offered]]=0,0,SalesData[[#This Row],[Contracts Signed]]/SalesData[[#This Row],[Contracts Offered]])</f>
        <v>0.29545454545454547</v>
      </c>
      <c r="AG3724" s="5">
        <f>IF(SalesData[[#This Row],[Customers Visited]]=0,0,SalesData[[#This Row],[Test Drives]]/SalesData[[#This Row],[Customers Visited]])</f>
        <v>0.5161290322580645</v>
      </c>
      <c r="AH3724" s="5">
        <f>IF(SalesData[[#This Row],[Customers Visited]]=0,0,SalesData[[#This Row],[Contracts Signed]]/SalesData[[#This Row],[Customers Visited]])</f>
        <v>0.10483870967741936</v>
      </c>
      <c r="AI3724" s="6">
        <f>IF(SalesData[[#This Row],[Contracts Signed]]=0,0,SalesData[[#This Row],[Profit(€)]]/SalesData[[#This Row],[Contracts Signed]])</f>
        <v>2167</v>
      </c>
      <c r="AJ3724" s="5" t="str">
        <f>TRIM(CLEAN(SalesData[[#This Row],[Retailer]]))</f>
        <v>Elbe Drive</v>
      </c>
    </row>
    <row r="3725" spans="1:36" ht="14.25" hidden="1" x14ac:dyDescent="0.2">
      <c r="A3725" t="s">
        <v>4944</v>
      </c>
      <c r="B3725" s="1">
        <v>46057</v>
      </c>
      <c r="C3725" t="s">
        <v>24</v>
      </c>
      <c r="D3725" t="s">
        <v>82</v>
      </c>
      <c r="E3725" t="s">
        <v>26</v>
      </c>
      <c r="F3725" t="s">
        <v>127</v>
      </c>
      <c r="G3725" t="s">
        <v>128</v>
      </c>
      <c r="H3725" t="s">
        <v>103</v>
      </c>
      <c r="I3725" t="s">
        <v>104</v>
      </c>
      <c r="J3725" t="s">
        <v>7031</v>
      </c>
      <c r="K3725" t="s">
        <v>91</v>
      </c>
      <c r="L3725" t="s">
        <v>46</v>
      </c>
      <c r="M3725" t="s">
        <v>34</v>
      </c>
      <c r="N3725" t="s">
        <v>69</v>
      </c>
      <c r="O3725" t="s">
        <v>36</v>
      </c>
      <c r="P3725" t="s">
        <v>49</v>
      </c>
      <c r="Q3725" t="s">
        <v>189</v>
      </c>
      <c r="R3725">
        <v>275</v>
      </c>
      <c r="S3725">
        <v>119</v>
      </c>
      <c r="T3725">
        <v>83</v>
      </c>
      <c r="U3725">
        <v>18</v>
      </c>
      <c r="V3725" t="s">
        <v>2601</v>
      </c>
      <c r="W3725">
        <v>33479</v>
      </c>
      <c r="X3725" t="s">
        <v>1156</v>
      </c>
      <c r="Y3725">
        <v>29118</v>
      </c>
      <c r="Z3725">
        <v>602622</v>
      </c>
      <c r="AA3725">
        <v>78498</v>
      </c>
      <c r="AB3725" t="str">
        <f>(VLOOKUP(SalesData[[#This Row],[Month Number]],Reference!C$5:E$16,2,FALSE))</f>
        <v>Feb</v>
      </c>
      <c r="AC3725">
        <f>MONTH(SalesData[[#This Row],[Date]])</f>
        <v>2</v>
      </c>
      <c r="AD3725">
        <f>Reference!F$4</f>
        <v>2026</v>
      </c>
      <c r="AE3725" t="str">
        <f>IF(OR(SalesData[[#This Row],[Day]]="Saturday",SalesData[[#This Row],[Day]]="Sunday"),"Weekend","Weekday")</f>
        <v>Weekday</v>
      </c>
      <c r="AF3725" s="5">
        <f>IF(SalesData[[#This Row],[Contracts Offered]]=0,0,SalesData[[#This Row],[Contracts Signed]]/SalesData[[#This Row],[Contracts Offered]])</f>
        <v>0.21686746987951808</v>
      </c>
      <c r="AG3725" s="5">
        <f>IF(SalesData[[#This Row],[Customers Visited]]=0,0,SalesData[[#This Row],[Test Drives]]/SalesData[[#This Row],[Customers Visited]])</f>
        <v>0.43272727272727274</v>
      </c>
      <c r="AH3725" s="5">
        <f>IF(SalesData[[#This Row],[Customers Visited]]=0,0,SalesData[[#This Row],[Contracts Signed]]/SalesData[[#This Row],[Customers Visited]])</f>
        <v>6.545454545454546E-2</v>
      </c>
      <c r="AI3725" s="6">
        <f>IF(SalesData[[#This Row],[Contracts Signed]]=0,0,SalesData[[#This Row],[Profit(€)]]/SalesData[[#This Row],[Contracts Signed]])</f>
        <v>4361</v>
      </c>
      <c r="AJ3725" s="5" t="str">
        <f>TRIM(CLEAN(SalesData[[#This Row],[Retailer]]))</f>
        <v>Rhein Auto Group</v>
      </c>
    </row>
    <row r="3726" spans="1:36" ht="14.25" hidden="1" x14ac:dyDescent="0.2">
      <c r="A3726" t="s">
        <v>4945</v>
      </c>
      <c r="B3726" s="1">
        <v>46064</v>
      </c>
      <c r="C3726" t="s">
        <v>121</v>
      </c>
      <c r="D3726" t="s">
        <v>82</v>
      </c>
      <c r="E3726" t="s">
        <v>26</v>
      </c>
      <c r="F3726" t="s">
        <v>83</v>
      </c>
      <c r="G3726" t="s">
        <v>84</v>
      </c>
      <c r="H3726" t="s">
        <v>85</v>
      </c>
      <c r="I3726" t="s">
        <v>116</v>
      </c>
      <c r="J3726" t="s">
        <v>7026</v>
      </c>
      <c r="K3726" t="s">
        <v>78</v>
      </c>
      <c r="L3726" t="s">
        <v>46</v>
      </c>
      <c r="M3726" t="s">
        <v>87</v>
      </c>
      <c r="N3726" t="s">
        <v>35</v>
      </c>
      <c r="O3726" t="s">
        <v>36</v>
      </c>
      <c r="P3726" t="s">
        <v>71</v>
      </c>
      <c r="Q3726" t="s">
        <v>129</v>
      </c>
      <c r="R3726">
        <v>422</v>
      </c>
      <c r="S3726">
        <v>221</v>
      </c>
      <c r="T3726">
        <v>149</v>
      </c>
      <c r="U3726">
        <v>34</v>
      </c>
      <c r="V3726" t="s">
        <v>1109</v>
      </c>
      <c r="W3726">
        <v>21214</v>
      </c>
      <c r="X3726" t="s">
        <v>565</v>
      </c>
      <c r="Y3726">
        <v>19689</v>
      </c>
      <c r="Z3726">
        <v>721276</v>
      </c>
      <c r="AA3726">
        <v>51850</v>
      </c>
      <c r="AB3726" t="str">
        <f>(VLOOKUP(SalesData[[#This Row],[Month Number]],Reference!C$5:E$16,2,FALSE))</f>
        <v>Feb</v>
      </c>
      <c r="AC3726">
        <f>MONTH(SalesData[[#This Row],[Date]])</f>
        <v>2</v>
      </c>
      <c r="AD3726">
        <f>Reference!F$4</f>
        <v>2026</v>
      </c>
      <c r="AE3726" t="str">
        <f>IF(OR(SalesData[[#This Row],[Day]]="Saturday",SalesData[[#This Row],[Day]]="Sunday"),"Weekend","Weekday")</f>
        <v>Weekday</v>
      </c>
      <c r="AF3726" s="5">
        <f>IF(SalesData[[#This Row],[Contracts Offered]]=0,0,SalesData[[#This Row],[Contracts Signed]]/SalesData[[#This Row],[Contracts Offered]])</f>
        <v>0.22818791946308725</v>
      </c>
      <c r="AG3726" s="5">
        <f>IF(SalesData[[#This Row],[Customers Visited]]=0,0,SalesData[[#This Row],[Test Drives]]/SalesData[[#This Row],[Customers Visited]])</f>
        <v>0.523696682464455</v>
      </c>
      <c r="AH3726" s="5">
        <f>IF(SalesData[[#This Row],[Customers Visited]]=0,0,SalesData[[#This Row],[Contracts Signed]]/SalesData[[#This Row],[Customers Visited]])</f>
        <v>8.0568720379146919E-2</v>
      </c>
      <c r="AI3726" s="6">
        <f>IF(SalesData[[#This Row],[Contracts Signed]]=0,0,SalesData[[#This Row],[Profit(€)]]/SalesData[[#This Row],[Contracts Signed]])</f>
        <v>1525</v>
      </c>
      <c r="AJ3726" s="5" t="str">
        <f>TRIM(CLEAN(SalesData[[#This Row],[Retailer]]))</f>
        <v>Hannover Cars</v>
      </c>
    </row>
    <row r="3727" spans="1:36" ht="14.25" hidden="1" x14ac:dyDescent="0.2">
      <c r="A3727" t="s">
        <v>4946</v>
      </c>
      <c r="B3727" s="1">
        <v>46056</v>
      </c>
      <c r="C3727" t="s">
        <v>24</v>
      </c>
      <c r="D3727" t="s">
        <v>63</v>
      </c>
      <c r="E3727" t="s">
        <v>26</v>
      </c>
      <c r="F3727" t="s">
        <v>83</v>
      </c>
      <c r="G3727" t="s">
        <v>84</v>
      </c>
      <c r="H3727" t="s">
        <v>85</v>
      </c>
      <c r="I3727" t="s">
        <v>56</v>
      </c>
      <c r="J3727" t="s">
        <v>7028</v>
      </c>
      <c r="K3727" t="s">
        <v>78</v>
      </c>
      <c r="L3727" t="s">
        <v>46</v>
      </c>
      <c r="M3727" t="s">
        <v>47</v>
      </c>
      <c r="N3727" t="s">
        <v>48</v>
      </c>
      <c r="O3727" t="s">
        <v>36</v>
      </c>
      <c r="P3727" t="s">
        <v>49</v>
      </c>
      <c r="Q3727" t="s">
        <v>135</v>
      </c>
      <c r="R3727">
        <v>275</v>
      </c>
      <c r="S3727">
        <v>158</v>
      </c>
      <c r="T3727">
        <v>106</v>
      </c>
      <c r="U3727">
        <v>30</v>
      </c>
      <c r="V3727" t="s">
        <v>1040</v>
      </c>
      <c r="W3727">
        <v>47040</v>
      </c>
      <c r="X3727" t="s">
        <v>7435</v>
      </c>
      <c r="Y3727">
        <v>38097</v>
      </c>
      <c r="Z3727">
        <v>1411200</v>
      </c>
      <c r="AA3727">
        <v>268290</v>
      </c>
      <c r="AB3727" t="str">
        <f>(VLOOKUP(SalesData[[#This Row],[Month Number]],Reference!C$5:E$16,2,FALSE))</f>
        <v>Feb</v>
      </c>
      <c r="AC3727">
        <f>MONTH(SalesData[[#This Row],[Date]])</f>
        <v>2</v>
      </c>
      <c r="AD3727">
        <f>Reference!F$4</f>
        <v>2026</v>
      </c>
      <c r="AE3727" t="str">
        <f>IF(OR(SalesData[[#This Row],[Day]]="Saturday",SalesData[[#This Row],[Day]]="Sunday"),"Weekend","Weekday")</f>
        <v>Weekday</v>
      </c>
      <c r="AF3727" s="5">
        <f>IF(SalesData[[#This Row],[Contracts Offered]]=0,0,SalesData[[#This Row],[Contracts Signed]]/SalesData[[#This Row],[Contracts Offered]])</f>
        <v>0.28301886792452829</v>
      </c>
      <c r="AG3727" s="5">
        <f>IF(SalesData[[#This Row],[Customers Visited]]=0,0,SalesData[[#This Row],[Test Drives]]/SalesData[[#This Row],[Customers Visited]])</f>
        <v>0.57454545454545458</v>
      </c>
      <c r="AH3727" s="5">
        <f>IF(SalesData[[#This Row],[Customers Visited]]=0,0,SalesData[[#This Row],[Contracts Signed]]/SalesData[[#This Row],[Customers Visited]])</f>
        <v>0.10909090909090909</v>
      </c>
      <c r="AI3727" s="6">
        <f>IF(SalesData[[#This Row],[Contracts Signed]]=0,0,SalesData[[#This Row],[Profit(€)]]/SalesData[[#This Row],[Contracts Signed]])</f>
        <v>8943</v>
      </c>
      <c r="AJ3727" s="5" t="str">
        <f>TRIM(CLEAN(SalesData[[#This Row],[Retailer]]))</f>
        <v>Hannover Cars</v>
      </c>
    </row>
    <row r="3728" spans="1:36" ht="14.25" x14ac:dyDescent="0.2">
      <c r="A3728" t="s">
        <v>4947</v>
      </c>
      <c r="B3728" s="1">
        <v>46063</v>
      </c>
      <c r="C3728" t="s">
        <v>121</v>
      </c>
      <c r="D3728" t="s">
        <v>63</v>
      </c>
      <c r="E3728" t="s">
        <v>26</v>
      </c>
      <c r="F3728" t="s">
        <v>27</v>
      </c>
      <c r="G3728" t="s">
        <v>28</v>
      </c>
      <c r="H3728" t="s">
        <v>29</v>
      </c>
      <c r="I3728" t="s">
        <v>30</v>
      </c>
      <c r="J3728" t="s">
        <v>7075</v>
      </c>
      <c r="K3728" t="s">
        <v>78</v>
      </c>
      <c r="L3728" t="s">
        <v>33</v>
      </c>
      <c r="M3728" t="s">
        <v>34</v>
      </c>
      <c r="N3728" t="s">
        <v>48</v>
      </c>
      <c r="O3728" t="s">
        <v>36</v>
      </c>
      <c r="P3728" t="s">
        <v>71</v>
      </c>
      <c r="Q3728" t="s">
        <v>347</v>
      </c>
      <c r="R3728">
        <v>243</v>
      </c>
      <c r="S3728">
        <v>146</v>
      </c>
      <c r="T3728">
        <v>112</v>
      </c>
      <c r="U3728">
        <v>44</v>
      </c>
      <c r="V3728" t="s">
        <v>7558</v>
      </c>
      <c r="W3728">
        <v>62461</v>
      </c>
      <c r="X3728" t="s">
        <v>3593</v>
      </c>
      <c r="Y3728">
        <v>45404</v>
      </c>
      <c r="Z3728">
        <v>2748284</v>
      </c>
      <c r="AA3728">
        <v>750508</v>
      </c>
      <c r="AB3728" t="str">
        <f>(VLOOKUP(SalesData[[#This Row],[Month Number]],Reference!C$5:E$16,2,FALSE))</f>
        <v>Feb</v>
      </c>
      <c r="AC3728">
        <f>MONTH(SalesData[[#This Row],[Date]])</f>
        <v>2</v>
      </c>
      <c r="AD3728">
        <f>Reference!F$4</f>
        <v>2026</v>
      </c>
      <c r="AE3728" t="str">
        <f>IF(OR(SalesData[[#This Row],[Day]]="Saturday",SalesData[[#This Row],[Day]]="Sunday"),"Weekend","Weekday")</f>
        <v>Weekday</v>
      </c>
      <c r="AF3728" s="5">
        <f>IF(SalesData[[#This Row],[Contracts Offered]]=0,0,SalesData[[#This Row],[Contracts Signed]]/SalesData[[#This Row],[Contracts Offered]])</f>
        <v>0.39285714285714285</v>
      </c>
      <c r="AG3728" s="5">
        <f>IF(SalesData[[#This Row],[Customers Visited]]=0,0,SalesData[[#This Row],[Test Drives]]/SalesData[[#This Row],[Customers Visited]])</f>
        <v>0.60082304526748975</v>
      </c>
      <c r="AH3728" s="5">
        <f>IF(SalesData[[#This Row],[Customers Visited]]=0,0,SalesData[[#This Row],[Contracts Signed]]/SalesData[[#This Row],[Customers Visited]])</f>
        <v>0.18106995884773663</v>
      </c>
      <c r="AI3728" s="6">
        <f>IF(SalesData[[#This Row],[Contracts Signed]]=0,0,SalesData[[#This Row],[Profit(€)]]/SalesData[[#This Row],[Contracts Signed]])</f>
        <v>17057</v>
      </c>
      <c r="AJ3728" s="5" t="str">
        <f>TRIM(CLEAN(SalesData[[#This Row],[Retailer]]))</f>
        <v>Main Auto Hub</v>
      </c>
    </row>
    <row r="3729" spans="1:36" ht="14.25" hidden="1" x14ac:dyDescent="0.2">
      <c r="A3729" t="s">
        <v>4949</v>
      </c>
      <c r="B3729" s="1">
        <v>46076</v>
      </c>
      <c r="C3729" t="s">
        <v>53</v>
      </c>
      <c r="D3729" t="s">
        <v>25</v>
      </c>
      <c r="E3729" t="s">
        <v>26</v>
      </c>
      <c r="F3729" t="s">
        <v>43</v>
      </c>
      <c r="G3729" t="s">
        <v>44</v>
      </c>
      <c r="H3729" t="s">
        <v>45</v>
      </c>
      <c r="I3729" t="s">
        <v>116</v>
      </c>
      <c r="J3729" t="s">
        <v>7026</v>
      </c>
      <c r="K3729" t="s">
        <v>32</v>
      </c>
      <c r="L3729" t="s">
        <v>46</v>
      </c>
      <c r="M3729" t="s">
        <v>87</v>
      </c>
      <c r="N3729" t="s">
        <v>69</v>
      </c>
      <c r="O3729" t="s">
        <v>70</v>
      </c>
      <c r="P3729" t="s">
        <v>49</v>
      </c>
      <c r="Q3729" t="s">
        <v>118</v>
      </c>
      <c r="R3729">
        <v>413</v>
      </c>
      <c r="S3729">
        <v>185</v>
      </c>
      <c r="T3729">
        <v>128</v>
      </c>
      <c r="U3729">
        <v>27</v>
      </c>
      <c r="V3729" t="s">
        <v>4370</v>
      </c>
      <c r="W3729">
        <v>20924</v>
      </c>
      <c r="X3729" t="s">
        <v>5113</v>
      </c>
      <c r="Y3729">
        <v>19086</v>
      </c>
      <c r="Z3729">
        <v>564948</v>
      </c>
      <c r="AA3729">
        <v>49626</v>
      </c>
      <c r="AB3729" t="str">
        <f>(VLOOKUP(SalesData[[#This Row],[Month Number]],Reference!C$5:E$16,2,FALSE))</f>
        <v>Feb</v>
      </c>
      <c r="AC3729">
        <f>MONTH(SalesData[[#This Row],[Date]])</f>
        <v>2</v>
      </c>
      <c r="AD3729">
        <f>Reference!F$4</f>
        <v>2026</v>
      </c>
      <c r="AE3729" t="str">
        <f>IF(OR(SalesData[[#This Row],[Day]]="Saturday",SalesData[[#This Row],[Day]]="Sunday"),"Weekend","Weekday")</f>
        <v>Weekday</v>
      </c>
      <c r="AF3729" s="5">
        <f>IF(SalesData[[#This Row],[Contracts Offered]]=0,0,SalesData[[#This Row],[Contracts Signed]]/SalesData[[#This Row],[Contracts Offered]])</f>
        <v>0.2109375</v>
      </c>
      <c r="AG3729" s="5">
        <f>IF(SalesData[[#This Row],[Customers Visited]]=0,0,SalesData[[#This Row],[Test Drives]]/SalesData[[#This Row],[Customers Visited]])</f>
        <v>0.44794188861985473</v>
      </c>
      <c r="AH3729" s="5">
        <f>IF(SalesData[[#This Row],[Customers Visited]]=0,0,SalesData[[#This Row],[Contracts Signed]]/SalesData[[#This Row],[Customers Visited]])</f>
        <v>6.5375302663438259E-2</v>
      </c>
      <c r="AI3729" s="6">
        <f>IF(SalesData[[#This Row],[Contracts Signed]]=0,0,SalesData[[#This Row],[Profit(€)]]/SalesData[[#This Row],[Contracts Signed]])</f>
        <v>1838</v>
      </c>
      <c r="AJ3729" s="5" t="str">
        <f>TRIM(CLEAN(SalesData[[#This Row],[Retailer]]))</f>
        <v>Saxon Wheels</v>
      </c>
    </row>
    <row r="3730" spans="1:36" ht="14.25" x14ac:dyDescent="0.2">
      <c r="A3730" t="s">
        <v>4950</v>
      </c>
      <c r="B3730" s="1">
        <v>46072</v>
      </c>
      <c r="C3730" t="s">
        <v>62</v>
      </c>
      <c r="D3730" t="s">
        <v>100</v>
      </c>
      <c r="E3730" t="s">
        <v>26</v>
      </c>
      <c r="F3730" t="s">
        <v>114</v>
      </c>
      <c r="G3730" t="s">
        <v>115</v>
      </c>
      <c r="H3730" t="s">
        <v>115</v>
      </c>
      <c r="I3730" t="s">
        <v>30</v>
      </c>
      <c r="J3730" t="s">
        <v>166</v>
      </c>
      <c r="K3730" t="s">
        <v>32</v>
      </c>
      <c r="L3730" t="s">
        <v>46</v>
      </c>
      <c r="M3730" t="s">
        <v>47</v>
      </c>
      <c r="N3730" t="s">
        <v>48</v>
      </c>
      <c r="O3730" t="s">
        <v>36</v>
      </c>
      <c r="P3730" t="s">
        <v>71</v>
      </c>
      <c r="Q3730" t="s">
        <v>240</v>
      </c>
      <c r="R3730">
        <v>276</v>
      </c>
      <c r="S3730">
        <v>141</v>
      </c>
      <c r="T3730">
        <v>97</v>
      </c>
      <c r="U3730">
        <v>40</v>
      </c>
      <c r="V3730" t="s">
        <v>6679</v>
      </c>
      <c r="W3730">
        <v>61242</v>
      </c>
      <c r="X3730" t="s">
        <v>3045</v>
      </c>
      <c r="Y3730">
        <v>45736</v>
      </c>
      <c r="Z3730">
        <v>2449680</v>
      </c>
      <c r="AA3730">
        <v>620240</v>
      </c>
      <c r="AB3730" t="str">
        <f>(VLOOKUP(SalesData[[#This Row],[Month Number]],Reference!C$5:E$16,2,FALSE))</f>
        <v>Feb</v>
      </c>
      <c r="AC3730">
        <f>MONTH(SalesData[[#This Row],[Date]])</f>
        <v>2</v>
      </c>
      <c r="AD3730">
        <f>Reference!F$4</f>
        <v>2026</v>
      </c>
      <c r="AE3730" t="str">
        <f>IF(OR(SalesData[[#This Row],[Day]]="Saturday",SalesData[[#This Row],[Day]]="Sunday"),"Weekend","Weekday")</f>
        <v>Weekday</v>
      </c>
      <c r="AF3730" s="5">
        <f>IF(SalesData[[#This Row],[Contracts Offered]]=0,0,SalesData[[#This Row],[Contracts Signed]]/SalesData[[#This Row],[Contracts Offered]])</f>
        <v>0.41237113402061853</v>
      </c>
      <c r="AG3730" s="5">
        <f>IF(SalesData[[#This Row],[Customers Visited]]=0,0,SalesData[[#This Row],[Test Drives]]/SalesData[[#This Row],[Customers Visited]])</f>
        <v>0.51086956521739135</v>
      </c>
      <c r="AH3730" s="5">
        <f>IF(SalesData[[#This Row],[Customers Visited]]=0,0,SalesData[[#This Row],[Contracts Signed]]/SalesData[[#This Row],[Customers Visited]])</f>
        <v>0.14492753623188406</v>
      </c>
      <c r="AI3730" s="6">
        <f>IF(SalesData[[#This Row],[Contracts Signed]]=0,0,SalesData[[#This Row],[Profit(€)]]/SalesData[[#This Row],[Contracts Signed]])</f>
        <v>15506</v>
      </c>
      <c r="AJ3730" s="5" t="str">
        <f>TRIM(CLEAN(SalesData[[#This Row],[Retailer]]))</f>
        <v>Elbe Drive</v>
      </c>
    </row>
    <row r="3731" spans="1:36" ht="14.25" hidden="1" x14ac:dyDescent="0.2">
      <c r="A3731" t="s">
        <v>4951</v>
      </c>
      <c r="B3731" s="1">
        <v>46078</v>
      </c>
      <c r="C3731" t="s">
        <v>53</v>
      </c>
      <c r="D3731" t="s">
        <v>82</v>
      </c>
      <c r="E3731" t="s">
        <v>26</v>
      </c>
      <c r="F3731" t="s">
        <v>114</v>
      </c>
      <c r="G3731" t="s">
        <v>115</v>
      </c>
      <c r="H3731" t="s">
        <v>115</v>
      </c>
      <c r="I3731" t="s">
        <v>56</v>
      </c>
      <c r="J3731" t="s">
        <v>57</v>
      </c>
      <c r="K3731" t="s">
        <v>91</v>
      </c>
      <c r="L3731" t="s">
        <v>46</v>
      </c>
      <c r="M3731" t="s">
        <v>47</v>
      </c>
      <c r="N3731" t="s">
        <v>35</v>
      </c>
      <c r="O3731" t="s">
        <v>70</v>
      </c>
      <c r="P3731" t="s">
        <v>58</v>
      </c>
      <c r="Q3731" t="s">
        <v>88</v>
      </c>
      <c r="R3731">
        <v>302</v>
      </c>
      <c r="S3731">
        <v>141</v>
      </c>
      <c r="T3731">
        <v>106</v>
      </c>
      <c r="U3731">
        <v>37</v>
      </c>
      <c r="V3731" t="s">
        <v>6901</v>
      </c>
      <c r="W3731">
        <v>51094</v>
      </c>
      <c r="X3731" t="s">
        <v>1520</v>
      </c>
      <c r="Y3731">
        <v>39355</v>
      </c>
      <c r="Z3731">
        <v>1890478</v>
      </c>
      <c r="AA3731">
        <v>434343</v>
      </c>
      <c r="AB3731" t="str">
        <f>(VLOOKUP(SalesData[[#This Row],[Month Number]],Reference!C$5:E$16,2,FALSE))</f>
        <v>Feb</v>
      </c>
      <c r="AC3731">
        <f>MONTH(SalesData[[#This Row],[Date]])</f>
        <v>2</v>
      </c>
      <c r="AD3731">
        <f>Reference!F$4</f>
        <v>2026</v>
      </c>
      <c r="AE3731" t="str">
        <f>IF(OR(SalesData[[#This Row],[Day]]="Saturday",SalesData[[#This Row],[Day]]="Sunday"),"Weekend","Weekday")</f>
        <v>Weekday</v>
      </c>
      <c r="AF3731" s="5">
        <f>IF(SalesData[[#This Row],[Contracts Offered]]=0,0,SalesData[[#This Row],[Contracts Signed]]/SalesData[[#This Row],[Contracts Offered]])</f>
        <v>0.34905660377358488</v>
      </c>
      <c r="AG3731" s="5">
        <f>IF(SalesData[[#This Row],[Customers Visited]]=0,0,SalesData[[#This Row],[Test Drives]]/SalesData[[#This Row],[Customers Visited]])</f>
        <v>0.46688741721854304</v>
      </c>
      <c r="AH3731" s="5">
        <f>IF(SalesData[[#This Row],[Customers Visited]]=0,0,SalesData[[#This Row],[Contracts Signed]]/SalesData[[#This Row],[Customers Visited]])</f>
        <v>0.12251655629139073</v>
      </c>
      <c r="AI3731" s="6">
        <f>IF(SalesData[[#This Row],[Contracts Signed]]=0,0,SalesData[[#This Row],[Profit(€)]]/SalesData[[#This Row],[Contracts Signed]])</f>
        <v>11739</v>
      </c>
      <c r="AJ3731" s="5" t="str">
        <f>TRIM(CLEAN(SalesData[[#This Row],[Retailer]]))</f>
        <v>Elbe Drive</v>
      </c>
    </row>
    <row r="3732" spans="1:36" ht="14.25" x14ac:dyDescent="0.2">
      <c r="A3732" t="s">
        <v>4952</v>
      </c>
      <c r="B3732" s="1">
        <v>46057</v>
      </c>
      <c r="C3732" t="s">
        <v>24</v>
      </c>
      <c r="D3732" t="s">
        <v>82</v>
      </c>
      <c r="E3732" t="s">
        <v>26</v>
      </c>
      <c r="F3732" t="s">
        <v>109</v>
      </c>
      <c r="G3732" t="s">
        <v>110</v>
      </c>
      <c r="H3732" t="s">
        <v>45</v>
      </c>
      <c r="I3732" t="s">
        <v>30</v>
      </c>
      <c r="J3732" t="s">
        <v>188</v>
      </c>
      <c r="K3732" t="s">
        <v>66</v>
      </c>
      <c r="L3732" t="s">
        <v>33</v>
      </c>
      <c r="M3732" t="s">
        <v>34</v>
      </c>
      <c r="N3732" t="s">
        <v>48</v>
      </c>
      <c r="O3732" t="s">
        <v>70</v>
      </c>
      <c r="P3732" t="s">
        <v>58</v>
      </c>
      <c r="Q3732" t="s">
        <v>158</v>
      </c>
      <c r="R3732">
        <v>202</v>
      </c>
      <c r="S3732">
        <v>106</v>
      </c>
      <c r="T3732">
        <v>80</v>
      </c>
      <c r="U3732">
        <v>30</v>
      </c>
      <c r="V3732" t="s">
        <v>6760</v>
      </c>
      <c r="W3732">
        <v>57902</v>
      </c>
      <c r="X3732" t="s">
        <v>7294</v>
      </c>
      <c r="Y3732">
        <v>41811</v>
      </c>
      <c r="Z3732">
        <v>1737060</v>
      </c>
      <c r="AA3732">
        <v>482730</v>
      </c>
      <c r="AB3732" t="str">
        <f>(VLOOKUP(SalesData[[#This Row],[Month Number]],Reference!C$5:E$16,2,FALSE))</f>
        <v>Feb</v>
      </c>
      <c r="AC3732">
        <f>MONTH(SalesData[[#This Row],[Date]])</f>
        <v>2</v>
      </c>
      <c r="AD3732">
        <f>Reference!F$4</f>
        <v>2026</v>
      </c>
      <c r="AE3732" t="str">
        <f>IF(OR(SalesData[[#This Row],[Day]]="Saturday",SalesData[[#This Row],[Day]]="Sunday"),"Weekend","Weekday")</f>
        <v>Weekday</v>
      </c>
      <c r="AF3732" s="5">
        <f>IF(SalesData[[#This Row],[Contracts Offered]]=0,0,SalesData[[#This Row],[Contracts Signed]]/SalesData[[#This Row],[Contracts Offered]])</f>
        <v>0.375</v>
      </c>
      <c r="AG3732" s="5">
        <f>IF(SalesData[[#This Row],[Customers Visited]]=0,0,SalesData[[#This Row],[Test Drives]]/SalesData[[#This Row],[Customers Visited]])</f>
        <v>0.52475247524752477</v>
      </c>
      <c r="AH3732" s="5">
        <f>IF(SalesData[[#This Row],[Customers Visited]]=0,0,SalesData[[#This Row],[Contracts Signed]]/SalesData[[#This Row],[Customers Visited]])</f>
        <v>0.14851485148514851</v>
      </c>
      <c r="AI3732" s="6">
        <f>IF(SalesData[[#This Row],[Contracts Signed]]=0,0,SalesData[[#This Row],[Profit(€)]]/SalesData[[#This Row],[Contracts Signed]])</f>
        <v>16091</v>
      </c>
      <c r="AJ3732" s="5" t="str">
        <f>TRIM(CLEAN(SalesData[[#This Row],[Retailer]]))</f>
        <v>Leipzig Mobility</v>
      </c>
    </row>
    <row r="3733" spans="1:36" ht="14.25" hidden="1" x14ac:dyDescent="0.2">
      <c r="A3733" t="s">
        <v>4953</v>
      </c>
      <c r="B3733" s="1">
        <v>46055</v>
      </c>
      <c r="C3733" t="s">
        <v>24</v>
      </c>
      <c r="D3733" t="s">
        <v>25</v>
      </c>
      <c r="E3733" t="s">
        <v>26</v>
      </c>
      <c r="F3733" t="s">
        <v>7649</v>
      </c>
      <c r="G3733" t="s">
        <v>55</v>
      </c>
      <c r="H3733" t="s">
        <v>55</v>
      </c>
      <c r="I3733" t="s">
        <v>116</v>
      </c>
      <c r="J3733" t="s">
        <v>132</v>
      </c>
      <c r="K3733" t="s">
        <v>91</v>
      </c>
      <c r="L3733" t="s">
        <v>46</v>
      </c>
      <c r="M3733" t="s">
        <v>68</v>
      </c>
      <c r="N3733" t="s">
        <v>35</v>
      </c>
      <c r="O3733" t="s">
        <v>36</v>
      </c>
      <c r="P3733" t="s">
        <v>49</v>
      </c>
      <c r="Q3733" t="s">
        <v>38</v>
      </c>
      <c r="R3733">
        <v>345</v>
      </c>
      <c r="S3733">
        <v>136</v>
      </c>
      <c r="T3733">
        <v>78</v>
      </c>
      <c r="U3733">
        <v>25</v>
      </c>
      <c r="V3733" t="s">
        <v>2168</v>
      </c>
      <c r="W3733">
        <v>23918</v>
      </c>
      <c r="X3733" t="s">
        <v>4167</v>
      </c>
      <c r="Y3733">
        <v>21966</v>
      </c>
      <c r="Z3733">
        <v>597950</v>
      </c>
      <c r="AA3733">
        <v>48800</v>
      </c>
      <c r="AB3733" t="str">
        <f>(VLOOKUP(SalesData[[#This Row],[Month Number]],Reference!C$5:E$16,2,FALSE))</f>
        <v>Feb</v>
      </c>
      <c r="AC3733">
        <f>MONTH(SalesData[[#This Row],[Date]])</f>
        <v>2</v>
      </c>
      <c r="AD3733">
        <f>Reference!F$4</f>
        <v>2026</v>
      </c>
      <c r="AE3733" t="str">
        <f>IF(OR(SalesData[[#This Row],[Day]]="Saturday",SalesData[[#This Row],[Day]]="Sunday"),"Weekend","Weekday")</f>
        <v>Weekday</v>
      </c>
      <c r="AF3733" s="5">
        <f>IF(SalesData[[#This Row],[Contracts Offered]]=0,0,SalesData[[#This Row],[Contracts Signed]]/SalesData[[#This Row],[Contracts Offered]])</f>
        <v>0.32051282051282054</v>
      </c>
      <c r="AG3733" s="5">
        <f>IF(SalesData[[#This Row],[Customers Visited]]=0,0,SalesData[[#This Row],[Test Drives]]/SalesData[[#This Row],[Customers Visited]])</f>
        <v>0.39420289855072466</v>
      </c>
      <c r="AH3733" s="5">
        <f>IF(SalesData[[#This Row],[Customers Visited]]=0,0,SalesData[[#This Row],[Contracts Signed]]/SalesData[[#This Row],[Customers Visited]])</f>
        <v>7.2463768115942032E-2</v>
      </c>
      <c r="AI3733" s="6">
        <f>IF(SalesData[[#This Row],[Contracts Signed]]=0,0,SalesData[[#This Row],[Profit(€)]]/SalesData[[#This Row],[Contracts Signed]])</f>
        <v>1952</v>
      </c>
      <c r="AJ3733" s="5" t="str">
        <f>TRIM(CLEAN(SalesData[[#This Row],[Retailer]]))</f>
        <v>Autohaus Berlin</v>
      </c>
    </row>
    <row r="3734" spans="1:36" ht="14.25" hidden="1" x14ac:dyDescent="0.2">
      <c r="A3734" t="s">
        <v>4954</v>
      </c>
      <c r="B3734" s="1">
        <v>46070</v>
      </c>
      <c r="C3734" t="s">
        <v>62</v>
      </c>
      <c r="D3734" t="s">
        <v>63</v>
      </c>
      <c r="E3734" t="s">
        <v>26</v>
      </c>
      <c r="F3734" t="s">
        <v>127</v>
      </c>
      <c r="G3734" t="s">
        <v>128</v>
      </c>
      <c r="H3734" t="s">
        <v>103</v>
      </c>
      <c r="I3734" t="s">
        <v>56</v>
      </c>
      <c r="J3734" t="s">
        <v>57</v>
      </c>
      <c r="K3734" t="s">
        <v>66</v>
      </c>
      <c r="L3734" t="s">
        <v>46</v>
      </c>
      <c r="M3734" t="s">
        <v>47</v>
      </c>
      <c r="N3734" t="s">
        <v>69</v>
      </c>
      <c r="O3734" t="s">
        <v>36</v>
      </c>
      <c r="P3734" t="s">
        <v>58</v>
      </c>
      <c r="Q3734" t="s">
        <v>169</v>
      </c>
      <c r="R3734">
        <v>171</v>
      </c>
      <c r="S3734">
        <v>103</v>
      </c>
      <c r="T3734">
        <v>78</v>
      </c>
      <c r="U3734">
        <v>29</v>
      </c>
      <c r="V3734" t="s">
        <v>6723</v>
      </c>
      <c r="W3734">
        <v>49577</v>
      </c>
      <c r="X3734" t="s">
        <v>7398</v>
      </c>
      <c r="Y3734">
        <v>38070</v>
      </c>
      <c r="Z3734">
        <v>1437733</v>
      </c>
      <c r="AA3734">
        <v>333703</v>
      </c>
      <c r="AB3734" t="str">
        <f>(VLOOKUP(SalesData[[#This Row],[Month Number]],Reference!C$5:E$16,2,FALSE))</f>
        <v>Feb</v>
      </c>
      <c r="AC3734">
        <f>MONTH(SalesData[[#This Row],[Date]])</f>
        <v>2</v>
      </c>
      <c r="AD3734">
        <f>Reference!F$4</f>
        <v>2026</v>
      </c>
      <c r="AE3734" t="str">
        <f>IF(OR(SalesData[[#This Row],[Day]]="Saturday",SalesData[[#This Row],[Day]]="Sunday"),"Weekend","Weekday")</f>
        <v>Weekday</v>
      </c>
      <c r="AF3734" s="5">
        <f>IF(SalesData[[#This Row],[Contracts Offered]]=0,0,SalesData[[#This Row],[Contracts Signed]]/SalesData[[#This Row],[Contracts Offered]])</f>
        <v>0.37179487179487181</v>
      </c>
      <c r="AG3734" s="5">
        <f>IF(SalesData[[#This Row],[Customers Visited]]=0,0,SalesData[[#This Row],[Test Drives]]/SalesData[[#This Row],[Customers Visited]])</f>
        <v>0.60233918128654973</v>
      </c>
      <c r="AH3734" s="5">
        <f>IF(SalesData[[#This Row],[Customers Visited]]=0,0,SalesData[[#This Row],[Contracts Signed]]/SalesData[[#This Row],[Customers Visited]])</f>
        <v>0.16959064327485379</v>
      </c>
      <c r="AI3734" s="6">
        <f>IF(SalesData[[#This Row],[Contracts Signed]]=0,0,SalesData[[#This Row],[Profit(€)]]/SalesData[[#This Row],[Contracts Signed]])</f>
        <v>11507</v>
      </c>
      <c r="AJ3734" s="5" t="str">
        <f>TRIM(CLEAN(SalesData[[#This Row],[Retailer]]))</f>
        <v>Rhein Auto Group</v>
      </c>
    </row>
    <row r="3735" spans="1:36" ht="14.25" hidden="1" x14ac:dyDescent="0.2">
      <c r="A3735" t="s">
        <v>4955</v>
      </c>
      <c r="B3735" s="1">
        <v>46073</v>
      </c>
      <c r="C3735" t="s">
        <v>62</v>
      </c>
      <c r="D3735" t="s">
        <v>54</v>
      </c>
      <c r="E3735" t="s">
        <v>26</v>
      </c>
      <c r="F3735" t="s">
        <v>127</v>
      </c>
      <c r="G3735" t="s">
        <v>128</v>
      </c>
      <c r="H3735" t="s">
        <v>103</v>
      </c>
      <c r="I3735" t="s">
        <v>64</v>
      </c>
      <c r="J3735" t="s">
        <v>77</v>
      </c>
      <c r="K3735" t="s">
        <v>32</v>
      </c>
      <c r="L3735" t="s">
        <v>46</v>
      </c>
      <c r="M3735" t="s">
        <v>87</v>
      </c>
      <c r="N3735" t="s">
        <v>69</v>
      </c>
      <c r="O3735" t="s">
        <v>36</v>
      </c>
      <c r="P3735" t="s">
        <v>37</v>
      </c>
      <c r="Q3735" t="s">
        <v>189</v>
      </c>
      <c r="R3735">
        <v>288</v>
      </c>
      <c r="S3735">
        <v>135</v>
      </c>
      <c r="T3735">
        <v>96</v>
      </c>
      <c r="U3735">
        <v>33</v>
      </c>
      <c r="V3735" t="s">
        <v>6705</v>
      </c>
      <c r="W3735">
        <v>61131</v>
      </c>
      <c r="X3735" t="s">
        <v>7190</v>
      </c>
      <c r="Y3735">
        <v>46929</v>
      </c>
      <c r="Z3735">
        <v>2017323</v>
      </c>
      <c r="AA3735">
        <v>468666</v>
      </c>
      <c r="AB3735" t="str">
        <f>(VLOOKUP(SalesData[[#This Row],[Month Number]],Reference!C$5:E$16,2,FALSE))</f>
        <v>Feb</v>
      </c>
      <c r="AC3735">
        <f>MONTH(SalesData[[#This Row],[Date]])</f>
        <v>2</v>
      </c>
      <c r="AD3735">
        <f>Reference!F$4</f>
        <v>2026</v>
      </c>
      <c r="AE3735" t="str">
        <f>IF(OR(SalesData[[#This Row],[Day]]="Saturday",SalesData[[#This Row],[Day]]="Sunday"),"Weekend","Weekday")</f>
        <v>Weekday</v>
      </c>
      <c r="AF3735" s="5">
        <f>IF(SalesData[[#This Row],[Contracts Offered]]=0,0,SalesData[[#This Row],[Contracts Signed]]/SalesData[[#This Row],[Contracts Offered]])</f>
        <v>0.34375</v>
      </c>
      <c r="AG3735" s="5">
        <f>IF(SalesData[[#This Row],[Customers Visited]]=0,0,SalesData[[#This Row],[Test Drives]]/SalesData[[#This Row],[Customers Visited]])</f>
        <v>0.46875</v>
      </c>
      <c r="AH3735" s="5">
        <f>IF(SalesData[[#This Row],[Customers Visited]]=0,0,SalesData[[#This Row],[Contracts Signed]]/SalesData[[#This Row],[Customers Visited]])</f>
        <v>0.11458333333333333</v>
      </c>
      <c r="AI3735" s="6">
        <f>IF(SalesData[[#This Row],[Contracts Signed]]=0,0,SalesData[[#This Row],[Profit(€)]]/SalesData[[#This Row],[Contracts Signed]])</f>
        <v>14202</v>
      </c>
      <c r="AJ3735" s="5" t="str">
        <f>TRIM(CLEAN(SalesData[[#This Row],[Retailer]]))</f>
        <v>Rhein Auto Group</v>
      </c>
    </row>
    <row r="3736" spans="1:36" ht="14.25" hidden="1" x14ac:dyDescent="0.2">
      <c r="A3736" t="s">
        <v>4956</v>
      </c>
      <c r="B3736" s="1">
        <v>46072</v>
      </c>
      <c r="C3736" t="s">
        <v>62</v>
      </c>
      <c r="D3736" t="s">
        <v>100</v>
      </c>
      <c r="E3736" t="s">
        <v>26</v>
      </c>
      <c r="F3736" t="s">
        <v>74</v>
      </c>
      <c r="G3736" t="s">
        <v>75</v>
      </c>
      <c r="H3736" t="s">
        <v>76</v>
      </c>
      <c r="I3736" t="s">
        <v>116</v>
      </c>
      <c r="J3736" t="s">
        <v>203</v>
      </c>
      <c r="K3736" t="s">
        <v>91</v>
      </c>
      <c r="L3736" t="s">
        <v>67</v>
      </c>
      <c r="M3736" t="s">
        <v>87</v>
      </c>
      <c r="N3736" t="s">
        <v>48</v>
      </c>
      <c r="O3736" t="s">
        <v>36</v>
      </c>
      <c r="P3736" t="s">
        <v>71</v>
      </c>
      <c r="Q3736" t="s">
        <v>129</v>
      </c>
      <c r="R3736">
        <v>384</v>
      </c>
      <c r="S3736">
        <v>173</v>
      </c>
      <c r="T3736">
        <v>97</v>
      </c>
      <c r="U3736">
        <v>34</v>
      </c>
      <c r="V3736" t="s">
        <v>6883</v>
      </c>
      <c r="W3736">
        <v>19697</v>
      </c>
      <c r="X3736" t="s">
        <v>4265</v>
      </c>
      <c r="Y3736">
        <v>17810</v>
      </c>
      <c r="Z3736">
        <v>669698</v>
      </c>
      <c r="AA3736">
        <v>64158</v>
      </c>
      <c r="AB3736" t="str">
        <f>(VLOOKUP(SalesData[[#This Row],[Month Number]],Reference!C$5:E$16,2,FALSE))</f>
        <v>Feb</v>
      </c>
      <c r="AC3736">
        <f>MONTH(SalesData[[#This Row],[Date]])</f>
        <v>2</v>
      </c>
      <c r="AD3736">
        <f>Reference!F$4</f>
        <v>2026</v>
      </c>
      <c r="AE3736" t="str">
        <f>IF(OR(SalesData[[#This Row],[Day]]="Saturday",SalesData[[#This Row],[Day]]="Sunday"),"Weekend","Weekday")</f>
        <v>Weekday</v>
      </c>
      <c r="AF3736" s="5">
        <f>IF(SalesData[[#This Row],[Contracts Offered]]=0,0,SalesData[[#This Row],[Contracts Signed]]/SalesData[[#This Row],[Contracts Offered]])</f>
        <v>0.35051546391752575</v>
      </c>
      <c r="AG3736" s="5">
        <f>IF(SalesData[[#This Row],[Customers Visited]]=0,0,SalesData[[#This Row],[Test Drives]]/SalesData[[#This Row],[Customers Visited]])</f>
        <v>0.45052083333333331</v>
      </c>
      <c r="AH3736" s="5">
        <f>IF(SalesData[[#This Row],[Customers Visited]]=0,0,SalesData[[#This Row],[Contracts Signed]]/SalesData[[#This Row],[Customers Visited]])</f>
        <v>8.8541666666666671E-2</v>
      </c>
      <c r="AI3736" s="6">
        <f>IF(SalesData[[#This Row],[Contracts Signed]]=0,0,SalesData[[#This Row],[Profit(€)]]/SalesData[[#This Row],[Contracts Signed]])</f>
        <v>1887</v>
      </c>
      <c r="AJ3736" s="5" t="str">
        <f>TRIM(CLEAN(SalesData[[#This Row],[Retailer]]))</f>
        <v>Stuttgart Auto Center</v>
      </c>
    </row>
    <row r="3737" spans="1:36" ht="14.25" hidden="1" x14ac:dyDescent="0.2">
      <c r="A3737" t="s">
        <v>4958</v>
      </c>
      <c r="B3737" s="1">
        <v>46070</v>
      </c>
      <c r="C3737" t="s">
        <v>62</v>
      </c>
      <c r="D3737" t="s">
        <v>63</v>
      </c>
      <c r="E3737" t="s">
        <v>26</v>
      </c>
      <c r="F3737" t="s">
        <v>74</v>
      </c>
      <c r="G3737" t="s">
        <v>75</v>
      </c>
      <c r="H3737" t="s">
        <v>76</v>
      </c>
      <c r="I3737" t="s">
        <v>104</v>
      </c>
      <c r="J3737" t="s">
        <v>7031</v>
      </c>
      <c r="K3737" t="s">
        <v>91</v>
      </c>
      <c r="L3737" t="s">
        <v>46</v>
      </c>
      <c r="M3737" t="s">
        <v>68</v>
      </c>
      <c r="N3737" t="s">
        <v>35</v>
      </c>
      <c r="O3737" t="s">
        <v>70</v>
      </c>
      <c r="P3737" t="s">
        <v>37</v>
      </c>
      <c r="Q3737" t="s">
        <v>204</v>
      </c>
      <c r="R3737">
        <v>420</v>
      </c>
      <c r="S3737">
        <v>206</v>
      </c>
      <c r="T3737">
        <v>144</v>
      </c>
      <c r="U3737">
        <v>34</v>
      </c>
      <c r="V3737" t="s">
        <v>2126</v>
      </c>
      <c r="W3737">
        <v>28638</v>
      </c>
      <c r="X3737" t="s">
        <v>1701</v>
      </c>
      <c r="Y3737">
        <v>25618</v>
      </c>
      <c r="Z3737">
        <v>973692</v>
      </c>
      <c r="AA3737">
        <v>102680</v>
      </c>
      <c r="AB3737" t="str">
        <f>(VLOOKUP(SalesData[[#This Row],[Month Number]],Reference!C$5:E$16,2,FALSE))</f>
        <v>Feb</v>
      </c>
      <c r="AC3737">
        <f>MONTH(SalesData[[#This Row],[Date]])</f>
        <v>2</v>
      </c>
      <c r="AD3737">
        <f>Reference!F$4</f>
        <v>2026</v>
      </c>
      <c r="AE3737" t="str">
        <f>IF(OR(SalesData[[#This Row],[Day]]="Saturday",SalesData[[#This Row],[Day]]="Sunday"),"Weekend","Weekday")</f>
        <v>Weekday</v>
      </c>
      <c r="AF3737" s="5">
        <f>IF(SalesData[[#This Row],[Contracts Offered]]=0,0,SalesData[[#This Row],[Contracts Signed]]/SalesData[[#This Row],[Contracts Offered]])</f>
        <v>0.2361111111111111</v>
      </c>
      <c r="AG3737" s="5">
        <f>IF(SalesData[[#This Row],[Customers Visited]]=0,0,SalesData[[#This Row],[Test Drives]]/SalesData[[#This Row],[Customers Visited]])</f>
        <v>0.49047619047619045</v>
      </c>
      <c r="AH3737" s="5">
        <f>IF(SalesData[[#This Row],[Customers Visited]]=0,0,SalesData[[#This Row],[Contracts Signed]]/SalesData[[#This Row],[Customers Visited]])</f>
        <v>8.0952380952380956E-2</v>
      </c>
      <c r="AI3737" s="6">
        <f>IF(SalesData[[#This Row],[Contracts Signed]]=0,0,SalesData[[#This Row],[Profit(€)]]/SalesData[[#This Row],[Contracts Signed]])</f>
        <v>3020</v>
      </c>
      <c r="AJ3737" s="5" t="str">
        <f>TRIM(CLEAN(SalesData[[#This Row],[Retailer]]))</f>
        <v>Stuttgart Auto Center</v>
      </c>
    </row>
    <row r="3738" spans="1:36" ht="14.25" hidden="1" x14ac:dyDescent="0.2">
      <c r="A3738" t="s">
        <v>4959</v>
      </c>
      <c r="B3738" s="1">
        <v>46078</v>
      </c>
      <c r="C3738" t="s">
        <v>53</v>
      </c>
      <c r="D3738" t="s">
        <v>82</v>
      </c>
      <c r="E3738" t="s">
        <v>26</v>
      </c>
      <c r="F3738" t="s">
        <v>94</v>
      </c>
      <c r="G3738" t="s">
        <v>95</v>
      </c>
      <c r="H3738" t="s">
        <v>96</v>
      </c>
      <c r="I3738" t="s">
        <v>56</v>
      </c>
      <c r="J3738" t="s">
        <v>179</v>
      </c>
      <c r="K3738" t="s">
        <v>66</v>
      </c>
      <c r="L3738" t="s">
        <v>67</v>
      </c>
      <c r="M3738" t="s">
        <v>87</v>
      </c>
      <c r="N3738" t="s">
        <v>35</v>
      </c>
      <c r="O3738" t="s">
        <v>70</v>
      </c>
      <c r="P3738" t="s">
        <v>71</v>
      </c>
      <c r="Q3738" t="s">
        <v>79</v>
      </c>
      <c r="R3738">
        <v>194</v>
      </c>
      <c r="S3738">
        <v>91</v>
      </c>
      <c r="T3738">
        <v>59</v>
      </c>
      <c r="U3738">
        <v>23</v>
      </c>
      <c r="V3738" t="s">
        <v>6448</v>
      </c>
      <c r="W3738">
        <v>53463</v>
      </c>
      <c r="X3738" t="s">
        <v>7544</v>
      </c>
      <c r="Y3738">
        <v>42721</v>
      </c>
      <c r="Z3738">
        <v>1229649</v>
      </c>
      <c r="AA3738">
        <v>247066</v>
      </c>
      <c r="AB3738" t="str">
        <f>(VLOOKUP(SalesData[[#This Row],[Month Number]],Reference!C$5:E$16,2,FALSE))</f>
        <v>Feb</v>
      </c>
      <c r="AC3738">
        <f>MONTH(SalesData[[#This Row],[Date]])</f>
        <v>2</v>
      </c>
      <c r="AD3738">
        <f>Reference!F$4</f>
        <v>2026</v>
      </c>
      <c r="AE3738" t="str">
        <f>IF(OR(SalesData[[#This Row],[Day]]="Saturday",SalesData[[#This Row],[Day]]="Sunday"),"Weekend","Weekday")</f>
        <v>Weekday</v>
      </c>
      <c r="AF3738" s="5">
        <f>IF(SalesData[[#This Row],[Contracts Offered]]=0,0,SalesData[[#This Row],[Contracts Signed]]/SalesData[[#This Row],[Contracts Offered]])</f>
        <v>0.38983050847457629</v>
      </c>
      <c r="AG3738" s="5">
        <f>IF(SalesData[[#This Row],[Customers Visited]]=0,0,SalesData[[#This Row],[Test Drives]]/SalesData[[#This Row],[Customers Visited]])</f>
        <v>0.46907216494845361</v>
      </c>
      <c r="AH3738" s="5">
        <f>IF(SalesData[[#This Row],[Customers Visited]]=0,0,SalesData[[#This Row],[Contracts Signed]]/SalesData[[#This Row],[Customers Visited]])</f>
        <v>0.11855670103092783</v>
      </c>
      <c r="AI3738" s="6">
        <f>IF(SalesData[[#This Row],[Contracts Signed]]=0,0,SalesData[[#This Row],[Profit(€)]]/SalesData[[#This Row],[Contracts Signed]])</f>
        <v>10742</v>
      </c>
      <c r="AJ3738" s="5" t="str">
        <f>TRIM(CLEAN(SalesData[[#This Row],[Retailer]]))</f>
        <v>Bavaria Motors</v>
      </c>
    </row>
    <row r="3739" spans="1:36" ht="14.25" hidden="1" x14ac:dyDescent="0.2">
      <c r="A3739" t="s">
        <v>4960</v>
      </c>
      <c r="B3739" s="1">
        <v>46073</v>
      </c>
      <c r="C3739" t="s">
        <v>62</v>
      </c>
      <c r="D3739" t="s">
        <v>54</v>
      </c>
      <c r="E3739" t="s">
        <v>26</v>
      </c>
      <c r="F3739" t="s">
        <v>74</v>
      </c>
      <c r="G3739" t="s">
        <v>75</v>
      </c>
      <c r="H3739" t="s">
        <v>76</v>
      </c>
      <c r="I3739" t="s">
        <v>56</v>
      </c>
      <c r="J3739" t="s">
        <v>57</v>
      </c>
      <c r="K3739" t="s">
        <v>66</v>
      </c>
      <c r="L3739" t="s">
        <v>46</v>
      </c>
      <c r="M3739" t="s">
        <v>47</v>
      </c>
      <c r="N3739" t="s">
        <v>35</v>
      </c>
      <c r="O3739" t="s">
        <v>70</v>
      </c>
      <c r="P3739" t="s">
        <v>58</v>
      </c>
      <c r="Q3739" t="s">
        <v>135</v>
      </c>
      <c r="R3739">
        <v>199</v>
      </c>
      <c r="S3739">
        <v>99</v>
      </c>
      <c r="T3739">
        <v>75</v>
      </c>
      <c r="U3739">
        <v>26</v>
      </c>
      <c r="V3739" t="s">
        <v>6450</v>
      </c>
      <c r="W3739">
        <v>49684</v>
      </c>
      <c r="X3739" t="s">
        <v>7095</v>
      </c>
      <c r="Y3739">
        <v>39775</v>
      </c>
      <c r="Z3739">
        <v>1291784</v>
      </c>
      <c r="AA3739">
        <v>257634</v>
      </c>
      <c r="AB3739" t="str">
        <f>(VLOOKUP(SalesData[[#This Row],[Month Number]],Reference!C$5:E$16,2,FALSE))</f>
        <v>Feb</v>
      </c>
      <c r="AC3739">
        <f>MONTH(SalesData[[#This Row],[Date]])</f>
        <v>2</v>
      </c>
      <c r="AD3739">
        <f>Reference!F$4</f>
        <v>2026</v>
      </c>
      <c r="AE3739" t="str">
        <f>IF(OR(SalesData[[#This Row],[Day]]="Saturday",SalesData[[#This Row],[Day]]="Sunday"),"Weekend","Weekday")</f>
        <v>Weekday</v>
      </c>
      <c r="AF3739" s="5">
        <f>IF(SalesData[[#This Row],[Contracts Offered]]=0,0,SalesData[[#This Row],[Contracts Signed]]/SalesData[[#This Row],[Contracts Offered]])</f>
        <v>0.34666666666666668</v>
      </c>
      <c r="AG3739" s="5">
        <f>IF(SalesData[[#This Row],[Customers Visited]]=0,0,SalesData[[#This Row],[Test Drives]]/SalesData[[#This Row],[Customers Visited]])</f>
        <v>0.49748743718592964</v>
      </c>
      <c r="AH3739" s="5">
        <f>IF(SalesData[[#This Row],[Customers Visited]]=0,0,SalesData[[#This Row],[Contracts Signed]]/SalesData[[#This Row],[Customers Visited]])</f>
        <v>0.1306532663316583</v>
      </c>
      <c r="AI3739" s="6">
        <f>IF(SalesData[[#This Row],[Contracts Signed]]=0,0,SalesData[[#This Row],[Profit(€)]]/SalesData[[#This Row],[Contracts Signed]])</f>
        <v>9909</v>
      </c>
      <c r="AJ3739" s="5" t="str">
        <f>TRIM(CLEAN(SalesData[[#This Row],[Retailer]]))</f>
        <v>Stuttgart Auto Center</v>
      </c>
    </row>
    <row r="3740" spans="1:36" ht="14.25" hidden="1" x14ac:dyDescent="0.2">
      <c r="A3740" t="s">
        <v>4961</v>
      </c>
      <c r="B3740" s="1">
        <v>46058</v>
      </c>
      <c r="C3740" t="s">
        <v>24</v>
      </c>
      <c r="D3740" t="s">
        <v>100</v>
      </c>
      <c r="E3740" t="s">
        <v>26</v>
      </c>
      <c r="F3740" t="s">
        <v>114</v>
      </c>
      <c r="G3740" t="s">
        <v>115</v>
      </c>
      <c r="H3740" t="s">
        <v>115</v>
      </c>
      <c r="I3740" t="s">
        <v>64</v>
      </c>
      <c r="J3740" t="s">
        <v>7029</v>
      </c>
      <c r="K3740" t="s">
        <v>32</v>
      </c>
      <c r="L3740" t="s">
        <v>33</v>
      </c>
      <c r="M3740" t="s">
        <v>68</v>
      </c>
      <c r="N3740" t="s">
        <v>35</v>
      </c>
      <c r="O3740" t="s">
        <v>36</v>
      </c>
      <c r="P3740" t="s">
        <v>71</v>
      </c>
      <c r="Q3740" t="s">
        <v>158</v>
      </c>
      <c r="R3740">
        <v>164</v>
      </c>
      <c r="S3740">
        <v>75</v>
      </c>
      <c r="T3740">
        <v>55</v>
      </c>
      <c r="U3740">
        <v>20</v>
      </c>
      <c r="V3740" t="s">
        <v>6388</v>
      </c>
      <c r="W3740">
        <v>66781</v>
      </c>
      <c r="X3740" t="s">
        <v>923</v>
      </c>
      <c r="Y3740">
        <v>48087</v>
      </c>
      <c r="Z3740">
        <v>1335620</v>
      </c>
      <c r="AA3740">
        <v>373880</v>
      </c>
      <c r="AB3740" t="str">
        <f>(VLOOKUP(SalesData[[#This Row],[Month Number]],Reference!C$5:E$16,2,FALSE))</f>
        <v>Feb</v>
      </c>
      <c r="AC3740">
        <f>MONTH(SalesData[[#This Row],[Date]])</f>
        <v>2</v>
      </c>
      <c r="AD3740">
        <f>Reference!F$4</f>
        <v>2026</v>
      </c>
      <c r="AE3740" t="str">
        <f>IF(OR(SalesData[[#This Row],[Day]]="Saturday",SalesData[[#This Row],[Day]]="Sunday"),"Weekend","Weekday")</f>
        <v>Weekday</v>
      </c>
      <c r="AF3740" s="5">
        <f>IF(SalesData[[#This Row],[Contracts Offered]]=0,0,SalesData[[#This Row],[Contracts Signed]]/SalesData[[#This Row],[Contracts Offered]])</f>
        <v>0.36363636363636365</v>
      </c>
      <c r="AG3740" s="5">
        <f>IF(SalesData[[#This Row],[Customers Visited]]=0,0,SalesData[[#This Row],[Test Drives]]/SalesData[[#This Row],[Customers Visited]])</f>
        <v>0.45731707317073172</v>
      </c>
      <c r="AH3740" s="5">
        <f>IF(SalesData[[#This Row],[Customers Visited]]=0,0,SalesData[[#This Row],[Contracts Signed]]/SalesData[[#This Row],[Customers Visited]])</f>
        <v>0.12195121951219512</v>
      </c>
      <c r="AI3740" s="6">
        <f>IF(SalesData[[#This Row],[Contracts Signed]]=0,0,SalesData[[#This Row],[Profit(€)]]/SalesData[[#This Row],[Contracts Signed]])</f>
        <v>18694</v>
      </c>
      <c r="AJ3740" s="5" t="str">
        <f>TRIM(CLEAN(SalesData[[#This Row],[Retailer]]))</f>
        <v>Elbe Drive</v>
      </c>
    </row>
    <row r="3741" spans="1:36" ht="14.25" hidden="1" x14ac:dyDescent="0.2">
      <c r="A3741" t="s">
        <v>4962</v>
      </c>
      <c r="B3741" s="1">
        <v>46070</v>
      </c>
      <c r="C3741" t="s">
        <v>62</v>
      </c>
      <c r="D3741" t="s">
        <v>63</v>
      </c>
      <c r="E3741" t="s">
        <v>26</v>
      </c>
      <c r="F3741" t="s">
        <v>127</v>
      </c>
      <c r="G3741" t="s">
        <v>128</v>
      </c>
      <c r="H3741" t="s">
        <v>103</v>
      </c>
      <c r="I3741" t="s">
        <v>116</v>
      </c>
      <c r="J3741" t="s">
        <v>203</v>
      </c>
      <c r="K3741" t="s">
        <v>91</v>
      </c>
      <c r="L3741" t="s">
        <v>67</v>
      </c>
      <c r="M3741" t="s">
        <v>87</v>
      </c>
      <c r="N3741" t="s">
        <v>69</v>
      </c>
      <c r="O3741" t="s">
        <v>70</v>
      </c>
      <c r="P3741" t="s">
        <v>71</v>
      </c>
      <c r="Q3741" t="s">
        <v>79</v>
      </c>
      <c r="R3741">
        <v>233</v>
      </c>
      <c r="S3741">
        <v>127</v>
      </c>
      <c r="T3741">
        <v>76</v>
      </c>
      <c r="U3741">
        <v>19</v>
      </c>
      <c r="V3741" t="s">
        <v>1987</v>
      </c>
      <c r="W3741">
        <v>23631</v>
      </c>
      <c r="X3741" t="s">
        <v>646</v>
      </c>
      <c r="Y3741">
        <v>21470</v>
      </c>
      <c r="Z3741">
        <v>448989</v>
      </c>
      <c r="AA3741">
        <v>41059</v>
      </c>
      <c r="AB3741" t="str">
        <f>(VLOOKUP(SalesData[[#This Row],[Month Number]],Reference!C$5:E$16,2,FALSE))</f>
        <v>Feb</v>
      </c>
      <c r="AC3741">
        <f>MONTH(SalesData[[#This Row],[Date]])</f>
        <v>2</v>
      </c>
      <c r="AD3741">
        <f>Reference!F$4</f>
        <v>2026</v>
      </c>
      <c r="AE3741" t="str">
        <f>IF(OR(SalesData[[#This Row],[Day]]="Saturday",SalesData[[#This Row],[Day]]="Sunday"),"Weekend","Weekday")</f>
        <v>Weekday</v>
      </c>
      <c r="AF3741" s="5">
        <f>IF(SalesData[[#This Row],[Contracts Offered]]=0,0,SalesData[[#This Row],[Contracts Signed]]/SalesData[[#This Row],[Contracts Offered]])</f>
        <v>0.25</v>
      </c>
      <c r="AG3741" s="5">
        <f>IF(SalesData[[#This Row],[Customers Visited]]=0,0,SalesData[[#This Row],[Test Drives]]/SalesData[[#This Row],[Customers Visited]])</f>
        <v>0.54506437768240346</v>
      </c>
      <c r="AH3741" s="5">
        <f>IF(SalesData[[#This Row],[Customers Visited]]=0,0,SalesData[[#This Row],[Contracts Signed]]/SalesData[[#This Row],[Customers Visited]])</f>
        <v>8.15450643776824E-2</v>
      </c>
      <c r="AI3741" s="6">
        <f>IF(SalesData[[#This Row],[Contracts Signed]]=0,0,SalesData[[#This Row],[Profit(€)]]/SalesData[[#This Row],[Contracts Signed]])</f>
        <v>2161</v>
      </c>
      <c r="AJ3741" s="5" t="str">
        <f>TRIM(CLEAN(SalesData[[#This Row],[Retailer]]))</f>
        <v>Rhein Auto Group</v>
      </c>
    </row>
    <row r="3742" spans="1:36" ht="14.25" x14ac:dyDescent="0.2">
      <c r="A3742" t="s">
        <v>4963</v>
      </c>
      <c r="B3742" s="1">
        <v>46063</v>
      </c>
      <c r="C3742" t="s">
        <v>121</v>
      </c>
      <c r="D3742" t="s">
        <v>63</v>
      </c>
      <c r="E3742" t="s">
        <v>26</v>
      </c>
      <c r="F3742" t="s">
        <v>43</v>
      </c>
      <c r="G3742" t="s">
        <v>44</v>
      </c>
      <c r="H3742" t="s">
        <v>45</v>
      </c>
      <c r="I3742" t="s">
        <v>30</v>
      </c>
      <c r="J3742" t="s">
        <v>188</v>
      </c>
      <c r="K3742" t="s">
        <v>91</v>
      </c>
      <c r="L3742" t="s">
        <v>33</v>
      </c>
      <c r="M3742" t="s">
        <v>47</v>
      </c>
      <c r="N3742" t="s">
        <v>69</v>
      </c>
      <c r="O3742" t="s">
        <v>36</v>
      </c>
      <c r="P3742" t="s">
        <v>58</v>
      </c>
      <c r="Q3742" t="s">
        <v>135</v>
      </c>
      <c r="R3742">
        <v>237</v>
      </c>
      <c r="S3742">
        <v>137</v>
      </c>
      <c r="T3742">
        <v>110</v>
      </c>
      <c r="U3742">
        <v>45</v>
      </c>
      <c r="V3742" t="s">
        <v>7610</v>
      </c>
      <c r="W3742">
        <v>56893</v>
      </c>
      <c r="X3742" t="s">
        <v>7493</v>
      </c>
      <c r="Y3742">
        <v>42577</v>
      </c>
      <c r="Z3742">
        <v>2560185</v>
      </c>
      <c r="AA3742">
        <v>644220</v>
      </c>
      <c r="AB3742" t="str">
        <f>(VLOOKUP(SalesData[[#This Row],[Month Number]],Reference!C$5:E$16,2,FALSE))</f>
        <v>Feb</v>
      </c>
      <c r="AC3742">
        <f>MONTH(SalesData[[#This Row],[Date]])</f>
        <v>2</v>
      </c>
      <c r="AD3742">
        <f>Reference!F$4</f>
        <v>2026</v>
      </c>
      <c r="AE3742" t="str">
        <f>IF(OR(SalesData[[#This Row],[Day]]="Saturday",SalesData[[#This Row],[Day]]="Sunday"),"Weekend","Weekday")</f>
        <v>Weekday</v>
      </c>
      <c r="AF3742" s="5">
        <f>IF(SalesData[[#This Row],[Contracts Offered]]=0,0,SalesData[[#This Row],[Contracts Signed]]/SalesData[[#This Row],[Contracts Offered]])</f>
        <v>0.40909090909090912</v>
      </c>
      <c r="AG3742" s="5">
        <f>IF(SalesData[[#This Row],[Customers Visited]]=0,0,SalesData[[#This Row],[Test Drives]]/SalesData[[#This Row],[Customers Visited]])</f>
        <v>0.57805907172995785</v>
      </c>
      <c r="AH3742" s="5">
        <f>IF(SalesData[[#This Row],[Customers Visited]]=0,0,SalesData[[#This Row],[Contracts Signed]]/SalesData[[#This Row],[Customers Visited]])</f>
        <v>0.189873417721519</v>
      </c>
      <c r="AI3742" s="6">
        <f>IF(SalesData[[#This Row],[Contracts Signed]]=0,0,SalesData[[#This Row],[Profit(€)]]/SalesData[[#This Row],[Contracts Signed]])</f>
        <v>14316</v>
      </c>
      <c r="AJ3742" s="5" t="str">
        <f>TRIM(CLEAN(SalesData[[#This Row],[Retailer]]))</f>
        <v>Saxon Wheels</v>
      </c>
    </row>
    <row r="3743" spans="1:36" ht="14.25" hidden="1" x14ac:dyDescent="0.2">
      <c r="A3743" t="s">
        <v>4964</v>
      </c>
      <c r="B3743" s="1">
        <v>46075</v>
      </c>
      <c r="C3743" t="s">
        <v>53</v>
      </c>
      <c r="D3743" t="s">
        <v>41</v>
      </c>
      <c r="E3743" t="s">
        <v>42</v>
      </c>
      <c r="F3743" t="s">
        <v>101</v>
      </c>
      <c r="G3743" t="s">
        <v>102</v>
      </c>
      <c r="H3743" t="s">
        <v>103</v>
      </c>
      <c r="I3743" t="s">
        <v>64</v>
      </c>
      <c r="J3743" t="s">
        <v>65</v>
      </c>
      <c r="K3743" t="s">
        <v>32</v>
      </c>
      <c r="L3743" t="s">
        <v>33</v>
      </c>
      <c r="M3743" t="s">
        <v>68</v>
      </c>
      <c r="N3743" t="s">
        <v>35</v>
      </c>
      <c r="O3743" t="s">
        <v>36</v>
      </c>
      <c r="P3743" t="s">
        <v>49</v>
      </c>
      <c r="Q3743" t="s">
        <v>169</v>
      </c>
      <c r="R3743">
        <v>238</v>
      </c>
      <c r="S3743">
        <v>121</v>
      </c>
      <c r="T3743">
        <v>85</v>
      </c>
      <c r="U3743">
        <v>28</v>
      </c>
      <c r="V3743" t="s">
        <v>6358</v>
      </c>
      <c r="W3743">
        <v>66729</v>
      </c>
      <c r="X3743" t="s">
        <v>7274</v>
      </c>
      <c r="Y3743">
        <v>49091</v>
      </c>
      <c r="Z3743">
        <v>1868412</v>
      </c>
      <c r="AA3743">
        <v>493864</v>
      </c>
      <c r="AB3743" t="str">
        <f>(VLOOKUP(SalesData[[#This Row],[Month Number]],Reference!C$5:E$16,2,FALSE))</f>
        <v>Feb</v>
      </c>
      <c r="AC3743">
        <f>MONTH(SalesData[[#This Row],[Date]])</f>
        <v>2</v>
      </c>
      <c r="AD3743">
        <f>Reference!F$4</f>
        <v>2026</v>
      </c>
      <c r="AE3743" t="str">
        <f>IF(OR(SalesData[[#This Row],[Day]]="Saturday",SalesData[[#This Row],[Day]]="Sunday"),"Weekend","Weekday")</f>
        <v>Weekend</v>
      </c>
      <c r="AF3743" s="5">
        <f>IF(SalesData[[#This Row],[Contracts Offered]]=0,0,SalesData[[#This Row],[Contracts Signed]]/SalesData[[#This Row],[Contracts Offered]])</f>
        <v>0.32941176470588235</v>
      </c>
      <c r="AG3743" s="5">
        <f>IF(SalesData[[#This Row],[Customers Visited]]=0,0,SalesData[[#This Row],[Test Drives]]/SalesData[[#This Row],[Customers Visited]])</f>
        <v>0.50840336134453779</v>
      </c>
      <c r="AH3743" s="5">
        <f>IF(SalesData[[#This Row],[Customers Visited]]=0,0,SalesData[[#This Row],[Contracts Signed]]/SalesData[[#This Row],[Customers Visited]])</f>
        <v>0.11764705882352941</v>
      </c>
      <c r="AI3743" s="6">
        <f>IF(SalesData[[#This Row],[Contracts Signed]]=0,0,SalesData[[#This Row],[Profit(€)]]/SalesData[[#This Row],[Contracts Signed]])</f>
        <v>17638</v>
      </c>
      <c r="AJ3743" s="5" t="str">
        <f>TRIM(CLEAN(SalesData[[#This Row],[Retailer]]))</f>
        <v>Ruhr Auto Plaza</v>
      </c>
    </row>
    <row r="3744" spans="1:36" ht="14.25" hidden="1" x14ac:dyDescent="0.2">
      <c r="A3744" t="s">
        <v>4965</v>
      </c>
      <c r="B3744" s="1">
        <v>46074</v>
      </c>
      <c r="C3744" t="s">
        <v>62</v>
      </c>
      <c r="D3744" t="s">
        <v>151</v>
      </c>
      <c r="E3744" t="s">
        <v>42</v>
      </c>
      <c r="F3744" t="s">
        <v>27</v>
      </c>
      <c r="G3744" t="s">
        <v>28</v>
      </c>
      <c r="H3744" t="s">
        <v>29</v>
      </c>
      <c r="I3744" t="s">
        <v>64</v>
      </c>
      <c r="J3744" t="s">
        <v>77</v>
      </c>
      <c r="K3744" t="s">
        <v>78</v>
      </c>
      <c r="L3744" t="s">
        <v>46</v>
      </c>
      <c r="M3744" t="s">
        <v>34</v>
      </c>
      <c r="N3744" t="s">
        <v>35</v>
      </c>
      <c r="O3744" t="s">
        <v>36</v>
      </c>
      <c r="P3744" t="s">
        <v>58</v>
      </c>
      <c r="Q3744" t="s">
        <v>50</v>
      </c>
      <c r="R3744">
        <v>258</v>
      </c>
      <c r="S3744">
        <v>126</v>
      </c>
      <c r="T3744">
        <v>89</v>
      </c>
      <c r="U3744">
        <v>32</v>
      </c>
      <c r="V3744" t="s">
        <v>6876</v>
      </c>
      <c r="W3744">
        <v>51856</v>
      </c>
      <c r="X3744" t="s">
        <v>7122</v>
      </c>
      <c r="Y3744">
        <v>37917</v>
      </c>
      <c r="Z3744">
        <v>1659392</v>
      </c>
      <c r="AA3744">
        <v>446048</v>
      </c>
      <c r="AB3744" t="str">
        <f>(VLOOKUP(SalesData[[#This Row],[Month Number]],Reference!C$5:E$16,2,FALSE))</f>
        <v>Feb</v>
      </c>
      <c r="AC3744">
        <f>MONTH(SalesData[[#This Row],[Date]])</f>
        <v>2</v>
      </c>
      <c r="AD3744">
        <f>Reference!F$4</f>
        <v>2026</v>
      </c>
      <c r="AE3744" t="str">
        <f>IF(OR(SalesData[[#This Row],[Day]]="Saturday",SalesData[[#This Row],[Day]]="Sunday"),"Weekend","Weekday")</f>
        <v>Weekend</v>
      </c>
      <c r="AF3744" s="5">
        <f>IF(SalesData[[#This Row],[Contracts Offered]]=0,0,SalesData[[#This Row],[Contracts Signed]]/SalesData[[#This Row],[Contracts Offered]])</f>
        <v>0.3595505617977528</v>
      </c>
      <c r="AG3744" s="5">
        <f>IF(SalesData[[#This Row],[Customers Visited]]=0,0,SalesData[[#This Row],[Test Drives]]/SalesData[[#This Row],[Customers Visited]])</f>
        <v>0.48837209302325579</v>
      </c>
      <c r="AH3744" s="5">
        <f>IF(SalesData[[#This Row],[Customers Visited]]=0,0,SalesData[[#This Row],[Contracts Signed]]/SalesData[[#This Row],[Customers Visited]])</f>
        <v>0.12403100775193798</v>
      </c>
      <c r="AI3744" s="6">
        <f>IF(SalesData[[#This Row],[Contracts Signed]]=0,0,SalesData[[#This Row],[Profit(€)]]/SalesData[[#This Row],[Contracts Signed]])</f>
        <v>13939</v>
      </c>
      <c r="AJ3744" s="5" t="str">
        <f>TRIM(CLEAN(SalesData[[#This Row],[Retailer]]))</f>
        <v>Main Auto Hub</v>
      </c>
    </row>
    <row r="3745" spans="1:36" ht="14.25" hidden="1" x14ac:dyDescent="0.2">
      <c r="A3745" t="s">
        <v>4966</v>
      </c>
      <c r="B3745" s="1">
        <v>46075</v>
      </c>
      <c r="C3745" t="s">
        <v>53</v>
      </c>
      <c r="D3745" t="s">
        <v>41</v>
      </c>
      <c r="E3745" t="s">
        <v>42</v>
      </c>
      <c r="F3745" t="s">
        <v>83</v>
      </c>
      <c r="G3745" t="s">
        <v>84</v>
      </c>
      <c r="H3745" t="s">
        <v>85</v>
      </c>
      <c r="I3745" t="s">
        <v>56</v>
      </c>
      <c r="J3745" t="s">
        <v>57</v>
      </c>
      <c r="K3745" t="s">
        <v>66</v>
      </c>
      <c r="L3745" t="s">
        <v>46</v>
      </c>
      <c r="M3745" t="s">
        <v>47</v>
      </c>
      <c r="N3745" t="s">
        <v>69</v>
      </c>
      <c r="O3745" t="s">
        <v>36</v>
      </c>
      <c r="P3745" t="s">
        <v>58</v>
      </c>
      <c r="Q3745" t="s">
        <v>152</v>
      </c>
      <c r="R3745">
        <v>196</v>
      </c>
      <c r="S3745">
        <v>94</v>
      </c>
      <c r="T3745">
        <v>67</v>
      </c>
      <c r="U3745">
        <v>24</v>
      </c>
      <c r="V3745" t="s">
        <v>6461</v>
      </c>
      <c r="W3745">
        <v>48465</v>
      </c>
      <c r="X3745" t="s">
        <v>7347</v>
      </c>
      <c r="Y3745">
        <v>37541</v>
      </c>
      <c r="Z3745">
        <v>1163160</v>
      </c>
      <c r="AA3745">
        <v>262176</v>
      </c>
      <c r="AB3745" t="str">
        <f>(VLOOKUP(SalesData[[#This Row],[Month Number]],Reference!C$5:E$16,2,FALSE))</f>
        <v>Feb</v>
      </c>
      <c r="AC3745">
        <f>MONTH(SalesData[[#This Row],[Date]])</f>
        <v>2</v>
      </c>
      <c r="AD3745">
        <f>Reference!F$4</f>
        <v>2026</v>
      </c>
      <c r="AE3745" t="str">
        <f>IF(OR(SalesData[[#This Row],[Day]]="Saturday",SalesData[[#This Row],[Day]]="Sunday"),"Weekend","Weekday")</f>
        <v>Weekend</v>
      </c>
      <c r="AF3745" s="5">
        <f>IF(SalesData[[#This Row],[Contracts Offered]]=0,0,SalesData[[#This Row],[Contracts Signed]]/SalesData[[#This Row],[Contracts Offered]])</f>
        <v>0.35820895522388058</v>
      </c>
      <c r="AG3745" s="5">
        <f>IF(SalesData[[#This Row],[Customers Visited]]=0,0,SalesData[[#This Row],[Test Drives]]/SalesData[[#This Row],[Customers Visited]])</f>
        <v>0.47959183673469385</v>
      </c>
      <c r="AH3745" s="5">
        <f>IF(SalesData[[#This Row],[Customers Visited]]=0,0,SalesData[[#This Row],[Contracts Signed]]/SalesData[[#This Row],[Customers Visited]])</f>
        <v>0.12244897959183673</v>
      </c>
      <c r="AI3745" s="6">
        <f>IF(SalesData[[#This Row],[Contracts Signed]]=0,0,SalesData[[#This Row],[Profit(€)]]/SalesData[[#This Row],[Contracts Signed]])</f>
        <v>10924</v>
      </c>
      <c r="AJ3745" s="5" t="str">
        <f>TRIM(CLEAN(SalesData[[#This Row],[Retailer]]))</f>
        <v>Hannover Cars</v>
      </c>
    </row>
    <row r="3746" spans="1:36" ht="14.25" hidden="1" x14ac:dyDescent="0.2">
      <c r="A3746" t="s">
        <v>4967</v>
      </c>
      <c r="B3746" s="1">
        <v>46054</v>
      </c>
      <c r="C3746" t="s">
        <v>24</v>
      </c>
      <c r="D3746" t="s">
        <v>41</v>
      </c>
      <c r="E3746" t="s">
        <v>42</v>
      </c>
      <c r="F3746" t="s">
        <v>127</v>
      </c>
      <c r="G3746" t="s">
        <v>128</v>
      </c>
      <c r="H3746" t="s">
        <v>103</v>
      </c>
      <c r="I3746" t="s">
        <v>64</v>
      </c>
      <c r="J3746" t="s">
        <v>65</v>
      </c>
      <c r="K3746" t="s">
        <v>32</v>
      </c>
      <c r="L3746" t="s">
        <v>33</v>
      </c>
      <c r="M3746" t="s">
        <v>68</v>
      </c>
      <c r="N3746" t="s">
        <v>69</v>
      </c>
      <c r="O3746" t="s">
        <v>36</v>
      </c>
      <c r="P3746" t="s">
        <v>49</v>
      </c>
      <c r="Q3746" t="s">
        <v>172</v>
      </c>
      <c r="R3746">
        <v>270</v>
      </c>
      <c r="S3746">
        <v>130</v>
      </c>
      <c r="T3746">
        <v>91</v>
      </c>
      <c r="U3746">
        <v>29</v>
      </c>
      <c r="V3746" t="s">
        <v>6923</v>
      </c>
      <c r="W3746">
        <v>52079</v>
      </c>
      <c r="X3746" t="s">
        <v>2796</v>
      </c>
      <c r="Y3746">
        <v>40669</v>
      </c>
      <c r="Z3746">
        <v>1510291</v>
      </c>
      <c r="AA3746">
        <v>330890</v>
      </c>
      <c r="AB3746" t="str">
        <f>(VLOOKUP(SalesData[[#This Row],[Month Number]],Reference!C$5:E$16,2,FALSE))</f>
        <v>Feb</v>
      </c>
      <c r="AC3746">
        <f>MONTH(SalesData[[#This Row],[Date]])</f>
        <v>2</v>
      </c>
      <c r="AD3746">
        <f>Reference!F$4</f>
        <v>2026</v>
      </c>
      <c r="AE3746" t="str">
        <f>IF(OR(SalesData[[#This Row],[Day]]="Saturday",SalesData[[#This Row],[Day]]="Sunday"),"Weekend","Weekday")</f>
        <v>Weekend</v>
      </c>
      <c r="AF3746" s="5">
        <f>IF(SalesData[[#This Row],[Contracts Offered]]=0,0,SalesData[[#This Row],[Contracts Signed]]/SalesData[[#This Row],[Contracts Offered]])</f>
        <v>0.31868131868131866</v>
      </c>
      <c r="AG3746" s="5">
        <f>IF(SalesData[[#This Row],[Customers Visited]]=0,0,SalesData[[#This Row],[Test Drives]]/SalesData[[#This Row],[Customers Visited]])</f>
        <v>0.48148148148148145</v>
      </c>
      <c r="AH3746" s="5">
        <f>IF(SalesData[[#This Row],[Customers Visited]]=0,0,SalesData[[#This Row],[Contracts Signed]]/SalesData[[#This Row],[Customers Visited]])</f>
        <v>0.10740740740740741</v>
      </c>
      <c r="AI3746" s="6">
        <f>IF(SalesData[[#This Row],[Contracts Signed]]=0,0,SalesData[[#This Row],[Profit(€)]]/SalesData[[#This Row],[Contracts Signed]])</f>
        <v>11410</v>
      </c>
      <c r="AJ3746" s="5" t="str">
        <f>TRIM(CLEAN(SalesData[[#This Row],[Retailer]]))</f>
        <v>Rhein Auto Group</v>
      </c>
    </row>
    <row r="3747" spans="1:36" ht="14.25" hidden="1" x14ac:dyDescent="0.2">
      <c r="A3747" t="s">
        <v>4968</v>
      </c>
      <c r="B3747" s="1">
        <v>46063</v>
      </c>
      <c r="C3747" t="s">
        <v>121</v>
      </c>
      <c r="D3747" t="s">
        <v>63</v>
      </c>
      <c r="E3747" t="s">
        <v>26</v>
      </c>
      <c r="F3747" t="s">
        <v>109</v>
      </c>
      <c r="G3747" t="s">
        <v>110</v>
      </c>
      <c r="H3747" t="s">
        <v>45</v>
      </c>
      <c r="I3747" t="s">
        <v>64</v>
      </c>
      <c r="J3747" t="s">
        <v>65</v>
      </c>
      <c r="K3747" t="s">
        <v>91</v>
      </c>
      <c r="L3747" t="s">
        <v>33</v>
      </c>
      <c r="M3747" t="s">
        <v>68</v>
      </c>
      <c r="N3747" t="s">
        <v>69</v>
      </c>
      <c r="O3747" t="s">
        <v>70</v>
      </c>
      <c r="P3747" t="s">
        <v>71</v>
      </c>
      <c r="Q3747" t="s">
        <v>50</v>
      </c>
      <c r="R3747">
        <v>153</v>
      </c>
      <c r="S3747">
        <v>86</v>
      </c>
      <c r="T3747">
        <v>66</v>
      </c>
      <c r="U3747">
        <v>20</v>
      </c>
      <c r="V3747" t="s">
        <v>6726</v>
      </c>
      <c r="W3747">
        <v>65184</v>
      </c>
      <c r="X3747" t="s">
        <v>7378</v>
      </c>
      <c r="Y3747">
        <v>46687</v>
      </c>
      <c r="Z3747">
        <v>1303680</v>
      </c>
      <c r="AA3747">
        <v>369940</v>
      </c>
      <c r="AB3747" t="str">
        <f>(VLOOKUP(SalesData[[#This Row],[Month Number]],Reference!C$5:E$16,2,FALSE))</f>
        <v>Feb</v>
      </c>
      <c r="AC3747">
        <f>MONTH(SalesData[[#This Row],[Date]])</f>
        <v>2</v>
      </c>
      <c r="AD3747">
        <f>Reference!F$4</f>
        <v>2026</v>
      </c>
      <c r="AE3747" t="str">
        <f>IF(OR(SalesData[[#This Row],[Day]]="Saturday",SalesData[[#This Row],[Day]]="Sunday"),"Weekend","Weekday")</f>
        <v>Weekday</v>
      </c>
      <c r="AF3747" s="5">
        <f>IF(SalesData[[#This Row],[Contracts Offered]]=0,0,SalesData[[#This Row],[Contracts Signed]]/SalesData[[#This Row],[Contracts Offered]])</f>
        <v>0.30303030303030304</v>
      </c>
      <c r="AG3747" s="5">
        <f>IF(SalesData[[#This Row],[Customers Visited]]=0,0,SalesData[[#This Row],[Test Drives]]/SalesData[[#This Row],[Customers Visited]])</f>
        <v>0.56209150326797386</v>
      </c>
      <c r="AH3747" s="5">
        <f>IF(SalesData[[#This Row],[Customers Visited]]=0,0,SalesData[[#This Row],[Contracts Signed]]/SalesData[[#This Row],[Customers Visited]])</f>
        <v>0.13071895424836602</v>
      </c>
      <c r="AI3747" s="6">
        <f>IF(SalesData[[#This Row],[Contracts Signed]]=0,0,SalesData[[#This Row],[Profit(€)]]/SalesData[[#This Row],[Contracts Signed]])</f>
        <v>18497</v>
      </c>
      <c r="AJ3747" s="5" t="str">
        <f>TRIM(CLEAN(SalesData[[#This Row],[Retailer]]))</f>
        <v>Leipzig Mobility</v>
      </c>
    </row>
    <row r="3748" spans="1:36" ht="14.25" hidden="1" x14ac:dyDescent="0.2">
      <c r="A3748" t="s">
        <v>4969</v>
      </c>
      <c r="B3748" s="1">
        <v>46066</v>
      </c>
      <c r="C3748" t="s">
        <v>121</v>
      </c>
      <c r="D3748" t="s">
        <v>54</v>
      </c>
      <c r="E3748" t="s">
        <v>26</v>
      </c>
      <c r="F3748" t="s">
        <v>127</v>
      </c>
      <c r="G3748" t="s">
        <v>128</v>
      </c>
      <c r="H3748" t="s">
        <v>103</v>
      </c>
      <c r="I3748" t="s">
        <v>104</v>
      </c>
      <c r="J3748" t="s">
        <v>7031</v>
      </c>
      <c r="K3748" t="s">
        <v>32</v>
      </c>
      <c r="L3748" t="s">
        <v>46</v>
      </c>
      <c r="M3748" t="s">
        <v>34</v>
      </c>
      <c r="N3748" t="s">
        <v>48</v>
      </c>
      <c r="O3748" t="s">
        <v>70</v>
      </c>
      <c r="P3748" t="s">
        <v>71</v>
      </c>
      <c r="Q3748" t="s">
        <v>38</v>
      </c>
      <c r="R3748">
        <v>263</v>
      </c>
      <c r="S3748">
        <v>115</v>
      </c>
      <c r="T3748">
        <v>79</v>
      </c>
      <c r="U3748">
        <v>20</v>
      </c>
      <c r="V3748" t="s">
        <v>292</v>
      </c>
      <c r="W3748">
        <v>28621</v>
      </c>
      <c r="X3748" t="s">
        <v>269</v>
      </c>
      <c r="Y3748">
        <v>25533</v>
      </c>
      <c r="Z3748">
        <v>572420</v>
      </c>
      <c r="AA3748">
        <v>61760</v>
      </c>
      <c r="AB3748" t="str">
        <f>(VLOOKUP(SalesData[[#This Row],[Month Number]],Reference!C$5:E$16,2,FALSE))</f>
        <v>Feb</v>
      </c>
      <c r="AC3748">
        <f>MONTH(SalesData[[#This Row],[Date]])</f>
        <v>2</v>
      </c>
      <c r="AD3748">
        <f>Reference!F$4</f>
        <v>2026</v>
      </c>
      <c r="AE3748" t="str">
        <f>IF(OR(SalesData[[#This Row],[Day]]="Saturday",SalesData[[#This Row],[Day]]="Sunday"),"Weekend","Weekday")</f>
        <v>Weekday</v>
      </c>
      <c r="AF3748" s="5">
        <f>IF(SalesData[[#This Row],[Contracts Offered]]=0,0,SalesData[[#This Row],[Contracts Signed]]/SalesData[[#This Row],[Contracts Offered]])</f>
        <v>0.25316455696202533</v>
      </c>
      <c r="AG3748" s="5">
        <f>IF(SalesData[[#This Row],[Customers Visited]]=0,0,SalesData[[#This Row],[Test Drives]]/SalesData[[#This Row],[Customers Visited]])</f>
        <v>0.43726235741444869</v>
      </c>
      <c r="AH3748" s="5">
        <f>IF(SalesData[[#This Row],[Customers Visited]]=0,0,SalesData[[#This Row],[Contracts Signed]]/SalesData[[#This Row],[Customers Visited]])</f>
        <v>7.6045627376425853E-2</v>
      </c>
      <c r="AI3748" s="6">
        <f>IF(SalesData[[#This Row],[Contracts Signed]]=0,0,SalesData[[#This Row],[Profit(€)]]/SalesData[[#This Row],[Contracts Signed]])</f>
        <v>3088</v>
      </c>
      <c r="AJ3748" s="5" t="str">
        <f>TRIM(CLEAN(SalesData[[#This Row],[Retailer]]))</f>
        <v>Rhein Auto Group</v>
      </c>
    </row>
    <row r="3749" spans="1:36" ht="14.25" hidden="1" x14ac:dyDescent="0.2">
      <c r="A3749" t="s">
        <v>4970</v>
      </c>
      <c r="B3749" s="1">
        <v>46063</v>
      </c>
      <c r="C3749" t="s">
        <v>121</v>
      </c>
      <c r="D3749" t="s">
        <v>63</v>
      </c>
      <c r="E3749" t="s">
        <v>26</v>
      </c>
      <c r="F3749" t="s">
        <v>7649</v>
      </c>
      <c r="G3749" t="s">
        <v>55</v>
      </c>
      <c r="H3749" t="s">
        <v>55</v>
      </c>
      <c r="I3749" t="s">
        <v>64</v>
      </c>
      <c r="J3749" t="s">
        <v>65</v>
      </c>
      <c r="K3749" t="s">
        <v>66</v>
      </c>
      <c r="L3749" t="s">
        <v>33</v>
      </c>
      <c r="M3749" t="s">
        <v>34</v>
      </c>
      <c r="N3749" t="s">
        <v>69</v>
      </c>
      <c r="O3749" t="s">
        <v>70</v>
      </c>
      <c r="P3749" t="s">
        <v>49</v>
      </c>
      <c r="Q3749" t="s">
        <v>347</v>
      </c>
      <c r="R3749">
        <v>197</v>
      </c>
      <c r="S3749">
        <v>96</v>
      </c>
      <c r="T3749">
        <v>71</v>
      </c>
      <c r="U3749">
        <v>21</v>
      </c>
      <c r="V3749" t="s">
        <v>6542</v>
      </c>
      <c r="W3749">
        <v>65176</v>
      </c>
      <c r="X3749" t="s">
        <v>2556</v>
      </c>
      <c r="Y3749">
        <v>51431</v>
      </c>
      <c r="Z3749">
        <v>1368696</v>
      </c>
      <c r="AA3749">
        <v>288645</v>
      </c>
      <c r="AB3749" t="str">
        <f>(VLOOKUP(SalesData[[#This Row],[Month Number]],Reference!C$5:E$16,2,FALSE))</f>
        <v>Feb</v>
      </c>
      <c r="AC3749">
        <f>MONTH(SalesData[[#This Row],[Date]])</f>
        <v>2</v>
      </c>
      <c r="AD3749">
        <f>Reference!F$4</f>
        <v>2026</v>
      </c>
      <c r="AE3749" t="str">
        <f>IF(OR(SalesData[[#This Row],[Day]]="Saturday",SalesData[[#This Row],[Day]]="Sunday"),"Weekend","Weekday")</f>
        <v>Weekday</v>
      </c>
      <c r="AF3749" s="5">
        <f>IF(SalesData[[#This Row],[Contracts Offered]]=0,0,SalesData[[#This Row],[Contracts Signed]]/SalesData[[#This Row],[Contracts Offered]])</f>
        <v>0.29577464788732394</v>
      </c>
      <c r="AG3749" s="5">
        <f>IF(SalesData[[#This Row],[Customers Visited]]=0,0,SalesData[[#This Row],[Test Drives]]/SalesData[[#This Row],[Customers Visited]])</f>
        <v>0.48730964467005078</v>
      </c>
      <c r="AH3749" s="5">
        <f>IF(SalesData[[#This Row],[Customers Visited]]=0,0,SalesData[[#This Row],[Contracts Signed]]/SalesData[[#This Row],[Customers Visited]])</f>
        <v>0.1065989847715736</v>
      </c>
      <c r="AI3749" s="6">
        <f>IF(SalesData[[#This Row],[Contracts Signed]]=0,0,SalesData[[#This Row],[Profit(€)]]/SalesData[[#This Row],[Contracts Signed]])</f>
        <v>13745</v>
      </c>
      <c r="AJ3749" s="5" t="str">
        <f>TRIM(CLEAN(SalesData[[#This Row],[Retailer]]))</f>
        <v>Autohaus Berlin</v>
      </c>
    </row>
    <row r="3750" spans="1:36" ht="14.25" hidden="1" x14ac:dyDescent="0.2">
      <c r="A3750" t="s">
        <v>4971</v>
      </c>
      <c r="B3750" s="1">
        <v>46056</v>
      </c>
      <c r="C3750" t="s">
        <v>24</v>
      </c>
      <c r="D3750" t="s">
        <v>63</v>
      </c>
      <c r="E3750" t="s">
        <v>26</v>
      </c>
      <c r="F3750" t="s">
        <v>109</v>
      </c>
      <c r="G3750" t="s">
        <v>110</v>
      </c>
      <c r="H3750" t="s">
        <v>45</v>
      </c>
      <c r="I3750" t="s">
        <v>64</v>
      </c>
      <c r="J3750" t="s">
        <v>77</v>
      </c>
      <c r="K3750" t="s">
        <v>32</v>
      </c>
      <c r="L3750" t="s">
        <v>46</v>
      </c>
      <c r="M3750" t="s">
        <v>34</v>
      </c>
      <c r="N3750" t="s">
        <v>48</v>
      </c>
      <c r="O3750" t="s">
        <v>70</v>
      </c>
      <c r="P3750" t="s">
        <v>71</v>
      </c>
      <c r="Q3750" t="s">
        <v>169</v>
      </c>
      <c r="R3750">
        <v>289</v>
      </c>
      <c r="S3750">
        <v>164</v>
      </c>
      <c r="T3750">
        <v>113</v>
      </c>
      <c r="U3750">
        <v>43</v>
      </c>
      <c r="V3750" t="s">
        <v>6507</v>
      </c>
      <c r="W3750">
        <v>52367</v>
      </c>
      <c r="X3750" t="s">
        <v>7337</v>
      </c>
      <c r="Y3750">
        <v>38134</v>
      </c>
      <c r="Z3750">
        <v>2251781</v>
      </c>
      <c r="AA3750">
        <v>612019</v>
      </c>
      <c r="AB3750" t="str">
        <f>(VLOOKUP(SalesData[[#This Row],[Month Number]],Reference!C$5:E$16,2,FALSE))</f>
        <v>Feb</v>
      </c>
      <c r="AC3750">
        <f>MONTH(SalesData[[#This Row],[Date]])</f>
        <v>2</v>
      </c>
      <c r="AD3750">
        <f>Reference!F$4</f>
        <v>2026</v>
      </c>
      <c r="AE3750" t="str">
        <f>IF(OR(SalesData[[#This Row],[Day]]="Saturday",SalesData[[#This Row],[Day]]="Sunday"),"Weekend","Weekday")</f>
        <v>Weekday</v>
      </c>
      <c r="AF3750" s="5">
        <f>IF(SalesData[[#This Row],[Contracts Offered]]=0,0,SalesData[[#This Row],[Contracts Signed]]/SalesData[[#This Row],[Contracts Offered]])</f>
        <v>0.38053097345132741</v>
      </c>
      <c r="AG3750" s="5">
        <f>IF(SalesData[[#This Row],[Customers Visited]]=0,0,SalesData[[#This Row],[Test Drives]]/SalesData[[#This Row],[Customers Visited]])</f>
        <v>0.56747404844290661</v>
      </c>
      <c r="AH3750" s="5">
        <f>IF(SalesData[[#This Row],[Customers Visited]]=0,0,SalesData[[#This Row],[Contracts Signed]]/SalesData[[#This Row],[Customers Visited]])</f>
        <v>0.14878892733564014</v>
      </c>
      <c r="AI3750" s="6">
        <f>IF(SalesData[[#This Row],[Contracts Signed]]=0,0,SalesData[[#This Row],[Profit(€)]]/SalesData[[#This Row],[Contracts Signed]])</f>
        <v>14233</v>
      </c>
      <c r="AJ3750" s="5" t="str">
        <f>TRIM(CLEAN(SalesData[[#This Row],[Retailer]]))</f>
        <v>Leipzig Mobility</v>
      </c>
    </row>
    <row r="3751" spans="1:36" ht="14.25" hidden="1" x14ac:dyDescent="0.2">
      <c r="A3751" t="s">
        <v>4972</v>
      </c>
      <c r="B3751" s="1">
        <v>46055</v>
      </c>
      <c r="C3751" t="s">
        <v>24</v>
      </c>
      <c r="D3751" t="s">
        <v>25</v>
      </c>
      <c r="E3751" t="s">
        <v>26</v>
      </c>
      <c r="F3751" t="s">
        <v>74</v>
      </c>
      <c r="G3751" t="s">
        <v>75</v>
      </c>
      <c r="H3751" t="s">
        <v>76</v>
      </c>
      <c r="I3751" t="s">
        <v>104</v>
      </c>
      <c r="J3751" t="s">
        <v>143</v>
      </c>
      <c r="K3751" t="s">
        <v>91</v>
      </c>
      <c r="L3751" t="s">
        <v>67</v>
      </c>
      <c r="M3751" t="s">
        <v>47</v>
      </c>
      <c r="N3751" t="s">
        <v>35</v>
      </c>
      <c r="O3751" t="s">
        <v>70</v>
      </c>
      <c r="P3751" t="s">
        <v>37</v>
      </c>
      <c r="Q3751" t="s">
        <v>158</v>
      </c>
      <c r="R3751">
        <v>482</v>
      </c>
      <c r="S3751">
        <v>227</v>
      </c>
      <c r="T3751">
        <v>133</v>
      </c>
      <c r="U3751">
        <v>34</v>
      </c>
      <c r="V3751" t="s">
        <v>3302</v>
      </c>
      <c r="W3751">
        <v>29266</v>
      </c>
      <c r="X3751" t="s">
        <v>4071</v>
      </c>
      <c r="Y3751">
        <v>26379</v>
      </c>
      <c r="Z3751">
        <v>995044</v>
      </c>
      <c r="AA3751">
        <v>98158</v>
      </c>
      <c r="AB3751" t="str">
        <f>(VLOOKUP(SalesData[[#This Row],[Month Number]],Reference!C$5:E$16,2,FALSE))</f>
        <v>Feb</v>
      </c>
      <c r="AC3751">
        <f>MONTH(SalesData[[#This Row],[Date]])</f>
        <v>2</v>
      </c>
      <c r="AD3751">
        <f>Reference!F$4</f>
        <v>2026</v>
      </c>
      <c r="AE3751" t="str">
        <f>IF(OR(SalesData[[#This Row],[Day]]="Saturday",SalesData[[#This Row],[Day]]="Sunday"),"Weekend","Weekday")</f>
        <v>Weekday</v>
      </c>
      <c r="AF3751" s="5">
        <f>IF(SalesData[[#This Row],[Contracts Offered]]=0,0,SalesData[[#This Row],[Contracts Signed]]/SalesData[[#This Row],[Contracts Offered]])</f>
        <v>0.25563909774436089</v>
      </c>
      <c r="AG3751" s="5">
        <f>IF(SalesData[[#This Row],[Customers Visited]]=0,0,SalesData[[#This Row],[Test Drives]]/SalesData[[#This Row],[Customers Visited]])</f>
        <v>0.47095435684647302</v>
      </c>
      <c r="AH3751" s="5">
        <f>IF(SalesData[[#This Row],[Customers Visited]]=0,0,SalesData[[#This Row],[Contracts Signed]]/SalesData[[#This Row],[Customers Visited]])</f>
        <v>7.0539419087136929E-2</v>
      </c>
      <c r="AI3751" s="6">
        <f>IF(SalesData[[#This Row],[Contracts Signed]]=0,0,SalesData[[#This Row],[Profit(€)]]/SalesData[[#This Row],[Contracts Signed]])</f>
        <v>2887</v>
      </c>
      <c r="AJ3751" s="5" t="str">
        <f>TRIM(CLEAN(SalesData[[#This Row],[Retailer]]))</f>
        <v>Stuttgart Auto Center</v>
      </c>
    </row>
    <row r="3752" spans="1:36" ht="14.25" x14ac:dyDescent="0.2">
      <c r="A3752" t="s">
        <v>4973</v>
      </c>
      <c r="B3752" s="1">
        <v>46066</v>
      </c>
      <c r="C3752" t="s">
        <v>121</v>
      </c>
      <c r="D3752" t="s">
        <v>54</v>
      </c>
      <c r="E3752" t="s">
        <v>26</v>
      </c>
      <c r="F3752" t="s">
        <v>83</v>
      </c>
      <c r="G3752" t="s">
        <v>84</v>
      </c>
      <c r="H3752" t="s">
        <v>85</v>
      </c>
      <c r="I3752" t="s">
        <v>30</v>
      </c>
      <c r="J3752" t="s">
        <v>188</v>
      </c>
      <c r="K3752" t="s">
        <v>91</v>
      </c>
      <c r="L3752" t="s">
        <v>33</v>
      </c>
      <c r="M3752" t="s">
        <v>87</v>
      </c>
      <c r="N3752" t="s">
        <v>35</v>
      </c>
      <c r="O3752" t="s">
        <v>70</v>
      </c>
      <c r="P3752" t="s">
        <v>71</v>
      </c>
      <c r="Q3752" t="s">
        <v>172</v>
      </c>
      <c r="R3752">
        <v>205</v>
      </c>
      <c r="S3752">
        <v>117</v>
      </c>
      <c r="T3752">
        <v>95</v>
      </c>
      <c r="U3752">
        <v>35</v>
      </c>
      <c r="V3752" t="s">
        <v>6887</v>
      </c>
      <c r="W3752">
        <v>59720</v>
      </c>
      <c r="X3752" t="s">
        <v>7244</v>
      </c>
      <c r="Y3752">
        <v>45512</v>
      </c>
      <c r="Z3752">
        <v>2090200</v>
      </c>
      <c r="AA3752">
        <v>497280</v>
      </c>
      <c r="AB3752" t="str">
        <f>(VLOOKUP(SalesData[[#This Row],[Month Number]],Reference!C$5:E$16,2,FALSE))</f>
        <v>Feb</v>
      </c>
      <c r="AC3752">
        <f>MONTH(SalesData[[#This Row],[Date]])</f>
        <v>2</v>
      </c>
      <c r="AD3752">
        <f>Reference!F$4</f>
        <v>2026</v>
      </c>
      <c r="AE3752" t="str">
        <f>IF(OR(SalesData[[#This Row],[Day]]="Saturday",SalesData[[#This Row],[Day]]="Sunday"),"Weekend","Weekday")</f>
        <v>Weekday</v>
      </c>
      <c r="AF3752" s="5">
        <f>IF(SalesData[[#This Row],[Contracts Offered]]=0,0,SalesData[[#This Row],[Contracts Signed]]/SalesData[[#This Row],[Contracts Offered]])</f>
        <v>0.36842105263157893</v>
      </c>
      <c r="AG3752" s="5">
        <f>IF(SalesData[[#This Row],[Customers Visited]]=0,0,SalesData[[#This Row],[Test Drives]]/SalesData[[#This Row],[Customers Visited]])</f>
        <v>0.57073170731707312</v>
      </c>
      <c r="AH3752" s="5">
        <f>IF(SalesData[[#This Row],[Customers Visited]]=0,0,SalesData[[#This Row],[Contracts Signed]]/SalesData[[#This Row],[Customers Visited]])</f>
        <v>0.17073170731707318</v>
      </c>
      <c r="AI3752" s="6">
        <f>IF(SalesData[[#This Row],[Contracts Signed]]=0,0,SalesData[[#This Row],[Profit(€)]]/SalesData[[#This Row],[Contracts Signed]])</f>
        <v>14208</v>
      </c>
      <c r="AJ3752" s="5" t="str">
        <f>TRIM(CLEAN(SalesData[[#This Row],[Retailer]]))</f>
        <v>Hannover Cars</v>
      </c>
    </row>
    <row r="3753" spans="1:36" ht="14.25" hidden="1" x14ac:dyDescent="0.2">
      <c r="A3753" t="s">
        <v>4974</v>
      </c>
      <c r="B3753" s="1">
        <v>46067</v>
      </c>
      <c r="C3753" t="s">
        <v>121</v>
      </c>
      <c r="D3753" t="s">
        <v>151</v>
      </c>
      <c r="E3753" t="s">
        <v>42</v>
      </c>
      <c r="F3753" t="s">
        <v>114</v>
      </c>
      <c r="G3753" t="s">
        <v>115</v>
      </c>
      <c r="H3753" t="s">
        <v>115</v>
      </c>
      <c r="I3753" t="s">
        <v>116</v>
      </c>
      <c r="J3753" t="s">
        <v>117</v>
      </c>
      <c r="K3753" t="s">
        <v>91</v>
      </c>
      <c r="L3753" t="s">
        <v>67</v>
      </c>
      <c r="M3753" t="s">
        <v>47</v>
      </c>
      <c r="N3753" t="s">
        <v>35</v>
      </c>
      <c r="O3753" t="s">
        <v>70</v>
      </c>
      <c r="P3753" t="s">
        <v>37</v>
      </c>
      <c r="Q3753" t="s">
        <v>88</v>
      </c>
      <c r="R3753">
        <v>356</v>
      </c>
      <c r="S3753">
        <v>149</v>
      </c>
      <c r="T3753">
        <v>101</v>
      </c>
      <c r="U3753">
        <v>22</v>
      </c>
      <c r="V3753" t="s">
        <v>192</v>
      </c>
      <c r="W3753">
        <v>22631</v>
      </c>
      <c r="X3753" t="s">
        <v>1305</v>
      </c>
      <c r="Y3753">
        <v>20393</v>
      </c>
      <c r="Z3753">
        <v>497882</v>
      </c>
      <c r="AA3753">
        <v>49236</v>
      </c>
      <c r="AB3753" t="str">
        <f>(VLOOKUP(SalesData[[#This Row],[Month Number]],Reference!C$5:E$16,2,FALSE))</f>
        <v>Feb</v>
      </c>
      <c r="AC3753">
        <f>MONTH(SalesData[[#This Row],[Date]])</f>
        <v>2</v>
      </c>
      <c r="AD3753">
        <f>Reference!F$4</f>
        <v>2026</v>
      </c>
      <c r="AE3753" t="str">
        <f>IF(OR(SalesData[[#This Row],[Day]]="Saturday",SalesData[[#This Row],[Day]]="Sunday"),"Weekend","Weekday")</f>
        <v>Weekend</v>
      </c>
      <c r="AF3753" s="5">
        <f>IF(SalesData[[#This Row],[Contracts Offered]]=0,0,SalesData[[#This Row],[Contracts Signed]]/SalesData[[#This Row],[Contracts Offered]])</f>
        <v>0.21782178217821782</v>
      </c>
      <c r="AG3753" s="5">
        <f>IF(SalesData[[#This Row],[Customers Visited]]=0,0,SalesData[[#This Row],[Test Drives]]/SalesData[[#This Row],[Customers Visited]])</f>
        <v>0.41853932584269665</v>
      </c>
      <c r="AH3753" s="5">
        <f>IF(SalesData[[#This Row],[Customers Visited]]=0,0,SalesData[[#This Row],[Contracts Signed]]/SalesData[[#This Row],[Customers Visited]])</f>
        <v>6.1797752808988762E-2</v>
      </c>
      <c r="AI3753" s="6">
        <f>IF(SalesData[[#This Row],[Contracts Signed]]=0,0,SalesData[[#This Row],[Profit(€)]]/SalesData[[#This Row],[Contracts Signed]])</f>
        <v>2238</v>
      </c>
      <c r="AJ3753" s="5" t="str">
        <f>TRIM(CLEAN(SalesData[[#This Row],[Retailer]]))</f>
        <v>Elbe Drive</v>
      </c>
    </row>
    <row r="3754" spans="1:36" ht="14.25" hidden="1" x14ac:dyDescent="0.2">
      <c r="A3754" t="s">
        <v>4975</v>
      </c>
      <c r="B3754" s="1">
        <v>46077</v>
      </c>
      <c r="C3754" t="s">
        <v>53</v>
      </c>
      <c r="D3754" t="s">
        <v>63</v>
      </c>
      <c r="E3754" t="s">
        <v>26</v>
      </c>
      <c r="F3754" t="s">
        <v>94</v>
      </c>
      <c r="G3754" t="s">
        <v>95</v>
      </c>
      <c r="H3754" t="s">
        <v>96</v>
      </c>
      <c r="I3754" t="s">
        <v>116</v>
      </c>
      <c r="J3754" t="s">
        <v>7090</v>
      </c>
      <c r="K3754" t="s">
        <v>91</v>
      </c>
      <c r="L3754" t="s">
        <v>46</v>
      </c>
      <c r="M3754" t="s">
        <v>34</v>
      </c>
      <c r="N3754" t="s">
        <v>35</v>
      </c>
      <c r="O3754" t="s">
        <v>36</v>
      </c>
      <c r="P3754" t="s">
        <v>37</v>
      </c>
      <c r="Q3754" t="s">
        <v>144</v>
      </c>
      <c r="R3754">
        <v>365</v>
      </c>
      <c r="S3754">
        <v>139</v>
      </c>
      <c r="T3754">
        <v>78</v>
      </c>
      <c r="U3754">
        <v>27</v>
      </c>
      <c r="V3754" t="s">
        <v>3532</v>
      </c>
      <c r="W3754">
        <v>21550</v>
      </c>
      <c r="X3754" t="s">
        <v>529</v>
      </c>
      <c r="Y3754">
        <v>19842</v>
      </c>
      <c r="Z3754">
        <v>581850</v>
      </c>
      <c r="AA3754">
        <v>46116</v>
      </c>
      <c r="AB3754" t="str">
        <f>(VLOOKUP(SalesData[[#This Row],[Month Number]],Reference!C$5:E$16,2,FALSE))</f>
        <v>Feb</v>
      </c>
      <c r="AC3754">
        <f>MONTH(SalesData[[#This Row],[Date]])</f>
        <v>2</v>
      </c>
      <c r="AD3754">
        <f>Reference!F$4</f>
        <v>2026</v>
      </c>
      <c r="AE3754" t="str">
        <f>IF(OR(SalesData[[#This Row],[Day]]="Saturday",SalesData[[#This Row],[Day]]="Sunday"),"Weekend","Weekday")</f>
        <v>Weekday</v>
      </c>
      <c r="AF3754" s="5">
        <f>IF(SalesData[[#This Row],[Contracts Offered]]=0,0,SalesData[[#This Row],[Contracts Signed]]/SalesData[[#This Row],[Contracts Offered]])</f>
        <v>0.34615384615384615</v>
      </c>
      <c r="AG3754" s="5">
        <f>IF(SalesData[[#This Row],[Customers Visited]]=0,0,SalesData[[#This Row],[Test Drives]]/SalesData[[#This Row],[Customers Visited]])</f>
        <v>0.38082191780821917</v>
      </c>
      <c r="AH3754" s="5">
        <f>IF(SalesData[[#This Row],[Customers Visited]]=0,0,SalesData[[#This Row],[Contracts Signed]]/SalesData[[#This Row],[Customers Visited]])</f>
        <v>7.3972602739726029E-2</v>
      </c>
      <c r="AI3754" s="6">
        <f>IF(SalesData[[#This Row],[Contracts Signed]]=0,0,SalesData[[#This Row],[Profit(€)]]/SalesData[[#This Row],[Contracts Signed]])</f>
        <v>1708</v>
      </c>
      <c r="AJ3754" s="5" t="str">
        <f>TRIM(CLEAN(SalesData[[#This Row],[Retailer]]))</f>
        <v>Bavaria Motors</v>
      </c>
    </row>
    <row r="3755" spans="1:36" ht="14.25" x14ac:dyDescent="0.2">
      <c r="A3755" t="s">
        <v>4976</v>
      </c>
      <c r="B3755" s="1">
        <v>46077</v>
      </c>
      <c r="C3755" t="s">
        <v>53</v>
      </c>
      <c r="D3755" t="s">
        <v>63</v>
      </c>
      <c r="E3755" t="s">
        <v>26</v>
      </c>
      <c r="F3755" t="s">
        <v>94</v>
      </c>
      <c r="G3755" t="s">
        <v>95</v>
      </c>
      <c r="H3755" t="s">
        <v>96</v>
      </c>
      <c r="I3755" t="s">
        <v>30</v>
      </c>
      <c r="J3755" t="s">
        <v>31</v>
      </c>
      <c r="K3755" t="s">
        <v>32</v>
      </c>
      <c r="L3755" t="s">
        <v>46</v>
      </c>
      <c r="M3755" t="s">
        <v>87</v>
      </c>
      <c r="N3755" t="s">
        <v>35</v>
      </c>
      <c r="O3755" t="s">
        <v>70</v>
      </c>
      <c r="P3755" t="s">
        <v>49</v>
      </c>
      <c r="Q3755" t="s">
        <v>167</v>
      </c>
      <c r="R3755">
        <v>173</v>
      </c>
      <c r="S3755">
        <v>89</v>
      </c>
      <c r="T3755">
        <v>66</v>
      </c>
      <c r="U3755">
        <v>24</v>
      </c>
      <c r="V3755" t="s">
        <v>6417</v>
      </c>
      <c r="W3755">
        <v>60610</v>
      </c>
      <c r="X3755" t="s">
        <v>7128</v>
      </c>
      <c r="Y3755">
        <v>46886</v>
      </c>
      <c r="Z3755">
        <v>1454640</v>
      </c>
      <c r="AA3755">
        <v>329376</v>
      </c>
      <c r="AB3755" t="str">
        <f>(VLOOKUP(SalesData[[#This Row],[Month Number]],Reference!C$5:E$16,2,FALSE))</f>
        <v>Feb</v>
      </c>
      <c r="AC3755">
        <f>MONTH(SalesData[[#This Row],[Date]])</f>
        <v>2</v>
      </c>
      <c r="AD3755">
        <f>Reference!F$4</f>
        <v>2026</v>
      </c>
      <c r="AE3755" t="str">
        <f>IF(OR(SalesData[[#This Row],[Day]]="Saturday",SalesData[[#This Row],[Day]]="Sunday"),"Weekend","Weekday")</f>
        <v>Weekday</v>
      </c>
      <c r="AF3755" s="5">
        <f>IF(SalesData[[#This Row],[Contracts Offered]]=0,0,SalesData[[#This Row],[Contracts Signed]]/SalesData[[#This Row],[Contracts Offered]])</f>
        <v>0.36363636363636365</v>
      </c>
      <c r="AG3755" s="5">
        <f>IF(SalesData[[#This Row],[Customers Visited]]=0,0,SalesData[[#This Row],[Test Drives]]/SalesData[[#This Row],[Customers Visited]])</f>
        <v>0.51445086705202314</v>
      </c>
      <c r="AH3755" s="5">
        <f>IF(SalesData[[#This Row],[Customers Visited]]=0,0,SalesData[[#This Row],[Contracts Signed]]/SalesData[[#This Row],[Customers Visited]])</f>
        <v>0.13872832369942195</v>
      </c>
      <c r="AI3755" s="6">
        <f>IF(SalesData[[#This Row],[Contracts Signed]]=0,0,SalesData[[#This Row],[Profit(€)]]/SalesData[[#This Row],[Contracts Signed]])</f>
        <v>13724</v>
      </c>
      <c r="AJ3755" s="5" t="str">
        <f>TRIM(CLEAN(SalesData[[#This Row],[Retailer]]))</f>
        <v>Bavaria Motors</v>
      </c>
    </row>
    <row r="3756" spans="1:36" ht="14.25" x14ac:dyDescent="0.2">
      <c r="A3756" t="s">
        <v>4977</v>
      </c>
      <c r="B3756" s="1">
        <v>46081</v>
      </c>
      <c r="C3756" t="s">
        <v>53</v>
      </c>
      <c r="D3756" t="s">
        <v>151</v>
      </c>
      <c r="E3756" t="s">
        <v>42</v>
      </c>
      <c r="F3756" t="s">
        <v>7649</v>
      </c>
      <c r="G3756" t="s">
        <v>55</v>
      </c>
      <c r="H3756" t="s">
        <v>55</v>
      </c>
      <c r="I3756" t="s">
        <v>30</v>
      </c>
      <c r="J3756" t="s">
        <v>188</v>
      </c>
      <c r="K3756" t="s">
        <v>78</v>
      </c>
      <c r="L3756" t="s">
        <v>33</v>
      </c>
      <c r="M3756" t="s">
        <v>47</v>
      </c>
      <c r="N3756" t="s">
        <v>35</v>
      </c>
      <c r="O3756" t="s">
        <v>36</v>
      </c>
      <c r="P3756" t="s">
        <v>49</v>
      </c>
      <c r="Q3756" t="s">
        <v>204</v>
      </c>
      <c r="R3756">
        <v>223</v>
      </c>
      <c r="S3756">
        <v>130</v>
      </c>
      <c r="T3756">
        <v>100</v>
      </c>
      <c r="U3756">
        <v>37</v>
      </c>
      <c r="V3756" t="s">
        <v>6691</v>
      </c>
      <c r="W3756">
        <v>62125</v>
      </c>
      <c r="X3756" t="s">
        <v>7091</v>
      </c>
      <c r="Y3756">
        <v>45444</v>
      </c>
      <c r="Z3756">
        <v>2298625</v>
      </c>
      <c r="AA3756">
        <v>617197</v>
      </c>
      <c r="AB3756" t="str">
        <f>(VLOOKUP(SalesData[[#This Row],[Month Number]],Reference!C$5:E$16,2,FALSE))</f>
        <v>Feb</v>
      </c>
      <c r="AC3756">
        <f>MONTH(SalesData[[#This Row],[Date]])</f>
        <v>2</v>
      </c>
      <c r="AD3756">
        <f>Reference!F$4</f>
        <v>2026</v>
      </c>
      <c r="AE3756" t="str">
        <f>IF(OR(SalesData[[#This Row],[Day]]="Saturday",SalesData[[#This Row],[Day]]="Sunday"),"Weekend","Weekday")</f>
        <v>Weekend</v>
      </c>
      <c r="AF3756" s="5">
        <f>IF(SalesData[[#This Row],[Contracts Offered]]=0,0,SalesData[[#This Row],[Contracts Signed]]/SalesData[[#This Row],[Contracts Offered]])</f>
        <v>0.37</v>
      </c>
      <c r="AG3756" s="5">
        <f>IF(SalesData[[#This Row],[Customers Visited]]=0,0,SalesData[[#This Row],[Test Drives]]/SalesData[[#This Row],[Customers Visited]])</f>
        <v>0.5829596412556054</v>
      </c>
      <c r="AH3756" s="5">
        <f>IF(SalesData[[#This Row],[Customers Visited]]=0,0,SalesData[[#This Row],[Contracts Signed]]/SalesData[[#This Row],[Customers Visited]])</f>
        <v>0.16591928251121077</v>
      </c>
      <c r="AI3756" s="6">
        <f>IF(SalesData[[#This Row],[Contracts Signed]]=0,0,SalesData[[#This Row],[Profit(€)]]/SalesData[[#This Row],[Contracts Signed]])</f>
        <v>16681</v>
      </c>
      <c r="AJ3756" s="5" t="str">
        <f>TRIM(CLEAN(SalesData[[#This Row],[Retailer]]))</f>
        <v>Autohaus Berlin</v>
      </c>
    </row>
    <row r="3757" spans="1:36" ht="14.25" hidden="1" x14ac:dyDescent="0.2">
      <c r="A3757" t="s">
        <v>4978</v>
      </c>
      <c r="B3757" s="1">
        <v>46070</v>
      </c>
      <c r="C3757" t="s">
        <v>62</v>
      </c>
      <c r="D3757" t="s">
        <v>63</v>
      </c>
      <c r="E3757" t="s">
        <v>26</v>
      </c>
      <c r="F3757" t="s">
        <v>101</v>
      </c>
      <c r="G3757" t="s">
        <v>102</v>
      </c>
      <c r="H3757" t="s">
        <v>103</v>
      </c>
      <c r="I3757" t="s">
        <v>116</v>
      </c>
      <c r="J3757" t="s">
        <v>132</v>
      </c>
      <c r="K3757" t="s">
        <v>66</v>
      </c>
      <c r="L3757" t="s">
        <v>46</v>
      </c>
      <c r="M3757" t="s">
        <v>87</v>
      </c>
      <c r="N3757" t="s">
        <v>69</v>
      </c>
      <c r="O3757" t="s">
        <v>70</v>
      </c>
      <c r="P3757" t="s">
        <v>49</v>
      </c>
      <c r="Q3757" t="s">
        <v>38</v>
      </c>
      <c r="R3757">
        <v>330</v>
      </c>
      <c r="S3757">
        <v>168</v>
      </c>
      <c r="T3757">
        <v>110</v>
      </c>
      <c r="U3757">
        <v>18</v>
      </c>
      <c r="V3757" t="s">
        <v>281</v>
      </c>
      <c r="W3757">
        <v>25485</v>
      </c>
      <c r="X3757" t="s">
        <v>5601</v>
      </c>
      <c r="Y3757">
        <v>23036</v>
      </c>
      <c r="Z3757">
        <v>458730</v>
      </c>
      <c r="AA3757">
        <v>44082</v>
      </c>
      <c r="AB3757" t="str">
        <f>(VLOOKUP(SalesData[[#This Row],[Month Number]],Reference!C$5:E$16,2,FALSE))</f>
        <v>Feb</v>
      </c>
      <c r="AC3757">
        <f>MONTH(SalesData[[#This Row],[Date]])</f>
        <v>2</v>
      </c>
      <c r="AD3757">
        <f>Reference!F$4</f>
        <v>2026</v>
      </c>
      <c r="AE3757" t="str">
        <f>IF(OR(SalesData[[#This Row],[Day]]="Saturday",SalesData[[#This Row],[Day]]="Sunday"),"Weekend","Weekday")</f>
        <v>Weekday</v>
      </c>
      <c r="AF3757" s="5">
        <f>IF(SalesData[[#This Row],[Contracts Offered]]=0,0,SalesData[[#This Row],[Contracts Signed]]/SalesData[[#This Row],[Contracts Offered]])</f>
        <v>0.16363636363636364</v>
      </c>
      <c r="AG3757" s="5">
        <f>IF(SalesData[[#This Row],[Customers Visited]]=0,0,SalesData[[#This Row],[Test Drives]]/SalesData[[#This Row],[Customers Visited]])</f>
        <v>0.50909090909090904</v>
      </c>
      <c r="AH3757" s="5">
        <f>IF(SalesData[[#This Row],[Customers Visited]]=0,0,SalesData[[#This Row],[Contracts Signed]]/SalesData[[#This Row],[Customers Visited]])</f>
        <v>5.4545454545454543E-2</v>
      </c>
      <c r="AI3757" s="6">
        <f>IF(SalesData[[#This Row],[Contracts Signed]]=0,0,SalesData[[#This Row],[Profit(€)]]/SalesData[[#This Row],[Contracts Signed]])</f>
        <v>2449</v>
      </c>
      <c r="AJ3757" s="5" t="str">
        <f>TRIM(CLEAN(SalesData[[#This Row],[Retailer]]))</f>
        <v>Ruhr Auto Plaza</v>
      </c>
    </row>
    <row r="3758" spans="1:36" ht="14.25" hidden="1" x14ac:dyDescent="0.2">
      <c r="A3758" t="s">
        <v>4979</v>
      </c>
      <c r="B3758" s="1">
        <v>46079</v>
      </c>
      <c r="C3758" t="s">
        <v>53</v>
      </c>
      <c r="D3758" t="s">
        <v>100</v>
      </c>
      <c r="E3758" t="s">
        <v>26</v>
      </c>
      <c r="F3758" t="s">
        <v>83</v>
      </c>
      <c r="G3758" t="s">
        <v>84</v>
      </c>
      <c r="H3758" t="s">
        <v>85</v>
      </c>
      <c r="I3758" t="s">
        <v>64</v>
      </c>
      <c r="J3758" t="s">
        <v>111</v>
      </c>
      <c r="K3758" t="s">
        <v>78</v>
      </c>
      <c r="L3758" t="s">
        <v>46</v>
      </c>
      <c r="M3758" t="s">
        <v>87</v>
      </c>
      <c r="N3758" t="s">
        <v>48</v>
      </c>
      <c r="O3758" t="s">
        <v>36</v>
      </c>
      <c r="P3758" t="s">
        <v>49</v>
      </c>
      <c r="Q3758" t="s">
        <v>135</v>
      </c>
      <c r="R3758">
        <v>238</v>
      </c>
      <c r="S3758">
        <v>135</v>
      </c>
      <c r="T3758">
        <v>94</v>
      </c>
      <c r="U3758">
        <v>32</v>
      </c>
      <c r="V3758" t="s">
        <v>6561</v>
      </c>
      <c r="W3758">
        <v>67730</v>
      </c>
      <c r="X3758" t="s">
        <v>7157</v>
      </c>
      <c r="Y3758">
        <v>49140</v>
      </c>
      <c r="Z3758">
        <v>2167360</v>
      </c>
      <c r="AA3758">
        <v>594880</v>
      </c>
      <c r="AB3758" t="str">
        <f>(VLOOKUP(SalesData[[#This Row],[Month Number]],Reference!C$5:E$16,2,FALSE))</f>
        <v>Feb</v>
      </c>
      <c r="AC3758">
        <f>MONTH(SalesData[[#This Row],[Date]])</f>
        <v>2</v>
      </c>
      <c r="AD3758">
        <f>Reference!F$4</f>
        <v>2026</v>
      </c>
      <c r="AE3758" t="str">
        <f>IF(OR(SalesData[[#This Row],[Day]]="Saturday",SalesData[[#This Row],[Day]]="Sunday"),"Weekend","Weekday")</f>
        <v>Weekday</v>
      </c>
      <c r="AF3758" s="5">
        <f>IF(SalesData[[#This Row],[Contracts Offered]]=0,0,SalesData[[#This Row],[Contracts Signed]]/SalesData[[#This Row],[Contracts Offered]])</f>
        <v>0.34042553191489361</v>
      </c>
      <c r="AG3758" s="5">
        <f>IF(SalesData[[#This Row],[Customers Visited]]=0,0,SalesData[[#This Row],[Test Drives]]/SalesData[[#This Row],[Customers Visited]])</f>
        <v>0.5672268907563025</v>
      </c>
      <c r="AH3758" s="5">
        <f>IF(SalesData[[#This Row],[Customers Visited]]=0,0,SalesData[[#This Row],[Contracts Signed]]/SalesData[[#This Row],[Customers Visited]])</f>
        <v>0.13445378151260504</v>
      </c>
      <c r="AI3758" s="6">
        <f>IF(SalesData[[#This Row],[Contracts Signed]]=0,0,SalesData[[#This Row],[Profit(€)]]/SalesData[[#This Row],[Contracts Signed]])</f>
        <v>18590</v>
      </c>
      <c r="AJ3758" s="5" t="str">
        <f>TRIM(CLEAN(SalesData[[#This Row],[Retailer]]))</f>
        <v>Hannover Cars</v>
      </c>
    </row>
    <row r="3759" spans="1:36" ht="14.25" hidden="1" x14ac:dyDescent="0.2">
      <c r="A3759" t="s">
        <v>4980</v>
      </c>
      <c r="B3759" s="1">
        <v>46073</v>
      </c>
      <c r="C3759" t="s">
        <v>62</v>
      </c>
      <c r="D3759" t="s">
        <v>54</v>
      </c>
      <c r="E3759" t="s">
        <v>26</v>
      </c>
      <c r="F3759" t="s">
        <v>109</v>
      </c>
      <c r="G3759" t="s">
        <v>110</v>
      </c>
      <c r="H3759" t="s">
        <v>45</v>
      </c>
      <c r="I3759" t="s">
        <v>116</v>
      </c>
      <c r="J3759" t="s">
        <v>117</v>
      </c>
      <c r="K3759" t="s">
        <v>66</v>
      </c>
      <c r="L3759" t="s">
        <v>67</v>
      </c>
      <c r="M3759" t="s">
        <v>47</v>
      </c>
      <c r="N3759" t="s">
        <v>69</v>
      </c>
      <c r="O3759" t="s">
        <v>70</v>
      </c>
      <c r="P3759" t="s">
        <v>58</v>
      </c>
      <c r="Q3759" t="s">
        <v>169</v>
      </c>
      <c r="R3759">
        <v>373</v>
      </c>
      <c r="S3759">
        <v>195</v>
      </c>
      <c r="T3759">
        <v>119</v>
      </c>
      <c r="U3759">
        <v>37</v>
      </c>
      <c r="V3759" t="s">
        <v>1659</v>
      </c>
      <c r="W3759">
        <v>22283</v>
      </c>
      <c r="X3759" t="s">
        <v>228</v>
      </c>
      <c r="Y3759">
        <v>20630</v>
      </c>
      <c r="Z3759">
        <v>824471</v>
      </c>
      <c r="AA3759">
        <v>61161</v>
      </c>
      <c r="AB3759" t="str">
        <f>(VLOOKUP(SalesData[[#This Row],[Month Number]],Reference!C$5:E$16,2,FALSE))</f>
        <v>Feb</v>
      </c>
      <c r="AC3759">
        <f>MONTH(SalesData[[#This Row],[Date]])</f>
        <v>2</v>
      </c>
      <c r="AD3759">
        <f>Reference!F$4</f>
        <v>2026</v>
      </c>
      <c r="AE3759" t="str">
        <f>IF(OR(SalesData[[#This Row],[Day]]="Saturday",SalesData[[#This Row],[Day]]="Sunday"),"Weekend","Weekday")</f>
        <v>Weekday</v>
      </c>
      <c r="AF3759" s="5">
        <f>IF(SalesData[[#This Row],[Contracts Offered]]=0,0,SalesData[[#This Row],[Contracts Signed]]/SalesData[[#This Row],[Contracts Offered]])</f>
        <v>0.31092436974789917</v>
      </c>
      <c r="AG3759" s="5">
        <f>IF(SalesData[[#This Row],[Customers Visited]]=0,0,SalesData[[#This Row],[Test Drives]]/SalesData[[#This Row],[Customers Visited]])</f>
        <v>0.52278820375335122</v>
      </c>
      <c r="AH3759" s="5">
        <f>IF(SalesData[[#This Row],[Customers Visited]]=0,0,SalesData[[#This Row],[Contracts Signed]]/SalesData[[#This Row],[Customers Visited]])</f>
        <v>9.9195710455764072E-2</v>
      </c>
      <c r="AI3759" s="6">
        <f>IF(SalesData[[#This Row],[Contracts Signed]]=0,0,SalesData[[#This Row],[Profit(€)]]/SalesData[[#This Row],[Contracts Signed]])</f>
        <v>1653</v>
      </c>
      <c r="AJ3759" s="5" t="str">
        <f>TRIM(CLEAN(SalesData[[#This Row],[Retailer]]))</f>
        <v>Leipzig Mobility</v>
      </c>
    </row>
    <row r="3760" spans="1:36" ht="14.25" hidden="1" x14ac:dyDescent="0.2">
      <c r="A3760" t="s">
        <v>4981</v>
      </c>
      <c r="B3760" s="1">
        <v>46070</v>
      </c>
      <c r="C3760" t="s">
        <v>62</v>
      </c>
      <c r="D3760" t="s">
        <v>63</v>
      </c>
      <c r="E3760" t="s">
        <v>26</v>
      </c>
      <c r="F3760" t="s">
        <v>127</v>
      </c>
      <c r="G3760" t="s">
        <v>128</v>
      </c>
      <c r="H3760" t="s">
        <v>103</v>
      </c>
      <c r="I3760" t="s">
        <v>104</v>
      </c>
      <c r="J3760" t="s">
        <v>7031</v>
      </c>
      <c r="K3760" t="s">
        <v>32</v>
      </c>
      <c r="L3760" t="s">
        <v>46</v>
      </c>
      <c r="M3760" t="s">
        <v>34</v>
      </c>
      <c r="N3760" t="s">
        <v>48</v>
      </c>
      <c r="O3760" t="s">
        <v>36</v>
      </c>
      <c r="P3760" t="s">
        <v>58</v>
      </c>
      <c r="Q3760" t="s">
        <v>240</v>
      </c>
      <c r="R3760">
        <v>322</v>
      </c>
      <c r="S3760">
        <v>161</v>
      </c>
      <c r="T3760">
        <v>106</v>
      </c>
      <c r="U3760">
        <v>30</v>
      </c>
      <c r="V3760" t="s">
        <v>2054</v>
      </c>
      <c r="W3760">
        <v>30405</v>
      </c>
      <c r="X3760" t="s">
        <v>1646</v>
      </c>
      <c r="Y3760">
        <v>27295</v>
      </c>
      <c r="Z3760">
        <v>912150</v>
      </c>
      <c r="AA3760">
        <v>93300</v>
      </c>
      <c r="AB3760" t="str">
        <f>(VLOOKUP(SalesData[[#This Row],[Month Number]],Reference!C$5:E$16,2,FALSE))</f>
        <v>Feb</v>
      </c>
      <c r="AC3760">
        <f>MONTH(SalesData[[#This Row],[Date]])</f>
        <v>2</v>
      </c>
      <c r="AD3760">
        <f>Reference!F$4</f>
        <v>2026</v>
      </c>
      <c r="AE3760" t="str">
        <f>IF(OR(SalesData[[#This Row],[Day]]="Saturday",SalesData[[#This Row],[Day]]="Sunday"),"Weekend","Weekday")</f>
        <v>Weekday</v>
      </c>
      <c r="AF3760" s="5">
        <f>IF(SalesData[[#This Row],[Contracts Offered]]=0,0,SalesData[[#This Row],[Contracts Signed]]/SalesData[[#This Row],[Contracts Offered]])</f>
        <v>0.28301886792452829</v>
      </c>
      <c r="AG3760" s="5">
        <f>IF(SalesData[[#This Row],[Customers Visited]]=0,0,SalesData[[#This Row],[Test Drives]]/SalesData[[#This Row],[Customers Visited]])</f>
        <v>0.5</v>
      </c>
      <c r="AH3760" s="5">
        <f>IF(SalesData[[#This Row],[Customers Visited]]=0,0,SalesData[[#This Row],[Contracts Signed]]/SalesData[[#This Row],[Customers Visited]])</f>
        <v>9.3167701863354033E-2</v>
      </c>
      <c r="AI3760" s="6">
        <f>IF(SalesData[[#This Row],[Contracts Signed]]=0,0,SalesData[[#This Row],[Profit(€)]]/SalesData[[#This Row],[Contracts Signed]])</f>
        <v>3110</v>
      </c>
      <c r="AJ3760" s="5" t="str">
        <f>TRIM(CLEAN(SalesData[[#This Row],[Retailer]]))</f>
        <v>Rhein Auto Group</v>
      </c>
    </row>
    <row r="3761" spans="1:36" ht="14.25" x14ac:dyDescent="0.2">
      <c r="A3761" t="s">
        <v>4983</v>
      </c>
      <c r="B3761" s="1">
        <v>46071</v>
      </c>
      <c r="C3761" t="s">
        <v>62</v>
      </c>
      <c r="D3761" t="s">
        <v>82</v>
      </c>
      <c r="E3761" t="s">
        <v>26</v>
      </c>
      <c r="F3761" t="s">
        <v>74</v>
      </c>
      <c r="G3761" t="s">
        <v>75</v>
      </c>
      <c r="H3761" t="s">
        <v>76</v>
      </c>
      <c r="I3761" t="s">
        <v>30</v>
      </c>
      <c r="J3761" t="s">
        <v>86</v>
      </c>
      <c r="K3761" t="s">
        <v>32</v>
      </c>
      <c r="L3761" t="s">
        <v>33</v>
      </c>
      <c r="M3761" t="s">
        <v>68</v>
      </c>
      <c r="N3761" t="s">
        <v>69</v>
      </c>
      <c r="O3761" t="s">
        <v>70</v>
      </c>
      <c r="P3761" t="s">
        <v>71</v>
      </c>
      <c r="Q3761" t="s">
        <v>204</v>
      </c>
      <c r="R3761">
        <v>280</v>
      </c>
      <c r="S3761">
        <v>154</v>
      </c>
      <c r="T3761">
        <v>118</v>
      </c>
      <c r="U3761">
        <v>42</v>
      </c>
      <c r="V3761" t="s">
        <v>6483</v>
      </c>
      <c r="W3761">
        <v>53587</v>
      </c>
      <c r="X3761" t="s">
        <v>1551</v>
      </c>
      <c r="Y3761">
        <v>38375</v>
      </c>
      <c r="Z3761">
        <v>2250654</v>
      </c>
      <c r="AA3761">
        <v>638904</v>
      </c>
      <c r="AB3761" t="str">
        <f>(VLOOKUP(SalesData[[#This Row],[Month Number]],Reference!C$5:E$16,2,FALSE))</f>
        <v>Feb</v>
      </c>
      <c r="AC3761">
        <f>MONTH(SalesData[[#This Row],[Date]])</f>
        <v>2</v>
      </c>
      <c r="AD3761">
        <f>Reference!F$4</f>
        <v>2026</v>
      </c>
      <c r="AE3761" t="str">
        <f>IF(OR(SalesData[[#This Row],[Day]]="Saturday",SalesData[[#This Row],[Day]]="Sunday"),"Weekend","Weekday")</f>
        <v>Weekday</v>
      </c>
      <c r="AF3761" s="5">
        <f>IF(SalesData[[#This Row],[Contracts Offered]]=0,0,SalesData[[#This Row],[Contracts Signed]]/SalesData[[#This Row],[Contracts Offered]])</f>
        <v>0.3559322033898305</v>
      </c>
      <c r="AG3761" s="5">
        <f>IF(SalesData[[#This Row],[Customers Visited]]=0,0,SalesData[[#This Row],[Test Drives]]/SalesData[[#This Row],[Customers Visited]])</f>
        <v>0.55000000000000004</v>
      </c>
      <c r="AH3761" s="5">
        <f>IF(SalesData[[#This Row],[Customers Visited]]=0,0,SalesData[[#This Row],[Contracts Signed]]/SalesData[[#This Row],[Customers Visited]])</f>
        <v>0.15</v>
      </c>
      <c r="AI3761" s="6">
        <f>IF(SalesData[[#This Row],[Contracts Signed]]=0,0,SalesData[[#This Row],[Profit(€)]]/SalesData[[#This Row],[Contracts Signed]])</f>
        <v>15212</v>
      </c>
      <c r="AJ3761" s="5" t="str">
        <f>TRIM(CLEAN(SalesData[[#This Row],[Retailer]]))</f>
        <v>Stuttgart Auto Center</v>
      </c>
    </row>
    <row r="3762" spans="1:36" ht="14.25" hidden="1" x14ac:dyDescent="0.2">
      <c r="A3762" t="s">
        <v>4984</v>
      </c>
      <c r="B3762" s="1">
        <v>46055</v>
      </c>
      <c r="C3762" t="s">
        <v>24</v>
      </c>
      <c r="D3762" t="s">
        <v>25</v>
      </c>
      <c r="E3762" t="s">
        <v>26</v>
      </c>
      <c r="F3762" t="s">
        <v>27</v>
      </c>
      <c r="G3762" t="s">
        <v>28</v>
      </c>
      <c r="H3762" t="s">
        <v>29</v>
      </c>
      <c r="I3762" t="s">
        <v>56</v>
      </c>
      <c r="J3762" t="s">
        <v>137</v>
      </c>
      <c r="K3762" t="s">
        <v>91</v>
      </c>
      <c r="L3762" t="s">
        <v>46</v>
      </c>
      <c r="M3762" t="s">
        <v>68</v>
      </c>
      <c r="N3762" t="s">
        <v>48</v>
      </c>
      <c r="O3762" t="s">
        <v>70</v>
      </c>
      <c r="P3762" t="s">
        <v>58</v>
      </c>
      <c r="Q3762" t="s">
        <v>189</v>
      </c>
      <c r="R3762">
        <v>269</v>
      </c>
      <c r="S3762">
        <v>144</v>
      </c>
      <c r="T3762">
        <v>95</v>
      </c>
      <c r="U3762">
        <v>38</v>
      </c>
      <c r="V3762" t="s">
        <v>6784</v>
      </c>
      <c r="W3762">
        <v>53876</v>
      </c>
      <c r="X3762" t="s">
        <v>7426</v>
      </c>
      <c r="Y3762">
        <v>43611</v>
      </c>
      <c r="Z3762">
        <v>2047288</v>
      </c>
      <c r="AA3762">
        <v>390070</v>
      </c>
      <c r="AB3762" t="str">
        <f>(VLOOKUP(SalesData[[#This Row],[Month Number]],Reference!C$5:E$16,2,FALSE))</f>
        <v>Feb</v>
      </c>
      <c r="AC3762">
        <f>MONTH(SalesData[[#This Row],[Date]])</f>
        <v>2</v>
      </c>
      <c r="AD3762">
        <f>Reference!F$4</f>
        <v>2026</v>
      </c>
      <c r="AE3762" t="str">
        <f>IF(OR(SalesData[[#This Row],[Day]]="Saturday",SalesData[[#This Row],[Day]]="Sunday"),"Weekend","Weekday")</f>
        <v>Weekday</v>
      </c>
      <c r="AF3762" s="5">
        <f>IF(SalesData[[#This Row],[Contracts Offered]]=0,0,SalesData[[#This Row],[Contracts Signed]]/SalesData[[#This Row],[Contracts Offered]])</f>
        <v>0.4</v>
      </c>
      <c r="AG3762" s="5">
        <f>IF(SalesData[[#This Row],[Customers Visited]]=0,0,SalesData[[#This Row],[Test Drives]]/SalesData[[#This Row],[Customers Visited]])</f>
        <v>0.53531598513011147</v>
      </c>
      <c r="AH3762" s="5">
        <f>IF(SalesData[[#This Row],[Customers Visited]]=0,0,SalesData[[#This Row],[Contracts Signed]]/SalesData[[#This Row],[Customers Visited]])</f>
        <v>0.14126394052044611</v>
      </c>
      <c r="AI3762" s="6">
        <f>IF(SalesData[[#This Row],[Contracts Signed]]=0,0,SalesData[[#This Row],[Profit(€)]]/SalesData[[#This Row],[Contracts Signed]])</f>
        <v>10265</v>
      </c>
      <c r="AJ3762" s="5" t="str">
        <f>TRIM(CLEAN(SalesData[[#This Row],[Retailer]]))</f>
        <v>Main Auto Hub</v>
      </c>
    </row>
    <row r="3763" spans="1:36" ht="14.25" hidden="1" x14ac:dyDescent="0.2">
      <c r="A3763" t="s">
        <v>4985</v>
      </c>
      <c r="B3763" s="1">
        <v>46073</v>
      </c>
      <c r="C3763" t="s">
        <v>62</v>
      </c>
      <c r="D3763" t="s">
        <v>54</v>
      </c>
      <c r="E3763" t="s">
        <v>26</v>
      </c>
      <c r="F3763" t="s">
        <v>43</v>
      </c>
      <c r="G3763" t="s">
        <v>44</v>
      </c>
      <c r="H3763" t="s">
        <v>45</v>
      </c>
      <c r="I3763" t="s">
        <v>116</v>
      </c>
      <c r="J3763" t="s">
        <v>117</v>
      </c>
      <c r="K3763" t="s">
        <v>32</v>
      </c>
      <c r="L3763" t="s">
        <v>67</v>
      </c>
      <c r="M3763" t="s">
        <v>87</v>
      </c>
      <c r="N3763" t="s">
        <v>69</v>
      </c>
      <c r="O3763" t="s">
        <v>70</v>
      </c>
      <c r="P3763" t="s">
        <v>71</v>
      </c>
      <c r="Q3763" t="s">
        <v>106</v>
      </c>
      <c r="R3763">
        <v>248</v>
      </c>
      <c r="S3763">
        <v>129</v>
      </c>
      <c r="T3763">
        <v>85</v>
      </c>
      <c r="U3763">
        <v>21</v>
      </c>
      <c r="V3763" t="s">
        <v>89</v>
      </c>
      <c r="W3763">
        <v>23377</v>
      </c>
      <c r="X3763" t="s">
        <v>2883</v>
      </c>
      <c r="Y3763">
        <v>21412</v>
      </c>
      <c r="Z3763">
        <v>490917</v>
      </c>
      <c r="AA3763">
        <v>41265</v>
      </c>
      <c r="AB3763" t="str">
        <f>(VLOOKUP(SalesData[[#This Row],[Month Number]],Reference!C$5:E$16,2,FALSE))</f>
        <v>Feb</v>
      </c>
      <c r="AC3763">
        <f>MONTH(SalesData[[#This Row],[Date]])</f>
        <v>2</v>
      </c>
      <c r="AD3763">
        <f>Reference!F$4</f>
        <v>2026</v>
      </c>
      <c r="AE3763" t="str">
        <f>IF(OR(SalesData[[#This Row],[Day]]="Saturday",SalesData[[#This Row],[Day]]="Sunday"),"Weekend","Weekday")</f>
        <v>Weekday</v>
      </c>
      <c r="AF3763" s="5">
        <f>IF(SalesData[[#This Row],[Contracts Offered]]=0,0,SalesData[[#This Row],[Contracts Signed]]/SalesData[[#This Row],[Contracts Offered]])</f>
        <v>0.24705882352941178</v>
      </c>
      <c r="AG3763" s="5">
        <f>IF(SalesData[[#This Row],[Customers Visited]]=0,0,SalesData[[#This Row],[Test Drives]]/SalesData[[#This Row],[Customers Visited]])</f>
        <v>0.52016129032258063</v>
      </c>
      <c r="AH3763" s="5">
        <f>IF(SalesData[[#This Row],[Customers Visited]]=0,0,SalesData[[#This Row],[Contracts Signed]]/SalesData[[#This Row],[Customers Visited]])</f>
        <v>8.4677419354838704E-2</v>
      </c>
      <c r="AI3763" s="6">
        <f>IF(SalesData[[#This Row],[Contracts Signed]]=0,0,SalesData[[#This Row],[Profit(€)]]/SalesData[[#This Row],[Contracts Signed]])</f>
        <v>1965</v>
      </c>
      <c r="AJ3763" s="5" t="str">
        <f>TRIM(CLEAN(SalesData[[#This Row],[Retailer]]))</f>
        <v>Saxon Wheels</v>
      </c>
    </row>
    <row r="3764" spans="1:36" ht="14.25" hidden="1" x14ac:dyDescent="0.2">
      <c r="A3764" t="s">
        <v>4986</v>
      </c>
      <c r="B3764" s="1">
        <v>46081</v>
      </c>
      <c r="C3764" t="s">
        <v>53</v>
      </c>
      <c r="D3764" t="s">
        <v>151</v>
      </c>
      <c r="E3764" t="s">
        <v>42</v>
      </c>
      <c r="F3764" t="s">
        <v>27</v>
      </c>
      <c r="G3764" t="s">
        <v>28</v>
      </c>
      <c r="H3764" t="s">
        <v>29</v>
      </c>
      <c r="I3764" t="s">
        <v>116</v>
      </c>
      <c r="J3764" t="s">
        <v>7026</v>
      </c>
      <c r="K3764" t="s">
        <v>32</v>
      </c>
      <c r="L3764" t="s">
        <v>46</v>
      </c>
      <c r="M3764" t="s">
        <v>68</v>
      </c>
      <c r="N3764" t="s">
        <v>35</v>
      </c>
      <c r="O3764" t="s">
        <v>36</v>
      </c>
      <c r="P3764" t="s">
        <v>71</v>
      </c>
      <c r="Q3764" t="s">
        <v>135</v>
      </c>
      <c r="R3764">
        <v>413</v>
      </c>
      <c r="S3764">
        <v>197</v>
      </c>
      <c r="T3764">
        <v>128</v>
      </c>
      <c r="U3764">
        <v>36</v>
      </c>
      <c r="V3764" t="s">
        <v>2189</v>
      </c>
      <c r="W3764">
        <v>23511</v>
      </c>
      <c r="X3764" t="s">
        <v>6995</v>
      </c>
      <c r="Y3764">
        <v>21463</v>
      </c>
      <c r="Z3764">
        <v>846396</v>
      </c>
      <c r="AA3764">
        <v>73728</v>
      </c>
      <c r="AB3764" t="str">
        <f>(VLOOKUP(SalesData[[#This Row],[Month Number]],Reference!C$5:E$16,2,FALSE))</f>
        <v>Feb</v>
      </c>
      <c r="AC3764">
        <f>MONTH(SalesData[[#This Row],[Date]])</f>
        <v>2</v>
      </c>
      <c r="AD3764">
        <f>Reference!F$4</f>
        <v>2026</v>
      </c>
      <c r="AE3764" t="str">
        <f>IF(OR(SalesData[[#This Row],[Day]]="Saturday",SalesData[[#This Row],[Day]]="Sunday"),"Weekend","Weekday")</f>
        <v>Weekend</v>
      </c>
      <c r="AF3764" s="5">
        <f>IF(SalesData[[#This Row],[Contracts Offered]]=0,0,SalesData[[#This Row],[Contracts Signed]]/SalesData[[#This Row],[Contracts Offered]])</f>
        <v>0.28125</v>
      </c>
      <c r="AG3764" s="5">
        <f>IF(SalesData[[#This Row],[Customers Visited]]=0,0,SalesData[[#This Row],[Test Drives]]/SalesData[[#This Row],[Customers Visited]])</f>
        <v>0.47699757869249393</v>
      </c>
      <c r="AH3764" s="5">
        <f>IF(SalesData[[#This Row],[Customers Visited]]=0,0,SalesData[[#This Row],[Contracts Signed]]/SalesData[[#This Row],[Customers Visited]])</f>
        <v>8.7167070217917669E-2</v>
      </c>
      <c r="AI3764" s="6">
        <f>IF(SalesData[[#This Row],[Contracts Signed]]=0,0,SalesData[[#This Row],[Profit(€)]]/SalesData[[#This Row],[Contracts Signed]])</f>
        <v>2048</v>
      </c>
      <c r="AJ3764" s="5" t="str">
        <f>TRIM(CLEAN(SalesData[[#This Row],[Retailer]]))</f>
        <v>Main Auto Hub</v>
      </c>
    </row>
    <row r="3765" spans="1:36" ht="14.25" hidden="1" x14ac:dyDescent="0.2">
      <c r="A3765" t="s">
        <v>4987</v>
      </c>
      <c r="B3765" s="1">
        <v>46078</v>
      </c>
      <c r="C3765" t="s">
        <v>53</v>
      </c>
      <c r="D3765" t="s">
        <v>82</v>
      </c>
      <c r="E3765" t="s">
        <v>26</v>
      </c>
      <c r="F3765" t="s">
        <v>43</v>
      </c>
      <c r="G3765" t="s">
        <v>44</v>
      </c>
      <c r="H3765" t="s">
        <v>45</v>
      </c>
      <c r="I3765" t="s">
        <v>56</v>
      </c>
      <c r="J3765" t="s">
        <v>57</v>
      </c>
      <c r="K3765" t="s">
        <v>78</v>
      </c>
      <c r="L3765" t="s">
        <v>46</v>
      </c>
      <c r="M3765" t="s">
        <v>34</v>
      </c>
      <c r="N3765" t="s">
        <v>35</v>
      </c>
      <c r="O3765" t="s">
        <v>36</v>
      </c>
      <c r="P3765" t="s">
        <v>58</v>
      </c>
      <c r="Q3765" t="s">
        <v>167</v>
      </c>
      <c r="R3765">
        <v>247</v>
      </c>
      <c r="S3765">
        <v>132</v>
      </c>
      <c r="T3765">
        <v>95</v>
      </c>
      <c r="U3765">
        <v>36</v>
      </c>
      <c r="V3765" t="s">
        <v>6483</v>
      </c>
      <c r="W3765">
        <v>44102</v>
      </c>
      <c r="X3765" t="s">
        <v>80</v>
      </c>
      <c r="Y3765">
        <v>34348</v>
      </c>
      <c r="Z3765">
        <v>1587672</v>
      </c>
      <c r="AA3765">
        <v>351144</v>
      </c>
      <c r="AB3765" t="str">
        <f>(VLOOKUP(SalesData[[#This Row],[Month Number]],Reference!C$5:E$16,2,FALSE))</f>
        <v>Feb</v>
      </c>
      <c r="AC3765">
        <f>MONTH(SalesData[[#This Row],[Date]])</f>
        <v>2</v>
      </c>
      <c r="AD3765">
        <f>Reference!F$4</f>
        <v>2026</v>
      </c>
      <c r="AE3765" t="str">
        <f>IF(OR(SalesData[[#This Row],[Day]]="Saturday",SalesData[[#This Row],[Day]]="Sunday"),"Weekend","Weekday")</f>
        <v>Weekday</v>
      </c>
      <c r="AF3765" s="5">
        <f>IF(SalesData[[#This Row],[Contracts Offered]]=0,0,SalesData[[#This Row],[Contracts Signed]]/SalesData[[#This Row],[Contracts Offered]])</f>
        <v>0.37894736842105264</v>
      </c>
      <c r="AG3765" s="5">
        <f>IF(SalesData[[#This Row],[Customers Visited]]=0,0,SalesData[[#This Row],[Test Drives]]/SalesData[[#This Row],[Customers Visited]])</f>
        <v>0.53441295546558709</v>
      </c>
      <c r="AH3765" s="5">
        <f>IF(SalesData[[#This Row],[Customers Visited]]=0,0,SalesData[[#This Row],[Contracts Signed]]/SalesData[[#This Row],[Customers Visited]])</f>
        <v>0.145748987854251</v>
      </c>
      <c r="AI3765" s="6">
        <f>IF(SalesData[[#This Row],[Contracts Signed]]=0,0,SalesData[[#This Row],[Profit(€)]]/SalesData[[#This Row],[Contracts Signed]])</f>
        <v>9754</v>
      </c>
      <c r="AJ3765" s="5" t="str">
        <f>TRIM(CLEAN(SalesData[[#This Row],[Retailer]]))</f>
        <v>Saxon Wheels</v>
      </c>
    </row>
    <row r="3766" spans="1:36" ht="14.25" hidden="1" x14ac:dyDescent="0.2">
      <c r="A3766" t="s">
        <v>4988</v>
      </c>
      <c r="B3766" s="1">
        <v>46066</v>
      </c>
      <c r="C3766" t="s">
        <v>121</v>
      </c>
      <c r="D3766" t="s">
        <v>54</v>
      </c>
      <c r="E3766" t="s">
        <v>26</v>
      </c>
      <c r="F3766" t="s">
        <v>74</v>
      </c>
      <c r="G3766" t="s">
        <v>75</v>
      </c>
      <c r="H3766" t="s">
        <v>76</v>
      </c>
      <c r="I3766" t="s">
        <v>64</v>
      </c>
      <c r="J3766" t="s">
        <v>7029</v>
      </c>
      <c r="K3766" t="s">
        <v>32</v>
      </c>
      <c r="L3766" t="s">
        <v>33</v>
      </c>
      <c r="M3766" t="s">
        <v>47</v>
      </c>
      <c r="N3766" t="s">
        <v>35</v>
      </c>
      <c r="O3766" t="s">
        <v>36</v>
      </c>
      <c r="P3766" t="s">
        <v>37</v>
      </c>
      <c r="Q3766" t="s">
        <v>79</v>
      </c>
      <c r="R3766">
        <v>203</v>
      </c>
      <c r="S3766">
        <v>119</v>
      </c>
      <c r="T3766">
        <v>79</v>
      </c>
      <c r="U3766">
        <v>32</v>
      </c>
      <c r="V3766" t="s">
        <v>6632</v>
      </c>
      <c r="W3766">
        <v>70530</v>
      </c>
      <c r="X3766" t="s">
        <v>7273</v>
      </c>
      <c r="Y3766">
        <v>55264</v>
      </c>
      <c r="Z3766">
        <v>2256960</v>
      </c>
      <c r="AA3766">
        <v>488512</v>
      </c>
      <c r="AB3766" t="str">
        <f>(VLOOKUP(SalesData[[#This Row],[Month Number]],Reference!C$5:E$16,2,FALSE))</f>
        <v>Feb</v>
      </c>
      <c r="AC3766">
        <f>MONTH(SalesData[[#This Row],[Date]])</f>
        <v>2</v>
      </c>
      <c r="AD3766">
        <f>Reference!F$4</f>
        <v>2026</v>
      </c>
      <c r="AE3766" t="str">
        <f>IF(OR(SalesData[[#This Row],[Day]]="Saturday",SalesData[[#This Row],[Day]]="Sunday"),"Weekend","Weekday")</f>
        <v>Weekday</v>
      </c>
      <c r="AF3766" s="5">
        <f>IF(SalesData[[#This Row],[Contracts Offered]]=0,0,SalesData[[#This Row],[Contracts Signed]]/SalesData[[#This Row],[Contracts Offered]])</f>
        <v>0.4050632911392405</v>
      </c>
      <c r="AG3766" s="5">
        <f>IF(SalesData[[#This Row],[Customers Visited]]=0,0,SalesData[[#This Row],[Test Drives]]/SalesData[[#This Row],[Customers Visited]])</f>
        <v>0.58620689655172409</v>
      </c>
      <c r="AH3766" s="5">
        <f>IF(SalesData[[#This Row],[Customers Visited]]=0,0,SalesData[[#This Row],[Contracts Signed]]/SalesData[[#This Row],[Customers Visited]])</f>
        <v>0.15763546798029557</v>
      </c>
      <c r="AI3766" s="6">
        <f>IF(SalesData[[#This Row],[Contracts Signed]]=0,0,SalesData[[#This Row],[Profit(€)]]/SalesData[[#This Row],[Contracts Signed]])</f>
        <v>15266</v>
      </c>
      <c r="AJ3766" s="5" t="str">
        <f>TRIM(CLEAN(SalesData[[#This Row],[Retailer]]))</f>
        <v>Stuttgart Auto Center</v>
      </c>
    </row>
    <row r="3767" spans="1:36" ht="14.25" x14ac:dyDescent="0.2">
      <c r="A3767" t="s">
        <v>4989</v>
      </c>
      <c r="B3767" s="1">
        <v>46079</v>
      </c>
      <c r="C3767" t="s">
        <v>53</v>
      </c>
      <c r="D3767" t="s">
        <v>100</v>
      </c>
      <c r="E3767" t="s">
        <v>26</v>
      </c>
      <c r="F3767" t="s">
        <v>74</v>
      </c>
      <c r="G3767" t="s">
        <v>75</v>
      </c>
      <c r="H3767" t="s">
        <v>76</v>
      </c>
      <c r="I3767" t="s">
        <v>30</v>
      </c>
      <c r="J3767" t="s">
        <v>7075</v>
      </c>
      <c r="K3767" t="s">
        <v>66</v>
      </c>
      <c r="L3767" t="s">
        <v>33</v>
      </c>
      <c r="M3767" t="s">
        <v>34</v>
      </c>
      <c r="N3767" t="s">
        <v>48</v>
      </c>
      <c r="O3767" t="s">
        <v>70</v>
      </c>
      <c r="P3767" t="s">
        <v>37</v>
      </c>
      <c r="Q3767" t="s">
        <v>169</v>
      </c>
      <c r="R3767">
        <v>236</v>
      </c>
      <c r="S3767">
        <v>116</v>
      </c>
      <c r="T3767">
        <v>92</v>
      </c>
      <c r="U3767">
        <v>28</v>
      </c>
      <c r="V3767" t="s">
        <v>6659</v>
      </c>
      <c r="W3767">
        <v>57638</v>
      </c>
      <c r="X3767" t="s">
        <v>3488</v>
      </c>
      <c r="Y3767">
        <v>44138</v>
      </c>
      <c r="Z3767">
        <v>1613864</v>
      </c>
      <c r="AA3767">
        <v>378000</v>
      </c>
      <c r="AB3767" t="str">
        <f>(VLOOKUP(SalesData[[#This Row],[Month Number]],Reference!C$5:E$16,2,FALSE))</f>
        <v>Feb</v>
      </c>
      <c r="AC3767">
        <f>MONTH(SalesData[[#This Row],[Date]])</f>
        <v>2</v>
      </c>
      <c r="AD3767">
        <f>Reference!F$4</f>
        <v>2026</v>
      </c>
      <c r="AE3767" t="str">
        <f>IF(OR(SalesData[[#This Row],[Day]]="Saturday",SalesData[[#This Row],[Day]]="Sunday"),"Weekend","Weekday")</f>
        <v>Weekday</v>
      </c>
      <c r="AF3767" s="5">
        <f>IF(SalesData[[#This Row],[Contracts Offered]]=0,0,SalesData[[#This Row],[Contracts Signed]]/SalesData[[#This Row],[Contracts Offered]])</f>
        <v>0.30434782608695654</v>
      </c>
      <c r="AG3767" s="5">
        <f>IF(SalesData[[#This Row],[Customers Visited]]=0,0,SalesData[[#This Row],[Test Drives]]/SalesData[[#This Row],[Customers Visited]])</f>
        <v>0.49152542372881358</v>
      </c>
      <c r="AH3767" s="5">
        <f>IF(SalesData[[#This Row],[Customers Visited]]=0,0,SalesData[[#This Row],[Contracts Signed]]/SalesData[[#This Row],[Customers Visited]])</f>
        <v>0.11864406779661017</v>
      </c>
      <c r="AI3767" s="6">
        <f>IF(SalesData[[#This Row],[Contracts Signed]]=0,0,SalesData[[#This Row],[Profit(€)]]/SalesData[[#This Row],[Contracts Signed]])</f>
        <v>13500</v>
      </c>
      <c r="AJ3767" s="5" t="str">
        <f>TRIM(CLEAN(SalesData[[#This Row],[Retailer]]))</f>
        <v>Stuttgart Auto Center</v>
      </c>
    </row>
    <row r="3768" spans="1:36" ht="14.25" hidden="1" x14ac:dyDescent="0.2">
      <c r="A3768" t="s">
        <v>4991</v>
      </c>
      <c r="B3768" s="1">
        <v>46076</v>
      </c>
      <c r="C3768" t="s">
        <v>53</v>
      </c>
      <c r="D3768" t="s">
        <v>25</v>
      </c>
      <c r="E3768" t="s">
        <v>26</v>
      </c>
      <c r="F3768" t="s">
        <v>83</v>
      </c>
      <c r="G3768" t="s">
        <v>84</v>
      </c>
      <c r="H3768" t="s">
        <v>85</v>
      </c>
      <c r="I3768" t="s">
        <v>116</v>
      </c>
      <c r="J3768" t="s">
        <v>7090</v>
      </c>
      <c r="K3768" t="s">
        <v>78</v>
      </c>
      <c r="L3768" t="s">
        <v>46</v>
      </c>
      <c r="M3768" t="s">
        <v>68</v>
      </c>
      <c r="N3768" t="s">
        <v>69</v>
      </c>
      <c r="O3768" t="s">
        <v>70</v>
      </c>
      <c r="P3768" t="s">
        <v>58</v>
      </c>
      <c r="Q3768" t="s">
        <v>50</v>
      </c>
      <c r="R3768">
        <v>249</v>
      </c>
      <c r="S3768">
        <v>111</v>
      </c>
      <c r="T3768">
        <v>64</v>
      </c>
      <c r="U3768">
        <v>22</v>
      </c>
      <c r="V3768" t="s">
        <v>6449</v>
      </c>
      <c r="W3768">
        <v>22511</v>
      </c>
      <c r="X3768" t="s">
        <v>1850</v>
      </c>
      <c r="Y3768">
        <v>20586</v>
      </c>
      <c r="Z3768">
        <v>495242</v>
      </c>
      <c r="AA3768">
        <v>42350</v>
      </c>
      <c r="AB3768" t="str">
        <f>(VLOOKUP(SalesData[[#This Row],[Month Number]],Reference!C$5:E$16,2,FALSE))</f>
        <v>Feb</v>
      </c>
      <c r="AC3768">
        <f>MONTH(SalesData[[#This Row],[Date]])</f>
        <v>2</v>
      </c>
      <c r="AD3768">
        <f>Reference!F$4</f>
        <v>2026</v>
      </c>
      <c r="AE3768" t="str">
        <f>IF(OR(SalesData[[#This Row],[Day]]="Saturday",SalesData[[#This Row],[Day]]="Sunday"),"Weekend","Weekday")</f>
        <v>Weekday</v>
      </c>
      <c r="AF3768" s="5">
        <f>IF(SalesData[[#This Row],[Contracts Offered]]=0,0,SalesData[[#This Row],[Contracts Signed]]/SalesData[[#This Row],[Contracts Offered]])</f>
        <v>0.34375</v>
      </c>
      <c r="AG3768" s="5">
        <f>IF(SalesData[[#This Row],[Customers Visited]]=0,0,SalesData[[#This Row],[Test Drives]]/SalesData[[#This Row],[Customers Visited]])</f>
        <v>0.44578313253012047</v>
      </c>
      <c r="AH3768" s="5">
        <f>IF(SalesData[[#This Row],[Customers Visited]]=0,0,SalesData[[#This Row],[Contracts Signed]]/SalesData[[#This Row],[Customers Visited]])</f>
        <v>8.8353413654618476E-2</v>
      </c>
      <c r="AI3768" s="6">
        <f>IF(SalesData[[#This Row],[Contracts Signed]]=0,0,SalesData[[#This Row],[Profit(€)]]/SalesData[[#This Row],[Contracts Signed]])</f>
        <v>1925</v>
      </c>
      <c r="AJ3768" s="5" t="str">
        <f>TRIM(CLEAN(SalesData[[#This Row],[Retailer]]))</f>
        <v>Hannover Cars</v>
      </c>
    </row>
    <row r="3769" spans="1:36" ht="14.25" hidden="1" x14ac:dyDescent="0.2">
      <c r="A3769" t="s">
        <v>4992</v>
      </c>
      <c r="B3769" s="1">
        <v>46081</v>
      </c>
      <c r="C3769" t="s">
        <v>53</v>
      </c>
      <c r="D3769" t="s">
        <v>151</v>
      </c>
      <c r="E3769" t="s">
        <v>42</v>
      </c>
      <c r="F3769" t="s">
        <v>43</v>
      </c>
      <c r="G3769" t="s">
        <v>44</v>
      </c>
      <c r="H3769" t="s">
        <v>45</v>
      </c>
      <c r="I3769" t="s">
        <v>56</v>
      </c>
      <c r="J3769" t="s">
        <v>137</v>
      </c>
      <c r="K3769" t="s">
        <v>32</v>
      </c>
      <c r="L3769" t="s">
        <v>46</v>
      </c>
      <c r="M3769" t="s">
        <v>34</v>
      </c>
      <c r="N3769" t="s">
        <v>69</v>
      </c>
      <c r="O3769" t="s">
        <v>36</v>
      </c>
      <c r="P3769" t="s">
        <v>37</v>
      </c>
      <c r="Q3769" t="s">
        <v>129</v>
      </c>
      <c r="R3769">
        <v>187</v>
      </c>
      <c r="S3769">
        <v>87</v>
      </c>
      <c r="T3769">
        <v>64</v>
      </c>
      <c r="U3769">
        <v>18</v>
      </c>
      <c r="V3769" t="s">
        <v>6818</v>
      </c>
      <c r="W3769">
        <v>44616</v>
      </c>
      <c r="X3769" t="s">
        <v>2887</v>
      </c>
      <c r="Y3769">
        <v>35976</v>
      </c>
      <c r="Z3769">
        <v>803088</v>
      </c>
      <c r="AA3769">
        <v>155520</v>
      </c>
      <c r="AB3769" t="str">
        <f>(VLOOKUP(SalesData[[#This Row],[Month Number]],Reference!C$5:E$16,2,FALSE))</f>
        <v>Feb</v>
      </c>
      <c r="AC3769">
        <f>MONTH(SalesData[[#This Row],[Date]])</f>
        <v>2</v>
      </c>
      <c r="AD3769">
        <f>Reference!F$4</f>
        <v>2026</v>
      </c>
      <c r="AE3769" t="str">
        <f>IF(OR(SalesData[[#This Row],[Day]]="Saturday",SalesData[[#This Row],[Day]]="Sunday"),"Weekend","Weekday")</f>
        <v>Weekend</v>
      </c>
      <c r="AF3769" s="5">
        <f>IF(SalesData[[#This Row],[Contracts Offered]]=0,0,SalesData[[#This Row],[Contracts Signed]]/SalesData[[#This Row],[Contracts Offered]])</f>
        <v>0.28125</v>
      </c>
      <c r="AG3769" s="5">
        <f>IF(SalesData[[#This Row],[Customers Visited]]=0,0,SalesData[[#This Row],[Test Drives]]/SalesData[[#This Row],[Customers Visited]])</f>
        <v>0.46524064171122997</v>
      </c>
      <c r="AH3769" s="5">
        <f>IF(SalesData[[#This Row],[Customers Visited]]=0,0,SalesData[[#This Row],[Contracts Signed]]/SalesData[[#This Row],[Customers Visited]])</f>
        <v>9.6256684491978606E-2</v>
      </c>
      <c r="AI3769" s="6">
        <f>IF(SalesData[[#This Row],[Contracts Signed]]=0,0,SalesData[[#This Row],[Profit(€)]]/SalesData[[#This Row],[Contracts Signed]])</f>
        <v>8640</v>
      </c>
      <c r="AJ3769" s="5" t="str">
        <f>TRIM(CLEAN(SalesData[[#This Row],[Retailer]]))</f>
        <v>Saxon Wheels</v>
      </c>
    </row>
    <row r="3770" spans="1:36" ht="14.25" hidden="1" x14ac:dyDescent="0.2">
      <c r="A3770" t="s">
        <v>4993</v>
      </c>
      <c r="B3770" s="1">
        <v>46076</v>
      </c>
      <c r="C3770" t="s">
        <v>53</v>
      </c>
      <c r="D3770" t="s">
        <v>25</v>
      </c>
      <c r="E3770" t="s">
        <v>26</v>
      </c>
      <c r="F3770" t="s">
        <v>83</v>
      </c>
      <c r="G3770" t="s">
        <v>84</v>
      </c>
      <c r="H3770" t="s">
        <v>85</v>
      </c>
      <c r="I3770" t="s">
        <v>56</v>
      </c>
      <c r="J3770" t="s">
        <v>7028</v>
      </c>
      <c r="K3770" t="s">
        <v>32</v>
      </c>
      <c r="L3770" t="s">
        <v>46</v>
      </c>
      <c r="M3770" t="s">
        <v>87</v>
      </c>
      <c r="N3770" t="s">
        <v>69</v>
      </c>
      <c r="O3770" t="s">
        <v>36</v>
      </c>
      <c r="P3770" t="s">
        <v>71</v>
      </c>
      <c r="Q3770" t="s">
        <v>79</v>
      </c>
      <c r="R3770">
        <v>232</v>
      </c>
      <c r="S3770">
        <v>126</v>
      </c>
      <c r="T3770">
        <v>95</v>
      </c>
      <c r="U3770">
        <v>32</v>
      </c>
      <c r="V3770" t="s">
        <v>6876</v>
      </c>
      <c r="W3770">
        <v>49186</v>
      </c>
      <c r="X3770" t="s">
        <v>1101</v>
      </c>
      <c r="Y3770">
        <v>39599</v>
      </c>
      <c r="Z3770">
        <v>1573952</v>
      </c>
      <c r="AA3770">
        <v>306784</v>
      </c>
      <c r="AB3770" t="str">
        <f>(VLOOKUP(SalesData[[#This Row],[Month Number]],Reference!C$5:E$16,2,FALSE))</f>
        <v>Feb</v>
      </c>
      <c r="AC3770">
        <f>MONTH(SalesData[[#This Row],[Date]])</f>
        <v>2</v>
      </c>
      <c r="AD3770">
        <f>Reference!F$4</f>
        <v>2026</v>
      </c>
      <c r="AE3770" t="str">
        <f>IF(OR(SalesData[[#This Row],[Day]]="Saturday",SalesData[[#This Row],[Day]]="Sunday"),"Weekend","Weekday")</f>
        <v>Weekday</v>
      </c>
      <c r="AF3770" s="5">
        <f>IF(SalesData[[#This Row],[Contracts Offered]]=0,0,SalesData[[#This Row],[Contracts Signed]]/SalesData[[#This Row],[Contracts Offered]])</f>
        <v>0.33684210526315789</v>
      </c>
      <c r="AG3770" s="5">
        <f>IF(SalesData[[#This Row],[Customers Visited]]=0,0,SalesData[[#This Row],[Test Drives]]/SalesData[[#This Row],[Customers Visited]])</f>
        <v>0.5431034482758621</v>
      </c>
      <c r="AH3770" s="5">
        <f>IF(SalesData[[#This Row],[Customers Visited]]=0,0,SalesData[[#This Row],[Contracts Signed]]/SalesData[[#This Row],[Customers Visited]])</f>
        <v>0.13793103448275862</v>
      </c>
      <c r="AI3770" s="6">
        <f>IF(SalesData[[#This Row],[Contracts Signed]]=0,0,SalesData[[#This Row],[Profit(€)]]/SalesData[[#This Row],[Contracts Signed]])</f>
        <v>9587</v>
      </c>
      <c r="AJ3770" s="5" t="str">
        <f>TRIM(CLEAN(SalesData[[#This Row],[Retailer]]))</f>
        <v>Hannover Cars</v>
      </c>
    </row>
    <row r="3771" spans="1:36" ht="14.25" hidden="1" x14ac:dyDescent="0.2">
      <c r="A3771" t="s">
        <v>4994</v>
      </c>
      <c r="B3771" s="1">
        <v>46055</v>
      </c>
      <c r="C3771" t="s">
        <v>24</v>
      </c>
      <c r="D3771" t="s">
        <v>25</v>
      </c>
      <c r="E3771" t="s">
        <v>26</v>
      </c>
      <c r="F3771" t="s">
        <v>127</v>
      </c>
      <c r="G3771" t="s">
        <v>128</v>
      </c>
      <c r="H3771" t="s">
        <v>103</v>
      </c>
      <c r="I3771" t="s">
        <v>56</v>
      </c>
      <c r="J3771" t="s">
        <v>179</v>
      </c>
      <c r="K3771" t="s">
        <v>32</v>
      </c>
      <c r="L3771" t="s">
        <v>67</v>
      </c>
      <c r="M3771" t="s">
        <v>47</v>
      </c>
      <c r="N3771" t="s">
        <v>69</v>
      </c>
      <c r="O3771" t="s">
        <v>70</v>
      </c>
      <c r="P3771" t="s">
        <v>58</v>
      </c>
      <c r="Q3771" t="s">
        <v>122</v>
      </c>
      <c r="R3771">
        <v>237</v>
      </c>
      <c r="S3771">
        <v>120</v>
      </c>
      <c r="T3771">
        <v>76</v>
      </c>
      <c r="U3771">
        <v>32</v>
      </c>
      <c r="V3771" t="s">
        <v>6388</v>
      </c>
      <c r="W3771">
        <v>44784</v>
      </c>
      <c r="X3771" t="s">
        <v>7152</v>
      </c>
      <c r="Y3771">
        <v>33771</v>
      </c>
      <c r="Z3771">
        <v>1433088</v>
      </c>
      <c r="AA3771">
        <v>352416</v>
      </c>
      <c r="AB3771" t="str">
        <f>(VLOOKUP(SalesData[[#This Row],[Month Number]],Reference!C$5:E$16,2,FALSE))</f>
        <v>Feb</v>
      </c>
      <c r="AC3771">
        <f>MONTH(SalesData[[#This Row],[Date]])</f>
        <v>2</v>
      </c>
      <c r="AD3771">
        <f>Reference!F$4</f>
        <v>2026</v>
      </c>
      <c r="AE3771" t="str">
        <f>IF(OR(SalesData[[#This Row],[Day]]="Saturday",SalesData[[#This Row],[Day]]="Sunday"),"Weekend","Weekday")</f>
        <v>Weekday</v>
      </c>
      <c r="AF3771" s="5">
        <f>IF(SalesData[[#This Row],[Contracts Offered]]=0,0,SalesData[[#This Row],[Contracts Signed]]/SalesData[[#This Row],[Contracts Offered]])</f>
        <v>0.42105263157894735</v>
      </c>
      <c r="AG3771" s="5">
        <f>IF(SalesData[[#This Row],[Customers Visited]]=0,0,SalesData[[#This Row],[Test Drives]]/SalesData[[#This Row],[Customers Visited]])</f>
        <v>0.50632911392405067</v>
      </c>
      <c r="AH3771" s="5">
        <f>IF(SalesData[[#This Row],[Customers Visited]]=0,0,SalesData[[#This Row],[Contracts Signed]]/SalesData[[#This Row],[Customers Visited]])</f>
        <v>0.13502109704641349</v>
      </c>
      <c r="AI3771" s="6">
        <f>IF(SalesData[[#This Row],[Contracts Signed]]=0,0,SalesData[[#This Row],[Profit(€)]]/SalesData[[#This Row],[Contracts Signed]])</f>
        <v>11013</v>
      </c>
      <c r="AJ3771" s="5" t="str">
        <f>TRIM(CLEAN(SalesData[[#This Row],[Retailer]]))</f>
        <v>Rhein Auto Group</v>
      </c>
    </row>
    <row r="3772" spans="1:36" ht="14.25" x14ac:dyDescent="0.2">
      <c r="A3772" t="s">
        <v>4995</v>
      </c>
      <c r="B3772" s="1">
        <v>46079</v>
      </c>
      <c r="C3772" t="s">
        <v>53</v>
      </c>
      <c r="D3772" t="s">
        <v>100</v>
      </c>
      <c r="E3772" t="s">
        <v>26</v>
      </c>
      <c r="F3772" t="s">
        <v>127</v>
      </c>
      <c r="G3772" t="s">
        <v>128</v>
      </c>
      <c r="H3772" t="s">
        <v>103</v>
      </c>
      <c r="I3772" t="s">
        <v>30</v>
      </c>
      <c r="J3772" t="s">
        <v>188</v>
      </c>
      <c r="K3772" t="s">
        <v>91</v>
      </c>
      <c r="L3772" t="s">
        <v>33</v>
      </c>
      <c r="M3772" t="s">
        <v>87</v>
      </c>
      <c r="N3772" t="s">
        <v>69</v>
      </c>
      <c r="O3772" t="s">
        <v>36</v>
      </c>
      <c r="P3772" t="s">
        <v>37</v>
      </c>
      <c r="Q3772" t="s">
        <v>144</v>
      </c>
      <c r="R3772">
        <v>272</v>
      </c>
      <c r="S3772">
        <v>159</v>
      </c>
      <c r="T3772">
        <v>126</v>
      </c>
      <c r="U3772">
        <v>43</v>
      </c>
      <c r="V3772" t="s">
        <v>6758</v>
      </c>
      <c r="W3772">
        <v>53033</v>
      </c>
      <c r="X3772" t="s">
        <v>7326</v>
      </c>
      <c r="Y3772">
        <v>38351</v>
      </c>
      <c r="Z3772">
        <v>2280419</v>
      </c>
      <c r="AA3772">
        <v>631326</v>
      </c>
      <c r="AB3772" t="str">
        <f>(VLOOKUP(SalesData[[#This Row],[Month Number]],Reference!C$5:E$16,2,FALSE))</f>
        <v>Feb</v>
      </c>
      <c r="AC3772">
        <f>MONTH(SalesData[[#This Row],[Date]])</f>
        <v>2</v>
      </c>
      <c r="AD3772">
        <f>Reference!F$4</f>
        <v>2026</v>
      </c>
      <c r="AE3772" t="str">
        <f>IF(OR(SalesData[[#This Row],[Day]]="Saturday",SalesData[[#This Row],[Day]]="Sunday"),"Weekend","Weekday")</f>
        <v>Weekday</v>
      </c>
      <c r="AF3772" s="5">
        <f>IF(SalesData[[#This Row],[Contracts Offered]]=0,0,SalesData[[#This Row],[Contracts Signed]]/SalesData[[#This Row],[Contracts Offered]])</f>
        <v>0.34126984126984128</v>
      </c>
      <c r="AG3772" s="5">
        <f>IF(SalesData[[#This Row],[Customers Visited]]=0,0,SalesData[[#This Row],[Test Drives]]/SalesData[[#This Row],[Customers Visited]])</f>
        <v>0.5845588235294118</v>
      </c>
      <c r="AH3772" s="5">
        <f>IF(SalesData[[#This Row],[Customers Visited]]=0,0,SalesData[[#This Row],[Contracts Signed]]/SalesData[[#This Row],[Customers Visited]])</f>
        <v>0.15808823529411764</v>
      </c>
      <c r="AI3772" s="6">
        <f>IF(SalesData[[#This Row],[Contracts Signed]]=0,0,SalesData[[#This Row],[Profit(€)]]/SalesData[[#This Row],[Contracts Signed]])</f>
        <v>14682</v>
      </c>
      <c r="AJ3772" s="5" t="str">
        <f>TRIM(CLEAN(SalesData[[#This Row],[Retailer]]))</f>
        <v>Rhein Auto Group</v>
      </c>
    </row>
    <row r="3773" spans="1:36" ht="14.25" hidden="1" x14ac:dyDescent="0.2">
      <c r="A3773" t="s">
        <v>4996</v>
      </c>
      <c r="B3773" s="1">
        <v>46074</v>
      </c>
      <c r="C3773" t="s">
        <v>62</v>
      </c>
      <c r="D3773" t="s">
        <v>151</v>
      </c>
      <c r="E3773" t="s">
        <v>42</v>
      </c>
      <c r="F3773" t="s">
        <v>114</v>
      </c>
      <c r="G3773" t="s">
        <v>115</v>
      </c>
      <c r="H3773" t="s">
        <v>115</v>
      </c>
      <c r="I3773" t="s">
        <v>116</v>
      </c>
      <c r="J3773" t="s">
        <v>203</v>
      </c>
      <c r="K3773" t="s">
        <v>78</v>
      </c>
      <c r="L3773" t="s">
        <v>67</v>
      </c>
      <c r="M3773" t="s">
        <v>47</v>
      </c>
      <c r="N3773" t="s">
        <v>48</v>
      </c>
      <c r="O3773" t="s">
        <v>70</v>
      </c>
      <c r="P3773" t="s">
        <v>49</v>
      </c>
      <c r="Q3773" t="s">
        <v>88</v>
      </c>
      <c r="R3773">
        <v>266</v>
      </c>
      <c r="S3773">
        <v>147</v>
      </c>
      <c r="T3773">
        <v>86</v>
      </c>
      <c r="U3773">
        <v>18</v>
      </c>
      <c r="V3773" t="s">
        <v>1237</v>
      </c>
      <c r="W3773">
        <v>20700</v>
      </c>
      <c r="X3773" t="s">
        <v>7611</v>
      </c>
      <c r="Y3773">
        <v>18765</v>
      </c>
      <c r="Z3773">
        <v>372600</v>
      </c>
      <c r="AA3773">
        <v>34830</v>
      </c>
      <c r="AB3773" t="str">
        <f>(VLOOKUP(SalesData[[#This Row],[Month Number]],Reference!C$5:E$16,2,FALSE))</f>
        <v>Feb</v>
      </c>
      <c r="AC3773">
        <f>MONTH(SalesData[[#This Row],[Date]])</f>
        <v>2</v>
      </c>
      <c r="AD3773">
        <f>Reference!F$4</f>
        <v>2026</v>
      </c>
      <c r="AE3773" t="str">
        <f>IF(OR(SalesData[[#This Row],[Day]]="Saturday",SalesData[[#This Row],[Day]]="Sunday"),"Weekend","Weekday")</f>
        <v>Weekend</v>
      </c>
      <c r="AF3773" s="5">
        <f>IF(SalesData[[#This Row],[Contracts Offered]]=0,0,SalesData[[#This Row],[Contracts Signed]]/SalesData[[#This Row],[Contracts Offered]])</f>
        <v>0.20930232558139536</v>
      </c>
      <c r="AG3773" s="5">
        <f>IF(SalesData[[#This Row],[Customers Visited]]=0,0,SalesData[[#This Row],[Test Drives]]/SalesData[[#This Row],[Customers Visited]])</f>
        <v>0.55263157894736847</v>
      </c>
      <c r="AH3773" s="5">
        <f>IF(SalesData[[#This Row],[Customers Visited]]=0,0,SalesData[[#This Row],[Contracts Signed]]/SalesData[[#This Row],[Customers Visited]])</f>
        <v>6.7669172932330823E-2</v>
      </c>
      <c r="AI3773" s="6">
        <f>IF(SalesData[[#This Row],[Contracts Signed]]=0,0,SalesData[[#This Row],[Profit(€)]]/SalesData[[#This Row],[Contracts Signed]])</f>
        <v>1935</v>
      </c>
      <c r="AJ3773" s="5" t="str">
        <f>TRIM(CLEAN(SalesData[[#This Row],[Retailer]]))</f>
        <v>Elbe Drive</v>
      </c>
    </row>
    <row r="3774" spans="1:36" ht="14.25" x14ac:dyDescent="0.2">
      <c r="A3774" t="s">
        <v>4998</v>
      </c>
      <c r="B3774" s="1">
        <v>46072</v>
      </c>
      <c r="C3774" t="s">
        <v>62</v>
      </c>
      <c r="D3774" t="s">
        <v>100</v>
      </c>
      <c r="E3774" t="s">
        <v>26</v>
      </c>
      <c r="F3774" t="s">
        <v>114</v>
      </c>
      <c r="G3774" t="s">
        <v>115</v>
      </c>
      <c r="H3774" t="s">
        <v>115</v>
      </c>
      <c r="I3774" t="s">
        <v>30</v>
      </c>
      <c r="J3774" t="s">
        <v>166</v>
      </c>
      <c r="K3774" t="s">
        <v>78</v>
      </c>
      <c r="L3774" t="s">
        <v>46</v>
      </c>
      <c r="M3774" t="s">
        <v>87</v>
      </c>
      <c r="N3774" t="s">
        <v>48</v>
      </c>
      <c r="O3774" t="s">
        <v>70</v>
      </c>
      <c r="P3774" t="s">
        <v>37</v>
      </c>
      <c r="Q3774" t="s">
        <v>118</v>
      </c>
      <c r="R3774">
        <v>235</v>
      </c>
      <c r="S3774">
        <v>138</v>
      </c>
      <c r="T3774">
        <v>102</v>
      </c>
      <c r="U3774">
        <v>34</v>
      </c>
      <c r="V3774" t="s">
        <v>6473</v>
      </c>
      <c r="W3774">
        <v>58180</v>
      </c>
      <c r="X3774" t="s">
        <v>7118</v>
      </c>
      <c r="Y3774">
        <v>40979</v>
      </c>
      <c r="Z3774">
        <v>1978120</v>
      </c>
      <c r="AA3774">
        <v>584834</v>
      </c>
      <c r="AB3774" t="str">
        <f>(VLOOKUP(SalesData[[#This Row],[Month Number]],Reference!C$5:E$16,2,FALSE))</f>
        <v>Feb</v>
      </c>
      <c r="AC3774">
        <f>MONTH(SalesData[[#This Row],[Date]])</f>
        <v>2</v>
      </c>
      <c r="AD3774">
        <f>Reference!F$4</f>
        <v>2026</v>
      </c>
      <c r="AE3774" t="str">
        <f>IF(OR(SalesData[[#This Row],[Day]]="Saturday",SalesData[[#This Row],[Day]]="Sunday"),"Weekend","Weekday")</f>
        <v>Weekday</v>
      </c>
      <c r="AF3774" s="5">
        <f>IF(SalesData[[#This Row],[Contracts Offered]]=0,0,SalesData[[#This Row],[Contracts Signed]]/SalesData[[#This Row],[Contracts Offered]])</f>
        <v>0.33333333333333331</v>
      </c>
      <c r="AG3774" s="5">
        <f>IF(SalesData[[#This Row],[Customers Visited]]=0,0,SalesData[[#This Row],[Test Drives]]/SalesData[[#This Row],[Customers Visited]])</f>
        <v>0.58723404255319145</v>
      </c>
      <c r="AH3774" s="5">
        <f>IF(SalesData[[#This Row],[Customers Visited]]=0,0,SalesData[[#This Row],[Contracts Signed]]/SalesData[[#This Row],[Customers Visited]])</f>
        <v>0.14468085106382977</v>
      </c>
      <c r="AI3774" s="6">
        <f>IF(SalesData[[#This Row],[Contracts Signed]]=0,0,SalesData[[#This Row],[Profit(€)]]/SalesData[[#This Row],[Contracts Signed]])</f>
        <v>17201</v>
      </c>
      <c r="AJ3774" s="5" t="str">
        <f>TRIM(CLEAN(SalesData[[#This Row],[Retailer]]))</f>
        <v>Elbe Drive</v>
      </c>
    </row>
    <row r="3775" spans="1:36" ht="14.25" hidden="1" x14ac:dyDescent="0.2">
      <c r="A3775" t="s">
        <v>4999</v>
      </c>
      <c r="B3775" s="1">
        <v>46074</v>
      </c>
      <c r="C3775" t="s">
        <v>62</v>
      </c>
      <c r="D3775" t="s">
        <v>151</v>
      </c>
      <c r="E3775" t="s">
        <v>42</v>
      </c>
      <c r="F3775" t="s">
        <v>127</v>
      </c>
      <c r="G3775" t="s">
        <v>128</v>
      </c>
      <c r="H3775" t="s">
        <v>103</v>
      </c>
      <c r="I3775" t="s">
        <v>56</v>
      </c>
      <c r="J3775" t="s">
        <v>97</v>
      </c>
      <c r="K3775" t="s">
        <v>91</v>
      </c>
      <c r="L3775" t="s">
        <v>33</v>
      </c>
      <c r="M3775" t="s">
        <v>34</v>
      </c>
      <c r="N3775" t="s">
        <v>48</v>
      </c>
      <c r="O3775" t="s">
        <v>70</v>
      </c>
      <c r="P3775" t="s">
        <v>71</v>
      </c>
      <c r="Q3775" t="s">
        <v>118</v>
      </c>
      <c r="R3775">
        <v>203</v>
      </c>
      <c r="S3775">
        <v>100</v>
      </c>
      <c r="T3775">
        <v>68</v>
      </c>
      <c r="U3775">
        <v>22</v>
      </c>
      <c r="V3775" t="s">
        <v>6346</v>
      </c>
      <c r="W3775">
        <v>54395</v>
      </c>
      <c r="X3775" t="s">
        <v>7362</v>
      </c>
      <c r="Y3775">
        <v>43756</v>
      </c>
      <c r="Z3775">
        <v>1196690</v>
      </c>
      <c r="AA3775">
        <v>234058</v>
      </c>
      <c r="AB3775" t="str">
        <f>(VLOOKUP(SalesData[[#This Row],[Month Number]],Reference!C$5:E$16,2,FALSE))</f>
        <v>Feb</v>
      </c>
      <c r="AC3775">
        <f>MONTH(SalesData[[#This Row],[Date]])</f>
        <v>2</v>
      </c>
      <c r="AD3775">
        <f>Reference!F$4</f>
        <v>2026</v>
      </c>
      <c r="AE3775" t="str">
        <f>IF(OR(SalesData[[#This Row],[Day]]="Saturday",SalesData[[#This Row],[Day]]="Sunday"),"Weekend","Weekday")</f>
        <v>Weekend</v>
      </c>
      <c r="AF3775" s="5">
        <f>IF(SalesData[[#This Row],[Contracts Offered]]=0,0,SalesData[[#This Row],[Contracts Signed]]/SalesData[[#This Row],[Contracts Offered]])</f>
        <v>0.3235294117647059</v>
      </c>
      <c r="AG3775" s="5">
        <f>IF(SalesData[[#This Row],[Customers Visited]]=0,0,SalesData[[#This Row],[Test Drives]]/SalesData[[#This Row],[Customers Visited]])</f>
        <v>0.49261083743842365</v>
      </c>
      <c r="AH3775" s="5">
        <f>IF(SalesData[[#This Row],[Customers Visited]]=0,0,SalesData[[#This Row],[Contracts Signed]]/SalesData[[#This Row],[Customers Visited]])</f>
        <v>0.10837438423645321</v>
      </c>
      <c r="AI3775" s="6">
        <f>IF(SalesData[[#This Row],[Contracts Signed]]=0,0,SalesData[[#This Row],[Profit(€)]]/SalesData[[#This Row],[Contracts Signed]])</f>
        <v>10639</v>
      </c>
      <c r="AJ3775" s="5" t="str">
        <f>TRIM(CLEAN(SalesData[[#This Row],[Retailer]]))</f>
        <v>Rhein Auto Group</v>
      </c>
    </row>
    <row r="3776" spans="1:36" ht="14.25" x14ac:dyDescent="0.2">
      <c r="A3776" t="s">
        <v>5000</v>
      </c>
      <c r="B3776" s="1">
        <v>46058</v>
      </c>
      <c r="C3776" t="s">
        <v>24</v>
      </c>
      <c r="D3776" t="s">
        <v>100</v>
      </c>
      <c r="E3776" t="s">
        <v>26</v>
      </c>
      <c r="F3776" t="s">
        <v>83</v>
      </c>
      <c r="G3776" t="s">
        <v>84</v>
      </c>
      <c r="H3776" t="s">
        <v>85</v>
      </c>
      <c r="I3776" t="s">
        <v>30</v>
      </c>
      <c r="J3776" t="s">
        <v>166</v>
      </c>
      <c r="K3776" t="s">
        <v>66</v>
      </c>
      <c r="L3776" t="s">
        <v>46</v>
      </c>
      <c r="M3776" t="s">
        <v>47</v>
      </c>
      <c r="N3776" t="s">
        <v>48</v>
      </c>
      <c r="O3776" t="s">
        <v>70</v>
      </c>
      <c r="P3776" t="s">
        <v>49</v>
      </c>
      <c r="Q3776" t="s">
        <v>172</v>
      </c>
      <c r="R3776">
        <v>256</v>
      </c>
      <c r="S3776">
        <v>158</v>
      </c>
      <c r="T3776">
        <v>127</v>
      </c>
      <c r="U3776">
        <v>38</v>
      </c>
      <c r="V3776" t="s">
        <v>6748</v>
      </c>
      <c r="W3776">
        <v>61844</v>
      </c>
      <c r="X3776" t="s">
        <v>7496</v>
      </c>
      <c r="Y3776">
        <v>43393</v>
      </c>
      <c r="Z3776">
        <v>2350072</v>
      </c>
      <c r="AA3776">
        <v>701138</v>
      </c>
      <c r="AB3776" t="str">
        <f>(VLOOKUP(SalesData[[#This Row],[Month Number]],Reference!C$5:E$16,2,FALSE))</f>
        <v>Feb</v>
      </c>
      <c r="AC3776">
        <f>MONTH(SalesData[[#This Row],[Date]])</f>
        <v>2</v>
      </c>
      <c r="AD3776">
        <f>Reference!F$4</f>
        <v>2026</v>
      </c>
      <c r="AE3776" t="str">
        <f>IF(OR(SalesData[[#This Row],[Day]]="Saturday",SalesData[[#This Row],[Day]]="Sunday"),"Weekend","Weekday")</f>
        <v>Weekday</v>
      </c>
      <c r="AF3776" s="5">
        <f>IF(SalesData[[#This Row],[Contracts Offered]]=0,0,SalesData[[#This Row],[Contracts Signed]]/SalesData[[#This Row],[Contracts Offered]])</f>
        <v>0.29921259842519687</v>
      </c>
      <c r="AG3776" s="5">
        <f>IF(SalesData[[#This Row],[Customers Visited]]=0,0,SalesData[[#This Row],[Test Drives]]/SalesData[[#This Row],[Customers Visited]])</f>
        <v>0.6171875</v>
      </c>
      <c r="AH3776" s="5">
        <f>IF(SalesData[[#This Row],[Customers Visited]]=0,0,SalesData[[#This Row],[Contracts Signed]]/SalesData[[#This Row],[Customers Visited]])</f>
        <v>0.1484375</v>
      </c>
      <c r="AI3776" s="6">
        <f>IF(SalesData[[#This Row],[Contracts Signed]]=0,0,SalesData[[#This Row],[Profit(€)]]/SalesData[[#This Row],[Contracts Signed]])</f>
        <v>18451</v>
      </c>
      <c r="AJ3776" s="5" t="str">
        <f>TRIM(CLEAN(SalesData[[#This Row],[Retailer]]))</f>
        <v>Hannover Cars</v>
      </c>
    </row>
    <row r="3777" spans="1:36" ht="14.25" hidden="1" x14ac:dyDescent="0.2">
      <c r="A3777" t="s">
        <v>5001</v>
      </c>
      <c r="B3777" s="1">
        <v>46055</v>
      </c>
      <c r="C3777" t="s">
        <v>24</v>
      </c>
      <c r="D3777" t="s">
        <v>25</v>
      </c>
      <c r="E3777" t="s">
        <v>26</v>
      </c>
      <c r="F3777" t="s">
        <v>27</v>
      </c>
      <c r="G3777" t="s">
        <v>28</v>
      </c>
      <c r="H3777" t="s">
        <v>29</v>
      </c>
      <c r="I3777" t="s">
        <v>64</v>
      </c>
      <c r="J3777" t="s">
        <v>77</v>
      </c>
      <c r="K3777" t="s">
        <v>78</v>
      </c>
      <c r="L3777" t="s">
        <v>46</v>
      </c>
      <c r="M3777" t="s">
        <v>87</v>
      </c>
      <c r="N3777" t="s">
        <v>48</v>
      </c>
      <c r="O3777" t="s">
        <v>70</v>
      </c>
      <c r="P3777" t="s">
        <v>58</v>
      </c>
      <c r="Q3777" t="s">
        <v>106</v>
      </c>
      <c r="R3777">
        <v>192</v>
      </c>
      <c r="S3777">
        <v>110</v>
      </c>
      <c r="T3777">
        <v>73</v>
      </c>
      <c r="U3777">
        <v>31</v>
      </c>
      <c r="V3777" t="s">
        <v>6530</v>
      </c>
      <c r="W3777">
        <v>53924</v>
      </c>
      <c r="X3777" t="s">
        <v>7150</v>
      </c>
      <c r="Y3777">
        <v>38516</v>
      </c>
      <c r="Z3777">
        <v>1671644</v>
      </c>
      <c r="AA3777">
        <v>477648</v>
      </c>
      <c r="AB3777" t="str">
        <f>(VLOOKUP(SalesData[[#This Row],[Month Number]],Reference!C$5:E$16,2,FALSE))</f>
        <v>Feb</v>
      </c>
      <c r="AC3777">
        <f>MONTH(SalesData[[#This Row],[Date]])</f>
        <v>2</v>
      </c>
      <c r="AD3777">
        <f>Reference!F$4</f>
        <v>2026</v>
      </c>
      <c r="AE3777" t="str">
        <f>IF(OR(SalesData[[#This Row],[Day]]="Saturday",SalesData[[#This Row],[Day]]="Sunday"),"Weekend","Weekday")</f>
        <v>Weekday</v>
      </c>
      <c r="AF3777" s="5">
        <f>IF(SalesData[[#This Row],[Contracts Offered]]=0,0,SalesData[[#This Row],[Contracts Signed]]/SalesData[[#This Row],[Contracts Offered]])</f>
        <v>0.42465753424657532</v>
      </c>
      <c r="AG3777" s="5">
        <f>IF(SalesData[[#This Row],[Customers Visited]]=0,0,SalesData[[#This Row],[Test Drives]]/SalesData[[#This Row],[Customers Visited]])</f>
        <v>0.57291666666666663</v>
      </c>
      <c r="AH3777" s="5">
        <f>IF(SalesData[[#This Row],[Customers Visited]]=0,0,SalesData[[#This Row],[Contracts Signed]]/SalesData[[#This Row],[Customers Visited]])</f>
        <v>0.16145833333333334</v>
      </c>
      <c r="AI3777" s="6">
        <f>IF(SalesData[[#This Row],[Contracts Signed]]=0,0,SalesData[[#This Row],[Profit(€)]]/SalesData[[#This Row],[Contracts Signed]])</f>
        <v>15408</v>
      </c>
      <c r="AJ3777" s="5" t="str">
        <f>TRIM(CLEAN(SalesData[[#This Row],[Retailer]]))</f>
        <v>Main Auto Hub</v>
      </c>
    </row>
    <row r="3778" spans="1:36" ht="14.25" hidden="1" x14ac:dyDescent="0.2">
      <c r="A3778" t="s">
        <v>5002</v>
      </c>
      <c r="B3778" s="1">
        <v>46061</v>
      </c>
      <c r="C3778" t="s">
        <v>121</v>
      </c>
      <c r="D3778" t="s">
        <v>41</v>
      </c>
      <c r="E3778" t="s">
        <v>42</v>
      </c>
      <c r="F3778" t="s">
        <v>7649</v>
      </c>
      <c r="G3778" t="s">
        <v>55</v>
      </c>
      <c r="H3778" t="s">
        <v>55</v>
      </c>
      <c r="I3778" t="s">
        <v>56</v>
      </c>
      <c r="J3778" t="s">
        <v>179</v>
      </c>
      <c r="K3778" t="s">
        <v>66</v>
      </c>
      <c r="L3778" t="s">
        <v>67</v>
      </c>
      <c r="M3778" t="s">
        <v>47</v>
      </c>
      <c r="N3778" t="s">
        <v>35</v>
      </c>
      <c r="O3778" t="s">
        <v>70</v>
      </c>
      <c r="P3778" t="s">
        <v>49</v>
      </c>
      <c r="Q3778" t="s">
        <v>59</v>
      </c>
      <c r="R3778">
        <v>240</v>
      </c>
      <c r="S3778">
        <v>113</v>
      </c>
      <c r="T3778">
        <v>87</v>
      </c>
      <c r="U3778">
        <v>27</v>
      </c>
      <c r="V3778" t="s">
        <v>6640</v>
      </c>
      <c r="W3778">
        <v>52265</v>
      </c>
      <c r="X3778" t="s">
        <v>7176</v>
      </c>
      <c r="Y3778">
        <v>42488</v>
      </c>
      <c r="Z3778">
        <v>1411155</v>
      </c>
      <c r="AA3778">
        <v>263979</v>
      </c>
      <c r="AB3778" t="str">
        <f>(VLOOKUP(SalesData[[#This Row],[Month Number]],Reference!C$5:E$16,2,FALSE))</f>
        <v>Feb</v>
      </c>
      <c r="AC3778">
        <f>MONTH(SalesData[[#This Row],[Date]])</f>
        <v>2</v>
      </c>
      <c r="AD3778">
        <f>Reference!F$4</f>
        <v>2026</v>
      </c>
      <c r="AE3778" t="str">
        <f>IF(OR(SalesData[[#This Row],[Day]]="Saturday",SalesData[[#This Row],[Day]]="Sunday"),"Weekend","Weekday")</f>
        <v>Weekend</v>
      </c>
      <c r="AF3778" s="5">
        <f>IF(SalesData[[#This Row],[Contracts Offered]]=0,0,SalesData[[#This Row],[Contracts Signed]]/SalesData[[#This Row],[Contracts Offered]])</f>
        <v>0.31034482758620691</v>
      </c>
      <c r="AG3778" s="5">
        <f>IF(SalesData[[#This Row],[Customers Visited]]=0,0,SalesData[[#This Row],[Test Drives]]/SalesData[[#This Row],[Customers Visited]])</f>
        <v>0.47083333333333333</v>
      </c>
      <c r="AH3778" s="5">
        <f>IF(SalesData[[#This Row],[Customers Visited]]=0,0,SalesData[[#This Row],[Contracts Signed]]/SalesData[[#This Row],[Customers Visited]])</f>
        <v>0.1125</v>
      </c>
      <c r="AI3778" s="6">
        <f>IF(SalesData[[#This Row],[Contracts Signed]]=0,0,SalesData[[#This Row],[Profit(€)]]/SalesData[[#This Row],[Contracts Signed]])</f>
        <v>9777</v>
      </c>
      <c r="AJ3778" s="5" t="str">
        <f>TRIM(CLEAN(SalesData[[#This Row],[Retailer]]))</f>
        <v>Autohaus Berlin</v>
      </c>
    </row>
    <row r="3779" spans="1:36" ht="14.25" hidden="1" x14ac:dyDescent="0.2">
      <c r="A3779" t="s">
        <v>5003</v>
      </c>
      <c r="B3779" s="1">
        <v>46079</v>
      </c>
      <c r="C3779" t="s">
        <v>53</v>
      </c>
      <c r="D3779" t="s">
        <v>100</v>
      </c>
      <c r="E3779" t="s">
        <v>26</v>
      </c>
      <c r="F3779" t="s">
        <v>94</v>
      </c>
      <c r="G3779" t="s">
        <v>95</v>
      </c>
      <c r="H3779" t="s">
        <v>96</v>
      </c>
      <c r="I3779" t="s">
        <v>104</v>
      </c>
      <c r="J3779" t="s">
        <v>7061</v>
      </c>
      <c r="K3779" t="s">
        <v>32</v>
      </c>
      <c r="L3779" t="s">
        <v>46</v>
      </c>
      <c r="M3779" t="s">
        <v>87</v>
      </c>
      <c r="N3779" t="s">
        <v>48</v>
      </c>
      <c r="O3779" t="s">
        <v>36</v>
      </c>
      <c r="P3779" t="s">
        <v>37</v>
      </c>
      <c r="Q3779" t="s">
        <v>158</v>
      </c>
      <c r="R3779">
        <v>321</v>
      </c>
      <c r="S3779">
        <v>166</v>
      </c>
      <c r="T3779">
        <v>111</v>
      </c>
      <c r="U3779">
        <v>28</v>
      </c>
      <c r="V3779" t="s">
        <v>2008</v>
      </c>
      <c r="W3779">
        <v>29961</v>
      </c>
      <c r="X3779" t="s">
        <v>199</v>
      </c>
      <c r="Y3779">
        <v>26519</v>
      </c>
      <c r="Z3779">
        <v>838908</v>
      </c>
      <c r="AA3779">
        <v>96376</v>
      </c>
      <c r="AB3779" t="str">
        <f>(VLOOKUP(SalesData[[#This Row],[Month Number]],Reference!C$5:E$16,2,FALSE))</f>
        <v>Feb</v>
      </c>
      <c r="AC3779">
        <f>MONTH(SalesData[[#This Row],[Date]])</f>
        <v>2</v>
      </c>
      <c r="AD3779">
        <f>Reference!F$4</f>
        <v>2026</v>
      </c>
      <c r="AE3779" t="str">
        <f>IF(OR(SalesData[[#This Row],[Day]]="Saturday",SalesData[[#This Row],[Day]]="Sunday"),"Weekend","Weekday")</f>
        <v>Weekday</v>
      </c>
      <c r="AF3779" s="5">
        <f>IF(SalesData[[#This Row],[Contracts Offered]]=0,0,SalesData[[#This Row],[Contracts Signed]]/SalesData[[#This Row],[Contracts Offered]])</f>
        <v>0.25225225225225223</v>
      </c>
      <c r="AG3779" s="5">
        <f>IF(SalesData[[#This Row],[Customers Visited]]=0,0,SalesData[[#This Row],[Test Drives]]/SalesData[[#This Row],[Customers Visited]])</f>
        <v>0.51713395638629278</v>
      </c>
      <c r="AH3779" s="5">
        <f>IF(SalesData[[#This Row],[Customers Visited]]=0,0,SalesData[[#This Row],[Contracts Signed]]/SalesData[[#This Row],[Customers Visited]])</f>
        <v>8.7227414330218064E-2</v>
      </c>
      <c r="AI3779" s="6">
        <f>IF(SalesData[[#This Row],[Contracts Signed]]=0,0,SalesData[[#This Row],[Profit(€)]]/SalesData[[#This Row],[Contracts Signed]])</f>
        <v>3442</v>
      </c>
      <c r="AJ3779" s="5" t="str">
        <f>TRIM(CLEAN(SalesData[[#This Row],[Retailer]]))</f>
        <v>Bavaria Motors</v>
      </c>
    </row>
    <row r="3780" spans="1:36" ht="14.25" x14ac:dyDescent="0.2">
      <c r="A3780" t="s">
        <v>5004</v>
      </c>
      <c r="B3780" s="1">
        <v>46058</v>
      </c>
      <c r="C3780" t="s">
        <v>24</v>
      </c>
      <c r="D3780" t="s">
        <v>100</v>
      </c>
      <c r="E3780" t="s">
        <v>26</v>
      </c>
      <c r="F3780" t="s">
        <v>127</v>
      </c>
      <c r="G3780" t="s">
        <v>128</v>
      </c>
      <c r="H3780" t="s">
        <v>103</v>
      </c>
      <c r="I3780" t="s">
        <v>30</v>
      </c>
      <c r="J3780" t="s">
        <v>31</v>
      </c>
      <c r="K3780" t="s">
        <v>91</v>
      </c>
      <c r="L3780" t="s">
        <v>46</v>
      </c>
      <c r="M3780" t="s">
        <v>47</v>
      </c>
      <c r="N3780" t="s">
        <v>48</v>
      </c>
      <c r="O3780" t="s">
        <v>36</v>
      </c>
      <c r="P3780" t="s">
        <v>49</v>
      </c>
      <c r="Q3780" t="s">
        <v>144</v>
      </c>
      <c r="R3780">
        <v>153</v>
      </c>
      <c r="S3780">
        <v>89</v>
      </c>
      <c r="T3780">
        <v>60</v>
      </c>
      <c r="U3780">
        <v>25</v>
      </c>
      <c r="V3780" t="s">
        <v>6830</v>
      </c>
      <c r="W3780">
        <v>52833</v>
      </c>
      <c r="X3780" t="s">
        <v>2701</v>
      </c>
      <c r="Y3780">
        <v>39665</v>
      </c>
      <c r="Z3780">
        <v>1320825</v>
      </c>
      <c r="AA3780">
        <v>329200</v>
      </c>
      <c r="AB3780" t="str">
        <f>(VLOOKUP(SalesData[[#This Row],[Month Number]],Reference!C$5:E$16,2,FALSE))</f>
        <v>Feb</v>
      </c>
      <c r="AC3780">
        <f>MONTH(SalesData[[#This Row],[Date]])</f>
        <v>2</v>
      </c>
      <c r="AD3780">
        <f>Reference!F$4</f>
        <v>2026</v>
      </c>
      <c r="AE3780" t="str">
        <f>IF(OR(SalesData[[#This Row],[Day]]="Saturday",SalesData[[#This Row],[Day]]="Sunday"),"Weekend","Weekday")</f>
        <v>Weekday</v>
      </c>
      <c r="AF3780" s="5">
        <f>IF(SalesData[[#This Row],[Contracts Offered]]=0,0,SalesData[[#This Row],[Contracts Signed]]/SalesData[[#This Row],[Contracts Offered]])</f>
        <v>0.41666666666666669</v>
      </c>
      <c r="AG3780" s="5">
        <f>IF(SalesData[[#This Row],[Customers Visited]]=0,0,SalesData[[#This Row],[Test Drives]]/SalesData[[#This Row],[Customers Visited]])</f>
        <v>0.5816993464052288</v>
      </c>
      <c r="AH3780" s="5">
        <f>IF(SalesData[[#This Row],[Customers Visited]]=0,0,SalesData[[#This Row],[Contracts Signed]]/SalesData[[#This Row],[Customers Visited]])</f>
        <v>0.16339869281045752</v>
      </c>
      <c r="AI3780" s="6">
        <f>IF(SalesData[[#This Row],[Contracts Signed]]=0,0,SalesData[[#This Row],[Profit(€)]]/SalesData[[#This Row],[Contracts Signed]])</f>
        <v>13168</v>
      </c>
      <c r="AJ3780" s="5" t="str">
        <f>TRIM(CLEAN(SalesData[[#This Row],[Retailer]]))</f>
        <v>Rhein Auto Group</v>
      </c>
    </row>
    <row r="3781" spans="1:36" ht="14.25" hidden="1" x14ac:dyDescent="0.2">
      <c r="A3781" t="s">
        <v>5005</v>
      </c>
      <c r="B3781" s="1">
        <v>46073</v>
      </c>
      <c r="C3781" t="s">
        <v>62</v>
      </c>
      <c r="D3781" t="s">
        <v>54</v>
      </c>
      <c r="E3781" t="s">
        <v>26</v>
      </c>
      <c r="F3781" t="s">
        <v>114</v>
      </c>
      <c r="G3781" t="s">
        <v>115</v>
      </c>
      <c r="H3781" t="s">
        <v>115</v>
      </c>
      <c r="I3781" t="s">
        <v>56</v>
      </c>
      <c r="J3781" t="s">
        <v>57</v>
      </c>
      <c r="K3781" t="s">
        <v>32</v>
      </c>
      <c r="L3781" t="s">
        <v>46</v>
      </c>
      <c r="M3781" t="s">
        <v>87</v>
      </c>
      <c r="N3781" t="s">
        <v>69</v>
      </c>
      <c r="O3781" t="s">
        <v>70</v>
      </c>
      <c r="P3781" t="s">
        <v>58</v>
      </c>
      <c r="Q3781" t="s">
        <v>122</v>
      </c>
      <c r="R3781">
        <v>232</v>
      </c>
      <c r="S3781">
        <v>143</v>
      </c>
      <c r="T3781">
        <v>104</v>
      </c>
      <c r="U3781">
        <v>40</v>
      </c>
      <c r="V3781" t="s">
        <v>6793</v>
      </c>
      <c r="W3781">
        <v>44837</v>
      </c>
      <c r="X3781" t="s">
        <v>7161</v>
      </c>
      <c r="Y3781">
        <v>34067</v>
      </c>
      <c r="Z3781">
        <v>1793480</v>
      </c>
      <c r="AA3781">
        <v>430800</v>
      </c>
      <c r="AB3781" t="str">
        <f>(VLOOKUP(SalesData[[#This Row],[Month Number]],Reference!C$5:E$16,2,FALSE))</f>
        <v>Feb</v>
      </c>
      <c r="AC3781">
        <f>MONTH(SalesData[[#This Row],[Date]])</f>
        <v>2</v>
      </c>
      <c r="AD3781">
        <f>Reference!F$4</f>
        <v>2026</v>
      </c>
      <c r="AE3781" t="str">
        <f>IF(OR(SalesData[[#This Row],[Day]]="Saturday",SalesData[[#This Row],[Day]]="Sunday"),"Weekend","Weekday")</f>
        <v>Weekday</v>
      </c>
      <c r="AF3781" s="5">
        <f>IF(SalesData[[#This Row],[Contracts Offered]]=0,0,SalesData[[#This Row],[Contracts Signed]]/SalesData[[#This Row],[Contracts Offered]])</f>
        <v>0.38461538461538464</v>
      </c>
      <c r="AG3781" s="5">
        <f>IF(SalesData[[#This Row],[Customers Visited]]=0,0,SalesData[[#This Row],[Test Drives]]/SalesData[[#This Row],[Customers Visited]])</f>
        <v>0.61637931034482762</v>
      </c>
      <c r="AH3781" s="5">
        <f>IF(SalesData[[#This Row],[Customers Visited]]=0,0,SalesData[[#This Row],[Contracts Signed]]/SalesData[[#This Row],[Customers Visited]])</f>
        <v>0.17241379310344829</v>
      </c>
      <c r="AI3781" s="6">
        <f>IF(SalesData[[#This Row],[Contracts Signed]]=0,0,SalesData[[#This Row],[Profit(€)]]/SalesData[[#This Row],[Contracts Signed]])</f>
        <v>10770</v>
      </c>
      <c r="AJ3781" s="5" t="str">
        <f>TRIM(CLEAN(SalesData[[#This Row],[Retailer]]))</f>
        <v>Elbe Drive</v>
      </c>
    </row>
    <row r="3782" spans="1:36" ht="14.25" hidden="1" x14ac:dyDescent="0.2">
      <c r="A3782" t="s">
        <v>5006</v>
      </c>
      <c r="B3782" s="1">
        <v>46060</v>
      </c>
      <c r="C3782" t="s">
        <v>24</v>
      </c>
      <c r="D3782" t="s">
        <v>151</v>
      </c>
      <c r="E3782" t="s">
        <v>42</v>
      </c>
      <c r="F3782" t="s">
        <v>43</v>
      </c>
      <c r="G3782" t="s">
        <v>44</v>
      </c>
      <c r="H3782" t="s">
        <v>45</v>
      </c>
      <c r="I3782" t="s">
        <v>104</v>
      </c>
      <c r="J3782" t="s">
        <v>7031</v>
      </c>
      <c r="K3782" t="s">
        <v>78</v>
      </c>
      <c r="L3782" t="s">
        <v>46</v>
      </c>
      <c r="M3782" t="s">
        <v>87</v>
      </c>
      <c r="N3782" t="s">
        <v>48</v>
      </c>
      <c r="O3782" t="s">
        <v>36</v>
      </c>
      <c r="P3782" t="s">
        <v>49</v>
      </c>
      <c r="Q3782" t="s">
        <v>38</v>
      </c>
      <c r="R3782">
        <v>404</v>
      </c>
      <c r="S3782">
        <v>186</v>
      </c>
      <c r="T3782">
        <v>124</v>
      </c>
      <c r="U3782">
        <v>28</v>
      </c>
      <c r="V3782" t="s">
        <v>1268</v>
      </c>
      <c r="W3782">
        <v>32765</v>
      </c>
      <c r="X3782" t="s">
        <v>1963</v>
      </c>
      <c r="Y3782">
        <v>29164</v>
      </c>
      <c r="Z3782">
        <v>917420</v>
      </c>
      <c r="AA3782">
        <v>100828</v>
      </c>
      <c r="AB3782" t="str">
        <f>(VLOOKUP(SalesData[[#This Row],[Month Number]],Reference!C$5:E$16,2,FALSE))</f>
        <v>Feb</v>
      </c>
      <c r="AC3782">
        <f>MONTH(SalesData[[#This Row],[Date]])</f>
        <v>2</v>
      </c>
      <c r="AD3782">
        <f>Reference!F$4</f>
        <v>2026</v>
      </c>
      <c r="AE3782" t="str">
        <f>IF(OR(SalesData[[#This Row],[Day]]="Saturday",SalesData[[#This Row],[Day]]="Sunday"),"Weekend","Weekday")</f>
        <v>Weekend</v>
      </c>
      <c r="AF3782" s="5">
        <f>IF(SalesData[[#This Row],[Contracts Offered]]=0,0,SalesData[[#This Row],[Contracts Signed]]/SalesData[[#This Row],[Contracts Offered]])</f>
        <v>0.22580645161290322</v>
      </c>
      <c r="AG3782" s="5">
        <f>IF(SalesData[[#This Row],[Customers Visited]]=0,0,SalesData[[#This Row],[Test Drives]]/SalesData[[#This Row],[Customers Visited]])</f>
        <v>0.46039603960396042</v>
      </c>
      <c r="AH3782" s="5">
        <f>IF(SalesData[[#This Row],[Customers Visited]]=0,0,SalesData[[#This Row],[Contracts Signed]]/SalesData[[#This Row],[Customers Visited]])</f>
        <v>6.9306930693069313E-2</v>
      </c>
      <c r="AI3782" s="6">
        <f>IF(SalesData[[#This Row],[Contracts Signed]]=0,0,SalesData[[#This Row],[Profit(€)]]/SalesData[[#This Row],[Contracts Signed]])</f>
        <v>3601</v>
      </c>
      <c r="AJ3782" s="5" t="str">
        <f>TRIM(CLEAN(SalesData[[#This Row],[Retailer]]))</f>
        <v>Saxon Wheels</v>
      </c>
    </row>
    <row r="3783" spans="1:36" ht="14.25" hidden="1" x14ac:dyDescent="0.2">
      <c r="A3783" t="s">
        <v>5007</v>
      </c>
      <c r="B3783" s="1">
        <v>46060</v>
      </c>
      <c r="C3783" t="s">
        <v>24</v>
      </c>
      <c r="D3783" t="s">
        <v>151</v>
      </c>
      <c r="E3783" t="s">
        <v>42</v>
      </c>
      <c r="F3783" t="s">
        <v>43</v>
      </c>
      <c r="G3783" t="s">
        <v>44</v>
      </c>
      <c r="H3783" t="s">
        <v>45</v>
      </c>
      <c r="I3783" t="s">
        <v>116</v>
      </c>
      <c r="J3783" t="s">
        <v>117</v>
      </c>
      <c r="K3783" t="s">
        <v>66</v>
      </c>
      <c r="L3783" t="s">
        <v>67</v>
      </c>
      <c r="M3783" t="s">
        <v>87</v>
      </c>
      <c r="N3783" t="s">
        <v>48</v>
      </c>
      <c r="O3783" t="s">
        <v>36</v>
      </c>
      <c r="P3783" t="s">
        <v>71</v>
      </c>
      <c r="Q3783" t="s">
        <v>59</v>
      </c>
      <c r="R3783">
        <v>344</v>
      </c>
      <c r="S3783">
        <v>138</v>
      </c>
      <c r="T3783">
        <v>94</v>
      </c>
      <c r="U3783">
        <v>21</v>
      </c>
      <c r="V3783" t="s">
        <v>1453</v>
      </c>
      <c r="W3783">
        <v>23143</v>
      </c>
      <c r="X3783" t="s">
        <v>1310</v>
      </c>
      <c r="Y3783">
        <v>20822</v>
      </c>
      <c r="Z3783">
        <v>486003</v>
      </c>
      <c r="AA3783">
        <v>48741</v>
      </c>
      <c r="AB3783" t="str">
        <f>(VLOOKUP(SalesData[[#This Row],[Month Number]],Reference!C$5:E$16,2,FALSE))</f>
        <v>Feb</v>
      </c>
      <c r="AC3783">
        <f>MONTH(SalesData[[#This Row],[Date]])</f>
        <v>2</v>
      </c>
      <c r="AD3783">
        <f>Reference!F$4</f>
        <v>2026</v>
      </c>
      <c r="AE3783" t="str">
        <f>IF(OR(SalesData[[#This Row],[Day]]="Saturday",SalesData[[#This Row],[Day]]="Sunday"),"Weekend","Weekday")</f>
        <v>Weekend</v>
      </c>
      <c r="AF3783" s="5">
        <f>IF(SalesData[[#This Row],[Contracts Offered]]=0,0,SalesData[[#This Row],[Contracts Signed]]/SalesData[[#This Row],[Contracts Offered]])</f>
        <v>0.22340425531914893</v>
      </c>
      <c r="AG3783" s="5">
        <f>IF(SalesData[[#This Row],[Customers Visited]]=0,0,SalesData[[#This Row],[Test Drives]]/SalesData[[#This Row],[Customers Visited]])</f>
        <v>0.40116279069767441</v>
      </c>
      <c r="AH3783" s="5">
        <f>IF(SalesData[[#This Row],[Customers Visited]]=0,0,SalesData[[#This Row],[Contracts Signed]]/SalesData[[#This Row],[Customers Visited]])</f>
        <v>6.1046511627906974E-2</v>
      </c>
      <c r="AI3783" s="6">
        <f>IF(SalesData[[#This Row],[Contracts Signed]]=0,0,SalesData[[#This Row],[Profit(€)]]/SalesData[[#This Row],[Contracts Signed]])</f>
        <v>2321</v>
      </c>
      <c r="AJ3783" s="5" t="str">
        <f>TRIM(CLEAN(SalesData[[#This Row],[Retailer]]))</f>
        <v>Saxon Wheels</v>
      </c>
    </row>
    <row r="3784" spans="1:36" ht="14.25" hidden="1" x14ac:dyDescent="0.2">
      <c r="A3784" t="s">
        <v>5008</v>
      </c>
      <c r="B3784" s="1">
        <v>46077</v>
      </c>
      <c r="C3784" t="s">
        <v>53</v>
      </c>
      <c r="D3784" t="s">
        <v>63</v>
      </c>
      <c r="E3784" t="s">
        <v>26</v>
      </c>
      <c r="F3784" t="s">
        <v>83</v>
      </c>
      <c r="G3784" t="s">
        <v>84</v>
      </c>
      <c r="H3784" t="s">
        <v>85</v>
      </c>
      <c r="I3784" t="s">
        <v>64</v>
      </c>
      <c r="J3784" t="s">
        <v>7029</v>
      </c>
      <c r="K3784" t="s">
        <v>78</v>
      </c>
      <c r="L3784" t="s">
        <v>33</v>
      </c>
      <c r="M3784" t="s">
        <v>34</v>
      </c>
      <c r="N3784" t="s">
        <v>35</v>
      </c>
      <c r="O3784" t="s">
        <v>70</v>
      </c>
      <c r="P3784" t="s">
        <v>71</v>
      </c>
      <c r="Q3784" t="s">
        <v>129</v>
      </c>
      <c r="R3784">
        <v>236</v>
      </c>
      <c r="S3784">
        <v>114</v>
      </c>
      <c r="T3784">
        <v>76</v>
      </c>
      <c r="U3784">
        <v>30</v>
      </c>
      <c r="V3784" t="s">
        <v>6471</v>
      </c>
      <c r="W3784">
        <v>54649</v>
      </c>
      <c r="X3784" t="s">
        <v>7328</v>
      </c>
      <c r="Y3784">
        <v>40681</v>
      </c>
      <c r="Z3784">
        <v>1639470</v>
      </c>
      <c r="AA3784">
        <v>419040</v>
      </c>
      <c r="AB3784" t="str">
        <f>(VLOOKUP(SalesData[[#This Row],[Month Number]],Reference!C$5:E$16,2,FALSE))</f>
        <v>Feb</v>
      </c>
      <c r="AC3784">
        <f>MONTH(SalesData[[#This Row],[Date]])</f>
        <v>2</v>
      </c>
      <c r="AD3784">
        <f>Reference!F$4</f>
        <v>2026</v>
      </c>
      <c r="AE3784" t="str">
        <f>IF(OR(SalesData[[#This Row],[Day]]="Saturday",SalesData[[#This Row],[Day]]="Sunday"),"Weekend","Weekday")</f>
        <v>Weekday</v>
      </c>
      <c r="AF3784" s="5">
        <f>IF(SalesData[[#This Row],[Contracts Offered]]=0,0,SalesData[[#This Row],[Contracts Signed]]/SalesData[[#This Row],[Contracts Offered]])</f>
        <v>0.39473684210526316</v>
      </c>
      <c r="AG3784" s="5">
        <f>IF(SalesData[[#This Row],[Customers Visited]]=0,0,SalesData[[#This Row],[Test Drives]]/SalesData[[#This Row],[Customers Visited]])</f>
        <v>0.48305084745762711</v>
      </c>
      <c r="AH3784" s="5">
        <f>IF(SalesData[[#This Row],[Customers Visited]]=0,0,SalesData[[#This Row],[Contracts Signed]]/SalesData[[#This Row],[Customers Visited]])</f>
        <v>0.1271186440677966</v>
      </c>
      <c r="AI3784" s="6">
        <f>IF(SalesData[[#This Row],[Contracts Signed]]=0,0,SalesData[[#This Row],[Profit(€)]]/SalesData[[#This Row],[Contracts Signed]])</f>
        <v>13968</v>
      </c>
      <c r="AJ3784" s="5" t="str">
        <f>TRIM(CLEAN(SalesData[[#This Row],[Retailer]]))</f>
        <v>Hannover Cars</v>
      </c>
    </row>
    <row r="3785" spans="1:36" ht="14.25" hidden="1" x14ac:dyDescent="0.2">
      <c r="A3785" t="s">
        <v>5009</v>
      </c>
      <c r="B3785" s="1">
        <v>46071</v>
      </c>
      <c r="C3785" t="s">
        <v>62</v>
      </c>
      <c r="D3785" t="s">
        <v>82</v>
      </c>
      <c r="E3785" t="s">
        <v>26</v>
      </c>
      <c r="F3785" t="s">
        <v>94</v>
      </c>
      <c r="G3785" t="s">
        <v>95</v>
      </c>
      <c r="H3785" t="s">
        <v>96</v>
      </c>
      <c r="I3785" t="s">
        <v>116</v>
      </c>
      <c r="J3785" t="s">
        <v>7090</v>
      </c>
      <c r="K3785" t="s">
        <v>78</v>
      </c>
      <c r="L3785" t="s">
        <v>46</v>
      </c>
      <c r="M3785" t="s">
        <v>68</v>
      </c>
      <c r="N3785" t="s">
        <v>69</v>
      </c>
      <c r="O3785" t="s">
        <v>36</v>
      </c>
      <c r="P3785" t="s">
        <v>49</v>
      </c>
      <c r="Q3785" t="s">
        <v>129</v>
      </c>
      <c r="R3785">
        <v>359</v>
      </c>
      <c r="S3785">
        <v>174</v>
      </c>
      <c r="T3785">
        <v>97</v>
      </c>
      <c r="U3785">
        <v>26</v>
      </c>
      <c r="V3785" t="s">
        <v>1804</v>
      </c>
      <c r="W3785">
        <v>27010</v>
      </c>
      <c r="X3785" t="s">
        <v>3163</v>
      </c>
      <c r="Y3785">
        <v>24695</v>
      </c>
      <c r="Z3785">
        <v>702260</v>
      </c>
      <c r="AA3785">
        <v>60190</v>
      </c>
      <c r="AB3785" t="str">
        <f>(VLOOKUP(SalesData[[#This Row],[Month Number]],Reference!C$5:E$16,2,FALSE))</f>
        <v>Feb</v>
      </c>
      <c r="AC3785">
        <f>MONTH(SalesData[[#This Row],[Date]])</f>
        <v>2</v>
      </c>
      <c r="AD3785">
        <f>Reference!F$4</f>
        <v>2026</v>
      </c>
      <c r="AE3785" t="str">
        <f>IF(OR(SalesData[[#This Row],[Day]]="Saturday",SalesData[[#This Row],[Day]]="Sunday"),"Weekend","Weekday")</f>
        <v>Weekday</v>
      </c>
      <c r="AF3785" s="5">
        <f>IF(SalesData[[#This Row],[Contracts Offered]]=0,0,SalesData[[#This Row],[Contracts Signed]]/SalesData[[#This Row],[Contracts Offered]])</f>
        <v>0.26804123711340205</v>
      </c>
      <c r="AG3785" s="5">
        <f>IF(SalesData[[#This Row],[Customers Visited]]=0,0,SalesData[[#This Row],[Test Drives]]/SalesData[[#This Row],[Customers Visited]])</f>
        <v>0.48467966573816157</v>
      </c>
      <c r="AH3785" s="5">
        <f>IF(SalesData[[#This Row],[Customers Visited]]=0,0,SalesData[[#This Row],[Contracts Signed]]/SalesData[[#This Row],[Customers Visited]])</f>
        <v>7.2423398328690811E-2</v>
      </c>
      <c r="AI3785" s="6">
        <f>IF(SalesData[[#This Row],[Contracts Signed]]=0,0,SalesData[[#This Row],[Profit(€)]]/SalesData[[#This Row],[Contracts Signed]])</f>
        <v>2315</v>
      </c>
      <c r="AJ3785" s="5" t="str">
        <f>TRIM(CLEAN(SalesData[[#This Row],[Retailer]]))</f>
        <v>Bavaria Motors</v>
      </c>
    </row>
    <row r="3786" spans="1:36" ht="14.25" hidden="1" x14ac:dyDescent="0.2">
      <c r="A3786" t="s">
        <v>5011</v>
      </c>
      <c r="B3786" s="1">
        <v>46071</v>
      </c>
      <c r="C3786" t="s">
        <v>62</v>
      </c>
      <c r="D3786" t="s">
        <v>82</v>
      </c>
      <c r="E3786" t="s">
        <v>26</v>
      </c>
      <c r="F3786" t="s">
        <v>27</v>
      </c>
      <c r="G3786" t="s">
        <v>28</v>
      </c>
      <c r="H3786" t="s">
        <v>29</v>
      </c>
      <c r="I3786" t="s">
        <v>56</v>
      </c>
      <c r="J3786" t="s">
        <v>137</v>
      </c>
      <c r="K3786" t="s">
        <v>91</v>
      </c>
      <c r="L3786" t="s">
        <v>46</v>
      </c>
      <c r="M3786" t="s">
        <v>47</v>
      </c>
      <c r="N3786" t="s">
        <v>48</v>
      </c>
      <c r="O3786" t="s">
        <v>36</v>
      </c>
      <c r="P3786" t="s">
        <v>71</v>
      </c>
      <c r="Q3786" t="s">
        <v>106</v>
      </c>
      <c r="R3786">
        <v>199</v>
      </c>
      <c r="S3786">
        <v>106</v>
      </c>
      <c r="T3786">
        <v>80</v>
      </c>
      <c r="U3786">
        <v>24</v>
      </c>
      <c r="V3786" t="s">
        <v>6564</v>
      </c>
      <c r="W3786">
        <v>48235</v>
      </c>
      <c r="X3786" t="s">
        <v>7126</v>
      </c>
      <c r="Y3786">
        <v>38133</v>
      </c>
      <c r="Z3786">
        <v>1157640</v>
      </c>
      <c r="AA3786">
        <v>242448</v>
      </c>
      <c r="AB3786" t="str">
        <f>(VLOOKUP(SalesData[[#This Row],[Month Number]],Reference!C$5:E$16,2,FALSE))</f>
        <v>Feb</v>
      </c>
      <c r="AC3786">
        <f>MONTH(SalesData[[#This Row],[Date]])</f>
        <v>2</v>
      </c>
      <c r="AD3786">
        <f>Reference!F$4</f>
        <v>2026</v>
      </c>
      <c r="AE3786" t="str">
        <f>IF(OR(SalesData[[#This Row],[Day]]="Saturday",SalesData[[#This Row],[Day]]="Sunday"),"Weekend","Weekday")</f>
        <v>Weekday</v>
      </c>
      <c r="AF3786" s="5">
        <f>IF(SalesData[[#This Row],[Contracts Offered]]=0,0,SalesData[[#This Row],[Contracts Signed]]/SalesData[[#This Row],[Contracts Offered]])</f>
        <v>0.3</v>
      </c>
      <c r="AG3786" s="5">
        <f>IF(SalesData[[#This Row],[Customers Visited]]=0,0,SalesData[[#This Row],[Test Drives]]/SalesData[[#This Row],[Customers Visited]])</f>
        <v>0.53266331658291455</v>
      </c>
      <c r="AH3786" s="5">
        <f>IF(SalesData[[#This Row],[Customers Visited]]=0,0,SalesData[[#This Row],[Contracts Signed]]/SalesData[[#This Row],[Customers Visited]])</f>
        <v>0.12060301507537688</v>
      </c>
      <c r="AI3786" s="6">
        <f>IF(SalesData[[#This Row],[Contracts Signed]]=0,0,SalesData[[#This Row],[Profit(€)]]/SalesData[[#This Row],[Contracts Signed]])</f>
        <v>10102</v>
      </c>
      <c r="AJ3786" s="5" t="str">
        <f>TRIM(CLEAN(SalesData[[#This Row],[Retailer]]))</f>
        <v>Main Auto Hub</v>
      </c>
    </row>
    <row r="3787" spans="1:36" ht="14.25" hidden="1" x14ac:dyDescent="0.2">
      <c r="A3787" t="s">
        <v>5012</v>
      </c>
      <c r="B3787" s="1">
        <v>46068</v>
      </c>
      <c r="C3787" t="s">
        <v>62</v>
      </c>
      <c r="D3787" t="s">
        <v>41</v>
      </c>
      <c r="E3787" t="s">
        <v>42</v>
      </c>
      <c r="F3787" t="s">
        <v>27</v>
      </c>
      <c r="G3787" t="s">
        <v>28</v>
      </c>
      <c r="H3787" t="s">
        <v>29</v>
      </c>
      <c r="I3787" t="s">
        <v>64</v>
      </c>
      <c r="J3787" t="s">
        <v>77</v>
      </c>
      <c r="K3787" t="s">
        <v>91</v>
      </c>
      <c r="L3787" t="s">
        <v>46</v>
      </c>
      <c r="M3787" t="s">
        <v>87</v>
      </c>
      <c r="N3787" t="s">
        <v>48</v>
      </c>
      <c r="O3787" t="s">
        <v>36</v>
      </c>
      <c r="P3787" t="s">
        <v>58</v>
      </c>
      <c r="Q3787" t="s">
        <v>167</v>
      </c>
      <c r="R3787">
        <v>242</v>
      </c>
      <c r="S3787">
        <v>144</v>
      </c>
      <c r="T3787">
        <v>96</v>
      </c>
      <c r="U3787">
        <v>41</v>
      </c>
      <c r="V3787" t="s">
        <v>6970</v>
      </c>
      <c r="W3787">
        <v>72119</v>
      </c>
      <c r="X3787" t="s">
        <v>7340</v>
      </c>
      <c r="Y3787">
        <v>55933</v>
      </c>
      <c r="Z3787">
        <v>2956879</v>
      </c>
      <c r="AA3787">
        <v>663626</v>
      </c>
      <c r="AB3787" t="str">
        <f>(VLOOKUP(SalesData[[#This Row],[Month Number]],Reference!C$5:E$16,2,FALSE))</f>
        <v>Feb</v>
      </c>
      <c r="AC3787">
        <f>MONTH(SalesData[[#This Row],[Date]])</f>
        <v>2</v>
      </c>
      <c r="AD3787">
        <f>Reference!F$4</f>
        <v>2026</v>
      </c>
      <c r="AE3787" t="str">
        <f>IF(OR(SalesData[[#This Row],[Day]]="Saturday",SalesData[[#This Row],[Day]]="Sunday"),"Weekend","Weekday")</f>
        <v>Weekend</v>
      </c>
      <c r="AF3787" s="5">
        <f>IF(SalesData[[#This Row],[Contracts Offered]]=0,0,SalesData[[#This Row],[Contracts Signed]]/SalesData[[#This Row],[Contracts Offered]])</f>
        <v>0.42708333333333331</v>
      </c>
      <c r="AG3787" s="5">
        <f>IF(SalesData[[#This Row],[Customers Visited]]=0,0,SalesData[[#This Row],[Test Drives]]/SalesData[[#This Row],[Customers Visited]])</f>
        <v>0.5950413223140496</v>
      </c>
      <c r="AH3787" s="5">
        <f>IF(SalesData[[#This Row],[Customers Visited]]=0,0,SalesData[[#This Row],[Contracts Signed]]/SalesData[[#This Row],[Customers Visited]])</f>
        <v>0.16942148760330578</v>
      </c>
      <c r="AI3787" s="6">
        <f>IF(SalesData[[#This Row],[Contracts Signed]]=0,0,SalesData[[#This Row],[Profit(€)]]/SalesData[[#This Row],[Contracts Signed]])</f>
        <v>16186</v>
      </c>
      <c r="AJ3787" s="5" t="str">
        <f>TRIM(CLEAN(SalesData[[#This Row],[Retailer]]))</f>
        <v>Main Auto Hub</v>
      </c>
    </row>
    <row r="3788" spans="1:36" ht="14.25" hidden="1" x14ac:dyDescent="0.2">
      <c r="A3788" t="s">
        <v>5013</v>
      </c>
      <c r="B3788" s="1">
        <v>46070</v>
      </c>
      <c r="C3788" t="s">
        <v>62</v>
      </c>
      <c r="D3788" t="s">
        <v>63</v>
      </c>
      <c r="E3788" t="s">
        <v>26</v>
      </c>
      <c r="F3788" t="s">
        <v>43</v>
      </c>
      <c r="G3788" t="s">
        <v>44</v>
      </c>
      <c r="H3788" t="s">
        <v>45</v>
      </c>
      <c r="I3788" t="s">
        <v>116</v>
      </c>
      <c r="J3788" t="s">
        <v>7026</v>
      </c>
      <c r="K3788" t="s">
        <v>32</v>
      </c>
      <c r="L3788" t="s">
        <v>46</v>
      </c>
      <c r="M3788" t="s">
        <v>34</v>
      </c>
      <c r="N3788" t="s">
        <v>48</v>
      </c>
      <c r="O3788" t="s">
        <v>70</v>
      </c>
      <c r="P3788" t="s">
        <v>49</v>
      </c>
      <c r="Q3788" t="s">
        <v>347</v>
      </c>
      <c r="R3788">
        <v>426</v>
      </c>
      <c r="S3788">
        <v>188</v>
      </c>
      <c r="T3788">
        <v>120</v>
      </c>
      <c r="U3788">
        <v>21</v>
      </c>
      <c r="V3788" t="s">
        <v>898</v>
      </c>
      <c r="W3788">
        <v>21059</v>
      </c>
      <c r="X3788" t="s">
        <v>7357</v>
      </c>
      <c r="Y3788">
        <v>18995</v>
      </c>
      <c r="Z3788">
        <v>442239</v>
      </c>
      <c r="AA3788">
        <v>43344</v>
      </c>
      <c r="AB3788" t="str">
        <f>(VLOOKUP(SalesData[[#This Row],[Month Number]],Reference!C$5:E$16,2,FALSE))</f>
        <v>Feb</v>
      </c>
      <c r="AC3788">
        <f>MONTH(SalesData[[#This Row],[Date]])</f>
        <v>2</v>
      </c>
      <c r="AD3788">
        <f>Reference!F$4</f>
        <v>2026</v>
      </c>
      <c r="AE3788" t="str">
        <f>IF(OR(SalesData[[#This Row],[Day]]="Saturday",SalesData[[#This Row],[Day]]="Sunday"),"Weekend","Weekday")</f>
        <v>Weekday</v>
      </c>
      <c r="AF3788" s="5">
        <f>IF(SalesData[[#This Row],[Contracts Offered]]=0,0,SalesData[[#This Row],[Contracts Signed]]/SalesData[[#This Row],[Contracts Offered]])</f>
        <v>0.17499999999999999</v>
      </c>
      <c r="AG3788" s="5">
        <f>IF(SalesData[[#This Row],[Customers Visited]]=0,0,SalesData[[#This Row],[Test Drives]]/SalesData[[#This Row],[Customers Visited]])</f>
        <v>0.44131455399061031</v>
      </c>
      <c r="AH3788" s="5">
        <f>IF(SalesData[[#This Row],[Customers Visited]]=0,0,SalesData[[#This Row],[Contracts Signed]]/SalesData[[#This Row],[Customers Visited]])</f>
        <v>4.9295774647887321E-2</v>
      </c>
      <c r="AI3788" s="6">
        <f>IF(SalesData[[#This Row],[Contracts Signed]]=0,0,SalesData[[#This Row],[Profit(€)]]/SalesData[[#This Row],[Contracts Signed]])</f>
        <v>2064</v>
      </c>
      <c r="AJ3788" s="5" t="str">
        <f>TRIM(CLEAN(SalesData[[#This Row],[Retailer]]))</f>
        <v>Saxon Wheels</v>
      </c>
    </row>
    <row r="3789" spans="1:36" ht="14.25" hidden="1" x14ac:dyDescent="0.2">
      <c r="A3789" t="s">
        <v>5014</v>
      </c>
      <c r="B3789" s="1">
        <v>46079</v>
      </c>
      <c r="C3789" t="s">
        <v>53</v>
      </c>
      <c r="D3789" t="s">
        <v>100</v>
      </c>
      <c r="E3789" t="s">
        <v>26</v>
      </c>
      <c r="F3789" t="s">
        <v>74</v>
      </c>
      <c r="G3789" t="s">
        <v>75</v>
      </c>
      <c r="H3789" t="s">
        <v>76</v>
      </c>
      <c r="I3789" t="s">
        <v>56</v>
      </c>
      <c r="J3789" t="s">
        <v>57</v>
      </c>
      <c r="K3789" t="s">
        <v>32</v>
      </c>
      <c r="L3789" t="s">
        <v>46</v>
      </c>
      <c r="M3789" t="s">
        <v>87</v>
      </c>
      <c r="N3789" t="s">
        <v>35</v>
      </c>
      <c r="O3789" t="s">
        <v>36</v>
      </c>
      <c r="P3789" t="s">
        <v>58</v>
      </c>
      <c r="Q3789" t="s">
        <v>50</v>
      </c>
      <c r="R3789">
        <v>236</v>
      </c>
      <c r="S3789">
        <v>115</v>
      </c>
      <c r="T3789">
        <v>85</v>
      </c>
      <c r="U3789">
        <v>33</v>
      </c>
      <c r="V3789" t="s">
        <v>6511</v>
      </c>
      <c r="W3789">
        <v>54499</v>
      </c>
      <c r="X3789" t="s">
        <v>7300</v>
      </c>
      <c r="Y3789">
        <v>42499</v>
      </c>
      <c r="Z3789">
        <v>1798467</v>
      </c>
      <c r="AA3789">
        <v>396000</v>
      </c>
      <c r="AB3789" t="str">
        <f>(VLOOKUP(SalesData[[#This Row],[Month Number]],Reference!C$5:E$16,2,FALSE))</f>
        <v>Feb</v>
      </c>
      <c r="AC3789">
        <f>MONTH(SalesData[[#This Row],[Date]])</f>
        <v>2</v>
      </c>
      <c r="AD3789">
        <f>Reference!F$4</f>
        <v>2026</v>
      </c>
      <c r="AE3789" t="str">
        <f>IF(OR(SalesData[[#This Row],[Day]]="Saturday",SalesData[[#This Row],[Day]]="Sunday"),"Weekend","Weekday")</f>
        <v>Weekday</v>
      </c>
      <c r="AF3789" s="5">
        <f>IF(SalesData[[#This Row],[Contracts Offered]]=0,0,SalesData[[#This Row],[Contracts Signed]]/SalesData[[#This Row],[Contracts Offered]])</f>
        <v>0.38823529411764707</v>
      </c>
      <c r="AG3789" s="5">
        <f>IF(SalesData[[#This Row],[Customers Visited]]=0,0,SalesData[[#This Row],[Test Drives]]/SalesData[[#This Row],[Customers Visited]])</f>
        <v>0.48728813559322032</v>
      </c>
      <c r="AH3789" s="5">
        <f>IF(SalesData[[#This Row],[Customers Visited]]=0,0,SalesData[[#This Row],[Contracts Signed]]/SalesData[[#This Row],[Customers Visited]])</f>
        <v>0.13983050847457626</v>
      </c>
      <c r="AI3789" s="6">
        <f>IF(SalesData[[#This Row],[Contracts Signed]]=0,0,SalesData[[#This Row],[Profit(€)]]/SalesData[[#This Row],[Contracts Signed]])</f>
        <v>12000</v>
      </c>
      <c r="AJ3789" s="5" t="str">
        <f>TRIM(CLEAN(SalesData[[#This Row],[Retailer]]))</f>
        <v>Stuttgart Auto Center</v>
      </c>
    </row>
    <row r="3790" spans="1:36" ht="14.25" hidden="1" x14ac:dyDescent="0.2">
      <c r="A3790" t="s">
        <v>5015</v>
      </c>
      <c r="B3790" s="1">
        <v>46080</v>
      </c>
      <c r="C3790" t="s">
        <v>53</v>
      </c>
      <c r="D3790" t="s">
        <v>54</v>
      </c>
      <c r="E3790" t="s">
        <v>26</v>
      </c>
      <c r="F3790" t="s">
        <v>83</v>
      </c>
      <c r="G3790" t="s">
        <v>84</v>
      </c>
      <c r="H3790" t="s">
        <v>85</v>
      </c>
      <c r="I3790" t="s">
        <v>56</v>
      </c>
      <c r="J3790" t="s">
        <v>179</v>
      </c>
      <c r="K3790" t="s">
        <v>66</v>
      </c>
      <c r="L3790" t="s">
        <v>67</v>
      </c>
      <c r="M3790" t="s">
        <v>68</v>
      </c>
      <c r="N3790" t="s">
        <v>35</v>
      </c>
      <c r="O3790" t="s">
        <v>36</v>
      </c>
      <c r="P3790" t="s">
        <v>37</v>
      </c>
      <c r="Q3790" t="s">
        <v>129</v>
      </c>
      <c r="R3790">
        <v>210</v>
      </c>
      <c r="S3790">
        <v>114</v>
      </c>
      <c r="T3790">
        <v>85</v>
      </c>
      <c r="U3790">
        <v>24</v>
      </c>
      <c r="V3790" t="s">
        <v>6421</v>
      </c>
      <c r="W3790">
        <v>40445</v>
      </c>
      <c r="X3790" t="s">
        <v>5862</v>
      </c>
      <c r="Y3790">
        <v>32807</v>
      </c>
      <c r="Z3790">
        <v>970680</v>
      </c>
      <c r="AA3790">
        <v>183312</v>
      </c>
      <c r="AB3790" t="str">
        <f>(VLOOKUP(SalesData[[#This Row],[Month Number]],Reference!C$5:E$16,2,FALSE))</f>
        <v>Feb</v>
      </c>
      <c r="AC3790">
        <f>MONTH(SalesData[[#This Row],[Date]])</f>
        <v>2</v>
      </c>
      <c r="AD3790">
        <f>Reference!F$4</f>
        <v>2026</v>
      </c>
      <c r="AE3790" t="str">
        <f>IF(OR(SalesData[[#This Row],[Day]]="Saturday",SalesData[[#This Row],[Day]]="Sunday"),"Weekend","Weekday")</f>
        <v>Weekday</v>
      </c>
      <c r="AF3790" s="5">
        <f>IF(SalesData[[#This Row],[Contracts Offered]]=0,0,SalesData[[#This Row],[Contracts Signed]]/SalesData[[#This Row],[Contracts Offered]])</f>
        <v>0.28235294117647058</v>
      </c>
      <c r="AG3790" s="5">
        <f>IF(SalesData[[#This Row],[Customers Visited]]=0,0,SalesData[[#This Row],[Test Drives]]/SalesData[[#This Row],[Customers Visited]])</f>
        <v>0.54285714285714282</v>
      </c>
      <c r="AH3790" s="5">
        <f>IF(SalesData[[#This Row],[Customers Visited]]=0,0,SalesData[[#This Row],[Contracts Signed]]/SalesData[[#This Row],[Customers Visited]])</f>
        <v>0.11428571428571428</v>
      </c>
      <c r="AI3790" s="6">
        <f>IF(SalesData[[#This Row],[Contracts Signed]]=0,0,SalesData[[#This Row],[Profit(€)]]/SalesData[[#This Row],[Contracts Signed]])</f>
        <v>7638</v>
      </c>
      <c r="AJ3790" s="5" t="str">
        <f>TRIM(CLEAN(SalesData[[#This Row],[Retailer]]))</f>
        <v>Hannover Cars</v>
      </c>
    </row>
    <row r="3791" spans="1:36" ht="14.25" hidden="1" x14ac:dyDescent="0.2">
      <c r="A3791" t="s">
        <v>5016</v>
      </c>
      <c r="B3791" s="1">
        <v>46081</v>
      </c>
      <c r="C3791" t="s">
        <v>53</v>
      </c>
      <c r="D3791" t="s">
        <v>151</v>
      </c>
      <c r="E3791" t="s">
        <v>42</v>
      </c>
      <c r="F3791" t="s">
        <v>127</v>
      </c>
      <c r="G3791" t="s">
        <v>128</v>
      </c>
      <c r="H3791" t="s">
        <v>103</v>
      </c>
      <c r="I3791" t="s">
        <v>64</v>
      </c>
      <c r="J3791" t="s">
        <v>157</v>
      </c>
      <c r="K3791" t="s">
        <v>91</v>
      </c>
      <c r="L3791" t="s">
        <v>33</v>
      </c>
      <c r="M3791" t="s">
        <v>47</v>
      </c>
      <c r="N3791" t="s">
        <v>35</v>
      </c>
      <c r="O3791" t="s">
        <v>36</v>
      </c>
      <c r="P3791" t="s">
        <v>49</v>
      </c>
      <c r="Q3791" t="s">
        <v>59</v>
      </c>
      <c r="R3791">
        <v>272</v>
      </c>
      <c r="S3791">
        <v>140</v>
      </c>
      <c r="T3791">
        <v>92</v>
      </c>
      <c r="U3791">
        <v>35</v>
      </c>
      <c r="V3791" t="s">
        <v>6403</v>
      </c>
      <c r="W3791">
        <v>56452</v>
      </c>
      <c r="X3791" t="s">
        <v>1167</v>
      </c>
      <c r="Y3791">
        <v>42100</v>
      </c>
      <c r="Z3791">
        <v>1975820</v>
      </c>
      <c r="AA3791">
        <v>502320</v>
      </c>
      <c r="AB3791" t="str">
        <f>(VLOOKUP(SalesData[[#This Row],[Month Number]],Reference!C$5:E$16,2,FALSE))</f>
        <v>Feb</v>
      </c>
      <c r="AC3791">
        <f>MONTH(SalesData[[#This Row],[Date]])</f>
        <v>2</v>
      </c>
      <c r="AD3791">
        <f>Reference!F$4</f>
        <v>2026</v>
      </c>
      <c r="AE3791" t="str">
        <f>IF(OR(SalesData[[#This Row],[Day]]="Saturday",SalesData[[#This Row],[Day]]="Sunday"),"Weekend","Weekday")</f>
        <v>Weekend</v>
      </c>
      <c r="AF3791" s="5">
        <f>IF(SalesData[[#This Row],[Contracts Offered]]=0,0,SalesData[[#This Row],[Contracts Signed]]/SalesData[[#This Row],[Contracts Offered]])</f>
        <v>0.38043478260869568</v>
      </c>
      <c r="AG3791" s="5">
        <f>IF(SalesData[[#This Row],[Customers Visited]]=0,0,SalesData[[#This Row],[Test Drives]]/SalesData[[#This Row],[Customers Visited]])</f>
        <v>0.51470588235294112</v>
      </c>
      <c r="AH3791" s="5">
        <f>IF(SalesData[[#This Row],[Customers Visited]]=0,0,SalesData[[#This Row],[Contracts Signed]]/SalesData[[#This Row],[Customers Visited]])</f>
        <v>0.12867647058823528</v>
      </c>
      <c r="AI3791" s="6">
        <f>IF(SalesData[[#This Row],[Contracts Signed]]=0,0,SalesData[[#This Row],[Profit(€)]]/SalesData[[#This Row],[Contracts Signed]])</f>
        <v>14352</v>
      </c>
      <c r="AJ3791" s="5" t="str">
        <f>TRIM(CLEAN(SalesData[[#This Row],[Retailer]]))</f>
        <v>Rhein Auto Group</v>
      </c>
    </row>
    <row r="3792" spans="1:36" ht="14.25" hidden="1" x14ac:dyDescent="0.2">
      <c r="A3792" t="s">
        <v>5018</v>
      </c>
      <c r="B3792" s="1">
        <v>46070</v>
      </c>
      <c r="C3792" t="s">
        <v>62</v>
      </c>
      <c r="D3792" t="s">
        <v>63</v>
      </c>
      <c r="E3792" t="s">
        <v>26</v>
      </c>
      <c r="F3792" t="s">
        <v>127</v>
      </c>
      <c r="G3792" t="s">
        <v>128</v>
      </c>
      <c r="H3792" t="s">
        <v>103</v>
      </c>
      <c r="I3792" t="s">
        <v>104</v>
      </c>
      <c r="J3792" t="s">
        <v>105</v>
      </c>
      <c r="K3792" t="s">
        <v>32</v>
      </c>
      <c r="L3792" t="s">
        <v>33</v>
      </c>
      <c r="M3792" t="s">
        <v>68</v>
      </c>
      <c r="N3792" t="s">
        <v>69</v>
      </c>
      <c r="O3792" t="s">
        <v>36</v>
      </c>
      <c r="P3792" t="s">
        <v>49</v>
      </c>
      <c r="Q3792" t="s">
        <v>122</v>
      </c>
      <c r="R3792">
        <v>336</v>
      </c>
      <c r="S3792">
        <v>184</v>
      </c>
      <c r="T3792">
        <v>111</v>
      </c>
      <c r="U3792">
        <v>31</v>
      </c>
      <c r="V3792" t="s">
        <v>299</v>
      </c>
      <c r="W3792">
        <v>29895</v>
      </c>
      <c r="X3792" t="s">
        <v>4565</v>
      </c>
      <c r="Y3792">
        <v>26977</v>
      </c>
      <c r="Z3792">
        <v>926745</v>
      </c>
      <c r="AA3792">
        <v>90458</v>
      </c>
      <c r="AB3792" t="str">
        <f>(VLOOKUP(SalesData[[#This Row],[Month Number]],Reference!C$5:E$16,2,FALSE))</f>
        <v>Feb</v>
      </c>
      <c r="AC3792">
        <f>MONTH(SalesData[[#This Row],[Date]])</f>
        <v>2</v>
      </c>
      <c r="AD3792">
        <f>Reference!F$4</f>
        <v>2026</v>
      </c>
      <c r="AE3792" t="str">
        <f>IF(OR(SalesData[[#This Row],[Day]]="Saturday",SalesData[[#This Row],[Day]]="Sunday"),"Weekend","Weekday")</f>
        <v>Weekday</v>
      </c>
      <c r="AF3792" s="5">
        <f>IF(SalesData[[#This Row],[Contracts Offered]]=0,0,SalesData[[#This Row],[Contracts Signed]]/SalesData[[#This Row],[Contracts Offered]])</f>
        <v>0.27927927927927926</v>
      </c>
      <c r="AG3792" s="5">
        <f>IF(SalesData[[#This Row],[Customers Visited]]=0,0,SalesData[[#This Row],[Test Drives]]/SalesData[[#This Row],[Customers Visited]])</f>
        <v>0.54761904761904767</v>
      </c>
      <c r="AH3792" s="5">
        <f>IF(SalesData[[#This Row],[Customers Visited]]=0,0,SalesData[[#This Row],[Contracts Signed]]/SalesData[[#This Row],[Customers Visited]])</f>
        <v>9.2261904761904767E-2</v>
      </c>
      <c r="AI3792" s="6">
        <f>IF(SalesData[[#This Row],[Contracts Signed]]=0,0,SalesData[[#This Row],[Profit(€)]]/SalesData[[#This Row],[Contracts Signed]])</f>
        <v>2918</v>
      </c>
      <c r="AJ3792" s="5" t="str">
        <f>TRIM(CLEAN(SalesData[[#This Row],[Retailer]]))</f>
        <v>Rhein Auto Group</v>
      </c>
    </row>
    <row r="3793" spans="1:36" ht="14.25" hidden="1" x14ac:dyDescent="0.2">
      <c r="A3793" t="s">
        <v>5019</v>
      </c>
      <c r="B3793" s="1">
        <v>46072</v>
      </c>
      <c r="C3793" t="s">
        <v>62</v>
      </c>
      <c r="D3793" t="s">
        <v>100</v>
      </c>
      <c r="E3793" t="s">
        <v>26</v>
      </c>
      <c r="F3793" t="s">
        <v>27</v>
      </c>
      <c r="G3793" t="s">
        <v>28</v>
      </c>
      <c r="H3793" t="s">
        <v>29</v>
      </c>
      <c r="I3793" t="s">
        <v>64</v>
      </c>
      <c r="J3793" t="s">
        <v>7029</v>
      </c>
      <c r="K3793" t="s">
        <v>66</v>
      </c>
      <c r="L3793" t="s">
        <v>33</v>
      </c>
      <c r="M3793" t="s">
        <v>34</v>
      </c>
      <c r="N3793" t="s">
        <v>69</v>
      </c>
      <c r="O3793" t="s">
        <v>70</v>
      </c>
      <c r="P3793" t="s">
        <v>49</v>
      </c>
      <c r="Q3793" t="s">
        <v>122</v>
      </c>
      <c r="R3793">
        <v>168</v>
      </c>
      <c r="S3793">
        <v>97</v>
      </c>
      <c r="T3793">
        <v>75</v>
      </c>
      <c r="U3793">
        <v>23</v>
      </c>
      <c r="V3793" t="s">
        <v>6863</v>
      </c>
      <c r="W3793">
        <v>60125</v>
      </c>
      <c r="X3793" t="s">
        <v>7450</v>
      </c>
      <c r="Y3793">
        <v>45415</v>
      </c>
      <c r="Z3793">
        <v>1382875</v>
      </c>
      <c r="AA3793">
        <v>338330</v>
      </c>
      <c r="AB3793" t="str">
        <f>(VLOOKUP(SalesData[[#This Row],[Month Number]],Reference!C$5:E$16,2,FALSE))</f>
        <v>Feb</v>
      </c>
      <c r="AC3793">
        <f>MONTH(SalesData[[#This Row],[Date]])</f>
        <v>2</v>
      </c>
      <c r="AD3793">
        <f>Reference!F$4</f>
        <v>2026</v>
      </c>
      <c r="AE3793" t="str">
        <f>IF(OR(SalesData[[#This Row],[Day]]="Saturday",SalesData[[#This Row],[Day]]="Sunday"),"Weekend","Weekday")</f>
        <v>Weekday</v>
      </c>
      <c r="AF3793" s="5">
        <f>IF(SalesData[[#This Row],[Contracts Offered]]=0,0,SalesData[[#This Row],[Contracts Signed]]/SalesData[[#This Row],[Contracts Offered]])</f>
        <v>0.30666666666666664</v>
      </c>
      <c r="AG3793" s="5">
        <f>IF(SalesData[[#This Row],[Customers Visited]]=0,0,SalesData[[#This Row],[Test Drives]]/SalesData[[#This Row],[Customers Visited]])</f>
        <v>0.57738095238095233</v>
      </c>
      <c r="AH3793" s="5">
        <f>IF(SalesData[[#This Row],[Customers Visited]]=0,0,SalesData[[#This Row],[Contracts Signed]]/SalesData[[#This Row],[Customers Visited]])</f>
        <v>0.13690476190476192</v>
      </c>
      <c r="AI3793" s="6">
        <f>IF(SalesData[[#This Row],[Contracts Signed]]=0,0,SalesData[[#This Row],[Profit(€)]]/SalesData[[#This Row],[Contracts Signed]])</f>
        <v>14710</v>
      </c>
      <c r="AJ3793" s="5" t="str">
        <f>TRIM(CLEAN(SalesData[[#This Row],[Retailer]]))</f>
        <v>Main Auto Hub</v>
      </c>
    </row>
    <row r="3794" spans="1:36" ht="14.25" hidden="1" x14ac:dyDescent="0.2">
      <c r="A3794" t="s">
        <v>5020</v>
      </c>
      <c r="B3794" s="1">
        <v>46057</v>
      </c>
      <c r="C3794" t="s">
        <v>24</v>
      </c>
      <c r="D3794" t="s">
        <v>82</v>
      </c>
      <c r="E3794" t="s">
        <v>26</v>
      </c>
      <c r="F3794" t="s">
        <v>127</v>
      </c>
      <c r="G3794" t="s">
        <v>128</v>
      </c>
      <c r="H3794" t="s">
        <v>103</v>
      </c>
      <c r="I3794" t="s">
        <v>104</v>
      </c>
      <c r="J3794" t="s">
        <v>7031</v>
      </c>
      <c r="K3794" t="s">
        <v>78</v>
      </c>
      <c r="L3794" t="s">
        <v>46</v>
      </c>
      <c r="M3794" t="s">
        <v>47</v>
      </c>
      <c r="N3794" t="s">
        <v>69</v>
      </c>
      <c r="O3794" t="s">
        <v>36</v>
      </c>
      <c r="P3794" t="s">
        <v>58</v>
      </c>
      <c r="Q3794" t="s">
        <v>50</v>
      </c>
      <c r="R3794">
        <v>395</v>
      </c>
      <c r="S3794">
        <v>219</v>
      </c>
      <c r="T3794">
        <v>132</v>
      </c>
      <c r="U3794">
        <v>46</v>
      </c>
      <c r="V3794" t="s">
        <v>6790</v>
      </c>
      <c r="W3794">
        <v>29708</v>
      </c>
      <c r="X3794" t="s">
        <v>2242</v>
      </c>
      <c r="Y3794">
        <v>25584</v>
      </c>
      <c r="Z3794">
        <v>1366568</v>
      </c>
      <c r="AA3794">
        <v>189704</v>
      </c>
      <c r="AB3794" t="str">
        <f>(VLOOKUP(SalesData[[#This Row],[Month Number]],Reference!C$5:E$16,2,FALSE))</f>
        <v>Feb</v>
      </c>
      <c r="AC3794">
        <f>MONTH(SalesData[[#This Row],[Date]])</f>
        <v>2</v>
      </c>
      <c r="AD3794">
        <f>Reference!F$4</f>
        <v>2026</v>
      </c>
      <c r="AE3794" t="str">
        <f>IF(OR(SalesData[[#This Row],[Day]]="Saturday",SalesData[[#This Row],[Day]]="Sunday"),"Weekend","Weekday")</f>
        <v>Weekday</v>
      </c>
      <c r="AF3794" s="5">
        <f>IF(SalesData[[#This Row],[Contracts Offered]]=0,0,SalesData[[#This Row],[Contracts Signed]]/SalesData[[#This Row],[Contracts Offered]])</f>
        <v>0.34848484848484851</v>
      </c>
      <c r="AG3794" s="5">
        <f>IF(SalesData[[#This Row],[Customers Visited]]=0,0,SalesData[[#This Row],[Test Drives]]/SalesData[[#This Row],[Customers Visited]])</f>
        <v>0.5544303797468354</v>
      </c>
      <c r="AH3794" s="5">
        <f>IF(SalesData[[#This Row],[Customers Visited]]=0,0,SalesData[[#This Row],[Contracts Signed]]/SalesData[[#This Row],[Customers Visited]])</f>
        <v>0.11645569620253164</v>
      </c>
      <c r="AI3794" s="6">
        <f>IF(SalesData[[#This Row],[Contracts Signed]]=0,0,SalesData[[#This Row],[Profit(€)]]/SalesData[[#This Row],[Contracts Signed]])</f>
        <v>4124</v>
      </c>
      <c r="AJ3794" s="5" t="str">
        <f>TRIM(CLEAN(SalesData[[#This Row],[Retailer]]))</f>
        <v>Rhein Auto Group</v>
      </c>
    </row>
    <row r="3795" spans="1:36" ht="14.25" x14ac:dyDescent="0.2">
      <c r="A3795" t="s">
        <v>5021</v>
      </c>
      <c r="B3795" s="1">
        <v>46059</v>
      </c>
      <c r="C3795" t="s">
        <v>24</v>
      </c>
      <c r="D3795" t="s">
        <v>54</v>
      </c>
      <c r="E3795" t="s">
        <v>26</v>
      </c>
      <c r="F3795" t="s">
        <v>7649</v>
      </c>
      <c r="G3795" t="s">
        <v>55</v>
      </c>
      <c r="H3795" t="s">
        <v>55</v>
      </c>
      <c r="I3795" t="s">
        <v>30</v>
      </c>
      <c r="J3795" t="s">
        <v>31</v>
      </c>
      <c r="K3795" t="s">
        <v>32</v>
      </c>
      <c r="L3795" t="s">
        <v>46</v>
      </c>
      <c r="M3795" t="s">
        <v>34</v>
      </c>
      <c r="N3795" t="s">
        <v>35</v>
      </c>
      <c r="O3795" t="s">
        <v>36</v>
      </c>
      <c r="P3795" t="s">
        <v>37</v>
      </c>
      <c r="Q3795" t="s">
        <v>122</v>
      </c>
      <c r="R3795">
        <v>236</v>
      </c>
      <c r="S3795">
        <v>111</v>
      </c>
      <c r="T3795">
        <v>87</v>
      </c>
      <c r="U3795">
        <v>32</v>
      </c>
      <c r="V3795" t="s">
        <v>6893</v>
      </c>
      <c r="W3795">
        <v>55646</v>
      </c>
      <c r="X3795" t="s">
        <v>107</v>
      </c>
      <c r="Y3795">
        <v>42467</v>
      </c>
      <c r="Z3795">
        <v>1780672</v>
      </c>
      <c r="AA3795">
        <v>421728</v>
      </c>
      <c r="AB3795" t="str">
        <f>(VLOOKUP(SalesData[[#This Row],[Month Number]],Reference!C$5:E$16,2,FALSE))</f>
        <v>Feb</v>
      </c>
      <c r="AC3795">
        <f>MONTH(SalesData[[#This Row],[Date]])</f>
        <v>2</v>
      </c>
      <c r="AD3795">
        <f>Reference!F$4</f>
        <v>2026</v>
      </c>
      <c r="AE3795" t="str">
        <f>IF(OR(SalesData[[#This Row],[Day]]="Saturday",SalesData[[#This Row],[Day]]="Sunday"),"Weekend","Weekday")</f>
        <v>Weekday</v>
      </c>
      <c r="AF3795" s="5">
        <f>IF(SalesData[[#This Row],[Contracts Offered]]=0,0,SalesData[[#This Row],[Contracts Signed]]/SalesData[[#This Row],[Contracts Offered]])</f>
        <v>0.36781609195402298</v>
      </c>
      <c r="AG3795" s="5">
        <f>IF(SalesData[[#This Row],[Customers Visited]]=0,0,SalesData[[#This Row],[Test Drives]]/SalesData[[#This Row],[Customers Visited]])</f>
        <v>0.47033898305084748</v>
      </c>
      <c r="AH3795" s="5">
        <f>IF(SalesData[[#This Row],[Customers Visited]]=0,0,SalesData[[#This Row],[Contracts Signed]]/SalesData[[#This Row],[Customers Visited]])</f>
        <v>0.13559322033898305</v>
      </c>
      <c r="AI3795" s="6">
        <f>IF(SalesData[[#This Row],[Contracts Signed]]=0,0,SalesData[[#This Row],[Profit(€)]]/SalesData[[#This Row],[Contracts Signed]])</f>
        <v>13179</v>
      </c>
      <c r="AJ3795" s="5" t="str">
        <f>TRIM(CLEAN(SalesData[[#This Row],[Retailer]]))</f>
        <v>Autohaus Berlin</v>
      </c>
    </row>
    <row r="3796" spans="1:36" ht="14.25" hidden="1" x14ac:dyDescent="0.2">
      <c r="A3796" t="s">
        <v>5022</v>
      </c>
      <c r="B3796" s="1">
        <v>46081</v>
      </c>
      <c r="C3796" t="s">
        <v>53</v>
      </c>
      <c r="D3796" t="s">
        <v>151</v>
      </c>
      <c r="E3796" t="s">
        <v>42</v>
      </c>
      <c r="F3796" t="s">
        <v>74</v>
      </c>
      <c r="G3796" t="s">
        <v>75</v>
      </c>
      <c r="H3796" t="s">
        <v>76</v>
      </c>
      <c r="I3796" t="s">
        <v>56</v>
      </c>
      <c r="J3796" t="s">
        <v>97</v>
      </c>
      <c r="K3796" t="s">
        <v>78</v>
      </c>
      <c r="L3796" t="s">
        <v>33</v>
      </c>
      <c r="M3796" t="s">
        <v>34</v>
      </c>
      <c r="N3796" t="s">
        <v>48</v>
      </c>
      <c r="O3796" t="s">
        <v>70</v>
      </c>
      <c r="P3796" t="s">
        <v>49</v>
      </c>
      <c r="Q3796" t="s">
        <v>38</v>
      </c>
      <c r="R3796">
        <v>190</v>
      </c>
      <c r="S3796">
        <v>101</v>
      </c>
      <c r="T3796">
        <v>76</v>
      </c>
      <c r="U3796">
        <v>20</v>
      </c>
      <c r="V3796" t="s">
        <v>5718</v>
      </c>
      <c r="W3796">
        <v>53840</v>
      </c>
      <c r="X3796" t="s">
        <v>4831</v>
      </c>
      <c r="Y3796">
        <v>40606</v>
      </c>
      <c r="Z3796">
        <v>1076800</v>
      </c>
      <c r="AA3796">
        <v>264680</v>
      </c>
      <c r="AB3796" t="str">
        <f>(VLOOKUP(SalesData[[#This Row],[Month Number]],Reference!C$5:E$16,2,FALSE))</f>
        <v>Feb</v>
      </c>
      <c r="AC3796">
        <f>MONTH(SalesData[[#This Row],[Date]])</f>
        <v>2</v>
      </c>
      <c r="AD3796">
        <f>Reference!F$4</f>
        <v>2026</v>
      </c>
      <c r="AE3796" t="str">
        <f>IF(OR(SalesData[[#This Row],[Day]]="Saturday",SalesData[[#This Row],[Day]]="Sunday"),"Weekend","Weekday")</f>
        <v>Weekend</v>
      </c>
      <c r="AF3796" s="5">
        <f>IF(SalesData[[#This Row],[Contracts Offered]]=0,0,SalesData[[#This Row],[Contracts Signed]]/SalesData[[#This Row],[Contracts Offered]])</f>
        <v>0.26315789473684209</v>
      </c>
      <c r="AG3796" s="5">
        <f>IF(SalesData[[#This Row],[Customers Visited]]=0,0,SalesData[[#This Row],[Test Drives]]/SalesData[[#This Row],[Customers Visited]])</f>
        <v>0.53157894736842104</v>
      </c>
      <c r="AH3796" s="5">
        <f>IF(SalesData[[#This Row],[Customers Visited]]=0,0,SalesData[[#This Row],[Contracts Signed]]/SalesData[[#This Row],[Customers Visited]])</f>
        <v>0.10526315789473684</v>
      </c>
      <c r="AI3796" s="6">
        <f>IF(SalesData[[#This Row],[Contracts Signed]]=0,0,SalesData[[#This Row],[Profit(€)]]/SalesData[[#This Row],[Contracts Signed]])</f>
        <v>13234</v>
      </c>
      <c r="AJ3796" s="5" t="str">
        <f>TRIM(CLEAN(SalesData[[#This Row],[Retailer]]))</f>
        <v>Stuttgart Auto Center</v>
      </c>
    </row>
    <row r="3797" spans="1:36" ht="14.25" hidden="1" x14ac:dyDescent="0.2">
      <c r="A3797" t="s">
        <v>5023</v>
      </c>
      <c r="B3797" s="1">
        <v>46076</v>
      </c>
      <c r="C3797" t="s">
        <v>53</v>
      </c>
      <c r="D3797" t="s">
        <v>25</v>
      </c>
      <c r="E3797" t="s">
        <v>26</v>
      </c>
      <c r="F3797" t="s">
        <v>94</v>
      </c>
      <c r="G3797" t="s">
        <v>95</v>
      </c>
      <c r="H3797" t="s">
        <v>96</v>
      </c>
      <c r="I3797" t="s">
        <v>64</v>
      </c>
      <c r="J3797" t="s">
        <v>65</v>
      </c>
      <c r="K3797" t="s">
        <v>32</v>
      </c>
      <c r="L3797" t="s">
        <v>33</v>
      </c>
      <c r="M3797" t="s">
        <v>87</v>
      </c>
      <c r="N3797" t="s">
        <v>35</v>
      </c>
      <c r="O3797" t="s">
        <v>70</v>
      </c>
      <c r="P3797" t="s">
        <v>71</v>
      </c>
      <c r="Q3797" t="s">
        <v>129</v>
      </c>
      <c r="R3797">
        <v>149</v>
      </c>
      <c r="S3797">
        <v>67</v>
      </c>
      <c r="T3797">
        <v>51</v>
      </c>
      <c r="U3797">
        <v>19</v>
      </c>
      <c r="V3797" t="s">
        <v>6436</v>
      </c>
      <c r="W3797">
        <v>72086</v>
      </c>
      <c r="X3797" t="s">
        <v>7386</v>
      </c>
      <c r="Y3797">
        <v>53270</v>
      </c>
      <c r="Z3797">
        <v>1369634</v>
      </c>
      <c r="AA3797">
        <v>357504</v>
      </c>
      <c r="AB3797" t="str">
        <f>(VLOOKUP(SalesData[[#This Row],[Month Number]],Reference!C$5:E$16,2,FALSE))</f>
        <v>Feb</v>
      </c>
      <c r="AC3797">
        <f>MONTH(SalesData[[#This Row],[Date]])</f>
        <v>2</v>
      </c>
      <c r="AD3797">
        <f>Reference!F$4</f>
        <v>2026</v>
      </c>
      <c r="AE3797" t="str">
        <f>IF(OR(SalesData[[#This Row],[Day]]="Saturday",SalesData[[#This Row],[Day]]="Sunday"),"Weekend","Weekday")</f>
        <v>Weekday</v>
      </c>
      <c r="AF3797" s="5">
        <f>IF(SalesData[[#This Row],[Contracts Offered]]=0,0,SalesData[[#This Row],[Contracts Signed]]/SalesData[[#This Row],[Contracts Offered]])</f>
        <v>0.37254901960784315</v>
      </c>
      <c r="AG3797" s="5">
        <f>IF(SalesData[[#This Row],[Customers Visited]]=0,0,SalesData[[#This Row],[Test Drives]]/SalesData[[#This Row],[Customers Visited]])</f>
        <v>0.44966442953020136</v>
      </c>
      <c r="AH3797" s="5">
        <f>IF(SalesData[[#This Row],[Customers Visited]]=0,0,SalesData[[#This Row],[Contracts Signed]]/SalesData[[#This Row],[Customers Visited]])</f>
        <v>0.12751677852348994</v>
      </c>
      <c r="AI3797" s="6">
        <f>IF(SalesData[[#This Row],[Contracts Signed]]=0,0,SalesData[[#This Row],[Profit(€)]]/SalesData[[#This Row],[Contracts Signed]])</f>
        <v>18816</v>
      </c>
      <c r="AJ3797" s="5" t="str">
        <f>TRIM(CLEAN(SalesData[[#This Row],[Retailer]]))</f>
        <v>Bavaria Motors</v>
      </c>
    </row>
    <row r="3798" spans="1:36" ht="14.25" hidden="1" x14ac:dyDescent="0.2">
      <c r="A3798" t="s">
        <v>5024</v>
      </c>
      <c r="B3798" s="1">
        <v>46072</v>
      </c>
      <c r="C3798" t="s">
        <v>62</v>
      </c>
      <c r="D3798" t="s">
        <v>100</v>
      </c>
      <c r="E3798" t="s">
        <v>26</v>
      </c>
      <c r="F3798" t="s">
        <v>127</v>
      </c>
      <c r="G3798" t="s">
        <v>128</v>
      </c>
      <c r="H3798" t="s">
        <v>103</v>
      </c>
      <c r="I3798" t="s">
        <v>104</v>
      </c>
      <c r="J3798" t="s">
        <v>105</v>
      </c>
      <c r="K3798" t="s">
        <v>66</v>
      </c>
      <c r="L3798" t="s">
        <v>33</v>
      </c>
      <c r="M3798" t="s">
        <v>87</v>
      </c>
      <c r="N3798" t="s">
        <v>69</v>
      </c>
      <c r="O3798" t="s">
        <v>36</v>
      </c>
      <c r="P3798" t="s">
        <v>58</v>
      </c>
      <c r="Q3798" t="s">
        <v>189</v>
      </c>
      <c r="R3798">
        <v>487</v>
      </c>
      <c r="S3798">
        <v>280</v>
      </c>
      <c r="T3798">
        <v>191</v>
      </c>
      <c r="U3798">
        <v>50</v>
      </c>
      <c r="V3798" t="s">
        <v>871</v>
      </c>
      <c r="W3798">
        <v>30100</v>
      </c>
      <c r="X3798" t="s">
        <v>325</v>
      </c>
      <c r="Y3798">
        <v>26040</v>
      </c>
      <c r="Z3798">
        <v>1505000</v>
      </c>
      <c r="AA3798">
        <v>203000</v>
      </c>
      <c r="AB3798" t="str">
        <f>(VLOOKUP(SalesData[[#This Row],[Month Number]],Reference!C$5:E$16,2,FALSE))</f>
        <v>Feb</v>
      </c>
      <c r="AC3798">
        <f>MONTH(SalesData[[#This Row],[Date]])</f>
        <v>2</v>
      </c>
      <c r="AD3798">
        <f>Reference!F$4</f>
        <v>2026</v>
      </c>
      <c r="AE3798" t="str">
        <f>IF(OR(SalesData[[#This Row],[Day]]="Saturday",SalesData[[#This Row],[Day]]="Sunday"),"Weekend","Weekday")</f>
        <v>Weekday</v>
      </c>
      <c r="AF3798" s="5">
        <f>IF(SalesData[[#This Row],[Contracts Offered]]=0,0,SalesData[[#This Row],[Contracts Signed]]/SalesData[[#This Row],[Contracts Offered]])</f>
        <v>0.26178010471204188</v>
      </c>
      <c r="AG3798" s="5">
        <f>IF(SalesData[[#This Row],[Customers Visited]]=0,0,SalesData[[#This Row],[Test Drives]]/SalesData[[#This Row],[Customers Visited]])</f>
        <v>0.57494866529774125</v>
      </c>
      <c r="AH3798" s="5">
        <f>IF(SalesData[[#This Row],[Customers Visited]]=0,0,SalesData[[#This Row],[Contracts Signed]]/SalesData[[#This Row],[Customers Visited]])</f>
        <v>0.10266940451745379</v>
      </c>
      <c r="AI3798" s="6">
        <f>IF(SalesData[[#This Row],[Contracts Signed]]=0,0,SalesData[[#This Row],[Profit(€)]]/SalesData[[#This Row],[Contracts Signed]])</f>
        <v>4060</v>
      </c>
      <c r="AJ3798" s="5" t="str">
        <f>TRIM(CLEAN(SalesData[[#This Row],[Retailer]]))</f>
        <v>Rhein Auto Group</v>
      </c>
    </row>
    <row r="3799" spans="1:36" ht="14.25" hidden="1" x14ac:dyDescent="0.2">
      <c r="A3799" t="s">
        <v>5025</v>
      </c>
      <c r="B3799" s="1">
        <v>46054</v>
      </c>
      <c r="C3799" t="s">
        <v>24</v>
      </c>
      <c r="D3799" t="s">
        <v>41</v>
      </c>
      <c r="E3799" t="s">
        <v>42</v>
      </c>
      <c r="F3799" t="s">
        <v>27</v>
      </c>
      <c r="G3799" t="s">
        <v>28</v>
      </c>
      <c r="H3799" t="s">
        <v>29</v>
      </c>
      <c r="I3799" t="s">
        <v>116</v>
      </c>
      <c r="J3799" t="s">
        <v>203</v>
      </c>
      <c r="K3799" t="s">
        <v>66</v>
      </c>
      <c r="L3799" t="s">
        <v>67</v>
      </c>
      <c r="M3799" t="s">
        <v>68</v>
      </c>
      <c r="N3799" t="s">
        <v>35</v>
      </c>
      <c r="O3799" t="s">
        <v>36</v>
      </c>
      <c r="P3799" t="s">
        <v>49</v>
      </c>
      <c r="Q3799" t="s">
        <v>59</v>
      </c>
      <c r="R3799">
        <v>230</v>
      </c>
      <c r="S3799">
        <v>118</v>
      </c>
      <c r="T3799">
        <v>70</v>
      </c>
      <c r="U3799">
        <v>15</v>
      </c>
      <c r="V3799" t="s">
        <v>1663</v>
      </c>
      <c r="W3799">
        <v>26212</v>
      </c>
      <c r="X3799" t="s">
        <v>604</v>
      </c>
      <c r="Y3799">
        <v>23944</v>
      </c>
      <c r="Z3799">
        <v>393180</v>
      </c>
      <c r="AA3799">
        <v>34020</v>
      </c>
      <c r="AB3799" t="str">
        <f>(VLOOKUP(SalesData[[#This Row],[Month Number]],Reference!C$5:E$16,2,FALSE))</f>
        <v>Feb</v>
      </c>
      <c r="AC3799">
        <f>MONTH(SalesData[[#This Row],[Date]])</f>
        <v>2</v>
      </c>
      <c r="AD3799">
        <f>Reference!F$4</f>
        <v>2026</v>
      </c>
      <c r="AE3799" t="str">
        <f>IF(OR(SalesData[[#This Row],[Day]]="Saturday",SalesData[[#This Row],[Day]]="Sunday"),"Weekend","Weekday")</f>
        <v>Weekend</v>
      </c>
      <c r="AF3799" s="5">
        <f>IF(SalesData[[#This Row],[Contracts Offered]]=0,0,SalesData[[#This Row],[Contracts Signed]]/SalesData[[#This Row],[Contracts Offered]])</f>
        <v>0.21428571428571427</v>
      </c>
      <c r="AG3799" s="5">
        <f>IF(SalesData[[#This Row],[Customers Visited]]=0,0,SalesData[[#This Row],[Test Drives]]/SalesData[[#This Row],[Customers Visited]])</f>
        <v>0.5130434782608696</v>
      </c>
      <c r="AH3799" s="5">
        <f>IF(SalesData[[#This Row],[Customers Visited]]=0,0,SalesData[[#This Row],[Contracts Signed]]/SalesData[[#This Row],[Customers Visited]])</f>
        <v>6.5217391304347824E-2</v>
      </c>
      <c r="AI3799" s="6">
        <f>IF(SalesData[[#This Row],[Contracts Signed]]=0,0,SalesData[[#This Row],[Profit(€)]]/SalesData[[#This Row],[Contracts Signed]])</f>
        <v>2268</v>
      </c>
      <c r="AJ3799" s="5" t="str">
        <f>TRIM(CLEAN(SalesData[[#This Row],[Retailer]]))</f>
        <v>Main Auto Hub</v>
      </c>
    </row>
    <row r="3800" spans="1:36" ht="14.25" x14ac:dyDescent="0.2">
      <c r="A3800" t="s">
        <v>5026</v>
      </c>
      <c r="B3800" s="1">
        <v>46079</v>
      </c>
      <c r="C3800" t="s">
        <v>53</v>
      </c>
      <c r="D3800" t="s">
        <v>100</v>
      </c>
      <c r="E3800" t="s">
        <v>26</v>
      </c>
      <c r="F3800" t="s">
        <v>83</v>
      </c>
      <c r="G3800" t="s">
        <v>84</v>
      </c>
      <c r="H3800" t="s">
        <v>85</v>
      </c>
      <c r="I3800" t="s">
        <v>30</v>
      </c>
      <c r="J3800" t="s">
        <v>31</v>
      </c>
      <c r="K3800" t="s">
        <v>66</v>
      </c>
      <c r="L3800" t="s">
        <v>46</v>
      </c>
      <c r="M3800" t="s">
        <v>47</v>
      </c>
      <c r="N3800" t="s">
        <v>48</v>
      </c>
      <c r="O3800" t="s">
        <v>70</v>
      </c>
      <c r="P3800" t="s">
        <v>58</v>
      </c>
      <c r="Q3800" t="s">
        <v>122</v>
      </c>
      <c r="R3800">
        <v>263</v>
      </c>
      <c r="S3800">
        <v>144</v>
      </c>
      <c r="T3800">
        <v>115</v>
      </c>
      <c r="U3800">
        <v>46</v>
      </c>
      <c r="V3800" t="s">
        <v>7612</v>
      </c>
      <c r="W3800">
        <v>57775</v>
      </c>
      <c r="X3800" t="s">
        <v>7190</v>
      </c>
      <c r="Y3800">
        <v>42838</v>
      </c>
      <c r="Z3800">
        <v>2657650</v>
      </c>
      <c r="AA3800">
        <v>687102</v>
      </c>
      <c r="AB3800" t="str">
        <f>(VLOOKUP(SalesData[[#This Row],[Month Number]],Reference!C$5:E$16,2,FALSE))</f>
        <v>Feb</v>
      </c>
      <c r="AC3800">
        <f>MONTH(SalesData[[#This Row],[Date]])</f>
        <v>2</v>
      </c>
      <c r="AD3800">
        <f>Reference!F$4</f>
        <v>2026</v>
      </c>
      <c r="AE3800" t="str">
        <f>IF(OR(SalesData[[#This Row],[Day]]="Saturday",SalesData[[#This Row],[Day]]="Sunday"),"Weekend","Weekday")</f>
        <v>Weekday</v>
      </c>
      <c r="AF3800" s="5">
        <f>IF(SalesData[[#This Row],[Contracts Offered]]=0,0,SalesData[[#This Row],[Contracts Signed]]/SalesData[[#This Row],[Contracts Offered]])</f>
        <v>0.4</v>
      </c>
      <c r="AG3800" s="5">
        <f>IF(SalesData[[#This Row],[Customers Visited]]=0,0,SalesData[[#This Row],[Test Drives]]/SalesData[[#This Row],[Customers Visited]])</f>
        <v>0.54752851711026618</v>
      </c>
      <c r="AH3800" s="5">
        <f>IF(SalesData[[#This Row],[Customers Visited]]=0,0,SalesData[[#This Row],[Contracts Signed]]/SalesData[[#This Row],[Customers Visited]])</f>
        <v>0.17490494296577946</v>
      </c>
      <c r="AI3800" s="6">
        <f>IF(SalesData[[#This Row],[Contracts Signed]]=0,0,SalesData[[#This Row],[Profit(€)]]/SalesData[[#This Row],[Contracts Signed]])</f>
        <v>14937</v>
      </c>
      <c r="AJ3800" s="5" t="str">
        <f>TRIM(CLEAN(SalesData[[#This Row],[Retailer]]))</f>
        <v>Hannover Cars</v>
      </c>
    </row>
    <row r="3801" spans="1:36" ht="14.25" hidden="1" x14ac:dyDescent="0.2">
      <c r="A3801" t="s">
        <v>5027</v>
      </c>
      <c r="B3801" s="1">
        <v>46056</v>
      </c>
      <c r="C3801" t="s">
        <v>24</v>
      </c>
      <c r="D3801" t="s">
        <v>63</v>
      </c>
      <c r="E3801" t="s">
        <v>26</v>
      </c>
      <c r="F3801" t="s">
        <v>7649</v>
      </c>
      <c r="G3801" t="s">
        <v>55</v>
      </c>
      <c r="H3801" t="s">
        <v>55</v>
      </c>
      <c r="I3801" t="s">
        <v>56</v>
      </c>
      <c r="J3801" t="s">
        <v>97</v>
      </c>
      <c r="K3801" t="s">
        <v>66</v>
      </c>
      <c r="L3801" t="s">
        <v>33</v>
      </c>
      <c r="M3801" t="s">
        <v>68</v>
      </c>
      <c r="N3801" t="s">
        <v>48</v>
      </c>
      <c r="O3801" t="s">
        <v>70</v>
      </c>
      <c r="P3801" t="s">
        <v>58</v>
      </c>
      <c r="Q3801" t="s">
        <v>50</v>
      </c>
      <c r="R3801">
        <v>281</v>
      </c>
      <c r="S3801">
        <v>163</v>
      </c>
      <c r="T3801">
        <v>121</v>
      </c>
      <c r="U3801">
        <v>41</v>
      </c>
      <c r="V3801" t="s">
        <v>6935</v>
      </c>
      <c r="W3801">
        <v>51326</v>
      </c>
      <c r="X3801" t="s">
        <v>2040</v>
      </c>
      <c r="Y3801">
        <v>39527</v>
      </c>
      <c r="Z3801">
        <v>2104366</v>
      </c>
      <c r="AA3801">
        <v>483759</v>
      </c>
      <c r="AB3801" t="str">
        <f>(VLOOKUP(SalesData[[#This Row],[Month Number]],Reference!C$5:E$16,2,FALSE))</f>
        <v>Feb</v>
      </c>
      <c r="AC3801">
        <f>MONTH(SalesData[[#This Row],[Date]])</f>
        <v>2</v>
      </c>
      <c r="AD3801">
        <f>Reference!F$4</f>
        <v>2026</v>
      </c>
      <c r="AE3801" t="str">
        <f>IF(OR(SalesData[[#This Row],[Day]]="Saturday",SalesData[[#This Row],[Day]]="Sunday"),"Weekend","Weekday")</f>
        <v>Weekday</v>
      </c>
      <c r="AF3801" s="5">
        <f>IF(SalesData[[#This Row],[Contracts Offered]]=0,0,SalesData[[#This Row],[Contracts Signed]]/SalesData[[#This Row],[Contracts Offered]])</f>
        <v>0.33884297520661155</v>
      </c>
      <c r="AG3801" s="5">
        <f>IF(SalesData[[#This Row],[Customers Visited]]=0,0,SalesData[[#This Row],[Test Drives]]/SalesData[[#This Row],[Customers Visited]])</f>
        <v>0.58007117437722422</v>
      </c>
      <c r="AH3801" s="5">
        <f>IF(SalesData[[#This Row],[Customers Visited]]=0,0,SalesData[[#This Row],[Contracts Signed]]/SalesData[[#This Row],[Customers Visited]])</f>
        <v>0.14590747330960854</v>
      </c>
      <c r="AI3801" s="6">
        <f>IF(SalesData[[#This Row],[Contracts Signed]]=0,0,SalesData[[#This Row],[Profit(€)]]/SalesData[[#This Row],[Contracts Signed]])</f>
        <v>11799</v>
      </c>
      <c r="AJ3801" s="5" t="str">
        <f>TRIM(CLEAN(SalesData[[#This Row],[Retailer]]))</f>
        <v>Autohaus Berlin</v>
      </c>
    </row>
    <row r="3802" spans="1:36" ht="14.25" hidden="1" x14ac:dyDescent="0.2">
      <c r="A3802" t="s">
        <v>5028</v>
      </c>
      <c r="B3802" s="1">
        <v>46056</v>
      </c>
      <c r="C3802" t="s">
        <v>24</v>
      </c>
      <c r="D3802" t="s">
        <v>63</v>
      </c>
      <c r="E3802" t="s">
        <v>26</v>
      </c>
      <c r="F3802" t="s">
        <v>7649</v>
      </c>
      <c r="G3802" t="s">
        <v>55</v>
      </c>
      <c r="H3802" t="s">
        <v>55</v>
      </c>
      <c r="I3802" t="s">
        <v>104</v>
      </c>
      <c r="J3802" t="s">
        <v>143</v>
      </c>
      <c r="K3802" t="s">
        <v>78</v>
      </c>
      <c r="L3802" t="s">
        <v>67</v>
      </c>
      <c r="M3802" t="s">
        <v>68</v>
      </c>
      <c r="N3802" t="s">
        <v>69</v>
      </c>
      <c r="O3802" t="s">
        <v>36</v>
      </c>
      <c r="P3802" t="s">
        <v>37</v>
      </c>
      <c r="Q3802" t="s">
        <v>152</v>
      </c>
      <c r="R3802">
        <v>291</v>
      </c>
      <c r="S3802">
        <v>156</v>
      </c>
      <c r="T3802">
        <v>108</v>
      </c>
      <c r="U3802">
        <v>26</v>
      </c>
      <c r="V3802" t="s">
        <v>508</v>
      </c>
      <c r="W3802">
        <v>27243</v>
      </c>
      <c r="X3802" t="s">
        <v>3480</v>
      </c>
      <c r="Y3802">
        <v>24266</v>
      </c>
      <c r="Z3802">
        <v>708318</v>
      </c>
      <c r="AA3802">
        <v>77402</v>
      </c>
      <c r="AB3802" t="str">
        <f>(VLOOKUP(SalesData[[#This Row],[Month Number]],Reference!C$5:E$16,2,FALSE))</f>
        <v>Feb</v>
      </c>
      <c r="AC3802">
        <f>MONTH(SalesData[[#This Row],[Date]])</f>
        <v>2</v>
      </c>
      <c r="AD3802">
        <f>Reference!F$4</f>
        <v>2026</v>
      </c>
      <c r="AE3802" t="str">
        <f>IF(OR(SalesData[[#This Row],[Day]]="Saturday",SalesData[[#This Row],[Day]]="Sunday"),"Weekend","Weekday")</f>
        <v>Weekday</v>
      </c>
      <c r="AF3802" s="5">
        <f>IF(SalesData[[#This Row],[Contracts Offered]]=0,0,SalesData[[#This Row],[Contracts Signed]]/SalesData[[#This Row],[Contracts Offered]])</f>
        <v>0.24074074074074073</v>
      </c>
      <c r="AG3802" s="5">
        <f>IF(SalesData[[#This Row],[Customers Visited]]=0,0,SalesData[[#This Row],[Test Drives]]/SalesData[[#This Row],[Customers Visited]])</f>
        <v>0.53608247422680411</v>
      </c>
      <c r="AH3802" s="5">
        <f>IF(SalesData[[#This Row],[Customers Visited]]=0,0,SalesData[[#This Row],[Contracts Signed]]/SalesData[[#This Row],[Customers Visited]])</f>
        <v>8.9347079037800689E-2</v>
      </c>
      <c r="AI3802" s="6">
        <f>IF(SalesData[[#This Row],[Contracts Signed]]=0,0,SalesData[[#This Row],[Profit(€)]]/SalesData[[#This Row],[Contracts Signed]])</f>
        <v>2977</v>
      </c>
      <c r="AJ3802" s="5" t="str">
        <f>TRIM(CLEAN(SalesData[[#This Row],[Retailer]]))</f>
        <v>Autohaus Berlin</v>
      </c>
    </row>
    <row r="3803" spans="1:36" ht="14.25" hidden="1" x14ac:dyDescent="0.2">
      <c r="A3803" t="s">
        <v>5029</v>
      </c>
      <c r="B3803" s="1">
        <v>46067</v>
      </c>
      <c r="C3803" t="s">
        <v>121</v>
      </c>
      <c r="D3803" t="s">
        <v>151</v>
      </c>
      <c r="E3803" t="s">
        <v>42</v>
      </c>
      <c r="F3803" t="s">
        <v>127</v>
      </c>
      <c r="G3803" t="s">
        <v>128</v>
      </c>
      <c r="H3803" t="s">
        <v>103</v>
      </c>
      <c r="I3803" t="s">
        <v>56</v>
      </c>
      <c r="J3803" t="s">
        <v>57</v>
      </c>
      <c r="K3803" t="s">
        <v>66</v>
      </c>
      <c r="L3803" t="s">
        <v>46</v>
      </c>
      <c r="M3803" t="s">
        <v>34</v>
      </c>
      <c r="N3803" t="s">
        <v>35</v>
      </c>
      <c r="O3803" t="s">
        <v>70</v>
      </c>
      <c r="P3803" t="s">
        <v>58</v>
      </c>
      <c r="Q3803" t="s">
        <v>59</v>
      </c>
      <c r="R3803">
        <v>290</v>
      </c>
      <c r="S3803">
        <v>143</v>
      </c>
      <c r="T3803">
        <v>97</v>
      </c>
      <c r="U3803">
        <v>37</v>
      </c>
      <c r="V3803" t="s">
        <v>6485</v>
      </c>
      <c r="W3803">
        <v>42049</v>
      </c>
      <c r="X3803" t="s">
        <v>809</v>
      </c>
      <c r="Y3803">
        <v>33217</v>
      </c>
      <c r="Z3803">
        <v>1555813</v>
      </c>
      <c r="AA3803">
        <v>326784</v>
      </c>
      <c r="AB3803" t="str">
        <f>(VLOOKUP(SalesData[[#This Row],[Month Number]],Reference!C$5:E$16,2,FALSE))</f>
        <v>Feb</v>
      </c>
      <c r="AC3803">
        <f>MONTH(SalesData[[#This Row],[Date]])</f>
        <v>2</v>
      </c>
      <c r="AD3803">
        <f>Reference!F$4</f>
        <v>2026</v>
      </c>
      <c r="AE3803" t="str">
        <f>IF(OR(SalesData[[#This Row],[Day]]="Saturday",SalesData[[#This Row],[Day]]="Sunday"),"Weekend","Weekday")</f>
        <v>Weekend</v>
      </c>
      <c r="AF3803" s="5">
        <f>IF(SalesData[[#This Row],[Contracts Offered]]=0,0,SalesData[[#This Row],[Contracts Signed]]/SalesData[[#This Row],[Contracts Offered]])</f>
        <v>0.38144329896907214</v>
      </c>
      <c r="AG3803" s="5">
        <f>IF(SalesData[[#This Row],[Customers Visited]]=0,0,SalesData[[#This Row],[Test Drives]]/SalesData[[#This Row],[Customers Visited]])</f>
        <v>0.49310344827586206</v>
      </c>
      <c r="AH3803" s="5">
        <f>IF(SalesData[[#This Row],[Customers Visited]]=0,0,SalesData[[#This Row],[Contracts Signed]]/SalesData[[#This Row],[Customers Visited]])</f>
        <v>0.12758620689655173</v>
      </c>
      <c r="AI3803" s="6">
        <f>IF(SalesData[[#This Row],[Contracts Signed]]=0,0,SalesData[[#This Row],[Profit(€)]]/SalesData[[#This Row],[Contracts Signed]])</f>
        <v>8832</v>
      </c>
      <c r="AJ3803" s="5" t="str">
        <f>TRIM(CLEAN(SalesData[[#This Row],[Retailer]]))</f>
        <v>Rhein Auto Group</v>
      </c>
    </row>
    <row r="3804" spans="1:36" ht="14.25" hidden="1" x14ac:dyDescent="0.2">
      <c r="A3804" t="s">
        <v>5030</v>
      </c>
      <c r="B3804" s="1">
        <v>46078</v>
      </c>
      <c r="C3804" t="s">
        <v>53</v>
      </c>
      <c r="D3804" t="s">
        <v>82</v>
      </c>
      <c r="E3804" t="s">
        <v>26</v>
      </c>
      <c r="F3804" t="s">
        <v>74</v>
      </c>
      <c r="G3804" t="s">
        <v>75</v>
      </c>
      <c r="H3804" t="s">
        <v>76</v>
      </c>
      <c r="I3804" t="s">
        <v>116</v>
      </c>
      <c r="J3804" t="s">
        <v>7090</v>
      </c>
      <c r="K3804" t="s">
        <v>78</v>
      </c>
      <c r="L3804" t="s">
        <v>46</v>
      </c>
      <c r="M3804" t="s">
        <v>68</v>
      </c>
      <c r="N3804" t="s">
        <v>69</v>
      </c>
      <c r="O3804" t="s">
        <v>70</v>
      </c>
      <c r="P3804" t="s">
        <v>37</v>
      </c>
      <c r="Q3804" t="s">
        <v>88</v>
      </c>
      <c r="R3804">
        <v>416</v>
      </c>
      <c r="S3804">
        <v>221</v>
      </c>
      <c r="T3804">
        <v>140</v>
      </c>
      <c r="U3804">
        <v>35</v>
      </c>
      <c r="V3804" t="s">
        <v>1746</v>
      </c>
      <c r="W3804">
        <v>25243</v>
      </c>
      <c r="X3804" t="s">
        <v>2163</v>
      </c>
      <c r="Y3804">
        <v>22786</v>
      </c>
      <c r="Z3804">
        <v>883505</v>
      </c>
      <c r="AA3804">
        <v>85995</v>
      </c>
      <c r="AB3804" t="str">
        <f>(VLOOKUP(SalesData[[#This Row],[Month Number]],Reference!C$5:E$16,2,FALSE))</f>
        <v>Feb</v>
      </c>
      <c r="AC3804">
        <f>MONTH(SalesData[[#This Row],[Date]])</f>
        <v>2</v>
      </c>
      <c r="AD3804">
        <f>Reference!F$4</f>
        <v>2026</v>
      </c>
      <c r="AE3804" t="str">
        <f>IF(OR(SalesData[[#This Row],[Day]]="Saturday",SalesData[[#This Row],[Day]]="Sunday"),"Weekend","Weekday")</f>
        <v>Weekday</v>
      </c>
      <c r="AF3804" s="5">
        <f>IF(SalesData[[#This Row],[Contracts Offered]]=0,0,SalesData[[#This Row],[Contracts Signed]]/SalesData[[#This Row],[Contracts Offered]])</f>
        <v>0.25</v>
      </c>
      <c r="AG3804" s="5">
        <f>IF(SalesData[[#This Row],[Customers Visited]]=0,0,SalesData[[#This Row],[Test Drives]]/SalesData[[#This Row],[Customers Visited]])</f>
        <v>0.53125</v>
      </c>
      <c r="AH3804" s="5">
        <f>IF(SalesData[[#This Row],[Customers Visited]]=0,0,SalesData[[#This Row],[Contracts Signed]]/SalesData[[#This Row],[Customers Visited]])</f>
        <v>8.4134615384615391E-2</v>
      </c>
      <c r="AI3804" s="6">
        <f>IF(SalesData[[#This Row],[Contracts Signed]]=0,0,SalesData[[#This Row],[Profit(€)]]/SalesData[[#This Row],[Contracts Signed]])</f>
        <v>2457</v>
      </c>
      <c r="AJ3804" s="5" t="str">
        <f>TRIM(CLEAN(SalesData[[#This Row],[Retailer]]))</f>
        <v>Stuttgart Auto Center</v>
      </c>
    </row>
    <row r="3805" spans="1:36" ht="14.25" hidden="1" x14ac:dyDescent="0.2">
      <c r="A3805" t="s">
        <v>5031</v>
      </c>
      <c r="B3805" s="1">
        <v>46054</v>
      </c>
      <c r="C3805" t="s">
        <v>24</v>
      </c>
      <c r="D3805" t="s">
        <v>41</v>
      </c>
      <c r="E3805" t="s">
        <v>42</v>
      </c>
      <c r="F3805" t="s">
        <v>7649</v>
      </c>
      <c r="G3805" t="s">
        <v>55</v>
      </c>
      <c r="H3805" t="s">
        <v>55</v>
      </c>
      <c r="I3805" t="s">
        <v>116</v>
      </c>
      <c r="J3805" t="s">
        <v>132</v>
      </c>
      <c r="K3805" t="s">
        <v>66</v>
      </c>
      <c r="L3805" t="s">
        <v>46</v>
      </c>
      <c r="M3805" t="s">
        <v>34</v>
      </c>
      <c r="N3805" t="s">
        <v>35</v>
      </c>
      <c r="O3805" t="s">
        <v>36</v>
      </c>
      <c r="P3805" t="s">
        <v>58</v>
      </c>
      <c r="Q3805" t="s">
        <v>50</v>
      </c>
      <c r="R3805">
        <v>244</v>
      </c>
      <c r="S3805">
        <v>123</v>
      </c>
      <c r="T3805">
        <v>78</v>
      </c>
      <c r="U3805">
        <v>27</v>
      </c>
      <c r="V3805" t="s">
        <v>6382</v>
      </c>
      <c r="W3805">
        <v>26730</v>
      </c>
      <c r="X3805" t="s">
        <v>692</v>
      </c>
      <c r="Y3805">
        <v>23871</v>
      </c>
      <c r="Z3805">
        <v>721710</v>
      </c>
      <c r="AA3805">
        <v>77193</v>
      </c>
      <c r="AB3805" t="str">
        <f>(VLOOKUP(SalesData[[#This Row],[Month Number]],Reference!C$5:E$16,2,FALSE))</f>
        <v>Feb</v>
      </c>
      <c r="AC3805">
        <f>MONTH(SalesData[[#This Row],[Date]])</f>
        <v>2</v>
      </c>
      <c r="AD3805">
        <f>Reference!F$4</f>
        <v>2026</v>
      </c>
      <c r="AE3805" t="str">
        <f>IF(OR(SalesData[[#This Row],[Day]]="Saturday",SalesData[[#This Row],[Day]]="Sunday"),"Weekend","Weekday")</f>
        <v>Weekend</v>
      </c>
      <c r="AF3805" s="5">
        <f>IF(SalesData[[#This Row],[Contracts Offered]]=0,0,SalesData[[#This Row],[Contracts Signed]]/SalesData[[#This Row],[Contracts Offered]])</f>
        <v>0.34615384615384615</v>
      </c>
      <c r="AG3805" s="5">
        <f>IF(SalesData[[#This Row],[Customers Visited]]=0,0,SalesData[[#This Row],[Test Drives]]/SalesData[[#This Row],[Customers Visited]])</f>
        <v>0.50409836065573765</v>
      </c>
      <c r="AH3805" s="5">
        <f>IF(SalesData[[#This Row],[Customers Visited]]=0,0,SalesData[[#This Row],[Contracts Signed]]/SalesData[[#This Row],[Customers Visited]])</f>
        <v>0.11065573770491803</v>
      </c>
      <c r="AI3805" s="6">
        <f>IF(SalesData[[#This Row],[Contracts Signed]]=0,0,SalesData[[#This Row],[Profit(€)]]/SalesData[[#This Row],[Contracts Signed]])</f>
        <v>2859</v>
      </c>
      <c r="AJ3805" s="5" t="str">
        <f>TRIM(CLEAN(SalesData[[#This Row],[Retailer]]))</f>
        <v>Autohaus Berlin</v>
      </c>
    </row>
    <row r="3806" spans="1:36" ht="14.25" x14ac:dyDescent="0.2">
      <c r="A3806" t="s">
        <v>5032</v>
      </c>
      <c r="B3806" s="1">
        <v>46073</v>
      </c>
      <c r="C3806" t="s">
        <v>62</v>
      </c>
      <c r="D3806" t="s">
        <v>54</v>
      </c>
      <c r="E3806" t="s">
        <v>26</v>
      </c>
      <c r="F3806" t="s">
        <v>94</v>
      </c>
      <c r="G3806" t="s">
        <v>95</v>
      </c>
      <c r="H3806" t="s">
        <v>96</v>
      </c>
      <c r="I3806" t="s">
        <v>30</v>
      </c>
      <c r="J3806" t="s">
        <v>86</v>
      </c>
      <c r="K3806" t="s">
        <v>32</v>
      </c>
      <c r="L3806" t="s">
        <v>33</v>
      </c>
      <c r="M3806" t="s">
        <v>68</v>
      </c>
      <c r="N3806" t="s">
        <v>69</v>
      </c>
      <c r="O3806" t="s">
        <v>70</v>
      </c>
      <c r="P3806" t="s">
        <v>49</v>
      </c>
      <c r="Q3806" t="s">
        <v>79</v>
      </c>
      <c r="R3806">
        <v>233</v>
      </c>
      <c r="S3806">
        <v>143</v>
      </c>
      <c r="T3806">
        <v>113</v>
      </c>
      <c r="U3806">
        <v>39</v>
      </c>
      <c r="V3806" t="s">
        <v>6483</v>
      </c>
      <c r="W3806">
        <v>69003</v>
      </c>
      <c r="X3806" t="s">
        <v>7404</v>
      </c>
      <c r="Y3806">
        <v>53458</v>
      </c>
      <c r="Z3806">
        <v>2691117</v>
      </c>
      <c r="AA3806">
        <v>606255</v>
      </c>
      <c r="AB3806" t="str">
        <f>(VLOOKUP(SalesData[[#This Row],[Month Number]],Reference!C$5:E$16,2,FALSE))</f>
        <v>Feb</v>
      </c>
      <c r="AC3806">
        <f>MONTH(SalesData[[#This Row],[Date]])</f>
        <v>2</v>
      </c>
      <c r="AD3806">
        <f>Reference!F$4</f>
        <v>2026</v>
      </c>
      <c r="AE3806" t="str">
        <f>IF(OR(SalesData[[#This Row],[Day]]="Saturday",SalesData[[#This Row],[Day]]="Sunday"),"Weekend","Weekday")</f>
        <v>Weekday</v>
      </c>
      <c r="AF3806" s="5">
        <f>IF(SalesData[[#This Row],[Contracts Offered]]=0,0,SalesData[[#This Row],[Contracts Signed]]/SalesData[[#This Row],[Contracts Offered]])</f>
        <v>0.34513274336283184</v>
      </c>
      <c r="AG3806" s="5">
        <f>IF(SalesData[[#This Row],[Customers Visited]]=0,0,SalesData[[#This Row],[Test Drives]]/SalesData[[#This Row],[Customers Visited]])</f>
        <v>0.61373390557939911</v>
      </c>
      <c r="AH3806" s="5">
        <f>IF(SalesData[[#This Row],[Customers Visited]]=0,0,SalesData[[#This Row],[Contracts Signed]]/SalesData[[#This Row],[Customers Visited]])</f>
        <v>0.16738197424892703</v>
      </c>
      <c r="AI3806" s="6">
        <f>IF(SalesData[[#This Row],[Contracts Signed]]=0,0,SalesData[[#This Row],[Profit(€)]]/SalesData[[#This Row],[Contracts Signed]])</f>
        <v>15545</v>
      </c>
      <c r="AJ3806" s="5" t="str">
        <f>TRIM(CLEAN(SalesData[[#This Row],[Retailer]]))</f>
        <v>Bavaria Motors</v>
      </c>
    </row>
    <row r="3807" spans="1:36" ht="14.25" hidden="1" x14ac:dyDescent="0.2">
      <c r="A3807" t="s">
        <v>5033</v>
      </c>
      <c r="B3807" s="1">
        <v>46081</v>
      </c>
      <c r="C3807" t="s">
        <v>53</v>
      </c>
      <c r="D3807" t="s">
        <v>151</v>
      </c>
      <c r="E3807" t="s">
        <v>42</v>
      </c>
      <c r="F3807" t="s">
        <v>94</v>
      </c>
      <c r="G3807" t="s">
        <v>95</v>
      </c>
      <c r="H3807" t="s">
        <v>96</v>
      </c>
      <c r="I3807" t="s">
        <v>64</v>
      </c>
      <c r="J3807" t="s">
        <v>7029</v>
      </c>
      <c r="K3807" t="s">
        <v>78</v>
      </c>
      <c r="L3807" t="s">
        <v>33</v>
      </c>
      <c r="M3807" t="s">
        <v>87</v>
      </c>
      <c r="N3807" t="s">
        <v>69</v>
      </c>
      <c r="O3807" t="s">
        <v>36</v>
      </c>
      <c r="P3807" t="s">
        <v>37</v>
      </c>
      <c r="Q3807" t="s">
        <v>169</v>
      </c>
      <c r="R3807">
        <v>287</v>
      </c>
      <c r="S3807">
        <v>133</v>
      </c>
      <c r="T3807">
        <v>98</v>
      </c>
      <c r="U3807">
        <v>33</v>
      </c>
      <c r="V3807" t="s">
        <v>6394</v>
      </c>
      <c r="W3807">
        <v>60892</v>
      </c>
      <c r="X3807" t="s">
        <v>2701</v>
      </c>
      <c r="Y3807">
        <v>47873</v>
      </c>
      <c r="Z3807">
        <v>2009436</v>
      </c>
      <c r="AA3807">
        <v>429627</v>
      </c>
      <c r="AB3807" t="str">
        <f>(VLOOKUP(SalesData[[#This Row],[Month Number]],Reference!C$5:E$16,2,FALSE))</f>
        <v>Feb</v>
      </c>
      <c r="AC3807">
        <f>MONTH(SalesData[[#This Row],[Date]])</f>
        <v>2</v>
      </c>
      <c r="AD3807">
        <f>Reference!F$4</f>
        <v>2026</v>
      </c>
      <c r="AE3807" t="str">
        <f>IF(OR(SalesData[[#This Row],[Day]]="Saturday",SalesData[[#This Row],[Day]]="Sunday"),"Weekend","Weekday")</f>
        <v>Weekend</v>
      </c>
      <c r="AF3807" s="5">
        <f>IF(SalesData[[#This Row],[Contracts Offered]]=0,0,SalesData[[#This Row],[Contracts Signed]]/SalesData[[#This Row],[Contracts Offered]])</f>
        <v>0.33673469387755101</v>
      </c>
      <c r="AG3807" s="5">
        <f>IF(SalesData[[#This Row],[Customers Visited]]=0,0,SalesData[[#This Row],[Test Drives]]/SalesData[[#This Row],[Customers Visited]])</f>
        <v>0.46341463414634149</v>
      </c>
      <c r="AH3807" s="5">
        <f>IF(SalesData[[#This Row],[Customers Visited]]=0,0,SalesData[[#This Row],[Contracts Signed]]/SalesData[[#This Row],[Customers Visited]])</f>
        <v>0.11498257839721254</v>
      </c>
      <c r="AI3807" s="6">
        <f>IF(SalesData[[#This Row],[Contracts Signed]]=0,0,SalesData[[#This Row],[Profit(€)]]/SalesData[[#This Row],[Contracts Signed]])</f>
        <v>13019</v>
      </c>
      <c r="AJ3807" s="5" t="str">
        <f>TRIM(CLEAN(SalesData[[#This Row],[Retailer]]))</f>
        <v>Bavaria Motors</v>
      </c>
    </row>
    <row r="3808" spans="1:36" ht="14.25" x14ac:dyDescent="0.2">
      <c r="A3808" t="s">
        <v>5034</v>
      </c>
      <c r="B3808" s="1">
        <v>46072</v>
      </c>
      <c r="C3808" t="s">
        <v>62</v>
      </c>
      <c r="D3808" t="s">
        <v>100</v>
      </c>
      <c r="E3808" t="s">
        <v>26</v>
      </c>
      <c r="F3808" t="s">
        <v>109</v>
      </c>
      <c r="G3808" t="s">
        <v>110</v>
      </c>
      <c r="H3808" t="s">
        <v>45</v>
      </c>
      <c r="I3808" t="s">
        <v>30</v>
      </c>
      <c r="J3808" t="s">
        <v>31</v>
      </c>
      <c r="K3808" t="s">
        <v>32</v>
      </c>
      <c r="L3808" t="s">
        <v>46</v>
      </c>
      <c r="M3808" t="s">
        <v>34</v>
      </c>
      <c r="N3808" t="s">
        <v>35</v>
      </c>
      <c r="O3808" t="s">
        <v>36</v>
      </c>
      <c r="P3808" t="s">
        <v>49</v>
      </c>
      <c r="Q3808" t="s">
        <v>79</v>
      </c>
      <c r="R3808">
        <v>232</v>
      </c>
      <c r="S3808">
        <v>106</v>
      </c>
      <c r="T3808">
        <v>83</v>
      </c>
      <c r="U3808">
        <v>26</v>
      </c>
      <c r="V3808" t="s">
        <v>6620</v>
      </c>
      <c r="W3808">
        <v>62461</v>
      </c>
      <c r="X3808" t="s">
        <v>7195</v>
      </c>
      <c r="Y3808">
        <v>48104</v>
      </c>
      <c r="Z3808">
        <v>1623986</v>
      </c>
      <c r="AA3808">
        <v>373282</v>
      </c>
      <c r="AB3808" t="str">
        <f>(VLOOKUP(SalesData[[#This Row],[Month Number]],Reference!C$5:E$16,2,FALSE))</f>
        <v>Feb</v>
      </c>
      <c r="AC3808">
        <f>MONTH(SalesData[[#This Row],[Date]])</f>
        <v>2</v>
      </c>
      <c r="AD3808">
        <f>Reference!F$4</f>
        <v>2026</v>
      </c>
      <c r="AE3808" t="str">
        <f>IF(OR(SalesData[[#This Row],[Day]]="Saturday",SalesData[[#This Row],[Day]]="Sunday"),"Weekend","Weekday")</f>
        <v>Weekday</v>
      </c>
      <c r="AF3808" s="5">
        <f>IF(SalesData[[#This Row],[Contracts Offered]]=0,0,SalesData[[#This Row],[Contracts Signed]]/SalesData[[#This Row],[Contracts Offered]])</f>
        <v>0.31325301204819278</v>
      </c>
      <c r="AG3808" s="5">
        <f>IF(SalesData[[#This Row],[Customers Visited]]=0,0,SalesData[[#This Row],[Test Drives]]/SalesData[[#This Row],[Customers Visited]])</f>
        <v>0.45689655172413796</v>
      </c>
      <c r="AH3808" s="5">
        <f>IF(SalesData[[#This Row],[Customers Visited]]=0,0,SalesData[[#This Row],[Contracts Signed]]/SalesData[[#This Row],[Customers Visited]])</f>
        <v>0.11206896551724138</v>
      </c>
      <c r="AI3808" s="6">
        <f>IF(SalesData[[#This Row],[Contracts Signed]]=0,0,SalesData[[#This Row],[Profit(€)]]/SalesData[[#This Row],[Contracts Signed]])</f>
        <v>14357</v>
      </c>
      <c r="AJ3808" s="5" t="str">
        <f>TRIM(CLEAN(SalesData[[#This Row],[Retailer]]))</f>
        <v>Leipzig Mobility</v>
      </c>
    </row>
    <row r="3809" spans="1:36" ht="14.25" x14ac:dyDescent="0.2">
      <c r="A3809" t="s">
        <v>5035</v>
      </c>
      <c r="B3809" s="1">
        <v>46065</v>
      </c>
      <c r="C3809" t="s">
        <v>121</v>
      </c>
      <c r="D3809" t="s">
        <v>100</v>
      </c>
      <c r="E3809" t="s">
        <v>26</v>
      </c>
      <c r="F3809" t="s">
        <v>109</v>
      </c>
      <c r="G3809" t="s">
        <v>110</v>
      </c>
      <c r="H3809" t="s">
        <v>45</v>
      </c>
      <c r="I3809" t="s">
        <v>30</v>
      </c>
      <c r="J3809" t="s">
        <v>166</v>
      </c>
      <c r="K3809" t="s">
        <v>78</v>
      </c>
      <c r="L3809" t="s">
        <v>46</v>
      </c>
      <c r="M3809" t="s">
        <v>68</v>
      </c>
      <c r="N3809" t="s">
        <v>48</v>
      </c>
      <c r="O3809" t="s">
        <v>36</v>
      </c>
      <c r="P3809" t="s">
        <v>71</v>
      </c>
      <c r="Q3809" t="s">
        <v>88</v>
      </c>
      <c r="R3809">
        <v>214</v>
      </c>
      <c r="S3809">
        <v>113</v>
      </c>
      <c r="T3809">
        <v>89</v>
      </c>
      <c r="U3809">
        <v>32</v>
      </c>
      <c r="V3809" t="s">
        <v>6878</v>
      </c>
      <c r="W3809">
        <v>69244</v>
      </c>
      <c r="X3809" t="s">
        <v>7130</v>
      </c>
      <c r="Y3809">
        <v>52048</v>
      </c>
      <c r="Z3809">
        <v>2215808</v>
      </c>
      <c r="AA3809">
        <v>550272</v>
      </c>
      <c r="AB3809" t="str">
        <f>(VLOOKUP(SalesData[[#This Row],[Month Number]],Reference!C$5:E$16,2,FALSE))</f>
        <v>Feb</v>
      </c>
      <c r="AC3809">
        <f>MONTH(SalesData[[#This Row],[Date]])</f>
        <v>2</v>
      </c>
      <c r="AD3809">
        <f>Reference!F$4</f>
        <v>2026</v>
      </c>
      <c r="AE3809" t="str">
        <f>IF(OR(SalesData[[#This Row],[Day]]="Saturday",SalesData[[#This Row],[Day]]="Sunday"),"Weekend","Weekday")</f>
        <v>Weekday</v>
      </c>
      <c r="AF3809" s="5">
        <f>IF(SalesData[[#This Row],[Contracts Offered]]=0,0,SalesData[[#This Row],[Contracts Signed]]/SalesData[[#This Row],[Contracts Offered]])</f>
        <v>0.3595505617977528</v>
      </c>
      <c r="AG3809" s="5">
        <f>IF(SalesData[[#This Row],[Customers Visited]]=0,0,SalesData[[#This Row],[Test Drives]]/SalesData[[#This Row],[Customers Visited]])</f>
        <v>0.5280373831775701</v>
      </c>
      <c r="AH3809" s="5">
        <f>IF(SalesData[[#This Row],[Customers Visited]]=0,0,SalesData[[#This Row],[Contracts Signed]]/SalesData[[#This Row],[Customers Visited]])</f>
        <v>0.14953271028037382</v>
      </c>
      <c r="AI3809" s="6">
        <f>IF(SalesData[[#This Row],[Contracts Signed]]=0,0,SalesData[[#This Row],[Profit(€)]]/SalesData[[#This Row],[Contracts Signed]])</f>
        <v>17196</v>
      </c>
      <c r="AJ3809" s="5" t="str">
        <f>TRIM(CLEAN(SalesData[[#This Row],[Retailer]]))</f>
        <v>Leipzig Mobility</v>
      </c>
    </row>
    <row r="3810" spans="1:36" ht="14.25" hidden="1" x14ac:dyDescent="0.2">
      <c r="A3810" t="s">
        <v>5037</v>
      </c>
      <c r="B3810" s="1">
        <v>46071</v>
      </c>
      <c r="C3810" t="s">
        <v>62</v>
      </c>
      <c r="D3810" t="s">
        <v>82</v>
      </c>
      <c r="E3810" t="s">
        <v>26</v>
      </c>
      <c r="F3810" t="s">
        <v>83</v>
      </c>
      <c r="G3810" t="s">
        <v>84</v>
      </c>
      <c r="H3810" t="s">
        <v>85</v>
      </c>
      <c r="I3810" t="s">
        <v>64</v>
      </c>
      <c r="J3810" t="s">
        <v>157</v>
      </c>
      <c r="K3810" t="s">
        <v>32</v>
      </c>
      <c r="L3810" t="s">
        <v>33</v>
      </c>
      <c r="M3810" t="s">
        <v>34</v>
      </c>
      <c r="N3810" t="s">
        <v>48</v>
      </c>
      <c r="O3810" t="s">
        <v>70</v>
      </c>
      <c r="P3810" t="s">
        <v>58</v>
      </c>
      <c r="Q3810" t="s">
        <v>129</v>
      </c>
      <c r="R3810">
        <v>257</v>
      </c>
      <c r="S3810">
        <v>117</v>
      </c>
      <c r="T3810">
        <v>88</v>
      </c>
      <c r="U3810">
        <v>34</v>
      </c>
      <c r="V3810" t="s">
        <v>6580</v>
      </c>
      <c r="W3810">
        <v>64302</v>
      </c>
      <c r="X3810" t="s">
        <v>439</v>
      </c>
      <c r="Y3810">
        <v>46021</v>
      </c>
      <c r="Z3810">
        <v>2186268</v>
      </c>
      <c r="AA3810">
        <v>621554</v>
      </c>
      <c r="AB3810" t="str">
        <f>(VLOOKUP(SalesData[[#This Row],[Month Number]],Reference!C$5:E$16,2,FALSE))</f>
        <v>Feb</v>
      </c>
      <c r="AC3810">
        <f>MONTH(SalesData[[#This Row],[Date]])</f>
        <v>2</v>
      </c>
      <c r="AD3810">
        <f>Reference!F$4</f>
        <v>2026</v>
      </c>
      <c r="AE3810" t="str">
        <f>IF(OR(SalesData[[#This Row],[Day]]="Saturday",SalesData[[#This Row],[Day]]="Sunday"),"Weekend","Weekday")</f>
        <v>Weekday</v>
      </c>
      <c r="AF3810" s="5">
        <f>IF(SalesData[[#This Row],[Contracts Offered]]=0,0,SalesData[[#This Row],[Contracts Signed]]/SalesData[[#This Row],[Contracts Offered]])</f>
        <v>0.38636363636363635</v>
      </c>
      <c r="AG3810" s="5">
        <f>IF(SalesData[[#This Row],[Customers Visited]]=0,0,SalesData[[#This Row],[Test Drives]]/SalesData[[#This Row],[Customers Visited]])</f>
        <v>0.45525291828793774</v>
      </c>
      <c r="AH3810" s="5">
        <f>IF(SalesData[[#This Row],[Customers Visited]]=0,0,SalesData[[#This Row],[Contracts Signed]]/SalesData[[#This Row],[Customers Visited]])</f>
        <v>0.13229571984435798</v>
      </c>
      <c r="AI3810" s="6">
        <f>IF(SalesData[[#This Row],[Contracts Signed]]=0,0,SalesData[[#This Row],[Profit(€)]]/SalesData[[#This Row],[Contracts Signed]])</f>
        <v>18281</v>
      </c>
      <c r="AJ3810" s="5" t="str">
        <f>TRIM(CLEAN(SalesData[[#This Row],[Retailer]]))</f>
        <v>Hannover Cars</v>
      </c>
    </row>
    <row r="3811" spans="1:36" ht="14.25" x14ac:dyDescent="0.2">
      <c r="A3811" t="s">
        <v>5038</v>
      </c>
      <c r="B3811" s="1">
        <v>46059</v>
      </c>
      <c r="C3811" t="s">
        <v>24</v>
      </c>
      <c r="D3811" t="s">
        <v>54</v>
      </c>
      <c r="E3811" t="s">
        <v>26</v>
      </c>
      <c r="F3811" t="s">
        <v>83</v>
      </c>
      <c r="G3811" t="s">
        <v>84</v>
      </c>
      <c r="H3811" t="s">
        <v>85</v>
      </c>
      <c r="I3811" t="s">
        <v>30</v>
      </c>
      <c r="J3811" t="s">
        <v>86</v>
      </c>
      <c r="K3811" t="s">
        <v>91</v>
      </c>
      <c r="L3811" t="s">
        <v>33</v>
      </c>
      <c r="M3811" t="s">
        <v>34</v>
      </c>
      <c r="N3811" t="s">
        <v>69</v>
      </c>
      <c r="O3811" t="s">
        <v>36</v>
      </c>
      <c r="P3811" t="s">
        <v>58</v>
      </c>
      <c r="Q3811" t="s">
        <v>144</v>
      </c>
      <c r="R3811">
        <v>161</v>
      </c>
      <c r="S3811">
        <v>93</v>
      </c>
      <c r="T3811">
        <v>65</v>
      </c>
      <c r="U3811">
        <v>30</v>
      </c>
      <c r="V3811" t="s">
        <v>7037</v>
      </c>
      <c r="W3811">
        <v>68151</v>
      </c>
      <c r="X3811" t="s">
        <v>7408</v>
      </c>
      <c r="Y3811">
        <v>51039</v>
      </c>
      <c r="Z3811">
        <v>2044530</v>
      </c>
      <c r="AA3811">
        <v>513360</v>
      </c>
      <c r="AB3811" t="str">
        <f>(VLOOKUP(SalesData[[#This Row],[Month Number]],Reference!C$5:E$16,2,FALSE))</f>
        <v>Feb</v>
      </c>
      <c r="AC3811">
        <f>MONTH(SalesData[[#This Row],[Date]])</f>
        <v>2</v>
      </c>
      <c r="AD3811">
        <f>Reference!F$4</f>
        <v>2026</v>
      </c>
      <c r="AE3811" t="str">
        <f>IF(OR(SalesData[[#This Row],[Day]]="Saturday",SalesData[[#This Row],[Day]]="Sunday"),"Weekend","Weekday")</f>
        <v>Weekday</v>
      </c>
      <c r="AF3811" s="5">
        <f>IF(SalesData[[#This Row],[Contracts Offered]]=0,0,SalesData[[#This Row],[Contracts Signed]]/SalesData[[#This Row],[Contracts Offered]])</f>
        <v>0.46153846153846156</v>
      </c>
      <c r="AG3811" s="5">
        <f>IF(SalesData[[#This Row],[Customers Visited]]=0,0,SalesData[[#This Row],[Test Drives]]/SalesData[[#This Row],[Customers Visited]])</f>
        <v>0.57763975155279501</v>
      </c>
      <c r="AH3811" s="5">
        <f>IF(SalesData[[#This Row],[Customers Visited]]=0,0,SalesData[[#This Row],[Contracts Signed]]/SalesData[[#This Row],[Customers Visited]])</f>
        <v>0.18633540372670807</v>
      </c>
      <c r="AI3811" s="6">
        <f>IF(SalesData[[#This Row],[Contracts Signed]]=0,0,SalesData[[#This Row],[Profit(€)]]/SalesData[[#This Row],[Contracts Signed]])</f>
        <v>17112</v>
      </c>
      <c r="AJ3811" s="5" t="str">
        <f>TRIM(CLEAN(SalesData[[#This Row],[Retailer]]))</f>
        <v>Hannover Cars</v>
      </c>
    </row>
    <row r="3812" spans="1:36" ht="14.25" x14ac:dyDescent="0.2">
      <c r="A3812" t="s">
        <v>5039</v>
      </c>
      <c r="B3812" s="1">
        <v>46066</v>
      </c>
      <c r="C3812" t="s">
        <v>121</v>
      </c>
      <c r="D3812" t="s">
        <v>54</v>
      </c>
      <c r="E3812" t="s">
        <v>26</v>
      </c>
      <c r="F3812" t="s">
        <v>43</v>
      </c>
      <c r="G3812" t="s">
        <v>44</v>
      </c>
      <c r="H3812" t="s">
        <v>45</v>
      </c>
      <c r="I3812" t="s">
        <v>30</v>
      </c>
      <c r="J3812" t="s">
        <v>31</v>
      </c>
      <c r="K3812" t="s">
        <v>91</v>
      </c>
      <c r="L3812" t="s">
        <v>46</v>
      </c>
      <c r="M3812" t="s">
        <v>47</v>
      </c>
      <c r="N3812" t="s">
        <v>69</v>
      </c>
      <c r="O3812" t="s">
        <v>70</v>
      </c>
      <c r="P3812" t="s">
        <v>71</v>
      </c>
      <c r="Q3812" t="s">
        <v>38</v>
      </c>
      <c r="R3812">
        <v>182</v>
      </c>
      <c r="S3812">
        <v>91</v>
      </c>
      <c r="T3812">
        <v>64</v>
      </c>
      <c r="U3812">
        <v>24</v>
      </c>
      <c r="V3812" t="s">
        <v>6581</v>
      </c>
      <c r="W3812">
        <v>67241</v>
      </c>
      <c r="X3812" t="s">
        <v>7387</v>
      </c>
      <c r="Y3812">
        <v>49107</v>
      </c>
      <c r="Z3812">
        <v>1613784</v>
      </c>
      <c r="AA3812">
        <v>435216</v>
      </c>
      <c r="AB3812" t="str">
        <f>(VLOOKUP(SalesData[[#This Row],[Month Number]],Reference!C$5:E$16,2,FALSE))</f>
        <v>Feb</v>
      </c>
      <c r="AC3812">
        <f>MONTH(SalesData[[#This Row],[Date]])</f>
        <v>2</v>
      </c>
      <c r="AD3812">
        <f>Reference!F$4</f>
        <v>2026</v>
      </c>
      <c r="AE3812" t="str">
        <f>IF(OR(SalesData[[#This Row],[Day]]="Saturday",SalesData[[#This Row],[Day]]="Sunday"),"Weekend","Weekday")</f>
        <v>Weekday</v>
      </c>
      <c r="AF3812" s="5">
        <f>IF(SalesData[[#This Row],[Contracts Offered]]=0,0,SalesData[[#This Row],[Contracts Signed]]/SalesData[[#This Row],[Contracts Offered]])</f>
        <v>0.375</v>
      </c>
      <c r="AG3812" s="5">
        <f>IF(SalesData[[#This Row],[Customers Visited]]=0,0,SalesData[[#This Row],[Test Drives]]/SalesData[[#This Row],[Customers Visited]])</f>
        <v>0.5</v>
      </c>
      <c r="AH3812" s="5">
        <f>IF(SalesData[[#This Row],[Customers Visited]]=0,0,SalesData[[#This Row],[Contracts Signed]]/SalesData[[#This Row],[Customers Visited]])</f>
        <v>0.13186813186813187</v>
      </c>
      <c r="AI3812" s="6">
        <f>IF(SalesData[[#This Row],[Contracts Signed]]=0,0,SalesData[[#This Row],[Profit(€)]]/SalesData[[#This Row],[Contracts Signed]])</f>
        <v>18134</v>
      </c>
      <c r="AJ3812" s="5" t="str">
        <f>TRIM(CLEAN(SalesData[[#This Row],[Retailer]]))</f>
        <v>Saxon Wheels</v>
      </c>
    </row>
    <row r="3813" spans="1:36" ht="14.25" hidden="1" x14ac:dyDescent="0.2">
      <c r="A3813" t="s">
        <v>5040</v>
      </c>
      <c r="B3813" s="1">
        <v>46060</v>
      </c>
      <c r="C3813" t="s">
        <v>24</v>
      </c>
      <c r="D3813" t="s">
        <v>151</v>
      </c>
      <c r="E3813" t="s">
        <v>42</v>
      </c>
      <c r="F3813" t="s">
        <v>7649</v>
      </c>
      <c r="G3813" t="s">
        <v>55</v>
      </c>
      <c r="H3813" t="s">
        <v>55</v>
      </c>
      <c r="I3813" t="s">
        <v>104</v>
      </c>
      <c r="J3813" t="s">
        <v>7061</v>
      </c>
      <c r="K3813" t="s">
        <v>78</v>
      </c>
      <c r="L3813" t="s">
        <v>46</v>
      </c>
      <c r="M3813" t="s">
        <v>87</v>
      </c>
      <c r="N3813" t="s">
        <v>48</v>
      </c>
      <c r="O3813" t="s">
        <v>70</v>
      </c>
      <c r="P3813" t="s">
        <v>49</v>
      </c>
      <c r="Q3813" t="s">
        <v>172</v>
      </c>
      <c r="R3813">
        <v>424</v>
      </c>
      <c r="S3813">
        <v>215</v>
      </c>
      <c r="T3813">
        <v>133</v>
      </c>
      <c r="U3813">
        <v>32</v>
      </c>
      <c r="V3813" t="s">
        <v>2480</v>
      </c>
      <c r="W3813">
        <v>30315</v>
      </c>
      <c r="X3813" t="s">
        <v>1963</v>
      </c>
      <c r="Y3813">
        <v>27361</v>
      </c>
      <c r="Z3813">
        <v>970080</v>
      </c>
      <c r="AA3813">
        <v>94528</v>
      </c>
      <c r="AB3813" t="str">
        <f>(VLOOKUP(SalesData[[#This Row],[Month Number]],Reference!C$5:E$16,2,FALSE))</f>
        <v>Feb</v>
      </c>
      <c r="AC3813">
        <f>MONTH(SalesData[[#This Row],[Date]])</f>
        <v>2</v>
      </c>
      <c r="AD3813">
        <f>Reference!F$4</f>
        <v>2026</v>
      </c>
      <c r="AE3813" t="str">
        <f>IF(OR(SalesData[[#This Row],[Day]]="Saturday",SalesData[[#This Row],[Day]]="Sunday"),"Weekend","Weekday")</f>
        <v>Weekend</v>
      </c>
      <c r="AF3813" s="5">
        <f>IF(SalesData[[#This Row],[Contracts Offered]]=0,0,SalesData[[#This Row],[Contracts Signed]]/SalesData[[#This Row],[Contracts Offered]])</f>
        <v>0.24060150375939848</v>
      </c>
      <c r="AG3813" s="5">
        <f>IF(SalesData[[#This Row],[Customers Visited]]=0,0,SalesData[[#This Row],[Test Drives]]/SalesData[[#This Row],[Customers Visited]])</f>
        <v>0.50707547169811318</v>
      </c>
      <c r="AH3813" s="5">
        <f>IF(SalesData[[#This Row],[Customers Visited]]=0,0,SalesData[[#This Row],[Contracts Signed]]/SalesData[[#This Row],[Customers Visited]])</f>
        <v>7.5471698113207544E-2</v>
      </c>
      <c r="AI3813" s="6">
        <f>IF(SalesData[[#This Row],[Contracts Signed]]=0,0,SalesData[[#This Row],[Profit(€)]]/SalesData[[#This Row],[Contracts Signed]])</f>
        <v>2954</v>
      </c>
      <c r="AJ3813" s="5" t="str">
        <f>TRIM(CLEAN(SalesData[[#This Row],[Retailer]]))</f>
        <v>Autohaus Berlin</v>
      </c>
    </row>
    <row r="3814" spans="1:36" ht="14.25" hidden="1" x14ac:dyDescent="0.2">
      <c r="A3814" t="s">
        <v>5041</v>
      </c>
      <c r="B3814" s="1">
        <v>46060</v>
      </c>
      <c r="C3814" t="s">
        <v>24</v>
      </c>
      <c r="D3814" t="s">
        <v>151</v>
      </c>
      <c r="E3814" t="s">
        <v>42</v>
      </c>
      <c r="F3814" t="s">
        <v>27</v>
      </c>
      <c r="G3814" t="s">
        <v>28</v>
      </c>
      <c r="H3814" t="s">
        <v>29</v>
      </c>
      <c r="I3814" t="s">
        <v>116</v>
      </c>
      <c r="J3814" t="s">
        <v>132</v>
      </c>
      <c r="K3814" t="s">
        <v>91</v>
      </c>
      <c r="L3814" t="s">
        <v>46</v>
      </c>
      <c r="M3814" t="s">
        <v>34</v>
      </c>
      <c r="N3814" t="s">
        <v>69</v>
      </c>
      <c r="O3814" t="s">
        <v>70</v>
      </c>
      <c r="P3814" t="s">
        <v>71</v>
      </c>
      <c r="Q3814" t="s">
        <v>152</v>
      </c>
      <c r="R3814">
        <v>274</v>
      </c>
      <c r="S3814">
        <v>141</v>
      </c>
      <c r="T3814">
        <v>89</v>
      </c>
      <c r="U3814">
        <v>18</v>
      </c>
      <c r="V3814" t="s">
        <v>1378</v>
      </c>
      <c r="W3814">
        <v>21369</v>
      </c>
      <c r="X3814" t="s">
        <v>921</v>
      </c>
      <c r="Y3814">
        <v>19324</v>
      </c>
      <c r="Z3814">
        <v>384642</v>
      </c>
      <c r="AA3814">
        <v>36810</v>
      </c>
      <c r="AB3814" t="str">
        <f>(VLOOKUP(SalesData[[#This Row],[Month Number]],Reference!C$5:E$16,2,FALSE))</f>
        <v>Feb</v>
      </c>
      <c r="AC3814">
        <f>MONTH(SalesData[[#This Row],[Date]])</f>
        <v>2</v>
      </c>
      <c r="AD3814">
        <f>Reference!F$4</f>
        <v>2026</v>
      </c>
      <c r="AE3814" t="str">
        <f>IF(OR(SalesData[[#This Row],[Day]]="Saturday",SalesData[[#This Row],[Day]]="Sunday"),"Weekend","Weekday")</f>
        <v>Weekend</v>
      </c>
      <c r="AF3814" s="5">
        <f>IF(SalesData[[#This Row],[Contracts Offered]]=0,0,SalesData[[#This Row],[Contracts Signed]]/SalesData[[#This Row],[Contracts Offered]])</f>
        <v>0.20224719101123595</v>
      </c>
      <c r="AG3814" s="5">
        <f>IF(SalesData[[#This Row],[Customers Visited]]=0,0,SalesData[[#This Row],[Test Drives]]/SalesData[[#This Row],[Customers Visited]])</f>
        <v>0.51459854014598538</v>
      </c>
      <c r="AH3814" s="5">
        <f>IF(SalesData[[#This Row],[Customers Visited]]=0,0,SalesData[[#This Row],[Contracts Signed]]/SalesData[[#This Row],[Customers Visited]])</f>
        <v>6.569343065693431E-2</v>
      </c>
      <c r="AI3814" s="6">
        <f>IF(SalesData[[#This Row],[Contracts Signed]]=0,0,SalesData[[#This Row],[Profit(€)]]/SalesData[[#This Row],[Contracts Signed]])</f>
        <v>2045</v>
      </c>
      <c r="AJ3814" s="5" t="str">
        <f>TRIM(CLEAN(SalesData[[#This Row],[Retailer]]))</f>
        <v>Main Auto Hub</v>
      </c>
    </row>
    <row r="3815" spans="1:36" ht="14.25" hidden="1" x14ac:dyDescent="0.2">
      <c r="A3815" t="s">
        <v>5042</v>
      </c>
      <c r="B3815" s="1">
        <v>46069</v>
      </c>
      <c r="C3815" t="s">
        <v>62</v>
      </c>
      <c r="D3815" t="s">
        <v>25</v>
      </c>
      <c r="E3815" t="s">
        <v>26</v>
      </c>
      <c r="F3815" t="s">
        <v>101</v>
      </c>
      <c r="G3815" t="s">
        <v>102</v>
      </c>
      <c r="H3815" t="s">
        <v>103</v>
      </c>
      <c r="I3815" t="s">
        <v>104</v>
      </c>
      <c r="J3815" t="s">
        <v>7061</v>
      </c>
      <c r="K3815" t="s">
        <v>91</v>
      </c>
      <c r="L3815" t="s">
        <v>46</v>
      </c>
      <c r="M3815" t="s">
        <v>34</v>
      </c>
      <c r="N3815" t="s">
        <v>69</v>
      </c>
      <c r="O3815" t="s">
        <v>36</v>
      </c>
      <c r="P3815" t="s">
        <v>37</v>
      </c>
      <c r="Q3815" t="s">
        <v>158</v>
      </c>
      <c r="R3815">
        <v>412</v>
      </c>
      <c r="S3815">
        <v>215</v>
      </c>
      <c r="T3815">
        <v>140</v>
      </c>
      <c r="U3815">
        <v>31</v>
      </c>
      <c r="V3815" t="s">
        <v>1800</v>
      </c>
      <c r="W3815">
        <v>32033</v>
      </c>
      <c r="X3815" t="s">
        <v>2084</v>
      </c>
      <c r="Y3815">
        <v>27668</v>
      </c>
      <c r="Z3815">
        <v>993023</v>
      </c>
      <c r="AA3815">
        <v>135315</v>
      </c>
      <c r="AB3815" t="str">
        <f>(VLOOKUP(SalesData[[#This Row],[Month Number]],Reference!C$5:E$16,2,FALSE))</f>
        <v>Feb</v>
      </c>
      <c r="AC3815">
        <f>MONTH(SalesData[[#This Row],[Date]])</f>
        <v>2</v>
      </c>
      <c r="AD3815">
        <f>Reference!F$4</f>
        <v>2026</v>
      </c>
      <c r="AE3815" t="str">
        <f>IF(OR(SalesData[[#This Row],[Day]]="Saturday",SalesData[[#This Row],[Day]]="Sunday"),"Weekend","Weekday")</f>
        <v>Weekday</v>
      </c>
      <c r="AF3815" s="5">
        <f>IF(SalesData[[#This Row],[Contracts Offered]]=0,0,SalesData[[#This Row],[Contracts Signed]]/SalesData[[#This Row],[Contracts Offered]])</f>
        <v>0.22142857142857142</v>
      </c>
      <c r="AG3815" s="5">
        <f>IF(SalesData[[#This Row],[Customers Visited]]=0,0,SalesData[[#This Row],[Test Drives]]/SalesData[[#This Row],[Customers Visited]])</f>
        <v>0.52184466019417475</v>
      </c>
      <c r="AH3815" s="5">
        <f>IF(SalesData[[#This Row],[Customers Visited]]=0,0,SalesData[[#This Row],[Contracts Signed]]/SalesData[[#This Row],[Customers Visited]])</f>
        <v>7.5242718446601936E-2</v>
      </c>
      <c r="AI3815" s="6">
        <f>IF(SalesData[[#This Row],[Contracts Signed]]=0,0,SalesData[[#This Row],[Profit(€)]]/SalesData[[#This Row],[Contracts Signed]])</f>
        <v>4365</v>
      </c>
      <c r="AJ3815" s="5" t="str">
        <f>TRIM(CLEAN(SalesData[[#This Row],[Retailer]]))</f>
        <v>Ruhr Auto Plaza</v>
      </c>
    </row>
    <row r="3816" spans="1:36" ht="14.25" hidden="1" x14ac:dyDescent="0.2">
      <c r="A3816" t="s">
        <v>5043</v>
      </c>
      <c r="B3816" s="1">
        <v>46066</v>
      </c>
      <c r="C3816" t="s">
        <v>121</v>
      </c>
      <c r="D3816" t="s">
        <v>54</v>
      </c>
      <c r="E3816" t="s">
        <v>26</v>
      </c>
      <c r="F3816" t="s">
        <v>94</v>
      </c>
      <c r="G3816" t="s">
        <v>95</v>
      </c>
      <c r="H3816" t="s">
        <v>96</v>
      </c>
      <c r="I3816" t="s">
        <v>56</v>
      </c>
      <c r="J3816" t="s">
        <v>137</v>
      </c>
      <c r="K3816" t="s">
        <v>66</v>
      </c>
      <c r="L3816" t="s">
        <v>46</v>
      </c>
      <c r="M3816" t="s">
        <v>34</v>
      </c>
      <c r="N3816" t="s">
        <v>69</v>
      </c>
      <c r="O3816" t="s">
        <v>36</v>
      </c>
      <c r="P3816" t="s">
        <v>71</v>
      </c>
      <c r="Q3816" t="s">
        <v>152</v>
      </c>
      <c r="R3816">
        <v>317</v>
      </c>
      <c r="S3816">
        <v>199</v>
      </c>
      <c r="T3816">
        <v>146</v>
      </c>
      <c r="U3816">
        <v>53</v>
      </c>
      <c r="V3816" t="s">
        <v>6645</v>
      </c>
      <c r="W3816">
        <v>41321</v>
      </c>
      <c r="X3816" t="s">
        <v>2693</v>
      </c>
      <c r="Y3816">
        <v>31288</v>
      </c>
      <c r="Z3816">
        <v>2190013</v>
      </c>
      <c r="AA3816">
        <v>531749</v>
      </c>
      <c r="AB3816" t="str">
        <f>(VLOOKUP(SalesData[[#This Row],[Month Number]],Reference!C$5:E$16,2,FALSE))</f>
        <v>Feb</v>
      </c>
      <c r="AC3816">
        <f>MONTH(SalesData[[#This Row],[Date]])</f>
        <v>2</v>
      </c>
      <c r="AD3816">
        <f>Reference!F$4</f>
        <v>2026</v>
      </c>
      <c r="AE3816" t="str">
        <f>IF(OR(SalesData[[#This Row],[Day]]="Saturday",SalesData[[#This Row],[Day]]="Sunday"),"Weekend","Weekday")</f>
        <v>Weekday</v>
      </c>
      <c r="AF3816" s="5">
        <f>IF(SalesData[[#This Row],[Contracts Offered]]=0,0,SalesData[[#This Row],[Contracts Signed]]/SalesData[[#This Row],[Contracts Offered]])</f>
        <v>0.36301369863013699</v>
      </c>
      <c r="AG3816" s="5">
        <f>IF(SalesData[[#This Row],[Customers Visited]]=0,0,SalesData[[#This Row],[Test Drives]]/SalesData[[#This Row],[Customers Visited]])</f>
        <v>0.62776025236593058</v>
      </c>
      <c r="AH3816" s="5">
        <f>IF(SalesData[[#This Row],[Customers Visited]]=0,0,SalesData[[#This Row],[Contracts Signed]]/SalesData[[#This Row],[Customers Visited]])</f>
        <v>0.16719242902208201</v>
      </c>
      <c r="AI3816" s="6">
        <f>IF(SalesData[[#This Row],[Contracts Signed]]=0,0,SalesData[[#This Row],[Profit(€)]]/SalesData[[#This Row],[Contracts Signed]])</f>
        <v>10033</v>
      </c>
      <c r="AJ3816" s="5" t="str">
        <f>TRIM(CLEAN(SalesData[[#This Row],[Retailer]]))</f>
        <v>Bavaria Motors</v>
      </c>
    </row>
    <row r="3817" spans="1:36" ht="14.25" hidden="1" x14ac:dyDescent="0.2">
      <c r="A3817" t="s">
        <v>5044</v>
      </c>
      <c r="B3817" s="1">
        <v>46075</v>
      </c>
      <c r="C3817" t="s">
        <v>53</v>
      </c>
      <c r="D3817" t="s">
        <v>41</v>
      </c>
      <c r="E3817" t="s">
        <v>42</v>
      </c>
      <c r="F3817" t="s">
        <v>101</v>
      </c>
      <c r="G3817" t="s">
        <v>102</v>
      </c>
      <c r="H3817" t="s">
        <v>103</v>
      </c>
      <c r="I3817" t="s">
        <v>116</v>
      </c>
      <c r="J3817" t="s">
        <v>7090</v>
      </c>
      <c r="K3817" t="s">
        <v>32</v>
      </c>
      <c r="L3817" t="s">
        <v>46</v>
      </c>
      <c r="M3817" t="s">
        <v>87</v>
      </c>
      <c r="N3817" t="s">
        <v>35</v>
      </c>
      <c r="O3817" t="s">
        <v>36</v>
      </c>
      <c r="P3817" t="s">
        <v>58</v>
      </c>
      <c r="Q3817" t="s">
        <v>129</v>
      </c>
      <c r="R3817">
        <v>395</v>
      </c>
      <c r="S3817">
        <v>150</v>
      </c>
      <c r="T3817">
        <v>100</v>
      </c>
      <c r="U3817">
        <v>23</v>
      </c>
      <c r="V3817" t="s">
        <v>1290</v>
      </c>
      <c r="W3817">
        <v>24421</v>
      </c>
      <c r="X3817" t="s">
        <v>2159</v>
      </c>
      <c r="Y3817">
        <v>22070</v>
      </c>
      <c r="Z3817">
        <v>561683</v>
      </c>
      <c r="AA3817">
        <v>54073</v>
      </c>
      <c r="AB3817" t="str">
        <f>(VLOOKUP(SalesData[[#This Row],[Month Number]],Reference!C$5:E$16,2,FALSE))</f>
        <v>Feb</v>
      </c>
      <c r="AC3817">
        <f>MONTH(SalesData[[#This Row],[Date]])</f>
        <v>2</v>
      </c>
      <c r="AD3817">
        <f>Reference!F$4</f>
        <v>2026</v>
      </c>
      <c r="AE3817" t="str">
        <f>IF(OR(SalesData[[#This Row],[Day]]="Saturday",SalesData[[#This Row],[Day]]="Sunday"),"Weekend","Weekday")</f>
        <v>Weekend</v>
      </c>
      <c r="AF3817" s="5">
        <f>IF(SalesData[[#This Row],[Contracts Offered]]=0,0,SalesData[[#This Row],[Contracts Signed]]/SalesData[[#This Row],[Contracts Offered]])</f>
        <v>0.23</v>
      </c>
      <c r="AG3817" s="5">
        <f>IF(SalesData[[#This Row],[Customers Visited]]=0,0,SalesData[[#This Row],[Test Drives]]/SalesData[[#This Row],[Customers Visited]])</f>
        <v>0.379746835443038</v>
      </c>
      <c r="AH3817" s="5">
        <f>IF(SalesData[[#This Row],[Customers Visited]]=0,0,SalesData[[#This Row],[Contracts Signed]]/SalesData[[#This Row],[Customers Visited]])</f>
        <v>5.8227848101265821E-2</v>
      </c>
      <c r="AI3817" s="6">
        <f>IF(SalesData[[#This Row],[Contracts Signed]]=0,0,SalesData[[#This Row],[Profit(€)]]/SalesData[[#This Row],[Contracts Signed]])</f>
        <v>2351</v>
      </c>
      <c r="AJ3817" s="5" t="str">
        <f>TRIM(CLEAN(SalesData[[#This Row],[Retailer]]))</f>
        <v>Ruhr Auto Plaza</v>
      </c>
    </row>
    <row r="3818" spans="1:36" ht="14.25" hidden="1" x14ac:dyDescent="0.2">
      <c r="A3818" t="s">
        <v>5045</v>
      </c>
      <c r="B3818" s="1">
        <v>46062</v>
      </c>
      <c r="C3818" t="s">
        <v>121</v>
      </c>
      <c r="D3818" t="s">
        <v>25</v>
      </c>
      <c r="E3818" t="s">
        <v>26</v>
      </c>
      <c r="F3818" t="s">
        <v>114</v>
      </c>
      <c r="G3818" t="s">
        <v>115</v>
      </c>
      <c r="H3818" t="s">
        <v>115</v>
      </c>
      <c r="I3818" t="s">
        <v>64</v>
      </c>
      <c r="J3818" t="s">
        <v>65</v>
      </c>
      <c r="K3818" t="s">
        <v>91</v>
      </c>
      <c r="L3818" t="s">
        <v>33</v>
      </c>
      <c r="M3818" t="s">
        <v>87</v>
      </c>
      <c r="N3818" t="s">
        <v>69</v>
      </c>
      <c r="O3818" t="s">
        <v>70</v>
      </c>
      <c r="P3818" t="s">
        <v>71</v>
      </c>
      <c r="Q3818" t="s">
        <v>129</v>
      </c>
      <c r="R3818">
        <v>279</v>
      </c>
      <c r="S3818">
        <v>142</v>
      </c>
      <c r="T3818">
        <v>100</v>
      </c>
      <c r="U3818">
        <v>40</v>
      </c>
      <c r="V3818" t="s">
        <v>6622</v>
      </c>
      <c r="W3818">
        <v>51283</v>
      </c>
      <c r="X3818" t="s">
        <v>1906</v>
      </c>
      <c r="Y3818">
        <v>38129</v>
      </c>
      <c r="Z3818">
        <v>2051320</v>
      </c>
      <c r="AA3818">
        <v>526160</v>
      </c>
      <c r="AB3818" t="str">
        <f>(VLOOKUP(SalesData[[#This Row],[Month Number]],Reference!C$5:E$16,2,FALSE))</f>
        <v>Feb</v>
      </c>
      <c r="AC3818">
        <f>MONTH(SalesData[[#This Row],[Date]])</f>
        <v>2</v>
      </c>
      <c r="AD3818">
        <f>Reference!F$4</f>
        <v>2026</v>
      </c>
      <c r="AE3818" t="str">
        <f>IF(OR(SalesData[[#This Row],[Day]]="Saturday",SalesData[[#This Row],[Day]]="Sunday"),"Weekend","Weekday")</f>
        <v>Weekday</v>
      </c>
      <c r="AF3818" s="5">
        <f>IF(SalesData[[#This Row],[Contracts Offered]]=0,0,SalesData[[#This Row],[Contracts Signed]]/SalesData[[#This Row],[Contracts Offered]])</f>
        <v>0.4</v>
      </c>
      <c r="AG3818" s="5">
        <f>IF(SalesData[[#This Row],[Customers Visited]]=0,0,SalesData[[#This Row],[Test Drives]]/SalesData[[#This Row],[Customers Visited]])</f>
        <v>0.50896057347670254</v>
      </c>
      <c r="AH3818" s="5">
        <f>IF(SalesData[[#This Row],[Customers Visited]]=0,0,SalesData[[#This Row],[Contracts Signed]]/SalesData[[#This Row],[Customers Visited]])</f>
        <v>0.14336917562724014</v>
      </c>
      <c r="AI3818" s="6">
        <f>IF(SalesData[[#This Row],[Contracts Signed]]=0,0,SalesData[[#This Row],[Profit(€)]]/SalesData[[#This Row],[Contracts Signed]])</f>
        <v>13154</v>
      </c>
      <c r="AJ3818" s="5" t="str">
        <f>TRIM(CLEAN(SalesData[[#This Row],[Retailer]]))</f>
        <v>Elbe Drive</v>
      </c>
    </row>
    <row r="3819" spans="1:36" ht="14.25" hidden="1" x14ac:dyDescent="0.2">
      <c r="A3819" t="s">
        <v>5046</v>
      </c>
      <c r="B3819" s="1">
        <v>46078</v>
      </c>
      <c r="C3819" t="s">
        <v>53</v>
      </c>
      <c r="D3819" t="s">
        <v>82</v>
      </c>
      <c r="E3819" t="s">
        <v>26</v>
      </c>
      <c r="F3819" t="s">
        <v>7649</v>
      </c>
      <c r="G3819" t="s">
        <v>55</v>
      </c>
      <c r="H3819" t="s">
        <v>55</v>
      </c>
      <c r="I3819" t="s">
        <v>64</v>
      </c>
      <c r="J3819" t="s">
        <v>157</v>
      </c>
      <c r="K3819" t="s">
        <v>32</v>
      </c>
      <c r="L3819" t="s">
        <v>33</v>
      </c>
      <c r="M3819" t="s">
        <v>87</v>
      </c>
      <c r="N3819" t="s">
        <v>35</v>
      </c>
      <c r="O3819" t="s">
        <v>70</v>
      </c>
      <c r="P3819" t="s">
        <v>49</v>
      </c>
      <c r="Q3819" t="s">
        <v>129</v>
      </c>
      <c r="R3819">
        <v>252</v>
      </c>
      <c r="S3819">
        <v>145</v>
      </c>
      <c r="T3819">
        <v>103</v>
      </c>
      <c r="U3819">
        <v>38</v>
      </c>
      <c r="V3819" t="s">
        <v>6993</v>
      </c>
      <c r="W3819">
        <v>67342</v>
      </c>
      <c r="X3819" t="s">
        <v>2278</v>
      </c>
      <c r="Y3819">
        <v>48312</v>
      </c>
      <c r="Z3819">
        <v>2558996</v>
      </c>
      <c r="AA3819">
        <v>723140</v>
      </c>
      <c r="AB3819" t="str">
        <f>(VLOOKUP(SalesData[[#This Row],[Month Number]],Reference!C$5:E$16,2,FALSE))</f>
        <v>Feb</v>
      </c>
      <c r="AC3819">
        <f>MONTH(SalesData[[#This Row],[Date]])</f>
        <v>2</v>
      </c>
      <c r="AD3819">
        <f>Reference!F$4</f>
        <v>2026</v>
      </c>
      <c r="AE3819" t="str">
        <f>IF(OR(SalesData[[#This Row],[Day]]="Saturday",SalesData[[#This Row],[Day]]="Sunday"),"Weekend","Weekday")</f>
        <v>Weekday</v>
      </c>
      <c r="AF3819" s="5">
        <f>IF(SalesData[[#This Row],[Contracts Offered]]=0,0,SalesData[[#This Row],[Contracts Signed]]/SalesData[[#This Row],[Contracts Offered]])</f>
        <v>0.36893203883495146</v>
      </c>
      <c r="AG3819" s="5">
        <f>IF(SalesData[[#This Row],[Customers Visited]]=0,0,SalesData[[#This Row],[Test Drives]]/SalesData[[#This Row],[Customers Visited]])</f>
        <v>0.57539682539682535</v>
      </c>
      <c r="AH3819" s="5">
        <f>IF(SalesData[[#This Row],[Customers Visited]]=0,0,SalesData[[#This Row],[Contracts Signed]]/SalesData[[#This Row],[Customers Visited]])</f>
        <v>0.15079365079365079</v>
      </c>
      <c r="AI3819" s="6">
        <f>IF(SalesData[[#This Row],[Contracts Signed]]=0,0,SalesData[[#This Row],[Profit(€)]]/SalesData[[#This Row],[Contracts Signed]])</f>
        <v>19030</v>
      </c>
      <c r="AJ3819" s="5" t="str">
        <f>TRIM(CLEAN(SalesData[[#This Row],[Retailer]]))</f>
        <v>Autohaus Berlin</v>
      </c>
    </row>
    <row r="3820" spans="1:36" ht="14.25" hidden="1" x14ac:dyDescent="0.2">
      <c r="A3820" t="s">
        <v>5047</v>
      </c>
      <c r="B3820" s="1">
        <v>46059</v>
      </c>
      <c r="C3820" t="s">
        <v>24</v>
      </c>
      <c r="D3820" t="s">
        <v>54</v>
      </c>
      <c r="E3820" t="s">
        <v>26</v>
      </c>
      <c r="F3820" t="s">
        <v>94</v>
      </c>
      <c r="G3820" t="s">
        <v>95</v>
      </c>
      <c r="H3820" t="s">
        <v>96</v>
      </c>
      <c r="I3820" t="s">
        <v>104</v>
      </c>
      <c r="J3820" t="s">
        <v>140</v>
      </c>
      <c r="K3820" t="s">
        <v>66</v>
      </c>
      <c r="L3820" t="s">
        <v>46</v>
      </c>
      <c r="M3820" t="s">
        <v>87</v>
      </c>
      <c r="N3820" t="s">
        <v>48</v>
      </c>
      <c r="O3820" t="s">
        <v>36</v>
      </c>
      <c r="P3820" t="s">
        <v>37</v>
      </c>
      <c r="Q3820" t="s">
        <v>122</v>
      </c>
      <c r="R3820">
        <v>391</v>
      </c>
      <c r="S3820">
        <v>220</v>
      </c>
      <c r="T3820">
        <v>148</v>
      </c>
      <c r="U3820">
        <v>39</v>
      </c>
      <c r="V3820" t="s">
        <v>1823</v>
      </c>
      <c r="W3820">
        <v>31940</v>
      </c>
      <c r="X3820" t="s">
        <v>7513</v>
      </c>
      <c r="Y3820">
        <v>27627</v>
      </c>
      <c r="Z3820">
        <v>1245660</v>
      </c>
      <c r="AA3820">
        <v>168207</v>
      </c>
      <c r="AB3820" t="str">
        <f>(VLOOKUP(SalesData[[#This Row],[Month Number]],Reference!C$5:E$16,2,FALSE))</f>
        <v>Feb</v>
      </c>
      <c r="AC3820">
        <f>MONTH(SalesData[[#This Row],[Date]])</f>
        <v>2</v>
      </c>
      <c r="AD3820">
        <f>Reference!F$4</f>
        <v>2026</v>
      </c>
      <c r="AE3820" t="str">
        <f>IF(OR(SalesData[[#This Row],[Day]]="Saturday",SalesData[[#This Row],[Day]]="Sunday"),"Weekend","Weekday")</f>
        <v>Weekday</v>
      </c>
      <c r="AF3820" s="5">
        <f>IF(SalesData[[#This Row],[Contracts Offered]]=0,0,SalesData[[#This Row],[Contracts Signed]]/SalesData[[#This Row],[Contracts Offered]])</f>
        <v>0.26351351351351349</v>
      </c>
      <c r="AG3820" s="5">
        <f>IF(SalesData[[#This Row],[Customers Visited]]=0,0,SalesData[[#This Row],[Test Drives]]/SalesData[[#This Row],[Customers Visited]])</f>
        <v>0.5626598465473146</v>
      </c>
      <c r="AH3820" s="5">
        <f>IF(SalesData[[#This Row],[Customers Visited]]=0,0,SalesData[[#This Row],[Contracts Signed]]/SalesData[[#This Row],[Customers Visited]])</f>
        <v>9.9744245524296671E-2</v>
      </c>
      <c r="AI3820" s="6">
        <f>IF(SalesData[[#This Row],[Contracts Signed]]=0,0,SalesData[[#This Row],[Profit(€)]]/SalesData[[#This Row],[Contracts Signed]])</f>
        <v>4313</v>
      </c>
      <c r="AJ3820" s="5" t="str">
        <f>TRIM(CLEAN(SalesData[[#This Row],[Retailer]]))</f>
        <v>Bavaria Motors</v>
      </c>
    </row>
    <row r="3821" spans="1:36" ht="14.25" hidden="1" x14ac:dyDescent="0.2">
      <c r="A3821" t="s">
        <v>5048</v>
      </c>
      <c r="B3821" s="1">
        <v>46074</v>
      </c>
      <c r="C3821" t="s">
        <v>62</v>
      </c>
      <c r="D3821" t="s">
        <v>151</v>
      </c>
      <c r="E3821" t="s">
        <v>42</v>
      </c>
      <c r="F3821" t="s">
        <v>74</v>
      </c>
      <c r="G3821" t="s">
        <v>75</v>
      </c>
      <c r="H3821" t="s">
        <v>76</v>
      </c>
      <c r="I3821" t="s">
        <v>104</v>
      </c>
      <c r="J3821" t="s">
        <v>7031</v>
      </c>
      <c r="K3821" t="s">
        <v>32</v>
      </c>
      <c r="L3821" t="s">
        <v>46</v>
      </c>
      <c r="M3821" t="s">
        <v>68</v>
      </c>
      <c r="N3821" t="s">
        <v>69</v>
      </c>
      <c r="O3821" t="s">
        <v>36</v>
      </c>
      <c r="P3821" t="s">
        <v>49</v>
      </c>
      <c r="Q3821" t="s">
        <v>144</v>
      </c>
      <c r="R3821">
        <v>367</v>
      </c>
      <c r="S3821">
        <v>175</v>
      </c>
      <c r="T3821">
        <v>112</v>
      </c>
      <c r="U3821">
        <v>28</v>
      </c>
      <c r="V3821" t="s">
        <v>333</v>
      </c>
      <c r="W3821">
        <v>27177</v>
      </c>
      <c r="X3821" t="s">
        <v>303</v>
      </c>
      <c r="Y3821">
        <v>24002</v>
      </c>
      <c r="Z3821">
        <v>760956</v>
      </c>
      <c r="AA3821">
        <v>88900</v>
      </c>
      <c r="AB3821" t="str">
        <f>(VLOOKUP(SalesData[[#This Row],[Month Number]],Reference!C$5:E$16,2,FALSE))</f>
        <v>Feb</v>
      </c>
      <c r="AC3821">
        <f>MONTH(SalesData[[#This Row],[Date]])</f>
        <v>2</v>
      </c>
      <c r="AD3821">
        <f>Reference!F$4</f>
        <v>2026</v>
      </c>
      <c r="AE3821" t="str">
        <f>IF(OR(SalesData[[#This Row],[Day]]="Saturday",SalesData[[#This Row],[Day]]="Sunday"),"Weekend","Weekday")</f>
        <v>Weekend</v>
      </c>
      <c r="AF3821" s="5">
        <f>IF(SalesData[[#This Row],[Contracts Offered]]=0,0,SalesData[[#This Row],[Contracts Signed]]/SalesData[[#This Row],[Contracts Offered]])</f>
        <v>0.25</v>
      </c>
      <c r="AG3821" s="5">
        <f>IF(SalesData[[#This Row],[Customers Visited]]=0,0,SalesData[[#This Row],[Test Drives]]/SalesData[[#This Row],[Customers Visited]])</f>
        <v>0.4768392370572207</v>
      </c>
      <c r="AH3821" s="5">
        <f>IF(SalesData[[#This Row],[Customers Visited]]=0,0,SalesData[[#This Row],[Contracts Signed]]/SalesData[[#This Row],[Customers Visited]])</f>
        <v>7.6294277929155316E-2</v>
      </c>
      <c r="AI3821" s="6">
        <f>IF(SalesData[[#This Row],[Contracts Signed]]=0,0,SalesData[[#This Row],[Profit(€)]]/SalesData[[#This Row],[Contracts Signed]])</f>
        <v>3175</v>
      </c>
      <c r="AJ3821" s="5" t="str">
        <f>TRIM(CLEAN(SalesData[[#This Row],[Retailer]]))</f>
        <v>Stuttgart Auto Center</v>
      </c>
    </row>
    <row r="3822" spans="1:36" ht="14.25" hidden="1" x14ac:dyDescent="0.2">
      <c r="A3822" t="s">
        <v>5049</v>
      </c>
      <c r="B3822" s="1">
        <v>46077</v>
      </c>
      <c r="C3822" t="s">
        <v>53</v>
      </c>
      <c r="D3822" t="s">
        <v>63</v>
      </c>
      <c r="E3822" t="s">
        <v>26</v>
      </c>
      <c r="F3822" t="s">
        <v>127</v>
      </c>
      <c r="G3822" t="s">
        <v>128</v>
      </c>
      <c r="H3822" t="s">
        <v>103</v>
      </c>
      <c r="I3822" t="s">
        <v>56</v>
      </c>
      <c r="J3822" t="s">
        <v>179</v>
      </c>
      <c r="K3822" t="s">
        <v>32</v>
      </c>
      <c r="L3822" t="s">
        <v>67</v>
      </c>
      <c r="M3822" t="s">
        <v>68</v>
      </c>
      <c r="N3822" t="s">
        <v>69</v>
      </c>
      <c r="O3822" t="s">
        <v>70</v>
      </c>
      <c r="P3822" t="s">
        <v>71</v>
      </c>
      <c r="Q3822" t="s">
        <v>118</v>
      </c>
      <c r="R3822">
        <v>239</v>
      </c>
      <c r="S3822">
        <v>119</v>
      </c>
      <c r="T3822">
        <v>78</v>
      </c>
      <c r="U3822">
        <v>29</v>
      </c>
      <c r="V3822" t="s">
        <v>6756</v>
      </c>
      <c r="W3822">
        <v>47249</v>
      </c>
      <c r="X3822" t="s">
        <v>7033</v>
      </c>
      <c r="Y3822">
        <v>36357</v>
      </c>
      <c r="Z3822">
        <v>1370221</v>
      </c>
      <c r="AA3822">
        <v>315868</v>
      </c>
      <c r="AB3822" t="str">
        <f>(VLOOKUP(SalesData[[#This Row],[Month Number]],Reference!C$5:E$16,2,FALSE))</f>
        <v>Feb</v>
      </c>
      <c r="AC3822">
        <f>MONTH(SalesData[[#This Row],[Date]])</f>
        <v>2</v>
      </c>
      <c r="AD3822">
        <f>Reference!F$4</f>
        <v>2026</v>
      </c>
      <c r="AE3822" t="str">
        <f>IF(OR(SalesData[[#This Row],[Day]]="Saturday",SalesData[[#This Row],[Day]]="Sunday"),"Weekend","Weekday")</f>
        <v>Weekday</v>
      </c>
      <c r="AF3822" s="5">
        <f>IF(SalesData[[#This Row],[Contracts Offered]]=0,0,SalesData[[#This Row],[Contracts Signed]]/SalesData[[#This Row],[Contracts Offered]])</f>
        <v>0.37179487179487181</v>
      </c>
      <c r="AG3822" s="5">
        <f>IF(SalesData[[#This Row],[Customers Visited]]=0,0,SalesData[[#This Row],[Test Drives]]/SalesData[[#This Row],[Customers Visited]])</f>
        <v>0.497907949790795</v>
      </c>
      <c r="AH3822" s="5">
        <f>IF(SalesData[[#This Row],[Customers Visited]]=0,0,SalesData[[#This Row],[Contracts Signed]]/SalesData[[#This Row],[Customers Visited]])</f>
        <v>0.12133891213389121</v>
      </c>
      <c r="AI3822" s="6">
        <f>IF(SalesData[[#This Row],[Contracts Signed]]=0,0,SalesData[[#This Row],[Profit(€)]]/SalesData[[#This Row],[Contracts Signed]])</f>
        <v>10892</v>
      </c>
      <c r="AJ3822" s="5" t="str">
        <f>TRIM(CLEAN(SalesData[[#This Row],[Retailer]]))</f>
        <v>Rhein Auto Group</v>
      </c>
    </row>
    <row r="3823" spans="1:36" ht="14.25" hidden="1" x14ac:dyDescent="0.2">
      <c r="A3823" t="s">
        <v>5050</v>
      </c>
      <c r="B3823" s="1">
        <v>46079</v>
      </c>
      <c r="C3823" t="s">
        <v>53</v>
      </c>
      <c r="D3823" t="s">
        <v>100</v>
      </c>
      <c r="E3823" t="s">
        <v>26</v>
      </c>
      <c r="F3823" t="s">
        <v>94</v>
      </c>
      <c r="G3823" t="s">
        <v>95</v>
      </c>
      <c r="H3823" t="s">
        <v>96</v>
      </c>
      <c r="I3823" t="s">
        <v>64</v>
      </c>
      <c r="J3823" t="s">
        <v>111</v>
      </c>
      <c r="K3823" t="s">
        <v>91</v>
      </c>
      <c r="L3823" t="s">
        <v>46</v>
      </c>
      <c r="M3823" t="s">
        <v>87</v>
      </c>
      <c r="N3823" t="s">
        <v>35</v>
      </c>
      <c r="O3823" t="s">
        <v>36</v>
      </c>
      <c r="P3823" t="s">
        <v>49</v>
      </c>
      <c r="Q3823" t="s">
        <v>129</v>
      </c>
      <c r="R3823">
        <v>236</v>
      </c>
      <c r="S3823">
        <v>109</v>
      </c>
      <c r="T3823">
        <v>82</v>
      </c>
      <c r="U3823">
        <v>27</v>
      </c>
      <c r="V3823" t="s">
        <v>6390</v>
      </c>
      <c r="W3823">
        <v>56764</v>
      </c>
      <c r="X3823" t="s">
        <v>2040</v>
      </c>
      <c r="Y3823">
        <v>43311</v>
      </c>
      <c r="Z3823">
        <v>1532628</v>
      </c>
      <c r="AA3823">
        <v>363231</v>
      </c>
      <c r="AB3823" t="str">
        <f>(VLOOKUP(SalesData[[#This Row],[Month Number]],Reference!C$5:E$16,2,FALSE))</f>
        <v>Feb</v>
      </c>
      <c r="AC3823">
        <f>MONTH(SalesData[[#This Row],[Date]])</f>
        <v>2</v>
      </c>
      <c r="AD3823">
        <f>Reference!F$4</f>
        <v>2026</v>
      </c>
      <c r="AE3823" t="str">
        <f>IF(OR(SalesData[[#This Row],[Day]]="Saturday",SalesData[[#This Row],[Day]]="Sunday"),"Weekend","Weekday")</f>
        <v>Weekday</v>
      </c>
      <c r="AF3823" s="5">
        <f>IF(SalesData[[#This Row],[Contracts Offered]]=0,0,SalesData[[#This Row],[Contracts Signed]]/SalesData[[#This Row],[Contracts Offered]])</f>
        <v>0.32926829268292684</v>
      </c>
      <c r="AG3823" s="5">
        <f>IF(SalesData[[#This Row],[Customers Visited]]=0,0,SalesData[[#This Row],[Test Drives]]/SalesData[[#This Row],[Customers Visited]])</f>
        <v>0.46186440677966101</v>
      </c>
      <c r="AH3823" s="5">
        <f>IF(SalesData[[#This Row],[Customers Visited]]=0,0,SalesData[[#This Row],[Contracts Signed]]/SalesData[[#This Row],[Customers Visited]])</f>
        <v>0.11440677966101695</v>
      </c>
      <c r="AI3823" s="6">
        <f>IF(SalesData[[#This Row],[Contracts Signed]]=0,0,SalesData[[#This Row],[Profit(€)]]/SalesData[[#This Row],[Contracts Signed]])</f>
        <v>13453</v>
      </c>
      <c r="AJ3823" s="5" t="str">
        <f>TRIM(CLEAN(SalesData[[#This Row],[Retailer]]))</f>
        <v>Bavaria Motors</v>
      </c>
    </row>
    <row r="3824" spans="1:36" ht="14.25" hidden="1" x14ac:dyDescent="0.2">
      <c r="A3824" t="s">
        <v>5051</v>
      </c>
      <c r="B3824" s="1">
        <v>46054</v>
      </c>
      <c r="C3824" t="s">
        <v>24</v>
      </c>
      <c r="D3824" t="s">
        <v>41</v>
      </c>
      <c r="E3824" t="s">
        <v>42</v>
      </c>
      <c r="F3824" t="s">
        <v>94</v>
      </c>
      <c r="G3824" t="s">
        <v>95</v>
      </c>
      <c r="H3824" t="s">
        <v>96</v>
      </c>
      <c r="I3824" t="s">
        <v>116</v>
      </c>
      <c r="J3824" t="s">
        <v>203</v>
      </c>
      <c r="K3824" t="s">
        <v>91</v>
      </c>
      <c r="L3824" t="s">
        <v>67</v>
      </c>
      <c r="M3824" t="s">
        <v>68</v>
      </c>
      <c r="N3824" t="s">
        <v>69</v>
      </c>
      <c r="O3824" t="s">
        <v>36</v>
      </c>
      <c r="P3824" t="s">
        <v>58</v>
      </c>
      <c r="Q3824" t="s">
        <v>118</v>
      </c>
      <c r="R3824">
        <v>311</v>
      </c>
      <c r="S3824">
        <v>141</v>
      </c>
      <c r="T3824">
        <v>92</v>
      </c>
      <c r="U3824">
        <v>29</v>
      </c>
      <c r="V3824" t="s">
        <v>6502</v>
      </c>
      <c r="W3824">
        <v>22617</v>
      </c>
      <c r="X3824" t="s">
        <v>1842</v>
      </c>
      <c r="Y3824">
        <v>20501</v>
      </c>
      <c r="Z3824">
        <v>655893</v>
      </c>
      <c r="AA3824">
        <v>61364</v>
      </c>
      <c r="AB3824" t="str">
        <f>(VLOOKUP(SalesData[[#This Row],[Month Number]],Reference!C$5:E$16,2,FALSE))</f>
        <v>Feb</v>
      </c>
      <c r="AC3824">
        <f>MONTH(SalesData[[#This Row],[Date]])</f>
        <v>2</v>
      </c>
      <c r="AD3824">
        <f>Reference!F$4</f>
        <v>2026</v>
      </c>
      <c r="AE3824" t="str">
        <f>IF(OR(SalesData[[#This Row],[Day]]="Saturday",SalesData[[#This Row],[Day]]="Sunday"),"Weekend","Weekday")</f>
        <v>Weekend</v>
      </c>
      <c r="AF3824" s="5">
        <f>IF(SalesData[[#This Row],[Contracts Offered]]=0,0,SalesData[[#This Row],[Contracts Signed]]/SalesData[[#This Row],[Contracts Offered]])</f>
        <v>0.31521739130434784</v>
      </c>
      <c r="AG3824" s="5">
        <f>IF(SalesData[[#This Row],[Customers Visited]]=0,0,SalesData[[#This Row],[Test Drives]]/SalesData[[#This Row],[Customers Visited]])</f>
        <v>0.45337620578778137</v>
      </c>
      <c r="AH3824" s="5">
        <f>IF(SalesData[[#This Row],[Customers Visited]]=0,0,SalesData[[#This Row],[Contracts Signed]]/SalesData[[#This Row],[Customers Visited]])</f>
        <v>9.3247588424437297E-2</v>
      </c>
      <c r="AI3824" s="6">
        <f>IF(SalesData[[#This Row],[Contracts Signed]]=0,0,SalesData[[#This Row],[Profit(€)]]/SalesData[[#This Row],[Contracts Signed]])</f>
        <v>2116</v>
      </c>
      <c r="AJ3824" s="5" t="str">
        <f>TRIM(CLEAN(SalesData[[#This Row],[Retailer]]))</f>
        <v>Bavaria Motors</v>
      </c>
    </row>
    <row r="3825" spans="1:36" ht="14.25" x14ac:dyDescent="0.2">
      <c r="A3825" t="s">
        <v>5052</v>
      </c>
      <c r="B3825" s="1">
        <v>46065</v>
      </c>
      <c r="C3825" t="s">
        <v>121</v>
      </c>
      <c r="D3825" t="s">
        <v>100</v>
      </c>
      <c r="E3825" t="s">
        <v>26</v>
      </c>
      <c r="F3825" t="s">
        <v>27</v>
      </c>
      <c r="G3825" t="s">
        <v>28</v>
      </c>
      <c r="H3825" t="s">
        <v>29</v>
      </c>
      <c r="I3825" t="s">
        <v>30</v>
      </c>
      <c r="J3825" t="s">
        <v>7075</v>
      </c>
      <c r="K3825" t="s">
        <v>32</v>
      </c>
      <c r="L3825" t="s">
        <v>33</v>
      </c>
      <c r="M3825" t="s">
        <v>87</v>
      </c>
      <c r="N3825" t="s">
        <v>48</v>
      </c>
      <c r="O3825" t="s">
        <v>70</v>
      </c>
      <c r="P3825" t="s">
        <v>58</v>
      </c>
      <c r="Q3825" t="s">
        <v>59</v>
      </c>
      <c r="R3825">
        <v>188</v>
      </c>
      <c r="S3825">
        <v>106</v>
      </c>
      <c r="T3825">
        <v>79</v>
      </c>
      <c r="U3825">
        <v>30</v>
      </c>
      <c r="V3825" t="s">
        <v>6760</v>
      </c>
      <c r="W3825">
        <v>59530</v>
      </c>
      <c r="X3825" t="s">
        <v>7030</v>
      </c>
      <c r="Y3825">
        <v>43658</v>
      </c>
      <c r="Z3825">
        <v>1785900</v>
      </c>
      <c r="AA3825">
        <v>476160</v>
      </c>
      <c r="AB3825" t="str">
        <f>(VLOOKUP(SalesData[[#This Row],[Month Number]],Reference!C$5:E$16,2,FALSE))</f>
        <v>Feb</v>
      </c>
      <c r="AC3825">
        <f>MONTH(SalesData[[#This Row],[Date]])</f>
        <v>2</v>
      </c>
      <c r="AD3825">
        <f>Reference!F$4</f>
        <v>2026</v>
      </c>
      <c r="AE3825" t="str">
        <f>IF(OR(SalesData[[#This Row],[Day]]="Saturday",SalesData[[#This Row],[Day]]="Sunday"),"Weekend","Weekday")</f>
        <v>Weekday</v>
      </c>
      <c r="AF3825" s="5">
        <f>IF(SalesData[[#This Row],[Contracts Offered]]=0,0,SalesData[[#This Row],[Contracts Signed]]/SalesData[[#This Row],[Contracts Offered]])</f>
        <v>0.379746835443038</v>
      </c>
      <c r="AG3825" s="5">
        <f>IF(SalesData[[#This Row],[Customers Visited]]=0,0,SalesData[[#This Row],[Test Drives]]/SalesData[[#This Row],[Customers Visited]])</f>
        <v>0.56382978723404253</v>
      </c>
      <c r="AH3825" s="5">
        <f>IF(SalesData[[#This Row],[Customers Visited]]=0,0,SalesData[[#This Row],[Contracts Signed]]/SalesData[[#This Row],[Customers Visited]])</f>
        <v>0.15957446808510639</v>
      </c>
      <c r="AI3825" s="6">
        <f>IF(SalesData[[#This Row],[Contracts Signed]]=0,0,SalesData[[#This Row],[Profit(€)]]/SalesData[[#This Row],[Contracts Signed]])</f>
        <v>15872</v>
      </c>
      <c r="AJ3825" s="5" t="str">
        <f>TRIM(CLEAN(SalesData[[#This Row],[Retailer]]))</f>
        <v>Main Auto Hub</v>
      </c>
    </row>
    <row r="3826" spans="1:36" ht="14.25" x14ac:dyDescent="0.2">
      <c r="A3826" t="s">
        <v>5053</v>
      </c>
      <c r="B3826" s="1">
        <v>46075</v>
      </c>
      <c r="C3826" t="s">
        <v>53</v>
      </c>
      <c r="D3826" t="s">
        <v>41</v>
      </c>
      <c r="E3826" t="s">
        <v>42</v>
      </c>
      <c r="F3826" t="s">
        <v>27</v>
      </c>
      <c r="G3826" t="s">
        <v>28</v>
      </c>
      <c r="H3826" t="s">
        <v>29</v>
      </c>
      <c r="I3826" t="s">
        <v>30</v>
      </c>
      <c r="J3826" t="s">
        <v>7075</v>
      </c>
      <c r="K3826" t="s">
        <v>91</v>
      </c>
      <c r="L3826" t="s">
        <v>33</v>
      </c>
      <c r="M3826" t="s">
        <v>68</v>
      </c>
      <c r="N3826" t="s">
        <v>69</v>
      </c>
      <c r="O3826" t="s">
        <v>70</v>
      </c>
      <c r="P3826" t="s">
        <v>58</v>
      </c>
      <c r="Q3826" t="s">
        <v>169</v>
      </c>
      <c r="R3826">
        <v>271</v>
      </c>
      <c r="S3826">
        <v>131</v>
      </c>
      <c r="T3826">
        <v>100</v>
      </c>
      <c r="U3826">
        <v>39</v>
      </c>
      <c r="V3826" t="s">
        <v>6794</v>
      </c>
      <c r="W3826">
        <v>61660</v>
      </c>
      <c r="X3826" t="s">
        <v>7567</v>
      </c>
      <c r="Y3826">
        <v>44827</v>
      </c>
      <c r="Z3826">
        <v>2404740</v>
      </c>
      <c r="AA3826">
        <v>656487</v>
      </c>
      <c r="AB3826" t="str">
        <f>(VLOOKUP(SalesData[[#This Row],[Month Number]],Reference!C$5:E$16,2,FALSE))</f>
        <v>Feb</v>
      </c>
      <c r="AC3826">
        <f>MONTH(SalesData[[#This Row],[Date]])</f>
        <v>2</v>
      </c>
      <c r="AD3826">
        <f>Reference!F$4</f>
        <v>2026</v>
      </c>
      <c r="AE3826" t="str">
        <f>IF(OR(SalesData[[#This Row],[Day]]="Saturday",SalesData[[#This Row],[Day]]="Sunday"),"Weekend","Weekday")</f>
        <v>Weekend</v>
      </c>
      <c r="AF3826" s="5">
        <f>IF(SalesData[[#This Row],[Contracts Offered]]=0,0,SalesData[[#This Row],[Contracts Signed]]/SalesData[[#This Row],[Contracts Offered]])</f>
        <v>0.39</v>
      </c>
      <c r="AG3826" s="5">
        <f>IF(SalesData[[#This Row],[Customers Visited]]=0,0,SalesData[[#This Row],[Test Drives]]/SalesData[[#This Row],[Customers Visited]])</f>
        <v>0.48339483394833949</v>
      </c>
      <c r="AH3826" s="5">
        <f>IF(SalesData[[#This Row],[Customers Visited]]=0,0,SalesData[[#This Row],[Contracts Signed]]/SalesData[[#This Row],[Customers Visited]])</f>
        <v>0.14391143911439114</v>
      </c>
      <c r="AI3826" s="6">
        <f>IF(SalesData[[#This Row],[Contracts Signed]]=0,0,SalesData[[#This Row],[Profit(€)]]/SalesData[[#This Row],[Contracts Signed]])</f>
        <v>16833</v>
      </c>
      <c r="AJ3826" s="5" t="str">
        <f>TRIM(CLEAN(SalesData[[#This Row],[Retailer]]))</f>
        <v>Main Auto Hub</v>
      </c>
    </row>
    <row r="3827" spans="1:36" ht="14.25" hidden="1" x14ac:dyDescent="0.2">
      <c r="A3827" t="s">
        <v>5054</v>
      </c>
      <c r="B3827" s="1">
        <v>46057</v>
      </c>
      <c r="C3827" t="s">
        <v>24</v>
      </c>
      <c r="D3827" t="s">
        <v>82</v>
      </c>
      <c r="E3827" t="s">
        <v>26</v>
      </c>
      <c r="F3827" t="s">
        <v>94</v>
      </c>
      <c r="G3827" t="s">
        <v>95</v>
      </c>
      <c r="H3827" t="s">
        <v>96</v>
      </c>
      <c r="I3827" t="s">
        <v>116</v>
      </c>
      <c r="J3827" t="s">
        <v>7090</v>
      </c>
      <c r="K3827" t="s">
        <v>32</v>
      </c>
      <c r="L3827" t="s">
        <v>46</v>
      </c>
      <c r="M3827" t="s">
        <v>87</v>
      </c>
      <c r="N3827" t="s">
        <v>48</v>
      </c>
      <c r="O3827" t="s">
        <v>70</v>
      </c>
      <c r="P3827" t="s">
        <v>37</v>
      </c>
      <c r="Q3827" t="s">
        <v>38</v>
      </c>
      <c r="R3827">
        <v>277</v>
      </c>
      <c r="S3827">
        <v>108</v>
      </c>
      <c r="T3827">
        <v>70</v>
      </c>
      <c r="U3827">
        <v>19</v>
      </c>
      <c r="V3827" t="s">
        <v>386</v>
      </c>
      <c r="W3827">
        <v>25668</v>
      </c>
      <c r="X3827" t="s">
        <v>3906</v>
      </c>
      <c r="Y3827">
        <v>23133</v>
      </c>
      <c r="Z3827">
        <v>487692</v>
      </c>
      <c r="AA3827">
        <v>48165</v>
      </c>
      <c r="AB3827" t="str">
        <f>(VLOOKUP(SalesData[[#This Row],[Month Number]],Reference!C$5:E$16,2,FALSE))</f>
        <v>Feb</v>
      </c>
      <c r="AC3827">
        <f>MONTH(SalesData[[#This Row],[Date]])</f>
        <v>2</v>
      </c>
      <c r="AD3827">
        <f>Reference!F$4</f>
        <v>2026</v>
      </c>
      <c r="AE3827" t="str">
        <f>IF(OR(SalesData[[#This Row],[Day]]="Saturday",SalesData[[#This Row],[Day]]="Sunday"),"Weekend","Weekday")</f>
        <v>Weekday</v>
      </c>
      <c r="AF3827" s="5">
        <f>IF(SalesData[[#This Row],[Contracts Offered]]=0,0,SalesData[[#This Row],[Contracts Signed]]/SalesData[[#This Row],[Contracts Offered]])</f>
        <v>0.27142857142857141</v>
      </c>
      <c r="AG3827" s="5">
        <f>IF(SalesData[[#This Row],[Customers Visited]]=0,0,SalesData[[#This Row],[Test Drives]]/SalesData[[#This Row],[Customers Visited]])</f>
        <v>0.38989169675090252</v>
      </c>
      <c r="AH3827" s="5">
        <f>IF(SalesData[[#This Row],[Customers Visited]]=0,0,SalesData[[#This Row],[Contracts Signed]]/SalesData[[#This Row],[Customers Visited]])</f>
        <v>6.8592057761732855E-2</v>
      </c>
      <c r="AI3827" s="6">
        <f>IF(SalesData[[#This Row],[Contracts Signed]]=0,0,SalesData[[#This Row],[Profit(€)]]/SalesData[[#This Row],[Contracts Signed]])</f>
        <v>2535</v>
      </c>
      <c r="AJ3827" s="5" t="str">
        <f>TRIM(CLEAN(SalesData[[#This Row],[Retailer]]))</f>
        <v>Bavaria Motors</v>
      </c>
    </row>
    <row r="3828" spans="1:36" ht="14.25" hidden="1" x14ac:dyDescent="0.2">
      <c r="A3828" t="s">
        <v>5055</v>
      </c>
      <c r="B3828" s="1">
        <v>46080</v>
      </c>
      <c r="C3828" t="s">
        <v>53</v>
      </c>
      <c r="D3828" t="s">
        <v>54</v>
      </c>
      <c r="E3828" t="s">
        <v>26</v>
      </c>
      <c r="F3828" t="s">
        <v>127</v>
      </c>
      <c r="G3828" t="s">
        <v>128</v>
      </c>
      <c r="H3828" t="s">
        <v>103</v>
      </c>
      <c r="I3828" t="s">
        <v>104</v>
      </c>
      <c r="J3828" t="s">
        <v>105</v>
      </c>
      <c r="K3828" t="s">
        <v>32</v>
      </c>
      <c r="L3828" t="s">
        <v>33</v>
      </c>
      <c r="M3828" t="s">
        <v>68</v>
      </c>
      <c r="N3828" t="s">
        <v>48</v>
      </c>
      <c r="O3828" t="s">
        <v>70</v>
      </c>
      <c r="P3828" t="s">
        <v>71</v>
      </c>
      <c r="Q3828" t="s">
        <v>169</v>
      </c>
      <c r="R3828">
        <v>430</v>
      </c>
      <c r="S3828">
        <v>192</v>
      </c>
      <c r="T3828">
        <v>118</v>
      </c>
      <c r="U3828">
        <v>28</v>
      </c>
      <c r="V3828" t="s">
        <v>661</v>
      </c>
      <c r="W3828">
        <v>26241</v>
      </c>
      <c r="X3828" t="s">
        <v>7419</v>
      </c>
      <c r="Y3828">
        <v>23309</v>
      </c>
      <c r="Z3828">
        <v>734748</v>
      </c>
      <c r="AA3828">
        <v>82096</v>
      </c>
      <c r="AB3828" t="str">
        <f>(VLOOKUP(SalesData[[#This Row],[Month Number]],Reference!C$5:E$16,2,FALSE))</f>
        <v>Feb</v>
      </c>
      <c r="AC3828">
        <f>MONTH(SalesData[[#This Row],[Date]])</f>
        <v>2</v>
      </c>
      <c r="AD3828">
        <f>Reference!F$4</f>
        <v>2026</v>
      </c>
      <c r="AE3828" t="str">
        <f>IF(OR(SalesData[[#This Row],[Day]]="Saturday",SalesData[[#This Row],[Day]]="Sunday"),"Weekend","Weekday")</f>
        <v>Weekday</v>
      </c>
      <c r="AF3828" s="5">
        <f>IF(SalesData[[#This Row],[Contracts Offered]]=0,0,SalesData[[#This Row],[Contracts Signed]]/SalesData[[#This Row],[Contracts Offered]])</f>
        <v>0.23728813559322035</v>
      </c>
      <c r="AG3828" s="5">
        <f>IF(SalesData[[#This Row],[Customers Visited]]=0,0,SalesData[[#This Row],[Test Drives]]/SalesData[[#This Row],[Customers Visited]])</f>
        <v>0.44651162790697674</v>
      </c>
      <c r="AH3828" s="5">
        <f>IF(SalesData[[#This Row],[Customers Visited]]=0,0,SalesData[[#This Row],[Contracts Signed]]/SalesData[[#This Row],[Customers Visited]])</f>
        <v>6.5116279069767441E-2</v>
      </c>
      <c r="AI3828" s="6">
        <f>IF(SalesData[[#This Row],[Contracts Signed]]=0,0,SalesData[[#This Row],[Profit(€)]]/SalesData[[#This Row],[Contracts Signed]])</f>
        <v>2932</v>
      </c>
      <c r="AJ3828" s="5" t="str">
        <f>TRIM(CLEAN(SalesData[[#This Row],[Retailer]]))</f>
        <v>Rhein Auto Group</v>
      </c>
    </row>
    <row r="3829" spans="1:36" ht="14.25" x14ac:dyDescent="0.2">
      <c r="A3829" t="s">
        <v>5057</v>
      </c>
      <c r="B3829" s="1">
        <v>46056</v>
      </c>
      <c r="C3829" t="s">
        <v>24</v>
      </c>
      <c r="D3829" t="s">
        <v>63</v>
      </c>
      <c r="E3829" t="s">
        <v>26</v>
      </c>
      <c r="F3829" t="s">
        <v>74</v>
      </c>
      <c r="G3829" t="s">
        <v>75</v>
      </c>
      <c r="H3829" t="s">
        <v>76</v>
      </c>
      <c r="I3829" t="s">
        <v>30</v>
      </c>
      <c r="J3829" t="s">
        <v>7075</v>
      </c>
      <c r="K3829" t="s">
        <v>78</v>
      </c>
      <c r="L3829" t="s">
        <v>33</v>
      </c>
      <c r="M3829" t="s">
        <v>87</v>
      </c>
      <c r="N3829" t="s">
        <v>48</v>
      </c>
      <c r="O3829" t="s">
        <v>36</v>
      </c>
      <c r="P3829" t="s">
        <v>37</v>
      </c>
      <c r="Q3829" t="s">
        <v>135</v>
      </c>
      <c r="R3829">
        <v>159</v>
      </c>
      <c r="S3829">
        <v>91</v>
      </c>
      <c r="T3829">
        <v>65</v>
      </c>
      <c r="U3829">
        <v>23</v>
      </c>
      <c r="V3829" t="s">
        <v>6448</v>
      </c>
      <c r="W3829">
        <v>64319</v>
      </c>
      <c r="X3829" t="s">
        <v>7080</v>
      </c>
      <c r="Y3829">
        <v>47999</v>
      </c>
      <c r="Z3829">
        <v>1479337</v>
      </c>
      <c r="AA3829">
        <v>375360</v>
      </c>
      <c r="AB3829" t="str">
        <f>(VLOOKUP(SalesData[[#This Row],[Month Number]],Reference!C$5:E$16,2,FALSE))</f>
        <v>Feb</v>
      </c>
      <c r="AC3829">
        <f>MONTH(SalesData[[#This Row],[Date]])</f>
        <v>2</v>
      </c>
      <c r="AD3829">
        <f>Reference!F$4</f>
        <v>2026</v>
      </c>
      <c r="AE3829" t="str">
        <f>IF(OR(SalesData[[#This Row],[Day]]="Saturday",SalesData[[#This Row],[Day]]="Sunday"),"Weekend","Weekday")</f>
        <v>Weekday</v>
      </c>
      <c r="AF3829" s="5">
        <f>IF(SalesData[[#This Row],[Contracts Offered]]=0,0,SalesData[[#This Row],[Contracts Signed]]/SalesData[[#This Row],[Contracts Offered]])</f>
        <v>0.35384615384615387</v>
      </c>
      <c r="AG3829" s="5">
        <f>IF(SalesData[[#This Row],[Customers Visited]]=0,0,SalesData[[#This Row],[Test Drives]]/SalesData[[#This Row],[Customers Visited]])</f>
        <v>0.57232704402515722</v>
      </c>
      <c r="AH3829" s="5">
        <f>IF(SalesData[[#This Row],[Customers Visited]]=0,0,SalesData[[#This Row],[Contracts Signed]]/SalesData[[#This Row],[Customers Visited]])</f>
        <v>0.14465408805031446</v>
      </c>
      <c r="AI3829" s="6">
        <f>IF(SalesData[[#This Row],[Contracts Signed]]=0,0,SalesData[[#This Row],[Profit(€)]]/SalesData[[#This Row],[Contracts Signed]])</f>
        <v>16320</v>
      </c>
      <c r="AJ3829" s="5" t="str">
        <f>TRIM(CLEAN(SalesData[[#This Row],[Retailer]]))</f>
        <v>Stuttgart Auto Center</v>
      </c>
    </row>
    <row r="3830" spans="1:36" ht="14.25" x14ac:dyDescent="0.2">
      <c r="A3830" t="s">
        <v>5058</v>
      </c>
      <c r="B3830" s="1">
        <v>46081</v>
      </c>
      <c r="C3830" t="s">
        <v>53</v>
      </c>
      <c r="D3830" t="s">
        <v>151</v>
      </c>
      <c r="E3830" t="s">
        <v>42</v>
      </c>
      <c r="F3830" t="s">
        <v>7649</v>
      </c>
      <c r="G3830" t="s">
        <v>55</v>
      </c>
      <c r="H3830" t="s">
        <v>55</v>
      </c>
      <c r="I3830" t="s">
        <v>30</v>
      </c>
      <c r="J3830" t="s">
        <v>31</v>
      </c>
      <c r="K3830" t="s">
        <v>66</v>
      </c>
      <c r="L3830" t="s">
        <v>46</v>
      </c>
      <c r="M3830" t="s">
        <v>34</v>
      </c>
      <c r="N3830" t="s">
        <v>35</v>
      </c>
      <c r="O3830" t="s">
        <v>36</v>
      </c>
      <c r="P3830" t="s">
        <v>58</v>
      </c>
      <c r="Q3830" t="s">
        <v>106</v>
      </c>
      <c r="R3830">
        <v>171</v>
      </c>
      <c r="S3830">
        <v>87</v>
      </c>
      <c r="T3830">
        <v>63</v>
      </c>
      <c r="U3830">
        <v>29</v>
      </c>
      <c r="V3830" t="s">
        <v>7206</v>
      </c>
      <c r="W3830">
        <v>65454</v>
      </c>
      <c r="X3830" t="s">
        <v>7038</v>
      </c>
      <c r="Y3830">
        <v>46849</v>
      </c>
      <c r="Z3830">
        <v>1898166</v>
      </c>
      <c r="AA3830">
        <v>539545</v>
      </c>
      <c r="AB3830" t="str">
        <f>(VLOOKUP(SalesData[[#This Row],[Month Number]],Reference!C$5:E$16,2,FALSE))</f>
        <v>Feb</v>
      </c>
      <c r="AC3830">
        <f>MONTH(SalesData[[#This Row],[Date]])</f>
        <v>2</v>
      </c>
      <c r="AD3830">
        <f>Reference!F$4</f>
        <v>2026</v>
      </c>
      <c r="AE3830" t="str">
        <f>IF(OR(SalesData[[#This Row],[Day]]="Saturday",SalesData[[#This Row],[Day]]="Sunday"),"Weekend","Weekday")</f>
        <v>Weekend</v>
      </c>
      <c r="AF3830" s="5">
        <f>IF(SalesData[[#This Row],[Contracts Offered]]=0,0,SalesData[[#This Row],[Contracts Signed]]/SalesData[[#This Row],[Contracts Offered]])</f>
        <v>0.46031746031746029</v>
      </c>
      <c r="AG3830" s="5">
        <f>IF(SalesData[[#This Row],[Customers Visited]]=0,0,SalesData[[#This Row],[Test Drives]]/SalesData[[#This Row],[Customers Visited]])</f>
        <v>0.50877192982456143</v>
      </c>
      <c r="AH3830" s="5">
        <f>IF(SalesData[[#This Row],[Customers Visited]]=0,0,SalesData[[#This Row],[Contracts Signed]]/SalesData[[#This Row],[Customers Visited]])</f>
        <v>0.16959064327485379</v>
      </c>
      <c r="AI3830" s="6">
        <f>IF(SalesData[[#This Row],[Contracts Signed]]=0,0,SalesData[[#This Row],[Profit(€)]]/SalesData[[#This Row],[Contracts Signed]])</f>
        <v>18605</v>
      </c>
      <c r="AJ3830" s="5" t="str">
        <f>TRIM(CLEAN(SalesData[[#This Row],[Retailer]]))</f>
        <v>Autohaus Berlin</v>
      </c>
    </row>
    <row r="3831" spans="1:36" ht="14.25" hidden="1" x14ac:dyDescent="0.2">
      <c r="A3831" t="s">
        <v>5059</v>
      </c>
      <c r="B3831" s="1">
        <v>46068</v>
      </c>
      <c r="C3831" t="s">
        <v>62</v>
      </c>
      <c r="D3831" t="s">
        <v>41</v>
      </c>
      <c r="E3831" t="s">
        <v>42</v>
      </c>
      <c r="F3831" t="s">
        <v>83</v>
      </c>
      <c r="G3831" t="s">
        <v>84</v>
      </c>
      <c r="H3831" t="s">
        <v>85</v>
      </c>
      <c r="I3831" t="s">
        <v>56</v>
      </c>
      <c r="J3831" t="s">
        <v>57</v>
      </c>
      <c r="K3831" t="s">
        <v>32</v>
      </c>
      <c r="L3831" t="s">
        <v>46</v>
      </c>
      <c r="M3831" t="s">
        <v>34</v>
      </c>
      <c r="N3831" t="s">
        <v>69</v>
      </c>
      <c r="O3831" t="s">
        <v>70</v>
      </c>
      <c r="P3831" t="s">
        <v>71</v>
      </c>
      <c r="Q3831" t="s">
        <v>347</v>
      </c>
      <c r="R3831">
        <v>226</v>
      </c>
      <c r="S3831">
        <v>127</v>
      </c>
      <c r="T3831">
        <v>83</v>
      </c>
      <c r="U3831">
        <v>30</v>
      </c>
      <c r="V3831" t="s">
        <v>6466</v>
      </c>
      <c r="W3831">
        <v>52843</v>
      </c>
      <c r="X3831" t="s">
        <v>7476</v>
      </c>
      <c r="Y3831">
        <v>43184</v>
      </c>
      <c r="Z3831">
        <v>1585290</v>
      </c>
      <c r="AA3831">
        <v>289770</v>
      </c>
      <c r="AB3831" t="str">
        <f>(VLOOKUP(SalesData[[#This Row],[Month Number]],Reference!C$5:E$16,2,FALSE))</f>
        <v>Feb</v>
      </c>
      <c r="AC3831">
        <f>MONTH(SalesData[[#This Row],[Date]])</f>
        <v>2</v>
      </c>
      <c r="AD3831">
        <f>Reference!F$4</f>
        <v>2026</v>
      </c>
      <c r="AE3831" t="str">
        <f>IF(OR(SalesData[[#This Row],[Day]]="Saturday",SalesData[[#This Row],[Day]]="Sunday"),"Weekend","Weekday")</f>
        <v>Weekend</v>
      </c>
      <c r="AF3831" s="5">
        <f>IF(SalesData[[#This Row],[Contracts Offered]]=0,0,SalesData[[#This Row],[Contracts Signed]]/SalesData[[#This Row],[Contracts Offered]])</f>
        <v>0.36144578313253012</v>
      </c>
      <c r="AG3831" s="5">
        <f>IF(SalesData[[#This Row],[Customers Visited]]=0,0,SalesData[[#This Row],[Test Drives]]/SalesData[[#This Row],[Customers Visited]])</f>
        <v>0.56194690265486724</v>
      </c>
      <c r="AH3831" s="5">
        <f>IF(SalesData[[#This Row],[Customers Visited]]=0,0,SalesData[[#This Row],[Contracts Signed]]/SalesData[[#This Row],[Customers Visited]])</f>
        <v>0.13274336283185842</v>
      </c>
      <c r="AI3831" s="6">
        <f>IF(SalesData[[#This Row],[Contracts Signed]]=0,0,SalesData[[#This Row],[Profit(€)]]/SalesData[[#This Row],[Contracts Signed]])</f>
        <v>9659</v>
      </c>
      <c r="AJ3831" s="5" t="str">
        <f>TRIM(CLEAN(SalesData[[#This Row],[Retailer]]))</f>
        <v>Hannover Cars</v>
      </c>
    </row>
    <row r="3832" spans="1:36" ht="14.25" hidden="1" x14ac:dyDescent="0.2">
      <c r="A3832" t="s">
        <v>5060</v>
      </c>
      <c r="B3832" s="1">
        <v>46060</v>
      </c>
      <c r="C3832" t="s">
        <v>24</v>
      </c>
      <c r="D3832" t="s">
        <v>151</v>
      </c>
      <c r="E3832" t="s">
        <v>42</v>
      </c>
      <c r="F3832" t="s">
        <v>7649</v>
      </c>
      <c r="G3832" t="s">
        <v>55</v>
      </c>
      <c r="H3832" t="s">
        <v>55</v>
      </c>
      <c r="I3832" t="s">
        <v>56</v>
      </c>
      <c r="J3832" t="s">
        <v>137</v>
      </c>
      <c r="K3832" t="s">
        <v>32</v>
      </c>
      <c r="L3832" t="s">
        <v>46</v>
      </c>
      <c r="M3832" t="s">
        <v>47</v>
      </c>
      <c r="N3832" t="s">
        <v>35</v>
      </c>
      <c r="O3832" t="s">
        <v>70</v>
      </c>
      <c r="P3832" t="s">
        <v>58</v>
      </c>
      <c r="Q3832" t="s">
        <v>106</v>
      </c>
      <c r="R3832">
        <v>243</v>
      </c>
      <c r="S3832">
        <v>129</v>
      </c>
      <c r="T3832">
        <v>98</v>
      </c>
      <c r="U3832">
        <v>34</v>
      </c>
      <c r="V3832" t="s">
        <v>6522</v>
      </c>
      <c r="W3832">
        <v>48227</v>
      </c>
      <c r="X3832" t="s">
        <v>7420</v>
      </c>
      <c r="Y3832">
        <v>39490</v>
      </c>
      <c r="Z3832">
        <v>1639718</v>
      </c>
      <c r="AA3832">
        <v>297058</v>
      </c>
      <c r="AB3832" t="str">
        <f>(VLOOKUP(SalesData[[#This Row],[Month Number]],Reference!C$5:E$16,2,FALSE))</f>
        <v>Feb</v>
      </c>
      <c r="AC3832">
        <f>MONTH(SalesData[[#This Row],[Date]])</f>
        <v>2</v>
      </c>
      <c r="AD3832">
        <f>Reference!F$4</f>
        <v>2026</v>
      </c>
      <c r="AE3832" t="str">
        <f>IF(OR(SalesData[[#This Row],[Day]]="Saturday",SalesData[[#This Row],[Day]]="Sunday"),"Weekend","Weekday")</f>
        <v>Weekend</v>
      </c>
      <c r="AF3832" s="5">
        <f>IF(SalesData[[#This Row],[Contracts Offered]]=0,0,SalesData[[#This Row],[Contracts Signed]]/SalesData[[#This Row],[Contracts Offered]])</f>
        <v>0.34693877551020408</v>
      </c>
      <c r="AG3832" s="5">
        <f>IF(SalesData[[#This Row],[Customers Visited]]=0,0,SalesData[[#This Row],[Test Drives]]/SalesData[[#This Row],[Customers Visited]])</f>
        <v>0.53086419753086422</v>
      </c>
      <c r="AH3832" s="5">
        <f>IF(SalesData[[#This Row],[Customers Visited]]=0,0,SalesData[[#This Row],[Contracts Signed]]/SalesData[[#This Row],[Customers Visited]])</f>
        <v>0.13991769547325103</v>
      </c>
      <c r="AI3832" s="6">
        <f>IF(SalesData[[#This Row],[Contracts Signed]]=0,0,SalesData[[#This Row],[Profit(€)]]/SalesData[[#This Row],[Contracts Signed]])</f>
        <v>8737</v>
      </c>
      <c r="AJ3832" s="5" t="str">
        <f>TRIM(CLEAN(SalesData[[#This Row],[Retailer]]))</f>
        <v>Autohaus Berlin</v>
      </c>
    </row>
    <row r="3833" spans="1:36" ht="14.25" hidden="1" x14ac:dyDescent="0.2">
      <c r="A3833" t="s">
        <v>5061</v>
      </c>
      <c r="B3833" s="1">
        <v>46059</v>
      </c>
      <c r="C3833" t="s">
        <v>24</v>
      </c>
      <c r="D3833" t="s">
        <v>54</v>
      </c>
      <c r="E3833" t="s">
        <v>26</v>
      </c>
      <c r="F3833" t="s">
        <v>7649</v>
      </c>
      <c r="G3833" t="s">
        <v>55</v>
      </c>
      <c r="H3833" t="s">
        <v>55</v>
      </c>
      <c r="I3833" t="s">
        <v>56</v>
      </c>
      <c r="J3833" t="s">
        <v>7028</v>
      </c>
      <c r="K3833" t="s">
        <v>78</v>
      </c>
      <c r="L3833" t="s">
        <v>46</v>
      </c>
      <c r="M3833" t="s">
        <v>34</v>
      </c>
      <c r="N3833" t="s">
        <v>69</v>
      </c>
      <c r="O3833" t="s">
        <v>36</v>
      </c>
      <c r="P3833" t="s">
        <v>71</v>
      </c>
      <c r="Q3833" t="s">
        <v>167</v>
      </c>
      <c r="R3833">
        <v>220</v>
      </c>
      <c r="S3833">
        <v>129</v>
      </c>
      <c r="T3833">
        <v>96</v>
      </c>
      <c r="U3833">
        <v>35</v>
      </c>
      <c r="V3833" t="s">
        <v>6947</v>
      </c>
      <c r="W3833">
        <v>42074</v>
      </c>
      <c r="X3833" t="s">
        <v>7079</v>
      </c>
      <c r="Y3833">
        <v>31747</v>
      </c>
      <c r="Z3833">
        <v>1472590</v>
      </c>
      <c r="AA3833">
        <v>361445</v>
      </c>
      <c r="AB3833" t="str">
        <f>(VLOOKUP(SalesData[[#This Row],[Month Number]],Reference!C$5:E$16,2,FALSE))</f>
        <v>Feb</v>
      </c>
      <c r="AC3833">
        <f>MONTH(SalesData[[#This Row],[Date]])</f>
        <v>2</v>
      </c>
      <c r="AD3833">
        <f>Reference!F$4</f>
        <v>2026</v>
      </c>
      <c r="AE3833" t="str">
        <f>IF(OR(SalesData[[#This Row],[Day]]="Saturday",SalesData[[#This Row],[Day]]="Sunday"),"Weekend","Weekday")</f>
        <v>Weekday</v>
      </c>
      <c r="AF3833" s="5">
        <f>IF(SalesData[[#This Row],[Contracts Offered]]=0,0,SalesData[[#This Row],[Contracts Signed]]/SalesData[[#This Row],[Contracts Offered]])</f>
        <v>0.36458333333333331</v>
      </c>
      <c r="AG3833" s="5">
        <f>IF(SalesData[[#This Row],[Customers Visited]]=0,0,SalesData[[#This Row],[Test Drives]]/SalesData[[#This Row],[Customers Visited]])</f>
        <v>0.58636363636363631</v>
      </c>
      <c r="AH3833" s="5">
        <f>IF(SalesData[[#This Row],[Customers Visited]]=0,0,SalesData[[#This Row],[Contracts Signed]]/SalesData[[#This Row],[Customers Visited]])</f>
        <v>0.15909090909090909</v>
      </c>
      <c r="AI3833" s="6">
        <f>IF(SalesData[[#This Row],[Contracts Signed]]=0,0,SalesData[[#This Row],[Profit(€)]]/SalesData[[#This Row],[Contracts Signed]])</f>
        <v>10327</v>
      </c>
      <c r="AJ3833" s="5" t="str">
        <f>TRIM(CLEAN(SalesData[[#This Row],[Retailer]]))</f>
        <v>Autohaus Berlin</v>
      </c>
    </row>
    <row r="3834" spans="1:36" ht="14.25" hidden="1" x14ac:dyDescent="0.2">
      <c r="A3834" t="s">
        <v>5062</v>
      </c>
      <c r="B3834" s="1">
        <v>46070</v>
      </c>
      <c r="C3834" t="s">
        <v>62</v>
      </c>
      <c r="D3834" t="s">
        <v>63</v>
      </c>
      <c r="E3834" t="s">
        <v>26</v>
      </c>
      <c r="F3834" t="s">
        <v>114</v>
      </c>
      <c r="G3834" t="s">
        <v>115</v>
      </c>
      <c r="H3834" t="s">
        <v>115</v>
      </c>
      <c r="I3834" t="s">
        <v>64</v>
      </c>
      <c r="J3834" t="s">
        <v>111</v>
      </c>
      <c r="K3834" t="s">
        <v>78</v>
      </c>
      <c r="L3834" t="s">
        <v>46</v>
      </c>
      <c r="M3834" t="s">
        <v>87</v>
      </c>
      <c r="N3834" t="s">
        <v>35</v>
      </c>
      <c r="O3834" t="s">
        <v>70</v>
      </c>
      <c r="P3834" t="s">
        <v>58</v>
      </c>
      <c r="Q3834" t="s">
        <v>152</v>
      </c>
      <c r="R3834">
        <v>222</v>
      </c>
      <c r="S3834">
        <v>124</v>
      </c>
      <c r="T3834">
        <v>89</v>
      </c>
      <c r="U3834">
        <v>37</v>
      </c>
      <c r="V3834" t="s">
        <v>6906</v>
      </c>
      <c r="W3834">
        <v>70022</v>
      </c>
      <c r="X3834" t="s">
        <v>2061</v>
      </c>
      <c r="Y3834">
        <v>55146</v>
      </c>
      <c r="Z3834">
        <v>2590814</v>
      </c>
      <c r="AA3834">
        <v>550412</v>
      </c>
      <c r="AB3834" t="str">
        <f>(VLOOKUP(SalesData[[#This Row],[Month Number]],Reference!C$5:E$16,2,FALSE))</f>
        <v>Feb</v>
      </c>
      <c r="AC3834">
        <f>MONTH(SalesData[[#This Row],[Date]])</f>
        <v>2</v>
      </c>
      <c r="AD3834">
        <f>Reference!F$4</f>
        <v>2026</v>
      </c>
      <c r="AE3834" t="str">
        <f>IF(OR(SalesData[[#This Row],[Day]]="Saturday",SalesData[[#This Row],[Day]]="Sunday"),"Weekend","Weekday")</f>
        <v>Weekday</v>
      </c>
      <c r="AF3834" s="5">
        <f>IF(SalesData[[#This Row],[Contracts Offered]]=0,0,SalesData[[#This Row],[Contracts Signed]]/SalesData[[#This Row],[Contracts Offered]])</f>
        <v>0.4157303370786517</v>
      </c>
      <c r="AG3834" s="5">
        <f>IF(SalesData[[#This Row],[Customers Visited]]=0,0,SalesData[[#This Row],[Test Drives]]/SalesData[[#This Row],[Customers Visited]])</f>
        <v>0.55855855855855852</v>
      </c>
      <c r="AH3834" s="5">
        <f>IF(SalesData[[#This Row],[Customers Visited]]=0,0,SalesData[[#This Row],[Contracts Signed]]/SalesData[[#This Row],[Customers Visited]])</f>
        <v>0.16666666666666666</v>
      </c>
      <c r="AI3834" s="6">
        <f>IF(SalesData[[#This Row],[Contracts Signed]]=0,0,SalesData[[#This Row],[Profit(€)]]/SalesData[[#This Row],[Contracts Signed]])</f>
        <v>14876</v>
      </c>
      <c r="AJ3834" s="5" t="str">
        <f>TRIM(CLEAN(SalesData[[#This Row],[Retailer]]))</f>
        <v>Elbe Drive</v>
      </c>
    </row>
    <row r="3835" spans="1:36" ht="14.25" hidden="1" x14ac:dyDescent="0.2">
      <c r="A3835" t="s">
        <v>5063</v>
      </c>
      <c r="B3835" s="1">
        <v>46070</v>
      </c>
      <c r="C3835" t="s">
        <v>62</v>
      </c>
      <c r="D3835" t="s">
        <v>63</v>
      </c>
      <c r="E3835" t="s">
        <v>26</v>
      </c>
      <c r="F3835" t="s">
        <v>94</v>
      </c>
      <c r="G3835" t="s">
        <v>95</v>
      </c>
      <c r="H3835" t="s">
        <v>96</v>
      </c>
      <c r="I3835" t="s">
        <v>64</v>
      </c>
      <c r="J3835" t="s">
        <v>111</v>
      </c>
      <c r="K3835" t="s">
        <v>32</v>
      </c>
      <c r="L3835" t="s">
        <v>46</v>
      </c>
      <c r="M3835" t="s">
        <v>87</v>
      </c>
      <c r="N3835" t="s">
        <v>69</v>
      </c>
      <c r="O3835" t="s">
        <v>70</v>
      </c>
      <c r="P3835" t="s">
        <v>37</v>
      </c>
      <c r="Q3835" t="s">
        <v>135</v>
      </c>
      <c r="R3835">
        <v>271</v>
      </c>
      <c r="S3835">
        <v>139</v>
      </c>
      <c r="T3835">
        <v>102</v>
      </c>
      <c r="U3835">
        <v>35</v>
      </c>
      <c r="V3835" t="s">
        <v>6722</v>
      </c>
      <c r="W3835">
        <v>53948</v>
      </c>
      <c r="X3835" t="s">
        <v>7398</v>
      </c>
      <c r="Y3835">
        <v>39958</v>
      </c>
      <c r="Z3835">
        <v>1888180</v>
      </c>
      <c r="AA3835">
        <v>489650</v>
      </c>
      <c r="AB3835" t="str">
        <f>(VLOOKUP(SalesData[[#This Row],[Month Number]],Reference!C$5:E$16,2,FALSE))</f>
        <v>Feb</v>
      </c>
      <c r="AC3835">
        <f>MONTH(SalesData[[#This Row],[Date]])</f>
        <v>2</v>
      </c>
      <c r="AD3835">
        <f>Reference!F$4</f>
        <v>2026</v>
      </c>
      <c r="AE3835" t="str">
        <f>IF(OR(SalesData[[#This Row],[Day]]="Saturday",SalesData[[#This Row],[Day]]="Sunday"),"Weekend","Weekday")</f>
        <v>Weekday</v>
      </c>
      <c r="AF3835" s="5">
        <f>IF(SalesData[[#This Row],[Contracts Offered]]=0,0,SalesData[[#This Row],[Contracts Signed]]/SalesData[[#This Row],[Contracts Offered]])</f>
        <v>0.34313725490196079</v>
      </c>
      <c r="AG3835" s="5">
        <f>IF(SalesData[[#This Row],[Customers Visited]]=0,0,SalesData[[#This Row],[Test Drives]]/SalesData[[#This Row],[Customers Visited]])</f>
        <v>0.51291512915129156</v>
      </c>
      <c r="AH3835" s="5">
        <f>IF(SalesData[[#This Row],[Customers Visited]]=0,0,SalesData[[#This Row],[Contracts Signed]]/SalesData[[#This Row],[Customers Visited]])</f>
        <v>0.12915129151291513</v>
      </c>
      <c r="AI3835" s="6">
        <f>IF(SalesData[[#This Row],[Contracts Signed]]=0,0,SalesData[[#This Row],[Profit(€)]]/SalesData[[#This Row],[Contracts Signed]])</f>
        <v>13990</v>
      </c>
      <c r="AJ3835" s="5" t="str">
        <f>TRIM(CLEAN(SalesData[[#This Row],[Retailer]]))</f>
        <v>Bavaria Motors</v>
      </c>
    </row>
    <row r="3836" spans="1:36" ht="14.25" hidden="1" x14ac:dyDescent="0.2">
      <c r="A3836" t="s">
        <v>5064</v>
      </c>
      <c r="B3836" s="1">
        <v>46064</v>
      </c>
      <c r="C3836" t="s">
        <v>121</v>
      </c>
      <c r="D3836" t="s">
        <v>82</v>
      </c>
      <c r="E3836" t="s">
        <v>26</v>
      </c>
      <c r="F3836" t="s">
        <v>114</v>
      </c>
      <c r="G3836" t="s">
        <v>115</v>
      </c>
      <c r="H3836" t="s">
        <v>115</v>
      </c>
      <c r="I3836" t="s">
        <v>64</v>
      </c>
      <c r="J3836" t="s">
        <v>65</v>
      </c>
      <c r="K3836" t="s">
        <v>91</v>
      </c>
      <c r="L3836" t="s">
        <v>33</v>
      </c>
      <c r="M3836" t="s">
        <v>68</v>
      </c>
      <c r="N3836" t="s">
        <v>35</v>
      </c>
      <c r="O3836" t="s">
        <v>36</v>
      </c>
      <c r="P3836" t="s">
        <v>49</v>
      </c>
      <c r="Q3836" t="s">
        <v>79</v>
      </c>
      <c r="R3836">
        <v>235</v>
      </c>
      <c r="S3836">
        <v>124</v>
      </c>
      <c r="T3836">
        <v>90</v>
      </c>
      <c r="U3836">
        <v>28</v>
      </c>
      <c r="V3836" t="s">
        <v>6364</v>
      </c>
      <c r="W3836">
        <v>66392</v>
      </c>
      <c r="X3836" t="s">
        <v>7067</v>
      </c>
      <c r="Y3836">
        <v>51772</v>
      </c>
      <c r="Z3836">
        <v>1858976</v>
      </c>
      <c r="AA3836">
        <v>409360</v>
      </c>
      <c r="AB3836" t="str">
        <f>(VLOOKUP(SalesData[[#This Row],[Month Number]],Reference!C$5:E$16,2,FALSE))</f>
        <v>Feb</v>
      </c>
      <c r="AC3836">
        <f>MONTH(SalesData[[#This Row],[Date]])</f>
        <v>2</v>
      </c>
      <c r="AD3836">
        <f>Reference!F$4</f>
        <v>2026</v>
      </c>
      <c r="AE3836" t="str">
        <f>IF(OR(SalesData[[#This Row],[Day]]="Saturday",SalesData[[#This Row],[Day]]="Sunday"),"Weekend","Weekday")</f>
        <v>Weekday</v>
      </c>
      <c r="AF3836" s="5">
        <f>IF(SalesData[[#This Row],[Contracts Offered]]=0,0,SalesData[[#This Row],[Contracts Signed]]/SalesData[[#This Row],[Contracts Offered]])</f>
        <v>0.31111111111111112</v>
      </c>
      <c r="AG3836" s="5">
        <f>IF(SalesData[[#This Row],[Customers Visited]]=0,0,SalesData[[#This Row],[Test Drives]]/SalesData[[#This Row],[Customers Visited]])</f>
        <v>0.52765957446808509</v>
      </c>
      <c r="AH3836" s="5">
        <f>IF(SalesData[[#This Row],[Customers Visited]]=0,0,SalesData[[#This Row],[Contracts Signed]]/SalesData[[#This Row],[Customers Visited]])</f>
        <v>0.11914893617021277</v>
      </c>
      <c r="AI3836" s="6">
        <f>IF(SalesData[[#This Row],[Contracts Signed]]=0,0,SalesData[[#This Row],[Profit(€)]]/SalesData[[#This Row],[Contracts Signed]])</f>
        <v>14620</v>
      </c>
      <c r="AJ3836" s="5" t="str">
        <f>TRIM(CLEAN(SalesData[[#This Row],[Retailer]]))</f>
        <v>Elbe Drive</v>
      </c>
    </row>
    <row r="3837" spans="1:36" ht="14.25" hidden="1" x14ac:dyDescent="0.2">
      <c r="A3837" t="s">
        <v>5066</v>
      </c>
      <c r="B3837" s="1">
        <v>46072</v>
      </c>
      <c r="C3837" t="s">
        <v>62</v>
      </c>
      <c r="D3837" t="s">
        <v>100</v>
      </c>
      <c r="E3837" t="s">
        <v>26</v>
      </c>
      <c r="F3837" t="s">
        <v>27</v>
      </c>
      <c r="G3837" t="s">
        <v>28</v>
      </c>
      <c r="H3837" t="s">
        <v>29</v>
      </c>
      <c r="I3837" t="s">
        <v>104</v>
      </c>
      <c r="J3837" t="s">
        <v>7061</v>
      </c>
      <c r="K3837" t="s">
        <v>91</v>
      </c>
      <c r="L3837" t="s">
        <v>46</v>
      </c>
      <c r="M3837" t="s">
        <v>34</v>
      </c>
      <c r="N3837" t="s">
        <v>35</v>
      </c>
      <c r="O3837" t="s">
        <v>36</v>
      </c>
      <c r="P3837" t="s">
        <v>49</v>
      </c>
      <c r="Q3837" t="s">
        <v>38</v>
      </c>
      <c r="R3837">
        <v>489</v>
      </c>
      <c r="S3837">
        <v>236</v>
      </c>
      <c r="T3837">
        <v>167</v>
      </c>
      <c r="U3837">
        <v>39</v>
      </c>
      <c r="V3837" t="s">
        <v>4349</v>
      </c>
      <c r="W3837">
        <v>33756</v>
      </c>
      <c r="X3837" t="s">
        <v>3370</v>
      </c>
      <c r="Y3837">
        <v>29482</v>
      </c>
      <c r="Z3837">
        <v>1316484</v>
      </c>
      <c r="AA3837">
        <v>166686</v>
      </c>
      <c r="AB3837" t="str">
        <f>(VLOOKUP(SalesData[[#This Row],[Month Number]],Reference!C$5:E$16,2,FALSE))</f>
        <v>Feb</v>
      </c>
      <c r="AC3837">
        <f>MONTH(SalesData[[#This Row],[Date]])</f>
        <v>2</v>
      </c>
      <c r="AD3837">
        <f>Reference!F$4</f>
        <v>2026</v>
      </c>
      <c r="AE3837" t="str">
        <f>IF(OR(SalesData[[#This Row],[Day]]="Saturday",SalesData[[#This Row],[Day]]="Sunday"),"Weekend","Weekday")</f>
        <v>Weekday</v>
      </c>
      <c r="AF3837" s="5">
        <f>IF(SalesData[[#This Row],[Contracts Offered]]=0,0,SalesData[[#This Row],[Contracts Signed]]/SalesData[[#This Row],[Contracts Offered]])</f>
        <v>0.23353293413173654</v>
      </c>
      <c r="AG3837" s="5">
        <f>IF(SalesData[[#This Row],[Customers Visited]]=0,0,SalesData[[#This Row],[Test Drives]]/SalesData[[#This Row],[Customers Visited]])</f>
        <v>0.48261758691206547</v>
      </c>
      <c r="AH3837" s="5">
        <f>IF(SalesData[[#This Row],[Customers Visited]]=0,0,SalesData[[#This Row],[Contracts Signed]]/SalesData[[#This Row],[Customers Visited]])</f>
        <v>7.9754601226993863E-2</v>
      </c>
      <c r="AI3837" s="6">
        <f>IF(SalesData[[#This Row],[Contracts Signed]]=0,0,SalesData[[#This Row],[Profit(€)]]/SalesData[[#This Row],[Contracts Signed]])</f>
        <v>4274</v>
      </c>
      <c r="AJ3837" s="5" t="str">
        <f>TRIM(CLEAN(SalesData[[#This Row],[Retailer]]))</f>
        <v>Main Auto Hub</v>
      </c>
    </row>
    <row r="3838" spans="1:36" ht="14.25" x14ac:dyDescent="0.2">
      <c r="A3838" t="s">
        <v>5067</v>
      </c>
      <c r="B3838" s="1">
        <v>46080</v>
      </c>
      <c r="C3838" t="s">
        <v>53</v>
      </c>
      <c r="D3838" t="s">
        <v>54</v>
      </c>
      <c r="E3838" t="s">
        <v>26</v>
      </c>
      <c r="F3838" t="s">
        <v>109</v>
      </c>
      <c r="G3838" t="s">
        <v>110</v>
      </c>
      <c r="H3838" t="s">
        <v>45</v>
      </c>
      <c r="I3838" t="s">
        <v>30</v>
      </c>
      <c r="J3838" t="s">
        <v>7075</v>
      </c>
      <c r="K3838" t="s">
        <v>66</v>
      </c>
      <c r="L3838" t="s">
        <v>33</v>
      </c>
      <c r="M3838" t="s">
        <v>34</v>
      </c>
      <c r="N3838" t="s">
        <v>69</v>
      </c>
      <c r="O3838" t="s">
        <v>36</v>
      </c>
      <c r="P3838" t="s">
        <v>71</v>
      </c>
      <c r="Q3838" t="s">
        <v>118</v>
      </c>
      <c r="R3838">
        <v>261</v>
      </c>
      <c r="S3838">
        <v>143</v>
      </c>
      <c r="T3838">
        <v>114</v>
      </c>
      <c r="U3838">
        <v>42</v>
      </c>
      <c r="V3838" t="s">
        <v>6938</v>
      </c>
      <c r="W3838">
        <v>49070</v>
      </c>
      <c r="X3838" t="s">
        <v>80</v>
      </c>
      <c r="Y3838">
        <v>38205</v>
      </c>
      <c r="Z3838">
        <v>2060940</v>
      </c>
      <c r="AA3838">
        <v>456330</v>
      </c>
      <c r="AB3838" t="str">
        <f>(VLOOKUP(SalesData[[#This Row],[Month Number]],Reference!C$5:E$16,2,FALSE))</f>
        <v>Feb</v>
      </c>
      <c r="AC3838">
        <f>MONTH(SalesData[[#This Row],[Date]])</f>
        <v>2</v>
      </c>
      <c r="AD3838">
        <f>Reference!F$4</f>
        <v>2026</v>
      </c>
      <c r="AE3838" t="str">
        <f>IF(OR(SalesData[[#This Row],[Day]]="Saturday",SalesData[[#This Row],[Day]]="Sunday"),"Weekend","Weekday")</f>
        <v>Weekday</v>
      </c>
      <c r="AF3838" s="5">
        <f>IF(SalesData[[#This Row],[Contracts Offered]]=0,0,SalesData[[#This Row],[Contracts Signed]]/SalesData[[#This Row],[Contracts Offered]])</f>
        <v>0.36842105263157893</v>
      </c>
      <c r="AG3838" s="5">
        <f>IF(SalesData[[#This Row],[Customers Visited]]=0,0,SalesData[[#This Row],[Test Drives]]/SalesData[[#This Row],[Customers Visited]])</f>
        <v>0.54789272030651337</v>
      </c>
      <c r="AH3838" s="5">
        <f>IF(SalesData[[#This Row],[Customers Visited]]=0,0,SalesData[[#This Row],[Contracts Signed]]/SalesData[[#This Row],[Customers Visited]])</f>
        <v>0.16091954022988506</v>
      </c>
      <c r="AI3838" s="6">
        <f>IF(SalesData[[#This Row],[Contracts Signed]]=0,0,SalesData[[#This Row],[Profit(€)]]/SalesData[[#This Row],[Contracts Signed]])</f>
        <v>10865</v>
      </c>
      <c r="AJ3838" s="5" t="str">
        <f>TRIM(CLEAN(SalesData[[#This Row],[Retailer]]))</f>
        <v>Leipzig Mobility</v>
      </c>
    </row>
    <row r="3839" spans="1:36" ht="14.25" hidden="1" x14ac:dyDescent="0.2">
      <c r="A3839" t="s">
        <v>5068</v>
      </c>
      <c r="B3839" s="1">
        <v>46066</v>
      </c>
      <c r="C3839" t="s">
        <v>121</v>
      </c>
      <c r="D3839" t="s">
        <v>54</v>
      </c>
      <c r="E3839" t="s">
        <v>26</v>
      </c>
      <c r="F3839" t="s">
        <v>43</v>
      </c>
      <c r="G3839" t="s">
        <v>44</v>
      </c>
      <c r="H3839" t="s">
        <v>45</v>
      </c>
      <c r="I3839" t="s">
        <v>116</v>
      </c>
      <c r="J3839" t="s">
        <v>7090</v>
      </c>
      <c r="K3839" t="s">
        <v>66</v>
      </c>
      <c r="L3839" t="s">
        <v>46</v>
      </c>
      <c r="M3839" t="s">
        <v>47</v>
      </c>
      <c r="N3839" t="s">
        <v>35</v>
      </c>
      <c r="O3839" t="s">
        <v>36</v>
      </c>
      <c r="P3839" t="s">
        <v>49</v>
      </c>
      <c r="Q3839" t="s">
        <v>38</v>
      </c>
      <c r="R3839">
        <v>371</v>
      </c>
      <c r="S3839">
        <v>149</v>
      </c>
      <c r="T3839">
        <v>98</v>
      </c>
      <c r="U3839">
        <v>21</v>
      </c>
      <c r="V3839" t="s">
        <v>60</v>
      </c>
      <c r="W3839">
        <v>20774</v>
      </c>
      <c r="X3839" t="s">
        <v>2925</v>
      </c>
      <c r="Y3839">
        <v>19053</v>
      </c>
      <c r="Z3839">
        <v>436254</v>
      </c>
      <c r="AA3839">
        <v>36141</v>
      </c>
      <c r="AB3839" t="str">
        <f>(VLOOKUP(SalesData[[#This Row],[Month Number]],Reference!C$5:E$16,2,FALSE))</f>
        <v>Feb</v>
      </c>
      <c r="AC3839">
        <f>MONTH(SalesData[[#This Row],[Date]])</f>
        <v>2</v>
      </c>
      <c r="AD3839">
        <f>Reference!F$4</f>
        <v>2026</v>
      </c>
      <c r="AE3839" t="str">
        <f>IF(OR(SalesData[[#This Row],[Day]]="Saturday",SalesData[[#This Row],[Day]]="Sunday"),"Weekend","Weekday")</f>
        <v>Weekday</v>
      </c>
      <c r="AF3839" s="5">
        <f>IF(SalesData[[#This Row],[Contracts Offered]]=0,0,SalesData[[#This Row],[Contracts Signed]]/SalesData[[#This Row],[Contracts Offered]])</f>
        <v>0.21428571428571427</v>
      </c>
      <c r="AG3839" s="5">
        <f>IF(SalesData[[#This Row],[Customers Visited]]=0,0,SalesData[[#This Row],[Test Drives]]/SalesData[[#This Row],[Customers Visited]])</f>
        <v>0.40161725067385445</v>
      </c>
      <c r="AH3839" s="5">
        <f>IF(SalesData[[#This Row],[Customers Visited]]=0,0,SalesData[[#This Row],[Contracts Signed]]/SalesData[[#This Row],[Customers Visited]])</f>
        <v>5.6603773584905662E-2</v>
      </c>
      <c r="AI3839" s="6">
        <f>IF(SalesData[[#This Row],[Contracts Signed]]=0,0,SalesData[[#This Row],[Profit(€)]]/SalesData[[#This Row],[Contracts Signed]])</f>
        <v>1721</v>
      </c>
      <c r="AJ3839" s="5" t="str">
        <f>TRIM(CLEAN(SalesData[[#This Row],[Retailer]]))</f>
        <v>Saxon Wheels</v>
      </c>
    </row>
    <row r="3840" spans="1:36" ht="14.25" hidden="1" x14ac:dyDescent="0.2">
      <c r="A3840" t="s">
        <v>5069</v>
      </c>
      <c r="B3840" s="1">
        <v>46068</v>
      </c>
      <c r="C3840" t="s">
        <v>62</v>
      </c>
      <c r="D3840" t="s">
        <v>41</v>
      </c>
      <c r="E3840" t="s">
        <v>42</v>
      </c>
      <c r="F3840" t="s">
        <v>43</v>
      </c>
      <c r="G3840" t="s">
        <v>44</v>
      </c>
      <c r="H3840" t="s">
        <v>45</v>
      </c>
      <c r="I3840" t="s">
        <v>56</v>
      </c>
      <c r="J3840" t="s">
        <v>179</v>
      </c>
      <c r="K3840" t="s">
        <v>66</v>
      </c>
      <c r="L3840" t="s">
        <v>67</v>
      </c>
      <c r="M3840" t="s">
        <v>47</v>
      </c>
      <c r="N3840" t="s">
        <v>69</v>
      </c>
      <c r="O3840" t="s">
        <v>36</v>
      </c>
      <c r="P3840" t="s">
        <v>49</v>
      </c>
      <c r="Q3840" t="s">
        <v>122</v>
      </c>
      <c r="R3840">
        <v>161</v>
      </c>
      <c r="S3840">
        <v>90</v>
      </c>
      <c r="T3840">
        <v>64</v>
      </c>
      <c r="U3840">
        <v>16</v>
      </c>
      <c r="V3840" t="s">
        <v>716</v>
      </c>
      <c r="W3840">
        <v>44161</v>
      </c>
      <c r="X3840" t="s">
        <v>7126</v>
      </c>
      <c r="Y3840">
        <v>35711</v>
      </c>
      <c r="Z3840">
        <v>706576</v>
      </c>
      <c r="AA3840">
        <v>135200</v>
      </c>
      <c r="AB3840" t="str">
        <f>(VLOOKUP(SalesData[[#This Row],[Month Number]],Reference!C$5:E$16,2,FALSE))</f>
        <v>Feb</v>
      </c>
      <c r="AC3840">
        <f>MONTH(SalesData[[#This Row],[Date]])</f>
        <v>2</v>
      </c>
      <c r="AD3840">
        <f>Reference!F$4</f>
        <v>2026</v>
      </c>
      <c r="AE3840" t="str">
        <f>IF(OR(SalesData[[#This Row],[Day]]="Saturday",SalesData[[#This Row],[Day]]="Sunday"),"Weekend","Weekday")</f>
        <v>Weekend</v>
      </c>
      <c r="AF3840" s="5">
        <f>IF(SalesData[[#This Row],[Contracts Offered]]=0,0,SalesData[[#This Row],[Contracts Signed]]/SalesData[[#This Row],[Contracts Offered]])</f>
        <v>0.25</v>
      </c>
      <c r="AG3840" s="5">
        <f>IF(SalesData[[#This Row],[Customers Visited]]=0,0,SalesData[[#This Row],[Test Drives]]/SalesData[[#This Row],[Customers Visited]])</f>
        <v>0.55900621118012417</v>
      </c>
      <c r="AH3840" s="5">
        <f>IF(SalesData[[#This Row],[Customers Visited]]=0,0,SalesData[[#This Row],[Contracts Signed]]/SalesData[[#This Row],[Customers Visited]])</f>
        <v>9.9378881987577633E-2</v>
      </c>
      <c r="AI3840" s="6">
        <f>IF(SalesData[[#This Row],[Contracts Signed]]=0,0,SalesData[[#This Row],[Profit(€)]]/SalesData[[#This Row],[Contracts Signed]])</f>
        <v>8450</v>
      </c>
      <c r="AJ3840" s="5" t="str">
        <f>TRIM(CLEAN(SalesData[[#This Row],[Retailer]]))</f>
        <v>Saxon Wheels</v>
      </c>
    </row>
    <row r="3841" spans="1:36" ht="14.25" x14ac:dyDescent="0.2">
      <c r="A3841" t="s">
        <v>5070</v>
      </c>
      <c r="B3841" s="1">
        <v>46077</v>
      </c>
      <c r="C3841" t="s">
        <v>53</v>
      </c>
      <c r="D3841" t="s">
        <v>63</v>
      </c>
      <c r="E3841" t="s">
        <v>26</v>
      </c>
      <c r="F3841" t="s">
        <v>94</v>
      </c>
      <c r="G3841" t="s">
        <v>95</v>
      </c>
      <c r="H3841" t="s">
        <v>96</v>
      </c>
      <c r="I3841" t="s">
        <v>30</v>
      </c>
      <c r="J3841" t="s">
        <v>7075</v>
      </c>
      <c r="K3841" t="s">
        <v>78</v>
      </c>
      <c r="L3841" t="s">
        <v>33</v>
      </c>
      <c r="M3841" t="s">
        <v>34</v>
      </c>
      <c r="N3841" t="s">
        <v>35</v>
      </c>
      <c r="O3841" t="s">
        <v>36</v>
      </c>
      <c r="P3841" t="s">
        <v>37</v>
      </c>
      <c r="Q3841" t="s">
        <v>158</v>
      </c>
      <c r="R3841">
        <v>159</v>
      </c>
      <c r="S3841">
        <v>91</v>
      </c>
      <c r="T3841">
        <v>74</v>
      </c>
      <c r="U3841">
        <v>28</v>
      </c>
      <c r="V3841" t="s">
        <v>7429</v>
      </c>
      <c r="W3841">
        <v>56504</v>
      </c>
      <c r="X3841" t="s">
        <v>7266</v>
      </c>
      <c r="Y3841">
        <v>41849</v>
      </c>
      <c r="Z3841">
        <v>1582112</v>
      </c>
      <c r="AA3841">
        <v>410340</v>
      </c>
      <c r="AB3841" t="str">
        <f>(VLOOKUP(SalesData[[#This Row],[Month Number]],Reference!C$5:E$16,2,FALSE))</f>
        <v>Feb</v>
      </c>
      <c r="AC3841">
        <f>MONTH(SalesData[[#This Row],[Date]])</f>
        <v>2</v>
      </c>
      <c r="AD3841">
        <f>Reference!F$4</f>
        <v>2026</v>
      </c>
      <c r="AE3841" t="str">
        <f>IF(OR(SalesData[[#This Row],[Day]]="Saturday",SalesData[[#This Row],[Day]]="Sunday"),"Weekend","Weekday")</f>
        <v>Weekday</v>
      </c>
      <c r="AF3841" s="5">
        <f>IF(SalesData[[#This Row],[Contracts Offered]]=0,0,SalesData[[#This Row],[Contracts Signed]]/SalesData[[#This Row],[Contracts Offered]])</f>
        <v>0.3783783783783784</v>
      </c>
      <c r="AG3841" s="5">
        <f>IF(SalesData[[#This Row],[Customers Visited]]=0,0,SalesData[[#This Row],[Test Drives]]/SalesData[[#This Row],[Customers Visited]])</f>
        <v>0.57232704402515722</v>
      </c>
      <c r="AH3841" s="5">
        <f>IF(SalesData[[#This Row],[Customers Visited]]=0,0,SalesData[[#This Row],[Contracts Signed]]/SalesData[[#This Row],[Customers Visited]])</f>
        <v>0.1761006289308176</v>
      </c>
      <c r="AI3841" s="6">
        <f>IF(SalesData[[#This Row],[Contracts Signed]]=0,0,SalesData[[#This Row],[Profit(€)]]/SalesData[[#This Row],[Contracts Signed]])</f>
        <v>14655</v>
      </c>
      <c r="AJ3841" s="5" t="str">
        <f>TRIM(CLEAN(SalesData[[#This Row],[Retailer]]))</f>
        <v>Bavaria Motors</v>
      </c>
    </row>
    <row r="3842" spans="1:36" ht="14.25" hidden="1" x14ac:dyDescent="0.2">
      <c r="A3842" t="s">
        <v>5071</v>
      </c>
      <c r="B3842" s="1">
        <v>46056</v>
      </c>
      <c r="C3842" t="s">
        <v>24</v>
      </c>
      <c r="D3842" t="s">
        <v>63</v>
      </c>
      <c r="E3842" t="s">
        <v>26</v>
      </c>
      <c r="F3842" t="s">
        <v>43</v>
      </c>
      <c r="G3842" t="s">
        <v>44</v>
      </c>
      <c r="H3842" t="s">
        <v>45</v>
      </c>
      <c r="I3842" t="s">
        <v>56</v>
      </c>
      <c r="J3842" t="s">
        <v>7028</v>
      </c>
      <c r="K3842" t="s">
        <v>32</v>
      </c>
      <c r="L3842" t="s">
        <v>46</v>
      </c>
      <c r="M3842" t="s">
        <v>34</v>
      </c>
      <c r="N3842" t="s">
        <v>69</v>
      </c>
      <c r="O3842" t="s">
        <v>36</v>
      </c>
      <c r="P3842" t="s">
        <v>37</v>
      </c>
      <c r="Q3842" t="s">
        <v>144</v>
      </c>
      <c r="R3842">
        <v>181</v>
      </c>
      <c r="S3842">
        <v>106</v>
      </c>
      <c r="T3842">
        <v>73</v>
      </c>
      <c r="U3842">
        <v>24</v>
      </c>
      <c r="V3842" t="s">
        <v>6564</v>
      </c>
      <c r="W3842">
        <v>41028</v>
      </c>
      <c r="X3842" t="s">
        <v>7109</v>
      </c>
      <c r="Y3842">
        <v>32317</v>
      </c>
      <c r="Z3842">
        <v>984672</v>
      </c>
      <c r="AA3842">
        <v>209064</v>
      </c>
      <c r="AB3842" t="str">
        <f>(VLOOKUP(SalesData[[#This Row],[Month Number]],Reference!C$5:E$16,2,FALSE))</f>
        <v>Feb</v>
      </c>
      <c r="AC3842">
        <f>MONTH(SalesData[[#This Row],[Date]])</f>
        <v>2</v>
      </c>
      <c r="AD3842">
        <f>Reference!F$4</f>
        <v>2026</v>
      </c>
      <c r="AE3842" t="str">
        <f>IF(OR(SalesData[[#This Row],[Day]]="Saturday",SalesData[[#This Row],[Day]]="Sunday"),"Weekend","Weekday")</f>
        <v>Weekday</v>
      </c>
      <c r="AF3842" s="5">
        <f>IF(SalesData[[#This Row],[Contracts Offered]]=0,0,SalesData[[#This Row],[Contracts Signed]]/SalesData[[#This Row],[Contracts Offered]])</f>
        <v>0.32876712328767121</v>
      </c>
      <c r="AG3842" s="5">
        <f>IF(SalesData[[#This Row],[Customers Visited]]=0,0,SalesData[[#This Row],[Test Drives]]/SalesData[[#This Row],[Customers Visited]])</f>
        <v>0.58563535911602205</v>
      </c>
      <c r="AH3842" s="5">
        <f>IF(SalesData[[#This Row],[Customers Visited]]=0,0,SalesData[[#This Row],[Contracts Signed]]/SalesData[[#This Row],[Customers Visited]])</f>
        <v>0.13259668508287292</v>
      </c>
      <c r="AI3842" s="6">
        <f>IF(SalesData[[#This Row],[Contracts Signed]]=0,0,SalesData[[#This Row],[Profit(€)]]/SalesData[[#This Row],[Contracts Signed]])</f>
        <v>8711</v>
      </c>
      <c r="AJ3842" s="5" t="str">
        <f>TRIM(CLEAN(SalesData[[#This Row],[Retailer]]))</f>
        <v>Saxon Wheels</v>
      </c>
    </row>
    <row r="3843" spans="1:36" ht="14.25" hidden="1" x14ac:dyDescent="0.2">
      <c r="A3843" t="s">
        <v>5072</v>
      </c>
      <c r="B3843" s="1">
        <v>46068</v>
      </c>
      <c r="C3843" t="s">
        <v>62</v>
      </c>
      <c r="D3843" t="s">
        <v>41</v>
      </c>
      <c r="E3843" t="s">
        <v>42</v>
      </c>
      <c r="F3843" t="s">
        <v>7649</v>
      </c>
      <c r="G3843" t="s">
        <v>55</v>
      </c>
      <c r="H3843" t="s">
        <v>55</v>
      </c>
      <c r="I3843" t="s">
        <v>104</v>
      </c>
      <c r="J3843" t="s">
        <v>7031</v>
      </c>
      <c r="K3843" t="s">
        <v>66</v>
      </c>
      <c r="L3843" t="s">
        <v>46</v>
      </c>
      <c r="M3843" t="s">
        <v>68</v>
      </c>
      <c r="N3843" t="s">
        <v>69</v>
      </c>
      <c r="O3843" t="s">
        <v>36</v>
      </c>
      <c r="P3843" t="s">
        <v>71</v>
      </c>
      <c r="Q3843" t="s">
        <v>204</v>
      </c>
      <c r="R3843">
        <v>364</v>
      </c>
      <c r="S3843">
        <v>179</v>
      </c>
      <c r="T3843">
        <v>128</v>
      </c>
      <c r="U3843">
        <v>32</v>
      </c>
      <c r="V3843" t="s">
        <v>2232</v>
      </c>
      <c r="W3843">
        <v>34719</v>
      </c>
      <c r="X3843" t="s">
        <v>423</v>
      </c>
      <c r="Y3843">
        <v>31290</v>
      </c>
      <c r="Z3843">
        <v>1111008</v>
      </c>
      <c r="AA3843">
        <v>109728</v>
      </c>
      <c r="AB3843" t="str">
        <f>(VLOOKUP(SalesData[[#This Row],[Month Number]],Reference!C$5:E$16,2,FALSE))</f>
        <v>Feb</v>
      </c>
      <c r="AC3843">
        <f>MONTH(SalesData[[#This Row],[Date]])</f>
        <v>2</v>
      </c>
      <c r="AD3843">
        <f>Reference!F$4</f>
        <v>2026</v>
      </c>
      <c r="AE3843" t="str">
        <f>IF(OR(SalesData[[#This Row],[Day]]="Saturday",SalesData[[#This Row],[Day]]="Sunday"),"Weekend","Weekday")</f>
        <v>Weekend</v>
      </c>
      <c r="AF3843" s="5">
        <f>IF(SalesData[[#This Row],[Contracts Offered]]=0,0,SalesData[[#This Row],[Contracts Signed]]/SalesData[[#This Row],[Contracts Offered]])</f>
        <v>0.25</v>
      </c>
      <c r="AG3843" s="5">
        <f>IF(SalesData[[#This Row],[Customers Visited]]=0,0,SalesData[[#This Row],[Test Drives]]/SalesData[[#This Row],[Customers Visited]])</f>
        <v>0.49175824175824173</v>
      </c>
      <c r="AH3843" s="5">
        <f>IF(SalesData[[#This Row],[Customers Visited]]=0,0,SalesData[[#This Row],[Contracts Signed]]/SalesData[[#This Row],[Customers Visited]])</f>
        <v>8.7912087912087919E-2</v>
      </c>
      <c r="AI3843" s="6">
        <f>IF(SalesData[[#This Row],[Contracts Signed]]=0,0,SalesData[[#This Row],[Profit(€)]]/SalesData[[#This Row],[Contracts Signed]])</f>
        <v>3429</v>
      </c>
      <c r="AJ3843" s="5" t="str">
        <f>TRIM(CLEAN(SalesData[[#This Row],[Retailer]]))</f>
        <v>Autohaus Berlin</v>
      </c>
    </row>
    <row r="3844" spans="1:36" ht="14.25" hidden="1" x14ac:dyDescent="0.2">
      <c r="A3844" t="s">
        <v>5073</v>
      </c>
      <c r="B3844" s="1">
        <v>46072</v>
      </c>
      <c r="C3844" t="s">
        <v>62</v>
      </c>
      <c r="D3844" t="s">
        <v>100</v>
      </c>
      <c r="E3844" t="s">
        <v>26</v>
      </c>
      <c r="F3844" t="s">
        <v>101</v>
      </c>
      <c r="G3844" t="s">
        <v>102</v>
      </c>
      <c r="H3844" t="s">
        <v>103</v>
      </c>
      <c r="I3844" t="s">
        <v>116</v>
      </c>
      <c r="J3844" t="s">
        <v>203</v>
      </c>
      <c r="K3844" t="s">
        <v>32</v>
      </c>
      <c r="L3844" t="s">
        <v>67</v>
      </c>
      <c r="M3844" t="s">
        <v>68</v>
      </c>
      <c r="N3844" t="s">
        <v>69</v>
      </c>
      <c r="O3844" t="s">
        <v>70</v>
      </c>
      <c r="P3844" t="s">
        <v>58</v>
      </c>
      <c r="Q3844" t="s">
        <v>158</v>
      </c>
      <c r="R3844">
        <v>384</v>
      </c>
      <c r="S3844">
        <v>213</v>
      </c>
      <c r="T3844">
        <v>138</v>
      </c>
      <c r="U3844">
        <v>41</v>
      </c>
      <c r="V3844" t="s">
        <v>1657</v>
      </c>
      <c r="W3844">
        <v>23522</v>
      </c>
      <c r="X3844" t="s">
        <v>683</v>
      </c>
      <c r="Y3844">
        <v>21022</v>
      </c>
      <c r="Z3844">
        <v>964402</v>
      </c>
      <c r="AA3844">
        <v>102500</v>
      </c>
      <c r="AB3844" t="str">
        <f>(VLOOKUP(SalesData[[#This Row],[Month Number]],Reference!C$5:E$16,2,FALSE))</f>
        <v>Feb</v>
      </c>
      <c r="AC3844">
        <f>MONTH(SalesData[[#This Row],[Date]])</f>
        <v>2</v>
      </c>
      <c r="AD3844">
        <f>Reference!F$4</f>
        <v>2026</v>
      </c>
      <c r="AE3844" t="str">
        <f>IF(OR(SalesData[[#This Row],[Day]]="Saturday",SalesData[[#This Row],[Day]]="Sunday"),"Weekend","Weekday")</f>
        <v>Weekday</v>
      </c>
      <c r="AF3844" s="5">
        <f>IF(SalesData[[#This Row],[Contracts Offered]]=0,0,SalesData[[#This Row],[Contracts Signed]]/SalesData[[#This Row],[Contracts Offered]])</f>
        <v>0.29710144927536231</v>
      </c>
      <c r="AG3844" s="5">
        <f>IF(SalesData[[#This Row],[Customers Visited]]=0,0,SalesData[[#This Row],[Test Drives]]/SalesData[[#This Row],[Customers Visited]])</f>
        <v>0.5546875</v>
      </c>
      <c r="AH3844" s="5">
        <f>IF(SalesData[[#This Row],[Customers Visited]]=0,0,SalesData[[#This Row],[Contracts Signed]]/SalesData[[#This Row],[Customers Visited]])</f>
        <v>0.10677083333333333</v>
      </c>
      <c r="AI3844" s="6">
        <f>IF(SalesData[[#This Row],[Contracts Signed]]=0,0,SalesData[[#This Row],[Profit(€)]]/SalesData[[#This Row],[Contracts Signed]])</f>
        <v>2500</v>
      </c>
      <c r="AJ3844" s="5" t="str">
        <f>TRIM(CLEAN(SalesData[[#This Row],[Retailer]]))</f>
        <v>Ruhr Auto Plaza</v>
      </c>
    </row>
    <row r="3845" spans="1:36" ht="14.25" hidden="1" x14ac:dyDescent="0.2">
      <c r="A3845" t="s">
        <v>5074</v>
      </c>
      <c r="B3845" s="1">
        <v>46069</v>
      </c>
      <c r="C3845" t="s">
        <v>62</v>
      </c>
      <c r="D3845" t="s">
        <v>25</v>
      </c>
      <c r="E3845" t="s">
        <v>26</v>
      </c>
      <c r="F3845" t="s">
        <v>114</v>
      </c>
      <c r="G3845" t="s">
        <v>115</v>
      </c>
      <c r="H3845" t="s">
        <v>115</v>
      </c>
      <c r="I3845" t="s">
        <v>116</v>
      </c>
      <c r="J3845" t="s">
        <v>7090</v>
      </c>
      <c r="K3845" t="s">
        <v>78</v>
      </c>
      <c r="L3845" t="s">
        <v>46</v>
      </c>
      <c r="M3845" t="s">
        <v>87</v>
      </c>
      <c r="N3845" t="s">
        <v>35</v>
      </c>
      <c r="O3845" t="s">
        <v>36</v>
      </c>
      <c r="P3845" t="s">
        <v>37</v>
      </c>
      <c r="Q3845" t="s">
        <v>135</v>
      </c>
      <c r="R3845">
        <v>249</v>
      </c>
      <c r="S3845">
        <v>119</v>
      </c>
      <c r="T3845">
        <v>69</v>
      </c>
      <c r="U3845">
        <v>20</v>
      </c>
      <c r="V3845" t="s">
        <v>632</v>
      </c>
      <c r="W3845">
        <v>21410</v>
      </c>
      <c r="X3845" t="s">
        <v>7379</v>
      </c>
      <c r="Y3845">
        <v>19379</v>
      </c>
      <c r="Z3845">
        <v>428200</v>
      </c>
      <c r="AA3845">
        <v>40620</v>
      </c>
      <c r="AB3845" t="str">
        <f>(VLOOKUP(SalesData[[#This Row],[Month Number]],Reference!C$5:E$16,2,FALSE))</f>
        <v>Feb</v>
      </c>
      <c r="AC3845">
        <f>MONTH(SalesData[[#This Row],[Date]])</f>
        <v>2</v>
      </c>
      <c r="AD3845">
        <f>Reference!F$4</f>
        <v>2026</v>
      </c>
      <c r="AE3845" t="str">
        <f>IF(OR(SalesData[[#This Row],[Day]]="Saturday",SalesData[[#This Row],[Day]]="Sunday"),"Weekend","Weekday")</f>
        <v>Weekday</v>
      </c>
      <c r="AF3845" s="5">
        <f>IF(SalesData[[#This Row],[Contracts Offered]]=0,0,SalesData[[#This Row],[Contracts Signed]]/SalesData[[#This Row],[Contracts Offered]])</f>
        <v>0.28985507246376813</v>
      </c>
      <c r="AG3845" s="5">
        <f>IF(SalesData[[#This Row],[Customers Visited]]=0,0,SalesData[[#This Row],[Test Drives]]/SalesData[[#This Row],[Customers Visited]])</f>
        <v>0.47791164658634538</v>
      </c>
      <c r="AH3845" s="5">
        <f>IF(SalesData[[#This Row],[Customers Visited]]=0,0,SalesData[[#This Row],[Contracts Signed]]/SalesData[[#This Row],[Customers Visited]])</f>
        <v>8.0321285140562249E-2</v>
      </c>
      <c r="AI3845" s="6">
        <f>IF(SalesData[[#This Row],[Contracts Signed]]=0,0,SalesData[[#This Row],[Profit(€)]]/SalesData[[#This Row],[Contracts Signed]])</f>
        <v>2031</v>
      </c>
      <c r="AJ3845" s="5" t="str">
        <f>TRIM(CLEAN(SalesData[[#This Row],[Retailer]]))</f>
        <v>Elbe Drive</v>
      </c>
    </row>
    <row r="3846" spans="1:36" ht="14.25" x14ac:dyDescent="0.2">
      <c r="A3846" t="s">
        <v>5075</v>
      </c>
      <c r="B3846" s="1">
        <v>46078</v>
      </c>
      <c r="C3846" t="s">
        <v>53</v>
      </c>
      <c r="D3846" t="s">
        <v>82</v>
      </c>
      <c r="E3846" t="s">
        <v>26</v>
      </c>
      <c r="F3846" t="s">
        <v>109</v>
      </c>
      <c r="G3846" t="s">
        <v>110</v>
      </c>
      <c r="H3846" t="s">
        <v>45</v>
      </c>
      <c r="I3846" t="s">
        <v>30</v>
      </c>
      <c r="J3846" t="s">
        <v>7075</v>
      </c>
      <c r="K3846" t="s">
        <v>32</v>
      </c>
      <c r="L3846" t="s">
        <v>33</v>
      </c>
      <c r="M3846" t="s">
        <v>47</v>
      </c>
      <c r="N3846" t="s">
        <v>69</v>
      </c>
      <c r="O3846" t="s">
        <v>36</v>
      </c>
      <c r="P3846" t="s">
        <v>49</v>
      </c>
      <c r="Q3846" t="s">
        <v>189</v>
      </c>
      <c r="R3846">
        <v>181</v>
      </c>
      <c r="S3846">
        <v>102</v>
      </c>
      <c r="T3846">
        <v>76</v>
      </c>
      <c r="U3846">
        <v>26</v>
      </c>
      <c r="V3846" t="s">
        <v>6517</v>
      </c>
      <c r="W3846">
        <v>61476</v>
      </c>
      <c r="X3846" t="s">
        <v>170</v>
      </c>
      <c r="Y3846">
        <v>43540</v>
      </c>
      <c r="Z3846">
        <v>1598376</v>
      </c>
      <c r="AA3846">
        <v>466336</v>
      </c>
      <c r="AB3846" t="str">
        <f>(VLOOKUP(SalesData[[#This Row],[Month Number]],Reference!C$5:E$16,2,FALSE))</f>
        <v>Feb</v>
      </c>
      <c r="AC3846">
        <f>MONTH(SalesData[[#This Row],[Date]])</f>
        <v>2</v>
      </c>
      <c r="AD3846">
        <f>Reference!F$4</f>
        <v>2026</v>
      </c>
      <c r="AE3846" t="str">
        <f>IF(OR(SalesData[[#This Row],[Day]]="Saturday",SalesData[[#This Row],[Day]]="Sunday"),"Weekend","Weekday")</f>
        <v>Weekday</v>
      </c>
      <c r="AF3846" s="5">
        <f>IF(SalesData[[#This Row],[Contracts Offered]]=0,0,SalesData[[#This Row],[Contracts Signed]]/SalesData[[#This Row],[Contracts Offered]])</f>
        <v>0.34210526315789475</v>
      </c>
      <c r="AG3846" s="5">
        <f>IF(SalesData[[#This Row],[Customers Visited]]=0,0,SalesData[[#This Row],[Test Drives]]/SalesData[[#This Row],[Customers Visited]])</f>
        <v>0.56353591160220995</v>
      </c>
      <c r="AH3846" s="5">
        <f>IF(SalesData[[#This Row],[Customers Visited]]=0,0,SalesData[[#This Row],[Contracts Signed]]/SalesData[[#This Row],[Customers Visited]])</f>
        <v>0.143646408839779</v>
      </c>
      <c r="AI3846" s="6">
        <f>IF(SalesData[[#This Row],[Contracts Signed]]=0,0,SalesData[[#This Row],[Profit(€)]]/SalesData[[#This Row],[Contracts Signed]])</f>
        <v>17936</v>
      </c>
      <c r="AJ3846" s="5" t="str">
        <f>TRIM(CLEAN(SalesData[[#This Row],[Retailer]]))</f>
        <v>Leipzig Mobility</v>
      </c>
    </row>
    <row r="3847" spans="1:36" ht="14.25" hidden="1" x14ac:dyDescent="0.2">
      <c r="A3847" t="s">
        <v>5076</v>
      </c>
      <c r="B3847" s="1">
        <v>46060</v>
      </c>
      <c r="C3847" t="s">
        <v>24</v>
      </c>
      <c r="D3847" t="s">
        <v>151</v>
      </c>
      <c r="E3847" t="s">
        <v>42</v>
      </c>
      <c r="F3847" t="s">
        <v>127</v>
      </c>
      <c r="G3847" t="s">
        <v>128</v>
      </c>
      <c r="H3847" t="s">
        <v>103</v>
      </c>
      <c r="I3847" t="s">
        <v>104</v>
      </c>
      <c r="J3847" t="s">
        <v>7031</v>
      </c>
      <c r="K3847" t="s">
        <v>66</v>
      </c>
      <c r="L3847" t="s">
        <v>46</v>
      </c>
      <c r="M3847" t="s">
        <v>34</v>
      </c>
      <c r="N3847" t="s">
        <v>35</v>
      </c>
      <c r="O3847" t="s">
        <v>36</v>
      </c>
      <c r="P3847" t="s">
        <v>71</v>
      </c>
      <c r="Q3847" t="s">
        <v>88</v>
      </c>
      <c r="R3847">
        <v>520</v>
      </c>
      <c r="S3847">
        <v>280</v>
      </c>
      <c r="T3847">
        <v>180</v>
      </c>
      <c r="U3847">
        <v>47</v>
      </c>
      <c r="V3847" t="s">
        <v>1288</v>
      </c>
      <c r="W3847">
        <v>35209</v>
      </c>
      <c r="X3847" t="s">
        <v>540</v>
      </c>
      <c r="Y3847">
        <v>30624</v>
      </c>
      <c r="Z3847">
        <v>1654823</v>
      </c>
      <c r="AA3847">
        <v>215495</v>
      </c>
      <c r="AB3847" t="str">
        <f>(VLOOKUP(SalesData[[#This Row],[Month Number]],Reference!C$5:E$16,2,FALSE))</f>
        <v>Feb</v>
      </c>
      <c r="AC3847">
        <f>MONTH(SalesData[[#This Row],[Date]])</f>
        <v>2</v>
      </c>
      <c r="AD3847">
        <f>Reference!F$4</f>
        <v>2026</v>
      </c>
      <c r="AE3847" t="str">
        <f>IF(OR(SalesData[[#This Row],[Day]]="Saturday",SalesData[[#This Row],[Day]]="Sunday"),"Weekend","Weekday")</f>
        <v>Weekend</v>
      </c>
      <c r="AF3847" s="5">
        <f>IF(SalesData[[#This Row],[Contracts Offered]]=0,0,SalesData[[#This Row],[Contracts Signed]]/SalesData[[#This Row],[Contracts Offered]])</f>
        <v>0.26111111111111113</v>
      </c>
      <c r="AG3847" s="5">
        <f>IF(SalesData[[#This Row],[Customers Visited]]=0,0,SalesData[[#This Row],[Test Drives]]/SalesData[[#This Row],[Customers Visited]])</f>
        <v>0.53846153846153844</v>
      </c>
      <c r="AH3847" s="5">
        <f>IF(SalesData[[#This Row],[Customers Visited]]=0,0,SalesData[[#This Row],[Contracts Signed]]/SalesData[[#This Row],[Customers Visited]])</f>
        <v>9.0384615384615383E-2</v>
      </c>
      <c r="AI3847" s="6">
        <f>IF(SalesData[[#This Row],[Contracts Signed]]=0,0,SalesData[[#This Row],[Profit(€)]]/SalesData[[#This Row],[Contracts Signed]])</f>
        <v>4585</v>
      </c>
      <c r="AJ3847" s="5" t="str">
        <f>TRIM(CLEAN(SalesData[[#This Row],[Retailer]]))</f>
        <v>Rhein Auto Group</v>
      </c>
    </row>
    <row r="3848" spans="1:36" ht="14.25" hidden="1" x14ac:dyDescent="0.2">
      <c r="A3848" t="s">
        <v>5078</v>
      </c>
      <c r="B3848" s="1">
        <v>46066</v>
      </c>
      <c r="C3848" t="s">
        <v>121</v>
      </c>
      <c r="D3848" t="s">
        <v>54</v>
      </c>
      <c r="E3848" t="s">
        <v>26</v>
      </c>
      <c r="F3848" t="s">
        <v>74</v>
      </c>
      <c r="G3848" t="s">
        <v>75</v>
      </c>
      <c r="H3848" t="s">
        <v>76</v>
      </c>
      <c r="I3848" t="s">
        <v>116</v>
      </c>
      <c r="J3848" t="s">
        <v>7090</v>
      </c>
      <c r="K3848" t="s">
        <v>91</v>
      </c>
      <c r="L3848" t="s">
        <v>46</v>
      </c>
      <c r="M3848" t="s">
        <v>47</v>
      </c>
      <c r="N3848" t="s">
        <v>35</v>
      </c>
      <c r="O3848" t="s">
        <v>36</v>
      </c>
      <c r="P3848" t="s">
        <v>37</v>
      </c>
      <c r="Q3848" t="s">
        <v>122</v>
      </c>
      <c r="R3848">
        <v>284</v>
      </c>
      <c r="S3848">
        <v>124</v>
      </c>
      <c r="T3848">
        <v>84</v>
      </c>
      <c r="U3848">
        <v>18</v>
      </c>
      <c r="V3848" t="s">
        <v>884</v>
      </c>
      <c r="W3848">
        <v>20646</v>
      </c>
      <c r="X3848" t="s">
        <v>3197</v>
      </c>
      <c r="Y3848">
        <v>18689</v>
      </c>
      <c r="Z3848">
        <v>371628</v>
      </c>
      <c r="AA3848">
        <v>35226</v>
      </c>
      <c r="AB3848" t="str">
        <f>(VLOOKUP(SalesData[[#This Row],[Month Number]],Reference!C$5:E$16,2,FALSE))</f>
        <v>Feb</v>
      </c>
      <c r="AC3848">
        <f>MONTH(SalesData[[#This Row],[Date]])</f>
        <v>2</v>
      </c>
      <c r="AD3848">
        <f>Reference!F$4</f>
        <v>2026</v>
      </c>
      <c r="AE3848" t="str">
        <f>IF(OR(SalesData[[#This Row],[Day]]="Saturday",SalesData[[#This Row],[Day]]="Sunday"),"Weekend","Weekday")</f>
        <v>Weekday</v>
      </c>
      <c r="AF3848" s="5">
        <f>IF(SalesData[[#This Row],[Contracts Offered]]=0,0,SalesData[[#This Row],[Contracts Signed]]/SalesData[[#This Row],[Contracts Offered]])</f>
        <v>0.21428571428571427</v>
      </c>
      <c r="AG3848" s="5">
        <f>IF(SalesData[[#This Row],[Customers Visited]]=0,0,SalesData[[#This Row],[Test Drives]]/SalesData[[#This Row],[Customers Visited]])</f>
        <v>0.43661971830985913</v>
      </c>
      <c r="AH3848" s="5">
        <f>IF(SalesData[[#This Row],[Customers Visited]]=0,0,SalesData[[#This Row],[Contracts Signed]]/SalesData[[#This Row],[Customers Visited]])</f>
        <v>6.3380281690140844E-2</v>
      </c>
      <c r="AI3848" s="6">
        <f>IF(SalesData[[#This Row],[Contracts Signed]]=0,0,SalesData[[#This Row],[Profit(€)]]/SalesData[[#This Row],[Contracts Signed]])</f>
        <v>1957</v>
      </c>
      <c r="AJ3848" s="5" t="str">
        <f>TRIM(CLEAN(SalesData[[#This Row],[Retailer]]))</f>
        <v>Stuttgart Auto Center</v>
      </c>
    </row>
    <row r="3849" spans="1:36" ht="14.25" hidden="1" x14ac:dyDescent="0.2">
      <c r="A3849" t="s">
        <v>5079</v>
      </c>
      <c r="B3849" s="1">
        <v>46081</v>
      </c>
      <c r="C3849" t="s">
        <v>53</v>
      </c>
      <c r="D3849" t="s">
        <v>151</v>
      </c>
      <c r="E3849" t="s">
        <v>42</v>
      </c>
      <c r="F3849" t="s">
        <v>101</v>
      </c>
      <c r="G3849" t="s">
        <v>102</v>
      </c>
      <c r="H3849" t="s">
        <v>103</v>
      </c>
      <c r="I3849" t="s">
        <v>56</v>
      </c>
      <c r="J3849" t="s">
        <v>97</v>
      </c>
      <c r="K3849" t="s">
        <v>32</v>
      </c>
      <c r="L3849" t="s">
        <v>33</v>
      </c>
      <c r="M3849" t="s">
        <v>87</v>
      </c>
      <c r="N3849" t="s">
        <v>48</v>
      </c>
      <c r="O3849" t="s">
        <v>36</v>
      </c>
      <c r="P3849" t="s">
        <v>37</v>
      </c>
      <c r="Q3849" t="s">
        <v>38</v>
      </c>
      <c r="R3849">
        <v>300</v>
      </c>
      <c r="S3849">
        <v>141</v>
      </c>
      <c r="T3849">
        <v>104</v>
      </c>
      <c r="U3849">
        <v>32</v>
      </c>
      <c r="V3849" t="s">
        <v>6718</v>
      </c>
      <c r="W3849">
        <v>41666</v>
      </c>
      <c r="X3849" t="s">
        <v>7339</v>
      </c>
      <c r="Y3849">
        <v>31462</v>
      </c>
      <c r="Z3849">
        <v>1333312</v>
      </c>
      <c r="AA3849">
        <v>326528</v>
      </c>
      <c r="AB3849" t="str">
        <f>(VLOOKUP(SalesData[[#This Row],[Month Number]],Reference!C$5:E$16,2,FALSE))</f>
        <v>Feb</v>
      </c>
      <c r="AC3849">
        <f>MONTH(SalesData[[#This Row],[Date]])</f>
        <v>2</v>
      </c>
      <c r="AD3849">
        <f>Reference!F$4</f>
        <v>2026</v>
      </c>
      <c r="AE3849" t="str">
        <f>IF(OR(SalesData[[#This Row],[Day]]="Saturday",SalesData[[#This Row],[Day]]="Sunday"),"Weekend","Weekday")</f>
        <v>Weekend</v>
      </c>
      <c r="AF3849" s="5">
        <f>IF(SalesData[[#This Row],[Contracts Offered]]=0,0,SalesData[[#This Row],[Contracts Signed]]/SalesData[[#This Row],[Contracts Offered]])</f>
        <v>0.30769230769230771</v>
      </c>
      <c r="AG3849" s="5">
        <f>IF(SalesData[[#This Row],[Customers Visited]]=0,0,SalesData[[#This Row],[Test Drives]]/SalesData[[#This Row],[Customers Visited]])</f>
        <v>0.47</v>
      </c>
      <c r="AH3849" s="5">
        <f>IF(SalesData[[#This Row],[Customers Visited]]=0,0,SalesData[[#This Row],[Contracts Signed]]/SalesData[[#This Row],[Customers Visited]])</f>
        <v>0.10666666666666667</v>
      </c>
      <c r="AI3849" s="6">
        <f>IF(SalesData[[#This Row],[Contracts Signed]]=0,0,SalesData[[#This Row],[Profit(€)]]/SalesData[[#This Row],[Contracts Signed]])</f>
        <v>10204</v>
      </c>
      <c r="AJ3849" s="5" t="str">
        <f>TRIM(CLEAN(SalesData[[#This Row],[Retailer]]))</f>
        <v>Ruhr Auto Plaza</v>
      </c>
    </row>
    <row r="3850" spans="1:36" ht="14.25" hidden="1" x14ac:dyDescent="0.2">
      <c r="A3850" t="s">
        <v>5080</v>
      </c>
      <c r="B3850" s="1">
        <v>46081</v>
      </c>
      <c r="C3850" t="s">
        <v>53</v>
      </c>
      <c r="D3850" t="s">
        <v>151</v>
      </c>
      <c r="E3850" t="s">
        <v>42</v>
      </c>
      <c r="F3850" t="s">
        <v>109</v>
      </c>
      <c r="G3850" t="s">
        <v>110</v>
      </c>
      <c r="H3850" t="s">
        <v>45</v>
      </c>
      <c r="I3850" t="s">
        <v>64</v>
      </c>
      <c r="J3850" t="s">
        <v>7029</v>
      </c>
      <c r="K3850" t="s">
        <v>91</v>
      </c>
      <c r="L3850" t="s">
        <v>33</v>
      </c>
      <c r="M3850" t="s">
        <v>47</v>
      </c>
      <c r="N3850" t="s">
        <v>35</v>
      </c>
      <c r="O3850" t="s">
        <v>36</v>
      </c>
      <c r="P3850" t="s">
        <v>37</v>
      </c>
      <c r="Q3850" t="s">
        <v>122</v>
      </c>
      <c r="R3850">
        <v>200</v>
      </c>
      <c r="S3850">
        <v>91</v>
      </c>
      <c r="T3850">
        <v>65</v>
      </c>
      <c r="U3850">
        <v>20</v>
      </c>
      <c r="V3850" t="s">
        <v>7259</v>
      </c>
      <c r="W3850">
        <v>52495</v>
      </c>
      <c r="X3850" t="s">
        <v>7424</v>
      </c>
      <c r="Y3850">
        <v>38593</v>
      </c>
      <c r="Z3850">
        <v>1049900</v>
      </c>
      <c r="AA3850">
        <v>278040</v>
      </c>
      <c r="AB3850" t="str">
        <f>(VLOOKUP(SalesData[[#This Row],[Month Number]],Reference!C$5:E$16,2,FALSE))</f>
        <v>Feb</v>
      </c>
      <c r="AC3850">
        <f>MONTH(SalesData[[#This Row],[Date]])</f>
        <v>2</v>
      </c>
      <c r="AD3850">
        <f>Reference!F$4</f>
        <v>2026</v>
      </c>
      <c r="AE3850" t="str">
        <f>IF(OR(SalesData[[#This Row],[Day]]="Saturday",SalesData[[#This Row],[Day]]="Sunday"),"Weekend","Weekday")</f>
        <v>Weekend</v>
      </c>
      <c r="AF3850" s="5">
        <f>IF(SalesData[[#This Row],[Contracts Offered]]=0,0,SalesData[[#This Row],[Contracts Signed]]/SalesData[[#This Row],[Contracts Offered]])</f>
        <v>0.30769230769230771</v>
      </c>
      <c r="AG3850" s="5">
        <f>IF(SalesData[[#This Row],[Customers Visited]]=0,0,SalesData[[#This Row],[Test Drives]]/SalesData[[#This Row],[Customers Visited]])</f>
        <v>0.45500000000000002</v>
      </c>
      <c r="AH3850" s="5">
        <f>IF(SalesData[[#This Row],[Customers Visited]]=0,0,SalesData[[#This Row],[Contracts Signed]]/SalesData[[#This Row],[Customers Visited]])</f>
        <v>0.1</v>
      </c>
      <c r="AI3850" s="6">
        <f>IF(SalesData[[#This Row],[Contracts Signed]]=0,0,SalesData[[#This Row],[Profit(€)]]/SalesData[[#This Row],[Contracts Signed]])</f>
        <v>13902</v>
      </c>
      <c r="AJ3850" s="5" t="str">
        <f>TRIM(CLEAN(SalesData[[#This Row],[Retailer]]))</f>
        <v>Leipzig Mobility</v>
      </c>
    </row>
    <row r="3851" spans="1:36" ht="14.25" hidden="1" x14ac:dyDescent="0.2">
      <c r="A3851" t="s">
        <v>5081</v>
      </c>
      <c r="B3851" s="1">
        <v>46061</v>
      </c>
      <c r="C3851" t="s">
        <v>121</v>
      </c>
      <c r="D3851" t="s">
        <v>41</v>
      </c>
      <c r="E3851" t="s">
        <v>42</v>
      </c>
      <c r="F3851" t="s">
        <v>114</v>
      </c>
      <c r="G3851" t="s">
        <v>115</v>
      </c>
      <c r="H3851" t="s">
        <v>115</v>
      </c>
      <c r="I3851" t="s">
        <v>116</v>
      </c>
      <c r="J3851" t="s">
        <v>7026</v>
      </c>
      <c r="K3851" t="s">
        <v>32</v>
      </c>
      <c r="L3851" t="s">
        <v>46</v>
      </c>
      <c r="M3851" t="s">
        <v>68</v>
      </c>
      <c r="N3851" t="s">
        <v>69</v>
      </c>
      <c r="O3851" t="s">
        <v>36</v>
      </c>
      <c r="P3851" t="s">
        <v>71</v>
      </c>
      <c r="Q3851" t="s">
        <v>129</v>
      </c>
      <c r="R3851">
        <v>357</v>
      </c>
      <c r="S3851">
        <v>177</v>
      </c>
      <c r="T3851">
        <v>115</v>
      </c>
      <c r="U3851">
        <v>33</v>
      </c>
      <c r="V3851" t="s">
        <v>378</v>
      </c>
      <c r="W3851">
        <v>25459</v>
      </c>
      <c r="X3851" t="s">
        <v>260</v>
      </c>
      <c r="Y3851">
        <v>23436</v>
      </c>
      <c r="Z3851">
        <v>840147</v>
      </c>
      <c r="AA3851">
        <v>66759</v>
      </c>
      <c r="AB3851" t="str">
        <f>(VLOOKUP(SalesData[[#This Row],[Month Number]],Reference!C$5:E$16,2,FALSE))</f>
        <v>Feb</v>
      </c>
      <c r="AC3851">
        <f>MONTH(SalesData[[#This Row],[Date]])</f>
        <v>2</v>
      </c>
      <c r="AD3851">
        <f>Reference!F$4</f>
        <v>2026</v>
      </c>
      <c r="AE3851" t="str">
        <f>IF(OR(SalesData[[#This Row],[Day]]="Saturday",SalesData[[#This Row],[Day]]="Sunday"),"Weekend","Weekday")</f>
        <v>Weekend</v>
      </c>
      <c r="AF3851" s="5">
        <f>IF(SalesData[[#This Row],[Contracts Offered]]=0,0,SalesData[[#This Row],[Contracts Signed]]/SalesData[[#This Row],[Contracts Offered]])</f>
        <v>0.28695652173913044</v>
      </c>
      <c r="AG3851" s="5">
        <f>IF(SalesData[[#This Row],[Customers Visited]]=0,0,SalesData[[#This Row],[Test Drives]]/SalesData[[#This Row],[Customers Visited]])</f>
        <v>0.49579831932773111</v>
      </c>
      <c r="AH3851" s="5">
        <f>IF(SalesData[[#This Row],[Customers Visited]]=0,0,SalesData[[#This Row],[Contracts Signed]]/SalesData[[#This Row],[Customers Visited]])</f>
        <v>9.2436974789915971E-2</v>
      </c>
      <c r="AI3851" s="6">
        <f>IF(SalesData[[#This Row],[Contracts Signed]]=0,0,SalesData[[#This Row],[Profit(€)]]/SalesData[[#This Row],[Contracts Signed]])</f>
        <v>2023</v>
      </c>
      <c r="AJ3851" s="5" t="str">
        <f>TRIM(CLEAN(SalesData[[#This Row],[Retailer]]))</f>
        <v>Elbe Drive</v>
      </c>
    </row>
    <row r="3852" spans="1:36" ht="14.25" hidden="1" x14ac:dyDescent="0.2">
      <c r="A3852" t="s">
        <v>5082</v>
      </c>
      <c r="B3852" s="1">
        <v>46064</v>
      </c>
      <c r="C3852" t="s">
        <v>121</v>
      </c>
      <c r="D3852" t="s">
        <v>82</v>
      </c>
      <c r="E3852" t="s">
        <v>26</v>
      </c>
      <c r="F3852" t="s">
        <v>127</v>
      </c>
      <c r="G3852" t="s">
        <v>128</v>
      </c>
      <c r="H3852" t="s">
        <v>103</v>
      </c>
      <c r="I3852" t="s">
        <v>64</v>
      </c>
      <c r="J3852" t="s">
        <v>65</v>
      </c>
      <c r="K3852" t="s">
        <v>78</v>
      </c>
      <c r="L3852" t="s">
        <v>33</v>
      </c>
      <c r="M3852" t="s">
        <v>34</v>
      </c>
      <c r="N3852" t="s">
        <v>35</v>
      </c>
      <c r="O3852" t="s">
        <v>36</v>
      </c>
      <c r="P3852" t="s">
        <v>49</v>
      </c>
      <c r="Q3852" t="s">
        <v>59</v>
      </c>
      <c r="R3852">
        <v>176</v>
      </c>
      <c r="S3852">
        <v>79</v>
      </c>
      <c r="T3852">
        <v>55</v>
      </c>
      <c r="U3852">
        <v>17</v>
      </c>
      <c r="V3852" t="s">
        <v>7613</v>
      </c>
      <c r="W3852">
        <v>56073</v>
      </c>
      <c r="X3852" t="s">
        <v>7058</v>
      </c>
      <c r="Y3852">
        <v>43226</v>
      </c>
      <c r="Z3852">
        <v>953241</v>
      </c>
      <c r="AA3852">
        <v>218399</v>
      </c>
      <c r="AB3852" t="str">
        <f>(VLOOKUP(SalesData[[#This Row],[Month Number]],Reference!C$5:E$16,2,FALSE))</f>
        <v>Feb</v>
      </c>
      <c r="AC3852">
        <f>MONTH(SalesData[[#This Row],[Date]])</f>
        <v>2</v>
      </c>
      <c r="AD3852">
        <f>Reference!F$4</f>
        <v>2026</v>
      </c>
      <c r="AE3852" t="str">
        <f>IF(OR(SalesData[[#This Row],[Day]]="Saturday",SalesData[[#This Row],[Day]]="Sunday"),"Weekend","Weekday")</f>
        <v>Weekday</v>
      </c>
      <c r="AF3852" s="5">
        <f>IF(SalesData[[#This Row],[Contracts Offered]]=0,0,SalesData[[#This Row],[Contracts Signed]]/SalesData[[#This Row],[Contracts Offered]])</f>
        <v>0.30909090909090908</v>
      </c>
      <c r="AG3852" s="5">
        <f>IF(SalesData[[#This Row],[Customers Visited]]=0,0,SalesData[[#This Row],[Test Drives]]/SalesData[[#This Row],[Customers Visited]])</f>
        <v>0.44886363636363635</v>
      </c>
      <c r="AH3852" s="5">
        <f>IF(SalesData[[#This Row],[Customers Visited]]=0,0,SalesData[[#This Row],[Contracts Signed]]/SalesData[[#This Row],[Customers Visited]])</f>
        <v>9.6590909090909088E-2</v>
      </c>
      <c r="AI3852" s="6">
        <f>IF(SalesData[[#This Row],[Contracts Signed]]=0,0,SalesData[[#This Row],[Profit(€)]]/SalesData[[#This Row],[Contracts Signed]])</f>
        <v>12847</v>
      </c>
      <c r="AJ3852" s="5" t="str">
        <f>TRIM(CLEAN(SalesData[[#This Row],[Retailer]]))</f>
        <v>Rhein Auto Group</v>
      </c>
    </row>
    <row r="3853" spans="1:36" ht="14.25" hidden="1" x14ac:dyDescent="0.2">
      <c r="A3853" t="s">
        <v>5083</v>
      </c>
      <c r="B3853" s="1">
        <v>46073</v>
      </c>
      <c r="C3853" t="s">
        <v>62</v>
      </c>
      <c r="D3853" t="s">
        <v>54</v>
      </c>
      <c r="E3853" t="s">
        <v>26</v>
      </c>
      <c r="F3853" t="s">
        <v>101</v>
      </c>
      <c r="G3853" t="s">
        <v>102</v>
      </c>
      <c r="H3853" t="s">
        <v>103</v>
      </c>
      <c r="I3853" t="s">
        <v>64</v>
      </c>
      <c r="J3853" t="s">
        <v>7029</v>
      </c>
      <c r="K3853" t="s">
        <v>91</v>
      </c>
      <c r="L3853" t="s">
        <v>33</v>
      </c>
      <c r="M3853" t="s">
        <v>34</v>
      </c>
      <c r="N3853" t="s">
        <v>48</v>
      </c>
      <c r="O3853" t="s">
        <v>70</v>
      </c>
      <c r="P3853" t="s">
        <v>71</v>
      </c>
      <c r="Q3853" t="s">
        <v>118</v>
      </c>
      <c r="R3853">
        <v>180</v>
      </c>
      <c r="S3853">
        <v>84</v>
      </c>
      <c r="T3853">
        <v>59</v>
      </c>
      <c r="U3853">
        <v>21</v>
      </c>
      <c r="V3853" t="s">
        <v>6403</v>
      </c>
      <c r="W3853">
        <v>62548</v>
      </c>
      <c r="X3853" t="s">
        <v>3045</v>
      </c>
      <c r="Y3853">
        <v>45712</v>
      </c>
      <c r="Z3853">
        <v>1313508</v>
      </c>
      <c r="AA3853">
        <v>353556</v>
      </c>
      <c r="AB3853" t="str">
        <f>(VLOOKUP(SalesData[[#This Row],[Month Number]],Reference!C$5:E$16,2,FALSE))</f>
        <v>Feb</v>
      </c>
      <c r="AC3853">
        <f>MONTH(SalesData[[#This Row],[Date]])</f>
        <v>2</v>
      </c>
      <c r="AD3853">
        <f>Reference!F$4</f>
        <v>2026</v>
      </c>
      <c r="AE3853" t="str">
        <f>IF(OR(SalesData[[#This Row],[Day]]="Saturday",SalesData[[#This Row],[Day]]="Sunday"),"Weekend","Weekday")</f>
        <v>Weekday</v>
      </c>
      <c r="AF3853" s="5">
        <f>IF(SalesData[[#This Row],[Contracts Offered]]=0,0,SalesData[[#This Row],[Contracts Signed]]/SalesData[[#This Row],[Contracts Offered]])</f>
        <v>0.3559322033898305</v>
      </c>
      <c r="AG3853" s="5">
        <f>IF(SalesData[[#This Row],[Customers Visited]]=0,0,SalesData[[#This Row],[Test Drives]]/SalesData[[#This Row],[Customers Visited]])</f>
        <v>0.46666666666666667</v>
      </c>
      <c r="AH3853" s="5">
        <f>IF(SalesData[[#This Row],[Customers Visited]]=0,0,SalesData[[#This Row],[Contracts Signed]]/SalesData[[#This Row],[Customers Visited]])</f>
        <v>0.11666666666666667</v>
      </c>
      <c r="AI3853" s="6">
        <f>IF(SalesData[[#This Row],[Contracts Signed]]=0,0,SalesData[[#This Row],[Profit(€)]]/SalesData[[#This Row],[Contracts Signed]])</f>
        <v>16836</v>
      </c>
      <c r="AJ3853" s="5" t="str">
        <f>TRIM(CLEAN(SalesData[[#This Row],[Retailer]]))</f>
        <v>Ruhr Auto Plaza</v>
      </c>
    </row>
    <row r="3854" spans="1:36" ht="14.25" hidden="1" x14ac:dyDescent="0.2">
      <c r="A3854" t="s">
        <v>5084</v>
      </c>
      <c r="B3854" s="1">
        <v>46055</v>
      </c>
      <c r="C3854" t="s">
        <v>24</v>
      </c>
      <c r="D3854" t="s">
        <v>25</v>
      </c>
      <c r="E3854" t="s">
        <v>26</v>
      </c>
      <c r="F3854" t="s">
        <v>43</v>
      </c>
      <c r="G3854" t="s">
        <v>44</v>
      </c>
      <c r="H3854" t="s">
        <v>45</v>
      </c>
      <c r="I3854" t="s">
        <v>56</v>
      </c>
      <c r="J3854" t="s">
        <v>97</v>
      </c>
      <c r="K3854" t="s">
        <v>66</v>
      </c>
      <c r="L3854" t="s">
        <v>33</v>
      </c>
      <c r="M3854" t="s">
        <v>47</v>
      </c>
      <c r="N3854" t="s">
        <v>48</v>
      </c>
      <c r="O3854" t="s">
        <v>36</v>
      </c>
      <c r="P3854" t="s">
        <v>58</v>
      </c>
      <c r="Q3854" t="s">
        <v>189</v>
      </c>
      <c r="R3854">
        <v>221</v>
      </c>
      <c r="S3854">
        <v>129</v>
      </c>
      <c r="T3854">
        <v>95</v>
      </c>
      <c r="U3854">
        <v>31</v>
      </c>
      <c r="V3854" t="s">
        <v>6454</v>
      </c>
      <c r="W3854">
        <v>45741</v>
      </c>
      <c r="X3854" t="s">
        <v>7185</v>
      </c>
      <c r="Y3854">
        <v>36762</v>
      </c>
      <c r="Z3854">
        <v>1417971</v>
      </c>
      <c r="AA3854">
        <v>278349</v>
      </c>
      <c r="AB3854" t="str">
        <f>(VLOOKUP(SalesData[[#This Row],[Month Number]],Reference!C$5:E$16,2,FALSE))</f>
        <v>Feb</v>
      </c>
      <c r="AC3854">
        <f>MONTH(SalesData[[#This Row],[Date]])</f>
        <v>2</v>
      </c>
      <c r="AD3854">
        <f>Reference!F$4</f>
        <v>2026</v>
      </c>
      <c r="AE3854" t="str">
        <f>IF(OR(SalesData[[#This Row],[Day]]="Saturday",SalesData[[#This Row],[Day]]="Sunday"),"Weekend","Weekday")</f>
        <v>Weekday</v>
      </c>
      <c r="AF3854" s="5">
        <f>IF(SalesData[[#This Row],[Contracts Offered]]=0,0,SalesData[[#This Row],[Contracts Signed]]/SalesData[[#This Row],[Contracts Offered]])</f>
        <v>0.32631578947368423</v>
      </c>
      <c r="AG3854" s="5">
        <f>IF(SalesData[[#This Row],[Customers Visited]]=0,0,SalesData[[#This Row],[Test Drives]]/SalesData[[#This Row],[Customers Visited]])</f>
        <v>0.58371040723981904</v>
      </c>
      <c r="AH3854" s="5">
        <f>IF(SalesData[[#This Row],[Customers Visited]]=0,0,SalesData[[#This Row],[Contracts Signed]]/SalesData[[#This Row],[Customers Visited]])</f>
        <v>0.14027149321266968</v>
      </c>
      <c r="AI3854" s="6">
        <f>IF(SalesData[[#This Row],[Contracts Signed]]=0,0,SalesData[[#This Row],[Profit(€)]]/SalesData[[#This Row],[Contracts Signed]])</f>
        <v>8979</v>
      </c>
      <c r="AJ3854" s="5" t="str">
        <f>TRIM(CLEAN(SalesData[[#This Row],[Retailer]]))</f>
        <v>Saxon Wheels</v>
      </c>
    </row>
    <row r="3855" spans="1:36" ht="14.25" hidden="1" x14ac:dyDescent="0.2">
      <c r="A3855" t="s">
        <v>5085</v>
      </c>
      <c r="B3855" s="1">
        <v>46068</v>
      </c>
      <c r="C3855" t="s">
        <v>62</v>
      </c>
      <c r="D3855" t="s">
        <v>41</v>
      </c>
      <c r="E3855" t="s">
        <v>42</v>
      </c>
      <c r="F3855" t="s">
        <v>7649</v>
      </c>
      <c r="G3855" t="s">
        <v>55</v>
      </c>
      <c r="H3855" t="s">
        <v>55</v>
      </c>
      <c r="I3855" t="s">
        <v>64</v>
      </c>
      <c r="J3855" t="s">
        <v>77</v>
      </c>
      <c r="K3855" t="s">
        <v>78</v>
      </c>
      <c r="L3855" t="s">
        <v>46</v>
      </c>
      <c r="M3855" t="s">
        <v>68</v>
      </c>
      <c r="N3855" t="s">
        <v>48</v>
      </c>
      <c r="O3855" t="s">
        <v>36</v>
      </c>
      <c r="P3855" t="s">
        <v>58</v>
      </c>
      <c r="Q3855" t="s">
        <v>118</v>
      </c>
      <c r="R3855">
        <v>157</v>
      </c>
      <c r="S3855">
        <v>82</v>
      </c>
      <c r="T3855">
        <v>59</v>
      </c>
      <c r="U3855">
        <v>25</v>
      </c>
      <c r="V3855" t="s">
        <v>7449</v>
      </c>
      <c r="W3855">
        <v>64740</v>
      </c>
      <c r="X3855" t="s">
        <v>5630</v>
      </c>
      <c r="Y3855">
        <v>50257</v>
      </c>
      <c r="Z3855">
        <v>1618500</v>
      </c>
      <c r="AA3855">
        <v>362075</v>
      </c>
      <c r="AB3855" t="str">
        <f>(VLOOKUP(SalesData[[#This Row],[Month Number]],Reference!C$5:E$16,2,FALSE))</f>
        <v>Feb</v>
      </c>
      <c r="AC3855">
        <f>MONTH(SalesData[[#This Row],[Date]])</f>
        <v>2</v>
      </c>
      <c r="AD3855">
        <f>Reference!F$4</f>
        <v>2026</v>
      </c>
      <c r="AE3855" t="str">
        <f>IF(OR(SalesData[[#This Row],[Day]]="Saturday",SalesData[[#This Row],[Day]]="Sunday"),"Weekend","Weekday")</f>
        <v>Weekend</v>
      </c>
      <c r="AF3855" s="5">
        <f>IF(SalesData[[#This Row],[Contracts Offered]]=0,0,SalesData[[#This Row],[Contracts Signed]]/SalesData[[#This Row],[Contracts Offered]])</f>
        <v>0.42372881355932202</v>
      </c>
      <c r="AG3855" s="5">
        <f>IF(SalesData[[#This Row],[Customers Visited]]=0,0,SalesData[[#This Row],[Test Drives]]/SalesData[[#This Row],[Customers Visited]])</f>
        <v>0.52229299363057324</v>
      </c>
      <c r="AH3855" s="5">
        <f>IF(SalesData[[#This Row],[Customers Visited]]=0,0,SalesData[[#This Row],[Contracts Signed]]/SalesData[[#This Row],[Customers Visited]])</f>
        <v>0.15923566878980891</v>
      </c>
      <c r="AI3855" s="6">
        <f>IF(SalesData[[#This Row],[Contracts Signed]]=0,0,SalesData[[#This Row],[Profit(€)]]/SalesData[[#This Row],[Contracts Signed]])</f>
        <v>14483</v>
      </c>
      <c r="AJ3855" s="5" t="str">
        <f>TRIM(CLEAN(SalesData[[#This Row],[Retailer]]))</f>
        <v>Autohaus Berlin</v>
      </c>
    </row>
    <row r="3856" spans="1:36" ht="14.25" hidden="1" x14ac:dyDescent="0.2">
      <c r="A3856" t="s">
        <v>5086</v>
      </c>
      <c r="B3856" s="1">
        <v>46058</v>
      </c>
      <c r="C3856" t="s">
        <v>24</v>
      </c>
      <c r="D3856" t="s">
        <v>100</v>
      </c>
      <c r="E3856" t="s">
        <v>26</v>
      </c>
      <c r="F3856" t="s">
        <v>83</v>
      </c>
      <c r="G3856" t="s">
        <v>84</v>
      </c>
      <c r="H3856" t="s">
        <v>85</v>
      </c>
      <c r="I3856" t="s">
        <v>64</v>
      </c>
      <c r="J3856" t="s">
        <v>111</v>
      </c>
      <c r="K3856" t="s">
        <v>91</v>
      </c>
      <c r="L3856" t="s">
        <v>46</v>
      </c>
      <c r="M3856" t="s">
        <v>47</v>
      </c>
      <c r="N3856" t="s">
        <v>69</v>
      </c>
      <c r="O3856" t="s">
        <v>36</v>
      </c>
      <c r="P3856" t="s">
        <v>37</v>
      </c>
      <c r="Q3856" t="s">
        <v>169</v>
      </c>
      <c r="R3856">
        <v>265</v>
      </c>
      <c r="S3856">
        <v>146</v>
      </c>
      <c r="T3856">
        <v>96</v>
      </c>
      <c r="U3856">
        <v>33</v>
      </c>
      <c r="V3856" t="s">
        <v>6750</v>
      </c>
      <c r="W3856">
        <v>62649</v>
      </c>
      <c r="X3856" t="s">
        <v>7465</v>
      </c>
      <c r="Y3856">
        <v>46197</v>
      </c>
      <c r="Z3856">
        <v>2067417</v>
      </c>
      <c r="AA3856">
        <v>542916</v>
      </c>
      <c r="AB3856" t="str">
        <f>(VLOOKUP(SalesData[[#This Row],[Month Number]],Reference!C$5:E$16,2,FALSE))</f>
        <v>Feb</v>
      </c>
      <c r="AC3856">
        <f>MONTH(SalesData[[#This Row],[Date]])</f>
        <v>2</v>
      </c>
      <c r="AD3856">
        <f>Reference!F$4</f>
        <v>2026</v>
      </c>
      <c r="AE3856" t="str">
        <f>IF(OR(SalesData[[#This Row],[Day]]="Saturday",SalesData[[#This Row],[Day]]="Sunday"),"Weekend","Weekday")</f>
        <v>Weekday</v>
      </c>
      <c r="AF3856" s="5">
        <f>IF(SalesData[[#This Row],[Contracts Offered]]=0,0,SalesData[[#This Row],[Contracts Signed]]/SalesData[[#This Row],[Contracts Offered]])</f>
        <v>0.34375</v>
      </c>
      <c r="AG3856" s="5">
        <f>IF(SalesData[[#This Row],[Customers Visited]]=0,0,SalesData[[#This Row],[Test Drives]]/SalesData[[#This Row],[Customers Visited]])</f>
        <v>0.55094339622641508</v>
      </c>
      <c r="AH3856" s="5">
        <f>IF(SalesData[[#This Row],[Customers Visited]]=0,0,SalesData[[#This Row],[Contracts Signed]]/SalesData[[#This Row],[Customers Visited]])</f>
        <v>0.12452830188679245</v>
      </c>
      <c r="AI3856" s="6">
        <f>IF(SalesData[[#This Row],[Contracts Signed]]=0,0,SalesData[[#This Row],[Profit(€)]]/SalesData[[#This Row],[Contracts Signed]])</f>
        <v>16452</v>
      </c>
      <c r="AJ3856" s="5" t="str">
        <f>TRIM(CLEAN(SalesData[[#This Row],[Retailer]]))</f>
        <v>Hannover Cars</v>
      </c>
    </row>
    <row r="3857" spans="1:36" ht="14.25" hidden="1" x14ac:dyDescent="0.2">
      <c r="A3857" t="s">
        <v>5087</v>
      </c>
      <c r="B3857" s="1">
        <v>46055</v>
      </c>
      <c r="C3857" t="s">
        <v>24</v>
      </c>
      <c r="D3857" t="s">
        <v>25</v>
      </c>
      <c r="E3857" t="s">
        <v>26</v>
      </c>
      <c r="F3857" t="s">
        <v>127</v>
      </c>
      <c r="G3857" t="s">
        <v>128</v>
      </c>
      <c r="H3857" t="s">
        <v>103</v>
      </c>
      <c r="I3857" t="s">
        <v>64</v>
      </c>
      <c r="J3857" t="s">
        <v>77</v>
      </c>
      <c r="K3857" t="s">
        <v>91</v>
      </c>
      <c r="L3857" t="s">
        <v>46</v>
      </c>
      <c r="M3857" t="s">
        <v>87</v>
      </c>
      <c r="N3857" t="s">
        <v>35</v>
      </c>
      <c r="O3857" t="s">
        <v>70</v>
      </c>
      <c r="P3857" t="s">
        <v>71</v>
      </c>
      <c r="Q3857" t="s">
        <v>122</v>
      </c>
      <c r="R3857">
        <v>202</v>
      </c>
      <c r="S3857">
        <v>108</v>
      </c>
      <c r="T3857">
        <v>84</v>
      </c>
      <c r="U3857">
        <v>28</v>
      </c>
      <c r="V3857" t="s">
        <v>6604</v>
      </c>
      <c r="W3857">
        <v>69323</v>
      </c>
      <c r="X3857" t="s">
        <v>7518</v>
      </c>
      <c r="Y3857">
        <v>49883</v>
      </c>
      <c r="Z3857">
        <v>1941044</v>
      </c>
      <c r="AA3857">
        <v>544320</v>
      </c>
      <c r="AB3857" t="str">
        <f>(VLOOKUP(SalesData[[#This Row],[Month Number]],Reference!C$5:E$16,2,FALSE))</f>
        <v>Feb</v>
      </c>
      <c r="AC3857">
        <f>MONTH(SalesData[[#This Row],[Date]])</f>
        <v>2</v>
      </c>
      <c r="AD3857">
        <f>Reference!F$4</f>
        <v>2026</v>
      </c>
      <c r="AE3857" t="str">
        <f>IF(OR(SalesData[[#This Row],[Day]]="Saturday",SalesData[[#This Row],[Day]]="Sunday"),"Weekend","Weekday")</f>
        <v>Weekday</v>
      </c>
      <c r="AF3857" s="5">
        <f>IF(SalesData[[#This Row],[Contracts Offered]]=0,0,SalesData[[#This Row],[Contracts Signed]]/SalesData[[#This Row],[Contracts Offered]])</f>
        <v>0.33333333333333331</v>
      </c>
      <c r="AG3857" s="5">
        <f>IF(SalesData[[#This Row],[Customers Visited]]=0,0,SalesData[[#This Row],[Test Drives]]/SalesData[[#This Row],[Customers Visited]])</f>
        <v>0.53465346534653468</v>
      </c>
      <c r="AH3857" s="5">
        <f>IF(SalesData[[#This Row],[Customers Visited]]=0,0,SalesData[[#This Row],[Contracts Signed]]/SalesData[[#This Row],[Customers Visited]])</f>
        <v>0.13861386138613863</v>
      </c>
      <c r="AI3857" s="6">
        <f>IF(SalesData[[#This Row],[Contracts Signed]]=0,0,SalesData[[#This Row],[Profit(€)]]/SalesData[[#This Row],[Contracts Signed]])</f>
        <v>19440</v>
      </c>
      <c r="AJ3857" s="5" t="str">
        <f>TRIM(CLEAN(SalesData[[#This Row],[Retailer]]))</f>
        <v>Rhein Auto Group</v>
      </c>
    </row>
    <row r="3858" spans="1:36" ht="14.25" hidden="1" x14ac:dyDescent="0.2">
      <c r="A3858" t="s">
        <v>5088</v>
      </c>
      <c r="B3858" s="1">
        <v>46072</v>
      </c>
      <c r="C3858" t="s">
        <v>62</v>
      </c>
      <c r="D3858" t="s">
        <v>100</v>
      </c>
      <c r="E3858" t="s">
        <v>26</v>
      </c>
      <c r="F3858" t="s">
        <v>83</v>
      </c>
      <c r="G3858" t="s">
        <v>84</v>
      </c>
      <c r="H3858" t="s">
        <v>85</v>
      </c>
      <c r="I3858" t="s">
        <v>56</v>
      </c>
      <c r="J3858" t="s">
        <v>7028</v>
      </c>
      <c r="K3858" t="s">
        <v>91</v>
      </c>
      <c r="L3858" t="s">
        <v>46</v>
      </c>
      <c r="M3858" t="s">
        <v>47</v>
      </c>
      <c r="N3858" t="s">
        <v>35</v>
      </c>
      <c r="O3858" t="s">
        <v>70</v>
      </c>
      <c r="P3858" t="s">
        <v>58</v>
      </c>
      <c r="Q3858" t="s">
        <v>167</v>
      </c>
      <c r="R3858">
        <v>270</v>
      </c>
      <c r="S3858">
        <v>135</v>
      </c>
      <c r="T3858">
        <v>88</v>
      </c>
      <c r="U3858">
        <v>33</v>
      </c>
      <c r="V3858" t="s">
        <v>6705</v>
      </c>
      <c r="W3858">
        <v>43204</v>
      </c>
      <c r="X3858" t="s">
        <v>1752</v>
      </c>
      <c r="Y3858">
        <v>33882</v>
      </c>
      <c r="Z3858">
        <v>1425732</v>
      </c>
      <c r="AA3858">
        <v>307626</v>
      </c>
      <c r="AB3858" t="str">
        <f>(VLOOKUP(SalesData[[#This Row],[Month Number]],Reference!C$5:E$16,2,FALSE))</f>
        <v>Feb</v>
      </c>
      <c r="AC3858">
        <f>MONTH(SalesData[[#This Row],[Date]])</f>
        <v>2</v>
      </c>
      <c r="AD3858">
        <f>Reference!F$4</f>
        <v>2026</v>
      </c>
      <c r="AE3858" t="str">
        <f>IF(OR(SalesData[[#This Row],[Day]]="Saturday",SalesData[[#This Row],[Day]]="Sunday"),"Weekend","Weekday")</f>
        <v>Weekday</v>
      </c>
      <c r="AF3858" s="5">
        <f>IF(SalesData[[#This Row],[Contracts Offered]]=0,0,SalesData[[#This Row],[Contracts Signed]]/SalesData[[#This Row],[Contracts Offered]])</f>
        <v>0.375</v>
      </c>
      <c r="AG3858" s="5">
        <f>IF(SalesData[[#This Row],[Customers Visited]]=0,0,SalesData[[#This Row],[Test Drives]]/SalesData[[#This Row],[Customers Visited]])</f>
        <v>0.5</v>
      </c>
      <c r="AH3858" s="5">
        <f>IF(SalesData[[#This Row],[Customers Visited]]=0,0,SalesData[[#This Row],[Contracts Signed]]/SalesData[[#This Row],[Customers Visited]])</f>
        <v>0.12222222222222222</v>
      </c>
      <c r="AI3858" s="6">
        <f>IF(SalesData[[#This Row],[Contracts Signed]]=0,0,SalesData[[#This Row],[Profit(€)]]/SalesData[[#This Row],[Contracts Signed]])</f>
        <v>9322</v>
      </c>
      <c r="AJ3858" s="5" t="str">
        <f>TRIM(CLEAN(SalesData[[#This Row],[Retailer]]))</f>
        <v>Hannover Cars</v>
      </c>
    </row>
    <row r="3859" spans="1:36" ht="14.25" hidden="1" x14ac:dyDescent="0.2">
      <c r="A3859" t="s">
        <v>5089</v>
      </c>
      <c r="B3859" s="1">
        <v>46058</v>
      </c>
      <c r="C3859" t="s">
        <v>24</v>
      </c>
      <c r="D3859" t="s">
        <v>100</v>
      </c>
      <c r="E3859" t="s">
        <v>26</v>
      </c>
      <c r="F3859" t="s">
        <v>109</v>
      </c>
      <c r="G3859" t="s">
        <v>110</v>
      </c>
      <c r="H3859" t="s">
        <v>45</v>
      </c>
      <c r="I3859" t="s">
        <v>56</v>
      </c>
      <c r="J3859" t="s">
        <v>57</v>
      </c>
      <c r="K3859" t="s">
        <v>32</v>
      </c>
      <c r="L3859" t="s">
        <v>46</v>
      </c>
      <c r="M3859" t="s">
        <v>47</v>
      </c>
      <c r="N3859" t="s">
        <v>48</v>
      </c>
      <c r="O3859" t="s">
        <v>70</v>
      </c>
      <c r="P3859" t="s">
        <v>71</v>
      </c>
      <c r="Q3859" t="s">
        <v>347</v>
      </c>
      <c r="R3859">
        <v>310</v>
      </c>
      <c r="S3859">
        <v>169</v>
      </c>
      <c r="T3859">
        <v>122</v>
      </c>
      <c r="U3859">
        <v>34</v>
      </c>
      <c r="V3859" t="s">
        <v>6884</v>
      </c>
      <c r="W3859">
        <v>49767</v>
      </c>
      <c r="X3859" t="s">
        <v>7577</v>
      </c>
      <c r="Y3859">
        <v>38865</v>
      </c>
      <c r="Z3859">
        <v>1692078</v>
      </c>
      <c r="AA3859">
        <v>370668</v>
      </c>
      <c r="AB3859" t="str">
        <f>(VLOOKUP(SalesData[[#This Row],[Month Number]],Reference!C$5:E$16,2,FALSE))</f>
        <v>Feb</v>
      </c>
      <c r="AC3859">
        <f>MONTH(SalesData[[#This Row],[Date]])</f>
        <v>2</v>
      </c>
      <c r="AD3859">
        <f>Reference!F$4</f>
        <v>2026</v>
      </c>
      <c r="AE3859" t="str">
        <f>IF(OR(SalesData[[#This Row],[Day]]="Saturday",SalesData[[#This Row],[Day]]="Sunday"),"Weekend","Weekday")</f>
        <v>Weekday</v>
      </c>
      <c r="AF3859" s="5">
        <f>IF(SalesData[[#This Row],[Contracts Offered]]=0,0,SalesData[[#This Row],[Contracts Signed]]/SalesData[[#This Row],[Contracts Offered]])</f>
        <v>0.27868852459016391</v>
      </c>
      <c r="AG3859" s="5">
        <f>IF(SalesData[[#This Row],[Customers Visited]]=0,0,SalesData[[#This Row],[Test Drives]]/SalesData[[#This Row],[Customers Visited]])</f>
        <v>0.54516129032258065</v>
      </c>
      <c r="AH3859" s="5">
        <f>IF(SalesData[[#This Row],[Customers Visited]]=0,0,SalesData[[#This Row],[Contracts Signed]]/SalesData[[#This Row],[Customers Visited]])</f>
        <v>0.10967741935483871</v>
      </c>
      <c r="AI3859" s="6">
        <f>IF(SalesData[[#This Row],[Contracts Signed]]=0,0,SalesData[[#This Row],[Profit(€)]]/SalesData[[#This Row],[Contracts Signed]])</f>
        <v>10902</v>
      </c>
      <c r="AJ3859" s="5" t="str">
        <f>TRIM(CLEAN(SalesData[[#This Row],[Retailer]]))</f>
        <v>Leipzig Mobility</v>
      </c>
    </row>
    <row r="3860" spans="1:36" ht="14.25" hidden="1" x14ac:dyDescent="0.2">
      <c r="A3860" t="s">
        <v>5091</v>
      </c>
      <c r="B3860" s="1">
        <v>46075</v>
      </c>
      <c r="C3860" t="s">
        <v>53</v>
      </c>
      <c r="D3860" t="s">
        <v>41</v>
      </c>
      <c r="E3860" t="s">
        <v>42</v>
      </c>
      <c r="F3860" t="s">
        <v>127</v>
      </c>
      <c r="G3860" t="s">
        <v>128</v>
      </c>
      <c r="H3860" t="s">
        <v>103</v>
      </c>
      <c r="I3860" t="s">
        <v>56</v>
      </c>
      <c r="J3860" t="s">
        <v>179</v>
      </c>
      <c r="K3860" t="s">
        <v>66</v>
      </c>
      <c r="L3860" t="s">
        <v>67</v>
      </c>
      <c r="M3860" t="s">
        <v>47</v>
      </c>
      <c r="N3860" t="s">
        <v>69</v>
      </c>
      <c r="O3860" t="s">
        <v>36</v>
      </c>
      <c r="P3860" t="s">
        <v>58</v>
      </c>
      <c r="Q3860" t="s">
        <v>122</v>
      </c>
      <c r="R3860">
        <v>303</v>
      </c>
      <c r="S3860">
        <v>169</v>
      </c>
      <c r="T3860">
        <v>127</v>
      </c>
      <c r="U3860">
        <v>45</v>
      </c>
      <c r="V3860" t="s">
        <v>6645</v>
      </c>
      <c r="W3860">
        <v>41381</v>
      </c>
      <c r="X3860" t="s">
        <v>3096</v>
      </c>
      <c r="Y3860">
        <v>32355</v>
      </c>
      <c r="Z3860">
        <v>1862145</v>
      </c>
      <c r="AA3860">
        <v>406170</v>
      </c>
      <c r="AB3860" t="str">
        <f>(VLOOKUP(SalesData[[#This Row],[Month Number]],Reference!C$5:E$16,2,FALSE))</f>
        <v>Feb</v>
      </c>
      <c r="AC3860">
        <f>MONTH(SalesData[[#This Row],[Date]])</f>
        <v>2</v>
      </c>
      <c r="AD3860">
        <f>Reference!F$4</f>
        <v>2026</v>
      </c>
      <c r="AE3860" t="str">
        <f>IF(OR(SalesData[[#This Row],[Day]]="Saturday",SalesData[[#This Row],[Day]]="Sunday"),"Weekend","Weekday")</f>
        <v>Weekend</v>
      </c>
      <c r="AF3860" s="5">
        <f>IF(SalesData[[#This Row],[Contracts Offered]]=0,0,SalesData[[#This Row],[Contracts Signed]]/SalesData[[#This Row],[Contracts Offered]])</f>
        <v>0.3543307086614173</v>
      </c>
      <c r="AG3860" s="5">
        <f>IF(SalesData[[#This Row],[Customers Visited]]=0,0,SalesData[[#This Row],[Test Drives]]/SalesData[[#This Row],[Customers Visited]])</f>
        <v>0.55775577557755773</v>
      </c>
      <c r="AH3860" s="5">
        <f>IF(SalesData[[#This Row],[Customers Visited]]=0,0,SalesData[[#This Row],[Contracts Signed]]/SalesData[[#This Row],[Customers Visited]])</f>
        <v>0.14851485148514851</v>
      </c>
      <c r="AI3860" s="6">
        <f>IF(SalesData[[#This Row],[Contracts Signed]]=0,0,SalesData[[#This Row],[Profit(€)]]/SalesData[[#This Row],[Contracts Signed]])</f>
        <v>9026</v>
      </c>
      <c r="AJ3860" s="5" t="str">
        <f>TRIM(CLEAN(SalesData[[#This Row],[Retailer]]))</f>
        <v>Rhein Auto Group</v>
      </c>
    </row>
    <row r="3861" spans="1:36" ht="14.25" hidden="1" x14ac:dyDescent="0.2">
      <c r="A3861" t="s">
        <v>5092</v>
      </c>
      <c r="B3861" s="1">
        <v>46057</v>
      </c>
      <c r="C3861" t="s">
        <v>24</v>
      </c>
      <c r="D3861" t="s">
        <v>82</v>
      </c>
      <c r="E3861" t="s">
        <v>26</v>
      </c>
      <c r="F3861" t="s">
        <v>94</v>
      </c>
      <c r="G3861" t="s">
        <v>95</v>
      </c>
      <c r="H3861" t="s">
        <v>96</v>
      </c>
      <c r="I3861" t="s">
        <v>116</v>
      </c>
      <c r="J3861" t="s">
        <v>132</v>
      </c>
      <c r="K3861" t="s">
        <v>91</v>
      </c>
      <c r="L3861" t="s">
        <v>46</v>
      </c>
      <c r="M3861" t="s">
        <v>68</v>
      </c>
      <c r="N3861" t="s">
        <v>48</v>
      </c>
      <c r="O3861" t="s">
        <v>36</v>
      </c>
      <c r="P3861" t="s">
        <v>71</v>
      </c>
      <c r="Q3861" t="s">
        <v>59</v>
      </c>
      <c r="R3861">
        <v>412</v>
      </c>
      <c r="S3861">
        <v>182</v>
      </c>
      <c r="T3861">
        <v>113</v>
      </c>
      <c r="U3861">
        <v>33</v>
      </c>
      <c r="V3861" t="s">
        <v>878</v>
      </c>
      <c r="W3861">
        <v>26862</v>
      </c>
      <c r="X3861" t="s">
        <v>1480</v>
      </c>
      <c r="Y3861">
        <v>24679</v>
      </c>
      <c r="Z3861">
        <v>886446</v>
      </c>
      <c r="AA3861">
        <v>72039</v>
      </c>
      <c r="AB3861" t="str">
        <f>(VLOOKUP(SalesData[[#This Row],[Month Number]],Reference!C$5:E$16,2,FALSE))</f>
        <v>Feb</v>
      </c>
      <c r="AC3861">
        <f>MONTH(SalesData[[#This Row],[Date]])</f>
        <v>2</v>
      </c>
      <c r="AD3861">
        <f>Reference!F$4</f>
        <v>2026</v>
      </c>
      <c r="AE3861" t="str">
        <f>IF(OR(SalesData[[#This Row],[Day]]="Saturday",SalesData[[#This Row],[Day]]="Sunday"),"Weekend","Weekday")</f>
        <v>Weekday</v>
      </c>
      <c r="AF3861" s="5">
        <f>IF(SalesData[[#This Row],[Contracts Offered]]=0,0,SalesData[[#This Row],[Contracts Signed]]/SalesData[[#This Row],[Contracts Offered]])</f>
        <v>0.29203539823008851</v>
      </c>
      <c r="AG3861" s="5">
        <f>IF(SalesData[[#This Row],[Customers Visited]]=0,0,SalesData[[#This Row],[Test Drives]]/SalesData[[#This Row],[Customers Visited]])</f>
        <v>0.44174757281553401</v>
      </c>
      <c r="AH3861" s="5">
        <f>IF(SalesData[[#This Row],[Customers Visited]]=0,0,SalesData[[#This Row],[Contracts Signed]]/SalesData[[#This Row],[Customers Visited]])</f>
        <v>8.0097087378640783E-2</v>
      </c>
      <c r="AI3861" s="6">
        <f>IF(SalesData[[#This Row],[Contracts Signed]]=0,0,SalesData[[#This Row],[Profit(€)]]/SalesData[[#This Row],[Contracts Signed]])</f>
        <v>2183</v>
      </c>
      <c r="AJ3861" s="5" t="str">
        <f>TRIM(CLEAN(SalesData[[#This Row],[Retailer]]))</f>
        <v>Bavaria Motors</v>
      </c>
    </row>
    <row r="3862" spans="1:36" ht="14.25" x14ac:dyDescent="0.2">
      <c r="A3862" t="s">
        <v>5093</v>
      </c>
      <c r="B3862" s="1">
        <v>46059</v>
      </c>
      <c r="C3862" t="s">
        <v>24</v>
      </c>
      <c r="D3862" t="s">
        <v>54</v>
      </c>
      <c r="E3862" t="s">
        <v>26</v>
      </c>
      <c r="F3862" t="s">
        <v>109</v>
      </c>
      <c r="G3862" t="s">
        <v>110</v>
      </c>
      <c r="H3862" t="s">
        <v>45</v>
      </c>
      <c r="I3862" t="s">
        <v>30</v>
      </c>
      <c r="J3862" t="s">
        <v>7075</v>
      </c>
      <c r="K3862" t="s">
        <v>91</v>
      </c>
      <c r="L3862" t="s">
        <v>33</v>
      </c>
      <c r="M3862" t="s">
        <v>47</v>
      </c>
      <c r="N3862" t="s">
        <v>48</v>
      </c>
      <c r="O3862" t="s">
        <v>70</v>
      </c>
      <c r="P3862" t="s">
        <v>71</v>
      </c>
      <c r="Q3862" t="s">
        <v>118</v>
      </c>
      <c r="R3862">
        <v>150</v>
      </c>
      <c r="S3862">
        <v>86</v>
      </c>
      <c r="T3862">
        <v>59</v>
      </c>
      <c r="U3862">
        <v>25</v>
      </c>
      <c r="V3862" t="s">
        <v>6498</v>
      </c>
      <c r="W3862">
        <v>61511</v>
      </c>
      <c r="X3862" t="s">
        <v>2386</v>
      </c>
      <c r="Y3862">
        <v>46956</v>
      </c>
      <c r="Z3862">
        <v>1537775</v>
      </c>
      <c r="AA3862">
        <v>363875</v>
      </c>
      <c r="AB3862" t="str">
        <f>(VLOOKUP(SalesData[[#This Row],[Month Number]],Reference!C$5:E$16,2,FALSE))</f>
        <v>Feb</v>
      </c>
      <c r="AC3862">
        <f>MONTH(SalesData[[#This Row],[Date]])</f>
        <v>2</v>
      </c>
      <c r="AD3862">
        <f>Reference!F$4</f>
        <v>2026</v>
      </c>
      <c r="AE3862" t="str">
        <f>IF(OR(SalesData[[#This Row],[Day]]="Saturday",SalesData[[#This Row],[Day]]="Sunday"),"Weekend","Weekday")</f>
        <v>Weekday</v>
      </c>
      <c r="AF3862" s="5">
        <f>IF(SalesData[[#This Row],[Contracts Offered]]=0,0,SalesData[[#This Row],[Contracts Signed]]/SalesData[[#This Row],[Contracts Offered]])</f>
        <v>0.42372881355932202</v>
      </c>
      <c r="AG3862" s="5">
        <f>IF(SalesData[[#This Row],[Customers Visited]]=0,0,SalesData[[#This Row],[Test Drives]]/SalesData[[#This Row],[Customers Visited]])</f>
        <v>0.57333333333333336</v>
      </c>
      <c r="AH3862" s="5">
        <f>IF(SalesData[[#This Row],[Customers Visited]]=0,0,SalesData[[#This Row],[Contracts Signed]]/SalesData[[#This Row],[Customers Visited]])</f>
        <v>0.16666666666666666</v>
      </c>
      <c r="AI3862" s="6">
        <f>IF(SalesData[[#This Row],[Contracts Signed]]=0,0,SalesData[[#This Row],[Profit(€)]]/SalesData[[#This Row],[Contracts Signed]])</f>
        <v>14555</v>
      </c>
      <c r="AJ3862" s="5" t="str">
        <f>TRIM(CLEAN(SalesData[[#This Row],[Retailer]]))</f>
        <v>Leipzig Mobility</v>
      </c>
    </row>
    <row r="3863" spans="1:36" ht="14.25" x14ac:dyDescent="0.2">
      <c r="A3863" t="s">
        <v>5095</v>
      </c>
      <c r="B3863" s="1">
        <v>46057</v>
      </c>
      <c r="C3863" t="s">
        <v>24</v>
      </c>
      <c r="D3863" t="s">
        <v>82</v>
      </c>
      <c r="E3863" t="s">
        <v>26</v>
      </c>
      <c r="F3863" t="s">
        <v>83</v>
      </c>
      <c r="G3863" t="s">
        <v>84</v>
      </c>
      <c r="H3863" t="s">
        <v>85</v>
      </c>
      <c r="I3863" t="s">
        <v>30</v>
      </c>
      <c r="J3863" t="s">
        <v>188</v>
      </c>
      <c r="K3863" t="s">
        <v>32</v>
      </c>
      <c r="L3863" t="s">
        <v>33</v>
      </c>
      <c r="M3863" t="s">
        <v>87</v>
      </c>
      <c r="N3863" t="s">
        <v>35</v>
      </c>
      <c r="O3863" t="s">
        <v>70</v>
      </c>
      <c r="P3863" t="s">
        <v>58</v>
      </c>
      <c r="Q3863" t="s">
        <v>122</v>
      </c>
      <c r="R3863">
        <v>230</v>
      </c>
      <c r="S3863">
        <v>128</v>
      </c>
      <c r="T3863">
        <v>92</v>
      </c>
      <c r="U3863">
        <v>36</v>
      </c>
      <c r="V3863" t="s">
        <v>6514</v>
      </c>
      <c r="W3863">
        <v>60751</v>
      </c>
      <c r="X3863" t="s">
        <v>7285</v>
      </c>
      <c r="Y3863">
        <v>42716</v>
      </c>
      <c r="Z3863">
        <v>2187036</v>
      </c>
      <c r="AA3863">
        <v>649260</v>
      </c>
      <c r="AB3863" t="str">
        <f>(VLOOKUP(SalesData[[#This Row],[Month Number]],Reference!C$5:E$16,2,FALSE))</f>
        <v>Feb</v>
      </c>
      <c r="AC3863">
        <f>MONTH(SalesData[[#This Row],[Date]])</f>
        <v>2</v>
      </c>
      <c r="AD3863">
        <f>Reference!F$4</f>
        <v>2026</v>
      </c>
      <c r="AE3863" t="str">
        <f>IF(OR(SalesData[[#This Row],[Day]]="Saturday",SalesData[[#This Row],[Day]]="Sunday"),"Weekend","Weekday")</f>
        <v>Weekday</v>
      </c>
      <c r="AF3863" s="5">
        <f>IF(SalesData[[#This Row],[Contracts Offered]]=0,0,SalesData[[#This Row],[Contracts Signed]]/SalesData[[#This Row],[Contracts Offered]])</f>
        <v>0.39130434782608697</v>
      </c>
      <c r="AG3863" s="5">
        <f>IF(SalesData[[#This Row],[Customers Visited]]=0,0,SalesData[[#This Row],[Test Drives]]/SalesData[[#This Row],[Customers Visited]])</f>
        <v>0.55652173913043479</v>
      </c>
      <c r="AH3863" s="5">
        <f>IF(SalesData[[#This Row],[Customers Visited]]=0,0,SalesData[[#This Row],[Contracts Signed]]/SalesData[[#This Row],[Customers Visited]])</f>
        <v>0.15652173913043479</v>
      </c>
      <c r="AI3863" s="6">
        <f>IF(SalesData[[#This Row],[Contracts Signed]]=0,0,SalesData[[#This Row],[Profit(€)]]/SalesData[[#This Row],[Contracts Signed]])</f>
        <v>18035</v>
      </c>
      <c r="AJ3863" s="5" t="str">
        <f>TRIM(CLEAN(SalesData[[#This Row],[Retailer]]))</f>
        <v>Hannover Cars</v>
      </c>
    </row>
    <row r="3864" spans="1:36" ht="14.25" hidden="1" x14ac:dyDescent="0.2">
      <c r="A3864" t="s">
        <v>5096</v>
      </c>
      <c r="B3864" s="1">
        <v>46076</v>
      </c>
      <c r="C3864" t="s">
        <v>53</v>
      </c>
      <c r="D3864" t="s">
        <v>25</v>
      </c>
      <c r="E3864" t="s">
        <v>26</v>
      </c>
      <c r="F3864" t="s">
        <v>83</v>
      </c>
      <c r="G3864" t="s">
        <v>84</v>
      </c>
      <c r="H3864" t="s">
        <v>85</v>
      </c>
      <c r="I3864" t="s">
        <v>116</v>
      </c>
      <c r="J3864" t="s">
        <v>132</v>
      </c>
      <c r="K3864" t="s">
        <v>78</v>
      </c>
      <c r="L3864" t="s">
        <v>46</v>
      </c>
      <c r="M3864" t="s">
        <v>34</v>
      </c>
      <c r="N3864" t="s">
        <v>35</v>
      </c>
      <c r="O3864" t="s">
        <v>70</v>
      </c>
      <c r="P3864" t="s">
        <v>49</v>
      </c>
      <c r="Q3864" t="s">
        <v>88</v>
      </c>
      <c r="R3864">
        <v>235</v>
      </c>
      <c r="S3864">
        <v>117</v>
      </c>
      <c r="T3864">
        <v>67</v>
      </c>
      <c r="U3864">
        <v>14</v>
      </c>
      <c r="V3864" t="s">
        <v>1082</v>
      </c>
      <c r="W3864">
        <v>26224</v>
      </c>
      <c r="X3864" t="s">
        <v>2892</v>
      </c>
      <c r="Y3864">
        <v>23489</v>
      </c>
      <c r="Z3864">
        <v>367136</v>
      </c>
      <c r="AA3864">
        <v>38290</v>
      </c>
      <c r="AB3864" t="str">
        <f>(VLOOKUP(SalesData[[#This Row],[Month Number]],Reference!C$5:E$16,2,FALSE))</f>
        <v>Feb</v>
      </c>
      <c r="AC3864">
        <f>MONTH(SalesData[[#This Row],[Date]])</f>
        <v>2</v>
      </c>
      <c r="AD3864">
        <f>Reference!F$4</f>
        <v>2026</v>
      </c>
      <c r="AE3864" t="str">
        <f>IF(OR(SalesData[[#This Row],[Day]]="Saturday",SalesData[[#This Row],[Day]]="Sunday"),"Weekend","Weekday")</f>
        <v>Weekday</v>
      </c>
      <c r="AF3864" s="5">
        <f>IF(SalesData[[#This Row],[Contracts Offered]]=0,0,SalesData[[#This Row],[Contracts Signed]]/SalesData[[#This Row],[Contracts Offered]])</f>
        <v>0.20895522388059701</v>
      </c>
      <c r="AG3864" s="5">
        <f>IF(SalesData[[#This Row],[Customers Visited]]=0,0,SalesData[[#This Row],[Test Drives]]/SalesData[[#This Row],[Customers Visited]])</f>
        <v>0.49787234042553191</v>
      </c>
      <c r="AH3864" s="5">
        <f>IF(SalesData[[#This Row],[Customers Visited]]=0,0,SalesData[[#This Row],[Contracts Signed]]/SalesData[[#This Row],[Customers Visited]])</f>
        <v>5.9574468085106386E-2</v>
      </c>
      <c r="AI3864" s="6">
        <f>IF(SalesData[[#This Row],[Contracts Signed]]=0,0,SalesData[[#This Row],[Profit(€)]]/SalesData[[#This Row],[Contracts Signed]])</f>
        <v>2735</v>
      </c>
      <c r="AJ3864" s="5" t="str">
        <f>TRIM(CLEAN(SalesData[[#This Row],[Retailer]]))</f>
        <v>Hannover Cars</v>
      </c>
    </row>
    <row r="3865" spans="1:36" ht="14.25" x14ac:dyDescent="0.2">
      <c r="A3865" t="s">
        <v>5097</v>
      </c>
      <c r="B3865" s="1">
        <v>46058</v>
      </c>
      <c r="C3865" t="s">
        <v>24</v>
      </c>
      <c r="D3865" t="s">
        <v>100</v>
      </c>
      <c r="E3865" t="s">
        <v>26</v>
      </c>
      <c r="F3865" t="s">
        <v>27</v>
      </c>
      <c r="G3865" t="s">
        <v>28</v>
      </c>
      <c r="H3865" t="s">
        <v>29</v>
      </c>
      <c r="I3865" t="s">
        <v>30</v>
      </c>
      <c r="J3865" t="s">
        <v>7075</v>
      </c>
      <c r="K3865" t="s">
        <v>66</v>
      </c>
      <c r="L3865" t="s">
        <v>33</v>
      </c>
      <c r="M3865" t="s">
        <v>34</v>
      </c>
      <c r="N3865" t="s">
        <v>69</v>
      </c>
      <c r="O3865" t="s">
        <v>70</v>
      </c>
      <c r="P3865" t="s">
        <v>37</v>
      </c>
      <c r="Q3865" t="s">
        <v>167</v>
      </c>
      <c r="R3865">
        <v>191</v>
      </c>
      <c r="S3865">
        <v>106</v>
      </c>
      <c r="T3865">
        <v>81</v>
      </c>
      <c r="U3865">
        <v>29</v>
      </c>
      <c r="V3865" t="s">
        <v>6717</v>
      </c>
      <c r="W3865">
        <v>61447</v>
      </c>
      <c r="X3865" t="s">
        <v>7238</v>
      </c>
      <c r="Y3865">
        <v>45745</v>
      </c>
      <c r="Z3865">
        <v>1781963</v>
      </c>
      <c r="AA3865">
        <v>455358</v>
      </c>
      <c r="AB3865" t="str">
        <f>(VLOOKUP(SalesData[[#This Row],[Month Number]],Reference!C$5:E$16,2,FALSE))</f>
        <v>Feb</v>
      </c>
      <c r="AC3865">
        <f>MONTH(SalesData[[#This Row],[Date]])</f>
        <v>2</v>
      </c>
      <c r="AD3865">
        <f>Reference!F$4</f>
        <v>2026</v>
      </c>
      <c r="AE3865" t="str">
        <f>IF(OR(SalesData[[#This Row],[Day]]="Saturday",SalesData[[#This Row],[Day]]="Sunday"),"Weekend","Weekday")</f>
        <v>Weekday</v>
      </c>
      <c r="AF3865" s="5">
        <f>IF(SalesData[[#This Row],[Contracts Offered]]=0,0,SalesData[[#This Row],[Contracts Signed]]/SalesData[[#This Row],[Contracts Offered]])</f>
        <v>0.35802469135802467</v>
      </c>
      <c r="AG3865" s="5">
        <f>IF(SalesData[[#This Row],[Customers Visited]]=0,0,SalesData[[#This Row],[Test Drives]]/SalesData[[#This Row],[Customers Visited]])</f>
        <v>0.55497382198952883</v>
      </c>
      <c r="AH3865" s="5">
        <f>IF(SalesData[[#This Row],[Customers Visited]]=0,0,SalesData[[#This Row],[Contracts Signed]]/SalesData[[#This Row],[Customers Visited]])</f>
        <v>0.15183246073298429</v>
      </c>
      <c r="AI3865" s="6">
        <f>IF(SalesData[[#This Row],[Contracts Signed]]=0,0,SalesData[[#This Row],[Profit(€)]]/SalesData[[#This Row],[Contracts Signed]])</f>
        <v>15702</v>
      </c>
      <c r="AJ3865" s="5" t="str">
        <f>TRIM(CLEAN(SalesData[[#This Row],[Retailer]]))</f>
        <v>Main Auto Hub</v>
      </c>
    </row>
    <row r="3866" spans="1:36" ht="14.25" hidden="1" x14ac:dyDescent="0.2">
      <c r="A3866" t="s">
        <v>5098</v>
      </c>
      <c r="B3866" s="1">
        <v>46063</v>
      </c>
      <c r="C3866" t="s">
        <v>121</v>
      </c>
      <c r="D3866" t="s">
        <v>63</v>
      </c>
      <c r="E3866" t="s">
        <v>26</v>
      </c>
      <c r="F3866" t="s">
        <v>83</v>
      </c>
      <c r="G3866" t="s">
        <v>84</v>
      </c>
      <c r="H3866" t="s">
        <v>85</v>
      </c>
      <c r="I3866" t="s">
        <v>104</v>
      </c>
      <c r="J3866" t="s">
        <v>140</v>
      </c>
      <c r="K3866" t="s">
        <v>78</v>
      </c>
      <c r="L3866" t="s">
        <v>46</v>
      </c>
      <c r="M3866" t="s">
        <v>34</v>
      </c>
      <c r="N3866" t="s">
        <v>48</v>
      </c>
      <c r="O3866" t="s">
        <v>36</v>
      </c>
      <c r="P3866" t="s">
        <v>71</v>
      </c>
      <c r="Q3866" t="s">
        <v>240</v>
      </c>
      <c r="R3866">
        <v>496</v>
      </c>
      <c r="S3866">
        <v>240</v>
      </c>
      <c r="T3866">
        <v>163</v>
      </c>
      <c r="U3866">
        <v>46</v>
      </c>
      <c r="V3866" t="s">
        <v>5010</v>
      </c>
      <c r="W3866">
        <v>25953</v>
      </c>
      <c r="X3866" t="s">
        <v>2543</v>
      </c>
      <c r="Y3866">
        <v>22651</v>
      </c>
      <c r="Z3866">
        <v>1193838</v>
      </c>
      <c r="AA3866">
        <v>151892</v>
      </c>
      <c r="AB3866" t="str">
        <f>(VLOOKUP(SalesData[[#This Row],[Month Number]],Reference!C$5:E$16,2,FALSE))</f>
        <v>Feb</v>
      </c>
      <c r="AC3866">
        <f>MONTH(SalesData[[#This Row],[Date]])</f>
        <v>2</v>
      </c>
      <c r="AD3866">
        <f>Reference!F$4</f>
        <v>2026</v>
      </c>
      <c r="AE3866" t="str">
        <f>IF(OR(SalesData[[#This Row],[Day]]="Saturday",SalesData[[#This Row],[Day]]="Sunday"),"Weekend","Weekday")</f>
        <v>Weekday</v>
      </c>
      <c r="AF3866" s="5">
        <f>IF(SalesData[[#This Row],[Contracts Offered]]=0,0,SalesData[[#This Row],[Contracts Signed]]/SalesData[[#This Row],[Contracts Offered]])</f>
        <v>0.2822085889570552</v>
      </c>
      <c r="AG3866" s="5">
        <f>IF(SalesData[[#This Row],[Customers Visited]]=0,0,SalesData[[#This Row],[Test Drives]]/SalesData[[#This Row],[Customers Visited]])</f>
        <v>0.4838709677419355</v>
      </c>
      <c r="AH3866" s="5">
        <f>IF(SalesData[[#This Row],[Customers Visited]]=0,0,SalesData[[#This Row],[Contracts Signed]]/SalesData[[#This Row],[Customers Visited]])</f>
        <v>9.2741935483870969E-2</v>
      </c>
      <c r="AI3866" s="6">
        <f>IF(SalesData[[#This Row],[Contracts Signed]]=0,0,SalesData[[#This Row],[Profit(€)]]/SalesData[[#This Row],[Contracts Signed]])</f>
        <v>3302</v>
      </c>
      <c r="AJ3866" s="5" t="str">
        <f>TRIM(CLEAN(SalesData[[#This Row],[Retailer]]))</f>
        <v>Hannover Cars</v>
      </c>
    </row>
    <row r="3867" spans="1:36" ht="14.25" hidden="1" x14ac:dyDescent="0.2">
      <c r="A3867" t="s">
        <v>5099</v>
      </c>
      <c r="B3867" s="1">
        <v>46075</v>
      </c>
      <c r="C3867" t="s">
        <v>53</v>
      </c>
      <c r="D3867" t="s">
        <v>41</v>
      </c>
      <c r="E3867" t="s">
        <v>42</v>
      </c>
      <c r="F3867" t="s">
        <v>83</v>
      </c>
      <c r="G3867" t="s">
        <v>84</v>
      </c>
      <c r="H3867" t="s">
        <v>85</v>
      </c>
      <c r="I3867" t="s">
        <v>104</v>
      </c>
      <c r="J3867" t="s">
        <v>143</v>
      </c>
      <c r="K3867" t="s">
        <v>66</v>
      </c>
      <c r="L3867" t="s">
        <v>67</v>
      </c>
      <c r="M3867" t="s">
        <v>47</v>
      </c>
      <c r="N3867" t="s">
        <v>35</v>
      </c>
      <c r="O3867" t="s">
        <v>70</v>
      </c>
      <c r="P3867" t="s">
        <v>71</v>
      </c>
      <c r="Q3867" t="s">
        <v>204</v>
      </c>
      <c r="R3867">
        <v>427</v>
      </c>
      <c r="S3867">
        <v>213</v>
      </c>
      <c r="T3867">
        <v>142</v>
      </c>
      <c r="U3867">
        <v>30</v>
      </c>
      <c r="V3867" t="s">
        <v>927</v>
      </c>
      <c r="W3867">
        <v>27674</v>
      </c>
      <c r="X3867" t="s">
        <v>3061</v>
      </c>
      <c r="Y3867">
        <v>24739</v>
      </c>
      <c r="Z3867">
        <v>830220</v>
      </c>
      <c r="AA3867">
        <v>88050</v>
      </c>
      <c r="AB3867" t="str">
        <f>(VLOOKUP(SalesData[[#This Row],[Month Number]],Reference!C$5:E$16,2,FALSE))</f>
        <v>Feb</v>
      </c>
      <c r="AC3867">
        <f>MONTH(SalesData[[#This Row],[Date]])</f>
        <v>2</v>
      </c>
      <c r="AD3867">
        <f>Reference!F$4</f>
        <v>2026</v>
      </c>
      <c r="AE3867" t="str">
        <f>IF(OR(SalesData[[#This Row],[Day]]="Saturday",SalesData[[#This Row],[Day]]="Sunday"),"Weekend","Weekday")</f>
        <v>Weekend</v>
      </c>
      <c r="AF3867" s="5">
        <f>IF(SalesData[[#This Row],[Contracts Offered]]=0,0,SalesData[[#This Row],[Contracts Signed]]/SalesData[[#This Row],[Contracts Offered]])</f>
        <v>0.21126760563380281</v>
      </c>
      <c r="AG3867" s="5">
        <f>IF(SalesData[[#This Row],[Customers Visited]]=0,0,SalesData[[#This Row],[Test Drives]]/SalesData[[#This Row],[Customers Visited]])</f>
        <v>0.49882903981264637</v>
      </c>
      <c r="AH3867" s="5">
        <f>IF(SalesData[[#This Row],[Customers Visited]]=0,0,SalesData[[#This Row],[Contracts Signed]]/SalesData[[#This Row],[Customers Visited]])</f>
        <v>7.0257611241217793E-2</v>
      </c>
      <c r="AI3867" s="6">
        <f>IF(SalesData[[#This Row],[Contracts Signed]]=0,0,SalesData[[#This Row],[Profit(€)]]/SalesData[[#This Row],[Contracts Signed]])</f>
        <v>2935</v>
      </c>
      <c r="AJ3867" s="5" t="str">
        <f>TRIM(CLEAN(SalesData[[#This Row],[Retailer]]))</f>
        <v>Hannover Cars</v>
      </c>
    </row>
    <row r="3868" spans="1:36" ht="14.25" hidden="1" x14ac:dyDescent="0.2">
      <c r="A3868" t="s">
        <v>5100</v>
      </c>
      <c r="B3868" s="1">
        <v>46060</v>
      </c>
      <c r="C3868" t="s">
        <v>24</v>
      </c>
      <c r="D3868" t="s">
        <v>151</v>
      </c>
      <c r="E3868" t="s">
        <v>42</v>
      </c>
      <c r="F3868" t="s">
        <v>114</v>
      </c>
      <c r="G3868" t="s">
        <v>115</v>
      </c>
      <c r="H3868" t="s">
        <v>115</v>
      </c>
      <c r="I3868" t="s">
        <v>104</v>
      </c>
      <c r="J3868" t="s">
        <v>7061</v>
      </c>
      <c r="K3868" t="s">
        <v>78</v>
      </c>
      <c r="L3868" t="s">
        <v>46</v>
      </c>
      <c r="M3868" t="s">
        <v>34</v>
      </c>
      <c r="N3868" t="s">
        <v>69</v>
      </c>
      <c r="O3868" t="s">
        <v>36</v>
      </c>
      <c r="P3868" t="s">
        <v>49</v>
      </c>
      <c r="Q3868" t="s">
        <v>172</v>
      </c>
      <c r="R3868">
        <v>422</v>
      </c>
      <c r="S3868">
        <v>242</v>
      </c>
      <c r="T3868">
        <v>144</v>
      </c>
      <c r="U3868">
        <v>40</v>
      </c>
      <c r="V3868" t="s">
        <v>4349</v>
      </c>
      <c r="W3868">
        <v>29022</v>
      </c>
      <c r="X3868" t="s">
        <v>765</v>
      </c>
      <c r="Y3868">
        <v>24982</v>
      </c>
      <c r="Z3868">
        <v>1160880</v>
      </c>
      <c r="AA3868">
        <v>161600</v>
      </c>
      <c r="AB3868" t="str">
        <f>(VLOOKUP(SalesData[[#This Row],[Month Number]],Reference!C$5:E$16,2,FALSE))</f>
        <v>Feb</v>
      </c>
      <c r="AC3868">
        <f>MONTH(SalesData[[#This Row],[Date]])</f>
        <v>2</v>
      </c>
      <c r="AD3868">
        <f>Reference!F$4</f>
        <v>2026</v>
      </c>
      <c r="AE3868" t="str">
        <f>IF(OR(SalesData[[#This Row],[Day]]="Saturday",SalesData[[#This Row],[Day]]="Sunday"),"Weekend","Weekday")</f>
        <v>Weekend</v>
      </c>
      <c r="AF3868" s="5">
        <f>IF(SalesData[[#This Row],[Contracts Offered]]=0,0,SalesData[[#This Row],[Contracts Signed]]/SalesData[[#This Row],[Contracts Offered]])</f>
        <v>0.27777777777777779</v>
      </c>
      <c r="AG3868" s="5">
        <f>IF(SalesData[[#This Row],[Customers Visited]]=0,0,SalesData[[#This Row],[Test Drives]]/SalesData[[#This Row],[Customers Visited]])</f>
        <v>0.57345971563981046</v>
      </c>
      <c r="AH3868" s="5">
        <f>IF(SalesData[[#This Row],[Customers Visited]]=0,0,SalesData[[#This Row],[Contracts Signed]]/SalesData[[#This Row],[Customers Visited]])</f>
        <v>9.4786729857819899E-2</v>
      </c>
      <c r="AI3868" s="6">
        <f>IF(SalesData[[#This Row],[Contracts Signed]]=0,0,SalesData[[#This Row],[Profit(€)]]/SalesData[[#This Row],[Contracts Signed]])</f>
        <v>4040</v>
      </c>
      <c r="AJ3868" s="5" t="str">
        <f>TRIM(CLEAN(SalesData[[#This Row],[Retailer]]))</f>
        <v>Elbe Drive</v>
      </c>
    </row>
    <row r="3869" spans="1:36" ht="14.25" hidden="1" x14ac:dyDescent="0.2">
      <c r="A3869" t="s">
        <v>5101</v>
      </c>
      <c r="B3869" s="1">
        <v>46064</v>
      </c>
      <c r="C3869" t="s">
        <v>121</v>
      </c>
      <c r="D3869" t="s">
        <v>82</v>
      </c>
      <c r="E3869" t="s">
        <v>26</v>
      </c>
      <c r="F3869" t="s">
        <v>43</v>
      </c>
      <c r="G3869" t="s">
        <v>44</v>
      </c>
      <c r="H3869" t="s">
        <v>45</v>
      </c>
      <c r="I3869" t="s">
        <v>104</v>
      </c>
      <c r="J3869" t="s">
        <v>7031</v>
      </c>
      <c r="K3869" t="s">
        <v>66</v>
      </c>
      <c r="L3869" t="s">
        <v>46</v>
      </c>
      <c r="M3869" t="s">
        <v>68</v>
      </c>
      <c r="N3869" t="s">
        <v>69</v>
      </c>
      <c r="O3869" t="s">
        <v>36</v>
      </c>
      <c r="P3869" t="s">
        <v>71</v>
      </c>
      <c r="Q3869" t="s">
        <v>38</v>
      </c>
      <c r="R3869">
        <v>497</v>
      </c>
      <c r="S3869">
        <v>265</v>
      </c>
      <c r="T3869">
        <v>163</v>
      </c>
      <c r="U3869">
        <v>45</v>
      </c>
      <c r="V3869" t="s">
        <v>317</v>
      </c>
      <c r="W3869">
        <v>27367</v>
      </c>
      <c r="X3869" t="s">
        <v>421</v>
      </c>
      <c r="Y3869">
        <v>23828</v>
      </c>
      <c r="Z3869">
        <v>1231515</v>
      </c>
      <c r="AA3869">
        <v>159255</v>
      </c>
      <c r="AB3869" t="str">
        <f>(VLOOKUP(SalesData[[#This Row],[Month Number]],Reference!C$5:E$16,2,FALSE))</f>
        <v>Feb</v>
      </c>
      <c r="AC3869">
        <f>MONTH(SalesData[[#This Row],[Date]])</f>
        <v>2</v>
      </c>
      <c r="AD3869">
        <f>Reference!F$4</f>
        <v>2026</v>
      </c>
      <c r="AE3869" t="str">
        <f>IF(OR(SalesData[[#This Row],[Day]]="Saturday",SalesData[[#This Row],[Day]]="Sunday"),"Weekend","Weekday")</f>
        <v>Weekday</v>
      </c>
      <c r="AF3869" s="5">
        <f>IF(SalesData[[#This Row],[Contracts Offered]]=0,0,SalesData[[#This Row],[Contracts Signed]]/SalesData[[#This Row],[Contracts Offered]])</f>
        <v>0.27607361963190186</v>
      </c>
      <c r="AG3869" s="5">
        <f>IF(SalesData[[#This Row],[Customers Visited]]=0,0,SalesData[[#This Row],[Test Drives]]/SalesData[[#This Row],[Customers Visited]])</f>
        <v>0.53319919517102621</v>
      </c>
      <c r="AH3869" s="5">
        <f>IF(SalesData[[#This Row],[Customers Visited]]=0,0,SalesData[[#This Row],[Contracts Signed]]/SalesData[[#This Row],[Customers Visited]])</f>
        <v>9.0543259557344061E-2</v>
      </c>
      <c r="AI3869" s="6">
        <f>IF(SalesData[[#This Row],[Contracts Signed]]=0,0,SalesData[[#This Row],[Profit(€)]]/SalesData[[#This Row],[Contracts Signed]])</f>
        <v>3539</v>
      </c>
      <c r="AJ3869" s="5" t="str">
        <f>TRIM(CLEAN(SalesData[[#This Row],[Retailer]]))</f>
        <v>Saxon Wheels</v>
      </c>
    </row>
    <row r="3870" spans="1:36" ht="14.25" hidden="1" x14ac:dyDescent="0.2">
      <c r="A3870" t="s">
        <v>5102</v>
      </c>
      <c r="B3870" s="1">
        <v>46064</v>
      </c>
      <c r="C3870" t="s">
        <v>121</v>
      </c>
      <c r="D3870" t="s">
        <v>82</v>
      </c>
      <c r="E3870" t="s">
        <v>26</v>
      </c>
      <c r="F3870" t="s">
        <v>83</v>
      </c>
      <c r="G3870" t="s">
        <v>84</v>
      </c>
      <c r="H3870" t="s">
        <v>85</v>
      </c>
      <c r="I3870" t="s">
        <v>116</v>
      </c>
      <c r="J3870" t="s">
        <v>203</v>
      </c>
      <c r="K3870" t="s">
        <v>91</v>
      </c>
      <c r="L3870" t="s">
        <v>67</v>
      </c>
      <c r="M3870" t="s">
        <v>87</v>
      </c>
      <c r="N3870" t="s">
        <v>48</v>
      </c>
      <c r="O3870" t="s">
        <v>36</v>
      </c>
      <c r="P3870" t="s">
        <v>37</v>
      </c>
      <c r="Q3870" t="s">
        <v>59</v>
      </c>
      <c r="R3870">
        <v>332</v>
      </c>
      <c r="S3870">
        <v>134</v>
      </c>
      <c r="T3870">
        <v>90</v>
      </c>
      <c r="U3870">
        <v>20</v>
      </c>
      <c r="V3870" t="s">
        <v>327</v>
      </c>
      <c r="W3870">
        <v>25806</v>
      </c>
      <c r="X3870" t="s">
        <v>1366</v>
      </c>
      <c r="Y3870">
        <v>23111</v>
      </c>
      <c r="Z3870">
        <v>516120</v>
      </c>
      <c r="AA3870">
        <v>53900</v>
      </c>
      <c r="AB3870" t="str">
        <f>(VLOOKUP(SalesData[[#This Row],[Month Number]],Reference!C$5:E$16,2,FALSE))</f>
        <v>Feb</v>
      </c>
      <c r="AC3870">
        <f>MONTH(SalesData[[#This Row],[Date]])</f>
        <v>2</v>
      </c>
      <c r="AD3870">
        <f>Reference!F$4</f>
        <v>2026</v>
      </c>
      <c r="AE3870" t="str">
        <f>IF(OR(SalesData[[#This Row],[Day]]="Saturday",SalesData[[#This Row],[Day]]="Sunday"),"Weekend","Weekday")</f>
        <v>Weekday</v>
      </c>
      <c r="AF3870" s="5">
        <f>IF(SalesData[[#This Row],[Contracts Offered]]=0,0,SalesData[[#This Row],[Contracts Signed]]/SalesData[[#This Row],[Contracts Offered]])</f>
        <v>0.22222222222222221</v>
      </c>
      <c r="AG3870" s="5">
        <f>IF(SalesData[[#This Row],[Customers Visited]]=0,0,SalesData[[#This Row],[Test Drives]]/SalesData[[#This Row],[Customers Visited]])</f>
        <v>0.40361445783132532</v>
      </c>
      <c r="AH3870" s="5">
        <f>IF(SalesData[[#This Row],[Customers Visited]]=0,0,SalesData[[#This Row],[Contracts Signed]]/SalesData[[#This Row],[Customers Visited]])</f>
        <v>6.0240963855421686E-2</v>
      </c>
      <c r="AI3870" s="6">
        <f>IF(SalesData[[#This Row],[Contracts Signed]]=0,0,SalesData[[#This Row],[Profit(€)]]/SalesData[[#This Row],[Contracts Signed]])</f>
        <v>2695</v>
      </c>
      <c r="AJ3870" s="5" t="str">
        <f>TRIM(CLEAN(SalesData[[#This Row],[Retailer]]))</f>
        <v>Hannover Cars</v>
      </c>
    </row>
    <row r="3871" spans="1:36" ht="14.25" hidden="1" x14ac:dyDescent="0.2">
      <c r="A3871" t="s">
        <v>5103</v>
      </c>
      <c r="B3871" s="1">
        <v>46064</v>
      </c>
      <c r="C3871" t="s">
        <v>121</v>
      </c>
      <c r="D3871" t="s">
        <v>82</v>
      </c>
      <c r="E3871" t="s">
        <v>26</v>
      </c>
      <c r="F3871" t="s">
        <v>7649</v>
      </c>
      <c r="G3871" t="s">
        <v>55</v>
      </c>
      <c r="H3871" t="s">
        <v>55</v>
      </c>
      <c r="I3871" t="s">
        <v>64</v>
      </c>
      <c r="J3871" t="s">
        <v>77</v>
      </c>
      <c r="K3871" t="s">
        <v>91</v>
      </c>
      <c r="L3871" t="s">
        <v>46</v>
      </c>
      <c r="M3871" t="s">
        <v>47</v>
      </c>
      <c r="N3871" t="s">
        <v>69</v>
      </c>
      <c r="O3871" t="s">
        <v>70</v>
      </c>
      <c r="P3871" t="s">
        <v>58</v>
      </c>
      <c r="Q3871" t="s">
        <v>118</v>
      </c>
      <c r="R3871">
        <v>226</v>
      </c>
      <c r="S3871">
        <v>126</v>
      </c>
      <c r="T3871">
        <v>91</v>
      </c>
      <c r="U3871">
        <v>33</v>
      </c>
      <c r="V3871" t="s">
        <v>6663</v>
      </c>
      <c r="W3871">
        <v>67736</v>
      </c>
      <c r="X3871" t="s">
        <v>4550</v>
      </c>
      <c r="Y3871">
        <v>52376</v>
      </c>
      <c r="Z3871">
        <v>2235288</v>
      </c>
      <c r="AA3871">
        <v>506880</v>
      </c>
      <c r="AB3871" t="str">
        <f>(VLOOKUP(SalesData[[#This Row],[Month Number]],Reference!C$5:E$16,2,FALSE))</f>
        <v>Feb</v>
      </c>
      <c r="AC3871">
        <f>MONTH(SalesData[[#This Row],[Date]])</f>
        <v>2</v>
      </c>
      <c r="AD3871">
        <f>Reference!F$4</f>
        <v>2026</v>
      </c>
      <c r="AE3871" t="str">
        <f>IF(OR(SalesData[[#This Row],[Day]]="Saturday",SalesData[[#This Row],[Day]]="Sunday"),"Weekend","Weekday")</f>
        <v>Weekday</v>
      </c>
      <c r="AF3871" s="5">
        <f>IF(SalesData[[#This Row],[Contracts Offered]]=0,0,SalesData[[#This Row],[Contracts Signed]]/SalesData[[#This Row],[Contracts Offered]])</f>
        <v>0.36263736263736263</v>
      </c>
      <c r="AG3871" s="5">
        <f>IF(SalesData[[#This Row],[Customers Visited]]=0,0,SalesData[[#This Row],[Test Drives]]/SalesData[[#This Row],[Customers Visited]])</f>
        <v>0.55752212389380529</v>
      </c>
      <c r="AH3871" s="5">
        <f>IF(SalesData[[#This Row],[Customers Visited]]=0,0,SalesData[[#This Row],[Contracts Signed]]/SalesData[[#This Row],[Customers Visited]])</f>
        <v>0.14601769911504425</v>
      </c>
      <c r="AI3871" s="6">
        <f>IF(SalesData[[#This Row],[Contracts Signed]]=0,0,SalesData[[#This Row],[Profit(€)]]/SalesData[[#This Row],[Contracts Signed]])</f>
        <v>15360</v>
      </c>
      <c r="AJ3871" s="5" t="str">
        <f>TRIM(CLEAN(SalesData[[#This Row],[Retailer]]))</f>
        <v>Autohaus Berlin</v>
      </c>
    </row>
    <row r="3872" spans="1:36" ht="14.25" hidden="1" x14ac:dyDescent="0.2">
      <c r="A3872" t="s">
        <v>5104</v>
      </c>
      <c r="B3872" s="1">
        <v>46055</v>
      </c>
      <c r="C3872" t="s">
        <v>24</v>
      </c>
      <c r="D3872" t="s">
        <v>25</v>
      </c>
      <c r="E3872" t="s">
        <v>26</v>
      </c>
      <c r="F3872" t="s">
        <v>114</v>
      </c>
      <c r="G3872" t="s">
        <v>115</v>
      </c>
      <c r="H3872" t="s">
        <v>115</v>
      </c>
      <c r="I3872" t="s">
        <v>56</v>
      </c>
      <c r="J3872" t="s">
        <v>137</v>
      </c>
      <c r="K3872" t="s">
        <v>32</v>
      </c>
      <c r="L3872" t="s">
        <v>46</v>
      </c>
      <c r="M3872" t="s">
        <v>87</v>
      </c>
      <c r="N3872" t="s">
        <v>48</v>
      </c>
      <c r="O3872" t="s">
        <v>36</v>
      </c>
      <c r="P3872" t="s">
        <v>37</v>
      </c>
      <c r="Q3872" t="s">
        <v>152</v>
      </c>
      <c r="R3872">
        <v>233</v>
      </c>
      <c r="S3872">
        <v>146</v>
      </c>
      <c r="T3872">
        <v>102</v>
      </c>
      <c r="U3872">
        <v>33</v>
      </c>
      <c r="V3872" t="s">
        <v>6750</v>
      </c>
      <c r="W3872">
        <v>40460</v>
      </c>
      <c r="X3872" t="s">
        <v>7191</v>
      </c>
      <c r="Y3872">
        <v>32206</v>
      </c>
      <c r="Z3872">
        <v>1335180</v>
      </c>
      <c r="AA3872">
        <v>272382</v>
      </c>
      <c r="AB3872" t="str">
        <f>(VLOOKUP(SalesData[[#This Row],[Month Number]],Reference!C$5:E$16,2,FALSE))</f>
        <v>Feb</v>
      </c>
      <c r="AC3872">
        <f>MONTH(SalesData[[#This Row],[Date]])</f>
        <v>2</v>
      </c>
      <c r="AD3872">
        <f>Reference!F$4</f>
        <v>2026</v>
      </c>
      <c r="AE3872" t="str">
        <f>IF(OR(SalesData[[#This Row],[Day]]="Saturday",SalesData[[#This Row],[Day]]="Sunday"),"Weekend","Weekday")</f>
        <v>Weekday</v>
      </c>
      <c r="AF3872" s="5">
        <f>IF(SalesData[[#This Row],[Contracts Offered]]=0,0,SalesData[[#This Row],[Contracts Signed]]/SalesData[[#This Row],[Contracts Offered]])</f>
        <v>0.3235294117647059</v>
      </c>
      <c r="AG3872" s="5">
        <f>IF(SalesData[[#This Row],[Customers Visited]]=0,0,SalesData[[#This Row],[Test Drives]]/SalesData[[#This Row],[Customers Visited]])</f>
        <v>0.62660944206008584</v>
      </c>
      <c r="AH3872" s="5">
        <f>IF(SalesData[[#This Row],[Customers Visited]]=0,0,SalesData[[#This Row],[Contracts Signed]]/SalesData[[#This Row],[Customers Visited]])</f>
        <v>0.14163090128755365</v>
      </c>
      <c r="AI3872" s="6">
        <f>IF(SalesData[[#This Row],[Contracts Signed]]=0,0,SalesData[[#This Row],[Profit(€)]]/SalesData[[#This Row],[Contracts Signed]])</f>
        <v>8254</v>
      </c>
      <c r="AJ3872" s="5" t="str">
        <f>TRIM(CLEAN(SalesData[[#This Row],[Retailer]]))</f>
        <v>Elbe Drive</v>
      </c>
    </row>
    <row r="3873" spans="1:36" ht="14.25" hidden="1" x14ac:dyDescent="0.2">
      <c r="A3873" t="s">
        <v>5105</v>
      </c>
      <c r="B3873" s="1">
        <v>46064</v>
      </c>
      <c r="C3873" t="s">
        <v>121</v>
      </c>
      <c r="D3873" t="s">
        <v>82</v>
      </c>
      <c r="E3873" t="s">
        <v>26</v>
      </c>
      <c r="F3873" t="s">
        <v>27</v>
      </c>
      <c r="G3873" t="s">
        <v>28</v>
      </c>
      <c r="H3873" t="s">
        <v>29</v>
      </c>
      <c r="I3873" t="s">
        <v>116</v>
      </c>
      <c r="J3873" t="s">
        <v>117</v>
      </c>
      <c r="K3873" t="s">
        <v>32</v>
      </c>
      <c r="L3873" t="s">
        <v>67</v>
      </c>
      <c r="M3873" t="s">
        <v>68</v>
      </c>
      <c r="N3873" t="s">
        <v>48</v>
      </c>
      <c r="O3873" t="s">
        <v>36</v>
      </c>
      <c r="P3873" t="s">
        <v>49</v>
      </c>
      <c r="Q3873" t="s">
        <v>240</v>
      </c>
      <c r="R3873">
        <v>288</v>
      </c>
      <c r="S3873">
        <v>135</v>
      </c>
      <c r="T3873">
        <v>82</v>
      </c>
      <c r="U3873">
        <v>20</v>
      </c>
      <c r="V3873" t="s">
        <v>288</v>
      </c>
      <c r="W3873">
        <v>23768</v>
      </c>
      <c r="X3873" t="s">
        <v>1943</v>
      </c>
      <c r="Y3873">
        <v>21816</v>
      </c>
      <c r="Z3873">
        <v>475360</v>
      </c>
      <c r="AA3873">
        <v>39040</v>
      </c>
      <c r="AB3873" t="str">
        <f>(VLOOKUP(SalesData[[#This Row],[Month Number]],Reference!C$5:E$16,2,FALSE))</f>
        <v>Feb</v>
      </c>
      <c r="AC3873">
        <f>MONTH(SalesData[[#This Row],[Date]])</f>
        <v>2</v>
      </c>
      <c r="AD3873">
        <f>Reference!F$4</f>
        <v>2026</v>
      </c>
      <c r="AE3873" t="str">
        <f>IF(OR(SalesData[[#This Row],[Day]]="Saturday",SalesData[[#This Row],[Day]]="Sunday"),"Weekend","Weekday")</f>
        <v>Weekday</v>
      </c>
      <c r="AF3873" s="5">
        <f>IF(SalesData[[#This Row],[Contracts Offered]]=0,0,SalesData[[#This Row],[Contracts Signed]]/SalesData[[#This Row],[Contracts Offered]])</f>
        <v>0.24390243902439024</v>
      </c>
      <c r="AG3873" s="5">
        <f>IF(SalesData[[#This Row],[Customers Visited]]=0,0,SalesData[[#This Row],[Test Drives]]/SalesData[[#This Row],[Customers Visited]])</f>
        <v>0.46875</v>
      </c>
      <c r="AH3873" s="5">
        <f>IF(SalesData[[#This Row],[Customers Visited]]=0,0,SalesData[[#This Row],[Contracts Signed]]/SalesData[[#This Row],[Customers Visited]])</f>
        <v>6.9444444444444448E-2</v>
      </c>
      <c r="AI3873" s="6">
        <f>IF(SalesData[[#This Row],[Contracts Signed]]=0,0,SalesData[[#This Row],[Profit(€)]]/SalesData[[#This Row],[Contracts Signed]])</f>
        <v>1952</v>
      </c>
      <c r="AJ3873" s="5" t="str">
        <f>TRIM(CLEAN(SalesData[[#This Row],[Retailer]]))</f>
        <v>Main Auto Hub</v>
      </c>
    </row>
    <row r="3874" spans="1:36" ht="14.25" hidden="1" x14ac:dyDescent="0.2">
      <c r="A3874" t="s">
        <v>5106</v>
      </c>
      <c r="B3874" s="1">
        <v>46069</v>
      </c>
      <c r="C3874" t="s">
        <v>62</v>
      </c>
      <c r="D3874" t="s">
        <v>25</v>
      </c>
      <c r="E3874" t="s">
        <v>26</v>
      </c>
      <c r="F3874" t="s">
        <v>27</v>
      </c>
      <c r="G3874" t="s">
        <v>28</v>
      </c>
      <c r="H3874" t="s">
        <v>29</v>
      </c>
      <c r="I3874" t="s">
        <v>116</v>
      </c>
      <c r="J3874" t="s">
        <v>7026</v>
      </c>
      <c r="K3874" t="s">
        <v>78</v>
      </c>
      <c r="L3874" t="s">
        <v>46</v>
      </c>
      <c r="M3874" t="s">
        <v>34</v>
      </c>
      <c r="N3874" t="s">
        <v>48</v>
      </c>
      <c r="O3874" t="s">
        <v>70</v>
      </c>
      <c r="P3874" t="s">
        <v>49</v>
      </c>
      <c r="Q3874" t="s">
        <v>135</v>
      </c>
      <c r="R3874">
        <v>272</v>
      </c>
      <c r="S3874">
        <v>123</v>
      </c>
      <c r="T3874">
        <v>71</v>
      </c>
      <c r="U3874">
        <v>14</v>
      </c>
      <c r="V3874" t="s">
        <v>1992</v>
      </c>
      <c r="W3874">
        <v>22540</v>
      </c>
      <c r="X3874" t="s">
        <v>7345</v>
      </c>
      <c r="Y3874">
        <v>20279</v>
      </c>
      <c r="Z3874">
        <v>315560</v>
      </c>
      <c r="AA3874">
        <v>31654</v>
      </c>
      <c r="AB3874" t="str">
        <f>(VLOOKUP(SalesData[[#This Row],[Month Number]],Reference!C$5:E$16,2,FALSE))</f>
        <v>Feb</v>
      </c>
      <c r="AC3874">
        <f>MONTH(SalesData[[#This Row],[Date]])</f>
        <v>2</v>
      </c>
      <c r="AD3874">
        <f>Reference!F$4</f>
        <v>2026</v>
      </c>
      <c r="AE3874" t="str">
        <f>IF(OR(SalesData[[#This Row],[Day]]="Saturday",SalesData[[#This Row],[Day]]="Sunday"),"Weekend","Weekday")</f>
        <v>Weekday</v>
      </c>
      <c r="AF3874" s="5">
        <f>IF(SalesData[[#This Row],[Contracts Offered]]=0,0,SalesData[[#This Row],[Contracts Signed]]/SalesData[[#This Row],[Contracts Offered]])</f>
        <v>0.19718309859154928</v>
      </c>
      <c r="AG3874" s="5">
        <f>IF(SalesData[[#This Row],[Customers Visited]]=0,0,SalesData[[#This Row],[Test Drives]]/SalesData[[#This Row],[Customers Visited]])</f>
        <v>0.45220588235294118</v>
      </c>
      <c r="AH3874" s="5">
        <f>IF(SalesData[[#This Row],[Customers Visited]]=0,0,SalesData[[#This Row],[Contracts Signed]]/SalesData[[#This Row],[Customers Visited]])</f>
        <v>5.1470588235294115E-2</v>
      </c>
      <c r="AI3874" s="6">
        <f>IF(SalesData[[#This Row],[Contracts Signed]]=0,0,SalesData[[#This Row],[Profit(€)]]/SalesData[[#This Row],[Contracts Signed]])</f>
        <v>2261</v>
      </c>
      <c r="AJ3874" s="5" t="str">
        <f>TRIM(CLEAN(SalesData[[#This Row],[Retailer]]))</f>
        <v>Main Auto Hub</v>
      </c>
    </row>
    <row r="3875" spans="1:36" ht="14.25" hidden="1" x14ac:dyDescent="0.2">
      <c r="A3875" t="s">
        <v>5108</v>
      </c>
      <c r="B3875" s="1">
        <v>46065</v>
      </c>
      <c r="C3875" t="s">
        <v>121</v>
      </c>
      <c r="D3875" t="s">
        <v>100</v>
      </c>
      <c r="E3875" t="s">
        <v>26</v>
      </c>
      <c r="F3875" t="s">
        <v>109</v>
      </c>
      <c r="G3875" t="s">
        <v>110</v>
      </c>
      <c r="H3875" t="s">
        <v>45</v>
      </c>
      <c r="I3875" t="s">
        <v>56</v>
      </c>
      <c r="J3875" t="s">
        <v>179</v>
      </c>
      <c r="K3875" t="s">
        <v>91</v>
      </c>
      <c r="L3875" t="s">
        <v>67</v>
      </c>
      <c r="M3875" t="s">
        <v>68</v>
      </c>
      <c r="N3875" t="s">
        <v>48</v>
      </c>
      <c r="O3875" t="s">
        <v>36</v>
      </c>
      <c r="P3875" t="s">
        <v>71</v>
      </c>
      <c r="Q3875" t="s">
        <v>169</v>
      </c>
      <c r="R3875">
        <v>257</v>
      </c>
      <c r="S3875">
        <v>140</v>
      </c>
      <c r="T3875">
        <v>93</v>
      </c>
      <c r="U3875">
        <v>33</v>
      </c>
      <c r="V3875" t="s">
        <v>6782</v>
      </c>
      <c r="W3875">
        <v>46778</v>
      </c>
      <c r="X3875" t="s">
        <v>2006</v>
      </c>
      <c r="Y3875">
        <v>37933</v>
      </c>
      <c r="Z3875">
        <v>1543674</v>
      </c>
      <c r="AA3875">
        <v>291885</v>
      </c>
      <c r="AB3875" t="str">
        <f>(VLOOKUP(SalesData[[#This Row],[Month Number]],Reference!C$5:E$16,2,FALSE))</f>
        <v>Feb</v>
      </c>
      <c r="AC3875">
        <f>MONTH(SalesData[[#This Row],[Date]])</f>
        <v>2</v>
      </c>
      <c r="AD3875">
        <f>Reference!F$4</f>
        <v>2026</v>
      </c>
      <c r="AE3875" t="str">
        <f>IF(OR(SalesData[[#This Row],[Day]]="Saturday",SalesData[[#This Row],[Day]]="Sunday"),"Weekend","Weekday")</f>
        <v>Weekday</v>
      </c>
      <c r="AF3875" s="5">
        <f>IF(SalesData[[#This Row],[Contracts Offered]]=0,0,SalesData[[#This Row],[Contracts Signed]]/SalesData[[#This Row],[Contracts Offered]])</f>
        <v>0.35483870967741937</v>
      </c>
      <c r="AG3875" s="5">
        <f>IF(SalesData[[#This Row],[Customers Visited]]=0,0,SalesData[[#This Row],[Test Drives]]/SalesData[[#This Row],[Customers Visited]])</f>
        <v>0.54474708171206221</v>
      </c>
      <c r="AH3875" s="5">
        <f>IF(SalesData[[#This Row],[Customers Visited]]=0,0,SalesData[[#This Row],[Contracts Signed]]/SalesData[[#This Row],[Customers Visited]])</f>
        <v>0.12840466926070038</v>
      </c>
      <c r="AI3875" s="6">
        <f>IF(SalesData[[#This Row],[Contracts Signed]]=0,0,SalesData[[#This Row],[Profit(€)]]/SalesData[[#This Row],[Contracts Signed]])</f>
        <v>8845</v>
      </c>
      <c r="AJ3875" s="5" t="str">
        <f>TRIM(CLEAN(SalesData[[#This Row],[Retailer]]))</f>
        <v>Leipzig Mobility</v>
      </c>
    </row>
    <row r="3876" spans="1:36" ht="14.25" hidden="1" x14ac:dyDescent="0.2">
      <c r="A3876" t="s">
        <v>5109</v>
      </c>
      <c r="B3876" s="1">
        <v>46066</v>
      </c>
      <c r="C3876" t="s">
        <v>121</v>
      </c>
      <c r="D3876" t="s">
        <v>54</v>
      </c>
      <c r="E3876" t="s">
        <v>26</v>
      </c>
      <c r="F3876" t="s">
        <v>114</v>
      </c>
      <c r="G3876" t="s">
        <v>115</v>
      </c>
      <c r="H3876" t="s">
        <v>115</v>
      </c>
      <c r="I3876" t="s">
        <v>64</v>
      </c>
      <c r="J3876" t="s">
        <v>65</v>
      </c>
      <c r="K3876" t="s">
        <v>66</v>
      </c>
      <c r="L3876" t="s">
        <v>33</v>
      </c>
      <c r="M3876" t="s">
        <v>47</v>
      </c>
      <c r="N3876" t="s">
        <v>69</v>
      </c>
      <c r="O3876" t="s">
        <v>36</v>
      </c>
      <c r="P3876" t="s">
        <v>58</v>
      </c>
      <c r="Q3876" t="s">
        <v>347</v>
      </c>
      <c r="R3876">
        <v>207</v>
      </c>
      <c r="S3876">
        <v>105</v>
      </c>
      <c r="T3876">
        <v>76</v>
      </c>
      <c r="U3876">
        <v>30</v>
      </c>
      <c r="V3876" t="s">
        <v>6357</v>
      </c>
      <c r="W3876">
        <v>71122</v>
      </c>
      <c r="X3876" t="s">
        <v>7182</v>
      </c>
      <c r="Y3876">
        <v>53240</v>
      </c>
      <c r="Z3876">
        <v>2133660</v>
      </c>
      <c r="AA3876">
        <v>536460</v>
      </c>
      <c r="AB3876" t="str">
        <f>(VLOOKUP(SalesData[[#This Row],[Month Number]],Reference!C$5:E$16,2,FALSE))</f>
        <v>Feb</v>
      </c>
      <c r="AC3876">
        <f>MONTH(SalesData[[#This Row],[Date]])</f>
        <v>2</v>
      </c>
      <c r="AD3876">
        <f>Reference!F$4</f>
        <v>2026</v>
      </c>
      <c r="AE3876" t="str">
        <f>IF(OR(SalesData[[#This Row],[Day]]="Saturday",SalesData[[#This Row],[Day]]="Sunday"),"Weekend","Weekday")</f>
        <v>Weekday</v>
      </c>
      <c r="AF3876" s="5">
        <f>IF(SalesData[[#This Row],[Contracts Offered]]=0,0,SalesData[[#This Row],[Contracts Signed]]/SalesData[[#This Row],[Contracts Offered]])</f>
        <v>0.39473684210526316</v>
      </c>
      <c r="AG3876" s="5">
        <f>IF(SalesData[[#This Row],[Customers Visited]]=0,0,SalesData[[#This Row],[Test Drives]]/SalesData[[#This Row],[Customers Visited]])</f>
        <v>0.50724637681159424</v>
      </c>
      <c r="AH3876" s="5">
        <f>IF(SalesData[[#This Row],[Customers Visited]]=0,0,SalesData[[#This Row],[Contracts Signed]]/SalesData[[#This Row],[Customers Visited]])</f>
        <v>0.14492753623188406</v>
      </c>
      <c r="AI3876" s="6">
        <f>IF(SalesData[[#This Row],[Contracts Signed]]=0,0,SalesData[[#This Row],[Profit(€)]]/SalesData[[#This Row],[Contracts Signed]])</f>
        <v>17882</v>
      </c>
      <c r="AJ3876" s="5" t="str">
        <f>TRIM(CLEAN(SalesData[[#This Row],[Retailer]]))</f>
        <v>Elbe Drive</v>
      </c>
    </row>
    <row r="3877" spans="1:36" ht="14.25" hidden="1" x14ac:dyDescent="0.2">
      <c r="A3877" t="s">
        <v>5110</v>
      </c>
      <c r="B3877" s="1">
        <v>46075</v>
      </c>
      <c r="C3877" t="s">
        <v>53</v>
      </c>
      <c r="D3877" t="s">
        <v>41</v>
      </c>
      <c r="E3877" t="s">
        <v>42</v>
      </c>
      <c r="F3877" t="s">
        <v>43</v>
      </c>
      <c r="G3877" t="s">
        <v>44</v>
      </c>
      <c r="H3877" t="s">
        <v>45</v>
      </c>
      <c r="I3877" t="s">
        <v>56</v>
      </c>
      <c r="J3877" t="s">
        <v>57</v>
      </c>
      <c r="K3877" t="s">
        <v>66</v>
      </c>
      <c r="L3877" t="s">
        <v>46</v>
      </c>
      <c r="M3877" t="s">
        <v>68</v>
      </c>
      <c r="N3877" t="s">
        <v>69</v>
      </c>
      <c r="O3877" t="s">
        <v>70</v>
      </c>
      <c r="P3877" t="s">
        <v>37</v>
      </c>
      <c r="Q3877" t="s">
        <v>169</v>
      </c>
      <c r="R3877">
        <v>239</v>
      </c>
      <c r="S3877">
        <v>122</v>
      </c>
      <c r="T3877">
        <v>86</v>
      </c>
      <c r="U3877">
        <v>21</v>
      </c>
      <c r="V3877" t="s">
        <v>3581</v>
      </c>
      <c r="W3877">
        <v>44816</v>
      </c>
      <c r="X3877" t="s">
        <v>7485</v>
      </c>
      <c r="Y3877">
        <v>36270</v>
      </c>
      <c r="Z3877">
        <v>941136</v>
      </c>
      <c r="AA3877">
        <v>179466</v>
      </c>
      <c r="AB3877" t="str">
        <f>(VLOOKUP(SalesData[[#This Row],[Month Number]],Reference!C$5:E$16,2,FALSE))</f>
        <v>Feb</v>
      </c>
      <c r="AC3877">
        <f>MONTH(SalesData[[#This Row],[Date]])</f>
        <v>2</v>
      </c>
      <c r="AD3877">
        <f>Reference!F$4</f>
        <v>2026</v>
      </c>
      <c r="AE3877" t="str">
        <f>IF(OR(SalesData[[#This Row],[Day]]="Saturday",SalesData[[#This Row],[Day]]="Sunday"),"Weekend","Weekday")</f>
        <v>Weekend</v>
      </c>
      <c r="AF3877" s="5">
        <f>IF(SalesData[[#This Row],[Contracts Offered]]=0,0,SalesData[[#This Row],[Contracts Signed]]/SalesData[[#This Row],[Contracts Offered]])</f>
        <v>0.2441860465116279</v>
      </c>
      <c r="AG3877" s="5">
        <f>IF(SalesData[[#This Row],[Customers Visited]]=0,0,SalesData[[#This Row],[Test Drives]]/SalesData[[#This Row],[Customers Visited]])</f>
        <v>0.5104602510460251</v>
      </c>
      <c r="AH3877" s="5">
        <f>IF(SalesData[[#This Row],[Customers Visited]]=0,0,SalesData[[#This Row],[Contracts Signed]]/SalesData[[#This Row],[Customers Visited]])</f>
        <v>8.7866108786610872E-2</v>
      </c>
      <c r="AI3877" s="6">
        <f>IF(SalesData[[#This Row],[Contracts Signed]]=0,0,SalesData[[#This Row],[Profit(€)]]/SalesData[[#This Row],[Contracts Signed]])</f>
        <v>8546</v>
      </c>
      <c r="AJ3877" s="5" t="str">
        <f>TRIM(CLEAN(SalesData[[#This Row],[Retailer]]))</f>
        <v>Saxon Wheels</v>
      </c>
    </row>
    <row r="3878" spans="1:36" ht="14.25" hidden="1" x14ac:dyDescent="0.2">
      <c r="A3878" t="s">
        <v>5111</v>
      </c>
      <c r="B3878" s="1">
        <v>46080</v>
      </c>
      <c r="C3878" t="s">
        <v>53</v>
      </c>
      <c r="D3878" t="s">
        <v>54</v>
      </c>
      <c r="E3878" t="s">
        <v>26</v>
      </c>
      <c r="F3878" t="s">
        <v>74</v>
      </c>
      <c r="G3878" t="s">
        <v>75</v>
      </c>
      <c r="H3878" t="s">
        <v>76</v>
      </c>
      <c r="I3878" t="s">
        <v>104</v>
      </c>
      <c r="J3878" t="s">
        <v>7061</v>
      </c>
      <c r="K3878" t="s">
        <v>91</v>
      </c>
      <c r="L3878" t="s">
        <v>46</v>
      </c>
      <c r="M3878" t="s">
        <v>47</v>
      </c>
      <c r="N3878" t="s">
        <v>48</v>
      </c>
      <c r="O3878" t="s">
        <v>36</v>
      </c>
      <c r="P3878" t="s">
        <v>49</v>
      </c>
      <c r="Q3878" t="s">
        <v>122</v>
      </c>
      <c r="R3878">
        <v>416</v>
      </c>
      <c r="S3878">
        <v>204</v>
      </c>
      <c r="T3878">
        <v>127</v>
      </c>
      <c r="U3878">
        <v>36</v>
      </c>
      <c r="V3878" t="s">
        <v>859</v>
      </c>
      <c r="W3878">
        <v>29995</v>
      </c>
      <c r="X3878" t="s">
        <v>273</v>
      </c>
      <c r="Y3878">
        <v>26713</v>
      </c>
      <c r="Z3878">
        <v>1079820</v>
      </c>
      <c r="AA3878">
        <v>118152</v>
      </c>
      <c r="AB3878" t="str">
        <f>(VLOOKUP(SalesData[[#This Row],[Month Number]],Reference!C$5:E$16,2,FALSE))</f>
        <v>Feb</v>
      </c>
      <c r="AC3878">
        <f>MONTH(SalesData[[#This Row],[Date]])</f>
        <v>2</v>
      </c>
      <c r="AD3878">
        <f>Reference!F$4</f>
        <v>2026</v>
      </c>
      <c r="AE3878" t="str">
        <f>IF(OR(SalesData[[#This Row],[Day]]="Saturday",SalesData[[#This Row],[Day]]="Sunday"),"Weekend","Weekday")</f>
        <v>Weekday</v>
      </c>
      <c r="AF3878" s="5">
        <f>IF(SalesData[[#This Row],[Contracts Offered]]=0,0,SalesData[[#This Row],[Contracts Signed]]/SalesData[[#This Row],[Contracts Offered]])</f>
        <v>0.28346456692913385</v>
      </c>
      <c r="AG3878" s="5">
        <f>IF(SalesData[[#This Row],[Customers Visited]]=0,0,SalesData[[#This Row],[Test Drives]]/SalesData[[#This Row],[Customers Visited]])</f>
        <v>0.49038461538461536</v>
      </c>
      <c r="AH3878" s="5">
        <f>IF(SalesData[[#This Row],[Customers Visited]]=0,0,SalesData[[#This Row],[Contracts Signed]]/SalesData[[#This Row],[Customers Visited]])</f>
        <v>8.6538461538461536E-2</v>
      </c>
      <c r="AI3878" s="6">
        <f>IF(SalesData[[#This Row],[Contracts Signed]]=0,0,SalesData[[#This Row],[Profit(€)]]/SalesData[[#This Row],[Contracts Signed]])</f>
        <v>3282</v>
      </c>
      <c r="AJ3878" s="5" t="str">
        <f>TRIM(CLEAN(SalesData[[#This Row],[Retailer]]))</f>
        <v>Stuttgart Auto Center</v>
      </c>
    </row>
    <row r="3879" spans="1:36" ht="14.25" hidden="1" x14ac:dyDescent="0.2">
      <c r="A3879" t="s">
        <v>5112</v>
      </c>
      <c r="B3879" s="1">
        <v>46071</v>
      </c>
      <c r="C3879" t="s">
        <v>62</v>
      </c>
      <c r="D3879" t="s">
        <v>82</v>
      </c>
      <c r="E3879" t="s">
        <v>26</v>
      </c>
      <c r="F3879" t="s">
        <v>27</v>
      </c>
      <c r="G3879" t="s">
        <v>28</v>
      </c>
      <c r="H3879" t="s">
        <v>29</v>
      </c>
      <c r="I3879" t="s">
        <v>116</v>
      </c>
      <c r="J3879" t="s">
        <v>117</v>
      </c>
      <c r="K3879" t="s">
        <v>91</v>
      </c>
      <c r="L3879" t="s">
        <v>67</v>
      </c>
      <c r="M3879" t="s">
        <v>87</v>
      </c>
      <c r="N3879" t="s">
        <v>48</v>
      </c>
      <c r="O3879" t="s">
        <v>36</v>
      </c>
      <c r="P3879" t="s">
        <v>58</v>
      </c>
      <c r="Q3879" t="s">
        <v>129</v>
      </c>
      <c r="R3879">
        <v>418</v>
      </c>
      <c r="S3879">
        <v>181</v>
      </c>
      <c r="T3879">
        <v>126</v>
      </c>
      <c r="U3879">
        <v>37</v>
      </c>
      <c r="V3879" t="s">
        <v>6377</v>
      </c>
      <c r="W3879">
        <v>20832</v>
      </c>
      <c r="X3879" t="s">
        <v>3932</v>
      </c>
      <c r="Y3879">
        <v>18943</v>
      </c>
      <c r="Z3879">
        <v>770784</v>
      </c>
      <c r="AA3879">
        <v>69893</v>
      </c>
      <c r="AB3879" t="str">
        <f>(VLOOKUP(SalesData[[#This Row],[Month Number]],Reference!C$5:E$16,2,FALSE))</f>
        <v>Feb</v>
      </c>
      <c r="AC3879">
        <f>MONTH(SalesData[[#This Row],[Date]])</f>
        <v>2</v>
      </c>
      <c r="AD3879">
        <f>Reference!F$4</f>
        <v>2026</v>
      </c>
      <c r="AE3879" t="str">
        <f>IF(OR(SalesData[[#This Row],[Day]]="Saturday",SalesData[[#This Row],[Day]]="Sunday"),"Weekend","Weekday")</f>
        <v>Weekday</v>
      </c>
      <c r="AF3879" s="5">
        <f>IF(SalesData[[#This Row],[Contracts Offered]]=0,0,SalesData[[#This Row],[Contracts Signed]]/SalesData[[#This Row],[Contracts Offered]])</f>
        <v>0.29365079365079366</v>
      </c>
      <c r="AG3879" s="5">
        <f>IF(SalesData[[#This Row],[Customers Visited]]=0,0,SalesData[[#This Row],[Test Drives]]/SalesData[[#This Row],[Customers Visited]])</f>
        <v>0.43301435406698563</v>
      </c>
      <c r="AH3879" s="5">
        <f>IF(SalesData[[#This Row],[Customers Visited]]=0,0,SalesData[[#This Row],[Contracts Signed]]/SalesData[[#This Row],[Customers Visited]])</f>
        <v>8.8516746411483258E-2</v>
      </c>
      <c r="AI3879" s="6">
        <f>IF(SalesData[[#This Row],[Contracts Signed]]=0,0,SalesData[[#This Row],[Profit(€)]]/SalesData[[#This Row],[Contracts Signed]])</f>
        <v>1889</v>
      </c>
      <c r="AJ3879" s="5" t="str">
        <f>TRIM(CLEAN(SalesData[[#This Row],[Retailer]]))</f>
        <v>Main Auto Hub</v>
      </c>
    </row>
    <row r="3880" spans="1:36" ht="14.25" hidden="1" x14ac:dyDescent="0.2">
      <c r="A3880" t="s">
        <v>5114</v>
      </c>
      <c r="B3880" s="1">
        <v>46072</v>
      </c>
      <c r="C3880" t="s">
        <v>62</v>
      </c>
      <c r="D3880" t="s">
        <v>100</v>
      </c>
      <c r="E3880" t="s">
        <v>26</v>
      </c>
      <c r="F3880" t="s">
        <v>7649</v>
      </c>
      <c r="G3880" t="s">
        <v>55</v>
      </c>
      <c r="H3880" t="s">
        <v>55</v>
      </c>
      <c r="I3880" t="s">
        <v>116</v>
      </c>
      <c r="J3880" t="s">
        <v>7026</v>
      </c>
      <c r="K3880" t="s">
        <v>66</v>
      </c>
      <c r="L3880" t="s">
        <v>46</v>
      </c>
      <c r="M3880" t="s">
        <v>34</v>
      </c>
      <c r="N3880" t="s">
        <v>35</v>
      </c>
      <c r="O3880" t="s">
        <v>70</v>
      </c>
      <c r="P3880" t="s">
        <v>71</v>
      </c>
      <c r="Q3880" t="s">
        <v>79</v>
      </c>
      <c r="R3880">
        <v>422</v>
      </c>
      <c r="S3880">
        <v>222</v>
      </c>
      <c r="T3880">
        <v>144</v>
      </c>
      <c r="U3880">
        <v>37</v>
      </c>
      <c r="V3880" t="s">
        <v>508</v>
      </c>
      <c r="W3880">
        <v>19771</v>
      </c>
      <c r="X3880" t="s">
        <v>676</v>
      </c>
      <c r="Y3880">
        <v>17701</v>
      </c>
      <c r="Z3880">
        <v>731527</v>
      </c>
      <c r="AA3880">
        <v>76590</v>
      </c>
      <c r="AB3880" t="str">
        <f>(VLOOKUP(SalesData[[#This Row],[Month Number]],Reference!C$5:E$16,2,FALSE))</f>
        <v>Feb</v>
      </c>
      <c r="AC3880">
        <f>MONTH(SalesData[[#This Row],[Date]])</f>
        <v>2</v>
      </c>
      <c r="AD3880">
        <f>Reference!F$4</f>
        <v>2026</v>
      </c>
      <c r="AE3880" t="str">
        <f>IF(OR(SalesData[[#This Row],[Day]]="Saturday",SalesData[[#This Row],[Day]]="Sunday"),"Weekend","Weekday")</f>
        <v>Weekday</v>
      </c>
      <c r="AF3880" s="5">
        <f>IF(SalesData[[#This Row],[Contracts Offered]]=0,0,SalesData[[#This Row],[Contracts Signed]]/SalesData[[#This Row],[Contracts Offered]])</f>
        <v>0.25694444444444442</v>
      </c>
      <c r="AG3880" s="5">
        <f>IF(SalesData[[#This Row],[Customers Visited]]=0,0,SalesData[[#This Row],[Test Drives]]/SalesData[[#This Row],[Customers Visited]])</f>
        <v>0.52606635071090047</v>
      </c>
      <c r="AH3880" s="5">
        <f>IF(SalesData[[#This Row],[Customers Visited]]=0,0,SalesData[[#This Row],[Contracts Signed]]/SalesData[[#This Row],[Customers Visited]])</f>
        <v>8.7677725118483416E-2</v>
      </c>
      <c r="AI3880" s="6">
        <f>IF(SalesData[[#This Row],[Contracts Signed]]=0,0,SalesData[[#This Row],[Profit(€)]]/SalesData[[#This Row],[Contracts Signed]])</f>
        <v>2070</v>
      </c>
      <c r="AJ3880" s="5" t="str">
        <f>TRIM(CLEAN(SalesData[[#This Row],[Retailer]]))</f>
        <v>Autohaus Berlin</v>
      </c>
    </row>
    <row r="3881" spans="1:36" ht="14.25" hidden="1" x14ac:dyDescent="0.2">
      <c r="A3881" t="s">
        <v>5115</v>
      </c>
      <c r="B3881" s="1">
        <v>46065</v>
      </c>
      <c r="C3881" t="s">
        <v>121</v>
      </c>
      <c r="D3881" t="s">
        <v>100</v>
      </c>
      <c r="E3881" t="s">
        <v>26</v>
      </c>
      <c r="F3881" t="s">
        <v>74</v>
      </c>
      <c r="G3881" t="s">
        <v>75</v>
      </c>
      <c r="H3881" t="s">
        <v>76</v>
      </c>
      <c r="I3881" t="s">
        <v>56</v>
      </c>
      <c r="J3881" t="s">
        <v>137</v>
      </c>
      <c r="K3881" t="s">
        <v>32</v>
      </c>
      <c r="L3881" t="s">
        <v>46</v>
      </c>
      <c r="M3881" t="s">
        <v>47</v>
      </c>
      <c r="N3881" t="s">
        <v>35</v>
      </c>
      <c r="O3881" t="s">
        <v>36</v>
      </c>
      <c r="P3881" t="s">
        <v>49</v>
      </c>
      <c r="Q3881" t="s">
        <v>79</v>
      </c>
      <c r="R3881">
        <v>280</v>
      </c>
      <c r="S3881">
        <v>140</v>
      </c>
      <c r="T3881">
        <v>95</v>
      </c>
      <c r="U3881">
        <v>34</v>
      </c>
      <c r="V3881" t="s">
        <v>6572</v>
      </c>
      <c r="W3881">
        <v>40985</v>
      </c>
      <c r="X3881" t="s">
        <v>7536</v>
      </c>
      <c r="Y3881">
        <v>31170</v>
      </c>
      <c r="Z3881">
        <v>1393490</v>
      </c>
      <c r="AA3881">
        <v>333710</v>
      </c>
      <c r="AB3881" t="str">
        <f>(VLOOKUP(SalesData[[#This Row],[Month Number]],Reference!C$5:E$16,2,FALSE))</f>
        <v>Feb</v>
      </c>
      <c r="AC3881">
        <f>MONTH(SalesData[[#This Row],[Date]])</f>
        <v>2</v>
      </c>
      <c r="AD3881">
        <f>Reference!F$4</f>
        <v>2026</v>
      </c>
      <c r="AE3881" t="str">
        <f>IF(OR(SalesData[[#This Row],[Day]]="Saturday",SalesData[[#This Row],[Day]]="Sunday"),"Weekend","Weekday")</f>
        <v>Weekday</v>
      </c>
      <c r="AF3881" s="5">
        <f>IF(SalesData[[#This Row],[Contracts Offered]]=0,0,SalesData[[#This Row],[Contracts Signed]]/SalesData[[#This Row],[Contracts Offered]])</f>
        <v>0.35789473684210527</v>
      </c>
      <c r="AG3881" s="5">
        <f>IF(SalesData[[#This Row],[Customers Visited]]=0,0,SalesData[[#This Row],[Test Drives]]/SalesData[[#This Row],[Customers Visited]])</f>
        <v>0.5</v>
      </c>
      <c r="AH3881" s="5">
        <f>IF(SalesData[[#This Row],[Customers Visited]]=0,0,SalesData[[#This Row],[Contracts Signed]]/SalesData[[#This Row],[Customers Visited]])</f>
        <v>0.12142857142857143</v>
      </c>
      <c r="AI3881" s="6">
        <f>IF(SalesData[[#This Row],[Contracts Signed]]=0,0,SalesData[[#This Row],[Profit(€)]]/SalesData[[#This Row],[Contracts Signed]])</f>
        <v>9815</v>
      </c>
      <c r="AJ3881" s="5" t="str">
        <f>TRIM(CLEAN(SalesData[[#This Row],[Retailer]]))</f>
        <v>Stuttgart Auto Center</v>
      </c>
    </row>
    <row r="3882" spans="1:36" ht="14.25" x14ac:dyDescent="0.2">
      <c r="A3882" t="s">
        <v>5116</v>
      </c>
      <c r="B3882" s="1">
        <v>46066</v>
      </c>
      <c r="C3882" t="s">
        <v>121</v>
      </c>
      <c r="D3882" t="s">
        <v>54</v>
      </c>
      <c r="E3882" t="s">
        <v>26</v>
      </c>
      <c r="F3882" t="s">
        <v>109</v>
      </c>
      <c r="G3882" t="s">
        <v>110</v>
      </c>
      <c r="H3882" t="s">
        <v>45</v>
      </c>
      <c r="I3882" t="s">
        <v>30</v>
      </c>
      <c r="J3882" t="s">
        <v>7075</v>
      </c>
      <c r="K3882" t="s">
        <v>66</v>
      </c>
      <c r="L3882" t="s">
        <v>33</v>
      </c>
      <c r="M3882" t="s">
        <v>34</v>
      </c>
      <c r="N3882" t="s">
        <v>35</v>
      </c>
      <c r="O3882" t="s">
        <v>36</v>
      </c>
      <c r="P3882" t="s">
        <v>58</v>
      </c>
      <c r="Q3882" t="s">
        <v>169</v>
      </c>
      <c r="R3882">
        <v>165</v>
      </c>
      <c r="S3882">
        <v>81</v>
      </c>
      <c r="T3882">
        <v>55</v>
      </c>
      <c r="U3882">
        <v>25</v>
      </c>
      <c r="V3882" t="s">
        <v>7556</v>
      </c>
      <c r="W3882">
        <v>57292</v>
      </c>
      <c r="X3882" t="s">
        <v>7097</v>
      </c>
      <c r="Y3882">
        <v>42302</v>
      </c>
      <c r="Z3882">
        <v>1432300</v>
      </c>
      <c r="AA3882">
        <v>374750</v>
      </c>
      <c r="AB3882" t="str">
        <f>(VLOOKUP(SalesData[[#This Row],[Month Number]],Reference!C$5:E$16,2,FALSE))</f>
        <v>Feb</v>
      </c>
      <c r="AC3882">
        <f>MONTH(SalesData[[#This Row],[Date]])</f>
        <v>2</v>
      </c>
      <c r="AD3882">
        <f>Reference!F$4</f>
        <v>2026</v>
      </c>
      <c r="AE3882" t="str">
        <f>IF(OR(SalesData[[#This Row],[Day]]="Saturday",SalesData[[#This Row],[Day]]="Sunday"),"Weekend","Weekday")</f>
        <v>Weekday</v>
      </c>
      <c r="AF3882" s="5">
        <f>IF(SalesData[[#This Row],[Contracts Offered]]=0,0,SalesData[[#This Row],[Contracts Signed]]/SalesData[[#This Row],[Contracts Offered]])</f>
        <v>0.45454545454545453</v>
      </c>
      <c r="AG3882" s="5">
        <f>IF(SalesData[[#This Row],[Customers Visited]]=0,0,SalesData[[#This Row],[Test Drives]]/SalesData[[#This Row],[Customers Visited]])</f>
        <v>0.49090909090909091</v>
      </c>
      <c r="AH3882" s="5">
        <f>IF(SalesData[[#This Row],[Customers Visited]]=0,0,SalesData[[#This Row],[Contracts Signed]]/SalesData[[#This Row],[Customers Visited]])</f>
        <v>0.15151515151515152</v>
      </c>
      <c r="AI3882" s="6">
        <f>IF(SalesData[[#This Row],[Contracts Signed]]=0,0,SalesData[[#This Row],[Profit(€)]]/SalesData[[#This Row],[Contracts Signed]])</f>
        <v>14990</v>
      </c>
      <c r="AJ3882" s="5" t="str">
        <f>TRIM(CLEAN(SalesData[[#This Row],[Retailer]]))</f>
        <v>Leipzig Mobility</v>
      </c>
    </row>
    <row r="3883" spans="1:36" ht="14.25" hidden="1" x14ac:dyDescent="0.2">
      <c r="A3883" t="s">
        <v>5117</v>
      </c>
      <c r="B3883" s="1">
        <v>46070</v>
      </c>
      <c r="C3883" t="s">
        <v>62</v>
      </c>
      <c r="D3883" t="s">
        <v>63</v>
      </c>
      <c r="E3883" t="s">
        <v>26</v>
      </c>
      <c r="F3883" t="s">
        <v>94</v>
      </c>
      <c r="G3883" t="s">
        <v>95</v>
      </c>
      <c r="H3883" t="s">
        <v>96</v>
      </c>
      <c r="I3883" t="s">
        <v>116</v>
      </c>
      <c r="J3883" t="s">
        <v>203</v>
      </c>
      <c r="K3883" t="s">
        <v>32</v>
      </c>
      <c r="L3883" t="s">
        <v>67</v>
      </c>
      <c r="M3883" t="s">
        <v>47</v>
      </c>
      <c r="N3883" t="s">
        <v>35</v>
      </c>
      <c r="O3883" t="s">
        <v>70</v>
      </c>
      <c r="P3883" t="s">
        <v>49</v>
      </c>
      <c r="Q3883" t="s">
        <v>135</v>
      </c>
      <c r="R3883">
        <v>275</v>
      </c>
      <c r="S3883">
        <v>108</v>
      </c>
      <c r="T3883">
        <v>68</v>
      </c>
      <c r="U3883">
        <v>17</v>
      </c>
      <c r="V3883" t="s">
        <v>1996</v>
      </c>
      <c r="W3883">
        <v>23282</v>
      </c>
      <c r="X3883" t="s">
        <v>7614</v>
      </c>
      <c r="Y3883">
        <v>20923</v>
      </c>
      <c r="Z3883">
        <v>395794</v>
      </c>
      <c r="AA3883">
        <v>40103</v>
      </c>
      <c r="AB3883" t="str">
        <f>(VLOOKUP(SalesData[[#This Row],[Month Number]],Reference!C$5:E$16,2,FALSE))</f>
        <v>Feb</v>
      </c>
      <c r="AC3883">
        <f>MONTH(SalesData[[#This Row],[Date]])</f>
        <v>2</v>
      </c>
      <c r="AD3883">
        <f>Reference!F$4</f>
        <v>2026</v>
      </c>
      <c r="AE3883" t="str">
        <f>IF(OR(SalesData[[#This Row],[Day]]="Saturday",SalesData[[#This Row],[Day]]="Sunday"),"Weekend","Weekday")</f>
        <v>Weekday</v>
      </c>
      <c r="AF3883" s="5">
        <f>IF(SalesData[[#This Row],[Contracts Offered]]=0,0,SalesData[[#This Row],[Contracts Signed]]/SalesData[[#This Row],[Contracts Offered]])</f>
        <v>0.25</v>
      </c>
      <c r="AG3883" s="5">
        <f>IF(SalesData[[#This Row],[Customers Visited]]=0,0,SalesData[[#This Row],[Test Drives]]/SalesData[[#This Row],[Customers Visited]])</f>
        <v>0.3927272727272727</v>
      </c>
      <c r="AH3883" s="5">
        <f>IF(SalesData[[#This Row],[Customers Visited]]=0,0,SalesData[[#This Row],[Contracts Signed]]/SalesData[[#This Row],[Customers Visited]])</f>
        <v>6.1818181818181821E-2</v>
      </c>
      <c r="AI3883" s="6">
        <f>IF(SalesData[[#This Row],[Contracts Signed]]=0,0,SalesData[[#This Row],[Profit(€)]]/SalesData[[#This Row],[Contracts Signed]])</f>
        <v>2359</v>
      </c>
      <c r="AJ3883" s="5" t="str">
        <f>TRIM(CLEAN(SalesData[[#This Row],[Retailer]]))</f>
        <v>Bavaria Motors</v>
      </c>
    </row>
    <row r="3884" spans="1:36" ht="14.25" hidden="1" x14ac:dyDescent="0.2">
      <c r="A3884" t="s">
        <v>5118</v>
      </c>
      <c r="B3884" s="1">
        <v>46072</v>
      </c>
      <c r="C3884" t="s">
        <v>62</v>
      </c>
      <c r="D3884" t="s">
        <v>100</v>
      </c>
      <c r="E3884" t="s">
        <v>26</v>
      </c>
      <c r="F3884" t="s">
        <v>114</v>
      </c>
      <c r="G3884" t="s">
        <v>115</v>
      </c>
      <c r="H3884" t="s">
        <v>115</v>
      </c>
      <c r="I3884" t="s">
        <v>64</v>
      </c>
      <c r="J3884" t="s">
        <v>111</v>
      </c>
      <c r="K3884" t="s">
        <v>66</v>
      </c>
      <c r="L3884" t="s">
        <v>46</v>
      </c>
      <c r="M3884" t="s">
        <v>47</v>
      </c>
      <c r="N3884" t="s">
        <v>48</v>
      </c>
      <c r="O3884" t="s">
        <v>36</v>
      </c>
      <c r="P3884" t="s">
        <v>58</v>
      </c>
      <c r="Q3884" t="s">
        <v>347</v>
      </c>
      <c r="R3884">
        <v>216</v>
      </c>
      <c r="S3884">
        <v>116</v>
      </c>
      <c r="T3884">
        <v>92</v>
      </c>
      <c r="U3884">
        <v>34</v>
      </c>
      <c r="V3884" t="s">
        <v>6915</v>
      </c>
      <c r="W3884">
        <v>52724</v>
      </c>
      <c r="X3884" t="s">
        <v>1551</v>
      </c>
      <c r="Y3884">
        <v>39526</v>
      </c>
      <c r="Z3884">
        <v>1792616</v>
      </c>
      <c r="AA3884">
        <v>448732</v>
      </c>
      <c r="AB3884" t="str">
        <f>(VLOOKUP(SalesData[[#This Row],[Month Number]],Reference!C$5:E$16,2,FALSE))</f>
        <v>Feb</v>
      </c>
      <c r="AC3884">
        <f>MONTH(SalesData[[#This Row],[Date]])</f>
        <v>2</v>
      </c>
      <c r="AD3884">
        <f>Reference!F$4</f>
        <v>2026</v>
      </c>
      <c r="AE3884" t="str">
        <f>IF(OR(SalesData[[#This Row],[Day]]="Saturday",SalesData[[#This Row],[Day]]="Sunday"),"Weekend","Weekday")</f>
        <v>Weekday</v>
      </c>
      <c r="AF3884" s="5">
        <f>IF(SalesData[[#This Row],[Contracts Offered]]=0,0,SalesData[[#This Row],[Contracts Signed]]/SalesData[[#This Row],[Contracts Offered]])</f>
        <v>0.36956521739130432</v>
      </c>
      <c r="AG3884" s="5">
        <f>IF(SalesData[[#This Row],[Customers Visited]]=0,0,SalesData[[#This Row],[Test Drives]]/SalesData[[#This Row],[Customers Visited]])</f>
        <v>0.53703703703703709</v>
      </c>
      <c r="AH3884" s="5">
        <f>IF(SalesData[[#This Row],[Customers Visited]]=0,0,SalesData[[#This Row],[Contracts Signed]]/SalesData[[#This Row],[Customers Visited]])</f>
        <v>0.15740740740740741</v>
      </c>
      <c r="AI3884" s="6">
        <f>IF(SalesData[[#This Row],[Contracts Signed]]=0,0,SalesData[[#This Row],[Profit(€)]]/SalesData[[#This Row],[Contracts Signed]])</f>
        <v>13198</v>
      </c>
      <c r="AJ3884" s="5" t="str">
        <f>TRIM(CLEAN(SalesData[[#This Row],[Retailer]]))</f>
        <v>Elbe Drive</v>
      </c>
    </row>
    <row r="3885" spans="1:36" ht="14.25" hidden="1" x14ac:dyDescent="0.2">
      <c r="A3885" t="s">
        <v>5119</v>
      </c>
      <c r="B3885" s="1">
        <v>46074</v>
      </c>
      <c r="C3885" t="s">
        <v>62</v>
      </c>
      <c r="D3885" t="s">
        <v>151</v>
      </c>
      <c r="E3885" t="s">
        <v>42</v>
      </c>
      <c r="F3885" t="s">
        <v>114</v>
      </c>
      <c r="G3885" t="s">
        <v>115</v>
      </c>
      <c r="H3885" t="s">
        <v>115</v>
      </c>
      <c r="I3885" t="s">
        <v>116</v>
      </c>
      <c r="J3885" t="s">
        <v>203</v>
      </c>
      <c r="K3885" t="s">
        <v>78</v>
      </c>
      <c r="L3885" t="s">
        <v>67</v>
      </c>
      <c r="M3885" t="s">
        <v>47</v>
      </c>
      <c r="N3885" t="s">
        <v>35</v>
      </c>
      <c r="O3885" t="s">
        <v>70</v>
      </c>
      <c r="P3885" t="s">
        <v>58</v>
      </c>
      <c r="Q3885" t="s">
        <v>118</v>
      </c>
      <c r="R3885">
        <v>289</v>
      </c>
      <c r="S3885">
        <v>140</v>
      </c>
      <c r="T3885">
        <v>84</v>
      </c>
      <c r="U3885">
        <v>27</v>
      </c>
      <c r="V3885" t="s">
        <v>3715</v>
      </c>
      <c r="W3885">
        <v>23909</v>
      </c>
      <c r="X3885" t="s">
        <v>5693</v>
      </c>
      <c r="Y3885">
        <v>21350</v>
      </c>
      <c r="Z3885">
        <v>645543</v>
      </c>
      <c r="AA3885">
        <v>69093</v>
      </c>
      <c r="AB3885" t="str">
        <f>(VLOOKUP(SalesData[[#This Row],[Month Number]],Reference!C$5:E$16,2,FALSE))</f>
        <v>Feb</v>
      </c>
      <c r="AC3885">
        <f>MONTH(SalesData[[#This Row],[Date]])</f>
        <v>2</v>
      </c>
      <c r="AD3885">
        <f>Reference!F$4</f>
        <v>2026</v>
      </c>
      <c r="AE3885" t="str">
        <f>IF(OR(SalesData[[#This Row],[Day]]="Saturday",SalesData[[#This Row],[Day]]="Sunday"),"Weekend","Weekday")</f>
        <v>Weekend</v>
      </c>
      <c r="AF3885" s="5">
        <f>IF(SalesData[[#This Row],[Contracts Offered]]=0,0,SalesData[[#This Row],[Contracts Signed]]/SalesData[[#This Row],[Contracts Offered]])</f>
        <v>0.32142857142857145</v>
      </c>
      <c r="AG3885" s="5">
        <f>IF(SalesData[[#This Row],[Customers Visited]]=0,0,SalesData[[#This Row],[Test Drives]]/SalesData[[#This Row],[Customers Visited]])</f>
        <v>0.48442906574394462</v>
      </c>
      <c r="AH3885" s="5">
        <f>IF(SalesData[[#This Row],[Customers Visited]]=0,0,SalesData[[#This Row],[Contracts Signed]]/SalesData[[#This Row],[Customers Visited]])</f>
        <v>9.3425605536332182E-2</v>
      </c>
      <c r="AI3885" s="6">
        <f>IF(SalesData[[#This Row],[Contracts Signed]]=0,0,SalesData[[#This Row],[Profit(€)]]/SalesData[[#This Row],[Contracts Signed]])</f>
        <v>2559</v>
      </c>
      <c r="AJ3885" s="5" t="str">
        <f>TRIM(CLEAN(SalesData[[#This Row],[Retailer]]))</f>
        <v>Elbe Drive</v>
      </c>
    </row>
    <row r="3886" spans="1:36" ht="14.25" hidden="1" x14ac:dyDescent="0.2">
      <c r="A3886" t="s">
        <v>5120</v>
      </c>
      <c r="B3886" s="1">
        <v>46068</v>
      </c>
      <c r="C3886" t="s">
        <v>62</v>
      </c>
      <c r="D3886" t="s">
        <v>41</v>
      </c>
      <c r="E3886" t="s">
        <v>42</v>
      </c>
      <c r="F3886" t="s">
        <v>127</v>
      </c>
      <c r="G3886" t="s">
        <v>128</v>
      </c>
      <c r="H3886" t="s">
        <v>103</v>
      </c>
      <c r="I3886" t="s">
        <v>116</v>
      </c>
      <c r="J3886" t="s">
        <v>203</v>
      </c>
      <c r="K3886" t="s">
        <v>32</v>
      </c>
      <c r="L3886" t="s">
        <v>67</v>
      </c>
      <c r="M3886" t="s">
        <v>47</v>
      </c>
      <c r="N3886" t="s">
        <v>69</v>
      </c>
      <c r="O3886" t="s">
        <v>70</v>
      </c>
      <c r="P3886" t="s">
        <v>58</v>
      </c>
      <c r="Q3886" t="s">
        <v>88</v>
      </c>
      <c r="R3886">
        <v>307</v>
      </c>
      <c r="S3886">
        <v>141</v>
      </c>
      <c r="T3886">
        <v>81</v>
      </c>
      <c r="U3886">
        <v>25</v>
      </c>
      <c r="V3886" t="s">
        <v>1823</v>
      </c>
      <c r="W3886">
        <v>21293</v>
      </c>
      <c r="X3886" t="s">
        <v>2543</v>
      </c>
      <c r="Y3886">
        <v>19512</v>
      </c>
      <c r="Z3886">
        <v>532325</v>
      </c>
      <c r="AA3886">
        <v>44525</v>
      </c>
      <c r="AB3886" t="str">
        <f>(VLOOKUP(SalesData[[#This Row],[Month Number]],Reference!C$5:E$16,2,FALSE))</f>
        <v>Feb</v>
      </c>
      <c r="AC3886">
        <f>MONTH(SalesData[[#This Row],[Date]])</f>
        <v>2</v>
      </c>
      <c r="AD3886">
        <f>Reference!F$4</f>
        <v>2026</v>
      </c>
      <c r="AE3886" t="str">
        <f>IF(OR(SalesData[[#This Row],[Day]]="Saturday",SalesData[[#This Row],[Day]]="Sunday"),"Weekend","Weekday")</f>
        <v>Weekend</v>
      </c>
      <c r="AF3886" s="5">
        <f>IF(SalesData[[#This Row],[Contracts Offered]]=0,0,SalesData[[#This Row],[Contracts Signed]]/SalesData[[#This Row],[Contracts Offered]])</f>
        <v>0.30864197530864196</v>
      </c>
      <c r="AG3886" s="5">
        <f>IF(SalesData[[#This Row],[Customers Visited]]=0,0,SalesData[[#This Row],[Test Drives]]/SalesData[[#This Row],[Customers Visited]])</f>
        <v>0.45928338762214982</v>
      </c>
      <c r="AH3886" s="5">
        <f>IF(SalesData[[#This Row],[Customers Visited]]=0,0,SalesData[[#This Row],[Contracts Signed]]/SalesData[[#This Row],[Customers Visited]])</f>
        <v>8.143322475570032E-2</v>
      </c>
      <c r="AI3886" s="6">
        <f>IF(SalesData[[#This Row],[Contracts Signed]]=0,0,SalesData[[#This Row],[Profit(€)]]/SalesData[[#This Row],[Contracts Signed]])</f>
        <v>1781</v>
      </c>
      <c r="AJ3886" s="5" t="str">
        <f>TRIM(CLEAN(SalesData[[#This Row],[Retailer]]))</f>
        <v>Rhein Auto Group</v>
      </c>
    </row>
    <row r="3887" spans="1:36" ht="14.25" hidden="1" x14ac:dyDescent="0.2">
      <c r="A3887" t="s">
        <v>5121</v>
      </c>
      <c r="B3887" s="1">
        <v>46066</v>
      </c>
      <c r="C3887" t="s">
        <v>121</v>
      </c>
      <c r="D3887" t="s">
        <v>54</v>
      </c>
      <c r="E3887" t="s">
        <v>26</v>
      </c>
      <c r="F3887" t="s">
        <v>74</v>
      </c>
      <c r="G3887" t="s">
        <v>75</v>
      </c>
      <c r="H3887" t="s">
        <v>76</v>
      </c>
      <c r="I3887" t="s">
        <v>116</v>
      </c>
      <c r="J3887" t="s">
        <v>117</v>
      </c>
      <c r="K3887" t="s">
        <v>32</v>
      </c>
      <c r="L3887" t="s">
        <v>67</v>
      </c>
      <c r="M3887" t="s">
        <v>87</v>
      </c>
      <c r="N3887" t="s">
        <v>35</v>
      </c>
      <c r="O3887" t="s">
        <v>36</v>
      </c>
      <c r="P3887" t="s">
        <v>49</v>
      </c>
      <c r="Q3887" t="s">
        <v>167</v>
      </c>
      <c r="R3887">
        <v>283</v>
      </c>
      <c r="S3887">
        <v>117</v>
      </c>
      <c r="T3887">
        <v>67</v>
      </c>
      <c r="U3887">
        <v>16</v>
      </c>
      <c r="V3887" t="s">
        <v>1608</v>
      </c>
      <c r="W3887">
        <v>23790</v>
      </c>
      <c r="X3887" t="s">
        <v>1644</v>
      </c>
      <c r="Y3887">
        <v>21202</v>
      </c>
      <c r="Z3887">
        <v>380640</v>
      </c>
      <c r="AA3887">
        <v>41408</v>
      </c>
      <c r="AB3887" t="str">
        <f>(VLOOKUP(SalesData[[#This Row],[Month Number]],Reference!C$5:E$16,2,FALSE))</f>
        <v>Feb</v>
      </c>
      <c r="AC3887">
        <f>MONTH(SalesData[[#This Row],[Date]])</f>
        <v>2</v>
      </c>
      <c r="AD3887">
        <f>Reference!F$4</f>
        <v>2026</v>
      </c>
      <c r="AE3887" t="str">
        <f>IF(OR(SalesData[[#This Row],[Day]]="Saturday",SalesData[[#This Row],[Day]]="Sunday"),"Weekend","Weekday")</f>
        <v>Weekday</v>
      </c>
      <c r="AF3887" s="5">
        <f>IF(SalesData[[#This Row],[Contracts Offered]]=0,0,SalesData[[#This Row],[Contracts Signed]]/SalesData[[#This Row],[Contracts Offered]])</f>
        <v>0.23880597014925373</v>
      </c>
      <c r="AG3887" s="5">
        <f>IF(SalesData[[#This Row],[Customers Visited]]=0,0,SalesData[[#This Row],[Test Drives]]/SalesData[[#This Row],[Customers Visited]])</f>
        <v>0.41342756183745583</v>
      </c>
      <c r="AH3887" s="5">
        <f>IF(SalesData[[#This Row],[Customers Visited]]=0,0,SalesData[[#This Row],[Contracts Signed]]/SalesData[[#This Row],[Customers Visited]])</f>
        <v>5.6537102473498232E-2</v>
      </c>
      <c r="AI3887" s="6">
        <f>IF(SalesData[[#This Row],[Contracts Signed]]=0,0,SalesData[[#This Row],[Profit(€)]]/SalesData[[#This Row],[Contracts Signed]])</f>
        <v>2588</v>
      </c>
      <c r="AJ3887" s="5" t="str">
        <f>TRIM(CLEAN(SalesData[[#This Row],[Retailer]]))</f>
        <v>Stuttgart Auto Center</v>
      </c>
    </row>
    <row r="3888" spans="1:36" ht="14.25" hidden="1" x14ac:dyDescent="0.2">
      <c r="A3888" t="s">
        <v>5122</v>
      </c>
      <c r="B3888" s="1">
        <v>46073</v>
      </c>
      <c r="C3888" t="s">
        <v>62</v>
      </c>
      <c r="D3888" t="s">
        <v>54</v>
      </c>
      <c r="E3888" t="s">
        <v>26</v>
      </c>
      <c r="F3888" t="s">
        <v>127</v>
      </c>
      <c r="G3888" t="s">
        <v>128</v>
      </c>
      <c r="H3888" t="s">
        <v>103</v>
      </c>
      <c r="I3888" t="s">
        <v>104</v>
      </c>
      <c r="J3888" t="s">
        <v>143</v>
      </c>
      <c r="K3888" t="s">
        <v>66</v>
      </c>
      <c r="L3888" t="s">
        <v>67</v>
      </c>
      <c r="M3888" t="s">
        <v>34</v>
      </c>
      <c r="N3888" t="s">
        <v>69</v>
      </c>
      <c r="O3888" t="s">
        <v>36</v>
      </c>
      <c r="P3888" t="s">
        <v>37</v>
      </c>
      <c r="Q3888" t="s">
        <v>204</v>
      </c>
      <c r="R3888">
        <v>263</v>
      </c>
      <c r="S3888">
        <v>146</v>
      </c>
      <c r="T3888">
        <v>89</v>
      </c>
      <c r="U3888">
        <v>23</v>
      </c>
      <c r="V3888" t="s">
        <v>939</v>
      </c>
      <c r="W3888">
        <v>29572</v>
      </c>
      <c r="X3888" t="s">
        <v>2211</v>
      </c>
      <c r="Y3888">
        <v>26519</v>
      </c>
      <c r="Z3888">
        <v>680156</v>
      </c>
      <c r="AA3888">
        <v>70219</v>
      </c>
      <c r="AB3888" t="str">
        <f>(VLOOKUP(SalesData[[#This Row],[Month Number]],Reference!C$5:E$16,2,FALSE))</f>
        <v>Feb</v>
      </c>
      <c r="AC3888">
        <f>MONTH(SalesData[[#This Row],[Date]])</f>
        <v>2</v>
      </c>
      <c r="AD3888">
        <f>Reference!F$4</f>
        <v>2026</v>
      </c>
      <c r="AE3888" t="str">
        <f>IF(OR(SalesData[[#This Row],[Day]]="Saturday",SalesData[[#This Row],[Day]]="Sunday"),"Weekend","Weekday")</f>
        <v>Weekday</v>
      </c>
      <c r="AF3888" s="5">
        <f>IF(SalesData[[#This Row],[Contracts Offered]]=0,0,SalesData[[#This Row],[Contracts Signed]]/SalesData[[#This Row],[Contracts Offered]])</f>
        <v>0.25842696629213485</v>
      </c>
      <c r="AG3888" s="5">
        <f>IF(SalesData[[#This Row],[Customers Visited]]=0,0,SalesData[[#This Row],[Test Drives]]/SalesData[[#This Row],[Customers Visited]])</f>
        <v>0.55513307984790872</v>
      </c>
      <c r="AH3888" s="5">
        <f>IF(SalesData[[#This Row],[Customers Visited]]=0,0,SalesData[[#This Row],[Contracts Signed]]/SalesData[[#This Row],[Customers Visited]])</f>
        <v>8.7452471482889732E-2</v>
      </c>
      <c r="AI3888" s="6">
        <f>IF(SalesData[[#This Row],[Contracts Signed]]=0,0,SalesData[[#This Row],[Profit(€)]]/SalesData[[#This Row],[Contracts Signed]])</f>
        <v>3053</v>
      </c>
      <c r="AJ3888" s="5" t="str">
        <f>TRIM(CLEAN(SalesData[[#This Row],[Retailer]]))</f>
        <v>Rhein Auto Group</v>
      </c>
    </row>
    <row r="3889" spans="1:36" ht="14.25" hidden="1" x14ac:dyDescent="0.2">
      <c r="A3889" t="s">
        <v>5123</v>
      </c>
      <c r="B3889" s="1">
        <v>46066</v>
      </c>
      <c r="C3889" t="s">
        <v>121</v>
      </c>
      <c r="D3889" t="s">
        <v>54</v>
      </c>
      <c r="E3889" t="s">
        <v>26</v>
      </c>
      <c r="F3889" t="s">
        <v>109</v>
      </c>
      <c r="G3889" t="s">
        <v>110</v>
      </c>
      <c r="H3889" t="s">
        <v>45</v>
      </c>
      <c r="I3889" t="s">
        <v>116</v>
      </c>
      <c r="J3889" t="s">
        <v>203</v>
      </c>
      <c r="K3889" t="s">
        <v>66</v>
      </c>
      <c r="L3889" t="s">
        <v>67</v>
      </c>
      <c r="M3889" t="s">
        <v>87</v>
      </c>
      <c r="N3889" t="s">
        <v>35</v>
      </c>
      <c r="O3889" t="s">
        <v>36</v>
      </c>
      <c r="P3889" t="s">
        <v>71</v>
      </c>
      <c r="Q3889" t="s">
        <v>167</v>
      </c>
      <c r="R3889">
        <v>274</v>
      </c>
      <c r="S3889">
        <v>139</v>
      </c>
      <c r="T3889">
        <v>92</v>
      </c>
      <c r="U3889">
        <v>24</v>
      </c>
      <c r="V3889" t="s">
        <v>531</v>
      </c>
      <c r="W3889">
        <v>20761</v>
      </c>
      <c r="X3889" t="s">
        <v>4069</v>
      </c>
      <c r="Y3889">
        <v>18991</v>
      </c>
      <c r="Z3889">
        <v>498264</v>
      </c>
      <c r="AA3889">
        <v>42480</v>
      </c>
      <c r="AB3889" t="str">
        <f>(VLOOKUP(SalesData[[#This Row],[Month Number]],Reference!C$5:E$16,2,FALSE))</f>
        <v>Feb</v>
      </c>
      <c r="AC3889">
        <f>MONTH(SalesData[[#This Row],[Date]])</f>
        <v>2</v>
      </c>
      <c r="AD3889">
        <f>Reference!F$4</f>
        <v>2026</v>
      </c>
      <c r="AE3889" t="str">
        <f>IF(OR(SalesData[[#This Row],[Day]]="Saturday",SalesData[[#This Row],[Day]]="Sunday"),"Weekend","Weekday")</f>
        <v>Weekday</v>
      </c>
      <c r="AF3889" s="5">
        <f>IF(SalesData[[#This Row],[Contracts Offered]]=0,0,SalesData[[#This Row],[Contracts Signed]]/SalesData[[#This Row],[Contracts Offered]])</f>
        <v>0.2608695652173913</v>
      </c>
      <c r="AG3889" s="5">
        <f>IF(SalesData[[#This Row],[Customers Visited]]=0,0,SalesData[[#This Row],[Test Drives]]/SalesData[[#This Row],[Customers Visited]])</f>
        <v>0.50729927007299269</v>
      </c>
      <c r="AH3889" s="5">
        <f>IF(SalesData[[#This Row],[Customers Visited]]=0,0,SalesData[[#This Row],[Contracts Signed]]/SalesData[[#This Row],[Customers Visited]])</f>
        <v>8.7591240875912413E-2</v>
      </c>
      <c r="AI3889" s="6">
        <f>IF(SalesData[[#This Row],[Contracts Signed]]=0,0,SalesData[[#This Row],[Profit(€)]]/SalesData[[#This Row],[Contracts Signed]])</f>
        <v>1770</v>
      </c>
      <c r="AJ3889" s="5" t="str">
        <f>TRIM(CLEAN(SalesData[[#This Row],[Retailer]]))</f>
        <v>Leipzig Mobility</v>
      </c>
    </row>
    <row r="3890" spans="1:36" ht="14.25" hidden="1" x14ac:dyDescent="0.2">
      <c r="A3890" t="s">
        <v>5124</v>
      </c>
      <c r="B3890" s="1">
        <v>46058</v>
      </c>
      <c r="C3890" t="s">
        <v>24</v>
      </c>
      <c r="D3890" t="s">
        <v>100</v>
      </c>
      <c r="E3890" t="s">
        <v>26</v>
      </c>
      <c r="F3890" t="s">
        <v>74</v>
      </c>
      <c r="G3890" t="s">
        <v>75</v>
      </c>
      <c r="H3890" t="s">
        <v>76</v>
      </c>
      <c r="I3890" t="s">
        <v>64</v>
      </c>
      <c r="J3890" t="s">
        <v>77</v>
      </c>
      <c r="K3890" t="s">
        <v>66</v>
      </c>
      <c r="L3890" t="s">
        <v>46</v>
      </c>
      <c r="M3890" t="s">
        <v>47</v>
      </c>
      <c r="N3890" t="s">
        <v>69</v>
      </c>
      <c r="O3890" t="s">
        <v>70</v>
      </c>
      <c r="P3890" t="s">
        <v>49</v>
      </c>
      <c r="Q3890" t="s">
        <v>144</v>
      </c>
      <c r="R3890">
        <v>196</v>
      </c>
      <c r="S3890">
        <v>117</v>
      </c>
      <c r="T3890">
        <v>78</v>
      </c>
      <c r="U3890">
        <v>25</v>
      </c>
      <c r="V3890" t="s">
        <v>6550</v>
      </c>
      <c r="W3890">
        <v>63430</v>
      </c>
      <c r="X3890" t="s">
        <v>3364</v>
      </c>
      <c r="Y3890">
        <v>45697</v>
      </c>
      <c r="Z3890">
        <v>1585750</v>
      </c>
      <c r="AA3890">
        <v>443325</v>
      </c>
      <c r="AB3890" t="str">
        <f>(VLOOKUP(SalesData[[#This Row],[Month Number]],Reference!C$5:E$16,2,FALSE))</f>
        <v>Feb</v>
      </c>
      <c r="AC3890">
        <f>MONTH(SalesData[[#This Row],[Date]])</f>
        <v>2</v>
      </c>
      <c r="AD3890">
        <f>Reference!F$4</f>
        <v>2026</v>
      </c>
      <c r="AE3890" t="str">
        <f>IF(OR(SalesData[[#This Row],[Day]]="Saturday",SalesData[[#This Row],[Day]]="Sunday"),"Weekend","Weekday")</f>
        <v>Weekday</v>
      </c>
      <c r="AF3890" s="5">
        <f>IF(SalesData[[#This Row],[Contracts Offered]]=0,0,SalesData[[#This Row],[Contracts Signed]]/SalesData[[#This Row],[Contracts Offered]])</f>
        <v>0.32051282051282054</v>
      </c>
      <c r="AG3890" s="5">
        <f>IF(SalesData[[#This Row],[Customers Visited]]=0,0,SalesData[[#This Row],[Test Drives]]/SalesData[[#This Row],[Customers Visited]])</f>
        <v>0.59693877551020413</v>
      </c>
      <c r="AH3890" s="5">
        <f>IF(SalesData[[#This Row],[Customers Visited]]=0,0,SalesData[[#This Row],[Contracts Signed]]/SalesData[[#This Row],[Customers Visited]])</f>
        <v>0.12755102040816327</v>
      </c>
      <c r="AI3890" s="6">
        <f>IF(SalesData[[#This Row],[Contracts Signed]]=0,0,SalesData[[#This Row],[Profit(€)]]/SalesData[[#This Row],[Contracts Signed]])</f>
        <v>17733</v>
      </c>
      <c r="AJ3890" s="5" t="str">
        <f>TRIM(CLEAN(SalesData[[#This Row],[Retailer]]))</f>
        <v>Stuttgart Auto Center</v>
      </c>
    </row>
    <row r="3891" spans="1:36" ht="14.25" hidden="1" x14ac:dyDescent="0.2">
      <c r="A3891" t="s">
        <v>5125</v>
      </c>
      <c r="B3891" s="1">
        <v>46055</v>
      </c>
      <c r="C3891" t="s">
        <v>24</v>
      </c>
      <c r="D3891" t="s">
        <v>25</v>
      </c>
      <c r="E3891" t="s">
        <v>26</v>
      </c>
      <c r="F3891" t="s">
        <v>94</v>
      </c>
      <c r="G3891" t="s">
        <v>95</v>
      </c>
      <c r="H3891" t="s">
        <v>96</v>
      </c>
      <c r="I3891" t="s">
        <v>116</v>
      </c>
      <c r="J3891" t="s">
        <v>117</v>
      </c>
      <c r="K3891" t="s">
        <v>66</v>
      </c>
      <c r="L3891" t="s">
        <v>67</v>
      </c>
      <c r="M3891" t="s">
        <v>34</v>
      </c>
      <c r="N3891" t="s">
        <v>69</v>
      </c>
      <c r="O3891" t="s">
        <v>70</v>
      </c>
      <c r="P3891" t="s">
        <v>37</v>
      </c>
      <c r="Q3891" t="s">
        <v>172</v>
      </c>
      <c r="R3891">
        <v>378</v>
      </c>
      <c r="S3891">
        <v>145</v>
      </c>
      <c r="T3891">
        <v>85</v>
      </c>
      <c r="U3891">
        <v>24</v>
      </c>
      <c r="V3891" t="s">
        <v>725</v>
      </c>
      <c r="W3891">
        <v>25607</v>
      </c>
      <c r="X3891" t="s">
        <v>4616</v>
      </c>
      <c r="Y3891">
        <v>23670</v>
      </c>
      <c r="Z3891">
        <v>614568</v>
      </c>
      <c r="AA3891">
        <v>46488</v>
      </c>
      <c r="AB3891" t="str">
        <f>(VLOOKUP(SalesData[[#This Row],[Month Number]],Reference!C$5:E$16,2,FALSE))</f>
        <v>Feb</v>
      </c>
      <c r="AC3891">
        <f>MONTH(SalesData[[#This Row],[Date]])</f>
        <v>2</v>
      </c>
      <c r="AD3891">
        <f>Reference!F$4</f>
        <v>2026</v>
      </c>
      <c r="AE3891" t="str">
        <f>IF(OR(SalesData[[#This Row],[Day]]="Saturday",SalesData[[#This Row],[Day]]="Sunday"),"Weekend","Weekday")</f>
        <v>Weekday</v>
      </c>
      <c r="AF3891" s="5">
        <f>IF(SalesData[[#This Row],[Contracts Offered]]=0,0,SalesData[[#This Row],[Contracts Signed]]/SalesData[[#This Row],[Contracts Offered]])</f>
        <v>0.28235294117647058</v>
      </c>
      <c r="AG3891" s="5">
        <f>IF(SalesData[[#This Row],[Customers Visited]]=0,0,SalesData[[#This Row],[Test Drives]]/SalesData[[#This Row],[Customers Visited]])</f>
        <v>0.3835978835978836</v>
      </c>
      <c r="AH3891" s="5">
        <f>IF(SalesData[[#This Row],[Customers Visited]]=0,0,SalesData[[#This Row],[Contracts Signed]]/SalesData[[#This Row],[Customers Visited]])</f>
        <v>6.3492063492063489E-2</v>
      </c>
      <c r="AI3891" s="6">
        <f>IF(SalesData[[#This Row],[Contracts Signed]]=0,0,SalesData[[#This Row],[Profit(€)]]/SalesData[[#This Row],[Contracts Signed]])</f>
        <v>1937</v>
      </c>
      <c r="AJ3891" s="5" t="str">
        <f>TRIM(CLEAN(SalesData[[#This Row],[Retailer]]))</f>
        <v>Bavaria Motors</v>
      </c>
    </row>
    <row r="3892" spans="1:36" ht="14.25" hidden="1" x14ac:dyDescent="0.2">
      <c r="A3892" t="s">
        <v>5126</v>
      </c>
      <c r="B3892" s="1">
        <v>46081</v>
      </c>
      <c r="C3892" t="s">
        <v>53</v>
      </c>
      <c r="D3892" t="s">
        <v>151</v>
      </c>
      <c r="E3892" t="s">
        <v>42</v>
      </c>
      <c r="F3892" t="s">
        <v>109</v>
      </c>
      <c r="G3892" t="s">
        <v>110</v>
      </c>
      <c r="H3892" t="s">
        <v>45</v>
      </c>
      <c r="I3892" t="s">
        <v>116</v>
      </c>
      <c r="J3892" t="s">
        <v>132</v>
      </c>
      <c r="K3892" t="s">
        <v>91</v>
      </c>
      <c r="L3892" t="s">
        <v>46</v>
      </c>
      <c r="M3892" t="s">
        <v>68</v>
      </c>
      <c r="N3892" t="s">
        <v>48</v>
      </c>
      <c r="O3892" t="s">
        <v>70</v>
      </c>
      <c r="P3892" t="s">
        <v>37</v>
      </c>
      <c r="Q3892" t="s">
        <v>135</v>
      </c>
      <c r="R3892">
        <v>227</v>
      </c>
      <c r="S3892">
        <v>86</v>
      </c>
      <c r="T3892">
        <v>49</v>
      </c>
      <c r="U3892">
        <v>11</v>
      </c>
      <c r="V3892" t="s">
        <v>1282</v>
      </c>
      <c r="W3892">
        <v>25693</v>
      </c>
      <c r="X3892" t="s">
        <v>606</v>
      </c>
      <c r="Y3892">
        <v>23669</v>
      </c>
      <c r="Z3892">
        <v>282623</v>
      </c>
      <c r="AA3892">
        <v>22264</v>
      </c>
      <c r="AB3892" t="str">
        <f>(VLOOKUP(SalesData[[#This Row],[Month Number]],Reference!C$5:E$16,2,FALSE))</f>
        <v>Feb</v>
      </c>
      <c r="AC3892">
        <f>MONTH(SalesData[[#This Row],[Date]])</f>
        <v>2</v>
      </c>
      <c r="AD3892">
        <f>Reference!F$4</f>
        <v>2026</v>
      </c>
      <c r="AE3892" t="str">
        <f>IF(OR(SalesData[[#This Row],[Day]]="Saturday",SalesData[[#This Row],[Day]]="Sunday"),"Weekend","Weekday")</f>
        <v>Weekend</v>
      </c>
      <c r="AF3892" s="5">
        <f>IF(SalesData[[#This Row],[Contracts Offered]]=0,0,SalesData[[#This Row],[Contracts Signed]]/SalesData[[#This Row],[Contracts Offered]])</f>
        <v>0.22448979591836735</v>
      </c>
      <c r="AG3892" s="5">
        <f>IF(SalesData[[#This Row],[Customers Visited]]=0,0,SalesData[[#This Row],[Test Drives]]/SalesData[[#This Row],[Customers Visited]])</f>
        <v>0.3788546255506608</v>
      </c>
      <c r="AH3892" s="5">
        <f>IF(SalesData[[#This Row],[Customers Visited]]=0,0,SalesData[[#This Row],[Contracts Signed]]/SalesData[[#This Row],[Customers Visited]])</f>
        <v>4.8458149779735685E-2</v>
      </c>
      <c r="AI3892" s="6">
        <f>IF(SalesData[[#This Row],[Contracts Signed]]=0,0,SalesData[[#This Row],[Profit(€)]]/SalesData[[#This Row],[Contracts Signed]])</f>
        <v>2024</v>
      </c>
      <c r="AJ3892" s="5" t="str">
        <f>TRIM(CLEAN(SalesData[[#This Row],[Retailer]]))</f>
        <v>Leipzig Mobility</v>
      </c>
    </row>
    <row r="3893" spans="1:36" ht="14.25" hidden="1" x14ac:dyDescent="0.2">
      <c r="A3893" t="s">
        <v>5127</v>
      </c>
      <c r="B3893" s="1">
        <v>46067</v>
      </c>
      <c r="C3893" t="s">
        <v>121</v>
      </c>
      <c r="D3893" t="s">
        <v>151</v>
      </c>
      <c r="E3893" t="s">
        <v>42</v>
      </c>
      <c r="F3893" t="s">
        <v>109</v>
      </c>
      <c r="G3893" t="s">
        <v>110</v>
      </c>
      <c r="H3893" t="s">
        <v>45</v>
      </c>
      <c r="I3893" t="s">
        <v>56</v>
      </c>
      <c r="J3893" t="s">
        <v>137</v>
      </c>
      <c r="K3893" t="s">
        <v>66</v>
      </c>
      <c r="L3893" t="s">
        <v>46</v>
      </c>
      <c r="M3893" t="s">
        <v>47</v>
      </c>
      <c r="N3893" t="s">
        <v>69</v>
      </c>
      <c r="O3893" t="s">
        <v>36</v>
      </c>
      <c r="P3893" t="s">
        <v>49</v>
      </c>
      <c r="Q3893" t="s">
        <v>38</v>
      </c>
      <c r="R3893">
        <v>302</v>
      </c>
      <c r="S3893">
        <v>148</v>
      </c>
      <c r="T3893">
        <v>106</v>
      </c>
      <c r="U3893">
        <v>31</v>
      </c>
      <c r="V3893" t="s">
        <v>6846</v>
      </c>
      <c r="W3893">
        <v>47614</v>
      </c>
      <c r="X3893" t="s">
        <v>7434</v>
      </c>
      <c r="Y3893">
        <v>37055</v>
      </c>
      <c r="Z3893">
        <v>1476034</v>
      </c>
      <c r="AA3893">
        <v>327329</v>
      </c>
      <c r="AB3893" t="str">
        <f>(VLOOKUP(SalesData[[#This Row],[Month Number]],Reference!C$5:E$16,2,FALSE))</f>
        <v>Feb</v>
      </c>
      <c r="AC3893">
        <f>MONTH(SalesData[[#This Row],[Date]])</f>
        <v>2</v>
      </c>
      <c r="AD3893">
        <f>Reference!F$4</f>
        <v>2026</v>
      </c>
      <c r="AE3893" t="str">
        <f>IF(OR(SalesData[[#This Row],[Day]]="Saturday",SalesData[[#This Row],[Day]]="Sunday"),"Weekend","Weekday")</f>
        <v>Weekend</v>
      </c>
      <c r="AF3893" s="5">
        <f>IF(SalesData[[#This Row],[Contracts Offered]]=0,0,SalesData[[#This Row],[Contracts Signed]]/SalesData[[#This Row],[Contracts Offered]])</f>
        <v>0.29245283018867924</v>
      </c>
      <c r="AG3893" s="5">
        <f>IF(SalesData[[#This Row],[Customers Visited]]=0,0,SalesData[[#This Row],[Test Drives]]/SalesData[[#This Row],[Customers Visited]])</f>
        <v>0.49006622516556292</v>
      </c>
      <c r="AH3893" s="5">
        <f>IF(SalesData[[#This Row],[Customers Visited]]=0,0,SalesData[[#This Row],[Contracts Signed]]/SalesData[[#This Row],[Customers Visited]])</f>
        <v>0.10264900662251655</v>
      </c>
      <c r="AI3893" s="6">
        <f>IF(SalesData[[#This Row],[Contracts Signed]]=0,0,SalesData[[#This Row],[Profit(€)]]/SalesData[[#This Row],[Contracts Signed]])</f>
        <v>10559</v>
      </c>
      <c r="AJ3893" s="5" t="str">
        <f>TRIM(CLEAN(SalesData[[#This Row],[Retailer]]))</f>
        <v>Leipzig Mobility</v>
      </c>
    </row>
    <row r="3894" spans="1:36" ht="14.25" x14ac:dyDescent="0.2">
      <c r="A3894" t="s">
        <v>5128</v>
      </c>
      <c r="B3894" s="1">
        <v>46066</v>
      </c>
      <c r="C3894" t="s">
        <v>121</v>
      </c>
      <c r="D3894" t="s">
        <v>54</v>
      </c>
      <c r="E3894" t="s">
        <v>26</v>
      </c>
      <c r="F3894" t="s">
        <v>94</v>
      </c>
      <c r="G3894" t="s">
        <v>95</v>
      </c>
      <c r="H3894" t="s">
        <v>96</v>
      </c>
      <c r="I3894" t="s">
        <v>30</v>
      </c>
      <c r="J3894" t="s">
        <v>166</v>
      </c>
      <c r="K3894" t="s">
        <v>78</v>
      </c>
      <c r="L3894" t="s">
        <v>46</v>
      </c>
      <c r="M3894" t="s">
        <v>68</v>
      </c>
      <c r="N3894" t="s">
        <v>48</v>
      </c>
      <c r="O3894" t="s">
        <v>70</v>
      </c>
      <c r="P3894" t="s">
        <v>71</v>
      </c>
      <c r="Q3894" t="s">
        <v>106</v>
      </c>
      <c r="R3894">
        <v>178</v>
      </c>
      <c r="S3894">
        <v>86</v>
      </c>
      <c r="T3894">
        <v>62</v>
      </c>
      <c r="U3894">
        <v>27</v>
      </c>
      <c r="V3894" t="s">
        <v>7155</v>
      </c>
      <c r="W3894">
        <v>56138</v>
      </c>
      <c r="X3894" t="s">
        <v>7178</v>
      </c>
      <c r="Y3894">
        <v>43218</v>
      </c>
      <c r="Z3894">
        <v>1515726</v>
      </c>
      <c r="AA3894">
        <v>348840</v>
      </c>
      <c r="AB3894" t="str">
        <f>(VLOOKUP(SalesData[[#This Row],[Month Number]],Reference!C$5:E$16,2,FALSE))</f>
        <v>Feb</v>
      </c>
      <c r="AC3894">
        <f>MONTH(SalesData[[#This Row],[Date]])</f>
        <v>2</v>
      </c>
      <c r="AD3894">
        <f>Reference!F$4</f>
        <v>2026</v>
      </c>
      <c r="AE3894" t="str">
        <f>IF(OR(SalesData[[#This Row],[Day]]="Saturday",SalesData[[#This Row],[Day]]="Sunday"),"Weekend","Weekday")</f>
        <v>Weekday</v>
      </c>
      <c r="AF3894" s="5">
        <f>IF(SalesData[[#This Row],[Contracts Offered]]=0,0,SalesData[[#This Row],[Contracts Signed]]/SalesData[[#This Row],[Contracts Offered]])</f>
        <v>0.43548387096774194</v>
      </c>
      <c r="AG3894" s="5">
        <f>IF(SalesData[[#This Row],[Customers Visited]]=0,0,SalesData[[#This Row],[Test Drives]]/SalesData[[#This Row],[Customers Visited]])</f>
        <v>0.48314606741573035</v>
      </c>
      <c r="AH3894" s="5">
        <f>IF(SalesData[[#This Row],[Customers Visited]]=0,0,SalesData[[#This Row],[Contracts Signed]]/SalesData[[#This Row],[Customers Visited]])</f>
        <v>0.15168539325842698</v>
      </c>
      <c r="AI3894" s="6">
        <f>IF(SalesData[[#This Row],[Contracts Signed]]=0,0,SalesData[[#This Row],[Profit(€)]]/SalesData[[#This Row],[Contracts Signed]])</f>
        <v>12920</v>
      </c>
      <c r="AJ3894" s="5" t="str">
        <f>TRIM(CLEAN(SalesData[[#This Row],[Retailer]]))</f>
        <v>Bavaria Motors</v>
      </c>
    </row>
    <row r="3895" spans="1:36" ht="14.25" x14ac:dyDescent="0.2">
      <c r="A3895" t="s">
        <v>5129</v>
      </c>
      <c r="B3895" s="1">
        <v>46056</v>
      </c>
      <c r="C3895" t="s">
        <v>24</v>
      </c>
      <c r="D3895" t="s">
        <v>63</v>
      </c>
      <c r="E3895" t="s">
        <v>26</v>
      </c>
      <c r="F3895" t="s">
        <v>74</v>
      </c>
      <c r="G3895" t="s">
        <v>75</v>
      </c>
      <c r="H3895" t="s">
        <v>76</v>
      </c>
      <c r="I3895" t="s">
        <v>30</v>
      </c>
      <c r="J3895" t="s">
        <v>7075</v>
      </c>
      <c r="K3895" t="s">
        <v>91</v>
      </c>
      <c r="L3895" t="s">
        <v>33</v>
      </c>
      <c r="M3895" t="s">
        <v>47</v>
      </c>
      <c r="N3895" t="s">
        <v>35</v>
      </c>
      <c r="O3895" t="s">
        <v>70</v>
      </c>
      <c r="P3895" t="s">
        <v>37</v>
      </c>
      <c r="Q3895" t="s">
        <v>169</v>
      </c>
      <c r="R3895">
        <v>241</v>
      </c>
      <c r="S3895">
        <v>137</v>
      </c>
      <c r="T3895">
        <v>101</v>
      </c>
      <c r="U3895">
        <v>35</v>
      </c>
      <c r="V3895" t="s">
        <v>6774</v>
      </c>
      <c r="W3895">
        <v>65521</v>
      </c>
      <c r="X3895" t="s">
        <v>7434</v>
      </c>
      <c r="Y3895">
        <v>47822</v>
      </c>
      <c r="Z3895">
        <v>2293235</v>
      </c>
      <c r="AA3895">
        <v>619465</v>
      </c>
      <c r="AB3895" t="str">
        <f>(VLOOKUP(SalesData[[#This Row],[Month Number]],Reference!C$5:E$16,2,FALSE))</f>
        <v>Feb</v>
      </c>
      <c r="AC3895">
        <f>MONTH(SalesData[[#This Row],[Date]])</f>
        <v>2</v>
      </c>
      <c r="AD3895">
        <f>Reference!F$4</f>
        <v>2026</v>
      </c>
      <c r="AE3895" t="str">
        <f>IF(OR(SalesData[[#This Row],[Day]]="Saturday",SalesData[[#This Row],[Day]]="Sunday"),"Weekend","Weekday")</f>
        <v>Weekday</v>
      </c>
      <c r="AF3895" s="5">
        <f>IF(SalesData[[#This Row],[Contracts Offered]]=0,0,SalesData[[#This Row],[Contracts Signed]]/SalesData[[#This Row],[Contracts Offered]])</f>
        <v>0.34653465346534651</v>
      </c>
      <c r="AG3895" s="5">
        <f>IF(SalesData[[#This Row],[Customers Visited]]=0,0,SalesData[[#This Row],[Test Drives]]/SalesData[[#This Row],[Customers Visited]])</f>
        <v>0.56846473029045641</v>
      </c>
      <c r="AH3895" s="5">
        <f>IF(SalesData[[#This Row],[Customers Visited]]=0,0,SalesData[[#This Row],[Contracts Signed]]/SalesData[[#This Row],[Customers Visited]])</f>
        <v>0.14522821576763487</v>
      </c>
      <c r="AI3895" s="6">
        <f>IF(SalesData[[#This Row],[Contracts Signed]]=0,0,SalesData[[#This Row],[Profit(€)]]/SalesData[[#This Row],[Contracts Signed]])</f>
        <v>17699</v>
      </c>
      <c r="AJ3895" s="5" t="str">
        <f>TRIM(CLEAN(SalesData[[#This Row],[Retailer]]))</f>
        <v>Stuttgart Auto Center</v>
      </c>
    </row>
    <row r="3896" spans="1:36" ht="14.25" hidden="1" x14ac:dyDescent="0.2">
      <c r="A3896" t="s">
        <v>5130</v>
      </c>
      <c r="B3896" s="1">
        <v>46075</v>
      </c>
      <c r="C3896" t="s">
        <v>53</v>
      </c>
      <c r="D3896" t="s">
        <v>41</v>
      </c>
      <c r="E3896" t="s">
        <v>42</v>
      </c>
      <c r="F3896" t="s">
        <v>27</v>
      </c>
      <c r="G3896" t="s">
        <v>28</v>
      </c>
      <c r="H3896" t="s">
        <v>29</v>
      </c>
      <c r="I3896" t="s">
        <v>64</v>
      </c>
      <c r="J3896" t="s">
        <v>111</v>
      </c>
      <c r="K3896" t="s">
        <v>91</v>
      </c>
      <c r="L3896" t="s">
        <v>46</v>
      </c>
      <c r="M3896" t="s">
        <v>47</v>
      </c>
      <c r="N3896" t="s">
        <v>48</v>
      </c>
      <c r="O3896" t="s">
        <v>36</v>
      </c>
      <c r="P3896" t="s">
        <v>71</v>
      </c>
      <c r="Q3896" t="s">
        <v>204</v>
      </c>
      <c r="R3896">
        <v>225</v>
      </c>
      <c r="S3896">
        <v>130</v>
      </c>
      <c r="T3896">
        <v>89</v>
      </c>
      <c r="U3896">
        <v>32</v>
      </c>
      <c r="V3896" t="s">
        <v>6759</v>
      </c>
      <c r="W3896">
        <v>51947</v>
      </c>
      <c r="X3896" t="s">
        <v>7121</v>
      </c>
      <c r="Y3896">
        <v>40210</v>
      </c>
      <c r="Z3896">
        <v>1662304</v>
      </c>
      <c r="AA3896">
        <v>375584</v>
      </c>
      <c r="AB3896" t="str">
        <f>(VLOOKUP(SalesData[[#This Row],[Month Number]],Reference!C$5:E$16,2,FALSE))</f>
        <v>Feb</v>
      </c>
      <c r="AC3896">
        <f>MONTH(SalesData[[#This Row],[Date]])</f>
        <v>2</v>
      </c>
      <c r="AD3896">
        <f>Reference!F$4</f>
        <v>2026</v>
      </c>
      <c r="AE3896" t="str">
        <f>IF(OR(SalesData[[#This Row],[Day]]="Saturday",SalesData[[#This Row],[Day]]="Sunday"),"Weekend","Weekday")</f>
        <v>Weekend</v>
      </c>
      <c r="AF3896" s="5">
        <f>IF(SalesData[[#This Row],[Contracts Offered]]=0,0,SalesData[[#This Row],[Contracts Signed]]/SalesData[[#This Row],[Contracts Offered]])</f>
        <v>0.3595505617977528</v>
      </c>
      <c r="AG3896" s="5">
        <f>IF(SalesData[[#This Row],[Customers Visited]]=0,0,SalesData[[#This Row],[Test Drives]]/SalesData[[#This Row],[Customers Visited]])</f>
        <v>0.57777777777777772</v>
      </c>
      <c r="AH3896" s="5">
        <f>IF(SalesData[[#This Row],[Customers Visited]]=0,0,SalesData[[#This Row],[Contracts Signed]]/SalesData[[#This Row],[Customers Visited]])</f>
        <v>0.14222222222222222</v>
      </c>
      <c r="AI3896" s="6">
        <f>IF(SalesData[[#This Row],[Contracts Signed]]=0,0,SalesData[[#This Row],[Profit(€)]]/SalesData[[#This Row],[Contracts Signed]])</f>
        <v>11737</v>
      </c>
      <c r="AJ3896" s="5" t="str">
        <f>TRIM(CLEAN(SalesData[[#This Row],[Retailer]]))</f>
        <v>Main Auto Hub</v>
      </c>
    </row>
    <row r="3897" spans="1:36" ht="14.25" hidden="1" x14ac:dyDescent="0.2">
      <c r="A3897" t="s">
        <v>5131</v>
      </c>
      <c r="B3897" s="1">
        <v>46079</v>
      </c>
      <c r="C3897" t="s">
        <v>53</v>
      </c>
      <c r="D3897" t="s">
        <v>100</v>
      </c>
      <c r="E3897" t="s">
        <v>26</v>
      </c>
      <c r="F3897" t="s">
        <v>94</v>
      </c>
      <c r="G3897" t="s">
        <v>95</v>
      </c>
      <c r="H3897" t="s">
        <v>96</v>
      </c>
      <c r="I3897" t="s">
        <v>104</v>
      </c>
      <c r="J3897" t="s">
        <v>105</v>
      </c>
      <c r="K3897" t="s">
        <v>91</v>
      </c>
      <c r="L3897" t="s">
        <v>33</v>
      </c>
      <c r="M3897" t="s">
        <v>34</v>
      </c>
      <c r="N3897" t="s">
        <v>35</v>
      </c>
      <c r="O3897" t="s">
        <v>36</v>
      </c>
      <c r="P3897" t="s">
        <v>37</v>
      </c>
      <c r="Q3897" t="s">
        <v>88</v>
      </c>
      <c r="R3897">
        <v>361</v>
      </c>
      <c r="S3897">
        <v>173</v>
      </c>
      <c r="T3897">
        <v>119</v>
      </c>
      <c r="U3897">
        <v>29</v>
      </c>
      <c r="V3897" t="s">
        <v>2516</v>
      </c>
      <c r="W3897">
        <v>32487</v>
      </c>
      <c r="X3897" t="s">
        <v>1885</v>
      </c>
      <c r="Y3897">
        <v>28552</v>
      </c>
      <c r="Z3897">
        <v>942123</v>
      </c>
      <c r="AA3897">
        <v>114115</v>
      </c>
      <c r="AB3897" t="str">
        <f>(VLOOKUP(SalesData[[#This Row],[Month Number]],Reference!C$5:E$16,2,FALSE))</f>
        <v>Feb</v>
      </c>
      <c r="AC3897">
        <f>MONTH(SalesData[[#This Row],[Date]])</f>
        <v>2</v>
      </c>
      <c r="AD3897">
        <f>Reference!F$4</f>
        <v>2026</v>
      </c>
      <c r="AE3897" t="str">
        <f>IF(OR(SalesData[[#This Row],[Day]]="Saturday",SalesData[[#This Row],[Day]]="Sunday"),"Weekend","Weekday")</f>
        <v>Weekday</v>
      </c>
      <c r="AF3897" s="5">
        <f>IF(SalesData[[#This Row],[Contracts Offered]]=0,0,SalesData[[#This Row],[Contracts Signed]]/SalesData[[#This Row],[Contracts Offered]])</f>
        <v>0.24369747899159663</v>
      </c>
      <c r="AG3897" s="5">
        <f>IF(SalesData[[#This Row],[Customers Visited]]=0,0,SalesData[[#This Row],[Test Drives]]/SalesData[[#This Row],[Customers Visited]])</f>
        <v>0.47922437673130192</v>
      </c>
      <c r="AH3897" s="5">
        <f>IF(SalesData[[#This Row],[Customers Visited]]=0,0,SalesData[[#This Row],[Contracts Signed]]/SalesData[[#This Row],[Customers Visited]])</f>
        <v>8.0332409972299165E-2</v>
      </c>
      <c r="AI3897" s="6">
        <f>IF(SalesData[[#This Row],[Contracts Signed]]=0,0,SalesData[[#This Row],[Profit(€)]]/SalesData[[#This Row],[Contracts Signed]])</f>
        <v>3935</v>
      </c>
      <c r="AJ3897" s="5" t="str">
        <f>TRIM(CLEAN(SalesData[[#This Row],[Retailer]]))</f>
        <v>Bavaria Motors</v>
      </c>
    </row>
    <row r="3898" spans="1:36" ht="14.25" hidden="1" x14ac:dyDescent="0.2">
      <c r="A3898" t="s">
        <v>5132</v>
      </c>
      <c r="B3898" s="1">
        <v>46077</v>
      </c>
      <c r="C3898" t="s">
        <v>53</v>
      </c>
      <c r="D3898" t="s">
        <v>63</v>
      </c>
      <c r="E3898" t="s">
        <v>26</v>
      </c>
      <c r="F3898" t="s">
        <v>27</v>
      </c>
      <c r="G3898" t="s">
        <v>28</v>
      </c>
      <c r="H3898" t="s">
        <v>29</v>
      </c>
      <c r="I3898" t="s">
        <v>64</v>
      </c>
      <c r="J3898" t="s">
        <v>111</v>
      </c>
      <c r="K3898" t="s">
        <v>66</v>
      </c>
      <c r="L3898" t="s">
        <v>46</v>
      </c>
      <c r="M3898" t="s">
        <v>87</v>
      </c>
      <c r="N3898" t="s">
        <v>35</v>
      </c>
      <c r="O3898" t="s">
        <v>36</v>
      </c>
      <c r="P3898" t="s">
        <v>37</v>
      </c>
      <c r="Q3898" t="s">
        <v>347</v>
      </c>
      <c r="R3898">
        <v>194</v>
      </c>
      <c r="S3898">
        <v>113</v>
      </c>
      <c r="T3898">
        <v>79</v>
      </c>
      <c r="U3898">
        <v>27</v>
      </c>
      <c r="V3898" t="s">
        <v>6640</v>
      </c>
      <c r="W3898">
        <v>64727</v>
      </c>
      <c r="X3898" t="s">
        <v>828</v>
      </c>
      <c r="Y3898">
        <v>46891</v>
      </c>
      <c r="Z3898">
        <v>1747629</v>
      </c>
      <c r="AA3898">
        <v>481572</v>
      </c>
      <c r="AB3898" t="str">
        <f>(VLOOKUP(SalesData[[#This Row],[Month Number]],Reference!C$5:E$16,2,FALSE))</f>
        <v>Feb</v>
      </c>
      <c r="AC3898">
        <f>MONTH(SalesData[[#This Row],[Date]])</f>
        <v>2</v>
      </c>
      <c r="AD3898">
        <f>Reference!F$4</f>
        <v>2026</v>
      </c>
      <c r="AE3898" t="str">
        <f>IF(OR(SalesData[[#This Row],[Day]]="Saturday",SalesData[[#This Row],[Day]]="Sunday"),"Weekend","Weekday")</f>
        <v>Weekday</v>
      </c>
      <c r="AF3898" s="5">
        <f>IF(SalesData[[#This Row],[Contracts Offered]]=0,0,SalesData[[#This Row],[Contracts Signed]]/SalesData[[#This Row],[Contracts Offered]])</f>
        <v>0.34177215189873417</v>
      </c>
      <c r="AG3898" s="5">
        <f>IF(SalesData[[#This Row],[Customers Visited]]=0,0,SalesData[[#This Row],[Test Drives]]/SalesData[[#This Row],[Customers Visited]])</f>
        <v>0.58247422680412375</v>
      </c>
      <c r="AH3898" s="5">
        <f>IF(SalesData[[#This Row],[Customers Visited]]=0,0,SalesData[[#This Row],[Contracts Signed]]/SalesData[[#This Row],[Customers Visited]])</f>
        <v>0.13917525773195877</v>
      </c>
      <c r="AI3898" s="6">
        <f>IF(SalesData[[#This Row],[Contracts Signed]]=0,0,SalesData[[#This Row],[Profit(€)]]/SalesData[[#This Row],[Contracts Signed]])</f>
        <v>17836</v>
      </c>
      <c r="AJ3898" s="5" t="str">
        <f>TRIM(CLEAN(SalesData[[#This Row],[Retailer]]))</f>
        <v>Main Auto Hub</v>
      </c>
    </row>
    <row r="3899" spans="1:36" ht="14.25" hidden="1" x14ac:dyDescent="0.2">
      <c r="A3899" t="s">
        <v>5133</v>
      </c>
      <c r="B3899" s="1">
        <v>46061</v>
      </c>
      <c r="C3899" t="s">
        <v>121</v>
      </c>
      <c r="D3899" t="s">
        <v>41</v>
      </c>
      <c r="E3899" t="s">
        <v>42</v>
      </c>
      <c r="F3899" t="s">
        <v>83</v>
      </c>
      <c r="G3899" t="s">
        <v>84</v>
      </c>
      <c r="H3899" t="s">
        <v>85</v>
      </c>
      <c r="I3899" t="s">
        <v>56</v>
      </c>
      <c r="J3899" t="s">
        <v>57</v>
      </c>
      <c r="K3899" t="s">
        <v>91</v>
      </c>
      <c r="L3899" t="s">
        <v>46</v>
      </c>
      <c r="M3899" t="s">
        <v>68</v>
      </c>
      <c r="N3899" t="s">
        <v>69</v>
      </c>
      <c r="O3899" t="s">
        <v>36</v>
      </c>
      <c r="P3899" t="s">
        <v>37</v>
      </c>
      <c r="Q3899" t="s">
        <v>204</v>
      </c>
      <c r="R3899">
        <v>242</v>
      </c>
      <c r="S3899">
        <v>153</v>
      </c>
      <c r="T3899">
        <v>114</v>
      </c>
      <c r="U3899">
        <v>32</v>
      </c>
      <c r="V3899" t="s">
        <v>6952</v>
      </c>
      <c r="W3899">
        <v>48818</v>
      </c>
      <c r="X3899" t="s">
        <v>4550</v>
      </c>
      <c r="Y3899">
        <v>36977</v>
      </c>
      <c r="Z3899">
        <v>1562176</v>
      </c>
      <c r="AA3899">
        <v>378912</v>
      </c>
      <c r="AB3899" t="str">
        <f>(VLOOKUP(SalesData[[#This Row],[Month Number]],Reference!C$5:E$16,2,FALSE))</f>
        <v>Feb</v>
      </c>
      <c r="AC3899">
        <f>MONTH(SalesData[[#This Row],[Date]])</f>
        <v>2</v>
      </c>
      <c r="AD3899">
        <f>Reference!F$4</f>
        <v>2026</v>
      </c>
      <c r="AE3899" t="str">
        <f>IF(OR(SalesData[[#This Row],[Day]]="Saturday",SalesData[[#This Row],[Day]]="Sunday"),"Weekend","Weekday")</f>
        <v>Weekend</v>
      </c>
      <c r="AF3899" s="5">
        <f>IF(SalesData[[#This Row],[Contracts Offered]]=0,0,SalesData[[#This Row],[Contracts Signed]]/SalesData[[#This Row],[Contracts Offered]])</f>
        <v>0.2807017543859649</v>
      </c>
      <c r="AG3899" s="5">
        <f>IF(SalesData[[#This Row],[Customers Visited]]=0,0,SalesData[[#This Row],[Test Drives]]/SalesData[[#This Row],[Customers Visited]])</f>
        <v>0.63223140495867769</v>
      </c>
      <c r="AH3899" s="5">
        <f>IF(SalesData[[#This Row],[Customers Visited]]=0,0,SalesData[[#This Row],[Contracts Signed]]/SalesData[[#This Row],[Customers Visited]])</f>
        <v>0.13223140495867769</v>
      </c>
      <c r="AI3899" s="6">
        <f>IF(SalesData[[#This Row],[Contracts Signed]]=0,0,SalesData[[#This Row],[Profit(€)]]/SalesData[[#This Row],[Contracts Signed]])</f>
        <v>11841</v>
      </c>
      <c r="AJ3899" s="5" t="str">
        <f>TRIM(CLEAN(SalesData[[#This Row],[Retailer]]))</f>
        <v>Hannover Cars</v>
      </c>
    </row>
    <row r="3900" spans="1:36" ht="14.25" hidden="1" x14ac:dyDescent="0.2">
      <c r="A3900" t="s">
        <v>5134</v>
      </c>
      <c r="B3900" s="1">
        <v>46064</v>
      </c>
      <c r="C3900" t="s">
        <v>121</v>
      </c>
      <c r="D3900" t="s">
        <v>82</v>
      </c>
      <c r="E3900" t="s">
        <v>26</v>
      </c>
      <c r="F3900" t="s">
        <v>43</v>
      </c>
      <c r="G3900" t="s">
        <v>44</v>
      </c>
      <c r="H3900" t="s">
        <v>45</v>
      </c>
      <c r="I3900" t="s">
        <v>56</v>
      </c>
      <c r="J3900" t="s">
        <v>7028</v>
      </c>
      <c r="K3900" t="s">
        <v>78</v>
      </c>
      <c r="L3900" t="s">
        <v>46</v>
      </c>
      <c r="M3900" t="s">
        <v>68</v>
      </c>
      <c r="N3900" t="s">
        <v>48</v>
      </c>
      <c r="O3900" t="s">
        <v>70</v>
      </c>
      <c r="P3900" t="s">
        <v>37</v>
      </c>
      <c r="Q3900" t="s">
        <v>50</v>
      </c>
      <c r="R3900">
        <v>265</v>
      </c>
      <c r="S3900">
        <v>130</v>
      </c>
      <c r="T3900">
        <v>95</v>
      </c>
      <c r="U3900">
        <v>25</v>
      </c>
      <c r="V3900" t="s">
        <v>576</v>
      </c>
      <c r="W3900">
        <v>42603</v>
      </c>
      <c r="X3900" t="s">
        <v>2138</v>
      </c>
      <c r="Y3900">
        <v>32296</v>
      </c>
      <c r="Z3900">
        <v>1065075</v>
      </c>
      <c r="AA3900">
        <v>257675</v>
      </c>
      <c r="AB3900" t="str">
        <f>(VLOOKUP(SalesData[[#This Row],[Month Number]],Reference!C$5:E$16,2,FALSE))</f>
        <v>Feb</v>
      </c>
      <c r="AC3900">
        <f>MONTH(SalesData[[#This Row],[Date]])</f>
        <v>2</v>
      </c>
      <c r="AD3900">
        <f>Reference!F$4</f>
        <v>2026</v>
      </c>
      <c r="AE3900" t="str">
        <f>IF(OR(SalesData[[#This Row],[Day]]="Saturday",SalesData[[#This Row],[Day]]="Sunday"),"Weekend","Weekday")</f>
        <v>Weekday</v>
      </c>
      <c r="AF3900" s="5">
        <f>IF(SalesData[[#This Row],[Contracts Offered]]=0,0,SalesData[[#This Row],[Contracts Signed]]/SalesData[[#This Row],[Contracts Offered]])</f>
        <v>0.26315789473684209</v>
      </c>
      <c r="AG3900" s="5">
        <f>IF(SalesData[[#This Row],[Customers Visited]]=0,0,SalesData[[#This Row],[Test Drives]]/SalesData[[#This Row],[Customers Visited]])</f>
        <v>0.49056603773584906</v>
      </c>
      <c r="AH3900" s="5">
        <f>IF(SalesData[[#This Row],[Customers Visited]]=0,0,SalesData[[#This Row],[Contracts Signed]]/SalesData[[#This Row],[Customers Visited]])</f>
        <v>9.4339622641509441E-2</v>
      </c>
      <c r="AI3900" s="6">
        <f>IF(SalesData[[#This Row],[Contracts Signed]]=0,0,SalesData[[#This Row],[Profit(€)]]/SalesData[[#This Row],[Contracts Signed]])</f>
        <v>10307</v>
      </c>
      <c r="AJ3900" s="5" t="str">
        <f>TRIM(CLEAN(SalesData[[#This Row],[Retailer]]))</f>
        <v>Saxon Wheels</v>
      </c>
    </row>
    <row r="3901" spans="1:36" ht="14.25" x14ac:dyDescent="0.2">
      <c r="A3901" t="s">
        <v>5135</v>
      </c>
      <c r="B3901" s="1">
        <v>46054</v>
      </c>
      <c r="C3901" t="s">
        <v>24</v>
      </c>
      <c r="D3901" t="s">
        <v>41</v>
      </c>
      <c r="E3901" t="s">
        <v>42</v>
      </c>
      <c r="F3901" t="s">
        <v>7649</v>
      </c>
      <c r="G3901" t="s">
        <v>55</v>
      </c>
      <c r="H3901" t="s">
        <v>55</v>
      </c>
      <c r="I3901" t="s">
        <v>30</v>
      </c>
      <c r="J3901" t="s">
        <v>31</v>
      </c>
      <c r="K3901" t="s">
        <v>66</v>
      </c>
      <c r="L3901" t="s">
        <v>46</v>
      </c>
      <c r="M3901" t="s">
        <v>68</v>
      </c>
      <c r="N3901" t="s">
        <v>48</v>
      </c>
      <c r="O3901" t="s">
        <v>36</v>
      </c>
      <c r="P3901" t="s">
        <v>71</v>
      </c>
      <c r="Q3901" t="s">
        <v>169</v>
      </c>
      <c r="R3901">
        <v>142</v>
      </c>
      <c r="S3901">
        <v>73</v>
      </c>
      <c r="T3901">
        <v>55</v>
      </c>
      <c r="U3901">
        <v>22</v>
      </c>
      <c r="V3901" t="s">
        <v>7558</v>
      </c>
      <c r="W3901">
        <v>52002</v>
      </c>
      <c r="X3901" t="s">
        <v>2852</v>
      </c>
      <c r="Y3901">
        <v>37181</v>
      </c>
      <c r="Z3901">
        <v>1144044</v>
      </c>
      <c r="AA3901">
        <v>326062</v>
      </c>
      <c r="AB3901" t="str">
        <f>(VLOOKUP(SalesData[[#This Row],[Month Number]],Reference!C$5:E$16,2,FALSE))</f>
        <v>Feb</v>
      </c>
      <c r="AC3901">
        <f>MONTH(SalesData[[#This Row],[Date]])</f>
        <v>2</v>
      </c>
      <c r="AD3901">
        <f>Reference!F$4</f>
        <v>2026</v>
      </c>
      <c r="AE3901" t="str">
        <f>IF(OR(SalesData[[#This Row],[Day]]="Saturday",SalesData[[#This Row],[Day]]="Sunday"),"Weekend","Weekday")</f>
        <v>Weekend</v>
      </c>
      <c r="AF3901" s="5">
        <f>IF(SalesData[[#This Row],[Contracts Offered]]=0,0,SalesData[[#This Row],[Contracts Signed]]/SalesData[[#This Row],[Contracts Offered]])</f>
        <v>0.4</v>
      </c>
      <c r="AG3901" s="5">
        <f>IF(SalesData[[#This Row],[Customers Visited]]=0,0,SalesData[[#This Row],[Test Drives]]/SalesData[[#This Row],[Customers Visited]])</f>
        <v>0.5140845070422535</v>
      </c>
      <c r="AH3901" s="5">
        <f>IF(SalesData[[#This Row],[Customers Visited]]=0,0,SalesData[[#This Row],[Contracts Signed]]/SalesData[[#This Row],[Customers Visited]])</f>
        <v>0.15492957746478872</v>
      </c>
      <c r="AI3901" s="6">
        <f>IF(SalesData[[#This Row],[Contracts Signed]]=0,0,SalesData[[#This Row],[Profit(€)]]/SalesData[[#This Row],[Contracts Signed]])</f>
        <v>14821</v>
      </c>
      <c r="AJ3901" s="5" t="str">
        <f>TRIM(CLEAN(SalesData[[#This Row],[Retailer]]))</f>
        <v>Autohaus Berlin</v>
      </c>
    </row>
    <row r="3902" spans="1:36" ht="14.25" hidden="1" x14ac:dyDescent="0.2">
      <c r="A3902" t="s">
        <v>5136</v>
      </c>
      <c r="B3902" s="1">
        <v>46055</v>
      </c>
      <c r="C3902" t="s">
        <v>24</v>
      </c>
      <c r="D3902" t="s">
        <v>25</v>
      </c>
      <c r="E3902" t="s">
        <v>26</v>
      </c>
      <c r="F3902" t="s">
        <v>127</v>
      </c>
      <c r="G3902" t="s">
        <v>128</v>
      </c>
      <c r="H3902" t="s">
        <v>103</v>
      </c>
      <c r="I3902" t="s">
        <v>104</v>
      </c>
      <c r="J3902" t="s">
        <v>7031</v>
      </c>
      <c r="K3902" t="s">
        <v>78</v>
      </c>
      <c r="L3902" t="s">
        <v>46</v>
      </c>
      <c r="M3902" t="s">
        <v>87</v>
      </c>
      <c r="N3902" t="s">
        <v>35</v>
      </c>
      <c r="O3902" t="s">
        <v>36</v>
      </c>
      <c r="P3902" t="s">
        <v>37</v>
      </c>
      <c r="Q3902" t="s">
        <v>129</v>
      </c>
      <c r="R3902">
        <v>295</v>
      </c>
      <c r="S3902">
        <v>134</v>
      </c>
      <c r="T3902">
        <v>79</v>
      </c>
      <c r="U3902">
        <v>23</v>
      </c>
      <c r="V3902" t="s">
        <v>833</v>
      </c>
      <c r="W3902">
        <v>34464</v>
      </c>
      <c r="X3902" t="s">
        <v>7265</v>
      </c>
      <c r="Y3902">
        <v>30332</v>
      </c>
      <c r="Z3902">
        <v>792672</v>
      </c>
      <c r="AA3902">
        <v>95036</v>
      </c>
      <c r="AB3902" t="str">
        <f>(VLOOKUP(SalesData[[#This Row],[Month Number]],Reference!C$5:E$16,2,FALSE))</f>
        <v>Feb</v>
      </c>
      <c r="AC3902">
        <f>MONTH(SalesData[[#This Row],[Date]])</f>
        <v>2</v>
      </c>
      <c r="AD3902">
        <f>Reference!F$4</f>
        <v>2026</v>
      </c>
      <c r="AE3902" t="str">
        <f>IF(OR(SalesData[[#This Row],[Day]]="Saturday",SalesData[[#This Row],[Day]]="Sunday"),"Weekend","Weekday")</f>
        <v>Weekday</v>
      </c>
      <c r="AF3902" s="5">
        <f>IF(SalesData[[#This Row],[Contracts Offered]]=0,0,SalesData[[#This Row],[Contracts Signed]]/SalesData[[#This Row],[Contracts Offered]])</f>
        <v>0.29113924050632911</v>
      </c>
      <c r="AG3902" s="5">
        <f>IF(SalesData[[#This Row],[Customers Visited]]=0,0,SalesData[[#This Row],[Test Drives]]/SalesData[[#This Row],[Customers Visited]])</f>
        <v>0.45423728813559322</v>
      </c>
      <c r="AH3902" s="5">
        <f>IF(SalesData[[#This Row],[Customers Visited]]=0,0,SalesData[[#This Row],[Contracts Signed]]/SalesData[[#This Row],[Customers Visited]])</f>
        <v>7.796610169491526E-2</v>
      </c>
      <c r="AI3902" s="6">
        <f>IF(SalesData[[#This Row],[Contracts Signed]]=0,0,SalesData[[#This Row],[Profit(€)]]/SalesData[[#This Row],[Contracts Signed]])</f>
        <v>4132</v>
      </c>
      <c r="AJ3902" s="5" t="str">
        <f>TRIM(CLEAN(SalesData[[#This Row],[Retailer]]))</f>
        <v>Rhein Auto Group</v>
      </c>
    </row>
    <row r="3903" spans="1:36" ht="14.25" hidden="1" x14ac:dyDescent="0.2">
      <c r="A3903" t="s">
        <v>5137</v>
      </c>
      <c r="B3903" s="1">
        <v>46080</v>
      </c>
      <c r="C3903" t="s">
        <v>53</v>
      </c>
      <c r="D3903" t="s">
        <v>54</v>
      </c>
      <c r="E3903" t="s">
        <v>26</v>
      </c>
      <c r="F3903" t="s">
        <v>7649</v>
      </c>
      <c r="G3903" t="s">
        <v>55</v>
      </c>
      <c r="H3903" t="s">
        <v>55</v>
      </c>
      <c r="I3903" t="s">
        <v>104</v>
      </c>
      <c r="J3903" t="s">
        <v>140</v>
      </c>
      <c r="K3903" t="s">
        <v>78</v>
      </c>
      <c r="L3903" t="s">
        <v>46</v>
      </c>
      <c r="M3903" t="s">
        <v>87</v>
      </c>
      <c r="N3903" t="s">
        <v>69</v>
      </c>
      <c r="O3903" t="s">
        <v>36</v>
      </c>
      <c r="P3903" t="s">
        <v>58</v>
      </c>
      <c r="Q3903" t="s">
        <v>158</v>
      </c>
      <c r="R3903">
        <v>268</v>
      </c>
      <c r="S3903">
        <v>118</v>
      </c>
      <c r="T3903">
        <v>76</v>
      </c>
      <c r="U3903">
        <v>23</v>
      </c>
      <c r="V3903" t="s">
        <v>2768</v>
      </c>
      <c r="W3903">
        <v>25833</v>
      </c>
      <c r="X3903" t="s">
        <v>7377</v>
      </c>
      <c r="Y3903">
        <v>23425</v>
      </c>
      <c r="Z3903">
        <v>594159</v>
      </c>
      <c r="AA3903">
        <v>55384</v>
      </c>
      <c r="AB3903" t="str">
        <f>(VLOOKUP(SalesData[[#This Row],[Month Number]],Reference!C$5:E$16,2,FALSE))</f>
        <v>Feb</v>
      </c>
      <c r="AC3903">
        <f>MONTH(SalesData[[#This Row],[Date]])</f>
        <v>2</v>
      </c>
      <c r="AD3903">
        <f>Reference!F$4</f>
        <v>2026</v>
      </c>
      <c r="AE3903" t="str">
        <f>IF(OR(SalesData[[#This Row],[Day]]="Saturday",SalesData[[#This Row],[Day]]="Sunday"),"Weekend","Weekday")</f>
        <v>Weekday</v>
      </c>
      <c r="AF3903" s="5">
        <f>IF(SalesData[[#This Row],[Contracts Offered]]=0,0,SalesData[[#This Row],[Contracts Signed]]/SalesData[[#This Row],[Contracts Offered]])</f>
        <v>0.30263157894736842</v>
      </c>
      <c r="AG3903" s="5">
        <f>IF(SalesData[[#This Row],[Customers Visited]]=0,0,SalesData[[#This Row],[Test Drives]]/SalesData[[#This Row],[Customers Visited]])</f>
        <v>0.44029850746268656</v>
      </c>
      <c r="AH3903" s="5">
        <f>IF(SalesData[[#This Row],[Customers Visited]]=0,0,SalesData[[#This Row],[Contracts Signed]]/SalesData[[#This Row],[Customers Visited]])</f>
        <v>8.5820895522388058E-2</v>
      </c>
      <c r="AI3903" s="6">
        <f>IF(SalesData[[#This Row],[Contracts Signed]]=0,0,SalesData[[#This Row],[Profit(€)]]/SalesData[[#This Row],[Contracts Signed]])</f>
        <v>2408</v>
      </c>
      <c r="AJ3903" s="5" t="str">
        <f>TRIM(CLEAN(SalesData[[#This Row],[Retailer]]))</f>
        <v>Autohaus Berlin</v>
      </c>
    </row>
    <row r="3904" spans="1:36" ht="14.25" hidden="1" x14ac:dyDescent="0.2">
      <c r="A3904" t="s">
        <v>5138</v>
      </c>
      <c r="B3904" s="1">
        <v>46077</v>
      </c>
      <c r="C3904" t="s">
        <v>53</v>
      </c>
      <c r="D3904" t="s">
        <v>63</v>
      </c>
      <c r="E3904" t="s">
        <v>26</v>
      </c>
      <c r="F3904" t="s">
        <v>7649</v>
      </c>
      <c r="G3904" t="s">
        <v>55</v>
      </c>
      <c r="H3904" t="s">
        <v>55</v>
      </c>
      <c r="I3904" t="s">
        <v>104</v>
      </c>
      <c r="J3904" t="s">
        <v>7031</v>
      </c>
      <c r="K3904" t="s">
        <v>91</v>
      </c>
      <c r="L3904" t="s">
        <v>46</v>
      </c>
      <c r="M3904" t="s">
        <v>68</v>
      </c>
      <c r="N3904" t="s">
        <v>48</v>
      </c>
      <c r="O3904" t="s">
        <v>70</v>
      </c>
      <c r="P3904" t="s">
        <v>37</v>
      </c>
      <c r="Q3904" t="s">
        <v>129</v>
      </c>
      <c r="R3904">
        <v>284</v>
      </c>
      <c r="S3904">
        <v>130</v>
      </c>
      <c r="T3904">
        <v>90</v>
      </c>
      <c r="U3904">
        <v>23</v>
      </c>
      <c r="V3904" t="s">
        <v>3264</v>
      </c>
      <c r="W3904">
        <v>28882</v>
      </c>
      <c r="X3904" t="s">
        <v>1717</v>
      </c>
      <c r="Y3904">
        <v>25617</v>
      </c>
      <c r="Z3904">
        <v>664286</v>
      </c>
      <c r="AA3904">
        <v>75095</v>
      </c>
      <c r="AB3904" t="str">
        <f>(VLOOKUP(SalesData[[#This Row],[Month Number]],Reference!C$5:E$16,2,FALSE))</f>
        <v>Feb</v>
      </c>
      <c r="AC3904">
        <f>MONTH(SalesData[[#This Row],[Date]])</f>
        <v>2</v>
      </c>
      <c r="AD3904">
        <f>Reference!F$4</f>
        <v>2026</v>
      </c>
      <c r="AE3904" t="str">
        <f>IF(OR(SalesData[[#This Row],[Day]]="Saturday",SalesData[[#This Row],[Day]]="Sunday"),"Weekend","Weekday")</f>
        <v>Weekday</v>
      </c>
      <c r="AF3904" s="5">
        <f>IF(SalesData[[#This Row],[Contracts Offered]]=0,0,SalesData[[#This Row],[Contracts Signed]]/SalesData[[#This Row],[Contracts Offered]])</f>
        <v>0.25555555555555554</v>
      </c>
      <c r="AG3904" s="5">
        <f>IF(SalesData[[#This Row],[Customers Visited]]=0,0,SalesData[[#This Row],[Test Drives]]/SalesData[[#This Row],[Customers Visited]])</f>
        <v>0.45774647887323944</v>
      </c>
      <c r="AH3904" s="5">
        <f>IF(SalesData[[#This Row],[Customers Visited]]=0,0,SalesData[[#This Row],[Contracts Signed]]/SalesData[[#This Row],[Customers Visited]])</f>
        <v>8.098591549295775E-2</v>
      </c>
      <c r="AI3904" s="6">
        <f>IF(SalesData[[#This Row],[Contracts Signed]]=0,0,SalesData[[#This Row],[Profit(€)]]/SalesData[[#This Row],[Contracts Signed]])</f>
        <v>3265</v>
      </c>
      <c r="AJ3904" s="5" t="str">
        <f>TRIM(CLEAN(SalesData[[#This Row],[Retailer]]))</f>
        <v>Autohaus Berlin</v>
      </c>
    </row>
    <row r="3905" spans="1:36" ht="14.25" x14ac:dyDescent="0.2">
      <c r="A3905" t="s">
        <v>5139</v>
      </c>
      <c r="B3905" s="1">
        <v>46072</v>
      </c>
      <c r="C3905" t="s">
        <v>62</v>
      </c>
      <c r="D3905" t="s">
        <v>100</v>
      </c>
      <c r="E3905" t="s">
        <v>26</v>
      </c>
      <c r="F3905" t="s">
        <v>43</v>
      </c>
      <c r="G3905" t="s">
        <v>44</v>
      </c>
      <c r="H3905" t="s">
        <v>45</v>
      </c>
      <c r="I3905" t="s">
        <v>30</v>
      </c>
      <c r="J3905" t="s">
        <v>86</v>
      </c>
      <c r="K3905" t="s">
        <v>32</v>
      </c>
      <c r="L3905" t="s">
        <v>33</v>
      </c>
      <c r="M3905" t="s">
        <v>87</v>
      </c>
      <c r="N3905" t="s">
        <v>69</v>
      </c>
      <c r="O3905" t="s">
        <v>36</v>
      </c>
      <c r="P3905" t="s">
        <v>49</v>
      </c>
      <c r="Q3905" t="s">
        <v>144</v>
      </c>
      <c r="R3905">
        <v>157</v>
      </c>
      <c r="S3905">
        <v>81</v>
      </c>
      <c r="T3905">
        <v>62</v>
      </c>
      <c r="U3905">
        <v>20</v>
      </c>
      <c r="V3905" t="s">
        <v>6703</v>
      </c>
      <c r="W3905">
        <v>53302</v>
      </c>
      <c r="X3905" t="s">
        <v>6136</v>
      </c>
      <c r="Y3905">
        <v>38666</v>
      </c>
      <c r="Z3905">
        <v>1066040</v>
      </c>
      <c r="AA3905">
        <v>292720</v>
      </c>
      <c r="AB3905" t="str">
        <f>(VLOOKUP(SalesData[[#This Row],[Month Number]],Reference!C$5:E$16,2,FALSE))</f>
        <v>Feb</v>
      </c>
      <c r="AC3905">
        <f>MONTH(SalesData[[#This Row],[Date]])</f>
        <v>2</v>
      </c>
      <c r="AD3905">
        <f>Reference!F$4</f>
        <v>2026</v>
      </c>
      <c r="AE3905" t="str">
        <f>IF(OR(SalesData[[#This Row],[Day]]="Saturday",SalesData[[#This Row],[Day]]="Sunday"),"Weekend","Weekday")</f>
        <v>Weekday</v>
      </c>
      <c r="AF3905" s="5">
        <f>IF(SalesData[[#This Row],[Contracts Offered]]=0,0,SalesData[[#This Row],[Contracts Signed]]/SalesData[[#This Row],[Contracts Offered]])</f>
        <v>0.32258064516129031</v>
      </c>
      <c r="AG3905" s="5">
        <f>IF(SalesData[[#This Row],[Customers Visited]]=0,0,SalesData[[#This Row],[Test Drives]]/SalesData[[#This Row],[Customers Visited]])</f>
        <v>0.51592356687898089</v>
      </c>
      <c r="AH3905" s="5">
        <f>IF(SalesData[[#This Row],[Customers Visited]]=0,0,SalesData[[#This Row],[Contracts Signed]]/SalesData[[#This Row],[Customers Visited]])</f>
        <v>0.12738853503184713</v>
      </c>
      <c r="AI3905" s="6">
        <f>IF(SalesData[[#This Row],[Contracts Signed]]=0,0,SalesData[[#This Row],[Profit(€)]]/SalesData[[#This Row],[Contracts Signed]])</f>
        <v>14636</v>
      </c>
      <c r="AJ3905" s="5" t="str">
        <f>TRIM(CLEAN(SalesData[[#This Row],[Retailer]]))</f>
        <v>Saxon Wheels</v>
      </c>
    </row>
    <row r="3906" spans="1:36" ht="14.25" x14ac:dyDescent="0.2">
      <c r="A3906" t="s">
        <v>5140</v>
      </c>
      <c r="B3906" s="1">
        <v>46066</v>
      </c>
      <c r="C3906" t="s">
        <v>121</v>
      </c>
      <c r="D3906" t="s">
        <v>54</v>
      </c>
      <c r="E3906" t="s">
        <v>26</v>
      </c>
      <c r="F3906" t="s">
        <v>7649</v>
      </c>
      <c r="G3906" t="s">
        <v>55</v>
      </c>
      <c r="H3906" t="s">
        <v>55</v>
      </c>
      <c r="I3906" t="s">
        <v>30</v>
      </c>
      <c r="J3906" t="s">
        <v>31</v>
      </c>
      <c r="K3906" t="s">
        <v>91</v>
      </c>
      <c r="L3906" t="s">
        <v>46</v>
      </c>
      <c r="M3906" t="s">
        <v>87</v>
      </c>
      <c r="N3906" t="s">
        <v>48</v>
      </c>
      <c r="O3906" t="s">
        <v>70</v>
      </c>
      <c r="P3906" t="s">
        <v>37</v>
      </c>
      <c r="Q3906" t="s">
        <v>50</v>
      </c>
      <c r="R3906">
        <v>140</v>
      </c>
      <c r="S3906">
        <v>83</v>
      </c>
      <c r="T3906">
        <v>64</v>
      </c>
      <c r="U3906">
        <v>24</v>
      </c>
      <c r="V3906" t="s">
        <v>7006</v>
      </c>
      <c r="W3906">
        <v>66183</v>
      </c>
      <c r="X3906" t="s">
        <v>7224</v>
      </c>
      <c r="Y3906">
        <v>49332</v>
      </c>
      <c r="Z3906">
        <v>1588392</v>
      </c>
      <c r="AA3906">
        <v>404424</v>
      </c>
      <c r="AB3906" t="str">
        <f>(VLOOKUP(SalesData[[#This Row],[Month Number]],Reference!C$5:E$16,2,FALSE))</f>
        <v>Feb</v>
      </c>
      <c r="AC3906">
        <f>MONTH(SalesData[[#This Row],[Date]])</f>
        <v>2</v>
      </c>
      <c r="AD3906">
        <f>Reference!F$4</f>
        <v>2026</v>
      </c>
      <c r="AE3906" t="str">
        <f>IF(OR(SalesData[[#This Row],[Day]]="Saturday",SalesData[[#This Row],[Day]]="Sunday"),"Weekend","Weekday")</f>
        <v>Weekday</v>
      </c>
      <c r="AF3906" s="5">
        <f>IF(SalesData[[#This Row],[Contracts Offered]]=0,0,SalesData[[#This Row],[Contracts Signed]]/SalesData[[#This Row],[Contracts Offered]])</f>
        <v>0.375</v>
      </c>
      <c r="AG3906" s="5">
        <f>IF(SalesData[[#This Row],[Customers Visited]]=0,0,SalesData[[#This Row],[Test Drives]]/SalesData[[#This Row],[Customers Visited]])</f>
        <v>0.59285714285714286</v>
      </c>
      <c r="AH3906" s="5">
        <f>IF(SalesData[[#This Row],[Customers Visited]]=0,0,SalesData[[#This Row],[Contracts Signed]]/SalesData[[#This Row],[Customers Visited]])</f>
        <v>0.17142857142857143</v>
      </c>
      <c r="AI3906" s="6">
        <f>IF(SalesData[[#This Row],[Contracts Signed]]=0,0,SalesData[[#This Row],[Profit(€)]]/SalesData[[#This Row],[Contracts Signed]])</f>
        <v>16851</v>
      </c>
      <c r="AJ3906" s="5" t="str">
        <f>TRIM(CLEAN(SalesData[[#This Row],[Retailer]]))</f>
        <v>Autohaus Berlin</v>
      </c>
    </row>
    <row r="3907" spans="1:36" ht="14.25" hidden="1" x14ac:dyDescent="0.2">
      <c r="A3907" t="s">
        <v>5141</v>
      </c>
      <c r="B3907" s="1">
        <v>46080</v>
      </c>
      <c r="C3907" t="s">
        <v>53</v>
      </c>
      <c r="D3907" t="s">
        <v>54</v>
      </c>
      <c r="E3907" t="s">
        <v>26</v>
      </c>
      <c r="F3907" t="s">
        <v>109</v>
      </c>
      <c r="G3907" t="s">
        <v>110</v>
      </c>
      <c r="H3907" t="s">
        <v>45</v>
      </c>
      <c r="I3907" t="s">
        <v>104</v>
      </c>
      <c r="J3907" t="s">
        <v>7031</v>
      </c>
      <c r="K3907" t="s">
        <v>78</v>
      </c>
      <c r="L3907" t="s">
        <v>46</v>
      </c>
      <c r="M3907" t="s">
        <v>34</v>
      </c>
      <c r="N3907" t="s">
        <v>48</v>
      </c>
      <c r="O3907" t="s">
        <v>70</v>
      </c>
      <c r="P3907" t="s">
        <v>37</v>
      </c>
      <c r="Q3907" t="s">
        <v>167</v>
      </c>
      <c r="R3907">
        <v>299</v>
      </c>
      <c r="S3907">
        <v>170</v>
      </c>
      <c r="T3907">
        <v>106</v>
      </c>
      <c r="U3907">
        <v>26</v>
      </c>
      <c r="V3907" t="s">
        <v>1628</v>
      </c>
      <c r="W3907">
        <v>27066</v>
      </c>
      <c r="X3907" t="s">
        <v>900</v>
      </c>
      <c r="Y3907">
        <v>23466</v>
      </c>
      <c r="Z3907">
        <v>703716</v>
      </c>
      <c r="AA3907">
        <v>93600</v>
      </c>
      <c r="AB3907" t="str">
        <f>(VLOOKUP(SalesData[[#This Row],[Month Number]],Reference!C$5:E$16,2,FALSE))</f>
        <v>Feb</v>
      </c>
      <c r="AC3907">
        <f>MONTH(SalesData[[#This Row],[Date]])</f>
        <v>2</v>
      </c>
      <c r="AD3907">
        <f>Reference!F$4</f>
        <v>2026</v>
      </c>
      <c r="AE3907" t="str">
        <f>IF(OR(SalesData[[#This Row],[Day]]="Saturday",SalesData[[#This Row],[Day]]="Sunday"),"Weekend","Weekday")</f>
        <v>Weekday</v>
      </c>
      <c r="AF3907" s="5">
        <f>IF(SalesData[[#This Row],[Contracts Offered]]=0,0,SalesData[[#This Row],[Contracts Signed]]/SalesData[[#This Row],[Contracts Offered]])</f>
        <v>0.24528301886792453</v>
      </c>
      <c r="AG3907" s="5">
        <f>IF(SalesData[[#This Row],[Customers Visited]]=0,0,SalesData[[#This Row],[Test Drives]]/SalesData[[#This Row],[Customers Visited]])</f>
        <v>0.56856187290969895</v>
      </c>
      <c r="AH3907" s="5">
        <f>IF(SalesData[[#This Row],[Customers Visited]]=0,0,SalesData[[#This Row],[Contracts Signed]]/SalesData[[#This Row],[Customers Visited]])</f>
        <v>8.6956521739130432E-2</v>
      </c>
      <c r="AI3907" s="6">
        <f>IF(SalesData[[#This Row],[Contracts Signed]]=0,0,SalesData[[#This Row],[Profit(€)]]/SalesData[[#This Row],[Contracts Signed]])</f>
        <v>3600</v>
      </c>
      <c r="AJ3907" s="5" t="str">
        <f>TRIM(CLEAN(SalesData[[#This Row],[Retailer]]))</f>
        <v>Leipzig Mobility</v>
      </c>
    </row>
    <row r="3908" spans="1:36" ht="14.25" x14ac:dyDescent="0.2">
      <c r="A3908" t="s">
        <v>5142</v>
      </c>
      <c r="B3908" s="1">
        <v>46073</v>
      </c>
      <c r="C3908" t="s">
        <v>62</v>
      </c>
      <c r="D3908" t="s">
        <v>54</v>
      </c>
      <c r="E3908" t="s">
        <v>26</v>
      </c>
      <c r="F3908" t="s">
        <v>127</v>
      </c>
      <c r="G3908" t="s">
        <v>128</v>
      </c>
      <c r="H3908" t="s">
        <v>103</v>
      </c>
      <c r="I3908" t="s">
        <v>30</v>
      </c>
      <c r="J3908" t="s">
        <v>7075</v>
      </c>
      <c r="K3908" t="s">
        <v>66</v>
      </c>
      <c r="L3908" t="s">
        <v>33</v>
      </c>
      <c r="M3908" t="s">
        <v>47</v>
      </c>
      <c r="N3908" t="s">
        <v>48</v>
      </c>
      <c r="O3908" t="s">
        <v>70</v>
      </c>
      <c r="P3908" t="s">
        <v>49</v>
      </c>
      <c r="Q3908" t="s">
        <v>204</v>
      </c>
      <c r="R3908">
        <v>280</v>
      </c>
      <c r="S3908">
        <v>133</v>
      </c>
      <c r="T3908">
        <v>101</v>
      </c>
      <c r="U3908">
        <v>37</v>
      </c>
      <c r="V3908" t="s">
        <v>7306</v>
      </c>
      <c r="W3908">
        <v>51555</v>
      </c>
      <c r="X3908" t="s">
        <v>39</v>
      </c>
      <c r="Y3908">
        <v>37995</v>
      </c>
      <c r="Z3908">
        <v>1907535</v>
      </c>
      <c r="AA3908">
        <v>501720</v>
      </c>
      <c r="AB3908" t="str">
        <f>(VLOOKUP(SalesData[[#This Row],[Month Number]],Reference!C$5:E$16,2,FALSE))</f>
        <v>Feb</v>
      </c>
      <c r="AC3908">
        <f>MONTH(SalesData[[#This Row],[Date]])</f>
        <v>2</v>
      </c>
      <c r="AD3908">
        <f>Reference!F$4</f>
        <v>2026</v>
      </c>
      <c r="AE3908" t="str">
        <f>IF(OR(SalesData[[#This Row],[Day]]="Saturday",SalesData[[#This Row],[Day]]="Sunday"),"Weekend","Weekday")</f>
        <v>Weekday</v>
      </c>
      <c r="AF3908" s="5">
        <f>IF(SalesData[[#This Row],[Contracts Offered]]=0,0,SalesData[[#This Row],[Contracts Signed]]/SalesData[[#This Row],[Contracts Offered]])</f>
        <v>0.36633663366336633</v>
      </c>
      <c r="AG3908" s="5">
        <f>IF(SalesData[[#This Row],[Customers Visited]]=0,0,SalesData[[#This Row],[Test Drives]]/SalesData[[#This Row],[Customers Visited]])</f>
        <v>0.47499999999999998</v>
      </c>
      <c r="AH3908" s="5">
        <f>IF(SalesData[[#This Row],[Customers Visited]]=0,0,SalesData[[#This Row],[Contracts Signed]]/SalesData[[#This Row],[Customers Visited]])</f>
        <v>0.13214285714285715</v>
      </c>
      <c r="AI3908" s="6">
        <f>IF(SalesData[[#This Row],[Contracts Signed]]=0,0,SalesData[[#This Row],[Profit(€)]]/SalesData[[#This Row],[Contracts Signed]])</f>
        <v>13560</v>
      </c>
      <c r="AJ3908" s="5" t="str">
        <f>TRIM(CLEAN(SalesData[[#This Row],[Retailer]]))</f>
        <v>Rhein Auto Group</v>
      </c>
    </row>
    <row r="3909" spans="1:36" ht="14.25" hidden="1" x14ac:dyDescent="0.2">
      <c r="A3909" t="s">
        <v>5144</v>
      </c>
      <c r="B3909" s="1">
        <v>46079</v>
      </c>
      <c r="C3909" t="s">
        <v>53</v>
      </c>
      <c r="D3909" t="s">
        <v>100</v>
      </c>
      <c r="E3909" t="s">
        <v>26</v>
      </c>
      <c r="F3909" t="s">
        <v>94</v>
      </c>
      <c r="G3909" t="s">
        <v>95</v>
      </c>
      <c r="H3909" t="s">
        <v>96</v>
      </c>
      <c r="I3909" t="s">
        <v>64</v>
      </c>
      <c r="J3909" t="s">
        <v>111</v>
      </c>
      <c r="K3909" t="s">
        <v>66</v>
      </c>
      <c r="L3909" t="s">
        <v>46</v>
      </c>
      <c r="M3909" t="s">
        <v>87</v>
      </c>
      <c r="N3909" t="s">
        <v>69</v>
      </c>
      <c r="O3909" t="s">
        <v>70</v>
      </c>
      <c r="P3909" t="s">
        <v>37</v>
      </c>
      <c r="Q3909" t="s">
        <v>169</v>
      </c>
      <c r="R3909">
        <v>154</v>
      </c>
      <c r="S3909">
        <v>90</v>
      </c>
      <c r="T3909">
        <v>60</v>
      </c>
      <c r="U3909">
        <v>21</v>
      </c>
      <c r="V3909" t="s">
        <v>6365</v>
      </c>
      <c r="W3909">
        <v>57854</v>
      </c>
      <c r="X3909" t="s">
        <v>7517</v>
      </c>
      <c r="Y3909">
        <v>42610</v>
      </c>
      <c r="Z3909">
        <v>1214934</v>
      </c>
      <c r="AA3909">
        <v>320124</v>
      </c>
      <c r="AB3909" t="str">
        <f>(VLOOKUP(SalesData[[#This Row],[Month Number]],Reference!C$5:E$16,2,FALSE))</f>
        <v>Feb</v>
      </c>
      <c r="AC3909">
        <f>MONTH(SalesData[[#This Row],[Date]])</f>
        <v>2</v>
      </c>
      <c r="AD3909">
        <f>Reference!F$4</f>
        <v>2026</v>
      </c>
      <c r="AE3909" t="str">
        <f>IF(OR(SalesData[[#This Row],[Day]]="Saturday",SalesData[[#This Row],[Day]]="Sunday"),"Weekend","Weekday")</f>
        <v>Weekday</v>
      </c>
      <c r="AF3909" s="5">
        <f>IF(SalesData[[#This Row],[Contracts Offered]]=0,0,SalesData[[#This Row],[Contracts Signed]]/SalesData[[#This Row],[Contracts Offered]])</f>
        <v>0.35</v>
      </c>
      <c r="AG3909" s="5">
        <f>IF(SalesData[[#This Row],[Customers Visited]]=0,0,SalesData[[#This Row],[Test Drives]]/SalesData[[#This Row],[Customers Visited]])</f>
        <v>0.58441558441558439</v>
      </c>
      <c r="AH3909" s="5">
        <f>IF(SalesData[[#This Row],[Customers Visited]]=0,0,SalesData[[#This Row],[Contracts Signed]]/SalesData[[#This Row],[Customers Visited]])</f>
        <v>0.13636363636363635</v>
      </c>
      <c r="AI3909" s="6">
        <f>IF(SalesData[[#This Row],[Contracts Signed]]=0,0,SalesData[[#This Row],[Profit(€)]]/SalesData[[#This Row],[Contracts Signed]])</f>
        <v>15244</v>
      </c>
      <c r="AJ3909" s="5" t="str">
        <f>TRIM(CLEAN(SalesData[[#This Row],[Retailer]]))</f>
        <v>Bavaria Motors</v>
      </c>
    </row>
    <row r="3910" spans="1:36" ht="14.25" hidden="1" x14ac:dyDescent="0.2">
      <c r="A3910" t="s">
        <v>5145</v>
      </c>
      <c r="B3910" s="1">
        <v>46077</v>
      </c>
      <c r="C3910" t="s">
        <v>53</v>
      </c>
      <c r="D3910" t="s">
        <v>63</v>
      </c>
      <c r="E3910" t="s">
        <v>26</v>
      </c>
      <c r="F3910" t="s">
        <v>101</v>
      </c>
      <c r="G3910" t="s">
        <v>102</v>
      </c>
      <c r="H3910" t="s">
        <v>103</v>
      </c>
      <c r="I3910" t="s">
        <v>64</v>
      </c>
      <c r="J3910" t="s">
        <v>77</v>
      </c>
      <c r="K3910" t="s">
        <v>66</v>
      </c>
      <c r="L3910" t="s">
        <v>46</v>
      </c>
      <c r="M3910" t="s">
        <v>34</v>
      </c>
      <c r="N3910" t="s">
        <v>48</v>
      </c>
      <c r="O3910" t="s">
        <v>36</v>
      </c>
      <c r="P3910" t="s">
        <v>58</v>
      </c>
      <c r="Q3910" t="s">
        <v>129</v>
      </c>
      <c r="R3910">
        <v>234</v>
      </c>
      <c r="S3910">
        <v>107</v>
      </c>
      <c r="T3910">
        <v>79</v>
      </c>
      <c r="U3910">
        <v>26</v>
      </c>
      <c r="V3910" t="s">
        <v>6932</v>
      </c>
      <c r="W3910">
        <v>70979</v>
      </c>
      <c r="X3910" t="s">
        <v>7069</v>
      </c>
      <c r="Y3910">
        <v>52332</v>
      </c>
      <c r="Z3910">
        <v>1845454</v>
      </c>
      <c r="AA3910">
        <v>484822</v>
      </c>
      <c r="AB3910" t="str">
        <f>(VLOOKUP(SalesData[[#This Row],[Month Number]],Reference!C$5:E$16,2,FALSE))</f>
        <v>Feb</v>
      </c>
      <c r="AC3910">
        <f>MONTH(SalesData[[#This Row],[Date]])</f>
        <v>2</v>
      </c>
      <c r="AD3910">
        <f>Reference!F$4</f>
        <v>2026</v>
      </c>
      <c r="AE3910" t="str">
        <f>IF(OR(SalesData[[#This Row],[Day]]="Saturday",SalesData[[#This Row],[Day]]="Sunday"),"Weekend","Weekday")</f>
        <v>Weekday</v>
      </c>
      <c r="AF3910" s="5">
        <f>IF(SalesData[[#This Row],[Contracts Offered]]=0,0,SalesData[[#This Row],[Contracts Signed]]/SalesData[[#This Row],[Contracts Offered]])</f>
        <v>0.32911392405063289</v>
      </c>
      <c r="AG3910" s="5">
        <f>IF(SalesData[[#This Row],[Customers Visited]]=0,0,SalesData[[#This Row],[Test Drives]]/SalesData[[#This Row],[Customers Visited]])</f>
        <v>0.45726495726495725</v>
      </c>
      <c r="AH3910" s="5">
        <f>IF(SalesData[[#This Row],[Customers Visited]]=0,0,SalesData[[#This Row],[Contracts Signed]]/SalesData[[#This Row],[Customers Visited]])</f>
        <v>0.1111111111111111</v>
      </c>
      <c r="AI3910" s="6">
        <f>IF(SalesData[[#This Row],[Contracts Signed]]=0,0,SalesData[[#This Row],[Profit(€)]]/SalesData[[#This Row],[Contracts Signed]])</f>
        <v>18647</v>
      </c>
      <c r="AJ3910" s="5" t="str">
        <f>TRIM(CLEAN(SalesData[[#This Row],[Retailer]]))</f>
        <v>Ruhr Auto Plaza</v>
      </c>
    </row>
    <row r="3911" spans="1:36" ht="14.25" hidden="1" x14ac:dyDescent="0.2">
      <c r="A3911" t="s">
        <v>5146</v>
      </c>
      <c r="B3911" s="1">
        <v>46054</v>
      </c>
      <c r="C3911" t="s">
        <v>24</v>
      </c>
      <c r="D3911" t="s">
        <v>41</v>
      </c>
      <c r="E3911" t="s">
        <v>42</v>
      </c>
      <c r="F3911" t="s">
        <v>27</v>
      </c>
      <c r="G3911" t="s">
        <v>28</v>
      </c>
      <c r="H3911" t="s">
        <v>29</v>
      </c>
      <c r="I3911" t="s">
        <v>104</v>
      </c>
      <c r="J3911" t="s">
        <v>105</v>
      </c>
      <c r="K3911" t="s">
        <v>32</v>
      </c>
      <c r="L3911" t="s">
        <v>33</v>
      </c>
      <c r="M3911" t="s">
        <v>47</v>
      </c>
      <c r="N3911" t="s">
        <v>35</v>
      </c>
      <c r="O3911" t="s">
        <v>70</v>
      </c>
      <c r="P3911" t="s">
        <v>37</v>
      </c>
      <c r="Q3911" t="s">
        <v>240</v>
      </c>
      <c r="R3911">
        <v>498</v>
      </c>
      <c r="S3911">
        <v>233</v>
      </c>
      <c r="T3911">
        <v>164</v>
      </c>
      <c r="U3911">
        <v>29</v>
      </c>
      <c r="V3911" t="s">
        <v>3439</v>
      </c>
      <c r="W3911">
        <v>26477</v>
      </c>
      <c r="X3911" t="s">
        <v>2447</v>
      </c>
      <c r="Y3911">
        <v>22942</v>
      </c>
      <c r="Z3911">
        <v>767833</v>
      </c>
      <c r="AA3911">
        <v>102515</v>
      </c>
      <c r="AB3911" t="str">
        <f>(VLOOKUP(SalesData[[#This Row],[Month Number]],Reference!C$5:E$16,2,FALSE))</f>
        <v>Feb</v>
      </c>
      <c r="AC3911">
        <f>MONTH(SalesData[[#This Row],[Date]])</f>
        <v>2</v>
      </c>
      <c r="AD3911">
        <f>Reference!F$4</f>
        <v>2026</v>
      </c>
      <c r="AE3911" t="str">
        <f>IF(OR(SalesData[[#This Row],[Day]]="Saturday",SalesData[[#This Row],[Day]]="Sunday"),"Weekend","Weekday")</f>
        <v>Weekend</v>
      </c>
      <c r="AF3911" s="5">
        <f>IF(SalesData[[#This Row],[Contracts Offered]]=0,0,SalesData[[#This Row],[Contracts Signed]]/SalesData[[#This Row],[Contracts Offered]])</f>
        <v>0.17682926829268292</v>
      </c>
      <c r="AG3911" s="5">
        <f>IF(SalesData[[#This Row],[Customers Visited]]=0,0,SalesData[[#This Row],[Test Drives]]/SalesData[[#This Row],[Customers Visited]])</f>
        <v>0.46787148594377509</v>
      </c>
      <c r="AH3911" s="5">
        <f>IF(SalesData[[#This Row],[Customers Visited]]=0,0,SalesData[[#This Row],[Contracts Signed]]/SalesData[[#This Row],[Customers Visited]])</f>
        <v>5.8232931726907633E-2</v>
      </c>
      <c r="AI3911" s="6">
        <f>IF(SalesData[[#This Row],[Contracts Signed]]=0,0,SalesData[[#This Row],[Profit(€)]]/SalesData[[#This Row],[Contracts Signed]])</f>
        <v>3535</v>
      </c>
      <c r="AJ3911" s="5" t="str">
        <f>TRIM(CLEAN(SalesData[[#This Row],[Retailer]]))</f>
        <v>Main Auto Hub</v>
      </c>
    </row>
    <row r="3912" spans="1:36" ht="14.25" hidden="1" x14ac:dyDescent="0.2">
      <c r="A3912" t="s">
        <v>5147</v>
      </c>
      <c r="B3912" s="1">
        <v>46068</v>
      </c>
      <c r="C3912" t="s">
        <v>62</v>
      </c>
      <c r="D3912" t="s">
        <v>41</v>
      </c>
      <c r="E3912" t="s">
        <v>42</v>
      </c>
      <c r="F3912" t="s">
        <v>27</v>
      </c>
      <c r="G3912" t="s">
        <v>28</v>
      </c>
      <c r="H3912" t="s">
        <v>29</v>
      </c>
      <c r="I3912" t="s">
        <v>64</v>
      </c>
      <c r="J3912" t="s">
        <v>65</v>
      </c>
      <c r="K3912" t="s">
        <v>91</v>
      </c>
      <c r="L3912" t="s">
        <v>33</v>
      </c>
      <c r="M3912" t="s">
        <v>47</v>
      </c>
      <c r="N3912" t="s">
        <v>35</v>
      </c>
      <c r="O3912" t="s">
        <v>36</v>
      </c>
      <c r="P3912" t="s">
        <v>37</v>
      </c>
      <c r="Q3912" t="s">
        <v>59</v>
      </c>
      <c r="R3912">
        <v>263</v>
      </c>
      <c r="S3912">
        <v>124</v>
      </c>
      <c r="T3912">
        <v>84</v>
      </c>
      <c r="U3912">
        <v>29</v>
      </c>
      <c r="V3912" t="s">
        <v>6841</v>
      </c>
      <c r="W3912">
        <v>53352</v>
      </c>
      <c r="X3912" t="s">
        <v>7517</v>
      </c>
      <c r="Y3912">
        <v>38589</v>
      </c>
      <c r="Z3912">
        <v>1547208</v>
      </c>
      <c r="AA3912">
        <v>428127</v>
      </c>
      <c r="AB3912" t="str">
        <f>(VLOOKUP(SalesData[[#This Row],[Month Number]],Reference!C$5:E$16,2,FALSE))</f>
        <v>Feb</v>
      </c>
      <c r="AC3912">
        <f>MONTH(SalesData[[#This Row],[Date]])</f>
        <v>2</v>
      </c>
      <c r="AD3912">
        <f>Reference!F$4</f>
        <v>2026</v>
      </c>
      <c r="AE3912" t="str">
        <f>IF(OR(SalesData[[#This Row],[Day]]="Saturday",SalesData[[#This Row],[Day]]="Sunday"),"Weekend","Weekday")</f>
        <v>Weekend</v>
      </c>
      <c r="AF3912" s="5">
        <f>IF(SalesData[[#This Row],[Contracts Offered]]=0,0,SalesData[[#This Row],[Contracts Signed]]/SalesData[[#This Row],[Contracts Offered]])</f>
        <v>0.34523809523809523</v>
      </c>
      <c r="AG3912" s="5">
        <f>IF(SalesData[[#This Row],[Customers Visited]]=0,0,SalesData[[#This Row],[Test Drives]]/SalesData[[#This Row],[Customers Visited]])</f>
        <v>0.47148288973384028</v>
      </c>
      <c r="AH3912" s="5">
        <f>IF(SalesData[[#This Row],[Customers Visited]]=0,0,SalesData[[#This Row],[Contracts Signed]]/SalesData[[#This Row],[Customers Visited]])</f>
        <v>0.11026615969581749</v>
      </c>
      <c r="AI3912" s="6">
        <f>IF(SalesData[[#This Row],[Contracts Signed]]=0,0,SalesData[[#This Row],[Profit(€)]]/SalesData[[#This Row],[Contracts Signed]])</f>
        <v>14763</v>
      </c>
      <c r="AJ3912" s="5" t="str">
        <f>TRIM(CLEAN(SalesData[[#This Row],[Retailer]]))</f>
        <v>Main Auto Hub</v>
      </c>
    </row>
    <row r="3913" spans="1:36" ht="14.25" hidden="1" x14ac:dyDescent="0.2">
      <c r="A3913" t="s">
        <v>5148</v>
      </c>
      <c r="B3913" s="1">
        <v>46059</v>
      </c>
      <c r="C3913" t="s">
        <v>24</v>
      </c>
      <c r="D3913" t="s">
        <v>54</v>
      </c>
      <c r="E3913" t="s">
        <v>26</v>
      </c>
      <c r="F3913" t="s">
        <v>114</v>
      </c>
      <c r="G3913" t="s">
        <v>115</v>
      </c>
      <c r="H3913" t="s">
        <v>115</v>
      </c>
      <c r="I3913" t="s">
        <v>64</v>
      </c>
      <c r="J3913" t="s">
        <v>111</v>
      </c>
      <c r="K3913" t="s">
        <v>66</v>
      </c>
      <c r="L3913" t="s">
        <v>46</v>
      </c>
      <c r="M3913" t="s">
        <v>34</v>
      </c>
      <c r="N3913" t="s">
        <v>35</v>
      </c>
      <c r="O3913" t="s">
        <v>36</v>
      </c>
      <c r="P3913" t="s">
        <v>37</v>
      </c>
      <c r="Q3913" t="s">
        <v>144</v>
      </c>
      <c r="R3913">
        <v>249</v>
      </c>
      <c r="S3913">
        <v>116</v>
      </c>
      <c r="T3913">
        <v>80</v>
      </c>
      <c r="U3913">
        <v>29</v>
      </c>
      <c r="V3913" t="s">
        <v>6403</v>
      </c>
      <c r="W3913">
        <v>59374</v>
      </c>
      <c r="X3913" t="s">
        <v>7294</v>
      </c>
      <c r="Y3913">
        <v>45421</v>
      </c>
      <c r="Z3913">
        <v>1721846</v>
      </c>
      <c r="AA3913">
        <v>404637</v>
      </c>
      <c r="AB3913" t="str">
        <f>(VLOOKUP(SalesData[[#This Row],[Month Number]],Reference!C$5:E$16,2,FALSE))</f>
        <v>Feb</v>
      </c>
      <c r="AC3913">
        <f>MONTH(SalesData[[#This Row],[Date]])</f>
        <v>2</v>
      </c>
      <c r="AD3913">
        <f>Reference!F$4</f>
        <v>2026</v>
      </c>
      <c r="AE3913" t="str">
        <f>IF(OR(SalesData[[#This Row],[Day]]="Saturday",SalesData[[#This Row],[Day]]="Sunday"),"Weekend","Weekday")</f>
        <v>Weekday</v>
      </c>
      <c r="AF3913" s="5">
        <f>IF(SalesData[[#This Row],[Contracts Offered]]=0,0,SalesData[[#This Row],[Contracts Signed]]/SalesData[[#This Row],[Contracts Offered]])</f>
        <v>0.36249999999999999</v>
      </c>
      <c r="AG3913" s="5">
        <f>IF(SalesData[[#This Row],[Customers Visited]]=0,0,SalesData[[#This Row],[Test Drives]]/SalesData[[#This Row],[Customers Visited]])</f>
        <v>0.46586345381526106</v>
      </c>
      <c r="AH3913" s="5">
        <f>IF(SalesData[[#This Row],[Customers Visited]]=0,0,SalesData[[#This Row],[Contracts Signed]]/SalesData[[#This Row],[Customers Visited]])</f>
        <v>0.11646586345381527</v>
      </c>
      <c r="AI3913" s="6">
        <f>IF(SalesData[[#This Row],[Contracts Signed]]=0,0,SalesData[[#This Row],[Profit(€)]]/SalesData[[#This Row],[Contracts Signed]])</f>
        <v>13953</v>
      </c>
      <c r="AJ3913" s="5" t="str">
        <f>TRIM(CLEAN(SalesData[[#This Row],[Retailer]]))</f>
        <v>Elbe Drive</v>
      </c>
    </row>
    <row r="3914" spans="1:36" ht="14.25" x14ac:dyDescent="0.2">
      <c r="A3914" t="s">
        <v>5150</v>
      </c>
      <c r="B3914" s="1">
        <v>46078</v>
      </c>
      <c r="C3914" t="s">
        <v>53</v>
      </c>
      <c r="D3914" t="s">
        <v>82</v>
      </c>
      <c r="E3914" t="s">
        <v>26</v>
      </c>
      <c r="F3914" t="s">
        <v>101</v>
      </c>
      <c r="G3914" t="s">
        <v>102</v>
      </c>
      <c r="H3914" t="s">
        <v>103</v>
      </c>
      <c r="I3914" t="s">
        <v>30</v>
      </c>
      <c r="J3914" t="s">
        <v>86</v>
      </c>
      <c r="K3914" t="s">
        <v>91</v>
      </c>
      <c r="L3914" t="s">
        <v>33</v>
      </c>
      <c r="M3914" t="s">
        <v>34</v>
      </c>
      <c r="N3914" t="s">
        <v>35</v>
      </c>
      <c r="O3914" t="s">
        <v>36</v>
      </c>
      <c r="P3914" t="s">
        <v>58</v>
      </c>
      <c r="Q3914" t="s">
        <v>38</v>
      </c>
      <c r="R3914">
        <v>203</v>
      </c>
      <c r="S3914">
        <v>92</v>
      </c>
      <c r="T3914">
        <v>66</v>
      </c>
      <c r="U3914">
        <v>28</v>
      </c>
      <c r="V3914" t="s">
        <v>7064</v>
      </c>
      <c r="W3914">
        <v>64058</v>
      </c>
      <c r="X3914" t="s">
        <v>7228</v>
      </c>
      <c r="Y3914">
        <v>49544</v>
      </c>
      <c r="Z3914">
        <v>1793624</v>
      </c>
      <c r="AA3914">
        <v>406392</v>
      </c>
      <c r="AB3914" t="str">
        <f>(VLOOKUP(SalesData[[#This Row],[Month Number]],Reference!C$5:E$16,2,FALSE))</f>
        <v>Feb</v>
      </c>
      <c r="AC3914">
        <f>MONTH(SalesData[[#This Row],[Date]])</f>
        <v>2</v>
      </c>
      <c r="AD3914">
        <f>Reference!F$4</f>
        <v>2026</v>
      </c>
      <c r="AE3914" t="str">
        <f>IF(OR(SalesData[[#This Row],[Day]]="Saturday",SalesData[[#This Row],[Day]]="Sunday"),"Weekend","Weekday")</f>
        <v>Weekday</v>
      </c>
      <c r="AF3914" s="5">
        <f>IF(SalesData[[#This Row],[Contracts Offered]]=0,0,SalesData[[#This Row],[Contracts Signed]]/SalesData[[#This Row],[Contracts Offered]])</f>
        <v>0.42424242424242425</v>
      </c>
      <c r="AG3914" s="5">
        <f>IF(SalesData[[#This Row],[Customers Visited]]=0,0,SalesData[[#This Row],[Test Drives]]/SalesData[[#This Row],[Customers Visited]])</f>
        <v>0.45320197044334976</v>
      </c>
      <c r="AH3914" s="5">
        <f>IF(SalesData[[#This Row],[Customers Visited]]=0,0,SalesData[[#This Row],[Contracts Signed]]/SalesData[[#This Row],[Customers Visited]])</f>
        <v>0.13793103448275862</v>
      </c>
      <c r="AI3914" s="6">
        <f>IF(SalesData[[#This Row],[Contracts Signed]]=0,0,SalesData[[#This Row],[Profit(€)]]/SalesData[[#This Row],[Contracts Signed]])</f>
        <v>14514</v>
      </c>
      <c r="AJ3914" s="5" t="str">
        <f>TRIM(CLEAN(SalesData[[#This Row],[Retailer]]))</f>
        <v>Ruhr Auto Plaza</v>
      </c>
    </row>
    <row r="3915" spans="1:36" ht="14.25" hidden="1" x14ac:dyDescent="0.2">
      <c r="A3915" t="s">
        <v>5151</v>
      </c>
      <c r="B3915" s="1">
        <v>46066</v>
      </c>
      <c r="C3915" t="s">
        <v>121</v>
      </c>
      <c r="D3915" t="s">
        <v>54</v>
      </c>
      <c r="E3915" t="s">
        <v>26</v>
      </c>
      <c r="F3915" t="s">
        <v>94</v>
      </c>
      <c r="G3915" t="s">
        <v>95</v>
      </c>
      <c r="H3915" t="s">
        <v>96</v>
      </c>
      <c r="I3915" t="s">
        <v>104</v>
      </c>
      <c r="J3915" t="s">
        <v>143</v>
      </c>
      <c r="K3915" t="s">
        <v>66</v>
      </c>
      <c r="L3915" t="s">
        <v>67</v>
      </c>
      <c r="M3915" t="s">
        <v>47</v>
      </c>
      <c r="N3915" t="s">
        <v>48</v>
      </c>
      <c r="O3915" t="s">
        <v>70</v>
      </c>
      <c r="P3915" t="s">
        <v>37</v>
      </c>
      <c r="Q3915" t="s">
        <v>204</v>
      </c>
      <c r="R3915">
        <v>328</v>
      </c>
      <c r="S3915">
        <v>141</v>
      </c>
      <c r="T3915">
        <v>98</v>
      </c>
      <c r="U3915">
        <v>21</v>
      </c>
      <c r="V3915" t="s">
        <v>630</v>
      </c>
      <c r="W3915">
        <v>25889</v>
      </c>
      <c r="X3915" t="s">
        <v>1120</v>
      </c>
      <c r="Y3915">
        <v>23464</v>
      </c>
      <c r="Z3915">
        <v>543669</v>
      </c>
      <c r="AA3915">
        <v>50925</v>
      </c>
      <c r="AB3915" t="str">
        <f>(VLOOKUP(SalesData[[#This Row],[Month Number]],Reference!C$5:E$16,2,FALSE))</f>
        <v>Feb</v>
      </c>
      <c r="AC3915">
        <f>MONTH(SalesData[[#This Row],[Date]])</f>
        <v>2</v>
      </c>
      <c r="AD3915">
        <f>Reference!F$4</f>
        <v>2026</v>
      </c>
      <c r="AE3915" t="str">
        <f>IF(OR(SalesData[[#This Row],[Day]]="Saturday",SalesData[[#This Row],[Day]]="Sunday"),"Weekend","Weekday")</f>
        <v>Weekday</v>
      </c>
      <c r="AF3915" s="5">
        <f>IF(SalesData[[#This Row],[Contracts Offered]]=0,0,SalesData[[#This Row],[Contracts Signed]]/SalesData[[#This Row],[Contracts Offered]])</f>
        <v>0.21428571428571427</v>
      </c>
      <c r="AG3915" s="5">
        <f>IF(SalesData[[#This Row],[Customers Visited]]=0,0,SalesData[[#This Row],[Test Drives]]/SalesData[[#This Row],[Customers Visited]])</f>
        <v>0.4298780487804878</v>
      </c>
      <c r="AH3915" s="5">
        <f>IF(SalesData[[#This Row],[Customers Visited]]=0,0,SalesData[[#This Row],[Contracts Signed]]/SalesData[[#This Row],[Customers Visited]])</f>
        <v>6.402439024390244E-2</v>
      </c>
      <c r="AI3915" s="6">
        <f>IF(SalesData[[#This Row],[Contracts Signed]]=0,0,SalesData[[#This Row],[Profit(€)]]/SalesData[[#This Row],[Contracts Signed]])</f>
        <v>2425</v>
      </c>
      <c r="AJ3915" s="5" t="str">
        <f>TRIM(CLEAN(SalesData[[#This Row],[Retailer]]))</f>
        <v>Bavaria Motors</v>
      </c>
    </row>
    <row r="3916" spans="1:36" ht="14.25" hidden="1" x14ac:dyDescent="0.2">
      <c r="A3916" t="s">
        <v>5152</v>
      </c>
      <c r="B3916" s="1">
        <v>46056</v>
      </c>
      <c r="C3916" t="s">
        <v>24</v>
      </c>
      <c r="D3916" t="s">
        <v>63</v>
      </c>
      <c r="E3916" t="s">
        <v>26</v>
      </c>
      <c r="F3916" t="s">
        <v>27</v>
      </c>
      <c r="G3916" t="s">
        <v>28</v>
      </c>
      <c r="H3916" t="s">
        <v>29</v>
      </c>
      <c r="I3916" t="s">
        <v>104</v>
      </c>
      <c r="J3916" t="s">
        <v>7061</v>
      </c>
      <c r="K3916" t="s">
        <v>32</v>
      </c>
      <c r="L3916" t="s">
        <v>46</v>
      </c>
      <c r="M3916" t="s">
        <v>68</v>
      </c>
      <c r="N3916" t="s">
        <v>48</v>
      </c>
      <c r="O3916" t="s">
        <v>70</v>
      </c>
      <c r="P3916" t="s">
        <v>71</v>
      </c>
      <c r="Q3916" t="s">
        <v>79</v>
      </c>
      <c r="R3916">
        <v>360</v>
      </c>
      <c r="S3916">
        <v>154</v>
      </c>
      <c r="T3916">
        <v>96</v>
      </c>
      <c r="U3916">
        <v>22</v>
      </c>
      <c r="V3916" t="s">
        <v>527</v>
      </c>
      <c r="W3916">
        <v>31001</v>
      </c>
      <c r="X3916" t="s">
        <v>7172</v>
      </c>
      <c r="Y3916">
        <v>27644</v>
      </c>
      <c r="Z3916">
        <v>682022</v>
      </c>
      <c r="AA3916">
        <v>73854</v>
      </c>
      <c r="AB3916" t="str">
        <f>(VLOOKUP(SalesData[[#This Row],[Month Number]],Reference!C$5:E$16,2,FALSE))</f>
        <v>Feb</v>
      </c>
      <c r="AC3916">
        <f>MONTH(SalesData[[#This Row],[Date]])</f>
        <v>2</v>
      </c>
      <c r="AD3916">
        <f>Reference!F$4</f>
        <v>2026</v>
      </c>
      <c r="AE3916" t="str">
        <f>IF(OR(SalesData[[#This Row],[Day]]="Saturday",SalesData[[#This Row],[Day]]="Sunday"),"Weekend","Weekday")</f>
        <v>Weekday</v>
      </c>
      <c r="AF3916" s="5">
        <f>IF(SalesData[[#This Row],[Contracts Offered]]=0,0,SalesData[[#This Row],[Contracts Signed]]/SalesData[[#This Row],[Contracts Offered]])</f>
        <v>0.22916666666666666</v>
      </c>
      <c r="AG3916" s="5">
        <f>IF(SalesData[[#This Row],[Customers Visited]]=0,0,SalesData[[#This Row],[Test Drives]]/SalesData[[#This Row],[Customers Visited]])</f>
        <v>0.42777777777777776</v>
      </c>
      <c r="AH3916" s="5">
        <f>IF(SalesData[[#This Row],[Customers Visited]]=0,0,SalesData[[#This Row],[Contracts Signed]]/SalesData[[#This Row],[Customers Visited]])</f>
        <v>6.1111111111111109E-2</v>
      </c>
      <c r="AI3916" s="6">
        <f>IF(SalesData[[#This Row],[Contracts Signed]]=0,0,SalesData[[#This Row],[Profit(€)]]/SalesData[[#This Row],[Contracts Signed]])</f>
        <v>3357</v>
      </c>
      <c r="AJ3916" s="5" t="str">
        <f>TRIM(CLEAN(SalesData[[#This Row],[Retailer]]))</f>
        <v>Main Auto Hub</v>
      </c>
    </row>
    <row r="3917" spans="1:36" ht="14.25" hidden="1" x14ac:dyDescent="0.2">
      <c r="A3917" t="s">
        <v>5153</v>
      </c>
      <c r="B3917" s="1">
        <v>46072</v>
      </c>
      <c r="C3917" t="s">
        <v>62</v>
      </c>
      <c r="D3917" t="s">
        <v>100</v>
      </c>
      <c r="E3917" t="s">
        <v>26</v>
      </c>
      <c r="F3917" t="s">
        <v>101</v>
      </c>
      <c r="G3917" t="s">
        <v>102</v>
      </c>
      <c r="H3917" t="s">
        <v>103</v>
      </c>
      <c r="I3917" t="s">
        <v>56</v>
      </c>
      <c r="J3917" t="s">
        <v>137</v>
      </c>
      <c r="K3917" t="s">
        <v>32</v>
      </c>
      <c r="L3917" t="s">
        <v>46</v>
      </c>
      <c r="M3917" t="s">
        <v>68</v>
      </c>
      <c r="N3917" t="s">
        <v>69</v>
      </c>
      <c r="O3917" t="s">
        <v>70</v>
      </c>
      <c r="P3917" t="s">
        <v>49</v>
      </c>
      <c r="Q3917" t="s">
        <v>172</v>
      </c>
      <c r="R3917">
        <v>214</v>
      </c>
      <c r="S3917">
        <v>124</v>
      </c>
      <c r="T3917">
        <v>80</v>
      </c>
      <c r="U3917">
        <v>27</v>
      </c>
      <c r="V3917" t="s">
        <v>6391</v>
      </c>
      <c r="W3917">
        <v>48869</v>
      </c>
      <c r="X3917" t="s">
        <v>552</v>
      </c>
      <c r="Y3917">
        <v>39292</v>
      </c>
      <c r="Z3917">
        <v>1319463</v>
      </c>
      <c r="AA3917">
        <v>258579</v>
      </c>
      <c r="AB3917" t="str">
        <f>(VLOOKUP(SalesData[[#This Row],[Month Number]],Reference!C$5:E$16,2,FALSE))</f>
        <v>Feb</v>
      </c>
      <c r="AC3917">
        <f>MONTH(SalesData[[#This Row],[Date]])</f>
        <v>2</v>
      </c>
      <c r="AD3917">
        <f>Reference!F$4</f>
        <v>2026</v>
      </c>
      <c r="AE3917" t="str">
        <f>IF(OR(SalesData[[#This Row],[Day]]="Saturday",SalesData[[#This Row],[Day]]="Sunday"),"Weekend","Weekday")</f>
        <v>Weekday</v>
      </c>
      <c r="AF3917" s="5">
        <f>IF(SalesData[[#This Row],[Contracts Offered]]=0,0,SalesData[[#This Row],[Contracts Signed]]/SalesData[[#This Row],[Contracts Offered]])</f>
        <v>0.33750000000000002</v>
      </c>
      <c r="AG3917" s="5">
        <f>IF(SalesData[[#This Row],[Customers Visited]]=0,0,SalesData[[#This Row],[Test Drives]]/SalesData[[#This Row],[Customers Visited]])</f>
        <v>0.57943925233644855</v>
      </c>
      <c r="AH3917" s="5">
        <f>IF(SalesData[[#This Row],[Customers Visited]]=0,0,SalesData[[#This Row],[Contracts Signed]]/SalesData[[#This Row],[Customers Visited]])</f>
        <v>0.12616822429906541</v>
      </c>
      <c r="AI3917" s="6">
        <f>IF(SalesData[[#This Row],[Contracts Signed]]=0,0,SalesData[[#This Row],[Profit(€)]]/SalesData[[#This Row],[Contracts Signed]])</f>
        <v>9577</v>
      </c>
      <c r="AJ3917" s="5" t="str">
        <f>TRIM(CLEAN(SalesData[[#This Row],[Retailer]]))</f>
        <v>Ruhr Auto Plaza</v>
      </c>
    </row>
    <row r="3918" spans="1:36" ht="14.25" hidden="1" x14ac:dyDescent="0.2">
      <c r="A3918" t="s">
        <v>5154</v>
      </c>
      <c r="B3918" s="1">
        <v>46076</v>
      </c>
      <c r="C3918" t="s">
        <v>53</v>
      </c>
      <c r="D3918" t="s">
        <v>25</v>
      </c>
      <c r="E3918" t="s">
        <v>26</v>
      </c>
      <c r="F3918" t="s">
        <v>43</v>
      </c>
      <c r="G3918" t="s">
        <v>44</v>
      </c>
      <c r="H3918" t="s">
        <v>45</v>
      </c>
      <c r="I3918" t="s">
        <v>56</v>
      </c>
      <c r="J3918" t="s">
        <v>97</v>
      </c>
      <c r="K3918" t="s">
        <v>91</v>
      </c>
      <c r="L3918" t="s">
        <v>33</v>
      </c>
      <c r="M3918" t="s">
        <v>87</v>
      </c>
      <c r="N3918" t="s">
        <v>69</v>
      </c>
      <c r="O3918" t="s">
        <v>36</v>
      </c>
      <c r="P3918" t="s">
        <v>58</v>
      </c>
      <c r="Q3918" t="s">
        <v>135</v>
      </c>
      <c r="R3918">
        <v>175</v>
      </c>
      <c r="S3918">
        <v>85</v>
      </c>
      <c r="T3918">
        <v>56</v>
      </c>
      <c r="U3918">
        <v>20</v>
      </c>
      <c r="V3918" t="s">
        <v>6439</v>
      </c>
      <c r="W3918">
        <v>43721</v>
      </c>
      <c r="X3918" t="s">
        <v>7372</v>
      </c>
      <c r="Y3918">
        <v>35636</v>
      </c>
      <c r="Z3918">
        <v>874420</v>
      </c>
      <c r="AA3918">
        <v>161700</v>
      </c>
      <c r="AB3918" t="str">
        <f>(VLOOKUP(SalesData[[#This Row],[Month Number]],Reference!C$5:E$16,2,FALSE))</f>
        <v>Feb</v>
      </c>
      <c r="AC3918">
        <f>MONTH(SalesData[[#This Row],[Date]])</f>
        <v>2</v>
      </c>
      <c r="AD3918">
        <f>Reference!F$4</f>
        <v>2026</v>
      </c>
      <c r="AE3918" t="str">
        <f>IF(OR(SalesData[[#This Row],[Day]]="Saturday",SalesData[[#This Row],[Day]]="Sunday"),"Weekend","Weekday")</f>
        <v>Weekday</v>
      </c>
      <c r="AF3918" s="5">
        <f>IF(SalesData[[#This Row],[Contracts Offered]]=0,0,SalesData[[#This Row],[Contracts Signed]]/SalesData[[#This Row],[Contracts Offered]])</f>
        <v>0.35714285714285715</v>
      </c>
      <c r="AG3918" s="5">
        <f>IF(SalesData[[#This Row],[Customers Visited]]=0,0,SalesData[[#This Row],[Test Drives]]/SalesData[[#This Row],[Customers Visited]])</f>
        <v>0.48571428571428571</v>
      </c>
      <c r="AH3918" s="5">
        <f>IF(SalesData[[#This Row],[Customers Visited]]=0,0,SalesData[[#This Row],[Contracts Signed]]/SalesData[[#This Row],[Customers Visited]])</f>
        <v>0.11428571428571428</v>
      </c>
      <c r="AI3918" s="6">
        <f>IF(SalesData[[#This Row],[Contracts Signed]]=0,0,SalesData[[#This Row],[Profit(€)]]/SalesData[[#This Row],[Contracts Signed]])</f>
        <v>8085</v>
      </c>
      <c r="AJ3918" s="5" t="str">
        <f>TRIM(CLEAN(SalesData[[#This Row],[Retailer]]))</f>
        <v>Saxon Wheels</v>
      </c>
    </row>
    <row r="3919" spans="1:36" ht="14.25" hidden="1" x14ac:dyDescent="0.2">
      <c r="A3919" t="s">
        <v>5155</v>
      </c>
      <c r="B3919" s="1">
        <v>46073</v>
      </c>
      <c r="C3919" t="s">
        <v>62</v>
      </c>
      <c r="D3919" t="s">
        <v>54</v>
      </c>
      <c r="E3919" t="s">
        <v>26</v>
      </c>
      <c r="F3919" t="s">
        <v>7649</v>
      </c>
      <c r="G3919" t="s">
        <v>55</v>
      </c>
      <c r="H3919" t="s">
        <v>55</v>
      </c>
      <c r="I3919" t="s">
        <v>64</v>
      </c>
      <c r="J3919" t="s">
        <v>7029</v>
      </c>
      <c r="K3919" t="s">
        <v>32</v>
      </c>
      <c r="L3919" t="s">
        <v>33</v>
      </c>
      <c r="M3919" t="s">
        <v>87</v>
      </c>
      <c r="N3919" t="s">
        <v>35</v>
      </c>
      <c r="O3919" t="s">
        <v>70</v>
      </c>
      <c r="P3919" t="s">
        <v>71</v>
      </c>
      <c r="Q3919" t="s">
        <v>167</v>
      </c>
      <c r="R3919">
        <v>232</v>
      </c>
      <c r="S3919">
        <v>121</v>
      </c>
      <c r="T3919">
        <v>96</v>
      </c>
      <c r="U3919">
        <v>32</v>
      </c>
      <c r="V3919" t="s">
        <v>6647</v>
      </c>
      <c r="W3919">
        <v>61274</v>
      </c>
      <c r="X3919" t="s">
        <v>7229</v>
      </c>
      <c r="Y3919">
        <v>46681</v>
      </c>
      <c r="Z3919">
        <v>1960768</v>
      </c>
      <c r="AA3919">
        <v>466976</v>
      </c>
      <c r="AB3919" t="str">
        <f>(VLOOKUP(SalesData[[#This Row],[Month Number]],Reference!C$5:E$16,2,FALSE))</f>
        <v>Feb</v>
      </c>
      <c r="AC3919">
        <f>MONTH(SalesData[[#This Row],[Date]])</f>
        <v>2</v>
      </c>
      <c r="AD3919">
        <f>Reference!F$4</f>
        <v>2026</v>
      </c>
      <c r="AE3919" t="str">
        <f>IF(OR(SalesData[[#This Row],[Day]]="Saturday",SalesData[[#This Row],[Day]]="Sunday"),"Weekend","Weekday")</f>
        <v>Weekday</v>
      </c>
      <c r="AF3919" s="5">
        <f>IF(SalesData[[#This Row],[Contracts Offered]]=0,0,SalesData[[#This Row],[Contracts Signed]]/SalesData[[#This Row],[Contracts Offered]])</f>
        <v>0.33333333333333331</v>
      </c>
      <c r="AG3919" s="5">
        <f>IF(SalesData[[#This Row],[Customers Visited]]=0,0,SalesData[[#This Row],[Test Drives]]/SalesData[[#This Row],[Customers Visited]])</f>
        <v>0.52155172413793105</v>
      </c>
      <c r="AH3919" s="5">
        <f>IF(SalesData[[#This Row],[Customers Visited]]=0,0,SalesData[[#This Row],[Contracts Signed]]/SalesData[[#This Row],[Customers Visited]])</f>
        <v>0.13793103448275862</v>
      </c>
      <c r="AI3919" s="6">
        <f>IF(SalesData[[#This Row],[Contracts Signed]]=0,0,SalesData[[#This Row],[Profit(€)]]/SalesData[[#This Row],[Contracts Signed]])</f>
        <v>14593</v>
      </c>
      <c r="AJ3919" s="5" t="str">
        <f>TRIM(CLEAN(SalesData[[#This Row],[Retailer]]))</f>
        <v>Autohaus Berlin</v>
      </c>
    </row>
    <row r="3920" spans="1:36" ht="14.25" hidden="1" x14ac:dyDescent="0.2">
      <c r="A3920" t="s">
        <v>5156</v>
      </c>
      <c r="B3920" s="1">
        <v>46071</v>
      </c>
      <c r="C3920" t="s">
        <v>62</v>
      </c>
      <c r="D3920" t="s">
        <v>82</v>
      </c>
      <c r="E3920" t="s">
        <v>26</v>
      </c>
      <c r="F3920" t="s">
        <v>94</v>
      </c>
      <c r="G3920" t="s">
        <v>95</v>
      </c>
      <c r="H3920" t="s">
        <v>96</v>
      </c>
      <c r="I3920" t="s">
        <v>56</v>
      </c>
      <c r="J3920" t="s">
        <v>7028</v>
      </c>
      <c r="K3920" t="s">
        <v>66</v>
      </c>
      <c r="L3920" t="s">
        <v>46</v>
      </c>
      <c r="M3920" t="s">
        <v>87</v>
      </c>
      <c r="N3920" t="s">
        <v>35</v>
      </c>
      <c r="O3920" t="s">
        <v>36</v>
      </c>
      <c r="P3920" t="s">
        <v>37</v>
      </c>
      <c r="Q3920" t="s">
        <v>144</v>
      </c>
      <c r="R3920">
        <v>265</v>
      </c>
      <c r="S3920">
        <v>168</v>
      </c>
      <c r="T3920">
        <v>120</v>
      </c>
      <c r="U3920">
        <v>38</v>
      </c>
      <c r="V3920" t="s">
        <v>6894</v>
      </c>
      <c r="W3920">
        <v>53574</v>
      </c>
      <c r="X3920" t="s">
        <v>315</v>
      </c>
      <c r="Y3920">
        <v>40747</v>
      </c>
      <c r="Z3920">
        <v>2035812</v>
      </c>
      <c r="AA3920">
        <v>487426</v>
      </c>
      <c r="AB3920" t="str">
        <f>(VLOOKUP(SalesData[[#This Row],[Month Number]],Reference!C$5:E$16,2,FALSE))</f>
        <v>Feb</v>
      </c>
      <c r="AC3920">
        <f>MONTH(SalesData[[#This Row],[Date]])</f>
        <v>2</v>
      </c>
      <c r="AD3920">
        <f>Reference!F$4</f>
        <v>2026</v>
      </c>
      <c r="AE3920" t="str">
        <f>IF(OR(SalesData[[#This Row],[Day]]="Saturday",SalesData[[#This Row],[Day]]="Sunday"),"Weekend","Weekday")</f>
        <v>Weekday</v>
      </c>
      <c r="AF3920" s="5">
        <f>IF(SalesData[[#This Row],[Contracts Offered]]=0,0,SalesData[[#This Row],[Contracts Signed]]/SalesData[[#This Row],[Contracts Offered]])</f>
        <v>0.31666666666666665</v>
      </c>
      <c r="AG3920" s="5">
        <f>IF(SalesData[[#This Row],[Customers Visited]]=0,0,SalesData[[#This Row],[Test Drives]]/SalesData[[#This Row],[Customers Visited]])</f>
        <v>0.63396226415094337</v>
      </c>
      <c r="AH3920" s="5">
        <f>IF(SalesData[[#This Row],[Customers Visited]]=0,0,SalesData[[#This Row],[Contracts Signed]]/SalesData[[#This Row],[Customers Visited]])</f>
        <v>0.14339622641509434</v>
      </c>
      <c r="AI3920" s="6">
        <f>IF(SalesData[[#This Row],[Contracts Signed]]=0,0,SalesData[[#This Row],[Profit(€)]]/SalesData[[#This Row],[Contracts Signed]])</f>
        <v>12827</v>
      </c>
      <c r="AJ3920" s="5" t="str">
        <f>TRIM(CLEAN(SalesData[[#This Row],[Retailer]]))</f>
        <v>Bavaria Motors</v>
      </c>
    </row>
    <row r="3921" spans="1:36" ht="14.25" hidden="1" x14ac:dyDescent="0.2">
      <c r="A3921" t="s">
        <v>5157</v>
      </c>
      <c r="B3921" s="1">
        <v>46068</v>
      </c>
      <c r="C3921" t="s">
        <v>62</v>
      </c>
      <c r="D3921" t="s">
        <v>41</v>
      </c>
      <c r="E3921" t="s">
        <v>42</v>
      </c>
      <c r="F3921" t="s">
        <v>7649</v>
      </c>
      <c r="G3921" t="s">
        <v>55</v>
      </c>
      <c r="H3921" t="s">
        <v>55</v>
      </c>
      <c r="I3921" t="s">
        <v>116</v>
      </c>
      <c r="J3921" t="s">
        <v>7090</v>
      </c>
      <c r="K3921" t="s">
        <v>78</v>
      </c>
      <c r="L3921" t="s">
        <v>46</v>
      </c>
      <c r="M3921" t="s">
        <v>87</v>
      </c>
      <c r="N3921" t="s">
        <v>69</v>
      </c>
      <c r="O3921" t="s">
        <v>70</v>
      </c>
      <c r="P3921" t="s">
        <v>49</v>
      </c>
      <c r="Q3921" t="s">
        <v>158</v>
      </c>
      <c r="R3921">
        <v>334</v>
      </c>
      <c r="S3921">
        <v>143</v>
      </c>
      <c r="T3921">
        <v>81</v>
      </c>
      <c r="U3921">
        <v>21</v>
      </c>
      <c r="V3921" t="s">
        <v>1013</v>
      </c>
      <c r="W3921">
        <v>23369</v>
      </c>
      <c r="X3921" t="s">
        <v>7200</v>
      </c>
      <c r="Y3921">
        <v>21075</v>
      </c>
      <c r="Z3921">
        <v>490749</v>
      </c>
      <c r="AA3921">
        <v>48174</v>
      </c>
      <c r="AB3921" t="str">
        <f>(VLOOKUP(SalesData[[#This Row],[Month Number]],Reference!C$5:E$16,2,FALSE))</f>
        <v>Feb</v>
      </c>
      <c r="AC3921">
        <f>MONTH(SalesData[[#This Row],[Date]])</f>
        <v>2</v>
      </c>
      <c r="AD3921">
        <f>Reference!F$4</f>
        <v>2026</v>
      </c>
      <c r="AE3921" t="str">
        <f>IF(OR(SalesData[[#This Row],[Day]]="Saturday",SalesData[[#This Row],[Day]]="Sunday"),"Weekend","Weekday")</f>
        <v>Weekend</v>
      </c>
      <c r="AF3921" s="5">
        <f>IF(SalesData[[#This Row],[Contracts Offered]]=0,0,SalesData[[#This Row],[Contracts Signed]]/SalesData[[#This Row],[Contracts Offered]])</f>
        <v>0.25925925925925924</v>
      </c>
      <c r="AG3921" s="5">
        <f>IF(SalesData[[#This Row],[Customers Visited]]=0,0,SalesData[[#This Row],[Test Drives]]/SalesData[[#This Row],[Customers Visited]])</f>
        <v>0.42814371257485029</v>
      </c>
      <c r="AH3921" s="5">
        <f>IF(SalesData[[#This Row],[Customers Visited]]=0,0,SalesData[[#This Row],[Contracts Signed]]/SalesData[[#This Row],[Customers Visited]])</f>
        <v>6.2874251497005984E-2</v>
      </c>
      <c r="AI3921" s="6">
        <f>IF(SalesData[[#This Row],[Contracts Signed]]=0,0,SalesData[[#This Row],[Profit(€)]]/SalesData[[#This Row],[Contracts Signed]])</f>
        <v>2294</v>
      </c>
      <c r="AJ3921" s="5" t="str">
        <f>TRIM(CLEAN(SalesData[[#This Row],[Retailer]]))</f>
        <v>Autohaus Berlin</v>
      </c>
    </row>
    <row r="3922" spans="1:36" ht="14.25" hidden="1" x14ac:dyDescent="0.2">
      <c r="A3922" t="s">
        <v>5158</v>
      </c>
      <c r="B3922" s="1">
        <v>46071</v>
      </c>
      <c r="C3922" t="s">
        <v>62</v>
      </c>
      <c r="D3922" t="s">
        <v>82</v>
      </c>
      <c r="E3922" t="s">
        <v>26</v>
      </c>
      <c r="F3922" t="s">
        <v>114</v>
      </c>
      <c r="G3922" t="s">
        <v>115</v>
      </c>
      <c r="H3922" t="s">
        <v>115</v>
      </c>
      <c r="I3922" t="s">
        <v>64</v>
      </c>
      <c r="J3922" t="s">
        <v>7029</v>
      </c>
      <c r="K3922" t="s">
        <v>66</v>
      </c>
      <c r="L3922" t="s">
        <v>33</v>
      </c>
      <c r="M3922" t="s">
        <v>68</v>
      </c>
      <c r="N3922" t="s">
        <v>35</v>
      </c>
      <c r="O3922" t="s">
        <v>36</v>
      </c>
      <c r="P3922" t="s">
        <v>49</v>
      </c>
      <c r="Q3922" t="s">
        <v>38</v>
      </c>
      <c r="R3922">
        <v>184</v>
      </c>
      <c r="S3922">
        <v>86</v>
      </c>
      <c r="T3922">
        <v>57</v>
      </c>
      <c r="U3922">
        <v>20</v>
      </c>
      <c r="V3922" t="s">
        <v>6726</v>
      </c>
      <c r="W3922">
        <v>50674</v>
      </c>
      <c r="X3922" t="s">
        <v>2861</v>
      </c>
      <c r="Y3922">
        <v>39620</v>
      </c>
      <c r="Z3922">
        <v>1013480</v>
      </c>
      <c r="AA3922">
        <v>221080</v>
      </c>
      <c r="AB3922" t="str">
        <f>(VLOOKUP(SalesData[[#This Row],[Month Number]],Reference!C$5:E$16,2,FALSE))</f>
        <v>Feb</v>
      </c>
      <c r="AC3922">
        <f>MONTH(SalesData[[#This Row],[Date]])</f>
        <v>2</v>
      </c>
      <c r="AD3922">
        <f>Reference!F$4</f>
        <v>2026</v>
      </c>
      <c r="AE3922" t="str">
        <f>IF(OR(SalesData[[#This Row],[Day]]="Saturday",SalesData[[#This Row],[Day]]="Sunday"),"Weekend","Weekday")</f>
        <v>Weekday</v>
      </c>
      <c r="AF3922" s="5">
        <f>IF(SalesData[[#This Row],[Contracts Offered]]=0,0,SalesData[[#This Row],[Contracts Signed]]/SalesData[[#This Row],[Contracts Offered]])</f>
        <v>0.35087719298245612</v>
      </c>
      <c r="AG3922" s="5">
        <f>IF(SalesData[[#This Row],[Customers Visited]]=0,0,SalesData[[#This Row],[Test Drives]]/SalesData[[#This Row],[Customers Visited]])</f>
        <v>0.46739130434782611</v>
      </c>
      <c r="AH3922" s="5">
        <f>IF(SalesData[[#This Row],[Customers Visited]]=0,0,SalesData[[#This Row],[Contracts Signed]]/SalesData[[#This Row],[Customers Visited]])</f>
        <v>0.10869565217391304</v>
      </c>
      <c r="AI3922" s="6">
        <f>IF(SalesData[[#This Row],[Contracts Signed]]=0,0,SalesData[[#This Row],[Profit(€)]]/SalesData[[#This Row],[Contracts Signed]])</f>
        <v>11054</v>
      </c>
      <c r="AJ3922" s="5" t="str">
        <f>TRIM(CLEAN(SalesData[[#This Row],[Retailer]]))</f>
        <v>Elbe Drive</v>
      </c>
    </row>
    <row r="3923" spans="1:36" ht="14.25" hidden="1" x14ac:dyDescent="0.2">
      <c r="A3923" t="s">
        <v>5159</v>
      </c>
      <c r="B3923" s="1">
        <v>46064</v>
      </c>
      <c r="C3923" t="s">
        <v>121</v>
      </c>
      <c r="D3923" t="s">
        <v>82</v>
      </c>
      <c r="E3923" t="s">
        <v>26</v>
      </c>
      <c r="F3923" t="s">
        <v>101</v>
      </c>
      <c r="G3923" t="s">
        <v>102</v>
      </c>
      <c r="H3923" t="s">
        <v>103</v>
      </c>
      <c r="I3923" t="s">
        <v>104</v>
      </c>
      <c r="J3923" t="s">
        <v>143</v>
      </c>
      <c r="K3923" t="s">
        <v>32</v>
      </c>
      <c r="L3923" t="s">
        <v>67</v>
      </c>
      <c r="M3923" t="s">
        <v>34</v>
      </c>
      <c r="N3923" t="s">
        <v>48</v>
      </c>
      <c r="O3923" t="s">
        <v>70</v>
      </c>
      <c r="P3923" t="s">
        <v>49</v>
      </c>
      <c r="Q3923" t="s">
        <v>38</v>
      </c>
      <c r="R3923">
        <v>265</v>
      </c>
      <c r="S3923">
        <v>123</v>
      </c>
      <c r="T3923">
        <v>76</v>
      </c>
      <c r="U3923">
        <v>14</v>
      </c>
      <c r="V3923" t="s">
        <v>1992</v>
      </c>
      <c r="W3923">
        <v>25282</v>
      </c>
      <c r="X3923" t="s">
        <v>7298</v>
      </c>
      <c r="Y3923">
        <v>22173</v>
      </c>
      <c r="Z3923">
        <v>353948</v>
      </c>
      <c r="AA3923">
        <v>43526</v>
      </c>
      <c r="AB3923" t="str">
        <f>(VLOOKUP(SalesData[[#This Row],[Month Number]],Reference!C$5:E$16,2,FALSE))</f>
        <v>Feb</v>
      </c>
      <c r="AC3923">
        <f>MONTH(SalesData[[#This Row],[Date]])</f>
        <v>2</v>
      </c>
      <c r="AD3923">
        <f>Reference!F$4</f>
        <v>2026</v>
      </c>
      <c r="AE3923" t="str">
        <f>IF(OR(SalesData[[#This Row],[Day]]="Saturday",SalesData[[#This Row],[Day]]="Sunday"),"Weekend","Weekday")</f>
        <v>Weekday</v>
      </c>
      <c r="AF3923" s="5">
        <f>IF(SalesData[[#This Row],[Contracts Offered]]=0,0,SalesData[[#This Row],[Contracts Signed]]/SalesData[[#This Row],[Contracts Offered]])</f>
        <v>0.18421052631578946</v>
      </c>
      <c r="AG3923" s="5">
        <f>IF(SalesData[[#This Row],[Customers Visited]]=0,0,SalesData[[#This Row],[Test Drives]]/SalesData[[#This Row],[Customers Visited]])</f>
        <v>0.46415094339622642</v>
      </c>
      <c r="AH3923" s="5">
        <f>IF(SalesData[[#This Row],[Customers Visited]]=0,0,SalesData[[#This Row],[Contracts Signed]]/SalesData[[#This Row],[Customers Visited]])</f>
        <v>5.2830188679245285E-2</v>
      </c>
      <c r="AI3923" s="6">
        <f>IF(SalesData[[#This Row],[Contracts Signed]]=0,0,SalesData[[#This Row],[Profit(€)]]/SalesData[[#This Row],[Contracts Signed]])</f>
        <v>3109</v>
      </c>
      <c r="AJ3923" s="5" t="str">
        <f>TRIM(CLEAN(SalesData[[#This Row],[Retailer]]))</f>
        <v>Ruhr Auto Plaza</v>
      </c>
    </row>
    <row r="3924" spans="1:36" ht="14.25" x14ac:dyDescent="0.2">
      <c r="A3924" t="s">
        <v>5160</v>
      </c>
      <c r="B3924" s="1">
        <v>46067</v>
      </c>
      <c r="C3924" t="s">
        <v>121</v>
      </c>
      <c r="D3924" t="s">
        <v>151</v>
      </c>
      <c r="E3924" t="s">
        <v>42</v>
      </c>
      <c r="F3924" t="s">
        <v>127</v>
      </c>
      <c r="G3924" t="s">
        <v>128</v>
      </c>
      <c r="H3924" t="s">
        <v>103</v>
      </c>
      <c r="I3924" t="s">
        <v>30</v>
      </c>
      <c r="J3924" t="s">
        <v>166</v>
      </c>
      <c r="K3924" t="s">
        <v>32</v>
      </c>
      <c r="L3924" t="s">
        <v>46</v>
      </c>
      <c r="M3924" t="s">
        <v>68</v>
      </c>
      <c r="N3924" t="s">
        <v>35</v>
      </c>
      <c r="O3924" t="s">
        <v>36</v>
      </c>
      <c r="P3924" t="s">
        <v>58</v>
      </c>
      <c r="Q3924" t="s">
        <v>135</v>
      </c>
      <c r="R3924">
        <v>182</v>
      </c>
      <c r="S3924">
        <v>87</v>
      </c>
      <c r="T3924">
        <v>70</v>
      </c>
      <c r="U3924">
        <v>28</v>
      </c>
      <c r="V3924" t="s">
        <v>7503</v>
      </c>
      <c r="W3924">
        <v>58437</v>
      </c>
      <c r="X3924" t="s">
        <v>1754</v>
      </c>
      <c r="Y3924">
        <v>45096</v>
      </c>
      <c r="Z3924">
        <v>1636236</v>
      </c>
      <c r="AA3924">
        <v>373548</v>
      </c>
      <c r="AB3924" t="str">
        <f>(VLOOKUP(SalesData[[#This Row],[Month Number]],Reference!C$5:E$16,2,FALSE))</f>
        <v>Feb</v>
      </c>
      <c r="AC3924">
        <f>MONTH(SalesData[[#This Row],[Date]])</f>
        <v>2</v>
      </c>
      <c r="AD3924">
        <f>Reference!F$4</f>
        <v>2026</v>
      </c>
      <c r="AE3924" t="str">
        <f>IF(OR(SalesData[[#This Row],[Day]]="Saturday",SalesData[[#This Row],[Day]]="Sunday"),"Weekend","Weekday")</f>
        <v>Weekend</v>
      </c>
      <c r="AF3924" s="5">
        <f>IF(SalesData[[#This Row],[Contracts Offered]]=0,0,SalesData[[#This Row],[Contracts Signed]]/SalesData[[#This Row],[Contracts Offered]])</f>
        <v>0.4</v>
      </c>
      <c r="AG3924" s="5">
        <f>IF(SalesData[[#This Row],[Customers Visited]]=0,0,SalesData[[#This Row],[Test Drives]]/SalesData[[#This Row],[Customers Visited]])</f>
        <v>0.47802197802197804</v>
      </c>
      <c r="AH3924" s="5">
        <f>IF(SalesData[[#This Row],[Customers Visited]]=0,0,SalesData[[#This Row],[Contracts Signed]]/SalesData[[#This Row],[Customers Visited]])</f>
        <v>0.15384615384615385</v>
      </c>
      <c r="AI3924" s="6">
        <f>IF(SalesData[[#This Row],[Contracts Signed]]=0,0,SalesData[[#This Row],[Profit(€)]]/SalesData[[#This Row],[Contracts Signed]])</f>
        <v>13341</v>
      </c>
      <c r="AJ3924" s="5" t="str">
        <f>TRIM(CLEAN(SalesData[[#This Row],[Retailer]]))</f>
        <v>Rhein Auto Group</v>
      </c>
    </row>
    <row r="3925" spans="1:36" ht="14.25" hidden="1" x14ac:dyDescent="0.2">
      <c r="A3925" t="s">
        <v>5161</v>
      </c>
      <c r="B3925" s="1">
        <v>46068</v>
      </c>
      <c r="C3925" t="s">
        <v>62</v>
      </c>
      <c r="D3925" t="s">
        <v>41</v>
      </c>
      <c r="E3925" t="s">
        <v>42</v>
      </c>
      <c r="F3925" t="s">
        <v>83</v>
      </c>
      <c r="G3925" t="s">
        <v>84</v>
      </c>
      <c r="H3925" t="s">
        <v>85</v>
      </c>
      <c r="I3925" t="s">
        <v>56</v>
      </c>
      <c r="J3925" t="s">
        <v>57</v>
      </c>
      <c r="K3925" t="s">
        <v>32</v>
      </c>
      <c r="L3925" t="s">
        <v>46</v>
      </c>
      <c r="M3925" t="s">
        <v>87</v>
      </c>
      <c r="N3925" t="s">
        <v>35</v>
      </c>
      <c r="O3925" t="s">
        <v>36</v>
      </c>
      <c r="P3925" t="s">
        <v>49</v>
      </c>
      <c r="Q3925" t="s">
        <v>152</v>
      </c>
      <c r="R3925">
        <v>312</v>
      </c>
      <c r="S3925">
        <v>199</v>
      </c>
      <c r="T3925">
        <v>133</v>
      </c>
      <c r="U3925">
        <v>45</v>
      </c>
      <c r="V3925" t="s">
        <v>6791</v>
      </c>
      <c r="W3925">
        <v>48873</v>
      </c>
      <c r="X3925" t="s">
        <v>7527</v>
      </c>
      <c r="Y3925">
        <v>39195</v>
      </c>
      <c r="Z3925">
        <v>2199285</v>
      </c>
      <c r="AA3925">
        <v>435510</v>
      </c>
      <c r="AB3925" t="str">
        <f>(VLOOKUP(SalesData[[#This Row],[Month Number]],Reference!C$5:E$16,2,FALSE))</f>
        <v>Feb</v>
      </c>
      <c r="AC3925">
        <f>MONTH(SalesData[[#This Row],[Date]])</f>
        <v>2</v>
      </c>
      <c r="AD3925">
        <f>Reference!F$4</f>
        <v>2026</v>
      </c>
      <c r="AE3925" t="str">
        <f>IF(OR(SalesData[[#This Row],[Day]]="Saturday",SalesData[[#This Row],[Day]]="Sunday"),"Weekend","Weekday")</f>
        <v>Weekend</v>
      </c>
      <c r="AF3925" s="5">
        <f>IF(SalesData[[#This Row],[Contracts Offered]]=0,0,SalesData[[#This Row],[Contracts Signed]]/SalesData[[#This Row],[Contracts Offered]])</f>
        <v>0.33834586466165412</v>
      </c>
      <c r="AG3925" s="5">
        <f>IF(SalesData[[#This Row],[Customers Visited]]=0,0,SalesData[[#This Row],[Test Drives]]/SalesData[[#This Row],[Customers Visited]])</f>
        <v>0.63782051282051277</v>
      </c>
      <c r="AH3925" s="5">
        <f>IF(SalesData[[#This Row],[Customers Visited]]=0,0,SalesData[[#This Row],[Contracts Signed]]/SalesData[[#This Row],[Customers Visited]])</f>
        <v>0.14423076923076922</v>
      </c>
      <c r="AI3925" s="6">
        <f>IF(SalesData[[#This Row],[Contracts Signed]]=0,0,SalesData[[#This Row],[Profit(€)]]/SalesData[[#This Row],[Contracts Signed]])</f>
        <v>9678</v>
      </c>
      <c r="AJ3925" s="5" t="str">
        <f>TRIM(CLEAN(SalesData[[#This Row],[Retailer]]))</f>
        <v>Hannover Cars</v>
      </c>
    </row>
    <row r="3926" spans="1:36" ht="14.25" hidden="1" x14ac:dyDescent="0.2">
      <c r="A3926" t="s">
        <v>5162</v>
      </c>
      <c r="B3926" s="1">
        <v>46068</v>
      </c>
      <c r="C3926" t="s">
        <v>62</v>
      </c>
      <c r="D3926" t="s">
        <v>41</v>
      </c>
      <c r="E3926" t="s">
        <v>42</v>
      </c>
      <c r="F3926" t="s">
        <v>114</v>
      </c>
      <c r="G3926" t="s">
        <v>115</v>
      </c>
      <c r="H3926" t="s">
        <v>115</v>
      </c>
      <c r="I3926" t="s">
        <v>56</v>
      </c>
      <c r="J3926" t="s">
        <v>7028</v>
      </c>
      <c r="K3926" t="s">
        <v>78</v>
      </c>
      <c r="L3926" t="s">
        <v>46</v>
      </c>
      <c r="M3926" t="s">
        <v>87</v>
      </c>
      <c r="N3926" t="s">
        <v>35</v>
      </c>
      <c r="O3926" t="s">
        <v>36</v>
      </c>
      <c r="P3926" t="s">
        <v>49</v>
      </c>
      <c r="Q3926" t="s">
        <v>122</v>
      </c>
      <c r="R3926">
        <v>184</v>
      </c>
      <c r="S3926">
        <v>94</v>
      </c>
      <c r="T3926">
        <v>71</v>
      </c>
      <c r="U3926">
        <v>20</v>
      </c>
      <c r="V3926" t="s">
        <v>7070</v>
      </c>
      <c r="W3926">
        <v>49356</v>
      </c>
      <c r="X3926" t="s">
        <v>5237</v>
      </c>
      <c r="Y3926">
        <v>39928</v>
      </c>
      <c r="Z3926">
        <v>987120</v>
      </c>
      <c r="AA3926">
        <v>188560</v>
      </c>
      <c r="AB3926" t="str">
        <f>(VLOOKUP(SalesData[[#This Row],[Month Number]],Reference!C$5:E$16,2,FALSE))</f>
        <v>Feb</v>
      </c>
      <c r="AC3926">
        <f>MONTH(SalesData[[#This Row],[Date]])</f>
        <v>2</v>
      </c>
      <c r="AD3926">
        <f>Reference!F$4</f>
        <v>2026</v>
      </c>
      <c r="AE3926" t="str">
        <f>IF(OR(SalesData[[#This Row],[Day]]="Saturday",SalesData[[#This Row],[Day]]="Sunday"),"Weekend","Weekday")</f>
        <v>Weekend</v>
      </c>
      <c r="AF3926" s="5">
        <f>IF(SalesData[[#This Row],[Contracts Offered]]=0,0,SalesData[[#This Row],[Contracts Signed]]/SalesData[[#This Row],[Contracts Offered]])</f>
        <v>0.28169014084507044</v>
      </c>
      <c r="AG3926" s="5">
        <f>IF(SalesData[[#This Row],[Customers Visited]]=0,0,SalesData[[#This Row],[Test Drives]]/SalesData[[#This Row],[Customers Visited]])</f>
        <v>0.51086956521739135</v>
      </c>
      <c r="AH3926" s="5">
        <f>IF(SalesData[[#This Row],[Customers Visited]]=0,0,SalesData[[#This Row],[Contracts Signed]]/SalesData[[#This Row],[Customers Visited]])</f>
        <v>0.10869565217391304</v>
      </c>
      <c r="AI3926" s="6">
        <f>IF(SalesData[[#This Row],[Contracts Signed]]=0,0,SalesData[[#This Row],[Profit(€)]]/SalesData[[#This Row],[Contracts Signed]])</f>
        <v>9428</v>
      </c>
      <c r="AJ3926" s="5" t="str">
        <f>TRIM(CLEAN(SalesData[[#This Row],[Retailer]]))</f>
        <v>Elbe Drive</v>
      </c>
    </row>
    <row r="3927" spans="1:36" ht="14.25" hidden="1" x14ac:dyDescent="0.2">
      <c r="A3927" t="s">
        <v>5163</v>
      </c>
      <c r="B3927" s="1">
        <v>46060</v>
      </c>
      <c r="C3927" t="s">
        <v>24</v>
      </c>
      <c r="D3927" t="s">
        <v>151</v>
      </c>
      <c r="E3927" t="s">
        <v>42</v>
      </c>
      <c r="F3927" t="s">
        <v>74</v>
      </c>
      <c r="G3927" t="s">
        <v>75</v>
      </c>
      <c r="H3927" t="s">
        <v>76</v>
      </c>
      <c r="I3927" t="s">
        <v>116</v>
      </c>
      <c r="J3927" t="s">
        <v>117</v>
      </c>
      <c r="K3927" t="s">
        <v>66</v>
      </c>
      <c r="L3927" t="s">
        <v>67</v>
      </c>
      <c r="M3927" t="s">
        <v>68</v>
      </c>
      <c r="N3927" t="s">
        <v>48</v>
      </c>
      <c r="O3927" t="s">
        <v>70</v>
      </c>
      <c r="P3927" t="s">
        <v>58</v>
      </c>
      <c r="Q3927" t="s">
        <v>118</v>
      </c>
      <c r="R3927">
        <v>321</v>
      </c>
      <c r="S3927">
        <v>138</v>
      </c>
      <c r="T3927">
        <v>94</v>
      </c>
      <c r="U3927">
        <v>27</v>
      </c>
      <c r="V3927" t="s">
        <v>2567</v>
      </c>
      <c r="W3927">
        <v>26883</v>
      </c>
      <c r="X3927" t="s">
        <v>7211</v>
      </c>
      <c r="Y3927">
        <v>24223</v>
      </c>
      <c r="Z3927">
        <v>725841</v>
      </c>
      <c r="AA3927">
        <v>71820</v>
      </c>
      <c r="AB3927" t="str">
        <f>(VLOOKUP(SalesData[[#This Row],[Month Number]],Reference!C$5:E$16,2,FALSE))</f>
        <v>Feb</v>
      </c>
      <c r="AC3927">
        <f>MONTH(SalesData[[#This Row],[Date]])</f>
        <v>2</v>
      </c>
      <c r="AD3927">
        <f>Reference!F$4</f>
        <v>2026</v>
      </c>
      <c r="AE3927" t="str">
        <f>IF(OR(SalesData[[#This Row],[Day]]="Saturday",SalesData[[#This Row],[Day]]="Sunday"),"Weekend","Weekday")</f>
        <v>Weekend</v>
      </c>
      <c r="AF3927" s="5">
        <f>IF(SalesData[[#This Row],[Contracts Offered]]=0,0,SalesData[[#This Row],[Contracts Signed]]/SalesData[[#This Row],[Contracts Offered]])</f>
        <v>0.28723404255319152</v>
      </c>
      <c r="AG3927" s="5">
        <f>IF(SalesData[[#This Row],[Customers Visited]]=0,0,SalesData[[#This Row],[Test Drives]]/SalesData[[#This Row],[Customers Visited]])</f>
        <v>0.42990654205607476</v>
      </c>
      <c r="AH3927" s="5">
        <f>IF(SalesData[[#This Row],[Customers Visited]]=0,0,SalesData[[#This Row],[Contracts Signed]]/SalesData[[#This Row],[Customers Visited]])</f>
        <v>8.4112149532710276E-2</v>
      </c>
      <c r="AI3927" s="6">
        <f>IF(SalesData[[#This Row],[Contracts Signed]]=0,0,SalesData[[#This Row],[Profit(€)]]/SalesData[[#This Row],[Contracts Signed]])</f>
        <v>2660</v>
      </c>
      <c r="AJ3927" s="5" t="str">
        <f>TRIM(CLEAN(SalesData[[#This Row],[Retailer]]))</f>
        <v>Stuttgart Auto Center</v>
      </c>
    </row>
    <row r="3928" spans="1:36" ht="14.25" hidden="1" x14ac:dyDescent="0.2">
      <c r="A3928" t="s">
        <v>5164</v>
      </c>
      <c r="B3928" s="1">
        <v>46074</v>
      </c>
      <c r="C3928" t="s">
        <v>62</v>
      </c>
      <c r="D3928" t="s">
        <v>151</v>
      </c>
      <c r="E3928" t="s">
        <v>42</v>
      </c>
      <c r="F3928" t="s">
        <v>101</v>
      </c>
      <c r="G3928" t="s">
        <v>102</v>
      </c>
      <c r="H3928" t="s">
        <v>103</v>
      </c>
      <c r="I3928" t="s">
        <v>64</v>
      </c>
      <c r="J3928" t="s">
        <v>7029</v>
      </c>
      <c r="K3928" t="s">
        <v>32</v>
      </c>
      <c r="L3928" t="s">
        <v>33</v>
      </c>
      <c r="M3928" t="s">
        <v>47</v>
      </c>
      <c r="N3928" t="s">
        <v>35</v>
      </c>
      <c r="O3928" t="s">
        <v>70</v>
      </c>
      <c r="P3928" t="s">
        <v>49</v>
      </c>
      <c r="Q3928" t="s">
        <v>106</v>
      </c>
      <c r="R3928">
        <v>146</v>
      </c>
      <c r="S3928">
        <v>77</v>
      </c>
      <c r="T3928">
        <v>60</v>
      </c>
      <c r="U3928">
        <v>17</v>
      </c>
      <c r="V3928" t="s">
        <v>6408</v>
      </c>
      <c r="W3928">
        <v>64895</v>
      </c>
      <c r="X3928" t="s">
        <v>170</v>
      </c>
      <c r="Y3928">
        <v>46431</v>
      </c>
      <c r="Z3928">
        <v>1103215</v>
      </c>
      <c r="AA3928">
        <v>313888</v>
      </c>
      <c r="AB3928" t="str">
        <f>(VLOOKUP(SalesData[[#This Row],[Month Number]],Reference!C$5:E$16,2,FALSE))</f>
        <v>Feb</v>
      </c>
      <c r="AC3928">
        <f>MONTH(SalesData[[#This Row],[Date]])</f>
        <v>2</v>
      </c>
      <c r="AD3928">
        <f>Reference!F$4</f>
        <v>2026</v>
      </c>
      <c r="AE3928" t="str">
        <f>IF(OR(SalesData[[#This Row],[Day]]="Saturday",SalesData[[#This Row],[Day]]="Sunday"),"Weekend","Weekday")</f>
        <v>Weekend</v>
      </c>
      <c r="AF3928" s="5">
        <f>IF(SalesData[[#This Row],[Contracts Offered]]=0,0,SalesData[[#This Row],[Contracts Signed]]/SalesData[[#This Row],[Contracts Offered]])</f>
        <v>0.28333333333333333</v>
      </c>
      <c r="AG3928" s="5">
        <f>IF(SalesData[[#This Row],[Customers Visited]]=0,0,SalesData[[#This Row],[Test Drives]]/SalesData[[#This Row],[Customers Visited]])</f>
        <v>0.5273972602739726</v>
      </c>
      <c r="AH3928" s="5">
        <f>IF(SalesData[[#This Row],[Customers Visited]]=0,0,SalesData[[#This Row],[Contracts Signed]]/SalesData[[#This Row],[Customers Visited]])</f>
        <v>0.11643835616438356</v>
      </c>
      <c r="AI3928" s="6">
        <f>IF(SalesData[[#This Row],[Contracts Signed]]=0,0,SalesData[[#This Row],[Profit(€)]]/SalesData[[#This Row],[Contracts Signed]])</f>
        <v>18464</v>
      </c>
      <c r="AJ3928" s="5" t="str">
        <f>TRIM(CLEAN(SalesData[[#This Row],[Retailer]]))</f>
        <v>Ruhr Auto Plaza</v>
      </c>
    </row>
    <row r="3929" spans="1:36" ht="14.25" hidden="1" x14ac:dyDescent="0.2">
      <c r="A3929" t="s">
        <v>5165</v>
      </c>
      <c r="B3929" s="1">
        <v>46066</v>
      </c>
      <c r="C3929" t="s">
        <v>121</v>
      </c>
      <c r="D3929" t="s">
        <v>54</v>
      </c>
      <c r="E3929" t="s">
        <v>26</v>
      </c>
      <c r="F3929" t="s">
        <v>74</v>
      </c>
      <c r="G3929" t="s">
        <v>75</v>
      </c>
      <c r="H3929" t="s">
        <v>76</v>
      </c>
      <c r="I3929" t="s">
        <v>64</v>
      </c>
      <c r="J3929" t="s">
        <v>7029</v>
      </c>
      <c r="K3929" t="s">
        <v>91</v>
      </c>
      <c r="L3929" t="s">
        <v>33</v>
      </c>
      <c r="M3929" t="s">
        <v>68</v>
      </c>
      <c r="N3929" t="s">
        <v>69</v>
      </c>
      <c r="O3929" t="s">
        <v>70</v>
      </c>
      <c r="P3929" t="s">
        <v>37</v>
      </c>
      <c r="Q3929" t="s">
        <v>204</v>
      </c>
      <c r="R3929">
        <v>175</v>
      </c>
      <c r="S3929">
        <v>102</v>
      </c>
      <c r="T3929">
        <v>71</v>
      </c>
      <c r="U3929">
        <v>25</v>
      </c>
      <c r="V3929" t="s">
        <v>6516</v>
      </c>
      <c r="W3929">
        <v>64884</v>
      </c>
      <c r="X3929" t="s">
        <v>7511</v>
      </c>
      <c r="Y3929">
        <v>47774</v>
      </c>
      <c r="Z3929">
        <v>1622100</v>
      </c>
      <c r="AA3929">
        <v>427750</v>
      </c>
      <c r="AB3929" t="str">
        <f>(VLOOKUP(SalesData[[#This Row],[Month Number]],Reference!C$5:E$16,2,FALSE))</f>
        <v>Feb</v>
      </c>
      <c r="AC3929">
        <f>MONTH(SalesData[[#This Row],[Date]])</f>
        <v>2</v>
      </c>
      <c r="AD3929">
        <f>Reference!F$4</f>
        <v>2026</v>
      </c>
      <c r="AE3929" t="str">
        <f>IF(OR(SalesData[[#This Row],[Day]]="Saturday",SalesData[[#This Row],[Day]]="Sunday"),"Weekend","Weekday")</f>
        <v>Weekday</v>
      </c>
      <c r="AF3929" s="5">
        <f>IF(SalesData[[#This Row],[Contracts Offered]]=0,0,SalesData[[#This Row],[Contracts Signed]]/SalesData[[#This Row],[Contracts Offered]])</f>
        <v>0.352112676056338</v>
      </c>
      <c r="AG3929" s="5">
        <f>IF(SalesData[[#This Row],[Customers Visited]]=0,0,SalesData[[#This Row],[Test Drives]]/SalesData[[#This Row],[Customers Visited]])</f>
        <v>0.58285714285714285</v>
      </c>
      <c r="AH3929" s="5">
        <f>IF(SalesData[[#This Row],[Customers Visited]]=0,0,SalesData[[#This Row],[Contracts Signed]]/SalesData[[#This Row],[Customers Visited]])</f>
        <v>0.14285714285714285</v>
      </c>
      <c r="AI3929" s="6">
        <f>IF(SalesData[[#This Row],[Contracts Signed]]=0,0,SalesData[[#This Row],[Profit(€)]]/SalesData[[#This Row],[Contracts Signed]])</f>
        <v>17110</v>
      </c>
      <c r="AJ3929" s="5" t="str">
        <f>TRIM(CLEAN(SalesData[[#This Row],[Retailer]]))</f>
        <v>Stuttgart Auto Center</v>
      </c>
    </row>
    <row r="3930" spans="1:36" ht="14.25" x14ac:dyDescent="0.2">
      <c r="A3930" t="s">
        <v>5166</v>
      </c>
      <c r="B3930" s="1">
        <v>46061</v>
      </c>
      <c r="C3930" t="s">
        <v>121</v>
      </c>
      <c r="D3930" t="s">
        <v>41</v>
      </c>
      <c r="E3930" t="s">
        <v>42</v>
      </c>
      <c r="F3930" t="s">
        <v>43</v>
      </c>
      <c r="G3930" t="s">
        <v>44</v>
      </c>
      <c r="H3930" t="s">
        <v>45</v>
      </c>
      <c r="I3930" t="s">
        <v>30</v>
      </c>
      <c r="J3930" t="s">
        <v>31</v>
      </c>
      <c r="K3930" t="s">
        <v>78</v>
      </c>
      <c r="L3930" t="s">
        <v>46</v>
      </c>
      <c r="M3930" t="s">
        <v>47</v>
      </c>
      <c r="N3930" t="s">
        <v>35</v>
      </c>
      <c r="O3930" t="s">
        <v>36</v>
      </c>
      <c r="P3930" t="s">
        <v>49</v>
      </c>
      <c r="Q3930" t="s">
        <v>118</v>
      </c>
      <c r="R3930">
        <v>176</v>
      </c>
      <c r="S3930">
        <v>105</v>
      </c>
      <c r="T3930">
        <v>82</v>
      </c>
      <c r="U3930">
        <v>28</v>
      </c>
      <c r="V3930" t="s">
        <v>6388</v>
      </c>
      <c r="W3930">
        <v>58279</v>
      </c>
      <c r="X3930" t="s">
        <v>7025</v>
      </c>
      <c r="Y3930">
        <v>42987</v>
      </c>
      <c r="Z3930">
        <v>1631812</v>
      </c>
      <c r="AA3930">
        <v>428176</v>
      </c>
      <c r="AB3930" t="str">
        <f>(VLOOKUP(SalesData[[#This Row],[Month Number]],Reference!C$5:E$16,2,FALSE))</f>
        <v>Feb</v>
      </c>
      <c r="AC3930">
        <f>MONTH(SalesData[[#This Row],[Date]])</f>
        <v>2</v>
      </c>
      <c r="AD3930">
        <f>Reference!F$4</f>
        <v>2026</v>
      </c>
      <c r="AE3930" t="str">
        <f>IF(OR(SalesData[[#This Row],[Day]]="Saturday",SalesData[[#This Row],[Day]]="Sunday"),"Weekend","Weekday")</f>
        <v>Weekend</v>
      </c>
      <c r="AF3930" s="5">
        <f>IF(SalesData[[#This Row],[Contracts Offered]]=0,0,SalesData[[#This Row],[Contracts Signed]]/SalesData[[#This Row],[Contracts Offered]])</f>
        <v>0.34146341463414637</v>
      </c>
      <c r="AG3930" s="5">
        <f>IF(SalesData[[#This Row],[Customers Visited]]=0,0,SalesData[[#This Row],[Test Drives]]/SalesData[[#This Row],[Customers Visited]])</f>
        <v>0.59659090909090906</v>
      </c>
      <c r="AH3930" s="5">
        <f>IF(SalesData[[#This Row],[Customers Visited]]=0,0,SalesData[[#This Row],[Contracts Signed]]/SalesData[[#This Row],[Customers Visited]])</f>
        <v>0.15909090909090909</v>
      </c>
      <c r="AI3930" s="6">
        <f>IF(SalesData[[#This Row],[Contracts Signed]]=0,0,SalesData[[#This Row],[Profit(€)]]/SalesData[[#This Row],[Contracts Signed]])</f>
        <v>15292</v>
      </c>
      <c r="AJ3930" s="5" t="str">
        <f>TRIM(CLEAN(SalesData[[#This Row],[Retailer]]))</f>
        <v>Saxon Wheels</v>
      </c>
    </row>
    <row r="3931" spans="1:36" ht="14.25" hidden="1" x14ac:dyDescent="0.2">
      <c r="A3931" t="s">
        <v>5167</v>
      </c>
      <c r="B3931" s="1">
        <v>46067</v>
      </c>
      <c r="C3931" t="s">
        <v>121</v>
      </c>
      <c r="D3931" t="s">
        <v>151</v>
      </c>
      <c r="E3931" t="s">
        <v>42</v>
      </c>
      <c r="F3931" t="s">
        <v>7649</v>
      </c>
      <c r="G3931" t="s">
        <v>55</v>
      </c>
      <c r="H3931" t="s">
        <v>55</v>
      </c>
      <c r="I3931" t="s">
        <v>56</v>
      </c>
      <c r="J3931" t="s">
        <v>57</v>
      </c>
      <c r="K3931" t="s">
        <v>91</v>
      </c>
      <c r="L3931" t="s">
        <v>46</v>
      </c>
      <c r="M3931" t="s">
        <v>68</v>
      </c>
      <c r="N3931" t="s">
        <v>69</v>
      </c>
      <c r="O3931" t="s">
        <v>70</v>
      </c>
      <c r="P3931" t="s">
        <v>37</v>
      </c>
      <c r="Q3931" t="s">
        <v>189</v>
      </c>
      <c r="R3931">
        <v>196</v>
      </c>
      <c r="S3931">
        <v>97</v>
      </c>
      <c r="T3931">
        <v>71</v>
      </c>
      <c r="U3931">
        <v>22</v>
      </c>
      <c r="V3931" t="s">
        <v>6479</v>
      </c>
      <c r="W3931">
        <v>45702</v>
      </c>
      <c r="X3931" t="s">
        <v>1351</v>
      </c>
      <c r="Y3931">
        <v>35484</v>
      </c>
      <c r="Z3931">
        <v>1005444</v>
      </c>
      <c r="AA3931">
        <v>224796</v>
      </c>
      <c r="AB3931" t="str">
        <f>(VLOOKUP(SalesData[[#This Row],[Month Number]],Reference!C$5:E$16,2,FALSE))</f>
        <v>Feb</v>
      </c>
      <c r="AC3931">
        <f>MONTH(SalesData[[#This Row],[Date]])</f>
        <v>2</v>
      </c>
      <c r="AD3931">
        <f>Reference!F$4</f>
        <v>2026</v>
      </c>
      <c r="AE3931" t="str">
        <f>IF(OR(SalesData[[#This Row],[Day]]="Saturday",SalesData[[#This Row],[Day]]="Sunday"),"Weekend","Weekday")</f>
        <v>Weekend</v>
      </c>
      <c r="AF3931" s="5">
        <f>IF(SalesData[[#This Row],[Contracts Offered]]=0,0,SalesData[[#This Row],[Contracts Signed]]/SalesData[[#This Row],[Contracts Offered]])</f>
        <v>0.30985915492957744</v>
      </c>
      <c r="AG3931" s="5">
        <f>IF(SalesData[[#This Row],[Customers Visited]]=0,0,SalesData[[#This Row],[Test Drives]]/SalesData[[#This Row],[Customers Visited]])</f>
        <v>0.49489795918367346</v>
      </c>
      <c r="AH3931" s="5">
        <f>IF(SalesData[[#This Row],[Customers Visited]]=0,0,SalesData[[#This Row],[Contracts Signed]]/SalesData[[#This Row],[Customers Visited]])</f>
        <v>0.11224489795918367</v>
      </c>
      <c r="AI3931" s="6">
        <f>IF(SalesData[[#This Row],[Contracts Signed]]=0,0,SalesData[[#This Row],[Profit(€)]]/SalesData[[#This Row],[Contracts Signed]])</f>
        <v>10218</v>
      </c>
      <c r="AJ3931" s="5" t="str">
        <f>TRIM(CLEAN(SalesData[[#This Row],[Retailer]]))</f>
        <v>Autohaus Berlin</v>
      </c>
    </row>
    <row r="3932" spans="1:36" ht="14.25" hidden="1" x14ac:dyDescent="0.2">
      <c r="A3932" t="s">
        <v>5168</v>
      </c>
      <c r="B3932" s="1">
        <v>46069</v>
      </c>
      <c r="C3932" t="s">
        <v>62</v>
      </c>
      <c r="D3932" t="s">
        <v>25</v>
      </c>
      <c r="E3932" t="s">
        <v>26</v>
      </c>
      <c r="F3932" t="s">
        <v>94</v>
      </c>
      <c r="G3932" t="s">
        <v>95</v>
      </c>
      <c r="H3932" t="s">
        <v>96</v>
      </c>
      <c r="I3932" t="s">
        <v>116</v>
      </c>
      <c r="J3932" t="s">
        <v>117</v>
      </c>
      <c r="K3932" t="s">
        <v>91</v>
      </c>
      <c r="L3932" t="s">
        <v>67</v>
      </c>
      <c r="M3932" t="s">
        <v>34</v>
      </c>
      <c r="N3932" t="s">
        <v>69</v>
      </c>
      <c r="O3932" t="s">
        <v>70</v>
      </c>
      <c r="P3932" t="s">
        <v>37</v>
      </c>
      <c r="Q3932" t="s">
        <v>79</v>
      </c>
      <c r="R3932">
        <v>303</v>
      </c>
      <c r="S3932">
        <v>116</v>
      </c>
      <c r="T3932">
        <v>70</v>
      </c>
      <c r="U3932">
        <v>20</v>
      </c>
      <c r="V3932" t="s">
        <v>1447</v>
      </c>
      <c r="W3932">
        <v>25035</v>
      </c>
      <c r="X3932" t="s">
        <v>4394</v>
      </c>
      <c r="Y3932">
        <v>22824</v>
      </c>
      <c r="Z3932">
        <v>500700</v>
      </c>
      <c r="AA3932">
        <v>44220</v>
      </c>
      <c r="AB3932" t="str">
        <f>(VLOOKUP(SalesData[[#This Row],[Month Number]],Reference!C$5:E$16,2,FALSE))</f>
        <v>Feb</v>
      </c>
      <c r="AC3932">
        <f>MONTH(SalesData[[#This Row],[Date]])</f>
        <v>2</v>
      </c>
      <c r="AD3932">
        <f>Reference!F$4</f>
        <v>2026</v>
      </c>
      <c r="AE3932" t="str">
        <f>IF(OR(SalesData[[#This Row],[Day]]="Saturday",SalesData[[#This Row],[Day]]="Sunday"),"Weekend","Weekday")</f>
        <v>Weekday</v>
      </c>
      <c r="AF3932" s="5">
        <f>IF(SalesData[[#This Row],[Contracts Offered]]=0,0,SalesData[[#This Row],[Contracts Signed]]/SalesData[[#This Row],[Contracts Offered]])</f>
        <v>0.2857142857142857</v>
      </c>
      <c r="AG3932" s="5">
        <f>IF(SalesData[[#This Row],[Customers Visited]]=0,0,SalesData[[#This Row],[Test Drives]]/SalesData[[#This Row],[Customers Visited]])</f>
        <v>0.38283828382838286</v>
      </c>
      <c r="AH3932" s="5">
        <f>IF(SalesData[[#This Row],[Customers Visited]]=0,0,SalesData[[#This Row],[Contracts Signed]]/SalesData[[#This Row],[Customers Visited]])</f>
        <v>6.6006600660066E-2</v>
      </c>
      <c r="AI3932" s="6">
        <f>IF(SalesData[[#This Row],[Contracts Signed]]=0,0,SalesData[[#This Row],[Profit(€)]]/SalesData[[#This Row],[Contracts Signed]])</f>
        <v>2211</v>
      </c>
      <c r="AJ3932" s="5" t="str">
        <f>TRIM(CLEAN(SalesData[[#This Row],[Retailer]]))</f>
        <v>Bavaria Motors</v>
      </c>
    </row>
    <row r="3933" spans="1:36" ht="14.25" x14ac:dyDescent="0.2">
      <c r="A3933" t="s">
        <v>5169</v>
      </c>
      <c r="B3933" s="1">
        <v>46064</v>
      </c>
      <c r="C3933" t="s">
        <v>121</v>
      </c>
      <c r="D3933" t="s">
        <v>82</v>
      </c>
      <c r="E3933" t="s">
        <v>26</v>
      </c>
      <c r="F3933" t="s">
        <v>43</v>
      </c>
      <c r="G3933" t="s">
        <v>44</v>
      </c>
      <c r="H3933" t="s">
        <v>45</v>
      </c>
      <c r="I3933" t="s">
        <v>30</v>
      </c>
      <c r="J3933" t="s">
        <v>166</v>
      </c>
      <c r="K3933" t="s">
        <v>78</v>
      </c>
      <c r="L3933" t="s">
        <v>46</v>
      </c>
      <c r="M3933" t="s">
        <v>34</v>
      </c>
      <c r="N3933" t="s">
        <v>69</v>
      </c>
      <c r="O3933" t="s">
        <v>36</v>
      </c>
      <c r="P3933" t="s">
        <v>71</v>
      </c>
      <c r="Q3933" t="s">
        <v>135</v>
      </c>
      <c r="R3933">
        <v>218</v>
      </c>
      <c r="S3933">
        <v>130</v>
      </c>
      <c r="T3933">
        <v>102</v>
      </c>
      <c r="U3933">
        <v>40</v>
      </c>
      <c r="V3933" t="s">
        <v>7429</v>
      </c>
      <c r="W3933">
        <v>68335</v>
      </c>
      <c r="X3933" t="s">
        <v>7577</v>
      </c>
      <c r="Y3933">
        <v>52954</v>
      </c>
      <c r="Z3933">
        <v>2733400</v>
      </c>
      <c r="AA3933">
        <v>615240</v>
      </c>
      <c r="AB3933" t="str">
        <f>(VLOOKUP(SalesData[[#This Row],[Month Number]],Reference!C$5:E$16,2,FALSE))</f>
        <v>Feb</v>
      </c>
      <c r="AC3933">
        <f>MONTH(SalesData[[#This Row],[Date]])</f>
        <v>2</v>
      </c>
      <c r="AD3933">
        <f>Reference!F$4</f>
        <v>2026</v>
      </c>
      <c r="AE3933" t="str">
        <f>IF(OR(SalesData[[#This Row],[Day]]="Saturday",SalesData[[#This Row],[Day]]="Sunday"),"Weekend","Weekday")</f>
        <v>Weekday</v>
      </c>
      <c r="AF3933" s="5">
        <f>IF(SalesData[[#This Row],[Contracts Offered]]=0,0,SalesData[[#This Row],[Contracts Signed]]/SalesData[[#This Row],[Contracts Offered]])</f>
        <v>0.39215686274509803</v>
      </c>
      <c r="AG3933" s="5">
        <f>IF(SalesData[[#This Row],[Customers Visited]]=0,0,SalesData[[#This Row],[Test Drives]]/SalesData[[#This Row],[Customers Visited]])</f>
        <v>0.59633027522935778</v>
      </c>
      <c r="AH3933" s="5">
        <f>IF(SalesData[[#This Row],[Customers Visited]]=0,0,SalesData[[#This Row],[Contracts Signed]]/SalesData[[#This Row],[Customers Visited]])</f>
        <v>0.1834862385321101</v>
      </c>
      <c r="AI3933" s="6">
        <f>IF(SalesData[[#This Row],[Contracts Signed]]=0,0,SalesData[[#This Row],[Profit(€)]]/SalesData[[#This Row],[Contracts Signed]])</f>
        <v>15381</v>
      </c>
      <c r="AJ3933" s="5" t="str">
        <f>TRIM(CLEAN(SalesData[[#This Row],[Retailer]]))</f>
        <v>Saxon Wheels</v>
      </c>
    </row>
    <row r="3934" spans="1:36" ht="14.25" hidden="1" x14ac:dyDescent="0.2">
      <c r="A3934" t="s">
        <v>5170</v>
      </c>
      <c r="B3934" s="1">
        <v>46077</v>
      </c>
      <c r="C3934" t="s">
        <v>53</v>
      </c>
      <c r="D3934" t="s">
        <v>63</v>
      </c>
      <c r="E3934" t="s">
        <v>26</v>
      </c>
      <c r="F3934" t="s">
        <v>101</v>
      </c>
      <c r="G3934" t="s">
        <v>102</v>
      </c>
      <c r="H3934" t="s">
        <v>103</v>
      </c>
      <c r="I3934" t="s">
        <v>104</v>
      </c>
      <c r="J3934" t="s">
        <v>143</v>
      </c>
      <c r="K3934" t="s">
        <v>78</v>
      </c>
      <c r="L3934" t="s">
        <v>67</v>
      </c>
      <c r="M3934" t="s">
        <v>34</v>
      </c>
      <c r="N3934" t="s">
        <v>35</v>
      </c>
      <c r="O3934" t="s">
        <v>36</v>
      </c>
      <c r="P3934" t="s">
        <v>49</v>
      </c>
      <c r="Q3934" t="s">
        <v>88</v>
      </c>
      <c r="R3934">
        <v>470</v>
      </c>
      <c r="S3934">
        <v>221</v>
      </c>
      <c r="T3934">
        <v>142</v>
      </c>
      <c r="U3934">
        <v>30</v>
      </c>
      <c r="V3934" t="s">
        <v>3726</v>
      </c>
      <c r="W3934">
        <v>30870</v>
      </c>
      <c r="X3934" t="s">
        <v>7134</v>
      </c>
      <c r="Y3934">
        <v>27562</v>
      </c>
      <c r="Z3934">
        <v>926100</v>
      </c>
      <c r="AA3934">
        <v>99240</v>
      </c>
      <c r="AB3934" t="str">
        <f>(VLOOKUP(SalesData[[#This Row],[Month Number]],Reference!C$5:E$16,2,FALSE))</f>
        <v>Feb</v>
      </c>
      <c r="AC3934">
        <f>MONTH(SalesData[[#This Row],[Date]])</f>
        <v>2</v>
      </c>
      <c r="AD3934">
        <f>Reference!F$4</f>
        <v>2026</v>
      </c>
      <c r="AE3934" t="str">
        <f>IF(OR(SalesData[[#This Row],[Day]]="Saturday",SalesData[[#This Row],[Day]]="Sunday"),"Weekend","Weekday")</f>
        <v>Weekday</v>
      </c>
      <c r="AF3934" s="5">
        <f>IF(SalesData[[#This Row],[Contracts Offered]]=0,0,SalesData[[#This Row],[Contracts Signed]]/SalesData[[#This Row],[Contracts Offered]])</f>
        <v>0.21126760563380281</v>
      </c>
      <c r="AG3934" s="5">
        <f>IF(SalesData[[#This Row],[Customers Visited]]=0,0,SalesData[[#This Row],[Test Drives]]/SalesData[[#This Row],[Customers Visited]])</f>
        <v>0.47021276595744682</v>
      </c>
      <c r="AH3934" s="5">
        <f>IF(SalesData[[#This Row],[Customers Visited]]=0,0,SalesData[[#This Row],[Contracts Signed]]/SalesData[[#This Row],[Customers Visited]])</f>
        <v>6.3829787234042548E-2</v>
      </c>
      <c r="AI3934" s="6">
        <f>IF(SalesData[[#This Row],[Contracts Signed]]=0,0,SalesData[[#This Row],[Profit(€)]]/SalesData[[#This Row],[Contracts Signed]])</f>
        <v>3308</v>
      </c>
      <c r="AJ3934" s="5" t="str">
        <f>TRIM(CLEAN(SalesData[[#This Row],[Retailer]]))</f>
        <v>Ruhr Auto Plaza</v>
      </c>
    </row>
    <row r="3935" spans="1:36" ht="14.25" hidden="1" x14ac:dyDescent="0.2">
      <c r="A3935" t="s">
        <v>5171</v>
      </c>
      <c r="B3935" s="1">
        <v>46071</v>
      </c>
      <c r="C3935" t="s">
        <v>62</v>
      </c>
      <c r="D3935" t="s">
        <v>82</v>
      </c>
      <c r="E3935" t="s">
        <v>26</v>
      </c>
      <c r="F3935" t="s">
        <v>27</v>
      </c>
      <c r="G3935" t="s">
        <v>28</v>
      </c>
      <c r="H3935" t="s">
        <v>29</v>
      </c>
      <c r="I3935" t="s">
        <v>116</v>
      </c>
      <c r="J3935" t="s">
        <v>7026</v>
      </c>
      <c r="K3935" t="s">
        <v>78</v>
      </c>
      <c r="L3935" t="s">
        <v>46</v>
      </c>
      <c r="M3935" t="s">
        <v>47</v>
      </c>
      <c r="N3935" t="s">
        <v>69</v>
      </c>
      <c r="O3935" t="s">
        <v>36</v>
      </c>
      <c r="P3935" t="s">
        <v>71</v>
      </c>
      <c r="Q3935" t="s">
        <v>347</v>
      </c>
      <c r="R3935">
        <v>390</v>
      </c>
      <c r="S3935">
        <v>152</v>
      </c>
      <c r="T3935">
        <v>102</v>
      </c>
      <c r="U3935">
        <v>24</v>
      </c>
      <c r="V3935" t="s">
        <v>456</v>
      </c>
      <c r="W3935">
        <v>24811</v>
      </c>
      <c r="X3935" t="s">
        <v>3480</v>
      </c>
      <c r="Y3935">
        <v>22842</v>
      </c>
      <c r="Z3935">
        <v>595464</v>
      </c>
      <c r="AA3935">
        <v>47256</v>
      </c>
      <c r="AB3935" t="str">
        <f>(VLOOKUP(SalesData[[#This Row],[Month Number]],Reference!C$5:E$16,2,FALSE))</f>
        <v>Feb</v>
      </c>
      <c r="AC3935">
        <f>MONTH(SalesData[[#This Row],[Date]])</f>
        <v>2</v>
      </c>
      <c r="AD3935">
        <f>Reference!F$4</f>
        <v>2026</v>
      </c>
      <c r="AE3935" t="str">
        <f>IF(OR(SalesData[[#This Row],[Day]]="Saturday",SalesData[[#This Row],[Day]]="Sunday"),"Weekend","Weekday")</f>
        <v>Weekday</v>
      </c>
      <c r="AF3935" s="5">
        <f>IF(SalesData[[#This Row],[Contracts Offered]]=0,0,SalesData[[#This Row],[Contracts Signed]]/SalesData[[#This Row],[Contracts Offered]])</f>
        <v>0.23529411764705882</v>
      </c>
      <c r="AG3935" s="5">
        <f>IF(SalesData[[#This Row],[Customers Visited]]=0,0,SalesData[[#This Row],[Test Drives]]/SalesData[[#This Row],[Customers Visited]])</f>
        <v>0.38974358974358975</v>
      </c>
      <c r="AH3935" s="5">
        <f>IF(SalesData[[#This Row],[Customers Visited]]=0,0,SalesData[[#This Row],[Contracts Signed]]/SalesData[[#This Row],[Customers Visited]])</f>
        <v>6.1538461538461542E-2</v>
      </c>
      <c r="AI3935" s="6">
        <f>IF(SalesData[[#This Row],[Contracts Signed]]=0,0,SalesData[[#This Row],[Profit(€)]]/SalesData[[#This Row],[Contracts Signed]])</f>
        <v>1969</v>
      </c>
      <c r="AJ3935" s="5" t="str">
        <f>TRIM(CLEAN(SalesData[[#This Row],[Retailer]]))</f>
        <v>Main Auto Hub</v>
      </c>
    </row>
    <row r="3936" spans="1:36" ht="14.25" hidden="1" x14ac:dyDescent="0.2">
      <c r="A3936" t="s">
        <v>5172</v>
      </c>
      <c r="B3936" s="1">
        <v>46057</v>
      </c>
      <c r="C3936" t="s">
        <v>24</v>
      </c>
      <c r="D3936" t="s">
        <v>82</v>
      </c>
      <c r="E3936" t="s">
        <v>26</v>
      </c>
      <c r="F3936" t="s">
        <v>43</v>
      </c>
      <c r="G3936" t="s">
        <v>44</v>
      </c>
      <c r="H3936" t="s">
        <v>45</v>
      </c>
      <c r="I3936" t="s">
        <v>104</v>
      </c>
      <c r="J3936" t="s">
        <v>7061</v>
      </c>
      <c r="K3936" t="s">
        <v>78</v>
      </c>
      <c r="L3936" t="s">
        <v>46</v>
      </c>
      <c r="M3936" t="s">
        <v>34</v>
      </c>
      <c r="N3936" t="s">
        <v>69</v>
      </c>
      <c r="O3936" t="s">
        <v>36</v>
      </c>
      <c r="P3936" t="s">
        <v>49</v>
      </c>
      <c r="Q3936" t="s">
        <v>169</v>
      </c>
      <c r="R3936">
        <v>504</v>
      </c>
      <c r="S3936">
        <v>244</v>
      </c>
      <c r="T3936">
        <v>142</v>
      </c>
      <c r="U3936">
        <v>33</v>
      </c>
      <c r="V3936" t="s">
        <v>7375</v>
      </c>
      <c r="W3936">
        <v>27335</v>
      </c>
      <c r="X3936" t="s">
        <v>864</v>
      </c>
      <c r="Y3936">
        <v>24561</v>
      </c>
      <c r="Z3936">
        <v>902055</v>
      </c>
      <c r="AA3936">
        <v>91542</v>
      </c>
      <c r="AB3936" t="str">
        <f>(VLOOKUP(SalesData[[#This Row],[Month Number]],Reference!C$5:E$16,2,FALSE))</f>
        <v>Feb</v>
      </c>
      <c r="AC3936">
        <f>MONTH(SalesData[[#This Row],[Date]])</f>
        <v>2</v>
      </c>
      <c r="AD3936">
        <f>Reference!F$4</f>
        <v>2026</v>
      </c>
      <c r="AE3936" t="str">
        <f>IF(OR(SalesData[[#This Row],[Day]]="Saturday",SalesData[[#This Row],[Day]]="Sunday"),"Weekend","Weekday")</f>
        <v>Weekday</v>
      </c>
      <c r="AF3936" s="5">
        <f>IF(SalesData[[#This Row],[Contracts Offered]]=0,0,SalesData[[#This Row],[Contracts Signed]]/SalesData[[#This Row],[Contracts Offered]])</f>
        <v>0.23239436619718309</v>
      </c>
      <c r="AG3936" s="5">
        <f>IF(SalesData[[#This Row],[Customers Visited]]=0,0,SalesData[[#This Row],[Test Drives]]/SalesData[[#This Row],[Customers Visited]])</f>
        <v>0.48412698412698413</v>
      </c>
      <c r="AH3936" s="5">
        <f>IF(SalesData[[#This Row],[Customers Visited]]=0,0,SalesData[[#This Row],[Contracts Signed]]/SalesData[[#This Row],[Customers Visited]])</f>
        <v>6.5476190476190479E-2</v>
      </c>
      <c r="AI3936" s="6">
        <f>IF(SalesData[[#This Row],[Contracts Signed]]=0,0,SalesData[[#This Row],[Profit(€)]]/SalesData[[#This Row],[Contracts Signed]])</f>
        <v>2774</v>
      </c>
      <c r="AJ3936" s="5" t="str">
        <f>TRIM(CLEAN(SalesData[[#This Row],[Retailer]]))</f>
        <v>Saxon Wheels</v>
      </c>
    </row>
    <row r="3937" spans="1:36" ht="14.25" hidden="1" x14ac:dyDescent="0.2">
      <c r="A3937" t="s">
        <v>5173</v>
      </c>
      <c r="B3937" s="1">
        <v>46059</v>
      </c>
      <c r="C3937" t="s">
        <v>24</v>
      </c>
      <c r="D3937" t="s">
        <v>54</v>
      </c>
      <c r="E3937" t="s">
        <v>26</v>
      </c>
      <c r="F3937" t="s">
        <v>101</v>
      </c>
      <c r="G3937" t="s">
        <v>102</v>
      </c>
      <c r="H3937" t="s">
        <v>103</v>
      </c>
      <c r="I3937" t="s">
        <v>56</v>
      </c>
      <c r="J3937" t="s">
        <v>97</v>
      </c>
      <c r="K3937" t="s">
        <v>66</v>
      </c>
      <c r="L3937" t="s">
        <v>33</v>
      </c>
      <c r="M3937" t="s">
        <v>87</v>
      </c>
      <c r="N3937" t="s">
        <v>69</v>
      </c>
      <c r="O3937" t="s">
        <v>36</v>
      </c>
      <c r="P3937" t="s">
        <v>37</v>
      </c>
      <c r="Q3937" t="s">
        <v>79</v>
      </c>
      <c r="R3937">
        <v>193</v>
      </c>
      <c r="S3937">
        <v>110</v>
      </c>
      <c r="T3937">
        <v>76</v>
      </c>
      <c r="U3937">
        <v>23</v>
      </c>
      <c r="V3937" t="s">
        <v>6755</v>
      </c>
      <c r="W3937">
        <v>47562</v>
      </c>
      <c r="X3937" t="s">
        <v>2334</v>
      </c>
      <c r="Y3937">
        <v>35819</v>
      </c>
      <c r="Z3937">
        <v>1093926</v>
      </c>
      <c r="AA3937">
        <v>270089</v>
      </c>
      <c r="AB3937" t="str">
        <f>(VLOOKUP(SalesData[[#This Row],[Month Number]],Reference!C$5:E$16,2,FALSE))</f>
        <v>Feb</v>
      </c>
      <c r="AC3937">
        <f>MONTH(SalesData[[#This Row],[Date]])</f>
        <v>2</v>
      </c>
      <c r="AD3937">
        <f>Reference!F$4</f>
        <v>2026</v>
      </c>
      <c r="AE3937" t="str">
        <f>IF(OR(SalesData[[#This Row],[Day]]="Saturday",SalesData[[#This Row],[Day]]="Sunday"),"Weekend","Weekday")</f>
        <v>Weekday</v>
      </c>
      <c r="AF3937" s="5">
        <f>IF(SalesData[[#This Row],[Contracts Offered]]=0,0,SalesData[[#This Row],[Contracts Signed]]/SalesData[[#This Row],[Contracts Offered]])</f>
        <v>0.30263157894736842</v>
      </c>
      <c r="AG3937" s="5">
        <f>IF(SalesData[[#This Row],[Customers Visited]]=0,0,SalesData[[#This Row],[Test Drives]]/SalesData[[#This Row],[Customers Visited]])</f>
        <v>0.56994818652849744</v>
      </c>
      <c r="AH3937" s="5">
        <f>IF(SalesData[[#This Row],[Customers Visited]]=0,0,SalesData[[#This Row],[Contracts Signed]]/SalesData[[#This Row],[Customers Visited]])</f>
        <v>0.11917098445595854</v>
      </c>
      <c r="AI3937" s="6">
        <f>IF(SalesData[[#This Row],[Contracts Signed]]=0,0,SalesData[[#This Row],[Profit(€)]]/SalesData[[#This Row],[Contracts Signed]])</f>
        <v>11743</v>
      </c>
      <c r="AJ3937" s="5" t="str">
        <f>TRIM(CLEAN(SalesData[[#This Row],[Retailer]]))</f>
        <v>Ruhr Auto Plaza</v>
      </c>
    </row>
    <row r="3938" spans="1:36" ht="14.25" hidden="1" x14ac:dyDescent="0.2">
      <c r="A3938" t="s">
        <v>5174</v>
      </c>
      <c r="B3938" s="1">
        <v>46069</v>
      </c>
      <c r="C3938" t="s">
        <v>62</v>
      </c>
      <c r="D3938" t="s">
        <v>25</v>
      </c>
      <c r="E3938" t="s">
        <v>26</v>
      </c>
      <c r="F3938" t="s">
        <v>109</v>
      </c>
      <c r="G3938" t="s">
        <v>110</v>
      </c>
      <c r="H3938" t="s">
        <v>45</v>
      </c>
      <c r="I3938" t="s">
        <v>116</v>
      </c>
      <c r="J3938" t="s">
        <v>7026</v>
      </c>
      <c r="K3938" t="s">
        <v>66</v>
      </c>
      <c r="L3938" t="s">
        <v>46</v>
      </c>
      <c r="M3938" t="s">
        <v>34</v>
      </c>
      <c r="N3938" t="s">
        <v>35</v>
      </c>
      <c r="O3938" t="s">
        <v>70</v>
      </c>
      <c r="P3938" t="s">
        <v>58</v>
      </c>
      <c r="Q3938" t="s">
        <v>347</v>
      </c>
      <c r="R3938">
        <v>364</v>
      </c>
      <c r="S3938">
        <v>194</v>
      </c>
      <c r="T3938">
        <v>121</v>
      </c>
      <c r="U3938">
        <v>33</v>
      </c>
      <c r="V3938" t="s">
        <v>763</v>
      </c>
      <c r="W3938">
        <v>20116</v>
      </c>
      <c r="X3938" t="s">
        <v>7446</v>
      </c>
      <c r="Y3938">
        <v>18224</v>
      </c>
      <c r="Z3938">
        <v>663828</v>
      </c>
      <c r="AA3938">
        <v>62436</v>
      </c>
      <c r="AB3938" t="str">
        <f>(VLOOKUP(SalesData[[#This Row],[Month Number]],Reference!C$5:E$16,2,FALSE))</f>
        <v>Feb</v>
      </c>
      <c r="AC3938">
        <f>MONTH(SalesData[[#This Row],[Date]])</f>
        <v>2</v>
      </c>
      <c r="AD3938">
        <f>Reference!F$4</f>
        <v>2026</v>
      </c>
      <c r="AE3938" t="str">
        <f>IF(OR(SalesData[[#This Row],[Day]]="Saturday",SalesData[[#This Row],[Day]]="Sunday"),"Weekend","Weekday")</f>
        <v>Weekday</v>
      </c>
      <c r="AF3938" s="5">
        <f>IF(SalesData[[#This Row],[Contracts Offered]]=0,0,SalesData[[#This Row],[Contracts Signed]]/SalesData[[#This Row],[Contracts Offered]])</f>
        <v>0.27272727272727271</v>
      </c>
      <c r="AG3938" s="5">
        <f>IF(SalesData[[#This Row],[Customers Visited]]=0,0,SalesData[[#This Row],[Test Drives]]/SalesData[[#This Row],[Customers Visited]])</f>
        <v>0.53296703296703296</v>
      </c>
      <c r="AH3938" s="5">
        <f>IF(SalesData[[#This Row],[Customers Visited]]=0,0,SalesData[[#This Row],[Contracts Signed]]/SalesData[[#This Row],[Customers Visited]])</f>
        <v>9.0659340659340656E-2</v>
      </c>
      <c r="AI3938" s="6">
        <f>IF(SalesData[[#This Row],[Contracts Signed]]=0,0,SalesData[[#This Row],[Profit(€)]]/SalesData[[#This Row],[Contracts Signed]])</f>
        <v>1892</v>
      </c>
      <c r="AJ3938" s="5" t="str">
        <f>TRIM(CLEAN(SalesData[[#This Row],[Retailer]]))</f>
        <v>Leipzig Mobility</v>
      </c>
    </row>
    <row r="3939" spans="1:36" ht="14.25" hidden="1" x14ac:dyDescent="0.2">
      <c r="A3939" t="s">
        <v>5175</v>
      </c>
      <c r="B3939" s="1">
        <v>46077</v>
      </c>
      <c r="C3939" t="s">
        <v>53</v>
      </c>
      <c r="D3939" t="s">
        <v>63</v>
      </c>
      <c r="E3939" t="s">
        <v>26</v>
      </c>
      <c r="F3939" t="s">
        <v>7649</v>
      </c>
      <c r="G3939" t="s">
        <v>55</v>
      </c>
      <c r="H3939" t="s">
        <v>55</v>
      </c>
      <c r="I3939" t="s">
        <v>116</v>
      </c>
      <c r="J3939" t="s">
        <v>7026</v>
      </c>
      <c r="K3939" t="s">
        <v>66</v>
      </c>
      <c r="L3939" t="s">
        <v>46</v>
      </c>
      <c r="M3939" t="s">
        <v>68</v>
      </c>
      <c r="N3939" t="s">
        <v>69</v>
      </c>
      <c r="O3939" t="s">
        <v>70</v>
      </c>
      <c r="P3939" t="s">
        <v>58</v>
      </c>
      <c r="Q3939" t="s">
        <v>204</v>
      </c>
      <c r="R3939">
        <v>305</v>
      </c>
      <c r="S3939">
        <v>148</v>
      </c>
      <c r="T3939">
        <v>100</v>
      </c>
      <c r="U3939">
        <v>31</v>
      </c>
      <c r="V3939" t="s">
        <v>6846</v>
      </c>
      <c r="W3939">
        <v>21295</v>
      </c>
      <c r="X3939" t="s">
        <v>4097</v>
      </c>
      <c r="Y3939">
        <v>19696</v>
      </c>
      <c r="Z3939">
        <v>660145</v>
      </c>
      <c r="AA3939">
        <v>49569</v>
      </c>
      <c r="AB3939" t="str">
        <f>(VLOOKUP(SalesData[[#This Row],[Month Number]],Reference!C$5:E$16,2,FALSE))</f>
        <v>Feb</v>
      </c>
      <c r="AC3939">
        <f>MONTH(SalesData[[#This Row],[Date]])</f>
        <v>2</v>
      </c>
      <c r="AD3939">
        <f>Reference!F$4</f>
        <v>2026</v>
      </c>
      <c r="AE3939" t="str">
        <f>IF(OR(SalesData[[#This Row],[Day]]="Saturday",SalesData[[#This Row],[Day]]="Sunday"),"Weekend","Weekday")</f>
        <v>Weekday</v>
      </c>
      <c r="AF3939" s="5">
        <f>IF(SalesData[[#This Row],[Contracts Offered]]=0,0,SalesData[[#This Row],[Contracts Signed]]/SalesData[[#This Row],[Contracts Offered]])</f>
        <v>0.31</v>
      </c>
      <c r="AG3939" s="5">
        <f>IF(SalesData[[#This Row],[Customers Visited]]=0,0,SalesData[[#This Row],[Test Drives]]/SalesData[[#This Row],[Customers Visited]])</f>
        <v>0.48524590163934428</v>
      </c>
      <c r="AH3939" s="5">
        <f>IF(SalesData[[#This Row],[Customers Visited]]=0,0,SalesData[[#This Row],[Contracts Signed]]/SalesData[[#This Row],[Customers Visited]])</f>
        <v>0.10163934426229508</v>
      </c>
      <c r="AI3939" s="6">
        <f>IF(SalesData[[#This Row],[Contracts Signed]]=0,0,SalesData[[#This Row],[Profit(€)]]/SalesData[[#This Row],[Contracts Signed]])</f>
        <v>1599</v>
      </c>
      <c r="AJ3939" s="5" t="str">
        <f>TRIM(CLEAN(SalesData[[#This Row],[Retailer]]))</f>
        <v>Autohaus Berlin</v>
      </c>
    </row>
    <row r="3940" spans="1:36" ht="14.25" hidden="1" x14ac:dyDescent="0.2">
      <c r="A3940" t="s">
        <v>5176</v>
      </c>
      <c r="B3940" s="1">
        <v>46059</v>
      </c>
      <c r="C3940" t="s">
        <v>24</v>
      </c>
      <c r="D3940" t="s">
        <v>54</v>
      </c>
      <c r="E3940" t="s">
        <v>26</v>
      </c>
      <c r="F3940" t="s">
        <v>83</v>
      </c>
      <c r="G3940" t="s">
        <v>84</v>
      </c>
      <c r="H3940" t="s">
        <v>85</v>
      </c>
      <c r="I3940" t="s">
        <v>116</v>
      </c>
      <c r="J3940" t="s">
        <v>7026</v>
      </c>
      <c r="K3940" t="s">
        <v>91</v>
      </c>
      <c r="L3940" t="s">
        <v>46</v>
      </c>
      <c r="M3940" t="s">
        <v>47</v>
      </c>
      <c r="N3940" t="s">
        <v>69</v>
      </c>
      <c r="O3940" t="s">
        <v>36</v>
      </c>
      <c r="P3940" t="s">
        <v>71</v>
      </c>
      <c r="Q3940" t="s">
        <v>50</v>
      </c>
      <c r="R3940">
        <v>414</v>
      </c>
      <c r="S3940">
        <v>176</v>
      </c>
      <c r="T3940">
        <v>103</v>
      </c>
      <c r="U3940">
        <v>26</v>
      </c>
      <c r="V3940" t="s">
        <v>192</v>
      </c>
      <c r="W3940">
        <v>20305</v>
      </c>
      <c r="X3940" t="s">
        <v>748</v>
      </c>
      <c r="Y3940">
        <v>18884</v>
      </c>
      <c r="Z3940">
        <v>527930</v>
      </c>
      <c r="AA3940">
        <v>36946</v>
      </c>
      <c r="AB3940" t="str">
        <f>(VLOOKUP(SalesData[[#This Row],[Month Number]],Reference!C$5:E$16,2,FALSE))</f>
        <v>Feb</v>
      </c>
      <c r="AC3940">
        <f>MONTH(SalesData[[#This Row],[Date]])</f>
        <v>2</v>
      </c>
      <c r="AD3940">
        <f>Reference!F$4</f>
        <v>2026</v>
      </c>
      <c r="AE3940" t="str">
        <f>IF(OR(SalesData[[#This Row],[Day]]="Saturday",SalesData[[#This Row],[Day]]="Sunday"),"Weekend","Weekday")</f>
        <v>Weekday</v>
      </c>
      <c r="AF3940" s="5">
        <f>IF(SalesData[[#This Row],[Contracts Offered]]=0,0,SalesData[[#This Row],[Contracts Signed]]/SalesData[[#This Row],[Contracts Offered]])</f>
        <v>0.25242718446601942</v>
      </c>
      <c r="AG3940" s="5">
        <f>IF(SalesData[[#This Row],[Customers Visited]]=0,0,SalesData[[#This Row],[Test Drives]]/SalesData[[#This Row],[Customers Visited]])</f>
        <v>0.4251207729468599</v>
      </c>
      <c r="AH3940" s="5">
        <f>IF(SalesData[[#This Row],[Customers Visited]]=0,0,SalesData[[#This Row],[Contracts Signed]]/SalesData[[#This Row],[Customers Visited]])</f>
        <v>6.280193236714976E-2</v>
      </c>
      <c r="AI3940" s="6">
        <f>IF(SalesData[[#This Row],[Contracts Signed]]=0,0,SalesData[[#This Row],[Profit(€)]]/SalesData[[#This Row],[Contracts Signed]])</f>
        <v>1421</v>
      </c>
      <c r="AJ3940" s="5" t="str">
        <f>TRIM(CLEAN(SalesData[[#This Row],[Retailer]]))</f>
        <v>Hannover Cars</v>
      </c>
    </row>
    <row r="3941" spans="1:36" ht="14.25" x14ac:dyDescent="0.2">
      <c r="A3941" t="s">
        <v>5178</v>
      </c>
      <c r="B3941" s="1">
        <v>46054</v>
      </c>
      <c r="C3941" t="s">
        <v>24</v>
      </c>
      <c r="D3941" t="s">
        <v>41</v>
      </c>
      <c r="E3941" t="s">
        <v>42</v>
      </c>
      <c r="F3941" t="s">
        <v>109</v>
      </c>
      <c r="G3941" t="s">
        <v>110</v>
      </c>
      <c r="H3941" t="s">
        <v>45</v>
      </c>
      <c r="I3941" t="s">
        <v>30</v>
      </c>
      <c r="J3941" t="s">
        <v>166</v>
      </c>
      <c r="K3941" t="s">
        <v>66</v>
      </c>
      <c r="L3941" t="s">
        <v>46</v>
      </c>
      <c r="M3941" t="s">
        <v>68</v>
      </c>
      <c r="N3941" t="s">
        <v>48</v>
      </c>
      <c r="O3941" t="s">
        <v>36</v>
      </c>
      <c r="P3941" t="s">
        <v>37</v>
      </c>
      <c r="Q3941" t="s">
        <v>129</v>
      </c>
      <c r="R3941">
        <v>267</v>
      </c>
      <c r="S3941">
        <v>164</v>
      </c>
      <c r="T3941">
        <v>111</v>
      </c>
      <c r="U3941">
        <v>40</v>
      </c>
      <c r="V3941" t="s">
        <v>6903</v>
      </c>
      <c r="W3941">
        <v>52988</v>
      </c>
      <c r="X3941" t="s">
        <v>2852</v>
      </c>
      <c r="Y3941">
        <v>39985</v>
      </c>
      <c r="Z3941">
        <v>2119520</v>
      </c>
      <c r="AA3941">
        <v>520120</v>
      </c>
      <c r="AB3941" t="str">
        <f>(VLOOKUP(SalesData[[#This Row],[Month Number]],Reference!C$5:E$16,2,FALSE))</f>
        <v>Feb</v>
      </c>
      <c r="AC3941">
        <f>MONTH(SalesData[[#This Row],[Date]])</f>
        <v>2</v>
      </c>
      <c r="AD3941">
        <f>Reference!F$4</f>
        <v>2026</v>
      </c>
      <c r="AE3941" t="str">
        <f>IF(OR(SalesData[[#This Row],[Day]]="Saturday",SalesData[[#This Row],[Day]]="Sunday"),"Weekend","Weekday")</f>
        <v>Weekend</v>
      </c>
      <c r="AF3941" s="5">
        <f>IF(SalesData[[#This Row],[Contracts Offered]]=0,0,SalesData[[#This Row],[Contracts Signed]]/SalesData[[#This Row],[Contracts Offered]])</f>
        <v>0.36036036036036034</v>
      </c>
      <c r="AG3941" s="5">
        <f>IF(SalesData[[#This Row],[Customers Visited]]=0,0,SalesData[[#This Row],[Test Drives]]/SalesData[[#This Row],[Customers Visited]])</f>
        <v>0.61423220973782766</v>
      </c>
      <c r="AH3941" s="5">
        <f>IF(SalesData[[#This Row],[Customers Visited]]=0,0,SalesData[[#This Row],[Contracts Signed]]/SalesData[[#This Row],[Customers Visited]])</f>
        <v>0.14981273408239701</v>
      </c>
      <c r="AI3941" s="6">
        <f>IF(SalesData[[#This Row],[Contracts Signed]]=0,0,SalesData[[#This Row],[Profit(€)]]/SalesData[[#This Row],[Contracts Signed]])</f>
        <v>13003</v>
      </c>
      <c r="AJ3941" s="5" t="str">
        <f>TRIM(CLEAN(SalesData[[#This Row],[Retailer]]))</f>
        <v>Leipzig Mobility</v>
      </c>
    </row>
    <row r="3942" spans="1:36" ht="14.25" hidden="1" x14ac:dyDescent="0.2">
      <c r="A3942" t="s">
        <v>5179</v>
      </c>
      <c r="B3942" s="1">
        <v>46077</v>
      </c>
      <c r="C3942" t="s">
        <v>53</v>
      </c>
      <c r="D3942" t="s">
        <v>63</v>
      </c>
      <c r="E3942" t="s">
        <v>26</v>
      </c>
      <c r="F3942" t="s">
        <v>27</v>
      </c>
      <c r="G3942" t="s">
        <v>28</v>
      </c>
      <c r="H3942" t="s">
        <v>29</v>
      </c>
      <c r="I3942" t="s">
        <v>56</v>
      </c>
      <c r="J3942" t="s">
        <v>7028</v>
      </c>
      <c r="K3942" t="s">
        <v>78</v>
      </c>
      <c r="L3942" t="s">
        <v>46</v>
      </c>
      <c r="M3942" t="s">
        <v>68</v>
      </c>
      <c r="N3942" t="s">
        <v>35</v>
      </c>
      <c r="O3942" t="s">
        <v>36</v>
      </c>
      <c r="P3942" t="s">
        <v>71</v>
      </c>
      <c r="Q3942" t="s">
        <v>167</v>
      </c>
      <c r="R3942">
        <v>241</v>
      </c>
      <c r="S3942">
        <v>119</v>
      </c>
      <c r="T3942">
        <v>79</v>
      </c>
      <c r="U3942">
        <v>28</v>
      </c>
      <c r="V3942" t="s">
        <v>6439</v>
      </c>
      <c r="W3942">
        <v>49679</v>
      </c>
      <c r="X3942" t="s">
        <v>4948</v>
      </c>
      <c r="Y3942">
        <v>37443</v>
      </c>
      <c r="Z3942">
        <v>1391012</v>
      </c>
      <c r="AA3942">
        <v>342608</v>
      </c>
      <c r="AB3942" t="str">
        <f>(VLOOKUP(SalesData[[#This Row],[Month Number]],Reference!C$5:E$16,2,FALSE))</f>
        <v>Feb</v>
      </c>
      <c r="AC3942">
        <f>MONTH(SalesData[[#This Row],[Date]])</f>
        <v>2</v>
      </c>
      <c r="AD3942">
        <f>Reference!F$4</f>
        <v>2026</v>
      </c>
      <c r="AE3942" t="str">
        <f>IF(OR(SalesData[[#This Row],[Day]]="Saturday",SalesData[[#This Row],[Day]]="Sunday"),"Weekend","Weekday")</f>
        <v>Weekday</v>
      </c>
      <c r="AF3942" s="5">
        <f>IF(SalesData[[#This Row],[Contracts Offered]]=0,0,SalesData[[#This Row],[Contracts Signed]]/SalesData[[#This Row],[Contracts Offered]])</f>
        <v>0.35443037974683544</v>
      </c>
      <c r="AG3942" s="5">
        <f>IF(SalesData[[#This Row],[Customers Visited]]=0,0,SalesData[[#This Row],[Test Drives]]/SalesData[[#This Row],[Customers Visited]])</f>
        <v>0.49377593360995853</v>
      </c>
      <c r="AH3942" s="5">
        <f>IF(SalesData[[#This Row],[Customers Visited]]=0,0,SalesData[[#This Row],[Contracts Signed]]/SalesData[[#This Row],[Customers Visited]])</f>
        <v>0.11618257261410789</v>
      </c>
      <c r="AI3942" s="6">
        <f>IF(SalesData[[#This Row],[Contracts Signed]]=0,0,SalesData[[#This Row],[Profit(€)]]/SalesData[[#This Row],[Contracts Signed]])</f>
        <v>12236</v>
      </c>
      <c r="AJ3942" s="5" t="str">
        <f>TRIM(CLEAN(SalesData[[#This Row],[Retailer]]))</f>
        <v>Main Auto Hub</v>
      </c>
    </row>
    <row r="3943" spans="1:36" ht="14.25" hidden="1" x14ac:dyDescent="0.2">
      <c r="A3943" t="s">
        <v>5180</v>
      </c>
      <c r="B3943" s="1">
        <v>46078</v>
      </c>
      <c r="C3943" t="s">
        <v>53</v>
      </c>
      <c r="D3943" t="s">
        <v>82</v>
      </c>
      <c r="E3943" t="s">
        <v>26</v>
      </c>
      <c r="F3943" t="s">
        <v>101</v>
      </c>
      <c r="G3943" t="s">
        <v>102</v>
      </c>
      <c r="H3943" t="s">
        <v>103</v>
      </c>
      <c r="I3943" t="s">
        <v>104</v>
      </c>
      <c r="J3943" t="s">
        <v>7061</v>
      </c>
      <c r="K3943" t="s">
        <v>32</v>
      </c>
      <c r="L3943" t="s">
        <v>46</v>
      </c>
      <c r="M3943" t="s">
        <v>87</v>
      </c>
      <c r="N3943" t="s">
        <v>69</v>
      </c>
      <c r="O3943" t="s">
        <v>36</v>
      </c>
      <c r="P3943" t="s">
        <v>58</v>
      </c>
      <c r="Q3943" t="s">
        <v>59</v>
      </c>
      <c r="R3943">
        <v>397</v>
      </c>
      <c r="S3943">
        <v>216</v>
      </c>
      <c r="T3943">
        <v>144</v>
      </c>
      <c r="U3943">
        <v>40</v>
      </c>
      <c r="V3943" t="s">
        <v>123</v>
      </c>
      <c r="W3943">
        <v>33143</v>
      </c>
      <c r="X3943" t="s">
        <v>7520</v>
      </c>
      <c r="Y3943">
        <v>28563</v>
      </c>
      <c r="Z3943">
        <v>1325720</v>
      </c>
      <c r="AA3943">
        <v>183200</v>
      </c>
      <c r="AB3943" t="str">
        <f>(VLOOKUP(SalesData[[#This Row],[Month Number]],Reference!C$5:E$16,2,FALSE))</f>
        <v>Feb</v>
      </c>
      <c r="AC3943">
        <f>MONTH(SalesData[[#This Row],[Date]])</f>
        <v>2</v>
      </c>
      <c r="AD3943">
        <f>Reference!F$4</f>
        <v>2026</v>
      </c>
      <c r="AE3943" t="str">
        <f>IF(OR(SalesData[[#This Row],[Day]]="Saturday",SalesData[[#This Row],[Day]]="Sunday"),"Weekend","Weekday")</f>
        <v>Weekday</v>
      </c>
      <c r="AF3943" s="5">
        <f>IF(SalesData[[#This Row],[Contracts Offered]]=0,0,SalesData[[#This Row],[Contracts Signed]]/SalesData[[#This Row],[Contracts Offered]])</f>
        <v>0.27777777777777779</v>
      </c>
      <c r="AG3943" s="5">
        <f>IF(SalesData[[#This Row],[Customers Visited]]=0,0,SalesData[[#This Row],[Test Drives]]/SalesData[[#This Row],[Customers Visited]])</f>
        <v>0.54408060453400509</v>
      </c>
      <c r="AH3943" s="5">
        <f>IF(SalesData[[#This Row],[Customers Visited]]=0,0,SalesData[[#This Row],[Contracts Signed]]/SalesData[[#This Row],[Customers Visited]])</f>
        <v>0.10075566750629723</v>
      </c>
      <c r="AI3943" s="6">
        <f>IF(SalesData[[#This Row],[Contracts Signed]]=0,0,SalesData[[#This Row],[Profit(€)]]/SalesData[[#This Row],[Contracts Signed]])</f>
        <v>4580</v>
      </c>
      <c r="AJ3943" s="5" t="str">
        <f>TRIM(CLEAN(SalesData[[#This Row],[Retailer]]))</f>
        <v>Ruhr Auto Plaza</v>
      </c>
    </row>
    <row r="3944" spans="1:36" ht="14.25" hidden="1" x14ac:dyDescent="0.2">
      <c r="A3944" t="s">
        <v>5181</v>
      </c>
      <c r="B3944" s="1">
        <v>46078</v>
      </c>
      <c r="C3944" t="s">
        <v>53</v>
      </c>
      <c r="D3944" t="s">
        <v>82</v>
      </c>
      <c r="E3944" t="s">
        <v>26</v>
      </c>
      <c r="F3944" t="s">
        <v>114</v>
      </c>
      <c r="G3944" t="s">
        <v>115</v>
      </c>
      <c r="H3944" t="s">
        <v>115</v>
      </c>
      <c r="I3944" t="s">
        <v>104</v>
      </c>
      <c r="J3944" t="s">
        <v>140</v>
      </c>
      <c r="K3944" t="s">
        <v>66</v>
      </c>
      <c r="L3944" t="s">
        <v>46</v>
      </c>
      <c r="M3944" t="s">
        <v>87</v>
      </c>
      <c r="N3944" t="s">
        <v>35</v>
      </c>
      <c r="O3944" t="s">
        <v>36</v>
      </c>
      <c r="P3944" t="s">
        <v>71</v>
      </c>
      <c r="Q3944" t="s">
        <v>88</v>
      </c>
      <c r="R3944">
        <v>339</v>
      </c>
      <c r="S3944">
        <v>161</v>
      </c>
      <c r="T3944">
        <v>101</v>
      </c>
      <c r="U3944">
        <v>26</v>
      </c>
      <c r="V3944" t="s">
        <v>3319</v>
      </c>
      <c r="W3944">
        <v>28838</v>
      </c>
      <c r="X3944" t="s">
        <v>948</v>
      </c>
      <c r="Y3944">
        <v>26159</v>
      </c>
      <c r="Z3944">
        <v>749788</v>
      </c>
      <c r="AA3944">
        <v>69654</v>
      </c>
      <c r="AB3944" t="str">
        <f>(VLOOKUP(SalesData[[#This Row],[Month Number]],Reference!C$5:E$16,2,FALSE))</f>
        <v>Feb</v>
      </c>
      <c r="AC3944">
        <f>MONTH(SalesData[[#This Row],[Date]])</f>
        <v>2</v>
      </c>
      <c r="AD3944">
        <f>Reference!F$4</f>
        <v>2026</v>
      </c>
      <c r="AE3944" t="str">
        <f>IF(OR(SalesData[[#This Row],[Day]]="Saturday",SalesData[[#This Row],[Day]]="Sunday"),"Weekend","Weekday")</f>
        <v>Weekday</v>
      </c>
      <c r="AF3944" s="5">
        <f>IF(SalesData[[#This Row],[Contracts Offered]]=0,0,SalesData[[#This Row],[Contracts Signed]]/SalesData[[#This Row],[Contracts Offered]])</f>
        <v>0.25742574257425743</v>
      </c>
      <c r="AG3944" s="5">
        <f>IF(SalesData[[#This Row],[Customers Visited]]=0,0,SalesData[[#This Row],[Test Drives]]/SalesData[[#This Row],[Customers Visited]])</f>
        <v>0.47492625368731561</v>
      </c>
      <c r="AH3944" s="5">
        <f>IF(SalesData[[#This Row],[Customers Visited]]=0,0,SalesData[[#This Row],[Contracts Signed]]/SalesData[[#This Row],[Customers Visited]])</f>
        <v>7.6696165191740412E-2</v>
      </c>
      <c r="AI3944" s="6">
        <f>IF(SalesData[[#This Row],[Contracts Signed]]=0,0,SalesData[[#This Row],[Profit(€)]]/SalesData[[#This Row],[Contracts Signed]])</f>
        <v>2679</v>
      </c>
      <c r="AJ3944" s="5" t="str">
        <f>TRIM(CLEAN(SalesData[[#This Row],[Retailer]]))</f>
        <v>Elbe Drive</v>
      </c>
    </row>
    <row r="3945" spans="1:36" ht="14.25" hidden="1" x14ac:dyDescent="0.2">
      <c r="A3945" t="s">
        <v>5182</v>
      </c>
      <c r="B3945" s="1">
        <v>46065</v>
      </c>
      <c r="C3945" t="s">
        <v>121</v>
      </c>
      <c r="D3945" t="s">
        <v>100</v>
      </c>
      <c r="E3945" t="s">
        <v>26</v>
      </c>
      <c r="F3945" t="s">
        <v>83</v>
      </c>
      <c r="G3945" t="s">
        <v>84</v>
      </c>
      <c r="H3945" t="s">
        <v>85</v>
      </c>
      <c r="I3945" t="s">
        <v>56</v>
      </c>
      <c r="J3945" t="s">
        <v>7028</v>
      </c>
      <c r="K3945" t="s">
        <v>78</v>
      </c>
      <c r="L3945" t="s">
        <v>46</v>
      </c>
      <c r="M3945" t="s">
        <v>47</v>
      </c>
      <c r="N3945" t="s">
        <v>69</v>
      </c>
      <c r="O3945" t="s">
        <v>70</v>
      </c>
      <c r="P3945" t="s">
        <v>58</v>
      </c>
      <c r="Q3945" t="s">
        <v>122</v>
      </c>
      <c r="R3945">
        <v>264</v>
      </c>
      <c r="S3945">
        <v>153</v>
      </c>
      <c r="T3945">
        <v>113</v>
      </c>
      <c r="U3945">
        <v>37</v>
      </c>
      <c r="V3945" t="s">
        <v>6510</v>
      </c>
      <c r="W3945">
        <v>47291</v>
      </c>
      <c r="X3945" t="s">
        <v>712</v>
      </c>
      <c r="Y3945">
        <v>36243</v>
      </c>
      <c r="Z3945">
        <v>1749767</v>
      </c>
      <c r="AA3945">
        <v>408776</v>
      </c>
      <c r="AB3945" t="str">
        <f>(VLOOKUP(SalesData[[#This Row],[Month Number]],Reference!C$5:E$16,2,FALSE))</f>
        <v>Feb</v>
      </c>
      <c r="AC3945">
        <f>MONTH(SalesData[[#This Row],[Date]])</f>
        <v>2</v>
      </c>
      <c r="AD3945">
        <f>Reference!F$4</f>
        <v>2026</v>
      </c>
      <c r="AE3945" t="str">
        <f>IF(OR(SalesData[[#This Row],[Day]]="Saturday",SalesData[[#This Row],[Day]]="Sunday"),"Weekend","Weekday")</f>
        <v>Weekday</v>
      </c>
      <c r="AF3945" s="5">
        <f>IF(SalesData[[#This Row],[Contracts Offered]]=0,0,SalesData[[#This Row],[Contracts Signed]]/SalesData[[#This Row],[Contracts Offered]])</f>
        <v>0.32743362831858408</v>
      </c>
      <c r="AG3945" s="5">
        <f>IF(SalesData[[#This Row],[Customers Visited]]=0,0,SalesData[[#This Row],[Test Drives]]/SalesData[[#This Row],[Customers Visited]])</f>
        <v>0.57954545454545459</v>
      </c>
      <c r="AH3945" s="5">
        <f>IF(SalesData[[#This Row],[Customers Visited]]=0,0,SalesData[[#This Row],[Contracts Signed]]/SalesData[[#This Row],[Customers Visited]])</f>
        <v>0.14015151515151514</v>
      </c>
      <c r="AI3945" s="6">
        <f>IF(SalesData[[#This Row],[Contracts Signed]]=0,0,SalesData[[#This Row],[Profit(€)]]/SalesData[[#This Row],[Contracts Signed]])</f>
        <v>11048</v>
      </c>
      <c r="AJ3945" s="5" t="str">
        <f>TRIM(CLEAN(SalesData[[#This Row],[Retailer]]))</f>
        <v>Hannover Cars</v>
      </c>
    </row>
    <row r="3946" spans="1:36" ht="14.25" hidden="1" x14ac:dyDescent="0.2">
      <c r="A3946" t="s">
        <v>5183</v>
      </c>
      <c r="B3946" s="1">
        <v>46059</v>
      </c>
      <c r="C3946" t="s">
        <v>24</v>
      </c>
      <c r="D3946" t="s">
        <v>54</v>
      </c>
      <c r="E3946" t="s">
        <v>26</v>
      </c>
      <c r="F3946" t="s">
        <v>127</v>
      </c>
      <c r="G3946" t="s">
        <v>128</v>
      </c>
      <c r="H3946" t="s">
        <v>103</v>
      </c>
      <c r="I3946" t="s">
        <v>116</v>
      </c>
      <c r="J3946" t="s">
        <v>7026</v>
      </c>
      <c r="K3946" t="s">
        <v>32</v>
      </c>
      <c r="L3946" t="s">
        <v>46</v>
      </c>
      <c r="M3946" t="s">
        <v>47</v>
      </c>
      <c r="N3946" t="s">
        <v>69</v>
      </c>
      <c r="O3946" t="s">
        <v>36</v>
      </c>
      <c r="P3946" t="s">
        <v>71</v>
      </c>
      <c r="Q3946" t="s">
        <v>172</v>
      </c>
      <c r="R3946">
        <v>361</v>
      </c>
      <c r="S3946">
        <v>184</v>
      </c>
      <c r="T3946">
        <v>122</v>
      </c>
      <c r="U3946">
        <v>37</v>
      </c>
      <c r="V3946" t="s">
        <v>6991</v>
      </c>
      <c r="W3946">
        <v>23461</v>
      </c>
      <c r="X3946" t="s">
        <v>2259</v>
      </c>
      <c r="Y3946">
        <v>21776</v>
      </c>
      <c r="Z3946">
        <v>868057</v>
      </c>
      <c r="AA3946">
        <v>62345</v>
      </c>
      <c r="AB3946" t="str">
        <f>(VLOOKUP(SalesData[[#This Row],[Month Number]],Reference!C$5:E$16,2,FALSE))</f>
        <v>Feb</v>
      </c>
      <c r="AC3946">
        <f>MONTH(SalesData[[#This Row],[Date]])</f>
        <v>2</v>
      </c>
      <c r="AD3946">
        <f>Reference!F$4</f>
        <v>2026</v>
      </c>
      <c r="AE3946" t="str">
        <f>IF(OR(SalesData[[#This Row],[Day]]="Saturday",SalesData[[#This Row],[Day]]="Sunday"),"Weekend","Weekday")</f>
        <v>Weekday</v>
      </c>
      <c r="AF3946" s="5">
        <f>IF(SalesData[[#This Row],[Contracts Offered]]=0,0,SalesData[[#This Row],[Contracts Signed]]/SalesData[[#This Row],[Contracts Offered]])</f>
        <v>0.30327868852459017</v>
      </c>
      <c r="AG3946" s="5">
        <f>IF(SalesData[[#This Row],[Customers Visited]]=0,0,SalesData[[#This Row],[Test Drives]]/SalesData[[#This Row],[Customers Visited]])</f>
        <v>0.50969529085872578</v>
      </c>
      <c r="AH3946" s="5">
        <f>IF(SalesData[[#This Row],[Customers Visited]]=0,0,SalesData[[#This Row],[Contracts Signed]]/SalesData[[#This Row],[Customers Visited]])</f>
        <v>0.10249307479224377</v>
      </c>
      <c r="AI3946" s="6">
        <f>IF(SalesData[[#This Row],[Contracts Signed]]=0,0,SalesData[[#This Row],[Profit(€)]]/SalesData[[#This Row],[Contracts Signed]])</f>
        <v>1685</v>
      </c>
      <c r="AJ3946" s="5" t="str">
        <f>TRIM(CLEAN(SalesData[[#This Row],[Retailer]]))</f>
        <v>Rhein Auto Group</v>
      </c>
    </row>
    <row r="3947" spans="1:36" ht="14.25" x14ac:dyDescent="0.2">
      <c r="A3947" t="s">
        <v>5184</v>
      </c>
      <c r="B3947" s="1">
        <v>46064</v>
      </c>
      <c r="C3947" t="s">
        <v>121</v>
      </c>
      <c r="D3947" t="s">
        <v>82</v>
      </c>
      <c r="E3947" t="s">
        <v>26</v>
      </c>
      <c r="F3947" t="s">
        <v>27</v>
      </c>
      <c r="G3947" t="s">
        <v>28</v>
      </c>
      <c r="H3947" t="s">
        <v>29</v>
      </c>
      <c r="I3947" t="s">
        <v>30</v>
      </c>
      <c r="J3947" t="s">
        <v>188</v>
      </c>
      <c r="K3947" t="s">
        <v>78</v>
      </c>
      <c r="L3947" t="s">
        <v>33</v>
      </c>
      <c r="M3947" t="s">
        <v>87</v>
      </c>
      <c r="N3947" t="s">
        <v>35</v>
      </c>
      <c r="O3947" t="s">
        <v>36</v>
      </c>
      <c r="P3947" t="s">
        <v>49</v>
      </c>
      <c r="Q3947" t="s">
        <v>169</v>
      </c>
      <c r="R3947">
        <v>171</v>
      </c>
      <c r="S3947">
        <v>99</v>
      </c>
      <c r="T3947">
        <v>79</v>
      </c>
      <c r="U3947">
        <v>28</v>
      </c>
      <c r="V3947" t="s">
        <v>6541</v>
      </c>
      <c r="W3947">
        <v>60920</v>
      </c>
      <c r="X3947" t="s">
        <v>7366</v>
      </c>
      <c r="Y3947">
        <v>42994</v>
      </c>
      <c r="Z3947">
        <v>1705760</v>
      </c>
      <c r="AA3947">
        <v>501928</v>
      </c>
      <c r="AB3947" t="str">
        <f>(VLOOKUP(SalesData[[#This Row],[Month Number]],Reference!C$5:E$16,2,FALSE))</f>
        <v>Feb</v>
      </c>
      <c r="AC3947">
        <f>MONTH(SalesData[[#This Row],[Date]])</f>
        <v>2</v>
      </c>
      <c r="AD3947">
        <f>Reference!F$4</f>
        <v>2026</v>
      </c>
      <c r="AE3947" t="str">
        <f>IF(OR(SalesData[[#This Row],[Day]]="Saturday",SalesData[[#This Row],[Day]]="Sunday"),"Weekend","Weekday")</f>
        <v>Weekday</v>
      </c>
      <c r="AF3947" s="5">
        <f>IF(SalesData[[#This Row],[Contracts Offered]]=0,0,SalesData[[#This Row],[Contracts Signed]]/SalesData[[#This Row],[Contracts Offered]])</f>
        <v>0.35443037974683544</v>
      </c>
      <c r="AG3947" s="5">
        <f>IF(SalesData[[#This Row],[Customers Visited]]=0,0,SalesData[[#This Row],[Test Drives]]/SalesData[[#This Row],[Customers Visited]])</f>
        <v>0.57894736842105265</v>
      </c>
      <c r="AH3947" s="5">
        <f>IF(SalesData[[#This Row],[Customers Visited]]=0,0,SalesData[[#This Row],[Contracts Signed]]/SalesData[[#This Row],[Customers Visited]])</f>
        <v>0.16374269005847952</v>
      </c>
      <c r="AI3947" s="6">
        <f>IF(SalesData[[#This Row],[Contracts Signed]]=0,0,SalesData[[#This Row],[Profit(€)]]/SalesData[[#This Row],[Contracts Signed]])</f>
        <v>17926</v>
      </c>
      <c r="AJ3947" s="5" t="str">
        <f>TRIM(CLEAN(SalesData[[#This Row],[Retailer]]))</f>
        <v>Main Auto Hub</v>
      </c>
    </row>
    <row r="3948" spans="1:36" ht="14.25" hidden="1" x14ac:dyDescent="0.2">
      <c r="A3948" t="s">
        <v>5185</v>
      </c>
      <c r="B3948" s="1">
        <v>46058</v>
      </c>
      <c r="C3948" t="s">
        <v>24</v>
      </c>
      <c r="D3948" t="s">
        <v>100</v>
      </c>
      <c r="E3948" t="s">
        <v>26</v>
      </c>
      <c r="F3948" t="s">
        <v>74</v>
      </c>
      <c r="G3948" t="s">
        <v>75</v>
      </c>
      <c r="H3948" t="s">
        <v>76</v>
      </c>
      <c r="I3948" t="s">
        <v>56</v>
      </c>
      <c r="J3948" t="s">
        <v>57</v>
      </c>
      <c r="K3948" t="s">
        <v>78</v>
      </c>
      <c r="L3948" t="s">
        <v>46</v>
      </c>
      <c r="M3948" t="s">
        <v>68</v>
      </c>
      <c r="N3948" t="s">
        <v>48</v>
      </c>
      <c r="O3948" t="s">
        <v>70</v>
      </c>
      <c r="P3948" t="s">
        <v>71</v>
      </c>
      <c r="Q3948" t="s">
        <v>79</v>
      </c>
      <c r="R3948">
        <v>312</v>
      </c>
      <c r="S3948">
        <v>164</v>
      </c>
      <c r="T3948">
        <v>109</v>
      </c>
      <c r="U3948">
        <v>38</v>
      </c>
      <c r="V3948" t="s">
        <v>6652</v>
      </c>
      <c r="W3948">
        <v>47215</v>
      </c>
      <c r="X3948" t="s">
        <v>7528</v>
      </c>
      <c r="Y3948">
        <v>35601</v>
      </c>
      <c r="Z3948">
        <v>1794170</v>
      </c>
      <c r="AA3948">
        <v>441332</v>
      </c>
      <c r="AB3948" t="str">
        <f>(VLOOKUP(SalesData[[#This Row],[Month Number]],Reference!C$5:E$16,2,FALSE))</f>
        <v>Feb</v>
      </c>
      <c r="AC3948">
        <f>MONTH(SalesData[[#This Row],[Date]])</f>
        <v>2</v>
      </c>
      <c r="AD3948">
        <f>Reference!F$4</f>
        <v>2026</v>
      </c>
      <c r="AE3948" t="str">
        <f>IF(OR(SalesData[[#This Row],[Day]]="Saturday",SalesData[[#This Row],[Day]]="Sunday"),"Weekend","Weekday")</f>
        <v>Weekday</v>
      </c>
      <c r="AF3948" s="5">
        <f>IF(SalesData[[#This Row],[Contracts Offered]]=0,0,SalesData[[#This Row],[Contracts Signed]]/SalesData[[#This Row],[Contracts Offered]])</f>
        <v>0.34862385321100919</v>
      </c>
      <c r="AG3948" s="5">
        <f>IF(SalesData[[#This Row],[Customers Visited]]=0,0,SalesData[[#This Row],[Test Drives]]/SalesData[[#This Row],[Customers Visited]])</f>
        <v>0.52564102564102566</v>
      </c>
      <c r="AH3948" s="5">
        <f>IF(SalesData[[#This Row],[Customers Visited]]=0,0,SalesData[[#This Row],[Contracts Signed]]/SalesData[[#This Row],[Customers Visited]])</f>
        <v>0.12179487179487179</v>
      </c>
      <c r="AI3948" s="6">
        <f>IF(SalesData[[#This Row],[Contracts Signed]]=0,0,SalesData[[#This Row],[Profit(€)]]/SalesData[[#This Row],[Contracts Signed]])</f>
        <v>11614</v>
      </c>
      <c r="AJ3948" s="5" t="str">
        <f>TRIM(CLEAN(SalesData[[#This Row],[Retailer]]))</f>
        <v>Stuttgart Auto Center</v>
      </c>
    </row>
    <row r="3949" spans="1:36" ht="14.25" hidden="1" x14ac:dyDescent="0.2">
      <c r="A3949" t="s">
        <v>5186</v>
      </c>
      <c r="B3949" s="1">
        <v>46066</v>
      </c>
      <c r="C3949" t="s">
        <v>121</v>
      </c>
      <c r="D3949" t="s">
        <v>54</v>
      </c>
      <c r="E3949" t="s">
        <v>26</v>
      </c>
      <c r="F3949" t="s">
        <v>109</v>
      </c>
      <c r="G3949" t="s">
        <v>110</v>
      </c>
      <c r="H3949" t="s">
        <v>45</v>
      </c>
      <c r="I3949" t="s">
        <v>64</v>
      </c>
      <c r="J3949" t="s">
        <v>111</v>
      </c>
      <c r="K3949" t="s">
        <v>32</v>
      </c>
      <c r="L3949" t="s">
        <v>46</v>
      </c>
      <c r="M3949" t="s">
        <v>68</v>
      </c>
      <c r="N3949" t="s">
        <v>35</v>
      </c>
      <c r="O3949" t="s">
        <v>36</v>
      </c>
      <c r="P3949" t="s">
        <v>49</v>
      </c>
      <c r="Q3949" t="s">
        <v>88</v>
      </c>
      <c r="R3949">
        <v>189</v>
      </c>
      <c r="S3949">
        <v>102</v>
      </c>
      <c r="T3949">
        <v>69</v>
      </c>
      <c r="U3949">
        <v>21</v>
      </c>
      <c r="V3949" t="s">
        <v>6353</v>
      </c>
      <c r="W3949">
        <v>65127</v>
      </c>
      <c r="X3949" t="s">
        <v>7283</v>
      </c>
      <c r="Y3949">
        <v>50100</v>
      </c>
      <c r="Z3949">
        <v>1367667</v>
      </c>
      <c r="AA3949">
        <v>315567</v>
      </c>
      <c r="AB3949" t="str">
        <f>(VLOOKUP(SalesData[[#This Row],[Month Number]],Reference!C$5:E$16,2,FALSE))</f>
        <v>Feb</v>
      </c>
      <c r="AC3949">
        <f>MONTH(SalesData[[#This Row],[Date]])</f>
        <v>2</v>
      </c>
      <c r="AD3949">
        <f>Reference!F$4</f>
        <v>2026</v>
      </c>
      <c r="AE3949" t="str">
        <f>IF(OR(SalesData[[#This Row],[Day]]="Saturday",SalesData[[#This Row],[Day]]="Sunday"),"Weekend","Weekday")</f>
        <v>Weekday</v>
      </c>
      <c r="AF3949" s="5">
        <f>IF(SalesData[[#This Row],[Contracts Offered]]=0,0,SalesData[[#This Row],[Contracts Signed]]/SalesData[[#This Row],[Contracts Offered]])</f>
        <v>0.30434782608695654</v>
      </c>
      <c r="AG3949" s="5">
        <f>IF(SalesData[[#This Row],[Customers Visited]]=0,0,SalesData[[#This Row],[Test Drives]]/SalesData[[#This Row],[Customers Visited]])</f>
        <v>0.53968253968253965</v>
      </c>
      <c r="AH3949" s="5">
        <f>IF(SalesData[[#This Row],[Customers Visited]]=0,0,SalesData[[#This Row],[Contracts Signed]]/SalesData[[#This Row],[Customers Visited]])</f>
        <v>0.1111111111111111</v>
      </c>
      <c r="AI3949" s="6">
        <f>IF(SalesData[[#This Row],[Contracts Signed]]=0,0,SalesData[[#This Row],[Profit(€)]]/SalesData[[#This Row],[Contracts Signed]])</f>
        <v>15027</v>
      </c>
      <c r="AJ3949" s="5" t="str">
        <f>TRIM(CLEAN(SalesData[[#This Row],[Retailer]]))</f>
        <v>Leipzig Mobility</v>
      </c>
    </row>
    <row r="3950" spans="1:36" ht="14.25" hidden="1" x14ac:dyDescent="0.2">
      <c r="A3950" t="s">
        <v>5187</v>
      </c>
      <c r="B3950" s="1">
        <v>46055</v>
      </c>
      <c r="C3950" t="s">
        <v>24</v>
      </c>
      <c r="D3950" t="s">
        <v>25</v>
      </c>
      <c r="E3950" t="s">
        <v>26</v>
      </c>
      <c r="F3950" t="s">
        <v>114</v>
      </c>
      <c r="G3950" t="s">
        <v>115</v>
      </c>
      <c r="H3950" t="s">
        <v>115</v>
      </c>
      <c r="I3950" t="s">
        <v>56</v>
      </c>
      <c r="J3950" t="s">
        <v>137</v>
      </c>
      <c r="K3950" t="s">
        <v>32</v>
      </c>
      <c r="L3950" t="s">
        <v>46</v>
      </c>
      <c r="M3950" t="s">
        <v>68</v>
      </c>
      <c r="N3950" t="s">
        <v>48</v>
      </c>
      <c r="O3950" t="s">
        <v>70</v>
      </c>
      <c r="P3950" t="s">
        <v>37</v>
      </c>
      <c r="Q3950" t="s">
        <v>144</v>
      </c>
      <c r="R3950">
        <v>248</v>
      </c>
      <c r="S3950">
        <v>157</v>
      </c>
      <c r="T3950">
        <v>118</v>
      </c>
      <c r="U3950">
        <v>33</v>
      </c>
      <c r="V3950" t="s">
        <v>7209</v>
      </c>
      <c r="W3950">
        <v>47691</v>
      </c>
      <c r="X3950" t="s">
        <v>1047</v>
      </c>
      <c r="Y3950">
        <v>38577</v>
      </c>
      <c r="Z3950">
        <v>1573803</v>
      </c>
      <c r="AA3950">
        <v>300762</v>
      </c>
      <c r="AB3950" t="str">
        <f>(VLOOKUP(SalesData[[#This Row],[Month Number]],Reference!C$5:E$16,2,FALSE))</f>
        <v>Feb</v>
      </c>
      <c r="AC3950">
        <f>MONTH(SalesData[[#This Row],[Date]])</f>
        <v>2</v>
      </c>
      <c r="AD3950">
        <f>Reference!F$4</f>
        <v>2026</v>
      </c>
      <c r="AE3950" t="str">
        <f>IF(OR(SalesData[[#This Row],[Day]]="Saturday",SalesData[[#This Row],[Day]]="Sunday"),"Weekend","Weekday")</f>
        <v>Weekday</v>
      </c>
      <c r="AF3950" s="5">
        <f>IF(SalesData[[#This Row],[Contracts Offered]]=0,0,SalesData[[#This Row],[Contracts Signed]]/SalesData[[#This Row],[Contracts Offered]])</f>
        <v>0.27966101694915252</v>
      </c>
      <c r="AG3950" s="5">
        <f>IF(SalesData[[#This Row],[Customers Visited]]=0,0,SalesData[[#This Row],[Test Drives]]/SalesData[[#This Row],[Customers Visited]])</f>
        <v>0.63306451612903225</v>
      </c>
      <c r="AH3950" s="5">
        <f>IF(SalesData[[#This Row],[Customers Visited]]=0,0,SalesData[[#This Row],[Contracts Signed]]/SalesData[[#This Row],[Customers Visited]])</f>
        <v>0.13306451612903225</v>
      </c>
      <c r="AI3950" s="6">
        <f>IF(SalesData[[#This Row],[Contracts Signed]]=0,0,SalesData[[#This Row],[Profit(€)]]/SalesData[[#This Row],[Contracts Signed]])</f>
        <v>9114</v>
      </c>
      <c r="AJ3950" s="5" t="str">
        <f>TRIM(CLEAN(SalesData[[#This Row],[Retailer]]))</f>
        <v>Elbe Drive</v>
      </c>
    </row>
    <row r="3951" spans="1:36" ht="14.25" hidden="1" x14ac:dyDescent="0.2">
      <c r="A3951" t="s">
        <v>5188</v>
      </c>
      <c r="B3951" s="1">
        <v>46073</v>
      </c>
      <c r="C3951" t="s">
        <v>62</v>
      </c>
      <c r="D3951" t="s">
        <v>54</v>
      </c>
      <c r="E3951" t="s">
        <v>26</v>
      </c>
      <c r="F3951" t="s">
        <v>114</v>
      </c>
      <c r="G3951" t="s">
        <v>115</v>
      </c>
      <c r="H3951" t="s">
        <v>115</v>
      </c>
      <c r="I3951" t="s">
        <v>104</v>
      </c>
      <c r="J3951" t="s">
        <v>105</v>
      </c>
      <c r="K3951" t="s">
        <v>66</v>
      </c>
      <c r="L3951" t="s">
        <v>33</v>
      </c>
      <c r="M3951" t="s">
        <v>68</v>
      </c>
      <c r="N3951" t="s">
        <v>35</v>
      </c>
      <c r="O3951" t="s">
        <v>70</v>
      </c>
      <c r="P3951" t="s">
        <v>58</v>
      </c>
      <c r="Q3951" t="s">
        <v>106</v>
      </c>
      <c r="R3951">
        <v>381</v>
      </c>
      <c r="S3951">
        <v>202</v>
      </c>
      <c r="T3951">
        <v>138</v>
      </c>
      <c r="U3951">
        <v>35</v>
      </c>
      <c r="V3951" t="s">
        <v>1507</v>
      </c>
      <c r="W3951">
        <v>27472</v>
      </c>
      <c r="X3951" t="s">
        <v>7540</v>
      </c>
      <c r="Y3951">
        <v>24404</v>
      </c>
      <c r="Z3951">
        <v>961520</v>
      </c>
      <c r="AA3951">
        <v>107380</v>
      </c>
      <c r="AB3951" t="str">
        <f>(VLOOKUP(SalesData[[#This Row],[Month Number]],Reference!C$5:E$16,2,FALSE))</f>
        <v>Feb</v>
      </c>
      <c r="AC3951">
        <f>MONTH(SalesData[[#This Row],[Date]])</f>
        <v>2</v>
      </c>
      <c r="AD3951">
        <f>Reference!F$4</f>
        <v>2026</v>
      </c>
      <c r="AE3951" t="str">
        <f>IF(OR(SalesData[[#This Row],[Day]]="Saturday",SalesData[[#This Row],[Day]]="Sunday"),"Weekend","Weekday")</f>
        <v>Weekday</v>
      </c>
      <c r="AF3951" s="5">
        <f>IF(SalesData[[#This Row],[Contracts Offered]]=0,0,SalesData[[#This Row],[Contracts Signed]]/SalesData[[#This Row],[Contracts Offered]])</f>
        <v>0.25362318840579712</v>
      </c>
      <c r="AG3951" s="5">
        <f>IF(SalesData[[#This Row],[Customers Visited]]=0,0,SalesData[[#This Row],[Test Drives]]/SalesData[[#This Row],[Customers Visited]])</f>
        <v>0.53018372703412076</v>
      </c>
      <c r="AH3951" s="5">
        <f>IF(SalesData[[#This Row],[Customers Visited]]=0,0,SalesData[[#This Row],[Contracts Signed]]/SalesData[[#This Row],[Customers Visited]])</f>
        <v>9.1863517060367453E-2</v>
      </c>
      <c r="AI3951" s="6">
        <f>IF(SalesData[[#This Row],[Contracts Signed]]=0,0,SalesData[[#This Row],[Profit(€)]]/SalesData[[#This Row],[Contracts Signed]])</f>
        <v>3068</v>
      </c>
      <c r="AJ3951" s="5" t="str">
        <f>TRIM(CLEAN(SalesData[[#This Row],[Retailer]]))</f>
        <v>Elbe Drive</v>
      </c>
    </row>
    <row r="3952" spans="1:36" ht="14.25" hidden="1" x14ac:dyDescent="0.2">
      <c r="A3952" t="s">
        <v>5189</v>
      </c>
      <c r="B3952" s="1">
        <v>46070</v>
      </c>
      <c r="C3952" t="s">
        <v>62</v>
      </c>
      <c r="D3952" t="s">
        <v>63</v>
      </c>
      <c r="E3952" t="s">
        <v>26</v>
      </c>
      <c r="F3952" t="s">
        <v>74</v>
      </c>
      <c r="G3952" t="s">
        <v>75</v>
      </c>
      <c r="H3952" t="s">
        <v>76</v>
      </c>
      <c r="I3952" t="s">
        <v>116</v>
      </c>
      <c r="J3952" t="s">
        <v>132</v>
      </c>
      <c r="K3952" t="s">
        <v>32</v>
      </c>
      <c r="L3952" t="s">
        <v>46</v>
      </c>
      <c r="M3952" t="s">
        <v>34</v>
      </c>
      <c r="N3952" t="s">
        <v>48</v>
      </c>
      <c r="O3952" t="s">
        <v>70</v>
      </c>
      <c r="P3952" t="s">
        <v>58</v>
      </c>
      <c r="Q3952" t="s">
        <v>158</v>
      </c>
      <c r="R3952">
        <v>427</v>
      </c>
      <c r="S3952">
        <v>213</v>
      </c>
      <c r="T3952">
        <v>123</v>
      </c>
      <c r="U3952">
        <v>36</v>
      </c>
      <c r="V3952" t="s">
        <v>4622</v>
      </c>
      <c r="W3952">
        <v>20520</v>
      </c>
      <c r="X3952" t="s">
        <v>7211</v>
      </c>
      <c r="Y3952">
        <v>18949</v>
      </c>
      <c r="Z3952">
        <v>738720</v>
      </c>
      <c r="AA3952">
        <v>56556</v>
      </c>
      <c r="AB3952" t="str">
        <f>(VLOOKUP(SalesData[[#This Row],[Month Number]],Reference!C$5:E$16,2,FALSE))</f>
        <v>Feb</v>
      </c>
      <c r="AC3952">
        <f>MONTH(SalesData[[#This Row],[Date]])</f>
        <v>2</v>
      </c>
      <c r="AD3952">
        <f>Reference!F$4</f>
        <v>2026</v>
      </c>
      <c r="AE3952" t="str">
        <f>IF(OR(SalesData[[#This Row],[Day]]="Saturday",SalesData[[#This Row],[Day]]="Sunday"),"Weekend","Weekday")</f>
        <v>Weekday</v>
      </c>
      <c r="AF3952" s="5">
        <f>IF(SalesData[[#This Row],[Contracts Offered]]=0,0,SalesData[[#This Row],[Contracts Signed]]/SalesData[[#This Row],[Contracts Offered]])</f>
        <v>0.29268292682926828</v>
      </c>
      <c r="AG3952" s="5">
        <f>IF(SalesData[[#This Row],[Customers Visited]]=0,0,SalesData[[#This Row],[Test Drives]]/SalesData[[#This Row],[Customers Visited]])</f>
        <v>0.49882903981264637</v>
      </c>
      <c r="AH3952" s="5">
        <f>IF(SalesData[[#This Row],[Customers Visited]]=0,0,SalesData[[#This Row],[Contracts Signed]]/SalesData[[#This Row],[Customers Visited]])</f>
        <v>8.4309133489461355E-2</v>
      </c>
      <c r="AI3952" s="6">
        <f>IF(SalesData[[#This Row],[Contracts Signed]]=0,0,SalesData[[#This Row],[Profit(€)]]/SalesData[[#This Row],[Contracts Signed]])</f>
        <v>1571</v>
      </c>
      <c r="AJ3952" s="5" t="str">
        <f>TRIM(CLEAN(SalesData[[#This Row],[Retailer]]))</f>
        <v>Stuttgart Auto Center</v>
      </c>
    </row>
    <row r="3953" spans="1:36" ht="14.25" hidden="1" x14ac:dyDescent="0.2">
      <c r="A3953" t="s">
        <v>5190</v>
      </c>
      <c r="B3953" s="1">
        <v>46060</v>
      </c>
      <c r="C3953" t="s">
        <v>24</v>
      </c>
      <c r="D3953" t="s">
        <v>151</v>
      </c>
      <c r="E3953" t="s">
        <v>42</v>
      </c>
      <c r="F3953" t="s">
        <v>83</v>
      </c>
      <c r="G3953" t="s">
        <v>84</v>
      </c>
      <c r="H3953" t="s">
        <v>85</v>
      </c>
      <c r="I3953" t="s">
        <v>116</v>
      </c>
      <c r="J3953" t="s">
        <v>7026</v>
      </c>
      <c r="K3953" t="s">
        <v>91</v>
      </c>
      <c r="L3953" t="s">
        <v>46</v>
      </c>
      <c r="M3953" t="s">
        <v>87</v>
      </c>
      <c r="N3953" t="s">
        <v>35</v>
      </c>
      <c r="O3953" t="s">
        <v>36</v>
      </c>
      <c r="P3953" t="s">
        <v>71</v>
      </c>
      <c r="Q3953" t="s">
        <v>347</v>
      </c>
      <c r="R3953">
        <v>377</v>
      </c>
      <c r="S3953">
        <v>191</v>
      </c>
      <c r="T3953">
        <v>121</v>
      </c>
      <c r="U3953">
        <v>33</v>
      </c>
      <c r="V3953" t="s">
        <v>502</v>
      </c>
      <c r="W3953">
        <v>20975</v>
      </c>
      <c r="X3953" t="s">
        <v>864</v>
      </c>
      <c r="Y3953">
        <v>19116</v>
      </c>
      <c r="Z3953">
        <v>692175</v>
      </c>
      <c r="AA3953">
        <v>61347</v>
      </c>
      <c r="AB3953" t="str">
        <f>(VLOOKUP(SalesData[[#This Row],[Month Number]],Reference!C$5:E$16,2,FALSE))</f>
        <v>Feb</v>
      </c>
      <c r="AC3953">
        <f>MONTH(SalesData[[#This Row],[Date]])</f>
        <v>2</v>
      </c>
      <c r="AD3953">
        <f>Reference!F$4</f>
        <v>2026</v>
      </c>
      <c r="AE3953" t="str">
        <f>IF(OR(SalesData[[#This Row],[Day]]="Saturday",SalesData[[#This Row],[Day]]="Sunday"),"Weekend","Weekday")</f>
        <v>Weekend</v>
      </c>
      <c r="AF3953" s="5">
        <f>IF(SalesData[[#This Row],[Contracts Offered]]=0,0,SalesData[[#This Row],[Contracts Signed]]/SalesData[[#This Row],[Contracts Offered]])</f>
        <v>0.27272727272727271</v>
      </c>
      <c r="AG3953" s="5">
        <f>IF(SalesData[[#This Row],[Customers Visited]]=0,0,SalesData[[#This Row],[Test Drives]]/SalesData[[#This Row],[Customers Visited]])</f>
        <v>0.50663129973474796</v>
      </c>
      <c r="AH3953" s="5">
        <f>IF(SalesData[[#This Row],[Customers Visited]]=0,0,SalesData[[#This Row],[Contracts Signed]]/SalesData[[#This Row],[Customers Visited]])</f>
        <v>8.7533156498673742E-2</v>
      </c>
      <c r="AI3953" s="6">
        <f>IF(SalesData[[#This Row],[Contracts Signed]]=0,0,SalesData[[#This Row],[Profit(€)]]/SalesData[[#This Row],[Contracts Signed]])</f>
        <v>1859</v>
      </c>
      <c r="AJ3953" s="5" t="str">
        <f>TRIM(CLEAN(SalesData[[#This Row],[Retailer]]))</f>
        <v>Hannover Cars</v>
      </c>
    </row>
    <row r="3954" spans="1:36" ht="14.25" x14ac:dyDescent="0.2">
      <c r="A3954" t="s">
        <v>5191</v>
      </c>
      <c r="B3954" s="1">
        <v>46075</v>
      </c>
      <c r="C3954" t="s">
        <v>53</v>
      </c>
      <c r="D3954" t="s">
        <v>41</v>
      </c>
      <c r="E3954" t="s">
        <v>42</v>
      </c>
      <c r="F3954" t="s">
        <v>114</v>
      </c>
      <c r="G3954" t="s">
        <v>115</v>
      </c>
      <c r="H3954" t="s">
        <v>115</v>
      </c>
      <c r="I3954" t="s">
        <v>30</v>
      </c>
      <c r="J3954" t="s">
        <v>188</v>
      </c>
      <c r="K3954" t="s">
        <v>32</v>
      </c>
      <c r="L3954" t="s">
        <v>33</v>
      </c>
      <c r="M3954" t="s">
        <v>68</v>
      </c>
      <c r="N3954" t="s">
        <v>69</v>
      </c>
      <c r="O3954" t="s">
        <v>70</v>
      </c>
      <c r="P3954" t="s">
        <v>58</v>
      </c>
      <c r="Q3954" t="s">
        <v>129</v>
      </c>
      <c r="R3954">
        <v>233</v>
      </c>
      <c r="S3954">
        <v>127</v>
      </c>
      <c r="T3954">
        <v>100</v>
      </c>
      <c r="U3954">
        <v>38</v>
      </c>
      <c r="V3954" t="s">
        <v>7253</v>
      </c>
      <c r="W3954">
        <v>56436</v>
      </c>
      <c r="X3954" t="s">
        <v>2386</v>
      </c>
      <c r="Y3954">
        <v>41168</v>
      </c>
      <c r="Z3954">
        <v>2144568</v>
      </c>
      <c r="AA3954">
        <v>580184</v>
      </c>
      <c r="AB3954" t="str">
        <f>(VLOOKUP(SalesData[[#This Row],[Month Number]],Reference!C$5:E$16,2,FALSE))</f>
        <v>Feb</v>
      </c>
      <c r="AC3954">
        <f>MONTH(SalesData[[#This Row],[Date]])</f>
        <v>2</v>
      </c>
      <c r="AD3954">
        <f>Reference!F$4</f>
        <v>2026</v>
      </c>
      <c r="AE3954" t="str">
        <f>IF(OR(SalesData[[#This Row],[Day]]="Saturday",SalesData[[#This Row],[Day]]="Sunday"),"Weekend","Weekday")</f>
        <v>Weekend</v>
      </c>
      <c r="AF3954" s="5">
        <f>IF(SalesData[[#This Row],[Contracts Offered]]=0,0,SalesData[[#This Row],[Contracts Signed]]/SalesData[[#This Row],[Contracts Offered]])</f>
        <v>0.38</v>
      </c>
      <c r="AG3954" s="5">
        <f>IF(SalesData[[#This Row],[Customers Visited]]=0,0,SalesData[[#This Row],[Test Drives]]/SalesData[[#This Row],[Customers Visited]])</f>
        <v>0.54506437768240346</v>
      </c>
      <c r="AH3954" s="5">
        <f>IF(SalesData[[#This Row],[Customers Visited]]=0,0,SalesData[[#This Row],[Contracts Signed]]/SalesData[[#This Row],[Customers Visited]])</f>
        <v>0.1630901287553648</v>
      </c>
      <c r="AI3954" s="6">
        <f>IF(SalesData[[#This Row],[Contracts Signed]]=0,0,SalesData[[#This Row],[Profit(€)]]/SalesData[[#This Row],[Contracts Signed]])</f>
        <v>15268</v>
      </c>
      <c r="AJ3954" s="5" t="str">
        <f>TRIM(CLEAN(SalesData[[#This Row],[Retailer]]))</f>
        <v>Elbe Drive</v>
      </c>
    </row>
    <row r="3955" spans="1:36" ht="14.25" hidden="1" x14ac:dyDescent="0.2">
      <c r="A3955" t="s">
        <v>5192</v>
      </c>
      <c r="B3955" s="1">
        <v>46067</v>
      </c>
      <c r="C3955" t="s">
        <v>121</v>
      </c>
      <c r="D3955" t="s">
        <v>151</v>
      </c>
      <c r="E3955" t="s">
        <v>42</v>
      </c>
      <c r="F3955" t="s">
        <v>94</v>
      </c>
      <c r="G3955" t="s">
        <v>95</v>
      </c>
      <c r="H3955" t="s">
        <v>96</v>
      </c>
      <c r="I3955" t="s">
        <v>104</v>
      </c>
      <c r="J3955" t="s">
        <v>7031</v>
      </c>
      <c r="K3955" t="s">
        <v>91</v>
      </c>
      <c r="L3955" t="s">
        <v>46</v>
      </c>
      <c r="M3955" t="s">
        <v>68</v>
      </c>
      <c r="N3955" t="s">
        <v>35</v>
      </c>
      <c r="O3955" t="s">
        <v>36</v>
      </c>
      <c r="P3955" t="s">
        <v>49</v>
      </c>
      <c r="Q3955" t="s">
        <v>118</v>
      </c>
      <c r="R3955">
        <v>271</v>
      </c>
      <c r="S3955">
        <v>127</v>
      </c>
      <c r="T3955">
        <v>76</v>
      </c>
      <c r="U3955">
        <v>21</v>
      </c>
      <c r="V3955" t="s">
        <v>1688</v>
      </c>
      <c r="W3955">
        <v>28942</v>
      </c>
      <c r="X3955" t="s">
        <v>3707</v>
      </c>
      <c r="Y3955">
        <v>25340</v>
      </c>
      <c r="Z3955">
        <v>607782</v>
      </c>
      <c r="AA3955">
        <v>75642</v>
      </c>
      <c r="AB3955" t="str">
        <f>(VLOOKUP(SalesData[[#This Row],[Month Number]],Reference!C$5:E$16,2,FALSE))</f>
        <v>Feb</v>
      </c>
      <c r="AC3955">
        <f>MONTH(SalesData[[#This Row],[Date]])</f>
        <v>2</v>
      </c>
      <c r="AD3955">
        <f>Reference!F$4</f>
        <v>2026</v>
      </c>
      <c r="AE3955" t="str">
        <f>IF(OR(SalesData[[#This Row],[Day]]="Saturday",SalesData[[#This Row],[Day]]="Sunday"),"Weekend","Weekday")</f>
        <v>Weekend</v>
      </c>
      <c r="AF3955" s="5">
        <f>IF(SalesData[[#This Row],[Contracts Offered]]=0,0,SalesData[[#This Row],[Contracts Signed]]/SalesData[[#This Row],[Contracts Offered]])</f>
        <v>0.27631578947368424</v>
      </c>
      <c r="AG3955" s="5">
        <f>IF(SalesData[[#This Row],[Customers Visited]]=0,0,SalesData[[#This Row],[Test Drives]]/SalesData[[#This Row],[Customers Visited]])</f>
        <v>0.46863468634686345</v>
      </c>
      <c r="AH3955" s="5">
        <f>IF(SalesData[[#This Row],[Customers Visited]]=0,0,SalesData[[#This Row],[Contracts Signed]]/SalesData[[#This Row],[Customers Visited]])</f>
        <v>7.7490774907749083E-2</v>
      </c>
      <c r="AI3955" s="6">
        <f>IF(SalesData[[#This Row],[Contracts Signed]]=0,0,SalesData[[#This Row],[Profit(€)]]/SalesData[[#This Row],[Contracts Signed]])</f>
        <v>3602</v>
      </c>
      <c r="AJ3955" s="5" t="str">
        <f>TRIM(CLEAN(SalesData[[#This Row],[Retailer]]))</f>
        <v>Bavaria Motors</v>
      </c>
    </row>
    <row r="3956" spans="1:36" ht="14.25" hidden="1" x14ac:dyDescent="0.2">
      <c r="A3956" t="s">
        <v>5193</v>
      </c>
      <c r="B3956" s="1">
        <v>46067</v>
      </c>
      <c r="C3956" t="s">
        <v>121</v>
      </c>
      <c r="D3956" t="s">
        <v>151</v>
      </c>
      <c r="E3956" t="s">
        <v>42</v>
      </c>
      <c r="F3956" t="s">
        <v>127</v>
      </c>
      <c r="G3956" t="s">
        <v>128</v>
      </c>
      <c r="H3956" t="s">
        <v>103</v>
      </c>
      <c r="I3956" t="s">
        <v>116</v>
      </c>
      <c r="J3956" t="s">
        <v>203</v>
      </c>
      <c r="K3956" t="s">
        <v>66</v>
      </c>
      <c r="L3956" t="s">
        <v>67</v>
      </c>
      <c r="M3956" t="s">
        <v>87</v>
      </c>
      <c r="N3956" t="s">
        <v>69</v>
      </c>
      <c r="O3956" t="s">
        <v>36</v>
      </c>
      <c r="P3956" t="s">
        <v>37</v>
      </c>
      <c r="Q3956" t="s">
        <v>129</v>
      </c>
      <c r="R3956">
        <v>287</v>
      </c>
      <c r="S3956">
        <v>133</v>
      </c>
      <c r="T3956">
        <v>80</v>
      </c>
      <c r="U3956">
        <v>17</v>
      </c>
      <c r="V3956" t="s">
        <v>727</v>
      </c>
      <c r="W3956">
        <v>20687</v>
      </c>
      <c r="X3956" t="s">
        <v>2084</v>
      </c>
      <c r="Y3956">
        <v>19106</v>
      </c>
      <c r="Z3956">
        <v>351679</v>
      </c>
      <c r="AA3956">
        <v>26877</v>
      </c>
      <c r="AB3956" t="str">
        <f>(VLOOKUP(SalesData[[#This Row],[Month Number]],Reference!C$5:E$16,2,FALSE))</f>
        <v>Feb</v>
      </c>
      <c r="AC3956">
        <f>MONTH(SalesData[[#This Row],[Date]])</f>
        <v>2</v>
      </c>
      <c r="AD3956">
        <f>Reference!F$4</f>
        <v>2026</v>
      </c>
      <c r="AE3956" t="str">
        <f>IF(OR(SalesData[[#This Row],[Day]]="Saturday",SalesData[[#This Row],[Day]]="Sunday"),"Weekend","Weekday")</f>
        <v>Weekend</v>
      </c>
      <c r="AF3956" s="5">
        <f>IF(SalesData[[#This Row],[Contracts Offered]]=0,0,SalesData[[#This Row],[Contracts Signed]]/SalesData[[#This Row],[Contracts Offered]])</f>
        <v>0.21249999999999999</v>
      </c>
      <c r="AG3956" s="5">
        <f>IF(SalesData[[#This Row],[Customers Visited]]=0,0,SalesData[[#This Row],[Test Drives]]/SalesData[[#This Row],[Customers Visited]])</f>
        <v>0.46341463414634149</v>
      </c>
      <c r="AH3956" s="5">
        <f>IF(SalesData[[#This Row],[Customers Visited]]=0,0,SalesData[[#This Row],[Contracts Signed]]/SalesData[[#This Row],[Customers Visited]])</f>
        <v>5.9233449477351915E-2</v>
      </c>
      <c r="AI3956" s="6">
        <f>IF(SalesData[[#This Row],[Contracts Signed]]=0,0,SalesData[[#This Row],[Profit(€)]]/SalesData[[#This Row],[Contracts Signed]])</f>
        <v>1581</v>
      </c>
      <c r="AJ3956" s="5" t="str">
        <f>TRIM(CLEAN(SalesData[[#This Row],[Retailer]]))</f>
        <v>Rhein Auto Group</v>
      </c>
    </row>
    <row r="3957" spans="1:36" ht="14.25" x14ac:dyDescent="0.2">
      <c r="A3957" t="s">
        <v>5194</v>
      </c>
      <c r="B3957" s="1">
        <v>46073</v>
      </c>
      <c r="C3957" t="s">
        <v>62</v>
      </c>
      <c r="D3957" t="s">
        <v>54</v>
      </c>
      <c r="E3957" t="s">
        <v>26</v>
      </c>
      <c r="F3957" t="s">
        <v>127</v>
      </c>
      <c r="G3957" t="s">
        <v>128</v>
      </c>
      <c r="H3957" t="s">
        <v>103</v>
      </c>
      <c r="I3957" t="s">
        <v>30</v>
      </c>
      <c r="J3957" t="s">
        <v>188</v>
      </c>
      <c r="K3957" t="s">
        <v>66</v>
      </c>
      <c r="L3957" t="s">
        <v>33</v>
      </c>
      <c r="M3957" t="s">
        <v>47</v>
      </c>
      <c r="N3957" t="s">
        <v>35</v>
      </c>
      <c r="O3957" t="s">
        <v>36</v>
      </c>
      <c r="P3957" t="s">
        <v>58</v>
      </c>
      <c r="Q3957" t="s">
        <v>144</v>
      </c>
      <c r="R3957">
        <v>188</v>
      </c>
      <c r="S3957">
        <v>96</v>
      </c>
      <c r="T3957">
        <v>71</v>
      </c>
      <c r="U3957">
        <v>28</v>
      </c>
      <c r="V3957" t="s">
        <v>6395</v>
      </c>
      <c r="W3957">
        <v>65246</v>
      </c>
      <c r="X3957" t="s">
        <v>7615</v>
      </c>
      <c r="Y3957">
        <v>47214</v>
      </c>
      <c r="Z3957">
        <v>1826888</v>
      </c>
      <c r="AA3957">
        <v>504896</v>
      </c>
      <c r="AB3957" t="str">
        <f>(VLOOKUP(SalesData[[#This Row],[Month Number]],Reference!C$5:E$16,2,FALSE))</f>
        <v>Feb</v>
      </c>
      <c r="AC3957">
        <f>MONTH(SalesData[[#This Row],[Date]])</f>
        <v>2</v>
      </c>
      <c r="AD3957">
        <f>Reference!F$4</f>
        <v>2026</v>
      </c>
      <c r="AE3957" t="str">
        <f>IF(OR(SalesData[[#This Row],[Day]]="Saturday",SalesData[[#This Row],[Day]]="Sunday"),"Weekend","Weekday")</f>
        <v>Weekday</v>
      </c>
      <c r="AF3957" s="5">
        <f>IF(SalesData[[#This Row],[Contracts Offered]]=0,0,SalesData[[#This Row],[Contracts Signed]]/SalesData[[#This Row],[Contracts Offered]])</f>
        <v>0.39436619718309857</v>
      </c>
      <c r="AG3957" s="5">
        <f>IF(SalesData[[#This Row],[Customers Visited]]=0,0,SalesData[[#This Row],[Test Drives]]/SalesData[[#This Row],[Customers Visited]])</f>
        <v>0.51063829787234039</v>
      </c>
      <c r="AH3957" s="5">
        <f>IF(SalesData[[#This Row],[Customers Visited]]=0,0,SalesData[[#This Row],[Contracts Signed]]/SalesData[[#This Row],[Customers Visited]])</f>
        <v>0.14893617021276595</v>
      </c>
      <c r="AI3957" s="6">
        <f>IF(SalesData[[#This Row],[Contracts Signed]]=0,0,SalesData[[#This Row],[Profit(€)]]/SalesData[[#This Row],[Contracts Signed]])</f>
        <v>18032</v>
      </c>
      <c r="AJ3957" s="5" t="str">
        <f>TRIM(CLEAN(SalesData[[#This Row],[Retailer]]))</f>
        <v>Rhein Auto Group</v>
      </c>
    </row>
    <row r="3958" spans="1:36" ht="14.25" hidden="1" x14ac:dyDescent="0.2">
      <c r="A3958" t="s">
        <v>5196</v>
      </c>
      <c r="B3958" s="1">
        <v>46054</v>
      </c>
      <c r="C3958" t="s">
        <v>24</v>
      </c>
      <c r="D3958" t="s">
        <v>41</v>
      </c>
      <c r="E3958" t="s">
        <v>42</v>
      </c>
      <c r="F3958" t="s">
        <v>7649</v>
      </c>
      <c r="G3958" t="s">
        <v>55</v>
      </c>
      <c r="H3958" t="s">
        <v>55</v>
      </c>
      <c r="I3958" t="s">
        <v>64</v>
      </c>
      <c r="J3958" t="s">
        <v>157</v>
      </c>
      <c r="K3958" t="s">
        <v>91</v>
      </c>
      <c r="L3958" t="s">
        <v>33</v>
      </c>
      <c r="M3958" t="s">
        <v>34</v>
      </c>
      <c r="N3958" t="s">
        <v>35</v>
      </c>
      <c r="O3958" t="s">
        <v>36</v>
      </c>
      <c r="P3958" t="s">
        <v>37</v>
      </c>
      <c r="Q3958" t="s">
        <v>169</v>
      </c>
      <c r="R3958">
        <v>205</v>
      </c>
      <c r="S3958">
        <v>115</v>
      </c>
      <c r="T3958">
        <v>85</v>
      </c>
      <c r="U3958">
        <v>27</v>
      </c>
      <c r="V3958" t="s">
        <v>6683</v>
      </c>
      <c r="W3958">
        <v>69709</v>
      </c>
      <c r="X3958" t="s">
        <v>828</v>
      </c>
      <c r="Y3958">
        <v>51592</v>
      </c>
      <c r="Z3958">
        <v>1882143</v>
      </c>
      <c r="AA3958">
        <v>489159</v>
      </c>
      <c r="AB3958" t="str">
        <f>(VLOOKUP(SalesData[[#This Row],[Month Number]],Reference!C$5:E$16,2,FALSE))</f>
        <v>Feb</v>
      </c>
      <c r="AC3958">
        <f>MONTH(SalesData[[#This Row],[Date]])</f>
        <v>2</v>
      </c>
      <c r="AD3958">
        <f>Reference!F$4</f>
        <v>2026</v>
      </c>
      <c r="AE3958" t="str">
        <f>IF(OR(SalesData[[#This Row],[Day]]="Saturday",SalesData[[#This Row],[Day]]="Sunday"),"Weekend","Weekday")</f>
        <v>Weekend</v>
      </c>
      <c r="AF3958" s="5">
        <f>IF(SalesData[[#This Row],[Contracts Offered]]=0,0,SalesData[[#This Row],[Contracts Signed]]/SalesData[[#This Row],[Contracts Offered]])</f>
        <v>0.31764705882352939</v>
      </c>
      <c r="AG3958" s="5">
        <f>IF(SalesData[[#This Row],[Customers Visited]]=0,0,SalesData[[#This Row],[Test Drives]]/SalesData[[#This Row],[Customers Visited]])</f>
        <v>0.56097560975609762</v>
      </c>
      <c r="AH3958" s="5">
        <f>IF(SalesData[[#This Row],[Customers Visited]]=0,0,SalesData[[#This Row],[Contracts Signed]]/SalesData[[#This Row],[Customers Visited]])</f>
        <v>0.13170731707317074</v>
      </c>
      <c r="AI3958" s="6">
        <f>IF(SalesData[[#This Row],[Contracts Signed]]=0,0,SalesData[[#This Row],[Profit(€)]]/SalesData[[#This Row],[Contracts Signed]])</f>
        <v>18117</v>
      </c>
      <c r="AJ3958" s="5" t="str">
        <f>TRIM(CLEAN(SalesData[[#This Row],[Retailer]]))</f>
        <v>Autohaus Berlin</v>
      </c>
    </row>
    <row r="3959" spans="1:36" ht="14.25" x14ac:dyDescent="0.2">
      <c r="A3959" t="s">
        <v>5197</v>
      </c>
      <c r="B3959" s="1">
        <v>46067</v>
      </c>
      <c r="C3959" t="s">
        <v>121</v>
      </c>
      <c r="D3959" t="s">
        <v>151</v>
      </c>
      <c r="E3959" t="s">
        <v>42</v>
      </c>
      <c r="F3959" t="s">
        <v>127</v>
      </c>
      <c r="G3959" t="s">
        <v>128</v>
      </c>
      <c r="H3959" t="s">
        <v>103</v>
      </c>
      <c r="I3959" t="s">
        <v>30</v>
      </c>
      <c r="J3959" t="s">
        <v>7075</v>
      </c>
      <c r="K3959" t="s">
        <v>91</v>
      </c>
      <c r="L3959" t="s">
        <v>33</v>
      </c>
      <c r="M3959" t="s">
        <v>47</v>
      </c>
      <c r="N3959" t="s">
        <v>48</v>
      </c>
      <c r="O3959" t="s">
        <v>70</v>
      </c>
      <c r="P3959" t="s">
        <v>37</v>
      </c>
      <c r="Q3959" t="s">
        <v>189</v>
      </c>
      <c r="R3959">
        <v>175</v>
      </c>
      <c r="S3959">
        <v>88</v>
      </c>
      <c r="T3959">
        <v>66</v>
      </c>
      <c r="U3959">
        <v>22</v>
      </c>
      <c r="V3959" t="s">
        <v>6403</v>
      </c>
      <c r="W3959">
        <v>52927</v>
      </c>
      <c r="X3959" t="s">
        <v>3496</v>
      </c>
      <c r="Y3959">
        <v>40700</v>
      </c>
      <c r="Z3959">
        <v>1164394</v>
      </c>
      <c r="AA3959">
        <v>268994</v>
      </c>
      <c r="AB3959" t="str">
        <f>(VLOOKUP(SalesData[[#This Row],[Month Number]],Reference!C$5:E$16,2,FALSE))</f>
        <v>Feb</v>
      </c>
      <c r="AC3959">
        <f>MONTH(SalesData[[#This Row],[Date]])</f>
        <v>2</v>
      </c>
      <c r="AD3959">
        <f>Reference!F$4</f>
        <v>2026</v>
      </c>
      <c r="AE3959" t="str">
        <f>IF(OR(SalesData[[#This Row],[Day]]="Saturday",SalesData[[#This Row],[Day]]="Sunday"),"Weekend","Weekday")</f>
        <v>Weekend</v>
      </c>
      <c r="AF3959" s="5">
        <f>IF(SalesData[[#This Row],[Contracts Offered]]=0,0,SalesData[[#This Row],[Contracts Signed]]/SalesData[[#This Row],[Contracts Offered]])</f>
        <v>0.33333333333333331</v>
      </c>
      <c r="AG3959" s="5">
        <f>IF(SalesData[[#This Row],[Customers Visited]]=0,0,SalesData[[#This Row],[Test Drives]]/SalesData[[#This Row],[Customers Visited]])</f>
        <v>0.50285714285714289</v>
      </c>
      <c r="AH3959" s="5">
        <f>IF(SalesData[[#This Row],[Customers Visited]]=0,0,SalesData[[#This Row],[Contracts Signed]]/SalesData[[#This Row],[Customers Visited]])</f>
        <v>0.12571428571428572</v>
      </c>
      <c r="AI3959" s="6">
        <f>IF(SalesData[[#This Row],[Contracts Signed]]=0,0,SalesData[[#This Row],[Profit(€)]]/SalesData[[#This Row],[Contracts Signed]])</f>
        <v>12227</v>
      </c>
      <c r="AJ3959" s="5" t="str">
        <f>TRIM(CLEAN(SalesData[[#This Row],[Retailer]]))</f>
        <v>Rhein Auto Group</v>
      </c>
    </row>
    <row r="3960" spans="1:36" ht="14.25" x14ac:dyDescent="0.2">
      <c r="A3960" t="s">
        <v>5198</v>
      </c>
      <c r="B3960" s="1">
        <v>46058</v>
      </c>
      <c r="C3960" t="s">
        <v>24</v>
      </c>
      <c r="D3960" t="s">
        <v>100</v>
      </c>
      <c r="E3960" t="s">
        <v>26</v>
      </c>
      <c r="F3960" t="s">
        <v>101</v>
      </c>
      <c r="G3960" t="s">
        <v>102</v>
      </c>
      <c r="H3960" t="s">
        <v>103</v>
      </c>
      <c r="I3960" t="s">
        <v>30</v>
      </c>
      <c r="J3960" t="s">
        <v>188</v>
      </c>
      <c r="K3960" t="s">
        <v>66</v>
      </c>
      <c r="L3960" t="s">
        <v>33</v>
      </c>
      <c r="M3960" t="s">
        <v>87</v>
      </c>
      <c r="N3960" t="s">
        <v>69</v>
      </c>
      <c r="O3960" t="s">
        <v>36</v>
      </c>
      <c r="P3960" t="s">
        <v>37</v>
      </c>
      <c r="Q3960" t="s">
        <v>240</v>
      </c>
      <c r="R3960">
        <v>166</v>
      </c>
      <c r="S3960">
        <v>98</v>
      </c>
      <c r="T3960">
        <v>67</v>
      </c>
      <c r="U3960">
        <v>24</v>
      </c>
      <c r="V3960" t="s">
        <v>6518</v>
      </c>
      <c r="W3960">
        <v>67201</v>
      </c>
      <c r="X3960" t="s">
        <v>7091</v>
      </c>
      <c r="Y3960">
        <v>47053</v>
      </c>
      <c r="Z3960">
        <v>1612824</v>
      </c>
      <c r="AA3960">
        <v>483552</v>
      </c>
      <c r="AB3960" t="str">
        <f>(VLOOKUP(SalesData[[#This Row],[Month Number]],Reference!C$5:E$16,2,FALSE))</f>
        <v>Feb</v>
      </c>
      <c r="AC3960">
        <f>MONTH(SalesData[[#This Row],[Date]])</f>
        <v>2</v>
      </c>
      <c r="AD3960">
        <f>Reference!F$4</f>
        <v>2026</v>
      </c>
      <c r="AE3960" t="str">
        <f>IF(OR(SalesData[[#This Row],[Day]]="Saturday",SalesData[[#This Row],[Day]]="Sunday"),"Weekend","Weekday")</f>
        <v>Weekday</v>
      </c>
      <c r="AF3960" s="5">
        <f>IF(SalesData[[#This Row],[Contracts Offered]]=0,0,SalesData[[#This Row],[Contracts Signed]]/SalesData[[#This Row],[Contracts Offered]])</f>
        <v>0.35820895522388058</v>
      </c>
      <c r="AG3960" s="5">
        <f>IF(SalesData[[#This Row],[Customers Visited]]=0,0,SalesData[[#This Row],[Test Drives]]/SalesData[[#This Row],[Customers Visited]])</f>
        <v>0.59036144578313254</v>
      </c>
      <c r="AH3960" s="5">
        <f>IF(SalesData[[#This Row],[Customers Visited]]=0,0,SalesData[[#This Row],[Contracts Signed]]/SalesData[[#This Row],[Customers Visited]])</f>
        <v>0.14457831325301204</v>
      </c>
      <c r="AI3960" s="6">
        <f>IF(SalesData[[#This Row],[Contracts Signed]]=0,0,SalesData[[#This Row],[Profit(€)]]/SalesData[[#This Row],[Contracts Signed]])</f>
        <v>20148</v>
      </c>
      <c r="AJ3960" s="5" t="str">
        <f>TRIM(CLEAN(SalesData[[#This Row],[Retailer]]))</f>
        <v>Ruhr Auto Plaza</v>
      </c>
    </row>
    <row r="3961" spans="1:36" ht="14.25" hidden="1" x14ac:dyDescent="0.2">
      <c r="A3961" t="s">
        <v>5199</v>
      </c>
      <c r="B3961" s="1">
        <v>46073</v>
      </c>
      <c r="C3961" t="s">
        <v>62</v>
      </c>
      <c r="D3961" t="s">
        <v>54</v>
      </c>
      <c r="E3961" t="s">
        <v>26</v>
      </c>
      <c r="F3961" t="s">
        <v>7649</v>
      </c>
      <c r="G3961" t="s">
        <v>55</v>
      </c>
      <c r="H3961" t="s">
        <v>55</v>
      </c>
      <c r="I3961" t="s">
        <v>64</v>
      </c>
      <c r="J3961" t="s">
        <v>65</v>
      </c>
      <c r="K3961" t="s">
        <v>32</v>
      </c>
      <c r="L3961" t="s">
        <v>33</v>
      </c>
      <c r="M3961" t="s">
        <v>34</v>
      </c>
      <c r="N3961" t="s">
        <v>48</v>
      </c>
      <c r="O3961" t="s">
        <v>70</v>
      </c>
      <c r="P3961" t="s">
        <v>71</v>
      </c>
      <c r="Q3961" t="s">
        <v>135</v>
      </c>
      <c r="R3961">
        <v>169</v>
      </c>
      <c r="S3961">
        <v>77</v>
      </c>
      <c r="T3961">
        <v>58</v>
      </c>
      <c r="U3961">
        <v>21</v>
      </c>
      <c r="V3961" t="s">
        <v>6483</v>
      </c>
      <c r="W3961">
        <v>50237</v>
      </c>
      <c r="X3961" t="s">
        <v>7262</v>
      </c>
      <c r="Y3961">
        <v>37588</v>
      </c>
      <c r="Z3961">
        <v>1054977</v>
      </c>
      <c r="AA3961">
        <v>265629</v>
      </c>
      <c r="AB3961" t="str">
        <f>(VLOOKUP(SalesData[[#This Row],[Month Number]],Reference!C$5:E$16,2,FALSE))</f>
        <v>Feb</v>
      </c>
      <c r="AC3961">
        <f>MONTH(SalesData[[#This Row],[Date]])</f>
        <v>2</v>
      </c>
      <c r="AD3961">
        <f>Reference!F$4</f>
        <v>2026</v>
      </c>
      <c r="AE3961" t="str">
        <f>IF(OR(SalesData[[#This Row],[Day]]="Saturday",SalesData[[#This Row],[Day]]="Sunday"),"Weekend","Weekday")</f>
        <v>Weekday</v>
      </c>
      <c r="AF3961" s="5">
        <f>IF(SalesData[[#This Row],[Contracts Offered]]=0,0,SalesData[[#This Row],[Contracts Signed]]/SalesData[[#This Row],[Contracts Offered]])</f>
        <v>0.36206896551724138</v>
      </c>
      <c r="AG3961" s="5">
        <f>IF(SalesData[[#This Row],[Customers Visited]]=0,0,SalesData[[#This Row],[Test Drives]]/SalesData[[#This Row],[Customers Visited]])</f>
        <v>0.45562130177514792</v>
      </c>
      <c r="AH3961" s="5">
        <f>IF(SalesData[[#This Row],[Customers Visited]]=0,0,SalesData[[#This Row],[Contracts Signed]]/SalesData[[#This Row],[Customers Visited]])</f>
        <v>0.1242603550295858</v>
      </c>
      <c r="AI3961" s="6">
        <f>IF(SalesData[[#This Row],[Contracts Signed]]=0,0,SalesData[[#This Row],[Profit(€)]]/SalesData[[#This Row],[Contracts Signed]])</f>
        <v>12649</v>
      </c>
      <c r="AJ3961" s="5" t="str">
        <f>TRIM(CLEAN(SalesData[[#This Row],[Retailer]]))</f>
        <v>Autohaus Berlin</v>
      </c>
    </row>
    <row r="3962" spans="1:36" ht="14.25" hidden="1" x14ac:dyDescent="0.2">
      <c r="A3962" t="s">
        <v>5200</v>
      </c>
      <c r="B3962" s="1">
        <v>46062</v>
      </c>
      <c r="C3962" t="s">
        <v>121</v>
      </c>
      <c r="D3962" t="s">
        <v>25</v>
      </c>
      <c r="E3962" t="s">
        <v>26</v>
      </c>
      <c r="F3962" t="s">
        <v>101</v>
      </c>
      <c r="G3962" t="s">
        <v>102</v>
      </c>
      <c r="H3962" t="s">
        <v>103</v>
      </c>
      <c r="I3962" t="s">
        <v>116</v>
      </c>
      <c r="J3962" t="s">
        <v>117</v>
      </c>
      <c r="K3962" t="s">
        <v>32</v>
      </c>
      <c r="L3962" t="s">
        <v>67</v>
      </c>
      <c r="M3962" t="s">
        <v>34</v>
      </c>
      <c r="N3962" t="s">
        <v>69</v>
      </c>
      <c r="O3962" t="s">
        <v>36</v>
      </c>
      <c r="P3962" t="s">
        <v>71</v>
      </c>
      <c r="Q3962" t="s">
        <v>347</v>
      </c>
      <c r="R3962">
        <v>329</v>
      </c>
      <c r="S3962">
        <v>180</v>
      </c>
      <c r="T3962">
        <v>105</v>
      </c>
      <c r="U3962">
        <v>27</v>
      </c>
      <c r="V3962" t="s">
        <v>597</v>
      </c>
      <c r="W3962">
        <v>25350</v>
      </c>
      <c r="X3962" t="s">
        <v>4169</v>
      </c>
      <c r="Y3962">
        <v>22926</v>
      </c>
      <c r="Z3962">
        <v>684450</v>
      </c>
      <c r="AA3962">
        <v>65448</v>
      </c>
      <c r="AB3962" t="str">
        <f>(VLOOKUP(SalesData[[#This Row],[Month Number]],Reference!C$5:E$16,2,FALSE))</f>
        <v>Feb</v>
      </c>
      <c r="AC3962">
        <f>MONTH(SalesData[[#This Row],[Date]])</f>
        <v>2</v>
      </c>
      <c r="AD3962">
        <f>Reference!F$4</f>
        <v>2026</v>
      </c>
      <c r="AE3962" t="str">
        <f>IF(OR(SalesData[[#This Row],[Day]]="Saturday",SalesData[[#This Row],[Day]]="Sunday"),"Weekend","Weekday")</f>
        <v>Weekday</v>
      </c>
      <c r="AF3962" s="5">
        <f>IF(SalesData[[#This Row],[Contracts Offered]]=0,0,SalesData[[#This Row],[Contracts Signed]]/SalesData[[#This Row],[Contracts Offered]])</f>
        <v>0.25714285714285712</v>
      </c>
      <c r="AG3962" s="5">
        <f>IF(SalesData[[#This Row],[Customers Visited]]=0,0,SalesData[[#This Row],[Test Drives]]/SalesData[[#This Row],[Customers Visited]])</f>
        <v>0.54711246200607899</v>
      </c>
      <c r="AH3962" s="5">
        <f>IF(SalesData[[#This Row],[Customers Visited]]=0,0,SalesData[[#This Row],[Contracts Signed]]/SalesData[[#This Row],[Customers Visited]])</f>
        <v>8.2066869300911852E-2</v>
      </c>
      <c r="AI3962" s="6">
        <f>IF(SalesData[[#This Row],[Contracts Signed]]=0,0,SalesData[[#This Row],[Profit(€)]]/SalesData[[#This Row],[Contracts Signed]])</f>
        <v>2424</v>
      </c>
      <c r="AJ3962" s="5" t="str">
        <f>TRIM(CLEAN(SalesData[[#This Row],[Retailer]]))</f>
        <v>Ruhr Auto Plaza</v>
      </c>
    </row>
    <row r="3963" spans="1:36" ht="14.25" hidden="1" x14ac:dyDescent="0.2">
      <c r="A3963" t="s">
        <v>5201</v>
      </c>
      <c r="B3963" s="1">
        <v>46066</v>
      </c>
      <c r="C3963" t="s">
        <v>121</v>
      </c>
      <c r="D3963" t="s">
        <v>54</v>
      </c>
      <c r="E3963" t="s">
        <v>26</v>
      </c>
      <c r="F3963" t="s">
        <v>43</v>
      </c>
      <c r="G3963" t="s">
        <v>44</v>
      </c>
      <c r="H3963" t="s">
        <v>45</v>
      </c>
      <c r="I3963" t="s">
        <v>116</v>
      </c>
      <c r="J3963" t="s">
        <v>132</v>
      </c>
      <c r="K3963" t="s">
        <v>32</v>
      </c>
      <c r="L3963" t="s">
        <v>46</v>
      </c>
      <c r="M3963" t="s">
        <v>47</v>
      </c>
      <c r="N3963" t="s">
        <v>48</v>
      </c>
      <c r="O3963" t="s">
        <v>70</v>
      </c>
      <c r="P3963" t="s">
        <v>58</v>
      </c>
      <c r="Q3963" t="s">
        <v>204</v>
      </c>
      <c r="R3963">
        <v>270</v>
      </c>
      <c r="S3963">
        <v>126</v>
      </c>
      <c r="T3963">
        <v>82</v>
      </c>
      <c r="U3963">
        <v>20</v>
      </c>
      <c r="V3963" t="s">
        <v>1723</v>
      </c>
      <c r="W3963">
        <v>23682</v>
      </c>
      <c r="X3963" t="s">
        <v>5418</v>
      </c>
      <c r="Y3963">
        <v>21440</v>
      </c>
      <c r="Z3963">
        <v>473640</v>
      </c>
      <c r="AA3963">
        <v>44840</v>
      </c>
      <c r="AB3963" t="str">
        <f>(VLOOKUP(SalesData[[#This Row],[Month Number]],Reference!C$5:E$16,2,FALSE))</f>
        <v>Feb</v>
      </c>
      <c r="AC3963">
        <f>MONTH(SalesData[[#This Row],[Date]])</f>
        <v>2</v>
      </c>
      <c r="AD3963">
        <f>Reference!F$4</f>
        <v>2026</v>
      </c>
      <c r="AE3963" t="str">
        <f>IF(OR(SalesData[[#This Row],[Day]]="Saturday",SalesData[[#This Row],[Day]]="Sunday"),"Weekend","Weekday")</f>
        <v>Weekday</v>
      </c>
      <c r="AF3963" s="5">
        <f>IF(SalesData[[#This Row],[Contracts Offered]]=0,0,SalesData[[#This Row],[Contracts Signed]]/SalesData[[#This Row],[Contracts Offered]])</f>
        <v>0.24390243902439024</v>
      </c>
      <c r="AG3963" s="5">
        <f>IF(SalesData[[#This Row],[Customers Visited]]=0,0,SalesData[[#This Row],[Test Drives]]/SalesData[[#This Row],[Customers Visited]])</f>
        <v>0.46666666666666667</v>
      </c>
      <c r="AH3963" s="5">
        <f>IF(SalesData[[#This Row],[Customers Visited]]=0,0,SalesData[[#This Row],[Contracts Signed]]/SalesData[[#This Row],[Customers Visited]])</f>
        <v>7.407407407407407E-2</v>
      </c>
      <c r="AI3963" s="6">
        <f>IF(SalesData[[#This Row],[Contracts Signed]]=0,0,SalesData[[#This Row],[Profit(€)]]/SalesData[[#This Row],[Contracts Signed]])</f>
        <v>2242</v>
      </c>
      <c r="AJ3963" s="5" t="str">
        <f>TRIM(CLEAN(SalesData[[#This Row],[Retailer]]))</f>
        <v>Saxon Wheels</v>
      </c>
    </row>
    <row r="3964" spans="1:36" ht="14.25" hidden="1" x14ac:dyDescent="0.2">
      <c r="A3964" t="s">
        <v>5202</v>
      </c>
      <c r="B3964" s="1">
        <v>46063</v>
      </c>
      <c r="C3964" t="s">
        <v>121</v>
      </c>
      <c r="D3964" t="s">
        <v>63</v>
      </c>
      <c r="E3964" t="s">
        <v>26</v>
      </c>
      <c r="F3964" t="s">
        <v>83</v>
      </c>
      <c r="G3964" t="s">
        <v>84</v>
      </c>
      <c r="H3964" t="s">
        <v>85</v>
      </c>
      <c r="I3964" t="s">
        <v>56</v>
      </c>
      <c r="J3964" t="s">
        <v>57</v>
      </c>
      <c r="K3964" t="s">
        <v>78</v>
      </c>
      <c r="L3964" t="s">
        <v>46</v>
      </c>
      <c r="M3964" t="s">
        <v>47</v>
      </c>
      <c r="N3964" t="s">
        <v>69</v>
      </c>
      <c r="O3964" t="s">
        <v>36</v>
      </c>
      <c r="P3964" t="s">
        <v>37</v>
      </c>
      <c r="Q3964" t="s">
        <v>144</v>
      </c>
      <c r="R3964">
        <v>176</v>
      </c>
      <c r="S3964">
        <v>90</v>
      </c>
      <c r="T3964">
        <v>66</v>
      </c>
      <c r="U3964">
        <v>21</v>
      </c>
      <c r="V3964" t="s">
        <v>6365</v>
      </c>
      <c r="W3964">
        <v>50199</v>
      </c>
      <c r="X3964" t="s">
        <v>7185</v>
      </c>
      <c r="Y3964">
        <v>37865</v>
      </c>
      <c r="Z3964">
        <v>1054179</v>
      </c>
      <c r="AA3964">
        <v>259014</v>
      </c>
      <c r="AB3964" t="str">
        <f>(VLOOKUP(SalesData[[#This Row],[Month Number]],Reference!C$5:E$16,2,FALSE))</f>
        <v>Feb</v>
      </c>
      <c r="AC3964">
        <f>MONTH(SalesData[[#This Row],[Date]])</f>
        <v>2</v>
      </c>
      <c r="AD3964">
        <f>Reference!F$4</f>
        <v>2026</v>
      </c>
      <c r="AE3964" t="str">
        <f>IF(OR(SalesData[[#This Row],[Day]]="Saturday",SalesData[[#This Row],[Day]]="Sunday"),"Weekend","Weekday")</f>
        <v>Weekday</v>
      </c>
      <c r="AF3964" s="5">
        <f>IF(SalesData[[#This Row],[Contracts Offered]]=0,0,SalesData[[#This Row],[Contracts Signed]]/SalesData[[#This Row],[Contracts Offered]])</f>
        <v>0.31818181818181818</v>
      </c>
      <c r="AG3964" s="5">
        <f>IF(SalesData[[#This Row],[Customers Visited]]=0,0,SalesData[[#This Row],[Test Drives]]/SalesData[[#This Row],[Customers Visited]])</f>
        <v>0.51136363636363635</v>
      </c>
      <c r="AH3964" s="5">
        <f>IF(SalesData[[#This Row],[Customers Visited]]=0,0,SalesData[[#This Row],[Contracts Signed]]/SalesData[[#This Row],[Customers Visited]])</f>
        <v>0.11931818181818182</v>
      </c>
      <c r="AI3964" s="6">
        <f>IF(SalesData[[#This Row],[Contracts Signed]]=0,0,SalesData[[#This Row],[Profit(€)]]/SalesData[[#This Row],[Contracts Signed]])</f>
        <v>12334</v>
      </c>
      <c r="AJ3964" s="5" t="str">
        <f>TRIM(CLEAN(SalesData[[#This Row],[Retailer]]))</f>
        <v>Hannover Cars</v>
      </c>
    </row>
    <row r="3965" spans="1:36" ht="14.25" x14ac:dyDescent="0.2">
      <c r="A3965" t="s">
        <v>5203</v>
      </c>
      <c r="B3965" s="1">
        <v>46072</v>
      </c>
      <c r="C3965" t="s">
        <v>62</v>
      </c>
      <c r="D3965" t="s">
        <v>100</v>
      </c>
      <c r="E3965" t="s">
        <v>26</v>
      </c>
      <c r="F3965" t="s">
        <v>101</v>
      </c>
      <c r="G3965" t="s">
        <v>102</v>
      </c>
      <c r="H3965" t="s">
        <v>103</v>
      </c>
      <c r="I3965" t="s">
        <v>30</v>
      </c>
      <c r="J3965" t="s">
        <v>7075</v>
      </c>
      <c r="K3965" t="s">
        <v>66</v>
      </c>
      <c r="L3965" t="s">
        <v>33</v>
      </c>
      <c r="M3965" t="s">
        <v>68</v>
      </c>
      <c r="N3965" t="s">
        <v>48</v>
      </c>
      <c r="O3965" t="s">
        <v>36</v>
      </c>
      <c r="P3965" t="s">
        <v>71</v>
      </c>
      <c r="Q3965" t="s">
        <v>118</v>
      </c>
      <c r="R3965">
        <v>157</v>
      </c>
      <c r="S3965">
        <v>71</v>
      </c>
      <c r="T3965">
        <v>57</v>
      </c>
      <c r="U3965">
        <v>19</v>
      </c>
      <c r="V3965" t="s">
        <v>6829</v>
      </c>
      <c r="W3965">
        <v>63497</v>
      </c>
      <c r="X3965" t="s">
        <v>7179</v>
      </c>
      <c r="Y3965">
        <v>49008</v>
      </c>
      <c r="Z3965">
        <v>1206443</v>
      </c>
      <c r="AA3965">
        <v>275291</v>
      </c>
      <c r="AB3965" t="str">
        <f>(VLOOKUP(SalesData[[#This Row],[Month Number]],Reference!C$5:E$16,2,FALSE))</f>
        <v>Feb</v>
      </c>
      <c r="AC3965">
        <f>MONTH(SalesData[[#This Row],[Date]])</f>
        <v>2</v>
      </c>
      <c r="AD3965">
        <f>Reference!F$4</f>
        <v>2026</v>
      </c>
      <c r="AE3965" t="str">
        <f>IF(OR(SalesData[[#This Row],[Day]]="Saturday",SalesData[[#This Row],[Day]]="Sunday"),"Weekend","Weekday")</f>
        <v>Weekday</v>
      </c>
      <c r="AF3965" s="5">
        <f>IF(SalesData[[#This Row],[Contracts Offered]]=0,0,SalesData[[#This Row],[Contracts Signed]]/SalesData[[#This Row],[Contracts Offered]])</f>
        <v>0.33333333333333331</v>
      </c>
      <c r="AG3965" s="5">
        <f>IF(SalesData[[#This Row],[Customers Visited]]=0,0,SalesData[[#This Row],[Test Drives]]/SalesData[[#This Row],[Customers Visited]])</f>
        <v>0.45222929936305734</v>
      </c>
      <c r="AH3965" s="5">
        <f>IF(SalesData[[#This Row],[Customers Visited]]=0,0,SalesData[[#This Row],[Contracts Signed]]/SalesData[[#This Row],[Customers Visited]])</f>
        <v>0.12101910828025478</v>
      </c>
      <c r="AI3965" s="6">
        <f>IF(SalesData[[#This Row],[Contracts Signed]]=0,0,SalesData[[#This Row],[Profit(€)]]/SalesData[[#This Row],[Contracts Signed]])</f>
        <v>14489</v>
      </c>
      <c r="AJ3965" s="5" t="str">
        <f>TRIM(CLEAN(SalesData[[#This Row],[Retailer]]))</f>
        <v>Ruhr Auto Plaza</v>
      </c>
    </row>
    <row r="3966" spans="1:36" ht="14.25" x14ac:dyDescent="0.2">
      <c r="A3966" t="s">
        <v>5204</v>
      </c>
      <c r="B3966" s="1">
        <v>46061</v>
      </c>
      <c r="C3966" t="s">
        <v>121</v>
      </c>
      <c r="D3966" t="s">
        <v>41</v>
      </c>
      <c r="E3966" t="s">
        <v>42</v>
      </c>
      <c r="F3966" t="s">
        <v>101</v>
      </c>
      <c r="G3966" t="s">
        <v>102</v>
      </c>
      <c r="H3966" t="s">
        <v>103</v>
      </c>
      <c r="I3966" t="s">
        <v>30</v>
      </c>
      <c r="J3966" t="s">
        <v>188</v>
      </c>
      <c r="K3966" t="s">
        <v>91</v>
      </c>
      <c r="L3966" t="s">
        <v>33</v>
      </c>
      <c r="M3966" t="s">
        <v>87</v>
      </c>
      <c r="N3966" t="s">
        <v>48</v>
      </c>
      <c r="O3966" t="s">
        <v>36</v>
      </c>
      <c r="P3966" t="s">
        <v>49</v>
      </c>
      <c r="Q3966" t="s">
        <v>204</v>
      </c>
      <c r="R3966">
        <v>204</v>
      </c>
      <c r="S3966">
        <v>120</v>
      </c>
      <c r="T3966">
        <v>86</v>
      </c>
      <c r="U3966">
        <v>30</v>
      </c>
      <c r="V3966" t="s">
        <v>6403</v>
      </c>
      <c r="W3966">
        <v>67052</v>
      </c>
      <c r="X3966" t="s">
        <v>7275</v>
      </c>
      <c r="Y3966">
        <v>48765</v>
      </c>
      <c r="Z3966">
        <v>2011560</v>
      </c>
      <c r="AA3966">
        <v>548610</v>
      </c>
      <c r="AB3966" t="str">
        <f>(VLOOKUP(SalesData[[#This Row],[Month Number]],Reference!C$5:E$16,2,FALSE))</f>
        <v>Feb</v>
      </c>
      <c r="AC3966">
        <f>MONTH(SalesData[[#This Row],[Date]])</f>
        <v>2</v>
      </c>
      <c r="AD3966">
        <f>Reference!F$4</f>
        <v>2026</v>
      </c>
      <c r="AE3966" t="str">
        <f>IF(OR(SalesData[[#This Row],[Day]]="Saturday",SalesData[[#This Row],[Day]]="Sunday"),"Weekend","Weekday")</f>
        <v>Weekend</v>
      </c>
      <c r="AF3966" s="5">
        <f>IF(SalesData[[#This Row],[Contracts Offered]]=0,0,SalesData[[#This Row],[Contracts Signed]]/SalesData[[#This Row],[Contracts Offered]])</f>
        <v>0.34883720930232559</v>
      </c>
      <c r="AG3966" s="5">
        <f>IF(SalesData[[#This Row],[Customers Visited]]=0,0,SalesData[[#This Row],[Test Drives]]/SalesData[[#This Row],[Customers Visited]])</f>
        <v>0.58823529411764708</v>
      </c>
      <c r="AH3966" s="5">
        <f>IF(SalesData[[#This Row],[Customers Visited]]=0,0,SalesData[[#This Row],[Contracts Signed]]/SalesData[[#This Row],[Customers Visited]])</f>
        <v>0.14705882352941177</v>
      </c>
      <c r="AI3966" s="6">
        <f>IF(SalesData[[#This Row],[Contracts Signed]]=0,0,SalesData[[#This Row],[Profit(€)]]/SalesData[[#This Row],[Contracts Signed]])</f>
        <v>18287</v>
      </c>
      <c r="AJ3966" s="5" t="str">
        <f>TRIM(CLEAN(SalesData[[#This Row],[Retailer]]))</f>
        <v>Ruhr Auto Plaza</v>
      </c>
    </row>
    <row r="3967" spans="1:36" ht="14.25" hidden="1" x14ac:dyDescent="0.2">
      <c r="A3967" t="s">
        <v>5205</v>
      </c>
      <c r="B3967" s="1">
        <v>46076</v>
      </c>
      <c r="C3967" t="s">
        <v>53</v>
      </c>
      <c r="D3967" t="s">
        <v>25</v>
      </c>
      <c r="E3967" t="s">
        <v>26</v>
      </c>
      <c r="F3967" t="s">
        <v>83</v>
      </c>
      <c r="G3967" t="s">
        <v>84</v>
      </c>
      <c r="H3967" t="s">
        <v>85</v>
      </c>
      <c r="I3967" t="s">
        <v>104</v>
      </c>
      <c r="J3967" t="s">
        <v>140</v>
      </c>
      <c r="K3967" t="s">
        <v>32</v>
      </c>
      <c r="L3967" t="s">
        <v>46</v>
      </c>
      <c r="M3967" t="s">
        <v>34</v>
      </c>
      <c r="N3967" t="s">
        <v>69</v>
      </c>
      <c r="O3967" t="s">
        <v>70</v>
      </c>
      <c r="P3967" t="s">
        <v>71</v>
      </c>
      <c r="Q3967" t="s">
        <v>189</v>
      </c>
      <c r="R3967">
        <v>354</v>
      </c>
      <c r="S3967">
        <v>198</v>
      </c>
      <c r="T3967">
        <v>130</v>
      </c>
      <c r="U3967">
        <v>30</v>
      </c>
      <c r="V3967" t="s">
        <v>592</v>
      </c>
      <c r="W3967">
        <v>28907</v>
      </c>
      <c r="X3967" t="s">
        <v>676</v>
      </c>
      <c r="Y3967">
        <v>25731</v>
      </c>
      <c r="Z3967">
        <v>867210</v>
      </c>
      <c r="AA3967">
        <v>95280</v>
      </c>
      <c r="AB3967" t="str">
        <f>(VLOOKUP(SalesData[[#This Row],[Month Number]],Reference!C$5:E$16,2,FALSE))</f>
        <v>Feb</v>
      </c>
      <c r="AC3967">
        <f>MONTH(SalesData[[#This Row],[Date]])</f>
        <v>2</v>
      </c>
      <c r="AD3967">
        <f>Reference!F$4</f>
        <v>2026</v>
      </c>
      <c r="AE3967" t="str">
        <f>IF(OR(SalesData[[#This Row],[Day]]="Saturday",SalesData[[#This Row],[Day]]="Sunday"),"Weekend","Weekday")</f>
        <v>Weekday</v>
      </c>
      <c r="AF3967" s="5">
        <f>IF(SalesData[[#This Row],[Contracts Offered]]=0,0,SalesData[[#This Row],[Contracts Signed]]/SalesData[[#This Row],[Contracts Offered]])</f>
        <v>0.23076923076923078</v>
      </c>
      <c r="AG3967" s="5">
        <f>IF(SalesData[[#This Row],[Customers Visited]]=0,0,SalesData[[#This Row],[Test Drives]]/SalesData[[#This Row],[Customers Visited]])</f>
        <v>0.55932203389830504</v>
      </c>
      <c r="AH3967" s="5">
        <f>IF(SalesData[[#This Row],[Customers Visited]]=0,0,SalesData[[#This Row],[Contracts Signed]]/SalesData[[#This Row],[Customers Visited]])</f>
        <v>8.4745762711864403E-2</v>
      </c>
      <c r="AI3967" s="6">
        <f>IF(SalesData[[#This Row],[Contracts Signed]]=0,0,SalesData[[#This Row],[Profit(€)]]/SalesData[[#This Row],[Contracts Signed]])</f>
        <v>3176</v>
      </c>
      <c r="AJ3967" s="5" t="str">
        <f>TRIM(CLEAN(SalesData[[#This Row],[Retailer]]))</f>
        <v>Hannover Cars</v>
      </c>
    </row>
    <row r="3968" spans="1:36" ht="14.25" x14ac:dyDescent="0.2">
      <c r="A3968" t="s">
        <v>5206</v>
      </c>
      <c r="B3968" s="1">
        <v>46064</v>
      </c>
      <c r="C3968" t="s">
        <v>121</v>
      </c>
      <c r="D3968" t="s">
        <v>82</v>
      </c>
      <c r="E3968" t="s">
        <v>26</v>
      </c>
      <c r="F3968" t="s">
        <v>101</v>
      </c>
      <c r="G3968" t="s">
        <v>102</v>
      </c>
      <c r="H3968" t="s">
        <v>103</v>
      </c>
      <c r="I3968" t="s">
        <v>30</v>
      </c>
      <c r="J3968" t="s">
        <v>31</v>
      </c>
      <c r="K3968" t="s">
        <v>91</v>
      </c>
      <c r="L3968" t="s">
        <v>46</v>
      </c>
      <c r="M3968" t="s">
        <v>34</v>
      </c>
      <c r="N3968" t="s">
        <v>69</v>
      </c>
      <c r="O3968" t="s">
        <v>36</v>
      </c>
      <c r="P3968" t="s">
        <v>58</v>
      </c>
      <c r="Q3968" t="s">
        <v>189</v>
      </c>
      <c r="R3968">
        <v>194</v>
      </c>
      <c r="S3968">
        <v>96</v>
      </c>
      <c r="T3968">
        <v>77</v>
      </c>
      <c r="U3968">
        <v>29</v>
      </c>
      <c r="V3968" t="s">
        <v>7562</v>
      </c>
      <c r="W3968">
        <v>64828</v>
      </c>
      <c r="X3968" t="s">
        <v>638</v>
      </c>
      <c r="Y3968">
        <v>50070</v>
      </c>
      <c r="Z3968">
        <v>1880012</v>
      </c>
      <c r="AA3968">
        <v>427982</v>
      </c>
      <c r="AB3968" t="str">
        <f>(VLOOKUP(SalesData[[#This Row],[Month Number]],Reference!C$5:E$16,2,FALSE))</f>
        <v>Feb</v>
      </c>
      <c r="AC3968">
        <f>MONTH(SalesData[[#This Row],[Date]])</f>
        <v>2</v>
      </c>
      <c r="AD3968">
        <f>Reference!F$4</f>
        <v>2026</v>
      </c>
      <c r="AE3968" t="str">
        <f>IF(OR(SalesData[[#This Row],[Day]]="Saturday",SalesData[[#This Row],[Day]]="Sunday"),"Weekend","Weekday")</f>
        <v>Weekday</v>
      </c>
      <c r="AF3968" s="5">
        <f>IF(SalesData[[#This Row],[Contracts Offered]]=0,0,SalesData[[#This Row],[Contracts Signed]]/SalesData[[#This Row],[Contracts Offered]])</f>
        <v>0.37662337662337664</v>
      </c>
      <c r="AG3968" s="5">
        <f>IF(SalesData[[#This Row],[Customers Visited]]=0,0,SalesData[[#This Row],[Test Drives]]/SalesData[[#This Row],[Customers Visited]])</f>
        <v>0.49484536082474229</v>
      </c>
      <c r="AH3968" s="5">
        <f>IF(SalesData[[#This Row],[Customers Visited]]=0,0,SalesData[[#This Row],[Contracts Signed]]/SalesData[[#This Row],[Customers Visited]])</f>
        <v>0.14948453608247422</v>
      </c>
      <c r="AI3968" s="6">
        <f>IF(SalesData[[#This Row],[Contracts Signed]]=0,0,SalesData[[#This Row],[Profit(€)]]/SalesData[[#This Row],[Contracts Signed]])</f>
        <v>14758</v>
      </c>
      <c r="AJ3968" s="5" t="str">
        <f>TRIM(CLEAN(SalesData[[#This Row],[Retailer]]))</f>
        <v>Ruhr Auto Plaza</v>
      </c>
    </row>
    <row r="3969" spans="1:36" ht="14.25" hidden="1" x14ac:dyDescent="0.2">
      <c r="A3969" t="s">
        <v>5207</v>
      </c>
      <c r="B3969" s="1">
        <v>46079</v>
      </c>
      <c r="C3969" t="s">
        <v>53</v>
      </c>
      <c r="D3969" t="s">
        <v>100</v>
      </c>
      <c r="E3969" t="s">
        <v>26</v>
      </c>
      <c r="F3969" t="s">
        <v>101</v>
      </c>
      <c r="G3969" t="s">
        <v>102</v>
      </c>
      <c r="H3969" t="s">
        <v>103</v>
      </c>
      <c r="I3969" t="s">
        <v>56</v>
      </c>
      <c r="J3969" t="s">
        <v>137</v>
      </c>
      <c r="K3969" t="s">
        <v>66</v>
      </c>
      <c r="L3969" t="s">
        <v>46</v>
      </c>
      <c r="M3969" t="s">
        <v>47</v>
      </c>
      <c r="N3969" t="s">
        <v>35</v>
      </c>
      <c r="O3969" t="s">
        <v>36</v>
      </c>
      <c r="P3969" t="s">
        <v>58</v>
      </c>
      <c r="Q3969" t="s">
        <v>144</v>
      </c>
      <c r="R3969">
        <v>184</v>
      </c>
      <c r="S3969">
        <v>113</v>
      </c>
      <c r="T3969">
        <v>77</v>
      </c>
      <c r="U3969">
        <v>27</v>
      </c>
      <c r="V3969" t="s">
        <v>6640</v>
      </c>
      <c r="W3969">
        <v>43008</v>
      </c>
      <c r="X3969" t="s">
        <v>4990</v>
      </c>
      <c r="Y3969">
        <v>34562</v>
      </c>
      <c r="Z3969">
        <v>1161216</v>
      </c>
      <c r="AA3969">
        <v>228042</v>
      </c>
      <c r="AB3969" t="str">
        <f>(VLOOKUP(SalesData[[#This Row],[Month Number]],Reference!C$5:E$16,2,FALSE))</f>
        <v>Feb</v>
      </c>
      <c r="AC3969">
        <f>MONTH(SalesData[[#This Row],[Date]])</f>
        <v>2</v>
      </c>
      <c r="AD3969">
        <f>Reference!F$4</f>
        <v>2026</v>
      </c>
      <c r="AE3969" t="str">
        <f>IF(OR(SalesData[[#This Row],[Day]]="Saturday",SalesData[[#This Row],[Day]]="Sunday"),"Weekend","Weekday")</f>
        <v>Weekday</v>
      </c>
      <c r="AF3969" s="5">
        <f>IF(SalesData[[#This Row],[Contracts Offered]]=0,0,SalesData[[#This Row],[Contracts Signed]]/SalesData[[#This Row],[Contracts Offered]])</f>
        <v>0.35064935064935066</v>
      </c>
      <c r="AG3969" s="5">
        <f>IF(SalesData[[#This Row],[Customers Visited]]=0,0,SalesData[[#This Row],[Test Drives]]/SalesData[[#This Row],[Customers Visited]])</f>
        <v>0.61413043478260865</v>
      </c>
      <c r="AH3969" s="5">
        <f>IF(SalesData[[#This Row],[Customers Visited]]=0,0,SalesData[[#This Row],[Contracts Signed]]/SalesData[[#This Row],[Customers Visited]])</f>
        <v>0.14673913043478262</v>
      </c>
      <c r="AI3969" s="6">
        <f>IF(SalesData[[#This Row],[Contracts Signed]]=0,0,SalesData[[#This Row],[Profit(€)]]/SalesData[[#This Row],[Contracts Signed]])</f>
        <v>8446</v>
      </c>
      <c r="AJ3969" s="5" t="str">
        <f>TRIM(CLEAN(SalesData[[#This Row],[Retailer]]))</f>
        <v>Ruhr Auto Plaza</v>
      </c>
    </row>
    <row r="3970" spans="1:36" ht="14.25" hidden="1" x14ac:dyDescent="0.2">
      <c r="A3970" t="s">
        <v>5208</v>
      </c>
      <c r="B3970" s="1">
        <v>46056</v>
      </c>
      <c r="C3970" t="s">
        <v>24</v>
      </c>
      <c r="D3970" t="s">
        <v>63</v>
      </c>
      <c r="E3970" t="s">
        <v>26</v>
      </c>
      <c r="F3970" t="s">
        <v>83</v>
      </c>
      <c r="G3970" t="s">
        <v>84</v>
      </c>
      <c r="H3970" t="s">
        <v>85</v>
      </c>
      <c r="I3970" t="s">
        <v>116</v>
      </c>
      <c r="J3970" t="s">
        <v>132</v>
      </c>
      <c r="K3970" t="s">
        <v>66</v>
      </c>
      <c r="L3970" t="s">
        <v>46</v>
      </c>
      <c r="M3970" t="s">
        <v>68</v>
      </c>
      <c r="N3970" t="s">
        <v>35</v>
      </c>
      <c r="O3970" t="s">
        <v>36</v>
      </c>
      <c r="P3970" t="s">
        <v>71</v>
      </c>
      <c r="Q3970" t="s">
        <v>59</v>
      </c>
      <c r="R3970">
        <v>238</v>
      </c>
      <c r="S3970">
        <v>133</v>
      </c>
      <c r="T3970">
        <v>77</v>
      </c>
      <c r="U3970">
        <v>24</v>
      </c>
      <c r="V3970" t="s">
        <v>5564</v>
      </c>
      <c r="W3970">
        <v>21126</v>
      </c>
      <c r="X3970" t="s">
        <v>409</v>
      </c>
      <c r="Y3970">
        <v>19621</v>
      </c>
      <c r="Z3970">
        <v>507024</v>
      </c>
      <c r="AA3970">
        <v>36120</v>
      </c>
      <c r="AB3970" t="str">
        <f>(VLOOKUP(SalesData[[#This Row],[Month Number]],Reference!C$5:E$16,2,FALSE))</f>
        <v>Feb</v>
      </c>
      <c r="AC3970">
        <f>MONTH(SalesData[[#This Row],[Date]])</f>
        <v>2</v>
      </c>
      <c r="AD3970">
        <f>Reference!F$4</f>
        <v>2026</v>
      </c>
      <c r="AE3970" t="str">
        <f>IF(OR(SalesData[[#This Row],[Day]]="Saturday",SalesData[[#This Row],[Day]]="Sunday"),"Weekend","Weekday")</f>
        <v>Weekday</v>
      </c>
      <c r="AF3970" s="5">
        <f>IF(SalesData[[#This Row],[Contracts Offered]]=0,0,SalesData[[#This Row],[Contracts Signed]]/SalesData[[#This Row],[Contracts Offered]])</f>
        <v>0.31168831168831168</v>
      </c>
      <c r="AG3970" s="5">
        <f>IF(SalesData[[#This Row],[Customers Visited]]=0,0,SalesData[[#This Row],[Test Drives]]/SalesData[[#This Row],[Customers Visited]])</f>
        <v>0.55882352941176472</v>
      </c>
      <c r="AH3970" s="5">
        <f>IF(SalesData[[#This Row],[Customers Visited]]=0,0,SalesData[[#This Row],[Contracts Signed]]/SalesData[[#This Row],[Customers Visited]])</f>
        <v>0.10084033613445378</v>
      </c>
      <c r="AI3970" s="6">
        <f>IF(SalesData[[#This Row],[Contracts Signed]]=0,0,SalesData[[#This Row],[Profit(€)]]/SalesData[[#This Row],[Contracts Signed]])</f>
        <v>1505</v>
      </c>
      <c r="AJ3970" s="5" t="str">
        <f>TRIM(CLEAN(SalesData[[#This Row],[Retailer]]))</f>
        <v>Hannover Cars</v>
      </c>
    </row>
    <row r="3971" spans="1:36" ht="14.25" hidden="1" x14ac:dyDescent="0.2">
      <c r="A3971" t="s">
        <v>5210</v>
      </c>
      <c r="B3971" s="1">
        <v>46073</v>
      </c>
      <c r="C3971" t="s">
        <v>62</v>
      </c>
      <c r="D3971" t="s">
        <v>54</v>
      </c>
      <c r="E3971" t="s">
        <v>26</v>
      </c>
      <c r="F3971" t="s">
        <v>101</v>
      </c>
      <c r="G3971" t="s">
        <v>102</v>
      </c>
      <c r="H3971" t="s">
        <v>103</v>
      </c>
      <c r="I3971" t="s">
        <v>56</v>
      </c>
      <c r="J3971" t="s">
        <v>179</v>
      </c>
      <c r="K3971" t="s">
        <v>91</v>
      </c>
      <c r="L3971" t="s">
        <v>67</v>
      </c>
      <c r="M3971" t="s">
        <v>87</v>
      </c>
      <c r="N3971" t="s">
        <v>48</v>
      </c>
      <c r="O3971" t="s">
        <v>70</v>
      </c>
      <c r="P3971" t="s">
        <v>58</v>
      </c>
      <c r="Q3971" t="s">
        <v>135</v>
      </c>
      <c r="R3971">
        <v>287</v>
      </c>
      <c r="S3971">
        <v>137</v>
      </c>
      <c r="T3971">
        <v>96</v>
      </c>
      <c r="U3971">
        <v>30</v>
      </c>
      <c r="V3971" t="s">
        <v>6926</v>
      </c>
      <c r="W3971">
        <v>51949</v>
      </c>
      <c r="X3971" t="s">
        <v>7528</v>
      </c>
      <c r="Y3971">
        <v>41197</v>
      </c>
      <c r="Z3971">
        <v>1558470</v>
      </c>
      <c r="AA3971">
        <v>322560</v>
      </c>
      <c r="AB3971" t="str">
        <f>(VLOOKUP(SalesData[[#This Row],[Month Number]],Reference!C$5:E$16,2,FALSE))</f>
        <v>Feb</v>
      </c>
      <c r="AC3971">
        <f>MONTH(SalesData[[#This Row],[Date]])</f>
        <v>2</v>
      </c>
      <c r="AD3971">
        <f>Reference!F$4</f>
        <v>2026</v>
      </c>
      <c r="AE3971" t="str">
        <f>IF(OR(SalesData[[#This Row],[Day]]="Saturday",SalesData[[#This Row],[Day]]="Sunday"),"Weekend","Weekday")</f>
        <v>Weekday</v>
      </c>
      <c r="AF3971" s="5">
        <f>IF(SalesData[[#This Row],[Contracts Offered]]=0,0,SalesData[[#This Row],[Contracts Signed]]/SalesData[[#This Row],[Contracts Offered]])</f>
        <v>0.3125</v>
      </c>
      <c r="AG3971" s="5">
        <f>IF(SalesData[[#This Row],[Customers Visited]]=0,0,SalesData[[#This Row],[Test Drives]]/SalesData[[#This Row],[Customers Visited]])</f>
        <v>0.47735191637630664</v>
      </c>
      <c r="AH3971" s="5">
        <f>IF(SalesData[[#This Row],[Customers Visited]]=0,0,SalesData[[#This Row],[Contracts Signed]]/SalesData[[#This Row],[Customers Visited]])</f>
        <v>0.10452961672473868</v>
      </c>
      <c r="AI3971" s="6">
        <f>IF(SalesData[[#This Row],[Contracts Signed]]=0,0,SalesData[[#This Row],[Profit(€)]]/SalesData[[#This Row],[Contracts Signed]])</f>
        <v>10752</v>
      </c>
      <c r="AJ3971" s="5" t="str">
        <f>TRIM(CLEAN(SalesData[[#This Row],[Retailer]]))</f>
        <v>Ruhr Auto Plaza</v>
      </c>
    </row>
    <row r="3972" spans="1:36" ht="14.25" hidden="1" x14ac:dyDescent="0.2">
      <c r="A3972" t="s">
        <v>5211</v>
      </c>
      <c r="B3972" s="1">
        <v>46070</v>
      </c>
      <c r="C3972" t="s">
        <v>62</v>
      </c>
      <c r="D3972" t="s">
        <v>63</v>
      </c>
      <c r="E3972" t="s">
        <v>26</v>
      </c>
      <c r="F3972" t="s">
        <v>127</v>
      </c>
      <c r="G3972" t="s">
        <v>128</v>
      </c>
      <c r="H3972" t="s">
        <v>103</v>
      </c>
      <c r="I3972" t="s">
        <v>116</v>
      </c>
      <c r="J3972" t="s">
        <v>7026</v>
      </c>
      <c r="K3972" t="s">
        <v>91</v>
      </c>
      <c r="L3972" t="s">
        <v>46</v>
      </c>
      <c r="M3972" t="s">
        <v>68</v>
      </c>
      <c r="N3972" t="s">
        <v>48</v>
      </c>
      <c r="O3972" t="s">
        <v>70</v>
      </c>
      <c r="P3972" t="s">
        <v>49</v>
      </c>
      <c r="Q3972" t="s">
        <v>50</v>
      </c>
      <c r="R3972">
        <v>279</v>
      </c>
      <c r="S3972">
        <v>113</v>
      </c>
      <c r="T3972">
        <v>65</v>
      </c>
      <c r="U3972">
        <v>14</v>
      </c>
      <c r="V3972" t="s">
        <v>1349</v>
      </c>
      <c r="W3972">
        <v>23223</v>
      </c>
      <c r="X3972" t="s">
        <v>779</v>
      </c>
      <c r="Y3972">
        <v>21358</v>
      </c>
      <c r="Z3972">
        <v>325122</v>
      </c>
      <c r="AA3972">
        <v>26110</v>
      </c>
      <c r="AB3972" t="str">
        <f>(VLOOKUP(SalesData[[#This Row],[Month Number]],Reference!C$5:E$16,2,FALSE))</f>
        <v>Feb</v>
      </c>
      <c r="AC3972">
        <f>MONTH(SalesData[[#This Row],[Date]])</f>
        <v>2</v>
      </c>
      <c r="AD3972">
        <f>Reference!F$4</f>
        <v>2026</v>
      </c>
      <c r="AE3972" t="str">
        <f>IF(OR(SalesData[[#This Row],[Day]]="Saturday",SalesData[[#This Row],[Day]]="Sunday"),"Weekend","Weekday")</f>
        <v>Weekday</v>
      </c>
      <c r="AF3972" s="5">
        <f>IF(SalesData[[#This Row],[Contracts Offered]]=0,0,SalesData[[#This Row],[Contracts Signed]]/SalesData[[#This Row],[Contracts Offered]])</f>
        <v>0.2153846153846154</v>
      </c>
      <c r="AG3972" s="5">
        <f>IF(SalesData[[#This Row],[Customers Visited]]=0,0,SalesData[[#This Row],[Test Drives]]/SalesData[[#This Row],[Customers Visited]])</f>
        <v>0.4050179211469534</v>
      </c>
      <c r="AH3972" s="5">
        <f>IF(SalesData[[#This Row],[Customers Visited]]=0,0,SalesData[[#This Row],[Contracts Signed]]/SalesData[[#This Row],[Customers Visited]])</f>
        <v>5.0179211469534052E-2</v>
      </c>
      <c r="AI3972" s="6">
        <f>IF(SalesData[[#This Row],[Contracts Signed]]=0,0,SalesData[[#This Row],[Profit(€)]]/SalesData[[#This Row],[Contracts Signed]])</f>
        <v>1865</v>
      </c>
      <c r="AJ3972" s="5" t="str">
        <f>TRIM(CLEAN(SalesData[[#This Row],[Retailer]]))</f>
        <v>Rhein Auto Group</v>
      </c>
    </row>
    <row r="3973" spans="1:36" ht="14.25" hidden="1" x14ac:dyDescent="0.2">
      <c r="A3973" t="s">
        <v>5212</v>
      </c>
      <c r="B3973" s="1">
        <v>46068</v>
      </c>
      <c r="C3973" t="s">
        <v>62</v>
      </c>
      <c r="D3973" t="s">
        <v>41</v>
      </c>
      <c r="E3973" t="s">
        <v>42</v>
      </c>
      <c r="F3973" t="s">
        <v>7649</v>
      </c>
      <c r="G3973" t="s">
        <v>55</v>
      </c>
      <c r="H3973" t="s">
        <v>55</v>
      </c>
      <c r="I3973" t="s">
        <v>116</v>
      </c>
      <c r="J3973" t="s">
        <v>7090</v>
      </c>
      <c r="K3973" t="s">
        <v>66</v>
      </c>
      <c r="L3973" t="s">
        <v>46</v>
      </c>
      <c r="M3973" t="s">
        <v>34</v>
      </c>
      <c r="N3973" t="s">
        <v>35</v>
      </c>
      <c r="O3973" t="s">
        <v>70</v>
      </c>
      <c r="P3973" t="s">
        <v>37</v>
      </c>
      <c r="Q3973" t="s">
        <v>59</v>
      </c>
      <c r="R3973">
        <v>307</v>
      </c>
      <c r="S3973">
        <v>148</v>
      </c>
      <c r="T3973">
        <v>96</v>
      </c>
      <c r="U3973">
        <v>23</v>
      </c>
      <c r="V3973" t="s">
        <v>3482</v>
      </c>
      <c r="W3973">
        <v>22016</v>
      </c>
      <c r="X3973" t="s">
        <v>2732</v>
      </c>
      <c r="Y3973">
        <v>19818</v>
      </c>
      <c r="Z3973">
        <v>506368</v>
      </c>
      <c r="AA3973">
        <v>50554</v>
      </c>
      <c r="AB3973" t="str">
        <f>(VLOOKUP(SalesData[[#This Row],[Month Number]],Reference!C$5:E$16,2,FALSE))</f>
        <v>Feb</v>
      </c>
      <c r="AC3973">
        <f>MONTH(SalesData[[#This Row],[Date]])</f>
        <v>2</v>
      </c>
      <c r="AD3973">
        <f>Reference!F$4</f>
        <v>2026</v>
      </c>
      <c r="AE3973" t="str">
        <f>IF(OR(SalesData[[#This Row],[Day]]="Saturday",SalesData[[#This Row],[Day]]="Sunday"),"Weekend","Weekday")</f>
        <v>Weekend</v>
      </c>
      <c r="AF3973" s="5">
        <f>IF(SalesData[[#This Row],[Contracts Offered]]=0,0,SalesData[[#This Row],[Contracts Signed]]/SalesData[[#This Row],[Contracts Offered]])</f>
        <v>0.23958333333333334</v>
      </c>
      <c r="AG3973" s="5">
        <f>IF(SalesData[[#This Row],[Customers Visited]]=0,0,SalesData[[#This Row],[Test Drives]]/SalesData[[#This Row],[Customers Visited]])</f>
        <v>0.48208469055374592</v>
      </c>
      <c r="AH3973" s="5">
        <f>IF(SalesData[[#This Row],[Customers Visited]]=0,0,SalesData[[#This Row],[Contracts Signed]]/SalesData[[#This Row],[Customers Visited]])</f>
        <v>7.4918566775244305E-2</v>
      </c>
      <c r="AI3973" s="6">
        <f>IF(SalesData[[#This Row],[Contracts Signed]]=0,0,SalesData[[#This Row],[Profit(€)]]/SalesData[[#This Row],[Contracts Signed]])</f>
        <v>2198</v>
      </c>
      <c r="AJ3973" s="5" t="str">
        <f>TRIM(CLEAN(SalesData[[#This Row],[Retailer]]))</f>
        <v>Autohaus Berlin</v>
      </c>
    </row>
    <row r="3974" spans="1:36" ht="14.25" hidden="1" x14ac:dyDescent="0.2">
      <c r="A3974" t="s">
        <v>5213</v>
      </c>
      <c r="B3974" s="1">
        <v>46069</v>
      </c>
      <c r="C3974" t="s">
        <v>62</v>
      </c>
      <c r="D3974" t="s">
        <v>25</v>
      </c>
      <c r="E3974" t="s">
        <v>26</v>
      </c>
      <c r="F3974" t="s">
        <v>109</v>
      </c>
      <c r="G3974" t="s">
        <v>110</v>
      </c>
      <c r="H3974" t="s">
        <v>45</v>
      </c>
      <c r="I3974" t="s">
        <v>56</v>
      </c>
      <c r="J3974" t="s">
        <v>179</v>
      </c>
      <c r="K3974" t="s">
        <v>32</v>
      </c>
      <c r="L3974" t="s">
        <v>67</v>
      </c>
      <c r="M3974" t="s">
        <v>87</v>
      </c>
      <c r="N3974" t="s">
        <v>35</v>
      </c>
      <c r="O3974" t="s">
        <v>70</v>
      </c>
      <c r="P3974" t="s">
        <v>37</v>
      </c>
      <c r="Q3974" t="s">
        <v>122</v>
      </c>
      <c r="R3974">
        <v>307</v>
      </c>
      <c r="S3974">
        <v>179</v>
      </c>
      <c r="T3974">
        <v>136</v>
      </c>
      <c r="U3974">
        <v>33</v>
      </c>
      <c r="V3974" t="s">
        <v>309</v>
      </c>
      <c r="W3974">
        <v>42692</v>
      </c>
      <c r="X3974" t="s">
        <v>861</v>
      </c>
      <c r="Y3974">
        <v>34153</v>
      </c>
      <c r="Z3974">
        <v>1408836</v>
      </c>
      <c r="AA3974">
        <v>281787</v>
      </c>
      <c r="AB3974" t="str">
        <f>(VLOOKUP(SalesData[[#This Row],[Month Number]],Reference!C$5:E$16,2,FALSE))</f>
        <v>Feb</v>
      </c>
      <c r="AC3974">
        <f>MONTH(SalesData[[#This Row],[Date]])</f>
        <v>2</v>
      </c>
      <c r="AD3974">
        <f>Reference!F$4</f>
        <v>2026</v>
      </c>
      <c r="AE3974" t="str">
        <f>IF(OR(SalesData[[#This Row],[Day]]="Saturday",SalesData[[#This Row],[Day]]="Sunday"),"Weekend","Weekday")</f>
        <v>Weekday</v>
      </c>
      <c r="AF3974" s="5">
        <f>IF(SalesData[[#This Row],[Contracts Offered]]=0,0,SalesData[[#This Row],[Contracts Signed]]/SalesData[[#This Row],[Contracts Offered]])</f>
        <v>0.24264705882352941</v>
      </c>
      <c r="AG3974" s="5">
        <f>IF(SalesData[[#This Row],[Customers Visited]]=0,0,SalesData[[#This Row],[Test Drives]]/SalesData[[#This Row],[Customers Visited]])</f>
        <v>0.58306188925081437</v>
      </c>
      <c r="AH3974" s="5">
        <f>IF(SalesData[[#This Row],[Customers Visited]]=0,0,SalesData[[#This Row],[Contracts Signed]]/SalesData[[#This Row],[Customers Visited]])</f>
        <v>0.10749185667752444</v>
      </c>
      <c r="AI3974" s="6">
        <f>IF(SalesData[[#This Row],[Contracts Signed]]=0,0,SalesData[[#This Row],[Profit(€)]]/SalesData[[#This Row],[Contracts Signed]])</f>
        <v>8539</v>
      </c>
      <c r="AJ3974" s="5" t="str">
        <f>TRIM(CLEAN(SalesData[[#This Row],[Retailer]]))</f>
        <v>Leipzig Mobility</v>
      </c>
    </row>
    <row r="3975" spans="1:36" ht="14.25" x14ac:dyDescent="0.2">
      <c r="A3975" t="s">
        <v>5214</v>
      </c>
      <c r="B3975" s="1">
        <v>46060</v>
      </c>
      <c r="C3975" t="s">
        <v>24</v>
      </c>
      <c r="D3975" t="s">
        <v>151</v>
      </c>
      <c r="E3975" t="s">
        <v>42</v>
      </c>
      <c r="F3975" t="s">
        <v>74</v>
      </c>
      <c r="G3975" t="s">
        <v>75</v>
      </c>
      <c r="H3975" t="s">
        <v>76</v>
      </c>
      <c r="I3975" t="s">
        <v>30</v>
      </c>
      <c r="J3975" t="s">
        <v>86</v>
      </c>
      <c r="K3975" t="s">
        <v>32</v>
      </c>
      <c r="L3975" t="s">
        <v>33</v>
      </c>
      <c r="M3975" t="s">
        <v>47</v>
      </c>
      <c r="N3975" t="s">
        <v>69</v>
      </c>
      <c r="O3975" t="s">
        <v>70</v>
      </c>
      <c r="P3975" t="s">
        <v>71</v>
      </c>
      <c r="Q3975" t="s">
        <v>158</v>
      </c>
      <c r="R3975">
        <v>278</v>
      </c>
      <c r="S3975">
        <v>170</v>
      </c>
      <c r="T3975">
        <v>134</v>
      </c>
      <c r="U3975">
        <v>52</v>
      </c>
      <c r="V3975" t="s">
        <v>7159</v>
      </c>
      <c r="W3975">
        <v>62910</v>
      </c>
      <c r="X3975" t="s">
        <v>307</v>
      </c>
      <c r="Y3975">
        <v>48184</v>
      </c>
      <c r="Z3975">
        <v>3271320</v>
      </c>
      <c r="AA3975">
        <v>765752</v>
      </c>
      <c r="AB3975" t="str">
        <f>(VLOOKUP(SalesData[[#This Row],[Month Number]],Reference!C$5:E$16,2,FALSE))</f>
        <v>Feb</v>
      </c>
      <c r="AC3975">
        <f>MONTH(SalesData[[#This Row],[Date]])</f>
        <v>2</v>
      </c>
      <c r="AD3975">
        <f>Reference!F$4</f>
        <v>2026</v>
      </c>
      <c r="AE3975" t="str">
        <f>IF(OR(SalesData[[#This Row],[Day]]="Saturday",SalesData[[#This Row],[Day]]="Sunday"),"Weekend","Weekday")</f>
        <v>Weekend</v>
      </c>
      <c r="AF3975" s="5">
        <f>IF(SalesData[[#This Row],[Contracts Offered]]=0,0,SalesData[[#This Row],[Contracts Signed]]/SalesData[[#This Row],[Contracts Offered]])</f>
        <v>0.38805970149253732</v>
      </c>
      <c r="AG3975" s="5">
        <f>IF(SalesData[[#This Row],[Customers Visited]]=0,0,SalesData[[#This Row],[Test Drives]]/SalesData[[#This Row],[Customers Visited]])</f>
        <v>0.61151079136690645</v>
      </c>
      <c r="AH3975" s="5">
        <f>IF(SalesData[[#This Row],[Customers Visited]]=0,0,SalesData[[#This Row],[Contracts Signed]]/SalesData[[#This Row],[Customers Visited]])</f>
        <v>0.18705035971223022</v>
      </c>
      <c r="AI3975" s="6">
        <f>IF(SalesData[[#This Row],[Contracts Signed]]=0,0,SalesData[[#This Row],[Profit(€)]]/SalesData[[#This Row],[Contracts Signed]])</f>
        <v>14726</v>
      </c>
      <c r="AJ3975" s="5" t="str">
        <f>TRIM(CLEAN(SalesData[[#This Row],[Retailer]]))</f>
        <v>Stuttgart Auto Center</v>
      </c>
    </row>
    <row r="3976" spans="1:36" ht="14.25" hidden="1" x14ac:dyDescent="0.2">
      <c r="A3976" t="s">
        <v>5215</v>
      </c>
      <c r="B3976" s="1">
        <v>46075</v>
      </c>
      <c r="C3976" t="s">
        <v>53</v>
      </c>
      <c r="D3976" t="s">
        <v>41</v>
      </c>
      <c r="E3976" t="s">
        <v>42</v>
      </c>
      <c r="F3976" t="s">
        <v>114</v>
      </c>
      <c r="G3976" t="s">
        <v>115</v>
      </c>
      <c r="H3976" t="s">
        <v>115</v>
      </c>
      <c r="I3976" t="s">
        <v>64</v>
      </c>
      <c r="J3976" t="s">
        <v>157</v>
      </c>
      <c r="K3976" t="s">
        <v>91</v>
      </c>
      <c r="L3976" t="s">
        <v>33</v>
      </c>
      <c r="M3976" t="s">
        <v>87</v>
      </c>
      <c r="N3976" t="s">
        <v>48</v>
      </c>
      <c r="O3976" t="s">
        <v>36</v>
      </c>
      <c r="P3976" t="s">
        <v>49</v>
      </c>
      <c r="Q3976" t="s">
        <v>50</v>
      </c>
      <c r="R3976">
        <v>276</v>
      </c>
      <c r="S3976">
        <v>140</v>
      </c>
      <c r="T3976">
        <v>105</v>
      </c>
      <c r="U3976">
        <v>35</v>
      </c>
      <c r="V3976" t="s">
        <v>6403</v>
      </c>
      <c r="W3976">
        <v>69827</v>
      </c>
      <c r="X3976" t="s">
        <v>7263</v>
      </c>
      <c r="Y3976">
        <v>51064</v>
      </c>
      <c r="Z3976">
        <v>2443945</v>
      </c>
      <c r="AA3976">
        <v>656705</v>
      </c>
      <c r="AB3976" t="str">
        <f>(VLOOKUP(SalesData[[#This Row],[Month Number]],Reference!C$5:E$16,2,FALSE))</f>
        <v>Feb</v>
      </c>
      <c r="AC3976">
        <f>MONTH(SalesData[[#This Row],[Date]])</f>
        <v>2</v>
      </c>
      <c r="AD3976">
        <f>Reference!F$4</f>
        <v>2026</v>
      </c>
      <c r="AE3976" t="str">
        <f>IF(OR(SalesData[[#This Row],[Day]]="Saturday",SalesData[[#This Row],[Day]]="Sunday"),"Weekend","Weekday")</f>
        <v>Weekend</v>
      </c>
      <c r="AF3976" s="5">
        <f>IF(SalesData[[#This Row],[Contracts Offered]]=0,0,SalesData[[#This Row],[Contracts Signed]]/SalesData[[#This Row],[Contracts Offered]])</f>
        <v>0.33333333333333331</v>
      </c>
      <c r="AG3976" s="5">
        <f>IF(SalesData[[#This Row],[Customers Visited]]=0,0,SalesData[[#This Row],[Test Drives]]/SalesData[[#This Row],[Customers Visited]])</f>
        <v>0.50724637681159424</v>
      </c>
      <c r="AH3976" s="5">
        <f>IF(SalesData[[#This Row],[Customers Visited]]=0,0,SalesData[[#This Row],[Contracts Signed]]/SalesData[[#This Row],[Customers Visited]])</f>
        <v>0.12681159420289856</v>
      </c>
      <c r="AI3976" s="6">
        <f>IF(SalesData[[#This Row],[Contracts Signed]]=0,0,SalesData[[#This Row],[Profit(€)]]/SalesData[[#This Row],[Contracts Signed]])</f>
        <v>18763</v>
      </c>
      <c r="AJ3976" s="5" t="str">
        <f>TRIM(CLEAN(SalesData[[#This Row],[Retailer]]))</f>
        <v>Elbe Drive</v>
      </c>
    </row>
    <row r="3977" spans="1:36" ht="14.25" x14ac:dyDescent="0.2">
      <c r="A3977" t="s">
        <v>5216</v>
      </c>
      <c r="B3977" s="1">
        <v>46067</v>
      </c>
      <c r="C3977" t="s">
        <v>121</v>
      </c>
      <c r="D3977" t="s">
        <v>151</v>
      </c>
      <c r="E3977" t="s">
        <v>42</v>
      </c>
      <c r="F3977" t="s">
        <v>43</v>
      </c>
      <c r="G3977" t="s">
        <v>44</v>
      </c>
      <c r="H3977" t="s">
        <v>45</v>
      </c>
      <c r="I3977" t="s">
        <v>30</v>
      </c>
      <c r="J3977" t="s">
        <v>166</v>
      </c>
      <c r="K3977" t="s">
        <v>66</v>
      </c>
      <c r="L3977" t="s">
        <v>46</v>
      </c>
      <c r="M3977" t="s">
        <v>34</v>
      </c>
      <c r="N3977" t="s">
        <v>69</v>
      </c>
      <c r="O3977" t="s">
        <v>70</v>
      </c>
      <c r="P3977" t="s">
        <v>49</v>
      </c>
      <c r="Q3977" t="s">
        <v>59</v>
      </c>
      <c r="R3977">
        <v>172</v>
      </c>
      <c r="S3977">
        <v>105</v>
      </c>
      <c r="T3977">
        <v>80</v>
      </c>
      <c r="U3977">
        <v>27</v>
      </c>
      <c r="V3977" t="s">
        <v>6889</v>
      </c>
      <c r="W3977">
        <v>51843</v>
      </c>
      <c r="X3977" t="s">
        <v>7067</v>
      </c>
      <c r="Y3977">
        <v>40022</v>
      </c>
      <c r="Z3977">
        <v>1399761</v>
      </c>
      <c r="AA3977">
        <v>319167</v>
      </c>
      <c r="AB3977" t="str">
        <f>(VLOOKUP(SalesData[[#This Row],[Month Number]],Reference!C$5:E$16,2,FALSE))</f>
        <v>Feb</v>
      </c>
      <c r="AC3977">
        <f>MONTH(SalesData[[#This Row],[Date]])</f>
        <v>2</v>
      </c>
      <c r="AD3977">
        <f>Reference!F$4</f>
        <v>2026</v>
      </c>
      <c r="AE3977" t="str">
        <f>IF(OR(SalesData[[#This Row],[Day]]="Saturday",SalesData[[#This Row],[Day]]="Sunday"),"Weekend","Weekday")</f>
        <v>Weekend</v>
      </c>
      <c r="AF3977" s="5">
        <f>IF(SalesData[[#This Row],[Contracts Offered]]=0,0,SalesData[[#This Row],[Contracts Signed]]/SalesData[[#This Row],[Contracts Offered]])</f>
        <v>0.33750000000000002</v>
      </c>
      <c r="AG3977" s="5">
        <f>IF(SalesData[[#This Row],[Customers Visited]]=0,0,SalesData[[#This Row],[Test Drives]]/SalesData[[#This Row],[Customers Visited]])</f>
        <v>0.61046511627906974</v>
      </c>
      <c r="AH3977" s="5">
        <f>IF(SalesData[[#This Row],[Customers Visited]]=0,0,SalesData[[#This Row],[Contracts Signed]]/SalesData[[#This Row],[Customers Visited]])</f>
        <v>0.15697674418604651</v>
      </c>
      <c r="AI3977" s="6">
        <f>IF(SalesData[[#This Row],[Contracts Signed]]=0,0,SalesData[[#This Row],[Profit(€)]]/SalesData[[#This Row],[Contracts Signed]])</f>
        <v>11821</v>
      </c>
      <c r="AJ3977" s="5" t="str">
        <f>TRIM(CLEAN(SalesData[[#This Row],[Retailer]]))</f>
        <v>Saxon Wheels</v>
      </c>
    </row>
    <row r="3978" spans="1:36" ht="14.25" hidden="1" x14ac:dyDescent="0.2">
      <c r="A3978" t="s">
        <v>5217</v>
      </c>
      <c r="B3978" s="1">
        <v>46057</v>
      </c>
      <c r="C3978" t="s">
        <v>24</v>
      </c>
      <c r="D3978" t="s">
        <v>82</v>
      </c>
      <c r="E3978" t="s">
        <v>26</v>
      </c>
      <c r="F3978" t="s">
        <v>7649</v>
      </c>
      <c r="G3978" t="s">
        <v>55</v>
      </c>
      <c r="H3978" t="s">
        <v>55</v>
      </c>
      <c r="I3978" t="s">
        <v>116</v>
      </c>
      <c r="J3978" t="s">
        <v>7090</v>
      </c>
      <c r="K3978" t="s">
        <v>32</v>
      </c>
      <c r="L3978" t="s">
        <v>46</v>
      </c>
      <c r="M3978" t="s">
        <v>68</v>
      </c>
      <c r="N3978" t="s">
        <v>69</v>
      </c>
      <c r="O3978" t="s">
        <v>36</v>
      </c>
      <c r="P3978" t="s">
        <v>37</v>
      </c>
      <c r="Q3978" t="s">
        <v>118</v>
      </c>
      <c r="R3978">
        <v>224</v>
      </c>
      <c r="S3978">
        <v>125</v>
      </c>
      <c r="T3978">
        <v>76</v>
      </c>
      <c r="U3978">
        <v>21</v>
      </c>
      <c r="V3978" t="s">
        <v>4145</v>
      </c>
      <c r="W3978">
        <v>25165</v>
      </c>
      <c r="X3978" t="s">
        <v>7614</v>
      </c>
      <c r="Y3978">
        <v>23192</v>
      </c>
      <c r="Z3978">
        <v>528465</v>
      </c>
      <c r="AA3978">
        <v>41433</v>
      </c>
      <c r="AB3978" t="str">
        <f>(VLOOKUP(SalesData[[#This Row],[Month Number]],Reference!C$5:E$16,2,FALSE))</f>
        <v>Feb</v>
      </c>
      <c r="AC3978">
        <f>MONTH(SalesData[[#This Row],[Date]])</f>
        <v>2</v>
      </c>
      <c r="AD3978">
        <f>Reference!F$4</f>
        <v>2026</v>
      </c>
      <c r="AE3978" t="str">
        <f>IF(OR(SalesData[[#This Row],[Day]]="Saturday",SalesData[[#This Row],[Day]]="Sunday"),"Weekend","Weekday")</f>
        <v>Weekday</v>
      </c>
      <c r="AF3978" s="5">
        <f>IF(SalesData[[#This Row],[Contracts Offered]]=0,0,SalesData[[#This Row],[Contracts Signed]]/SalesData[[#This Row],[Contracts Offered]])</f>
        <v>0.27631578947368424</v>
      </c>
      <c r="AG3978" s="5">
        <f>IF(SalesData[[#This Row],[Customers Visited]]=0,0,SalesData[[#This Row],[Test Drives]]/SalesData[[#This Row],[Customers Visited]])</f>
        <v>0.5580357142857143</v>
      </c>
      <c r="AH3978" s="5">
        <f>IF(SalesData[[#This Row],[Customers Visited]]=0,0,SalesData[[#This Row],[Contracts Signed]]/SalesData[[#This Row],[Customers Visited]])</f>
        <v>9.375E-2</v>
      </c>
      <c r="AI3978" s="6">
        <f>IF(SalesData[[#This Row],[Contracts Signed]]=0,0,SalesData[[#This Row],[Profit(€)]]/SalesData[[#This Row],[Contracts Signed]])</f>
        <v>1973</v>
      </c>
      <c r="AJ3978" s="5" t="str">
        <f>TRIM(CLEAN(SalesData[[#This Row],[Retailer]]))</f>
        <v>Autohaus Berlin</v>
      </c>
    </row>
    <row r="3979" spans="1:36" ht="14.25" hidden="1" x14ac:dyDescent="0.2">
      <c r="A3979" t="s">
        <v>5218</v>
      </c>
      <c r="B3979" s="1">
        <v>46074</v>
      </c>
      <c r="C3979" t="s">
        <v>62</v>
      </c>
      <c r="D3979" t="s">
        <v>151</v>
      </c>
      <c r="E3979" t="s">
        <v>42</v>
      </c>
      <c r="F3979" t="s">
        <v>74</v>
      </c>
      <c r="G3979" t="s">
        <v>75</v>
      </c>
      <c r="H3979" t="s">
        <v>76</v>
      </c>
      <c r="I3979" t="s">
        <v>116</v>
      </c>
      <c r="J3979" t="s">
        <v>117</v>
      </c>
      <c r="K3979" t="s">
        <v>91</v>
      </c>
      <c r="L3979" t="s">
        <v>67</v>
      </c>
      <c r="M3979" t="s">
        <v>34</v>
      </c>
      <c r="N3979" t="s">
        <v>35</v>
      </c>
      <c r="O3979" t="s">
        <v>36</v>
      </c>
      <c r="P3979" t="s">
        <v>71</v>
      </c>
      <c r="Q3979" t="s">
        <v>79</v>
      </c>
      <c r="R3979">
        <v>327</v>
      </c>
      <c r="S3979">
        <v>151</v>
      </c>
      <c r="T3979">
        <v>88</v>
      </c>
      <c r="U3979">
        <v>27</v>
      </c>
      <c r="V3979" t="s">
        <v>2232</v>
      </c>
      <c r="W3979">
        <v>20672</v>
      </c>
      <c r="X3979" t="s">
        <v>4025</v>
      </c>
      <c r="Y3979">
        <v>18927</v>
      </c>
      <c r="Z3979">
        <v>558144</v>
      </c>
      <c r="AA3979">
        <v>47115</v>
      </c>
      <c r="AB3979" t="str">
        <f>(VLOOKUP(SalesData[[#This Row],[Month Number]],Reference!C$5:E$16,2,FALSE))</f>
        <v>Feb</v>
      </c>
      <c r="AC3979">
        <f>MONTH(SalesData[[#This Row],[Date]])</f>
        <v>2</v>
      </c>
      <c r="AD3979">
        <f>Reference!F$4</f>
        <v>2026</v>
      </c>
      <c r="AE3979" t="str">
        <f>IF(OR(SalesData[[#This Row],[Day]]="Saturday",SalesData[[#This Row],[Day]]="Sunday"),"Weekend","Weekday")</f>
        <v>Weekend</v>
      </c>
      <c r="AF3979" s="5">
        <f>IF(SalesData[[#This Row],[Contracts Offered]]=0,0,SalesData[[#This Row],[Contracts Signed]]/SalesData[[#This Row],[Contracts Offered]])</f>
        <v>0.30681818181818182</v>
      </c>
      <c r="AG3979" s="5">
        <f>IF(SalesData[[#This Row],[Customers Visited]]=0,0,SalesData[[#This Row],[Test Drives]]/SalesData[[#This Row],[Customers Visited]])</f>
        <v>0.46177370030581039</v>
      </c>
      <c r="AH3979" s="5">
        <f>IF(SalesData[[#This Row],[Customers Visited]]=0,0,SalesData[[#This Row],[Contracts Signed]]/SalesData[[#This Row],[Customers Visited]])</f>
        <v>8.2568807339449546E-2</v>
      </c>
      <c r="AI3979" s="6">
        <f>IF(SalesData[[#This Row],[Contracts Signed]]=0,0,SalesData[[#This Row],[Profit(€)]]/SalesData[[#This Row],[Contracts Signed]])</f>
        <v>1745</v>
      </c>
      <c r="AJ3979" s="5" t="str">
        <f>TRIM(CLEAN(SalesData[[#This Row],[Retailer]]))</f>
        <v>Stuttgart Auto Center</v>
      </c>
    </row>
    <row r="3980" spans="1:36" ht="14.25" hidden="1" x14ac:dyDescent="0.2">
      <c r="A3980" t="s">
        <v>5220</v>
      </c>
      <c r="B3980" s="1">
        <v>46062</v>
      </c>
      <c r="C3980" t="s">
        <v>121</v>
      </c>
      <c r="D3980" t="s">
        <v>25</v>
      </c>
      <c r="E3980" t="s">
        <v>26</v>
      </c>
      <c r="F3980" t="s">
        <v>27</v>
      </c>
      <c r="G3980" t="s">
        <v>28</v>
      </c>
      <c r="H3980" t="s">
        <v>29</v>
      </c>
      <c r="I3980" t="s">
        <v>116</v>
      </c>
      <c r="J3980" t="s">
        <v>7026</v>
      </c>
      <c r="K3980" t="s">
        <v>66</v>
      </c>
      <c r="L3980" t="s">
        <v>46</v>
      </c>
      <c r="M3980" t="s">
        <v>87</v>
      </c>
      <c r="N3980" t="s">
        <v>48</v>
      </c>
      <c r="O3980" t="s">
        <v>36</v>
      </c>
      <c r="P3980" t="s">
        <v>71</v>
      </c>
      <c r="Q3980" t="s">
        <v>59</v>
      </c>
      <c r="R3980">
        <v>342</v>
      </c>
      <c r="S3980">
        <v>131</v>
      </c>
      <c r="T3980">
        <v>85</v>
      </c>
      <c r="U3980">
        <v>19</v>
      </c>
      <c r="V3980" t="s">
        <v>1431</v>
      </c>
      <c r="W3980">
        <v>22944</v>
      </c>
      <c r="X3980" t="s">
        <v>1874</v>
      </c>
      <c r="Y3980">
        <v>20925</v>
      </c>
      <c r="Z3980">
        <v>435936</v>
      </c>
      <c r="AA3980">
        <v>38361</v>
      </c>
      <c r="AB3980" t="str">
        <f>(VLOOKUP(SalesData[[#This Row],[Month Number]],Reference!C$5:E$16,2,FALSE))</f>
        <v>Feb</v>
      </c>
      <c r="AC3980">
        <f>MONTH(SalesData[[#This Row],[Date]])</f>
        <v>2</v>
      </c>
      <c r="AD3980">
        <f>Reference!F$4</f>
        <v>2026</v>
      </c>
      <c r="AE3980" t="str">
        <f>IF(OR(SalesData[[#This Row],[Day]]="Saturday",SalesData[[#This Row],[Day]]="Sunday"),"Weekend","Weekday")</f>
        <v>Weekday</v>
      </c>
      <c r="AF3980" s="5">
        <f>IF(SalesData[[#This Row],[Contracts Offered]]=0,0,SalesData[[#This Row],[Contracts Signed]]/SalesData[[#This Row],[Contracts Offered]])</f>
        <v>0.22352941176470589</v>
      </c>
      <c r="AG3980" s="5">
        <f>IF(SalesData[[#This Row],[Customers Visited]]=0,0,SalesData[[#This Row],[Test Drives]]/SalesData[[#This Row],[Customers Visited]])</f>
        <v>0.38304093567251463</v>
      </c>
      <c r="AH3980" s="5">
        <f>IF(SalesData[[#This Row],[Customers Visited]]=0,0,SalesData[[#This Row],[Contracts Signed]]/SalesData[[#This Row],[Customers Visited]])</f>
        <v>5.5555555555555552E-2</v>
      </c>
      <c r="AI3980" s="6">
        <f>IF(SalesData[[#This Row],[Contracts Signed]]=0,0,SalesData[[#This Row],[Profit(€)]]/SalesData[[#This Row],[Contracts Signed]])</f>
        <v>2019</v>
      </c>
      <c r="AJ3980" s="5" t="str">
        <f>TRIM(CLEAN(SalesData[[#This Row],[Retailer]]))</f>
        <v>Main Auto Hub</v>
      </c>
    </row>
    <row r="3981" spans="1:36" ht="14.25" hidden="1" x14ac:dyDescent="0.2">
      <c r="A3981" t="s">
        <v>5221</v>
      </c>
      <c r="B3981" s="1">
        <v>46075</v>
      </c>
      <c r="C3981" t="s">
        <v>53</v>
      </c>
      <c r="D3981" t="s">
        <v>41</v>
      </c>
      <c r="E3981" t="s">
        <v>42</v>
      </c>
      <c r="F3981" t="s">
        <v>127</v>
      </c>
      <c r="G3981" t="s">
        <v>128</v>
      </c>
      <c r="H3981" t="s">
        <v>103</v>
      </c>
      <c r="I3981" t="s">
        <v>104</v>
      </c>
      <c r="J3981" t="s">
        <v>7061</v>
      </c>
      <c r="K3981" t="s">
        <v>91</v>
      </c>
      <c r="L3981" t="s">
        <v>46</v>
      </c>
      <c r="M3981" t="s">
        <v>87</v>
      </c>
      <c r="N3981" t="s">
        <v>69</v>
      </c>
      <c r="O3981" t="s">
        <v>36</v>
      </c>
      <c r="P3981" t="s">
        <v>49</v>
      </c>
      <c r="Q3981" t="s">
        <v>152</v>
      </c>
      <c r="R3981">
        <v>345</v>
      </c>
      <c r="S3981">
        <v>159</v>
      </c>
      <c r="T3981">
        <v>95</v>
      </c>
      <c r="U3981">
        <v>23</v>
      </c>
      <c r="V3981" t="s">
        <v>211</v>
      </c>
      <c r="W3981">
        <v>30206</v>
      </c>
      <c r="X3981" t="s">
        <v>1983</v>
      </c>
      <c r="Y3981">
        <v>26846</v>
      </c>
      <c r="Z3981">
        <v>694738</v>
      </c>
      <c r="AA3981">
        <v>77280</v>
      </c>
      <c r="AB3981" t="str">
        <f>(VLOOKUP(SalesData[[#This Row],[Month Number]],Reference!C$5:E$16,2,FALSE))</f>
        <v>Feb</v>
      </c>
      <c r="AC3981">
        <f>MONTH(SalesData[[#This Row],[Date]])</f>
        <v>2</v>
      </c>
      <c r="AD3981">
        <f>Reference!F$4</f>
        <v>2026</v>
      </c>
      <c r="AE3981" t="str">
        <f>IF(OR(SalesData[[#This Row],[Day]]="Saturday",SalesData[[#This Row],[Day]]="Sunday"),"Weekend","Weekday")</f>
        <v>Weekend</v>
      </c>
      <c r="AF3981" s="5">
        <f>IF(SalesData[[#This Row],[Contracts Offered]]=0,0,SalesData[[#This Row],[Contracts Signed]]/SalesData[[#This Row],[Contracts Offered]])</f>
        <v>0.24210526315789474</v>
      </c>
      <c r="AG3981" s="5">
        <f>IF(SalesData[[#This Row],[Customers Visited]]=0,0,SalesData[[#This Row],[Test Drives]]/SalesData[[#This Row],[Customers Visited]])</f>
        <v>0.46086956521739131</v>
      </c>
      <c r="AH3981" s="5">
        <f>IF(SalesData[[#This Row],[Customers Visited]]=0,0,SalesData[[#This Row],[Contracts Signed]]/SalesData[[#This Row],[Customers Visited]])</f>
        <v>6.6666666666666666E-2</v>
      </c>
      <c r="AI3981" s="6">
        <f>IF(SalesData[[#This Row],[Contracts Signed]]=0,0,SalesData[[#This Row],[Profit(€)]]/SalesData[[#This Row],[Contracts Signed]])</f>
        <v>3360</v>
      </c>
      <c r="AJ3981" s="5" t="str">
        <f>TRIM(CLEAN(SalesData[[#This Row],[Retailer]]))</f>
        <v>Rhein Auto Group</v>
      </c>
    </row>
    <row r="3982" spans="1:36" ht="14.25" hidden="1" x14ac:dyDescent="0.2">
      <c r="A3982" t="s">
        <v>5222</v>
      </c>
      <c r="B3982" s="1">
        <v>46078</v>
      </c>
      <c r="C3982" t="s">
        <v>53</v>
      </c>
      <c r="D3982" t="s">
        <v>82</v>
      </c>
      <c r="E3982" t="s">
        <v>26</v>
      </c>
      <c r="F3982" t="s">
        <v>127</v>
      </c>
      <c r="G3982" t="s">
        <v>128</v>
      </c>
      <c r="H3982" t="s">
        <v>103</v>
      </c>
      <c r="I3982" t="s">
        <v>64</v>
      </c>
      <c r="J3982" t="s">
        <v>77</v>
      </c>
      <c r="K3982" t="s">
        <v>66</v>
      </c>
      <c r="L3982" t="s">
        <v>46</v>
      </c>
      <c r="M3982" t="s">
        <v>87</v>
      </c>
      <c r="N3982" t="s">
        <v>35</v>
      </c>
      <c r="O3982" t="s">
        <v>36</v>
      </c>
      <c r="P3982" t="s">
        <v>37</v>
      </c>
      <c r="Q3982" t="s">
        <v>129</v>
      </c>
      <c r="R3982">
        <v>221</v>
      </c>
      <c r="S3982">
        <v>121</v>
      </c>
      <c r="T3982">
        <v>82</v>
      </c>
      <c r="U3982">
        <v>30</v>
      </c>
      <c r="V3982" t="s">
        <v>6927</v>
      </c>
      <c r="W3982">
        <v>70715</v>
      </c>
      <c r="X3982" t="s">
        <v>7453</v>
      </c>
      <c r="Y3982">
        <v>55533</v>
      </c>
      <c r="Z3982">
        <v>2121450</v>
      </c>
      <c r="AA3982">
        <v>455460</v>
      </c>
      <c r="AB3982" t="str">
        <f>(VLOOKUP(SalesData[[#This Row],[Month Number]],Reference!C$5:E$16,2,FALSE))</f>
        <v>Feb</v>
      </c>
      <c r="AC3982">
        <f>MONTH(SalesData[[#This Row],[Date]])</f>
        <v>2</v>
      </c>
      <c r="AD3982">
        <f>Reference!F$4</f>
        <v>2026</v>
      </c>
      <c r="AE3982" t="str">
        <f>IF(OR(SalesData[[#This Row],[Day]]="Saturday",SalesData[[#This Row],[Day]]="Sunday"),"Weekend","Weekday")</f>
        <v>Weekday</v>
      </c>
      <c r="AF3982" s="5">
        <f>IF(SalesData[[#This Row],[Contracts Offered]]=0,0,SalesData[[#This Row],[Contracts Signed]]/SalesData[[#This Row],[Contracts Offered]])</f>
        <v>0.36585365853658536</v>
      </c>
      <c r="AG3982" s="5">
        <f>IF(SalesData[[#This Row],[Customers Visited]]=0,0,SalesData[[#This Row],[Test Drives]]/SalesData[[#This Row],[Customers Visited]])</f>
        <v>0.54751131221719462</v>
      </c>
      <c r="AH3982" s="5">
        <f>IF(SalesData[[#This Row],[Customers Visited]]=0,0,SalesData[[#This Row],[Contracts Signed]]/SalesData[[#This Row],[Customers Visited]])</f>
        <v>0.13574660633484162</v>
      </c>
      <c r="AI3982" s="6">
        <f>IF(SalesData[[#This Row],[Contracts Signed]]=0,0,SalesData[[#This Row],[Profit(€)]]/SalesData[[#This Row],[Contracts Signed]])</f>
        <v>15182</v>
      </c>
      <c r="AJ3982" s="5" t="str">
        <f>TRIM(CLEAN(SalesData[[#This Row],[Retailer]]))</f>
        <v>Rhein Auto Group</v>
      </c>
    </row>
    <row r="3983" spans="1:36" ht="14.25" hidden="1" x14ac:dyDescent="0.2">
      <c r="A3983" t="s">
        <v>5223</v>
      </c>
      <c r="B3983" s="1">
        <v>46068</v>
      </c>
      <c r="C3983" t="s">
        <v>62</v>
      </c>
      <c r="D3983" t="s">
        <v>41</v>
      </c>
      <c r="E3983" t="s">
        <v>42</v>
      </c>
      <c r="F3983" t="s">
        <v>74</v>
      </c>
      <c r="G3983" t="s">
        <v>75</v>
      </c>
      <c r="H3983" t="s">
        <v>76</v>
      </c>
      <c r="I3983" t="s">
        <v>64</v>
      </c>
      <c r="J3983" t="s">
        <v>157</v>
      </c>
      <c r="K3983" t="s">
        <v>91</v>
      </c>
      <c r="L3983" t="s">
        <v>33</v>
      </c>
      <c r="M3983" t="s">
        <v>68</v>
      </c>
      <c r="N3983" t="s">
        <v>69</v>
      </c>
      <c r="O3983" t="s">
        <v>36</v>
      </c>
      <c r="P3983" t="s">
        <v>58</v>
      </c>
      <c r="Q3983" t="s">
        <v>122</v>
      </c>
      <c r="R3983">
        <v>147</v>
      </c>
      <c r="S3983">
        <v>74</v>
      </c>
      <c r="T3983">
        <v>55</v>
      </c>
      <c r="U3983">
        <v>20</v>
      </c>
      <c r="V3983" t="s">
        <v>6509</v>
      </c>
      <c r="W3983">
        <v>64079</v>
      </c>
      <c r="X3983" t="s">
        <v>7291</v>
      </c>
      <c r="Y3983">
        <v>49572</v>
      </c>
      <c r="Z3983">
        <v>1281580</v>
      </c>
      <c r="AA3983">
        <v>290140</v>
      </c>
      <c r="AB3983" t="str">
        <f>(VLOOKUP(SalesData[[#This Row],[Month Number]],Reference!C$5:E$16,2,FALSE))</f>
        <v>Feb</v>
      </c>
      <c r="AC3983">
        <f>MONTH(SalesData[[#This Row],[Date]])</f>
        <v>2</v>
      </c>
      <c r="AD3983">
        <f>Reference!F$4</f>
        <v>2026</v>
      </c>
      <c r="AE3983" t="str">
        <f>IF(OR(SalesData[[#This Row],[Day]]="Saturday",SalesData[[#This Row],[Day]]="Sunday"),"Weekend","Weekday")</f>
        <v>Weekend</v>
      </c>
      <c r="AF3983" s="5">
        <f>IF(SalesData[[#This Row],[Contracts Offered]]=0,0,SalesData[[#This Row],[Contracts Signed]]/SalesData[[#This Row],[Contracts Offered]])</f>
        <v>0.36363636363636365</v>
      </c>
      <c r="AG3983" s="5">
        <f>IF(SalesData[[#This Row],[Customers Visited]]=0,0,SalesData[[#This Row],[Test Drives]]/SalesData[[#This Row],[Customers Visited]])</f>
        <v>0.50340136054421769</v>
      </c>
      <c r="AH3983" s="5">
        <f>IF(SalesData[[#This Row],[Customers Visited]]=0,0,SalesData[[#This Row],[Contracts Signed]]/SalesData[[#This Row],[Customers Visited]])</f>
        <v>0.1360544217687075</v>
      </c>
      <c r="AI3983" s="6">
        <f>IF(SalesData[[#This Row],[Contracts Signed]]=0,0,SalesData[[#This Row],[Profit(€)]]/SalesData[[#This Row],[Contracts Signed]])</f>
        <v>14507</v>
      </c>
      <c r="AJ3983" s="5" t="str">
        <f>TRIM(CLEAN(SalesData[[#This Row],[Retailer]]))</f>
        <v>Stuttgart Auto Center</v>
      </c>
    </row>
    <row r="3984" spans="1:36" ht="14.25" x14ac:dyDescent="0.2">
      <c r="A3984" t="s">
        <v>5224</v>
      </c>
      <c r="B3984" s="1">
        <v>46063</v>
      </c>
      <c r="C3984" t="s">
        <v>121</v>
      </c>
      <c r="D3984" t="s">
        <v>63</v>
      </c>
      <c r="E3984" t="s">
        <v>26</v>
      </c>
      <c r="F3984" t="s">
        <v>127</v>
      </c>
      <c r="G3984" t="s">
        <v>128</v>
      </c>
      <c r="H3984" t="s">
        <v>103</v>
      </c>
      <c r="I3984" t="s">
        <v>30</v>
      </c>
      <c r="J3984" t="s">
        <v>7075</v>
      </c>
      <c r="K3984" t="s">
        <v>91</v>
      </c>
      <c r="L3984" t="s">
        <v>33</v>
      </c>
      <c r="M3984" t="s">
        <v>87</v>
      </c>
      <c r="N3984" t="s">
        <v>35</v>
      </c>
      <c r="O3984" t="s">
        <v>36</v>
      </c>
      <c r="P3984" t="s">
        <v>71</v>
      </c>
      <c r="Q3984" t="s">
        <v>204</v>
      </c>
      <c r="R3984">
        <v>147</v>
      </c>
      <c r="S3984">
        <v>77</v>
      </c>
      <c r="T3984">
        <v>59</v>
      </c>
      <c r="U3984">
        <v>25</v>
      </c>
      <c r="V3984" t="s">
        <v>7616</v>
      </c>
      <c r="W3984">
        <v>54937</v>
      </c>
      <c r="X3984" t="s">
        <v>7274</v>
      </c>
      <c r="Y3984">
        <v>42252</v>
      </c>
      <c r="Z3984">
        <v>1373425</v>
      </c>
      <c r="AA3984">
        <v>317125</v>
      </c>
      <c r="AB3984" t="str">
        <f>(VLOOKUP(SalesData[[#This Row],[Month Number]],Reference!C$5:E$16,2,FALSE))</f>
        <v>Feb</v>
      </c>
      <c r="AC3984">
        <f>MONTH(SalesData[[#This Row],[Date]])</f>
        <v>2</v>
      </c>
      <c r="AD3984">
        <f>Reference!F$4</f>
        <v>2026</v>
      </c>
      <c r="AE3984" t="str">
        <f>IF(OR(SalesData[[#This Row],[Day]]="Saturday",SalesData[[#This Row],[Day]]="Sunday"),"Weekend","Weekday")</f>
        <v>Weekday</v>
      </c>
      <c r="AF3984" s="5">
        <f>IF(SalesData[[#This Row],[Contracts Offered]]=0,0,SalesData[[#This Row],[Contracts Signed]]/SalesData[[#This Row],[Contracts Offered]])</f>
        <v>0.42372881355932202</v>
      </c>
      <c r="AG3984" s="5">
        <f>IF(SalesData[[#This Row],[Customers Visited]]=0,0,SalesData[[#This Row],[Test Drives]]/SalesData[[#This Row],[Customers Visited]])</f>
        <v>0.52380952380952384</v>
      </c>
      <c r="AH3984" s="5">
        <f>IF(SalesData[[#This Row],[Customers Visited]]=0,0,SalesData[[#This Row],[Contracts Signed]]/SalesData[[#This Row],[Customers Visited]])</f>
        <v>0.17006802721088435</v>
      </c>
      <c r="AI3984" s="6">
        <f>IF(SalesData[[#This Row],[Contracts Signed]]=0,0,SalesData[[#This Row],[Profit(€)]]/SalesData[[#This Row],[Contracts Signed]])</f>
        <v>12685</v>
      </c>
      <c r="AJ3984" s="5" t="str">
        <f>TRIM(CLEAN(SalesData[[#This Row],[Retailer]]))</f>
        <v>Rhein Auto Group</v>
      </c>
    </row>
    <row r="3985" spans="1:36" ht="14.25" hidden="1" x14ac:dyDescent="0.2">
      <c r="A3985" t="s">
        <v>5225</v>
      </c>
      <c r="B3985" s="1">
        <v>46055</v>
      </c>
      <c r="C3985" t="s">
        <v>24</v>
      </c>
      <c r="D3985" t="s">
        <v>25</v>
      </c>
      <c r="E3985" t="s">
        <v>26</v>
      </c>
      <c r="F3985" t="s">
        <v>7649</v>
      </c>
      <c r="G3985" t="s">
        <v>55</v>
      </c>
      <c r="H3985" t="s">
        <v>55</v>
      </c>
      <c r="I3985" t="s">
        <v>64</v>
      </c>
      <c r="J3985" t="s">
        <v>157</v>
      </c>
      <c r="K3985" t="s">
        <v>66</v>
      </c>
      <c r="L3985" t="s">
        <v>33</v>
      </c>
      <c r="M3985" t="s">
        <v>34</v>
      </c>
      <c r="N3985" t="s">
        <v>69</v>
      </c>
      <c r="O3985" t="s">
        <v>70</v>
      </c>
      <c r="P3985" t="s">
        <v>58</v>
      </c>
      <c r="Q3985" t="s">
        <v>135</v>
      </c>
      <c r="R3985">
        <v>256</v>
      </c>
      <c r="S3985">
        <v>142</v>
      </c>
      <c r="T3985">
        <v>99</v>
      </c>
      <c r="U3985">
        <v>44</v>
      </c>
      <c r="V3985" t="s">
        <v>7617</v>
      </c>
      <c r="W3985">
        <v>68317</v>
      </c>
      <c r="X3985" t="s">
        <v>7567</v>
      </c>
      <c r="Y3985">
        <v>53968</v>
      </c>
      <c r="Z3985">
        <v>3005948</v>
      </c>
      <c r="AA3985">
        <v>631356</v>
      </c>
      <c r="AB3985" t="str">
        <f>(VLOOKUP(SalesData[[#This Row],[Month Number]],Reference!C$5:E$16,2,FALSE))</f>
        <v>Feb</v>
      </c>
      <c r="AC3985">
        <f>MONTH(SalesData[[#This Row],[Date]])</f>
        <v>2</v>
      </c>
      <c r="AD3985">
        <f>Reference!F$4</f>
        <v>2026</v>
      </c>
      <c r="AE3985" t="str">
        <f>IF(OR(SalesData[[#This Row],[Day]]="Saturday",SalesData[[#This Row],[Day]]="Sunday"),"Weekend","Weekday")</f>
        <v>Weekday</v>
      </c>
      <c r="AF3985" s="5">
        <f>IF(SalesData[[#This Row],[Contracts Offered]]=0,0,SalesData[[#This Row],[Contracts Signed]]/SalesData[[#This Row],[Contracts Offered]])</f>
        <v>0.44444444444444442</v>
      </c>
      <c r="AG3985" s="5">
        <f>IF(SalesData[[#This Row],[Customers Visited]]=0,0,SalesData[[#This Row],[Test Drives]]/SalesData[[#This Row],[Customers Visited]])</f>
        <v>0.5546875</v>
      </c>
      <c r="AH3985" s="5">
        <f>IF(SalesData[[#This Row],[Customers Visited]]=0,0,SalesData[[#This Row],[Contracts Signed]]/SalesData[[#This Row],[Customers Visited]])</f>
        <v>0.171875</v>
      </c>
      <c r="AI3985" s="6">
        <f>IF(SalesData[[#This Row],[Contracts Signed]]=0,0,SalesData[[#This Row],[Profit(€)]]/SalesData[[#This Row],[Contracts Signed]])</f>
        <v>14349</v>
      </c>
      <c r="AJ3985" s="5" t="str">
        <f>TRIM(CLEAN(SalesData[[#This Row],[Retailer]]))</f>
        <v>Autohaus Berlin</v>
      </c>
    </row>
    <row r="3986" spans="1:36" ht="14.25" x14ac:dyDescent="0.2">
      <c r="A3986" t="s">
        <v>5226</v>
      </c>
      <c r="B3986" s="1">
        <v>46060</v>
      </c>
      <c r="C3986" t="s">
        <v>24</v>
      </c>
      <c r="D3986" t="s">
        <v>151</v>
      </c>
      <c r="E3986" t="s">
        <v>42</v>
      </c>
      <c r="F3986" t="s">
        <v>83</v>
      </c>
      <c r="G3986" t="s">
        <v>84</v>
      </c>
      <c r="H3986" t="s">
        <v>85</v>
      </c>
      <c r="I3986" t="s">
        <v>30</v>
      </c>
      <c r="J3986" t="s">
        <v>188</v>
      </c>
      <c r="K3986" t="s">
        <v>91</v>
      </c>
      <c r="L3986" t="s">
        <v>33</v>
      </c>
      <c r="M3986" t="s">
        <v>34</v>
      </c>
      <c r="N3986" t="s">
        <v>69</v>
      </c>
      <c r="O3986" t="s">
        <v>70</v>
      </c>
      <c r="P3986" t="s">
        <v>49</v>
      </c>
      <c r="Q3986" t="s">
        <v>59</v>
      </c>
      <c r="R3986">
        <v>171</v>
      </c>
      <c r="S3986">
        <v>84</v>
      </c>
      <c r="T3986">
        <v>68</v>
      </c>
      <c r="U3986">
        <v>23</v>
      </c>
      <c r="V3986" t="s">
        <v>6944</v>
      </c>
      <c r="W3986">
        <v>52923</v>
      </c>
      <c r="X3986" t="s">
        <v>7238</v>
      </c>
      <c r="Y3986">
        <v>39166</v>
      </c>
      <c r="Z3986">
        <v>1217229</v>
      </c>
      <c r="AA3986">
        <v>316411</v>
      </c>
      <c r="AB3986" t="str">
        <f>(VLOOKUP(SalesData[[#This Row],[Month Number]],Reference!C$5:E$16,2,FALSE))</f>
        <v>Feb</v>
      </c>
      <c r="AC3986">
        <f>MONTH(SalesData[[#This Row],[Date]])</f>
        <v>2</v>
      </c>
      <c r="AD3986">
        <f>Reference!F$4</f>
        <v>2026</v>
      </c>
      <c r="AE3986" t="str">
        <f>IF(OR(SalesData[[#This Row],[Day]]="Saturday",SalesData[[#This Row],[Day]]="Sunday"),"Weekend","Weekday")</f>
        <v>Weekend</v>
      </c>
      <c r="AF3986" s="5">
        <f>IF(SalesData[[#This Row],[Contracts Offered]]=0,0,SalesData[[#This Row],[Contracts Signed]]/SalesData[[#This Row],[Contracts Offered]])</f>
        <v>0.33823529411764708</v>
      </c>
      <c r="AG3986" s="5">
        <f>IF(SalesData[[#This Row],[Customers Visited]]=0,0,SalesData[[#This Row],[Test Drives]]/SalesData[[#This Row],[Customers Visited]])</f>
        <v>0.49122807017543857</v>
      </c>
      <c r="AH3986" s="5">
        <f>IF(SalesData[[#This Row],[Customers Visited]]=0,0,SalesData[[#This Row],[Contracts Signed]]/SalesData[[#This Row],[Customers Visited]])</f>
        <v>0.13450292397660818</v>
      </c>
      <c r="AI3986" s="6">
        <f>IF(SalesData[[#This Row],[Contracts Signed]]=0,0,SalesData[[#This Row],[Profit(€)]]/SalesData[[#This Row],[Contracts Signed]])</f>
        <v>13757</v>
      </c>
      <c r="AJ3986" s="5" t="str">
        <f>TRIM(CLEAN(SalesData[[#This Row],[Retailer]]))</f>
        <v>Hannover Cars</v>
      </c>
    </row>
    <row r="3987" spans="1:36" ht="14.25" hidden="1" x14ac:dyDescent="0.2">
      <c r="A3987" t="s">
        <v>5227</v>
      </c>
      <c r="B3987" s="1">
        <v>46071</v>
      </c>
      <c r="C3987" t="s">
        <v>62</v>
      </c>
      <c r="D3987" t="s">
        <v>82</v>
      </c>
      <c r="E3987" t="s">
        <v>26</v>
      </c>
      <c r="F3987" t="s">
        <v>74</v>
      </c>
      <c r="G3987" t="s">
        <v>75</v>
      </c>
      <c r="H3987" t="s">
        <v>76</v>
      </c>
      <c r="I3987" t="s">
        <v>104</v>
      </c>
      <c r="J3987" t="s">
        <v>143</v>
      </c>
      <c r="K3987" t="s">
        <v>78</v>
      </c>
      <c r="L3987" t="s">
        <v>67</v>
      </c>
      <c r="M3987" t="s">
        <v>34</v>
      </c>
      <c r="N3987" t="s">
        <v>69</v>
      </c>
      <c r="O3987" t="s">
        <v>36</v>
      </c>
      <c r="P3987" t="s">
        <v>37</v>
      </c>
      <c r="Q3987" t="s">
        <v>172</v>
      </c>
      <c r="R3987">
        <v>449</v>
      </c>
      <c r="S3987">
        <v>230</v>
      </c>
      <c r="T3987">
        <v>149</v>
      </c>
      <c r="U3987">
        <v>34</v>
      </c>
      <c r="V3987" t="s">
        <v>3153</v>
      </c>
      <c r="W3987">
        <v>31279</v>
      </c>
      <c r="X3987" t="s">
        <v>977</v>
      </c>
      <c r="Y3987">
        <v>27707</v>
      </c>
      <c r="Z3987">
        <v>1063486</v>
      </c>
      <c r="AA3987">
        <v>121448</v>
      </c>
      <c r="AB3987" t="str">
        <f>(VLOOKUP(SalesData[[#This Row],[Month Number]],Reference!C$5:E$16,2,FALSE))</f>
        <v>Feb</v>
      </c>
      <c r="AC3987">
        <f>MONTH(SalesData[[#This Row],[Date]])</f>
        <v>2</v>
      </c>
      <c r="AD3987">
        <f>Reference!F$4</f>
        <v>2026</v>
      </c>
      <c r="AE3987" t="str">
        <f>IF(OR(SalesData[[#This Row],[Day]]="Saturday",SalesData[[#This Row],[Day]]="Sunday"),"Weekend","Weekday")</f>
        <v>Weekday</v>
      </c>
      <c r="AF3987" s="5">
        <f>IF(SalesData[[#This Row],[Contracts Offered]]=0,0,SalesData[[#This Row],[Contracts Signed]]/SalesData[[#This Row],[Contracts Offered]])</f>
        <v>0.22818791946308725</v>
      </c>
      <c r="AG3987" s="5">
        <f>IF(SalesData[[#This Row],[Customers Visited]]=0,0,SalesData[[#This Row],[Test Drives]]/SalesData[[#This Row],[Customers Visited]])</f>
        <v>0.51224944320712695</v>
      </c>
      <c r="AH3987" s="5">
        <f>IF(SalesData[[#This Row],[Customers Visited]]=0,0,SalesData[[#This Row],[Contracts Signed]]/SalesData[[#This Row],[Customers Visited]])</f>
        <v>7.5723830734966593E-2</v>
      </c>
      <c r="AI3987" s="6">
        <f>IF(SalesData[[#This Row],[Contracts Signed]]=0,0,SalesData[[#This Row],[Profit(€)]]/SalesData[[#This Row],[Contracts Signed]])</f>
        <v>3572</v>
      </c>
      <c r="AJ3987" s="5" t="str">
        <f>TRIM(CLEAN(SalesData[[#This Row],[Retailer]]))</f>
        <v>Stuttgart Auto Center</v>
      </c>
    </row>
    <row r="3988" spans="1:36" ht="14.25" hidden="1" x14ac:dyDescent="0.2">
      <c r="A3988" t="s">
        <v>5228</v>
      </c>
      <c r="B3988" s="1">
        <v>46075</v>
      </c>
      <c r="C3988" t="s">
        <v>53</v>
      </c>
      <c r="D3988" t="s">
        <v>41</v>
      </c>
      <c r="E3988" t="s">
        <v>42</v>
      </c>
      <c r="F3988" t="s">
        <v>94</v>
      </c>
      <c r="G3988" t="s">
        <v>95</v>
      </c>
      <c r="H3988" t="s">
        <v>96</v>
      </c>
      <c r="I3988" t="s">
        <v>64</v>
      </c>
      <c r="J3988" t="s">
        <v>65</v>
      </c>
      <c r="K3988" t="s">
        <v>91</v>
      </c>
      <c r="L3988" t="s">
        <v>33</v>
      </c>
      <c r="M3988" t="s">
        <v>87</v>
      </c>
      <c r="N3988" t="s">
        <v>35</v>
      </c>
      <c r="O3988" t="s">
        <v>70</v>
      </c>
      <c r="P3988" t="s">
        <v>37</v>
      </c>
      <c r="Q3988" t="s">
        <v>122</v>
      </c>
      <c r="R3988">
        <v>180</v>
      </c>
      <c r="S3988">
        <v>81</v>
      </c>
      <c r="T3988">
        <v>61</v>
      </c>
      <c r="U3988">
        <v>18</v>
      </c>
      <c r="V3988" t="s">
        <v>6433</v>
      </c>
      <c r="W3988">
        <v>61655</v>
      </c>
      <c r="X3988" t="s">
        <v>7593</v>
      </c>
      <c r="Y3988">
        <v>48008</v>
      </c>
      <c r="Z3988">
        <v>1109790</v>
      </c>
      <c r="AA3988">
        <v>245646</v>
      </c>
      <c r="AB3988" t="str">
        <f>(VLOOKUP(SalesData[[#This Row],[Month Number]],Reference!C$5:E$16,2,FALSE))</f>
        <v>Feb</v>
      </c>
      <c r="AC3988">
        <f>MONTH(SalesData[[#This Row],[Date]])</f>
        <v>2</v>
      </c>
      <c r="AD3988">
        <f>Reference!F$4</f>
        <v>2026</v>
      </c>
      <c r="AE3988" t="str">
        <f>IF(OR(SalesData[[#This Row],[Day]]="Saturday",SalesData[[#This Row],[Day]]="Sunday"),"Weekend","Weekday")</f>
        <v>Weekend</v>
      </c>
      <c r="AF3988" s="5">
        <f>IF(SalesData[[#This Row],[Contracts Offered]]=0,0,SalesData[[#This Row],[Contracts Signed]]/SalesData[[#This Row],[Contracts Offered]])</f>
        <v>0.29508196721311475</v>
      </c>
      <c r="AG3988" s="5">
        <f>IF(SalesData[[#This Row],[Customers Visited]]=0,0,SalesData[[#This Row],[Test Drives]]/SalesData[[#This Row],[Customers Visited]])</f>
        <v>0.45</v>
      </c>
      <c r="AH3988" s="5">
        <f>IF(SalesData[[#This Row],[Customers Visited]]=0,0,SalesData[[#This Row],[Contracts Signed]]/SalesData[[#This Row],[Customers Visited]])</f>
        <v>0.1</v>
      </c>
      <c r="AI3988" s="6">
        <f>IF(SalesData[[#This Row],[Contracts Signed]]=0,0,SalesData[[#This Row],[Profit(€)]]/SalesData[[#This Row],[Contracts Signed]])</f>
        <v>13647</v>
      </c>
      <c r="AJ3988" s="5" t="str">
        <f>TRIM(CLEAN(SalesData[[#This Row],[Retailer]]))</f>
        <v>Bavaria Motors</v>
      </c>
    </row>
    <row r="3989" spans="1:36" ht="14.25" hidden="1" x14ac:dyDescent="0.2">
      <c r="A3989" t="s">
        <v>5229</v>
      </c>
      <c r="B3989" s="1">
        <v>46070</v>
      </c>
      <c r="C3989" t="s">
        <v>62</v>
      </c>
      <c r="D3989" t="s">
        <v>63</v>
      </c>
      <c r="E3989" t="s">
        <v>26</v>
      </c>
      <c r="F3989" t="s">
        <v>94</v>
      </c>
      <c r="G3989" t="s">
        <v>95</v>
      </c>
      <c r="H3989" t="s">
        <v>96</v>
      </c>
      <c r="I3989" t="s">
        <v>104</v>
      </c>
      <c r="J3989" t="s">
        <v>143</v>
      </c>
      <c r="K3989" t="s">
        <v>78</v>
      </c>
      <c r="L3989" t="s">
        <v>67</v>
      </c>
      <c r="M3989" t="s">
        <v>68</v>
      </c>
      <c r="N3989" t="s">
        <v>35</v>
      </c>
      <c r="O3989" t="s">
        <v>70</v>
      </c>
      <c r="P3989" t="s">
        <v>37</v>
      </c>
      <c r="Q3989" t="s">
        <v>88</v>
      </c>
      <c r="R3989">
        <v>309</v>
      </c>
      <c r="S3989">
        <v>174</v>
      </c>
      <c r="T3989">
        <v>116</v>
      </c>
      <c r="U3989">
        <v>32</v>
      </c>
      <c r="V3989" t="s">
        <v>1228</v>
      </c>
      <c r="W3989">
        <v>30808</v>
      </c>
      <c r="X3989" t="s">
        <v>4529</v>
      </c>
      <c r="Y3989">
        <v>26927</v>
      </c>
      <c r="Z3989">
        <v>985856</v>
      </c>
      <c r="AA3989">
        <v>124192</v>
      </c>
      <c r="AB3989" t="str">
        <f>(VLOOKUP(SalesData[[#This Row],[Month Number]],Reference!C$5:E$16,2,FALSE))</f>
        <v>Feb</v>
      </c>
      <c r="AC3989">
        <f>MONTH(SalesData[[#This Row],[Date]])</f>
        <v>2</v>
      </c>
      <c r="AD3989">
        <f>Reference!F$4</f>
        <v>2026</v>
      </c>
      <c r="AE3989" t="str">
        <f>IF(OR(SalesData[[#This Row],[Day]]="Saturday",SalesData[[#This Row],[Day]]="Sunday"),"Weekend","Weekday")</f>
        <v>Weekday</v>
      </c>
      <c r="AF3989" s="5">
        <f>IF(SalesData[[#This Row],[Contracts Offered]]=0,0,SalesData[[#This Row],[Contracts Signed]]/SalesData[[#This Row],[Contracts Offered]])</f>
        <v>0.27586206896551724</v>
      </c>
      <c r="AG3989" s="5">
        <f>IF(SalesData[[#This Row],[Customers Visited]]=0,0,SalesData[[#This Row],[Test Drives]]/SalesData[[#This Row],[Customers Visited]])</f>
        <v>0.56310679611650483</v>
      </c>
      <c r="AH3989" s="5">
        <f>IF(SalesData[[#This Row],[Customers Visited]]=0,0,SalesData[[#This Row],[Contracts Signed]]/SalesData[[#This Row],[Customers Visited]])</f>
        <v>0.10355987055016182</v>
      </c>
      <c r="AI3989" s="6">
        <f>IF(SalesData[[#This Row],[Contracts Signed]]=0,0,SalesData[[#This Row],[Profit(€)]]/SalesData[[#This Row],[Contracts Signed]])</f>
        <v>3881</v>
      </c>
      <c r="AJ3989" s="5" t="str">
        <f>TRIM(CLEAN(SalesData[[#This Row],[Retailer]]))</f>
        <v>Bavaria Motors</v>
      </c>
    </row>
    <row r="3990" spans="1:36" ht="14.25" hidden="1" x14ac:dyDescent="0.2">
      <c r="A3990" t="s">
        <v>5230</v>
      </c>
      <c r="B3990" s="1">
        <v>46063</v>
      </c>
      <c r="C3990" t="s">
        <v>121</v>
      </c>
      <c r="D3990" t="s">
        <v>63</v>
      </c>
      <c r="E3990" t="s">
        <v>26</v>
      </c>
      <c r="F3990" t="s">
        <v>27</v>
      </c>
      <c r="G3990" t="s">
        <v>28</v>
      </c>
      <c r="H3990" t="s">
        <v>29</v>
      </c>
      <c r="I3990" t="s">
        <v>104</v>
      </c>
      <c r="J3990" t="s">
        <v>7061</v>
      </c>
      <c r="K3990" t="s">
        <v>66</v>
      </c>
      <c r="L3990" t="s">
        <v>46</v>
      </c>
      <c r="M3990" t="s">
        <v>87</v>
      </c>
      <c r="N3990" t="s">
        <v>35</v>
      </c>
      <c r="O3990" t="s">
        <v>70</v>
      </c>
      <c r="P3990" t="s">
        <v>37</v>
      </c>
      <c r="Q3990" t="s">
        <v>118</v>
      </c>
      <c r="R3990">
        <v>437</v>
      </c>
      <c r="S3990">
        <v>236</v>
      </c>
      <c r="T3990">
        <v>159</v>
      </c>
      <c r="U3990">
        <v>35</v>
      </c>
      <c r="V3990" t="s">
        <v>6922</v>
      </c>
      <c r="W3990">
        <v>28650</v>
      </c>
      <c r="X3990" t="s">
        <v>1732</v>
      </c>
      <c r="Y3990">
        <v>24969</v>
      </c>
      <c r="Z3990">
        <v>1002750</v>
      </c>
      <c r="AA3990">
        <v>128835</v>
      </c>
      <c r="AB3990" t="str">
        <f>(VLOOKUP(SalesData[[#This Row],[Month Number]],Reference!C$5:E$16,2,FALSE))</f>
        <v>Feb</v>
      </c>
      <c r="AC3990">
        <f>MONTH(SalesData[[#This Row],[Date]])</f>
        <v>2</v>
      </c>
      <c r="AD3990">
        <f>Reference!F$4</f>
        <v>2026</v>
      </c>
      <c r="AE3990" t="str">
        <f>IF(OR(SalesData[[#This Row],[Day]]="Saturday",SalesData[[#This Row],[Day]]="Sunday"),"Weekend","Weekday")</f>
        <v>Weekday</v>
      </c>
      <c r="AF3990" s="5">
        <f>IF(SalesData[[#This Row],[Contracts Offered]]=0,0,SalesData[[#This Row],[Contracts Signed]]/SalesData[[#This Row],[Contracts Offered]])</f>
        <v>0.22012578616352202</v>
      </c>
      <c r="AG3990" s="5">
        <f>IF(SalesData[[#This Row],[Customers Visited]]=0,0,SalesData[[#This Row],[Test Drives]]/SalesData[[#This Row],[Customers Visited]])</f>
        <v>0.54004576659038905</v>
      </c>
      <c r="AH3990" s="5">
        <f>IF(SalesData[[#This Row],[Customers Visited]]=0,0,SalesData[[#This Row],[Contracts Signed]]/SalesData[[#This Row],[Customers Visited]])</f>
        <v>8.0091533180778038E-2</v>
      </c>
      <c r="AI3990" s="6">
        <f>IF(SalesData[[#This Row],[Contracts Signed]]=0,0,SalesData[[#This Row],[Profit(€)]]/SalesData[[#This Row],[Contracts Signed]])</f>
        <v>3681</v>
      </c>
      <c r="AJ3990" s="5" t="str">
        <f>TRIM(CLEAN(SalesData[[#This Row],[Retailer]]))</f>
        <v>Main Auto Hub</v>
      </c>
    </row>
    <row r="3991" spans="1:36" ht="14.25" hidden="1" x14ac:dyDescent="0.2">
      <c r="A3991" t="s">
        <v>5231</v>
      </c>
      <c r="B3991" s="1">
        <v>46077</v>
      </c>
      <c r="C3991" t="s">
        <v>53</v>
      </c>
      <c r="D3991" t="s">
        <v>63</v>
      </c>
      <c r="E3991" t="s">
        <v>26</v>
      </c>
      <c r="F3991" t="s">
        <v>94</v>
      </c>
      <c r="G3991" t="s">
        <v>95</v>
      </c>
      <c r="H3991" t="s">
        <v>96</v>
      </c>
      <c r="I3991" t="s">
        <v>56</v>
      </c>
      <c r="J3991" t="s">
        <v>179</v>
      </c>
      <c r="K3991" t="s">
        <v>91</v>
      </c>
      <c r="L3991" t="s">
        <v>67</v>
      </c>
      <c r="M3991" t="s">
        <v>47</v>
      </c>
      <c r="N3991" t="s">
        <v>48</v>
      </c>
      <c r="O3991" t="s">
        <v>36</v>
      </c>
      <c r="P3991" t="s">
        <v>71</v>
      </c>
      <c r="Q3991" t="s">
        <v>152</v>
      </c>
      <c r="R3991">
        <v>203</v>
      </c>
      <c r="S3991">
        <v>99</v>
      </c>
      <c r="T3991">
        <v>71</v>
      </c>
      <c r="U3991">
        <v>24</v>
      </c>
      <c r="V3991" t="s">
        <v>6429</v>
      </c>
      <c r="W3991">
        <v>47415</v>
      </c>
      <c r="X3991" t="s">
        <v>7116</v>
      </c>
      <c r="Y3991">
        <v>37356</v>
      </c>
      <c r="Z3991">
        <v>1137960</v>
      </c>
      <c r="AA3991">
        <v>241416</v>
      </c>
      <c r="AB3991" t="str">
        <f>(VLOOKUP(SalesData[[#This Row],[Month Number]],Reference!C$5:E$16,2,FALSE))</f>
        <v>Feb</v>
      </c>
      <c r="AC3991">
        <f>MONTH(SalesData[[#This Row],[Date]])</f>
        <v>2</v>
      </c>
      <c r="AD3991">
        <f>Reference!F$4</f>
        <v>2026</v>
      </c>
      <c r="AE3991" t="str">
        <f>IF(OR(SalesData[[#This Row],[Day]]="Saturday",SalesData[[#This Row],[Day]]="Sunday"),"Weekend","Weekday")</f>
        <v>Weekday</v>
      </c>
      <c r="AF3991" s="5">
        <f>IF(SalesData[[#This Row],[Contracts Offered]]=0,0,SalesData[[#This Row],[Contracts Signed]]/SalesData[[#This Row],[Contracts Offered]])</f>
        <v>0.3380281690140845</v>
      </c>
      <c r="AG3991" s="5">
        <f>IF(SalesData[[#This Row],[Customers Visited]]=0,0,SalesData[[#This Row],[Test Drives]]/SalesData[[#This Row],[Customers Visited]])</f>
        <v>0.48768472906403942</v>
      </c>
      <c r="AH3991" s="5">
        <f>IF(SalesData[[#This Row],[Customers Visited]]=0,0,SalesData[[#This Row],[Contracts Signed]]/SalesData[[#This Row],[Customers Visited]])</f>
        <v>0.11822660098522167</v>
      </c>
      <c r="AI3991" s="6">
        <f>IF(SalesData[[#This Row],[Contracts Signed]]=0,0,SalesData[[#This Row],[Profit(€)]]/SalesData[[#This Row],[Contracts Signed]])</f>
        <v>10059</v>
      </c>
      <c r="AJ3991" s="5" t="str">
        <f>TRIM(CLEAN(SalesData[[#This Row],[Retailer]]))</f>
        <v>Bavaria Motors</v>
      </c>
    </row>
    <row r="3992" spans="1:36" ht="14.25" hidden="1" x14ac:dyDescent="0.2">
      <c r="A3992" t="s">
        <v>5232</v>
      </c>
      <c r="B3992" s="1">
        <v>46056</v>
      </c>
      <c r="C3992" t="s">
        <v>24</v>
      </c>
      <c r="D3992" t="s">
        <v>63</v>
      </c>
      <c r="E3992" t="s">
        <v>26</v>
      </c>
      <c r="F3992" t="s">
        <v>127</v>
      </c>
      <c r="G3992" t="s">
        <v>128</v>
      </c>
      <c r="H3992" t="s">
        <v>103</v>
      </c>
      <c r="I3992" t="s">
        <v>116</v>
      </c>
      <c r="J3992" t="s">
        <v>117</v>
      </c>
      <c r="K3992" t="s">
        <v>91</v>
      </c>
      <c r="L3992" t="s">
        <v>67</v>
      </c>
      <c r="M3992" t="s">
        <v>87</v>
      </c>
      <c r="N3992" t="s">
        <v>48</v>
      </c>
      <c r="O3992" t="s">
        <v>70</v>
      </c>
      <c r="P3992" t="s">
        <v>37</v>
      </c>
      <c r="Q3992" t="s">
        <v>144</v>
      </c>
      <c r="R3992">
        <v>390</v>
      </c>
      <c r="S3992">
        <v>174</v>
      </c>
      <c r="T3992">
        <v>101</v>
      </c>
      <c r="U3992">
        <v>28</v>
      </c>
      <c r="V3992" t="s">
        <v>365</v>
      </c>
      <c r="W3992">
        <v>24932</v>
      </c>
      <c r="X3992" t="s">
        <v>640</v>
      </c>
      <c r="Y3992">
        <v>22436</v>
      </c>
      <c r="Z3992">
        <v>698096</v>
      </c>
      <c r="AA3992">
        <v>69888</v>
      </c>
      <c r="AB3992" t="str">
        <f>(VLOOKUP(SalesData[[#This Row],[Month Number]],Reference!C$5:E$16,2,FALSE))</f>
        <v>Feb</v>
      </c>
      <c r="AC3992">
        <f>MONTH(SalesData[[#This Row],[Date]])</f>
        <v>2</v>
      </c>
      <c r="AD3992">
        <f>Reference!F$4</f>
        <v>2026</v>
      </c>
      <c r="AE3992" t="str">
        <f>IF(OR(SalesData[[#This Row],[Day]]="Saturday",SalesData[[#This Row],[Day]]="Sunday"),"Weekend","Weekday")</f>
        <v>Weekday</v>
      </c>
      <c r="AF3992" s="5">
        <f>IF(SalesData[[#This Row],[Contracts Offered]]=0,0,SalesData[[#This Row],[Contracts Signed]]/SalesData[[#This Row],[Contracts Offered]])</f>
        <v>0.27722772277227725</v>
      </c>
      <c r="AG3992" s="5">
        <f>IF(SalesData[[#This Row],[Customers Visited]]=0,0,SalesData[[#This Row],[Test Drives]]/SalesData[[#This Row],[Customers Visited]])</f>
        <v>0.44615384615384618</v>
      </c>
      <c r="AH3992" s="5">
        <f>IF(SalesData[[#This Row],[Customers Visited]]=0,0,SalesData[[#This Row],[Contracts Signed]]/SalesData[[#This Row],[Customers Visited]])</f>
        <v>7.179487179487179E-2</v>
      </c>
      <c r="AI3992" s="6">
        <f>IF(SalesData[[#This Row],[Contracts Signed]]=0,0,SalesData[[#This Row],[Profit(€)]]/SalesData[[#This Row],[Contracts Signed]])</f>
        <v>2496</v>
      </c>
      <c r="AJ3992" s="5" t="str">
        <f>TRIM(CLEAN(SalesData[[#This Row],[Retailer]]))</f>
        <v>Rhein Auto Group</v>
      </c>
    </row>
    <row r="3993" spans="1:36" ht="14.25" hidden="1" x14ac:dyDescent="0.2">
      <c r="A3993" t="s">
        <v>5233</v>
      </c>
      <c r="B3993" s="1">
        <v>46058</v>
      </c>
      <c r="C3993" t="s">
        <v>24</v>
      </c>
      <c r="D3993" t="s">
        <v>100</v>
      </c>
      <c r="E3993" t="s">
        <v>26</v>
      </c>
      <c r="F3993" t="s">
        <v>109</v>
      </c>
      <c r="G3993" t="s">
        <v>110</v>
      </c>
      <c r="H3993" t="s">
        <v>45</v>
      </c>
      <c r="I3993" t="s">
        <v>104</v>
      </c>
      <c r="J3993" t="s">
        <v>7031</v>
      </c>
      <c r="K3993" t="s">
        <v>32</v>
      </c>
      <c r="L3993" t="s">
        <v>46</v>
      </c>
      <c r="M3993" t="s">
        <v>47</v>
      </c>
      <c r="N3993" t="s">
        <v>35</v>
      </c>
      <c r="O3993" t="s">
        <v>36</v>
      </c>
      <c r="P3993" t="s">
        <v>49</v>
      </c>
      <c r="Q3993" t="s">
        <v>118</v>
      </c>
      <c r="R3993">
        <v>502</v>
      </c>
      <c r="S3993">
        <v>259</v>
      </c>
      <c r="T3993">
        <v>162</v>
      </c>
      <c r="U3993">
        <v>38</v>
      </c>
      <c r="V3993" t="s">
        <v>4665</v>
      </c>
      <c r="W3993">
        <v>32902</v>
      </c>
      <c r="X3993" t="s">
        <v>7618</v>
      </c>
      <c r="Y3993">
        <v>28342</v>
      </c>
      <c r="Z3993">
        <v>1250276</v>
      </c>
      <c r="AA3993">
        <v>173280</v>
      </c>
      <c r="AB3993" t="str">
        <f>(VLOOKUP(SalesData[[#This Row],[Month Number]],Reference!C$5:E$16,2,FALSE))</f>
        <v>Feb</v>
      </c>
      <c r="AC3993">
        <f>MONTH(SalesData[[#This Row],[Date]])</f>
        <v>2</v>
      </c>
      <c r="AD3993">
        <f>Reference!F$4</f>
        <v>2026</v>
      </c>
      <c r="AE3993" t="str">
        <f>IF(OR(SalesData[[#This Row],[Day]]="Saturday",SalesData[[#This Row],[Day]]="Sunday"),"Weekend","Weekday")</f>
        <v>Weekday</v>
      </c>
      <c r="AF3993" s="5">
        <f>IF(SalesData[[#This Row],[Contracts Offered]]=0,0,SalesData[[#This Row],[Contracts Signed]]/SalesData[[#This Row],[Contracts Offered]])</f>
        <v>0.23456790123456789</v>
      </c>
      <c r="AG3993" s="5">
        <f>IF(SalesData[[#This Row],[Customers Visited]]=0,0,SalesData[[#This Row],[Test Drives]]/SalesData[[#This Row],[Customers Visited]])</f>
        <v>0.51593625498007967</v>
      </c>
      <c r="AH3993" s="5">
        <f>IF(SalesData[[#This Row],[Customers Visited]]=0,0,SalesData[[#This Row],[Contracts Signed]]/SalesData[[#This Row],[Customers Visited]])</f>
        <v>7.5697211155378488E-2</v>
      </c>
      <c r="AI3993" s="6">
        <f>IF(SalesData[[#This Row],[Contracts Signed]]=0,0,SalesData[[#This Row],[Profit(€)]]/SalesData[[#This Row],[Contracts Signed]])</f>
        <v>4560</v>
      </c>
      <c r="AJ3993" s="5" t="str">
        <f>TRIM(CLEAN(SalesData[[#This Row],[Retailer]]))</f>
        <v>Leipzig Mobility</v>
      </c>
    </row>
    <row r="3994" spans="1:36" ht="14.25" x14ac:dyDescent="0.2">
      <c r="A3994" t="s">
        <v>5234</v>
      </c>
      <c r="B3994" s="1">
        <v>46078</v>
      </c>
      <c r="C3994" t="s">
        <v>53</v>
      </c>
      <c r="D3994" t="s">
        <v>82</v>
      </c>
      <c r="E3994" t="s">
        <v>26</v>
      </c>
      <c r="F3994" t="s">
        <v>7649</v>
      </c>
      <c r="G3994" t="s">
        <v>55</v>
      </c>
      <c r="H3994" t="s">
        <v>55</v>
      </c>
      <c r="I3994" t="s">
        <v>30</v>
      </c>
      <c r="J3994" t="s">
        <v>7075</v>
      </c>
      <c r="K3994" t="s">
        <v>32</v>
      </c>
      <c r="L3994" t="s">
        <v>33</v>
      </c>
      <c r="M3994" t="s">
        <v>34</v>
      </c>
      <c r="N3994" t="s">
        <v>48</v>
      </c>
      <c r="O3994" t="s">
        <v>70</v>
      </c>
      <c r="P3994" t="s">
        <v>71</v>
      </c>
      <c r="Q3994" t="s">
        <v>79</v>
      </c>
      <c r="R3994">
        <v>205</v>
      </c>
      <c r="S3994">
        <v>92</v>
      </c>
      <c r="T3994">
        <v>72</v>
      </c>
      <c r="U3994">
        <v>25</v>
      </c>
      <c r="V3994" t="s">
        <v>6994</v>
      </c>
      <c r="W3994">
        <v>63550</v>
      </c>
      <c r="X3994" t="s">
        <v>7536</v>
      </c>
      <c r="Y3994">
        <v>49015</v>
      </c>
      <c r="Z3994">
        <v>1588750</v>
      </c>
      <c r="AA3994">
        <v>363375</v>
      </c>
      <c r="AB3994" t="str">
        <f>(VLOOKUP(SalesData[[#This Row],[Month Number]],Reference!C$5:E$16,2,FALSE))</f>
        <v>Feb</v>
      </c>
      <c r="AC3994">
        <f>MONTH(SalesData[[#This Row],[Date]])</f>
        <v>2</v>
      </c>
      <c r="AD3994">
        <f>Reference!F$4</f>
        <v>2026</v>
      </c>
      <c r="AE3994" t="str">
        <f>IF(OR(SalesData[[#This Row],[Day]]="Saturday",SalesData[[#This Row],[Day]]="Sunday"),"Weekend","Weekday")</f>
        <v>Weekday</v>
      </c>
      <c r="AF3994" s="5">
        <f>IF(SalesData[[#This Row],[Contracts Offered]]=0,0,SalesData[[#This Row],[Contracts Signed]]/SalesData[[#This Row],[Contracts Offered]])</f>
        <v>0.34722222222222221</v>
      </c>
      <c r="AG3994" s="5">
        <f>IF(SalesData[[#This Row],[Customers Visited]]=0,0,SalesData[[#This Row],[Test Drives]]/SalesData[[#This Row],[Customers Visited]])</f>
        <v>0.44878048780487806</v>
      </c>
      <c r="AH3994" s="5">
        <f>IF(SalesData[[#This Row],[Customers Visited]]=0,0,SalesData[[#This Row],[Contracts Signed]]/SalesData[[#This Row],[Customers Visited]])</f>
        <v>0.12195121951219512</v>
      </c>
      <c r="AI3994" s="6">
        <f>IF(SalesData[[#This Row],[Contracts Signed]]=0,0,SalesData[[#This Row],[Profit(€)]]/SalesData[[#This Row],[Contracts Signed]])</f>
        <v>14535</v>
      </c>
      <c r="AJ3994" s="5" t="str">
        <f>TRIM(CLEAN(SalesData[[#This Row],[Retailer]]))</f>
        <v>Autohaus Berlin</v>
      </c>
    </row>
    <row r="3995" spans="1:36" ht="14.25" hidden="1" x14ac:dyDescent="0.2">
      <c r="A3995" t="s">
        <v>5235</v>
      </c>
      <c r="B3995" s="1">
        <v>46059</v>
      </c>
      <c r="C3995" t="s">
        <v>24</v>
      </c>
      <c r="D3995" t="s">
        <v>54</v>
      </c>
      <c r="E3995" t="s">
        <v>26</v>
      </c>
      <c r="F3995" t="s">
        <v>83</v>
      </c>
      <c r="G3995" t="s">
        <v>84</v>
      </c>
      <c r="H3995" t="s">
        <v>85</v>
      </c>
      <c r="I3995" t="s">
        <v>116</v>
      </c>
      <c r="J3995" t="s">
        <v>7026</v>
      </c>
      <c r="K3995" t="s">
        <v>32</v>
      </c>
      <c r="L3995" t="s">
        <v>46</v>
      </c>
      <c r="M3995" t="s">
        <v>87</v>
      </c>
      <c r="N3995" t="s">
        <v>35</v>
      </c>
      <c r="O3995" t="s">
        <v>70</v>
      </c>
      <c r="P3995" t="s">
        <v>37</v>
      </c>
      <c r="Q3995" t="s">
        <v>122</v>
      </c>
      <c r="R3995">
        <v>240</v>
      </c>
      <c r="S3995">
        <v>92</v>
      </c>
      <c r="T3995">
        <v>62</v>
      </c>
      <c r="U3995">
        <v>11</v>
      </c>
      <c r="V3995" t="s">
        <v>199</v>
      </c>
      <c r="W3995">
        <v>26239</v>
      </c>
      <c r="X3995" t="s">
        <v>3389</v>
      </c>
      <c r="Y3995">
        <v>24363</v>
      </c>
      <c r="Z3995">
        <v>288629</v>
      </c>
      <c r="AA3995">
        <v>20636</v>
      </c>
      <c r="AB3995" t="str">
        <f>(VLOOKUP(SalesData[[#This Row],[Month Number]],Reference!C$5:E$16,2,FALSE))</f>
        <v>Feb</v>
      </c>
      <c r="AC3995">
        <f>MONTH(SalesData[[#This Row],[Date]])</f>
        <v>2</v>
      </c>
      <c r="AD3995">
        <f>Reference!F$4</f>
        <v>2026</v>
      </c>
      <c r="AE3995" t="str">
        <f>IF(OR(SalesData[[#This Row],[Day]]="Saturday",SalesData[[#This Row],[Day]]="Sunday"),"Weekend","Weekday")</f>
        <v>Weekday</v>
      </c>
      <c r="AF3995" s="5">
        <f>IF(SalesData[[#This Row],[Contracts Offered]]=0,0,SalesData[[#This Row],[Contracts Signed]]/SalesData[[#This Row],[Contracts Offered]])</f>
        <v>0.17741935483870969</v>
      </c>
      <c r="AG3995" s="5">
        <f>IF(SalesData[[#This Row],[Customers Visited]]=0,0,SalesData[[#This Row],[Test Drives]]/SalesData[[#This Row],[Customers Visited]])</f>
        <v>0.38333333333333336</v>
      </c>
      <c r="AH3995" s="5">
        <f>IF(SalesData[[#This Row],[Customers Visited]]=0,0,SalesData[[#This Row],[Contracts Signed]]/SalesData[[#This Row],[Customers Visited]])</f>
        <v>4.583333333333333E-2</v>
      </c>
      <c r="AI3995" s="6">
        <f>IF(SalesData[[#This Row],[Contracts Signed]]=0,0,SalesData[[#This Row],[Profit(€)]]/SalesData[[#This Row],[Contracts Signed]])</f>
        <v>1876</v>
      </c>
      <c r="AJ3995" s="5" t="str">
        <f>TRIM(CLEAN(SalesData[[#This Row],[Retailer]]))</f>
        <v>Hannover Cars</v>
      </c>
    </row>
    <row r="3996" spans="1:36" ht="14.25" hidden="1" x14ac:dyDescent="0.2">
      <c r="A3996" t="s">
        <v>5236</v>
      </c>
      <c r="B3996" s="1">
        <v>46074</v>
      </c>
      <c r="C3996" t="s">
        <v>62</v>
      </c>
      <c r="D3996" t="s">
        <v>151</v>
      </c>
      <c r="E3996" t="s">
        <v>42</v>
      </c>
      <c r="F3996" t="s">
        <v>7649</v>
      </c>
      <c r="G3996" t="s">
        <v>55</v>
      </c>
      <c r="H3996" t="s">
        <v>55</v>
      </c>
      <c r="I3996" t="s">
        <v>116</v>
      </c>
      <c r="J3996" t="s">
        <v>132</v>
      </c>
      <c r="K3996" t="s">
        <v>91</v>
      </c>
      <c r="L3996" t="s">
        <v>46</v>
      </c>
      <c r="M3996" t="s">
        <v>47</v>
      </c>
      <c r="N3996" t="s">
        <v>35</v>
      </c>
      <c r="O3996" t="s">
        <v>36</v>
      </c>
      <c r="P3996" t="s">
        <v>37</v>
      </c>
      <c r="Q3996" t="s">
        <v>118</v>
      </c>
      <c r="R3996">
        <v>340</v>
      </c>
      <c r="S3996">
        <v>168</v>
      </c>
      <c r="T3996">
        <v>108</v>
      </c>
      <c r="U3996">
        <v>30</v>
      </c>
      <c r="V3996" t="s">
        <v>871</v>
      </c>
      <c r="W3996">
        <v>20164</v>
      </c>
      <c r="X3996" t="s">
        <v>7504</v>
      </c>
      <c r="Y3996">
        <v>18407</v>
      </c>
      <c r="Z3996">
        <v>604920</v>
      </c>
      <c r="AA3996">
        <v>52710</v>
      </c>
      <c r="AB3996" t="str">
        <f>(VLOOKUP(SalesData[[#This Row],[Month Number]],Reference!C$5:E$16,2,FALSE))</f>
        <v>Feb</v>
      </c>
      <c r="AC3996">
        <f>MONTH(SalesData[[#This Row],[Date]])</f>
        <v>2</v>
      </c>
      <c r="AD3996">
        <f>Reference!F$4</f>
        <v>2026</v>
      </c>
      <c r="AE3996" t="str">
        <f>IF(OR(SalesData[[#This Row],[Day]]="Saturday",SalesData[[#This Row],[Day]]="Sunday"),"Weekend","Weekday")</f>
        <v>Weekend</v>
      </c>
      <c r="AF3996" s="5">
        <f>IF(SalesData[[#This Row],[Contracts Offered]]=0,0,SalesData[[#This Row],[Contracts Signed]]/SalesData[[#This Row],[Contracts Offered]])</f>
        <v>0.27777777777777779</v>
      </c>
      <c r="AG3996" s="5">
        <f>IF(SalesData[[#This Row],[Customers Visited]]=0,0,SalesData[[#This Row],[Test Drives]]/SalesData[[#This Row],[Customers Visited]])</f>
        <v>0.49411764705882355</v>
      </c>
      <c r="AH3996" s="5">
        <f>IF(SalesData[[#This Row],[Customers Visited]]=0,0,SalesData[[#This Row],[Contracts Signed]]/SalesData[[#This Row],[Customers Visited]])</f>
        <v>8.8235294117647065E-2</v>
      </c>
      <c r="AI3996" s="6">
        <f>IF(SalesData[[#This Row],[Contracts Signed]]=0,0,SalesData[[#This Row],[Profit(€)]]/SalesData[[#This Row],[Contracts Signed]])</f>
        <v>1757</v>
      </c>
      <c r="AJ3996" s="5" t="str">
        <f>TRIM(CLEAN(SalesData[[#This Row],[Retailer]]))</f>
        <v>Autohaus Berlin</v>
      </c>
    </row>
    <row r="3997" spans="1:36" ht="14.25" hidden="1" x14ac:dyDescent="0.2">
      <c r="A3997" t="s">
        <v>5238</v>
      </c>
      <c r="B3997" s="1">
        <v>46058</v>
      </c>
      <c r="C3997" t="s">
        <v>24</v>
      </c>
      <c r="D3997" t="s">
        <v>100</v>
      </c>
      <c r="E3997" t="s">
        <v>26</v>
      </c>
      <c r="F3997" t="s">
        <v>101</v>
      </c>
      <c r="G3997" t="s">
        <v>102</v>
      </c>
      <c r="H3997" t="s">
        <v>103</v>
      </c>
      <c r="I3997" t="s">
        <v>104</v>
      </c>
      <c r="J3997" t="s">
        <v>105</v>
      </c>
      <c r="K3997" t="s">
        <v>66</v>
      </c>
      <c r="L3997" t="s">
        <v>33</v>
      </c>
      <c r="M3997" t="s">
        <v>34</v>
      </c>
      <c r="N3997" t="s">
        <v>35</v>
      </c>
      <c r="O3997" t="s">
        <v>36</v>
      </c>
      <c r="P3997" t="s">
        <v>49</v>
      </c>
      <c r="Q3997" t="s">
        <v>79</v>
      </c>
      <c r="R3997">
        <v>368</v>
      </c>
      <c r="S3997">
        <v>160</v>
      </c>
      <c r="T3997">
        <v>101</v>
      </c>
      <c r="U3997">
        <v>21</v>
      </c>
      <c r="V3997" t="s">
        <v>1414</v>
      </c>
      <c r="W3997">
        <v>26591</v>
      </c>
      <c r="X3997" t="s">
        <v>7550</v>
      </c>
      <c r="Y3997">
        <v>23909</v>
      </c>
      <c r="Z3997">
        <v>558411</v>
      </c>
      <c r="AA3997">
        <v>56322</v>
      </c>
      <c r="AB3997" t="str">
        <f>(VLOOKUP(SalesData[[#This Row],[Month Number]],Reference!C$5:E$16,2,FALSE))</f>
        <v>Feb</v>
      </c>
      <c r="AC3997">
        <f>MONTH(SalesData[[#This Row],[Date]])</f>
        <v>2</v>
      </c>
      <c r="AD3997">
        <f>Reference!F$4</f>
        <v>2026</v>
      </c>
      <c r="AE3997" t="str">
        <f>IF(OR(SalesData[[#This Row],[Day]]="Saturday",SalesData[[#This Row],[Day]]="Sunday"),"Weekend","Weekday")</f>
        <v>Weekday</v>
      </c>
      <c r="AF3997" s="5">
        <f>IF(SalesData[[#This Row],[Contracts Offered]]=0,0,SalesData[[#This Row],[Contracts Signed]]/SalesData[[#This Row],[Contracts Offered]])</f>
        <v>0.20792079207920791</v>
      </c>
      <c r="AG3997" s="5">
        <f>IF(SalesData[[#This Row],[Customers Visited]]=0,0,SalesData[[#This Row],[Test Drives]]/SalesData[[#This Row],[Customers Visited]])</f>
        <v>0.43478260869565216</v>
      </c>
      <c r="AH3997" s="5">
        <f>IF(SalesData[[#This Row],[Customers Visited]]=0,0,SalesData[[#This Row],[Contracts Signed]]/SalesData[[#This Row],[Customers Visited]])</f>
        <v>5.7065217391304345E-2</v>
      </c>
      <c r="AI3997" s="6">
        <f>IF(SalesData[[#This Row],[Contracts Signed]]=0,0,SalesData[[#This Row],[Profit(€)]]/SalesData[[#This Row],[Contracts Signed]])</f>
        <v>2682</v>
      </c>
      <c r="AJ3997" s="5" t="str">
        <f>TRIM(CLEAN(SalesData[[#This Row],[Retailer]]))</f>
        <v>Ruhr Auto Plaza</v>
      </c>
    </row>
    <row r="3998" spans="1:36" ht="14.25" hidden="1" x14ac:dyDescent="0.2">
      <c r="A3998" t="s">
        <v>5239</v>
      </c>
      <c r="B3998" s="1">
        <v>46078</v>
      </c>
      <c r="C3998" t="s">
        <v>53</v>
      </c>
      <c r="D3998" t="s">
        <v>82</v>
      </c>
      <c r="E3998" t="s">
        <v>26</v>
      </c>
      <c r="F3998" t="s">
        <v>43</v>
      </c>
      <c r="G3998" t="s">
        <v>44</v>
      </c>
      <c r="H3998" t="s">
        <v>45</v>
      </c>
      <c r="I3998" t="s">
        <v>116</v>
      </c>
      <c r="J3998" t="s">
        <v>7090</v>
      </c>
      <c r="K3998" t="s">
        <v>32</v>
      </c>
      <c r="L3998" t="s">
        <v>46</v>
      </c>
      <c r="M3998" t="s">
        <v>34</v>
      </c>
      <c r="N3998" t="s">
        <v>69</v>
      </c>
      <c r="O3998" t="s">
        <v>36</v>
      </c>
      <c r="P3998" t="s">
        <v>49</v>
      </c>
      <c r="Q3998" t="s">
        <v>167</v>
      </c>
      <c r="R3998">
        <v>428</v>
      </c>
      <c r="S3998">
        <v>222</v>
      </c>
      <c r="T3998">
        <v>136</v>
      </c>
      <c r="U3998">
        <v>32</v>
      </c>
      <c r="V3998" t="s">
        <v>807</v>
      </c>
      <c r="W3998">
        <v>22258</v>
      </c>
      <c r="X3998" t="s">
        <v>3389</v>
      </c>
      <c r="Y3998">
        <v>20022</v>
      </c>
      <c r="Z3998">
        <v>712256</v>
      </c>
      <c r="AA3998">
        <v>71552</v>
      </c>
      <c r="AB3998" t="str">
        <f>(VLOOKUP(SalesData[[#This Row],[Month Number]],Reference!C$5:E$16,2,FALSE))</f>
        <v>Feb</v>
      </c>
      <c r="AC3998">
        <f>MONTH(SalesData[[#This Row],[Date]])</f>
        <v>2</v>
      </c>
      <c r="AD3998">
        <f>Reference!F$4</f>
        <v>2026</v>
      </c>
      <c r="AE3998" t="str">
        <f>IF(OR(SalesData[[#This Row],[Day]]="Saturday",SalesData[[#This Row],[Day]]="Sunday"),"Weekend","Weekday")</f>
        <v>Weekday</v>
      </c>
      <c r="AF3998" s="5">
        <f>IF(SalesData[[#This Row],[Contracts Offered]]=0,0,SalesData[[#This Row],[Contracts Signed]]/SalesData[[#This Row],[Contracts Offered]])</f>
        <v>0.23529411764705882</v>
      </c>
      <c r="AG3998" s="5">
        <f>IF(SalesData[[#This Row],[Customers Visited]]=0,0,SalesData[[#This Row],[Test Drives]]/SalesData[[#This Row],[Customers Visited]])</f>
        <v>0.51869158878504673</v>
      </c>
      <c r="AH3998" s="5">
        <f>IF(SalesData[[#This Row],[Customers Visited]]=0,0,SalesData[[#This Row],[Contracts Signed]]/SalesData[[#This Row],[Customers Visited]])</f>
        <v>7.476635514018691E-2</v>
      </c>
      <c r="AI3998" s="6">
        <f>IF(SalesData[[#This Row],[Contracts Signed]]=0,0,SalesData[[#This Row],[Profit(€)]]/SalesData[[#This Row],[Contracts Signed]])</f>
        <v>2236</v>
      </c>
      <c r="AJ3998" s="5" t="str">
        <f>TRIM(CLEAN(SalesData[[#This Row],[Retailer]]))</f>
        <v>Saxon Wheels</v>
      </c>
    </row>
    <row r="3999" spans="1:36" ht="14.25" x14ac:dyDescent="0.2">
      <c r="A3999" t="s">
        <v>5240</v>
      </c>
      <c r="B3999" s="1">
        <v>46081</v>
      </c>
      <c r="C3999" t="s">
        <v>53</v>
      </c>
      <c r="D3999" t="s">
        <v>151</v>
      </c>
      <c r="E3999" t="s">
        <v>42</v>
      </c>
      <c r="F3999" t="s">
        <v>127</v>
      </c>
      <c r="G3999" t="s">
        <v>128</v>
      </c>
      <c r="H3999" t="s">
        <v>103</v>
      </c>
      <c r="I3999" t="s">
        <v>30</v>
      </c>
      <c r="J3999" t="s">
        <v>7075</v>
      </c>
      <c r="K3999" t="s">
        <v>66</v>
      </c>
      <c r="L3999" t="s">
        <v>33</v>
      </c>
      <c r="M3999" t="s">
        <v>87</v>
      </c>
      <c r="N3999" t="s">
        <v>48</v>
      </c>
      <c r="O3999" t="s">
        <v>36</v>
      </c>
      <c r="P3999" t="s">
        <v>58</v>
      </c>
      <c r="Q3999" t="s">
        <v>122</v>
      </c>
      <c r="R3999">
        <v>239</v>
      </c>
      <c r="S3999">
        <v>143</v>
      </c>
      <c r="T3999">
        <v>103</v>
      </c>
      <c r="U3999">
        <v>48</v>
      </c>
      <c r="V3999" t="s">
        <v>7619</v>
      </c>
      <c r="W3999">
        <v>54987</v>
      </c>
      <c r="X3999" t="s">
        <v>2997</v>
      </c>
      <c r="Y3999">
        <v>42153</v>
      </c>
      <c r="Z3999">
        <v>2639376</v>
      </c>
      <c r="AA3999">
        <v>616032</v>
      </c>
      <c r="AB3999" t="str">
        <f>(VLOOKUP(SalesData[[#This Row],[Month Number]],Reference!C$5:E$16,2,FALSE))</f>
        <v>Feb</v>
      </c>
      <c r="AC3999">
        <f>MONTH(SalesData[[#This Row],[Date]])</f>
        <v>2</v>
      </c>
      <c r="AD3999">
        <f>Reference!F$4</f>
        <v>2026</v>
      </c>
      <c r="AE3999" t="str">
        <f>IF(OR(SalesData[[#This Row],[Day]]="Saturday",SalesData[[#This Row],[Day]]="Sunday"),"Weekend","Weekday")</f>
        <v>Weekend</v>
      </c>
      <c r="AF3999" s="5">
        <f>IF(SalesData[[#This Row],[Contracts Offered]]=0,0,SalesData[[#This Row],[Contracts Signed]]/SalesData[[#This Row],[Contracts Offered]])</f>
        <v>0.46601941747572817</v>
      </c>
      <c r="AG3999" s="5">
        <f>IF(SalesData[[#This Row],[Customers Visited]]=0,0,SalesData[[#This Row],[Test Drives]]/SalesData[[#This Row],[Customers Visited]])</f>
        <v>0.59832635983263593</v>
      </c>
      <c r="AH3999" s="5">
        <f>IF(SalesData[[#This Row],[Customers Visited]]=0,0,SalesData[[#This Row],[Contracts Signed]]/SalesData[[#This Row],[Customers Visited]])</f>
        <v>0.20083682008368201</v>
      </c>
      <c r="AI3999" s="6">
        <f>IF(SalesData[[#This Row],[Contracts Signed]]=0,0,SalesData[[#This Row],[Profit(€)]]/SalesData[[#This Row],[Contracts Signed]])</f>
        <v>12834</v>
      </c>
      <c r="AJ3999" s="5" t="str">
        <f>TRIM(CLEAN(SalesData[[#This Row],[Retailer]]))</f>
        <v>Rhein Auto Group</v>
      </c>
    </row>
    <row r="4000" spans="1:36" ht="14.25" hidden="1" x14ac:dyDescent="0.2">
      <c r="A4000" t="s">
        <v>5241</v>
      </c>
      <c r="B4000" s="1">
        <v>46081</v>
      </c>
      <c r="C4000" t="s">
        <v>53</v>
      </c>
      <c r="D4000" t="s">
        <v>151</v>
      </c>
      <c r="E4000" t="s">
        <v>42</v>
      </c>
      <c r="F4000" t="s">
        <v>101</v>
      </c>
      <c r="G4000" t="s">
        <v>102</v>
      </c>
      <c r="H4000" t="s">
        <v>103</v>
      </c>
      <c r="I4000" t="s">
        <v>56</v>
      </c>
      <c r="J4000" t="s">
        <v>137</v>
      </c>
      <c r="K4000" t="s">
        <v>32</v>
      </c>
      <c r="L4000" t="s">
        <v>46</v>
      </c>
      <c r="M4000" t="s">
        <v>87</v>
      </c>
      <c r="N4000" t="s">
        <v>35</v>
      </c>
      <c r="O4000" t="s">
        <v>36</v>
      </c>
      <c r="P4000" t="s">
        <v>71</v>
      </c>
      <c r="Q4000" t="s">
        <v>158</v>
      </c>
      <c r="R4000">
        <v>210</v>
      </c>
      <c r="S4000">
        <v>104</v>
      </c>
      <c r="T4000">
        <v>71</v>
      </c>
      <c r="U4000">
        <v>23</v>
      </c>
      <c r="V4000" t="s">
        <v>6603</v>
      </c>
      <c r="W4000">
        <v>43740</v>
      </c>
      <c r="X4000" t="s">
        <v>796</v>
      </c>
      <c r="Y4000">
        <v>32913</v>
      </c>
      <c r="Z4000">
        <v>1006020</v>
      </c>
      <c r="AA4000">
        <v>249021</v>
      </c>
      <c r="AB4000" t="str">
        <f>(VLOOKUP(SalesData[[#This Row],[Month Number]],Reference!C$5:E$16,2,FALSE))</f>
        <v>Feb</v>
      </c>
      <c r="AC4000">
        <f>MONTH(SalesData[[#This Row],[Date]])</f>
        <v>2</v>
      </c>
      <c r="AD4000">
        <f>Reference!F$4</f>
        <v>2026</v>
      </c>
      <c r="AE4000" t="str">
        <f>IF(OR(SalesData[[#This Row],[Day]]="Saturday",SalesData[[#This Row],[Day]]="Sunday"),"Weekend","Weekday")</f>
        <v>Weekend</v>
      </c>
      <c r="AF4000" s="5">
        <f>IF(SalesData[[#This Row],[Contracts Offered]]=0,0,SalesData[[#This Row],[Contracts Signed]]/SalesData[[#This Row],[Contracts Offered]])</f>
        <v>0.323943661971831</v>
      </c>
      <c r="AG4000" s="5">
        <f>IF(SalesData[[#This Row],[Customers Visited]]=0,0,SalesData[[#This Row],[Test Drives]]/SalesData[[#This Row],[Customers Visited]])</f>
        <v>0.49523809523809526</v>
      </c>
      <c r="AH4000" s="5">
        <f>IF(SalesData[[#This Row],[Customers Visited]]=0,0,SalesData[[#This Row],[Contracts Signed]]/SalesData[[#This Row],[Customers Visited]])</f>
        <v>0.10952380952380952</v>
      </c>
      <c r="AI4000" s="6">
        <f>IF(SalesData[[#This Row],[Contracts Signed]]=0,0,SalesData[[#This Row],[Profit(€)]]/SalesData[[#This Row],[Contracts Signed]])</f>
        <v>10827</v>
      </c>
      <c r="AJ4000" s="5" t="str">
        <f>TRIM(CLEAN(SalesData[[#This Row],[Retailer]]))</f>
        <v>Ruhr Auto Plaza</v>
      </c>
    </row>
    <row r="4001" spans="1:36" ht="14.25" hidden="1" x14ac:dyDescent="0.2">
      <c r="A4001" t="s">
        <v>5242</v>
      </c>
      <c r="B4001" s="1">
        <v>46078</v>
      </c>
      <c r="C4001" t="s">
        <v>53</v>
      </c>
      <c r="D4001" t="s">
        <v>82</v>
      </c>
      <c r="E4001" t="s">
        <v>26</v>
      </c>
      <c r="F4001" t="s">
        <v>74</v>
      </c>
      <c r="G4001" t="s">
        <v>75</v>
      </c>
      <c r="H4001" t="s">
        <v>76</v>
      </c>
      <c r="I4001" t="s">
        <v>64</v>
      </c>
      <c r="J4001" t="s">
        <v>157</v>
      </c>
      <c r="K4001" t="s">
        <v>91</v>
      </c>
      <c r="L4001" t="s">
        <v>33</v>
      </c>
      <c r="M4001" t="s">
        <v>68</v>
      </c>
      <c r="N4001" t="s">
        <v>35</v>
      </c>
      <c r="O4001" t="s">
        <v>70</v>
      </c>
      <c r="P4001" t="s">
        <v>58</v>
      </c>
      <c r="Q4001" t="s">
        <v>204</v>
      </c>
      <c r="R4001">
        <v>168</v>
      </c>
      <c r="S4001">
        <v>98</v>
      </c>
      <c r="T4001">
        <v>74</v>
      </c>
      <c r="U4001">
        <v>27</v>
      </c>
      <c r="V4001" t="s">
        <v>6363</v>
      </c>
      <c r="W4001">
        <v>60048</v>
      </c>
      <c r="X4001" t="s">
        <v>2667</v>
      </c>
      <c r="Y4001">
        <v>42800</v>
      </c>
      <c r="Z4001">
        <v>1621296</v>
      </c>
      <c r="AA4001">
        <v>465696</v>
      </c>
      <c r="AB4001" t="str">
        <f>(VLOOKUP(SalesData[[#This Row],[Month Number]],Reference!C$5:E$16,2,FALSE))</f>
        <v>Feb</v>
      </c>
      <c r="AC4001">
        <f>MONTH(SalesData[[#This Row],[Date]])</f>
        <v>2</v>
      </c>
      <c r="AD4001">
        <f>Reference!F$4</f>
        <v>2026</v>
      </c>
      <c r="AE4001" t="str">
        <f>IF(OR(SalesData[[#This Row],[Day]]="Saturday",SalesData[[#This Row],[Day]]="Sunday"),"Weekend","Weekday")</f>
        <v>Weekday</v>
      </c>
      <c r="AF4001" s="5">
        <f>IF(SalesData[[#This Row],[Contracts Offered]]=0,0,SalesData[[#This Row],[Contracts Signed]]/SalesData[[#This Row],[Contracts Offered]])</f>
        <v>0.36486486486486486</v>
      </c>
      <c r="AG4001" s="5">
        <f>IF(SalesData[[#This Row],[Customers Visited]]=0,0,SalesData[[#This Row],[Test Drives]]/SalesData[[#This Row],[Customers Visited]])</f>
        <v>0.58333333333333337</v>
      </c>
      <c r="AH4001" s="5">
        <f>IF(SalesData[[#This Row],[Customers Visited]]=0,0,SalesData[[#This Row],[Contracts Signed]]/SalesData[[#This Row],[Customers Visited]])</f>
        <v>0.16071428571428573</v>
      </c>
      <c r="AI4001" s="6">
        <f>IF(SalesData[[#This Row],[Contracts Signed]]=0,0,SalesData[[#This Row],[Profit(€)]]/SalesData[[#This Row],[Contracts Signed]])</f>
        <v>17248</v>
      </c>
      <c r="AJ4001" s="5" t="str">
        <f>TRIM(CLEAN(SalesData[[#This Row],[Retailer]]))</f>
        <v>Stuttgart Auto Center</v>
      </c>
    </row>
    <row r="4002" spans="1:36" ht="14.25" hidden="1" x14ac:dyDescent="0.2">
      <c r="A4002" t="s">
        <v>5243</v>
      </c>
      <c r="B4002" s="1">
        <v>46056</v>
      </c>
      <c r="C4002" t="s">
        <v>24</v>
      </c>
      <c r="D4002" t="s">
        <v>63</v>
      </c>
      <c r="E4002" t="s">
        <v>26</v>
      </c>
      <c r="F4002" t="s">
        <v>127</v>
      </c>
      <c r="G4002" t="s">
        <v>128</v>
      </c>
      <c r="H4002" t="s">
        <v>103</v>
      </c>
      <c r="I4002" t="s">
        <v>56</v>
      </c>
      <c r="J4002" t="s">
        <v>179</v>
      </c>
      <c r="K4002" t="s">
        <v>66</v>
      </c>
      <c r="L4002" t="s">
        <v>67</v>
      </c>
      <c r="M4002" t="s">
        <v>68</v>
      </c>
      <c r="N4002" t="s">
        <v>48</v>
      </c>
      <c r="O4002" t="s">
        <v>36</v>
      </c>
      <c r="P4002" t="s">
        <v>71</v>
      </c>
      <c r="Q4002" t="s">
        <v>152</v>
      </c>
      <c r="R4002">
        <v>216</v>
      </c>
      <c r="S4002">
        <v>102</v>
      </c>
      <c r="T4002">
        <v>65</v>
      </c>
      <c r="U4002">
        <v>27</v>
      </c>
      <c r="V4002" t="s">
        <v>6486</v>
      </c>
      <c r="W4002">
        <v>45775</v>
      </c>
      <c r="X4002" t="s">
        <v>7058</v>
      </c>
      <c r="Y4002">
        <v>35169</v>
      </c>
      <c r="Z4002">
        <v>1235925</v>
      </c>
      <c r="AA4002">
        <v>286362</v>
      </c>
      <c r="AB4002" t="str">
        <f>(VLOOKUP(SalesData[[#This Row],[Month Number]],Reference!C$5:E$16,2,FALSE))</f>
        <v>Feb</v>
      </c>
      <c r="AC4002">
        <f>MONTH(SalesData[[#This Row],[Date]])</f>
        <v>2</v>
      </c>
      <c r="AD4002">
        <f>Reference!F$4</f>
        <v>2026</v>
      </c>
      <c r="AE4002" t="str">
        <f>IF(OR(SalesData[[#This Row],[Day]]="Saturday",SalesData[[#This Row],[Day]]="Sunday"),"Weekend","Weekday")</f>
        <v>Weekday</v>
      </c>
      <c r="AF4002" s="5">
        <f>IF(SalesData[[#This Row],[Contracts Offered]]=0,0,SalesData[[#This Row],[Contracts Signed]]/SalesData[[#This Row],[Contracts Offered]])</f>
        <v>0.41538461538461541</v>
      </c>
      <c r="AG4002" s="5">
        <f>IF(SalesData[[#This Row],[Customers Visited]]=0,0,SalesData[[#This Row],[Test Drives]]/SalesData[[#This Row],[Customers Visited]])</f>
        <v>0.47222222222222221</v>
      </c>
      <c r="AH4002" s="5">
        <f>IF(SalesData[[#This Row],[Customers Visited]]=0,0,SalesData[[#This Row],[Contracts Signed]]/SalesData[[#This Row],[Customers Visited]])</f>
        <v>0.125</v>
      </c>
      <c r="AI4002" s="6">
        <f>IF(SalesData[[#This Row],[Contracts Signed]]=0,0,SalesData[[#This Row],[Profit(€)]]/SalesData[[#This Row],[Contracts Signed]])</f>
        <v>10606</v>
      </c>
      <c r="AJ4002" s="5" t="str">
        <f>TRIM(CLEAN(SalesData[[#This Row],[Retailer]]))</f>
        <v>Rhein Auto Group</v>
      </c>
    </row>
    <row r="4003" spans="1:36" ht="14.25" x14ac:dyDescent="0.2">
      <c r="A4003" t="s">
        <v>5244</v>
      </c>
      <c r="B4003" s="1">
        <v>46067</v>
      </c>
      <c r="C4003" t="s">
        <v>121</v>
      </c>
      <c r="D4003" t="s">
        <v>151</v>
      </c>
      <c r="E4003" t="s">
        <v>42</v>
      </c>
      <c r="F4003" t="s">
        <v>27</v>
      </c>
      <c r="G4003" t="s">
        <v>28</v>
      </c>
      <c r="H4003" t="s">
        <v>29</v>
      </c>
      <c r="I4003" t="s">
        <v>30</v>
      </c>
      <c r="J4003" t="s">
        <v>188</v>
      </c>
      <c r="K4003" t="s">
        <v>78</v>
      </c>
      <c r="L4003" t="s">
        <v>33</v>
      </c>
      <c r="M4003" t="s">
        <v>34</v>
      </c>
      <c r="N4003" t="s">
        <v>69</v>
      </c>
      <c r="O4003" t="s">
        <v>70</v>
      </c>
      <c r="P4003" t="s">
        <v>37</v>
      </c>
      <c r="Q4003" t="s">
        <v>240</v>
      </c>
      <c r="R4003">
        <v>203</v>
      </c>
      <c r="S4003">
        <v>99</v>
      </c>
      <c r="T4003">
        <v>70</v>
      </c>
      <c r="U4003">
        <v>24</v>
      </c>
      <c r="V4003" t="s">
        <v>6429</v>
      </c>
      <c r="W4003">
        <v>57510</v>
      </c>
      <c r="X4003" t="s">
        <v>7620</v>
      </c>
      <c r="Y4003">
        <v>40705</v>
      </c>
      <c r="Z4003">
        <v>1380240</v>
      </c>
      <c r="AA4003">
        <v>403320</v>
      </c>
      <c r="AB4003" t="str">
        <f>(VLOOKUP(SalesData[[#This Row],[Month Number]],Reference!C$5:E$16,2,FALSE))</f>
        <v>Feb</v>
      </c>
      <c r="AC4003">
        <f>MONTH(SalesData[[#This Row],[Date]])</f>
        <v>2</v>
      </c>
      <c r="AD4003">
        <f>Reference!F$4</f>
        <v>2026</v>
      </c>
      <c r="AE4003" t="str">
        <f>IF(OR(SalesData[[#This Row],[Day]]="Saturday",SalesData[[#This Row],[Day]]="Sunday"),"Weekend","Weekday")</f>
        <v>Weekend</v>
      </c>
      <c r="AF4003" s="5">
        <f>IF(SalesData[[#This Row],[Contracts Offered]]=0,0,SalesData[[#This Row],[Contracts Signed]]/SalesData[[#This Row],[Contracts Offered]])</f>
        <v>0.34285714285714286</v>
      </c>
      <c r="AG4003" s="5">
        <f>IF(SalesData[[#This Row],[Customers Visited]]=0,0,SalesData[[#This Row],[Test Drives]]/SalesData[[#This Row],[Customers Visited]])</f>
        <v>0.48768472906403942</v>
      </c>
      <c r="AH4003" s="5">
        <f>IF(SalesData[[#This Row],[Customers Visited]]=0,0,SalesData[[#This Row],[Contracts Signed]]/SalesData[[#This Row],[Customers Visited]])</f>
        <v>0.11822660098522167</v>
      </c>
      <c r="AI4003" s="6">
        <f>IF(SalesData[[#This Row],[Contracts Signed]]=0,0,SalesData[[#This Row],[Profit(€)]]/SalesData[[#This Row],[Contracts Signed]])</f>
        <v>16805</v>
      </c>
      <c r="AJ4003" s="5" t="str">
        <f>TRIM(CLEAN(SalesData[[#This Row],[Retailer]]))</f>
        <v>Main Auto Hub</v>
      </c>
    </row>
    <row r="4004" spans="1:36" ht="14.25" hidden="1" x14ac:dyDescent="0.2">
      <c r="A4004" t="s">
        <v>5245</v>
      </c>
      <c r="B4004" s="1">
        <v>46081</v>
      </c>
      <c r="C4004" t="s">
        <v>53</v>
      </c>
      <c r="D4004" t="s">
        <v>151</v>
      </c>
      <c r="E4004" t="s">
        <v>42</v>
      </c>
      <c r="F4004" t="s">
        <v>7649</v>
      </c>
      <c r="G4004" t="s">
        <v>55</v>
      </c>
      <c r="H4004" t="s">
        <v>55</v>
      </c>
      <c r="I4004" t="s">
        <v>56</v>
      </c>
      <c r="J4004" t="s">
        <v>137</v>
      </c>
      <c r="K4004" t="s">
        <v>78</v>
      </c>
      <c r="L4004" t="s">
        <v>46</v>
      </c>
      <c r="M4004" t="s">
        <v>68</v>
      </c>
      <c r="N4004" t="s">
        <v>69</v>
      </c>
      <c r="O4004" t="s">
        <v>36</v>
      </c>
      <c r="P4004" t="s">
        <v>71</v>
      </c>
      <c r="Q4004" t="s">
        <v>240</v>
      </c>
      <c r="R4004">
        <v>203</v>
      </c>
      <c r="S4004">
        <v>100</v>
      </c>
      <c r="T4004">
        <v>76</v>
      </c>
      <c r="U4004">
        <v>27</v>
      </c>
      <c r="V4004" t="s">
        <v>6648</v>
      </c>
      <c r="W4004">
        <v>50182</v>
      </c>
      <c r="X4004" t="s">
        <v>307</v>
      </c>
      <c r="Y4004">
        <v>37977</v>
      </c>
      <c r="Z4004">
        <v>1354914</v>
      </c>
      <c r="AA4004">
        <v>329535</v>
      </c>
      <c r="AB4004" t="str">
        <f>(VLOOKUP(SalesData[[#This Row],[Month Number]],Reference!C$5:E$16,2,FALSE))</f>
        <v>Feb</v>
      </c>
      <c r="AC4004">
        <f>MONTH(SalesData[[#This Row],[Date]])</f>
        <v>2</v>
      </c>
      <c r="AD4004">
        <f>Reference!F$4</f>
        <v>2026</v>
      </c>
      <c r="AE4004" t="str">
        <f>IF(OR(SalesData[[#This Row],[Day]]="Saturday",SalesData[[#This Row],[Day]]="Sunday"),"Weekend","Weekday")</f>
        <v>Weekend</v>
      </c>
      <c r="AF4004" s="5">
        <f>IF(SalesData[[#This Row],[Contracts Offered]]=0,0,SalesData[[#This Row],[Contracts Signed]]/SalesData[[#This Row],[Contracts Offered]])</f>
        <v>0.35526315789473684</v>
      </c>
      <c r="AG4004" s="5">
        <f>IF(SalesData[[#This Row],[Customers Visited]]=0,0,SalesData[[#This Row],[Test Drives]]/SalesData[[#This Row],[Customers Visited]])</f>
        <v>0.49261083743842365</v>
      </c>
      <c r="AH4004" s="5">
        <f>IF(SalesData[[#This Row],[Customers Visited]]=0,0,SalesData[[#This Row],[Contracts Signed]]/SalesData[[#This Row],[Customers Visited]])</f>
        <v>0.13300492610837439</v>
      </c>
      <c r="AI4004" s="6">
        <f>IF(SalesData[[#This Row],[Contracts Signed]]=0,0,SalesData[[#This Row],[Profit(€)]]/SalesData[[#This Row],[Contracts Signed]])</f>
        <v>12205</v>
      </c>
      <c r="AJ4004" s="5" t="str">
        <f>TRIM(CLEAN(SalesData[[#This Row],[Retailer]]))</f>
        <v>Autohaus Berlin</v>
      </c>
    </row>
    <row r="4005" spans="1:36" ht="14.25" hidden="1" x14ac:dyDescent="0.2">
      <c r="A4005" t="s">
        <v>5246</v>
      </c>
      <c r="B4005" s="1">
        <v>46059</v>
      </c>
      <c r="C4005" t="s">
        <v>24</v>
      </c>
      <c r="D4005" t="s">
        <v>54</v>
      </c>
      <c r="E4005" t="s">
        <v>26</v>
      </c>
      <c r="F4005" t="s">
        <v>127</v>
      </c>
      <c r="G4005" t="s">
        <v>128</v>
      </c>
      <c r="H4005" t="s">
        <v>103</v>
      </c>
      <c r="I4005" t="s">
        <v>56</v>
      </c>
      <c r="J4005" t="s">
        <v>57</v>
      </c>
      <c r="K4005" t="s">
        <v>78</v>
      </c>
      <c r="L4005" t="s">
        <v>46</v>
      </c>
      <c r="M4005" t="s">
        <v>87</v>
      </c>
      <c r="N4005" t="s">
        <v>48</v>
      </c>
      <c r="O4005" t="s">
        <v>36</v>
      </c>
      <c r="P4005" t="s">
        <v>49</v>
      </c>
      <c r="Q4005" t="s">
        <v>129</v>
      </c>
      <c r="R4005">
        <v>166</v>
      </c>
      <c r="S4005">
        <v>98</v>
      </c>
      <c r="T4005">
        <v>70</v>
      </c>
      <c r="U4005">
        <v>20</v>
      </c>
      <c r="V4005" t="s">
        <v>6728</v>
      </c>
      <c r="W4005">
        <v>55325</v>
      </c>
      <c r="X4005" t="s">
        <v>7085</v>
      </c>
      <c r="Y4005">
        <v>42437</v>
      </c>
      <c r="Z4005">
        <v>1106500</v>
      </c>
      <c r="AA4005">
        <v>257760</v>
      </c>
      <c r="AB4005" t="str">
        <f>(VLOOKUP(SalesData[[#This Row],[Month Number]],Reference!C$5:E$16,2,FALSE))</f>
        <v>Feb</v>
      </c>
      <c r="AC4005">
        <f>MONTH(SalesData[[#This Row],[Date]])</f>
        <v>2</v>
      </c>
      <c r="AD4005">
        <f>Reference!F$4</f>
        <v>2026</v>
      </c>
      <c r="AE4005" t="str">
        <f>IF(OR(SalesData[[#This Row],[Day]]="Saturday",SalesData[[#This Row],[Day]]="Sunday"),"Weekend","Weekday")</f>
        <v>Weekday</v>
      </c>
      <c r="AF4005" s="5">
        <f>IF(SalesData[[#This Row],[Contracts Offered]]=0,0,SalesData[[#This Row],[Contracts Signed]]/SalesData[[#This Row],[Contracts Offered]])</f>
        <v>0.2857142857142857</v>
      </c>
      <c r="AG4005" s="5">
        <f>IF(SalesData[[#This Row],[Customers Visited]]=0,0,SalesData[[#This Row],[Test Drives]]/SalesData[[#This Row],[Customers Visited]])</f>
        <v>0.59036144578313254</v>
      </c>
      <c r="AH4005" s="5">
        <f>IF(SalesData[[#This Row],[Customers Visited]]=0,0,SalesData[[#This Row],[Contracts Signed]]/SalesData[[#This Row],[Customers Visited]])</f>
        <v>0.12048192771084337</v>
      </c>
      <c r="AI4005" s="6">
        <f>IF(SalesData[[#This Row],[Contracts Signed]]=0,0,SalesData[[#This Row],[Profit(€)]]/SalesData[[#This Row],[Contracts Signed]])</f>
        <v>12888</v>
      </c>
      <c r="AJ4005" s="5" t="str">
        <f>TRIM(CLEAN(SalesData[[#This Row],[Retailer]]))</f>
        <v>Rhein Auto Group</v>
      </c>
    </row>
    <row r="4006" spans="1:36" ht="14.25" hidden="1" x14ac:dyDescent="0.2">
      <c r="A4006" t="s">
        <v>5247</v>
      </c>
      <c r="B4006" s="1">
        <v>46072</v>
      </c>
      <c r="C4006" t="s">
        <v>62</v>
      </c>
      <c r="D4006" t="s">
        <v>100</v>
      </c>
      <c r="E4006" t="s">
        <v>26</v>
      </c>
      <c r="F4006" t="s">
        <v>43</v>
      </c>
      <c r="G4006" t="s">
        <v>44</v>
      </c>
      <c r="H4006" t="s">
        <v>45</v>
      </c>
      <c r="I4006" t="s">
        <v>56</v>
      </c>
      <c r="J4006" t="s">
        <v>179</v>
      </c>
      <c r="K4006" t="s">
        <v>66</v>
      </c>
      <c r="L4006" t="s">
        <v>67</v>
      </c>
      <c r="M4006" t="s">
        <v>47</v>
      </c>
      <c r="N4006" t="s">
        <v>48</v>
      </c>
      <c r="O4006" t="s">
        <v>70</v>
      </c>
      <c r="P4006" t="s">
        <v>37</v>
      </c>
      <c r="Q4006" t="s">
        <v>135</v>
      </c>
      <c r="R4006">
        <v>307</v>
      </c>
      <c r="S4006">
        <v>143</v>
      </c>
      <c r="T4006">
        <v>106</v>
      </c>
      <c r="U4006">
        <v>30</v>
      </c>
      <c r="V4006" t="s">
        <v>6959</v>
      </c>
      <c r="W4006">
        <v>51814</v>
      </c>
      <c r="X4006" t="s">
        <v>1299</v>
      </c>
      <c r="Y4006">
        <v>39557</v>
      </c>
      <c r="Z4006">
        <v>1554420</v>
      </c>
      <c r="AA4006">
        <v>367710</v>
      </c>
      <c r="AB4006" t="str">
        <f>(VLOOKUP(SalesData[[#This Row],[Month Number]],Reference!C$5:E$16,2,FALSE))</f>
        <v>Feb</v>
      </c>
      <c r="AC4006">
        <f>MONTH(SalesData[[#This Row],[Date]])</f>
        <v>2</v>
      </c>
      <c r="AD4006">
        <f>Reference!F$4</f>
        <v>2026</v>
      </c>
      <c r="AE4006" t="str">
        <f>IF(OR(SalesData[[#This Row],[Day]]="Saturday",SalesData[[#This Row],[Day]]="Sunday"),"Weekend","Weekday")</f>
        <v>Weekday</v>
      </c>
      <c r="AF4006" s="5">
        <f>IF(SalesData[[#This Row],[Contracts Offered]]=0,0,SalesData[[#This Row],[Contracts Signed]]/SalesData[[#This Row],[Contracts Offered]])</f>
        <v>0.28301886792452829</v>
      </c>
      <c r="AG4006" s="5">
        <f>IF(SalesData[[#This Row],[Customers Visited]]=0,0,SalesData[[#This Row],[Test Drives]]/SalesData[[#This Row],[Customers Visited]])</f>
        <v>0.46579804560260585</v>
      </c>
      <c r="AH4006" s="5">
        <f>IF(SalesData[[#This Row],[Customers Visited]]=0,0,SalesData[[#This Row],[Contracts Signed]]/SalesData[[#This Row],[Customers Visited]])</f>
        <v>9.7719869706840393E-2</v>
      </c>
      <c r="AI4006" s="6">
        <f>IF(SalesData[[#This Row],[Contracts Signed]]=0,0,SalesData[[#This Row],[Profit(€)]]/SalesData[[#This Row],[Contracts Signed]])</f>
        <v>12257</v>
      </c>
      <c r="AJ4006" s="5" t="str">
        <f>TRIM(CLEAN(SalesData[[#This Row],[Retailer]]))</f>
        <v>Saxon Wheels</v>
      </c>
    </row>
    <row r="4007" spans="1:36" ht="14.25" hidden="1" x14ac:dyDescent="0.2">
      <c r="A4007" t="s">
        <v>5248</v>
      </c>
      <c r="B4007" s="1">
        <v>46069</v>
      </c>
      <c r="C4007" t="s">
        <v>62</v>
      </c>
      <c r="D4007" t="s">
        <v>25</v>
      </c>
      <c r="E4007" t="s">
        <v>26</v>
      </c>
      <c r="F4007" t="s">
        <v>109</v>
      </c>
      <c r="G4007" t="s">
        <v>110</v>
      </c>
      <c r="H4007" t="s">
        <v>45</v>
      </c>
      <c r="I4007" t="s">
        <v>64</v>
      </c>
      <c r="J4007" t="s">
        <v>7029</v>
      </c>
      <c r="K4007" t="s">
        <v>78</v>
      </c>
      <c r="L4007" t="s">
        <v>33</v>
      </c>
      <c r="M4007" t="s">
        <v>47</v>
      </c>
      <c r="N4007" t="s">
        <v>69</v>
      </c>
      <c r="O4007" t="s">
        <v>70</v>
      </c>
      <c r="P4007" t="s">
        <v>71</v>
      </c>
      <c r="Q4007" t="s">
        <v>144</v>
      </c>
      <c r="R4007">
        <v>164</v>
      </c>
      <c r="S4007">
        <v>94</v>
      </c>
      <c r="T4007">
        <v>68</v>
      </c>
      <c r="U4007">
        <v>23</v>
      </c>
      <c r="V4007" t="s">
        <v>7606</v>
      </c>
      <c r="W4007">
        <v>52146</v>
      </c>
      <c r="X4007" t="s">
        <v>550</v>
      </c>
      <c r="Y4007">
        <v>38502</v>
      </c>
      <c r="Z4007">
        <v>1199358</v>
      </c>
      <c r="AA4007">
        <v>313812</v>
      </c>
      <c r="AB4007" t="str">
        <f>(VLOOKUP(SalesData[[#This Row],[Month Number]],Reference!C$5:E$16,2,FALSE))</f>
        <v>Feb</v>
      </c>
      <c r="AC4007">
        <f>MONTH(SalesData[[#This Row],[Date]])</f>
        <v>2</v>
      </c>
      <c r="AD4007">
        <f>Reference!F$4</f>
        <v>2026</v>
      </c>
      <c r="AE4007" t="str">
        <f>IF(OR(SalesData[[#This Row],[Day]]="Saturday",SalesData[[#This Row],[Day]]="Sunday"),"Weekend","Weekday")</f>
        <v>Weekday</v>
      </c>
      <c r="AF4007" s="5">
        <f>IF(SalesData[[#This Row],[Contracts Offered]]=0,0,SalesData[[#This Row],[Contracts Signed]]/SalesData[[#This Row],[Contracts Offered]])</f>
        <v>0.33823529411764708</v>
      </c>
      <c r="AG4007" s="5">
        <f>IF(SalesData[[#This Row],[Customers Visited]]=0,0,SalesData[[#This Row],[Test Drives]]/SalesData[[#This Row],[Customers Visited]])</f>
        <v>0.57317073170731703</v>
      </c>
      <c r="AH4007" s="5">
        <f>IF(SalesData[[#This Row],[Customers Visited]]=0,0,SalesData[[#This Row],[Contracts Signed]]/SalesData[[#This Row],[Customers Visited]])</f>
        <v>0.1402439024390244</v>
      </c>
      <c r="AI4007" s="6">
        <f>IF(SalesData[[#This Row],[Contracts Signed]]=0,0,SalesData[[#This Row],[Profit(€)]]/SalesData[[#This Row],[Contracts Signed]])</f>
        <v>13644</v>
      </c>
      <c r="AJ4007" s="5" t="str">
        <f>TRIM(CLEAN(SalesData[[#This Row],[Retailer]]))</f>
        <v>Leipzig Mobility</v>
      </c>
    </row>
    <row r="4008" spans="1:36" ht="14.25" hidden="1" x14ac:dyDescent="0.2">
      <c r="A4008" t="s">
        <v>5249</v>
      </c>
      <c r="B4008" s="1">
        <v>46065</v>
      </c>
      <c r="C4008" t="s">
        <v>121</v>
      </c>
      <c r="D4008" t="s">
        <v>100</v>
      </c>
      <c r="E4008" t="s">
        <v>26</v>
      </c>
      <c r="F4008" t="s">
        <v>114</v>
      </c>
      <c r="G4008" t="s">
        <v>115</v>
      </c>
      <c r="H4008" t="s">
        <v>115</v>
      </c>
      <c r="I4008" t="s">
        <v>116</v>
      </c>
      <c r="J4008" t="s">
        <v>117</v>
      </c>
      <c r="K4008" t="s">
        <v>32</v>
      </c>
      <c r="L4008" t="s">
        <v>67</v>
      </c>
      <c r="M4008" t="s">
        <v>87</v>
      </c>
      <c r="N4008" t="s">
        <v>48</v>
      </c>
      <c r="O4008" t="s">
        <v>36</v>
      </c>
      <c r="P4008" t="s">
        <v>49</v>
      </c>
      <c r="Q4008" t="s">
        <v>135</v>
      </c>
      <c r="R4008">
        <v>323</v>
      </c>
      <c r="S4008">
        <v>161</v>
      </c>
      <c r="T4008">
        <v>109</v>
      </c>
      <c r="U4008">
        <v>28</v>
      </c>
      <c r="V4008" t="s">
        <v>292</v>
      </c>
      <c r="W4008">
        <v>21499</v>
      </c>
      <c r="X4008" t="s">
        <v>5464</v>
      </c>
      <c r="Y4008">
        <v>19565</v>
      </c>
      <c r="Z4008">
        <v>601972</v>
      </c>
      <c r="AA4008">
        <v>54152</v>
      </c>
      <c r="AB4008" t="str">
        <f>(VLOOKUP(SalesData[[#This Row],[Month Number]],Reference!C$5:E$16,2,FALSE))</f>
        <v>Feb</v>
      </c>
      <c r="AC4008">
        <f>MONTH(SalesData[[#This Row],[Date]])</f>
        <v>2</v>
      </c>
      <c r="AD4008">
        <f>Reference!F$4</f>
        <v>2026</v>
      </c>
      <c r="AE4008" t="str">
        <f>IF(OR(SalesData[[#This Row],[Day]]="Saturday",SalesData[[#This Row],[Day]]="Sunday"),"Weekend","Weekday")</f>
        <v>Weekday</v>
      </c>
      <c r="AF4008" s="5">
        <f>IF(SalesData[[#This Row],[Contracts Offered]]=0,0,SalesData[[#This Row],[Contracts Signed]]/SalesData[[#This Row],[Contracts Offered]])</f>
        <v>0.25688073394495414</v>
      </c>
      <c r="AG4008" s="5">
        <f>IF(SalesData[[#This Row],[Customers Visited]]=0,0,SalesData[[#This Row],[Test Drives]]/SalesData[[#This Row],[Customers Visited]])</f>
        <v>0.49845201238390091</v>
      </c>
      <c r="AH4008" s="5">
        <f>IF(SalesData[[#This Row],[Customers Visited]]=0,0,SalesData[[#This Row],[Contracts Signed]]/SalesData[[#This Row],[Customers Visited]])</f>
        <v>8.6687306501547989E-2</v>
      </c>
      <c r="AI4008" s="6">
        <f>IF(SalesData[[#This Row],[Contracts Signed]]=0,0,SalesData[[#This Row],[Profit(€)]]/SalesData[[#This Row],[Contracts Signed]])</f>
        <v>1934</v>
      </c>
      <c r="AJ4008" s="5" t="str">
        <f>TRIM(CLEAN(SalesData[[#This Row],[Retailer]]))</f>
        <v>Elbe Drive</v>
      </c>
    </row>
    <row r="4009" spans="1:36" ht="14.25" hidden="1" x14ac:dyDescent="0.2">
      <c r="A4009" t="s">
        <v>5250</v>
      </c>
      <c r="B4009" s="1">
        <v>46059</v>
      </c>
      <c r="C4009" t="s">
        <v>24</v>
      </c>
      <c r="D4009" t="s">
        <v>54</v>
      </c>
      <c r="E4009" t="s">
        <v>26</v>
      </c>
      <c r="F4009" t="s">
        <v>7649</v>
      </c>
      <c r="G4009" t="s">
        <v>55</v>
      </c>
      <c r="H4009" t="s">
        <v>55</v>
      </c>
      <c r="I4009" t="s">
        <v>116</v>
      </c>
      <c r="J4009" t="s">
        <v>117</v>
      </c>
      <c r="K4009" t="s">
        <v>32</v>
      </c>
      <c r="L4009" t="s">
        <v>67</v>
      </c>
      <c r="M4009" t="s">
        <v>68</v>
      </c>
      <c r="N4009" t="s">
        <v>48</v>
      </c>
      <c r="O4009" t="s">
        <v>70</v>
      </c>
      <c r="P4009" t="s">
        <v>71</v>
      </c>
      <c r="Q4009" t="s">
        <v>204</v>
      </c>
      <c r="R4009">
        <v>256</v>
      </c>
      <c r="S4009">
        <v>108</v>
      </c>
      <c r="T4009">
        <v>65</v>
      </c>
      <c r="U4009">
        <v>19</v>
      </c>
      <c r="V4009" t="s">
        <v>386</v>
      </c>
      <c r="W4009">
        <v>20729</v>
      </c>
      <c r="X4009" t="s">
        <v>1073</v>
      </c>
      <c r="Y4009">
        <v>18545</v>
      </c>
      <c r="Z4009">
        <v>393851</v>
      </c>
      <c r="AA4009">
        <v>41496</v>
      </c>
      <c r="AB4009" t="str">
        <f>(VLOOKUP(SalesData[[#This Row],[Month Number]],Reference!C$5:E$16,2,FALSE))</f>
        <v>Feb</v>
      </c>
      <c r="AC4009">
        <f>MONTH(SalesData[[#This Row],[Date]])</f>
        <v>2</v>
      </c>
      <c r="AD4009">
        <f>Reference!F$4</f>
        <v>2026</v>
      </c>
      <c r="AE4009" t="str">
        <f>IF(OR(SalesData[[#This Row],[Day]]="Saturday",SalesData[[#This Row],[Day]]="Sunday"),"Weekend","Weekday")</f>
        <v>Weekday</v>
      </c>
      <c r="AF4009" s="5">
        <f>IF(SalesData[[#This Row],[Contracts Offered]]=0,0,SalesData[[#This Row],[Contracts Signed]]/SalesData[[#This Row],[Contracts Offered]])</f>
        <v>0.29230769230769232</v>
      </c>
      <c r="AG4009" s="5">
        <f>IF(SalesData[[#This Row],[Customers Visited]]=0,0,SalesData[[#This Row],[Test Drives]]/SalesData[[#This Row],[Customers Visited]])</f>
        <v>0.421875</v>
      </c>
      <c r="AH4009" s="5">
        <f>IF(SalesData[[#This Row],[Customers Visited]]=0,0,SalesData[[#This Row],[Contracts Signed]]/SalesData[[#This Row],[Customers Visited]])</f>
        <v>7.421875E-2</v>
      </c>
      <c r="AI4009" s="6">
        <f>IF(SalesData[[#This Row],[Contracts Signed]]=0,0,SalesData[[#This Row],[Profit(€)]]/SalesData[[#This Row],[Contracts Signed]])</f>
        <v>2184</v>
      </c>
      <c r="AJ4009" s="5" t="str">
        <f>TRIM(CLEAN(SalesData[[#This Row],[Retailer]]))</f>
        <v>Autohaus Berlin</v>
      </c>
    </row>
    <row r="4010" spans="1:36" ht="14.25" x14ac:dyDescent="0.2">
      <c r="A4010" t="s">
        <v>5251</v>
      </c>
      <c r="B4010" s="1">
        <v>46065</v>
      </c>
      <c r="C4010" t="s">
        <v>121</v>
      </c>
      <c r="D4010" t="s">
        <v>100</v>
      </c>
      <c r="E4010" t="s">
        <v>26</v>
      </c>
      <c r="F4010" t="s">
        <v>127</v>
      </c>
      <c r="G4010" t="s">
        <v>128</v>
      </c>
      <c r="H4010" t="s">
        <v>103</v>
      </c>
      <c r="I4010" t="s">
        <v>30</v>
      </c>
      <c r="J4010" t="s">
        <v>31</v>
      </c>
      <c r="K4010" t="s">
        <v>32</v>
      </c>
      <c r="L4010" t="s">
        <v>46</v>
      </c>
      <c r="M4010" t="s">
        <v>47</v>
      </c>
      <c r="N4010" t="s">
        <v>69</v>
      </c>
      <c r="O4010" t="s">
        <v>70</v>
      </c>
      <c r="P4010" t="s">
        <v>49</v>
      </c>
      <c r="Q4010" t="s">
        <v>158</v>
      </c>
      <c r="R4010">
        <v>241</v>
      </c>
      <c r="S4010">
        <v>115</v>
      </c>
      <c r="T4010">
        <v>79</v>
      </c>
      <c r="U4010">
        <v>29</v>
      </c>
      <c r="V4010" t="s">
        <v>6749</v>
      </c>
      <c r="W4010">
        <v>52900</v>
      </c>
      <c r="X4010" t="s">
        <v>7133</v>
      </c>
      <c r="Y4010">
        <v>37897</v>
      </c>
      <c r="Z4010">
        <v>1534100</v>
      </c>
      <c r="AA4010">
        <v>435087</v>
      </c>
      <c r="AB4010" t="str">
        <f>(VLOOKUP(SalesData[[#This Row],[Month Number]],Reference!C$5:E$16,2,FALSE))</f>
        <v>Feb</v>
      </c>
      <c r="AC4010">
        <f>MONTH(SalesData[[#This Row],[Date]])</f>
        <v>2</v>
      </c>
      <c r="AD4010">
        <f>Reference!F$4</f>
        <v>2026</v>
      </c>
      <c r="AE4010" t="str">
        <f>IF(OR(SalesData[[#This Row],[Day]]="Saturday",SalesData[[#This Row],[Day]]="Sunday"),"Weekend","Weekday")</f>
        <v>Weekday</v>
      </c>
      <c r="AF4010" s="5">
        <f>IF(SalesData[[#This Row],[Contracts Offered]]=0,0,SalesData[[#This Row],[Contracts Signed]]/SalesData[[#This Row],[Contracts Offered]])</f>
        <v>0.36708860759493672</v>
      </c>
      <c r="AG4010" s="5">
        <f>IF(SalesData[[#This Row],[Customers Visited]]=0,0,SalesData[[#This Row],[Test Drives]]/SalesData[[#This Row],[Customers Visited]])</f>
        <v>0.47717842323651455</v>
      </c>
      <c r="AH4010" s="5">
        <f>IF(SalesData[[#This Row],[Customers Visited]]=0,0,SalesData[[#This Row],[Contracts Signed]]/SalesData[[#This Row],[Customers Visited]])</f>
        <v>0.12033195020746888</v>
      </c>
      <c r="AI4010" s="6">
        <f>IF(SalesData[[#This Row],[Contracts Signed]]=0,0,SalesData[[#This Row],[Profit(€)]]/SalesData[[#This Row],[Contracts Signed]])</f>
        <v>15003</v>
      </c>
      <c r="AJ4010" s="5" t="str">
        <f>TRIM(CLEAN(SalesData[[#This Row],[Retailer]]))</f>
        <v>Rhein Auto Group</v>
      </c>
    </row>
    <row r="4011" spans="1:36" ht="14.25" hidden="1" x14ac:dyDescent="0.2">
      <c r="A4011" t="s">
        <v>5252</v>
      </c>
      <c r="B4011" s="1">
        <v>46067</v>
      </c>
      <c r="C4011" t="s">
        <v>121</v>
      </c>
      <c r="D4011" t="s">
        <v>151</v>
      </c>
      <c r="E4011" t="s">
        <v>42</v>
      </c>
      <c r="F4011" t="s">
        <v>94</v>
      </c>
      <c r="G4011" t="s">
        <v>95</v>
      </c>
      <c r="H4011" t="s">
        <v>96</v>
      </c>
      <c r="I4011" t="s">
        <v>116</v>
      </c>
      <c r="J4011" t="s">
        <v>117</v>
      </c>
      <c r="K4011" t="s">
        <v>32</v>
      </c>
      <c r="L4011" t="s">
        <v>67</v>
      </c>
      <c r="M4011" t="s">
        <v>34</v>
      </c>
      <c r="N4011" t="s">
        <v>69</v>
      </c>
      <c r="O4011" t="s">
        <v>70</v>
      </c>
      <c r="P4011" t="s">
        <v>49</v>
      </c>
      <c r="Q4011" t="s">
        <v>79</v>
      </c>
      <c r="R4011">
        <v>336</v>
      </c>
      <c r="S4011">
        <v>165</v>
      </c>
      <c r="T4011">
        <v>110</v>
      </c>
      <c r="U4011">
        <v>25</v>
      </c>
      <c r="V4011" t="s">
        <v>592</v>
      </c>
      <c r="W4011">
        <v>21292</v>
      </c>
      <c r="X4011" t="s">
        <v>7563</v>
      </c>
      <c r="Y4011">
        <v>19177</v>
      </c>
      <c r="Z4011">
        <v>532300</v>
      </c>
      <c r="AA4011">
        <v>52875</v>
      </c>
      <c r="AB4011" t="str">
        <f>(VLOOKUP(SalesData[[#This Row],[Month Number]],Reference!C$5:E$16,2,FALSE))</f>
        <v>Feb</v>
      </c>
      <c r="AC4011">
        <f>MONTH(SalesData[[#This Row],[Date]])</f>
        <v>2</v>
      </c>
      <c r="AD4011">
        <f>Reference!F$4</f>
        <v>2026</v>
      </c>
      <c r="AE4011" t="str">
        <f>IF(OR(SalesData[[#This Row],[Day]]="Saturday",SalesData[[#This Row],[Day]]="Sunday"),"Weekend","Weekday")</f>
        <v>Weekend</v>
      </c>
      <c r="AF4011" s="5">
        <f>IF(SalesData[[#This Row],[Contracts Offered]]=0,0,SalesData[[#This Row],[Contracts Signed]]/SalesData[[#This Row],[Contracts Offered]])</f>
        <v>0.22727272727272727</v>
      </c>
      <c r="AG4011" s="5">
        <f>IF(SalesData[[#This Row],[Customers Visited]]=0,0,SalesData[[#This Row],[Test Drives]]/SalesData[[#This Row],[Customers Visited]])</f>
        <v>0.49107142857142855</v>
      </c>
      <c r="AH4011" s="5">
        <f>IF(SalesData[[#This Row],[Customers Visited]]=0,0,SalesData[[#This Row],[Contracts Signed]]/SalesData[[#This Row],[Customers Visited]])</f>
        <v>7.4404761904761904E-2</v>
      </c>
      <c r="AI4011" s="6">
        <f>IF(SalesData[[#This Row],[Contracts Signed]]=0,0,SalesData[[#This Row],[Profit(€)]]/SalesData[[#This Row],[Contracts Signed]])</f>
        <v>2115</v>
      </c>
      <c r="AJ4011" s="5" t="str">
        <f>TRIM(CLEAN(SalesData[[#This Row],[Retailer]]))</f>
        <v>Bavaria Motors</v>
      </c>
    </row>
    <row r="4012" spans="1:36" ht="14.25" hidden="1" x14ac:dyDescent="0.2">
      <c r="A4012" t="s">
        <v>5253</v>
      </c>
      <c r="B4012" s="1">
        <v>46077</v>
      </c>
      <c r="C4012" t="s">
        <v>53</v>
      </c>
      <c r="D4012" t="s">
        <v>63</v>
      </c>
      <c r="E4012" t="s">
        <v>26</v>
      </c>
      <c r="F4012" t="s">
        <v>114</v>
      </c>
      <c r="G4012" t="s">
        <v>115</v>
      </c>
      <c r="H4012" t="s">
        <v>115</v>
      </c>
      <c r="I4012" t="s">
        <v>104</v>
      </c>
      <c r="J4012" t="s">
        <v>105</v>
      </c>
      <c r="K4012" t="s">
        <v>32</v>
      </c>
      <c r="L4012" t="s">
        <v>33</v>
      </c>
      <c r="M4012" t="s">
        <v>34</v>
      </c>
      <c r="N4012" t="s">
        <v>69</v>
      </c>
      <c r="O4012" t="s">
        <v>36</v>
      </c>
      <c r="P4012" t="s">
        <v>37</v>
      </c>
      <c r="Q4012" t="s">
        <v>38</v>
      </c>
      <c r="R4012">
        <v>476</v>
      </c>
      <c r="S4012">
        <v>195</v>
      </c>
      <c r="T4012">
        <v>127</v>
      </c>
      <c r="U4012">
        <v>34</v>
      </c>
      <c r="V4012" t="s">
        <v>652</v>
      </c>
      <c r="W4012">
        <v>29207</v>
      </c>
      <c r="X4012" t="s">
        <v>3234</v>
      </c>
      <c r="Y4012">
        <v>25191</v>
      </c>
      <c r="Z4012">
        <v>993038</v>
      </c>
      <c r="AA4012">
        <v>136544</v>
      </c>
      <c r="AB4012" t="str">
        <f>(VLOOKUP(SalesData[[#This Row],[Month Number]],Reference!C$5:E$16,2,FALSE))</f>
        <v>Feb</v>
      </c>
      <c r="AC4012">
        <f>MONTH(SalesData[[#This Row],[Date]])</f>
        <v>2</v>
      </c>
      <c r="AD4012">
        <f>Reference!F$4</f>
        <v>2026</v>
      </c>
      <c r="AE4012" t="str">
        <f>IF(OR(SalesData[[#This Row],[Day]]="Saturday",SalesData[[#This Row],[Day]]="Sunday"),"Weekend","Weekday")</f>
        <v>Weekday</v>
      </c>
      <c r="AF4012" s="5">
        <f>IF(SalesData[[#This Row],[Contracts Offered]]=0,0,SalesData[[#This Row],[Contracts Signed]]/SalesData[[#This Row],[Contracts Offered]])</f>
        <v>0.26771653543307089</v>
      </c>
      <c r="AG4012" s="5">
        <f>IF(SalesData[[#This Row],[Customers Visited]]=0,0,SalesData[[#This Row],[Test Drives]]/SalesData[[#This Row],[Customers Visited]])</f>
        <v>0.40966386554621848</v>
      </c>
      <c r="AH4012" s="5">
        <f>IF(SalesData[[#This Row],[Customers Visited]]=0,0,SalesData[[#This Row],[Contracts Signed]]/SalesData[[#This Row],[Customers Visited]])</f>
        <v>7.1428571428571425E-2</v>
      </c>
      <c r="AI4012" s="6">
        <f>IF(SalesData[[#This Row],[Contracts Signed]]=0,0,SalesData[[#This Row],[Profit(€)]]/SalesData[[#This Row],[Contracts Signed]])</f>
        <v>4016</v>
      </c>
      <c r="AJ4012" s="5" t="str">
        <f>TRIM(CLEAN(SalesData[[#This Row],[Retailer]]))</f>
        <v>Elbe Drive</v>
      </c>
    </row>
    <row r="4013" spans="1:36" ht="14.25" hidden="1" x14ac:dyDescent="0.2">
      <c r="A4013" t="s">
        <v>5254</v>
      </c>
      <c r="B4013" s="1">
        <v>46068</v>
      </c>
      <c r="C4013" t="s">
        <v>62</v>
      </c>
      <c r="D4013" t="s">
        <v>41</v>
      </c>
      <c r="E4013" t="s">
        <v>42</v>
      </c>
      <c r="F4013" t="s">
        <v>7649</v>
      </c>
      <c r="G4013" t="s">
        <v>55</v>
      </c>
      <c r="H4013" t="s">
        <v>55</v>
      </c>
      <c r="I4013" t="s">
        <v>56</v>
      </c>
      <c r="J4013" t="s">
        <v>97</v>
      </c>
      <c r="K4013" t="s">
        <v>32</v>
      </c>
      <c r="L4013" t="s">
        <v>33</v>
      </c>
      <c r="M4013" t="s">
        <v>47</v>
      </c>
      <c r="N4013" t="s">
        <v>48</v>
      </c>
      <c r="O4013" t="s">
        <v>36</v>
      </c>
      <c r="P4013" t="s">
        <v>37</v>
      </c>
      <c r="Q4013" t="s">
        <v>79</v>
      </c>
      <c r="R4013">
        <v>253</v>
      </c>
      <c r="S4013">
        <v>152</v>
      </c>
      <c r="T4013">
        <v>104</v>
      </c>
      <c r="U4013">
        <v>34</v>
      </c>
      <c r="V4013" t="s">
        <v>6477</v>
      </c>
      <c r="W4013">
        <v>53679</v>
      </c>
      <c r="X4013" t="s">
        <v>7434</v>
      </c>
      <c r="Y4013">
        <v>42334</v>
      </c>
      <c r="Z4013">
        <v>1825086</v>
      </c>
      <c r="AA4013">
        <v>385730</v>
      </c>
      <c r="AB4013" t="str">
        <f>(VLOOKUP(SalesData[[#This Row],[Month Number]],Reference!C$5:E$16,2,FALSE))</f>
        <v>Feb</v>
      </c>
      <c r="AC4013">
        <f>MONTH(SalesData[[#This Row],[Date]])</f>
        <v>2</v>
      </c>
      <c r="AD4013">
        <f>Reference!F$4</f>
        <v>2026</v>
      </c>
      <c r="AE4013" t="str">
        <f>IF(OR(SalesData[[#This Row],[Day]]="Saturday",SalesData[[#This Row],[Day]]="Sunday"),"Weekend","Weekday")</f>
        <v>Weekend</v>
      </c>
      <c r="AF4013" s="5">
        <f>IF(SalesData[[#This Row],[Contracts Offered]]=0,0,SalesData[[#This Row],[Contracts Signed]]/SalesData[[#This Row],[Contracts Offered]])</f>
        <v>0.32692307692307693</v>
      </c>
      <c r="AG4013" s="5">
        <f>IF(SalesData[[#This Row],[Customers Visited]]=0,0,SalesData[[#This Row],[Test Drives]]/SalesData[[#This Row],[Customers Visited]])</f>
        <v>0.60079051383399207</v>
      </c>
      <c r="AH4013" s="5">
        <f>IF(SalesData[[#This Row],[Customers Visited]]=0,0,SalesData[[#This Row],[Contracts Signed]]/SalesData[[#This Row],[Customers Visited]])</f>
        <v>0.13438735177865613</v>
      </c>
      <c r="AI4013" s="6">
        <f>IF(SalesData[[#This Row],[Contracts Signed]]=0,0,SalesData[[#This Row],[Profit(€)]]/SalesData[[#This Row],[Contracts Signed]])</f>
        <v>11345</v>
      </c>
      <c r="AJ4013" s="5" t="str">
        <f>TRIM(CLEAN(SalesData[[#This Row],[Retailer]]))</f>
        <v>Autohaus Berlin</v>
      </c>
    </row>
    <row r="4014" spans="1:36" ht="14.25" hidden="1" x14ac:dyDescent="0.2">
      <c r="A4014" t="s">
        <v>5255</v>
      </c>
      <c r="B4014" s="1">
        <v>46074</v>
      </c>
      <c r="C4014" t="s">
        <v>62</v>
      </c>
      <c r="D4014" t="s">
        <v>151</v>
      </c>
      <c r="E4014" t="s">
        <v>42</v>
      </c>
      <c r="F4014" t="s">
        <v>83</v>
      </c>
      <c r="G4014" t="s">
        <v>84</v>
      </c>
      <c r="H4014" t="s">
        <v>85</v>
      </c>
      <c r="I4014" t="s">
        <v>116</v>
      </c>
      <c r="J4014" t="s">
        <v>203</v>
      </c>
      <c r="K4014" t="s">
        <v>91</v>
      </c>
      <c r="L4014" t="s">
        <v>67</v>
      </c>
      <c r="M4014" t="s">
        <v>87</v>
      </c>
      <c r="N4014" t="s">
        <v>35</v>
      </c>
      <c r="O4014" t="s">
        <v>70</v>
      </c>
      <c r="P4014" t="s">
        <v>37</v>
      </c>
      <c r="Q4014" t="s">
        <v>118</v>
      </c>
      <c r="R4014">
        <v>333</v>
      </c>
      <c r="S4014">
        <v>130</v>
      </c>
      <c r="T4014">
        <v>81</v>
      </c>
      <c r="U4014">
        <v>15</v>
      </c>
      <c r="V4014" t="s">
        <v>979</v>
      </c>
      <c r="W4014">
        <v>19860</v>
      </c>
      <c r="X4014" t="s">
        <v>7543</v>
      </c>
      <c r="Y4014">
        <v>17847</v>
      </c>
      <c r="Z4014">
        <v>297900</v>
      </c>
      <c r="AA4014">
        <v>30195</v>
      </c>
      <c r="AB4014" t="str">
        <f>(VLOOKUP(SalesData[[#This Row],[Month Number]],Reference!C$5:E$16,2,FALSE))</f>
        <v>Feb</v>
      </c>
      <c r="AC4014">
        <f>MONTH(SalesData[[#This Row],[Date]])</f>
        <v>2</v>
      </c>
      <c r="AD4014">
        <f>Reference!F$4</f>
        <v>2026</v>
      </c>
      <c r="AE4014" t="str">
        <f>IF(OR(SalesData[[#This Row],[Day]]="Saturday",SalesData[[#This Row],[Day]]="Sunday"),"Weekend","Weekday")</f>
        <v>Weekend</v>
      </c>
      <c r="AF4014" s="5">
        <f>IF(SalesData[[#This Row],[Contracts Offered]]=0,0,SalesData[[#This Row],[Contracts Signed]]/SalesData[[#This Row],[Contracts Offered]])</f>
        <v>0.18518518518518517</v>
      </c>
      <c r="AG4014" s="5">
        <f>IF(SalesData[[#This Row],[Customers Visited]]=0,0,SalesData[[#This Row],[Test Drives]]/SalesData[[#This Row],[Customers Visited]])</f>
        <v>0.39039039039039036</v>
      </c>
      <c r="AH4014" s="5">
        <f>IF(SalesData[[#This Row],[Customers Visited]]=0,0,SalesData[[#This Row],[Contracts Signed]]/SalesData[[#This Row],[Customers Visited]])</f>
        <v>4.5045045045045043E-2</v>
      </c>
      <c r="AI4014" s="6">
        <f>IF(SalesData[[#This Row],[Contracts Signed]]=0,0,SalesData[[#This Row],[Profit(€)]]/SalesData[[#This Row],[Contracts Signed]])</f>
        <v>2013</v>
      </c>
      <c r="AJ4014" s="5" t="str">
        <f>TRIM(CLEAN(SalesData[[#This Row],[Retailer]]))</f>
        <v>Hannover Cars</v>
      </c>
    </row>
    <row r="4015" spans="1:36" ht="14.25" hidden="1" x14ac:dyDescent="0.2">
      <c r="A4015" t="s">
        <v>5256</v>
      </c>
      <c r="B4015" s="1">
        <v>46064</v>
      </c>
      <c r="C4015" t="s">
        <v>121</v>
      </c>
      <c r="D4015" t="s">
        <v>82</v>
      </c>
      <c r="E4015" t="s">
        <v>26</v>
      </c>
      <c r="F4015" t="s">
        <v>109</v>
      </c>
      <c r="G4015" t="s">
        <v>110</v>
      </c>
      <c r="H4015" t="s">
        <v>45</v>
      </c>
      <c r="I4015" t="s">
        <v>56</v>
      </c>
      <c r="J4015" t="s">
        <v>57</v>
      </c>
      <c r="K4015" t="s">
        <v>78</v>
      </c>
      <c r="L4015" t="s">
        <v>46</v>
      </c>
      <c r="M4015" t="s">
        <v>68</v>
      </c>
      <c r="N4015" t="s">
        <v>35</v>
      </c>
      <c r="O4015" t="s">
        <v>70</v>
      </c>
      <c r="P4015" t="s">
        <v>37</v>
      </c>
      <c r="Q4015" t="s">
        <v>158</v>
      </c>
      <c r="R4015">
        <v>194</v>
      </c>
      <c r="S4015">
        <v>121</v>
      </c>
      <c r="T4015">
        <v>79</v>
      </c>
      <c r="U4015">
        <v>24</v>
      </c>
      <c r="V4015" t="s">
        <v>1976</v>
      </c>
      <c r="W4015">
        <v>48834</v>
      </c>
      <c r="X4015" t="s">
        <v>7450</v>
      </c>
      <c r="Y4015">
        <v>36773</v>
      </c>
      <c r="Z4015">
        <v>1172016</v>
      </c>
      <c r="AA4015">
        <v>289464</v>
      </c>
      <c r="AB4015" t="str">
        <f>(VLOOKUP(SalesData[[#This Row],[Month Number]],Reference!C$5:E$16,2,FALSE))</f>
        <v>Feb</v>
      </c>
      <c r="AC4015">
        <f>MONTH(SalesData[[#This Row],[Date]])</f>
        <v>2</v>
      </c>
      <c r="AD4015">
        <f>Reference!F$4</f>
        <v>2026</v>
      </c>
      <c r="AE4015" t="str">
        <f>IF(OR(SalesData[[#This Row],[Day]]="Saturday",SalesData[[#This Row],[Day]]="Sunday"),"Weekend","Weekday")</f>
        <v>Weekday</v>
      </c>
      <c r="AF4015" s="5">
        <f>IF(SalesData[[#This Row],[Contracts Offered]]=0,0,SalesData[[#This Row],[Contracts Signed]]/SalesData[[#This Row],[Contracts Offered]])</f>
        <v>0.30379746835443039</v>
      </c>
      <c r="AG4015" s="5">
        <f>IF(SalesData[[#This Row],[Customers Visited]]=0,0,SalesData[[#This Row],[Test Drives]]/SalesData[[#This Row],[Customers Visited]])</f>
        <v>0.62371134020618557</v>
      </c>
      <c r="AH4015" s="5">
        <f>IF(SalesData[[#This Row],[Customers Visited]]=0,0,SalesData[[#This Row],[Contracts Signed]]/SalesData[[#This Row],[Customers Visited]])</f>
        <v>0.12371134020618557</v>
      </c>
      <c r="AI4015" s="6">
        <f>IF(SalesData[[#This Row],[Contracts Signed]]=0,0,SalesData[[#This Row],[Profit(€)]]/SalesData[[#This Row],[Contracts Signed]])</f>
        <v>12061</v>
      </c>
      <c r="AJ4015" s="5" t="str">
        <f>TRIM(CLEAN(SalesData[[#This Row],[Retailer]]))</f>
        <v>Leipzig Mobility</v>
      </c>
    </row>
    <row r="4016" spans="1:36" ht="14.25" hidden="1" x14ac:dyDescent="0.2">
      <c r="A4016" t="s">
        <v>5257</v>
      </c>
      <c r="B4016" s="1">
        <v>46062</v>
      </c>
      <c r="C4016" t="s">
        <v>121</v>
      </c>
      <c r="D4016" t="s">
        <v>25</v>
      </c>
      <c r="E4016" t="s">
        <v>26</v>
      </c>
      <c r="F4016" t="s">
        <v>74</v>
      </c>
      <c r="G4016" t="s">
        <v>75</v>
      </c>
      <c r="H4016" t="s">
        <v>76</v>
      </c>
      <c r="I4016" t="s">
        <v>64</v>
      </c>
      <c r="J4016" t="s">
        <v>65</v>
      </c>
      <c r="K4016" t="s">
        <v>78</v>
      </c>
      <c r="L4016" t="s">
        <v>33</v>
      </c>
      <c r="M4016" t="s">
        <v>47</v>
      </c>
      <c r="N4016" t="s">
        <v>48</v>
      </c>
      <c r="O4016" t="s">
        <v>36</v>
      </c>
      <c r="P4016" t="s">
        <v>37</v>
      </c>
      <c r="Q4016" t="s">
        <v>106</v>
      </c>
      <c r="R4016">
        <v>190</v>
      </c>
      <c r="S4016">
        <v>107</v>
      </c>
      <c r="T4016">
        <v>85</v>
      </c>
      <c r="U4016">
        <v>26</v>
      </c>
      <c r="V4016" t="s">
        <v>6932</v>
      </c>
      <c r="W4016">
        <v>56763</v>
      </c>
      <c r="X4016" t="s">
        <v>3488</v>
      </c>
      <c r="Y4016">
        <v>42814</v>
      </c>
      <c r="Z4016">
        <v>1475838</v>
      </c>
      <c r="AA4016">
        <v>362674</v>
      </c>
      <c r="AB4016" t="str">
        <f>(VLOOKUP(SalesData[[#This Row],[Month Number]],Reference!C$5:E$16,2,FALSE))</f>
        <v>Feb</v>
      </c>
      <c r="AC4016">
        <f>MONTH(SalesData[[#This Row],[Date]])</f>
        <v>2</v>
      </c>
      <c r="AD4016">
        <f>Reference!F$4</f>
        <v>2026</v>
      </c>
      <c r="AE4016" t="str">
        <f>IF(OR(SalesData[[#This Row],[Day]]="Saturday",SalesData[[#This Row],[Day]]="Sunday"),"Weekend","Weekday")</f>
        <v>Weekday</v>
      </c>
      <c r="AF4016" s="5">
        <f>IF(SalesData[[#This Row],[Contracts Offered]]=0,0,SalesData[[#This Row],[Contracts Signed]]/SalesData[[#This Row],[Contracts Offered]])</f>
        <v>0.30588235294117649</v>
      </c>
      <c r="AG4016" s="5">
        <f>IF(SalesData[[#This Row],[Customers Visited]]=0,0,SalesData[[#This Row],[Test Drives]]/SalesData[[#This Row],[Customers Visited]])</f>
        <v>0.56315789473684208</v>
      </c>
      <c r="AH4016" s="5">
        <f>IF(SalesData[[#This Row],[Customers Visited]]=0,0,SalesData[[#This Row],[Contracts Signed]]/SalesData[[#This Row],[Customers Visited]])</f>
        <v>0.1368421052631579</v>
      </c>
      <c r="AI4016" s="6">
        <f>IF(SalesData[[#This Row],[Contracts Signed]]=0,0,SalesData[[#This Row],[Profit(€)]]/SalesData[[#This Row],[Contracts Signed]])</f>
        <v>13949</v>
      </c>
      <c r="AJ4016" s="5" t="str">
        <f>TRIM(CLEAN(SalesData[[#This Row],[Retailer]]))</f>
        <v>Stuttgart Auto Center</v>
      </c>
    </row>
    <row r="4017" spans="1:36" ht="14.25" hidden="1" x14ac:dyDescent="0.2">
      <c r="A4017" t="s">
        <v>5258</v>
      </c>
      <c r="B4017" s="1">
        <v>46060</v>
      </c>
      <c r="C4017" t="s">
        <v>24</v>
      </c>
      <c r="D4017" t="s">
        <v>151</v>
      </c>
      <c r="E4017" t="s">
        <v>42</v>
      </c>
      <c r="F4017" t="s">
        <v>43</v>
      </c>
      <c r="G4017" t="s">
        <v>44</v>
      </c>
      <c r="H4017" t="s">
        <v>45</v>
      </c>
      <c r="I4017" t="s">
        <v>56</v>
      </c>
      <c r="J4017" t="s">
        <v>137</v>
      </c>
      <c r="K4017" t="s">
        <v>91</v>
      </c>
      <c r="L4017" t="s">
        <v>46</v>
      </c>
      <c r="M4017" t="s">
        <v>87</v>
      </c>
      <c r="N4017" t="s">
        <v>35</v>
      </c>
      <c r="O4017" t="s">
        <v>70</v>
      </c>
      <c r="P4017" t="s">
        <v>58</v>
      </c>
      <c r="Q4017" t="s">
        <v>106</v>
      </c>
      <c r="R4017">
        <v>212</v>
      </c>
      <c r="S4017">
        <v>117</v>
      </c>
      <c r="T4017">
        <v>89</v>
      </c>
      <c r="U4017">
        <v>30</v>
      </c>
      <c r="V4017" t="s">
        <v>6405</v>
      </c>
      <c r="W4017">
        <v>43143</v>
      </c>
      <c r="X4017" t="s">
        <v>3364</v>
      </c>
      <c r="Y4017">
        <v>33386</v>
      </c>
      <c r="Z4017">
        <v>1294290</v>
      </c>
      <c r="AA4017">
        <v>292710</v>
      </c>
      <c r="AB4017" t="str">
        <f>(VLOOKUP(SalesData[[#This Row],[Month Number]],Reference!C$5:E$16,2,FALSE))</f>
        <v>Feb</v>
      </c>
      <c r="AC4017">
        <f>MONTH(SalesData[[#This Row],[Date]])</f>
        <v>2</v>
      </c>
      <c r="AD4017">
        <f>Reference!F$4</f>
        <v>2026</v>
      </c>
      <c r="AE4017" t="str">
        <f>IF(OR(SalesData[[#This Row],[Day]]="Saturday",SalesData[[#This Row],[Day]]="Sunday"),"Weekend","Weekday")</f>
        <v>Weekend</v>
      </c>
      <c r="AF4017" s="5">
        <f>IF(SalesData[[#This Row],[Contracts Offered]]=0,0,SalesData[[#This Row],[Contracts Signed]]/SalesData[[#This Row],[Contracts Offered]])</f>
        <v>0.33707865168539325</v>
      </c>
      <c r="AG4017" s="5">
        <f>IF(SalesData[[#This Row],[Customers Visited]]=0,0,SalesData[[#This Row],[Test Drives]]/SalesData[[#This Row],[Customers Visited]])</f>
        <v>0.55188679245283023</v>
      </c>
      <c r="AH4017" s="5">
        <f>IF(SalesData[[#This Row],[Customers Visited]]=0,0,SalesData[[#This Row],[Contracts Signed]]/SalesData[[#This Row],[Customers Visited]])</f>
        <v>0.14150943396226415</v>
      </c>
      <c r="AI4017" s="6">
        <f>IF(SalesData[[#This Row],[Contracts Signed]]=0,0,SalesData[[#This Row],[Profit(€)]]/SalesData[[#This Row],[Contracts Signed]])</f>
        <v>9757</v>
      </c>
      <c r="AJ4017" s="5" t="str">
        <f>TRIM(CLEAN(SalesData[[#This Row],[Retailer]]))</f>
        <v>Saxon Wheels</v>
      </c>
    </row>
    <row r="4018" spans="1:36" ht="14.25" hidden="1" x14ac:dyDescent="0.2">
      <c r="A4018" t="s">
        <v>5259</v>
      </c>
      <c r="B4018" s="1">
        <v>46062</v>
      </c>
      <c r="C4018" t="s">
        <v>121</v>
      </c>
      <c r="D4018" t="s">
        <v>25</v>
      </c>
      <c r="E4018" t="s">
        <v>26</v>
      </c>
      <c r="F4018" t="s">
        <v>27</v>
      </c>
      <c r="G4018" t="s">
        <v>28</v>
      </c>
      <c r="H4018" t="s">
        <v>29</v>
      </c>
      <c r="I4018" t="s">
        <v>104</v>
      </c>
      <c r="J4018" t="s">
        <v>143</v>
      </c>
      <c r="K4018" t="s">
        <v>91</v>
      </c>
      <c r="L4018" t="s">
        <v>67</v>
      </c>
      <c r="M4018" t="s">
        <v>34</v>
      </c>
      <c r="N4018" t="s">
        <v>48</v>
      </c>
      <c r="O4018" t="s">
        <v>36</v>
      </c>
      <c r="P4018" t="s">
        <v>71</v>
      </c>
      <c r="Q4018" t="s">
        <v>59</v>
      </c>
      <c r="R4018">
        <v>435</v>
      </c>
      <c r="S4018">
        <v>248</v>
      </c>
      <c r="T4018">
        <v>173</v>
      </c>
      <c r="U4018">
        <v>43</v>
      </c>
      <c r="V4018" t="s">
        <v>6987</v>
      </c>
      <c r="W4018">
        <v>35125</v>
      </c>
      <c r="X4018" t="s">
        <v>3831</v>
      </c>
      <c r="Y4018">
        <v>31762</v>
      </c>
      <c r="Z4018">
        <v>1510375</v>
      </c>
      <c r="AA4018">
        <v>144609</v>
      </c>
      <c r="AB4018" t="str">
        <f>(VLOOKUP(SalesData[[#This Row],[Month Number]],Reference!C$5:E$16,2,FALSE))</f>
        <v>Feb</v>
      </c>
      <c r="AC4018">
        <f>MONTH(SalesData[[#This Row],[Date]])</f>
        <v>2</v>
      </c>
      <c r="AD4018">
        <f>Reference!F$4</f>
        <v>2026</v>
      </c>
      <c r="AE4018" t="str">
        <f>IF(OR(SalesData[[#This Row],[Day]]="Saturday",SalesData[[#This Row],[Day]]="Sunday"),"Weekend","Weekday")</f>
        <v>Weekday</v>
      </c>
      <c r="AF4018" s="5">
        <f>IF(SalesData[[#This Row],[Contracts Offered]]=0,0,SalesData[[#This Row],[Contracts Signed]]/SalesData[[#This Row],[Contracts Offered]])</f>
        <v>0.24855491329479767</v>
      </c>
      <c r="AG4018" s="5">
        <f>IF(SalesData[[#This Row],[Customers Visited]]=0,0,SalesData[[#This Row],[Test Drives]]/SalesData[[#This Row],[Customers Visited]])</f>
        <v>0.57011494252873562</v>
      </c>
      <c r="AH4018" s="5">
        <f>IF(SalesData[[#This Row],[Customers Visited]]=0,0,SalesData[[#This Row],[Contracts Signed]]/SalesData[[#This Row],[Customers Visited]])</f>
        <v>9.8850574712643677E-2</v>
      </c>
      <c r="AI4018" s="6">
        <f>IF(SalesData[[#This Row],[Contracts Signed]]=0,0,SalesData[[#This Row],[Profit(€)]]/SalesData[[#This Row],[Contracts Signed]])</f>
        <v>3363</v>
      </c>
      <c r="AJ4018" s="5" t="str">
        <f>TRIM(CLEAN(SalesData[[#This Row],[Retailer]]))</f>
        <v>Main Auto Hub</v>
      </c>
    </row>
    <row r="4019" spans="1:36" ht="14.25" hidden="1" x14ac:dyDescent="0.2">
      <c r="A4019" t="s">
        <v>5260</v>
      </c>
      <c r="B4019" s="1">
        <v>46057</v>
      </c>
      <c r="C4019" t="s">
        <v>24</v>
      </c>
      <c r="D4019" t="s">
        <v>82</v>
      </c>
      <c r="E4019" t="s">
        <v>26</v>
      </c>
      <c r="F4019" t="s">
        <v>114</v>
      </c>
      <c r="G4019" t="s">
        <v>115</v>
      </c>
      <c r="H4019" t="s">
        <v>115</v>
      </c>
      <c r="I4019" t="s">
        <v>64</v>
      </c>
      <c r="J4019" t="s">
        <v>157</v>
      </c>
      <c r="K4019" t="s">
        <v>91</v>
      </c>
      <c r="L4019" t="s">
        <v>33</v>
      </c>
      <c r="M4019" t="s">
        <v>87</v>
      </c>
      <c r="N4019" t="s">
        <v>48</v>
      </c>
      <c r="O4019" t="s">
        <v>36</v>
      </c>
      <c r="P4019" t="s">
        <v>37</v>
      </c>
      <c r="Q4019" t="s">
        <v>169</v>
      </c>
      <c r="R4019">
        <v>270</v>
      </c>
      <c r="S4019">
        <v>150</v>
      </c>
      <c r="T4019">
        <v>113</v>
      </c>
      <c r="U4019">
        <v>37</v>
      </c>
      <c r="V4019" t="s">
        <v>6823</v>
      </c>
      <c r="W4019">
        <v>68359</v>
      </c>
      <c r="X4019" t="s">
        <v>7465</v>
      </c>
      <c r="Y4019">
        <v>50563</v>
      </c>
      <c r="Z4019">
        <v>2529283</v>
      </c>
      <c r="AA4019">
        <v>658452</v>
      </c>
      <c r="AB4019" t="str">
        <f>(VLOOKUP(SalesData[[#This Row],[Month Number]],Reference!C$5:E$16,2,FALSE))</f>
        <v>Feb</v>
      </c>
      <c r="AC4019">
        <f>MONTH(SalesData[[#This Row],[Date]])</f>
        <v>2</v>
      </c>
      <c r="AD4019">
        <f>Reference!F$4</f>
        <v>2026</v>
      </c>
      <c r="AE4019" t="str">
        <f>IF(OR(SalesData[[#This Row],[Day]]="Saturday",SalesData[[#This Row],[Day]]="Sunday"),"Weekend","Weekday")</f>
        <v>Weekday</v>
      </c>
      <c r="AF4019" s="5">
        <f>IF(SalesData[[#This Row],[Contracts Offered]]=0,0,SalesData[[#This Row],[Contracts Signed]]/SalesData[[#This Row],[Contracts Offered]])</f>
        <v>0.32743362831858408</v>
      </c>
      <c r="AG4019" s="5">
        <f>IF(SalesData[[#This Row],[Customers Visited]]=0,0,SalesData[[#This Row],[Test Drives]]/SalesData[[#This Row],[Customers Visited]])</f>
        <v>0.55555555555555558</v>
      </c>
      <c r="AH4019" s="5">
        <f>IF(SalesData[[#This Row],[Customers Visited]]=0,0,SalesData[[#This Row],[Contracts Signed]]/SalesData[[#This Row],[Customers Visited]])</f>
        <v>0.13703703703703704</v>
      </c>
      <c r="AI4019" s="6">
        <f>IF(SalesData[[#This Row],[Contracts Signed]]=0,0,SalesData[[#This Row],[Profit(€)]]/SalesData[[#This Row],[Contracts Signed]])</f>
        <v>17796</v>
      </c>
      <c r="AJ4019" s="5" t="str">
        <f>TRIM(CLEAN(SalesData[[#This Row],[Retailer]]))</f>
        <v>Elbe Drive</v>
      </c>
    </row>
    <row r="4020" spans="1:36" ht="14.25" x14ac:dyDescent="0.2">
      <c r="A4020" t="s">
        <v>5261</v>
      </c>
      <c r="B4020" s="1">
        <v>46062</v>
      </c>
      <c r="C4020" t="s">
        <v>121</v>
      </c>
      <c r="D4020" t="s">
        <v>25</v>
      </c>
      <c r="E4020" t="s">
        <v>26</v>
      </c>
      <c r="F4020" t="s">
        <v>43</v>
      </c>
      <c r="G4020" t="s">
        <v>44</v>
      </c>
      <c r="H4020" t="s">
        <v>45</v>
      </c>
      <c r="I4020" t="s">
        <v>30</v>
      </c>
      <c r="J4020" t="s">
        <v>188</v>
      </c>
      <c r="K4020" t="s">
        <v>66</v>
      </c>
      <c r="L4020" t="s">
        <v>33</v>
      </c>
      <c r="M4020" t="s">
        <v>47</v>
      </c>
      <c r="N4020" t="s">
        <v>35</v>
      </c>
      <c r="O4020" t="s">
        <v>70</v>
      </c>
      <c r="P4020" t="s">
        <v>71</v>
      </c>
      <c r="Q4020" t="s">
        <v>347</v>
      </c>
      <c r="R4020">
        <v>175</v>
      </c>
      <c r="S4020">
        <v>85</v>
      </c>
      <c r="T4020">
        <v>63</v>
      </c>
      <c r="U4020">
        <v>25</v>
      </c>
      <c r="V4020" t="s">
        <v>6966</v>
      </c>
      <c r="W4020">
        <v>55563</v>
      </c>
      <c r="X4020" t="s">
        <v>3904</v>
      </c>
      <c r="Y4020">
        <v>43011</v>
      </c>
      <c r="Z4020">
        <v>1389075</v>
      </c>
      <c r="AA4020">
        <v>313800</v>
      </c>
      <c r="AB4020" t="str">
        <f>(VLOOKUP(SalesData[[#This Row],[Month Number]],Reference!C$5:E$16,2,FALSE))</f>
        <v>Feb</v>
      </c>
      <c r="AC4020">
        <f>MONTH(SalesData[[#This Row],[Date]])</f>
        <v>2</v>
      </c>
      <c r="AD4020">
        <f>Reference!F$4</f>
        <v>2026</v>
      </c>
      <c r="AE4020" t="str">
        <f>IF(OR(SalesData[[#This Row],[Day]]="Saturday",SalesData[[#This Row],[Day]]="Sunday"),"Weekend","Weekday")</f>
        <v>Weekday</v>
      </c>
      <c r="AF4020" s="5">
        <f>IF(SalesData[[#This Row],[Contracts Offered]]=0,0,SalesData[[#This Row],[Contracts Signed]]/SalesData[[#This Row],[Contracts Offered]])</f>
        <v>0.3968253968253968</v>
      </c>
      <c r="AG4020" s="5">
        <f>IF(SalesData[[#This Row],[Customers Visited]]=0,0,SalesData[[#This Row],[Test Drives]]/SalesData[[#This Row],[Customers Visited]])</f>
        <v>0.48571428571428571</v>
      </c>
      <c r="AH4020" s="5">
        <f>IF(SalesData[[#This Row],[Customers Visited]]=0,0,SalesData[[#This Row],[Contracts Signed]]/SalesData[[#This Row],[Customers Visited]])</f>
        <v>0.14285714285714285</v>
      </c>
      <c r="AI4020" s="6">
        <f>IF(SalesData[[#This Row],[Contracts Signed]]=0,0,SalesData[[#This Row],[Profit(€)]]/SalesData[[#This Row],[Contracts Signed]])</f>
        <v>12552</v>
      </c>
      <c r="AJ4020" s="5" t="str">
        <f>TRIM(CLEAN(SalesData[[#This Row],[Retailer]]))</f>
        <v>Saxon Wheels</v>
      </c>
    </row>
    <row r="4021" spans="1:36" ht="14.25" hidden="1" x14ac:dyDescent="0.2">
      <c r="A4021" t="s">
        <v>5262</v>
      </c>
      <c r="B4021" s="1">
        <v>46056</v>
      </c>
      <c r="C4021" t="s">
        <v>24</v>
      </c>
      <c r="D4021" t="s">
        <v>63</v>
      </c>
      <c r="E4021" t="s">
        <v>26</v>
      </c>
      <c r="F4021" t="s">
        <v>94</v>
      </c>
      <c r="G4021" t="s">
        <v>95</v>
      </c>
      <c r="H4021" t="s">
        <v>96</v>
      </c>
      <c r="I4021" t="s">
        <v>56</v>
      </c>
      <c r="J4021" t="s">
        <v>179</v>
      </c>
      <c r="K4021" t="s">
        <v>91</v>
      </c>
      <c r="L4021" t="s">
        <v>67</v>
      </c>
      <c r="M4021" t="s">
        <v>34</v>
      </c>
      <c r="N4021" t="s">
        <v>69</v>
      </c>
      <c r="O4021" t="s">
        <v>36</v>
      </c>
      <c r="P4021" t="s">
        <v>58</v>
      </c>
      <c r="Q4021" t="s">
        <v>59</v>
      </c>
      <c r="R4021">
        <v>206</v>
      </c>
      <c r="S4021">
        <v>103</v>
      </c>
      <c r="T4021">
        <v>74</v>
      </c>
      <c r="U4021">
        <v>30</v>
      </c>
      <c r="V4021" t="s">
        <v>6636</v>
      </c>
      <c r="W4021">
        <v>39882</v>
      </c>
      <c r="X4021" t="s">
        <v>1293</v>
      </c>
      <c r="Y4021">
        <v>32014</v>
      </c>
      <c r="Z4021">
        <v>1196460</v>
      </c>
      <c r="AA4021">
        <v>236040</v>
      </c>
      <c r="AB4021" t="str">
        <f>(VLOOKUP(SalesData[[#This Row],[Month Number]],Reference!C$5:E$16,2,FALSE))</f>
        <v>Feb</v>
      </c>
      <c r="AC4021">
        <f>MONTH(SalesData[[#This Row],[Date]])</f>
        <v>2</v>
      </c>
      <c r="AD4021">
        <f>Reference!F$4</f>
        <v>2026</v>
      </c>
      <c r="AE4021" t="str">
        <f>IF(OR(SalesData[[#This Row],[Day]]="Saturday",SalesData[[#This Row],[Day]]="Sunday"),"Weekend","Weekday")</f>
        <v>Weekday</v>
      </c>
      <c r="AF4021" s="5">
        <f>IF(SalesData[[#This Row],[Contracts Offered]]=0,0,SalesData[[#This Row],[Contracts Signed]]/SalesData[[#This Row],[Contracts Offered]])</f>
        <v>0.40540540540540543</v>
      </c>
      <c r="AG4021" s="5">
        <f>IF(SalesData[[#This Row],[Customers Visited]]=0,0,SalesData[[#This Row],[Test Drives]]/SalesData[[#This Row],[Customers Visited]])</f>
        <v>0.5</v>
      </c>
      <c r="AH4021" s="5">
        <f>IF(SalesData[[#This Row],[Customers Visited]]=0,0,SalesData[[#This Row],[Contracts Signed]]/SalesData[[#This Row],[Customers Visited]])</f>
        <v>0.14563106796116504</v>
      </c>
      <c r="AI4021" s="6">
        <f>IF(SalesData[[#This Row],[Contracts Signed]]=0,0,SalesData[[#This Row],[Profit(€)]]/SalesData[[#This Row],[Contracts Signed]])</f>
        <v>7868</v>
      </c>
      <c r="AJ4021" s="5" t="str">
        <f>TRIM(CLEAN(SalesData[[#This Row],[Retailer]]))</f>
        <v>Bavaria Motors</v>
      </c>
    </row>
    <row r="4022" spans="1:36" ht="14.25" hidden="1" x14ac:dyDescent="0.2">
      <c r="A4022" t="s">
        <v>5263</v>
      </c>
      <c r="B4022" s="1">
        <v>46080</v>
      </c>
      <c r="C4022" t="s">
        <v>53</v>
      </c>
      <c r="D4022" t="s">
        <v>54</v>
      </c>
      <c r="E4022" t="s">
        <v>26</v>
      </c>
      <c r="F4022" t="s">
        <v>83</v>
      </c>
      <c r="G4022" t="s">
        <v>84</v>
      </c>
      <c r="H4022" t="s">
        <v>85</v>
      </c>
      <c r="I4022" t="s">
        <v>56</v>
      </c>
      <c r="J4022" t="s">
        <v>179</v>
      </c>
      <c r="K4022" t="s">
        <v>32</v>
      </c>
      <c r="L4022" t="s">
        <v>67</v>
      </c>
      <c r="M4022" t="s">
        <v>47</v>
      </c>
      <c r="N4022" t="s">
        <v>48</v>
      </c>
      <c r="O4022" t="s">
        <v>70</v>
      </c>
      <c r="P4022" t="s">
        <v>49</v>
      </c>
      <c r="Q4022" t="s">
        <v>79</v>
      </c>
      <c r="R4022">
        <v>286</v>
      </c>
      <c r="S4022">
        <v>175</v>
      </c>
      <c r="T4022">
        <v>128</v>
      </c>
      <c r="U4022">
        <v>35</v>
      </c>
      <c r="V4022" t="s">
        <v>6410</v>
      </c>
      <c r="W4022">
        <v>53091</v>
      </c>
      <c r="X4022" t="s">
        <v>1739</v>
      </c>
      <c r="Y4022">
        <v>40323</v>
      </c>
      <c r="Z4022">
        <v>1858185</v>
      </c>
      <c r="AA4022">
        <v>446880</v>
      </c>
      <c r="AB4022" t="str">
        <f>(VLOOKUP(SalesData[[#This Row],[Month Number]],Reference!C$5:E$16,2,FALSE))</f>
        <v>Feb</v>
      </c>
      <c r="AC4022">
        <f>MONTH(SalesData[[#This Row],[Date]])</f>
        <v>2</v>
      </c>
      <c r="AD4022">
        <f>Reference!F$4</f>
        <v>2026</v>
      </c>
      <c r="AE4022" t="str">
        <f>IF(OR(SalesData[[#This Row],[Day]]="Saturday",SalesData[[#This Row],[Day]]="Sunday"),"Weekend","Weekday")</f>
        <v>Weekday</v>
      </c>
      <c r="AF4022" s="5">
        <f>IF(SalesData[[#This Row],[Contracts Offered]]=0,0,SalesData[[#This Row],[Contracts Signed]]/SalesData[[#This Row],[Contracts Offered]])</f>
        <v>0.2734375</v>
      </c>
      <c r="AG4022" s="5">
        <f>IF(SalesData[[#This Row],[Customers Visited]]=0,0,SalesData[[#This Row],[Test Drives]]/SalesData[[#This Row],[Customers Visited]])</f>
        <v>0.61188811188811187</v>
      </c>
      <c r="AH4022" s="5">
        <f>IF(SalesData[[#This Row],[Customers Visited]]=0,0,SalesData[[#This Row],[Contracts Signed]]/SalesData[[#This Row],[Customers Visited]])</f>
        <v>0.12237762237762238</v>
      </c>
      <c r="AI4022" s="6">
        <f>IF(SalesData[[#This Row],[Contracts Signed]]=0,0,SalesData[[#This Row],[Profit(€)]]/SalesData[[#This Row],[Contracts Signed]])</f>
        <v>12768</v>
      </c>
      <c r="AJ4022" s="5" t="str">
        <f>TRIM(CLEAN(SalesData[[#This Row],[Retailer]]))</f>
        <v>Hannover Cars</v>
      </c>
    </row>
    <row r="4023" spans="1:36" ht="14.25" hidden="1" x14ac:dyDescent="0.2">
      <c r="A4023" t="s">
        <v>5264</v>
      </c>
      <c r="B4023" s="1">
        <v>46061</v>
      </c>
      <c r="C4023" t="s">
        <v>121</v>
      </c>
      <c r="D4023" t="s">
        <v>41</v>
      </c>
      <c r="E4023" t="s">
        <v>42</v>
      </c>
      <c r="F4023" t="s">
        <v>94</v>
      </c>
      <c r="G4023" t="s">
        <v>95</v>
      </c>
      <c r="H4023" t="s">
        <v>96</v>
      </c>
      <c r="I4023" t="s">
        <v>64</v>
      </c>
      <c r="J4023" t="s">
        <v>111</v>
      </c>
      <c r="K4023" t="s">
        <v>78</v>
      </c>
      <c r="L4023" t="s">
        <v>46</v>
      </c>
      <c r="M4023" t="s">
        <v>34</v>
      </c>
      <c r="N4023" t="s">
        <v>35</v>
      </c>
      <c r="O4023" t="s">
        <v>36</v>
      </c>
      <c r="P4023" t="s">
        <v>37</v>
      </c>
      <c r="Q4023" t="s">
        <v>204</v>
      </c>
      <c r="R4023">
        <v>216</v>
      </c>
      <c r="S4023">
        <v>119</v>
      </c>
      <c r="T4023">
        <v>79</v>
      </c>
      <c r="U4023">
        <v>33</v>
      </c>
      <c r="V4023" t="s">
        <v>6373</v>
      </c>
      <c r="W4023">
        <v>56696</v>
      </c>
      <c r="X4023" t="s">
        <v>2667</v>
      </c>
      <c r="Y4023">
        <v>44605</v>
      </c>
      <c r="Z4023">
        <v>1870968</v>
      </c>
      <c r="AA4023">
        <v>399003</v>
      </c>
      <c r="AB4023" t="str">
        <f>(VLOOKUP(SalesData[[#This Row],[Month Number]],Reference!C$5:E$16,2,FALSE))</f>
        <v>Feb</v>
      </c>
      <c r="AC4023">
        <f>MONTH(SalesData[[#This Row],[Date]])</f>
        <v>2</v>
      </c>
      <c r="AD4023">
        <f>Reference!F$4</f>
        <v>2026</v>
      </c>
      <c r="AE4023" t="str">
        <f>IF(OR(SalesData[[#This Row],[Day]]="Saturday",SalesData[[#This Row],[Day]]="Sunday"),"Weekend","Weekday")</f>
        <v>Weekend</v>
      </c>
      <c r="AF4023" s="5">
        <f>IF(SalesData[[#This Row],[Contracts Offered]]=0,0,SalesData[[#This Row],[Contracts Signed]]/SalesData[[#This Row],[Contracts Offered]])</f>
        <v>0.41772151898734178</v>
      </c>
      <c r="AG4023" s="5">
        <f>IF(SalesData[[#This Row],[Customers Visited]]=0,0,SalesData[[#This Row],[Test Drives]]/SalesData[[#This Row],[Customers Visited]])</f>
        <v>0.55092592592592593</v>
      </c>
      <c r="AH4023" s="5">
        <f>IF(SalesData[[#This Row],[Customers Visited]]=0,0,SalesData[[#This Row],[Contracts Signed]]/SalesData[[#This Row],[Customers Visited]])</f>
        <v>0.15277777777777779</v>
      </c>
      <c r="AI4023" s="6">
        <f>IF(SalesData[[#This Row],[Contracts Signed]]=0,0,SalesData[[#This Row],[Profit(€)]]/SalesData[[#This Row],[Contracts Signed]])</f>
        <v>12091</v>
      </c>
      <c r="AJ4023" s="5" t="str">
        <f>TRIM(CLEAN(SalesData[[#This Row],[Retailer]]))</f>
        <v>Bavaria Motors</v>
      </c>
    </row>
    <row r="4024" spans="1:36" ht="14.25" hidden="1" x14ac:dyDescent="0.2">
      <c r="A4024" t="s">
        <v>5265</v>
      </c>
      <c r="B4024" s="1">
        <v>46054</v>
      </c>
      <c r="C4024" t="s">
        <v>24</v>
      </c>
      <c r="D4024" t="s">
        <v>41</v>
      </c>
      <c r="E4024" t="s">
        <v>42</v>
      </c>
      <c r="F4024" t="s">
        <v>94</v>
      </c>
      <c r="G4024" t="s">
        <v>95</v>
      </c>
      <c r="H4024" t="s">
        <v>96</v>
      </c>
      <c r="I4024" t="s">
        <v>116</v>
      </c>
      <c r="J4024" t="s">
        <v>203</v>
      </c>
      <c r="K4024" t="s">
        <v>66</v>
      </c>
      <c r="L4024" t="s">
        <v>67</v>
      </c>
      <c r="M4024" t="s">
        <v>47</v>
      </c>
      <c r="N4024" t="s">
        <v>48</v>
      </c>
      <c r="O4024" t="s">
        <v>70</v>
      </c>
      <c r="P4024" t="s">
        <v>49</v>
      </c>
      <c r="Q4024" t="s">
        <v>118</v>
      </c>
      <c r="R4024">
        <v>277</v>
      </c>
      <c r="S4024">
        <v>150</v>
      </c>
      <c r="T4024">
        <v>85</v>
      </c>
      <c r="U4024">
        <v>21</v>
      </c>
      <c r="V4024" t="s">
        <v>1133</v>
      </c>
      <c r="W4024">
        <v>24952</v>
      </c>
      <c r="X4024" t="s">
        <v>1653</v>
      </c>
      <c r="Y4024">
        <v>22261</v>
      </c>
      <c r="Z4024">
        <v>523992</v>
      </c>
      <c r="AA4024">
        <v>56511</v>
      </c>
      <c r="AB4024" t="str">
        <f>(VLOOKUP(SalesData[[#This Row],[Month Number]],Reference!C$5:E$16,2,FALSE))</f>
        <v>Feb</v>
      </c>
      <c r="AC4024">
        <f>MONTH(SalesData[[#This Row],[Date]])</f>
        <v>2</v>
      </c>
      <c r="AD4024">
        <f>Reference!F$4</f>
        <v>2026</v>
      </c>
      <c r="AE4024" t="str">
        <f>IF(OR(SalesData[[#This Row],[Day]]="Saturday",SalesData[[#This Row],[Day]]="Sunday"),"Weekend","Weekday")</f>
        <v>Weekend</v>
      </c>
      <c r="AF4024" s="5">
        <f>IF(SalesData[[#This Row],[Contracts Offered]]=0,0,SalesData[[#This Row],[Contracts Signed]]/SalesData[[#This Row],[Contracts Offered]])</f>
        <v>0.24705882352941178</v>
      </c>
      <c r="AG4024" s="5">
        <f>IF(SalesData[[#This Row],[Customers Visited]]=0,0,SalesData[[#This Row],[Test Drives]]/SalesData[[#This Row],[Customers Visited]])</f>
        <v>0.54151624548736466</v>
      </c>
      <c r="AH4024" s="5">
        <f>IF(SalesData[[#This Row],[Customers Visited]]=0,0,SalesData[[#This Row],[Contracts Signed]]/SalesData[[#This Row],[Customers Visited]])</f>
        <v>7.5812274368231042E-2</v>
      </c>
      <c r="AI4024" s="6">
        <f>IF(SalesData[[#This Row],[Contracts Signed]]=0,0,SalesData[[#This Row],[Profit(€)]]/SalesData[[#This Row],[Contracts Signed]])</f>
        <v>2691</v>
      </c>
      <c r="AJ4024" s="5" t="str">
        <f>TRIM(CLEAN(SalesData[[#This Row],[Retailer]]))</f>
        <v>Bavaria Motors</v>
      </c>
    </row>
    <row r="4025" spans="1:36" ht="14.25" x14ac:dyDescent="0.2">
      <c r="A4025" t="s">
        <v>5266</v>
      </c>
      <c r="B4025" s="1">
        <v>46080</v>
      </c>
      <c r="C4025" t="s">
        <v>53</v>
      </c>
      <c r="D4025" t="s">
        <v>54</v>
      </c>
      <c r="E4025" t="s">
        <v>26</v>
      </c>
      <c r="F4025" t="s">
        <v>109</v>
      </c>
      <c r="G4025" t="s">
        <v>110</v>
      </c>
      <c r="H4025" t="s">
        <v>45</v>
      </c>
      <c r="I4025" t="s">
        <v>30</v>
      </c>
      <c r="J4025" t="s">
        <v>86</v>
      </c>
      <c r="K4025" t="s">
        <v>78</v>
      </c>
      <c r="L4025" t="s">
        <v>33</v>
      </c>
      <c r="M4025" t="s">
        <v>34</v>
      </c>
      <c r="N4025" t="s">
        <v>35</v>
      </c>
      <c r="O4025" t="s">
        <v>70</v>
      </c>
      <c r="P4025" t="s">
        <v>49</v>
      </c>
      <c r="Q4025" t="s">
        <v>144</v>
      </c>
      <c r="R4025">
        <v>177</v>
      </c>
      <c r="S4025">
        <v>88</v>
      </c>
      <c r="T4025">
        <v>63</v>
      </c>
      <c r="U4025">
        <v>23</v>
      </c>
      <c r="V4025" t="s">
        <v>6775</v>
      </c>
      <c r="W4025">
        <v>57123</v>
      </c>
      <c r="X4025" t="s">
        <v>7185</v>
      </c>
      <c r="Y4025">
        <v>42970</v>
      </c>
      <c r="Z4025">
        <v>1313829</v>
      </c>
      <c r="AA4025">
        <v>325519</v>
      </c>
      <c r="AB4025" t="str">
        <f>(VLOOKUP(SalesData[[#This Row],[Month Number]],Reference!C$5:E$16,2,FALSE))</f>
        <v>Feb</v>
      </c>
      <c r="AC4025">
        <f>MONTH(SalesData[[#This Row],[Date]])</f>
        <v>2</v>
      </c>
      <c r="AD4025">
        <f>Reference!F$4</f>
        <v>2026</v>
      </c>
      <c r="AE4025" t="str">
        <f>IF(OR(SalesData[[#This Row],[Day]]="Saturday",SalesData[[#This Row],[Day]]="Sunday"),"Weekend","Weekday")</f>
        <v>Weekday</v>
      </c>
      <c r="AF4025" s="5">
        <f>IF(SalesData[[#This Row],[Contracts Offered]]=0,0,SalesData[[#This Row],[Contracts Signed]]/SalesData[[#This Row],[Contracts Offered]])</f>
        <v>0.36507936507936506</v>
      </c>
      <c r="AG4025" s="5">
        <f>IF(SalesData[[#This Row],[Customers Visited]]=0,0,SalesData[[#This Row],[Test Drives]]/SalesData[[#This Row],[Customers Visited]])</f>
        <v>0.49717514124293788</v>
      </c>
      <c r="AH4025" s="5">
        <f>IF(SalesData[[#This Row],[Customers Visited]]=0,0,SalesData[[#This Row],[Contracts Signed]]/SalesData[[#This Row],[Customers Visited]])</f>
        <v>0.12994350282485875</v>
      </c>
      <c r="AI4025" s="6">
        <f>IF(SalesData[[#This Row],[Contracts Signed]]=0,0,SalesData[[#This Row],[Profit(€)]]/SalesData[[#This Row],[Contracts Signed]])</f>
        <v>14153</v>
      </c>
      <c r="AJ4025" s="5" t="str">
        <f>TRIM(CLEAN(SalesData[[#This Row],[Retailer]]))</f>
        <v>Leipzig Mobility</v>
      </c>
    </row>
    <row r="4026" spans="1:36" ht="14.25" hidden="1" x14ac:dyDescent="0.2">
      <c r="A4026" t="s">
        <v>5267</v>
      </c>
      <c r="B4026" s="1">
        <v>46077</v>
      </c>
      <c r="C4026" t="s">
        <v>53</v>
      </c>
      <c r="D4026" t="s">
        <v>63</v>
      </c>
      <c r="E4026" t="s">
        <v>26</v>
      </c>
      <c r="F4026" t="s">
        <v>127</v>
      </c>
      <c r="G4026" t="s">
        <v>128</v>
      </c>
      <c r="H4026" t="s">
        <v>103</v>
      </c>
      <c r="I4026" t="s">
        <v>116</v>
      </c>
      <c r="J4026" t="s">
        <v>132</v>
      </c>
      <c r="K4026" t="s">
        <v>78</v>
      </c>
      <c r="L4026" t="s">
        <v>46</v>
      </c>
      <c r="M4026" t="s">
        <v>87</v>
      </c>
      <c r="N4026" t="s">
        <v>48</v>
      </c>
      <c r="O4026" t="s">
        <v>70</v>
      </c>
      <c r="P4026" t="s">
        <v>49</v>
      </c>
      <c r="Q4026" t="s">
        <v>172</v>
      </c>
      <c r="R4026">
        <v>273</v>
      </c>
      <c r="S4026">
        <v>110</v>
      </c>
      <c r="T4026">
        <v>63</v>
      </c>
      <c r="U4026">
        <v>15</v>
      </c>
      <c r="V4026" t="s">
        <v>1011</v>
      </c>
      <c r="W4026">
        <v>25868</v>
      </c>
      <c r="X4026" t="s">
        <v>1608</v>
      </c>
      <c r="Y4026">
        <v>23145</v>
      </c>
      <c r="Z4026">
        <v>388020</v>
      </c>
      <c r="AA4026">
        <v>40845</v>
      </c>
      <c r="AB4026" t="str">
        <f>(VLOOKUP(SalesData[[#This Row],[Month Number]],Reference!C$5:E$16,2,FALSE))</f>
        <v>Feb</v>
      </c>
      <c r="AC4026">
        <f>MONTH(SalesData[[#This Row],[Date]])</f>
        <v>2</v>
      </c>
      <c r="AD4026">
        <f>Reference!F$4</f>
        <v>2026</v>
      </c>
      <c r="AE4026" t="str">
        <f>IF(OR(SalesData[[#This Row],[Day]]="Saturday",SalesData[[#This Row],[Day]]="Sunday"),"Weekend","Weekday")</f>
        <v>Weekday</v>
      </c>
      <c r="AF4026" s="5">
        <f>IF(SalesData[[#This Row],[Contracts Offered]]=0,0,SalesData[[#This Row],[Contracts Signed]]/SalesData[[#This Row],[Contracts Offered]])</f>
        <v>0.23809523809523808</v>
      </c>
      <c r="AG4026" s="5">
        <f>IF(SalesData[[#This Row],[Customers Visited]]=0,0,SalesData[[#This Row],[Test Drives]]/SalesData[[#This Row],[Customers Visited]])</f>
        <v>0.40293040293040294</v>
      </c>
      <c r="AH4026" s="5">
        <f>IF(SalesData[[#This Row],[Customers Visited]]=0,0,SalesData[[#This Row],[Contracts Signed]]/SalesData[[#This Row],[Customers Visited]])</f>
        <v>5.4945054945054944E-2</v>
      </c>
      <c r="AI4026" s="6">
        <f>IF(SalesData[[#This Row],[Contracts Signed]]=0,0,SalesData[[#This Row],[Profit(€)]]/SalesData[[#This Row],[Contracts Signed]])</f>
        <v>2723</v>
      </c>
      <c r="AJ4026" s="5" t="str">
        <f>TRIM(CLEAN(SalesData[[#This Row],[Retailer]]))</f>
        <v>Rhein Auto Group</v>
      </c>
    </row>
    <row r="4027" spans="1:36" ht="14.25" hidden="1" x14ac:dyDescent="0.2">
      <c r="A4027" t="s">
        <v>5268</v>
      </c>
      <c r="B4027" s="1">
        <v>46072</v>
      </c>
      <c r="C4027" t="s">
        <v>62</v>
      </c>
      <c r="D4027" t="s">
        <v>100</v>
      </c>
      <c r="E4027" t="s">
        <v>26</v>
      </c>
      <c r="F4027" t="s">
        <v>27</v>
      </c>
      <c r="G4027" t="s">
        <v>28</v>
      </c>
      <c r="H4027" t="s">
        <v>29</v>
      </c>
      <c r="I4027" t="s">
        <v>116</v>
      </c>
      <c r="J4027" t="s">
        <v>7026</v>
      </c>
      <c r="K4027" t="s">
        <v>91</v>
      </c>
      <c r="L4027" t="s">
        <v>46</v>
      </c>
      <c r="M4027" t="s">
        <v>34</v>
      </c>
      <c r="N4027" t="s">
        <v>35</v>
      </c>
      <c r="O4027" t="s">
        <v>70</v>
      </c>
      <c r="P4027" t="s">
        <v>49</v>
      </c>
      <c r="Q4027" t="s">
        <v>106</v>
      </c>
      <c r="R4027">
        <v>289</v>
      </c>
      <c r="S4027">
        <v>150</v>
      </c>
      <c r="T4027">
        <v>93</v>
      </c>
      <c r="U4027">
        <v>17</v>
      </c>
      <c r="V4027" t="s">
        <v>1276</v>
      </c>
      <c r="W4027">
        <v>26528</v>
      </c>
      <c r="X4027" t="s">
        <v>7341</v>
      </c>
      <c r="Y4027">
        <v>24282</v>
      </c>
      <c r="Z4027">
        <v>450976</v>
      </c>
      <c r="AA4027">
        <v>38182</v>
      </c>
      <c r="AB4027" t="str">
        <f>(VLOOKUP(SalesData[[#This Row],[Month Number]],Reference!C$5:E$16,2,FALSE))</f>
        <v>Feb</v>
      </c>
      <c r="AC4027">
        <f>MONTH(SalesData[[#This Row],[Date]])</f>
        <v>2</v>
      </c>
      <c r="AD4027">
        <f>Reference!F$4</f>
        <v>2026</v>
      </c>
      <c r="AE4027" t="str">
        <f>IF(OR(SalesData[[#This Row],[Day]]="Saturday",SalesData[[#This Row],[Day]]="Sunday"),"Weekend","Weekday")</f>
        <v>Weekday</v>
      </c>
      <c r="AF4027" s="5">
        <f>IF(SalesData[[#This Row],[Contracts Offered]]=0,0,SalesData[[#This Row],[Contracts Signed]]/SalesData[[#This Row],[Contracts Offered]])</f>
        <v>0.18279569892473119</v>
      </c>
      <c r="AG4027" s="5">
        <f>IF(SalesData[[#This Row],[Customers Visited]]=0,0,SalesData[[#This Row],[Test Drives]]/SalesData[[#This Row],[Customers Visited]])</f>
        <v>0.51903114186851207</v>
      </c>
      <c r="AH4027" s="5">
        <f>IF(SalesData[[#This Row],[Customers Visited]]=0,0,SalesData[[#This Row],[Contracts Signed]]/SalesData[[#This Row],[Customers Visited]])</f>
        <v>5.8823529411764705E-2</v>
      </c>
      <c r="AI4027" s="6">
        <f>IF(SalesData[[#This Row],[Contracts Signed]]=0,0,SalesData[[#This Row],[Profit(€)]]/SalesData[[#This Row],[Contracts Signed]])</f>
        <v>2246</v>
      </c>
      <c r="AJ4027" s="5" t="str">
        <f>TRIM(CLEAN(SalesData[[#This Row],[Retailer]]))</f>
        <v>Main Auto Hub</v>
      </c>
    </row>
    <row r="4028" spans="1:36" ht="14.25" hidden="1" x14ac:dyDescent="0.2">
      <c r="A4028" t="s">
        <v>5269</v>
      </c>
      <c r="B4028" s="1">
        <v>46072</v>
      </c>
      <c r="C4028" t="s">
        <v>62</v>
      </c>
      <c r="D4028" t="s">
        <v>100</v>
      </c>
      <c r="E4028" t="s">
        <v>26</v>
      </c>
      <c r="F4028" t="s">
        <v>101</v>
      </c>
      <c r="G4028" t="s">
        <v>102</v>
      </c>
      <c r="H4028" t="s">
        <v>103</v>
      </c>
      <c r="I4028" t="s">
        <v>64</v>
      </c>
      <c r="J4028" t="s">
        <v>157</v>
      </c>
      <c r="K4028" t="s">
        <v>91</v>
      </c>
      <c r="L4028" t="s">
        <v>33</v>
      </c>
      <c r="M4028" t="s">
        <v>34</v>
      </c>
      <c r="N4028" t="s">
        <v>48</v>
      </c>
      <c r="O4028" t="s">
        <v>36</v>
      </c>
      <c r="P4028" t="s">
        <v>71</v>
      </c>
      <c r="Q4028" t="s">
        <v>38</v>
      </c>
      <c r="R4028">
        <v>225</v>
      </c>
      <c r="S4028">
        <v>100</v>
      </c>
      <c r="T4028">
        <v>70</v>
      </c>
      <c r="U4028">
        <v>26</v>
      </c>
      <c r="V4028" t="s">
        <v>6519</v>
      </c>
      <c r="W4028">
        <v>64410</v>
      </c>
      <c r="X4028" t="s">
        <v>7042</v>
      </c>
      <c r="Y4028">
        <v>49531</v>
      </c>
      <c r="Z4028">
        <v>1674660</v>
      </c>
      <c r="AA4028">
        <v>386854</v>
      </c>
      <c r="AB4028" t="str">
        <f>(VLOOKUP(SalesData[[#This Row],[Month Number]],Reference!C$5:E$16,2,FALSE))</f>
        <v>Feb</v>
      </c>
      <c r="AC4028">
        <f>MONTH(SalesData[[#This Row],[Date]])</f>
        <v>2</v>
      </c>
      <c r="AD4028">
        <f>Reference!F$4</f>
        <v>2026</v>
      </c>
      <c r="AE4028" t="str">
        <f>IF(OR(SalesData[[#This Row],[Day]]="Saturday",SalesData[[#This Row],[Day]]="Sunday"),"Weekend","Weekday")</f>
        <v>Weekday</v>
      </c>
      <c r="AF4028" s="5">
        <f>IF(SalesData[[#This Row],[Contracts Offered]]=0,0,SalesData[[#This Row],[Contracts Signed]]/SalesData[[#This Row],[Contracts Offered]])</f>
        <v>0.37142857142857144</v>
      </c>
      <c r="AG4028" s="5">
        <f>IF(SalesData[[#This Row],[Customers Visited]]=0,0,SalesData[[#This Row],[Test Drives]]/SalesData[[#This Row],[Customers Visited]])</f>
        <v>0.44444444444444442</v>
      </c>
      <c r="AH4028" s="5">
        <f>IF(SalesData[[#This Row],[Customers Visited]]=0,0,SalesData[[#This Row],[Contracts Signed]]/SalesData[[#This Row],[Customers Visited]])</f>
        <v>0.11555555555555555</v>
      </c>
      <c r="AI4028" s="6">
        <f>IF(SalesData[[#This Row],[Contracts Signed]]=0,0,SalesData[[#This Row],[Profit(€)]]/SalesData[[#This Row],[Contracts Signed]])</f>
        <v>14879</v>
      </c>
      <c r="AJ4028" s="5" t="str">
        <f>TRIM(CLEAN(SalesData[[#This Row],[Retailer]]))</f>
        <v>Ruhr Auto Plaza</v>
      </c>
    </row>
    <row r="4029" spans="1:36" ht="14.25" x14ac:dyDescent="0.2">
      <c r="A4029" t="s">
        <v>5270</v>
      </c>
      <c r="B4029" s="1">
        <v>46077</v>
      </c>
      <c r="C4029" t="s">
        <v>53</v>
      </c>
      <c r="D4029" t="s">
        <v>63</v>
      </c>
      <c r="E4029" t="s">
        <v>26</v>
      </c>
      <c r="F4029" t="s">
        <v>43</v>
      </c>
      <c r="G4029" t="s">
        <v>44</v>
      </c>
      <c r="H4029" t="s">
        <v>45</v>
      </c>
      <c r="I4029" t="s">
        <v>30</v>
      </c>
      <c r="J4029" t="s">
        <v>188</v>
      </c>
      <c r="K4029" t="s">
        <v>78</v>
      </c>
      <c r="L4029" t="s">
        <v>33</v>
      </c>
      <c r="M4029" t="s">
        <v>34</v>
      </c>
      <c r="N4029" t="s">
        <v>48</v>
      </c>
      <c r="O4029" t="s">
        <v>36</v>
      </c>
      <c r="P4029" t="s">
        <v>58</v>
      </c>
      <c r="Q4029" t="s">
        <v>129</v>
      </c>
      <c r="R4029">
        <v>183</v>
      </c>
      <c r="S4029">
        <v>84</v>
      </c>
      <c r="T4029">
        <v>59</v>
      </c>
      <c r="U4029">
        <v>25</v>
      </c>
      <c r="V4029" t="s">
        <v>7482</v>
      </c>
      <c r="W4029">
        <v>58288</v>
      </c>
      <c r="X4029" t="s">
        <v>2023</v>
      </c>
      <c r="Y4029">
        <v>43806</v>
      </c>
      <c r="Z4029">
        <v>1457200</v>
      </c>
      <c r="AA4029">
        <v>362050</v>
      </c>
      <c r="AB4029" t="str">
        <f>(VLOOKUP(SalesData[[#This Row],[Month Number]],Reference!C$5:E$16,2,FALSE))</f>
        <v>Feb</v>
      </c>
      <c r="AC4029">
        <f>MONTH(SalesData[[#This Row],[Date]])</f>
        <v>2</v>
      </c>
      <c r="AD4029">
        <f>Reference!F$4</f>
        <v>2026</v>
      </c>
      <c r="AE4029" t="str">
        <f>IF(OR(SalesData[[#This Row],[Day]]="Saturday",SalesData[[#This Row],[Day]]="Sunday"),"Weekend","Weekday")</f>
        <v>Weekday</v>
      </c>
      <c r="AF4029" s="5">
        <f>IF(SalesData[[#This Row],[Contracts Offered]]=0,0,SalesData[[#This Row],[Contracts Signed]]/SalesData[[#This Row],[Contracts Offered]])</f>
        <v>0.42372881355932202</v>
      </c>
      <c r="AG4029" s="5">
        <f>IF(SalesData[[#This Row],[Customers Visited]]=0,0,SalesData[[#This Row],[Test Drives]]/SalesData[[#This Row],[Customers Visited]])</f>
        <v>0.45901639344262296</v>
      </c>
      <c r="AH4029" s="5">
        <f>IF(SalesData[[#This Row],[Customers Visited]]=0,0,SalesData[[#This Row],[Contracts Signed]]/SalesData[[#This Row],[Customers Visited]])</f>
        <v>0.13661202185792351</v>
      </c>
      <c r="AI4029" s="6">
        <f>IF(SalesData[[#This Row],[Contracts Signed]]=0,0,SalesData[[#This Row],[Profit(€)]]/SalesData[[#This Row],[Contracts Signed]])</f>
        <v>14482</v>
      </c>
      <c r="AJ4029" s="5" t="str">
        <f>TRIM(CLEAN(SalesData[[#This Row],[Retailer]]))</f>
        <v>Saxon Wheels</v>
      </c>
    </row>
    <row r="4030" spans="1:36" ht="14.25" hidden="1" x14ac:dyDescent="0.2">
      <c r="A4030" t="s">
        <v>5271</v>
      </c>
      <c r="B4030" s="1">
        <v>46054</v>
      </c>
      <c r="C4030" t="s">
        <v>24</v>
      </c>
      <c r="D4030" t="s">
        <v>41</v>
      </c>
      <c r="E4030" t="s">
        <v>42</v>
      </c>
      <c r="F4030" t="s">
        <v>74</v>
      </c>
      <c r="G4030" t="s">
        <v>75</v>
      </c>
      <c r="H4030" t="s">
        <v>76</v>
      </c>
      <c r="I4030" t="s">
        <v>64</v>
      </c>
      <c r="J4030" t="s">
        <v>111</v>
      </c>
      <c r="K4030" t="s">
        <v>91</v>
      </c>
      <c r="L4030" t="s">
        <v>46</v>
      </c>
      <c r="M4030" t="s">
        <v>68</v>
      </c>
      <c r="N4030" t="s">
        <v>48</v>
      </c>
      <c r="O4030" t="s">
        <v>70</v>
      </c>
      <c r="P4030" t="s">
        <v>37</v>
      </c>
      <c r="Q4030" t="s">
        <v>240</v>
      </c>
      <c r="R4030">
        <v>168</v>
      </c>
      <c r="S4030">
        <v>87</v>
      </c>
      <c r="T4030">
        <v>67</v>
      </c>
      <c r="U4030">
        <v>20</v>
      </c>
      <c r="V4030" t="s">
        <v>6489</v>
      </c>
      <c r="W4030">
        <v>66464</v>
      </c>
      <c r="X4030" t="s">
        <v>702</v>
      </c>
      <c r="Y4030">
        <v>48793</v>
      </c>
      <c r="Z4030">
        <v>1329280</v>
      </c>
      <c r="AA4030">
        <v>353420</v>
      </c>
      <c r="AB4030" t="str">
        <f>(VLOOKUP(SalesData[[#This Row],[Month Number]],Reference!C$5:E$16,2,FALSE))</f>
        <v>Feb</v>
      </c>
      <c r="AC4030">
        <f>MONTH(SalesData[[#This Row],[Date]])</f>
        <v>2</v>
      </c>
      <c r="AD4030">
        <f>Reference!F$4</f>
        <v>2026</v>
      </c>
      <c r="AE4030" t="str">
        <f>IF(OR(SalesData[[#This Row],[Day]]="Saturday",SalesData[[#This Row],[Day]]="Sunday"),"Weekend","Weekday")</f>
        <v>Weekend</v>
      </c>
      <c r="AF4030" s="5">
        <f>IF(SalesData[[#This Row],[Contracts Offered]]=0,0,SalesData[[#This Row],[Contracts Signed]]/SalesData[[#This Row],[Contracts Offered]])</f>
        <v>0.29850746268656714</v>
      </c>
      <c r="AG4030" s="5">
        <f>IF(SalesData[[#This Row],[Customers Visited]]=0,0,SalesData[[#This Row],[Test Drives]]/SalesData[[#This Row],[Customers Visited]])</f>
        <v>0.5178571428571429</v>
      </c>
      <c r="AH4030" s="5">
        <f>IF(SalesData[[#This Row],[Customers Visited]]=0,0,SalesData[[#This Row],[Contracts Signed]]/SalesData[[#This Row],[Customers Visited]])</f>
        <v>0.11904761904761904</v>
      </c>
      <c r="AI4030" s="6">
        <f>IF(SalesData[[#This Row],[Contracts Signed]]=0,0,SalesData[[#This Row],[Profit(€)]]/SalesData[[#This Row],[Contracts Signed]])</f>
        <v>17671</v>
      </c>
      <c r="AJ4030" s="5" t="str">
        <f>TRIM(CLEAN(SalesData[[#This Row],[Retailer]]))</f>
        <v>Stuttgart Auto Center</v>
      </c>
    </row>
    <row r="4031" spans="1:36" ht="14.25" hidden="1" x14ac:dyDescent="0.2">
      <c r="A4031" t="s">
        <v>5272</v>
      </c>
      <c r="B4031" s="1">
        <v>46071</v>
      </c>
      <c r="C4031" t="s">
        <v>62</v>
      </c>
      <c r="D4031" t="s">
        <v>82</v>
      </c>
      <c r="E4031" t="s">
        <v>26</v>
      </c>
      <c r="F4031" t="s">
        <v>127</v>
      </c>
      <c r="G4031" t="s">
        <v>128</v>
      </c>
      <c r="H4031" t="s">
        <v>103</v>
      </c>
      <c r="I4031" t="s">
        <v>104</v>
      </c>
      <c r="J4031" t="s">
        <v>105</v>
      </c>
      <c r="K4031" t="s">
        <v>91</v>
      </c>
      <c r="L4031" t="s">
        <v>33</v>
      </c>
      <c r="M4031" t="s">
        <v>47</v>
      </c>
      <c r="N4031" t="s">
        <v>48</v>
      </c>
      <c r="O4031" t="s">
        <v>70</v>
      </c>
      <c r="P4031" t="s">
        <v>71</v>
      </c>
      <c r="Q4031" t="s">
        <v>167</v>
      </c>
      <c r="R4031">
        <v>442</v>
      </c>
      <c r="S4031">
        <v>250</v>
      </c>
      <c r="T4031">
        <v>169</v>
      </c>
      <c r="U4031">
        <v>38</v>
      </c>
      <c r="V4031" t="s">
        <v>2827</v>
      </c>
      <c r="W4031">
        <v>30184</v>
      </c>
      <c r="X4031" t="s">
        <v>7602</v>
      </c>
      <c r="Y4031">
        <v>26107</v>
      </c>
      <c r="Z4031">
        <v>1146992</v>
      </c>
      <c r="AA4031">
        <v>154926</v>
      </c>
      <c r="AB4031" t="str">
        <f>(VLOOKUP(SalesData[[#This Row],[Month Number]],Reference!C$5:E$16,2,FALSE))</f>
        <v>Feb</v>
      </c>
      <c r="AC4031">
        <f>MONTH(SalesData[[#This Row],[Date]])</f>
        <v>2</v>
      </c>
      <c r="AD4031">
        <f>Reference!F$4</f>
        <v>2026</v>
      </c>
      <c r="AE4031" t="str">
        <f>IF(OR(SalesData[[#This Row],[Day]]="Saturday",SalesData[[#This Row],[Day]]="Sunday"),"Weekend","Weekday")</f>
        <v>Weekday</v>
      </c>
      <c r="AF4031" s="5">
        <f>IF(SalesData[[#This Row],[Contracts Offered]]=0,0,SalesData[[#This Row],[Contracts Signed]]/SalesData[[#This Row],[Contracts Offered]])</f>
        <v>0.22485207100591717</v>
      </c>
      <c r="AG4031" s="5">
        <f>IF(SalesData[[#This Row],[Customers Visited]]=0,0,SalesData[[#This Row],[Test Drives]]/SalesData[[#This Row],[Customers Visited]])</f>
        <v>0.56561085972850678</v>
      </c>
      <c r="AH4031" s="5">
        <f>IF(SalesData[[#This Row],[Customers Visited]]=0,0,SalesData[[#This Row],[Contracts Signed]]/SalesData[[#This Row],[Customers Visited]])</f>
        <v>8.5972850678733032E-2</v>
      </c>
      <c r="AI4031" s="6">
        <f>IF(SalesData[[#This Row],[Contracts Signed]]=0,0,SalesData[[#This Row],[Profit(€)]]/SalesData[[#This Row],[Contracts Signed]])</f>
        <v>4077</v>
      </c>
      <c r="AJ4031" s="5" t="str">
        <f>TRIM(CLEAN(SalesData[[#This Row],[Retailer]]))</f>
        <v>Rhein Auto Group</v>
      </c>
    </row>
    <row r="4032" spans="1:36" ht="14.25" hidden="1" x14ac:dyDescent="0.2">
      <c r="A4032" t="s">
        <v>5274</v>
      </c>
      <c r="B4032" s="1">
        <v>46058</v>
      </c>
      <c r="C4032" t="s">
        <v>24</v>
      </c>
      <c r="D4032" t="s">
        <v>100</v>
      </c>
      <c r="E4032" t="s">
        <v>26</v>
      </c>
      <c r="F4032" t="s">
        <v>127</v>
      </c>
      <c r="G4032" t="s">
        <v>128</v>
      </c>
      <c r="H4032" t="s">
        <v>103</v>
      </c>
      <c r="I4032" t="s">
        <v>64</v>
      </c>
      <c r="J4032" t="s">
        <v>7029</v>
      </c>
      <c r="K4032" t="s">
        <v>78</v>
      </c>
      <c r="L4032" t="s">
        <v>33</v>
      </c>
      <c r="M4032" t="s">
        <v>47</v>
      </c>
      <c r="N4032" t="s">
        <v>48</v>
      </c>
      <c r="O4032" t="s">
        <v>70</v>
      </c>
      <c r="P4032" t="s">
        <v>71</v>
      </c>
      <c r="Q4032" t="s">
        <v>347</v>
      </c>
      <c r="R4032">
        <v>283</v>
      </c>
      <c r="S4032">
        <v>129</v>
      </c>
      <c r="T4032">
        <v>96</v>
      </c>
      <c r="U4032">
        <v>32</v>
      </c>
      <c r="V4032" t="s">
        <v>6394</v>
      </c>
      <c r="W4032">
        <v>51154</v>
      </c>
      <c r="X4032" t="s">
        <v>7302</v>
      </c>
      <c r="Y4032">
        <v>39545</v>
      </c>
      <c r="Z4032">
        <v>1636928</v>
      </c>
      <c r="AA4032">
        <v>371488</v>
      </c>
      <c r="AB4032" t="str">
        <f>(VLOOKUP(SalesData[[#This Row],[Month Number]],Reference!C$5:E$16,2,FALSE))</f>
        <v>Feb</v>
      </c>
      <c r="AC4032">
        <f>MONTH(SalesData[[#This Row],[Date]])</f>
        <v>2</v>
      </c>
      <c r="AD4032">
        <f>Reference!F$4</f>
        <v>2026</v>
      </c>
      <c r="AE4032" t="str">
        <f>IF(OR(SalesData[[#This Row],[Day]]="Saturday",SalesData[[#This Row],[Day]]="Sunday"),"Weekend","Weekday")</f>
        <v>Weekday</v>
      </c>
      <c r="AF4032" s="5">
        <f>IF(SalesData[[#This Row],[Contracts Offered]]=0,0,SalesData[[#This Row],[Contracts Signed]]/SalesData[[#This Row],[Contracts Offered]])</f>
        <v>0.33333333333333331</v>
      </c>
      <c r="AG4032" s="5">
        <f>IF(SalesData[[#This Row],[Customers Visited]]=0,0,SalesData[[#This Row],[Test Drives]]/SalesData[[#This Row],[Customers Visited]])</f>
        <v>0.45583038869257952</v>
      </c>
      <c r="AH4032" s="5">
        <f>IF(SalesData[[#This Row],[Customers Visited]]=0,0,SalesData[[#This Row],[Contracts Signed]]/SalesData[[#This Row],[Customers Visited]])</f>
        <v>0.11307420494699646</v>
      </c>
      <c r="AI4032" s="6">
        <f>IF(SalesData[[#This Row],[Contracts Signed]]=0,0,SalesData[[#This Row],[Profit(€)]]/SalesData[[#This Row],[Contracts Signed]])</f>
        <v>11609</v>
      </c>
      <c r="AJ4032" s="5" t="str">
        <f>TRIM(CLEAN(SalesData[[#This Row],[Retailer]]))</f>
        <v>Rhein Auto Group</v>
      </c>
    </row>
    <row r="4033" spans="1:36" ht="14.25" hidden="1" x14ac:dyDescent="0.2">
      <c r="A4033" t="s">
        <v>5275</v>
      </c>
      <c r="B4033" s="1">
        <v>46072</v>
      </c>
      <c r="C4033" t="s">
        <v>62</v>
      </c>
      <c r="D4033" t="s">
        <v>100</v>
      </c>
      <c r="E4033" t="s">
        <v>26</v>
      </c>
      <c r="F4033" t="s">
        <v>127</v>
      </c>
      <c r="G4033" t="s">
        <v>128</v>
      </c>
      <c r="H4033" t="s">
        <v>103</v>
      </c>
      <c r="I4033" t="s">
        <v>64</v>
      </c>
      <c r="J4033" t="s">
        <v>7029</v>
      </c>
      <c r="K4033" t="s">
        <v>66</v>
      </c>
      <c r="L4033" t="s">
        <v>33</v>
      </c>
      <c r="M4033" t="s">
        <v>87</v>
      </c>
      <c r="N4033" t="s">
        <v>35</v>
      </c>
      <c r="O4033" t="s">
        <v>70</v>
      </c>
      <c r="P4033" t="s">
        <v>49</v>
      </c>
      <c r="Q4033" t="s">
        <v>122</v>
      </c>
      <c r="R4033">
        <v>279</v>
      </c>
      <c r="S4033">
        <v>139</v>
      </c>
      <c r="T4033">
        <v>101</v>
      </c>
      <c r="U4033">
        <v>30</v>
      </c>
      <c r="V4033" t="s">
        <v>6740</v>
      </c>
      <c r="W4033">
        <v>65611</v>
      </c>
      <c r="X4033" t="s">
        <v>7122</v>
      </c>
      <c r="Y4033">
        <v>46904</v>
      </c>
      <c r="Z4033">
        <v>1968330</v>
      </c>
      <c r="AA4033">
        <v>561210</v>
      </c>
      <c r="AB4033" t="str">
        <f>(VLOOKUP(SalesData[[#This Row],[Month Number]],Reference!C$5:E$16,2,FALSE))</f>
        <v>Feb</v>
      </c>
      <c r="AC4033">
        <f>MONTH(SalesData[[#This Row],[Date]])</f>
        <v>2</v>
      </c>
      <c r="AD4033">
        <f>Reference!F$4</f>
        <v>2026</v>
      </c>
      <c r="AE4033" t="str">
        <f>IF(OR(SalesData[[#This Row],[Day]]="Saturday",SalesData[[#This Row],[Day]]="Sunday"),"Weekend","Weekday")</f>
        <v>Weekday</v>
      </c>
      <c r="AF4033" s="5">
        <f>IF(SalesData[[#This Row],[Contracts Offered]]=0,0,SalesData[[#This Row],[Contracts Signed]]/SalesData[[#This Row],[Contracts Offered]])</f>
        <v>0.29702970297029702</v>
      </c>
      <c r="AG4033" s="5">
        <f>IF(SalesData[[#This Row],[Customers Visited]]=0,0,SalesData[[#This Row],[Test Drives]]/SalesData[[#This Row],[Customers Visited]])</f>
        <v>0.49820788530465948</v>
      </c>
      <c r="AH4033" s="5">
        <f>IF(SalesData[[#This Row],[Customers Visited]]=0,0,SalesData[[#This Row],[Contracts Signed]]/SalesData[[#This Row],[Customers Visited]])</f>
        <v>0.10752688172043011</v>
      </c>
      <c r="AI4033" s="6">
        <f>IF(SalesData[[#This Row],[Contracts Signed]]=0,0,SalesData[[#This Row],[Profit(€)]]/SalesData[[#This Row],[Contracts Signed]])</f>
        <v>18707</v>
      </c>
      <c r="AJ4033" s="5" t="str">
        <f>TRIM(CLEAN(SalesData[[#This Row],[Retailer]]))</f>
        <v>Rhein Auto Group</v>
      </c>
    </row>
    <row r="4034" spans="1:36" ht="14.25" hidden="1" x14ac:dyDescent="0.2">
      <c r="A4034" t="s">
        <v>5276</v>
      </c>
      <c r="B4034" s="1">
        <v>46059</v>
      </c>
      <c r="C4034" t="s">
        <v>24</v>
      </c>
      <c r="D4034" t="s">
        <v>54</v>
      </c>
      <c r="E4034" t="s">
        <v>26</v>
      </c>
      <c r="F4034" t="s">
        <v>27</v>
      </c>
      <c r="G4034" t="s">
        <v>28</v>
      </c>
      <c r="H4034" t="s">
        <v>29</v>
      </c>
      <c r="I4034" t="s">
        <v>116</v>
      </c>
      <c r="J4034" t="s">
        <v>117</v>
      </c>
      <c r="K4034" t="s">
        <v>91</v>
      </c>
      <c r="L4034" t="s">
        <v>67</v>
      </c>
      <c r="M4034" t="s">
        <v>47</v>
      </c>
      <c r="N4034" t="s">
        <v>35</v>
      </c>
      <c r="O4034" t="s">
        <v>36</v>
      </c>
      <c r="P4034" t="s">
        <v>49</v>
      </c>
      <c r="Q4034" t="s">
        <v>38</v>
      </c>
      <c r="R4034">
        <v>427</v>
      </c>
      <c r="S4034">
        <v>193</v>
      </c>
      <c r="T4034">
        <v>113</v>
      </c>
      <c r="U4034">
        <v>23</v>
      </c>
      <c r="V4034" t="s">
        <v>3542</v>
      </c>
      <c r="W4034">
        <v>25917</v>
      </c>
      <c r="X4034" t="s">
        <v>5036</v>
      </c>
      <c r="Y4034">
        <v>24034</v>
      </c>
      <c r="Z4034">
        <v>596091</v>
      </c>
      <c r="AA4034">
        <v>43309</v>
      </c>
      <c r="AB4034" t="str">
        <f>(VLOOKUP(SalesData[[#This Row],[Month Number]],Reference!C$5:E$16,2,FALSE))</f>
        <v>Feb</v>
      </c>
      <c r="AC4034">
        <f>MONTH(SalesData[[#This Row],[Date]])</f>
        <v>2</v>
      </c>
      <c r="AD4034">
        <f>Reference!F$4</f>
        <v>2026</v>
      </c>
      <c r="AE4034" t="str">
        <f>IF(OR(SalesData[[#This Row],[Day]]="Saturday",SalesData[[#This Row],[Day]]="Sunday"),"Weekend","Weekday")</f>
        <v>Weekday</v>
      </c>
      <c r="AF4034" s="5">
        <f>IF(SalesData[[#This Row],[Contracts Offered]]=0,0,SalesData[[#This Row],[Contracts Signed]]/SalesData[[#This Row],[Contracts Offered]])</f>
        <v>0.20353982300884957</v>
      </c>
      <c r="AG4034" s="5">
        <f>IF(SalesData[[#This Row],[Customers Visited]]=0,0,SalesData[[#This Row],[Test Drives]]/SalesData[[#This Row],[Customers Visited]])</f>
        <v>0.45199063231850117</v>
      </c>
      <c r="AH4034" s="5">
        <f>IF(SalesData[[#This Row],[Customers Visited]]=0,0,SalesData[[#This Row],[Contracts Signed]]/SalesData[[#This Row],[Customers Visited]])</f>
        <v>5.3864168618266976E-2</v>
      </c>
      <c r="AI4034" s="6">
        <f>IF(SalesData[[#This Row],[Contracts Signed]]=0,0,SalesData[[#This Row],[Profit(€)]]/SalesData[[#This Row],[Contracts Signed]])</f>
        <v>1883</v>
      </c>
      <c r="AJ4034" s="5" t="str">
        <f>TRIM(CLEAN(SalesData[[#This Row],[Retailer]]))</f>
        <v>Main Auto Hub</v>
      </c>
    </row>
    <row r="4035" spans="1:36" ht="14.25" hidden="1" x14ac:dyDescent="0.2">
      <c r="A4035" t="s">
        <v>5277</v>
      </c>
      <c r="B4035" s="1">
        <v>46060</v>
      </c>
      <c r="C4035" t="s">
        <v>24</v>
      </c>
      <c r="D4035" t="s">
        <v>151</v>
      </c>
      <c r="E4035" t="s">
        <v>42</v>
      </c>
      <c r="F4035" t="s">
        <v>114</v>
      </c>
      <c r="G4035" t="s">
        <v>115</v>
      </c>
      <c r="H4035" t="s">
        <v>115</v>
      </c>
      <c r="I4035" t="s">
        <v>116</v>
      </c>
      <c r="J4035" t="s">
        <v>203</v>
      </c>
      <c r="K4035" t="s">
        <v>66</v>
      </c>
      <c r="L4035" t="s">
        <v>67</v>
      </c>
      <c r="M4035" t="s">
        <v>87</v>
      </c>
      <c r="N4035" t="s">
        <v>35</v>
      </c>
      <c r="O4035" t="s">
        <v>36</v>
      </c>
      <c r="P4035" t="s">
        <v>71</v>
      </c>
      <c r="Q4035" t="s">
        <v>158</v>
      </c>
      <c r="R4035">
        <v>414</v>
      </c>
      <c r="S4035">
        <v>214</v>
      </c>
      <c r="T4035">
        <v>141</v>
      </c>
      <c r="U4035">
        <v>39</v>
      </c>
      <c r="V4035" t="s">
        <v>3110</v>
      </c>
      <c r="W4035">
        <v>26472</v>
      </c>
      <c r="X4035" t="s">
        <v>561</v>
      </c>
      <c r="Y4035">
        <v>24457</v>
      </c>
      <c r="Z4035">
        <v>1032408</v>
      </c>
      <c r="AA4035">
        <v>78585</v>
      </c>
      <c r="AB4035" t="str">
        <f>(VLOOKUP(SalesData[[#This Row],[Month Number]],Reference!C$5:E$16,2,FALSE))</f>
        <v>Feb</v>
      </c>
      <c r="AC4035">
        <f>MONTH(SalesData[[#This Row],[Date]])</f>
        <v>2</v>
      </c>
      <c r="AD4035">
        <f>Reference!F$4</f>
        <v>2026</v>
      </c>
      <c r="AE4035" t="str">
        <f>IF(OR(SalesData[[#This Row],[Day]]="Saturday",SalesData[[#This Row],[Day]]="Sunday"),"Weekend","Weekday")</f>
        <v>Weekend</v>
      </c>
      <c r="AF4035" s="5">
        <f>IF(SalesData[[#This Row],[Contracts Offered]]=0,0,SalesData[[#This Row],[Contracts Signed]]/SalesData[[#This Row],[Contracts Offered]])</f>
        <v>0.27659574468085107</v>
      </c>
      <c r="AG4035" s="5">
        <f>IF(SalesData[[#This Row],[Customers Visited]]=0,0,SalesData[[#This Row],[Test Drives]]/SalesData[[#This Row],[Customers Visited]])</f>
        <v>0.51690821256038644</v>
      </c>
      <c r="AH4035" s="5">
        <f>IF(SalesData[[#This Row],[Customers Visited]]=0,0,SalesData[[#This Row],[Contracts Signed]]/SalesData[[#This Row],[Customers Visited]])</f>
        <v>9.420289855072464E-2</v>
      </c>
      <c r="AI4035" s="6">
        <f>IF(SalesData[[#This Row],[Contracts Signed]]=0,0,SalesData[[#This Row],[Profit(€)]]/SalesData[[#This Row],[Contracts Signed]])</f>
        <v>2015</v>
      </c>
      <c r="AJ4035" s="5" t="str">
        <f>TRIM(CLEAN(SalesData[[#This Row],[Retailer]]))</f>
        <v>Elbe Drive</v>
      </c>
    </row>
    <row r="4036" spans="1:36" ht="14.25" x14ac:dyDescent="0.2">
      <c r="A4036" t="s">
        <v>5278</v>
      </c>
      <c r="B4036" s="1">
        <v>46072</v>
      </c>
      <c r="C4036" t="s">
        <v>62</v>
      </c>
      <c r="D4036" t="s">
        <v>100</v>
      </c>
      <c r="E4036" t="s">
        <v>26</v>
      </c>
      <c r="F4036" t="s">
        <v>109</v>
      </c>
      <c r="G4036" t="s">
        <v>110</v>
      </c>
      <c r="H4036" t="s">
        <v>45</v>
      </c>
      <c r="I4036" t="s">
        <v>30</v>
      </c>
      <c r="J4036" t="s">
        <v>166</v>
      </c>
      <c r="K4036" t="s">
        <v>91</v>
      </c>
      <c r="L4036" t="s">
        <v>46</v>
      </c>
      <c r="M4036" t="s">
        <v>34</v>
      </c>
      <c r="N4036" t="s">
        <v>35</v>
      </c>
      <c r="O4036" t="s">
        <v>70</v>
      </c>
      <c r="P4036" t="s">
        <v>71</v>
      </c>
      <c r="Q4036" t="s">
        <v>169</v>
      </c>
      <c r="R4036">
        <v>165</v>
      </c>
      <c r="S4036">
        <v>92</v>
      </c>
      <c r="T4036">
        <v>67</v>
      </c>
      <c r="U4036">
        <v>23</v>
      </c>
      <c r="V4036" t="s">
        <v>6403</v>
      </c>
      <c r="W4036">
        <v>57281</v>
      </c>
      <c r="X4036" t="s">
        <v>2334</v>
      </c>
      <c r="Y4036">
        <v>44263</v>
      </c>
      <c r="Z4036">
        <v>1317463</v>
      </c>
      <c r="AA4036">
        <v>299414</v>
      </c>
      <c r="AB4036" t="str">
        <f>(VLOOKUP(SalesData[[#This Row],[Month Number]],Reference!C$5:E$16,2,FALSE))</f>
        <v>Feb</v>
      </c>
      <c r="AC4036">
        <f>MONTH(SalesData[[#This Row],[Date]])</f>
        <v>2</v>
      </c>
      <c r="AD4036">
        <f>Reference!F$4</f>
        <v>2026</v>
      </c>
      <c r="AE4036" t="str">
        <f>IF(OR(SalesData[[#This Row],[Day]]="Saturday",SalesData[[#This Row],[Day]]="Sunday"),"Weekend","Weekday")</f>
        <v>Weekday</v>
      </c>
      <c r="AF4036" s="5">
        <f>IF(SalesData[[#This Row],[Contracts Offered]]=0,0,SalesData[[#This Row],[Contracts Signed]]/SalesData[[#This Row],[Contracts Offered]])</f>
        <v>0.34328358208955223</v>
      </c>
      <c r="AG4036" s="5">
        <f>IF(SalesData[[#This Row],[Customers Visited]]=0,0,SalesData[[#This Row],[Test Drives]]/SalesData[[#This Row],[Customers Visited]])</f>
        <v>0.55757575757575761</v>
      </c>
      <c r="AH4036" s="5">
        <f>IF(SalesData[[#This Row],[Customers Visited]]=0,0,SalesData[[#This Row],[Contracts Signed]]/SalesData[[#This Row],[Customers Visited]])</f>
        <v>0.1393939393939394</v>
      </c>
      <c r="AI4036" s="6">
        <f>IF(SalesData[[#This Row],[Contracts Signed]]=0,0,SalesData[[#This Row],[Profit(€)]]/SalesData[[#This Row],[Contracts Signed]])</f>
        <v>13018</v>
      </c>
      <c r="AJ4036" s="5" t="str">
        <f>TRIM(CLEAN(SalesData[[#This Row],[Retailer]]))</f>
        <v>Leipzig Mobility</v>
      </c>
    </row>
    <row r="4037" spans="1:36" ht="14.25" x14ac:dyDescent="0.2">
      <c r="A4037" t="s">
        <v>5279</v>
      </c>
      <c r="B4037" s="1">
        <v>46060</v>
      </c>
      <c r="C4037" t="s">
        <v>24</v>
      </c>
      <c r="D4037" t="s">
        <v>151</v>
      </c>
      <c r="E4037" t="s">
        <v>42</v>
      </c>
      <c r="F4037" t="s">
        <v>109</v>
      </c>
      <c r="G4037" t="s">
        <v>110</v>
      </c>
      <c r="H4037" t="s">
        <v>45</v>
      </c>
      <c r="I4037" t="s">
        <v>30</v>
      </c>
      <c r="J4037" t="s">
        <v>166</v>
      </c>
      <c r="K4037" t="s">
        <v>32</v>
      </c>
      <c r="L4037" t="s">
        <v>46</v>
      </c>
      <c r="M4037" t="s">
        <v>68</v>
      </c>
      <c r="N4037" t="s">
        <v>35</v>
      </c>
      <c r="O4037" t="s">
        <v>70</v>
      </c>
      <c r="P4037" t="s">
        <v>58</v>
      </c>
      <c r="Q4037" t="s">
        <v>79</v>
      </c>
      <c r="R4037">
        <v>243</v>
      </c>
      <c r="S4037">
        <v>134</v>
      </c>
      <c r="T4037">
        <v>99</v>
      </c>
      <c r="U4037">
        <v>38</v>
      </c>
      <c r="V4037" t="s">
        <v>6436</v>
      </c>
      <c r="W4037">
        <v>53795</v>
      </c>
      <c r="X4037" t="s">
        <v>7213</v>
      </c>
      <c r="Y4037">
        <v>41194</v>
      </c>
      <c r="Z4037">
        <v>2044210</v>
      </c>
      <c r="AA4037">
        <v>478838</v>
      </c>
      <c r="AB4037" t="str">
        <f>(VLOOKUP(SalesData[[#This Row],[Month Number]],Reference!C$5:E$16,2,FALSE))</f>
        <v>Feb</v>
      </c>
      <c r="AC4037">
        <f>MONTH(SalesData[[#This Row],[Date]])</f>
        <v>2</v>
      </c>
      <c r="AD4037">
        <f>Reference!F$4</f>
        <v>2026</v>
      </c>
      <c r="AE4037" t="str">
        <f>IF(OR(SalesData[[#This Row],[Day]]="Saturday",SalesData[[#This Row],[Day]]="Sunday"),"Weekend","Weekday")</f>
        <v>Weekend</v>
      </c>
      <c r="AF4037" s="5">
        <f>IF(SalesData[[#This Row],[Contracts Offered]]=0,0,SalesData[[#This Row],[Contracts Signed]]/SalesData[[#This Row],[Contracts Offered]])</f>
        <v>0.38383838383838381</v>
      </c>
      <c r="AG4037" s="5">
        <f>IF(SalesData[[#This Row],[Customers Visited]]=0,0,SalesData[[#This Row],[Test Drives]]/SalesData[[#This Row],[Customers Visited]])</f>
        <v>0.55144032921810704</v>
      </c>
      <c r="AH4037" s="5">
        <f>IF(SalesData[[#This Row],[Customers Visited]]=0,0,SalesData[[#This Row],[Contracts Signed]]/SalesData[[#This Row],[Customers Visited]])</f>
        <v>0.15637860082304528</v>
      </c>
      <c r="AI4037" s="6">
        <f>IF(SalesData[[#This Row],[Contracts Signed]]=0,0,SalesData[[#This Row],[Profit(€)]]/SalesData[[#This Row],[Contracts Signed]])</f>
        <v>12601</v>
      </c>
      <c r="AJ4037" s="5" t="str">
        <f>TRIM(CLEAN(SalesData[[#This Row],[Retailer]]))</f>
        <v>Leipzig Mobility</v>
      </c>
    </row>
    <row r="4038" spans="1:36" ht="14.25" x14ac:dyDescent="0.2">
      <c r="A4038" t="s">
        <v>5280</v>
      </c>
      <c r="B4038" s="1">
        <v>46067</v>
      </c>
      <c r="C4038" t="s">
        <v>121</v>
      </c>
      <c r="D4038" t="s">
        <v>151</v>
      </c>
      <c r="E4038" t="s">
        <v>42</v>
      </c>
      <c r="F4038" t="s">
        <v>94</v>
      </c>
      <c r="G4038" t="s">
        <v>95</v>
      </c>
      <c r="H4038" t="s">
        <v>96</v>
      </c>
      <c r="I4038" t="s">
        <v>30</v>
      </c>
      <c r="J4038" t="s">
        <v>31</v>
      </c>
      <c r="K4038" t="s">
        <v>66</v>
      </c>
      <c r="L4038" t="s">
        <v>46</v>
      </c>
      <c r="M4038" t="s">
        <v>34</v>
      </c>
      <c r="N4038" t="s">
        <v>35</v>
      </c>
      <c r="O4038" t="s">
        <v>70</v>
      </c>
      <c r="P4038" t="s">
        <v>37</v>
      </c>
      <c r="Q4038" t="s">
        <v>169</v>
      </c>
      <c r="R4038">
        <v>191</v>
      </c>
      <c r="S4038">
        <v>90</v>
      </c>
      <c r="T4038">
        <v>70</v>
      </c>
      <c r="U4038">
        <v>27</v>
      </c>
      <c r="V4038" t="s">
        <v>7100</v>
      </c>
      <c r="W4038">
        <v>66257</v>
      </c>
      <c r="X4038" t="s">
        <v>2261</v>
      </c>
      <c r="Y4038">
        <v>51492</v>
      </c>
      <c r="Z4038">
        <v>1788939</v>
      </c>
      <c r="AA4038">
        <v>398655</v>
      </c>
      <c r="AB4038" t="str">
        <f>(VLOOKUP(SalesData[[#This Row],[Month Number]],Reference!C$5:E$16,2,FALSE))</f>
        <v>Feb</v>
      </c>
      <c r="AC4038">
        <f>MONTH(SalesData[[#This Row],[Date]])</f>
        <v>2</v>
      </c>
      <c r="AD4038">
        <f>Reference!F$4</f>
        <v>2026</v>
      </c>
      <c r="AE4038" t="str">
        <f>IF(OR(SalesData[[#This Row],[Day]]="Saturday",SalesData[[#This Row],[Day]]="Sunday"),"Weekend","Weekday")</f>
        <v>Weekend</v>
      </c>
      <c r="AF4038" s="5">
        <f>IF(SalesData[[#This Row],[Contracts Offered]]=0,0,SalesData[[#This Row],[Contracts Signed]]/SalesData[[#This Row],[Contracts Offered]])</f>
        <v>0.38571428571428573</v>
      </c>
      <c r="AG4038" s="5">
        <f>IF(SalesData[[#This Row],[Customers Visited]]=0,0,SalesData[[#This Row],[Test Drives]]/SalesData[[#This Row],[Customers Visited]])</f>
        <v>0.47120418848167539</v>
      </c>
      <c r="AH4038" s="5">
        <f>IF(SalesData[[#This Row],[Customers Visited]]=0,0,SalesData[[#This Row],[Contracts Signed]]/SalesData[[#This Row],[Customers Visited]])</f>
        <v>0.14136125654450263</v>
      </c>
      <c r="AI4038" s="6">
        <f>IF(SalesData[[#This Row],[Contracts Signed]]=0,0,SalesData[[#This Row],[Profit(€)]]/SalesData[[#This Row],[Contracts Signed]])</f>
        <v>14765</v>
      </c>
      <c r="AJ4038" s="5" t="str">
        <f>TRIM(CLEAN(SalesData[[#This Row],[Retailer]]))</f>
        <v>Bavaria Motors</v>
      </c>
    </row>
    <row r="4039" spans="1:36" ht="14.25" hidden="1" x14ac:dyDescent="0.2">
      <c r="A4039" t="s">
        <v>5281</v>
      </c>
      <c r="B4039" s="1">
        <v>46081</v>
      </c>
      <c r="C4039" t="s">
        <v>53</v>
      </c>
      <c r="D4039" t="s">
        <v>151</v>
      </c>
      <c r="E4039" t="s">
        <v>42</v>
      </c>
      <c r="F4039" t="s">
        <v>101</v>
      </c>
      <c r="G4039" t="s">
        <v>102</v>
      </c>
      <c r="H4039" t="s">
        <v>103</v>
      </c>
      <c r="I4039" t="s">
        <v>104</v>
      </c>
      <c r="J4039" t="s">
        <v>140</v>
      </c>
      <c r="K4039" t="s">
        <v>78</v>
      </c>
      <c r="L4039" t="s">
        <v>46</v>
      </c>
      <c r="M4039" t="s">
        <v>47</v>
      </c>
      <c r="N4039" t="s">
        <v>35</v>
      </c>
      <c r="O4039" t="s">
        <v>36</v>
      </c>
      <c r="P4039" t="s">
        <v>37</v>
      </c>
      <c r="Q4039" t="s">
        <v>122</v>
      </c>
      <c r="R4039">
        <v>454</v>
      </c>
      <c r="S4039">
        <v>251</v>
      </c>
      <c r="T4039">
        <v>164</v>
      </c>
      <c r="U4039">
        <v>32</v>
      </c>
      <c r="V4039" t="s">
        <v>141</v>
      </c>
      <c r="W4039">
        <v>29821</v>
      </c>
      <c r="X4039" t="s">
        <v>2372</v>
      </c>
      <c r="Y4039">
        <v>26909</v>
      </c>
      <c r="Z4039">
        <v>954272</v>
      </c>
      <c r="AA4039">
        <v>93184</v>
      </c>
      <c r="AB4039" t="str">
        <f>(VLOOKUP(SalesData[[#This Row],[Month Number]],Reference!C$5:E$16,2,FALSE))</f>
        <v>Feb</v>
      </c>
      <c r="AC4039">
        <f>MONTH(SalesData[[#This Row],[Date]])</f>
        <v>2</v>
      </c>
      <c r="AD4039">
        <f>Reference!F$4</f>
        <v>2026</v>
      </c>
      <c r="AE4039" t="str">
        <f>IF(OR(SalesData[[#This Row],[Day]]="Saturday",SalesData[[#This Row],[Day]]="Sunday"),"Weekend","Weekday")</f>
        <v>Weekend</v>
      </c>
      <c r="AF4039" s="5">
        <f>IF(SalesData[[#This Row],[Contracts Offered]]=0,0,SalesData[[#This Row],[Contracts Signed]]/SalesData[[#This Row],[Contracts Offered]])</f>
        <v>0.1951219512195122</v>
      </c>
      <c r="AG4039" s="5">
        <f>IF(SalesData[[#This Row],[Customers Visited]]=0,0,SalesData[[#This Row],[Test Drives]]/SalesData[[#This Row],[Customers Visited]])</f>
        <v>0.55286343612334798</v>
      </c>
      <c r="AH4039" s="5">
        <f>IF(SalesData[[#This Row],[Customers Visited]]=0,0,SalesData[[#This Row],[Contracts Signed]]/SalesData[[#This Row],[Customers Visited]])</f>
        <v>7.0484581497797363E-2</v>
      </c>
      <c r="AI4039" s="6">
        <f>IF(SalesData[[#This Row],[Contracts Signed]]=0,0,SalesData[[#This Row],[Profit(€)]]/SalesData[[#This Row],[Contracts Signed]])</f>
        <v>2912</v>
      </c>
      <c r="AJ4039" s="5" t="str">
        <f>TRIM(CLEAN(SalesData[[#This Row],[Retailer]]))</f>
        <v>Ruhr Auto Plaza</v>
      </c>
    </row>
    <row r="4040" spans="1:36" ht="14.25" hidden="1" x14ac:dyDescent="0.2">
      <c r="A4040" t="s">
        <v>5282</v>
      </c>
      <c r="B4040" s="1">
        <v>46060</v>
      </c>
      <c r="C4040" t="s">
        <v>24</v>
      </c>
      <c r="D4040" t="s">
        <v>151</v>
      </c>
      <c r="E4040" t="s">
        <v>42</v>
      </c>
      <c r="F4040" t="s">
        <v>7649</v>
      </c>
      <c r="G4040" t="s">
        <v>55</v>
      </c>
      <c r="H4040" t="s">
        <v>55</v>
      </c>
      <c r="I4040" t="s">
        <v>116</v>
      </c>
      <c r="J4040" t="s">
        <v>7090</v>
      </c>
      <c r="K4040" t="s">
        <v>91</v>
      </c>
      <c r="L4040" t="s">
        <v>46</v>
      </c>
      <c r="M4040" t="s">
        <v>47</v>
      </c>
      <c r="N4040" t="s">
        <v>35</v>
      </c>
      <c r="O4040" t="s">
        <v>70</v>
      </c>
      <c r="P4040" t="s">
        <v>71</v>
      </c>
      <c r="Q4040" t="s">
        <v>59</v>
      </c>
      <c r="R4040">
        <v>272</v>
      </c>
      <c r="S4040">
        <v>128</v>
      </c>
      <c r="T4040">
        <v>85</v>
      </c>
      <c r="U4040">
        <v>23</v>
      </c>
      <c r="V4040" t="s">
        <v>4451</v>
      </c>
      <c r="W4040">
        <v>20455</v>
      </c>
      <c r="X4040" t="s">
        <v>972</v>
      </c>
      <c r="Y4040">
        <v>18408</v>
      </c>
      <c r="Z4040">
        <v>470465</v>
      </c>
      <c r="AA4040">
        <v>47081</v>
      </c>
      <c r="AB4040" t="str">
        <f>(VLOOKUP(SalesData[[#This Row],[Month Number]],Reference!C$5:E$16,2,FALSE))</f>
        <v>Feb</v>
      </c>
      <c r="AC4040">
        <f>MONTH(SalesData[[#This Row],[Date]])</f>
        <v>2</v>
      </c>
      <c r="AD4040">
        <f>Reference!F$4</f>
        <v>2026</v>
      </c>
      <c r="AE4040" t="str">
        <f>IF(OR(SalesData[[#This Row],[Day]]="Saturday",SalesData[[#This Row],[Day]]="Sunday"),"Weekend","Weekday")</f>
        <v>Weekend</v>
      </c>
      <c r="AF4040" s="5">
        <f>IF(SalesData[[#This Row],[Contracts Offered]]=0,0,SalesData[[#This Row],[Contracts Signed]]/SalesData[[#This Row],[Contracts Offered]])</f>
        <v>0.27058823529411763</v>
      </c>
      <c r="AG4040" s="5">
        <f>IF(SalesData[[#This Row],[Customers Visited]]=0,0,SalesData[[#This Row],[Test Drives]]/SalesData[[#This Row],[Customers Visited]])</f>
        <v>0.47058823529411764</v>
      </c>
      <c r="AH4040" s="5">
        <f>IF(SalesData[[#This Row],[Customers Visited]]=0,0,SalesData[[#This Row],[Contracts Signed]]/SalesData[[#This Row],[Customers Visited]])</f>
        <v>8.455882352941177E-2</v>
      </c>
      <c r="AI4040" s="6">
        <f>IF(SalesData[[#This Row],[Contracts Signed]]=0,0,SalesData[[#This Row],[Profit(€)]]/SalesData[[#This Row],[Contracts Signed]])</f>
        <v>2047</v>
      </c>
      <c r="AJ4040" s="5" t="str">
        <f>TRIM(CLEAN(SalesData[[#This Row],[Retailer]]))</f>
        <v>Autohaus Berlin</v>
      </c>
    </row>
    <row r="4041" spans="1:36" ht="14.25" hidden="1" x14ac:dyDescent="0.2">
      <c r="A4041" t="s">
        <v>5283</v>
      </c>
      <c r="B4041" s="1">
        <v>46065</v>
      </c>
      <c r="C4041" t="s">
        <v>121</v>
      </c>
      <c r="D4041" t="s">
        <v>100</v>
      </c>
      <c r="E4041" t="s">
        <v>26</v>
      </c>
      <c r="F4041" t="s">
        <v>109</v>
      </c>
      <c r="G4041" t="s">
        <v>110</v>
      </c>
      <c r="H4041" t="s">
        <v>45</v>
      </c>
      <c r="I4041" t="s">
        <v>64</v>
      </c>
      <c r="J4041" t="s">
        <v>7029</v>
      </c>
      <c r="K4041" t="s">
        <v>78</v>
      </c>
      <c r="L4041" t="s">
        <v>33</v>
      </c>
      <c r="M4041" t="s">
        <v>34</v>
      </c>
      <c r="N4041" t="s">
        <v>69</v>
      </c>
      <c r="O4041" t="s">
        <v>70</v>
      </c>
      <c r="P4041" t="s">
        <v>58</v>
      </c>
      <c r="Q4041" t="s">
        <v>204</v>
      </c>
      <c r="R4041">
        <v>213</v>
      </c>
      <c r="S4041">
        <v>117</v>
      </c>
      <c r="T4041">
        <v>78</v>
      </c>
      <c r="U4041">
        <v>28</v>
      </c>
      <c r="V4041" t="s">
        <v>6535</v>
      </c>
      <c r="W4041">
        <v>55479</v>
      </c>
      <c r="X4041" t="s">
        <v>7275</v>
      </c>
      <c r="Y4041">
        <v>41932</v>
      </c>
      <c r="Z4041">
        <v>1553412</v>
      </c>
      <c r="AA4041">
        <v>379316</v>
      </c>
      <c r="AB4041" t="str">
        <f>(VLOOKUP(SalesData[[#This Row],[Month Number]],Reference!C$5:E$16,2,FALSE))</f>
        <v>Feb</v>
      </c>
      <c r="AC4041">
        <f>MONTH(SalesData[[#This Row],[Date]])</f>
        <v>2</v>
      </c>
      <c r="AD4041">
        <f>Reference!F$4</f>
        <v>2026</v>
      </c>
      <c r="AE4041" t="str">
        <f>IF(OR(SalesData[[#This Row],[Day]]="Saturday",SalesData[[#This Row],[Day]]="Sunday"),"Weekend","Weekday")</f>
        <v>Weekday</v>
      </c>
      <c r="AF4041" s="5">
        <f>IF(SalesData[[#This Row],[Contracts Offered]]=0,0,SalesData[[#This Row],[Contracts Signed]]/SalesData[[#This Row],[Contracts Offered]])</f>
        <v>0.35897435897435898</v>
      </c>
      <c r="AG4041" s="5">
        <f>IF(SalesData[[#This Row],[Customers Visited]]=0,0,SalesData[[#This Row],[Test Drives]]/SalesData[[#This Row],[Customers Visited]])</f>
        <v>0.54929577464788737</v>
      </c>
      <c r="AH4041" s="5">
        <f>IF(SalesData[[#This Row],[Customers Visited]]=0,0,SalesData[[#This Row],[Contracts Signed]]/SalesData[[#This Row],[Customers Visited]])</f>
        <v>0.13145539906103287</v>
      </c>
      <c r="AI4041" s="6">
        <f>IF(SalesData[[#This Row],[Contracts Signed]]=0,0,SalesData[[#This Row],[Profit(€)]]/SalesData[[#This Row],[Contracts Signed]])</f>
        <v>13547</v>
      </c>
      <c r="AJ4041" s="5" t="str">
        <f>TRIM(CLEAN(SalesData[[#This Row],[Retailer]]))</f>
        <v>Leipzig Mobility</v>
      </c>
    </row>
    <row r="4042" spans="1:36" ht="14.25" hidden="1" x14ac:dyDescent="0.2">
      <c r="A4042" t="s">
        <v>5284</v>
      </c>
      <c r="B4042" s="1">
        <v>46054</v>
      </c>
      <c r="C4042" t="s">
        <v>24</v>
      </c>
      <c r="D4042" t="s">
        <v>41</v>
      </c>
      <c r="E4042" t="s">
        <v>42</v>
      </c>
      <c r="F4042" t="s">
        <v>101</v>
      </c>
      <c r="G4042" t="s">
        <v>102</v>
      </c>
      <c r="H4042" t="s">
        <v>103</v>
      </c>
      <c r="I4042" t="s">
        <v>116</v>
      </c>
      <c r="J4042" t="s">
        <v>203</v>
      </c>
      <c r="K4042" t="s">
        <v>91</v>
      </c>
      <c r="L4042" t="s">
        <v>67</v>
      </c>
      <c r="M4042" t="s">
        <v>87</v>
      </c>
      <c r="N4042" t="s">
        <v>48</v>
      </c>
      <c r="O4042" t="s">
        <v>36</v>
      </c>
      <c r="P4042" t="s">
        <v>71</v>
      </c>
      <c r="Q4042" t="s">
        <v>158</v>
      </c>
      <c r="R4042">
        <v>266</v>
      </c>
      <c r="S4042">
        <v>114</v>
      </c>
      <c r="T4042">
        <v>76</v>
      </c>
      <c r="U4042">
        <v>18</v>
      </c>
      <c r="V4042" t="s">
        <v>456</v>
      </c>
      <c r="W4042">
        <v>25238</v>
      </c>
      <c r="X4042" t="s">
        <v>173</v>
      </c>
      <c r="Y4042">
        <v>22717</v>
      </c>
      <c r="Z4042">
        <v>454284</v>
      </c>
      <c r="AA4042">
        <v>45378</v>
      </c>
      <c r="AB4042" t="str">
        <f>(VLOOKUP(SalesData[[#This Row],[Month Number]],Reference!C$5:E$16,2,FALSE))</f>
        <v>Feb</v>
      </c>
      <c r="AC4042">
        <f>MONTH(SalesData[[#This Row],[Date]])</f>
        <v>2</v>
      </c>
      <c r="AD4042">
        <f>Reference!F$4</f>
        <v>2026</v>
      </c>
      <c r="AE4042" t="str">
        <f>IF(OR(SalesData[[#This Row],[Day]]="Saturday",SalesData[[#This Row],[Day]]="Sunday"),"Weekend","Weekday")</f>
        <v>Weekend</v>
      </c>
      <c r="AF4042" s="5">
        <f>IF(SalesData[[#This Row],[Contracts Offered]]=0,0,SalesData[[#This Row],[Contracts Signed]]/SalesData[[#This Row],[Contracts Offered]])</f>
        <v>0.23684210526315788</v>
      </c>
      <c r="AG4042" s="5">
        <f>IF(SalesData[[#This Row],[Customers Visited]]=0,0,SalesData[[#This Row],[Test Drives]]/SalesData[[#This Row],[Customers Visited]])</f>
        <v>0.42857142857142855</v>
      </c>
      <c r="AH4042" s="5">
        <f>IF(SalesData[[#This Row],[Customers Visited]]=0,0,SalesData[[#This Row],[Contracts Signed]]/SalesData[[#This Row],[Customers Visited]])</f>
        <v>6.7669172932330823E-2</v>
      </c>
      <c r="AI4042" s="6">
        <f>IF(SalesData[[#This Row],[Contracts Signed]]=0,0,SalesData[[#This Row],[Profit(€)]]/SalesData[[#This Row],[Contracts Signed]])</f>
        <v>2521</v>
      </c>
      <c r="AJ4042" s="5" t="str">
        <f>TRIM(CLEAN(SalesData[[#This Row],[Retailer]]))</f>
        <v>Ruhr Auto Plaza</v>
      </c>
    </row>
    <row r="4043" spans="1:36" ht="14.25" hidden="1" x14ac:dyDescent="0.2">
      <c r="A4043" t="s">
        <v>5285</v>
      </c>
      <c r="B4043" s="1">
        <v>46061</v>
      </c>
      <c r="C4043" t="s">
        <v>121</v>
      </c>
      <c r="D4043" t="s">
        <v>41</v>
      </c>
      <c r="E4043" t="s">
        <v>42</v>
      </c>
      <c r="F4043" t="s">
        <v>127</v>
      </c>
      <c r="G4043" t="s">
        <v>128</v>
      </c>
      <c r="H4043" t="s">
        <v>103</v>
      </c>
      <c r="I4043" t="s">
        <v>64</v>
      </c>
      <c r="J4043" t="s">
        <v>111</v>
      </c>
      <c r="K4043" t="s">
        <v>32</v>
      </c>
      <c r="L4043" t="s">
        <v>46</v>
      </c>
      <c r="M4043" t="s">
        <v>87</v>
      </c>
      <c r="N4043" t="s">
        <v>69</v>
      </c>
      <c r="O4043" t="s">
        <v>70</v>
      </c>
      <c r="P4043" t="s">
        <v>58</v>
      </c>
      <c r="Q4043" t="s">
        <v>167</v>
      </c>
      <c r="R4043">
        <v>150</v>
      </c>
      <c r="S4043">
        <v>70</v>
      </c>
      <c r="T4043">
        <v>54</v>
      </c>
      <c r="U4043">
        <v>20</v>
      </c>
      <c r="V4043" t="s">
        <v>6357</v>
      </c>
      <c r="W4043">
        <v>67728</v>
      </c>
      <c r="X4043" t="s">
        <v>323</v>
      </c>
      <c r="Y4043">
        <v>50058</v>
      </c>
      <c r="Z4043">
        <v>1354560</v>
      </c>
      <c r="AA4043">
        <v>353400</v>
      </c>
      <c r="AB4043" t="str">
        <f>(VLOOKUP(SalesData[[#This Row],[Month Number]],Reference!C$5:E$16,2,FALSE))</f>
        <v>Feb</v>
      </c>
      <c r="AC4043">
        <f>MONTH(SalesData[[#This Row],[Date]])</f>
        <v>2</v>
      </c>
      <c r="AD4043">
        <f>Reference!F$4</f>
        <v>2026</v>
      </c>
      <c r="AE4043" t="str">
        <f>IF(OR(SalesData[[#This Row],[Day]]="Saturday",SalesData[[#This Row],[Day]]="Sunday"),"Weekend","Weekday")</f>
        <v>Weekend</v>
      </c>
      <c r="AF4043" s="5">
        <f>IF(SalesData[[#This Row],[Contracts Offered]]=0,0,SalesData[[#This Row],[Contracts Signed]]/SalesData[[#This Row],[Contracts Offered]])</f>
        <v>0.37037037037037035</v>
      </c>
      <c r="AG4043" s="5">
        <f>IF(SalesData[[#This Row],[Customers Visited]]=0,0,SalesData[[#This Row],[Test Drives]]/SalesData[[#This Row],[Customers Visited]])</f>
        <v>0.46666666666666667</v>
      </c>
      <c r="AH4043" s="5">
        <f>IF(SalesData[[#This Row],[Customers Visited]]=0,0,SalesData[[#This Row],[Contracts Signed]]/SalesData[[#This Row],[Customers Visited]])</f>
        <v>0.13333333333333333</v>
      </c>
      <c r="AI4043" s="6">
        <f>IF(SalesData[[#This Row],[Contracts Signed]]=0,0,SalesData[[#This Row],[Profit(€)]]/SalesData[[#This Row],[Contracts Signed]])</f>
        <v>17670</v>
      </c>
      <c r="AJ4043" s="5" t="str">
        <f>TRIM(CLEAN(SalesData[[#This Row],[Retailer]]))</f>
        <v>Rhein Auto Group</v>
      </c>
    </row>
    <row r="4044" spans="1:36" ht="14.25" hidden="1" x14ac:dyDescent="0.2">
      <c r="A4044" t="s">
        <v>5286</v>
      </c>
      <c r="B4044" s="1">
        <v>46070</v>
      </c>
      <c r="C4044" t="s">
        <v>62</v>
      </c>
      <c r="D4044" t="s">
        <v>63</v>
      </c>
      <c r="E4044" t="s">
        <v>26</v>
      </c>
      <c r="F4044" t="s">
        <v>7649</v>
      </c>
      <c r="G4044" t="s">
        <v>55</v>
      </c>
      <c r="H4044" t="s">
        <v>55</v>
      </c>
      <c r="I4044" t="s">
        <v>116</v>
      </c>
      <c r="J4044" t="s">
        <v>117</v>
      </c>
      <c r="K4044" t="s">
        <v>78</v>
      </c>
      <c r="L4044" t="s">
        <v>67</v>
      </c>
      <c r="M4044" t="s">
        <v>68</v>
      </c>
      <c r="N4044" t="s">
        <v>69</v>
      </c>
      <c r="O4044" t="s">
        <v>36</v>
      </c>
      <c r="P4044" t="s">
        <v>49</v>
      </c>
      <c r="Q4044" t="s">
        <v>88</v>
      </c>
      <c r="R4044">
        <v>287</v>
      </c>
      <c r="S4044">
        <v>132</v>
      </c>
      <c r="T4044">
        <v>75</v>
      </c>
      <c r="U4044">
        <v>19</v>
      </c>
      <c r="V4044" t="s">
        <v>411</v>
      </c>
      <c r="W4044">
        <v>21116</v>
      </c>
      <c r="X4044" t="s">
        <v>1683</v>
      </c>
      <c r="Y4044">
        <v>19384</v>
      </c>
      <c r="Z4044">
        <v>401204</v>
      </c>
      <c r="AA4044">
        <v>32908</v>
      </c>
      <c r="AB4044" t="str">
        <f>(VLOOKUP(SalesData[[#This Row],[Month Number]],Reference!C$5:E$16,2,FALSE))</f>
        <v>Feb</v>
      </c>
      <c r="AC4044">
        <f>MONTH(SalesData[[#This Row],[Date]])</f>
        <v>2</v>
      </c>
      <c r="AD4044">
        <f>Reference!F$4</f>
        <v>2026</v>
      </c>
      <c r="AE4044" t="str">
        <f>IF(OR(SalesData[[#This Row],[Day]]="Saturday",SalesData[[#This Row],[Day]]="Sunday"),"Weekend","Weekday")</f>
        <v>Weekday</v>
      </c>
      <c r="AF4044" s="5">
        <f>IF(SalesData[[#This Row],[Contracts Offered]]=0,0,SalesData[[#This Row],[Contracts Signed]]/SalesData[[#This Row],[Contracts Offered]])</f>
        <v>0.25333333333333335</v>
      </c>
      <c r="AG4044" s="5">
        <f>IF(SalesData[[#This Row],[Customers Visited]]=0,0,SalesData[[#This Row],[Test Drives]]/SalesData[[#This Row],[Customers Visited]])</f>
        <v>0.45993031358885017</v>
      </c>
      <c r="AH4044" s="5">
        <f>IF(SalesData[[#This Row],[Customers Visited]]=0,0,SalesData[[#This Row],[Contracts Signed]]/SalesData[[#This Row],[Customers Visited]])</f>
        <v>6.6202090592334492E-2</v>
      </c>
      <c r="AI4044" s="6">
        <f>IF(SalesData[[#This Row],[Contracts Signed]]=0,0,SalesData[[#This Row],[Profit(€)]]/SalesData[[#This Row],[Contracts Signed]])</f>
        <v>1732</v>
      </c>
      <c r="AJ4044" s="5" t="str">
        <f>TRIM(CLEAN(SalesData[[#This Row],[Retailer]]))</f>
        <v>Autohaus Berlin</v>
      </c>
    </row>
    <row r="4045" spans="1:36" ht="14.25" hidden="1" x14ac:dyDescent="0.2">
      <c r="A4045" t="s">
        <v>5287</v>
      </c>
      <c r="B4045" s="1">
        <v>46059</v>
      </c>
      <c r="C4045" t="s">
        <v>24</v>
      </c>
      <c r="D4045" t="s">
        <v>54</v>
      </c>
      <c r="E4045" t="s">
        <v>26</v>
      </c>
      <c r="F4045" t="s">
        <v>109</v>
      </c>
      <c r="G4045" t="s">
        <v>110</v>
      </c>
      <c r="H4045" t="s">
        <v>45</v>
      </c>
      <c r="I4045" t="s">
        <v>64</v>
      </c>
      <c r="J4045" t="s">
        <v>111</v>
      </c>
      <c r="K4045" t="s">
        <v>78</v>
      </c>
      <c r="L4045" t="s">
        <v>46</v>
      </c>
      <c r="M4045" t="s">
        <v>34</v>
      </c>
      <c r="N4045" t="s">
        <v>48</v>
      </c>
      <c r="O4045" t="s">
        <v>70</v>
      </c>
      <c r="P4045" t="s">
        <v>49</v>
      </c>
      <c r="Q4045" t="s">
        <v>240</v>
      </c>
      <c r="R4045">
        <v>217</v>
      </c>
      <c r="S4045">
        <v>128</v>
      </c>
      <c r="T4045">
        <v>93</v>
      </c>
      <c r="U4045">
        <v>29</v>
      </c>
      <c r="V4045" t="s">
        <v>6958</v>
      </c>
      <c r="W4045">
        <v>58007</v>
      </c>
      <c r="X4045" t="s">
        <v>2728</v>
      </c>
      <c r="Y4045">
        <v>41559</v>
      </c>
      <c r="Z4045">
        <v>1682203</v>
      </c>
      <c r="AA4045">
        <v>476992</v>
      </c>
      <c r="AB4045" t="str">
        <f>(VLOOKUP(SalesData[[#This Row],[Month Number]],Reference!C$5:E$16,2,FALSE))</f>
        <v>Feb</v>
      </c>
      <c r="AC4045">
        <f>MONTH(SalesData[[#This Row],[Date]])</f>
        <v>2</v>
      </c>
      <c r="AD4045">
        <f>Reference!F$4</f>
        <v>2026</v>
      </c>
      <c r="AE4045" t="str">
        <f>IF(OR(SalesData[[#This Row],[Day]]="Saturday",SalesData[[#This Row],[Day]]="Sunday"),"Weekend","Weekday")</f>
        <v>Weekday</v>
      </c>
      <c r="AF4045" s="5">
        <f>IF(SalesData[[#This Row],[Contracts Offered]]=0,0,SalesData[[#This Row],[Contracts Signed]]/SalesData[[#This Row],[Contracts Offered]])</f>
        <v>0.31182795698924731</v>
      </c>
      <c r="AG4045" s="5">
        <f>IF(SalesData[[#This Row],[Customers Visited]]=0,0,SalesData[[#This Row],[Test Drives]]/SalesData[[#This Row],[Customers Visited]])</f>
        <v>0.58986175115207373</v>
      </c>
      <c r="AH4045" s="5">
        <f>IF(SalesData[[#This Row],[Customers Visited]]=0,0,SalesData[[#This Row],[Contracts Signed]]/SalesData[[#This Row],[Customers Visited]])</f>
        <v>0.13364055299539171</v>
      </c>
      <c r="AI4045" s="6">
        <f>IF(SalesData[[#This Row],[Contracts Signed]]=0,0,SalesData[[#This Row],[Profit(€)]]/SalesData[[#This Row],[Contracts Signed]])</f>
        <v>16448</v>
      </c>
      <c r="AJ4045" s="5" t="str">
        <f>TRIM(CLEAN(SalesData[[#This Row],[Retailer]]))</f>
        <v>Leipzig Mobility</v>
      </c>
    </row>
    <row r="4046" spans="1:36" ht="14.25" hidden="1" x14ac:dyDescent="0.2">
      <c r="A4046" t="s">
        <v>5288</v>
      </c>
      <c r="B4046" s="1">
        <v>46070</v>
      </c>
      <c r="C4046" t="s">
        <v>62</v>
      </c>
      <c r="D4046" t="s">
        <v>63</v>
      </c>
      <c r="E4046" t="s">
        <v>26</v>
      </c>
      <c r="F4046" t="s">
        <v>127</v>
      </c>
      <c r="G4046" t="s">
        <v>128</v>
      </c>
      <c r="H4046" t="s">
        <v>103</v>
      </c>
      <c r="I4046" t="s">
        <v>116</v>
      </c>
      <c r="J4046" t="s">
        <v>7026</v>
      </c>
      <c r="K4046" t="s">
        <v>32</v>
      </c>
      <c r="L4046" t="s">
        <v>46</v>
      </c>
      <c r="M4046" t="s">
        <v>68</v>
      </c>
      <c r="N4046" t="s">
        <v>69</v>
      </c>
      <c r="O4046" t="s">
        <v>36</v>
      </c>
      <c r="P4046" t="s">
        <v>71</v>
      </c>
      <c r="Q4046" t="s">
        <v>122</v>
      </c>
      <c r="R4046">
        <v>306</v>
      </c>
      <c r="S4046">
        <v>137</v>
      </c>
      <c r="T4046">
        <v>84</v>
      </c>
      <c r="U4046">
        <v>26</v>
      </c>
      <c r="V4046" t="s">
        <v>3442</v>
      </c>
      <c r="W4046">
        <v>23638</v>
      </c>
      <c r="X4046" t="s">
        <v>2440</v>
      </c>
      <c r="Y4046">
        <v>21632</v>
      </c>
      <c r="Z4046">
        <v>614588</v>
      </c>
      <c r="AA4046">
        <v>52156</v>
      </c>
      <c r="AB4046" t="str">
        <f>(VLOOKUP(SalesData[[#This Row],[Month Number]],Reference!C$5:E$16,2,FALSE))</f>
        <v>Feb</v>
      </c>
      <c r="AC4046">
        <f>MONTH(SalesData[[#This Row],[Date]])</f>
        <v>2</v>
      </c>
      <c r="AD4046">
        <f>Reference!F$4</f>
        <v>2026</v>
      </c>
      <c r="AE4046" t="str">
        <f>IF(OR(SalesData[[#This Row],[Day]]="Saturday",SalesData[[#This Row],[Day]]="Sunday"),"Weekend","Weekday")</f>
        <v>Weekday</v>
      </c>
      <c r="AF4046" s="5">
        <f>IF(SalesData[[#This Row],[Contracts Offered]]=0,0,SalesData[[#This Row],[Contracts Signed]]/SalesData[[#This Row],[Contracts Offered]])</f>
        <v>0.30952380952380953</v>
      </c>
      <c r="AG4046" s="5">
        <f>IF(SalesData[[#This Row],[Customers Visited]]=0,0,SalesData[[#This Row],[Test Drives]]/SalesData[[#This Row],[Customers Visited]])</f>
        <v>0.44771241830065361</v>
      </c>
      <c r="AH4046" s="5">
        <f>IF(SalesData[[#This Row],[Customers Visited]]=0,0,SalesData[[#This Row],[Contracts Signed]]/SalesData[[#This Row],[Customers Visited]])</f>
        <v>8.4967320261437912E-2</v>
      </c>
      <c r="AI4046" s="6">
        <f>IF(SalesData[[#This Row],[Contracts Signed]]=0,0,SalesData[[#This Row],[Profit(€)]]/SalesData[[#This Row],[Contracts Signed]])</f>
        <v>2006</v>
      </c>
      <c r="AJ4046" s="5" t="str">
        <f>TRIM(CLEAN(SalesData[[#This Row],[Retailer]]))</f>
        <v>Rhein Auto Group</v>
      </c>
    </row>
    <row r="4047" spans="1:36" ht="14.25" hidden="1" x14ac:dyDescent="0.2">
      <c r="A4047" t="s">
        <v>5290</v>
      </c>
      <c r="B4047" s="1">
        <v>46057</v>
      </c>
      <c r="C4047" t="s">
        <v>24</v>
      </c>
      <c r="D4047" t="s">
        <v>82</v>
      </c>
      <c r="E4047" t="s">
        <v>26</v>
      </c>
      <c r="F4047" t="s">
        <v>127</v>
      </c>
      <c r="G4047" t="s">
        <v>128</v>
      </c>
      <c r="H4047" t="s">
        <v>103</v>
      </c>
      <c r="I4047" t="s">
        <v>56</v>
      </c>
      <c r="J4047" t="s">
        <v>137</v>
      </c>
      <c r="K4047" t="s">
        <v>66</v>
      </c>
      <c r="L4047" t="s">
        <v>46</v>
      </c>
      <c r="M4047" t="s">
        <v>34</v>
      </c>
      <c r="N4047" t="s">
        <v>48</v>
      </c>
      <c r="O4047" t="s">
        <v>70</v>
      </c>
      <c r="P4047" t="s">
        <v>71</v>
      </c>
      <c r="Q4047" t="s">
        <v>50</v>
      </c>
      <c r="R4047">
        <v>295</v>
      </c>
      <c r="S4047">
        <v>154</v>
      </c>
      <c r="T4047">
        <v>112</v>
      </c>
      <c r="U4047">
        <v>37</v>
      </c>
      <c r="V4047" t="s">
        <v>6454</v>
      </c>
      <c r="W4047">
        <v>53130</v>
      </c>
      <c r="X4047" t="s">
        <v>7176</v>
      </c>
      <c r="Y4047">
        <v>41872</v>
      </c>
      <c r="Z4047">
        <v>1965810</v>
      </c>
      <c r="AA4047">
        <v>416546</v>
      </c>
      <c r="AB4047" t="str">
        <f>(VLOOKUP(SalesData[[#This Row],[Month Number]],Reference!C$5:E$16,2,FALSE))</f>
        <v>Feb</v>
      </c>
      <c r="AC4047">
        <f>MONTH(SalesData[[#This Row],[Date]])</f>
        <v>2</v>
      </c>
      <c r="AD4047">
        <f>Reference!F$4</f>
        <v>2026</v>
      </c>
      <c r="AE4047" t="str">
        <f>IF(OR(SalesData[[#This Row],[Day]]="Saturday",SalesData[[#This Row],[Day]]="Sunday"),"Weekend","Weekday")</f>
        <v>Weekday</v>
      </c>
      <c r="AF4047" s="5">
        <f>IF(SalesData[[#This Row],[Contracts Offered]]=0,0,SalesData[[#This Row],[Contracts Signed]]/SalesData[[#This Row],[Contracts Offered]])</f>
        <v>0.33035714285714285</v>
      </c>
      <c r="AG4047" s="5">
        <f>IF(SalesData[[#This Row],[Customers Visited]]=0,0,SalesData[[#This Row],[Test Drives]]/SalesData[[#This Row],[Customers Visited]])</f>
        <v>0.52203389830508473</v>
      </c>
      <c r="AH4047" s="5">
        <f>IF(SalesData[[#This Row],[Customers Visited]]=0,0,SalesData[[#This Row],[Contracts Signed]]/SalesData[[#This Row],[Customers Visited]])</f>
        <v>0.12542372881355932</v>
      </c>
      <c r="AI4047" s="6">
        <f>IF(SalesData[[#This Row],[Contracts Signed]]=0,0,SalesData[[#This Row],[Profit(€)]]/SalesData[[#This Row],[Contracts Signed]])</f>
        <v>11258</v>
      </c>
      <c r="AJ4047" s="5" t="str">
        <f>TRIM(CLEAN(SalesData[[#This Row],[Retailer]]))</f>
        <v>Rhein Auto Group</v>
      </c>
    </row>
    <row r="4048" spans="1:36" ht="14.25" x14ac:dyDescent="0.2">
      <c r="A4048" t="s">
        <v>5291</v>
      </c>
      <c r="B4048" s="1">
        <v>46081</v>
      </c>
      <c r="C4048" t="s">
        <v>53</v>
      </c>
      <c r="D4048" t="s">
        <v>151</v>
      </c>
      <c r="E4048" t="s">
        <v>42</v>
      </c>
      <c r="F4048" t="s">
        <v>114</v>
      </c>
      <c r="G4048" t="s">
        <v>115</v>
      </c>
      <c r="H4048" t="s">
        <v>115</v>
      </c>
      <c r="I4048" t="s">
        <v>30</v>
      </c>
      <c r="J4048" t="s">
        <v>31</v>
      </c>
      <c r="K4048" t="s">
        <v>91</v>
      </c>
      <c r="L4048" t="s">
        <v>46</v>
      </c>
      <c r="M4048" t="s">
        <v>68</v>
      </c>
      <c r="N4048" t="s">
        <v>48</v>
      </c>
      <c r="O4048" t="s">
        <v>36</v>
      </c>
      <c r="P4048" t="s">
        <v>71</v>
      </c>
      <c r="Q4048" t="s">
        <v>240</v>
      </c>
      <c r="R4048">
        <v>256</v>
      </c>
      <c r="S4048">
        <v>133</v>
      </c>
      <c r="T4048">
        <v>96</v>
      </c>
      <c r="U4048">
        <v>39</v>
      </c>
      <c r="V4048" t="s">
        <v>6573</v>
      </c>
      <c r="W4048">
        <v>51014</v>
      </c>
      <c r="X4048" t="s">
        <v>638</v>
      </c>
      <c r="Y4048">
        <v>36456</v>
      </c>
      <c r="Z4048">
        <v>1989546</v>
      </c>
      <c r="AA4048">
        <v>567762</v>
      </c>
      <c r="AB4048" t="str">
        <f>(VLOOKUP(SalesData[[#This Row],[Month Number]],Reference!C$5:E$16,2,FALSE))</f>
        <v>Feb</v>
      </c>
      <c r="AC4048">
        <f>MONTH(SalesData[[#This Row],[Date]])</f>
        <v>2</v>
      </c>
      <c r="AD4048">
        <f>Reference!F$4</f>
        <v>2026</v>
      </c>
      <c r="AE4048" t="str">
        <f>IF(OR(SalesData[[#This Row],[Day]]="Saturday",SalesData[[#This Row],[Day]]="Sunday"),"Weekend","Weekday")</f>
        <v>Weekend</v>
      </c>
      <c r="AF4048" s="5">
        <f>IF(SalesData[[#This Row],[Contracts Offered]]=0,0,SalesData[[#This Row],[Contracts Signed]]/SalesData[[#This Row],[Contracts Offered]])</f>
        <v>0.40625</v>
      </c>
      <c r="AG4048" s="5">
        <f>IF(SalesData[[#This Row],[Customers Visited]]=0,0,SalesData[[#This Row],[Test Drives]]/SalesData[[#This Row],[Customers Visited]])</f>
        <v>0.51953125</v>
      </c>
      <c r="AH4048" s="5">
        <f>IF(SalesData[[#This Row],[Customers Visited]]=0,0,SalesData[[#This Row],[Contracts Signed]]/SalesData[[#This Row],[Customers Visited]])</f>
        <v>0.15234375</v>
      </c>
      <c r="AI4048" s="6">
        <f>IF(SalesData[[#This Row],[Contracts Signed]]=0,0,SalesData[[#This Row],[Profit(€)]]/SalesData[[#This Row],[Contracts Signed]])</f>
        <v>14558</v>
      </c>
      <c r="AJ4048" s="5" t="str">
        <f>TRIM(CLEAN(SalesData[[#This Row],[Retailer]]))</f>
        <v>Elbe Drive</v>
      </c>
    </row>
    <row r="4049" spans="1:36" ht="14.25" x14ac:dyDescent="0.2">
      <c r="A4049" t="s">
        <v>5292</v>
      </c>
      <c r="B4049" s="1">
        <v>46070</v>
      </c>
      <c r="C4049" t="s">
        <v>62</v>
      </c>
      <c r="D4049" t="s">
        <v>63</v>
      </c>
      <c r="E4049" t="s">
        <v>26</v>
      </c>
      <c r="F4049" t="s">
        <v>94</v>
      </c>
      <c r="G4049" t="s">
        <v>95</v>
      </c>
      <c r="H4049" t="s">
        <v>96</v>
      </c>
      <c r="I4049" t="s">
        <v>30</v>
      </c>
      <c r="J4049" t="s">
        <v>7075</v>
      </c>
      <c r="K4049" t="s">
        <v>66</v>
      </c>
      <c r="L4049" t="s">
        <v>33</v>
      </c>
      <c r="M4049" t="s">
        <v>34</v>
      </c>
      <c r="N4049" t="s">
        <v>35</v>
      </c>
      <c r="O4049" t="s">
        <v>70</v>
      </c>
      <c r="P4049" t="s">
        <v>37</v>
      </c>
      <c r="Q4049" t="s">
        <v>135</v>
      </c>
      <c r="R4049">
        <v>212</v>
      </c>
      <c r="S4049">
        <v>125</v>
      </c>
      <c r="T4049">
        <v>89</v>
      </c>
      <c r="U4049">
        <v>38</v>
      </c>
      <c r="V4049" t="s">
        <v>7598</v>
      </c>
      <c r="W4049">
        <v>53966</v>
      </c>
      <c r="X4049" t="s">
        <v>7324</v>
      </c>
      <c r="Y4049">
        <v>40976</v>
      </c>
      <c r="Z4049">
        <v>2050708</v>
      </c>
      <c r="AA4049">
        <v>493620</v>
      </c>
      <c r="AB4049" t="str">
        <f>(VLOOKUP(SalesData[[#This Row],[Month Number]],Reference!C$5:E$16,2,FALSE))</f>
        <v>Feb</v>
      </c>
      <c r="AC4049">
        <f>MONTH(SalesData[[#This Row],[Date]])</f>
        <v>2</v>
      </c>
      <c r="AD4049">
        <f>Reference!F$4</f>
        <v>2026</v>
      </c>
      <c r="AE4049" t="str">
        <f>IF(OR(SalesData[[#This Row],[Day]]="Saturday",SalesData[[#This Row],[Day]]="Sunday"),"Weekend","Weekday")</f>
        <v>Weekday</v>
      </c>
      <c r="AF4049" s="5">
        <f>IF(SalesData[[#This Row],[Contracts Offered]]=0,0,SalesData[[#This Row],[Contracts Signed]]/SalesData[[#This Row],[Contracts Offered]])</f>
        <v>0.42696629213483145</v>
      </c>
      <c r="AG4049" s="5">
        <f>IF(SalesData[[#This Row],[Customers Visited]]=0,0,SalesData[[#This Row],[Test Drives]]/SalesData[[#This Row],[Customers Visited]])</f>
        <v>0.589622641509434</v>
      </c>
      <c r="AH4049" s="5">
        <f>IF(SalesData[[#This Row],[Customers Visited]]=0,0,SalesData[[#This Row],[Contracts Signed]]/SalesData[[#This Row],[Customers Visited]])</f>
        <v>0.17924528301886791</v>
      </c>
      <c r="AI4049" s="6">
        <f>IF(SalesData[[#This Row],[Contracts Signed]]=0,0,SalesData[[#This Row],[Profit(€)]]/SalesData[[#This Row],[Contracts Signed]])</f>
        <v>12990</v>
      </c>
      <c r="AJ4049" s="5" t="str">
        <f>TRIM(CLEAN(SalesData[[#This Row],[Retailer]]))</f>
        <v>Bavaria Motors</v>
      </c>
    </row>
    <row r="4050" spans="1:36" ht="14.25" hidden="1" x14ac:dyDescent="0.2">
      <c r="A4050" t="s">
        <v>5293</v>
      </c>
      <c r="B4050" s="1">
        <v>46078</v>
      </c>
      <c r="C4050" t="s">
        <v>53</v>
      </c>
      <c r="D4050" t="s">
        <v>82</v>
      </c>
      <c r="E4050" t="s">
        <v>26</v>
      </c>
      <c r="F4050" t="s">
        <v>27</v>
      </c>
      <c r="G4050" t="s">
        <v>28</v>
      </c>
      <c r="H4050" t="s">
        <v>29</v>
      </c>
      <c r="I4050" t="s">
        <v>56</v>
      </c>
      <c r="J4050" t="s">
        <v>57</v>
      </c>
      <c r="K4050" t="s">
        <v>91</v>
      </c>
      <c r="L4050" t="s">
        <v>46</v>
      </c>
      <c r="M4050" t="s">
        <v>34</v>
      </c>
      <c r="N4050" t="s">
        <v>35</v>
      </c>
      <c r="O4050" t="s">
        <v>36</v>
      </c>
      <c r="P4050" t="s">
        <v>49</v>
      </c>
      <c r="Q4050" t="s">
        <v>88</v>
      </c>
      <c r="R4050">
        <v>173</v>
      </c>
      <c r="S4050">
        <v>87</v>
      </c>
      <c r="T4050">
        <v>60</v>
      </c>
      <c r="U4050">
        <v>19</v>
      </c>
      <c r="V4050" t="s">
        <v>6409</v>
      </c>
      <c r="W4050">
        <v>53951</v>
      </c>
      <c r="X4050" t="s">
        <v>1440</v>
      </c>
      <c r="Y4050">
        <v>42542</v>
      </c>
      <c r="Z4050">
        <v>1025069</v>
      </c>
      <c r="AA4050">
        <v>216771</v>
      </c>
      <c r="AB4050" t="str">
        <f>(VLOOKUP(SalesData[[#This Row],[Month Number]],Reference!C$5:E$16,2,FALSE))</f>
        <v>Feb</v>
      </c>
      <c r="AC4050">
        <f>MONTH(SalesData[[#This Row],[Date]])</f>
        <v>2</v>
      </c>
      <c r="AD4050">
        <f>Reference!F$4</f>
        <v>2026</v>
      </c>
      <c r="AE4050" t="str">
        <f>IF(OR(SalesData[[#This Row],[Day]]="Saturday",SalesData[[#This Row],[Day]]="Sunday"),"Weekend","Weekday")</f>
        <v>Weekday</v>
      </c>
      <c r="AF4050" s="5">
        <f>IF(SalesData[[#This Row],[Contracts Offered]]=0,0,SalesData[[#This Row],[Contracts Signed]]/SalesData[[#This Row],[Contracts Offered]])</f>
        <v>0.31666666666666665</v>
      </c>
      <c r="AG4050" s="5">
        <f>IF(SalesData[[#This Row],[Customers Visited]]=0,0,SalesData[[#This Row],[Test Drives]]/SalesData[[#This Row],[Customers Visited]])</f>
        <v>0.50289017341040465</v>
      </c>
      <c r="AH4050" s="5">
        <f>IF(SalesData[[#This Row],[Customers Visited]]=0,0,SalesData[[#This Row],[Contracts Signed]]/SalesData[[#This Row],[Customers Visited]])</f>
        <v>0.10982658959537572</v>
      </c>
      <c r="AI4050" s="6">
        <f>IF(SalesData[[#This Row],[Contracts Signed]]=0,0,SalesData[[#This Row],[Profit(€)]]/SalesData[[#This Row],[Contracts Signed]])</f>
        <v>11409</v>
      </c>
      <c r="AJ4050" s="5" t="str">
        <f>TRIM(CLEAN(SalesData[[#This Row],[Retailer]]))</f>
        <v>Main Auto Hub</v>
      </c>
    </row>
    <row r="4051" spans="1:36" ht="14.25" hidden="1" x14ac:dyDescent="0.2">
      <c r="A4051" t="s">
        <v>5294</v>
      </c>
      <c r="B4051" s="1">
        <v>46064</v>
      </c>
      <c r="C4051" t="s">
        <v>121</v>
      </c>
      <c r="D4051" t="s">
        <v>82</v>
      </c>
      <c r="E4051" t="s">
        <v>26</v>
      </c>
      <c r="F4051" t="s">
        <v>83</v>
      </c>
      <c r="G4051" t="s">
        <v>84</v>
      </c>
      <c r="H4051" t="s">
        <v>85</v>
      </c>
      <c r="I4051" t="s">
        <v>64</v>
      </c>
      <c r="J4051" t="s">
        <v>65</v>
      </c>
      <c r="K4051" t="s">
        <v>32</v>
      </c>
      <c r="L4051" t="s">
        <v>33</v>
      </c>
      <c r="M4051" t="s">
        <v>47</v>
      </c>
      <c r="N4051" t="s">
        <v>69</v>
      </c>
      <c r="O4051" t="s">
        <v>70</v>
      </c>
      <c r="P4051" t="s">
        <v>49</v>
      </c>
      <c r="Q4051" t="s">
        <v>167</v>
      </c>
      <c r="R4051">
        <v>148</v>
      </c>
      <c r="S4051">
        <v>76</v>
      </c>
      <c r="T4051">
        <v>50</v>
      </c>
      <c r="U4051">
        <v>15</v>
      </c>
      <c r="V4051" t="s">
        <v>3828</v>
      </c>
      <c r="W4051">
        <v>60551</v>
      </c>
      <c r="X4051" t="s">
        <v>7437</v>
      </c>
      <c r="Y4051">
        <v>43232</v>
      </c>
      <c r="Z4051">
        <v>908265</v>
      </c>
      <c r="AA4051">
        <v>259785</v>
      </c>
      <c r="AB4051" t="str">
        <f>(VLOOKUP(SalesData[[#This Row],[Month Number]],Reference!C$5:E$16,2,FALSE))</f>
        <v>Feb</v>
      </c>
      <c r="AC4051">
        <f>MONTH(SalesData[[#This Row],[Date]])</f>
        <v>2</v>
      </c>
      <c r="AD4051">
        <f>Reference!F$4</f>
        <v>2026</v>
      </c>
      <c r="AE4051" t="str">
        <f>IF(OR(SalesData[[#This Row],[Day]]="Saturday",SalesData[[#This Row],[Day]]="Sunday"),"Weekend","Weekday")</f>
        <v>Weekday</v>
      </c>
      <c r="AF4051" s="5">
        <f>IF(SalesData[[#This Row],[Contracts Offered]]=0,0,SalesData[[#This Row],[Contracts Signed]]/SalesData[[#This Row],[Contracts Offered]])</f>
        <v>0.3</v>
      </c>
      <c r="AG4051" s="5">
        <f>IF(SalesData[[#This Row],[Customers Visited]]=0,0,SalesData[[#This Row],[Test Drives]]/SalesData[[#This Row],[Customers Visited]])</f>
        <v>0.51351351351351349</v>
      </c>
      <c r="AH4051" s="5">
        <f>IF(SalesData[[#This Row],[Customers Visited]]=0,0,SalesData[[#This Row],[Contracts Signed]]/SalesData[[#This Row],[Customers Visited]])</f>
        <v>0.10135135135135136</v>
      </c>
      <c r="AI4051" s="6">
        <f>IF(SalesData[[#This Row],[Contracts Signed]]=0,0,SalesData[[#This Row],[Profit(€)]]/SalesData[[#This Row],[Contracts Signed]])</f>
        <v>17319</v>
      </c>
      <c r="AJ4051" s="5" t="str">
        <f>TRIM(CLEAN(SalesData[[#This Row],[Retailer]]))</f>
        <v>Hannover Cars</v>
      </c>
    </row>
    <row r="4052" spans="1:36" ht="14.25" hidden="1" x14ac:dyDescent="0.2">
      <c r="A4052" t="s">
        <v>5295</v>
      </c>
      <c r="B4052" s="1">
        <v>46078</v>
      </c>
      <c r="C4052" t="s">
        <v>53</v>
      </c>
      <c r="D4052" t="s">
        <v>82</v>
      </c>
      <c r="E4052" t="s">
        <v>26</v>
      </c>
      <c r="F4052" t="s">
        <v>74</v>
      </c>
      <c r="G4052" t="s">
        <v>75</v>
      </c>
      <c r="H4052" t="s">
        <v>76</v>
      </c>
      <c r="I4052" t="s">
        <v>56</v>
      </c>
      <c r="J4052" t="s">
        <v>179</v>
      </c>
      <c r="K4052" t="s">
        <v>91</v>
      </c>
      <c r="L4052" t="s">
        <v>67</v>
      </c>
      <c r="M4052" t="s">
        <v>87</v>
      </c>
      <c r="N4052" t="s">
        <v>69</v>
      </c>
      <c r="O4052" t="s">
        <v>70</v>
      </c>
      <c r="P4052" t="s">
        <v>58</v>
      </c>
      <c r="Q4052" t="s">
        <v>240</v>
      </c>
      <c r="R4052">
        <v>278</v>
      </c>
      <c r="S4052">
        <v>139</v>
      </c>
      <c r="T4052">
        <v>106</v>
      </c>
      <c r="U4052">
        <v>35</v>
      </c>
      <c r="V4052" t="s">
        <v>6722</v>
      </c>
      <c r="W4052">
        <v>44354</v>
      </c>
      <c r="X4052" t="s">
        <v>7582</v>
      </c>
      <c r="Y4052">
        <v>34886</v>
      </c>
      <c r="Z4052">
        <v>1552390</v>
      </c>
      <c r="AA4052">
        <v>331380</v>
      </c>
      <c r="AB4052" t="str">
        <f>(VLOOKUP(SalesData[[#This Row],[Month Number]],Reference!C$5:E$16,2,FALSE))</f>
        <v>Feb</v>
      </c>
      <c r="AC4052">
        <f>MONTH(SalesData[[#This Row],[Date]])</f>
        <v>2</v>
      </c>
      <c r="AD4052">
        <f>Reference!F$4</f>
        <v>2026</v>
      </c>
      <c r="AE4052" t="str">
        <f>IF(OR(SalesData[[#This Row],[Day]]="Saturday",SalesData[[#This Row],[Day]]="Sunday"),"Weekend","Weekday")</f>
        <v>Weekday</v>
      </c>
      <c r="AF4052" s="5">
        <f>IF(SalesData[[#This Row],[Contracts Offered]]=0,0,SalesData[[#This Row],[Contracts Signed]]/SalesData[[#This Row],[Contracts Offered]])</f>
        <v>0.330188679245283</v>
      </c>
      <c r="AG4052" s="5">
        <f>IF(SalesData[[#This Row],[Customers Visited]]=0,0,SalesData[[#This Row],[Test Drives]]/SalesData[[#This Row],[Customers Visited]])</f>
        <v>0.5</v>
      </c>
      <c r="AH4052" s="5">
        <f>IF(SalesData[[#This Row],[Customers Visited]]=0,0,SalesData[[#This Row],[Contracts Signed]]/SalesData[[#This Row],[Customers Visited]])</f>
        <v>0.12589928057553956</v>
      </c>
      <c r="AI4052" s="6">
        <f>IF(SalesData[[#This Row],[Contracts Signed]]=0,0,SalesData[[#This Row],[Profit(€)]]/SalesData[[#This Row],[Contracts Signed]])</f>
        <v>9468</v>
      </c>
      <c r="AJ4052" s="5" t="str">
        <f>TRIM(CLEAN(SalesData[[#This Row],[Retailer]]))</f>
        <v>Stuttgart Auto Center</v>
      </c>
    </row>
    <row r="4053" spans="1:36" ht="14.25" hidden="1" x14ac:dyDescent="0.2">
      <c r="A4053" t="s">
        <v>5296</v>
      </c>
      <c r="B4053" s="1">
        <v>46066</v>
      </c>
      <c r="C4053" t="s">
        <v>121</v>
      </c>
      <c r="D4053" t="s">
        <v>54</v>
      </c>
      <c r="E4053" t="s">
        <v>26</v>
      </c>
      <c r="F4053" t="s">
        <v>74</v>
      </c>
      <c r="G4053" t="s">
        <v>75</v>
      </c>
      <c r="H4053" t="s">
        <v>76</v>
      </c>
      <c r="I4053" t="s">
        <v>64</v>
      </c>
      <c r="J4053" t="s">
        <v>111</v>
      </c>
      <c r="K4053" t="s">
        <v>78</v>
      </c>
      <c r="L4053" t="s">
        <v>46</v>
      </c>
      <c r="M4053" t="s">
        <v>34</v>
      </c>
      <c r="N4053" t="s">
        <v>48</v>
      </c>
      <c r="O4053" t="s">
        <v>70</v>
      </c>
      <c r="P4053" t="s">
        <v>49</v>
      </c>
      <c r="Q4053" t="s">
        <v>118</v>
      </c>
      <c r="R4053">
        <v>264</v>
      </c>
      <c r="S4053">
        <v>132</v>
      </c>
      <c r="T4053">
        <v>97</v>
      </c>
      <c r="U4053">
        <v>29</v>
      </c>
      <c r="V4053" t="s">
        <v>6540</v>
      </c>
      <c r="W4053">
        <v>71652</v>
      </c>
      <c r="X4053" t="s">
        <v>7154</v>
      </c>
      <c r="Y4053">
        <v>55370</v>
      </c>
      <c r="Z4053">
        <v>2077908</v>
      </c>
      <c r="AA4053">
        <v>472178</v>
      </c>
      <c r="AB4053" t="str">
        <f>(VLOOKUP(SalesData[[#This Row],[Month Number]],Reference!C$5:E$16,2,FALSE))</f>
        <v>Feb</v>
      </c>
      <c r="AC4053">
        <f>MONTH(SalesData[[#This Row],[Date]])</f>
        <v>2</v>
      </c>
      <c r="AD4053">
        <f>Reference!F$4</f>
        <v>2026</v>
      </c>
      <c r="AE4053" t="str">
        <f>IF(OR(SalesData[[#This Row],[Day]]="Saturday",SalesData[[#This Row],[Day]]="Sunday"),"Weekend","Weekday")</f>
        <v>Weekday</v>
      </c>
      <c r="AF4053" s="5">
        <f>IF(SalesData[[#This Row],[Contracts Offered]]=0,0,SalesData[[#This Row],[Contracts Signed]]/SalesData[[#This Row],[Contracts Offered]])</f>
        <v>0.29896907216494845</v>
      </c>
      <c r="AG4053" s="5">
        <f>IF(SalesData[[#This Row],[Customers Visited]]=0,0,SalesData[[#This Row],[Test Drives]]/SalesData[[#This Row],[Customers Visited]])</f>
        <v>0.5</v>
      </c>
      <c r="AH4053" s="5">
        <f>IF(SalesData[[#This Row],[Customers Visited]]=0,0,SalesData[[#This Row],[Contracts Signed]]/SalesData[[#This Row],[Customers Visited]])</f>
        <v>0.10984848484848485</v>
      </c>
      <c r="AI4053" s="6">
        <f>IF(SalesData[[#This Row],[Contracts Signed]]=0,0,SalesData[[#This Row],[Profit(€)]]/SalesData[[#This Row],[Contracts Signed]])</f>
        <v>16282</v>
      </c>
      <c r="AJ4053" s="5" t="str">
        <f>TRIM(CLEAN(SalesData[[#This Row],[Retailer]]))</f>
        <v>Stuttgart Auto Center</v>
      </c>
    </row>
    <row r="4054" spans="1:36" ht="14.25" x14ac:dyDescent="0.2">
      <c r="A4054" t="s">
        <v>5297</v>
      </c>
      <c r="B4054" s="1">
        <v>46056</v>
      </c>
      <c r="C4054" t="s">
        <v>24</v>
      </c>
      <c r="D4054" t="s">
        <v>63</v>
      </c>
      <c r="E4054" t="s">
        <v>26</v>
      </c>
      <c r="F4054" t="s">
        <v>114</v>
      </c>
      <c r="G4054" t="s">
        <v>115</v>
      </c>
      <c r="H4054" t="s">
        <v>115</v>
      </c>
      <c r="I4054" t="s">
        <v>30</v>
      </c>
      <c r="J4054" t="s">
        <v>31</v>
      </c>
      <c r="K4054" t="s">
        <v>78</v>
      </c>
      <c r="L4054" t="s">
        <v>46</v>
      </c>
      <c r="M4054" t="s">
        <v>68</v>
      </c>
      <c r="N4054" t="s">
        <v>35</v>
      </c>
      <c r="O4054" t="s">
        <v>36</v>
      </c>
      <c r="P4054" t="s">
        <v>71</v>
      </c>
      <c r="Q4054" t="s">
        <v>347</v>
      </c>
      <c r="R4054">
        <v>177</v>
      </c>
      <c r="S4054">
        <v>95</v>
      </c>
      <c r="T4054">
        <v>65</v>
      </c>
      <c r="U4054">
        <v>29</v>
      </c>
      <c r="V4054" t="s">
        <v>7486</v>
      </c>
      <c r="W4054">
        <v>69287</v>
      </c>
      <c r="X4054" t="s">
        <v>7210</v>
      </c>
      <c r="Y4054">
        <v>51877</v>
      </c>
      <c r="Z4054">
        <v>2009323</v>
      </c>
      <c r="AA4054">
        <v>504890</v>
      </c>
      <c r="AB4054" t="str">
        <f>(VLOOKUP(SalesData[[#This Row],[Month Number]],Reference!C$5:E$16,2,FALSE))</f>
        <v>Feb</v>
      </c>
      <c r="AC4054">
        <f>MONTH(SalesData[[#This Row],[Date]])</f>
        <v>2</v>
      </c>
      <c r="AD4054">
        <f>Reference!F$4</f>
        <v>2026</v>
      </c>
      <c r="AE4054" t="str">
        <f>IF(OR(SalesData[[#This Row],[Day]]="Saturday",SalesData[[#This Row],[Day]]="Sunday"),"Weekend","Weekday")</f>
        <v>Weekday</v>
      </c>
      <c r="AF4054" s="5">
        <f>IF(SalesData[[#This Row],[Contracts Offered]]=0,0,SalesData[[#This Row],[Contracts Signed]]/SalesData[[#This Row],[Contracts Offered]])</f>
        <v>0.44615384615384618</v>
      </c>
      <c r="AG4054" s="5">
        <f>IF(SalesData[[#This Row],[Customers Visited]]=0,0,SalesData[[#This Row],[Test Drives]]/SalesData[[#This Row],[Customers Visited]])</f>
        <v>0.53672316384180796</v>
      </c>
      <c r="AH4054" s="5">
        <f>IF(SalesData[[#This Row],[Customers Visited]]=0,0,SalesData[[#This Row],[Contracts Signed]]/SalesData[[#This Row],[Customers Visited]])</f>
        <v>0.16384180790960451</v>
      </c>
      <c r="AI4054" s="6">
        <f>IF(SalesData[[#This Row],[Contracts Signed]]=0,0,SalesData[[#This Row],[Profit(€)]]/SalesData[[#This Row],[Contracts Signed]])</f>
        <v>17410</v>
      </c>
      <c r="AJ4054" s="5" t="str">
        <f>TRIM(CLEAN(SalesData[[#This Row],[Retailer]]))</f>
        <v>Elbe Drive</v>
      </c>
    </row>
    <row r="4055" spans="1:36" ht="14.25" x14ac:dyDescent="0.2">
      <c r="A4055" t="s">
        <v>5298</v>
      </c>
      <c r="B4055" s="1">
        <v>46060</v>
      </c>
      <c r="C4055" t="s">
        <v>24</v>
      </c>
      <c r="D4055" t="s">
        <v>151</v>
      </c>
      <c r="E4055" t="s">
        <v>42</v>
      </c>
      <c r="F4055" t="s">
        <v>83</v>
      </c>
      <c r="G4055" t="s">
        <v>84</v>
      </c>
      <c r="H4055" t="s">
        <v>85</v>
      </c>
      <c r="I4055" t="s">
        <v>30</v>
      </c>
      <c r="J4055" t="s">
        <v>86</v>
      </c>
      <c r="K4055" t="s">
        <v>32</v>
      </c>
      <c r="L4055" t="s">
        <v>33</v>
      </c>
      <c r="M4055" t="s">
        <v>68</v>
      </c>
      <c r="N4055" t="s">
        <v>69</v>
      </c>
      <c r="O4055" t="s">
        <v>36</v>
      </c>
      <c r="P4055" t="s">
        <v>71</v>
      </c>
      <c r="Q4055" t="s">
        <v>59</v>
      </c>
      <c r="R4055">
        <v>209</v>
      </c>
      <c r="S4055">
        <v>103</v>
      </c>
      <c r="T4055">
        <v>74</v>
      </c>
      <c r="U4055">
        <v>32</v>
      </c>
      <c r="V4055" t="s">
        <v>7579</v>
      </c>
      <c r="W4055">
        <v>58873</v>
      </c>
      <c r="X4055" t="s">
        <v>7170</v>
      </c>
      <c r="Y4055">
        <v>43214</v>
      </c>
      <c r="Z4055">
        <v>1883936</v>
      </c>
      <c r="AA4055">
        <v>501088</v>
      </c>
      <c r="AB4055" t="str">
        <f>(VLOOKUP(SalesData[[#This Row],[Month Number]],Reference!C$5:E$16,2,FALSE))</f>
        <v>Feb</v>
      </c>
      <c r="AC4055">
        <f>MONTH(SalesData[[#This Row],[Date]])</f>
        <v>2</v>
      </c>
      <c r="AD4055">
        <f>Reference!F$4</f>
        <v>2026</v>
      </c>
      <c r="AE4055" t="str">
        <f>IF(OR(SalesData[[#This Row],[Day]]="Saturday",SalesData[[#This Row],[Day]]="Sunday"),"Weekend","Weekday")</f>
        <v>Weekend</v>
      </c>
      <c r="AF4055" s="5">
        <f>IF(SalesData[[#This Row],[Contracts Offered]]=0,0,SalesData[[#This Row],[Contracts Signed]]/SalesData[[#This Row],[Contracts Offered]])</f>
        <v>0.43243243243243246</v>
      </c>
      <c r="AG4055" s="5">
        <f>IF(SalesData[[#This Row],[Customers Visited]]=0,0,SalesData[[#This Row],[Test Drives]]/SalesData[[#This Row],[Customers Visited]])</f>
        <v>0.49282296650717705</v>
      </c>
      <c r="AH4055" s="5">
        <f>IF(SalesData[[#This Row],[Customers Visited]]=0,0,SalesData[[#This Row],[Contracts Signed]]/SalesData[[#This Row],[Customers Visited]])</f>
        <v>0.15311004784688995</v>
      </c>
      <c r="AI4055" s="6">
        <f>IF(SalesData[[#This Row],[Contracts Signed]]=0,0,SalesData[[#This Row],[Profit(€)]]/SalesData[[#This Row],[Contracts Signed]])</f>
        <v>15659</v>
      </c>
      <c r="AJ4055" s="5" t="str">
        <f>TRIM(CLEAN(SalesData[[#This Row],[Retailer]]))</f>
        <v>Hannover Cars</v>
      </c>
    </row>
    <row r="4056" spans="1:36" ht="14.25" hidden="1" x14ac:dyDescent="0.2">
      <c r="A4056" t="s">
        <v>5299</v>
      </c>
      <c r="B4056" s="1">
        <v>46068</v>
      </c>
      <c r="C4056" t="s">
        <v>62</v>
      </c>
      <c r="D4056" t="s">
        <v>41</v>
      </c>
      <c r="E4056" t="s">
        <v>42</v>
      </c>
      <c r="F4056" t="s">
        <v>74</v>
      </c>
      <c r="G4056" t="s">
        <v>75</v>
      </c>
      <c r="H4056" t="s">
        <v>76</v>
      </c>
      <c r="I4056" t="s">
        <v>56</v>
      </c>
      <c r="J4056" t="s">
        <v>137</v>
      </c>
      <c r="K4056" t="s">
        <v>66</v>
      </c>
      <c r="L4056" t="s">
        <v>46</v>
      </c>
      <c r="M4056" t="s">
        <v>47</v>
      </c>
      <c r="N4056" t="s">
        <v>35</v>
      </c>
      <c r="O4056" t="s">
        <v>36</v>
      </c>
      <c r="P4056" t="s">
        <v>71</v>
      </c>
      <c r="Q4056" t="s">
        <v>59</v>
      </c>
      <c r="R4056">
        <v>275</v>
      </c>
      <c r="S4056">
        <v>138</v>
      </c>
      <c r="T4056">
        <v>103</v>
      </c>
      <c r="U4056">
        <v>32</v>
      </c>
      <c r="V4056" t="s">
        <v>6568</v>
      </c>
      <c r="W4056">
        <v>44278</v>
      </c>
      <c r="X4056" t="s">
        <v>2997</v>
      </c>
      <c r="Y4056">
        <v>35770</v>
      </c>
      <c r="Z4056">
        <v>1416896</v>
      </c>
      <c r="AA4056">
        <v>272256</v>
      </c>
      <c r="AB4056" t="str">
        <f>(VLOOKUP(SalesData[[#This Row],[Month Number]],Reference!C$5:E$16,2,FALSE))</f>
        <v>Feb</v>
      </c>
      <c r="AC4056">
        <f>MONTH(SalesData[[#This Row],[Date]])</f>
        <v>2</v>
      </c>
      <c r="AD4056">
        <f>Reference!F$4</f>
        <v>2026</v>
      </c>
      <c r="AE4056" t="str">
        <f>IF(OR(SalesData[[#This Row],[Day]]="Saturday",SalesData[[#This Row],[Day]]="Sunday"),"Weekend","Weekday")</f>
        <v>Weekend</v>
      </c>
      <c r="AF4056" s="5">
        <f>IF(SalesData[[#This Row],[Contracts Offered]]=0,0,SalesData[[#This Row],[Contracts Signed]]/SalesData[[#This Row],[Contracts Offered]])</f>
        <v>0.31067961165048541</v>
      </c>
      <c r="AG4056" s="5">
        <f>IF(SalesData[[#This Row],[Customers Visited]]=0,0,SalesData[[#This Row],[Test Drives]]/SalesData[[#This Row],[Customers Visited]])</f>
        <v>0.50181818181818183</v>
      </c>
      <c r="AH4056" s="5">
        <f>IF(SalesData[[#This Row],[Customers Visited]]=0,0,SalesData[[#This Row],[Contracts Signed]]/SalesData[[#This Row],[Customers Visited]])</f>
        <v>0.11636363636363636</v>
      </c>
      <c r="AI4056" s="6">
        <f>IF(SalesData[[#This Row],[Contracts Signed]]=0,0,SalesData[[#This Row],[Profit(€)]]/SalesData[[#This Row],[Contracts Signed]])</f>
        <v>8508</v>
      </c>
      <c r="AJ4056" s="5" t="str">
        <f>TRIM(CLEAN(SalesData[[#This Row],[Retailer]]))</f>
        <v>Stuttgart Auto Center</v>
      </c>
    </row>
    <row r="4057" spans="1:36" ht="14.25" hidden="1" x14ac:dyDescent="0.2">
      <c r="A4057" t="s">
        <v>5300</v>
      </c>
      <c r="B4057" s="1">
        <v>46062</v>
      </c>
      <c r="C4057" t="s">
        <v>121</v>
      </c>
      <c r="D4057" t="s">
        <v>25</v>
      </c>
      <c r="E4057" t="s">
        <v>26</v>
      </c>
      <c r="F4057" t="s">
        <v>27</v>
      </c>
      <c r="G4057" t="s">
        <v>28</v>
      </c>
      <c r="H4057" t="s">
        <v>29</v>
      </c>
      <c r="I4057" t="s">
        <v>104</v>
      </c>
      <c r="J4057" t="s">
        <v>105</v>
      </c>
      <c r="K4057" t="s">
        <v>66</v>
      </c>
      <c r="L4057" t="s">
        <v>33</v>
      </c>
      <c r="M4057" t="s">
        <v>87</v>
      </c>
      <c r="N4057" t="s">
        <v>69</v>
      </c>
      <c r="O4057" t="s">
        <v>36</v>
      </c>
      <c r="P4057" t="s">
        <v>58</v>
      </c>
      <c r="Q4057" t="s">
        <v>169</v>
      </c>
      <c r="R4057">
        <v>267</v>
      </c>
      <c r="S4057">
        <v>148</v>
      </c>
      <c r="T4057">
        <v>103</v>
      </c>
      <c r="U4057">
        <v>27</v>
      </c>
      <c r="V4057" t="s">
        <v>799</v>
      </c>
      <c r="W4057">
        <v>29636</v>
      </c>
      <c r="X4057" t="s">
        <v>2286</v>
      </c>
      <c r="Y4057">
        <v>25962</v>
      </c>
      <c r="Z4057">
        <v>800172</v>
      </c>
      <c r="AA4057">
        <v>99198</v>
      </c>
      <c r="AB4057" t="str">
        <f>(VLOOKUP(SalesData[[#This Row],[Month Number]],Reference!C$5:E$16,2,FALSE))</f>
        <v>Feb</v>
      </c>
      <c r="AC4057">
        <f>MONTH(SalesData[[#This Row],[Date]])</f>
        <v>2</v>
      </c>
      <c r="AD4057">
        <f>Reference!F$4</f>
        <v>2026</v>
      </c>
      <c r="AE4057" t="str">
        <f>IF(OR(SalesData[[#This Row],[Day]]="Saturday",SalesData[[#This Row],[Day]]="Sunday"),"Weekend","Weekday")</f>
        <v>Weekday</v>
      </c>
      <c r="AF4057" s="5">
        <f>IF(SalesData[[#This Row],[Contracts Offered]]=0,0,SalesData[[#This Row],[Contracts Signed]]/SalesData[[#This Row],[Contracts Offered]])</f>
        <v>0.26213592233009708</v>
      </c>
      <c r="AG4057" s="5">
        <f>IF(SalesData[[#This Row],[Customers Visited]]=0,0,SalesData[[#This Row],[Test Drives]]/SalesData[[#This Row],[Customers Visited]])</f>
        <v>0.55430711610486894</v>
      </c>
      <c r="AH4057" s="5">
        <f>IF(SalesData[[#This Row],[Customers Visited]]=0,0,SalesData[[#This Row],[Contracts Signed]]/SalesData[[#This Row],[Customers Visited]])</f>
        <v>0.10112359550561797</v>
      </c>
      <c r="AI4057" s="6">
        <f>IF(SalesData[[#This Row],[Contracts Signed]]=0,0,SalesData[[#This Row],[Profit(€)]]/SalesData[[#This Row],[Contracts Signed]])</f>
        <v>3674</v>
      </c>
      <c r="AJ4057" s="5" t="str">
        <f>TRIM(CLEAN(SalesData[[#This Row],[Retailer]]))</f>
        <v>Main Auto Hub</v>
      </c>
    </row>
    <row r="4058" spans="1:36" ht="14.25" x14ac:dyDescent="0.2">
      <c r="A4058" t="s">
        <v>5301</v>
      </c>
      <c r="B4058" s="1">
        <v>46060</v>
      </c>
      <c r="C4058" t="s">
        <v>24</v>
      </c>
      <c r="D4058" t="s">
        <v>151</v>
      </c>
      <c r="E4058" t="s">
        <v>42</v>
      </c>
      <c r="F4058" t="s">
        <v>109</v>
      </c>
      <c r="G4058" t="s">
        <v>110</v>
      </c>
      <c r="H4058" t="s">
        <v>45</v>
      </c>
      <c r="I4058" t="s">
        <v>30</v>
      </c>
      <c r="J4058" t="s">
        <v>31</v>
      </c>
      <c r="K4058" t="s">
        <v>66</v>
      </c>
      <c r="L4058" t="s">
        <v>46</v>
      </c>
      <c r="M4058" t="s">
        <v>47</v>
      </c>
      <c r="N4058" t="s">
        <v>35</v>
      </c>
      <c r="O4058" t="s">
        <v>70</v>
      </c>
      <c r="P4058" t="s">
        <v>37</v>
      </c>
      <c r="Q4058" t="s">
        <v>122</v>
      </c>
      <c r="R4058">
        <v>163</v>
      </c>
      <c r="S4058">
        <v>88</v>
      </c>
      <c r="T4058">
        <v>67</v>
      </c>
      <c r="U4058">
        <v>22</v>
      </c>
      <c r="V4058" t="s">
        <v>6403</v>
      </c>
      <c r="W4058">
        <v>53877</v>
      </c>
      <c r="X4058" t="s">
        <v>7103</v>
      </c>
      <c r="Y4058">
        <v>37927</v>
      </c>
      <c r="Z4058">
        <v>1185294</v>
      </c>
      <c r="AA4058">
        <v>350900</v>
      </c>
      <c r="AB4058" t="str">
        <f>(VLOOKUP(SalesData[[#This Row],[Month Number]],Reference!C$5:E$16,2,FALSE))</f>
        <v>Feb</v>
      </c>
      <c r="AC4058">
        <f>MONTH(SalesData[[#This Row],[Date]])</f>
        <v>2</v>
      </c>
      <c r="AD4058">
        <f>Reference!F$4</f>
        <v>2026</v>
      </c>
      <c r="AE4058" t="str">
        <f>IF(OR(SalesData[[#This Row],[Day]]="Saturday",SalesData[[#This Row],[Day]]="Sunday"),"Weekend","Weekday")</f>
        <v>Weekend</v>
      </c>
      <c r="AF4058" s="5">
        <f>IF(SalesData[[#This Row],[Contracts Offered]]=0,0,SalesData[[#This Row],[Contracts Signed]]/SalesData[[#This Row],[Contracts Offered]])</f>
        <v>0.32835820895522388</v>
      </c>
      <c r="AG4058" s="5">
        <f>IF(SalesData[[#This Row],[Customers Visited]]=0,0,SalesData[[#This Row],[Test Drives]]/SalesData[[#This Row],[Customers Visited]])</f>
        <v>0.53987730061349692</v>
      </c>
      <c r="AH4058" s="5">
        <f>IF(SalesData[[#This Row],[Customers Visited]]=0,0,SalesData[[#This Row],[Contracts Signed]]/SalesData[[#This Row],[Customers Visited]])</f>
        <v>0.13496932515337423</v>
      </c>
      <c r="AI4058" s="6">
        <f>IF(SalesData[[#This Row],[Contracts Signed]]=0,0,SalesData[[#This Row],[Profit(€)]]/SalesData[[#This Row],[Contracts Signed]])</f>
        <v>15950</v>
      </c>
      <c r="AJ4058" s="5" t="str">
        <f>TRIM(CLEAN(SalesData[[#This Row],[Retailer]]))</f>
        <v>Leipzig Mobility</v>
      </c>
    </row>
    <row r="4059" spans="1:36" ht="14.25" hidden="1" x14ac:dyDescent="0.2">
      <c r="A4059" t="s">
        <v>5302</v>
      </c>
      <c r="B4059" s="1">
        <v>46070</v>
      </c>
      <c r="C4059" t="s">
        <v>62</v>
      </c>
      <c r="D4059" t="s">
        <v>63</v>
      </c>
      <c r="E4059" t="s">
        <v>26</v>
      </c>
      <c r="F4059" t="s">
        <v>101</v>
      </c>
      <c r="G4059" t="s">
        <v>102</v>
      </c>
      <c r="H4059" t="s">
        <v>103</v>
      </c>
      <c r="I4059" t="s">
        <v>64</v>
      </c>
      <c r="J4059" t="s">
        <v>65</v>
      </c>
      <c r="K4059" t="s">
        <v>32</v>
      </c>
      <c r="L4059" t="s">
        <v>33</v>
      </c>
      <c r="M4059" t="s">
        <v>34</v>
      </c>
      <c r="N4059" t="s">
        <v>69</v>
      </c>
      <c r="O4059" t="s">
        <v>36</v>
      </c>
      <c r="P4059" t="s">
        <v>58</v>
      </c>
      <c r="Q4059" t="s">
        <v>79</v>
      </c>
      <c r="R4059">
        <v>288</v>
      </c>
      <c r="S4059">
        <v>171</v>
      </c>
      <c r="T4059">
        <v>114</v>
      </c>
      <c r="U4059">
        <v>42</v>
      </c>
      <c r="V4059" t="s">
        <v>6590</v>
      </c>
      <c r="W4059">
        <v>55506</v>
      </c>
      <c r="X4059" t="s">
        <v>1680</v>
      </c>
      <c r="Y4059">
        <v>39409</v>
      </c>
      <c r="Z4059">
        <v>2331252</v>
      </c>
      <c r="AA4059">
        <v>676074</v>
      </c>
      <c r="AB4059" t="str">
        <f>(VLOOKUP(SalesData[[#This Row],[Month Number]],Reference!C$5:E$16,2,FALSE))</f>
        <v>Feb</v>
      </c>
      <c r="AC4059">
        <f>MONTH(SalesData[[#This Row],[Date]])</f>
        <v>2</v>
      </c>
      <c r="AD4059">
        <f>Reference!F$4</f>
        <v>2026</v>
      </c>
      <c r="AE4059" t="str">
        <f>IF(OR(SalesData[[#This Row],[Day]]="Saturday",SalesData[[#This Row],[Day]]="Sunday"),"Weekend","Weekday")</f>
        <v>Weekday</v>
      </c>
      <c r="AF4059" s="5">
        <f>IF(SalesData[[#This Row],[Contracts Offered]]=0,0,SalesData[[#This Row],[Contracts Signed]]/SalesData[[#This Row],[Contracts Offered]])</f>
        <v>0.36842105263157893</v>
      </c>
      <c r="AG4059" s="5">
        <f>IF(SalesData[[#This Row],[Customers Visited]]=0,0,SalesData[[#This Row],[Test Drives]]/SalesData[[#This Row],[Customers Visited]])</f>
        <v>0.59375</v>
      </c>
      <c r="AH4059" s="5">
        <f>IF(SalesData[[#This Row],[Customers Visited]]=0,0,SalesData[[#This Row],[Contracts Signed]]/SalesData[[#This Row],[Customers Visited]])</f>
        <v>0.14583333333333334</v>
      </c>
      <c r="AI4059" s="6">
        <f>IF(SalesData[[#This Row],[Contracts Signed]]=0,0,SalesData[[#This Row],[Profit(€)]]/SalesData[[#This Row],[Contracts Signed]])</f>
        <v>16097</v>
      </c>
      <c r="AJ4059" s="5" t="str">
        <f>TRIM(CLEAN(SalesData[[#This Row],[Retailer]]))</f>
        <v>Ruhr Auto Plaza</v>
      </c>
    </row>
    <row r="4060" spans="1:36" ht="14.25" hidden="1" x14ac:dyDescent="0.2">
      <c r="A4060" t="s">
        <v>5303</v>
      </c>
      <c r="B4060" s="1">
        <v>46074</v>
      </c>
      <c r="C4060" t="s">
        <v>62</v>
      </c>
      <c r="D4060" t="s">
        <v>151</v>
      </c>
      <c r="E4060" t="s">
        <v>42</v>
      </c>
      <c r="F4060" t="s">
        <v>109</v>
      </c>
      <c r="G4060" t="s">
        <v>110</v>
      </c>
      <c r="H4060" t="s">
        <v>45</v>
      </c>
      <c r="I4060" t="s">
        <v>64</v>
      </c>
      <c r="J4060" t="s">
        <v>7029</v>
      </c>
      <c r="K4060" t="s">
        <v>32</v>
      </c>
      <c r="L4060" t="s">
        <v>33</v>
      </c>
      <c r="M4060" t="s">
        <v>47</v>
      </c>
      <c r="N4060" t="s">
        <v>48</v>
      </c>
      <c r="O4060" t="s">
        <v>36</v>
      </c>
      <c r="P4060" t="s">
        <v>71</v>
      </c>
      <c r="Q4060" t="s">
        <v>144</v>
      </c>
      <c r="R4060">
        <v>258</v>
      </c>
      <c r="S4060">
        <v>148</v>
      </c>
      <c r="T4060">
        <v>103</v>
      </c>
      <c r="U4060">
        <v>39</v>
      </c>
      <c r="V4060" t="s">
        <v>6370</v>
      </c>
      <c r="W4060">
        <v>52539</v>
      </c>
      <c r="X4060" t="s">
        <v>1151</v>
      </c>
      <c r="Y4060">
        <v>37492</v>
      </c>
      <c r="Z4060">
        <v>2049021</v>
      </c>
      <c r="AA4060">
        <v>586833</v>
      </c>
      <c r="AB4060" t="str">
        <f>(VLOOKUP(SalesData[[#This Row],[Month Number]],Reference!C$5:E$16,2,FALSE))</f>
        <v>Feb</v>
      </c>
      <c r="AC4060">
        <f>MONTH(SalesData[[#This Row],[Date]])</f>
        <v>2</v>
      </c>
      <c r="AD4060">
        <f>Reference!F$4</f>
        <v>2026</v>
      </c>
      <c r="AE4060" t="str">
        <f>IF(OR(SalesData[[#This Row],[Day]]="Saturday",SalesData[[#This Row],[Day]]="Sunday"),"Weekend","Weekday")</f>
        <v>Weekend</v>
      </c>
      <c r="AF4060" s="5">
        <f>IF(SalesData[[#This Row],[Contracts Offered]]=0,0,SalesData[[#This Row],[Contracts Signed]]/SalesData[[#This Row],[Contracts Offered]])</f>
        <v>0.37864077669902912</v>
      </c>
      <c r="AG4060" s="5">
        <f>IF(SalesData[[#This Row],[Customers Visited]]=0,0,SalesData[[#This Row],[Test Drives]]/SalesData[[#This Row],[Customers Visited]])</f>
        <v>0.5736434108527132</v>
      </c>
      <c r="AH4060" s="5">
        <f>IF(SalesData[[#This Row],[Customers Visited]]=0,0,SalesData[[#This Row],[Contracts Signed]]/SalesData[[#This Row],[Customers Visited]])</f>
        <v>0.15116279069767441</v>
      </c>
      <c r="AI4060" s="6">
        <f>IF(SalesData[[#This Row],[Contracts Signed]]=0,0,SalesData[[#This Row],[Profit(€)]]/SalesData[[#This Row],[Contracts Signed]])</f>
        <v>15047</v>
      </c>
      <c r="AJ4060" s="5" t="str">
        <f>TRIM(CLEAN(SalesData[[#This Row],[Retailer]]))</f>
        <v>Leipzig Mobility</v>
      </c>
    </row>
    <row r="4061" spans="1:36" ht="14.25" x14ac:dyDescent="0.2">
      <c r="A4061" t="s">
        <v>5304</v>
      </c>
      <c r="B4061" s="1">
        <v>46081</v>
      </c>
      <c r="C4061" t="s">
        <v>53</v>
      </c>
      <c r="D4061" t="s">
        <v>151</v>
      </c>
      <c r="E4061" t="s">
        <v>42</v>
      </c>
      <c r="F4061" t="s">
        <v>127</v>
      </c>
      <c r="G4061" t="s">
        <v>128</v>
      </c>
      <c r="H4061" t="s">
        <v>103</v>
      </c>
      <c r="I4061" t="s">
        <v>30</v>
      </c>
      <c r="J4061" t="s">
        <v>188</v>
      </c>
      <c r="K4061" t="s">
        <v>91</v>
      </c>
      <c r="L4061" t="s">
        <v>33</v>
      </c>
      <c r="M4061" t="s">
        <v>87</v>
      </c>
      <c r="N4061" t="s">
        <v>35</v>
      </c>
      <c r="O4061" t="s">
        <v>70</v>
      </c>
      <c r="P4061" t="s">
        <v>49</v>
      </c>
      <c r="Q4061" t="s">
        <v>347</v>
      </c>
      <c r="R4061">
        <v>186</v>
      </c>
      <c r="S4061">
        <v>113</v>
      </c>
      <c r="T4061">
        <v>90</v>
      </c>
      <c r="U4061">
        <v>31</v>
      </c>
      <c r="V4061" t="s">
        <v>6665</v>
      </c>
      <c r="W4061">
        <v>58057</v>
      </c>
      <c r="X4061" t="s">
        <v>7555</v>
      </c>
      <c r="Y4061">
        <v>44860</v>
      </c>
      <c r="Z4061">
        <v>1799767</v>
      </c>
      <c r="AA4061">
        <v>409107</v>
      </c>
      <c r="AB4061" t="str">
        <f>(VLOOKUP(SalesData[[#This Row],[Month Number]],Reference!C$5:E$16,2,FALSE))</f>
        <v>Feb</v>
      </c>
      <c r="AC4061">
        <f>MONTH(SalesData[[#This Row],[Date]])</f>
        <v>2</v>
      </c>
      <c r="AD4061">
        <f>Reference!F$4</f>
        <v>2026</v>
      </c>
      <c r="AE4061" t="str">
        <f>IF(OR(SalesData[[#This Row],[Day]]="Saturday",SalesData[[#This Row],[Day]]="Sunday"),"Weekend","Weekday")</f>
        <v>Weekend</v>
      </c>
      <c r="AF4061" s="5">
        <f>IF(SalesData[[#This Row],[Contracts Offered]]=0,0,SalesData[[#This Row],[Contracts Signed]]/SalesData[[#This Row],[Contracts Offered]])</f>
        <v>0.34444444444444444</v>
      </c>
      <c r="AG4061" s="5">
        <f>IF(SalesData[[#This Row],[Customers Visited]]=0,0,SalesData[[#This Row],[Test Drives]]/SalesData[[#This Row],[Customers Visited]])</f>
        <v>0.60752688172043012</v>
      </c>
      <c r="AH4061" s="5">
        <f>IF(SalesData[[#This Row],[Customers Visited]]=0,0,SalesData[[#This Row],[Contracts Signed]]/SalesData[[#This Row],[Customers Visited]])</f>
        <v>0.16666666666666666</v>
      </c>
      <c r="AI4061" s="6">
        <f>IF(SalesData[[#This Row],[Contracts Signed]]=0,0,SalesData[[#This Row],[Profit(€)]]/SalesData[[#This Row],[Contracts Signed]])</f>
        <v>13197</v>
      </c>
      <c r="AJ4061" s="5" t="str">
        <f>TRIM(CLEAN(SalesData[[#This Row],[Retailer]]))</f>
        <v>Rhein Auto Group</v>
      </c>
    </row>
    <row r="4062" spans="1:36" ht="14.25" hidden="1" x14ac:dyDescent="0.2">
      <c r="A4062" t="s">
        <v>5305</v>
      </c>
      <c r="B4062" s="1">
        <v>46057</v>
      </c>
      <c r="C4062" t="s">
        <v>24</v>
      </c>
      <c r="D4062" t="s">
        <v>82</v>
      </c>
      <c r="E4062" t="s">
        <v>26</v>
      </c>
      <c r="F4062" t="s">
        <v>114</v>
      </c>
      <c r="G4062" t="s">
        <v>115</v>
      </c>
      <c r="H4062" t="s">
        <v>115</v>
      </c>
      <c r="I4062" t="s">
        <v>64</v>
      </c>
      <c r="J4062" t="s">
        <v>111</v>
      </c>
      <c r="K4062" t="s">
        <v>78</v>
      </c>
      <c r="L4062" t="s">
        <v>46</v>
      </c>
      <c r="M4062" t="s">
        <v>47</v>
      </c>
      <c r="N4062" t="s">
        <v>48</v>
      </c>
      <c r="O4062" t="s">
        <v>70</v>
      </c>
      <c r="P4062" t="s">
        <v>37</v>
      </c>
      <c r="Q4062" t="s">
        <v>189</v>
      </c>
      <c r="R4062">
        <v>282</v>
      </c>
      <c r="S4062">
        <v>162</v>
      </c>
      <c r="T4062">
        <v>115</v>
      </c>
      <c r="U4062">
        <v>37</v>
      </c>
      <c r="V4062" t="s">
        <v>6946</v>
      </c>
      <c r="W4062">
        <v>59491</v>
      </c>
      <c r="X4062" t="s">
        <v>384</v>
      </c>
      <c r="Y4062">
        <v>42530</v>
      </c>
      <c r="Z4062">
        <v>2201167</v>
      </c>
      <c r="AA4062">
        <v>627557</v>
      </c>
      <c r="AB4062" t="str">
        <f>(VLOOKUP(SalesData[[#This Row],[Month Number]],Reference!C$5:E$16,2,FALSE))</f>
        <v>Feb</v>
      </c>
      <c r="AC4062">
        <f>MONTH(SalesData[[#This Row],[Date]])</f>
        <v>2</v>
      </c>
      <c r="AD4062">
        <f>Reference!F$4</f>
        <v>2026</v>
      </c>
      <c r="AE4062" t="str">
        <f>IF(OR(SalesData[[#This Row],[Day]]="Saturday",SalesData[[#This Row],[Day]]="Sunday"),"Weekend","Weekday")</f>
        <v>Weekday</v>
      </c>
      <c r="AF4062" s="5">
        <f>IF(SalesData[[#This Row],[Contracts Offered]]=0,0,SalesData[[#This Row],[Contracts Signed]]/SalesData[[#This Row],[Contracts Offered]])</f>
        <v>0.32173913043478258</v>
      </c>
      <c r="AG4062" s="5">
        <f>IF(SalesData[[#This Row],[Customers Visited]]=0,0,SalesData[[#This Row],[Test Drives]]/SalesData[[#This Row],[Customers Visited]])</f>
        <v>0.57446808510638303</v>
      </c>
      <c r="AH4062" s="5">
        <f>IF(SalesData[[#This Row],[Customers Visited]]=0,0,SalesData[[#This Row],[Contracts Signed]]/SalesData[[#This Row],[Customers Visited]])</f>
        <v>0.13120567375886524</v>
      </c>
      <c r="AI4062" s="6">
        <f>IF(SalesData[[#This Row],[Contracts Signed]]=0,0,SalesData[[#This Row],[Profit(€)]]/SalesData[[#This Row],[Contracts Signed]])</f>
        <v>16961</v>
      </c>
      <c r="AJ4062" s="5" t="str">
        <f>TRIM(CLEAN(SalesData[[#This Row],[Retailer]]))</f>
        <v>Elbe Drive</v>
      </c>
    </row>
    <row r="4063" spans="1:36" ht="14.25" hidden="1" x14ac:dyDescent="0.2">
      <c r="A4063" t="s">
        <v>5306</v>
      </c>
      <c r="B4063" s="1">
        <v>46064</v>
      </c>
      <c r="C4063" t="s">
        <v>121</v>
      </c>
      <c r="D4063" t="s">
        <v>82</v>
      </c>
      <c r="E4063" t="s">
        <v>26</v>
      </c>
      <c r="F4063" t="s">
        <v>43</v>
      </c>
      <c r="G4063" t="s">
        <v>44</v>
      </c>
      <c r="H4063" t="s">
        <v>45</v>
      </c>
      <c r="I4063" t="s">
        <v>116</v>
      </c>
      <c r="J4063" t="s">
        <v>117</v>
      </c>
      <c r="K4063" t="s">
        <v>91</v>
      </c>
      <c r="L4063" t="s">
        <v>67</v>
      </c>
      <c r="M4063" t="s">
        <v>34</v>
      </c>
      <c r="N4063" t="s">
        <v>48</v>
      </c>
      <c r="O4063" t="s">
        <v>70</v>
      </c>
      <c r="P4063" t="s">
        <v>58</v>
      </c>
      <c r="Q4063" t="s">
        <v>240</v>
      </c>
      <c r="R4063">
        <v>271</v>
      </c>
      <c r="S4063">
        <v>110</v>
      </c>
      <c r="T4063">
        <v>75</v>
      </c>
      <c r="U4063">
        <v>20</v>
      </c>
      <c r="V4063" t="s">
        <v>752</v>
      </c>
      <c r="W4063">
        <v>23495</v>
      </c>
      <c r="X4063" t="s">
        <v>6741</v>
      </c>
      <c r="Y4063">
        <v>21229</v>
      </c>
      <c r="Z4063">
        <v>469900</v>
      </c>
      <c r="AA4063">
        <v>45320</v>
      </c>
      <c r="AB4063" t="str">
        <f>(VLOOKUP(SalesData[[#This Row],[Month Number]],Reference!C$5:E$16,2,FALSE))</f>
        <v>Feb</v>
      </c>
      <c r="AC4063">
        <f>MONTH(SalesData[[#This Row],[Date]])</f>
        <v>2</v>
      </c>
      <c r="AD4063">
        <f>Reference!F$4</f>
        <v>2026</v>
      </c>
      <c r="AE4063" t="str">
        <f>IF(OR(SalesData[[#This Row],[Day]]="Saturday",SalesData[[#This Row],[Day]]="Sunday"),"Weekend","Weekday")</f>
        <v>Weekday</v>
      </c>
      <c r="AF4063" s="5">
        <f>IF(SalesData[[#This Row],[Contracts Offered]]=0,0,SalesData[[#This Row],[Contracts Signed]]/SalesData[[#This Row],[Contracts Offered]])</f>
        <v>0.26666666666666666</v>
      </c>
      <c r="AG4063" s="5">
        <f>IF(SalesData[[#This Row],[Customers Visited]]=0,0,SalesData[[#This Row],[Test Drives]]/SalesData[[#This Row],[Customers Visited]])</f>
        <v>0.4059040590405904</v>
      </c>
      <c r="AH4063" s="5">
        <f>IF(SalesData[[#This Row],[Customers Visited]]=0,0,SalesData[[#This Row],[Contracts Signed]]/SalesData[[#This Row],[Customers Visited]])</f>
        <v>7.3800738007380073E-2</v>
      </c>
      <c r="AI4063" s="6">
        <f>IF(SalesData[[#This Row],[Contracts Signed]]=0,0,SalesData[[#This Row],[Profit(€)]]/SalesData[[#This Row],[Contracts Signed]])</f>
        <v>2266</v>
      </c>
      <c r="AJ4063" s="5" t="str">
        <f>TRIM(CLEAN(SalesData[[#This Row],[Retailer]]))</f>
        <v>Saxon Wheels</v>
      </c>
    </row>
    <row r="4064" spans="1:36" ht="14.25" hidden="1" x14ac:dyDescent="0.2">
      <c r="A4064" t="s">
        <v>5307</v>
      </c>
      <c r="B4064" s="1">
        <v>46081</v>
      </c>
      <c r="C4064" t="s">
        <v>53</v>
      </c>
      <c r="D4064" t="s">
        <v>151</v>
      </c>
      <c r="E4064" t="s">
        <v>42</v>
      </c>
      <c r="F4064" t="s">
        <v>109</v>
      </c>
      <c r="G4064" t="s">
        <v>110</v>
      </c>
      <c r="H4064" t="s">
        <v>45</v>
      </c>
      <c r="I4064" t="s">
        <v>64</v>
      </c>
      <c r="J4064" t="s">
        <v>65</v>
      </c>
      <c r="K4064" t="s">
        <v>66</v>
      </c>
      <c r="L4064" t="s">
        <v>33</v>
      </c>
      <c r="M4064" t="s">
        <v>87</v>
      </c>
      <c r="N4064" t="s">
        <v>35</v>
      </c>
      <c r="O4064" t="s">
        <v>36</v>
      </c>
      <c r="P4064" t="s">
        <v>58</v>
      </c>
      <c r="Q4064" t="s">
        <v>122</v>
      </c>
      <c r="R4064">
        <v>238</v>
      </c>
      <c r="S4064">
        <v>124</v>
      </c>
      <c r="T4064">
        <v>83</v>
      </c>
      <c r="U4064">
        <v>33</v>
      </c>
      <c r="V4064" t="s">
        <v>6687</v>
      </c>
      <c r="W4064">
        <v>59176</v>
      </c>
      <c r="X4064" t="s">
        <v>638</v>
      </c>
      <c r="Y4064">
        <v>45540</v>
      </c>
      <c r="Z4064">
        <v>1952808</v>
      </c>
      <c r="AA4064">
        <v>449988</v>
      </c>
      <c r="AB4064" t="str">
        <f>(VLOOKUP(SalesData[[#This Row],[Month Number]],Reference!C$5:E$16,2,FALSE))</f>
        <v>Feb</v>
      </c>
      <c r="AC4064">
        <f>MONTH(SalesData[[#This Row],[Date]])</f>
        <v>2</v>
      </c>
      <c r="AD4064">
        <f>Reference!F$4</f>
        <v>2026</v>
      </c>
      <c r="AE4064" t="str">
        <f>IF(OR(SalesData[[#This Row],[Day]]="Saturday",SalesData[[#This Row],[Day]]="Sunday"),"Weekend","Weekday")</f>
        <v>Weekend</v>
      </c>
      <c r="AF4064" s="5">
        <f>IF(SalesData[[#This Row],[Contracts Offered]]=0,0,SalesData[[#This Row],[Contracts Signed]]/SalesData[[#This Row],[Contracts Offered]])</f>
        <v>0.39759036144578314</v>
      </c>
      <c r="AG4064" s="5">
        <f>IF(SalesData[[#This Row],[Customers Visited]]=0,0,SalesData[[#This Row],[Test Drives]]/SalesData[[#This Row],[Customers Visited]])</f>
        <v>0.52100840336134457</v>
      </c>
      <c r="AH4064" s="5">
        <f>IF(SalesData[[#This Row],[Customers Visited]]=0,0,SalesData[[#This Row],[Contracts Signed]]/SalesData[[#This Row],[Customers Visited]])</f>
        <v>0.13865546218487396</v>
      </c>
      <c r="AI4064" s="6">
        <f>IF(SalesData[[#This Row],[Contracts Signed]]=0,0,SalesData[[#This Row],[Profit(€)]]/SalesData[[#This Row],[Contracts Signed]])</f>
        <v>13636</v>
      </c>
      <c r="AJ4064" s="5" t="str">
        <f>TRIM(CLEAN(SalesData[[#This Row],[Retailer]]))</f>
        <v>Leipzig Mobility</v>
      </c>
    </row>
    <row r="4065" spans="1:36" ht="14.25" hidden="1" x14ac:dyDescent="0.2">
      <c r="A4065" t="s">
        <v>5308</v>
      </c>
      <c r="B4065" s="1">
        <v>46058</v>
      </c>
      <c r="C4065" t="s">
        <v>24</v>
      </c>
      <c r="D4065" t="s">
        <v>100</v>
      </c>
      <c r="E4065" t="s">
        <v>26</v>
      </c>
      <c r="F4065" t="s">
        <v>27</v>
      </c>
      <c r="G4065" t="s">
        <v>28</v>
      </c>
      <c r="H4065" t="s">
        <v>29</v>
      </c>
      <c r="I4065" t="s">
        <v>116</v>
      </c>
      <c r="J4065" t="s">
        <v>132</v>
      </c>
      <c r="K4065" t="s">
        <v>91</v>
      </c>
      <c r="L4065" t="s">
        <v>46</v>
      </c>
      <c r="M4065" t="s">
        <v>34</v>
      </c>
      <c r="N4065" t="s">
        <v>35</v>
      </c>
      <c r="O4065" t="s">
        <v>36</v>
      </c>
      <c r="P4065" t="s">
        <v>71</v>
      </c>
      <c r="Q4065" t="s">
        <v>38</v>
      </c>
      <c r="R4065">
        <v>248</v>
      </c>
      <c r="S4065">
        <v>128</v>
      </c>
      <c r="T4065">
        <v>80</v>
      </c>
      <c r="U4065">
        <v>20</v>
      </c>
      <c r="V4065" t="s">
        <v>1495</v>
      </c>
      <c r="W4065">
        <v>20800</v>
      </c>
      <c r="X4065" t="s">
        <v>650</v>
      </c>
      <c r="Y4065">
        <v>18651</v>
      </c>
      <c r="Z4065">
        <v>416000</v>
      </c>
      <c r="AA4065">
        <v>42980</v>
      </c>
      <c r="AB4065" t="str">
        <f>(VLOOKUP(SalesData[[#This Row],[Month Number]],Reference!C$5:E$16,2,FALSE))</f>
        <v>Feb</v>
      </c>
      <c r="AC4065">
        <f>MONTH(SalesData[[#This Row],[Date]])</f>
        <v>2</v>
      </c>
      <c r="AD4065">
        <f>Reference!F$4</f>
        <v>2026</v>
      </c>
      <c r="AE4065" t="str">
        <f>IF(OR(SalesData[[#This Row],[Day]]="Saturday",SalesData[[#This Row],[Day]]="Sunday"),"Weekend","Weekday")</f>
        <v>Weekday</v>
      </c>
      <c r="AF4065" s="5">
        <f>IF(SalesData[[#This Row],[Contracts Offered]]=0,0,SalesData[[#This Row],[Contracts Signed]]/SalesData[[#This Row],[Contracts Offered]])</f>
        <v>0.25</v>
      </c>
      <c r="AG4065" s="5">
        <f>IF(SalesData[[#This Row],[Customers Visited]]=0,0,SalesData[[#This Row],[Test Drives]]/SalesData[[#This Row],[Customers Visited]])</f>
        <v>0.5161290322580645</v>
      </c>
      <c r="AH4065" s="5">
        <f>IF(SalesData[[#This Row],[Customers Visited]]=0,0,SalesData[[#This Row],[Contracts Signed]]/SalesData[[#This Row],[Customers Visited]])</f>
        <v>8.0645161290322578E-2</v>
      </c>
      <c r="AI4065" s="6">
        <f>IF(SalesData[[#This Row],[Contracts Signed]]=0,0,SalesData[[#This Row],[Profit(€)]]/SalesData[[#This Row],[Contracts Signed]])</f>
        <v>2149</v>
      </c>
      <c r="AJ4065" s="5" t="str">
        <f>TRIM(CLEAN(SalesData[[#This Row],[Retailer]]))</f>
        <v>Main Auto Hub</v>
      </c>
    </row>
    <row r="4066" spans="1:36" ht="14.25" hidden="1" x14ac:dyDescent="0.2">
      <c r="A4066" t="s">
        <v>5309</v>
      </c>
      <c r="B4066" s="1">
        <v>46074</v>
      </c>
      <c r="C4066" t="s">
        <v>62</v>
      </c>
      <c r="D4066" t="s">
        <v>151</v>
      </c>
      <c r="E4066" t="s">
        <v>42</v>
      </c>
      <c r="F4066" t="s">
        <v>127</v>
      </c>
      <c r="G4066" t="s">
        <v>128</v>
      </c>
      <c r="H4066" t="s">
        <v>103</v>
      </c>
      <c r="I4066" t="s">
        <v>56</v>
      </c>
      <c r="J4066" t="s">
        <v>97</v>
      </c>
      <c r="K4066" t="s">
        <v>78</v>
      </c>
      <c r="L4066" t="s">
        <v>33</v>
      </c>
      <c r="M4066" t="s">
        <v>34</v>
      </c>
      <c r="N4066" t="s">
        <v>69</v>
      </c>
      <c r="O4066" t="s">
        <v>36</v>
      </c>
      <c r="P4066" t="s">
        <v>49</v>
      </c>
      <c r="Q4066" t="s">
        <v>167</v>
      </c>
      <c r="R4066">
        <v>308</v>
      </c>
      <c r="S4066">
        <v>165</v>
      </c>
      <c r="T4066">
        <v>113</v>
      </c>
      <c r="U4066">
        <v>37</v>
      </c>
      <c r="V4066" t="s">
        <v>6472</v>
      </c>
      <c r="W4066">
        <v>46688</v>
      </c>
      <c r="X4066" t="s">
        <v>929</v>
      </c>
      <c r="Y4066">
        <v>37410</v>
      </c>
      <c r="Z4066">
        <v>1727456</v>
      </c>
      <c r="AA4066">
        <v>343286</v>
      </c>
      <c r="AB4066" t="str">
        <f>(VLOOKUP(SalesData[[#This Row],[Month Number]],Reference!C$5:E$16,2,FALSE))</f>
        <v>Feb</v>
      </c>
      <c r="AC4066">
        <f>MONTH(SalesData[[#This Row],[Date]])</f>
        <v>2</v>
      </c>
      <c r="AD4066">
        <f>Reference!F$4</f>
        <v>2026</v>
      </c>
      <c r="AE4066" t="str">
        <f>IF(OR(SalesData[[#This Row],[Day]]="Saturday",SalesData[[#This Row],[Day]]="Sunday"),"Weekend","Weekday")</f>
        <v>Weekend</v>
      </c>
      <c r="AF4066" s="5">
        <f>IF(SalesData[[#This Row],[Contracts Offered]]=0,0,SalesData[[#This Row],[Contracts Signed]]/SalesData[[#This Row],[Contracts Offered]])</f>
        <v>0.32743362831858408</v>
      </c>
      <c r="AG4066" s="5">
        <f>IF(SalesData[[#This Row],[Customers Visited]]=0,0,SalesData[[#This Row],[Test Drives]]/SalesData[[#This Row],[Customers Visited]])</f>
        <v>0.5357142857142857</v>
      </c>
      <c r="AH4066" s="5">
        <f>IF(SalesData[[#This Row],[Customers Visited]]=0,0,SalesData[[#This Row],[Contracts Signed]]/SalesData[[#This Row],[Customers Visited]])</f>
        <v>0.12012987012987013</v>
      </c>
      <c r="AI4066" s="6">
        <f>IF(SalesData[[#This Row],[Contracts Signed]]=0,0,SalesData[[#This Row],[Profit(€)]]/SalesData[[#This Row],[Contracts Signed]])</f>
        <v>9278</v>
      </c>
      <c r="AJ4066" s="5" t="str">
        <f>TRIM(CLEAN(SalesData[[#This Row],[Retailer]]))</f>
        <v>Rhein Auto Group</v>
      </c>
    </row>
    <row r="4067" spans="1:36" ht="14.25" hidden="1" x14ac:dyDescent="0.2">
      <c r="A4067" t="s">
        <v>5310</v>
      </c>
      <c r="B4067" s="1">
        <v>46072</v>
      </c>
      <c r="C4067" t="s">
        <v>62</v>
      </c>
      <c r="D4067" t="s">
        <v>100</v>
      </c>
      <c r="E4067" t="s">
        <v>26</v>
      </c>
      <c r="F4067" t="s">
        <v>83</v>
      </c>
      <c r="G4067" t="s">
        <v>84</v>
      </c>
      <c r="H4067" t="s">
        <v>85</v>
      </c>
      <c r="I4067" t="s">
        <v>104</v>
      </c>
      <c r="J4067" t="s">
        <v>105</v>
      </c>
      <c r="K4067" t="s">
        <v>78</v>
      </c>
      <c r="L4067" t="s">
        <v>33</v>
      </c>
      <c r="M4067" t="s">
        <v>34</v>
      </c>
      <c r="N4067" t="s">
        <v>48</v>
      </c>
      <c r="O4067" t="s">
        <v>36</v>
      </c>
      <c r="P4067" t="s">
        <v>37</v>
      </c>
      <c r="Q4067" t="s">
        <v>167</v>
      </c>
      <c r="R4067">
        <v>317</v>
      </c>
      <c r="S4067">
        <v>179</v>
      </c>
      <c r="T4067">
        <v>125</v>
      </c>
      <c r="U4067">
        <v>26</v>
      </c>
      <c r="V4067" t="s">
        <v>180</v>
      </c>
      <c r="W4067">
        <v>28536</v>
      </c>
      <c r="X4067" t="s">
        <v>809</v>
      </c>
      <c r="Y4067">
        <v>25465</v>
      </c>
      <c r="Z4067">
        <v>741936</v>
      </c>
      <c r="AA4067">
        <v>79846</v>
      </c>
      <c r="AB4067" t="str">
        <f>(VLOOKUP(SalesData[[#This Row],[Month Number]],Reference!C$5:E$16,2,FALSE))</f>
        <v>Feb</v>
      </c>
      <c r="AC4067">
        <f>MONTH(SalesData[[#This Row],[Date]])</f>
        <v>2</v>
      </c>
      <c r="AD4067">
        <f>Reference!F$4</f>
        <v>2026</v>
      </c>
      <c r="AE4067" t="str">
        <f>IF(OR(SalesData[[#This Row],[Day]]="Saturday",SalesData[[#This Row],[Day]]="Sunday"),"Weekend","Weekday")</f>
        <v>Weekday</v>
      </c>
      <c r="AF4067" s="5">
        <f>IF(SalesData[[#This Row],[Contracts Offered]]=0,0,SalesData[[#This Row],[Contracts Signed]]/SalesData[[#This Row],[Contracts Offered]])</f>
        <v>0.20799999999999999</v>
      </c>
      <c r="AG4067" s="5">
        <f>IF(SalesData[[#This Row],[Customers Visited]]=0,0,SalesData[[#This Row],[Test Drives]]/SalesData[[#This Row],[Customers Visited]])</f>
        <v>0.56466876971608837</v>
      </c>
      <c r="AH4067" s="5">
        <f>IF(SalesData[[#This Row],[Customers Visited]]=0,0,SalesData[[#This Row],[Contracts Signed]]/SalesData[[#This Row],[Customers Visited]])</f>
        <v>8.2018927444794956E-2</v>
      </c>
      <c r="AI4067" s="6">
        <f>IF(SalesData[[#This Row],[Contracts Signed]]=0,0,SalesData[[#This Row],[Profit(€)]]/SalesData[[#This Row],[Contracts Signed]])</f>
        <v>3071</v>
      </c>
      <c r="AJ4067" s="5" t="str">
        <f>TRIM(CLEAN(SalesData[[#This Row],[Retailer]]))</f>
        <v>Hannover Cars</v>
      </c>
    </row>
    <row r="4068" spans="1:36" ht="14.25" hidden="1" x14ac:dyDescent="0.2">
      <c r="A4068" t="s">
        <v>5311</v>
      </c>
      <c r="B4068" s="1">
        <v>46060</v>
      </c>
      <c r="C4068" t="s">
        <v>24</v>
      </c>
      <c r="D4068" t="s">
        <v>151</v>
      </c>
      <c r="E4068" t="s">
        <v>42</v>
      </c>
      <c r="F4068" t="s">
        <v>109</v>
      </c>
      <c r="G4068" t="s">
        <v>110</v>
      </c>
      <c r="H4068" t="s">
        <v>45</v>
      </c>
      <c r="I4068" t="s">
        <v>64</v>
      </c>
      <c r="J4068" t="s">
        <v>7029</v>
      </c>
      <c r="K4068" t="s">
        <v>78</v>
      </c>
      <c r="L4068" t="s">
        <v>33</v>
      </c>
      <c r="M4068" t="s">
        <v>34</v>
      </c>
      <c r="N4068" t="s">
        <v>48</v>
      </c>
      <c r="O4068" t="s">
        <v>70</v>
      </c>
      <c r="P4068" t="s">
        <v>58</v>
      </c>
      <c r="Q4068" t="s">
        <v>144</v>
      </c>
      <c r="R4068">
        <v>246</v>
      </c>
      <c r="S4068">
        <v>126</v>
      </c>
      <c r="T4068">
        <v>96</v>
      </c>
      <c r="U4068">
        <v>33</v>
      </c>
      <c r="V4068" t="s">
        <v>6663</v>
      </c>
      <c r="W4068">
        <v>56862</v>
      </c>
      <c r="X4068" t="s">
        <v>1520</v>
      </c>
      <c r="Y4068">
        <v>43028</v>
      </c>
      <c r="Z4068">
        <v>1876446</v>
      </c>
      <c r="AA4068">
        <v>456522</v>
      </c>
      <c r="AB4068" t="str">
        <f>(VLOOKUP(SalesData[[#This Row],[Month Number]],Reference!C$5:E$16,2,FALSE))</f>
        <v>Feb</v>
      </c>
      <c r="AC4068">
        <f>MONTH(SalesData[[#This Row],[Date]])</f>
        <v>2</v>
      </c>
      <c r="AD4068">
        <f>Reference!F$4</f>
        <v>2026</v>
      </c>
      <c r="AE4068" t="str">
        <f>IF(OR(SalesData[[#This Row],[Day]]="Saturday",SalesData[[#This Row],[Day]]="Sunday"),"Weekend","Weekday")</f>
        <v>Weekend</v>
      </c>
      <c r="AF4068" s="5">
        <f>IF(SalesData[[#This Row],[Contracts Offered]]=0,0,SalesData[[#This Row],[Contracts Signed]]/SalesData[[#This Row],[Contracts Offered]])</f>
        <v>0.34375</v>
      </c>
      <c r="AG4068" s="5">
        <f>IF(SalesData[[#This Row],[Customers Visited]]=0,0,SalesData[[#This Row],[Test Drives]]/SalesData[[#This Row],[Customers Visited]])</f>
        <v>0.51219512195121952</v>
      </c>
      <c r="AH4068" s="5">
        <f>IF(SalesData[[#This Row],[Customers Visited]]=0,0,SalesData[[#This Row],[Contracts Signed]]/SalesData[[#This Row],[Customers Visited]])</f>
        <v>0.13414634146341464</v>
      </c>
      <c r="AI4068" s="6">
        <f>IF(SalesData[[#This Row],[Contracts Signed]]=0,0,SalesData[[#This Row],[Profit(€)]]/SalesData[[#This Row],[Contracts Signed]])</f>
        <v>13834</v>
      </c>
      <c r="AJ4068" s="5" t="str">
        <f>TRIM(CLEAN(SalesData[[#This Row],[Retailer]]))</f>
        <v>Leipzig Mobility</v>
      </c>
    </row>
    <row r="4069" spans="1:36" ht="14.25" hidden="1" x14ac:dyDescent="0.2">
      <c r="A4069" t="s">
        <v>5312</v>
      </c>
      <c r="B4069" s="1">
        <v>46064</v>
      </c>
      <c r="C4069" t="s">
        <v>121</v>
      </c>
      <c r="D4069" t="s">
        <v>82</v>
      </c>
      <c r="E4069" t="s">
        <v>26</v>
      </c>
      <c r="F4069" t="s">
        <v>127</v>
      </c>
      <c r="G4069" t="s">
        <v>128</v>
      </c>
      <c r="H4069" t="s">
        <v>103</v>
      </c>
      <c r="I4069" t="s">
        <v>64</v>
      </c>
      <c r="J4069" t="s">
        <v>111</v>
      </c>
      <c r="K4069" t="s">
        <v>91</v>
      </c>
      <c r="L4069" t="s">
        <v>46</v>
      </c>
      <c r="M4069" t="s">
        <v>47</v>
      </c>
      <c r="N4069" t="s">
        <v>48</v>
      </c>
      <c r="O4069" t="s">
        <v>70</v>
      </c>
      <c r="P4069" t="s">
        <v>37</v>
      </c>
      <c r="Q4069" t="s">
        <v>158</v>
      </c>
      <c r="R4069">
        <v>171</v>
      </c>
      <c r="S4069">
        <v>76</v>
      </c>
      <c r="T4069">
        <v>50</v>
      </c>
      <c r="U4069">
        <v>17</v>
      </c>
      <c r="V4069" t="s">
        <v>6477</v>
      </c>
      <c r="W4069">
        <v>65921</v>
      </c>
      <c r="X4069" t="s">
        <v>7393</v>
      </c>
      <c r="Y4069">
        <v>48258</v>
      </c>
      <c r="Z4069">
        <v>1120657</v>
      </c>
      <c r="AA4069">
        <v>300271</v>
      </c>
      <c r="AB4069" t="str">
        <f>(VLOOKUP(SalesData[[#This Row],[Month Number]],Reference!C$5:E$16,2,FALSE))</f>
        <v>Feb</v>
      </c>
      <c r="AC4069">
        <f>MONTH(SalesData[[#This Row],[Date]])</f>
        <v>2</v>
      </c>
      <c r="AD4069">
        <f>Reference!F$4</f>
        <v>2026</v>
      </c>
      <c r="AE4069" t="str">
        <f>IF(OR(SalesData[[#This Row],[Day]]="Saturday",SalesData[[#This Row],[Day]]="Sunday"),"Weekend","Weekday")</f>
        <v>Weekday</v>
      </c>
      <c r="AF4069" s="5">
        <f>IF(SalesData[[#This Row],[Contracts Offered]]=0,0,SalesData[[#This Row],[Contracts Signed]]/SalesData[[#This Row],[Contracts Offered]])</f>
        <v>0.34</v>
      </c>
      <c r="AG4069" s="5">
        <f>IF(SalesData[[#This Row],[Customers Visited]]=0,0,SalesData[[#This Row],[Test Drives]]/SalesData[[#This Row],[Customers Visited]])</f>
        <v>0.44444444444444442</v>
      </c>
      <c r="AH4069" s="5">
        <f>IF(SalesData[[#This Row],[Customers Visited]]=0,0,SalesData[[#This Row],[Contracts Signed]]/SalesData[[#This Row],[Customers Visited]])</f>
        <v>9.9415204678362568E-2</v>
      </c>
      <c r="AI4069" s="6">
        <f>IF(SalesData[[#This Row],[Contracts Signed]]=0,0,SalesData[[#This Row],[Profit(€)]]/SalesData[[#This Row],[Contracts Signed]])</f>
        <v>17663</v>
      </c>
      <c r="AJ4069" s="5" t="str">
        <f>TRIM(CLEAN(SalesData[[#This Row],[Retailer]]))</f>
        <v>Rhein Auto Group</v>
      </c>
    </row>
    <row r="4070" spans="1:36" ht="14.25" hidden="1" x14ac:dyDescent="0.2">
      <c r="A4070" t="s">
        <v>5313</v>
      </c>
      <c r="B4070" s="1">
        <v>46060</v>
      </c>
      <c r="C4070" t="s">
        <v>24</v>
      </c>
      <c r="D4070" t="s">
        <v>151</v>
      </c>
      <c r="E4070" t="s">
        <v>42</v>
      </c>
      <c r="F4070" t="s">
        <v>43</v>
      </c>
      <c r="G4070" t="s">
        <v>44</v>
      </c>
      <c r="H4070" t="s">
        <v>45</v>
      </c>
      <c r="I4070" t="s">
        <v>64</v>
      </c>
      <c r="J4070" t="s">
        <v>77</v>
      </c>
      <c r="K4070" t="s">
        <v>78</v>
      </c>
      <c r="L4070" t="s">
        <v>46</v>
      </c>
      <c r="M4070" t="s">
        <v>68</v>
      </c>
      <c r="N4070" t="s">
        <v>48</v>
      </c>
      <c r="O4070" t="s">
        <v>70</v>
      </c>
      <c r="P4070" t="s">
        <v>58</v>
      </c>
      <c r="Q4070" t="s">
        <v>59</v>
      </c>
      <c r="R4070">
        <v>150</v>
      </c>
      <c r="S4070">
        <v>74</v>
      </c>
      <c r="T4070">
        <v>52</v>
      </c>
      <c r="U4070">
        <v>18</v>
      </c>
      <c r="V4070" t="s">
        <v>6378</v>
      </c>
      <c r="W4070">
        <v>65522</v>
      </c>
      <c r="X4070" t="s">
        <v>7062</v>
      </c>
      <c r="Y4070">
        <v>46700</v>
      </c>
      <c r="Z4070">
        <v>1179396</v>
      </c>
      <c r="AA4070">
        <v>338796</v>
      </c>
      <c r="AB4070" t="str">
        <f>(VLOOKUP(SalesData[[#This Row],[Month Number]],Reference!C$5:E$16,2,FALSE))</f>
        <v>Feb</v>
      </c>
      <c r="AC4070">
        <f>MONTH(SalesData[[#This Row],[Date]])</f>
        <v>2</v>
      </c>
      <c r="AD4070">
        <f>Reference!F$4</f>
        <v>2026</v>
      </c>
      <c r="AE4070" t="str">
        <f>IF(OR(SalesData[[#This Row],[Day]]="Saturday",SalesData[[#This Row],[Day]]="Sunday"),"Weekend","Weekday")</f>
        <v>Weekend</v>
      </c>
      <c r="AF4070" s="5">
        <f>IF(SalesData[[#This Row],[Contracts Offered]]=0,0,SalesData[[#This Row],[Contracts Signed]]/SalesData[[#This Row],[Contracts Offered]])</f>
        <v>0.34615384615384615</v>
      </c>
      <c r="AG4070" s="5">
        <f>IF(SalesData[[#This Row],[Customers Visited]]=0,0,SalesData[[#This Row],[Test Drives]]/SalesData[[#This Row],[Customers Visited]])</f>
        <v>0.49333333333333335</v>
      </c>
      <c r="AH4070" s="5">
        <f>IF(SalesData[[#This Row],[Customers Visited]]=0,0,SalesData[[#This Row],[Contracts Signed]]/SalesData[[#This Row],[Customers Visited]])</f>
        <v>0.12</v>
      </c>
      <c r="AI4070" s="6">
        <f>IF(SalesData[[#This Row],[Contracts Signed]]=0,0,SalesData[[#This Row],[Profit(€)]]/SalesData[[#This Row],[Contracts Signed]])</f>
        <v>18822</v>
      </c>
      <c r="AJ4070" s="5" t="str">
        <f>TRIM(CLEAN(SalesData[[#This Row],[Retailer]]))</f>
        <v>Saxon Wheels</v>
      </c>
    </row>
    <row r="4071" spans="1:36" ht="14.25" hidden="1" x14ac:dyDescent="0.2">
      <c r="A4071" t="s">
        <v>5314</v>
      </c>
      <c r="B4071" s="1">
        <v>46064</v>
      </c>
      <c r="C4071" t="s">
        <v>121</v>
      </c>
      <c r="D4071" t="s">
        <v>82</v>
      </c>
      <c r="E4071" t="s">
        <v>26</v>
      </c>
      <c r="F4071" t="s">
        <v>7649</v>
      </c>
      <c r="G4071" t="s">
        <v>55</v>
      </c>
      <c r="H4071" t="s">
        <v>55</v>
      </c>
      <c r="I4071" t="s">
        <v>104</v>
      </c>
      <c r="J4071" t="s">
        <v>105</v>
      </c>
      <c r="K4071" t="s">
        <v>91</v>
      </c>
      <c r="L4071" t="s">
        <v>33</v>
      </c>
      <c r="M4071" t="s">
        <v>47</v>
      </c>
      <c r="N4071" t="s">
        <v>48</v>
      </c>
      <c r="O4071" t="s">
        <v>70</v>
      </c>
      <c r="P4071" t="s">
        <v>37</v>
      </c>
      <c r="Q4071" t="s">
        <v>152</v>
      </c>
      <c r="R4071">
        <v>313</v>
      </c>
      <c r="S4071">
        <v>170</v>
      </c>
      <c r="T4071">
        <v>104</v>
      </c>
      <c r="U4071">
        <v>30</v>
      </c>
      <c r="V4071" t="s">
        <v>859</v>
      </c>
      <c r="W4071">
        <v>34738</v>
      </c>
      <c r="X4071" t="s">
        <v>7383</v>
      </c>
      <c r="Y4071">
        <v>30589</v>
      </c>
      <c r="Z4071">
        <v>1042140</v>
      </c>
      <c r="AA4071">
        <v>124470</v>
      </c>
      <c r="AB4071" t="str">
        <f>(VLOOKUP(SalesData[[#This Row],[Month Number]],Reference!C$5:E$16,2,FALSE))</f>
        <v>Feb</v>
      </c>
      <c r="AC4071">
        <f>MONTH(SalesData[[#This Row],[Date]])</f>
        <v>2</v>
      </c>
      <c r="AD4071">
        <f>Reference!F$4</f>
        <v>2026</v>
      </c>
      <c r="AE4071" t="str">
        <f>IF(OR(SalesData[[#This Row],[Day]]="Saturday",SalesData[[#This Row],[Day]]="Sunday"),"Weekend","Weekday")</f>
        <v>Weekday</v>
      </c>
      <c r="AF4071" s="5">
        <f>IF(SalesData[[#This Row],[Contracts Offered]]=0,0,SalesData[[#This Row],[Contracts Signed]]/SalesData[[#This Row],[Contracts Offered]])</f>
        <v>0.28846153846153844</v>
      </c>
      <c r="AG4071" s="5">
        <f>IF(SalesData[[#This Row],[Customers Visited]]=0,0,SalesData[[#This Row],[Test Drives]]/SalesData[[#This Row],[Customers Visited]])</f>
        <v>0.54313099041533541</v>
      </c>
      <c r="AH4071" s="5">
        <f>IF(SalesData[[#This Row],[Customers Visited]]=0,0,SalesData[[#This Row],[Contracts Signed]]/SalesData[[#This Row],[Customers Visited]])</f>
        <v>9.5846645367412137E-2</v>
      </c>
      <c r="AI4071" s="6">
        <f>IF(SalesData[[#This Row],[Contracts Signed]]=0,0,SalesData[[#This Row],[Profit(€)]]/SalesData[[#This Row],[Contracts Signed]])</f>
        <v>4149</v>
      </c>
      <c r="AJ4071" s="5" t="str">
        <f>TRIM(CLEAN(SalesData[[#This Row],[Retailer]]))</f>
        <v>Autohaus Berlin</v>
      </c>
    </row>
    <row r="4072" spans="1:36" ht="14.25" x14ac:dyDescent="0.2">
      <c r="A4072" t="s">
        <v>5315</v>
      </c>
      <c r="B4072" s="1">
        <v>46073</v>
      </c>
      <c r="C4072" t="s">
        <v>62</v>
      </c>
      <c r="D4072" t="s">
        <v>54</v>
      </c>
      <c r="E4072" t="s">
        <v>26</v>
      </c>
      <c r="F4072" t="s">
        <v>127</v>
      </c>
      <c r="G4072" t="s">
        <v>128</v>
      </c>
      <c r="H4072" t="s">
        <v>103</v>
      </c>
      <c r="I4072" t="s">
        <v>30</v>
      </c>
      <c r="J4072" t="s">
        <v>31</v>
      </c>
      <c r="K4072" t="s">
        <v>91</v>
      </c>
      <c r="L4072" t="s">
        <v>46</v>
      </c>
      <c r="M4072" t="s">
        <v>68</v>
      </c>
      <c r="N4072" t="s">
        <v>48</v>
      </c>
      <c r="O4072" t="s">
        <v>36</v>
      </c>
      <c r="P4072" t="s">
        <v>37</v>
      </c>
      <c r="Q4072" t="s">
        <v>189</v>
      </c>
      <c r="R4072">
        <v>162</v>
      </c>
      <c r="S4072">
        <v>83</v>
      </c>
      <c r="T4072">
        <v>60</v>
      </c>
      <c r="U4072">
        <v>25</v>
      </c>
      <c r="V4072" t="s">
        <v>7467</v>
      </c>
      <c r="W4072">
        <v>58714</v>
      </c>
      <c r="X4072" t="s">
        <v>7279</v>
      </c>
      <c r="Y4072">
        <v>43714</v>
      </c>
      <c r="Z4072">
        <v>1467850</v>
      </c>
      <c r="AA4072">
        <v>375000</v>
      </c>
      <c r="AB4072" t="str">
        <f>(VLOOKUP(SalesData[[#This Row],[Month Number]],Reference!C$5:E$16,2,FALSE))</f>
        <v>Feb</v>
      </c>
      <c r="AC4072">
        <f>MONTH(SalesData[[#This Row],[Date]])</f>
        <v>2</v>
      </c>
      <c r="AD4072">
        <f>Reference!F$4</f>
        <v>2026</v>
      </c>
      <c r="AE4072" t="str">
        <f>IF(OR(SalesData[[#This Row],[Day]]="Saturday",SalesData[[#This Row],[Day]]="Sunday"),"Weekend","Weekday")</f>
        <v>Weekday</v>
      </c>
      <c r="AF4072" s="5">
        <f>IF(SalesData[[#This Row],[Contracts Offered]]=0,0,SalesData[[#This Row],[Contracts Signed]]/SalesData[[#This Row],[Contracts Offered]])</f>
        <v>0.41666666666666669</v>
      </c>
      <c r="AG4072" s="5">
        <f>IF(SalesData[[#This Row],[Customers Visited]]=0,0,SalesData[[#This Row],[Test Drives]]/SalesData[[#This Row],[Customers Visited]])</f>
        <v>0.51234567901234573</v>
      </c>
      <c r="AH4072" s="5">
        <f>IF(SalesData[[#This Row],[Customers Visited]]=0,0,SalesData[[#This Row],[Contracts Signed]]/SalesData[[#This Row],[Customers Visited]])</f>
        <v>0.15432098765432098</v>
      </c>
      <c r="AI4072" s="6">
        <f>IF(SalesData[[#This Row],[Contracts Signed]]=0,0,SalesData[[#This Row],[Profit(€)]]/SalesData[[#This Row],[Contracts Signed]])</f>
        <v>15000</v>
      </c>
      <c r="AJ4072" s="5" t="str">
        <f>TRIM(CLEAN(SalesData[[#This Row],[Retailer]]))</f>
        <v>Rhein Auto Group</v>
      </c>
    </row>
    <row r="4073" spans="1:36" ht="14.25" hidden="1" x14ac:dyDescent="0.2">
      <c r="A4073" t="s">
        <v>5316</v>
      </c>
      <c r="B4073" s="1">
        <v>46055</v>
      </c>
      <c r="C4073" t="s">
        <v>24</v>
      </c>
      <c r="D4073" t="s">
        <v>25</v>
      </c>
      <c r="E4073" t="s">
        <v>26</v>
      </c>
      <c r="F4073" t="s">
        <v>43</v>
      </c>
      <c r="G4073" t="s">
        <v>44</v>
      </c>
      <c r="H4073" t="s">
        <v>45</v>
      </c>
      <c r="I4073" t="s">
        <v>64</v>
      </c>
      <c r="J4073" t="s">
        <v>157</v>
      </c>
      <c r="K4073" t="s">
        <v>78</v>
      </c>
      <c r="L4073" t="s">
        <v>33</v>
      </c>
      <c r="M4073" t="s">
        <v>68</v>
      </c>
      <c r="N4073" t="s">
        <v>35</v>
      </c>
      <c r="O4073" t="s">
        <v>70</v>
      </c>
      <c r="P4073" t="s">
        <v>71</v>
      </c>
      <c r="Q4073" t="s">
        <v>152</v>
      </c>
      <c r="R4073">
        <v>208</v>
      </c>
      <c r="S4073">
        <v>106</v>
      </c>
      <c r="T4073">
        <v>72</v>
      </c>
      <c r="U4073">
        <v>25</v>
      </c>
      <c r="V4073" t="s">
        <v>6463</v>
      </c>
      <c r="W4073">
        <v>51510</v>
      </c>
      <c r="X4073" t="s">
        <v>7054</v>
      </c>
      <c r="Y4073">
        <v>39028</v>
      </c>
      <c r="Z4073">
        <v>1287750</v>
      </c>
      <c r="AA4073">
        <v>312050</v>
      </c>
      <c r="AB4073" t="str">
        <f>(VLOOKUP(SalesData[[#This Row],[Month Number]],Reference!C$5:E$16,2,FALSE))</f>
        <v>Feb</v>
      </c>
      <c r="AC4073">
        <f>MONTH(SalesData[[#This Row],[Date]])</f>
        <v>2</v>
      </c>
      <c r="AD4073">
        <f>Reference!F$4</f>
        <v>2026</v>
      </c>
      <c r="AE4073" t="str">
        <f>IF(OR(SalesData[[#This Row],[Day]]="Saturday",SalesData[[#This Row],[Day]]="Sunday"),"Weekend","Weekday")</f>
        <v>Weekday</v>
      </c>
      <c r="AF4073" s="5">
        <f>IF(SalesData[[#This Row],[Contracts Offered]]=0,0,SalesData[[#This Row],[Contracts Signed]]/SalesData[[#This Row],[Contracts Offered]])</f>
        <v>0.34722222222222221</v>
      </c>
      <c r="AG4073" s="5">
        <f>IF(SalesData[[#This Row],[Customers Visited]]=0,0,SalesData[[#This Row],[Test Drives]]/SalesData[[#This Row],[Customers Visited]])</f>
        <v>0.50961538461538458</v>
      </c>
      <c r="AH4073" s="5">
        <f>IF(SalesData[[#This Row],[Customers Visited]]=0,0,SalesData[[#This Row],[Contracts Signed]]/SalesData[[#This Row],[Customers Visited]])</f>
        <v>0.1201923076923077</v>
      </c>
      <c r="AI4073" s="6">
        <f>IF(SalesData[[#This Row],[Contracts Signed]]=0,0,SalesData[[#This Row],[Profit(€)]]/SalesData[[#This Row],[Contracts Signed]])</f>
        <v>12482</v>
      </c>
      <c r="AJ4073" s="5" t="str">
        <f>TRIM(CLEAN(SalesData[[#This Row],[Retailer]]))</f>
        <v>Saxon Wheels</v>
      </c>
    </row>
    <row r="4074" spans="1:36" ht="14.25" hidden="1" x14ac:dyDescent="0.2">
      <c r="A4074" t="s">
        <v>5317</v>
      </c>
      <c r="B4074" s="1">
        <v>46072</v>
      </c>
      <c r="C4074" t="s">
        <v>62</v>
      </c>
      <c r="D4074" t="s">
        <v>100</v>
      </c>
      <c r="E4074" t="s">
        <v>26</v>
      </c>
      <c r="F4074" t="s">
        <v>114</v>
      </c>
      <c r="G4074" t="s">
        <v>115</v>
      </c>
      <c r="H4074" t="s">
        <v>115</v>
      </c>
      <c r="I4074" t="s">
        <v>56</v>
      </c>
      <c r="J4074" t="s">
        <v>57</v>
      </c>
      <c r="K4074" t="s">
        <v>66</v>
      </c>
      <c r="L4074" t="s">
        <v>46</v>
      </c>
      <c r="M4074" t="s">
        <v>68</v>
      </c>
      <c r="N4074" t="s">
        <v>69</v>
      </c>
      <c r="O4074" t="s">
        <v>36</v>
      </c>
      <c r="P4074" t="s">
        <v>37</v>
      </c>
      <c r="Q4074" t="s">
        <v>204</v>
      </c>
      <c r="R4074">
        <v>253</v>
      </c>
      <c r="S4074">
        <v>135</v>
      </c>
      <c r="T4074">
        <v>95</v>
      </c>
      <c r="U4074">
        <v>32</v>
      </c>
      <c r="V4074" t="s">
        <v>6561</v>
      </c>
      <c r="W4074">
        <v>51939</v>
      </c>
      <c r="X4074" t="s">
        <v>994</v>
      </c>
      <c r="Y4074">
        <v>41715</v>
      </c>
      <c r="Z4074">
        <v>1662048</v>
      </c>
      <c r="AA4074">
        <v>327168</v>
      </c>
      <c r="AB4074" t="str">
        <f>(VLOOKUP(SalesData[[#This Row],[Month Number]],Reference!C$5:E$16,2,FALSE))</f>
        <v>Feb</v>
      </c>
      <c r="AC4074">
        <f>MONTH(SalesData[[#This Row],[Date]])</f>
        <v>2</v>
      </c>
      <c r="AD4074">
        <f>Reference!F$4</f>
        <v>2026</v>
      </c>
      <c r="AE4074" t="str">
        <f>IF(OR(SalesData[[#This Row],[Day]]="Saturday",SalesData[[#This Row],[Day]]="Sunday"),"Weekend","Weekday")</f>
        <v>Weekday</v>
      </c>
      <c r="AF4074" s="5">
        <f>IF(SalesData[[#This Row],[Contracts Offered]]=0,0,SalesData[[#This Row],[Contracts Signed]]/SalesData[[#This Row],[Contracts Offered]])</f>
        <v>0.33684210526315789</v>
      </c>
      <c r="AG4074" s="5">
        <f>IF(SalesData[[#This Row],[Customers Visited]]=0,0,SalesData[[#This Row],[Test Drives]]/SalesData[[#This Row],[Customers Visited]])</f>
        <v>0.53359683794466406</v>
      </c>
      <c r="AH4074" s="5">
        <f>IF(SalesData[[#This Row],[Customers Visited]]=0,0,SalesData[[#This Row],[Contracts Signed]]/SalesData[[#This Row],[Customers Visited]])</f>
        <v>0.12648221343873517</v>
      </c>
      <c r="AI4074" s="6">
        <f>IF(SalesData[[#This Row],[Contracts Signed]]=0,0,SalesData[[#This Row],[Profit(€)]]/SalesData[[#This Row],[Contracts Signed]])</f>
        <v>10224</v>
      </c>
      <c r="AJ4074" s="5" t="str">
        <f>TRIM(CLEAN(SalesData[[#This Row],[Retailer]]))</f>
        <v>Elbe Drive</v>
      </c>
    </row>
    <row r="4075" spans="1:36" ht="14.25" x14ac:dyDescent="0.2">
      <c r="A4075" t="s">
        <v>5318</v>
      </c>
      <c r="B4075" s="1">
        <v>46066</v>
      </c>
      <c r="C4075" t="s">
        <v>121</v>
      </c>
      <c r="D4075" t="s">
        <v>54</v>
      </c>
      <c r="E4075" t="s">
        <v>26</v>
      </c>
      <c r="F4075" t="s">
        <v>114</v>
      </c>
      <c r="G4075" t="s">
        <v>115</v>
      </c>
      <c r="H4075" t="s">
        <v>115</v>
      </c>
      <c r="I4075" t="s">
        <v>30</v>
      </c>
      <c r="J4075" t="s">
        <v>31</v>
      </c>
      <c r="K4075" t="s">
        <v>91</v>
      </c>
      <c r="L4075" t="s">
        <v>46</v>
      </c>
      <c r="M4075" t="s">
        <v>34</v>
      </c>
      <c r="N4075" t="s">
        <v>48</v>
      </c>
      <c r="O4075" t="s">
        <v>36</v>
      </c>
      <c r="P4075" t="s">
        <v>49</v>
      </c>
      <c r="Q4075" t="s">
        <v>158</v>
      </c>
      <c r="R4075">
        <v>173</v>
      </c>
      <c r="S4075">
        <v>102</v>
      </c>
      <c r="T4075">
        <v>72</v>
      </c>
      <c r="U4075">
        <v>27</v>
      </c>
      <c r="V4075" t="s">
        <v>6486</v>
      </c>
      <c r="W4075">
        <v>57473</v>
      </c>
      <c r="X4075" t="s">
        <v>7041</v>
      </c>
      <c r="Y4075">
        <v>42832</v>
      </c>
      <c r="Z4075">
        <v>1551771</v>
      </c>
      <c r="AA4075">
        <v>395307</v>
      </c>
      <c r="AB4075" t="str">
        <f>(VLOOKUP(SalesData[[#This Row],[Month Number]],Reference!C$5:E$16,2,FALSE))</f>
        <v>Feb</v>
      </c>
      <c r="AC4075">
        <f>MONTH(SalesData[[#This Row],[Date]])</f>
        <v>2</v>
      </c>
      <c r="AD4075">
        <f>Reference!F$4</f>
        <v>2026</v>
      </c>
      <c r="AE4075" t="str">
        <f>IF(OR(SalesData[[#This Row],[Day]]="Saturday",SalesData[[#This Row],[Day]]="Sunday"),"Weekend","Weekday")</f>
        <v>Weekday</v>
      </c>
      <c r="AF4075" s="5">
        <f>IF(SalesData[[#This Row],[Contracts Offered]]=0,0,SalesData[[#This Row],[Contracts Signed]]/SalesData[[#This Row],[Contracts Offered]])</f>
        <v>0.375</v>
      </c>
      <c r="AG4075" s="5">
        <f>IF(SalesData[[#This Row],[Customers Visited]]=0,0,SalesData[[#This Row],[Test Drives]]/SalesData[[#This Row],[Customers Visited]])</f>
        <v>0.58959537572254339</v>
      </c>
      <c r="AH4075" s="5">
        <f>IF(SalesData[[#This Row],[Customers Visited]]=0,0,SalesData[[#This Row],[Contracts Signed]]/SalesData[[#This Row],[Customers Visited]])</f>
        <v>0.15606936416184972</v>
      </c>
      <c r="AI4075" s="6">
        <f>IF(SalesData[[#This Row],[Contracts Signed]]=0,0,SalesData[[#This Row],[Profit(€)]]/SalesData[[#This Row],[Contracts Signed]])</f>
        <v>14641</v>
      </c>
      <c r="AJ4075" s="5" t="str">
        <f>TRIM(CLEAN(SalesData[[#This Row],[Retailer]]))</f>
        <v>Elbe Drive</v>
      </c>
    </row>
    <row r="4076" spans="1:36" ht="14.25" x14ac:dyDescent="0.2">
      <c r="A4076" t="s">
        <v>5319</v>
      </c>
      <c r="B4076" s="1">
        <v>46064</v>
      </c>
      <c r="C4076" t="s">
        <v>121</v>
      </c>
      <c r="D4076" t="s">
        <v>82</v>
      </c>
      <c r="E4076" t="s">
        <v>26</v>
      </c>
      <c r="F4076" t="s">
        <v>7649</v>
      </c>
      <c r="G4076" t="s">
        <v>55</v>
      </c>
      <c r="H4076" t="s">
        <v>55</v>
      </c>
      <c r="I4076" t="s">
        <v>30</v>
      </c>
      <c r="J4076" t="s">
        <v>31</v>
      </c>
      <c r="K4076" t="s">
        <v>78</v>
      </c>
      <c r="L4076" t="s">
        <v>46</v>
      </c>
      <c r="M4076" t="s">
        <v>68</v>
      </c>
      <c r="N4076" t="s">
        <v>48</v>
      </c>
      <c r="O4076" t="s">
        <v>70</v>
      </c>
      <c r="P4076" t="s">
        <v>37</v>
      </c>
      <c r="Q4076" t="s">
        <v>59</v>
      </c>
      <c r="R4076">
        <v>212</v>
      </c>
      <c r="S4076">
        <v>126</v>
      </c>
      <c r="T4076">
        <v>99</v>
      </c>
      <c r="U4076">
        <v>33</v>
      </c>
      <c r="V4076" t="s">
        <v>6663</v>
      </c>
      <c r="W4076">
        <v>66243</v>
      </c>
      <c r="X4076" t="s">
        <v>7149</v>
      </c>
      <c r="Y4076">
        <v>46690</v>
      </c>
      <c r="Z4076">
        <v>2186019</v>
      </c>
      <c r="AA4076">
        <v>645249</v>
      </c>
      <c r="AB4076" t="str">
        <f>(VLOOKUP(SalesData[[#This Row],[Month Number]],Reference!C$5:E$16,2,FALSE))</f>
        <v>Feb</v>
      </c>
      <c r="AC4076">
        <f>MONTH(SalesData[[#This Row],[Date]])</f>
        <v>2</v>
      </c>
      <c r="AD4076">
        <f>Reference!F$4</f>
        <v>2026</v>
      </c>
      <c r="AE4076" t="str">
        <f>IF(OR(SalesData[[#This Row],[Day]]="Saturday",SalesData[[#This Row],[Day]]="Sunday"),"Weekend","Weekday")</f>
        <v>Weekday</v>
      </c>
      <c r="AF4076" s="5">
        <f>IF(SalesData[[#This Row],[Contracts Offered]]=0,0,SalesData[[#This Row],[Contracts Signed]]/SalesData[[#This Row],[Contracts Offered]])</f>
        <v>0.33333333333333331</v>
      </c>
      <c r="AG4076" s="5">
        <f>IF(SalesData[[#This Row],[Customers Visited]]=0,0,SalesData[[#This Row],[Test Drives]]/SalesData[[#This Row],[Customers Visited]])</f>
        <v>0.59433962264150941</v>
      </c>
      <c r="AH4076" s="5">
        <f>IF(SalesData[[#This Row],[Customers Visited]]=0,0,SalesData[[#This Row],[Contracts Signed]]/SalesData[[#This Row],[Customers Visited]])</f>
        <v>0.15566037735849056</v>
      </c>
      <c r="AI4076" s="6">
        <f>IF(SalesData[[#This Row],[Contracts Signed]]=0,0,SalesData[[#This Row],[Profit(€)]]/SalesData[[#This Row],[Contracts Signed]])</f>
        <v>19553</v>
      </c>
      <c r="AJ4076" s="5" t="str">
        <f>TRIM(CLEAN(SalesData[[#This Row],[Retailer]]))</f>
        <v>Autohaus Berlin</v>
      </c>
    </row>
    <row r="4077" spans="1:36" ht="14.25" hidden="1" x14ac:dyDescent="0.2">
      <c r="A4077" t="s">
        <v>5320</v>
      </c>
      <c r="B4077" s="1">
        <v>46066</v>
      </c>
      <c r="C4077" t="s">
        <v>121</v>
      </c>
      <c r="D4077" t="s">
        <v>54</v>
      </c>
      <c r="E4077" t="s">
        <v>26</v>
      </c>
      <c r="F4077" t="s">
        <v>43</v>
      </c>
      <c r="G4077" t="s">
        <v>44</v>
      </c>
      <c r="H4077" t="s">
        <v>45</v>
      </c>
      <c r="I4077" t="s">
        <v>64</v>
      </c>
      <c r="J4077" t="s">
        <v>7029</v>
      </c>
      <c r="K4077" t="s">
        <v>78</v>
      </c>
      <c r="L4077" t="s">
        <v>33</v>
      </c>
      <c r="M4077" t="s">
        <v>34</v>
      </c>
      <c r="N4077" t="s">
        <v>48</v>
      </c>
      <c r="O4077" t="s">
        <v>36</v>
      </c>
      <c r="P4077" t="s">
        <v>49</v>
      </c>
      <c r="Q4077" t="s">
        <v>122</v>
      </c>
      <c r="R4077">
        <v>166</v>
      </c>
      <c r="S4077">
        <v>79</v>
      </c>
      <c r="T4077">
        <v>61</v>
      </c>
      <c r="U4077">
        <v>18</v>
      </c>
      <c r="V4077" t="s">
        <v>6634</v>
      </c>
      <c r="W4077">
        <v>67964</v>
      </c>
      <c r="X4077" t="s">
        <v>3025</v>
      </c>
      <c r="Y4077">
        <v>53635</v>
      </c>
      <c r="Z4077">
        <v>1223352</v>
      </c>
      <c r="AA4077">
        <v>257922</v>
      </c>
      <c r="AB4077" t="str">
        <f>(VLOOKUP(SalesData[[#This Row],[Month Number]],Reference!C$5:E$16,2,FALSE))</f>
        <v>Feb</v>
      </c>
      <c r="AC4077">
        <f>MONTH(SalesData[[#This Row],[Date]])</f>
        <v>2</v>
      </c>
      <c r="AD4077">
        <f>Reference!F$4</f>
        <v>2026</v>
      </c>
      <c r="AE4077" t="str">
        <f>IF(OR(SalesData[[#This Row],[Day]]="Saturday",SalesData[[#This Row],[Day]]="Sunday"),"Weekend","Weekday")</f>
        <v>Weekday</v>
      </c>
      <c r="AF4077" s="5">
        <f>IF(SalesData[[#This Row],[Contracts Offered]]=0,0,SalesData[[#This Row],[Contracts Signed]]/SalesData[[#This Row],[Contracts Offered]])</f>
        <v>0.29508196721311475</v>
      </c>
      <c r="AG4077" s="5">
        <f>IF(SalesData[[#This Row],[Customers Visited]]=0,0,SalesData[[#This Row],[Test Drives]]/SalesData[[#This Row],[Customers Visited]])</f>
        <v>0.4759036144578313</v>
      </c>
      <c r="AH4077" s="5">
        <f>IF(SalesData[[#This Row],[Customers Visited]]=0,0,SalesData[[#This Row],[Contracts Signed]]/SalesData[[#This Row],[Customers Visited]])</f>
        <v>0.10843373493975904</v>
      </c>
      <c r="AI4077" s="6">
        <f>IF(SalesData[[#This Row],[Contracts Signed]]=0,0,SalesData[[#This Row],[Profit(€)]]/SalesData[[#This Row],[Contracts Signed]])</f>
        <v>14329</v>
      </c>
      <c r="AJ4077" s="5" t="str">
        <f>TRIM(CLEAN(SalesData[[#This Row],[Retailer]]))</f>
        <v>Saxon Wheels</v>
      </c>
    </row>
    <row r="4078" spans="1:36" ht="14.25" hidden="1" x14ac:dyDescent="0.2">
      <c r="A4078" t="s">
        <v>5321</v>
      </c>
      <c r="B4078" s="1">
        <v>46058</v>
      </c>
      <c r="C4078" t="s">
        <v>24</v>
      </c>
      <c r="D4078" t="s">
        <v>100</v>
      </c>
      <c r="E4078" t="s">
        <v>26</v>
      </c>
      <c r="F4078" t="s">
        <v>83</v>
      </c>
      <c r="G4078" t="s">
        <v>84</v>
      </c>
      <c r="H4078" t="s">
        <v>85</v>
      </c>
      <c r="I4078" t="s">
        <v>104</v>
      </c>
      <c r="J4078" t="s">
        <v>143</v>
      </c>
      <c r="K4078" t="s">
        <v>66</v>
      </c>
      <c r="L4078" t="s">
        <v>67</v>
      </c>
      <c r="M4078" t="s">
        <v>68</v>
      </c>
      <c r="N4078" t="s">
        <v>35</v>
      </c>
      <c r="O4078" t="s">
        <v>70</v>
      </c>
      <c r="P4078" t="s">
        <v>49</v>
      </c>
      <c r="Q4078" t="s">
        <v>152</v>
      </c>
      <c r="R4078">
        <v>334</v>
      </c>
      <c r="S4078">
        <v>181</v>
      </c>
      <c r="T4078">
        <v>125</v>
      </c>
      <c r="U4078">
        <v>25</v>
      </c>
      <c r="V4078" t="s">
        <v>3257</v>
      </c>
      <c r="W4078">
        <v>28009</v>
      </c>
      <c r="X4078" t="s">
        <v>2447</v>
      </c>
      <c r="Y4078">
        <v>25462</v>
      </c>
      <c r="Z4078">
        <v>700225</v>
      </c>
      <c r="AA4078">
        <v>63675</v>
      </c>
      <c r="AB4078" t="str">
        <f>(VLOOKUP(SalesData[[#This Row],[Month Number]],Reference!C$5:E$16,2,FALSE))</f>
        <v>Feb</v>
      </c>
      <c r="AC4078">
        <f>MONTH(SalesData[[#This Row],[Date]])</f>
        <v>2</v>
      </c>
      <c r="AD4078">
        <f>Reference!F$4</f>
        <v>2026</v>
      </c>
      <c r="AE4078" t="str">
        <f>IF(OR(SalesData[[#This Row],[Day]]="Saturday",SalesData[[#This Row],[Day]]="Sunday"),"Weekend","Weekday")</f>
        <v>Weekday</v>
      </c>
      <c r="AF4078" s="5">
        <f>IF(SalesData[[#This Row],[Contracts Offered]]=0,0,SalesData[[#This Row],[Contracts Signed]]/SalesData[[#This Row],[Contracts Offered]])</f>
        <v>0.2</v>
      </c>
      <c r="AG4078" s="5">
        <f>IF(SalesData[[#This Row],[Customers Visited]]=0,0,SalesData[[#This Row],[Test Drives]]/SalesData[[#This Row],[Customers Visited]])</f>
        <v>0.54191616766467066</v>
      </c>
      <c r="AH4078" s="5">
        <f>IF(SalesData[[#This Row],[Customers Visited]]=0,0,SalesData[[#This Row],[Contracts Signed]]/SalesData[[#This Row],[Customers Visited]])</f>
        <v>7.4850299401197598E-2</v>
      </c>
      <c r="AI4078" s="6">
        <f>IF(SalesData[[#This Row],[Contracts Signed]]=0,0,SalesData[[#This Row],[Profit(€)]]/SalesData[[#This Row],[Contracts Signed]])</f>
        <v>2547</v>
      </c>
      <c r="AJ4078" s="5" t="str">
        <f>TRIM(CLEAN(SalesData[[#This Row],[Retailer]]))</f>
        <v>Hannover Cars</v>
      </c>
    </row>
    <row r="4079" spans="1:36" ht="14.25" x14ac:dyDescent="0.2">
      <c r="A4079" t="s">
        <v>5322</v>
      </c>
      <c r="B4079" s="1">
        <v>46077</v>
      </c>
      <c r="C4079" t="s">
        <v>53</v>
      </c>
      <c r="D4079" t="s">
        <v>63</v>
      </c>
      <c r="E4079" t="s">
        <v>26</v>
      </c>
      <c r="F4079" t="s">
        <v>83</v>
      </c>
      <c r="G4079" t="s">
        <v>84</v>
      </c>
      <c r="H4079" t="s">
        <v>85</v>
      </c>
      <c r="I4079" t="s">
        <v>30</v>
      </c>
      <c r="J4079" t="s">
        <v>188</v>
      </c>
      <c r="K4079" t="s">
        <v>32</v>
      </c>
      <c r="L4079" t="s">
        <v>33</v>
      </c>
      <c r="M4079" t="s">
        <v>47</v>
      </c>
      <c r="N4079" t="s">
        <v>35</v>
      </c>
      <c r="O4079" t="s">
        <v>36</v>
      </c>
      <c r="P4079" t="s">
        <v>71</v>
      </c>
      <c r="Q4079" t="s">
        <v>129</v>
      </c>
      <c r="R4079">
        <v>191</v>
      </c>
      <c r="S4079">
        <v>92</v>
      </c>
      <c r="T4079">
        <v>73</v>
      </c>
      <c r="U4079">
        <v>25</v>
      </c>
      <c r="V4079" t="s">
        <v>6994</v>
      </c>
      <c r="W4079">
        <v>68915</v>
      </c>
      <c r="X4079" t="s">
        <v>7190</v>
      </c>
      <c r="Y4079">
        <v>52913</v>
      </c>
      <c r="Z4079">
        <v>1722875</v>
      </c>
      <c r="AA4079">
        <v>400050</v>
      </c>
      <c r="AB4079" t="str">
        <f>(VLOOKUP(SalesData[[#This Row],[Month Number]],Reference!C$5:E$16,2,FALSE))</f>
        <v>Feb</v>
      </c>
      <c r="AC4079">
        <f>MONTH(SalesData[[#This Row],[Date]])</f>
        <v>2</v>
      </c>
      <c r="AD4079">
        <f>Reference!F$4</f>
        <v>2026</v>
      </c>
      <c r="AE4079" t="str">
        <f>IF(OR(SalesData[[#This Row],[Day]]="Saturday",SalesData[[#This Row],[Day]]="Sunday"),"Weekend","Weekday")</f>
        <v>Weekday</v>
      </c>
      <c r="AF4079" s="5">
        <f>IF(SalesData[[#This Row],[Contracts Offered]]=0,0,SalesData[[#This Row],[Contracts Signed]]/SalesData[[#This Row],[Contracts Offered]])</f>
        <v>0.34246575342465752</v>
      </c>
      <c r="AG4079" s="5">
        <f>IF(SalesData[[#This Row],[Customers Visited]]=0,0,SalesData[[#This Row],[Test Drives]]/SalesData[[#This Row],[Customers Visited]])</f>
        <v>0.48167539267015708</v>
      </c>
      <c r="AH4079" s="5">
        <f>IF(SalesData[[#This Row],[Customers Visited]]=0,0,SalesData[[#This Row],[Contracts Signed]]/SalesData[[#This Row],[Customers Visited]])</f>
        <v>0.13089005235602094</v>
      </c>
      <c r="AI4079" s="6">
        <f>IF(SalesData[[#This Row],[Contracts Signed]]=0,0,SalesData[[#This Row],[Profit(€)]]/SalesData[[#This Row],[Contracts Signed]])</f>
        <v>16002</v>
      </c>
      <c r="AJ4079" s="5" t="str">
        <f>TRIM(CLEAN(SalesData[[#This Row],[Retailer]]))</f>
        <v>Hannover Cars</v>
      </c>
    </row>
    <row r="4080" spans="1:36" ht="14.25" hidden="1" x14ac:dyDescent="0.2">
      <c r="A4080" t="s">
        <v>5323</v>
      </c>
      <c r="B4080" s="1">
        <v>46079</v>
      </c>
      <c r="C4080" t="s">
        <v>53</v>
      </c>
      <c r="D4080" t="s">
        <v>100</v>
      </c>
      <c r="E4080" t="s">
        <v>26</v>
      </c>
      <c r="F4080" t="s">
        <v>114</v>
      </c>
      <c r="G4080" t="s">
        <v>115</v>
      </c>
      <c r="H4080" t="s">
        <v>115</v>
      </c>
      <c r="I4080" t="s">
        <v>56</v>
      </c>
      <c r="J4080" t="s">
        <v>7028</v>
      </c>
      <c r="K4080" t="s">
        <v>91</v>
      </c>
      <c r="L4080" t="s">
        <v>46</v>
      </c>
      <c r="M4080" t="s">
        <v>47</v>
      </c>
      <c r="N4080" t="s">
        <v>69</v>
      </c>
      <c r="O4080" t="s">
        <v>70</v>
      </c>
      <c r="P4080" t="s">
        <v>58</v>
      </c>
      <c r="Q4080" t="s">
        <v>172</v>
      </c>
      <c r="R4080">
        <v>251</v>
      </c>
      <c r="S4080">
        <v>137</v>
      </c>
      <c r="T4080">
        <v>98</v>
      </c>
      <c r="U4080">
        <v>34</v>
      </c>
      <c r="V4080" t="s">
        <v>6701</v>
      </c>
      <c r="W4080">
        <v>44321</v>
      </c>
      <c r="X4080" t="s">
        <v>5630</v>
      </c>
      <c r="Y4080">
        <v>33341</v>
      </c>
      <c r="Z4080">
        <v>1506914</v>
      </c>
      <c r="AA4080">
        <v>373320</v>
      </c>
      <c r="AB4080" t="str">
        <f>(VLOOKUP(SalesData[[#This Row],[Month Number]],Reference!C$5:E$16,2,FALSE))</f>
        <v>Feb</v>
      </c>
      <c r="AC4080">
        <f>MONTH(SalesData[[#This Row],[Date]])</f>
        <v>2</v>
      </c>
      <c r="AD4080">
        <f>Reference!F$4</f>
        <v>2026</v>
      </c>
      <c r="AE4080" t="str">
        <f>IF(OR(SalesData[[#This Row],[Day]]="Saturday",SalesData[[#This Row],[Day]]="Sunday"),"Weekend","Weekday")</f>
        <v>Weekday</v>
      </c>
      <c r="AF4080" s="5">
        <f>IF(SalesData[[#This Row],[Contracts Offered]]=0,0,SalesData[[#This Row],[Contracts Signed]]/SalesData[[#This Row],[Contracts Offered]])</f>
        <v>0.34693877551020408</v>
      </c>
      <c r="AG4080" s="5">
        <f>IF(SalesData[[#This Row],[Customers Visited]]=0,0,SalesData[[#This Row],[Test Drives]]/SalesData[[#This Row],[Customers Visited]])</f>
        <v>0.54581673306772904</v>
      </c>
      <c r="AH4080" s="5">
        <f>IF(SalesData[[#This Row],[Customers Visited]]=0,0,SalesData[[#This Row],[Contracts Signed]]/SalesData[[#This Row],[Customers Visited]])</f>
        <v>0.13545816733067728</v>
      </c>
      <c r="AI4080" s="6">
        <f>IF(SalesData[[#This Row],[Contracts Signed]]=0,0,SalesData[[#This Row],[Profit(€)]]/SalesData[[#This Row],[Contracts Signed]])</f>
        <v>10980</v>
      </c>
      <c r="AJ4080" s="5" t="str">
        <f>TRIM(CLEAN(SalesData[[#This Row],[Retailer]]))</f>
        <v>Elbe Drive</v>
      </c>
    </row>
    <row r="4081" spans="1:36" ht="14.25" hidden="1" x14ac:dyDescent="0.2">
      <c r="A4081" t="s">
        <v>5324</v>
      </c>
      <c r="B4081" s="1">
        <v>46062</v>
      </c>
      <c r="C4081" t="s">
        <v>121</v>
      </c>
      <c r="D4081" t="s">
        <v>25</v>
      </c>
      <c r="E4081" t="s">
        <v>26</v>
      </c>
      <c r="F4081" t="s">
        <v>109</v>
      </c>
      <c r="G4081" t="s">
        <v>110</v>
      </c>
      <c r="H4081" t="s">
        <v>45</v>
      </c>
      <c r="I4081" t="s">
        <v>64</v>
      </c>
      <c r="J4081" t="s">
        <v>77</v>
      </c>
      <c r="K4081" t="s">
        <v>32</v>
      </c>
      <c r="L4081" t="s">
        <v>46</v>
      </c>
      <c r="M4081" t="s">
        <v>87</v>
      </c>
      <c r="N4081" t="s">
        <v>48</v>
      </c>
      <c r="O4081" t="s">
        <v>70</v>
      </c>
      <c r="P4081" t="s">
        <v>37</v>
      </c>
      <c r="Q4081" t="s">
        <v>79</v>
      </c>
      <c r="R4081">
        <v>186</v>
      </c>
      <c r="S4081">
        <v>100</v>
      </c>
      <c r="T4081">
        <v>72</v>
      </c>
      <c r="U4081">
        <v>23</v>
      </c>
      <c r="V4081" t="s">
        <v>6571</v>
      </c>
      <c r="W4081">
        <v>66694</v>
      </c>
      <c r="X4081" t="s">
        <v>7194</v>
      </c>
      <c r="Y4081">
        <v>50273</v>
      </c>
      <c r="Z4081">
        <v>1533962</v>
      </c>
      <c r="AA4081">
        <v>377683</v>
      </c>
      <c r="AB4081" t="str">
        <f>(VLOOKUP(SalesData[[#This Row],[Month Number]],Reference!C$5:E$16,2,FALSE))</f>
        <v>Feb</v>
      </c>
      <c r="AC4081">
        <f>MONTH(SalesData[[#This Row],[Date]])</f>
        <v>2</v>
      </c>
      <c r="AD4081">
        <f>Reference!F$4</f>
        <v>2026</v>
      </c>
      <c r="AE4081" t="str">
        <f>IF(OR(SalesData[[#This Row],[Day]]="Saturday",SalesData[[#This Row],[Day]]="Sunday"),"Weekend","Weekday")</f>
        <v>Weekday</v>
      </c>
      <c r="AF4081" s="5">
        <f>IF(SalesData[[#This Row],[Contracts Offered]]=0,0,SalesData[[#This Row],[Contracts Signed]]/SalesData[[#This Row],[Contracts Offered]])</f>
        <v>0.31944444444444442</v>
      </c>
      <c r="AG4081" s="5">
        <f>IF(SalesData[[#This Row],[Customers Visited]]=0,0,SalesData[[#This Row],[Test Drives]]/SalesData[[#This Row],[Customers Visited]])</f>
        <v>0.5376344086021505</v>
      </c>
      <c r="AH4081" s="5">
        <f>IF(SalesData[[#This Row],[Customers Visited]]=0,0,SalesData[[#This Row],[Contracts Signed]]/SalesData[[#This Row],[Customers Visited]])</f>
        <v>0.12365591397849462</v>
      </c>
      <c r="AI4081" s="6">
        <f>IF(SalesData[[#This Row],[Contracts Signed]]=0,0,SalesData[[#This Row],[Profit(€)]]/SalesData[[#This Row],[Contracts Signed]])</f>
        <v>16421</v>
      </c>
      <c r="AJ4081" s="5" t="str">
        <f>TRIM(CLEAN(SalesData[[#This Row],[Retailer]]))</f>
        <v>Leipzig Mobility</v>
      </c>
    </row>
    <row r="4082" spans="1:36" ht="14.25" hidden="1" x14ac:dyDescent="0.2">
      <c r="A4082" t="s">
        <v>5325</v>
      </c>
      <c r="B4082" s="1">
        <v>46068</v>
      </c>
      <c r="C4082" t="s">
        <v>62</v>
      </c>
      <c r="D4082" t="s">
        <v>41</v>
      </c>
      <c r="E4082" t="s">
        <v>42</v>
      </c>
      <c r="F4082" t="s">
        <v>94</v>
      </c>
      <c r="G4082" t="s">
        <v>95</v>
      </c>
      <c r="H4082" t="s">
        <v>96</v>
      </c>
      <c r="I4082" t="s">
        <v>116</v>
      </c>
      <c r="J4082" t="s">
        <v>7090</v>
      </c>
      <c r="K4082" t="s">
        <v>78</v>
      </c>
      <c r="L4082" t="s">
        <v>46</v>
      </c>
      <c r="M4082" t="s">
        <v>34</v>
      </c>
      <c r="N4082" t="s">
        <v>69</v>
      </c>
      <c r="O4082" t="s">
        <v>70</v>
      </c>
      <c r="P4082" t="s">
        <v>37</v>
      </c>
      <c r="Q4082" t="s">
        <v>158</v>
      </c>
      <c r="R4082">
        <v>429</v>
      </c>
      <c r="S4082">
        <v>165</v>
      </c>
      <c r="T4082">
        <v>92</v>
      </c>
      <c r="U4082">
        <v>27</v>
      </c>
      <c r="V4082" t="s">
        <v>1015</v>
      </c>
      <c r="W4082">
        <v>20354</v>
      </c>
      <c r="X4082" t="s">
        <v>2370</v>
      </c>
      <c r="Y4082">
        <v>18452</v>
      </c>
      <c r="Z4082">
        <v>549558</v>
      </c>
      <c r="AA4082">
        <v>51354</v>
      </c>
      <c r="AB4082" t="str">
        <f>(VLOOKUP(SalesData[[#This Row],[Month Number]],Reference!C$5:E$16,2,FALSE))</f>
        <v>Feb</v>
      </c>
      <c r="AC4082">
        <f>MONTH(SalesData[[#This Row],[Date]])</f>
        <v>2</v>
      </c>
      <c r="AD4082">
        <f>Reference!F$4</f>
        <v>2026</v>
      </c>
      <c r="AE4082" t="str">
        <f>IF(OR(SalesData[[#This Row],[Day]]="Saturday",SalesData[[#This Row],[Day]]="Sunday"),"Weekend","Weekday")</f>
        <v>Weekend</v>
      </c>
      <c r="AF4082" s="5">
        <f>IF(SalesData[[#This Row],[Contracts Offered]]=0,0,SalesData[[#This Row],[Contracts Signed]]/SalesData[[#This Row],[Contracts Offered]])</f>
        <v>0.29347826086956524</v>
      </c>
      <c r="AG4082" s="5">
        <f>IF(SalesData[[#This Row],[Customers Visited]]=0,0,SalesData[[#This Row],[Test Drives]]/SalesData[[#This Row],[Customers Visited]])</f>
        <v>0.38461538461538464</v>
      </c>
      <c r="AH4082" s="5">
        <f>IF(SalesData[[#This Row],[Customers Visited]]=0,0,SalesData[[#This Row],[Contracts Signed]]/SalesData[[#This Row],[Customers Visited]])</f>
        <v>6.2937062937062943E-2</v>
      </c>
      <c r="AI4082" s="6">
        <f>IF(SalesData[[#This Row],[Contracts Signed]]=0,0,SalesData[[#This Row],[Profit(€)]]/SalesData[[#This Row],[Contracts Signed]])</f>
        <v>1902</v>
      </c>
      <c r="AJ4082" s="5" t="str">
        <f>TRIM(CLEAN(SalesData[[#This Row],[Retailer]]))</f>
        <v>Bavaria Motors</v>
      </c>
    </row>
    <row r="4083" spans="1:36" ht="14.25" hidden="1" x14ac:dyDescent="0.2">
      <c r="A4083" t="s">
        <v>5326</v>
      </c>
      <c r="B4083" s="1">
        <v>46062</v>
      </c>
      <c r="C4083" t="s">
        <v>121</v>
      </c>
      <c r="D4083" t="s">
        <v>25</v>
      </c>
      <c r="E4083" t="s">
        <v>26</v>
      </c>
      <c r="F4083" t="s">
        <v>43</v>
      </c>
      <c r="G4083" t="s">
        <v>44</v>
      </c>
      <c r="H4083" t="s">
        <v>45</v>
      </c>
      <c r="I4083" t="s">
        <v>64</v>
      </c>
      <c r="J4083" t="s">
        <v>77</v>
      </c>
      <c r="K4083" t="s">
        <v>32</v>
      </c>
      <c r="L4083" t="s">
        <v>46</v>
      </c>
      <c r="M4083" t="s">
        <v>87</v>
      </c>
      <c r="N4083" t="s">
        <v>35</v>
      </c>
      <c r="O4083" t="s">
        <v>70</v>
      </c>
      <c r="P4083" t="s">
        <v>58</v>
      </c>
      <c r="Q4083" t="s">
        <v>158</v>
      </c>
      <c r="R4083">
        <v>263</v>
      </c>
      <c r="S4083">
        <v>117</v>
      </c>
      <c r="T4083">
        <v>81</v>
      </c>
      <c r="U4083">
        <v>33</v>
      </c>
      <c r="V4083" t="s">
        <v>6501</v>
      </c>
      <c r="W4083">
        <v>63077</v>
      </c>
      <c r="X4083" t="s">
        <v>7309</v>
      </c>
      <c r="Y4083">
        <v>47951</v>
      </c>
      <c r="Z4083">
        <v>2081541</v>
      </c>
      <c r="AA4083">
        <v>499158</v>
      </c>
      <c r="AB4083" t="str">
        <f>(VLOOKUP(SalesData[[#This Row],[Month Number]],Reference!C$5:E$16,2,FALSE))</f>
        <v>Feb</v>
      </c>
      <c r="AC4083">
        <f>MONTH(SalesData[[#This Row],[Date]])</f>
        <v>2</v>
      </c>
      <c r="AD4083">
        <f>Reference!F$4</f>
        <v>2026</v>
      </c>
      <c r="AE4083" t="str">
        <f>IF(OR(SalesData[[#This Row],[Day]]="Saturday",SalesData[[#This Row],[Day]]="Sunday"),"Weekend","Weekday")</f>
        <v>Weekday</v>
      </c>
      <c r="AF4083" s="5">
        <f>IF(SalesData[[#This Row],[Contracts Offered]]=0,0,SalesData[[#This Row],[Contracts Signed]]/SalesData[[#This Row],[Contracts Offered]])</f>
        <v>0.40740740740740738</v>
      </c>
      <c r="AG4083" s="5">
        <f>IF(SalesData[[#This Row],[Customers Visited]]=0,0,SalesData[[#This Row],[Test Drives]]/SalesData[[#This Row],[Customers Visited]])</f>
        <v>0.44486692015209123</v>
      </c>
      <c r="AH4083" s="5">
        <f>IF(SalesData[[#This Row],[Customers Visited]]=0,0,SalesData[[#This Row],[Contracts Signed]]/SalesData[[#This Row],[Customers Visited]])</f>
        <v>0.12547528517110265</v>
      </c>
      <c r="AI4083" s="6">
        <f>IF(SalesData[[#This Row],[Contracts Signed]]=0,0,SalesData[[#This Row],[Profit(€)]]/SalesData[[#This Row],[Contracts Signed]])</f>
        <v>15126</v>
      </c>
      <c r="AJ4083" s="5" t="str">
        <f>TRIM(CLEAN(SalesData[[#This Row],[Retailer]]))</f>
        <v>Saxon Wheels</v>
      </c>
    </row>
    <row r="4084" spans="1:36" ht="14.25" x14ac:dyDescent="0.2">
      <c r="A4084" t="s">
        <v>5327</v>
      </c>
      <c r="B4084" s="1">
        <v>46066</v>
      </c>
      <c r="C4084" t="s">
        <v>121</v>
      </c>
      <c r="D4084" t="s">
        <v>54</v>
      </c>
      <c r="E4084" t="s">
        <v>26</v>
      </c>
      <c r="F4084" t="s">
        <v>27</v>
      </c>
      <c r="G4084" t="s">
        <v>28</v>
      </c>
      <c r="H4084" t="s">
        <v>29</v>
      </c>
      <c r="I4084" t="s">
        <v>30</v>
      </c>
      <c r="J4084" t="s">
        <v>31</v>
      </c>
      <c r="K4084" t="s">
        <v>91</v>
      </c>
      <c r="L4084" t="s">
        <v>46</v>
      </c>
      <c r="M4084" t="s">
        <v>68</v>
      </c>
      <c r="N4084" t="s">
        <v>69</v>
      </c>
      <c r="O4084" t="s">
        <v>70</v>
      </c>
      <c r="P4084" t="s">
        <v>58</v>
      </c>
      <c r="Q4084" t="s">
        <v>135</v>
      </c>
      <c r="R4084">
        <v>268</v>
      </c>
      <c r="S4084">
        <v>165</v>
      </c>
      <c r="T4084">
        <v>131</v>
      </c>
      <c r="U4084">
        <v>52</v>
      </c>
      <c r="V4084" t="s">
        <v>7368</v>
      </c>
      <c r="W4084">
        <v>56823</v>
      </c>
      <c r="X4084" t="s">
        <v>5630</v>
      </c>
      <c r="Y4084">
        <v>41557</v>
      </c>
      <c r="Z4084">
        <v>2954796</v>
      </c>
      <c r="AA4084">
        <v>793832</v>
      </c>
      <c r="AB4084" t="str">
        <f>(VLOOKUP(SalesData[[#This Row],[Month Number]],Reference!C$5:E$16,2,FALSE))</f>
        <v>Feb</v>
      </c>
      <c r="AC4084">
        <f>MONTH(SalesData[[#This Row],[Date]])</f>
        <v>2</v>
      </c>
      <c r="AD4084">
        <f>Reference!F$4</f>
        <v>2026</v>
      </c>
      <c r="AE4084" t="str">
        <f>IF(OR(SalesData[[#This Row],[Day]]="Saturday",SalesData[[#This Row],[Day]]="Sunday"),"Weekend","Weekday")</f>
        <v>Weekday</v>
      </c>
      <c r="AF4084" s="5">
        <f>IF(SalesData[[#This Row],[Contracts Offered]]=0,0,SalesData[[#This Row],[Contracts Signed]]/SalesData[[#This Row],[Contracts Offered]])</f>
        <v>0.39694656488549618</v>
      </c>
      <c r="AG4084" s="5">
        <f>IF(SalesData[[#This Row],[Customers Visited]]=0,0,SalesData[[#This Row],[Test Drives]]/SalesData[[#This Row],[Customers Visited]])</f>
        <v>0.61567164179104472</v>
      </c>
      <c r="AH4084" s="5">
        <f>IF(SalesData[[#This Row],[Customers Visited]]=0,0,SalesData[[#This Row],[Contracts Signed]]/SalesData[[#This Row],[Customers Visited]])</f>
        <v>0.19402985074626866</v>
      </c>
      <c r="AI4084" s="6">
        <f>IF(SalesData[[#This Row],[Contracts Signed]]=0,0,SalesData[[#This Row],[Profit(€)]]/SalesData[[#This Row],[Contracts Signed]])</f>
        <v>15266</v>
      </c>
      <c r="AJ4084" s="5" t="str">
        <f>TRIM(CLEAN(SalesData[[#This Row],[Retailer]]))</f>
        <v>Main Auto Hub</v>
      </c>
    </row>
    <row r="4085" spans="1:36" ht="14.25" x14ac:dyDescent="0.2">
      <c r="A4085" t="s">
        <v>5328</v>
      </c>
      <c r="B4085" s="1">
        <v>46068</v>
      </c>
      <c r="C4085" t="s">
        <v>62</v>
      </c>
      <c r="D4085" t="s">
        <v>41</v>
      </c>
      <c r="E4085" t="s">
        <v>42</v>
      </c>
      <c r="F4085" t="s">
        <v>43</v>
      </c>
      <c r="G4085" t="s">
        <v>44</v>
      </c>
      <c r="H4085" t="s">
        <v>45</v>
      </c>
      <c r="I4085" t="s">
        <v>30</v>
      </c>
      <c r="J4085" t="s">
        <v>86</v>
      </c>
      <c r="K4085" t="s">
        <v>66</v>
      </c>
      <c r="L4085" t="s">
        <v>33</v>
      </c>
      <c r="M4085" t="s">
        <v>68</v>
      </c>
      <c r="N4085" t="s">
        <v>48</v>
      </c>
      <c r="O4085" t="s">
        <v>70</v>
      </c>
      <c r="P4085" t="s">
        <v>49</v>
      </c>
      <c r="Q4085" t="s">
        <v>50</v>
      </c>
      <c r="R4085">
        <v>181</v>
      </c>
      <c r="S4085">
        <v>90</v>
      </c>
      <c r="T4085">
        <v>64</v>
      </c>
      <c r="U4085">
        <v>21</v>
      </c>
      <c r="V4085" t="s">
        <v>6365</v>
      </c>
      <c r="W4085">
        <v>49262</v>
      </c>
      <c r="X4085" t="s">
        <v>702</v>
      </c>
      <c r="Y4085">
        <v>35382</v>
      </c>
      <c r="Z4085">
        <v>1034502</v>
      </c>
      <c r="AA4085">
        <v>291480</v>
      </c>
      <c r="AB4085" t="str">
        <f>(VLOOKUP(SalesData[[#This Row],[Month Number]],Reference!C$5:E$16,2,FALSE))</f>
        <v>Feb</v>
      </c>
      <c r="AC4085">
        <f>MONTH(SalesData[[#This Row],[Date]])</f>
        <v>2</v>
      </c>
      <c r="AD4085">
        <f>Reference!F$4</f>
        <v>2026</v>
      </c>
      <c r="AE4085" t="str">
        <f>IF(OR(SalesData[[#This Row],[Day]]="Saturday",SalesData[[#This Row],[Day]]="Sunday"),"Weekend","Weekday")</f>
        <v>Weekend</v>
      </c>
      <c r="AF4085" s="5">
        <f>IF(SalesData[[#This Row],[Contracts Offered]]=0,0,SalesData[[#This Row],[Contracts Signed]]/SalesData[[#This Row],[Contracts Offered]])</f>
        <v>0.328125</v>
      </c>
      <c r="AG4085" s="5">
        <f>IF(SalesData[[#This Row],[Customers Visited]]=0,0,SalesData[[#This Row],[Test Drives]]/SalesData[[#This Row],[Customers Visited]])</f>
        <v>0.49723756906077349</v>
      </c>
      <c r="AH4085" s="5">
        <f>IF(SalesData[[#This Row],[Customers Visited]]=0,0,SalesData[[#This Row],[Contracts Signed]]/SalesData[[#This Row],[Customers Visited]])</f>
        <v>0.11602209944751381</v>
      </c>
      <c r="AI4085" s="6">
        <f>IF(SalesData[[#This Row],[Contracts Signed]]=0,0,SalesData[[#This Row],[Profit(€)]]/SalesData[[#This Row],[Contracts Signed]])</f>
        <v>13880</v>
      </c>
      <c r="AJ4085" s="5" t="str">
        <f>TRIM(CLEAN(SalesData[[#This Row],[Retailer]]))</f>
        <v>Saxon Wheels</v>
      </c>
    </row>
    <row r="4086" spans="1:36" ht="14.25" hidden="1" x14ac:dyDescent="0.2">
      <c r="A4086" t="s">
        <v>5329</v>
      </c>
      <c r="B4086" s="1">
        <v>46077</v>
      </c>
      <c r="C4086" t="s">
        <v>53</v>
      </c>
      <c r="D4086" t="s">
        <v>63</v>
      </c>
      <c r="E4086" t="s">
        <v>26</v>
      </c>
      <c r="F4086" t="s">
        <v>83</v>
      </c>
      <c r="G4086" t="s">
        <v>84</v>
      </c>
      <c r="H4086" t="s">
        <v>85</v>
      </c>
      <c r="I4086" t="s">
        <v>116</v>
      </c>
      <c r="J4086" t="s">
        <v>132</v>
      </c>
      <c r="K4086" t="s">
        <v>66</v>
      </c>
      <c r="L4086" t="s">
        <v>46</v>
      </c>
      <c r="M4086" t="s">
        <v>47</v>
      </c>
      <c r="N4086" t="s">
        <v>48</v>
      </c>
      <c r="O4086" t="s">
        <v>36</v>
      </c>
      <c r="P4086" t="s">
        <v>37</v>
      </c>
      <c r="Q4086" t="s">
        <v>189</v>
      </c>
      <c r="R4086">
        <v>262</v>
      </c>
      <c r="S4086">
        <v>141</v>
      </c>
      <c r="T4086">
        <v>95</v>
      </c>
      <c r="U4086">
        <v>21</v>
      </c>
      <c r="V4086" t="s">
        <v>630</v>
      </c>
      <c r="W4086">
        <v>20933</v>
      </c>
      <c r="X4086" t="s">
        <v>4064</v>
      </c>
      <c r="Y4086">
        <v>19157</v>
      </c>
      <c r="Z4086">
        <v>439593</v>
      </c>
      <c r="AA4086">
        <v>37296</v>
      </c>
      <c r="AB4086" t="str">
        <f>(VLOOKUP(SalesData[[#This Row],[Month Number]],Reference!C$5:E$16,2,FALSE))</f>
        <v>Feb</v>
      </c>
      <c r="AC4086">
        <f>MONTH(SalesData[[#This Row],[Date]])</f>
        <v>2</v>
      </c>
      <c r="AD4086">
        <f>Reference!F$4</f>
        <v>2026</v>
      </c>
      <c r="AE4086" t="str">
        <f>IF(OR(SalesData[[#This Row],[Day]]="Saturday",SalesData[[#This Row],[Day]]="Sunday"),"Weekend","Weekday")</f>
        <v>Weekday</v>
      </c>
      <c r="AF4086" s="5">
        <f>IF(SalesData[[#This Row],[Contracts Offered]]=0,0,SalesData[[#This Row],[Contracts Signed]]/SalesData[[#This Row],[Contracts Offered]])</f>
        <v>0.22105263157894736</v>
      </c>
      <c r="AG4086" s="5">
        <f>IF(SalesData[[#This Row],[Customers Visited]]=0,0,SalesData[[#This Row],[Test Drives]]/SalesData[[#This Row],[Customers Visited]])</f>
        <v>0.53816793893129766</v>
      </c>
      <c r="AH4086" s="5">
        <f>IF(SalesData[[#This Row],[Customers Visited]]=0,0,SalesData[[#This Row],[Contracts Signed]]/SalesData[[#This Row],[Customers Visited]])</f>
        <v>8.0152671755725186E-2</v>
      </c>
      <c r="AI4086" s="6">
        <f>IF(SalesData[[#This Row],[Contracts Signed]]=0,0,SalesData[[#This Row],[Profit(€)]]/SalesData[[#This Row],[Contracts Signed]])</f>
        <v>1776</v>
      </c>
      <c r="AJ4086" s="5" t="str">
        <f>TRIM(CLEAN(SalesData[[#This Row],[Retailer]]))</f>
        <v>Hannover Cars</v>
      </c>
    </row>
    <row r="4087" spans="1:36" ht="14.25" hidden="1" x14ac:dyDescent="0.2">
      <c r="A4087" t="s">
        <v>5330</v>
      </c>
      <c r="B4087" s="1">
        <v>46060</v>
      </c>
      <c r="C4087" t="s">
        <v>24</v>
      </c>
      <c r="D4087" t="s">
        <v>151</v>
      </c>
      <c r="E4087" t="s">
        <v>42</v>
      </c>
      <c r="F4087" t="s">
        <v>114</v>
      </c>
      <c r="G4087" t="s">
        <v>115</v>
      </c>
      <c r="H4087" t="s">
        <v>115</v>
      </c>
      <c r="I4087" t="s">
        <v>104</v>
      </c>
      <c r="J4087" t="s">
        <v>105</v>
      </c>
      <c r="K4087" t="s">
        <v>32</v>
      </c>
      <c r="L4087" t="s">
        <v>33</v>
      </c>
      <c r="M4087" t="s">
        <v>87</v>
      </c>
      <c r="N4087" t="s">
        <v>35</v>
      </c>
      <c r="O4087" t="s">
        <v>70</v>
      </c>
      <c r="P4087" t="s">
        <v>49</v>
      </c>
      <c r="Q4087" t="s">
        <v>189</v>
      </c>
      <c r="R4087">
        <v>337</v>
      </c>
      <c r="S4087">
        <v>145</v>
      </c>
      <c r="T4087">
        <v>95</v>
      </c>
      <c r="U4087">
        <v>19</v>
      </c>
      <c r="V4087" t="s">
        <v>2237</v>
      </c>
      <c r="W4087">
        <v>28466</v>
      </c>
      <c r="X4087" t="s">
        <v>220</v>
      </c>
      <c r="Y4087">
        <v>25029</v>
      </c>
      <c r="Z4087">
        <v>540854</v>
      </c>
      <c r="AA4087">
        <v>65303</v>
      </c>
      <c r="AB4087" t="str">
        <f>(VLOOKUP(SalesData[[#This Row],[Month Number]],Reference!C$5:E$16,2,FALSE))</f>
        <v>Feb</v>
      </c>
      <c r="AC4087">
        <f>MONTH(SalesData[[#This Row],[Date]])</f>
        <v>2</v>
      </c>
      <c r="AD4087">
        <f>Reference!F$4</f>
        <v>2026</v>
      </c>
      <c r="AE4087" t="str">
        <f>IF(OR(SalesData[[#This Row],[Day]]="Saturday",SalesData[[#This Row],[Day]]="Sunday"),"Weekend","Weekday")</f>
        <v>Weekend</v>
      </c>
      <c r="AF4087" s="5">
        <f>IF(SalesData[[#This Row],[Contracts Offered]]=0,0,SalesData[[#This Row],[Contracts Signed]]/SalesData[[#This Row],[Contracts Offered]])</f>
        <v>0.2</v>
      </c>
      <c r="AG4087" s="5">
        <f>IF(SalesData[[#This Row],[Customers Visited]]=0,0,SalesData[[#This Row],[Test Drives]]/SalesData[[#This Row],[Customers Visited]])</f>
        <v>0.43026706231454004</v>
      </c>
      <c r="AH4087" s="5">
        <f>IF(SalesData[[#This Row],[Customers Visited]]=0,0,SalesData[[#This Row],[Contracts Signed]]/SalesData[[#This Row],[Customers Visited]])</f>
        <v>5.637982195845697E-2</v>
      </c>
      <c r="AI4087" s="6">
        <f>IF(SalesData[[#This Row],[Contracts Signed]]=0,0,SalesData[[#This Row],[Profit(€)]]/SalesData[[#This Row],[Contracts Signed]])</f>
        <v>3437</v>
      </c>
      <c r="AJ4087" s="5" t="str">
        <f>TRIM(CLEAN(SalesData[[#This Row],[Retailer]]))</f>
        <v>Elbe Drive</v>
      </c>
    </row>
    <row r="4088" spans="1:36" ht="14.25" hidden="1" x14ac:dyDescent="0.2">
      <c r="A4088" t="s">
        <v>5331</v>
      </c>
      <c r="B4088" s="1">
        <v>46076</v>
      </c>
      <c r="C4088" t="s">
        <v>53</v>
      </c>
      <c r="D4088" t="s">
        <v>25</v>
      </c>
      <c r="E4088" t="s">
        <v>26</v>
      </c>
      <c r="F4088" t="s">
        <v>7649</v>
      </c>
      <c r="G4088" t="s">
        <v>55</v>
      </c>
      <c r="H4088" t="s">
        <v>55</v>
      </c>
      <c r="I4088" t="s">
        <v>56</v>
      </c>
      <c r="J4088" t="s">
        <v>179</v>
      </c>
      <c r="K4088" t="s">
        <v>32</v>
      </c>
      <c r="L4088" t="s">
        <v>67</v>
      </c>
      <c r="M4088" t="s">
        <v>87</v>
      </c>
      <c r="N4088" t="s">
        <v>48</v>
      </c>
      <c r="O4088" t="s">
        <v>36</v>
      </c>
      <c r="P4088" t="s">
        <v>49</v>
      </c>
      <c r="Q4088" t="s">
        <v>79</v>
      </c>
      <c r="R4088">
        <v>278</v>
      </c>
      <c r="S4088">
        <v>152</v>
      </c>
      <c r="T4088">
        <v>117</v>
      </c>
      <c r="U4088">
        <v>36</v>
      </c>
      <c r="V4088" t="s">
        <v>6441</v>
      </c>
      <c r="W4088">
        <v>47387</v>
      </c>
      <c r="X4088" t="s">
        <v>2313</v>
      </c>
      <c r="Y4088">
        <v>38429</v>
      </c>
      <c r="Z4088">
        <v>1705932</v>
      </c>
      <c r="AA4088">
        <v>322488</v>
      </c>
      <c r="AB4088" t="str">
        <f>(VLOOKUP(SalesData[[#This Row],[Month Number]],Reference!C$5:E$16,2,FALSE))</f>
        <v>Feb</v>
      </c>
      <c r="AC4088">
        <f>MONTH(SalesData[[#This Row],[Date]])</f>
        <v>2</v>
      </c>
      <c r="AD4088">
        <f>Reference!F$4</f>
        <v>2026</v>
      </c>
      <c r="AE4088" t="str">
        <f>IF(OR(SalesData[[#This Row],[Day]]="Saturday",SalesData[[#This Row],[Day]]="Sunday"),"Weekend","Weekday")</f>
        <v>Weekday</v>
      </c>
      <c r="AF4088" s="5">
        <f>IF(SalesData[[#This Row],[Contracts Offered]]=0,0,SalesData[[#This Row],[Contracts Signed]]/SalesData[[#This Row],[Contracts Offered]])</f>
        <v>0.30769230769230771</v>
      </c>
      <c r="AG4088" s="5">
        <f>IF(SalesData[[#This Row],[Customers Visited]]=0,0,SalesData[[#This Row],[Test Drives]]/SalesData[[#This Row],[Customers Visited]])</f>
        <v>0.5467625899280576</v>
      </c>
      <c r="AH4088" s="5">
        <f>IF(SalesData[[#This Row],[Customers Visited]]=0,0,SalesData[[#This Row],[Contracts Signed]]/SalesData[[#This Row],[Customers Visited]])</f>
        <v>0.12949640287769784</v>
      </c>
      <c r="AI4088" s="6">
        <f>IF(SalesData[[#This Row],[Contracts Signed]]=0,0,SalesData[[#This Row],[Profit(€)]]/SalesData[[#This Row],[Contracts Signed]])</f>
        <v>8958</v>
      </c>
      <c r="AJ4088" s="5" t="str">
        <f>TRIM(CLEAN(SalesData[[#This Row],[Retailer]]))</f>
        <v>Autohaus Berlin</v>
      </c>
    </row>
    <row r="4089" spans="1:36" ht="14.25" hidden="1" x14ac:dyDescent="0.2">
      <c r="A4089" t="s">
        <v>5333</v>
      </c>
      <c r="B4089" s="1">
        <v>46074</v>
      </c>
      <c r="C4089" t="s">
        <v>62</v>
      </c>
      <c r="D4089" t="s">
        <v>151</v>
      </c>
      <c r="E4089" t="s">
        <v>42</v>
      </c>
      <c r="F4089" t="s">
        <v>27</v>
      </c>
      <c r="G4089" t="s">
        <v>28</v>
      </c>
      <c r="H4089" t="s">
        <v>29</v>
      </c>
      <c r="I4089" t="s">
        <v>116</v>
      </c>
      <c r="J4089" t="s">
        <v>7026</v>
      </c>
      <c r="K4089" t="s">
        <v>91</v>
      </c>
      <c r="L4089" t="s">
        <v>46</v>
      </c>
      <c r="M4089" t="s">
        <v>34</v>
      </c>
      <c r="N4089" t="s">
        <v>35</v>
      </c>
      <c r="O4089" t="s">
        <v>36</v>
      </c>
      <c r="P4089" t="s">
        <v>37</v>
      </c>
      <c r="Q4089" t="s">
        <v>158</v>
      </c>
      <c r="R4089">
        <v>426</v>
      </c>
      <c r="S4089">
        <v>223</v>
      </c>
      <c r="T4089">
        <v>127</v>
      </c>
      <c r="U4089">
        <v>35</v>
      </c>
      <c r="V4089" t="s">
        <v>2453</v>
      </c>
      <c r="W4089">
        <v>24591</v>
      </c>
      <c r="X4089" t="s">
        <v>7292</v>
      </c>
      <c r="Y4089">
        <v>22773</v>
      </c>
      <c r="Z4089">
        <v>860685</v>
      </c>
      <c r="AA4089">
        <v>63630</v>
      </c>
      <c r="AB4089" t="str">
        <f>(VLOOKUP(SalesData[[#This Row],[Month Number]],Reference!C$5:E$16,2,FALSE))</f>
        <v>Feb</v>
      </c>
      <c r="AC4089">
        <f>MONTH(SalesData[[#This Row],[Date]])</f>
        <v>2</v>
      </c>
      <c r="AD4089">
        <f>Reference!F$4</f>
        <v>2026</v>
      </c>
      <c r="AE4089" t="str">
        <f>IF(OR(SalesData[[#This Row],[Day]]="Saturday",SalesData[[#This Row],[Day]]="Sunday"),"Weekend","Weekday")</f>
        <v>Weekend</v>
      </c>
      <c r="AF4089" s="5">
        <f>IF(SalesData[[#This Row],[Contracts Offered]]=0,0,SalesData[[#This Row],[Contracts Signed]]/SalesData[[#This Row],[Contracts Offered]])</f>
        <v>0.27559055118110237</v>
      </c>
      <c r="AG4089" s="5">
        <f>IF(SalesData[[#This Row],[Customers Visited]]=0,0,SalesData[[#This Row],[Test Drives]]/SalesData[[#This Row],[Customers Visited]])</f>
        <v>0.52347417840375587</v>
      </c>
      <c r="AH4089" s="5">
        <f>IF(SalesData[[#This Row],[Customers Visited]]=0,0,SalesData[[#This Row],[Contracts Signed]]/SalesData[[#This Row],[Customers Visited]])</f>
        <v>8.2159624413145546E-2</v>
      </c>
      <c r="AI4089" s="6">
        <f>IF(SalesData[[#This Row],[Contracts Signed]]=0,0,SalesData[[#This Row],[Profit(€)]]/SalesData[[#This Row],[Contracts Signed]])</f>
        <v>1818</v>
      </c>
      <c r="AJ4089" s="5" t="str">
        <f>TRIM(CLEAN(SalesData[[#This Row],[Retailer]]))</f>
        <v>Main Auto Hub</v>
      </c>
    </row>
    <row r="4090" spans="1:36" ht="14.25" hidden="1" x14ac:dyDescent="0.2">
      <c r="A4090" t="s">
        <v>5334</v>
      </c>
      <c r="B4090" s="1">
        <v>46080</v>
      </c>
      <c r="C4090" t="s">
        <v>53</v>
      </c>
      <c r="D4090" t="s">
        <v>54</v>
      </c>
      <c r="E4090" t="s">
        <v>26</v>
      </c>
      <c r="F4090" t="s">
        <v>83</v>
      </c>
      <c r="G4090" t="s">
        <v>84</v>
      </c>
      <c r="H4090" t="s">
        <v>85</v>
      </c>
      <c r="I4090" t="s">
        <v>56</v>
      </c>
      <c r="J4090" t="s">
        <v>137</v>
      </c>
      <c r="K4090" t="s">
        <v>91</v>
      </c>
      <c r="L4090" t="s">
        <v>46</v>
      </c>
      <c r="M4090" t="s">
        <v>47</v>
      </c>
      <c r="N4090" t="s">
        <v>35</v>
      </c>
      <c r="O4090" t="s">
        <v>36</v>
      </c>
      <c r="P4090" t="s">
        <v>58</v>
      </c>
      <c r="Q4090" t="s">
        <v>50</v>
      </c>
      <c r="R4090">
        <v>167</v>
      </c>
      <c r="S4090">
        <v>80</v>
      </c>
      <c r="T4090">
        <v>62</v>
      </c>
      <c r="U4090">
        <v>21</v>
      </c>
      <c r="V4090" t="s">
        <v>6824</v>
      </c>
      <c r="W4090">
        <v>54215</v>
      </c>
      <c r="X4090" t="s">
        <v>1754</v>
      </c>
      <c r="Y4090">
        <v>42177</v>
      </c>
      <c r="Z4090">
        <v>1138515</v>
      </c>
      <c r="AA4090">
        <v>252798</v>
      </c>
      <c r="AB4090" t="str">
        <f>(VLOOKUP(SalesData[[#This Row],[Month Number]],Reference!C$5:E$16,2,FALSE))</f>
        <v>Feb</v>
      </c>
      <c r="AC4090">
        <f>MONTH(SalesData[[#This Row],[Date]])</f>
        <v>2</v>
      </c>
      <c r="AD4090">
        <f>Reference!F$4</f>
        <v>2026</v>
      </c>
      <c r="AE4090" t="str">
        <f>IF(OR(SalesData[[#This Row],[Day]]="Saturday",SalesData[[#This Row],[Day]]="Sunday"),"Weekend","Weekday")</f>
        <v>Weekday</v>
      </c>
      <c r="AF4090" s="5">
        <f>IF(SalesData[[#This Row],[Contracts Offered]]=0,0,SalesData[[#This Row],[Contracts Signed]]/SalesData[[#This Row],[Contracts Offered]])</f>
        <v>0.33870967741935482</v>
      </c>
      <c r="AG4090" s="5">
        <f>IF(SalesData[[#This Row],[Customers Visited]]=0,0,SalesData[[#This Row],[Test Drives]]/SalesData[[#This Row],[Customers Visited]])</f>
        <v>0.47904191616766467</v>
      </c>
      <c r="AH4090" s="5">
        <f>IF(SalesData[[#This Row],[Customers Visited]]=0,0,SalesData[[#This Row],[Contracts Signed]]/SalesData[[#This Row],[Customers Visited]])</f>
        <v>0.12574850299401197</v>
      </c>
      <c r="AI4090" s="6">
        <f>IF(SalesData[[#This Row],[Contracts Signed]]=0,0,SalesData[[#This Row],[Profit(€)]]/SalesData[[#This Row],[Contracts Signed]])</f>
        <v>12038</v>
      </c>
      <c r="AJ4090" s="5" t="str">
        <f>TRIM(CLEAN(SalesData[[#This Row],[Retailer]]))</f>
        <v>Hannover Cars</v>
      </c>
    </row>
    <row r="4091" spans="1:36" ht="14.25" hidden="1" x14ac:dyDescent="0.2">
      <c r="A4091" t="s">
        <v>5335</v>
      </c>
      <c r="B4091" s="1">
        <v>46056</v>
      </c>
      <c r="C4091" t="s">
        <v>24</v>
      </c>
      <c r="D4091" t="s">
        <v>63</v>
      </c>
      <c r="E4091" t="s">
        <v>26</v>
      </c>
      <c r="F4091" t="s">
        <v>74</v>
      </c>
      <c r="G4091" t="s">
        <v>75</v>
      </c>
      <c r="H4091" t="s">
        <v>76</v>
      </c>
      <c r="I4091" t="s">
        <v>116</v>
      </c>
      <c r="J4091" t="s">
        <v>117</v>
      </c>
      <c r="K4091" t="s">
        <v>32</v>
      </c>
      <c r="L4091" t="s">
        <v>67</v>
      </c>
      <c r="M4091" t="s">
        <v>47</v>
      </c>
      <c r="N4091" t="s">
        <v>35</v>
      </c>
      <c r="O4091" t="s">
        <v>70</v>
      </c>
      <c r="P4091" t="s">
        <v>71</v>
      </c>
      <c r="Q4091" t="s">
        <v>167</v>
      </c>
      <c r="R4091">
        <v>322</v>
      </c>
      <c r="S4091">
        <v>151</v>
      </c>
      <c r="T4091">
        <v>94</v>
      </c>
      <c r="U4091">
        <v>29</v>
      </c>
      <c r="V4091" t="s">
        <v>1685</v>
      </c>
      <c r="W4091">
        <v>24261</v>
      </c>
      <c r="X4091" t="s">
        <v>765</v>
      </c>
      <c r="Y4091">
        <v>22499</v>
      </c>
      <c r="Z4091">
        <v>703569</v>
      </c>
      <c r="AA4091">
        <v>51098</v>
      </c>
      <c r="AB4091" t="str">
        <f>(VLOOKUP(SalesData[[#This Row],[Month Number]],Reference!C$5:E$16,2,FALSE))</f>
        <v>Feb</v>
      </c>
      <c r="AC4091">
        <f>MONTH(SalesData[[#This Row],[Date]])</f>
        <v>2</v>
      </c>
      <c r="AD4091">
        <f>Reference!F$4</f>
        <v>2026</v>
      </c>
      <c r="AE4091" t="str">
        <f>IF(OR(SalesData[[#This Row],[Day]]="Saturday",SalesData[[#This Row],[Day]]="Sunday"),"Weekend","Weekday")</f>
        <v>Weekday</v>
      </c>
      <c r="AF4091" s="5">
        <f>IF(SalesData[[#This Row],[Contracts Offered]]=0,0,SalesData[[#This Row],[Contracts Signed]]/SalesData[[#This Row],[Contracts Offered]])</f>
        <v>0.30851063829787234</v>
      </c>
      <c r="AG4091" s="5">
        <f>IF(SalesData[[#This Row],[Customers Visited]]=0,0,SalesData[[#This Row],[Test Drives]]/SalesData[[#This Row],[Customers Visited]])</f>
        <v>0.46894409937888198</v>
      </c>
      <c r="AH4091" s="5">
        <f>IF(SalesData[[#This Row],[Customers Visited]]=0,0,SalesData[[#This Row],[Contracts Signed]]/SalesData[[#This Row],[Customers Visited]])</f>
        <v>9.0062111801242239E-2</v>
      </c>
      <c r="AI4091" s="6">
        <f>IF(SalesData[[#This Row],[Contracts Signed]]=0,0,SalesData[[#This Row],[Profit(€)]]/SalesData[[#This Row],[Contracts Signed]])</f>
        <v>1762</v>
      </c>
      <c r="AJ4091" s="5" t="str">
        <f>TRIM(CLEAN(SalesData[[#This Row],[Retailer]]))</f>
        <v>Stuttgart Auto Center</v>
      </c>
    </row>
    <row r="4092" spans="1:36" ht="14.25" hidden="1" x14ac:dyDescent="0.2">
      <c r="A4092" t="s">
        <v>5336</v>
      </c>
      <c r="B4092" s="1">
        <v>46071</v>
      </c>
      <c r="C4092" t="s">
        <v>62</v>
      </c>
      <c r="D4092" t="s">
        <v>82</v>
      </c>
      <c r="E4092" t="s">
        <v>26</v>
      </c>
      <c r="F4092" t="s">
        <v>94</v>
      </c>
      <c r="G4092" t="s">
        <v>95</v>
      </c>
      <c r="H4092" t="s">
        <v>96</v>
      </c>
      <c r="I4092" t="s">
        <v>64</v>
      </c>
      <c r="J4092" t="s">
        <v>65</v>
      </c>
      <c r="K4092" t="s">
        <v>78</v>
      </c>
      <c r="L4092" t="s">
        <v>33</v>
      </c>
      <c r="M4092" t="s">
        <v>34</v>
      </c>
      <c r="N4092" t="s">
        <v>48</v>
      </c>
      <c r="O4092" t="s">
        <v>70</v>
      </c>
      <c r="P4092" t="s">
        <v>37</v>
      </c>
      <c r="Q4092" t="s">
        <v>172</v>
      </c>
      <c r="R4092">
        <v>213</v>
      </c>
      <c r="S4092">
        <v>115</v>
      </c>
      <c r="T4092">
        <v>78</v>
      </c>
      <c r="U4092">
        <v>31</v>
      </c>
      <c r="V4092" t="s">
        <v>6506</v>
      </c>
      <c r="W4092">
        <v>63571</v>
      </c>
      <c r="X4092" t="s">
        <v>7072</v>
      </c>
      <c r="Y4092">
        <v>48609</v>
      </c>
      <c r="Z4092">
        <v>1970701</v>
      </c>
      <c r="AA4092">
        <v>463822</v>
      </c>
      <c r="AB4092" t="str">
        <f>(VLOOKUP(SalesData[[#This Row],[Month Number]],Reference!C$5:E$16,2,FALSE))</f>
        <v>Feb</v>
      </c>
      <c r="AC4092">
        <f>MONTH(SalesData[[#This Row],[Date]])</f>
        <v>2</v>
      </c>
      <c r="AD4092">
        <f>Reference!F$4</f>
        <v>2026</v>
      </c>
      <c r="AE4092" t="str">
        <f>IF(OR(SalesData[[#This Row],[Day]]="Saturday",SalesData[[#This Row],[Day]]="Sunday"),"Weekend","Weekday")</f>
        <v>Weekday</v>
      </c>
      <c r="AF4092" s="5">
        <f>IF(SalesData[[#This Row],[Contracts Offered]]=0,0,SalesData[[#This Row],[Contracts Signed]]/SalesData[[#This Row],[Contracts Offered]])</f>
        <v>0.39743589743589741</v>
      </c>
      <c r="AG4092" s="5">
        <f>IF(SalesData[[#This Row],[Customers Visited]]=0,0,SalesData[[#This Row],[Test Drives]]/SalesData[[#This Row],[Customers Visited]])</f>
        <v>0.539906103286385</v>
      </c>
      <c r="AH4092" s="5">
        <f>IF(SalesData[[#This Row],[Customers Visited]]=0,0,SalesData[[#This Row],[Contracts Signed]]/SalesData[[#This Row],[Customers Visited]])</f>
        <v>0.14553990610328638</v>
      </c>
      <c r="AI4092" s="6">
        <f>IF(SalesData[[#This Row],[Contracts Signed]]=0,0,SalesData[[#This Row],[Profit(€)]]/SalesData[[#This Row],[Contracts Signed]])</f>
        <v>14962</v>
      </c>
      <c r="AJ4092" s="5" t="str">
        <f>TRIM(CLEAN(SalesData[[#This Row],[Retailer]]))</f>
        <v>Bavaria Motors</v>
      </c>
    </row>
    <row r="4093" spans="1:36" ht="14.25" hidden="1" x14ac:dyDescent="0.2">
      <c r="A4093" t="s">
        <v>5337</v>
      </c>
      <c r="B4093" s="1">
        <v>46066</v>
      </c>
      <c r="C4093" t="s">
        <v>121</v>
      </c>
      <c r="D4093" t="s">
        <v>54</v>
      </c>
      <c r="E4093" t="s">
        <v>26</v>
      </c>
      <c r="F4093" t="s">
        <v>83</v>
      </c>
      <c r="G4093" t="s">
        <v>84</v>
      </c>
      <c r="H4093" t="s">
        <v>85</v>
      </c>
      <c r="I4093" t="s">
        <v>104</v>
      </c>
      <c r="J4093" t="s">
        <v>105</v>
      </c>
      <c r="K4093" t="s">
        <v>32</v>
      </c>
      <c r="L4093" t="s">
        <v>33</v>
      </c>
      <c r="M4093" t="s">
        <v>34</v>
      </c>
      <c r="N4093" t="s">
        <v>69</v>
      </c>
      <c r="O4093" t="s">
        <v>70</v>
      </c>
      <c r="P4093" t="s">
        <v>58</v>
      </c>
      <c r="Q4093" t="s">
        <v>59</v>
      </c>
      <c r="R4093">
        <v>498</v>
      </c>
      <c r="S4093">
        <v>200</v>
      </c>
      <c r="T4093">
        <v>116</v>
      </c>
      <c r="U4093">
        <v>35</v>
      </c>
      <c r="V4093" t="s">
        <v>648</v>
      </c>
      <c r="W4093">
        <v>26085</v>
      </c>
      <c r="X4093" t="s">
        <v>2626</v>
      </c>
      <c r="Y4093">
        <v>22674</v>
      </c>
      <c r="Z4093">
        <v>912975</v>
      </c>
      <c r="AA4093">
        <v>119385</v>
      </c>
      <c r="AB4093" t="str">
        <f>(VLOOKUP(SalesData[[#This Row],[Month Number]],Reference!C$5:E$16,2,FALSE))</f>
        <v>Feb</v>
      </c>
      <c r="AC4093">
        <f>MONTH(SalesData[[#This Row],[Date]])</f>
        <v>2</v>
      </c>
      <c r="AD4093">
        <f>Reference!F$4</f>
        <v>2026</v>
      </c>
      <c r="AE4093" t="str">
        <f>IF(OR(SalesData[[#This Row],[Day]]="Saturday",SalesData[[#This Row],[Day]]="Sunday"),"Weekend","Weekday")</f>
        <v>Weekday</v>
      </c>
      <c r="AF4093" s="5">
        <f>IF(SalesData[[#This Row],[Contracts Offered]]=0,0,SalesData[[#This Row],[Contracts Signed]]/SalesData[[#This Row],[Contracts Offered]])</f>
        <v>0.30172413793103448</v>
      </c>
      <c r="AG4093" s="5">
        <f>IF(SalesData[[#This Row],[Customers Visited]]=0,0,SalesData[[#This Row],[Test Drives]]/SalesData[[#This Row],[Customers Visited]])</f>
        <v>0.40160642570281124</v>
      </c>
      <c r="AH4093" s="5">
        <f>IF(SalesData[[#This Row],[Customers Visited]]=0,0,SalesData[[#This Row],[Contracts Signed]]/SalesData[[#This Row],[Customers Visited]])</f>
        <v>7.0281124497991967E-2</v>
      </c>
      <c r="AI4093" s="6">
        <f>IF(SalesData[[#This Row],[Contracts Signed]]=0,0,SalesData[[#This Row],[Profit(€)]]/SalesData[[#This Row],[Contracts Signed]])</f>
        <v>3411</v>
      </c>
      <c r="AJ4093" s="5" t="str">
        <f>TRIM(CLEAN(SalesData[[#This Row],[Retailer]]))</f>
        <v>Hannover Cars</v>
      </c>
    </row>
    <row r="4094" spans="1:36" ht="14.25" hidden="1" x14ac:dyDescent="0.2">
      <c r="A4094" t="s">
        <v>5338</v>
      </c>
      <c r="B4094" s="1">
        <v>46070</v>
      </c>
      <c r="C4094" t="s">
        <v>62</v>
      </c>
      <c r="D4094" t="s">
        <v>63</v>
      </c>
      <c r="E4094" t="s">
        <v>26</v>
      </c>
      <c r="F4094" t="s">
        <v>43</v>
      </c>
      <c r="G4094" t="s">
        <v>44</v>
      </c>
      <c r="H4094" t="s">
        <v>45</v>
      </c>
      <c r="I4094" t="s">
        <v>116</v>
      </c>
      <c r="J4094" t="s">
        <v>132</v>
      </c>
      <c r="K4094" t="s">
        <v>91</v>
      </c>
      <c r="L4094" t="s">
        <v>46</v>
      </c>
      <c r="M4094" t="s">
        <v>87</v>
      </c>
      <c r="N4094" t="s">
        <v>69</v>
      </c>
      <c r="O4094" t="s">
        <v>70</v>
      </c>
      <c r="P4094" t="s">
        <v>49</v>
      </c>
      <c r="Q4094" t="s">
        <v>38</v>
      </c>
      <c r="R4094">
        <v>352</v>
      </c>
      <c r="S4094">
        <v>153</v>
      </c>
      <c r="T4094">
        <v>105</v>
      </c>
      <c r="U4094">
        <v>18</v>
      </c>
      <c r="V4094" t="s">
        <v>313</v>
      </c>
      <c r="W4094">
        <v>25733</v>
      </c>
      <c r="X4094" t="s">
        <v>1073</v>
      </c>
      <c r="Y4094">
        <v>23282</v>
      </c>
      <c r="Z4094">
        <v>463194</v>
      </c>
      <c r="AA4094">
        <v>44118</v>
      </c>
      <c r="AB4094" t="str">
        <f>(VLOOKUP(SalesData[[#This Row],[Month Number]],Reference!C$5:E$16,2,FALSE))</f>
        <v>Feb</v>
      </c>
      <c r="AC4094">
        <f>MONTH(SalesData[[#This Row],[Date]])</f>
        <v>2</v>
      </c>
      <c r="AD4094">
        <f>Reference!F$4</f>
        <v>2026</v>
      </c>
      <c r="AE4094" t="str">
        <f>IF(OR(SalesData[[#This Row],[Day]]="Saturday",SalesData[[#This Row],[Day]]="Sunday"),"Weekend","Weekday")</f>
        <v>Weekday</v>
      </c>
      <c r="AF4094" s="5">
        <f>IF(SalesData[[#This Row],[Contracts Offered]]=0,0,SalesData[[#This Row],[Contracts Signed]]/SalesData[[#This Row],[Contracts Offered]])</f>
        <v>0.17142857142857143</v>
      </c>
      <c r="AG4094" s="5">
        <f>IF(SalesData[[#This Row],[Customers Visited]]=0,0,SalesData[[#This Row],[Test Drives]]/SalesData[[#This Row],[Customers Visited]])</f>
        <v>0.43465909090909088</v>
      </c>
      <c r="AH4094" s="5">
        <f>IF(SalesData[[#This Row],[Customers Visited]]=0,0,SalesData[[#This Row],[Contracts Signed]]/SalesData[[#This Row],[Customers Visited]])</f>
        <v>5.113636363636364E-2</v>
      </c>
      <c r="AI4094" s="6">
        <f>IF(SalesData[[#This Row],[Contracts Signed]]=0,0,SalesData[[#This Row],[Profit(€)]]/SalesData[[#This Row],[Contracts Signed]])</f>
        <v>2451</v>
      </c>
      <c r="AJ4094" s="5" t="str">
        <f>TRIM(CLEAN(SalesData[[#This Row],[Retailer]]))</f>
        <v>Saxon Wheels</v>
      </c>
    </row>
    <row r="4095" spans="1:36" ht="14.25" hidden="1" x14ac:dyDescent="0.2">
      <c r="A4095" t="s">
        <v>5339</v>
      </c>
      <c r="B4095" s="1">
        <v>46056</v>
      </c>
      <c r="C4095" t="s">
        <v>24</v>
      </c>
      <c r="D4095" t="s">
        <v>63</v>
      </c>
      <c r="E4095" t="s">
        <v>26</v>
      </c>
      <c r="F4095" t="s">
        <v>114</v>
      </c>
      <c r="G4095" t="s">
        <v>115</v>
      </c>
      <c r="H4095" t="s">
        <v>115</v>
      </c>
      <c r="I4095" t="s">
        <v>56</v>
      </c>
      <c r="J4095" t="s">
        <v>7028</v>
      </c>
      <c r="K4095" t="s">
        <v>66</v>
      </c>
      <c r="L4095" t="s">
        <v>46</v>
      </c>
      <c r="M4095" t="s">
        <v>34</v>
      </c>
      <c r="N4095" t="s">
        <v>35</v>
      </c>
      <c r="O4095" t="s">
        <v>36</v>
      </c>
      <c r="P4095" t="s">
        <v>71</v>
      </c>
      <c r="Q4095" t="s">
        <v>88</v>
      </c>
      <c r="R4095">
        <v>166</v>
      </c>
      <c r="S4095">
        <v>85</v>
      </c>
      <c r="T4095">
        <v>55</v>
      </c>
      <c r="U4095">
        <v>21</v>
      </c>
      <c r="V4095" t="s">
        <v>6827</v>
      </c>
      <c r="W4095">
        <v>51196</v>
      </c>
      <c r="X4095" t="s">
        <v>2142</v>
      </c>
      <c r="Y4095">
        <v>39549</v>
      </c>
      <c r="Z4095">
        <v>1075116</v>
      </c>
      <c r="AA4095">
        <v>244587</v>
      </c>
      <c r="AB4095" t="str">
        <f>(VLOOKUP(SalesData[[#This Row],[Month Number]],Reference!C$5:E$16,2,FALSE))</f>
        <v>Feb</v>
      </c>
      <c r="AC4095">
        <f>MONTH(SalesData[[#This Row],[Date]])</f>
        <v>2</v>
      </c>
      <c r="AD4095">
        <f>Reference!F$4</f>
        <v>2026</v>
      </c>
      <c r="AE4095" t="str">
        <f>IF(OR(SalesData[[#This Row],[Day]]="Saturday",SalesData[[#This Row],[Day]]="Sunday"),"Weekend","Weekday")</f>
        <v>Weekday</v>
      </c>
      <c r="AF4095" s="5">
        <f>IF(SalesData[[#This Row],[Contracts Offered]]=0,0,SalesData[[#This Row],[Contracts Signed]]/SalesData[[#This Row],[Contracts Offered]])</f>
        <v>0.38181818181818183</v>
      </c>
      <c r="AG4095" s="5">
        <f>IF(SalesData[[#This Row],[Customers Visited]]=0,0,SalesData[[#This Row],[Test Drives]]/SalesData[[#This Row],[Customers Visited]])</f>
        <v>0.51204819277108438</v>
      </c>
      <c r="AH4095" s="5">
        <f>IF(SalesData[[#This Row],[Customers Visited]]=0,0,SalesData[[#This Row],[Contracts Signed]]/SalesData[[#This Row],[Customers Visited]])</f>
        <v>0.12650602409638553</v>
      </c>
      <c r="AI4095" s="6">
        <f>IF(SalesData[[#This Row],[Contracts Signed]]=0,0,SalesData[[#This Row],[Profit(€)]]/SalesData[[#This Row],[Contracts Signed]])</f>
        <v>11647</v>
      </c>
      <c r="AJ4095" s="5" t="str">
        <f>TRIM(CLEAN(SalesData[[#This Row],[Retailer]]))</f>
        <v>Elbe Drive</v>
      </c>
    </row>
    <row r="4096" spans="1:36" ht="14.25" hidden="1" x14ac:dyDescent="0.2">
      <c r="A4096" t="s">
        <v>5340</v>
      </c>
      <c r="B4096" s="1">
        <v>46077</v>
      </c>
      <c r="C4096" t="s">
        <v>53</v>
      </c>
      <c r="D4096" t="s">
        <v>63</v>
      </c>
      <c r="E4096" t="s">
        <v>26</v>
      </c>
      <c r="F4096" t="s">
        <v>114</v>
      </c>
      <c r="G4096" t="s">
        <v>115</v>
      </c>
      <c r="H4096" t="s">
        <v>115</v>
      </c>
      <c r="I4096" t="s">
        <v>104</v>
      </c>
      <c r="J4096" t="s">
        <v>7031</v>
      </c>
      <c r="K4096" t="s">
        <v>78</v>
      </c>
      <c r="L4096" t="s">
        <v>46</v>
      </c>
      <c r="M4096" t="s">
        <v>68</v>
      </c>
      <c r="N4096" t="s">
        <v>35</v>
      </c>
      <c r="O4096" t="s">
        <v>70</v>
      </c>
      <c r="P4096" t="s">
        <v>58</v>
      </c>
      <c r="Q4096" t="s">
        <v>135</v>
      </c>
      <c r="R4096">
        <v>471</v>
      </c>
      <c r="S4096">
        <v>261</v>
      </c>
      <c r="T4096">
        <v>177</v>
      </c>
      <c r="U4096">
        <v>53</v>
      </c>
      <c r="V4096" t="s">
        <v>6854</v>
      </c>
      <c r="W4096">
        <v>27130</v>
      </c>
      <c r="X4096" t="s">
        <v>7523</v>
      </c>
      <c r="Y4096">
        <v>24296</v>
      </c>
      <c r="Z4096">
        <v>1437890</v>
      </c>
      <c r="AA4096">
        <v>150202</v>
      </c>
      <c r="AB4096" t="str">
        <f>(VLOOKUP(SalesData[[#This Row],[Month Number]],Reference!C$5:E$16,2,FALSE))</f>
        <v>Feb</v>
      </c>
      <c r="AC4096">
        <f>MONTH(SalesData[[#This Row],[Date]])</f>
        <v>2</v>
      </c>
      <c r="AD4096">
        <f>Reference!F$4</f>
        <v>2026</v>
      </c>
      <c r="AE4096" t="str">
        <f>IF(OR(SalesData[[#This Row],[Day]]="Saturday",SalesData[[#This Row],[Day]]="Sunday"),"Weekend","Weekday")</f>
        <v>Weekday</v>
      </c>
      <c r="AF4096" s="5">
        <f>IF(SalesData[[#This Row],[Contracts Offered]]=0,0,SalesData[[#This Row],[Contracts Signed]]/SalesData[[#This Row],[Contracts Offered]])</f>
        <v>0.29943502824858759</v>
      </c>
      <c r="AG4096" s="5">
        <f>IF(SalesData[[#This Row],[Customers Visited]]=0,0,SalesData[[#This Row],[Test Drives]]/SalesData[[#This Row],[Customers Visited]])</f>
        <v>0.55414012738853502</v>
      </c>
      <c r="AH4096" s="5">
        <f>IF(SalesData[[#This Row],[Customers Visited]]=0,0,SalesData[[#This Row],[Contracts Signed]]/SalesData[[#This Row],[Customers Visited]])</f>
        <v>0.11252653927813164</v>
      </c>
      <c r="AI4096" s="6">
        <f>IF(SalesData[[#This Row],[Contracts Signed]]=0,0,SalesData[[#This Row],[Profit(€)]]/SalesData[[#This Row],[Contracts Signed]])</f>
        <v>2834</v>
      </c>
      <c r="AJ4096" s="5" t="str">
        <f>TRIM(CLEAN(SalesData[[#This Row],[Retailer]]))</f>
        <v>Elbe Drive</v>
      </c>
    </row>
    <row r="4097" spans="1:36" ht="14.25" hidden="1" x14ac:dyDescent="0.2">
      <c r="A4097" t="s">
        <v>5341</v>
      </c>
      <c r="B4097" s="1">
        <v>46062</v>
      </c>
      <c r="C4097" t="s">
        <v>121</v>
      </c>
      <c r="D4097" t="s">
        <v>25</v>
      </c>
      <c r="E4097" t="s">
        <v>26</v>
      </c>
      <c r="F4097" t="s">
        <v>83</v>
      </c>
      <c r="G4097" t="s">
        <v>84</v>
      </c>
      <c r="H4097" t="s">
        <v>85</v>
      </c>
      <c r="I4097" t="s">
        <v>104</v>
      </c>
      <c r="J4097" t="s">
        <v>105</v>
      </c>
      <c r="K4097" t="s">
        <v>91</v>
      </c>
      <c r="L4097" t="s">
        <v>33</v>
      </c>
      <c r="M4097" t="s">
        <v>87</v>
      </c>
      <c r="N4097" t="s">
        <v>35</v>
      </c>
      <c r="O4097" t="s">
        <v>70</v>
      </c>
      <c r="P4097" t="s">
        <v>71</v>
      </c>
      <c r="Q4097" t="s">
        <v>169</v>
      </c>
      <c r="R4097">
        <v>314</v>
      </c>
      <c r="S4097">
        <v>177</v>
      </c>
      <c r="T4097">
        <v>117</v>
      </c>
      <c r="U4097">
        <v>27</v>
      </c>
      <c r="V4097" t="s">
        <v>704</v>
      </c>
      <c r="W4097">
        <v>27049</v>
      </c>
      <c r="X4097" t="s">
        <v>7311</v>
      </c>
      <c r="Y4097">
        <v>23922</v>
      </c>
      <c r="Z4097">
        <v>730323</v>
      </c>
      <c r="AA4097">
        <v>84429</v>
      </c>
      <c r="AB4097" t="str">
        <f>(VLOOKUP(SalesData[[#This Row],[Month Number]],Reference!C$5:E$16,2,FALSE))</f>
        <v>Feb</v>
      </c>
      <c r="AC4097">
        <f>MONTH(SalesData[[#This Row],[Date]])</f>
        <v>2</v>
      </c>
      <c r="AD4097">
        <f>Reference!F$4</f>
        <v>2026</v>
      </c>
      <c r="AE4097" t="str">
        <f>IF(OR(SalesData[[#This Row],[Day]]="Saturday",SalesData[[#This Row],[Day]]="Sunday"),"Weekend","Weekday")</f>
        <v>Weekday</v>
      </c>
      <c r="AF4097" s="5">
        <f>IF(SalesData[[#This Row],[Contracts Offered]]=0,0,SalesData[[#This Row],[Contracts Signed]]/SalesData[[#This Row],[Contracts Offered]])</f>
        <v>0.23076923076923078</v>
      </c>
      <c r="AG4097" s="5">
        <f>IF(SalesData[[#This Row],[Customers Visited]]=0,0,SalesData[[#This Row],[Test Drives]]/SalesData[[#This Row],[Customers Visited]])</f>
        <v>0.56369426751592355</v>
      </c>
      <c r="AH4097" s="5">
        <f>IF(SalesData[[#This Row],[Customers Visited]]=0,0,SalesData[[#This Row],[Contracts Signed]]/SalesData[[#This Row],[Customers Visited]])</f>
        <v>8.598726114649681E-2</v>
      </c>
      <c r="AI4097" s="6">
        <f>IF(SalesData[[#This Row],[Contracts Signed]]=0,0,SalesData[[#This Row],[Profit(€)]]/SalesData[[#This Row],[Contracts Signed]])</f>
        <v>3127</v>
      </c>
      <c r="AJ4097" s="5" t="str">
        <f>TRIM(CLEAN(SalesData[[#This Row],[Retailer]]))</f>
        <v>Hannover Cars</v>
      </c>
    </row>
    <row r="4098" spans="1:36" ht="14.25" hidden="1" x14ac:dyDescent="0.2">
      <c r="A4098" t="s">
        <v>5342</v>
      </c>
      <c r="B4098" s="1">
        <v>46063</v>
      </c>
      <c r="C4098" t="s">
        <v>121</v>
      </c>
      <c r="D4098" t="s">
        <v>63</v>
      </c>
      <c r="E4098" t="s">
        <v>26</v>
      </c>
      <c r="F4098" t="s">
        <v>94</v>
      </c>
      <c r="G4098" t="s">
        <v>95</v>
      </c>
      <c r="H4098" t="s">
        <v>96</v>
      </c>
      <c r="I4098" t="s">
        <v>64</v>
      </c>
      <c r="J4098" t="s">
        <v>7029</v>
      </c>
      <c r="K4098" t="s">
        <v>78</v>
      </c>
      <c r="L4098" t="s">
        <v>33</v>
      </c>
      <c r="M4098" t="s">
        <v>68</v>
      </c>
      <c r="N4098" t="s">
        <v>69</v>
      </c>
      <c r="O4098" t="s">
        <v>36</v>
      </c>
      <c r="P4098" t="s">
        <v>58</v>
      </c>
      <c r="Q4098" t="s">
        <v>158</v>
      </c>
      <c r="R4098">
        <v>192</v>
      </c>
      <c r="S4098">
        <v>112</v>
      </c>
      <c r="T4098">
        <v>80</v>
      </c>
      <c r="U4098">
        <v>33</v>
      </c>
      <c r="V4098" t="s">
        <v>6569</v>
      </c>
      <c r="W4098">
        <v>51971</v>
      </c>
      <c r="X4098" t="s">
        <v>7035</v>
      </c>
      <c r="Y4098">
        <v>37497</v>
      </c>
      <c r="Z4098">
        <v>1715043</v>
      </c>
      <c r="AA4098">
        <v>477642</v>
      </c>
      <c r="AB4098" t="str">
        <f>(VLOOKUP(SalesData[[#This Row],[Month Number]],Reference!C$5:E$16,2,FALSE))</f>
        <v>Feb</v>
      </c>
      <c r="AC4098">
        <f>MONTH(SalesData[[#This Row],[Date]])</f>
        <v>2</v>
      </c>
      <c r="AD4098">
        <f>Reference!F$4</f>
        <v>2026</v>
      </c>
      <c r="AE4098" t="str">
        <f>IF(OR(SalesData[[#This Row],[Day]]="Saturday",SalesData[[#This Row],[Day]]="Sunday"),"Weekend","Weekday")</f>
        <v>Weekday</v>
      </c>
      <c r="AF4098" s="5">
        <f>IF(SalesData[[#This Row],[Contracts Offered]]=0,0,SalesData[[#This Row],[Contracts Signed]]/SalesData[[#This Row],[Contracts Offered]])</f>
        <v>0.41249999999999998</v>
      </c>
      <c r="AG4098" s="5">
        <f>IF(SalesData[[#This Row],[Customers Visited]]=0,0,SalesData[[#This Row],[Test Drives]]/SalesData[[#This Row],[Customers Visited]])</f>
        <v>0.58333333333333337</v>
      </c>
      <c r="AH4098" s="5">
        <f>IF(SalesData[[#This Row],[Customers Visited]]=0,0,SalesData[[#This Row],[Contracts Signed]]/SalesData[[#This Row],[Customers Visited]])</f>
        <v>0.171875</v>
      </c>
      <c r="AI4098" s="6">
        <f>IF(SalesData[[#This Row],[Contracts Signed]]=0,0,SalesData[[#This Row],[Profit(€)]]/SalesData[[#This Row],[Contracts Signed]])</f>
        <v>14474</v>
      </c>
      <c r="AJ4098" s="5" t="str">
        <f>TRIM(CLEAN(SalesData[[#This Row],[Retailer]]))</f>
        <v>Bavaria Motors</v>
      </c>
    </row>
    <row r="4099" spans="1:36" ht="14.25" hidden="1" x14ac:dyDescent="0.2">
      <c r="A4099" t="s">
        <v>5343</v>
      </c>
      <c r="B4099" s="1">
        <v>46081</v>
      </c>
      <c r="C4099" t="s">
        <v>53</v>
      </c>
      <c r="D4099" t="s">
        <v>151</v>
      </c>
      <c r="E4099" t="s">
        <v>42</v>
      </c>
      <c r="F4099" t="s">
        <v>43</v>
      </c>
      <c r="G4099" t="s">
        <v>44</v>
      </c>
      <c r="H4099" t="s">
        <v>45</v>
      </c>
      <c r="I4099" t="s">
        <v>64</v>
      </c>
      <c r="J4099" t="s">
        <v>111</v>
      </c>
      <c r="K4099" t="s">
        <v>66</v>
      </c>
      <c r="L4099" t="s">
        <v>46</v>
      </c>
      <c r="M4099" t="s">
        <v>34</v>
      </c>
      <c r="N4099" t="s">
        <v>48</v>
      </c>
      <c r="O4099" t="s">
        <v>36</v>
      </c>
      <c r="P4099" t="s">
        <v>71</v>
      </c>
      <c r="Q4099" t="s">
        <v>50</v>
      </c>
      <c r="R4099">
        <v>234</v>
      </c>
      <c r="S4099">
        <v>128</v>
      </c>
      <c r="T4099">
        <v>97</v>
      </c>
      <c r="U4099">
        <v>33</v>
      </c>
      <c r="V4099" t="s">
        <v>6879</v>
      </c>
      <c r="W4099">
        <v>57488</v>
      </c>
      <c r="X4099" t="s">
        <v>1167</v>
      </c>
      <c r="Y4099">
        <v>40909</v>
      </c>
      <c r="Z4099">
        <v>1897104</v>
      </c>
      <c r="AA4099">
        <v>547107</v>
      </c>
      <c r="AB4099" t="str">
        <f>(VLOOKUP(SalesData[[#This Row],[Month Number]],Reference!C$5:E$16,2,FALSE))</f>
        <v>Feb</v>
      </c>
      <c r="AC4099">
        <f>MONTH(SalesData[[#This Row],[Date]])</f>
        <v>2</v>
      </c>
      <c r="AD4099">
        <f>Reference!F$4</f>
        <v>2026</v>
      </c>
      <c r="AE4099" t="str">
        <f>IF(OR(SalesData[[#This Row],[Day]]="Saturday",SalesData[[#This Row],[Day]]="Sunday"),"Weekend","Weekday")</f>
        <v>Weekend</v>
      </c>
      <c r="AF4099" s="5">
        <f>IF(SalesData[[#This Row],[Contracts Offered]]=0,0,SalesData[[#This Row],[Contracts Signed]]/SalesData[[#This Row],[Contracts Offered]])</f>
        <v>0.34020618556701032</v>
      </c>
      <c r="AG4099" s="5">
        <f>IF(SalesData[[#This Row],[Customers Visited]]=0,0,SalesData[[#This Row],[Test Drives]]/SalesData[[#This Row],[Customers Visited]])</f>
        <v>0.54700854700854706</v>
      </c>
      <c r="AH4099" s="5">
        <f>IF(SalesData[[#This Row],[Customers Visited]]=0,0,SalesData[[#This Row],[Contracts Signed]]/SalesData[[#This Row],[Customers Visited]])</f>
        <v>0.14102564102564102</v>
      </c>
      <c r="AI4099" s="6">
        <f>IF(SalesData[[#This Row],[Contracts Signed]]=0,0,SalesData[[#This Row],[Profit(€)]]/SalesData[[#This Row],[Contracts Signed]])</f>
        <v>16579</v>
      </c>
      <c r="AJ4099" s="5" t="str">
        <f>TRIM(CLEAN(SalesData[[#This Row],[Retailer]]))</f>
        <v>Saxon Wheels</v>
      </c>
    </row>
    <row r="4100" spans="1:36" ht="14.25" hidden="1" x14ac:dyDescent="0.2">
      <c r="A4100" t="s">
        <v>5344</v>
      </c>
      <c r="B4100" s="1">
        <v>46058</v>
      </c>
      <c r="C4100" t="s">
        <v>24</v>
      </c>
      <c r="D4100" t="s">
        <v>100</v>
      </c>
      <c r="E4100" t="s">
        <v>26</v>
      </c>
      <c r="F4100" t="s">
        <v>7649</v>
      </c>
      <c r="G4100" t="s">
        <v>55</v>
      </c>
      <c r="H4100" t="s">
        <v>55</v>
      </c>
      <c r="I4100" t="s">
        <v>64</v>
      </c>
      <c r="J4100" t="s">
        <v>157</v>
      </c>
      <c r="K4100" t="s">
        <v>78</v>
      </c>
      <c r="L4100" t="s">
        <v>33</v>
      </c>
      <c r="M4100" t="s">
        <v>34</v>
      </c>
      <c r="N4100" t="s">
        <v>35</v>
      </c>
      <c r="O4100" t="s">
        <v>70</v>
      </c>
      <c r="P4100" t="s">
        <v>49</v>
      </c>
      <c r="Q4100" t="s">
        <v>50</v>
      </c>
      <c r="R4100">
        <v>153</v>
      </c>
      <c r="S4100">
        <v>75</v>
      </c>
      <c r="T4100">
        <v>54</v>
      </c>
      <c r="U4100">
        <v>18</v>
      </c>
      <c r="V4100" t="s">
        <v>6629</v>
      </c>
      <c r="W4100">
        <v>57676</v>
      </c>
      <c r="X4100" t="s">
        <v>7522</v>
      </c>
      <c r="Y4100">
        <v>44908</v>
      </c>
      <c r="Z4100">
        <v>1038168</v>
      </c>
      <c r="AA4100">
        <v>229824</v>
      </c>
      <c r="AB4100" t="str">
        <f>(VLOOKUP(SalesData[[#This Row],[Month Number]],Reference!C$5:E$16,2,FALSE))</f>
        <v>Feb</v>
      </c>
      <c r="AC4100">
        <f>MONTH(SalesData[[#This Row],[Date]])</f>
        <v>2</v>
      </c>
      <c r="AD4100">
        <f>Reference!F$4</f>
        <v>2026</v>
      </c>
      <c r="AE4100" t="str">
        <f>IF(OR(SalesData[[#This Row],[Day]]="Saturday",SalesData[[#This Row],[Day]]="Sunday"),"Weekend","Weekday")</f>
        <v>Weekday</v>
      </c>
      <c r="AF4100" s="5">
        <f>IF(SalesData[[#This Row],[Contracts Offered]]=0,0,SalesData[[#This Row],[Contracts Signed]]/SalesData[[#This Row],[Contracts Offered]])</f>
        <v>0.33333333333333331</v>
      </c>
      <c r="AG4100" s="5">
        <f>IF(SalesData[[#This Row],[Customers Visited]]=0,0,SalesData[[#This Row],[Test Drives]]/SalesData[[#This Row],[Customers Visited]])</f>
        <v>0.49019607843137253</v>
      </c>
      <c r="AH4100" s="5">
        <f>IF(SalesData[[#This Row],[Customers Visited]]=0,0,SalesData[[#This Row],[Contracts Signed]]/SalesData[[#This Row],[Customers Visited]])</f>
        <v>0.11764705882352941</v>
      </c>
      <c r="AI4100" s="6">
        <f>IF(SalesData[[#This Row],[Contracts Signed]]=0,0,SalesData[[#This Row],[Profit(€)]]/SalesData[[#This Row],[Contracts Signed]])</f>
        <v>12768</v>
      </c>
      <c r="AJ4100" s="5" t="str">
        <f>TRIM(CLEAN(SalesData[[#This Row],[Retailer]]))</f>
        <v>Autohaus Berlin</v>
      </c>
    </row>
    <row r="4101" spans="1:36" ht="14.25" hidden="1" x14ac:dyDescent="0.2">
      <c r="A4101" t="s">
        <v>5345</v>
      </c>
      <c r="B4101" s="1">
        <v>46062</v>
      </c>
      <c r="C4101" t="s">
        <v>121</v>
      </c>
      <c r="D4101" t="s">
        <v>25</v>
      </c>
      <c r="E4101" t="s">
        <v>26</v>
      </c>
      <c r="F4101" t="s">
        <v>94</v>
      </c>
      <c r="G4101" t="s">
        <v>95</v>
      </c>
      <c r="H4101" t="s">
        <v>96</v>
      </c>
      <c r="I4101" t="s">
        <v>56</v>
      </c>
      <c r="J4101" t="s">
        <v>97</v>
      </c>
      <c r="K4101" t="s">
        <v>91</v>
      </c>
      <c r="L4101" t="s">
        <v>33</v>
      </c>
      <c r="M4101" t="s">
        <v>34</v>
      </c>
      <c r="N4101" t="s">
        <v>35</v>
      </c>
      <c r="O4101" t="s">
        <v>36</v>
      </c>
      <c r="P4101" t="s">
        <v>58</v>
      </c>
      <c r="Q4101" t="s">
        <v>50</v>
      </c>
      <c r="R4101">
        <v>276</v>
      </c>
      <c r="S4101">
        <v>170</v>
      </c>
      <c r="T4101">
        <v>113</v>
      </c>
      <c r="U4101">
        <v>51</v>
      </c>
      <c r="V4101" t="s">
        <v>7100</v>
      </c>
      <c r="W4101">
        <v>41160</v>
      </c>
      <c r="X4101" t="s">
        <v>7109</v>
      </c>
      <c r="Y4101">
        <v>33269</v>
      </c>
      <c r="Z4101">
        <v>2099160</v>
      </c>
      <c r="AA4101">
        <v>402441</v>
      </c>
      <c r="AB4101" t="str">
        <f>(VLOOKUP(SalesData[[#This Row],[Month Number]],Reference!C$5:E$16,2,FALSE))</f>
        <v>Feb</v>
      </c>
      <c r="AC4101">
        <f>MONTH(SalesData[[#This Row],[Date]])</f>
        <v>2</v>
      </c>
      <c r="AD4101">
        <f>Reference!F$4</f>
        <v>2026</v>
      </c>
      <c r="AE4101" t="str">
        <f>IF(OR(SalesData[[#This Row],[Day]]="Saturday",SalesData[[#This Row],[Day]]="Sunday"),"Weekend","Weekday")</f>
        <v>Weekday</v>
      </c>
      <c r="AF4101" s="5">
        <f>IF(SalesData[[#This Row],[Contracts Offered]]=0,0,SalesData[[#This Row],[Contracts Signed]]/SalesData[[#This Row],[Contracts Offered]])</f>
        <v>0.45132743362831856</v>
      </c>
      <c r="AG4101" s="5">
        <f>IF(SalesData[[#This Row],[Customers Visited]]=0,0,SalesData[[#This Row],[Test Drives]]/SalesData[[#This Row],[Customers Visited]])</f>
        <v>0.61594202898550721</v>
      </c>
      <c r="AH4101" s="5">
        <f>IF(SalesData[[#This Row],[Customers Visited]]=0,0,SalesData[[#This Row],[Contracts Signed]]/SalesData[[#This Row],[Customers Visited]])</f>
        <v>0.18478260869565216</v>
      </c>
      <c r="AI4101" s="6">
        <f>IF(SalesData[[#This Row],[Contracts Signed]]=0,0,SalesData[[#This Row],[Profit(€)]]/SalesData[[#This Row],[Contracts Signed]])</f>
        <v>7891</v>
      </c>
      <c r="AJ4101" s="5" t="str">
        <f>TRIM(CLEAN(SalesData[[#This Row],[Retailer]]))</f>
        <v>Bavaria Motors</v>
      </c>
    </row>
    <row r="4102" spans="1:36" ht="14.25" hidden="1" x14ac:dyDescent="0.2">
      <c r="A4102" t="s">
        <v>5346</v>
      </c>
      <c r="B4102" s="1">
        <v>46069</v>
      </c>
      <c r="C4102" t="s">
        <v>62</v>
      </c>
      <c r="D4102" t="s">
        <v>25</v>
      </c>
      <c r="E4102" t="s">
        <v>26</v>
      </c>
      <c r="F4102" t="s">
        <v>114</v>
      </c>
      <c r="G4102" t="s">
        <v>115</v>
      </c>
      <c r="H4102" t="s">
        <v>115</v>
      </c>
      <c r="I4102" t="s">
        <v>104</v>
      </c>
      <c r="J4102" t="s">
        <v>7061</v>
      </c>
      <c r="K4102" t="s">
        <v>32</v>
      </c>
      <c r="L4102" t="s">
        <v>46</v>
      </c>
      <c r="M4102" t="s">
        <v>68</v>
      </c>
      <c r="N4102" t="s">
        <v>48</v>
      </c>
      <c r="O4102" t="s">
        <v>70</v>
      </c>
      <c r="P4102" t="s">
        <v>71</v>
      </c>
      <c r="Q4102" t="s">
        <v>88</v>
      </c>
      <c r="R4102">
        <v>379</v>
      </c>
      <c r="S4102">
        <v>173</v>
      </c>
      <c r="T4102">
        <v>108</v>
      </c>
      <c r="U4102">
        <v>29</v>
      </c>
      <c r="V4102" t="s">
        <v>2516</v>
      </c>
      <c r="W4102">
        <v>26379</v>
      </c>
      <c r="X4102" t="s">
        <v>842</v>
      </c>
      <c r="Y4102">
        <v>23007</v>
      </c>
      <c r="Z4102">
        <v>764991</v>
      </c>
      <c r="AA4102">
        <v>97788</v>
      </c>
      <c r="AB4102" t="str">
        <f>(VLOOKUP(SalesData[[#This Row],[Month Number]],Reference!C$5:E$16,2,FALSE))</f>
        <v>Feb</v>
      </c>
      <c r="AC4102">
        <f>MONTH(SalesData[[#This Row],[Date]])</f>
        <v>2</v>
      </c>
      <c r="AD4102">
        <f>Reference!F$4</f>
        <v>2026</v>
      </c>
      <c r="AE4102" t="str">
        <f>IF(OR(SalesData[[#This Row],[Day]]="Saturday",SalesData[[#This Row],[Day]]="Sunday"),"Weekend","Weekday")</f>
        <v>Weekday</v>
      </c>
      <c r="AF4102" s="5">
        <f>IF(SalesData[[#This Row],[Contracts Offered]]=0,0,SalesData[[#This Row],[Contracts Signed]]/SalesData[[#This Row],[Contracts Offered]])</f>
        <v>0.26851851851851855</v>
      </c>
      <c r="AG4102" s="5">
        <f>IF(SalesData[[#This Row],[Customers Visited]]=0,0,SalesData[[#This Row],[Test Drives]]/SalesData[[#This Row],[Customers Visited]])</f>
        <v>0.45646437994722955</v>
      </c>
      <c r="AH4102" s="5">
        <f>IF(SalesData[[#This Row],[Customers Visited]]=0,0,SalesData[[#This Row],[Contracts Signed]]/SalesData[[#This Row],[Customers Visited]])</f>
        <v>7.6517150395778361E-2</v>
      </c>
      <c r="AI4102" s="6">
        <f>IF(SalesData[[#This Row],[Contracts Signed]]=0,0,SalesData[[#This Row],[Profit(€)]]/SalesData[[#This Row],[Contracts Signed]])</f>
        <v>3372</v>
      </c>
      <c r="AJ4102" s="5" t="str">
        <f>TRIM(CLEAN(SalesData[[#This Row],[Retailer]]))</f>
        <v>Elbe Drive</v>
      </c>
    </row>
    <row r="4103" spans="1:36" ht="14.25" hidden="1" x14ac:dyDescent="0.2">
      <c r="A4103" t="s">
        <v>5347</v>
      </c>
      <c r="B4103" s="1">
        <v>46072</v>
      </c>
      <c r="C4103" t="s">
        <v>62</v>
      </c>
      <c r="D4103" t="s">
        <v>100</v>
      </c>
      <c r="E4103" t="s">
        <v>26</v>
      </c>
      <c r="F4103" t="s">
        <v>109</v>
      </c>
      <c r="G4103" t="s">
        <v>110</v>
      </c>
      <c r="H4103" t="s">
        <v>45</v>
      </c>
      <c r="I4103" t="s">
        <v>104</v>
      </c>
      <c r="J4103" t="s">
        <v>7031</v>
      </c>
      <c r="K4103" t="s">
        <v>32</v>
      </c>
      <c r="L4103" t="s">
        <v>46</v>
      </c>
      <c r="M4103" t="s">
        <v>87</v>
      </c>
      <c r="N4103" t="s">
        <v>69</v>
      </c>
      <c r="O4103" t="s">
        <v>36</v>
      </c>
      <c r="P4103" t="s">
        <v>71</v>
      </c>
      <c r="Q4103" t="s">
        <v>152</v>
      </c>
      <c r="R4103">
        <v>388</v>
      </c>
      <c r="S4103">
        <v>191</v>
      </c>
      <c r="T4103">
        <v>115</v>
      </c>
      <c r="U4103">
        <v>31</v>
      </c>
      <c r="V4103" t="s">
        <v>1079</v>
      </c>
      <c r="W4103">
        <v>27689</v>
      </c>
      <c r="X4103" t="s">
        <v>2161</v>
      </c>
      <c r="Y4103">
        <v>23842</v>
      </c>
      <c r="Z4103">
        <v>858359</v>
      </c>
      <c r="AA4103">
        <v>119257</v>
      </c>
      <c r="AB4103" t="str">
        <f>(VLOOKUP(SalesData[[#This Row],[Month Number]],Reference!C$5:E$16,2,FALSE))</f>
        <v>Feb</v>
      </c>
      <c r="AC4103">
        <f>MONTH(SalesData[[#This Row],[Date]])</f>
        <v>2</v>
      </c>
      <c r="AD4103">
        <f>Reference!F$4</f>
        <v>2026</v>
      </c>
      <c r="AE4103" t="str">
        <f>IF(OR(SalesData[[#This Row],[Day]]="Saturday",SalesData[[#This Row],[Day]]="Sunday"),"Weekend","Weekday")</f>
        <v>Weekday</v>
      </c>
      <c r="AF4103" s="5">
        <f>IF(SalesData[[#This Row],[Contracts Offered]]=0,0,SalesData[[#This Row],[Contracts Signed]]/SalesData[[#This Row],[Contracts Offered]])</f>
        <v>0.26956521739130435</v>
      </c>
      <c r="AG4103" s="5">
        <f>IF(SalesData[[#This Row],[Customers Visited]]=0,0,SalesData[[#This Row],[Test Drives]]/SalesData[[#This Row],[Customers Visited]])</f>
        <v>0.49226804123711343</v>
      </c>
      <c r="AH4103" s="5">
        <f>IF(SalesData[[#This Row],[Customers Visited]]=0,0,SalesData[[#This Row],[Contracts Signed]]/SalesData[[#This Row],[Customers Visited]])</f>
        <v>7.9896907216494839E-2</v>
      </c>
      <c r="AI4103" s="6">
        <f>IF(SalesData[[#This Row],[Contracts Signed]]=0,0,SalesData[[#This Row],[Profit(€)]]/SalesData[[#This Row],[Contracts Signed]])</f>
        <v>3847</v>
      </c>
      <c r="AJ4103" s="5" t="str">
        <f>TRIM(CLEAN(SalesData[[#This Row],[Retailer]]))</f>
        <v>Leipzig Mobility</v>
      </c>
    </row>
    <row r="4104" spans="1:36" ht="14.25" hidden="1" x14ac:dyDescent="0.2">
      <c r="A4104" t="s">
        <v>5348</v>
      </c>
      <c r="B4104" s="1">
        <v>46060</v>
      </c>
      <c r="C4104" t="s">
        <v>24</v>
      </c>
      <c r="D4104" t="s">
        <v>151</v>
      </c>
      <c r="E4104" t="s">
        <v>42</v>
      </c>
      <c r="F4104" t="s">
        <v>109</v>
      </c>
      <c r="G4104" t="s">
        <v>110</v>
      </c>
      <c r="H4104" t="s">
        <v>45</v>
      </c>
      <c r="I4104" t="s">
        <v>64</v>
      </c>
      <c r="J4104" t="s">
        <v>77</v>
      </c>
      <c r="K4104" t="s">
        <v>32</v>
      </c>
      <c r="L4104" t="s">
        <v>46</v>
      </c>
      <c r="M4104" t="s">
        <v>68</v>
      </c>
      <c r="N4104" t="s">
        <v>48</v>
      </c>
      <c r="O4104" t="s">
        <v>36</v>
      </c>
      <c r="P4104" t="s">
        <v>49</v>
      </c>
      <c r="Q4104" t="s">
        <v>172</v>
      </c>
      <c r="R4104">
        <v>232</v>
      </c>
      <c r="S4104">
        <v>102</v>
      </c>
      <c r="T4104">
        <v>69</v>
      </c>
      <c r="U4104">
        <v>24</v>
      </c>
      <c r="V4104" t="s">
        <v>6439</v>
      </c>
      <c r="W4104">
        <v>62976</v>
      </c>
      <c r="X4104" t="s">
        <v>1754</v>
      </c>
      <c r="Y4104">
        <v>49328</v>
      </c>
      <c r="Z4104">
        <v>1511424</v>
      </c>
      <c r="AA4104">
        <v>327552</v>
      </c>
      <c r="AB4104" t="str">
        <f>(VLOOKUP(SalesData[[#This Row],[Month Number]],Reference!C$5:E$16,2,FALSE))</f>
        <v>Feb</v>
      </c>
      <c r="AC4104">
        <f>MONTH(SalesData[[#This Row],[Date]])</f>
        <v>2</v>
      </c>
      <c r="AD4104">
        <f>Reference!F$4</f>
        <v>2026</v>
      </c>
      <c r="AE4104" t="str">
        <f>IF(OR(SalesData[[#This Row],[Day]]="Saturday",SalesData[[#This Row],[Day]]="Sunday"),"Weekend","Weekday")</f>
        <v>Weekend</v>
      </c>
      <c r="AF4104" s="5">
        <f>IF(SalesData[[#This Row],[Contracts Offered]]=0,0,SalesData[[#This Row],[Contracts Signed]]/SalesData[[#This Row],[Contracts Offered]])</f>
        <v>0.34782608695652173</v>
      </c>
      <c r="AG4104" s="5">
        <f>IF(SalesData[[#This Row],[Customers Visited]]=0,0,SalesData[[#This Row],[Test Drives]]/SalesData[[#This Row],[Customers Visited]])</f>
        <v>0.43965517241379309</v>
      </c>
      <c r="AH4104" s="5">
        <f>IF(SalesData[[#This Row],[Customers Visited]]=0,0,SalesData[[#This Row],[Contracts Signed]]/SalesData[[#This Row],[Customers Visited]])</f>
        <v>0.10344827586206896</v>
      </c>
      <c r="AI4104" s="6">
        <f>IF(SalesData[[#This Row],[Contracts Signed]]=0,0,SalesData[[#This Row],[Profit(€)]]/SalesData[[#This Row],[Contracts Signed]])</f>
        <v>13648</v>
      </c>
      <c r="AJ4104" s="5" t="str">
        <f>TRIM(CLEAN(SalesData[[#This Row],[Retailer]]))</f>
        <v>Leipzig Mobility</v>
      </c>
    </row>
    <row r="4105" spans="1:36" ht="14.25" hidden="1" x14ac:dyDescent="0.2">
      <c r="A4105" t="s">
        <v>5349</v>
      </c>
      <c r="B4105" s="1">
        <v>46076</v>
      </c>
      <c r="C4105" t="s">
        <v>53</v>
      </c>
      <c r="D4105" t="s">
        <v>25</v>
      </c>
      <c r="E4105" t="s">
        <v>26</v>
      </c>
      <c r="F4105" t="s">
        <v>127</v>
      </c>
      <c r="G4105" t="s">
        <v>128</v>
      </c>
      <c r="H4105" t="s">
        <v>103</v>
      </c>
      <c r="I4105" t="s">
        <v>64</v>
      </c>
      <c r="J4105" t="s">
        <v>65</v>
      </c>
      <c r="K4105" t="s">
        <v>66</v>
      </c>
      <c r="L4105" t="s">
        <v>33</v>
      </c>
      <c r="M4105" t="s">
        <v>34</v>
      </c>
      <c r="N4105" t="s">
        <v>48</v>
      </c>
      <c r="O4105" t="s">
        <v>70</v>
      </c>
      <c r="P4105" t="s">
        <v>71</v>
      </c>
      <c r="Q4105" t="s">
        <v>79</v>
      </c>
      <c r="R4105">
        <v>164</v>
      </c>
      <c r="S4105">
        <v>74</v>
      </c>
      <c r="T4105">
        <v>53</v>
      </c>
      <c r="U4105">
        <v>18</v>
      </c>
      <c r="V4105" t="s">
        <v>6378</v>
      </c>
      <c r="W4105">
        <v>56628</v>
      </c>
      <c r="X4105" t="s">
        <v>384</v>
      </c>
      <c r="Y4105">
        <v>43056</v>
      </c>
      <c r="Z4105">
        <v>1019304</v>
      </c>
      <c r="AA4105">
        <v>244296</v>
      </c>
      <c r="AB4105" t="str">
        <f>(VLOOKUP(SalesData[[#This Row],[Month Number]],Reference!C$5:E$16,2,FALSE))</f>
        <v>Feb</v>
      </c>
      <c r="AC4105">
        <f>MONTH(SalesData[[#This Row],[Date]])</f>
        <v>2</v>
      </c>
      <c r="AD4105">
        <f>Reference!F$4</f>
        <v>2026</v>
      </c>
      <c r="AE4105" t="str">
        <f>IF(OR(SalesData[[#This Row],[Day]]="Saturday",SalesData[[#This Row],[Day]]="Sunday"),"Weekend","Weekday")</f>
        <v>Weekday</v>
      </c>
      <c r="AF4105" s="5">
        <f>IF(SalesData[[#This Row],[Contracts Offered]]=0,0,SalesData[[#This Row],[Contracts Signed]]/SalesData[[#This Row],[Contracts Offered]])</f>
        <v>0.33962264150943394</v>
      </c>
      <c r="AG4105" s="5">
        <f>IF(SalesData[[#This Row],[Customers Visited]]=0,0,SalesData[[#This Row],[Test Drives]]/SalesData[[#This Row],[Customers Visited]])</f>
        <v>0.45121951219512196</v>
      </c>
      <c r="AH4105" s="5">
        <f>IF(SalesData[[#This Row],[Customers Visited]]=0,0,SalesData[[#This Row],[Contracts Signed]]/SalesData[[#This Row],[Customers Visited]])</f>
        <v>0.10975609756097561</v>
      </c>
      <c r="AI4105" s="6">
        <f>IF(SalesData[[#This Row],[Contracts Signed]]=0,0,SalesData[[#This Row],[Profit(€)]]/SalesData[[#This Row],[Contracts Signed]])</f>
        <v>13572</v>
      </c>
      <c r="AJ4105" s="5" t="str">
        <f>TRIM(CLEAN(SalesData[[#This Row],[Retailer]]))</f>
        <v>Rhein Auto Group</v>
      </c>
    </row>
    <row r="4106" spans="1:36" ht="14.25" hidden="1" x14ac:dyDescent="0.2">
      <c r="A4106" t="s">
        <v>5351</v>
      </c>
      <c r="B4106" s="1">
        <v>46075</v>
      </c>
      <c r="C4106" t="s">
        <v>53</v>
      </c>
      <c r="D4106" t="s">
        <v>41</v>
      </c>
      <c r="E4106" t="s">
        <v>42</v>
      </c>
      <c r="F4106" t="s">
        <v>7649</v>
      </c>
      <c r="G4106" t="s">
        <v>55</v>
      </c>
      <c r="H4106" t="s">
        <v>55</v>
      </c>
      <c r="I4106" t="s">
        <v>104</v>
      </c>
      <c r="J4106" t="s">
        <v>105</v>
      </c>
      <c r="K4106" t="s">
        <v>32</v>
      </c>
      <c r="L4106" t="s">
        <v>33</v>
      </c>
      <c r="M4106" t="s">
        <v>68</v>
      </c>
      <c r="N4106" t="s">
        <v>69</v>
      </c>
      <c r="O4106" t="s">
        <v>70</v>
      </c>
      <c r="P4106" t="s">
        <v>71</v>
      </c>
      <c r="Q4106" t="s">
        <v>59</v>
      </c>
      <c r="R4106">
        <v>359</v>
      </c>
      <c r="S4106">
        <v>155</v>
      </c>
      <c r="T4106">
        <v>106</v>
      </c>
      <c r="U4106">
        <v>28</v>
      </c>
      <c r="V4106" t="s">
        <v>1783</v>
      </c>
      <c r="W4106">
        <v>27342</v>
      </c>
      <c r="X4106" t="s">
        <v>423</v>
      </c>
      <c r="Y4106">
        <v>24372</v>
      </c>
      <c r="Z4106">
        <v>765576</v>
      </c>
      <c r="AA4106">
        <v>83160</v>
      </c>
      <c r="AB4106" t="str">
        <f>(VLOOKUP(SalesData[[#This Row],[Month Number]],Reference!C$5:E$16,2,FALSE))</f>
        <v>Feb</v>
      </c>
      <c r="AC4106">
        <f>MONTH(SalesData[[#This Row],[Date]])</f>
        <v>2</v>
      </c>
      <c r="AD4106">
        <f>Reference!F$4</f>
        <v>2026</v>
      </c>
      <c r="AE4106" t="str">
        <f>IF(OR(SalesData[[#This Row],[Day]]="Saturday",SalesData[[#This Row],[Day]]="Sunday"),"Weekend","Weekday")</f>
        <v>Weekend</v>
      </c>
      <c r="AF4106" s="5">
        <f>IF(SalesData[[#This Row],[Contracts Offered]]=0,0,SalesData[[#This Row],[Contracts Signed]]/SalesData[[#This Row],[Contracts Offered]])</f>
        <v>0.26415094339622641</v>
      </c>
      <c r="AG4106" s="5">
        <f>IF(SalesData[[#This Row],[Customers Visited]]=0,0,SalesData[[#This Row],[Test Drives]]/SalesData[[#This Row],[Customers Visited]])</f>
        <v>0.43175487465181056</v>
      </c>
      <c r="AH4106" s="5">
        <f>IF(SalesData[[#This Row],[Customers Visited]]=0,0,SalesData[[#This Row],[Contracts Signed]]/SalesData[[#This Row],[Customers Visited]])</f>
        <v>7.7994428969359333E-2</v>
      </c>
      <c r="AI4106" s="6">
        <f>IF(SalesData[[#This Row],[Contracts Signed]]=0,0,SalesData[[#This Row],[Profit(€)]]/SalesData[[#This Row],[Contracts Signed]])</f>
        <v>2970</v>
      </c>
      <c r="AJ4106" s="5" t="str">
        <f>TRIM(CLEAN(SalesData[[#This Row],[Retailer]]))</f>
        <v>Autohaus Berlin</v>
      </c>
    </row>
    <row r="4107" spans="1:36" ht="14.25" hidden="1" x14ac:dyDescent="0.2">
      <c r="A4107" t="s">
        <v>5352</v>
      </c>
      <c r="B4107" s="1">
        <v>46072</v>
      </c>
      <c r="C4107" t="s">
        <v>62</v>
      </c>
      <c r="D4107" t="s">
        <v>100</v>
      </c>
      <c r="E4107" t="s">
        <v>26</v>
      </c>
      <c r="F4107" t="s">
        <v>109</v>
      </c>
      <c r="G4107" t="s">
        <v>110</v>
      </c>
      <c r="H4107" t="s">
        <v>45</v>
      </c>
      <c r="I4107" t="s">
        <v>116</v>
      </c>
      <c r="J4107" t="s">
        <v>203</v>
      </c>
      <c r="K4107" t="s">
        <v>32</v>
      </c>
      <c r="L4107" t="s">
        <v>67</v>
      </c>
      <c r="M4107" t="s">
        <v>47</v>
      </c>
      <c r="N4107" t="s">
        <v>69</v>
      </c>
      <c r="O4107" t="s">
        <v>70</v>
      </c>
      <c r="P4107" t="s">
        <v>37</v>
      </c>
      <c r="Q4107" t="s">
        <v>158</v>
      </c>
      <c r="R4107">
        <v>344</v>
      </c>
      <c r="S4107">
        <v>142</v>
      </c>
      <c r="T4107">
        <v>80</v>
      </c>
      <c r="U4107">
        <v>22</v>
      </c>
      <c r="V4107" t="s">
        <v>3407</v>
      </c>
      <c r="W4107">
        <v>24324</v>
      </c>
      <c r="X4107" t="s">
        <v>7168</v>
      </c>
      <c r="Y4107">
        <v>21901</v>
      </c>
      <c r="Z4107">
        <v>535128</v>
      </c>
      <c r="AA4107">
        <v>53306</v>
      </c>
      <c r="AB4107" t="str">
        <f>(VLOOKUP(SalesData[[#This Row],[Month Number]],Reference!C$5:E$16,2,FALSE))</f>
        <v>Feb</v>
      </c>
      <c r="AC4107">
        <f>MONTH(SalesData[[#This Row],[Date]])</f>
        <v>2</v>
      </c>
      <c r="AD4107">
        <f>Reference!F$4</f>
        <v>2026</v>
      </c>
      <c r="AE4107" t="str">
        <f>IF(OR(SalesData[[#This Row],[Day]]="Saturday",SalesData[[#This Row],[Day]]="Sunday"),"Weekend","Weekday")</f>
        <v>Weekday</v>
      </c>
      <c r="AF4107" s="5">
        <f>IF(SalesData[[#This Row],[Contracts Offered]]=0,0,SalesData[[#This Row],[Contracts Signed]]/SalesData[[#This Row],[Contracts Offered]])</f>
        <v>0.27500000000000002</v>
      </c>
      <c r="AG4107" s="5">
        <f>IF(SalesData[[#This Row],[Customers Visited]]=0,0,SalesData[[#This Row],[Test Drives]]/SalesData[[#This Row],[Customers Visited]])</f>
        <v>0.41279069767441862</v>
      </c>
      <c r="AH4107" s="5">
        <f>IF(SalesData[[#This Row],[Customers Visited]]=0,0,SalesData[[#This Row],[Contracts Signed]]/SalesData[[#This Row],[Customers Visited]])</f>
        <v>6.3953488372093026E-2</v>
      </c>
      <c r="AI4107" s="6">
        <f>IF(SalesData[[#This Row],[Contracts Signed]]=0,0,SalesData[[#This Row],[Profit(€)]]/SalesData[[#This Row],[Contracts Signed]])</f>
        <v>2423</v>
      </c>
      <c r="AJ4107" s="5" t="str">
        <f>TRIM(CLEAN(SalesData[[#This Row],[Retailer]]))</f>
        <v>Leipzig Mobility</v>
      </c>
    </row>
    <row r="4108" spans="1:36" ht="14.25" x14ac:dyDescent="0.2">
      <c r="A4108" t="s">
        <v>5353</v>
      </c>
      <c r="B4108" s="1">
        <v>46072</v>
      </c>
      <c r="C4108" t="s">
        <v>62</v>
      </c>
      <c r="D4108" t="s">
        <v>100</v>
      </c>
      <c r="E4108" t="s">
        <v>26</v>
      </c>
      <c r="F4108" t="s">
        <v>94</v>
      </c>
      <c r="G4108" t="s">
        <v>95</v>
      </c>
      <c r="H4108" t="s">
        <v>96</v>
      </c>
      <c r="I4108" t="s">
        <v>30</v>
      </c>
      <c r="J4108" t="s">
        <v>7075</v>
      </c>
      <c r="K4108" t="s">
        <v>32</v>
      </c>
      <c r="L4108" t="s">
        <v>33</v>
      </c>
      <c r="M4108" t="s">
        <v>87</v>
      </c>
      <c r="N4108" t="s">
        <v>48</v>
      </c>
      <c r="O4108" t="s">
        <v>36</v>
      </c>
      <c r="P4108" t="s">
        <v>37</v>
      </c>
      <c r="Q4108" t="s">
        <v>38</v>
      </c>
      <c r="R4108">
        <v>153</v>
      </c>
      <c r="S4108">
        <v>86</v>
      </c>
      <c r="T4108">
        <v>61</v>
      </c>
      <c r="U4108">
        <v>23</v>
      </c>
      <c r="V4108" t="s">
        <v>6416</v>
      </c>
      <c r="W4108">
        <v>55429</v>
      </c>
      <c r="X4108" t="s">
        <v>7169</v>
      </c>
      <c r="Y4108">
        <v>41361</v>
      </c>
      <c r="Z4108">
        <v>1274867</v>
      </c>
      <c r="AA4108">
        <v>323564</v>
      </c>
      <c r="AB4108" t="str">
        <f>(VLOOKUP(SalesData[[#This Row],[Month Number]],Reference!C$5:E$16,2,FALSE))</f>
        <v>Feb</v>
      </c>
      <c r="AC4108">
        <f>MONTH(SalesData[[#This Row],[Date]])</f>
        <v>2</v>
      </c>
      <c r="AD4108">
        <f>Reference!F$4</f>
        <v>2026</v>
      </c>
      <c r="AE4108" t="str">
        <f>IF(OR(SalesData[[#This Row],[Day]]="Saturday",SalesData[[#This Row],[Day]]="Sunday"),"Weekend","Weekday")</f>
        <v>Weekday</v>
      </c>
      <c r="AF4108" s="5">
        <f>IF(SalesData[[#This Row],[Contracts Offered]]=0,0,SalesData[[#This Row],[Contracts Signed]]/SalesData[[#This Row],[Contracts Offered]])</f>
        <v>0.37704918032786883</v>
      </c>
      <c r="AG4108" s="5">
        <f>IF(SalesData[[#This Row],[Customers Visited]]=0,0,SalesData[[#This Row],[Test Drives]]/SalesData[[#This Row],[Customers Visited]])</f>
        <v>0.56209150326797386</v>
      </c>
      <c r="AH4108" s="5">
        <f>IF(SalesData[[#This Row],[Customers Visited]]=0,0,SalesData[[#This Row],[Contracts Signed]]/SalesData[[#This Row],[Customers Visited]])</f>
        <v>0.15032679738562091</v>
      </c>
      <c r="AI4108" s="6">
        <f>IF(SalesData[[#This Row],[Contracts Signed]]=0,0,SalesData[[#This Row],[Profit(€)]]/SalesData[[#This Row],[Contracts Signed]])</f>
        <v>14068</v>
      </c>
      <c r="AJ4108" s="5" t="str">
        <f>TRIM(CLEAN(SalesData[[#This Row],[Retailer]]))</f>
        <v>Bavaria Motors</v>
      </c>
    </row>
    <row r="4109" spans="1:36" ht="14.25" hidden="1" x14ac:dyDescent="0.2">
      <c r="A4109" t="s">
        <v>5354</v>
      </c>
      <c r="B4109" s="1">
        <v>46064</v>
      </c>
      <c r="C4109" t="s">
        <v>121</v>
      </c>
      <c r="D4109" t="s">
        <v>82</v>
      </c>
      <c r="E4109" t="s">
        <v>26</v>
      </c>
      <c r="F4109" t="s">
        <v>101</v>
      </c>
      <c r="G4109" t="s">
        <v>102</v>
      </c>
      <c r="H4109" t="s">
        <v>103</v>
      </c>
      <c r="I4109" t="s">
        <v>116</v>
      </c>
      <c r="J4109" t="s">
        <v>7090</v>
      </c>
      <c r="K4109" t="s">
        <v>78</v>
      </c>
      <c r="L4109" t="s">
        <v>46</v>
      </c>
      <c r="M4109" t="s">
        <v>87</v>
      </c>
      <c r="N4109" t="s">
        <v>69</v>
      </c>
      <c r="O4109" t="s">
        <v>36</v>
      </c>
      <c r="P4109" t="s">
        <v>37</v>
      </c>
      <c r="Q4109" t="s">
        <v>169</v>
      </c>
      <c r="R4109">
        <v>229</v>
      </c>
      <c r="S4109">
        <v>88</v>
      </c>
      <c r="T4109">
        <v>55</v>
      </c>
      <c r="U4109">
        <v>11</v>
      </c>
      <c r="V4109" t="s">
        <v>265</v>
      </c>
      <c r="W4109">
        <v>22532</v>
      </c>
      <c r="X4109" t="s">
        <v>7243</v>
      </c>
      <c r="Y4109">
        <v>20056</v>
      </c>
      <c r="Z4109">
        <v>247852</v>
      </c>
      <c r="AA4109">
        <v>27236</v>
      </c>
      <c r="AB4109" t="str">
        <f>(VLOOKUP(SalesData[[#This Row],[Month Number]],Reference!C$5:E$16,2,FALSE))</f>
        <v>Feb</v>
      </c>
      <c r="AC4109">
        <f>MONTH(SalesData[[#This Row],[Date]])</f>
        <v>2</v>
      </c>
      <c r="AD4109">
        <f>Reference!F$4</f>
        <v>2026</v>
      </c>
      <c r="AE4109" t="str">
        <f>IF(OR(SalesData[[#This Row],[Day]]="Saturday",SalesData[[#This Row],[Day]]="Sunday"),"Weekend","Weekday")</f>
        <v>Weekday</v>
      </c>
      <c r="AF4109" s="5">
        <f>IF(SalesData[[#This Row],[Contracts Offered]]=0,0,SalesData[[#This Row],[Contracts Signed]]/SalesData[[#This Row],[Contracts Offered]])</f>
        <v>0.2</v>
      </c>
      <c r="AG4109" s="5">
        <f>IF(SalesData[[#This Row],[Customers Visited]]=0,0,SalesData[[#This Row],[Test Drives]]/SalesData[[#This Row],[Customers Visited]])</f>
        <v>0.38427947598253276</v>
      </c>
      <c r="AH4109" s="5">
        <f>IF(SalesData[[#This Row],[Customers Visited]]=0,0,SalesData[[#This Row],[Contracts Signed]]/SalesData[[#This Row],[Customers Visited]])</f>
        <v>4.8034934497816595E-2</v>
      </c>
      <c r="AI4109" s="6">
        <f>IF(SalesData[[#This Row],[Contracts Signed]]=0,0,SalesData[[#This Row],[Profit(€)]]/SalesData[[#This Row],[Contracts Signed]])</f>
        <v>2476</v>
      </c>
      <c r="AJ4109" s="5" t="str">
        <f>TRIM(CLEAN(SalesData[[#This Row],[Retailer]]))</f>
        <v>Ruhr Auto Plaza</v>
      </c>
    </row>
    <row r="4110" spans="1:36" ht="14.25" x14ac:dyDescent="0.2">
      <c r="A4110" t="s">
        <v>5355</v>
      </c>
      <c r="B4110" s="1">
        <v>46068</v>
      </c>
      <c r="C4110" t="s">
        <v>62</v>
      </c>
      <c r="D4110" t="s">
        <v>41</v>
      </c>
      <c r="E4110" t="s">
        <v>42</v>
      </c>
      <c r="F4110" t="s">
        <v>114</v>
      </c>
      <c r="G4110" t="s">
        <v>115</v>
      </c>
      <c r="H4110" t="s">
        <v>115</v>
      </c>
      <c r="I4110" t="s">
        <v>30</v>
      </c>
      <c r="J4110" t="s">
        <v>7075</v>
      </c>
      <c r="K4110" t="s">
        <v>66</v>
      </c>
      <c r="L4110" t="s">
        <v>33</v>
      </c>
      <c r="M4110" t="s">
        <v>47</v>
      </c>
      <c r="N4110" t="s">
        <v>69</v>
      </c>
      <c r="O4110" t="s">
        <v>36</v>
      </c>
      <c r="P4110" t="s">
        <v>58</v>
      </c>
      <c r="Q4110" t="s">
        <v>240</v>
      </c>
      <c r="R4110">
        <v>227</v>
      </c>
      <c r="S4110">
        <v>132</v>
      </c>
      <c r="T4110">
        <v>104</v>
      </c>
      <c r="U4110">
        <v>44</v>
      </c>
      <c r="V4110" t="s">
        <v>7206</v>
      </c>
      <c r="W4110">
        <v>54695</v>
      </c>
      <c r="X4110" t="s">
        <v>7294</v>
      </c>
      <c r="Y4110">
        <v>41808</v>
      </c>
      <c r="Z4110">
        <v>2406580</v>
      </c>
      <c r="AA4110">
        <v>567028</v>
      </c>
      <c r="AB4110" t="str">
        <f>(VLOOKUP(SalesData[[#This Row],[Month Number]],Reference!C$5:E$16,2,FALSE))</f>
        <v>Feb</v>
      </c>
      <c r="AC4110">
        <f>MONTH(SalesData[[#This Row],[Date]])</f>
        <v>2</v>
      </c>
      <c r="AD4110">
        <f>Reference!F$4</f>
        <v>2026</v>
      </c>
      <c r="AE4110" t="str">
        <f>IF(OR(SalesData[[#This Row],[Day]]="Saturday",SalesData[[#This Row],[Day]]="Sunday"),"Weekend","Weekday")</f>
        <v>Weekend</v>
      </c>
      <c r="AF4110" s="5">
        <f>IF(SalesData[[#This Row],[Contracts Offered]]=0,0,SalesData[[#This Row],[Contracts Signed]]/SalesData[[#This Row],[Contracts Offered]])</f>
        <v>0.42307692307692307</v>
      </c>
      <c r="AG4110" s="5">
        <f>IF(SalesData[[#This Row],[Customers Visited]]=0,0,SalesData[[#This Row],[Test Drives]]/SalesData[[#This Row],[Customers Visited]])</f>
        <v>0.58149779735682816</v>
      </c>
      <c r="AH4110" s="5">
        <f>IF(SalesData[[#This Row],[Customers Visited]]=0,0,SalesData[[#This Row],[Contracts Signed]]/SalesData[[#This Row],[Customers Visited]])</f>
        <v>0.19383259911894274</v>
      </c>
      <c r="AI4110" s="6">
        <f>IF(SalesData[[#This Row],[Contracts Signed]]=0,0,SalesData[[#This Row],[Profit(€)]]/SalesData[[#This Row],[Contracts Signed]])</f>
        <v>12887</v>
      </c>
      <c r="AJ4110" s="5" t="str">
        <f>TRIM(CLEAN(SalesData[[#This Row],[Retailer]]))</f>
        <v>Elbe Drive</v>
      </c>
    </row>
    <row r="4111" spans="1:36" ht="14.25" hidden="1" x14ac:dyDescent="0.2">
      <c r="A4111" t="s">
        <v>5356</v>
      </c>
      <c r="B4111" s="1">
        <v>46077</v>
      </c>
      <c r="C4111" t="s">
        <v>53</v>
      </c>
      <c r="D4111" t="s">
        <v>63</v>
      </c>
      <c r="E4111" t="s">
        <v>26</v>
      </c>
      <c r="F4111" t="s">
        <v>127</v>
      </c>
      <c r="G4111" t="s">
        <v>128</v>
      </c>
      <c r="H4111" t="s">
        <v>103</v>
      </c>
      <c r="I4111" t="s">
        <v>104</v>
      </c>
      <c r="J4111" t="s">
        <v>105</v>
      </c>
      <c r="K4111" t="s">
        <v>91</v>
      </c>
      <c r="L4111" t="s">
        <v>33</v>
      </c>
      <c r="M4111" t="s">
        <v>47</v>
      </c>
      <c r="N4111" t="s">
        <v>35</v>
      </c>
      <c r="O4111" t="s">
        <v>36</v>
      </c>
      <c r="P4111" t="s">
        <v>71</v>
      </c>
      <c r="Q4111" t="s">
        <v>169</v>
      </c>
      <c r="R4111">
        <v>316</v>
      </c>
      <c r="S4111">
        <v>141</v>
      </c>
      <c r="T4111">
        <v>98</v>
      </c>
      <c r="U4111">
        <v>25</v>
      </c>
      <c r="V4111" t="s">
        <v>1823</v>
      </c>
      <c r="W4111">
        <v>26733</v>
      </c>
      <c r="X4111" t="s">
        <v>325</v>
      </c>
      <c r="Y4111">
        <v>23361</v>
      </c>
      <c r="Z4111">
        <v>668325</v>
      </c>
      <c r="AA4111">
        <v>84300</v>
      </c>
      <c r="AB4111" t="str">
        <f>(VLOOKUP(SalesData[[#This Row],[Month Number]],Reference!C$5:E$16,2,FALSE))</f>
        <v>Feb</v>
      </c>
      <c r="AC4111">
        <f>MONTH(SalesData[[#This Row],[Date]])</f>
        <v>2</v>
      </c>
      <c r="AD4111">
        <f>Reference!F$4</f>
        <v>2026</v>
      </c>
      <c r="AE4111" t="str">
        <f>IF(OR(SalesData[[#This Row],[Day]]="Saturday",SalesData[[#This Row],[Day]]="Sunday"),"Weekend","Weekday")</f>
        <v>Weekday</v>
      </c>
      <c r="AF4111" s="5">
        <f>IF(SalesData[[#This Row],[Contracts Offered]]=0,0,SalesData[[#This Row],[Contracts Signed]]/SalesData[[#This Row],[Contracts Offered]])</f>
        <v>0.25510204081632654</v>
      </c>
      <c r="AG4111" s="5">
        <f>IF(SalesData[[#This Row],[Customers Visited]]=0,0,SalesData[[#This Row],[Test Drives]]/SalesData[[#This Row],[Customers Visited]])</f>
        <v>0.44620253164556961</v>
      </c>
      <c r="AH4111" s="5">
        <f>IF(SalesData[[#This Row],[Customers Visited]]=0,0,SalesData[[#This Row],[Contracts Signed]]/SalesData[[#This Row],[Customers Visited]])</f>
        <v>7.9113924050632917E-2</v>
      </c>
      <c r="AI4111" s="6">
        <f>IF(SalesData[[#This Row],[Contracts Signed]]=0,0,SalesData[[#This Row],[Profit(€)]]/SalesData[[#This Row],[Contracts Signed]])</f>
        <v>3372</v>
      </c>
      <c r="AJ4111" s="5" t="str">
        <f>TRIM(CLEAN(SalesData[[#This Row],[Retailer]]))</f>
        <v>Rhein Auto Group</v>
      </c>
    </row>
    <row r="4112" spans="1:36" ht="14.25" x14ac:dyDescent="0.2">
      <c r="A4112" t="s">
        <v>5357</v>
      </c>
      <c r="B4112" s="1">
        <v>46066</v>
      </c>
      <c r="C4112" t="s">
        <v>121</v>
      </c>
      <c r="D4112" t="s">
        <v>54</v>
      </c>
      <c r="E4112" t="s">
        <v>26</v>
      </c>
      <c r="F4112" t="s">
        <v>43</v>
      </c>
      <c r="G4112" t="s">
        <v>44</v>
      </c>
      <c r="H4112" t="s">
        <v>45</v>
      </c>
      <c r="I4112" t="s">
        <v>30</v>
      </c>
      <c r="J4112" t="s">
        <v>7075</v>
      </c>
      <c r="K4112" t="s">
        <v>91</v>
      </c>
      <c r="L4112" t="s">
        <v>33</v>
      </c>
      <c r="M4112" t="s">
        <v>87</v>
      </c>
      <c r="N4112" t="s">
        <v>35</v>
      </c>
      <c r="O4112" t="s">
        <v>36</v>
      </c>
      <c r="P4112" t="s">
        <v>49</v>
      </c>
      <c r="Q4112" t="s">
        <v>50</v>
      </c>
      <c r="R4112">
        <v>196</v>
      </c>
      <c r="S4112">
        <v>110</v>
      </c>
      <c r="T4112">
        <v>75</v>
      </c>
      <c r="U4112">
        <v>28</v>
      </c>
      <c r="V4112" t="s">
        <v>6709</v>
      </c>
      <c r="W4112">
        <v>53147</v>
      </c>
      <c r="X4112" t="s">
        <v>7087</v>
      </c>
      <c r="Y4112">
        <v>37319</v>
      </c>
      <c r="Z4112">
        <v>1488116</v>
      </c>
      <c r="AA4112">
        <v>443184</v>
      </c>
      <c r="AB4112" t="str">
        <f>(VLOOKUP(SalesData[[#This Row],[Month Number]],Reference!C$5:E$16,2,FALSE))</f>
        <v>Feb</v>
      </c>
      <c r="AC4112">
        <f>MONTH(SalesData[[#This Row],[Date]])</f>
        <v>2</v>
      </c>
      <c r="AD4112">
        <f>Reference!F$4</f>
        <v>2026</v>
      </c>
      <c r="AE4112" t="str">
        <f>IF(OR(SalesData[[#This Row],[Day]]="Saturday",SalesData[[#This Row],[Day]]="Sunday"),"Weekend","Weekday")</f>
        <v>Weekday</v>
      </c>
      <c r="AF4112" s="5">
        <f>IF(SalesData[[#This Row],[Contracts Offered]]=0,0,SalesData[[#This Row],[Contracts Signed]]/SalesData[[#This Row],[Contracts Offered]])</f>
        <v>0.37333333333333335</v>
      </c>
      <c r="AG4112" s="5">
        <f>IF(SalesData[[#This Row],[Customers Visited]]=0,0,SalesData[[#This Row],[Test Drives]]/SalesData[[#This Row],[Customers Visited]])</f>
        <v>0.56122448979591832</v>
      </c>
      <c r="AH4112" s="5">
        <f>IF(SalesData[[#This Row],[Customers Visited]]=0,0,SalesData[[#This Row],[Contracts Signed]]/SalesData[[#This Row],[Customers Visited]])</f>
        <v>0.14285714285714285</v>
      </c>
      <c r="AI4112" s="6">
        <f>IF(SalesData[[#This Row],[Contracts Signed]]=0,0,SalesData[[#This Row],[Profit(€)]]/SalesData[[#This Row],[Contracts Signed]])</f>
        <v>15828</v>
      </c>
      <c r="AJ4112" s="5" t="str">
        <f>TRIM(CLEAN(SalesData[[#This Row],[Retailer]]))</f>
        <v>Saxon Wheels</v>
      </c>
    </row>
    <row r="4113" spans="1:36" ht="14.25" x14ac:dyDescent="0.2">
      <c r="A4113" t="s">
        <v>5358</v>
      </c>
      <c r="B4113" s="1">
        <v>46078</v>
      </c>
      <c r="C4113" t="s">
        <v>53</v>
      </c>
      <c r="D4113" t="s">
        <v>82</v>
      </c>
      <c r="E4113" t="s">
        <v>26</v>
      </c>
      <c r="F4113" t="s">
        <v>101</v>
      </c>
      <c r="G4113" t="s">
        <v>102</v>
      </c>
      <c r="H4113" t="s">
        <v>103</v>
      </c>
      <c r="I4113" t="s">
        <v>30</v>
      </c>
      <c r="J4113" t="s">
        <v>7075</v>
      </c>
      <c r="K4113" t="s">
        <v>32</v>
      </c>
      <c r="L4113" t="s">
        <v>33</v>
      </c>
      <c r="M4113" t="s">
        <v>47</v>
      </c>
      <c r="N4113" t="s">
        <v>69</v>
      </c>
      <c r="O4113" t="s">
        <v>36</v>
      </c>
      <c r="P4113" t="s">
        <v>37</v>
      </c>
      <c r="Q4113" t="s">
        <v>122</v>
      </c>
      <c r="R4113">
        <v>222</v>
      </c>
      <c r="S4113">
        <v>105</v>
      </c>
      <c r="T4113">
        <v>72</v>
      </c>
      <c r="U4113">
        <v>30</v>
      </c>
      <c r="V4113" t="s">
        <v>6357</v>
      </c>
      <c r="W4113">
        <v>54201</v>
      </c>
      <c r="X4113" t="s">
        <v>7154</v>
      </c>
      <c r="Y4113">
        <v>40307</v>
      </c>
      <c r="Z4113">
        <v>1626030</v>
      </c>
      <c r="AA4113">
        <v>416820</v>
      </c>
      <c r="AB4113" t="str">
        <f>(VLOOKUP(SalesData[[#This Row],[Month Number]],Reference!C$5:E$16,2,FALSE))</f>
        <v>Feb</v>
      </c>
      <c r="AC4113">
        <f>MONTH(SalesData[[#This Row],[Date]])</f>
        <v>2</v>
      </c>
      <c r="AD4113">
        <f>Reference!F$4</f>
        <v>2026</v>
      </c>
      <c r="AE4113" t="str">
        <f>IF(OR(SalesData[[#This Row],[Day]]="Saturday",SalesData[[#This Row],[Day]]="Sunday"),"Weekend","Weekday")</f>
        <v>Weekday</v>
      </c>
      <c r="AF4113" s="5">
        <f>IF(SalesData[[#This Row],[Contracts Offered]]=0,0,SalesData[[#This Row],[Contracts Signed]]/SalesData[[#This Row],[Contracts Offered]])</f>
        <v>0.41666666666666669</v>
      </c>
      <c r="AG4113" s="5">
        <f>IF(SalesData[[#This Row],[Customers Visited]]=0,0,SalesData[[#This Row],[Test Drives]]/SalesData[[#This Row],[Customers Visited]])</f>
        <v>0.47297297297297297</v>
      </c>
      <c r="AH4113" s="5">
        <f>IF(SalesData[[#This Row],[Customers Visited]]=0,0,SalesData[[#This Row],[Contracts Signed]]/SalesData[[#This Row],[Customers Visited]])</f>
        <v>0.13513513513513514</v>
      </c>
      <c r="AI4113" s="6">
        <f>IF(SalesData[[#This Row],[Contracts Signed]]=0,0,SalesData[[#This Row],[Profit(€)]]/SalesData[[#This Row],[Contracts Signed]])</f>
        <v>13894</v>
      </c>
      <c r="AJ4113" s="5" t="str">
        <f>TRIM(CLEAN(SalesData[[#This Row],[Retailer]]))</f>
        <v>Ruhr Auto Plaza</v>
      </c>
    </row>
    <row r="4114" spans="1:36" ht="14.25" hidden="1" x14ac:dyDescent="0.2">
      <c r="A4114" t="s">
        <v>5359</v>
      </c>
      <c r="B4114" s="1">
        <v>46072</v>
      </c>
      <c r="C4114" t="s">
        <v>62</v>
      </c>
      <c r="D4114" t="s">
        <v>100</v>
      </c>
      <c r="E4114" t="s">
        <v>26</v>
      </c>
      <c r="F4114" t="s">
        <v>83</v>
      </c>
      <c r="G4114" t="s">
        <v>84</v>
      </c>
      <c r="H4114" t="s">
        <v>85</v>
      </c>
      <c r="I4114" t="s">
        <v>64</v>
      </c>
      <c r="J4114" t="s">
        <v>65</v>
      </c>
      <c r="K4114" t="s">
        <v>78</v>
      </c>
      <c r="L4114" t="s">
        <v>33</v>
      </c>
      <c r="M4114" t="s">
        <v>47</v>
      </c>
      <c r="N4114" t="s">
        <v>69</v>
      </c>
      <c r="O4114" t="s">
        <v>36</v>
      </c>
      <c r="P4114" t="s">
        <v>49</v>
      </c>
      <c r="Q4114" t="s">
        <v>189</v>
      </c>
      <c r="R4114">
        <v>238</v>
      </c>
      <c r="S4114">
        <v>111</v>
      </c>
      <c r="T4114">
        <v>74</v>
      </c>
      <c r="U4114">
        <v>26</v>
      </c>
      <c r="V4114" t="s">
        <v>6492</v>
      </c>
      <c r="W4114">
        <v>66978</v>
      </c>
      <c r="X4114" t="s">
        <v>7316</v>
      </c>
      <c r="Y4114">
        <v>50002</v>
      </c>
      <c r="Z4114">
        <v>1741428</v>
      </c>
      <c r="AA4114">
        <v>441376</v>
      </c>
      <c r="AB4114" t="str">
        <f>(VLOOKUP(SalesData[[#This Row],[Month Number]],Reference!C$5:E$16,2,FALSE))</f>
        <v>Feb</v>
      </c>
      <c r="AC4114">
        <f>MONTH(SalesData[[#This Row],[Date]])</f>
        <v>2</v>
      </c>
      <c r="AD4114">
        <f>Reference!F$4</f>
        <v>2026</v>
      </c>
      <c r="AE4114" t="str">
        <f>IF(OR(SalesData[[#This Row],[Day]]="Saturday",SalesData[[#This Row],[Day]]="Sunday"),"Weekend","Weekday")</f>
        <v>Weekday</v>
      </c>
      <c r="AF4114" s="5">
        <f>IF(SalesData[[#This Row],[Contracts Offered]]=0,0,SalesData[[#This Row],[Contracts Signed]]/SalesData[[#This Row],[Contracts Offered]])</f>
        <v>0.35135135135135137</v>
      </c>
      <c r="AG4114" s="5">
        <f>IF(SalesData[[#This Row],[Customers Visited]]=0,0,SalesData[[#This Row],[Test Drives]]/SalesData[[#This Row],[Customers Visited]])</f>
        <v>0.46638655462184875</v>
      </c>
      <c r="AH4114" s="5">
        <f>IF(SalesData[[#This Row],[Customers Visited]]=0,0,SalesData[[#This Row],[Contracts Signed]]/SalesData[[#This Row],[Customers Visited]])</f>
        <v>0.1092436974789916</v>
      </c>
      <c r="AI4114" s="6">
        <f>IF(SalesData[[#This Row],[Contracts Signed]]=0,0,SalesData[[#This Row],[Profit(€)]]/SalesData[[#This Row],[Contracts Signed]])</f>
        <v>16976</v>
      </c>
      <c r="AJ4114" s="5" t="str">
        <f>TRIM(CLEAN(SalesData[[#This Row],[Retailer]]))</f>
        <v>Hannover Cars</v>
      </c>
    </row>
    <row r="4115" spans="1:36" ht="14.25" hidden="1" x14ac:dyDescent="0.2">
      <c r="A4115" t="s">
        <v>5360</v>
      </c>
      <c r="B4115" s="1">
        <v>46059</v>
      </c>
      <c r="C4115" t="s">
        <v>24</v>
      </c>
      <c r="D4115" t="s">
        <v>54</v>
      </c>
      <c r="E4115" t="s">
        <v>26</v>
      </c>
      <c r="F4115" t="s">
        <v>127</v>
      </c>
      <c r="G4115" t="s">
        <v>128</v>
      </c>
      <c r="H4115" t="s">
        <v>103</v>
      </c>
      <c r="I4115" t="s">
        <v>116</v>
      </c>
      <c r="J4115" t="s">
        <v>7090</v>
      </c>
      <c r="K4115" t="s">
        <v>32</v>
      </c>
      <c r="L4115" t="s">
        <v>46</v>
      </c>
      <c r="M4115" t="s">
        <v>87</v>
      </c>
      <c r="N4115" t="s">
        <v>48</v>
      </c>
      <c r="O4115" t="s">
        <v>70</v>
      </c>
      <c r="P4115" t="s">
        <v>37</v>
      </c>
      <c r="Q4115" t="s">
        <v>152</v>
      </c>
      <c r="R4115">
        <v>412</v>
      </c>
      <c r="S4115">
        <v>215</v>
      </c>
      <c r="T4115">
        <v>126</v>
      </c>
      <c r="U4115">
        <v>35</v>
      </c>
      <c r="V4115" t="s">
        <v>89</v>
      </c>
      <c r="W4115">
        <v>21798</v>
      </c>
      <c r="X4115" t="s">
        <v>1409</v>
      </c>
      <c r="Y4115">
        <v>20272</v>
      </c>
      <c r="Z4115">
        <v>762930</v>
      </c>
      <c r="AA4115">
        <v>53410</v>
      </c>
      <c r="AB4115" t="str">
        <f>(VLOOKUP(SalesData[[#This Row],[Month Number]],Reference!C$5:E$16,2,FALSE))</f>
        <v>Feb</v>
      </c>
      <c r="AC4115">
        <f>MONTH(SalesData[[#This Row],[Date]])</f>
        <v>2</v>
      </c>
      <c r="AD4115">
        <f>Reference!F$4</f>
        <v>2026</v>
      </c>
      <c r="AE4115" t="str">
        <f>IF(OR(SalesData[[#This Row],[Day]]="Saturday",SalesData[[#This Row],[Day]]="Sunday"),"Weekend","Weekday")</f>
        <v>Weekday</v>
      </c>
      <c r="AF4115" s="5">
        <f>IF(SalesData[[#This Row],[Contracts Offered]]=0,0,SalesData[[#This Row],[Contracts Signed]]/SalesData[[#This Row],[Contracts Offered]])</f>
        <v>0.27777777777777779</v>
      </c>
      <c r="AG4115" s="5">
        <f>IF(SalesData[[#This Row],[Customers Visited]]=0,0,SalesData[[#This Row],[Test Drives]]/SalesData[[#This Row],[Customers Visited]])</f>
        <v>0.52184466019417475</v>
      </c>
      <c r="AH4115" s="5">
        <f>IF(SalesData[[#This Row],[Customers Visited]]=0,0,SalesData[[#This Row],[Contracts Signed]]/SalesData[[#This Row],[Customers Visited]])</f>
        <v>8.4951456310679616E-2</v>
      </c>
      <c r="AI4115" s="6">
        <f>IF(SalesData[[#This Row],[Contracts Signed]]=0,0,SalesData[[#This Row],[Profit(€)]]/SalesData[[#This Row],[Contracts Signed]])</f>
        <v>1526</v>
      </c>
      <c r="AJ4115" s="5" t="str">
        <f>TRIM(CLEAN(SalesData[[#This Row],[Retailer]]))</f>
        <v>Rhein Auto Group</v>
      </c>
    </row>
    <row r="4116" spans="1:36" ht="14.25" hidden="1" x14ac:dyDescent="0.2">
      <c r="A4116" t="s">
        <v>5361</v>
      </c>
      <c r="B4116" s="1">
        <v>46056</v>
      </c>
      <c r="C4116" t="s">
        <v>24</v>
      </c>
      <c r="D4116" t="s">
        <v>63</v>
      </c>
      <c r="E4116" t="s">
        <v>26</v>
      </c>
      <c r="F4116" t="s">
        <v>94</v>
      </c>
      <c r="G4116" t="s">
        <v>95</v>
      </c>
      <c r="H4116" t="s">
        <v>96</v>
      </c>
      <c r="I4116" t="s">
        <v>64</v>
      </c>
      <c r="J4116" t="s">
        <v>65</v>
      </c>
      <c r="K4116" t="s">
        <v>66</v>
      </c>
      <c r="L4116" t="s">
        <v>33</v>
      </c>
      <c r="M4116" t="s">
        <v>68</v>
      </c>
      <c r="N4116" t="s">
        <v>48</v>
      </c>
      <c r="O4116" t="s">
        <v>70</v>
      </c>
      <c r="P4116" t="s">
        <v>71</v>
      </c>
      <c r="Q4116" t="s">
        <v>144</v>
      </c>
      <c r="R4116">
        <v>192</v>
      </c>
      <c r="S4116">
        <v>110</v>
      </c>
      <c r="T4116">
        <v>76</v>
      </c>
      <c r="U4116">
        <v>28</v>
      </c>
      <c r="V4116" t="s">
        <v>6709</v>
      </c>
      <c r="W4116">
        <v>54037</v>
      </c>
      <c r="X4116" t="s">
        <v>7169</v>
      </c>
      <c r="Y4116">
        <v>40673</v>
      </c>
      <c r="Z4116">
        <v>1513036</v>
      </c>
      <c r="AA4116">
        <v>374192</v>
      </c>
      <c r="AB4116" t="str">
        <f>(VLOOKUP(SalesData[[#This Row],[Month Number]],Reference!C$5:E$16,2,FALSE))</f>
        <v>Feb</v>
      </c>
      <c r="AC4116">
        <f>MONTH(SalesData[[#This Row],[Date]])</f>
        <v>2</v>
      </c>
      <c r="AD4116">
        <f>Reference!F$4</f>
        <v>2026</v>
      </c>
      <c r="AE4116" t="str">
        <f>IF(OR(SalesData[[#This Row],[Day]]="Saturday",SalesData[[#This Row],[Day]]="Sunday"),"Weekend","Weekday")</f>
        <v>Weekday</v>
      </c>
      <c r="AF4116" s="5">
        <f>IF(SalesData[[#This Row],[Contracts Offered]]=0,0,SalesData[[#This Row],[Contracts Signed]]/SalesData[[#This Row],[Contracts Offered]])</f>
        <v>0.36842105263157893</v>
      </c>
      <c r="AG4116" s="5">
        <f>IF(SalesData[[#This Row],[Customers Visited]]=0,0,SalesData[[#This Row],[Test Drives]]/SalesData[[#This Row],[Customers Visited]])</f>
        <v>0.57291666666666663</v>
      </c>
      <c r="AH4116" s="5">
        <f>IF(SalesData[[#This Row],[Customers Visited]]=0,0,SalesData[[#This Row],[Contracts Signed]]/SalesData[[#This Row],[Customers Visited]])</f>
        <v>0.14583333333333334</v>
      </c>
      <c r="AI4116" s="6">
        <f>IF(SalesData[[#This Row],[Contracts Signed]]=0,0,SalesData[[#This Row],[Profit(€)]]/SalesData[[#This Row],[Contracts Signed]])</f>
        <v>13364</v>
      </c>
      <c r="AJ4116" s="5" t="str">
        <f>TRIM(CLEAN(SalesData[[#This Row],[Retailer]]))</f>
        <v>Bavaria Motors</v>
      </c>
    </row>
    <row r="4117" spans="1:36" ht="14.25" hidden="1" x14ac:dyDescent="0.2">
      <c r="A4117" t="s">
        <v>5362</v>
      </c>
      <c r="B4117" s="1">
        <v>46063</v>
      </c>
      <c r="C4117" t="s">
        <v>121</v>
      </c>
      <c r="D4117" t="s">
        <v>63</v>
      </c>
      <c r="E4117" t="s">
        <v>26</v>
      </c>
      <c r="F4117" t="s">
        <v>109</v>
      </c>
      <c r="G4117" t="s">
        <v>110</v>
      </c>
      <c r="H4117" t="s">
        <v>45</v>
      </c>
      <c r="I4117" t="s">
        <v>104</v>
      </c>
      <c r="J4117" t="s">
        <v>140</v>
      </c>
      <c r="K4117" t="s">
        <v>66</v>
      </c>
      <c r="L4117" t="s">
        <v>46</v>
      </c>
      <c r="M4117" t="s">
        <v>47</v>
      </c>
      <c r="N4117" t="s">
        <v>69</v>
      </c>
      <c r="O4117" t="s">
        <v>36</v>
      </c>
      <c r="P4117" t="s">
        <v>58</v>
      </c>
      <c r="Q4117" t="s">
        <v>152</v>
      </c>
      <c r="R4117">
        <v>283</v>
      </c>
      <c r="S4117">
        <v>163</v>
      </c>
      <c r="T4117">
        <v>105</v>
      </c>
      <c r="U4117">
        <v>33</v>
      </c>
      <c r="V4117" t="s">
        <v>6911</v>
      </c>
      <c r="W4117">
        <v>32295</v>
      </c>
      <c r="X4117" t="s">
        <v>2445</v>
      </c>
      <c r="Y4117">
        <v>28064</v>
      </c>
      <c r="Z4117">
        <v>1065735</v>
      </c>
      <c r="AA4117">
        <v>139623</v>
      </c>
      <c r="AB4117" t="str">
        <f>(VLOOKUP(SalesData[[#This Row],[Month Number]],Reference!C$5:E$16,2,FALSE))</f>
        <v>Feb</v>
      </c>
      <c r="AC4117">
        <f>MONTH(SalesData[[#This Row],[Date]])</f>
        <v>2</v>
      </c>
      <c r="AD4117">
        <f>Reference!F$4</f>
        <v>2026</v>
      </c>
      <c r="AE4117" t="str">
        <f>IF(OR(SalesData[[#This Row],[Day]]="Saturday",SalesData[[#This Row],[Day]]="Sunday"),"Weekend","Weekday")</f>
        <v>Weekday</v>
      </c>
      <c r="AF4117" s="5">
        <f>IF(SalesData[[#This Row],[Contracts Offered]]=0,0,SalesData[[#This Row],[Contracts Signed]]/SalesData[[#This Row],[Contracts Offered]])</f>
        <v>0.31428571428571428</v>
      </c>
      <c r="AG4117" s="5">
        <f>IF(SalesData[[#This Row],[Customers Visited]]=0,0,SalesData[[#This Row],[Test Drives]]/SalesData[[#This Row],[Customers Visited]])</f>
        <v>0.57597173144876324</v>
      </c>
      <c r="AH4117" s="5">
        <f>IF(SalesData[[#This Row],[Customers Visited]]=0,0,SalesData[[#This Row],[Contracts Signed]]/SalesData[[#This Row],[Customers Visited]])</f>
        <v>0.1166077738515901</v>
      </c>
      <c r="AI4117" s="6">
        <f>IF(SalesData[[#This Row],[Contracts Signed]]=0,0,SalesData[[#This Row],[Profit(€)]]/SalesData[[#This Row],[Contracts Signed]])</f>
        <v>4231</v>
      </c>
      <c r="AJ4117" s="5" t="str">
        <f>TRIM(CLEAN(SalesData[[#This Row],[Retailer]]))</f>
        <v>Leipzig Mobility</v>
      </c>
    </row>
    <row r="4118" spans="1:36" ht="14.25" x14ac:dyDescent="0.2">
      <c r="A4118" t="s">
        <v>5363</v>
      </c>
      <c r="B4118" s="1">
        <v>46076</v>
      </c>
      <c r="C4118" t="s">
        <v>53</v>
      </c>
      <c r="D4118" t="s">
        <v>25</v>
      </c>
      <c r="E4118" t="s">
        <v>26</v>
      </c>
      <c r="F4118" t="s">
        <v>114</v>
      </c>
      <c r="G4118" t="s">
        <v>115</v>
      </c>
      <c r="H4118" t="s">
        <v>115</v>
      </c>
      <c r="I4118" t="s">
        <v>30</v>
      </c>
      <c r="J4118" t="s">
        <v>86</v>
      </c>
      <c r="K4118" t="s">
        <v>78</v>
      </c>
      <c r="L4118" t="s">
        <v>33</v>
      </c>
      <c r="M4118" t="s">
        <v>47</v>
      </c>
      <c r="N4118" t="s">
        <v>35</v>
      </c>
      <c r="O4118" t="s">
        <v>70</v>
      </c>
      <c r="P4118" t="s">
        <v>49</v>
      </c>
      <c r="Q4118" t="s">
        <v>79</v>
      </c>
      <c r="R4118">
        <v>248</v>
      </c>
      <c r="S4118">
        <v>123</v>
      </c>
      <c r="T4118">
        <v>94</v>
      </c>
      <c r="U4118">
        <v>31</v>
      </c>
      <c r="V4118" t="s">
        <v>6352</v>
      </c>
      <c r="W4118">
        <v>57788</v>
      </c>
      <c r="X4118" t="s">
        <v>7183</v>
      </c>
      <c r="Y4118">
        <v>42118</v>
      </c>
      <c r="Z4118">
        <v>1791428</v>
      </c>
      <c r="AA4118">
        <v>485770</v>
      </c>
      <c r="AB4118" t="str">
        <f>(VLOOKUP(SalesData[[#This Row],[Month Number]],Reference!C$5:E$16,2,FALSE))</f>
        <v>Feb</v>
      </c>
      <c r="AC4118">
        <f>MONTH(SalesData[[#This Row],[Date]])</f>
        <v>2</v>
      </c>
      <c r="AD4118">
        <f>Reference!F$4</f>
        <v>2026</v>
      </c>
      <c r="AE4118" t="str">
        <f>IF(OR(SalesData[[#This Row],[Day]]="Saturday",SalesData[[#This Row],[Day]]="Sunday"),"Weekend","Weekday")</f>
        <v>Weekday</v>
      </c>
      <c r="AF4118" s="5">
        <f>IF(SalesData[[#This Row],[Contracts Offered]]=0,0,SalesData[[#This Row],[Contracts Signed]]/SalesData[[#This Row],[Contracts Offered]])</f>
        <v>0.32978723404255317</v>
      </c>
      <c r="AG4118" s="5">
        <f>IF(SalesData[[#This Row],[Customers Visited]]=0,0,SalesData[[#This Row],[Test Drives]]/SalesData[[#This Row],[Customers Visited]])</f>
        <v>0.49596774193548387</v>
      </c>
      <c r="AH4118" s="5">
        <f>IF(SalesData[[#This Row],[Customers Visited]]=0,0,SalesData[[#This Row],[Contracts Signed]]/SalesData[[#This Row],[Customers Visited]])</f>
        <v>0.125</v>
      </c>
      <c r="AI4118" s="6">
        <f>IF(SalesData[[#This Row],[Contracts Signed]]=0,0,SalesData[[#This Row],[Profit(€)]]/SalesData[[#This Row],[Contracts Signed]])</f>
        <v>15670</v>
      </c>
      <c r="AJ4118" s="5" t="str">
        <f>TRIM(CLEAN(SalesData[[#This Row],[Retailer]]))</f>
        <v>Elbe Drive</v>
      </c>
    </row>
    <row r="4119" spans="1:36" ht="14.25" hidden="1" x14ac:dyDescent="0.2">
      <c r="A4119" t="s">
        <v>5364</v>
      </c>
      <c r="B4119" s="1">
        <v>46062</v>
      </c>
      <c r="C4119" t="s">
        <v>121</v>
      </c>
      <c r="D4119" t="s">
        <v>25</v>
      </c>
      <c r="E4119" t="s">
        <v>26</v>
      </c>
      <c r="F4119" t="s">
        <v>101</v>
      </c>
      <c r="G4119" t="s">
        <v>102</v>
      </c>
      <c r="H4119" t="s">
        <v>103</v>
      </c>
      <c r="I4119" t="s">
        <v>64</v>
      </c>
      <c r="J4119" t="s">
        <v>77</v>
      </c>
      <c r="K4119" t="s">
        <v>32</v>
      </c>
      <c r="L4119" t="s">
        <v>46</v>
      </c>
      <c r="M4119" t="s">
        <v>87</v>
      </c>
      <c r="N4119" t="s">
        <v>48</v>
      </c>
      <c r="O4119" t="s">
        <v>70</v>
      </c>
      <c r="P4119" t="s">
        <v>37</v>
      </c>
      <c r="Q4119" t="s">
        <v>59</v>
      </c>
      <c r="R4119">
        <v>151</v>
      </c>
      <c r="S4119">
        <v>84</v>
      </c>
      <c r="T4119">
        <v>63</v>
      </c>
      <c r="U4119">
        <v>19</v>
      </c>
      <c r="V4119" t="s">
        <v>6894</v>
      </c>
      <c r="W4119">
        <v>67683</v>
      </c>
      <c r="X4119" t="s">
        <v>4802</v>
      </c>
      <c r="Y4119">
        <v>52588</v>
      </c>
      <c r="Z4119">
        <v>1285977</v>
      </c>
      <c r="AA4119">
        <v>286805</v>
      </c>
      <c r="AB4119" t="str">
        <f>(VLOOKUP(SalesData[[#This Row],[Month Number]],Reference!C$5:E$16,2,FALSE))</f>
        <v>Feb</v>
      </c>
      <c r="AC4119">
        <f>MONTH(SalesData[[#This Row],[Date]])</f>
        <v>2</v>
      </c>
      <c r="AD4119">
        <f>Reference!F$4</f>
        <v>2026</v>
      </c>
      <c r="AE4119" t="str">
        <f>IF(OR(SalesData[[#This Row],[Day]]="Saturday",SalesData[[#This Row],[Day]]="Sunday"),"Weekend","Weekday")</f>
        <v>Weekday</v>
      </c>
      <c r="AF4119" s="5">
        <f>IF(SalesData[[#This Row],[Contracts Offered]]=0,0,SalesData[[#This Row],[Contracts Signed]]/SalesData[[#This Row],[Contracts Offered]])</f>
        <v>0.30158730158730157</v>
      </c>
      <c r="AG4119" s="5">
        <f>IF(SalesData[[#This Row],[Customers Visited]]=0,0,SalesData[[#This Row],[Test Drives]]/SalesData[[#This Row],[Customers Visited]])</f>
        <v>0.55629139072847678</v>
      </c>
      <c r="AH4119" s="5">
        <f>IF(SalesData[[#This Row],[Customers Visited]]=0,0,SalesData[[#This Row],[Contracts Signed]]/SalesData[[#This Row],[Customers Visited]])</f>
        <v>0.12582781456953643</v>
      </c>
      <c r="AI4119" s="6">
        <f>IF(SalesData[[#This Row],[Contracts Signed]]=0,0,SalesData[[#This Row],[Profit(€)]]/SalesData[[#This Row],[Contracts Signed]])</f>
        <v>15095</v>
      </c>
      <c r="AJ4119" s="5" t="str">
        <f>TRIM(CLEAN(SalesData[[#This Row],[Retailer]]))</f>
        <v>Ruhr Auto Plaza</v>
      </c>
    </row>
    <row r="4120" spans="1:36" ht="14.25" hidden="1" x14ac:dyDescent="0.2">
      <c r="A4120" t="s">
        <v>5365</v>
      </c>
      <c r="B4120" s="1">
        <v>46055</v>
      </c>
      <c r="C4120" t="s">
        <v>24</v>
      </c>
      <c r="D4120" t="s">
        <v>25</v>
      </c>
      <c r="E4120" t="s">
        <v>26</v>
      </c>
      <c r="F4120" t="s">
        <v>127</v>
      </c>
      <c r="G4120" t="s">
        <v>128</v>
      </c>
      <c r="H4120" t="s">
        <v>103</v>
      </c>
      <c r="I4120" t="s">
        <v>56</v>
      </c>
      <c r="J4120" t="s">
        <v>7028</v>
      </c>
      <c r="K4120" t="s">
        <v>66</v>
      </c>
      <c r="L4120" t="s">
        <v>46</v>
      </c>
      <c r="M4120" t="s">
        <v>87</v>
      </c>
      <c r="N4120" t="s">
        <v>69</v>
      </c>
      <c r="O4120" t="s">
        <v>36</v>
      </c>
      <c r="P4120" t="s">
        <v>49</v>
      </c>
      <c r="Q4120" t="s">
        <v>135</v>
      </c>
      <c r="R4120">
        <v>311</v>
      </c>
      <c r="S4120">
        <v>167</v>
      </c>
      <c r="T4120">
        <v>116</v>
      </c>
      <c r="U4120">
        <v>35</v>
      </c>
      <c r="V4120" t="s">
        <v>6526</v>
      </c>
      <c r="W4120">
        <v>44242</v>
      </c>
      <c r="X4120" t="s">
        <v>7255</v>
      </c>
      <c r="Y4120">
        <v>33810</v>
      </c>
      <c r="Z4120">
        <v>1548470</v>
      </c>
      <c r="AA4120">
        <v>365120</v>
      </c>
      <c r="AB4120" t="str">
        <f>(VLOOKUP(SalesData[[#This Row],[Month Number]],Reference!C$5:E$16,2,FALSE))</f>
        <v>Feb</v>
      </c>
      <c r="AC4120">
        <f>MONTH(SalesData[[#This Row],[Date]])</f>
        <v>2</v>
      </c>
      <c r="AD4120">
        <f>Reference!F$4</f>
        <v>2026</v>
      </c>
      <c r="AE4120" t="str">
        <f>IF(OR(SalesData[[#This Row],[Day]]="Saturday",SalesData[[#This Row],[Day]]="Sunday"),"Weekend","Weekday")</f>
        <v>Weekday</v>
      </c>
      <c r="AF4120" s="5">
        <f>IF(SalesData[[#This Row],[Contracts Offered]]=0,0,SalesData[[#This Row],[Contracts Signed]]/SalesData[[#This Row],[Contracts Offered]])</f>
        <v>0.30172413793103448</v>
      </c>
      <c r="AG4120" s="5">
        <f>IF(SalesData[[#This Row],[Customers Visited]]=0,0,SalesData[[#This Row],[Test Drives]]/SalesData[[#This Row],[Customers Visited]])</f>
        <v>0.53697749196141475</v>
      </c>
      <c r="AH4120" s="5">
        <f>IF(SalesData[[#This Row],[Customers Visited]]=0,0,SalesData[[#This Row],[Contracts Signed]]/SalesData[[#This Row],[Customers Visited]])</f>
        <v>0.11254019292604502</v>
      </c>
      <c r="AI4120" s="6">
        <f>IF(SalesData[[#This Row],[Contracts Signed]]=0,0,SalesData[[#This Row],[Profit(€)]]/SalesData[[#This Row],[Contracts Signed]])</f>
        <v>10432</v>
      </c>
      <c r="AJ4120" s="5" t="str">
        <f>TRIM(CLEAN(SalesData[[#This Row],[Retailer]]))</f>
        <v>Rhein Auto Group</v>
      </c>
    </row>
    <row r="4121" spans="1:36" ht="14.25" hidden="1" x14ac:dyDescent="0.2">
      <c r="A4121" t="s">
        <v>5366</v>
      </c>
      <c r="B4121" s="1">
        <v>46079</v>
      </c>
      <c r="C4121" t="s">
        <v>53</v>
      </c>
      <c r="D4121" t="s">
        <v>100</v>
      </c>
      <c r="E4121" t="s">
        <v>26</v>
      </c>
      <c r="F4121" t="s">
        <v>83</v>
      </c>
      <c r="G4121" t="s">
        <v>84</v>
      </c>
      <c r="H4121" t="s">
        <v>85</v>
      </c>
      <c r="I4121" t="s">
        <v>64</v>
      </c>
      <c r="J4121" t="s">
        <v>157</v>
      </c>
      <c r="K4121" t="s">
        <v>91</v>
      </c>
      <c r="L4121" t="s">
        <v>33</v>
      </c>
      <c r="M4121" t="s">
        <v>87</v>
      </c>
      <c r="N4121" t="s">
        <v>48</v>
      </c>
      <c r="O4121" t="s">
        <v>36</v>
      </c>
      <c r="P4121" t="s">
        <v>49</v>
      </c>
      <c r="Q4121" t="s">
        <v>88</v>
      </c>
      <c r="R4121">
        <v>274</v>
      </c>
      <c r="S4121">
        <v>135</v>
      </c>
      <c r="T4121">
        <v>98</v>
      </c>
      <c r="U4121">
        <v>35</v>
      </c>
      <c r="V4121" t="s">
        <v>6604</v>
      </c>
      <c r="W4121">
        <v>56520</v>
      </c>
      <c r="X4121" t="s">
        <v>7437</v>
      </c>
      <c r="Y4121">
        <v>42318</v>
      </c>
      <c r="Z4121">
        <v>1978200</v>
      </c>
      <c r="AA4121">
        <v>497070</v>
      </c>
      <c r="AB4121" t="str">
        <f>(VLOOKUP(SalesData[[#This Row],[Month Number]],Reference!C$5:E$16,2,FALSE))</f>
        <v>Feb</v>
      </c>
      <c r="AC4121">
        <f>MONTH(SalesData[[#This Row],[Date]])</f>
        <v>2</v>
      </c>
      <c r="AD4121">
        <f>Reference!F$4</f>
        <v>2026</v>
      </c>
      <c r="AE4121" t="str">
        <f>IF(OR(SalesData[[#This Row],[Day]]="Saturday",SalesData[[#This Row],[Day]]="Sunday"),"Weekend","Weekday")</f>
        <v>Weekday</v>
      </c>
      <c r="AF4121" s="5">
        <f>IF(SalesData[[#This Row],[Contracts Offered]]=0,0,SalesData[[#This Row],[Contracts Signed]]/SalesData[[#This Row],[Contracts Offered]])</f>
        <v>0.35714285714285715</v>
      </c>
      <c r="AG4121" s="5">
        <f>IF(SalesData[[#This Row],[Customers Visited]]=0,0,SalesData[[#This Row],[Test Drives]]/SalesData[[#This Row],[Customers Visited]])</f>
        <v>0.49270072992700731</v>
      </c>
      <c r="AH4121" s="5">
        <f>IF(SalesData[[#This Row],[Customers Visited]]=0,0,SalesData[[#This Row],[Contracts Signed]]/SalesData[[#This Row],[Customers Visited]])</f>
        <v>0.12773722627737227</v>
      </c>
      <c r="AI4121" s="6">
        <f>IF(SalesData[[#This Row],[Contracts Signed]]=0,0,SalesData[[#This Row],[Profit(€)]]/SalesData[[#This Row],[Contracts Signed]])</f>
        <v>14202</v>
      </c>
      <c r="AJ4121" s="5" t="str">
        <f>TRIM(CLEAN(SalesData[[#This Row],[Retailer]]))</f>
        <v>Hannover Cars</v>
      </c>
    </row>
    <row r="4122" spans="1:36" ht="14.25" hidden="1" x14ac:dyDescent="0.2">
      <c r="A4122" t="s">
        <v>5367</v>
      </c>
      <c r="B4122" s="1">
        <v>46074</v>
      </c>
      <c r="C4122" t="s">
        <v>62</v>
      </c>
      <c r="D4122" t="s">
        <v>151</v>
      </c>
      <c r="E4122" t="s">
        <v>42</v>
      </c>
      <c r="F4122" t="s">
        <v>43</v>
      </c>
      <c r="G4122" t="s">
        <v>44</v>
      </c>
      <c r="H4122" t="s">
        <v>45</v>
      </c>
      <c r="I4122" t="s">
        <v>104</v>
      </c>
      <c r="J4122" t="s">
        <v>140</v>
      </c>
      <c r="K4122" t="s">
        <v>32</v>
      </c>
      <c r="L4122" t="s">
        <v>46</v>
      </c>
      <c r="M4122" t="s">
        <v>34</v>
      </c>
      <c r="N4122" t="s">
        <v>48</v>
      </c>
      <c r="O4122" t="s">
        <v>70</v>
      </c>
      <c r="P4122" t="s">
        <v>71</v>
      </c>
      <c r="Q4122" t="s">
        <v>135</v>
      </c>
      <c r="R4122">
        <v>310</v>
      </c>
      <c r="S4122">
        <v>161</v>
      </c>
      <c r="T4122">
        <v>95</v>
      </c>
      <c r="U4122">
        <v>23</v>
      </c>
      <c r="V4122" t="s">
        <v>527</v>
      </c>
      <c r="W4122">
        <v>28436</v>
      </c>
      <c r="X4122" t="s">
        <v>409</v>
      </c>
      <c r="Y4122">
        <v>24467</v>
      </c>
      <c r="Z4122">
        <v>654028</v>
      </c>
      <c r="AA4122">
        <v>91287</v>
      </c>
      <c r="AB4122" t="str">
        <f>(VLOOKUP(SalesData[[#This Row],[Month Number]],Reference!C$5:E$16,2,FALSE))</f>
        <v>Feb</v>
      </c>
      <c r="AC4122">
        <f>MONTH(SalesData[[#This Row],[Date]])</f>
        <v>2</v>
      </c>
      <c r="AD4122">
        <f>Reference!F$4</f>
        <v>2026</v>
      </c>
      <c r="AE4122" t="str">
        <f>IF(OR(SalesData[[#This Row],[Day]]="Saturday",SalesData[[#This Row],[Day]]="Sunday"),"Weekend","Weekday")</f>
        <v>Weekend</v>
      </c>
      <c r="AF4122" s="5">
        <f>IF(SalesData[[#This Row],[Contracts Offered]]=0,0,SalesData[[#This Row],[Contracts Signed]]/SalesData[[#This Row],[Contracts Offered]])</f>
        <v>0.24210526315789474</v>
      </c>
      <c r="AG4122" s="5">
        <f>IF(SalesData[[#This Row],[Customers Visited]]=0,0,SalesData[[#This Row],[Test Drives]]/SalesData[[#This Row],[Customers Visited]])</f>
        <v>0.51935483870967747</v>
      </c>
      <c r="AH4122" s="5">
        <f>IF(SalesData[[#This Row],[Customers Visited]]=0,0,SalesData[[#This Row],[Contracts Signed]]/SalesData[[#This Row],[Customers Visited]])</f>
        <v>7.4193548387096769E-2</v>
      </c>
      <c r="AI4122" s="6">
        <f>IF(SalesData[[#This Row],[Contracts Signed]]=0,0,SalesData[[#This Row],[Profit(€)]]/SalesData[[#This Row],[Contracts Signed]])</f>
        <v>3969</v>
      </c>
      <c r="AJ4122" s="5" t="str">
        <f>TRIM(CLEAN(SalesData[[#This Row],[Retailer]]))</f>
        <v>Saxon Wheels</v>
      </c>
    </row>
    <row r="4123" spans="1:36" ht="14.25" hidden="1" x14ac:dyDescent="0.2">
      <c r="A4123" t="s">
        <v>5368</v>
      </c>
      <c r="B4123" s="1">
        <v>46062</v>
      </c>
      <c r="C4123" t="s">
        <v>121</v>
      </c>
      <c r="D4123" t="s">
        <v>25</v>
      </c>
      <c r="E4123" t="s">
        <v>26</v>
      </c>
      <c r="F4123" t="s">
        <v>114</v>
      </c>
      <c r="G4123" t="s">
        <v>115</v>
      </c>
      <c r="H4123" t="s">
        <v>115</v>
      </c>
      <c r="I4123" t="s">
        <v>56</v>
      </c>
      <c r="J4123" t="s">
        <v>179</v>
      </c>
      <c r="K4123" t="s">
        <v>66</v>
      </c>
      <c r="L4123" t="s">
        <v>67</v>
      </c>
      <c r="M4123" t="s">
        <v>47</v>
      </c>
      <c r="N4123" t="s">
        <v>69</v>
      </c>
      <c r="O4123" t="s">
        <v>36</v>
      </c>
      <c r="P4123" t="s">
        <v>49</v>
      </c>
      <c r="Q4123" t="s">
        <v>106</v>
      </c>
      <c r="R4123">
        <v>166</v>
      </c>
      <c r="S4123">
        <v>105</v>
      </c>
      <c r="T4123">
        <v>71</v>
      </c>
      <c r="U4123">
        <v>21</v>
      </c>
      <c r="V4123" t="s">
        <v>6410</v>
      </c>
      <c r="W4123">
        <v>52962</v>
      </c>
      <c r="X4123" t="s">
        <v>7485</v>
      </c>
      <c r="Y4123">
        <v>42188</v>
      </c>
      <c r="Z4123">
        <v>1112202</v>
      </c>
      <c r="AA4123">
        <v>226254</v>
      </c>
      <c r="AB4123" t="str">
        <f>(VLOOKUP(SalesData[[#This Row],[Month Number]],Reference!C$5:E$16,2,FALSE))</f>
        <v>Feb</v>
      </c>
      <c r="AC4123">
        <f>MONTH(SalesData[[#This Row],[Date]])</f>
        <v>2</v>
      </c>
      <c r="AD4123">
        <f>Reference!F$4</f>
        <v>2026</v>
      </c>
      <c r="AE4123" t="str">
        <f>IF(OR(SalesData[[#This Row],[Day]]="Saturday",SalesData[[#This Row],[Day]]="Sunday"),"Weekend","Weekday")</f>
        <v>Weekday</v>
      </c>
      <c r="AF4123" s="5">
        <f>IF(SalesData[[#This Row],[Contracts Offered]]=0,0,SalesData[[#This Row],[Contracts Signed]]/SalesData[[#This Row],[Contracts Offered]])</f>
        <v>0.29577464788732394</v>
      </c>
      <c r="AG4123" s="5">
        <f>IF(SalesData[[#This Row],[Customers Visited]]=0,0,SalesData[[#This Row],[Test Drives]]/SalesData[[#This Row],[Customers Visited]])</f>
        <v>0.63253012048192769</v>
      </c>
      <c r="AH4123" s="5">
        <f>IF(SalesData[[#This Row],[Customers Visited]]=0,0,SalesData[[#This Row],[Contracts Signed]]/SalesData[[#This Row],[Customers Visited]])</f>
        <v>0.12650602409638553</v>
      </c>
      <c r="AI4123" s="6">
        <f>IF(SalesData[[#This Row],[Contracts Signed]]=0,0,SalesData[[#This Row],[Profit(€)]]/SalesData[[#This Row],[Contracts Signed]])</f>
        <v>10774</v>
      </c>
      <c r="AJ4123" s="5" t="str">
        <f>TRIM(CLEAN(SalesData[[#This Row],[Retailer]]))</f>
        <v>Elbe Drive</v>
      </c>
    </row>
    <row r="4124" spans="1:36" ht="14.25" hidden="1" x14ac:dyDescent="0.2">
      <c r="A4124" t="s">
        <v>5369</v>
      </c>
      <c r="B4124" s="1">
        <v>46064</v>
      </c>
      <c r="C4124" t="s">
        <v>121</v>
      </c>
      <c r="D4124" t="s">
        <v>82</v>
      </c>
      <c r="E4124" t="s">
        <v>26</v>
      </c>
      <c r="F4124" t="s">
        <v>94</v>
      </c>
      <c r="G4124" t="s">
        <v>95</v>
      </c>
      <c r="H4124" t="s">
        <v>96</v>
      </c>
      <c r="I4124" t="s">
        <v>104</v>
      </c>
      <c r="J4124" t="s">
        <v>7061</v>
      </c>
      <c r="K4124" t="s">
        <v>32</v>
      </c>
      <c r="L4124" t="s">
        <v>46</v>
      </c>
      <c r="M4124" t="s">
        <v>68</v>
      </c>
      <c r="N4124" t="s">
        <v>35</v>
      </c>
      <c r="O4124" t="s">
        <v>70</v>
      </c>
      <c r="P4124" t="s">
        <v>49</v>
      </c>
      <c r="Q4124" t="s">
        <v>59</v>
      </c>
      <c r="R4124">
        <v>276</v>
      </c>
      <c r="S4124">
        <v>119</v>
      </c>
      <c r="T4124">
        <v>83</v>
      </c>
      <c r="U4124">
        <v>19</v>
      </c>
      <c r="V4124" t="s">
        <v>558</v>
      </c>
      <c r="W4124">
        <v>25189</v>
      </c>
      <c r="X4124" t="s">
        <v>4732</v>
      </c>
      <c r="Y4124">
        <v>21911</v>
      </c>
      <c r="Z4124">
        <v>478591</v>
      </c>
      <c r="AA4124">
        <v>62282</v>
      </c>
      <c r="AB4124" t="str">
        <f>(VLOOKUP(SalesData[[#This Row],[Month Number]],Reference!C$5:E$16,2,FALSE))</f>
        <v>Feb</v>
      </c>
      <c r="AC4124">
        <f>MONTH(SalesData[[#This Row],[Date]])</f>
        <v>2</v>
      </c>
      <c r="AD4124">
        <f>Reference!F$4</f>
        <v>2026</v>
      </c>
      <c r="AE4124" t="str">
        <f>IF(OR(SalesData[[#This Row],[Day]]="Saturday",SalesData[[#This Row],[Day]]="Sunday"),"Weekend","Weekday")</f>
        <v>Weekday</v>
      </c>
      <c r="AF4124" s="5">
        <f>IF(SalesData[[#This Row],[Contracts Offered]]=0,0,SalesData[[#This Row],[Contracts Signed]]/SalesData[[#This Row],[Contracts Offered]])</f>
        <v>0.2289156626506024</v>
      </c>
      <c r="AG4124" s="5">
        <f>IF(SalesData[[#This Row],[Customers Visited]]=0,0,SalesData[[#This Row],[Test Drives]]/SalesData[[#This Row],[Customers Visited]])</f>
        <v>0.4311594202898551</v>
      </c>
      <c r="AH4124" s="5">
        <f>IF(SalesData[[#This Row],[Customers Visited]]=0,0,SalesData[[#This Row],[Contracts Signed]]/SalesData[[#This Row],[Customers Visited]])</f>
        <v>6.8840579710144928E-2</v>
      </c>
      <c r="AI4124" s="6">
        <f>IF(SalesData[[#This Row],[Contracts Signed]]=0,0,SalesData[[#This Row],[Profit(€)]]/SalesData[[#This Row],[Contracts Signed]])</f>
        <v>3278</v>
      </c>
      <c r="AJ4124" s="5" t="str">
        <f>TRIM(CLEAN(SalesData[[#This Row],[Retailer]]))</f>
        <v>Bavaria Motors</v>
      </c>
    </row>
    <row r="4125" spans="1:36" ht="14.25" hidden="1" x14ac:dyDescent="0.2">
      <c r="A4125" t="s">
        <v>5370</v>
      </c>
      <c r="B4125" s="1">
        <v>46056</v>
      </c>
      <c r="C4125" t="s">
        <v>24</v>
      </c>
      <c r="D4125" t="s">
        <v>63</v>
      </c>
      <c r="E4125" t="s">
        <v>26</v>
      </c>
      <c r="F4125" t="s">
        <v>114</v>
      </c>
      <c r="G4125" t="s">
        <v>115</v>
      </c>
      <c r="H4125" t="s">
        <v>115</v>
      </c>
      <c r="I4125" t="s">
        <v>64</v>
      </c>
      <c r="J4125" t="s">
        <v>7029</v>
      </c>
      <c r="K4125" t="s">
        <v>91</v>
      </c>
      <c r="L4125" t="s">
        <v>33</v>
      </c>
      <c r="M4125" t="s">
        <v>68</v>
      </c>
      <c r="N4125" t="s">
        <v>69</v>
      </c>
      <c r="O4125" t="s">
        <v>70</v>
      </c>
      <c r="P4125" t="s">
        <v>37</v>
      </c>
      <c r="Q4125" t="s">
        <v>204</v>
      </c>
      <c r="R4125">
        <v>243</v>
      </c>
      <c r="S4125">
        <v>119</v>
      </c>
      <c r="T4125">
        <v>88</v>
      </c>
      <c r="U4125">
        <v>26</v>
      </c>
      <c r="V4125" t="s">
        <v>6798</v>
      </c>
      <c r="W4125">
        <v>61430</v>
      </c>
      <c r="X4125" t="s">
        <v>7128</v>
      </c>
      <c r="Y4125">
        <v>47897</v>
      </c>
      <c r="Z4125">
        <v>1597180</v>
      </c>
      <c r="AA4125">
        <v>351858</v>
      </c>
      <c r="AB4125" t="str">
        <f>(VLOOKUP(SalesData[[#This Row],[Month Number]],Reference!C$5:E$16,2,FALSE))</f>
        <v>Feb</v>
      </c>
      <c r="AC4125">
        <f>MONTH(SalesData[[#This Row],[Date]])</f>
        <v>2</v>
      </c>
      <c r="AD4125">
        <f>Reference!F$4</f>
        <v>2026</v>
      </c>
      <c r="AE4125" t="str">
        <f>IF(OR(SalesData[[#This Row],[Day]]="Saturday",SalesData[[#This Row],[Day]]="Sunday"),"Weekend","Weekday")</f>
        <v>Weekday</v>
      </c>
      <c r="AF4125" s="5">
        <f>IF(SalesData[[#This Row],[Contracts Offered]]=0,0,SalesData[[#This Row],[Contracts Signed]]/SalesData[[#This Row],[Contracts Offered]])</f>
        <v>0.29545454545454547</v>
      </c>
      <c r="AG4125" s="5">
        <f>IF(SalesData[[#This Row],[Customers Visited]]=0,0,SalesData[[#This Row],[Test Drives]]/SalesData[[#This Row],[Customers Visited]])</f>
        <v>0.48971193415637859</v>
      </c>
      <c r="AH4125" s="5">
        <f>IF(SalesData[[#This Row],[Customers Visited]]=0,0,SalesData[[#This Row],[Contracts Signed]]/SalesData[[#This Row],[Customers Visited]])</f>
        <v>0.10699588477366255</v>
      </c>
      <c r="AI4125" s="6">
        <f>IF(SalesData[[#This Row],[Contracts Signed]]=0,0,SalesData[[#This Row],[Profit(€)]]/SalesData[[#This Row],[Contracts Signed]])</f>
        <v>13533</v>
      </c>
      <c r="AJ4125" s="5" t="str">
        <f>TRIM(CLEAN(SalesData[[#This Row],[Retailer]]))</f>
        <v>Elbe Drive</v>
      </c>
    </row>
    <row r="4126" spans="1:36" ht="14.25" hidden="1" x14ac:dyDescent="0.2">
      <c r="A4126" t="s">
        <v>5372</v>
      </c>
      <c r="B4126" s="1">
        <v>46054</v>
      </c>
      <c r="C4126" t="s">
        <v>24</v>
      </c>
      <c r="D4126" t="s">
        <v>41</v>
      </c>
      <c r="E4126" t="s">
        <v>42</v>
      </c>
      <c r="F4126" t="s">
        <v>127</v>
      </c>
      <c r="G4126" t="s">
        <v>128</v>
      </c>
      <c r="H4126" t="s">
        <v>103</v>
      </c>
      <c r="I4126" t="s">
        <v>56</v>
      </c>
      <c r="J4126" t="s">
        <v>97</v>
      </c>
      <c r="K4126" t="s">
        <v>78</v>
      </c>
      <c r="L4126" t="s">
        <v>33</v>
      </c>
      <c r="M4126" t="s">
        <v>34</v>
      </c>
      <c r="N4126" t="s">
        <v>35</v>
      </c>
      <c r="O4126" t="s">
        <v>36</v>
      </c>
      <c r="P4126" t="s">
        <v>71</v>
      </c>
      <c r="Q4126" t="s">
        <v>144</v>
      </c>
      <c r="R4126">
        <v>299</v>
      </c>
      <c r="S4126">
        <v>180</v>
      </c>
      <c r="T4126">
        <v>127</v>
      </c>
      <c r="U4126">
        <v>42</v>
      </c>
      <c r="V4126" t="s">
        <v>6365</v>
      </c>
      <c r="W4126">
        <v>47598</v>
      </c>
      <c r="X4126" t="s">
        <v>977</v>
      </c>
      <c r="Y4126">
        <v>37791</v>
      </c>
      <c r="Z4126">
        <v>1999116</v>
      </c>
      <c r="AA4126">
        <v>411894</v>
      </c>
      <c r="AB4126" t="str">
        <f>(VLOOKUP(SalesData[[#This Row],[Month Number]],Reference!C$5:E$16,2,FALSE))</f>
        <v>Feb</v>
      </c>
      <c r="AC4126">
        <f>MONTH(SalesData[[#This Row],[Date]])</f>
        <v>2</v>
      </c>
      <c r="AD4126">
        <f>Reference!F$4</f>
        <v>2026</v>
      </c>
      <c r="AE4126" t="str">
        <f>IF(OR(SalesData[[#This Row],[Day]]="Saturday",SalesData[[#This Row],[Day]]="Sunday"),"Weekend","Weekday")</f>
        <v>Weekend</v>
      </c>
      <c r="AF4126" s="5">
        <f>IF(SalesData[[#This Row],[Contracts Offered]]=0,0,SalesData[[#This Row],[Contracts Signed]]/SalesData[[#This Row],[Contracts Offered]])</f>
        <v>0.33070866141732286</v>
      </c>
      <c r="AG4126" s="5">
        <f>IF(SalesData[[#This Row],[Customers Visited]]=0,0,SalesData[[#This Row],[Test Drives]]/SalesData[[#This Row],[Customers Visited]])</f>
        <v>0.60200668896321075</v>
      </c>
      <c r="AH4126" s="5">
        <f>IF(SalesData[[#This Row],[Customers Visited]]=0,0,SalesData[[#This Row],[Contracts Signed]]/SalesData[[#This Row],[Customers Visited]])</f>
        <v>0.14046822742474915</v>
      </c>
      <c r="AI4126" s="6">
        <f>IF(SalesData[[#This Row],[Contracts Signed]]=0,0,SalesData[[#This Row],[Profit(€)]]/SalesData[[#This Row],[Contracts Signed]])</f>
        <v>9807</v>
      </c>
      <c r="AJ4126" s="5" t="str">
        <f>TRIM(CLEAN(SalesData[[#This Row],[Retailer]]))</f>
        <v>Rhein Auto Group</v>
      </c>
    </row>
    <row r="4127" spans="1:36" ht="14.25" x14ac:dyDescent="0.2">
      <c r="A4127" t="s">
        <v>5373</v>
      </c>
      <c r="B4127" s="1">
        <v>46081</v>
      </c>
      <c r="C4127" t="s">
        <v>53</v>
      </c>
      <c r="D4127" t="s">
        <v>151</v>
      </c>
      <c r="E4127" t="s">
        <v>42</v>
      </c>
      <c r="F4127" t="s">
        <v>7649</v>
      </c>
      <c r="G4127" t="s">
        <v>55</v>
      </c>
      <c r="H4127" t="s">
        <v>55</v>
      </c>
      <c r="I4127" t="s">
        <v>30</v>
      </c>
      <c r="J4127" t="s">
        <v>166</v>
      </c>
      <c r="K4127" t="s">
        <v>78</v>
      </c>
      <c r="L4127" t="s">
        <v>46</v>
      </c>
      <c r="M4127" t="s">
        <v>68</v>
      </c>
      <c r="N4127" t="s">
        <v>35</v>
      </c>
      <c r="O4127" t="s">
        <v>70</v>
      </c>
      <c r="P4127" t="s">
        <v>71</v>
      </c>
      <c r="Q4127" t="s">
        <v>347</v>
      </c>
      <c r="R4127">
        <v>167</v>
      </c>
      <c r="S4127">
        <v>77</v>
      </c>
      <c r="T4127">
        <v>59</v>
      </c>
      <c r="U4127">
        <v>20</v>
      </c>
      <c r="V4127" t="s">
        <v>6398</v>
      </c>
      <c r="W4127">
        <v>62603</v>
      </c>
      <c r="X4127" t="s">
        <v>7191</v>
      </c>
      <c r="Y4127">
        <v>47584</v>
      </c>
      <c r="Z4127">
        <v>1252060</v>
      </c>
      <c r="AA4127">
        <v>300380</v>
      </c>
      <c r="AB4127" t="str">
        <f>(VLOOKUP(SalesData[[#This Row],[Month Number]],Reference!C$5:E$16,2,FALSE))</f>
        <v>Feb</v>
      </c>
      <c r="AC4127">
        <f>MONTH(SalesData[[#This Row],[Date]])</f>
        <v>2</v>
      </c>
      <c r="AD4127">
        <f>Reference!F$4</f>
        <v>2026</v>
      </c>
      <c r="AE4127" t="str">
        <f>IF(OR(SalesData[[#This Row],[Day]]="Saturday",SalesData[[#This Row],[Day]]="Sunday"),"Weekend","Weekday")</f>
        <v>Weekend</v>
      </c>
      <c r="AF4127" s="5">
        <f>IF(SalesData[[#This Row],[Contracts Offered]]=0,0,SalesData[[#This Row],[Contracts Signed]]/SalesData[[#This Row],[Contracts Offered]])</f>
        <v>0.33898305084745761</v>
      </c>
      <c r="AG4127" s="5">
        <f>IF(SalesData[[#This Row],[Customers Visited]]=0,0,SalesData[[#This Row],[Test Drives]]/SalesData[[#This Row],[Customers Visited]])</f>
        <v>0.46107784431137727</v>
      </c>
      <c r="AH4127" s="5">
        <f>IF(SalesData[[#This Row],[Customers Visited]]=0,0,SalesData[[#This Row],[Contracts Signed]]/SalesData[[#This Row],[Customers Visited]])</f>
        <v>0.11976047904191617</v>
      </c>
      <c r="AI4127" s="6">
        <f>IF(SalesData[[#This Row],[Contracts Signed]]=0,0,SalesData[[#This Row],[Profit(€)]]/SalesData[[#This Row],[Contracts Signed]])</f>
        <v>15019</v>
      </c>
      <c r="AJ4127" s="5" t="str">
        <f>TRIM(CLEAN(SalesData[[#This Row],[Retailer]]))</f>
        <v>Autohaus Berlin</v>
      </c>
    </row>
    <row r="4128" spans="1:36" ht="14.25" x14ac:dyDescent="0.2">
      <c r="A4128" t="s">
        <v>5374</v>
      </c>
      <c r="B4128" s="1">
        <v>46077</v>
      </c>
      <c r="C4128" t="s">
        <v>53</v>
      </c>
      <c r="D4128" t="s">
        <v>63</v>
      </c>
      <c r="E4128" t="s">
        <v>26</v>
      </c>
      <c r="F4128" t="s">
        <v>109</v>
      </c>
      <c r="G4128" t="s">
        <v>110</v>
      </c>
      <c r="H4128" t="s">
        <v>45</v>
      </c>
      <c r="I4128" t="s">
        <v>30</v>
      </c>
      <c r="J4128" t="s">
        <v>86</v>
      </c>
      <c r="K4128" t="s">
        <v>66</v>
      </c>
      <c r="L4128" t="s">
        <v>33</v>
      </c>
      <c r="M4128" t="s">
        <v>68</v>
      </c>
      <c r="N4128" t="s">
        <v>69</v>
      </c>
      <c r="O4128" t="s">
        <v>36</v>
      </c>
      <c r="P4128" t="s">
        <v>71</v>
      </c>
      <c r="Q4128" t="s">
        <v>118</v>
      </c>
      <c r="R4128">
        <v>266</v>
      </c>
      <c r="S4128">
        <v>158</v>
      </c>
      <c r="T4128">
        <v>124</v>
      </c>
      <c r="U4128">
        <v>47</v>
      </c>
      <c r="V4128" t="s">
        <v>7621</v>
      </c>
      <c r="W4128">
        <v>60619</v>
      </c>
      <c r="X4128" t="s">
        <v>7041</v>
      </c>
      <c r="Y4128">
        <v>45183</v>
      </c>
      <c r="Z4128">
        <v>2849093</v>
      </c>
      <c r="AA4128">
        <v>725492</v>
      </c>
      <c r="AB4128" t="str">
        <f>(VLOOKUP(SalesData[[#This Row],[Month Number]],Reference!C$5:E$16,2,FALSE))</f>
        <v>Feb</v>
      </c>
      <c r="AC4128">
        <f>MONTH(SalesData[[#This Row],[Date]])</f>
        <v>2</v>
      </c>
      <c r="AD4128">
        <f>Reference!F$4</f>
        <v>2026</v>
      </c>
      <c r="AE4128" t="str">
        <f>IF(OR(SalesData[[#This Row],[Day]]="Saturday",SalesData[[#This Row],[Day]]="Sunday"),"Weekend","Weekday")</f>
        <v>Weekday</v>
      </c>
      <c r="AF4128" s="5">
        <f>IF(SalesData[[#This Row],[Contracts Offered]]=0,0,SalesData[[#This Row],[Contracts Signed]]/SalesData[[#This Row],[Contracts Offered]])</f>
        <v>0.37903225806451613</v>
      </c>
      <c r="AG4128" s="5">
        <f>IF(SalesData[[#This Row],[Customers Visited]]=0,0,SalesData[[#This Row],[Test Drives]]/SalesData[[#This Row],[Customers Visited]])</f>
        <v>0.59398496240601506</v>
      </c>
      <c r="AH4128" s="5">
        <f>IF(SalesData[[#This Row],[Customers Visited]]=0,0,SalesData[[#This Row],[Contracts Signed]]/SalesData[[#This Row],[Customers Visited]])</f>
        <v>0.17669172932330826</v>
      </c>
      <c r="AI4128" s="6">
        <f>IF(SalesData[[#This Row],[Contracts Signed]]=0,0,SalesData[[#This Row],[Profit(€)]]/SalesData[[#This Row],[Contracts Signed]])</f>
        <v>15436</v>
      </c>
      <c r="AJ4128" s="5" t="str">
        <f>TRIM(CLEAN(SalesData[[#This Row],[Retailer]]))</f>
        <v>Leipzig Mobility</v>
      </c>
    </row>
    <row r="4129" spans="1:36" ht="14.25" hidden="1" x14ac:dyDescent="0.2">
      <c r="A4129" t="s">
        <v>5375</v>
      </c>
      <c r="B4129" s="1">
        <v>46070</v>
      </c>
      <c r="C4129" t="s">
        <v>62</v>
      </c>
      <c r="D4129" t="s">
        <v>63</v>
      </c>
      <c r="E4129" t="s">
        <v>26</v>
      </c>
      <c r="F4129" t="s">
        <v>109</v>
      </c>
      <c r="G4129" t="s">
        <v>110</v>
      </c>
      <c r="H4129" t="s">
        <v>45</v>
      </c>
      <c r="I4129" t="s">
        <v>64</v>
      </c>
      <c r="J4129" t="s">
        <v>7029</v>
      </c>
      <c r="K4129" t="s">
        <v>78</v>
      </c>
      <c r="L4129" t="s">
        <v>33</v>
      </c>
      <c r="M4129" t="s">
        <v>34</v>
      </c>
      <c r="N4129" t="s">
        <v>48</v>
      </c>
      <c r="O4129" t="s">
        <v>70</v>
      </c>
      <c r="P4129" t="s">
        <v>71</v>
      </c>
      <c r="Q4129" t="s">
        <v>135</v>
      </c>
      <c r="R4129">
        <v>217</v>
      </c>
      <c r="S4129">
        <v>112</v>
      </c>
      <c r="T4129">
        <v>80</v>
      </c>
      <c r="U4129">
        <v>25</v>
      </c>
      <c r="V4129" t="s">
        <v>6753</v>
      </c>
      <c r="W4129">
        <v>65210</v>
      </c>
      <c r="X4129" t="s">
        <v>7314</v>
      </c>
      <c r="Y4129">
        <v>46678</v>
      </c>
      <c r="Z4129">
        <v>1630250</v>
      </c>
      <c r="AA4129">
        <v>463300</v>
      </c>
      <c r="AB4129" t="str">
        <f>(VLOOKUP(SalesData[[#This Row],[Month Number]],Reference!C$5:E$16,2,FALSE))</f>
        <v>Feb</v>
      </c>
      <c r="AC4129">
        <f>MONTH(SalesData[[#This Row],[Date]])</f>
        <v>2</v>
      </c>
      <c r="AD4129">
        <f>Reference!F$4</f>
        <v>2026</v>
      </c>
      <c r="AE4129" t="str">
        <f>IF(OR(SalesData[[#This Row],[Day]]="Saturday",SalesData[[#This Row],[Day]]="Sunday"),"Weekend","Weekday")</f>
        <v>Weekday</v>
      </c>
      <c r="AF4129" s="5">
        <f>IF(SalesData[[#This Row],[Contracts Offered]]=0,0,SalesData[[#This Row],[Contracts Signed]]/SalesData[[#This Row],[Contracts Offered]])</f>
        <v>0.3125</v>
      </c>
      <c r="AG4129" s="5">
        <f>IF(SalesData[[#This Row],[Customers Visited]]=0,0,SalesData[[#This Row],[Test Drives]]/SalesData[[#This Row],[Customers Visited]])</f>
        <v>0.5161290322580645</v>
      </c>
      <c r="AH4129" s="5">
        <f>IF(SalesData[[#This Row],[Customers Visited]]=0,0,SalesData[[#This Row],[Contracts Signed]]/SalesData[[#This Row],[Customers Visited]])</f>
        <v>0.1152073732718894</v>
      </c>
      <c r="AI4129" s="6">
        <f>IF(SalesData[[#This Row],[Contracts Signed]]=0,0,SalesData[[#This Row],[Profit(€)]]/SalesData[[#This Row],[Contracts Signed]])</f>
        <v>18532</v>
      </c>
      <c r="AJ4129" s="5" t="str">
        <f>TRIM(CLEAN(SalesData[[#This Row],[Retailer]]))</f>
        <v>Leipzig Mobility</v>
      </c>
    </row>
    <row r="4130" spans="1:36" ht="14.25" x14ac:dyDescent="0.2">
      <c r="A4130" t="s">
        <v>5376</v>
      </c>
      <c r="B4130" s="1">
        <v>46065</v>
      </c>
      <c r="C4130" t="s">
        <v>121</v>
      </c>
      <c r="D4130" t="s">
        <v>100</v>
      </c>
      <c r="E4130" t="s">
        <v>26</v>
      </c>
      <c r="F4130" t="s">
        <v>27</v>
      </c>
      <c r="G4130" t="s">
        <v>28</v>
      </c>
      <c r="H4130" t="s">
        <v>29</v>
      </c>
      <c r="I4130" t="s">
        <v>30</v>
      </c>
      <c r="J4130" t="s">
        <v>7075</v>
      </c>
      <c r="K4130" t="s">
        <v>32</v>
      </c>
      <c r="L4130" t="s">
        <v>33</v>
      </c>
      <c r="M4130" t="s">
        <v>47</v>
      </c>
      <c r="N4130" t="s">
        <v>35</v>
      </c>
      <c r="O4130" t="s">
        <v>36</v>
      </c>
      <c r="P4130" t="s">
        <v>37</v>
      </c>
      <c r="Q4130" t="s">
        <v>152</v>
      </c>
      <c r="R4130">
        <v>151</v>
      </c>
      <c r="S4130">
        <v>85</v>
      </c>
      <c r="T4130">
        <v>61</v>
      </c>
      <c r="U4130">
        <v>20</v>
      </c>
      <c r="V4130" t="s">
        <v>6439</v>
      </c>
      <c r="W4130">
        <v>61164</v>
      </c>
      <c r="X4130" t="s">
        <v>7104</v>
      </c>
      <c r="Y4130">
        <v>43697</v>
      </c>
      <c r="Z4130">
        <v>1223280</v>
      </c>
      <c r="AA4130">
        <v>349340</v>
      </c>
      <c r="AB4130" t="str">
        <f>(VLOOKUP(SalesData[[#This Row],[Month Number]],Reference!C$5:E$16,2,FALSE))</f>
        <v>Feb</v>
      </c>
      <c r="AC4130">
        <f>MONTH(SalesData[[#This Row],[Date]])</f>
        <v>2</v>
      </c>
      <c r="AD4130">
        <f>Reference!F$4</f>
        <v>2026</v>
      </c>
      <c r="AE4130" t="str">
        <f>IF(OR(SalesData[[#This Row],[Day]]="Saturday",SalesData[[#This Row],[Day]]="Sunday"),"Weekend","Weekday")</f>
        <v>Weekday</v>
      </c>
      <c r="AF4130" s="5">
        <f>IF(SalesData[[#This Row],[Contracts Offered]]=0,0,SalesData[[#This Row],[Contracts Signed]]/SalesData[[#This Row],[Contracts Offered]])</f>
        <v>0.32786885245901637</v>
      </c>
      <c r="AG4130" s="5">
        <f>IF(SalesData[[#This Row],[Customers Visited]]=0,0,SalesData[[#This Row],[Test Drives]]/SalesData[[#This Row],[Customers Visited]])</f>
        <v>0.5629139072847682</v>
      </c>
      <c r="AH4130" s="5">
        <f>IF(SalesData[[#This Row],[Customers Visited]]=0,0,SalesData[[#This Row],[Contracts Signed]]/SalesData[[#This Row],[Customers Visited]])</f>
        <v>0.13245033112582782</v>
      </c>
      <c r="AI4130" s="6">
        <f>IF(SalesData[[#This Row],[Contracts Signed]]=0,0,SalesData[[#This Row],[Profit(€)]]/SalesData[[#This Row],[Contracts Signed]])</f>
        <v>17467</v>
      </c>
      <c r="AJ4130" s="5" t="str">
        <f>TRIM(CLEAN(SalesData[[#This Row],[Retailer]]))</f>
        <v>Main Auto Hub</v>
      </c>
    </row>
    <row r="4131" spans="1:36" ht="14.25" hidden="1" x14ac:dyDescent="0.2">
      <c r="A4131" t="s">
        <v>5377</v>
      </c>
      <c r="B4131" s="1">
        <v>46077</v>
      </c>
      <c r="C4131" t="s">
        <v>53</v>
      </c>
      <c r="D4131" t="s">
        <v>63</v>
      </c>
      <c r="E4131" t="s">
        <v>26</v>
      </c>
      <c r="F4131" t="s">
        <v>7649</v>
      </c>
      <c r="G4131" t="s">
        <v>55</v>
      </c>
      <c r="H4131" t="s">
        <v>55</v>
      </c>
      <c r="I4131" t="s">
        <v>116</v>
      </c>
      <c r="J4131" t="s">
        <v>7026</v>
      </c>
      <c r="K4131" t="s">
        <v>66</v>
      </c>
      <c r="L4131" t="s">
        <v>46</v>
      </c>
      <c r="M4131" t="s">
        <v>47</v>
      </c>
      <c r="N4131" t="s">
        <v>69</v>
      </c>
      <c r="O4131" t="s">
        <v>70</v>
      </c>
      <c r="P4131" t="s">
        <v>71</v>
      </c>
      <c r="Q4131" t="s">
        <v>59</v>
      </c>
      <c r="R4131">
        <v>404</v>
      </c>
      <c r="S4131">
        <v>187</v>
      </c>
      <c r="T4131">
        <v>112</v>
      </c>
      <c r="U4131">
        <v>31</v>
      </c>
      <c r="V4131" t="s">
        <v>882</v>
      </c>
      <c r="W4131">
        <v>25597</v>
      </c>
      <c r="X4131" t="s">
        <v>7168</v>
      </c>
      <c r="Y4131">
        <v>23794</v>
      </c>
      <c r="Z4131">
        <v>793507</v>
      </c>
      <c r="AA4131">
        <v>55893</v>
      </c>
      <c r="AB4131" t="str">
        <f>(VLOOKUP(SalesData[[#This Row],[Month Number]],Reference!C$5:E$16,2,FALSE))</f>
        <v>Feb</v>
      </c>
      <c r="AC4131">
        <f>MONTH(SalesData[[#This Row],[Date]])</f>
        <v>2</v>
      </c>
      <c r="AD4131">
        <f>Reference!F$4</f>
        <v>2026</v>
      </c>
      <c r="AE4131" t="str">
        <f>IF(OR(SalesData[[#This Row],[Day]]="Saturday",SalesData[[#This Row],[Day]]="Sunday"),"Weekend","Weekday")</f>
        <v>Weekday</v>
      </c>
      <c r="AF4131" s="5">
        <f>IF(SalesData[[#This Row],[Contracts Offered]]=0,0,SalesData[[#This Row],[Contracts Signed]]/SalesData[[#This Row],[Contracts Offered]])</f>
        <v>0.2767857142857143</v>
      </c>
      <c r="AG4131" s="5">
        <f>IF(SalesData[[#This Row],[Customers Visited]]=0,0,SalesData[[#This Row],[Test Drives]]/SalesData[[#This Row],[Customers Visited]])</f>
        <v>0.46287128712871289</v>
      </c>
      <c r="AH4131" s="5">
        <f>IF(SalesData[[#This Row],[Customers Visited]]=0,0,SalesData[[#This Row],[Contracts Signed]]/SalesData[[#This Row],[Customers Visited]])</f>
        <v>7.6732673267326731E-2</v>
      </c>
      <c r="AI4131" s="6">
        <f>IF(SalesData[[#This Row],[Contracts Signed]]=0,0,SalesData[[#This Row],[Profit(€)]]/SalesData[[#This Row],[Contracts Signed]])</f>
        <v>1803</v>
      </c>
      <c r="AJ4131" s="5" t="str">
        <f>TRIM(CLEAN(SalesData[[#This Row],[Retailer]]))</f>
        <v>Autohaus Berlin</v>
      </c>
    </row>
    <row r="4132" spans="1:36" ht="14.25" hidden="1" x14ac:dyDescent="0.2">
      <c r="A4132" t="s">
        <v>5378</v>
      </c>
      <c r="B4132" s="1">
        <v>46076</v>
      </c>
      <c r="C4132" t="s">
        <v>53</v>
      </c>
      <c r="D4132" t="s">
        <v>25</v>
      </c>
      <c r="E4132" t="s">
        <v>26</v>
      </c>
      <c r="F4132" t="s">
        <v>109</v>
      </c>
      <c r="G4132" t="s">
        <v>110</v>
      </c>
      <c r="H4132" t="s">
        <v>45</v>
      </c>
      <c r="I4132" t="s">
        <v>56</v>
      </c>
      <c r="J4132" t="s">
        <v>57</v>
      </c>
      <c r="K4132" t="s">
        <v>91</v>
      </c>
      <c r="L4132" t="s">
        <v>46</v>
      </c>
      <c r="M4132" t="s">
        <v>34</v>
      </c>
      <c r="N4132" t="s">
        <v>35</v>
      </c>
      <c r="O4132" t="s">
        <v>36</v>
      </c>
      <c r="P4132" t="s">
        <v>71</v>
      </c>
      <c r="Q4132" t="s">
        <v>38</v>
      </c>
      <c r="R4132">
        <v>305</v>
      </c>
      <c r="S4132">
        <v>157</v>
      </c>
      <c r="T4132">
        <v>101</v>
      </c>
      <c r="U4132">
        <v>33</v>
      </c>
      <c r="V4132" t="s">
        <v>7209</v>
      </c>
      <c r="W4132">
        <v>45409</v>
      </c>
      <c r="X4132" t="s">
        <v>1263</v>
      </c>
      <c r="Y4132">
        <v>34205</v>
      </c>
      <c r="Z4132">
        <v>1498497</v>
      </c>
      <c r="AA4132">
        <v>369732</v>
      </c>
      <c r="AB4132" t="str">
        <f>(VLOOKUP(SalesData[[#This Row],[Month Number]],Reference!C$5:E$16,2,FALSE))</f>
        <v>Feb</v>
      </c>
      <c r="AC4132">
        <f>MONTH(SalesData[[#This Row],[Date]])</f>
        <v>2</v>
      </c>
      <c r="AD4132">
        <f>Reference!F$4</f>
        <v>2026</v>
      </c>
      <c r="AE4132" t="str">
        <f>IF(OR(SalesData[[#This Row],[Day]]="Saturday",SalesData[[#This Row],[Day]]="Sunday"),"Weekend","Weekday")</f>
        <v>Weekday</v>
      </c>
      <c r="AF4132" s="5">
        <f>IF(SalesData[[#This Row],[Contracts Offered]]=0,0,SalesData[[#This Row],[Contracts Signed]]/SalesData[[#This Row],[Contracts Offered]])</f>
        <v>0.32673267326732675</v>
      </c>
      <c r="AG4132" s="5">
        <f>IF(SalesData[[#This Row],[Customers Visited]]=0,0,SalesData[[#This Row],[Test Drives]]/SalesData[[#This Row],[Customers Visited]])</f>
        <v>0.51475409836065578</v>
      </c>
      <c r="AH4132" s="5">
        <f>IF(SalesData[[#This Row],[Customers Visited]]=0,0,SalesData[[#This Row],[Contracts Signed]]/SalesData[[#This Row],[Customers Visited]])</f>
        <v>0.10819672131147541</v>
      </c>
      <c r="AI4132" s="6">
        <f>IF(SalesData[[#This Row],[Contracts Signed]]=0,0,SalesData[[#This Row],[Profit(€)]]/SalesData[[#This Row],[Contracts Signed]])</f>
        <v>11204</v>
      </c>
      <c r="AJ4132" s="5" t="str">
        <f>TRIM(CLEAN(SalesData[[#This Row],[Retailer]]))</f>
        <v>Leipzig Mobility</v>
      </c>
    </row>
    <row r="4133" spans="1:36" ht="14.25" hidden="1" x14ac:dyDescent="0.2">
      <c r="A4133" t="s">
        <v>5379</v>
      </c>
      <c r="B4133" s="1">
        <v>46061</v>
      </c>
      <c r="C4133" t="s">
        <v>121</v>
      </c>
      <c r="D4133" t="s">
        <v>41</v>
      </c>
      <c r="E4133" t="s">
        <v>42</v>
      </c>
      <c r="F4133" t="s">
        <v>127</v>
      </c>
      <c r="G4133" t="s">
        <v>128</v>
      </c>
      <c r="H4133" t="s">
        <v>103</v>
      </c>
      <c r="I4133" t="s">
        <v>116</v>
      </c>
      <c r="J4133" t="s">
        <v>203</v>
      </c>
      <c r="K4133" t="s">
        <v>66</v>
      </c>
      <c r="L4133" t="s">
        <v>67</v>
      </c>
      <c r="M4133" t="s">
        <v>47</v>
      </c>
      <c r="N4133" t="s">
        <v>48</v>
      </c>
      <c r="O4133" t="s">
        <v>36</v>
      </c>
      <c r="P4133" t="s">
        <v>49</v>
      </c>
      <c r="Q4133" t="s">
        <v>79</v>
      </c>
      <c r="R4133">
        <v>269</v>
      </c>
      <c r="S4133">
        <v>119</v>
      </c>
      <c r="T4133">
        <v>71</v>
      </c>
      <c r="U4133">
        <v>17</v>
      </c>
      <c r="V4133" t="s">
        <v>527</v>
      </c>
      <c r="W4133">
        <v>23050</v>
      </c>
      <c r="X4133" t="s">
        <v>2670</v>
      </c>
      <c r="Y4133">
        <v>20945</v>
      </c>
      <c r="Z4133">
        <v>391850</v>
      </c>
      <c r="AA4133">
        <v>35785</v>
      </c>
      <c r="AB4133" t="str">
        <f>(VLOOKUP(SalesData[[#This Row],[Month Number]],Reference!C$5:E$16,2,FALSE))</f>
        <v>Feb</v>
      </c>
      <c r="AC4133">
        <f>MONTH(SalesData[[#This Row],[Date]])</f>
        <v>2</v>
      </c>
      <c r="AD4133">
        <f>Reference!F$4</f>
        <v>2026</v>
      </c>
      <c r="AE4133" t="str">
        <f>IF(OR(SalesData[[#This Row],[Day]]="Saturday",SalesData[[#This Row],[Day]]="Sunday"),"Weekend","Weekday")</f>
        <v>Weekend</v>
      </c>
      <c r="AF4133" s="5">
        <f>IF(SalesData[[#This Row],[Contracts Offered]]=0,0,SalesData[[#This Row],[Contracts Signed]]/SalesData[[#This Row],[Contracts Offered]])</f>
        <v>0.23943661971830985</v>
      </c>
      <c r="AG4133" s="5">
        <f>IF(SalesData[[#This Row],[Customers Visited]]=0,0,SalesData[[#This Row],[Test Drives]]/SalesData[[#This Row],[Customers Visited]])</f>
        <v>0.44237918215613381</v>
      </c>
      <c r="AH4133" s="5">
        <f>IF(SalesData[[#This Row],[Customers Visited]]=0,0,SalesData[[#This Row],[Contracts Signed]]/SalesData[[#This Row],[Customers Visited]])</f>
        <v>6.3197026022304828E-2</v>
      </c>
      <c r="AI4133" s="6">
        <f>IF(SalesData[[#This Row],[Contracts Signed]]=0,0,SalesData[[#This Row],[Profit(€)]]/SalesData[[#This Row],[Contracts Signed]])</f>
        <v>2105</v>
      </c>
      <c r="AJ4133" s="5" t="str">
        <f>TRIM(CLEAN(SalesData[[#This Row],[Retailer]]))</f>
        <v>Rhein Auto Group</v>
      </c>
    </row>
    <row r="4134" spans="1:36" ht="14.25" hidden="1" x14ac:dyDescent="0.2">
      <c r="A4134" t="s">
        <v>5380</v>
      </c>
      <c r="B4134" s="1">
        <v>46055</v>
      </c>
      <c r="C4134" t="s">
        <v>24</v>
      </c>
      <c r="D4134" t="s">
        <v>25</v>
      </c>
      <c r="E4134" t="s">
        <v>26</v>
      </c>
      <c r="F4134" t="s">
        <v>7649</v>
      </c>
      <c r="G4134" t="s">
        <v>55</v>
      </c>
      <c r="H4134" t="s">
        <v>55</v>
      </c>
      <c r="I4134" t="s">
        <v>56</v>
      </c>
      <c r="J4134" t="s">
        <v>57</v>
      </c>
      <c r="K4134" t="s">
        <v>91</v>
      </c>
      <c r="L4134" t="s">
        <v>46</v>
      </c>
      <c r="M4134" t="s">
        <v>87</v>
      </c>
      <c r="N4134" t="s">
        <v>35</v>
      </c>
      <c r="O4134" t="s">
        <v>36</v>
      </c>
      <c r="P4134" t="s">
        <v>37</v>
      </c>
      <c r="Q4134" t="s">
        <v>50</v>
      </c>
      <c r="R4134">
        <v>277</v>
      </c>
      <c r="S4134">
        <v>169</v>
      </c>
      <c r="T4134">
        <v>120</v>
      </c>
      <c r="U4134">
        <v>39</v>
      </c>
      <c r="V4134" t="s">
        <v>6386</v>
      </c>
      <c r="W4134">
        <v>46509</v>
      </c>
      <c r="X4134" t="s">
        <v>2138</v>
      </c>
      <c r="Y4134">
        <v>36499</v>
      </c>
      <c r="Z4134">
        <v>1813851</v>
      </c>
      <c r="AA4134">
        <v>390390</v>
      </c>
      <c r="AB4134" t="str">
        <f>(VLOOKUP(SalesData[[#This Row],[Month Number]],Reference!C$5:E$16,2,FALSE))</f>
        <v>Feb</v>
      </c>
      <c r="AC4134">
        <f>MONTH(SalesData[[#This Row],[Date]])</f>
        <v>2</v>
      </c>
      <c r="AD4134">
        <f>Reference!F$4</f>
        <v>2026</v>
      </c>
      <c r="AE4134" t="str">
        <f>IF(OR(SalesData[[#This Row],[Day]]="Saturday",SalesData[[#This Row],[Day]]="Sunday"),"Weekend","Weekday")</f>
        <v>Weekday</v>
      </c>
      <c r="AF4134" s="5">
        <f>IF(SalesData[[#This Row],[Contracts Offered]]=0,0,SalesData[[#This Row],[Contracts Signed]]/SalesData[[#This Row],[Contracts Offered]])</f>
        <v>0.32500000000000001</v>
      </c>
      <c r="AG4134" s="5">
        <f>IF(SalesData[[#This Row],[Customers Visited]]=0,0,SalesData[[#This Row],[Test Drives]]/SalesData[[#This Row],[Customers Visited]])</f>
        <v>0.61010830324909748</v>
      </c>
      <c r="AH4134" s="5">
        <f>IF(SalesData[[#This Row],[Customers Visited]]=0,0,SalesData[[#This Row],[Contracts Signed]]/SalesData[[#This Row],[Customers Visited]])</f>
        <v>0.1407942238267148</v>
      </c>
      <c r="AI4134" s="6">
        <f>IF(SalesData[[#This Row],[Contracts Signed]]=0,0,SalesData[[#This Row],[Profit(€)]]/SalesData[[#This Row],[Contracts Signed]])</f>
        <v>10010</v>
      </c>
      <c r="AJ4134" s="5" t="str">
        <f>TRIM(CLEAN(SalesData[[#This Row],[Retailer]]))</f>
        <v>Autohaus Berlin</v>
      </c>
    </row>
    <row r="4135" spans="1:36" ht="14.25" hidden="1" x14ac:dyDescent="0.2">
      <c r="A4135" t="s">
        <v>5381</v>
      </c>
      <c r="B4135" s="1">
        <v>46065</v>
      </c>
      <c r="C4135" t="s">
        <v>121</v>
      </c>
      <c r="D4135" t="s">
        <v>100</v>
      </c>
      <c r="E4135" t="s">
        <v>26</v>
      </c>
      <c r="F4135" t="s">
        <v>109</v>
      </c>
      <c r="G4135" t="s">
        <v>110</v>
      </c>
      <c r="H4135" t="s">
        <v>45</v>
      </c>
      <c r="I4135" t="s">
        <v>104</v>
      </c>
      <c r="J4135" t="s">
        <v>140</v>
      </c>
      <c r="K4135" t="s">
        <v>66</v>
      </c>
      <c r="L4135" t="s">
        <v>46</v>
      </c>
      <c r="M4135" t="s">
        <v>68</v>
      </c>
      <c r="N4135" t="s">
        <v>35</v>
      </c>
      <c r="O4135" t="s">
        <v>70</v>
      </c>
      <c r="P4135" t="s">
        <v>49</v>
      </c>
      <c r="Q4135" t="s">
        <v>144</v>
      </c>
      <c r="R4135">
        <v>292</v>
      </c>
      <c r="S4135">
        <v>140</v>
      </c>
      <c r="T4135">
        <v>87</v>
      </c>
      <c r="U4135">
        <v>18</v>
      </c>
      <c r="V4135" t="s">
        <v>2081</v>
      </c>
      <c r="W4135">
        <v>27636</v>
      </c>
      <c r="X4135" t="s">
        <v>354</v>
      </c>
      <c r="Y4135">
        <v>24585</v>
      </c>
      <c r="Z4135">
        <v>497448</v>
      </c>
      <c r="AA4135">
        <v>54918</v>
      </c>
      <c r="AB4135" t="str">
        <f>(VLOOKUP(SalesData[[#This Row],[Month Number]],Reference!C$5:E$16,2,FALSE))</f>
        <v>Feb</v>
      </c>
      <c r="AC4135">
        <f>MONTH(SalesData[[#This Row],[Date]])</f>
        <v>2</v>
      </c>
      <c r="AD4135">
        <f>Reference!F$4</f>
        <v>2026</v>
      </c>
      <c r="AE4135" t="str">
        <f>IF(OR(SalesData[[#This Row],[Day]]="Saturday",SalesData[[#This Row],[Day]]="Sunday"),"Weekend","Weekday")</f>
        <v>Weekday</v>
      </c>
      <c r="AF4135" s="5">
        <f>IF(SalesData[[#This Row],[Contracts Offered]]=0,0,SalesData[[#This Row],[Contracts Signed]]/SalesData[[#This Row],[Contracts Offered]])</f>
        <v>0.20689655172413793</v>
      </c>
      <c r="AG4135" s="5">
        <f>IF(SalesData[[#This Row],[Customers Visited]]=0,0,SalesData[[#This Row],[Test Drives]]/SalesData[[#This Row],[Customers Visited]])</f>
        <v>0.47945205479452052</v>
      </c>
      <c r="AH4135" s="5">
        <f>IF(SalesData[[#This Row],[Customers Visited]]=0,0,SalesData[[#This Row],[Contracts Signed]]/SalesData[[#This Row],[Customers Visited]])</f>
        <v>6.1643835616438353E-2</v>
      </c>
      <c r="AI4135" s="6">
        <f>IF(SalesData[[#This Row],[Contracts Signed]]=0,0,SalesData[[#This Row],[Profit(€)]]/SalesData[[#This Row],[Contracts Signed]])</f>
        <v>3051</v>
      </c>
      <c r="AJ4135" s="5" t="str">
        <f>TRIM(CLEAN(SalesData[[#This Row],[Retailer]]))</f>
        <v>Leipzig Mobility</v>
      </c>
    </row>
    <row r="4136" spans="1:36" ht="14.25" hidden="1" x14ac:dyDescent="0.2">
      <c r="A4136" t="s">
        <v>5382</v>
      </c>
      <c r="B4136" s="1">
        <v>46064</v>
      </c>
      <c r="C4136" t="s">
        <v>121</v>
      </c>
      <c r="D4136" t="s">
        <v>82</v>
      </c>
      <c r="E4136" t="s">
        <v>26</v>
      </c>
      <c r="F4136" t="s">
        <v>94</v>
      </c>
      <c r="G4136" t="s">
        <v>95</v>
      </c>
      <c r="H4136" t="s">
        <v>96</v>
      </c>
      <c r="I4136" t="s">
        <v>56</v>
      </c>
      <c r="J4136" t="s">
        <v>57</v>
      </c>
      <c r="K4136" t="s">
        <v>91</v>
      </c>
      <c r="L4136" t="s">
        <v>46</v>
      </c>
      <c r="M4136" t="s">
        <v>68</v>
      </c>
      <c r="N4136" t="s">
        <v>69</v>
      </c>
      <c r="O4136" t="s">
        <v>70</v>
      </c>
      <c r="P4136" t="s">
        <v>58</v>
      </c>
      <c r="Q4136" t="s">
        <v>169</v>
      </c>
      <c r="R4136">
        <v>245</v>
      </c>
      <c r="S4136">
        <v>145</v>
      </c>
      <c r="T4136">
        <v>103</v>
      </c>
      <c r="U4136">
        <v>42</v>
      </c>
      <c r="V4136" t="s">
        <v>6851</v>
      </c>
      <c r="W4136">
        <v>45660</v>
      </c>
      <c r="X4136" t="s">
        <v>7295</v>
      </c>
      <c r="Y4136">
        <v>34509</v>
      </c>
      <c r="Z4136">
        <v>1917720</v>
      </c>
      <c r="AA4136">
        <v>468342</v>
      </c>
      <c r="AB4136" t="str">
        <f>(VLOOKUP(SalesData[[#This Row],[Month Number]],Reference!C$5:E$16,2,FALSE))</f>
        <v>Feb</v>
      </c>
      <c r="AC4136">
        <f>MONTH(SalesData[[#This Row],[Date]])</f>
        <v>2</v>
      </c>
      <c r="AD4136">
        <f>Reference!F$4</f>
        <v>2026</v>
      </c>
      <c r="AE4136" t="str">
        <f>IF(OR(SalesData[[#This Row],[Day]]="Saturday",SalesData[[#This Row],[Day]]="Sunday"),"Weekend","Weekday")</f>
        <v>Weekday</v>
      </c>
      <c r="AF4136" s="5">
        <f>IF(SalesData[[#This Row],[Contracts Offered]]=0,0,SalesData[[#This Row],[Contracts Signed]]/SalesData[[#This Row],[Contracts Offered]])</f>
        <v>0.40776699029126212</v>
      </c>
      <c r="AG4136" s="5">
        <f>IF(SalesData[[#This Row],[Customers Visited]]=0,0,SalesData[[#This Row],[Test Drives]]/SalesData[[#This Row],[Customers Visited]])</f>
        <v>0.59183673469387754</v>
      </c>
      <c r="AH4136" s="5">
        <f>IF(SalesData[[#This Row],[Customers Visited]]=0,0,SalesData[[#This Row],[Contracts Signed]]/SalesData[[#This Row],[Customers Visited]])</f>
        <v>0.17142857142857143</v>
      </c>
      <c r="AI4136" s="6">
        <f>IF(SalesData[[#This Row],[Contracts Signed]]=0,0,SalesData[[#This Row],[Profit(€)]]/SalesData[[#This Row],[Contracts Signed]])</f>
        <v>11151</v>
      </c>
      <c r="AJ4136" s="5" t="str">
        <f>TRIM(CLEAN(SalesData[[#This Row],[Retailer]]))</f>
        <v>Bavaria Motors</v>
      </c>
    </row>
    <row r="4137" spans="1:36" ht="14.25" hidden="1" x14ac:dyDescent="0.2">
      <c r="A4137" t="s">
        <v>5383</v>
      </c>
      <c r="B4137" s="1">
        <v>46067</v>
      </c>
      <c r="C4137" t="s">
        <v>121</v>
      </c>
      <c r="D4137" t="s">
        <v>151</v>
      </c>
      <c r="E4137" t="s">
        <v>42</v>
      </c>
      <c r="F4137" t="s">
        <v>109</v>
      </c>
      <c r="G4137" t="s">
        <v>110</v>
      </c>
      <c r="H4137" t="s">
        <v>45</v>
      </c>
      <c r="I4137" t="s">
        <v>104</v>
      </c>
      <c r="J4137" t="s">
        <v>140</v>
      </c>
      <c r="K4137" t="s">
        <v>32</v>
      </c>
      <c r="L4137" t="s">
        <v>46</v>
      </c>
      <c r="M4137" t="s">
        <v>87</v>
      </c>
      <c r="N4137" t="s">
        <v>48</v>
      </c>
      <c r="O4137" t="s">
        <v>36</v>
      </c>
      <c r="P4137" t="s">
        <v>49</v>
      </c>
      <c r="Q4137" t="s">
        <v>167</v>
      </c>
      <c r="R4137">
        <v>452</v>
      </c>
      <c r="S4137">
        <v>200</v>
      </c>
      <c r="T4137">
        <v>130</v>
      </c>
      <c r="U4137">
        <v>26</v>
      </c>
      <c r="V4137" t="s">
        <v>1706</v>
      </c>
      <c r="W4137">
        <v>29467</v>
      </c>
      <c r="X4137" t="s">
        <v>226</v>
      </c>
      <c r="Y4137">
        <v>26669</v>
      </c>
      <c r="Z4137">
        <v>766142</v>
      </c>
      <c r="AA4137">
        <v>72748</v>
      </c>
      <c r="AB4137" t="str">
        <f>(VLOOKUP(SalesData[[#This Row],[Month Number]],Reference!C$5:E$16,2,FALSE))</f>
        <v>Feb</v>
      </c>
      <c r="AC4137">
        <f>MONTH(SalesData[[#This Row],[Date]])</f>
        <v>2</v>
      </c>
      <c r="AD4137">
        <f>Reference!F$4</f>
        <v>2026</v>
      </c>
      <c r="AE4137" t="str">
        <f>IF(OR(SalesData[[#This Row],[Day]]="Saturday",SalesData[[#This Row],[Day]]="Sunday"),"Weekend","Weekday")</f>
        <v>Weekend</v>
      </c>
      <c r="AF4137" s="5">
        <f>IF(SalesData[[#This Row],[Contracts Offered]]=0,0,SalesData[[#This Row],[Contracts Signed]]/SalesData[[#This Row],[Contracts Offered]])</f>
        <v>0.2</v>
      </c>
      <c r="AG4137" s="5">
        <f>IF(SalesData[[#This Row],[Customers Visited]]=0,0,SalesData[[#This Row],[Test Drives]]/SalesData[[#This Row],[Customers Visited]])</f>
        <v>0.44247787610619471</v>
      </c>
      <c r="AH4137" s="5">
        <f>IF(SalesData[[#This Row],[Customers Visited]]=0,0,SalesData[[#This Row],[Contracts Signed]]/SalesData[[#This Row],[Customers Visited]])</f>
        <v>5.7522123893805309E-2</v>
      </c>
      <c r="AI4137" s="6">
        <f>IF(SalesData[[#This Row],[Contracts Signed]]=0,0,SalesData[[#This Row],[Profit(€)]]/SalesData[[#This Row],[Contracts Signed]])</f>
        <v>2798</v>
      </c>
      <c r="AJ4137" s="5" t="str">
        <f>TRIM(CLEAN(SalesData[[#This Row],[Retailer]]))</f>
        <v>Leipzig Mobility</v>
      </c>
    </row>
    <row r="4138" spans="1:36" ht="14.25" hidden="1" x14ac:dyDescent="0.2">
      <c r="A4138" t="s">
        <v>5385</v>
      </c>
      <c r="B4138" s="1">
        <v>46075</v>
      </c>
      <c r="C4138" t="s">
        <v>53</v>
      </c>
      <c r="D4138" t="s">
        <v>41</v>
      </c>
      <c r="E4138" t="s">
        <v>42</v>
      </c>
      <c r="F4138" t="s">
        <v>127</v>
      </c>
      <c r="G4138" t="s">
        <v>128</v>
      </c>
      <c r="H4138" t="s">
        <v>103</v>
      </c>
      <c r="I4138" t="s">
        <v>104</v>
      </c>
      <c r="J4138" t="s">
        <v>7061</v>
      </c>
      <c r="K4138" t="s">
        <v>78</v>
      </c>
      <c r="L4138" t="s">
        <v>46</v>
      </c>
      <c r="M4138" t="s">
        <v>68</v>
      </c>
      <c r="N4138" t="s">
        <v>48</v>
      </c>
      <c r="O4138" t="s">
        <v>36</v>
      </c>
      <c r="P4138" t="s">
        <v>37</v>
      </c>
      <c r="Q4138" t="s">
        <v>167</v>
      </c>
      <c r="R4138">
        <v>468</v>
      </c>
      <c r="S4138">
        <v>235</v>
      </c>
      <c r="T4138">
        <v>153</v>
      </c>
      <c r="U4138">
        <v>36</v>
      </c>
      <c r="V4138" t="s">
        <v>2114</v>
      </c>
      <c r="W4138">
        <v>29442</v>
      </c>
      <c r="X4138" t="s">
        <v>2070</v>
      </c>
      <c r="Y4138">
        <v>26711</v>
      </c>
      <c r="Z4138">
        <v>1059912</v>
      </c>
      <c r="AA4138">
        <v>98316</v>
      </c>
      <c r="AB4138" t="str">
        <f>(VLOOKUP(SalesData[[#This Row],[Month Number]],Reference!C$5:E$16,2,FALSE))</f>
        <v>Feb</v>
      </c>
      <c r="AC4138">
        <f>MONTH(SalesData[[#This Row],[Date]])</f>
        <v>2</v>
      </c>
      <c r="AD4138">
        <f>Reference!F$4</f>
        <v>2026</v>
      </c>
      <c r="AE4138" t="str">
        <f>IF(OR(SalesData[[#This Row],[Day]]="Saturday",SalesData[[#This Row],[Day]]="Sunday"),"Weekend","Weekday")</f>
        <v>Weekend</v>
      </c>
      <c r="AF4138" s="5">
        <f>IF(SalesData[[#This Row],[Contracts Offered]]=0,0,SalesData[[#This Row],[Contracts Signed]]/SalesData[[#This Row],[Contracts Offered]])</f>
        <v>0.23529411764705882</v>
      </c>
      <c r="AG4138" s="5">
        <f>IF(SalesData[[#This Row],[Customers Visited]]=0,0,SalesData[[#This Row],[Test Drives]]/SalesData[[#This Row],[Customers Visited]])</f>
        <v>0.50213675213675213</v>
      </c>
      <c r="AH4138" s="5">
        <f>IF(SalesData[[#This Row],[Customers Visited]]=0,0,SalesData[[#This Row],[Contracts Signed]]/SalesData[[#This Row],[Customers Visited]])</f>
        <v>7.6923076923076927E-2</v>
      </c>
      <c r="AI4138" s="6">
        <f>IF(SalesData[[#This Row],[Contracts Signed]]=0,0,SalesData[[#This Row],[Profit(€)]]/SalesData[[#This Row],[Contracts Signed]])</f>
        <v>2731</v>
      </c>
      <c r="AJ4138" s="5" t="str">
        <f>TRIM(CLEAN(SalesData[[#This Row],[Retailer]]))</f>
        <v>Rhein Auto Group</v>
      </c>
    </row>
    <row r="4139" spans="1:36" ht="14.25" hidden="1" x14ac:dyDescent="0.2">
      <c r="A4139" t="s">
        <v>5386</v>
      </c>
      <c r="B4139" s="1">
        <v>46071</v>
      </c>
      <c r="C4139" t="s">
        <v>62</v>
      </c>
      <c r="D4139" t="s">
        <v>82</v>
      </c>
      <c r="E4139" t="s">
        <v>26</v>
      </c>
      <c r="F4139" t="s">
        <v>101</v>
      </c>
      <c r="G4139" t="s">
        <v>102</v>
      </c>
      <c r="H4139" t="s">
        <v>103</v>
      </c>
      <c r="I4139" t="s">
        <v>116</v>
      </c>
      <c r="J4139" t="s">
        <v>7090</v>
      </c>
      <c r="K4139" t="s">
        <v>91</v>
      </c>
      <c r="L4139" t="s">
        <v>46</v>
      </c>
      <c r="M4139" t="s">
        <v>68</v>
      </c>
      <c r="N4139" t="s">
        <v>48</v>
      </c>
      <c r="O4139" t="s">
        <v>70</v>
      </c>
      <c r="P4139" t="s">
        <v>71</v>
      </c>
      <c r="Q4139" t="s">
        <v>135</v>
      </c>
      <c r="R4139">
        <v>232</v>
      </c>
      <c r="S4139">
        <v>119</v>
      </c>
      <c r="T4139">
        <v>69</v>
      </c>
      <c r="U4139">
        <v>15</v>
      </c>
      <c r="V4139" t="s">
        <v>5056</v>
      </c>
      <c r="W4139">
        <v>20689</v>
      </c>
      <c r="X4139" t="s">
        <v>1011</v>
      </c>
      <c r="Y4139">
        <v>19169</v>
      </c>
      <c r="Z4139">
        <v>310335</v>
      </c>
      <c r="AA4139">
        <v>22800</v>
      </c>
      <c r="AB4139" t="str">
        <f>(VLOOKUP(SalesData[[#This Row],[Month Number]],Reference!C$5:E$16,2,FALSE))</f>
        <v>Feb</v>
      </c>
      <c r="AC4139">
        <f>MONTH(SalesData[[#This Row],[Date]])</f>
        <v>2</v>
      </c>
      <c r="AD4139">
        <f>Reference!F$4</f>
        <v>2026</v>
      </c>
      <c r="AE4139" t="str">
        <f>IF(OR(SalesData[[#This Row],[Day]]="Saturday",SalesData[[#This Row],[Day]]="Sunday"),"Weekend","Weekday")</f>
        <v>Weekday</v>
      </c>
      <c r="AF4139" s="5">
        <f>IF(SalesData[[#This Row],[Contracts Offered]]=0,0,SalesData[[#This Row],[Contracts Signed]]/SalesData[[#This Row],[Contracts Offered]])</f>
        <v>0.21739130434782608</v>
      </c>
      <c r="AG4139" s="5">
        <f>IF(SalesData[[#This Row],[Customers Visited]]=0,0,SalesData[[#This Row],[Test Drives]]/SalesData[[#This Row],[Customers Visited]])</f>
        <v>0.51293103448275867</v>
      </c>
      <c r="AH4139" s="5">
        <f>IF(SalesData[[#This Row],[Customers Visited]]=0,0,SalesData[[#This Row],[Contracts Signed]]/SalesData[[#This Row],[Customers Visited]])</f>
        <v>6.4655172413793108E-2</v>
      </c>
      <c r="AI4139" s="6">
        <f>IF(SalesData[[#This Row],[Contracts Signed]]=0,0,SalesData[[#This Row],[Profit(€)]]/SalesData[[#This Row],[Contracts Signed]])</f>
        <v>1520</v>
      </c>
      <c r="AJ4139" s="5" t="str">
        <f>TRIM(CLEAN(SalesData[[#This Row],[Retailer]]))</f>
        <v>Ruhr Auto Plaza</v>
      </c>
    </row>
    <row r="4140" spans="1:36" ht="14.25" hidden="1" x14ac:dyDescent="0.2">
      <c r="A4140" t="s">
        <v>5387</v>
      </c>
      <c r="B4140" s="1">
        <v>46057</v>
      </c>
      <c r="C4140" t="s">
        <v>24</v>
      </c>
      <c r="D4140" t="s">
        <v>82</v>
      </c>
      <c r="E4140" t="s">
        <v>26</v>
      </c>
      <c r="F4140" t="s">
        <v>43</v>
      </c>
      <c r="G4140" t="s">
        <v>44</v>
      </c>
      <c r="H4140" t="s">
        <v>45</v>
      </c>
      <c r="I4140" t="s">
        <v>104</v>
      </c>
      <c r="J4140" t="s">
        <v>105</v>
      </c>
      <c r="K4140" t="s">
        <v>78</v>
      </c>
      <c r="L4140" t="s">
        <v>33</v>
      </c>
      <c r="M4140" t="s">
        <v>68</v>
      </c>
      <c r="N4140" t="s">
        <v>48</v>
      </c>
      <c r="O4140" t="s">
        <v>36</v>
      </c>
      <c r="P4140" t="s">
        <v>37</v>
      </c>
      <c r="Q4140" t="s">
        <v>204</v>
      </c>
      <c r="R4140">
        <v>391</v>
      </c>
      <c r="S4140">
        <v>190</v>
      </c>
      <c r="T4140">
        <v>132</v>
      </c>
      <c r="U4140">
        <v>27</v>
      </c>
      <c r="V4140" t="s">
        <v>452</v>
      </c>
      <c r="W4140">
        <v>26336</v>
      </c>
      <c r="X4140" t="s">
        <v>4748</v>
      </c>
      <c r="Y4140">
        <v>23816</v>
      </c>
      <c r="Z4140">
        <v>711072</v>
      </c>
      <c r="AA4140">
        <v>68040</v>
      </c>
      <c r="AB4140" t="str">
        <f>(VLOOKUP(SalesData[[#This Row],[Month Number]],Reference!C$5:E$16,2,FALSE))</f>
        <v>Feb</v>
      </c>
      <c r="AC4140">
        <f>MONTH(SalesData[[#This Row],[Date]])</f>
        <v>2</v>
      </c>
      <c r="AD4140">
        <f>Reference!F$4</f>
        <v>2026</v>
      </c>
      <c r="AE4140" t="str">
        <f>IF(OR(SalesData[[#This Row],[Day]]="Saturday",SalesData[[#This Row],[Day]]="Sunday"),"Weekend","Weekday")</f>
        <v>Weekday</v>
      </c>
      <c r="AF4140" s="5">
        <f>IF(SalesData[[#This Row],[Contracts Offered]]=0,0,SalesData[[#This Row],[Contracts Signed]]/SalesData[[#This Row],[Contracts Offered]])</f>
        <v>0.20454545454545456</v>
      </c>
      <c r="AG4140" s="5">
        <f>IF(SalesData[[#This Row],[Customers Visited]]=0,0,SalesData[[#This Row],[Test Drives]]/SalesData[[#This Row],[Customers Visited]])</f>
        <v>0.48593350383631712</v>
      </c>
      <c r="AH4140" s="5">
        <f>IF(SalesData[[#This Row],[Customers Visited]]=0,0,SalesData[[#This Row],[Contracts Signed]]/SalesData[[#This Row],[Customers Visited]])</f>
        <v>6.9053708439897693E-2</v>
      </c>
      <c r="AI4140" s="6">
        <f>IF(SalesData[[#This Row],[Contracts Signed]]=0,0,SalesData[[#This Row],[Profit(€)]]/SalesData[[#This Row],[Contracts Signed]])</f>
        <v>2520</v>
      </c>
      <c r="AJ4140" s="5" t="str">
        <f>TRIM(CLEAN(SalesData[[#This Row],[Retailer]]))</f>
        <v>Saxon Wheels</v>
      </c>
    </row>
    <row r="4141" spans="1:36" ht="14.25" hidden="1" x14ac:dyDescent="0.2">
      <c r="A4141" t="s">
        <v>5388</v>
      </c>
      <c r="B4141" s="1">
        <v>46081</v>
      </c>
      <c r="C4141" t="s">
        <v>53</v>
      </c>
      <c r="D4141" t="s">
        <v>151</v>
      </c>
      <c r="E4141" t="s">
        <v>42</v>
      </c>
      <c r="F4141" t="s">
        <v>7649</v>
      </c>
      <c r="G4141" t="s">
        <v>55</v>
      </c>
      <c r="H4141" t="s">
        <v>55</v>
      </c>
      <c r="I4141" t="s">
        <v>64</v>
      </c>
      <c r="J4141" t="s">
        <v>77</v>
      </c>
      <c r="K4141" t="s">
        <v>66</v>
      </c>
      <c r="L4141" t="s">
        <v>46</v>
      </c>
      <c r="M4141" t="s">
        <v>47</v>
      </c>
      <c r="N4141" t="s">
        <v>48</v>
      </c>
      <c r="O4141" t="s">
        <v>70</v>
      </c>
      <c r="P4141" t="s">
        <v>49</v>
      </c>
      <c r="Q4141" t="s">
        <v>50</v>
      </c>
      <c r="R4141">
        <v>224</v>
      </c>
      <c r="S4141">
        <v>102</v>
      </c>
      <c r="T4141">
        <v>75</v>
      </c>
      <c r="U4141">
        <v>25</v>
      </c>
      <c r="V4141" t="s">
        <v>6516</v>
      </c>
      <c r="W4141">
        <v>69804</v>
      </c>
      <c r="X4141" t="s">
        <v>7257</v>
      </c>
      <c r="Y4141">
        <v>53342</v>
      </c>
      <c r="Z4141">
        <v>1745100</v>
      </c>
      <c r="AA4141">
        <v>411550</v>
      </c>
      <c r="AB4141" t="str">
        <f>(VLOOKUP(SalesData[[#This Row],[Month Number]],Reference!C$5:E$16,2,FALSE))</f>
        <v>Feb</v>
      </c>
      <c r="AC4141">
        <f>MONTH(SalesData[[#This Row],[Date]])</f>
        <v>2</v>
      </c>
      <c r="AD4141">
        <f>Reference!F$4</f>
        <v>2026</v>
      </c>
      <c r="AE4141" t="str">
        <f>IF(OR(SalesData[[#This Row],[Day]]="Saturday",SalesData[[#This Row],[Day]]="Sunday"),"Weekend","Weekday")</f>
        <v>Weekend</v>
      </c>
      <c r="AF4141" s="5">
        <f>IF(SalesData[[#This Row],[Contracts Offered]]=0,0,SalesData[[#This Row],[Contracts Signed]]/SalesData[[#This Row],[Contracts Offered]])</f>
        <v>0.33333333333333331</v>
      </c>
      <c r="AG4141" s="5">
        <f>IF(SalesData[[#This Row],[Customers Visited]]=0,0,SalesData[[#This Row],[Test Drives]]/SalesData[[#This Row],[Customers Visited]])</f>
        <v>0.45535714285714285</v>
      </c>
      <c r="AH4141" s="5">
        <f>IF(SalesData[[#This Row],[Customers Visited]]=0,0,SalesData[[#This Row],[Contracts Signed]]/SalesData[[#This Row],[Customers Visited]])</f>
        <v>0.11160714285714286</v>
      </c>
      <c r="AI4141" s="6">
        <f>IF(SalesData[[#This Row],[Contracts Signed]]=0,0,SalesData[[#This Row],[Profit(€)]]/SalesData[[#This Row],[Contracts Signed]])</f>
        <v>16462</v>
      </c>
      <c r="AJ4141" s="5" t="str">
        <f>TRIM(CLEAN(SalesData[[#This Row],[Retailer]]))</f>
        <v>Autohaus Berlin</v>
      </c>
    </row>
    <row r="4142" spans="1:36" ht="14.25" hidden="1" x14ac:dyDescent="0.2">
      <c r="A4142" t="s">
        <v>5389</v>
      </c>
      <c r="B4142" s="1">
        <v>46054</v>
      </c>
      <c r="C4142" t="s">
        <v>24</v>
      </c>
      <c r="D4142" t="s">
        <v>41</v>
      </c>
      <c r="E4142" t="s">
        <v>42</v>
      </c>
      <c r="F4142" t="s">
        <v>94</v>
      </c>
      <c r="G4142" t="s">
        <v>95</v>
      </c>
      <c r="H4142" t="s">
        <v>96</v>
      </c>
      <c r="I4142" t="s">
        <v>116</v>
      </c>
      <c r="J4142" t="s">
        <v>117</v>
      </c>
      <c r="K4142" t="s">
        <v>91</v>
      </c>
      <c r="L4142" t="s">
        <v>67</v>
      </c>
      <c r="M4142" t="s">
        <v>87</v>
      </c>
      <c r="N4142" t="s">
        <v>69</v>
      </c>
      <c r="O4142" t="s">
        <v>70</v>
      </c>
      <c r="P4142" t="s">
        <v>71</v>
      </c>
      <c r="Q4142" t="s">
        <v>79</v>
      </c>
      <c r="R4142">
        <v>426</v>
      </c>
      <c r="S4142">
        <v>192</v>
      </c>
      <c r="T4142">
        <v>132</v>
      </c>
      <c r="U4142">
        <v>36</v>
      </c>
      <c r="V4142" t="s">
        <v>729</v>
      </c>
      <c r="W4142">
        <v>22167</v>
      </c>
      <c r="X4142" t="s">
        <v>4345</v>
      </c>
      <c r="Y4142">
        <v>19744</v>
      </c>
      <c r="Z4142">
        <v>798012</v>
      </c>
      <c r="AA4142">
        <v>87228</v>
      </c>
      <c r="AB4142" t="str">
        <f>(VLOOKUP(SalesData[[#This Row],[Month Number]],Reference!C$5:E$16,2,FALSE))</f>
        <v>Feb</v>
      </c>
      <c r="AC4142">
        <f>MONTH(SalesData[[#This Row],[Date]])</f>
        <v>2</v>
      </c>
      <c r="AD4142">
        <f>Reference!F$4</f>
        <v>2026</v>
      </c>
      <c r="AE4142" t="str">
        <f>IF(OR(SalesData[[#This Row],[Day]]="Saturday",SalesData[[#This Row],[Day]]="Sunday"),"Weekend","Weekday")</f>
        <v>Weekend</v>
      </c>
      <c r="AF4142" s="5">
        <f>IF(SalesData[[#This Row],[Contracts Offered]]=0,0,SalesData[[#This Row],[Contracts Signed]]/SalesData[[#This Row],[Contracts Offered]])</f>
        <v>0.27272727272727271</v>
      </c>
      <c r="AG4142" s="5">
        <f>IF(SalesData[[#This Row],[Customers Visited]]=0,0,SalesData[[#This Row],[Test Drives]]/SalesData[[#This Row],[Customers Visited]])</f>
        <v>0.45070422535211269</v>
      </c>
      <c r="AH4142" s="5">
        <f>IF(SalesData[[#This Row],[Customers Visited]]=0,0,SalesData[[#This Row],[Contracts Signed]]/SalesData[[#This Row],[Customers Visited]])</f>
        <v>8.4507042253521125E-2</v>
      </c>
      <c r="AI4142" s="6">
        <f>IF(SalesData[[#This Row],[Contracts Signed]]=0,0,SalesData[[#This Row],[Profit(€)]]/SalesData[[#This Row],[Contracts Signed]])</f>
        <v>2423</v>
      </c>
      <c r="AJ4142" s="5" t="str">
        <f>TRIM(CLEAN(SalesData[[#This Row],[Retailer]]))</f>
        <v>Bavaria Motors</v>
      </c>
    </row>
    <row r="4143" spans="1:36" ht="14.25" x14ac:dyDescent="0.2">
      <c r="A4143" t="s">
        <v>5390</v>
      </c>
      <c r="B4143" s="1">
        <v>46068</v>
      </c>
      <c r="C4143" t="s">
        <v>62</v>
      </c>
      <c r="D4143" t="s">
        <v>41</v>
      </c>
      <c r="E4143" t="s">
        <v>42</v>
      </c>
      <c r="F4143" t="s">
        <v>7649</v>
      </c>
      <c r="G4143" t="s">
        <v>55</v>
      </c>
      <c r="H4143" t="s">
        <v>55</v>
      </c>
      <c r="I4143" t="s">
        <v>30</v>
      </c>
      <c r="J4143" t="s">
        <v>31</v>
      </c>
      <c r="K4143" t="s">
        <v>91</v>
      </c>
      <c r="L4143" t="s">
        <v>46</v>
      </c>
      <c r="M4143" t="s">
        <v>87</v>
      </c>
      <c r="N4143" t="s">
        <v>69</v>
      </c>
      <c r="O4143" t="s">
        <v>70</v>
      </c>
      <c r="P4143" t="s">
        <v>58</v>
      </c>
      <c r="Q4143" t="s">
        <v>59</v>
      </c>
      <c r="R4143">
        <v>142</v>
      </c>
      <c r="S4143">
        <v>79</v>
      </c>
      <c r="T4143">
        <v>54</v>
      </c>
      <c r="U4143">
        <v>25</v>
      </c>
      <c r="V4143" t="s">
        <v>7241</v>
      </c>
      <c r="W4143">
        <v>61116</v>
      </c>
      <c r="X4143" t="s">
        <v>3042</v>
      </c>
      <c r="Y4143">
        <v>45180</v>
      </c>
      <c r="Z4143">
        <v>1527900</v>
      </c>
      <c r="AA4143">
        <v>398400</v>
      </c>
      <c r="AB4143" t="str">
        <f>(VLOOKUP(SalesData[[#This Row],[Month Number]],Reference!C$5:E$16,2,FALSE))</f>
        <v>Feb</v>
      </c>
      <c r="AC4143">
        <f>MONTH(SalesData[[#This Row],[Date]])</f>
        <v>2</v>
      </c>
      <c r="AD4143">
        <f>Reference!F$4</f>
        <v>2026</v>
      </c>
      <c r="AE4143" t="str">
        <f>IF(OR(SalesData[[#This Row],[Day]]="Saturday",SalesData[[#This Row],[Day]]="Sunday"),"Weekend","Weekday")</f>
        <v>Weekend</v>
      </c>
      <c r="AF4143" s="5">
        <f>IF(SalesData[[#This Row],[Contracts Offered]]=0,0,SalesData[[#This Row],[Contracts Signed]]/SalesData[[#This Row],[Contracts Offered]])</f>
        <v>0.46296296296296297</v>
      </c>
      <c r="AG4143" s="5">
        <f>IF(SalesData[[#This Row],[Customers Visited]]=0,0,SalesData[[#This Row],[Test Drives]]/SalesData[[#This Row],[Customers Visited]])</f>
        <v>0.55633802816901412</v>
      </c>
      <c r="AH4143" s="5">
        <f>IF(SalesData[[#This Row],[Customers Visited]]=0,0,SalesData[[#This Row],[Contracts Signed]]/SalesData[[#This Row],[Customers Visited]])</f>
        <v>0.176056338028169</v>
      </c>
      <c r="AI4143" s="6">
        <f>IF(SalesData[[#This Row],[Contracts Signed]]=0,0,SalesData[[#This Row],[Profit(€)]]/SalesData[[#This Row],[Contracts Signed]])</f>
        <v>15936</v>
      </c>
      <c r="AJ4143" s="5" t="str">
        <f>TRIM(CLEAN(SalesData[[#This Row],[Retailer]]))</f>
        <v>Autohaus Berlin</v>
      </c>
    </row>
    <row r="4144" spans="1:36" ht="14.25" hidden="1" x14ac:dyDescent="0.2">
      <c r="A4144" t="s">
        <v>5391</v>
      </c>
      <c r="B4144" s="1">
        <v>46073</v>
      </c>
      <c r="C4144" t="s">
        <v>62</v>
      </c>
      <c r="D4144" t="s">
        <v>54</v>
      </c>
      <c r="E4144" t="s">
        <v>26</v>
      </c>
      <c r="F4144" t="s">
        <v>127</v>
      </c>
      <c r="G4144" t="s">
        <v>128</v>
      </c>
      <c r="H4144" t="s">
        <v>103</v>
      </c>
      <c r="I4144" t="s">
        <v>56</v>
      </c>
      <c r="J4144" t="s">
        <v>179</v>
      </c>
      <c r="K4144" t="s">
        <v>66</v>
      </c>
      <c r="L4144" t="s">
        <v>67</v>
      </c>
      <c r="M4144" t="s">
        <v>87</v>
      </c>
      <c r="N4144" t="s">
        <v>35</v>
      </c>
      <c r="O4144" t="s">
        <v>36</v>
      </c>
      <c r="P4144" t="s">
        <v>58</v>
      </c>
      <c r="Q4144" t="s">
        <v>88</v>
      </c>
      <c r="R4144">
        <v>213</v>
      </c>
      <c r="S4144">
        <v>104</v>
      </c>
      <c r="T4144">
        <v>72</v>
      </c>
      <c r="U4144">
        <v>30</v>
      </c>
      <c r="V4144" t="s">
        <v>6532</v>
      </c>
      <c r="W4144">
        <v>46373</v>
      </c>
      <c r="X4144" t="s">
        <v>7126</v>
      </c>
      <c r="Y4144">
        <v>36842</v>
      </c>
      <c r="Z4144">
        <v>1391190</v>
      </c>
      <c r="AA4144">
        <v>285930</v>
      </c>
      <c r="AB4144" t="str">
        <f>(VLOOKUP(SalesData[[#This Row],[Month Number]],Reference!C$5:E$16,2,FALSE))</f>
        <v>Feb</v>
      </c>
      <c r="AC4144">
        <f>MONTH(SalesData[[#This Row],[Date]])</f>
        <v>2</v>
      </c>
      <c r="AD4144">
        <f>Reference!F$4</f>
        <v>2026</v>
      </c>
      <c r="AE4144" t="str">
        <f>IF(OR(SalesData[[#This Row],[Day]]="Saturday",SalesData[[#This Row],[Day]]="Sunday"),"Weekend","Weekday")</f>
        <v>Weekday</v>
      </c>
      <c r="AF4144" s="5">
        <f>IF(SalesData[[#This Row],[Contracts Offered]]=0,0,SalesData[[#This Row],[Contracts Signed]]/SalesData[[#This Row],[Contracts Offered]])</f>
        <v>0.41666666666666669</v>
      </c>
      <c r="AG4144" s="5">
        <f>IF(SalesData[[#This Row],[Customers Visited]]=0,0,SalesData[[#This Row],[Test Drives]]/SalesData[[#This Row],[Customers Visited]])</f>
        <v>0.48826291079812206</v>
      </c>
      <c r="AH4144" s="5">
        <f>IF(SalesData[[#This Row],[Customers Visited]]=0,0,SalesData[[#This Row],[Contracts Signed]]/SalesData[[#This Row],[Customers Visited]])</f>
        <v>0.14084507042253522</v>
      </c>
      <c r="AI4144" s="6">
        <f>IF(SalesData[[#This Row],[Contracts Signed]]=0,0,SalesData[[#This Row],[Profit(€)]]/SalesData[[#This Row],[Contracts Signed]])</f>
        <v>9531</v>
      </c>
      <c r="AJ4144" s="5" t="str">
        <f>TRIM(CLEAN(SalesData[[#This Row],[Retailer]]))</f>
        <v>Rhein Auto Group</v>
      </c>
    </row>
    <row r="4145" spans="1:36" ht="14.25" hidden="1" x14ac:dyDescent="0.2">
      <c r="A4145" t="s">
        <v>5392</v>
      </c>
      <c r="B4145" s="1">
        <v>46075</v>
      </c>
      <c r="C4145" t="s">
        <v>53</v>
      </c>
      <c r="D4145" t="s">
        <v>41</v>
      </c>
      <c r="E4145" t="s">
        <v>42</v>
      </c>
      <c r="F4145" t="s">
        <v>7649</v>
      </c>
      <c r="G4145" t="s">
        <v>55</v>
      </c>
      <c r="H4145" t="s">
        <v>55</v>
      </c>
      <c r="I4145" t="s">
        <v>116</v>
      </c>
      <c r="J4145" t="s">
        <v>203</v>
      </c>
      <c r="K4145" t="s">
        <v>91</v>
      </c>
      <c r="L4145" t="s">
        <v>67</v>
      </c>
      <c r="M4145" t="s">
        <v>68</v>
      </c>
      <c r="N4145" t="s">
        <v>69</v>
      </c>
      <c r="O4145" t="s">
        <v>70</v>
      </c>
      <c r="P4145" t="s">
        <v>71</v>
      </c>
      <c r="Q4145" t="s">
        <v>204</v>
      </c>
      <c r="R4145">
        <v>257</v>
      </c>
      <c r="S4145">
        <v>130</v>
      </c>
      <c r="T4145">
        <v>80</v>
      </c>
      <c r="U4145">
        <v>23</v>
      </c>
      <c r="V4145" t="s">
        <v>3264</v>
      </c>
      <c r="W4145">
        <v>26973</v>
      </c>
      <c r="X4145" t="s">
        <v>1732</v>
      </c>
      <c r="Y4145">
        <v>24242</v>
      </c>
      <c r="Z4145">
        <v>620379</v>
      </c>
      <c r="AA4145">
        <v>62813</v>
      </c>
      <c r="AB4145" t="str">
        <f>(VLOOKUP(SalesData[[#This Row],[Month Number]],Reference!C$5:E$16,2,FALSE))</f>
        <v>Feb</v>
      </c>
      <c r="AC4145">
        <f>MONTH(SalesData[[#This Row],[Date]])</f>
        <v>2</v>
      </c>
      <c r="AD4145">
        <f>Reference!F$4</f>
        <v>2026</v>
      </c>
      <c r="AE4145" t="str">
        <f>IF(OR(SalesData[[#This Row],[Day]]="Saturday",SalesData[[#This Row],[Day]]="Sunday"),"Weekend","Weekday")</f>
        <v>Weekend</v>
      </c>
      <c r="AF4145" s="5">
        <f>IF(SalesData[[#This Row],[Contracts Offered]]=0,0,SalesData[[#This Row],[Contracts Signed]]/SalesData[[#This Row],[Contracts Offered]])</f>
        <v>0.28749999999999998</v>
      </c>
      <c r="AG4145" s="5">
        <f>IF(SalesData[[#This Row],[Customers Visited]]=0,0,SalesData[[#This Row],[Test Drives]]/SalesData[[#This Row],[Customers Visited]])</f>
        <v>0.50583657587548636</v>
      </c>
      <c r="AH4145" s="5">
        <f>IF(SalesData[[#This Row],[Customers Visited]]=0,0,SalesData[[#This Row],[Contracts Signed]]/SalesData[[#This Row],[Customers Visited]])</f>
        <v>8.9494163424124515E-2</v>
      </c>
      <c r="AI4145" s="6">
        <f>IF(SalesData[[#This Row],[Contracts Signed]]=0,0,SalesData[[#This Row],[Profit(€)]]/SalesData[[#This Row],[Contracts Signed]])</f>
        <v>2731</v>
      </c>
      <c r="AJ4145" s="5" t="str">
        <f>TRIM(CLEAN(SalesData[[#This Row],[Retailer]]))</f>
        <v>Autohaus Berlin</v>
      </c>
    </row>
    <row r="4146" spans="1:36" ht="14.25" hidden="1" x14ac:dyDescent="0.2">
      <c r="A4146" t="s">
        <v>5393</v>
      </c>
      <c r="B4146" s="1">
        <v>46055</v>
      </c>
      <c r="C4146" t="s">
        <v>24</v>
      </c>
      <c r="D4146" t="s">
        <v>25</v>
      </c>
      <c r="E4146" t="s">
        <v>26</v>
      </c>
      <c r="F4146" t="s">
        <v>83</v>
      </c>
      <c r="G4146" t="s">
        <v>84</v>
      </c>
      <c r="H4146" t="s">
        <v>85</v>
      </c>
      <c r="I4146" t="s">
        <v>56</v>
      </c>
      <c r="J4146" t="s">
        <v>57</v>
      </c>
      <c r="K4146" t="s">
        <v>78</v>
      </c>
      <c r="L4146" t="s">
        <v>46</v>
      </c>
      <c r="M4146" t="s">
        <v>68</v>
      </c>
      <c r="N4146" t="s">
        <v>35</v>
      </c>
      <c r="O4146" t="s">
        <v>70</v>
      </c>
      <c r="P4146" t="s">
        <v>71</v>
      </c>
      <c r="Q4146" t="s">
        <v>59</v>
      </c>
      <c r="R4146">
        <v>219</v>
      </c>
      <c r="S4146">
        <v>112</v>
      </c>
      <c r="T4146">
        <v>83</v>
      </c>
      <c r="U4146">
        <v>28</v>
      </c>
      <c r="V4146" t="s">
        <v>6403</v>
      </c>
      <c r="W4146">
        <v>44162</v>
      </c>
      <c r="X4146" t="s">
        <v>7395</v>
      </c>
      <c r="Y4146">
        <v>34882</v>
      </c>
      <c r="Z4146">
        <v>1236536</v>
      </c>
      <c r="AA4146">
        <v>259840</v>
      </c>
      <c r="AB4146" t="str">
        <f>(VLOOKUP(SalesData[[#This Row],[Month Number]],Reference!C$5:E$16,2,FALSE))</f>
        <v>Feb</v>
      </c>
      <c r="AC4146">
        <f>MONTH(SalesData[[#This Row],[Date]])</f>
        <v>2</v>
      </c>
      <c r="AD4146">
        <f>Reference!F$4</f>
        <v>2026</v>
      </c>
      <c r="AE4146" t="str">
        <f>IF(OR(SalesData[[#This Row],[Day]]="Saturday",SalesData[[#This Row],[Day]]="Sunday"),"Weekend","Weekday")</f>
        <v>Weekday</v>
      </c>
      <c r="AF4146" s="5">
        <f>IF(SalesData[[#This Row],[Contracts Offered]]=0,0,SalesData[[#This Row],[Contracts Signed]]/SalesData[[#This Row],[Contracts Offered]])</f>
        <v>0.33734939759036142</v>
      </c>
      <c r="AG4146" s="5">
        <f>IF(SalesData[[#This Row],[Customers Visited]]=0,0,SalesData[[#This Row],[Test Drives]]/SalesData[[#This Row],[Customers Visited]])</f>
        <v>0.51141552511415522</v>
      </c>
      <c r="AH4146" s="5">
        <f>IF(SalesData[[#This Row],[Customers Visited]]=0,0,SalesData[[#This Row],[Contracts Signed]]/SalesData[[#This Row],[Customers Visited]])</f>
        <v>0.12785388127853881</v>
      </c>
      <c r="AI4146" s="6">
        <f>IF(SalesData[[#This Row],[Contracts Signed]]=0,0,SalesData[[#This Row],[Profit(€)]]/SalesData[[#This Row],[Contracts Signed]])</f>
        <v>9280</v>
      </c>
      <c r="AJ4146" s="5" t="str">
        <f>TRIM(CLEAN(SalesData[[#This Row],[Retailer]]))</f>
        <v>Hannover Cars</v>
      </c>
    </row>
    <row r="4147" spans="1:36" ht="14.25" hidden="1" x14ac:dyDescent="0.2">
      <c r="A4147" t="s">
        <v>5394</v>
      </c>
      <c r="B4147" s="1">
        <v>46055</v>
      </c>
      <c r="C4147" t="s">
        <v>24</v>
      </c>
      <c r="D4147" t="s">
        <v>25</v>
      </c>
      <c r="E4147" t="s">
        <v>26</v>
      </c>
      <c r="F4147" t="s">
        <v>27</v>
      </c>
      <c r="G4147" t="s">
        <v>28</v>
      </c>
      <c r="H4147" t="s">
        <v>29</v>
      </c>
      <c r="I4147" t="s">
        <v>116</v>
      </c>
      <c r="J4147" t="s">
        <v>203</v>
      </c>
      <c r="K4147" t="s">
        <v>91</v>
      </c>
      <c r="L4147" t="s">
        <v>67</v>
      </c>
      <c r="M4147" t="s">
        <v>68</v>
      </c>
      <c r="N4147" t="s">
        <v>69</v>
      </c>
      <c r="O4147" t="s">
        <v>36</v>
      </c>
      <c r="P4147" t="s">
        <v>58</v>
      </c>
      <c r="Q4147" t="s">
        <v>169</v>
      </c>
      <c r="R4147">
        <v>408</v>
      </c>
      <c r="S4147">
        <v>206</v>
      </c>
      <c r="T4147">
        <v>144</v>
      </c>
      <c r="U4147">
        <v>35</v>
      </c>
      <c r="V4147" t="s">
        <v>1924</v>
      </c>
      <c r="W4147">
        <v>21992</v>
      </c>
      <c r="X4147" t="s">
        <v>241</v>
      </c>
      <c r="Y4147">
        <v>20407</v>
      </c>
      <c r="Z4147">
        <v>769720</v>
      </c>
      <c r="AA4147">
        <v>55475</v>
      </c>
      <c r="AB4147" t="str">
        <f>(VLOOKUP(SalesData[[#This Row],[Month Number]],Reference!C$5:E$16,2,FALSE))</f>
        <v>Feb</v>
      </c>
      <c r="AC4147">
        <f>MONTH(SalesData[[#This Row],[Date]])</f>
        <v>2</v>
      </c>
      <c r="AD4147">
        <f>Reference!F$4</f>
        <v>2026</v>
      </c>
      <c r="AE4147" t="str">
        <f>IF(OR(SalesData[[#This Row],[Day]]="Saturday",SalesData[[#This Row],[Day]]="Sunday"),"Weekend","Weekday")</f>
        <v>Weekday</v>
      </c>
      <c r="AF4147" s="5">
        <f>IF(SalesData[[#This Row],[Contracts Offered]]=0,0,SalesData[[#This Row],[Contracts Signed]]/SalesData[[#This Row],[Contracts Offered]])</f>
        <v>0.24305555555555555</v>
      </c>
      <c r="AG4147" s="5">
        <f>IF(SalesData[[#This Row],[Customers Visited]]=0,0,SalesData[[#This Row],[Test Drives]]/SalesData[[#This Row],[Customers Visited]])</f>
        <v>0.50490196078431371</v>
      </c>
      <c r="AH4147" s="5">
        <f>IF(SalesData[[#This Row],[Customers Visited]]=0,0,SalesData[[#This Row],[Contracts Signed]]/SalesData[[#This Row],[Customers Visited]])</f>
        <v>8.5784313725490197E-2</v>
      </c>
      <c r="AI4147" s="6">
        <f>IF(SalesData[[#This Row],[Contracts Signed]]=0,0,SalesData[[#This Row],[Profit(€)]]/SalesData[[#This Row],[Contracts Signed]])</f>
        <v>1585</v>
      </c>
      <c r="AJ4147" s="5" t="str">
        <f>TRIM(CLEAN(SalesData[[#This Row],[Retailer]]))</f>
        <v>Main Auto Hub</v>
      </c>
    </row>
    <row r="4148" spans="1:36" ht="14.25" x14ac:dyDescent="0.2">
      <c r="A4148" t="s">
        <v>5395</v>
      </c>
      <c r="B4148" s="1">
        <v>46068</v>
      </c>
      <c r="C4148" t="s">
        <v>62</v>
      </c>
      <c r="D4148" t="s">
        <v>41</v>
      </c>
      <c r="E4148" t="s">
        <v>42</v>
      </c>
      <c r="F4148" t="s">
        <v>101</v>
      </c>
      <c r="G4148" t="s">
        <v>102</v>
      </c>
      <c r="H4148" t="s">
        <v>103</v>
      </c>
      <c r="I4148" t="s">
        <v>30</v>
      </c>
      <c r="J4148" t="s">
        <v>31</v>
      </c>
      <c r="K4148" t="s">
        <v>78</v>
      </c>
      <c r="L4148" t="s">
        <v>46</v>
      </c>
      <c r="M4148" t="s">
        <v>34</v>
      </c>
      <c r="N4148" t="s">
        <v>69</v>
      </c>
      <c r="O4148" t="s">
        <v>70</v>
      </c>
      <c r="P4148" t="s">
        <v>37</v>
      </c>
      <c r="Q4148" t="s">
        <v>59</v>
      </c>
      <c r="R4148">
        <v>158</v>
      </c>
      <c r="S4148">
        <v>71</v>
      </c>
      <c r="T4148">
        <v>54</v>
      </c>
      <c r="U4148">
        <v>19</v>
      </c>
      <c r="V4148" t="s">
        <v>6829</v>
      </c>
      <c r="W4148">
        <v>61385</v>
      </c>
      <c r="X4148" t="s">
        <v>746</v>
      </c>
      <c r="Y4148">
        <v>45882</v>
      </c>
      <c r="Z4148">
        <v>1166315</v>
      </c>
      <c r="AA4148">
        <v>294557</v>
      </c>
      <c r="AB4148" t="str">
        <f>(VLOOKUP(SalesData[[#This Row],[Month Number]],Reference!C$5:E$16,2,FALSE))</f>
        <v>Feb</v>
      </c>
      <c r="AC4148">
        <f>MONTH(SalesData[[#This Row],[Date]])</f>
        <v>2</v>
      </c>
      <c r="AD4148">
        <f>Reference!F$4</f>
        <v>2026</v>
      </c>
      <c r="AE4148" t="str">
        <f>IF(OR(SalesData[[#This Row],[Day]]="Saturday",SalesData[[#This Row],[Day]]="Sunday"),"Weekend","Weekday")</f>
        <v>Weekend</v>
      </c>
      <c r="AF4148" s="5">
        <f>IF(SalesData[[#This Row],[Contracts Offered]]=0,0,SalesData[[#This Row],[Contracts Signed]]/SalesData[[#This Row],[Contracts Offered]])</f>
        <v>0.35185185185185186</v>
      </c>
      <c r="AG4148" s="5">
        <f>IF(SalesData[[#This Row],[Customers Visited]]=0,0,SalesData[[#This Row],[Test Drives]]/SalesData[[#This Row],[Customers Visited]])</f>
        <v>0.44936708860759494</v>
      </c>
      <c r="AH4148" s="5">
        <f>IF(SalesData[[#This Row],[Customers Visited]]=0,0,SalesData[[#This Row],[Contracts Signed]]/SalesData[[#This Row],[Customers Visited]])</f>
        <v>0.12025316455696203</v>
      </c>
      <c r="AI4148" s="6">
        <f>IF(SalesData[[#This Row],[Contracts Signed]]=0,0,SalesData[[#This Row],[Profit(€)]]/SalesData[[#This Row],[Contracts Signed]])</f>
        <v>15503</v>
      </c>
      <c r="AJ4148" s="5" t="str">
        <f>TRIM(CLEAN(SalesData[[#This Row],[Retailer]]))</f>
        <v>Ruhr Auto Plaza</v>
      </c>
    </row>
    <row r="4149" spans="1:36" ht="14.25" hidden="1" x14ac:dyDescent="0.2">
      <c r="A4149" t="s">
        <v>5396</v>
      </c>
      <c r="B4149" s="1">
        <v>46073</v>
      </c>
      <c r="C4149" t="s">
        <v>62</v>
      </c>
      <c r="D4149" t="s">
        <v>54</v>
      </c>
      <c r="E4149" t="s">
        <v>26</v>
      </c>
      <c r="F4149" t="s">
        <v>83</v>
      </c>
      <c r="G4149" t="s">
        <v>84</v>
      </c>
      <c r="H4149" t="s">
        <v>85</v>
      </c>
      <c r="I4149" t="s">
        <v>56</v>
      </c>
      <c r="J4149" t="s">
        <v>57</v>
      </c>
      <c r="K4149" t="s">
        <v>66</v>
      </c>
      <c r="L4149" t="s">
        <v>46</v>
      </c>
      <c r="M4149" t="s">
        <v>34</v>
      </c>
      <c r="N4149" t="s">
        <v>48</v>
      </c>
      <c r="O4149" t="s">
        <v>70</v>
      </c>
      <c r="P4149" t="s">
        <v>58</v>
      </c>
      <c r="Q4149" t="s">
        <v>118</v>
      </c>
      <c r="R4149">
        <v>275</v>
      </c>
      <c r="S4149">
        <v>143</v>
      </c>
      <c r="T4149">
        <v>92</v>
      </c>
      <c r="U4149">
        <v>39</v>
      </c>
      <c r="V4149" t="s">
        <v>6483</v>
      </c>
      <c r="W4149">
        <v>39762</v>
      </c>
      <c r="X4149" t="s">
        <v>2142</v>
      </c>
      <c r="Y4149">
        <v>29985</v>
      </c>
      <c r="Z4149">
        <v>1550718</v>
      </c>
      <c r="AA4149">
        <v>381303</v>
      </c>
      <c r="AB4149" t="str">
        <f>(VLOOKUP(SalesData[[#This Row],[Month Number]],Reference!C$5:E$16,2,FALSE))</f>
        <v>Feb</v>
      </c>
      <c r="AC4149">
        <f>MONTH(SalesData[[#This Row],[Date]])</f>
        <v>2</v>
      </c>
      <c r="AD4149">
        <f>Reference!F$4</f>
        <v>2026</v>
      </c>
      <c r="AE4149" t="str">
        <f>IF(OR(SalesData[[#This Row],[Day]]="Saturday",SalesData[[#This Row],[Day]]="Sunday"),"Weekend","Weekday")</f>
        <v>Weekday</v>
      </c>
      <c r="AF4149" s="5">
        <f>IF(SalesData[[#This Row],[Contracts Offered]]=0,0,SalesData[[#This Row],[Contracts Signed]]/SalesData[[#This Row],[Contracts Offered]])</f>
        <v>0.42391304347826086</v>
      </c>
      <c r="AG4149" s="5">
        <f>IF(SalesData[[#This Row],[Customers Visited]]=0,0,SalesData[[#This Row],[Test Drives]]/SalesData[[#This Row],[Customers Visited]])</f>
        <v>0.52</v>
      </c>
      <c r="AH4149" s="5">
        <f>IF(SalesData[[#This Row],[Customers Visited]]=0,0,SalesData[[#This Row],[Contracts Signed]]/SalesData[[#This Row],[Customers Visited]])</f>
        <v>0.14181818181818182</v>
      </c>
      <c r="AI4149" s="6">
        <f>IF(SalesData[[#This Row],[Contracts Signed]]=0,0,SalesData[[#This Row],[Profit(€)]]/SalesData[[#This Row],[Contracts Signed]])</f>
        <v>9777</v>
      </c>
      <c r="AJ4149" s="5" t="str">
        <f>TRIM(CLEAN(SalesData[[#This Row],[Retailer]]))</f>
        <v>Hannover Cars</v>
      </c>
    </row>
    <row r="4150" spans="1:36" ht="14.25" hidden="1" x14ac:dyDescent="0.2">
      <c r="A4150" t="s">
        <v>5397</v>
      </c>
      <c r="B4150" s="1">
        <v>46066</v>
      </c>
      <c r="C4150" t="s">
        <v>121</v>
      </c>
      <c r="D4150" t="s">
        <v>54</v>
      </c>
      <c r="E4150" t="s">
        <v>26</v>
      </c>
      <c r="F4150" t="s">
        <v>27</v>
      </c>
      <c r="G4150" t="s">
        <v>28</v>
      </c>
      <c r="H4150" t="s">
        <v>29</v>
      </c>
      <c r="I4150" t="s">
        <v>64</v>
      </c>
      <c r="J4150" t="s">
        <v>111</v>
      </c>
      <c r="K4150" t="s">
        <v>78</v>
      </c>
      <c r="L4150" t="s">
        <v>46</v>
      </c>
      <c r="M4150" t="s">
        <v>87</v>
      </c>
      <c r="N4150" t="s">
        <v>69</v>
      </c>
      <c r="O4150" t="s">
        <v>36</v>
      </c>
      <c r="P4150" t="s">
        <v>58</v>
      </c>
      <c r="Q4150" t="s">
        <v>59</v>
      </c>
      <c r="R4150">
        <v>240</v>
      </c>
      <c r="S4150">
        <v>141</v>
      </c>
      <c r="T4150">
        <v>108</v>
      </c>
      <c r="U4150">
        <v>41</v>
      </c>
      <c r="V4150" t="s">
        <v>6375</v>
      </c>
      <c r="W4150">
        <v>55017</v>
      </c>
      <c r="X4150" t="s">
        <v>7335</v>
      </c>
      <c r="Y4150">
        <v>39830</v>
      </c>
      <c r="Z4150">
        <v>2255697</v>
      </c>
      <c r="AA4150">
        <v>622667</v>
      </c>
      <c r="AB4150" t="str">
        <f>(VLOOKUP(SalesData[[#This Row],[Month Number]],Reference!C$5:E$16,2,FALSE))</f>
        <v>Feb</v>
      </c>
      <c r="AC4150">
        <f>MONTH(SalesData[[#This Row],[Date]])</f>
        <v>2</v>
      </c>
      <c r="AD4150">
        <f>Reference!F$4</f>
        <v>2026</v>
      </c>
      <c r="AE4150" t="str">
        <f>IF(OR(SalesData[[#This Row],[Day]]="Saturday",SalesData[[#This Row],[Day]]="Sunday"),"Weekend","Weekday")</f>
        <v>Weekday</v>
      </c>
      <c r="AF4150" s="5">
        <f>IF(SalesData[[#This Row],[Contracts Offered]]=0,0,SalesData[[#This Row],[Contracts Signed]]/SalesData[[#This Row],[Contracts Offered]])</f>
        <v>0.37962962962962965</v>
      </c>
      <c r="AG4150" s="5">
        <f>IF(SalesData[[#This Row],[Customers Visited]]=0,0,SalesData[[#This Row],[Test Drives]]/SalesData[[#This Row],[Customers Visited]])</f>
        <v>0.58750000000000002</v>
      </c>
      <c r="AH4150" s="5">
        <f>IF(SalesData[[#This Row],[Customers Visited]]=0,0,SalesData[[#This Row],[Contracts Signed]]/SalesData[[#This Row],[Customers Visited]])</f>
        <v>0.17083333333333334</v>
      </c>
      <c r="AI4150" s="6">
        <f>IF(SalesData[[#This Row],[Contracts Signed]]=0,0,SalesData[[#This Row],[Profit(€)]]/SalesData[[#This Row],[Contracts Signed]])</f>
        <v>15187</v>
      </c>
      <c r="AJ4150" s="5" t="str">
        <f>TRIM(CLEAN(SalesData[[#This Row],[Retailer]]))</f>
        <v>Main Auto Hub</v>
      </c>
    </row>
    <row r="4151" spans="1:36" ht="14.25" hidden="1" x14ac:dyDescent="0.2">
      <c r="A4151" t="s">
        <v>5398</v>
      </c>
      <c r="B4151" s="1">
        <v>46077</v>
      </c>
      <c r="C4151" t="s">
        <v>53</v>
      </c>
      <c r="D4151" t="s">
        <v>63</v>
      </c>
      <c r="E4151" t="s">
        <v>26</v>
      </c>
      <c r="F4151" t="s">
        <v>127</v>
      </c>
      <c r="G4151" t="s">
        <v>128</v>
      </c>
      <c r="H4151" t="s">
        <v>103</v>
      </c>
      <c r="I4151" t="s">
        <v>104</v>
      </c>
      <c r="J4151" t="s">
        <v>143</v>
      </c>
      <c r="K4151" t="s">
        <v>66</v>
      </c>
      <c r="L4151" t="s">
        <v>67</v>
      </c>
      <c r="M4151" t="s">
        <v>47</v>
      </c>
      <c r="N4151" t="s">
        <v>35</v>
      </c>
      <c r="O4151" t="s">
        <v>70</v>
      </c>
      <c r="P4151" t="s">
        <v>58</v>
      </c>
      <c r="Q4151" t="s">
        <v>172</v>
      </c>
      <c r="R4151">
        <v>372</v>
      </c>
      <c r="S4151">
        <v>156</v>
      </c>
      <c r="T4151">
        <v>93</v>
      </c>
      <c r="U4151">
        <v>29</v>
      </c>
      <c r="V4151" t="s">
        <v>2719</v>
      </c>
      <c r="W4151">
        <v>31602</v>
      </c>
      <c r="X4151" t="s">
        <v>3099</v>
      </c>
      <c r="Y4151">
        <v>27275</v>
      </c>
      <c r="Z4151">
        <v>916458</v>
      </c>
      <c r="AA4151">
        <v>125483</v>
      </c>
      <c r="AB4151" t="str">
        <f>(VLOOKUP(SalesData[[#This Row],[Month Number]],Reference!C$5:E$16,2,FALSE))</f>
        <v>Feb</v>
      </c>
      <c r="AC4151">
        <f>MONTH(SalesData[[#This Row],[Date]])</f>
        <v>2</v>
      </c>
      <c r="AD4151">
        <f>Reference!F$4</f>
        <v>2026</v>
      </c>
      <c r="AE4151" t="str">
        <f>IF(OR(SalesData[[#This Row],[Day]]="Saturday",SalesData[[#This Row],[Day]]="Sunday"),"Weekend","Weekday")</f>
        <v>Weekday</v>
      </c>
      <c r="AF4151" s="5">
        <f>IF(SalesData[[#This Row],[Contracts Offered]]=0,0,SalesData[[#This Row],[Contracts Signed]]/SalesData[[#This Row],[Contracts Offered]])</f>
        <v>0.31182795698924731</v>
      </c>
      <c r="AG4151" s="5">
        <f>IF(SalesData[[#This Row],[Customers Visited]]=0,0,SalesData[[#This Row],[Test Drives]]/SalesData[[#This Row],[Customers Visited]])</f>
        <v>0.41935483870967744</v>
      </c>
      <c r="AH4151" s="5">
        <f>IF(SalesData[[#This Row],[Customers Visited]]=0,0,SalesData[[#This Row],[Contracts Signed]]/SalesData[[#This Row],[Customers Visited]])</f>
        <v>7.7956989247311828E-2</v>
      </c>
      <c r="AI4151" s="6">
        <f>IF(SalesData[[#This Row],[Contracts Signed]]=0,0,SalesData[[#This Row],[Profit(€)]]/SalesData[[#This Row],[Contracts Signed]])</f>
        <v>4327</v>
      </c>
      <c r="AJ4151" s="5" t="str">
        <f>TRIM(CLEAN(SalesData[[#This Row],[Retailer]]))</f>
        <v>Rhein Auto Group</v>
      </c>
    </row>
    <row r="4152" spans="1:36" ht="14.25" hidden="1" x14ac:dyDescent="0.2">
      <c r="A4152" t="s">
        <v>5399</v>
      </c>
      <c r="B4152" s="1">
        <v>46069</v>
      </c>
      <c r="C4152" t="s">
        <v>62</v>
      </c>
      <c r="D4152" t="s">
        <v>25</v>
      </c>
      <c r="E4152" t="s">
        <v>26</v>
      </c>
      <c r="F4152" t="s">
        <v>43</v>
      </c>
      <c r="G4152" t="s">
        <v>44</v>
      </c>
      <c r="H4152" t="s">
        <v>45</v>
      </c>
      <c r="I4152" t="s">
        <v>56</v>
      </c>
      <c r="J4152" t="s">
        <v>137</v>
      </c>
      <c r="K4152" t="s">
        <v>91</v>
      </c>
      <c r="L4152" t="s">
        <v>46</v>
      </c>
      <c r="M4152" t="s">
        <v>87</v>
      </c>
      <c r="N4152" t="s">
        <v>35</v>
      </c>
      <c r="O4152" t="s">
        <v>70</v>
      </c>
      <c r="P4152" t="s">
        <v>49</v>
      </c>
      <c r="Q4152" t="s">
        <v>118</v>
      </c>
      <c r="R4152">
        <v>303</v>
      </c>
      <c r="S4152">
        <v>178</v>
      </c>
      <c r="T4152">
        <v>127</v>
      </c>
      <c r="U4152">
        <v>38</v>
      </c>
      <c r="V4152" t="s">
        <v>7141</v>
      </c>
      <c r="W4152">
        <v>49891</v>
      </c>
      <c r="X4152" t="s">
        <v>7220</v>
      </c>
      <c r="Y4152">
        <v>37821</v>
      </c>
      <c r="Z4152">
        <v>1895858</v>
      </c>
      <c r="AA4152">
        <v>458660</v>
      </c>
      <c r="AB4152" t="str">
        <f>(VLOOKUP(SalesData[[#This Row],[Month Number]],Reference!C$5:E$16,2,FALSE))</f>
        <v>Feb</v>
      </c>
      <c r="AC4152">
        <f>MONTH(SalesData[[#This Row],[Date]])</f>
        <v>2</v>
      </c>
      <c r="AD4152">
        <f>Reference!F$4</f>
        <v>2026</v>
      </c>
      <c r="AE4152" t="str">
        <f>IF(OR(SalesData[[#This Row],[Day]]="Saturday",SalesData[[#This Row],[Day]]="Sunday"),"Weekend","Weekday")</f>
        <v>Weekday</v>
      </c>
      <c r="AF4152" s="5">
        <f>IF(SalesData[[#This Row],[Contracts Offered]]=0,0,SalesData[[#This Row],[Contracts Signed]]/SalesData[[#This Row],[Contracts Offered]])</f>
        <v>0.29921259842519687</v>
      </c>
      <c r="AG4152" s="5">
        <f>IF(SalesData[[#This Row],[Customers Visited]]=0,0,SalesData[[#This Row],[Test Drives]]/SalesData[[#This Row],[Customers Visited]])</f>
        <v>0.58745874587458746</v>
      </c>
      <c r="AH4152" s="5">
        <f>IF(SalesData[[#This Row],[Customers Visited]]=0,0,SalesData[[#This Row],[Contracts Signed]]/SalesData[[#This Row],[Customers Visited]])</f>
        <v>0.1254125412541254</v>
      </c>
      <c r="AI4152" s="6">
        <f>IF(SalesData[[#This Row],[Contracts Signed]]=0,0,SalesData[[#This Row],[Profit(€)]]/SalesData[[#This Row],[Contracts Signed]])</f>
        <v>12070</v>
      </c>
      <c r="AJ4152" s="5" t="str">
        <f>TRIM(CLEAN(SalesData[[#This Row],[Retailer]]))</f>
        <v>Saxon Wheels</v>
      </c>
    </row>
    <row r="4153" spans="1:36" ht="14.25" hidden="1" x14ac:dyDescent="0.2">
      <c r="A4153" t="s">
        <v>5400</v>
      </c>
      <c r="B4153" s="1">
        <v>46066</v>
      </c>
      <c r="C4153" t="s">
        <v>121</v>
      </c>
      <c r="D4153" t="s">
        <v>54</v>
      </c>
      <c r="E4153" t="s">
        <v>26</v>
      </c>
      <c r="F4153" t="s">
        <v>7649</v>
      </c>
      <c r="G4153" t="s">
        <v>55</v>
      </c>
      <c r="H4153" t="s">
        <v>55</v>
      </c>
      <c r="I4153" t="s">
        <v>64</v>
      </c>
      <c r="J4153" t="s">
        <v>77</v>
      </c>
      <c r="K4153" t="s">
        <v>32</v>
      </c>
      <c r="L4153" t="s">
        <v>46</v>
      </c>
      <c r="M4153" t="s">
        <v>87</v>
      </c>
      <c r="N4153" t="s">
        <v>69</v>
      </c>
      <c r="O4153" t="s">
        <v>70</v>
      </c>
      <c r="P4153" t="s">
        <v>37</v>
      </c>
      <c r="Q4153" t="s">
        <v>172</v>
      </c>
      <c r="R4153">
        <v>220</v>
      </c>
      <c r="S4153">
        <v>104</v>
      </c>
      <c r="T4153">
        <v>78</v>
      </c>
      <c r="U4153">
        <v>28</v>
      </c>
      <c r="V4153" t="s">
        <v>6476</v>
      </c>
      <c r="W4153">
        <v>66843</v>
      </c>
      <c r="X4153" t="s">
        <v>2155</v>
      </c>
      <c r="Y4153">
        <v>47795</v>
      </c>
      <c r="Z4153">
        <v>1871604</v>
      </c>
      <c r="AA4153">
        <v>533344</v>
      </c>
      <c r="AB4153" t="str">
        <f>(VLOOKUP(SalesData[[#This Row],[Month Number]],Reference!C$5:E$16,2,FALSE))</f>
        <v>Feb</v>
      </c>
      <c r="AC4153">
        <f>MONTH(SalesData[[#This Row],[Date]])</f>
        <v>2</v>
      </c>
      <c r="AD4153">
        <f>Reference!F$4</f>
        <v>2026</v>
      </c>
      <c r="AE4153" t="str">
        <f>IF(OR(SalesData[[#This Row],[Day]]="Saturday",SalesData[[#This Row],[Day]]="Sunday"),"Weekend","Weekday")</f>
        <v>Weekday</v>
      </c>
      <c r="AF4153" s="5">
        <f>IF(SalesData[[#This Row],[Contracts Offered]]=0,0,SalesData[[#This Row],[Contracts Signed]]/SalesData[[#This Row],[Contracts Offered]])</f>
        <v>0.35897435897435898</v>
      </c>
      <c r="AG4153" s="5">
        <f>IF(SalesData[[#This Row],[Customers Visited]]=0,0,SalesData[[#This Row],[Test Drives]]/SalesData[[#This Row],[Customers Visited]])</f>
        <v>0.47272727272727272</v>
      </c>
      <c r="AH4153" s="5">
        <f>IF(SalesData[[#This Row],[Customers Visited]]=0,0,SalesData[[#This Row],[Contracts Signed]]/SalesData[[#This Row],[Customers Visited]])</f>
        <v>0.12727272727272726</v>
      </c>
      <c r="AI4153" s="6">
        <f>IF(SalesData[[#This Row],[Contracts Signed]]=0,0,SalesData[[#This Row],[Profit(€)]]/SalesData[[#This Row],[Contracts Signed]])</f>
        <v>19048</v>
      </c>
      <c r="AJ4153" s="5" t="str">
        <f>TRIM(CLEAN(SalesData[[#This Row],[Retailer]]))</f>
        <v>Autohaus Berlin</v>
      </c>
    </row>
    <row r="4154" spans="1:36" ht="14.25" hidden="1" x14ac:dyDescent="0.2">
      <c r="A4154" t="s">
        <v>5401</v>
      </c>
      <c r="B4154" s="1">
        <v>46077</v>
      </c>
      <c r="C4154" t="s">
        <v>53</v>
      </c>
      <c r="D4154" t="s">
        <v>63</v>
      </c>
      <c r="E4154" t="s">
        <v>26</v>
      </c>
      <c r="F4154" t="s">
        <v>127</v>
      </c>
      <c r="G4154" t="s">
        <v>128</v>
      </c>
      <c r="H4154" t="s">
        <v>103</v>
      </c>
      <c r="I4154" t="s">
        <v>104</v>
      </c>
      <c r="J4154" t="s">
        <v>140</v>
      </c>
      <c r="K4154" t="s">
        <v>91</v>
      </c>
      <c r="L4154" t="s">
        <v>46</v>
      </c>
      <c r="M4154" t="s">
        <v>47</v>
      </c>
      <c r="N4154" t="s">
        <v>69</v>
      </c>
      <c r="O4154" t="s">
        <v>70</v>
      </c>
      <c r="P4154" t="s">
        <v>37</v>
      </c>
      <c r="Q4154" t="s">
        <v>189</v>
      </c>
      <c r="R4154">
        <v>332</v>
      </c>
      <c r="S4154">
        <v>149</v>
      </c>
      <c r="T4154">
        <v>104</v>
      </c>
      <c r="U4154">
        <v>23</v>
      </c>
      <c r="V4154" t="s">
        <v>3272</v>
      </c>
      <c r="W4154">
        <v>30245</v>
      </c>
      <c r="X4154" t="s">
        <v>7383</v>
      </c>
      <c r="Y4154">
        <v>27452</v>
      </c>
      <c r="Z4154">
        <v>695635</v>
      </c>
      <c r="AA4154">
        <v>64239</v>
      </c>
      <c r="AB4154" t="str">
        <f>(VLOOKUP(SalesData[[#This Row],[Month Number]],Reference!C$5:E$16,2,FALSE))</f>
        <v>Feb</v>
      </c>
      <c r="AC4154">
        <f>MONTH(SalesData[[#This Row],[Date]])</f>
        <v>2</v>
      </c>
      <c r="AD4154">
        <f>Reference!F$4</f>
        <v>2026</v>
      </c>
      <c r="AE4154" t="str">
        <f>IF(OR(SalesData[[#This Row],[Day]]="Saturday",SalesData[[#This Row],[Day]]="Sunday"),"Weekend","Weekday")</f>
        <v>Weekday</v>
      </c>
      <c r="AF4154" s="5">
        <f>IF(SalesData[[#This Row],[Contracts Offered]]=0,0,SalesData[[#This Row],[Contracts Signed]]/SalesData[[#This Row],[Contracts Offered]])</f>
        <v>0.22115384615384615</v>
      </c>
      <c r="AG4154" s="5">
        <f>IF(SalesData[[#This Row],[Customers Visited]]=0,0,SalesData[[#This Row],[Test Drives]]/SalesData[[#This Row],[Customers Visited]])</f>
        <v>0.44879518072289154</v>
      </c>
      <c r="AH4154" s="5">
        <f>IF(SalesData[[#This Row],[Customers Visited]]=0,0,SalesData[[#This Row],[Contracts Signed]]/SalesData[[#This Row],[Customers Visited]])</f>
        <v>6.9277108433734941E-2</v>
      </c>
      <c r="AI4154" s="6">
        <f>IF(SalesData[[#This Row],[Contracts Signed]]=0,0,SalesData[[#This Row],[Profit(€)]]/SalesData[[#This Row],[Contracts Signed]])</f>
        <v>2793</v>
      </c>
      <c r="AJ4154" s="5" t="str">
        <f>TRIM(CLEAN(SalesData[[#This Row],[Retailer]]))</f>
        <v>Rhein Auto Group</v>
      </c>
    </row>
    <row r="4155" spans="1:36" ht="14.25" hidden="1" x14ac:dyDescent="0.2">
      <c r="A4155" t="s">
        <v>5402</v>
      </c>
      <c r="B4155" s="1">
        <v>46056</v>
      </c>
      <c r="C4155" t="s">
        <v>24</v>
      </c>
      <c r="D4155" t="s">
        <v>63</v>
      </c>
      <c r="E4155" t="s">
        <v>26</v>
      </c>
      <c r="F4155" t="s">
        <v>109</v>
      </c>
      <c r="G4155" t="s">
        <v>110</v>
      </c>
      <c r="H4155" t="s">
        <v>45</v>
      </c>
      <c r="I4155" t="s">
        <v>56</v>
      </c>
      <c r="J4155" t="s">
        <v>137</v>
      </c>
      <c r="K4155" t="s">
        <v>78</v>
      </c>
      <c r="L4155" t="s">
        <v>46</v>
      </c>
      <c r="M4155" t="s">
        <v>87</v>
      </c>
      <c r="N4155" t="s">
        <v>69</v>
      </c>
      <c r="O4155" t="s">
        <v>36</v>
      </c>
      <c r="P4155" t="s">
        <v>37</v>
      </c>
      <c r="Q4155" t="s">
        <v>152</v>
      </c>
      <c r="R4155">
        <v>285</v>
      </c>
      <c r="S4155">
        <v>134</v>
      </c>
      <c r="T4155">
        <v>87</v>
      </c>
      <c r="U4155">
        <v>30</v>
      </c>
      <c r="V4155" t="s">
        <v>6617</v>
      </c>
      <c r="W4155">
        <v>44528</v>
      </c>
      <c r="X4155" t="s">
        <v>7285</v>
      </c>
      <c r="Y4155">
        <v>33538</v>
      </c>
      <c r="Z4155">
        <v>1335840</v>
      </c>
      <c r="AA4155">
        <v>329700</v>
      </c>
      <c r="AB4155" t="str">
        <f>(VLOOKUP(SalesData[[#This Row],[Month Number]],Reference!C$5:E$16,2,FALSE))</f>
        <v>Feb</v>
      </c>
      <c r="AC4155">
        <f>MONTH(SalesData[[#This Row],[Date]])</f>
        <v>2</v>
      </c>
      <c r="AD4155">
        <f>Reference!F$4</f>
        <v>2026</v>
      </c>
      <c r="AE4155" t="str">
        <f>IF(OR(SalesData[[#This Row],[Day]]="Saturday",SalesData[[#This Row],[Day]]="Sunday"),"Weekend","Weekday")</f>
        <v>Weekday</v>
      </c>
      <c r="AF4155" s="5">
        <f>IF(SalesData[[#This Row],[Contracts Offered]]=0,0,SalesData[[#This Row],[Contracts Signed]]/SalesData[[#This Row],[Contracts Offered]])</f>
        <v>0.34482758620689657</v>
      </c>
      <c r="AG4155" s="5">
        <f>IF(SalesData[[#This Row],[Customers Visited]]=0,0,SalesData[[#This Row],[Test Drives]]/SalesData[[#This Row],[Customers Visited]])</f>
        <v>0.47017543859649125</v>
      </c>
      <c r="AH4155" s="5">
        <f>IF(SalesData[[#This Row],[Customers Visited]]=0,0,SalesData[[#This Row],[Contracts Signed]]/SalesData[[#This Row],[Customers Visited]])</f>
        <v>0.10526315789473684</v>
      </c>
      <c r="AI4155" s="6">
        <f>IF(SalesData[[#This Row],[Contracts Signed]]=0,0,SalesData[[#This Row],[Profit(€)]]/SalesData[[#This Row],[Contracts Signed]])</f>
        <v>10990</v>
      </c>
      <c r="AJ4155" s="5" t="str">
        <f>TRIM(CLEAN(SalesData[[#This Row],[Retailer]]))</f>
        <v>Leipzig Mobility</v>
      </c>
    </row>
    <row r="4156" spans="1:36" ht="14.25" hidden="1" x14ac:dyDescent="0.2">
      <c r="A4156" t="s">
        <v>5403</v>
      </c>
      <c r="B4156" s="1">
        <v>46064</v>
      </c>
      <c r="C4156" t="s">
        <v>121</v>
      </c>
      <c r="D4156" t="s">
        <v>82</v>
      </c>
      <c r="E4156" t="s">
        <v>26</v>
      </c>
      <c r="F4156" t="s">
        <v>74</v>
      </c>
      <c r="G4156" t="s">
        <v>75</v>
      </c>
      <c r="H4156" t="s">
        <v>76</v>
      </c>
      <c r="I4156" t="s">
        <v>116</v>
      </c>
      <c r="J4156" t="s">
        <v>203</v>
      </c>
      <c r="K4156" t="s">
        <v>66</v>
      </c>
      <c r="L4156" t="s">
        <v>67</v>
      </c>
      <c r="M4156" t="s">
        <v>34</v>
      </c>
      <c r="N4156" t="s">
        <v>35</v>
      </c>
      <c r="O4156" t="s">
        <v>36</v>
      </c>
      <c r="P4156" t="s">
        <v>49</v>
      </c>
      <c r="Q4156" t="s">
        <v>158</v>
      </c>
      <c r="R4156">
        <v>235</v>
      </c>
      <c r="S4156">
        <v>109</v>
      </c>
      <c r="T4156">
        <v>64</v>
      </c>
      <c r="U4156">
        <v>15</v>
      </c>
      <c r="V4156" t="s">
        <v>153</v>
      </c>
      <c r="W4156">
        <v>22565</v>
      </c>
      <c r="X4156" t="s">
        <v>7622</v>
      </c>
      <c r="Y4156">
        <v>20116</v>
      </c>
      <c r="Z4156">
        <v>338475</v>
      </c>
      <c r="AA4156">
        <v>36735</v>
      </c>
      <c r="AB4156" t="str">
        <f>(VLOOKUP(SalesData[[#This Row],[Month Number]],Reference!C$5:E$16,2,FALSE))</f>
        <v>Feb</v>
      </c>
      <c r="AC4156">
        <f>MONTH(SalesData[[#This Row],[Date]])</f>
        <v>2</v>
      </c>
      <c r="AD4156">
        <f>Reference!F$4</f>
        <v>2026</v>
      </c>
      <c r="AE4156" t="str">
        <f>IF(OR(SalesData[[#This Row],[Day]]="Saturday",SalesData[[#This Row],[Day]]="Sunday"),"Weekend","Weekday")</f>
        <v>Weekday</v>
      </c>
      <c r="AF4156" s="5">
        <f>IF(SalesData[[#This Row],[Contracts Offered]]=0,0,SalesData[[#This Row],[Contracts Signed]]/SalesData[[#This Row],[Contracts Offered]])</f>
        <v>0.234375</v>
      </c>
      <c r="AG4156" s="5">
        <f>IF(SalesData[[#This Row],[Customers Visited]]=0,0,SalesData[[#This Row],[Test Drives]]/SalesData[[#This Row],[Customers Visited]])</f>
        <v>0.46382978723404256</v>
      </c>
      <c r="AH4156" s="5">
        <f>IF(SalesData[[#This Row],[Customers Visited]]=0,0,SalesData[[#This Row],[Contracts Signed]]/SalesData[[#This Row],[Customers Visited]])</f>
        <v>6.3829787234042548E-2</v>
      </c>
      <c r="AI4156" s="6">
        <f>IF(SalesData[[#This Row],[Contracts Signed]]=0,0,SalesData[[#This Row],[Profit(€)]]/SalesData[[#This Row],[Contracts Signed]])</f>
        <v>2449</v>
      </c>
      <c r="AJ4156" s="5" t="str">
        <f>TRIM(CLEAN(SalesData[[#This Row],[Retailer]]))</f>
        <v>Stuttgart Auto Center</v>
      </c>
    </row>
    <row r="4157" spans="1:36" ht="14.25" hidden="1" x14ac:dyDescent="0.2">
      <c r="A4157" t="s">
        <v>5404</v>
      </c>
      <c r="B4157" s="1">
        <v>46067</v>
      </c>
      <c r="C4157" t="s">
        <v>121</v>
      </c>
      <c r="D4157" t="s">
        <v>151</v>
      </c>
      <c r="E4157" t="s">
        <v>42</v>
      </c>
      <c r="F4157" t="s">
        <v>7649</v>
      </c>
      <c r="G4157" t="s">
        <v>55</v>
      </c>
      <c r="H4157" t="s">
        <v>55</v>
      </c>
      <c r="I4157" t="s">
        <v>64</v>
      </c>
      <c r="J4157" t="s">
        <v>65</v>
      </c>
      <c r="K4157" t="s">
        <v>91</v>
      </c>
      <c r="L4157" t="s">
        <v>33</v>
      </c>
      <c r="M4157" t="s">
        <v>34</v>
      </c>
      <c r="N4157" t="s">
        <v>48</v>
      </c>
      <c r="O4157" t="s">
        <v>70</v>
      </c>
      <c r="P4157" t="s">
        <v>71</v>
      </c>
      <c r="Q4157" t="s">
        <v>129</v>
      </c>
      <c r="R4157">
        <v>287</v>
      </c>
      <c r="S4157">
        <v>167</v>
      </c>
      <c r="T4157">
        <v>133</v>
      </c>
      <c r="U4157">
        <v>40</v>
      </c>
      <c r="V4157" t="s">
        <v>6771</v>
      </c>
      <c r="W4157">
        <v>50534</v>
      </c>
      <c r="X4157" t="s">
        <v>7415</v>
      </c>
      <c r="Y4157">
        <v>37092</v>
      </c>
      <c r="Z4157">
        <v>2021360</v>
      </c>
      <c r="AA4157">
        <v>537680</v>
      </c>
      <c r="AB4157" t="str">
        <f>(VLOOKUP(SalesData[[#This Row],[Month Number]],Reference!C$5:E$16,2,FALSE))</f>
        <v>Feb</v>
      </c>
      <c r="AC4157">
        <f>MONTH(SalesData[[#This Row],[Date]])</f>
        <v>2</v>
      </c>
      <c r="AD4157">
        <f>Reference!F$4</f>
        <v>2026</v>
      </c>
      <c r="AE4157" t="str">
        <f>IF(OR(SalesData[[#This Row],[Day]]="Saturday",SalesData[[#This Row],[Day]]="Sunday"),"Weekend","Weekday")</f>
        <v>Weekend</v>
      </c>
      <c r="AF4157" s="5">
        <f>IF(SalesData[[#This Row],[Contracts Offered]]=0,0,SalesData[[#This Row],[Contracts Signed]]/SalesData[[#This Row],[Contracts Offered]])</f>
        <v>0.3007518796992481</v>
      </c>
      <c r="AG4157" s="5">
        <f>IF(SalesData[[#This Row],[Customers Visited]]=0,0,SalesData[[#This Row],[Test Drives]]/SalesData[[#This Row],[Customers Visited]])</f>
        <v>0.58188153310104529</v>
      </c>
      <c r="AH4157" s="5">
        <f>IF(SalesData[[#This Row],[Customers Visited]]=0,0,SalesData[[#This Row],[Contracts Signed]]/SalesData[[#This Row],[Customers Visited]])</f>
        <v>0.13937282229965156</v>
      </c>
      <c r="AI4157" s="6">
        <f>IF(SalesData[[#This Row],[Contracts Signed]]=0,0,SalesData[[#This Row],[Profit(€)]]/SalesData[[#This Row],[Contracts Signed]])</f>
        <v>13442</v>
      </c>
      <c r="AJ4157" s="5" t="str">
        <f>TRIM(CLEAN(SalesData[[#This Row],[Retailer]]))</f>
        <v>Autohaus Berlin</v>
      </c>
    </row>
    <row r="4158" spans="1:36" ht="14.25" hidden="1" x14ac:dyDescent="0.2">
      <c r="A4158" t="s">
        <v>5405</v>
      </c>
      <c r="B4158" s="1">
        <v>46079</v>
      </c>
      <c r="C4158" t="s">
        <v>53</v>
      </c>
      <c r="D4158" t="s">
        <v>100</v>
      </c>
      <c r="E4158" t="s">
        <v>26</v>
      </c>
      <c r="F4158" t="s">
        <v>127</v>
      </c>
      <c r="G4158" t="s">
        <v>128</v>
      </c>
      <c r="H4158" t="s">
        <v>103</v>
      </c>
      <c r="I4158" t="s">
        <v>104</v>
      </c>
      <c r="J4158" t="s">
        <v>143</v>
      </c>
      <c r="K4158" t="s">
        <v>66</v>
      </c>
      <c r="L4158" t="s">
        <v>67</v>
      </c>
      <c r="M4158" t="s">
        <v>47</v>
      </c>
      <c r="N4158" t="s">
        <v>69</v>
      </c>
      <c r="O4158" t="s">
        <v>70</v>
      </c>
      <c r="P4158" t="s">
        <v>71</v>
      </c>
      <c r="Q4158" t="s">
        <v>122</v>
      </c>
      <c r="R4158">
        <v>481</v>
      </c>
      <c r="S4158">
        <v>220</v>
      </c>
      <c r="T4158">
        <v>151</v>
      </c>
      <c r="U4158">
        <v>37</v>
      </c>
      <c r="V4158" t="s">
        <v>3416</v>
      </c>
      <c r="W4158">
        <v>33344</v>
      </c>
      <c r="X4158" t="s">
        <v>845</v>
      </c>
      <c r="Y4158">
        <v>30064</v>
      </c>
      <c r="Z4158">
        <v>1233728</v>
      </c>
      <c r="AA4158">
        <v>121360</v>
      </c>
      <c r="AB4158" t="str">
        <f>(VLOOKUP(SalesData[[#This Row],[Month Number]],Reference!C$5:E$16,2,FALSE))</f>
        <v>Feb</v>
      </c>
      <c r="AC4158">
        <f>MONTH(SalesData[[#This Row],[Date]])</f>
        <v>2</v>
      </c>
      <c r="AD4158">
        <f>Reference!F$4</f>
        <v>2026</v>
      </c>
      <c r="AE4158" t="str">
        <f>IF(OR(SalesData[[#This Row],[Day]]="Saturday",SalesData[[#This Row],[Day]]="Sunday"),"Weekend","Weekday")</f>
        <v>Weekday</v>
      </c>
      <c r="AF4158" s="5">
        <f>IF(SalesData[[#This Row],[Contracts Offered]]=0,0,SalesData[[#This Row],[Contracts Signed]]/SalesData[[#This Row],[Contracts Offered]])</f>
        <v>0.24503311258278146</v>
      </c>
      <c r="AG4158" s="5">
        <f>IF(SalesData[[#This Row],[Customers Visited]]=0,0,SalesData[[#This Row],[Test Drives]]/SalesData[[#This Row],[Customers Visited]])</f>
        <v>0.45738045738045741</v>
      </c>
      <c r="AH4158" s="5">
        <f>IF(SalesData[[#This Row],[Customers Visited]]=0,0,SalesData[[#This Row],[Contracts Signed]]/SalesData[[#This Row],[Customers Visited]])</f>
        <v>7.6923076923076927E-2</v>
      </c>
      <c r="AI4158" s="6">
        <f>IF(SalesData[[#This Row],[Contracts Signed]]=0,0,SalesData[[#This Row],[Profit(€)]]/SalesData[[#This Row],[Contracts Signed]])</f>
        <v>3280</v>
      </c>
      <c r="AJ4158" s="5" t="str">
        <f>TRIM(CLEAN(SalesData[[#This Row],[Retailer]]))</f>
        <v>Rhein Auto Group</v>
      </c>
    </row>
    <row r="4159" spans="1:36" ht="14.25" x14ac:dyDescent="0.2">
      <c r="A4159" t="s">
        <v>5406</v>
      </c>
      <c r="B4159" s="1">
        <v>46075</v>
      </c>
      <c r="C4159" t="s">
        <v>53</v>
      </c>
      <c r="D4159" t="s">
        <v>41</v>
      </c>
      <c r="E4159" t="s">
        <v>42</v>
      </c>
      <c r="F4159" t="s">
        <v>83</v>
      </c>
      <c r="G4159" t="s">
        <v>84</v>
      </c>
      <c r="H4159" t="s">
        <v>85</v>
      </c>
      <c r="I4159" t="s">
        <v>30</v>
      </c>
      <c r="J4159" t="s">
        <v>166</v>
      </c>
      <c r="K4159" t="s">
        <v>91</v>
      </c>
      <c r="L4159" t="s">
        <v>46</v>
      </c>
      <c r="M4159" t="s">
        <v>47</v>
      </c>
      <c r="N4159" t="s">
        <v>35</v>
      </c>
      <c r="O4159" t="s">
        <v>70</v>
      </c>
      <c r="P4159" t="s">
        <v>58</v>
      </c>
      <c r="Q4159" t="s">
        <v>122</v>
      </c>
      <c r="R4159">
        <v>224</v>
      </c>
      <c r="S4159">
        <v>106</v>
      </c>
      <c r="T4159">
        <v>81</v>
      </c>
      <c r="U4159">
        <v>33</v>
      </c>
      <c r="V4159" t="s">
        <v>7623</v>
      </c>
      <c r="W4159">
        <v>67100</v>
      </c>
      <c r="X4159" t="s">
        <v>7091</v>
      </c>
      <c r="Y4159">
        <v>47711</v>
      </c>
      <c r="Z4159">
        <v>2214300</v>
      </c>
      <c r="AA4159">
        <v>639837</v>
      </c>
      <c r="AB4159" t="str">
        <f>(VLOOKUP(SalesData[[#This Row],[Month Number]],Reference!C$5:E$16,2,FALSE))</f>
        <v>Feb</v>
      </c>
      <c r="AC4159">
        <f>MONTH(SalesData[[#This Row],[Date]])</f>
        <v>2</v>
      </c>
      <c r="AD4159">
        <f>Reference!F$4</f>
        <v>2026</v>
      </c>
      <c r="AE4159" t="str">
        <f>IF(OR(SalesData[[#This Row],[Day]]="Saturday",SalesData[[#This Row],[Day]]="Sunday"),"Weekend","Weekday")</f>
        <v>Weekend</v>
      </c>
      <c r="AF4159" s="5">
        <f>IF(SalesData[[#This Row],[Contracts Offered]]=0,0,SalesData[[#This Row],[Contracts Signed]]/SalesData[[#This Row],[Contracts Offered]])</f>
        <v>0.40740740740740738</v>
      </c>
      <c r="AG4159" s="5">
        <f>IF(SalesData[[#This Row],[Customers Visited]]=0,0,SalesData[[#This Row],[Test Drives]]/SalesData[[#This Row],[Customers Visited]])</f>
        <v>0.4732142857142857</v>
      </c>
      <c r="AH4159" s="5">
        <f>IF(SalesData[[#This Row],[Customers Visited]]=0,0,SalesData[[#This Row],[Contracts Signed]]/SalesData[[#This Row],[Customers Visited]])</f>
        <v>0.14732142857142858</v>
      </c>
      <c r="AI4159" s="6">
        <f>IF(SalesData[[#This Row],[Contracts Signed]]=0,0,SalesData[[#This Row],[Profit(€)]]/SalesData[[#This Row],[Contracts Signed]])</f>
        <v>19389</v>
      </c>
      <c r="AJ4159" s="5" t="str">
        <f>TRIM(CLEAN(SalesData[[#This Row],[Retailer]]))</f>
        <v>Hannover Cars</v>
      </c>
    </row>
    <row r="4160" spans="1:36" ht="14.25" hidden="1" x14ac:dyDescent="0.2">
      <c r="A4160" t="s">
        <v>5407</v>
      </c>
      <c r="B4160" s="1">
        <v>46058</v>
      </c>
      <c r="C4160" t="s">
        <v>24</v>
      </c>
      <c r="D4160" t="s">
        <v>100</v>
      </c>
      <c r="E4160" t="s">
        <v>26</v>
      </c>
      <c r="F4160" t="s">
        <v>127</v>
      </c>
      <c r="G4160" t="s">
        <v>128</v>
      </c>
      <c r="H4160" t="s">
        <v>103</v>
      </c>
      <c r="I4160" t="s">
        <v>64</v>
      </c>
      <c r="J4160" t="s">
        <v>77</v>
      </c>
      <c r="K4160" t="s">
        <v>91</v>
      </c>
      <c r="L4160" t="s">
        <v>46</v>
      </c>
      <c r="M4160" t="s">
        <v>87</v>
      </c>
      <c r="N4160" t="s">
        <v>69</v>
      </c>
      <c r="O4160" t="s">
        <v>70</v>
      </c>
      <c r="P4160" t="s">
        <v>37</v>
      </c>
      <c r="Q4160" t="s">
        <v>118</v>
      </c>
      <c r="R4160">
        <v>158</v>
      </c>
      <c r="S4160">
        <v>72</v>
      </c>
      <c r="T4160">
        <v>56</v>
      </c>
      <c r="U4160">
        <v>16</v>
      </c>
      <c r="V4160" t="s">
        <v>6433</v>
      </c>
      <c r="W4160">
        <v>57994</v>
      </c>
      <c r="X4160" t="s">
        <v>7283</v>
      </c>
      <c r="Y4160">
        <v>42026</v>
      </c>
      <c r="Z4160">
        <v>927904</v>
      </c>
      <c r="AA4160">
        <v>255488</v>
      </c>
      <c r="AB4160" t="str">
        <f>(VLOOKUP(SalesData[[#This Row],[Month Number]],Reference!C$5:E$16,2,FALSE))</f>
        <v>Feb</v>
      </c>
      <c r="AC4160">
        <f>MONTH(SalesData[[#This Row],[Date]])</f>
        <v>2</v>
      </c>
      <c r="AD4160">
        <f>Reference!F$4</f>
        <v>2026</v>
      </c>
      <c r="AE4160" t="str">
        <f>IF(OR(SalesData[[#This Row],[Day]]="Saturday",SalesData[[#This Row],[Day]]="Sunday"),"Weekend","Weekday")</f>
        <v>Weekday</v>
      </c>
      <c r="AF4160" s="5">
        <f>IF(SalesData[[#This Row],[Contracts Offered]]=0,0,SalesData[[#This Row],[Contracts Signed]]/SalesData[[#This Row],[Contracts Offered]])</f>
        <v>0.2857142857142857</v>
      </c>
      <c r="AG4160" s="5">
        <f>IF(SalesData[[#This Row],[Customers Visited]]=0,0,SalesData[[#This Row],[Test Drives]]/SalesData[[#This Row],[Customers Visited]])</f>
        <v>0.45569620253164556</v>
      </c>
      <c r="AH4160" s="5">
        <f>IF(SalesData[[#This Row],[Customers Visited]]=0,0,SalesData[[#This Row],[Contracts Signed]]/SalesData[[#This Row],[Customers Visited]])</f>
        <v>0.10126582278481013</v>
      </c>
      <c r="AI4160" s="6">
        <f>IF(SalesData[[#This Row],[Contracts Signed]]=0,0,SalesData[[#This Row],[Profit(€)]]/SalesData[[#This Row],[Contracts Signed]])</f>
        <v>15968</v>
      </c>
      <c r="AJ4160" s="5" t="str">
        <f>TRIM(CLEAN(SalesData[[#This Row],[Retailer]]))</f>
        <v>Rhein Auto Group</v>
      </c>
    </row>
    <row r="4161" spans="1:36" ht="14.25" hidden="1" x14ac:dyDescent="0.2">
      <c r="A4161" t="s">
        <v>5408</v>
      </c>
      <c r="B4161" s="1">
        <v>46065</v>
      </c>
      <c r="C4161" t="s">
        <v>121</v>
      </c>
      <c r="D4161" t="s">
        <v>100</v>
      </c>
      <c r="E4161" t="s">
        <v>26</v>
      </c>
      <c r="F4161" t="s">
        <v>94</v>
      </c>
      <c r="G4161" t="s">
        <v>95</v>
      </c>
      <c r="H4161" t="s">
        <v>96</v>
      </c>
      <c r="I4161" t="s">
        <v>64</v>
      </c>
      <c r="J4161" t="s">
        <v>77</v>
      </c>
      <c r="K4161" t="s">
        <v>66</v>
      </c>
      <c r="L4161" t="s">
        <v>46</v>
      </c>
      <c r="M4161" t="s">
        <v>87</v>
      </c>
      <c r="N4161" t="s">
        <v>69</v>
      </c>
      <c r="O4161" t="s">
        <v>70</v>
      </c>
      <c r="P4161" t="s">
        <v>37</v>
      </c>
      <c r="Q4161" t="s">
        <v>189</v>
      </c>
      <c r="R4161">
        <v>200</v>
      </c>
      <c r="S4161">
        <v>119</v>
      </c>
      <c r="T4161">
        <v>90</v>
      </c>
      <c r="U4161">
        <v>30</v>
      </c>
      <c r="V4161" t="s">
        <v>6585</v>
      </c>
      <c r="W4161">
        <v>58288</v>
      </c>
      <c r="X4161" t="s">
        <v>7314</v>
      </c>
      <c r="Y4161">
        <v>42049</v>
      </c>
      <c r="Z4161">
        <v>1748640</v>
      </c>
      <c r="AA4161">
        <v>487170</v>
      </c>
      <c r="AB4161" t="str">
        <f>(VLOOKUP(SalesData[[#This Row],[Month Number]],Reference!C$5:E$16,2,FALSE))</f>
        <v>Feb</v>
      </c>
      <c r="AC4161">
        <f>MONTH(SalesData[[#This Row],[Date]])</f>
        <v>2</v>
      </c>
      <c r="AD4161">
        <f>Reference!F$4</f>
        <v>2026</v>
      </c>
      <c r="AE4161" t="str">
        <f>IF(OR(SalesData[[#This Row],[Day]]="Saturday",SalesData[[#This Row],[Day]]="Sunday"),"Weekend","Weekday")</f>
        <v>Weekday</v>
      </c>
      <c r="AF4161" s="5">
        <f>IF(SalesData[[#This Row],[Contracts Offered]]=0,0,SalesData[[#This Row],[Contracts Signed]]/SalesData[[#This Row],[Contracts Offered]])</f>
        <v>0.33333333333333331</v>
      </c>
      <c r="AG4161" s="5">
        <f>IF(SalesData[[#This Row],[Customers Visited]]=0,0,SalesData[[#This Row],[Test Drives]]/SalesData[[#This Row],[Customers Visited]])</f>
        <v>0.59499999999999997</v>
      </c>
      <c r="AH4161" s="5">
        <f>IF(SalesData[[#This Row],[Customers Visited]]=0,0,SalesData[[#This Row],[Contracts Signed]]/SalesData[[#This Row],[Customers Visited]])</f>
        <v>0.15</v>
      </c>
      <c r="AI4161" s="6">
        <f>IF(SalesData[[#This Row],[Contracts Signed]]=0,0,SalesData[[#This Row],[Profit(€)]]/SalesData[[#This Row],[Contracts Signed]])</f>
        <v>16239</v>
      </c>
      <c r="AJ4161" s="5" t="str">
        <f>TRIM(CLEAN(SalesData[[#This Row],[Retailer]]))</f>
        <v>Bavaria Motors</v>
      </c>
    </row>
    <row r="4162" spans="1:36" ht="14.25" hidden="1" x14ac:dyDescent="0.2">
      <c r="A4162" t="s">
        <v>5409</v>
      </c>
      <c r="B4162" s="1">
        <v>46081</v>
      </c>
      <c r="C4162" t="s">
        <v>53</v>
      </c>
      <c r="D4162" t="s">
        <v>151</v>
      </c>
      <c r="E4162" t="s">
        <v>42</v>
      </c>
      <c r="F4162" t="s">
        <v>7649</v>
      </c>
      <c r="G4162" t="s">
        <v>55</v>
      </c>
      <c r="H4162" t="s">
        <v>55</v>
      </c>
      <c r="I4162" t="s">
        <v>56</v>
      </c>
      <c r="J4162" t="s">
        <v>7028</v>
      </c>
      <c r="K4162" t="s">
        <v>91</v>
      </c>
      <c r="L4162" t="s">
        <v>46</v>
      </c>
      <c r="M4162" t="s">
        <v>87</v>
      </c>
      <c r="N4162" t="s">
        <v>69</v>
      </c>
      <c r="O4162" t="s">
        <v>36</v>
      </c>
      <c r="P4162" t="s">
        <v>71</v>
      </c>
      <c r="Q4162" t="s">
        <v>38</v>
      </c>
      <c r="R4162">
        <v>165</v>
      </c>
      <c r="S4162">
        <v>91</v>
      </c>
      <c r="T4162">
        <v>61</v>
      </c>
      <c r="U4162">
        <v>24</v>
      </c>
      <c r="V4162" t="s">
        <v>6581</v>
      </c>
      <c r="W4162">
        <v>44671</v>
      </c>
      <c r="X4162" t="s">
        <v>5237</v>
      </c>
      <c r="Y4162">
        <v>34446</v>
      </c>
      <c r="Z4162">
        <v>1072104</v>
      </c>
      <c r="AA4162">
        <v>245400</v>
      </c>
      <c r="AB4162" t="str">
        <f>(VLOOKUP(SalesData[[#This Row],[Month Number]],Reference!C$5:E$16,2,FALSE))</f>
        <v>Feb</v>
      </c>
      <c r="AC4162">
        <f>MONTH(SalesData[[#This Row],[Date]])</f>
        <v>2</v>
      </c>
      <c r="AD4162">
        <f>Reference!F$4</f>
        <v>2026</v>
      </c>
      <c r="AE4162" t="str">
        <f>IF(OR(SalesData[[#This Row],[Day]]="Saturday",SalesData[[#This Row],[Day]]="Sunday"),"Weekend","Weekday")</f>
        <v>Weekend</v>
      </c>
      <c r="AF4162" s="5">
        <f>IF(SalesData[[#This Row],[Contracts Offered]]=0,0,SalesData[[#This Row],[Contracts Signed]]/SalesData[[#This Row],[Contracts Offered]])</f>
        <v>0.39344262295081966</v>
      </c>
      <c r="AG4162" s="5">
        <f>IF(SalesData[[#This Row],[Customers Visited]]=0,0,SalesData[[#This Row],[Test Drives]]/SalesData[[#This Row],[Customers Visited]])</f>
        <v>0.55151515151515151</v>
      </c>
      <c r="AH4162" s="5">
        <f>IF(SalesData[[#This Row],[Customers Visited]]=0,0,SalesData[[#This Row],[Contracts Signed]]/SalesData[[#This Row],[Customers Visited]])</f>
        <v>0.14545454545454545</v>
      </c>
      <c r="AI4162" s="6">
        <f>IF(SalesData[[#This Row],[Contracts Signed]]=0,0,SalesData[[#This Row],[Profit(€)]]/SalesData[[#This Row],[Contracts Signed]])</f>
        <v>10225</v>
      </c>
      <c r="AJ4162" s="5" t="str">
        <f>TRIM(CLEAN(SalesData[[#This Row],[Retailer]]))</f>
        <v>Autohaus Berlin</v>
      </c>
    </row>
    <row r="4163" spans="1:36" ht="14.25" hidden="1" x14ac:dyDescent="0.2">
      <c r="A4163" t="s">
        <v>5410</v>
      </c>
      <c r="B4163" s="1">
        <v>46079</v>
      </c>
      <c r="C4163" t="s">
        <v>53</v>
      </c>
      <c r="D4163" t="s">
        <v>100</v>
      </c>
      <c r="E4163" t="s">
        <v>26</v>
      </c>
      <c r="F4163" t="s">
        <v>101</v>
      </c>
      <c r="G4163" t="s">
        <v>102</v>
      </c>
      <c r="H4163" t="s">
        <v>103</v>
      </c>
      <c r="I4163" t="s">
        <v>104</v>
      </c>
      <c r="J4163" t="s">
        <v>105</v>
      </c>
      <c r="K4163" t="s">
        <v>78</v>
      </c>
      <c r="L4163" t="s">
        <v>33</v>
      </c>
      <c r="M4163" t="s">
        <v>87</v>
      </c>
      <c r="N4163" t="s">
        <v>48</v>
      </c>
      <c r="O4163" t="s">
        <v>70</v>
      </c>
      <c r="P4163" t="s">
        <v>71</v>
      </c>
      <c r="Q4163" t="s">
        <v>106</v>
      </c>
      <c r="R4163">
        <v>409</v>
      </c>
      <c r="S4163">
        <v>202</v>
      </c>
      <c r="T4163">
        <v>118</v>
      </c>
      <c r="U4163">
        <v>30</v>
      </c>
      <c r="V4163" t="s">
        <v>1319</v>
      </c>
      <c r="W4163">
        <v>32869</v>
      </c>
      <c r="X4163" t="s">
        <v>3480</v>
      </c>
      <c r="Y4163">
        <v>28813</v>
      </c>
      <c r="Z4163">
        <v>986070</v>
      </c>
      <c r="AA4163">
        <v>121680</v>
      </c>
      <c r="AB4163" t="str">
        <f>(VLOOKUP(SalesData[[#This Row],[Month Number]],Reference!C$5:E$16,2,FALSE))</f>
        <v>Feb</v>
      </c>
      <c r="AC4163">
        <f>MONTH(SalesData[[#This Row],[Date]])</f>
        <v>2</v>
      </c>
      <c r="AD4163">
        <f>Reference!F$4</f>
        <v>2026</v>
      </c>
      <c r="AE4163" t="str">
        <f>IF(OR(SalesData[[#This Row],[Day]]="Saturday",SalesData[[#This Row],[Day]]="Sunday"),"Weekend","Weekday")</f>
        <v>Weekday</v>
      </c>
      <c r="AF4163" s="5">
        <f>IF(SalesData[[#This Row],[Contracts Offered]]=0,0,SalesData[[#This Row],[Contracts Signed]]/SalesData[[#This Row],[Contracts Offered]])</f>
        <v>0.25423728813559321</v>
      </c>
      <c r="AG4163" s="5">
        <f>IF(SalesData[[#This Row],[Customers Visited]]=0,0,SalesData[[#This Row],[Test Drives]]/SalesData[[#This Row],[Customers Visited]])</f>
        <v>0.49388753056234719</v>
      </c>
      <c r="AH4163" s="5">
        <f>IF(SalesData[[#This Row],[Customers Visited]]=0,0,SalesData[[#This Row],[Contracts Signed]]/SalesData[[#This Row],[Customers Visited]])</f>
        <v>7.3349633251833746E-2</v>
      </c>
      <c r="AI4163" s="6">
        <f>IF(SalesData[[#This Row],[Contracts Signed]]=0,0,SalesData[[#This Row],[Profit(€)]]/SalesData[[#This Row],[Contracts Signed]])</f>
        <v>4056</v>
      </c>
      <c r="AJ4163" s="5" t="str">
        <f>TRIM(CLEAN(SalesData[[#This Row],[Retailer]]))</f>
        <v>Ruhr Auto Plaza</v>
      </c>
    </row>
    <row r="4164" spans="1:36" ht="14.25" x14ac:dyDescent="0.2">
      <c r="A4164" t="s">
        <v>5411</v>
      </c>
      <c r="B4164" s="1">
        <v>46079</v>
      </c>
      <c r="C4164" t="s">
        <v>53</v>
      </c>
      <c r="D4164" t="s">
        <v>100</v>
      </c>
      <c r="E4164" t="s">
        <v>26</v>
      </c>
      <c r="F4164" t="s">
        <v>101</v>
      </c>
      <c r="G4164" t="s">
        <v>102</v>
      </c>
      <c r="H4164" t="s">
        <v>103</v>
      </c>
      <c r="I4164" t="s">
        <v>30</v>
      </c>
      <c r="J4164" t="s">
        <v>31</v>
      </c>
      <c r="K4164" t="s">
        <v>32</v>
      </c>
      <c r="L4164" t="s">
        <v>46</v>
      </c>
      <c r="M4164" t="s">
        <v>34</v>
      </c>
      <c r="N4164" t="s">
        <v>48</v>
      </c>
      <c r="O4164" t="s">
        <v>70</v>
      </c>
      <c r="P4164" t="s">
        <v>37</v>
      </c>
      <c r="Q4164" t="s">
        <v>172</v>
      </c>
      <c r="R4164">
        <v>146</v>
      </c>
      <c r="S4164">
        <v>73</v>
      </c>
      <c r="T4164">
        <v>50</v>
      </c>
      <c r="U4164">
        <v>19</v>
      </c>
      <c r="V4164" t="s">
        <v>6411</v>
      </c>
      <c r="W4164">
        <v>59169</v>
      </c>
      <c r="X4164" t="s">
        <v>7624</v>
      </c>
      <c r="Y4164">
        <v>43330</v>
      </c>
      <c r="Z4164">
        <v>1124211</v>
      </c>
      <c r="AA4164">
        <v>300941</v>
      </c>
      <c r="AB4164" t="str">
        <f>(VLOOKUP(SalesData[[#This Row],[Month Number]],Reference!C$5:E$16,2,FALSE))</f>
        <v>Feb</v>
      </c>
      <c r="AC4164">
        <f>MONTH(SalesData[[#This Row],[Date]])</f>
        <v>2</v>
      </c>
      <c r="AD4164">
        <f>Reference!F$4</f>
        <v>2026</v>
      </c>
      <c r="AE4164" t="str">
        <f>IF(OR(SalesData[[#This Row],[Day]]="Saturday",SalesData[[#This Row],[Day]]="Sunday"),"Weekend","Weekday")</f>
        <v>Weekday</v>
      </c>
      <c r="AF4164" s="5">
        <f>IF(SalesData[[#This Row],[Contracts Offered]]=0,0,SalesData[[#This Row],[Contracts Signed]]/SalesData[[#This Row],[Contracts Offered]])</f>
        <v>0.38</v>
      </c>
      <c r="AG4164" s="5">
        <f>IF(SalesData[[#This Row],[Customers Visited]]=0,0,SalesData[[#This Row],[Test Drives]]/SalesData[[#This Row],[Customers Visited]])</f>
        <v>0.5</v>
      </c>
      <c r="AH4164" s="5">
        <f>IF(SalesData[[#This Row],[Customers Visited]]=0,0,SalesData[[#This Row],[Contracts Signed]]/SalesData[[#This Row],[Customers Visited]])</f>
        <v>0.13013698630136986</v>
      </c>
      <c r="AI4164" s="6">
        <f>IF(SalesData[[#This Row],[Contracts Signed]]=0,0,SalesData[[#This Row],[Profit(€)]]/SalesData[[#This Row],[Contracts Signed]])</f>
        <v>15839</v>
      </c>
      <c r="AJ4164" s="5" t="str">
        <f>TRIM(CLEAN(SalesData[[#This Row],[Retailer]]))</f>
        <v>Ruhr Auto Plaza</v>
      </c>
    </row>
    <row r="4165" spans="1:36" ht="14.25" hidden="1" x14ac:dyDescent="0.2">
      <c r="A4165" t="s">
        <v>5412</v>
      </c>
      <c r="B4165" s="1">
        <v>46057</v>
      </c>
      <c r="C4165" t="s">
        <v>24</v>
      </c>
      <c r="D4165" t="s">
        <v>82</v>
      </c>
      <c r="E4165" t="s">
        <v>26</v>
      </c>
      <c r="F4165" t="s">
        <v>27</v>
      </c>
      <c r="G4165" t="s">
        <v>28</v>
      </c>
      <c r="H4165" t="s">
        <v>29</v>
      </c>
      <c r="I4165" t="s">
        <v>56</v>
      </c>
      <c r="J4165" t="s">
        <v>57</v>
      </c>
      <c r="K4165" t="s">
        <v>78</v>
      </c>
      <c r="L4165" t="s">
        <v>46</v>
      </c>
      <c r="M4165" t="s">
        <v>34</v>
      </c>
      <c r="N4165" t="s">
        <v>69</v>
      </c>
      <c r="O4165" t="s">
        <v>36</v>
      </c>
      <c r="P4165" t="s">
        <v>58</v>
      </c>
      <c r="Q4165" t="s">
        <v>204</v>
      </c>
      <c r="R4165">
        <v>282</v>
      </c>
      <c r="S4165">
        <v>159</v>
      </c>
      <c r="T4165">
        <v>104</v>
      </c>
      <c r="U4165">
        <v>37</v>
      </c>
      <c r="V4165" t="s">
        <v>6374</v>
      </c>
      <c r="W4165">
        <v>46775</v>
      </c>
      <c r="X4165" t="s">
        <v>678</v>
      </c>
      <c r="Y4165">
        <v>36640</v>
      </c>
      <c r="Z4165">
        <v>1730675</v>
      </c>
      <c r="AA4165">
        <v>374995</v>
      </c>
      <c r="AB4165" t="str">
        <f>(VLOOKUP(SalesData[[#This Row],[Month Number]],Reference!C$5:E$16,2,FALSE))</f>
        <v>Feb</v>
      </c>
      <c r="AC4165">
        <f>MONTH(SalesData[[#This Row],[Date]])</f>
        <v>2</v>
      </c>
      <c r="AD4165">
        <f>Reference!F$4</f>
        <v>2026</v>
      </c>
      <c r="AE4165" t="str">
        <f>IF(OR(SalesData[[#This Row],[Day]]="Saturday",SalesData[[#This Row],[Day]]="Sunday"),"Weekend","Weekday")</f>
        <v>Weekday</v>
      </c>
      <c r="AF4165" s="5">
        <f>IF(SalesData[[#This Row],[Contracts Offered]]=0,0,SalesData[[#This Row],[Contracts Signed]]/SalesData[[#This Row],[Contracts Offered]])</f>
        <v>0.35576923076923078</v>
      </c>
      <c r="AG4165" s="5">
        <f>IF(SalesData[[#This Row],[Customers Visited]]=0,0,SalesData[[#This Row],[Test Drives]]/SalesData[[#This Row],[Customers Visited]])</f>
        <v>0.56382978723404253</v>
      </c>
      <c r="AH4165" s="5">
        <f>IF(SalesData[[#This Row],[Customers Visited]]=0,0,SalesData[[#This Row],[Contracts Signed]]/SalesData[[#This Row],[Customers Visited]])</f>
        <v>0.13120567375886524</v>
      </c>
      <c r="AI4165" s="6">
        <f>IF(SalesData[[#This Row],[Contracts Signed]]=0,0,SalesData[[#This Row],[Profit(€)]]/SalesData[[#This Row],[Contracts Signed]])</f>
        <v>10135</v>
      </c>
      <c r="AJ4165" s="5" t="str">
        <f>TRIM(CLEAN(SalesData[[#This Row],[Retailer]]))</f>
        <v>Main Auto Hub</v>
      </c>
    </row>
    <row r="4166" spans="1:36" ht="14.25" hidden="1" x14ac:dyDescent="0.2">
      <c r="A4166" t="s">
        <v>5413</v>
      </c>
      <c r="B4166" s="1">
        <v>46057</v>
      </c>
      <c r="C4166" t="s">
        <v>24</v>
      </c>
      <c r="D4166" t="s">
        <v>82</v>
      </c>
      <c r="E4166" t="s">
        <v>26</v>
      </c>
      <c r="F4166" t="s">
        <v>109</v>
      </c>
      <c r="G4166" t="s">
        <v>110</v>
      </c>
      <c r="H4166" t="s">
        <v>45</v>
      </c>
      <c r="I4166" t="s">
        <v>104</v>
      </c>
      <c r="J4166" t="s">
        <v>105</v>
      </c>
      <c r="K4166" t="s">
        <v>78</v>
      </c>
      <c r="L4166" t="s">
        <v>33</v>
      </c>
      <c r="M4166" t="s">
        <v>87</v>
      </c>
      <c r="N4166" t="s">
        <v>48</v>
      </c>
      <c r="O4166" t="s">
        <v>36</v>
      </c>
      <c r="P4166" t="s">
        <v>37</v>
      </c>
      <c r="Q4166" t="s">
        <v>240</v>
      </c>
      <c r="R4166">
        <v>318</v>
      </c>
      <c r="S4166">
        <v>175</v>
      </c>
      <c r="T4166">
        <v>109</v>
      </c>
      <c r="U4166">
        <v>26</v>
      </c>
      <c r="V4166" t="s">
        <v>1188</v>
      </c>
      <c r="W4166">
        <v>32116</v>
      </c>
      <c r="X4166" t="s">
        <v>735</v>
      </c>
      <c r="Y4166">
        <v>28936</v>
      </c>
      <c r="Z4166">
        <v>835016</v>
      </c>
      <c r="AA4166">
        <v>82680</v>
      </c>
      <c r="AB4166" t="str">
        <f>(VLOOKUP(SalesData[[#This Row],[Month Number]],Reference!C$5:E$16,2,FALSE))</f>
        <v>Feb</v>
      </c>
      <c r="AC4166">
        <f>MONTH(SalesData[[#This Row],[Date]])</f>
        <v>2</v>
      </c>
      <c r="AD4166">
        <f>Reference!F$4</f>
        <v>2026</v>
      </c>
      <c r="AE4166" t="str">
        <f>IF(OR(SalesData[[#This Row],[Day]]="Saturday",SalesData[[#This Row],[Day]]="Sunday"),"Weekend","Weekday")</f>
        <v>Weekday</v>
      </c>
      <c r="AF4166" s="5">
        <f>IF(SalesData[[#This Row],[Contracts Offered]]=0,0,SalesData[[#This Row],[Contracts Signed]]/SalesData[[#This Row],[Contracts Offered]])</f>
        <v>0.23853211009174313</v>
      </c>
      <c r="AG4166" s="5">
        <f>IF(SalesData[[#This Row],[Customers Visited]]=0,0,SalesData[[#This Row],[Test Drives]]/SalesData[[#This Row],[Customers Visited]])</f>
        <v>0.55031446540880502</v>
      </c>
      <c r="AH4166" s="5">
        <f>IF(SalesData[[#This Row],[Customers Visited]]=0,0,SalesData[[#This Row],[Contracts Signed]]/SalesData[[#This Row],[Customers Visited]])</f>
        <v>8.1761006289308172E-2</v>
      </c>
      <c r="AI4166" s="6">
        <f>IF(SalesData[[#This Row],[Contracts Signed]]=0,0,SalesData[[#This Row],[Profit(€)]]/SalesData[[#This Row],[Contracts Signed]])</f>
        <v>3180</v>
      </c>
      <c r="AJ4166" s="5" t="str">
        <f>TRIM(CLEAN(SalesData[[#This Row],[Retailer]]))</f>
        <v>Leipzig Mobility</v>
      </c>
    </row>
    <row r="4167" spans="1:36" ht="14.25" hidden="1" x14ac:dyDescent="0.2">
      <c r="A4167" t="s">
        <v>5414</v>
      </c>
      <c r="B4167" s="1">
        <v>46080</v>
      </c>
      <c r="C4167" t="s">
        <v>53</v>
      </c>
      <c r="D4167" t="s">
        <v>54</v>
      </c>
      <c r="E4167" t="s">
        <v>26</v>
      </c>
      <c r="F4167" t="s">
        <v>27</v>
      </c>
      <c r="G4167" t="s">
        <v>28</v>
      </c>
      <c r="H4167" t="s">
        <v>29</v>
      </c>
      <c r="I4167" t="s">
        <v>104</v>
      </c>
      <c r="J4167" t="s">
        <v>140</v>
      </c>
      <c r="K4167" t="s">
        <v>32</v>
      </c>
      <c r="L4167" t="s">
        <v>46</v>
      </c>
      <c r="M4167" t="s">
        <v>47</v>
      </c>
      <c r="N4167" t="s">
        <v>35</v>
      </c>
      <c r="O4167" t="s">
        <v>36</v>
      </c>
      <c r="P4167" t="s">
        <v>37</v>
      </c>
      <c r="Q4167" t="s">
        <v>135</v>
      </c>
      <c r="R4167">
        <v>462</v>
      </c>
      <c r="S4167">
        <v>250</v>
      </c>
      <c r="T4167">
        <v>171</v>
      </c>
      <c r="U4167">
        <v>36</v>
      </c>
      <c r="V4167" t="s">
        <v>4017</v>
      </c>
      <c r="W4167">
        <v>27781</v>
      </c>
      <c r="X4167" t="s">
        <v>281</v>
      </c>
      <c r="Y4167">
        <v>24384</v>
      </c>
      <c r="Z4167">
        <v>1000116</v>
      </c>
      <c r="AA4167">
        <v>122292</v>
      </c>
      <c r="AB4167" t="str">
        <f>(VLOOKUP(SalesData[[#This Row],[Month Number]],Reference!C$5:E$16,2,FALSE))</f>
        <v>Feb</v>
      </c>
      <c r="AC4167">
        <f>MONTH(SalesData[[#This Row],[Date]])</f>
        <v>2</v>
      </c>
      <c r="AD4167">
        <f>Reference!F$4</f>
        <v>2026</v>
      </c>
      <c r="AE4167" t="str">
        <f>IF(OR(SalesData[[#This Row],[Day]]="Saturday",SalesData[[#This Row],[Day]]="Sunday"),"Weekend","Weekday")</f>
        <v>Weekday</v>
      </c>
      <c r="AF4167" s="5">
        <f>IF(SalesData[[#This Row],[Contracts Offered]]=0,0,SalesData[[#This Row],[Contracts Signed]]/SalesData[[#This Row],[Contracts Offered]])</f>
        <v>0.21052631578947367</v>
      </c>
      <c r="AG4167" s="5">
        <f>IF(SalesData[[#This Row],[Customers Visited]]=0,0,SalesData[[#This Row],[Test Drives]]/SalesData[[#This Row],[Customers Visited]])</f>
        <v>0.54112554112554112</v>
      </c>
      <c r="AH4167" s="5">
        <f>IF(SalesData[[#This Row],[Customers Visited]]=0,0,SalesData[[#This Row],[Contracts Signed]]/SalesData[[#This Row],[Customers Visited]])</f>
        <v>7.792207792207792E-2</v>
      </c>
      <c r="AI4167" s="6">
        <f>IF(SalesData[[#This Row],[Contracts Signed]]=0,0,SalesData[[#This Row],[Profit(€)]]/SalesData[[#This Row],[Contracts Signed]])</f>
        <v>3397</v>
      </c>
      <c r="AJ4167" s="5" t="str">
        <f>TRIM(CLEAN(SalesData[[#This Row],[Retailer]]))</f>
        <v>Main Auto Hub</v>
      </c>
    </row>
    <row r="4168" spans="1:36" ht="14.25" hidden="1" x14ac:dyDescent="0.2">
      <c r="A4168" t="s">
        <v>5415</v>
      </c>
      <c r="B4168" s="1">
        <v>46081</v>
      </c>
      <c r="C4168" t="s">
        <v>53</v>
      </c>
      <c r="D4168" t="s">
        <v>151</v>
      </c>
      <c r="E4168" t="s">
        <v>42</v>
      </c>
      <c r="F4168" t="s">
        <v>127</v>
      </c>
      <c r="G4168" t="s">
        <v>128</v>
      </c>
      <c r="H4168" t="s">
        <v>103</v>
      </c>
      <c r="I4168" t="s">
        <v>116</v>
      </c>
      <c r="J4168" t="s">
        <v>7026</v>
      </c>
      <c r="K4168" t="s">
        <v>66</v>
      </c>
      <c r="L4168" t="s">
        <v>46</v>
      </c>
      <c r="M4168" t="s">
        <v>87</v>
      </c>
      <c r="N4168" t="s">
        <v>35</v>
      </c>
      <c r="O4168" t="s">
        <v>70</v>
      </c>
      <c r="P4168" t="s">
        <v>37</v>
      </c>
      <c r="Q4168" t="s">
        <v>347</v>
      </c>
      <c r="R4168">
        <v>222</v>
      </c>
      <c r="S4168">
        <v>89</v>
      </c>
      <c r="T4168">
        <v>58</v>
      </c>
      <c r="U4168">
        <v>14</v>
      </c>
      <c r="V4168" t="s">
        <v>3410</v>
      </c>
      <c r="W4168">
        <v>21986</v>
      </c>
      <c r="X4168" t="s">
        <v>216</v>
      </c>
      <c r="Y4168">
        <v>19635</v>
      </c>
      <c r="Z4168">
        <v>307804</v>
      </c>
      <c r="AA4168">
        <v>32914</v>
      </c>
      <c r="AB4168" t="str">
        <f>(VLOOKUP(SalesData[[#This Row],[Month Number]],Reference!C$5:E$16,2,FALSE))</f>
        <v>Feb</v>
      </c>
      <c r="AC4168">
        <f>MONTH(SalesData[[#This Row],[Date]])</f>
        <v>2</v>
      </c>
      <c r="AD4168">
        <f>Reference!F$4</f>
        <v>2026</v>
      </c>
      <c r="AE4168" t="str">
        <f>IF(OR(SalesData[[#This Row],[Day]]="Saturday",SalesData[[#This Row],[Day]]="Sunday"),"Weekend","Weekday")</f>
        <v>Weekend</v>
      </c>
      <c r="AF4168" s="5">
        <f>IF(SalesData[[#This Row],[Contracts Offered]]=0,0,SalesData[[#This Row],[Contracts Signed]]/SalesData[[#This Row],[Contracts Offered]])</f>
        <v>0.2413793103448276</v>
      </c>
      <c r="AG4168" s="5">
        <f>IF(SalesData[[#This Row],[Customers Visited]]=0,0,SalesData[[#This Row],[Test Drives]]/SalesData[[#This Row],[Customers Visited]])</f>
        <v>0.40090090090090091</v>
      </c>
      <c r="AH4168" s="5">
        <f>IF(SalesData[[#This Row],[Customers Visited]]=0,0,SalesData[[#This Row],[Contracts Signed]]/SalesData[[#This Row],[Customers Visited]])</f>
        <v>6.3063063063063057E-2</v>
      </c>
      <c r="AI4168" s="6">
        <f>IF(SalesData[[#This Row],[Contracts Signed]]=0,0,SalesData[[#This Row],[Profit(€)]]/SalesData[[#This Row],[Contracts Signed]])</f>
        <v>2351</v>
      </c>
      <c r="AJ4168" s="5" t="str">
        <f>TRIM(CLEAN(SalesData[[#This Row],[Retailer]]))</f>
        <v>Rhein Auto Group</v>
      </c>
    </row>
    <row r="4169" spans="1:36" ht="14.25" hidden="1" x14ac:dyDescent="0.2">
      <c r="A4169" t="s">
        <v>5416</v>
      </c>
      <c r="B4169" s="1">
        <v>46074</v>
      </c>
      <c r="C4169" t="s">
        <v>62</v>
      </c>
      <c r="D4169" t="s">
        <v>151</v>
      </c>
      <c r="E4169" t="s">
        <v>42</v>
      </c>
      <c r="F4169" t="s">
        <v>101</v>
      </c>
      <c r="G4169" t="s">
        <v>102</v>
      </c>
      <c r="H4169" t="s">
        <v>103</v>
      </c>
      <c r="I4169" t="s">
        <v>64</v>
      </c>
      <c r="J4169" t="s">
        <v>65</v>
      </c>
      <c r="K4169" t="s">
        <v>32</v>
      </c>
      <c r="L4169" t="s">
        <v>33</v>
      </c>
      <c r="M4169" t="s">
        <v>47</v>
      </c>
      <c r="N4169" t="s">
        <v>69</v>
      </c>
      <c r="O4169" t="s">
        <v>36</v>
      </c>
      <c r="P4169" t="s">
        <v>58</v>
      </c>
      <c r="Q4169" t="s">
        <v>59</v>
      </c>
      <c r="R4169">
        <v>226</v>
      </c>
      <c r="S4169">
        <v>115</v>
      </c>
      <c r="T4169">
        <v>89</v>
      </c>
      <c r="U4169">
        <v>28</v>
      </c>
      <c r="V4169" t="s">
        <v>6576</v>
      </c>
      <c r="W4169">
        <v>55330</v>
      </c>
      <c r="X4169" t="s">
        <v>7386</v>
      </c>
      <c r="Y4169">
        <v>42138</v>
      </c>
      <c r="Z4169">
        <v>1549240</v>
      </c>
      <c r="AA4169">
        <v>369376</v>
      </c>
      <c r="AB4169" t="str">
        <f>(VLOOKUP(SalesData[[#This Row],[Month Number]],Reference!C$5:E$16,2,FALSE))</f>
        <v>Feb</v>
      </c>
      <c r="AC4169">
        <f>MONTH(SalesData[[#This Row],[Date]])</f>
        <v>2</v>
      </c>
      <c r="AD4169">
        <f>Reference!F$4</f>
        <v>2026</v>
      </c>
      <c r="AE4169" t="str">
        <f>IF(OR(SalesData[[#This Row],[Day]]="Saturday",SalesData[[#This Row],[Day]]="Sunday"),"Weekend","Weekday")</f>
        <v>Weekend</v>
      </c>
      <c r="AF4169" s="5">
        <f>IF(SalesData[[#This Row],[Contracts Offered]]=0,0,SalesData[[#This Row],[Contracts Signed]]/SalesData[[#This Row],[Contracts Offered]])</f>
        <v>0.3146067415730337</v>
      </c>
      <c r="AG4169" s="5">
        <f>IF(SalesData[[#This Row],[Customers Visited]]=0,0,SalesData[[#This Row],[Test Drives]]/SalesData[[#This Row],[Customers Visited]])</f>
        <v>0.50884955752212391</v>
      </c>
      <c r="AH4169" s="5">
        <f>IF(SalesData[[#This Row],[Customers Visited]]=0,0,SalesData[[#This Row],[Contracts Signed]]/SalesData[[#This Row],[Customers Visited]])</f>
        <v>0.12389380530973451</v>
      </c>
      <c r="AI4169" s="6">
        <f>IF(SalesData[[#This Row],[Contracts Signed]]=0,0,SalesData[[#This Row],[Profit(€)]]/SalesData[[#This Row],[Contracts Signed]])</f>
        <v>13192</v>
      </c>
      <c r="AJ4169" s="5" t="str">
        <f>TRIM(CLEAN(SalesData[[#This Row],[Retailer]]))</f>
        <v>Ruhr Auto Plaza</v>
      </c>
    </row>
    <row r="4170" spans="1:36" ht="14.25" hidden="1" x14ac:dyDescent="0.2">
      <c r="A4170" t="s">
        <v>5417</v>
      </c>
      <c r="B4170" s="1">
        <v>46067</v>
      </c>
      <c r="C4170" t="s">
        <v>121</v>
      </c>
      <c r="D4170" t="s">
        <v>151</v>
      </c>
      <c r="E4170" t="s">
        <v>42</v>
      </c>
      <c r="F4170" t="s">
        <v>74</v>
      </c>
      <c r="G4170" t="s">
        <v>75</v>
      </c>
      <c r="H4170" t="s">
        <v>76</v>
      </c>
      <c r="I4170" t="s">
        <v>116</v>
      </c>
      <c r="J4170" t="s">
        <v>117</v>
      </c>
      <c r="K4170" t="s">
        <v>91</v>
      </c>
      <c r="L4170" t="s">
        <v>67</v>
      </c>
      <c r="M4170" t="s">
        <v>87</v>
      </c>
      <c r="N4170" t="s">
        <v>48</v>
      </c>
      <c r="O4170" t="s">
        <v>70</v>
      </c>
      <c r="P4170" t="s">
        <v>58</v>
      </c>
      <c r="Q4170" t="s">
        <v>144</v>
      </c>
      <c r="R4170">
        <v>348</v>
      </c>
      <c r="S4170">
        <v>147</v>
      </c>
      <c r="T4170">
        <v>99</v>
      </c>
      <c r="U4170">
        <v>24</v>
      </c>
      <c r="V4170" t="s">
        <v>2332</v>
      </c>
      <c r="W4170">
        <v>23887</v>
      </c>
      <c r="X4170" t="s">
        <v>392</v>
      </c>
      <c r="Y4170">
        <v>22062</v>
      </c>
      <c r="Z4170">
        <v>573288</v>
      </c>
      <c r="AA4170">
        <v>43800</v>
      </c>
      <c r="AB4170" t="str">
        <f>(VLOOKUP(SalesData[[#This Row],[Month Number]],Reference!C$5:E$16,2,FALSE))</f>
        <v>Feb</v>
      </c>
      <c r="AC4170">
        <f>MONTH(SalesData[[#This Row],[Date]])</f>
        <v>2</v>
      </c>
      <c r="AD4170">
        <f>Reference!F$4</f>
        <v>2026</v>
      </c>
      <c r="AE4170" t="str">
        <f>IF(OR(SalesData[[#This Row],[Day]]="Saturday",SalesData[[#This Row],[Day]]="Sunday"),"Weekend","Weekday")</f>
        <v>Weekend</v>
      </c>
      <c r="AF4170" s="5">
        <f>IF(SalesData[[#This Row],[Contracts Offered]]=0,0,SalesData[[#This Row],[Contracts Signed]]/SalesData[[#This Row],[Contracts Offered]])</f>
        <v>0.24242424242424243</v>
      </c>
      <c r="AG4170" s="5">
        <f>IF(SalesData[[#This Row],[Customers Visited]]=0,0,SalesData[[#This Row],[Test Drives]]/SalesData[[#This Row],[Customers Visited]])</f>
        <v>0.42241379310344829</v>
      </c>
      <c r="AH4170" s="5">
        <f>IF(SalesData[[#This Row],[Customers Visited]]=0,0,SalesData[[#This Row],[Contracts Signed]]/SalesData[[#This Row],[Customers Visited]])</f>
        <v>6.8965517241379309E-2</v>
      </c>
      <c r="AI4170" s="6">
        <f>IF(SalesData[[#This Row],[Contracts Signed]]=0,0,SalesData[[#This Row],[Profit(€)]]/SalesData[[#This Row],[Contracts Signed]])</f>
        <v>1825</v>
      </c>
      <c r="AJ4170" s="5" t="str">
        <f>TRIM(CLEAN(SalesData[[#This Row],[Retailer]]))</f>
        <v>Stuttgart Auto Center</v>
      </c>
    </row>
    <row r="4171" spans="1:36" ht="14.25" hidden="1" x14ac:dyDescent="0.2">
      <c r="A4171" t="s">
        <v>5419</v>
      </c>
      <c r="B4171" s="1">
        <v>46066</v>
      </c>
      <c r="C4171" t="s">
        <v>121</v>
      </c>
      <c r="D4171" t="s">
        <v>54</v>
      </c>
      <c r="E4171" t="s">
        <v>26</v>
      </c>
      <c r="F4171" t="s">
        <v>7649</v>
      </c>
      <c r="G4171" t="s">
        <v>55</v>
      </c>
      <c r="H4171" t="s">
        <v>55</v>
      </c>
      <c r="I4171" t="s">
        <v>64</v>
      </c>
      <c r="J4171" t="s">
        <v>77</v>
      </c>
      <c r="K4171" t="s">
        <v>91</v>
      </c>
      <c r="L4171" t="s">
        <v>46</v>
      </c>
      <c r="M4171" t="s">
        <v>68</v>
      </c>
      <c r="N4171" t="s">
        <v>35</v>
      </c>
      <c r="O4171" t="s">
        <v>70</v>
      </c>
      <c r="P4171" t="s">
        <v>58</v>
      </c>
      <c r="Q4171" t="s">
        <v>189</v>
      </c>
      <c r="R4171">
        <v>237</v>
      </c>
      <c r="S4171">
        <v>117</v>
      </c>
      <c r="T4171">
        <v>83</v>
      </c>
      <c r="U4171">
        <v>34</v>
      </c>
      <c r="V4171" t="s">
        <v>6580</v>
      </c>
      <c r="W4171">
        <v>70079</v>
      </c>
      <c r="X4171" t="s">
        <v>3859</v>
      </c>
      <c r="Y4171">
        <v>53655</v>
      </c>
      <c r="Z4171">
        <v>2382686</v>
      </c>
      <c r="AA4171">
        <v>558416</v>
      </c>
      <c r="AB4171" t="str">
        <f>(VLOOKUP(SalesData[[#This Row],[Month Number]],Reference!C$5:E$16,2,FALSE))</f>
        <v>Feb</v>
      </c>
      <c r="AC4171">
        <f>MONTH(SalesData[[#This Row],[Date]])</f>
        <v>2</v>
      </c>
      <c r="AD4171">
        <f>Reference!F$4</f>
        <v>2026</v>
      </c>
      <c r="AE4171" t="str">
        <f>IF(OR(SalesData[[#This Row],[Day]]="Saturday",SalesData[[#This Row],[Day]]="Sunday"),"Weekend","Weekday")</f>
        <v>Weekday</v>
      </c>
      <c r="AF4171" s="5">
        <f>IF(SalesData[[#This Row],[Contracts Offered]]=0,0,SalesData[[#This Row],[Contracts Signed]]/SalesData[[#This Row],[Contracts Offered]])</f>
        <v>0.40963855421686746</v>
      </c>
      <c r="AG4171" s="5">
        <f>IF(SalesData[[#This Row],[Customers Visited]]=0,0,SalesData[[#This Row],[Test Drives]]/SalesData[[#This Row],[Customers Visited]])</f>
        <v>0.49367088607594939</v>
      </c>
      <c r="AH4171" s="5">
        <f>IF(SalesData[[#This Row],[Customers Visited]]=0,0,SalesData[[#This Row],[Contracts Signed]]/SalesData[[#This Row],[Customers Visited]])</f>
        <v>0.14345991561181434</v>
      </c>
      <c r="AI4171" s="6">
        <f>IF(SalesData[[#This Row],[Contracts Signed]]=0,0,SalesData[[#This Row],[Profit(€)]]/SalesData[[#This Row],[Contracts Signed]])</f>
        <v>16424</v>
      </c>
      <c r="AJ4171" s="5" t="str">
        <f>TRIM(CLEAN(SalesData[[#This Row],[Retailer]]))</f>
        <v>Autohaus Berlin</v>
      </c>
    </row>
    <row r="4172" spans="1:36" ht="14.25" hidden="1" x14ac:dyDescent="0.2">
      <c r="A4172" t="s">
        <v>5420</v>
      </c>
      <c r="B4172" s="1">
        <v>46062</v>
      </c>
      <c r="C4172" t="s">
        <v>121</v>
      </c>
      <c r="D4172" t="s">
        <v>25</v>
      </c>
      <c r="E4172" t="s">
        <v>26</v>
      </c>
      <c r="F4172" t="s">
        <v>83</v>
      </c>
      <c r="G4172" t="s">
        <v>84</v>
      </c>
      <c r="H4172" t="s">
        <v>85</v>
      </c>
      <c r="I4172" t="s">
        <v>56</v>
      </c>
      <c r="J4172" t="s">
        <v>57</v>
      </c>
      <c r="K4172" t="s">
        <v>91</v>
      </c>
      <c r="L4172" t="s">
        <v>46</v>
      </c>
      <c r="M4172" t="s">
        <v>68</v>
      </c>
      <c r="N4172" t="s">
        <v>48</v>
      </c>
      <c r="O4172" t="s">
        <v>70</v>
      </c>
      <c r="P4172" t="s">
        <v>49</v>
      </c>
      <c r="Q4172" t="s">
        <v>50</v>
      </c>
      <c r="R4172">
        <v>213</v>
      </c>
      <c r="S4172">
        <v>103</v>
      </c>
      <c r="T4172">
        <v>76</v>
      </c>
      <c r="U4172">
        <v>20</v>
      </c>
      <c r="V4172" t="s">
        <v>3532</v>
      </c>
      <c r="W4172">
        <v>43969</v>
      </c>
      <c r="X4172" t="s">
        <v>7165</v>
      </c>
      <c r="Y4172">
        <v>34315</v>
      </c>
      <c r="Z4172">
        <v>879380</v>
      </c>
      <c r="AA4172">
        <v>193080</v>
      </c>
      <c r="AB4172" t="str">
        <f>(VLOOKUP(SalesData[[#This Row],[Month Number]],Reference!C$5:E$16,2,FALSE))</f>
        <v>Feb</v>
      </c>
      <c r="AC4172">
        <f>MONTH(SalesData[[#This Row],[Date]])</f>
        <v>2</v>
      </c>
      <c r="AD4172">
        <f>Reference!F$4</f>
        <v>2026</v>
      </c>
      <c r="AE4172" t="str">
        <f>IF(OR(SalesData[[#This Row],[Day]]="Saturday",SalesData[[#This Row],[Day]]="Sunday"),"Weekend","Weekday")</f>
        <v>Weekday</v>
      </c>
      <c r="AF4172" s="5">
        <f>IF(SalesData[[#This Row],[Contracts Offered]]=0,0,SalesData[[#This Row],[Contracts Signed]]/SalesData[[#This Row],[Contracts Offered]])</f>
        <v>0.26315789473684209</v>
      </c>
      <c r="AG4172" s="5">
        <f>IF(SalesData[[#This Row],[Customers Visited]]=0,0,SalesData[[#This Row],[Test Drives]]/SalesData[[#This Row],[Customers Visited]])</f>
        <v>0.48356807511737088</v>
      </c>
      <c r="AH4172" s="5">
        <f>IF(SalesData[[#This Row],[Customers Visited]]=0,0,SalesData[[#This Row],[Contracts Signed]]/SalesData[[#This Row],[Customers Visited]])</f>
        <v>9.3896713615023469E-2</v>
      </c>
      <c r="AI4172" s="6">
        <f>IF(SalesData[[#This Row],[Contracts Signed]]=0,0,SalesData[[#This Row],[Profit(€)]]/SalesData[[#This Row],[Contracts Signed]])</f>
        <v>9654</v>
      </c>
      <c r="AJ4172" s="5" t="str">
        <f>TRIM(CLEAN(SalesData[[#This Row],[Retailer]]))</f>
        <v>Hannover Cars</v>
      </c>
    </row>
    <row r="4173" spans="1:36" ht="14.25" x14ac:dyDescent="0.2">
      <c r="A4173" t="s">
        <v>5421</v>
      </c>
      <c r="B4173" s="1">
        <v>46064</v>
      </c>
      <c r="C4173" t="s">
        <v>121</v>
      </c>
      <c r="D4173" t="s">
        <v>82</v>
      </c>
      <c r="E4173" t="s">
        <v>26</v>
      </c>
      <c r="F4173" t="s">
        <v>83</v>
      </c>
      <c r="G4173" t="s">
        <v>84</v>
      </c>
      <c r="H4173" t="s">
        <v>85</v>
      </c>
      <c r="I4173" t="s">
        <v>30</v>
      </c>
      <c r="J4173" t="s">
        <v>166</v>
      </c>
      <c r="K4173" t="s">
        <v>78</v>
      </c>
      <c r="L4173" t="s">
        <v>46</v>
      </c>
      <c r="M4173" t="s">
        <v>34</v>
      </c>
      <c r="N4173" t="s">
        <v>48</v>
      </c>
      <c r="O4173" t="s">
        <v>36</v>
      </c>
      <c r="P4173" t="s">
        <v>58</v>
      </c>
      <c r="Q4173" t="s">
        <v>189</v>
      </c>
      <c r="R4173">
        <v>205</v>
      </c>
      <c r="S4173">
        <v>114</v>
      </c>
      <c r="T4173">
        <v>87</v>
      </c>
      <c r="U4173">
        <v>33</v>
      </c>
      <c r="V4173" t="s">
        <v>6649</v>
      </c>
      <c r="W4173">
        <v>53005</v>
      </c>
      <c r="X4173" t="s">
        <v>2728</v>
      </c>
      <c r="Y4173">
        <v>39057</v>
      </c>
      <c r="Z4173">
        <v>1749165</v>
      </c>
      <c r="AA4173">
        <v>460284</v>
      </c>
      <c r="AB4173" t="str">
        <f>(VLOOKUP(SalesData[[#This Row],[Month Number]],Reference!C$5:E$16,2,FALSE))</f>
        <v>Feb</v>
      </c>
      <c r="AC4173">
        <f>MONTH(SalesData[[#This Row],[Date]])</f>
        <v>2</v>
      </c>
      <c r="AD4173">
        <f>Reference!F$4</f>
        <v>2026</v>
      </c>
      <c r="AE4173" t="str">
        <f>IF(OR(SalesData[[#This Row],[Day]]="Saturday",SalesData[[#This Row],[Day]]="Sunday"),"Weekend","Weekday")</f>
        <v>Weekday</v>
      </c>
      <c r="AF4173" s="5">
        <f>IF(SalesData[[#This Row],[Contracts Offered]]=0,0,SalesData[[#This Row],[Contracts Signed]]/SalesData[[#This Row],[Contracts Offered]])</f>
        <v>0.37931034482758619</v>
      </c>
      <c r="AG4173" s="5">
        <f>IF(SalesData[[#This Row],[Customers Visited]]=0,0,SalesData[[#This Row],[Test Drives]]/SalesData[[#This Row],[Customers Visited]])</f>
        <v>0.55609756097560981</v>
      </c>
      <c r="AH4173" s="5">
        <f>IF(SalesData[[#This Row],[Customers Visited]]=0,0,SalesData[[#This Row],[Contracts Signed]]/SalesData[[#This Row],[Customers Visited]])</f>
        <v>0.16097560975609757</v>
      </c>
      <c r="AI4173" s="6">
        <f>IF(SalesData[[#This Row],[Contracts Signed]]=0,0,SalesData[[#This Row],[Profit(€)]]/SalesData[[#This Row],[Contracts Signed]])</f>
        <v>13948</v>
      </c>
      <c r="AJ4173" s="5" t="str">
        <f>TRIM(CLEAN(SalesData[[#This Row],[Retailer]]))</f>
        <v>Hannover Cars</v>
      </c>
    </row>
    <row r="4174" spans="1:36" ht="14.25" hidden="1" x14ac:dyDescent="0.2">
      <c r="A4174" t="s">
        <v>5422</v>
      </c>
      <c r="B4174" s="1">
        <v>46054</v>
      </c>
      <c r="C4174" t="s">
        <v>24</v>
      </c>
      <c r="D4174" t="s">
        <v>41</v>
      </c>
      <c r="E4174" t="s">
        <v>42</v>
      </c>
      <c r="F4174" t="s">
        <v>109</v>
      </c>
      <c r="G4174" t="s">
        <v>110</v>
      </c>
      <c r="H4174" t="s">
        <v>45</v>
      </c>
      <c r="I4174" t="s">
        <v>116</v>
      </c>
      <c r="J4174" t="s">
        <v>7026</v>
      </c>
      <c r="K4174" t="s">
        <v>32</v>
      </c>
      <c r="L4174" t="s">
        <v>46</v>
      </c>
      <c r="M4174" t="s">
        <v>87</v>
      </c>
      <c r="N4174" t="s">
        <v>35</v>
      </c>
      <c r="O4174" t="s">
        <v>36</v>
      </c>
      <c r="P4174" t="s">
        <v>49</v>
      </c>
      <c r="Q4174" t="s">
        <v>38</v>
      </c>
      <c r="R4174">
        <v>220</v>
      </c>
      <c r="S4174">
        <v>86</v>
      </c>
      <c r="T4174">
        <v>52</v>
      </c>
      <c r="U4174">
        <v>11</v>
      </c>
      <c r="V4174" t="s">
        <v>1282</v>
      </c>
      <c r="W4174">
        <v>22409</v>
      </c>
      <c r="X4174" t="s">
        <v>5384</v>
      </c>
      <c r="Y4174">
        <v>20415</v>
      </c>
      <c r="Z4174">
        <v>246499</v>
      </c>
      <c r="AA4174">
        <v>21934</v>
      </c>
      <c r="AB4174" t="str">
        <f>(VLOOKUP(SalesData[[#This Row],[Month Number]],Reference!C$5:E$16,2,FALSE))</f>
        <v>Feb</v>
      </c>
      <c r="AC4174">
        <f>MONTH(SalesData[[#This Row],[Date]])</f>
        <v>2</v>
      </c>
      <c r="AD4174">
        <f>Reference!F$4</f>
        <v>2026</v>
      </c>
      <c r="AE4174" t="str">
        <f>IF(OR(SalesData[[#This Row],[Day]]="Saturday",SalesData[[#This Row],[Day]]="Sunday"),"Weekend","Weekday")</f>
        <v>Weekend</v>
      </c>
      <c r="AF4174" s="5">
        <f>IF(SalesData[[#This Row],[Contracts Offered]]=0,0,SalesData[[#This Row],[Contracts Signed]]/SalesData[[#This Row],[Contracts Offered]])</f>
        <v>0.21153846153846154</v>
      </c>
      <c r="AG4174" s="5">
        <f>IF(SalesData[[#This Row],[Customers Visited]]=0,0,SalesData[[#This Row],[Test Drives]]/SalesData[[#This Row],[Customers Visited]])</f>
        <v>0.39090909090909093</v>
      </c>
      <c r="AH4174" s="5">
        <f>IF(SalesData[[#This Row],[Customers Visited]]=0,0,SalesData[[#This Row],[Contracts Signed]]/SalesData[[#This Row],[Customers Visited]])</f>
        <v>0.05</v>
      </c>
      <c r="AI4174" s="6">
        <f>IF(SalesData[[#This Row],[Contracts Signed]]=0,0,SalesData[[#This Row],[Profit(€)]]/SalesData[[#This Row],[Contracts Signed]])</f>
        <v>1994</v>
      </c>
      <c r="AJ4174" s="5" t="str">
        <f>TRIM(CLEAN(SalesData[[#This Row],[Retailer]]))</f>
        <v>Leipzig Mobility</v>
      </c>
    </row>
    <row r="4175" spans="1:36" ht="14.25" hidden="1" x14ac:dyDescent="0.2">
      <c r="A4175" t="s">
        <v>5423</v>
      </c>
      <c r="B4175" s="1">
        <v>46073</v>
      </c>
      <c r="C4175" t="s">
        <v>62</v>
      </c>
      <c r="D4175" t="s">
        <v>54</v>
      </c>
      <c r="E4175" t="s">
        <v>26</v>
      </c>
      <c r="F4175" t="s">
        <v>94</v>
      </c>
      <c r="G4175" t="s">
        <v>95</v>
      </c>
      <c r="H4175" t="s">
        <v>96</v>
      </c>
      <c r="I4175" t="s">
        <v>64</v>
      </c>
      <c r="J4175" t="s">
        <v>111</v>
      </c>
      <c r="K4175" t="s">
        <v>91</v>
      </c>
      <c r="L4175" t="s">
        <v>46</v>
      </c>
      <c r="M4175" t="s">
        <v>87</v>
      </c>
      <c r="N4175" t="s">
        <v>35</v>
      </c>
      <c r="O4175" t="s">
        <v>36</v>
      </c>
      <c r="P4175" t="s">
        <v>71</v>
      </c>
      <c r="Q4175" t="s">
        <v>144</v>
      </c>
      <c r="R4175">
        <v>289</v>
      </c>
      <c r="S4175">
        <v>138</v>
      </c>
      <c r="T4175">
        <v>99</v>
      </c>
      <c r="U4175">
        <v>37</v>
      </c>
      <c r="V4175" t="s">
        <v>6745</v>
      </c>
      <c r="W4175">
        <v>58060</v>
      </c>
      <c r="X4175" t="s">
        <v>7386</v>
      </c>
      <c r="Y4175">
        <v>42968</v>
      </c>
      <c r="Z4175">
        <v>2148220</v>
      </c>
      <c r="AA4175">
        <v>558404</v>
      </c>
      <c r="AB4175" t="str">
        <f>(VLOOKUP(SalesData[[#This Row],[Month Number]],Reference!C$5:E$16,2,FALSE))</f>
        <v>Feb</v>
      </c>
      <c r="AC4175">
        <f>MONTH(SalesData[[#This Row],[Date]])</f>
        <v>2</v>
      </c>
      <c r="AD4175">
        <f>Reference!F$4</f>
        <v>2026</v>
      </c>
      <c r="AE4175" t="str">
        <f>IF(OR(SalesData[[#This Row],[Day]]="Saturday",SalesData[[#This Row],[Day]]="Sunday"),"Weekend","Weekday")</f>
        <v>Weekday</v>
      </c>
      <c r="AF4175" s="5">
        <f>IF(SalesData[[#This Row],[Contracts Offered]]=0,0,SalesData[[#This Row],[Contracts Signed]]/SalesData[[#This Row],[Contracts Offered]])</f>
        <v>0.37373737373737376</v>
      </c>
      <c r="AG4175" s="5">
        <f>IF(SalesData[[#This Row],[Customers Visited]]=0,0,SalesData[[#This Row],[Test Drives]]/SalesData[[#This Row],[Customers Visited]])</f>
        <v>0.47750865051903113</v>
      </c>
      <c r="AH4175" s="5">
        <f>IF(SalesData[[#This Row],[Customers Visited]]=0,0,SalesData[[#This Row],[Contracts Signed]]/SalesData[[#This Row],[Customers Visited]])</f>
        <v>0.12802768166089964</v>
      </c>
      <c r="AI4175" s="6">
        <f>IF(SalesData[[#This Row],[Contracts Signed]]=0,0,SalesData[[#This Row],[Profit(€)]]/SalesData[[#This Row],[Contracts Signed]])</f>
        <v>15092</v>
      </c>
      <c r="AJ4175" s="5" t="str">
        <f>TRIM(CLEAN(SalesData[[#This Row],[Retailer]]))</f>
        <v>Bavaria Motors</v>
      </c>
    </row>
    <row r="4176" spans="1:36" ht="14.25" hidden="1" x14ac:dyDescent="0.2">
      <c r="A4176" t="s">
        <v>5424</v>
      </c>
      <c r="B4176" s="1">
        <v>46070</v>
      </c>
      <c r="C4176" t="s">
        <v>62</v>
      </c>
      <c r="D4176" t="s">
        <v>63</v>
      </c>
      <c r="E4176" t="s">
        <v>26</v>
      </c>
      <c r="F4176" t="s">
        <v>101</v>
      </c>
      <c r="G4176" t="s">
        <v>102</v>
      </c>
      <c r="H4176" t="s">
        <v>103</v>
      </c>
      <c r="I4176" t="s">
        <v>64</v>
      </c>
      <c r="J4176" t="s">
        <v>157</v>
      </c>
      <c r="K4176" t="s">
        <v>78</v>
      </c>
      <c r="L4176" t="s">
        <v>33</v>
      </c>
      <c r="M4176" t="s">
        <v>68</v>
      </c>
      <c r="N4176" t="s">
        <v>69</v>
      </c>
      <c r="O4176" t="s">
        <v>70</v>
      </c>
      <c r="P4176" t="s">
        <v>49</v>
      </c>
      <c r="Q4176" t="s">
        <v>152</v>
      </c>
      <c r="R4176">
        <v>260</v>
      </c>
      <c r="S4176">
        <v>137</v>
      </c>
      <c r="T4176">
        <v>100</v>
      </c>
      <c r="U4176">
        <v>30</v>
      </c>
      <c r="V4176" t="s">
        <v>6926</v>
      </c>
      <c r="W4176">
        <v>69879</v>
      </c>
      <c r="X4176" t="s">
        <v>7229</v>
      </c>
      <c r="Y4176">
        <v>52390</v>
      </c>
      <c r="Z4176">
        <v>2096370</v>
      </c>
      <c r="AA4176">
        <v>524670</v>
      </c>
      <c r="AB4176" t="str">
        <f>(VLOOKUP(SalesData[[#This Row],[Month Number]],Reference!C$5:E$16,2,FALSE))</f>
        <v>Feb</v>
      </c>
      <c r="AC4176">
        <f>MONTH(SalesData[[#This Row],[Date]])</f>
        <v>2</v>
      </c>
      <c r="AD4176">
        <f>Reference!F$4</f>
        <v>2026</v>
      </c>
      <c r="AE4176" t="str">
        <f>IF(OR(SalesData[[#This Row],[Day]]="Saturday",SalesData[[#This Row],[Day]]="Sunday"),"Weekend","Weekday")</f>
        <v>Weekday</v>
      </c>
      <c r="AF4176" s="5">
        <f>IF(SalesData[[#This Row],[Contracts Offered]]=0,0,SalesData[[#This Row],[Contracts Signed]]/SalesData[[#This Row],[Contracts Offered]])</f>
        <v>0.3</v>
      </c>
      <c r="AG4176" s="5">
        <f>IF(SalesData[[#This Row],[Customers Visited]]=0,0,SalesData[[#This Row],[Test Drives]]/SalesData[[#This Row],[Customers Visited]])</f>
        <v>0.52692307692307694</v>
      </c>
      <c r="AH4176" s="5">
        <f>IF(SalesData[[#This Row],[Customers Visited]]=0,0,SalesData[[#This Row],[Contracts Signed]]/SalesData[[#This Row],[Customers Visited]])</f>
        <v>0.11538461538461539</v>
      </c>
      <c r="AI4176" s="6">
        <f>IF(SalesData[[#This Row],[Contracts Signed]]=0,0,SalesData[[#This Row],[Profit(€)]]/SalesData[[#This Row],[Contracts Signed]])</f>
        <v>17489</v>
      </c>
      <c r="AJ4176" s="5" t="str">
        <f>TRIM(CLEAN(SalesData[[#This Row],[Retailer]]))</f>
        <v>Ruhr Auto Plaza</v>
      </c>
    </row>
    <row r="4177" spans="1:36" ht="14.25" hidden="1" x14ac:dyDescent="0.2">
      <c r="A4177" t="s">
        <v>5425</v>
      </c>
      <c r="B4177" s="1">
        <v>46057</v>
      </c>
      <c r="C4177" t="s">
        <v>24</v>
      </c>
      <c r="D4177" t="s">
        <v>82</v>
      </c>
      <c r="E4177" t="s">
        <v>26</v>
      </c>
      <c r="F4177" t="s">
        <v>114</v>
      </c>
      <c r="G4177" t="s">
        <v>115</v>
      </c>
      <c r="H4177" t="s">
        <v>115</v>
      </c>
      <c r="I4177" t="s">
        <v>56</v>
      </c>
      <c r="J4177" t="s">
        <v>7028</v>
      </c>
      <c r="K4177" t="s">
        <v>91</v>
      </c>
      <c r="L4177" t="s">
        <v>46</v>
      </c>
      <c r="M4177" t="s">
        <v>68</v>
      </c>
      <c r="N4177" t="s">
        <v>69</v>
      </c>
      <c r="O4177" t="s">
        <v>70</v>
      </c>
      <c r="P4177" t="s">
        <v>58</v>
      </c>
      <c r="Q4177" t="s">
        <v>50</v>
      </c>
      <c r="R4177">
        <v>257</v>
      </c>
      <c r="S4177">
        <v>118</v>
      </c>
      <c r="T4177">
        <v>87</v>
      </c>
      <c r="U4177">
        <v>31</v>
      </c>
      <c r="V4177" t="s">
        <v>6602</v>
      </c>
      <c r="W4177">
        <v>52525</v>
      </c>
      <c r="X4177" t="s">
        <v>1590</v>
      </c>
      <c r="Y4177">
        <v>42906</v>
      </c>
      <c r="Z4177">
        <v>1628275</v>
      </c>
      <c r="AA4177">
        <v>298189</v>
      </c>
      <c r="AB4177" t="str">
        <f>(VLOOKUP(SalesData[[#This Row],[Month Number]],Reference!C$5:E$16,2,FALSE))</f>
        <v>Feb</v>
      </c>
      <c r="AC4177">
        <f>MONTH(SalesData[[#This Row],[Date]])</f>
        <v>2</v>
      </c>
      <c r="AD4177">
        <f>Reference!F$4</f>
        <v>2026</v>
      </c>
      <c r="AE4177" t="str">
        <f>IF(OR(SalesData[[#This Row],[Day]]="Saturday",SalesData[[#This Row],[Day]]="Sunday"),"Weekend","Weekday")</f>
        <v>Weekday</v>
      </c>
      <c r="AF4177" s="5">
        <f>IF(SalesData[[#This Row],[Contracts Offered]]=0,0,SalesData[[#This Row],[Contracts Signed]]/SalesData[[#This Row],[Contracts Offered]])</f>
        <v>0.35632183908045978</v>
      </c>
      <c r="AG4177" s="5">
        <f>IF(SalesData[[#This Row],[Customers Visited]]=0,0,SalesData[[#This Row],[Test Drives]]/SalesData[[#This Row],[Customers Visited]])</f>
        <v>0.45914396887159531</v>
      </c>
      <c r="AH4177" s="5">
        <f>IF(SalesData[[#This Row],[Customers Visited]]=0,0,SalesData[[#This Row],[Contracts Signed]]/SalesData[[#This Row],[Customers Visited]])</f>
        <v>0.12062256809338522</v>
      </c>
      <c r="AI4177" s="6">
        <f>IF(SalesData[[#This Row],[Contracts Signed]]=0,0,SalesData[[#This Row],[Profit(€)]]/SalesData[[#This Row],[Contracts Signed]])</f>
        <v>9619</v>
      </c>
      <c r="AJ4177" s="5" t="str">
        <f>TRIM(CLEAN(SalesData[[#This Row],[Retailer]]))</f>
        <v>Elbe Drive</v>
      </c>
    </row>
    <row r="4178" spans="1:36" ht="14.25" x14ac:dyDescent="0.2">
      <c r="A4178" t="s">
        <v>5426</v>
      </c>
      <c r="B4178" s="1">
        <v>46059</v>
      </c>
      <c r="C4178" t="s">
        <v>24</v>
      </c>
      <c r="D4178" t="s">
        <v>54</v>
      </c>
      <c r="E4178" t="s">
        <v>26</v>
      </c>
      <c r="F4178" t="s">
        <v>94</v>
      </c>
      <c r="G4178" t="s">
        <v>95</v>
      </c>
      <c r="H4178" t="s">
        <v>96</v>
      </c>
      <c r="I4178" t="s">
        <v>30</v>
      </c>
      <c r="J4178" t="s">
        <v>7075</v>
      </c>
      <c r="K4178" t="s">
        <v>78</v>
      </c>
      <c r="L4178" t="s">
        <v>33</v>
      </c>
      <c r="M4178" t="s">
        <v>87</v>
      </c>
      <c r="N4178" t="s">
        <v>48</v>
      </c>
      <c r="O4178" t="s">
        <v>70</v>
      </c>
      <c r="P4178" t="s">
        <v>71</v>
      </c>
      <c r="Q4178" t="s">
        <v>59</v>
      </c>
      <c r="R4178">
        <v>184</v>
      </c>
      <c r="S4178">
        <v>97</v>
      </c>
      <c r="T4178">
        <v>76</v>
      </c>
      <c r="U4178">
        <v>29</v>
      </c>
      <c r="V4178" t="s">
        <v>7594</v>
      </c>
      <c r="W4178">
        <v>65466</v>
      </c>
      <c r="X4178" t="s">
        <v>7394</v>
      </c>
      <c r="Y4178">
        <v>48202</v>
      </c>
      <c r="Z4178">
        <v>1898514</v>
      </c>
      <c r="AA4178">
        <v>500656</v>
      </c>
      <c r="AB4178" t="str">
        <f>(VLOOKUP(SalesData[[#This Row],[Month Number]],Reference!C$5:E$16,2,FALSE))</f>
        <v>Feb</v>
      </c>
      <c r="AC4178">
        <f>MONTH(SalesData[[#This Row],[Date]])</f>
        <v>2</v>
      </c>
      <c r="AD4178">
        <f>Reference!F$4</f>
        <v>2026</v>
      </c>
      <c r="AE4178" t="str">
        <f>IF(OR(SalesData[[#This Row],[Day]]="Saturday",SalesData[[#This Row],[Day]]="Sunday"),"Weekend","Weekday")</f>
        <v>Weekday</v>
      </c>
      <c r="AF4178" s="5">
        <f>IF(SalesData[[#This Row],[Contracts Offered]]=0,0,SalesData[[#This Row],[Contracts Signed]]/SalesData[[#This Row],[Contracts Offered]])</f>
        <v>0.38157894736842107</v>
      </c>
      <c r="AG4178" s="5">
        <f>IF(SalesData[[#This Row],[Customers Visited]]=0,0,SalesData[[#This Row],[Test Drives]]/SalesData[[#This Row],[Customers Visited]])</f>
        <v>0.52717391304347827</v>
      </c>
      <c r="AH4178" s="5">
        <f>IF(SalesData[[#This Row],[Customers Visited]]=0,0,SalesData[[#This Row],[Contracts Signed]]/SalesData[[#This Row],[Customers Visited]])</f>
        <v>0.15760869565217392</v>
      </c>
      <c r="AI4178" s="6">
        <f>IF(SalesData[[#This Row],[Contracts Signed]]=0,0,SalesData[[#This Row],[Profit(€)]]/SalesData[[#This Row],[Contracts Signed]])</f>
        <v>17264</v>
      </c>
      <c r="AJ4178" s="5" t="str">
        <f>TRIM(CLEAN(SalesData[[#This Row],[Retailer]]))</f>
        <v>Bavaria Motors</v>
      </c>
    </row>
    <row r="4179" spans="1:36" ht="14.25" hidden="1" x14ac:dyDescent="0.2">
      <c r="A4179" t="s">
        <v>5427</v>
      </c>
      <c r="B4179" s="1">
        <v>46067</v>
      </c>
      <c r="C4179" t="s">
        <v>121</v>
      </c>
      <c r="D4179" t="s">
        <v>151</v>
      </c>
      <c r="E4179" t="s">
        <v>42</v>
      </c>
      <c r="F4179" t="s">
        <v>74</v>
      </c>
      <c r="G4179" t="s">
        <v>75</v>
      </c>
      <c r="H4179" t="s">
        <v>76</v>
      </c>
      <c r="I4179" t="s">
        <v>64</v>
      </c>
      <c r="J4179" t="s">
        <v>111</v>
      </c>
      <c r="K4179" t="s">
        <v>91</v>
      </c>
      <c r="L4179" t="s">
        <v>46</v>
      </c>
      <c r="M4179" t="s">
        <v>34</v>
      </c>
      <c r="N4179" t="s">
        <v>35</v>
      </c>
      <c r="O4179" t="s">
        <v>36</v>
      </c>
      <c r="P4179" t="s">
        <v>58</v>
      </c>
      <c r="Q4179" t="s">
        <v>240</v>
      </c>
      <c r="R4179">
        <v>210</v>
      </c>
      <c r="S4179">
        <v>115</v>
      </c>
      <c r="T4179">
        <v>87</v>
      </c>
      <c r="U4179">
        <v>34</v>
      </c>
      <c r="V4179" t="s">
        <v>6656</v>
      </c>
      <c r="W4179">
        <v>57872</v>
      </c>
      <c r="X4179" t="s">
        <v>702</v>
      </c>
      <c r="Y4179">
        <v>43557</v>
      </c>
      <c r="Z4179">
        <v>1967648</v>
      </c>
      <c r="AA4179">
        <v>486710</v>
      </c>
      <c r="AB4179" t="str">
        <f>(VLOOKUP(SalesData[[#This Row],[Month Number]],Reference!C$5:E$16,2,FALSE))</f>
        <v>Feb</v>
      </c>
      <c r="AC4179">
        <f>MONTH(SalesData[[#This Row],[Date]])</f>
        <v>2</v>
      </c>
      <c r="AD4179">
        <f>Reference!F$4</f>
        <v>2026</v>
      </c>
      <c r="AE4179" t="str">
        <f>IF(OR(SalesData[[#This Row],[Day]]="Saturday",SalesData[[#This Row],[Day]]="Sunday"),"Weekend","Weekday")</f>
        <v>Weekend</v>
      </c>
      <c r="AF4179" s="5">
        <f>IF(SalesData[[#This Row],[Contracts Offered]]=0,0,SalesData[[#This Row],[Contracts Signed]]/SalesData[[#This Row],[Contracts Offered]])</f>
        <v>0.39080459770114945</v>
      </c>
      <c r="AG4179" s="5">
        <f>IF(SalesData[[#This Row],[Customers Visited]]=0,0,SalesData[[#This Row],[Test Drives]]/SalesData[[#This Row],[Customers Visited]])</f>
        <v>0.54761904761904767</v>
      </c>
      <c r="AH4179" s="5">
        <f>IF(SalesData[[#This Row],[Customers Visited]]=0,0,SalesData[[#This Row],[Contracts Signed]]/SalesData[[#This Row],[Customers Visited]])</f>
        <v>0.16190476190476191</v>
      </c>
      <c r="AI4179" s="6">
        <f>IF(SalesData[[#This Row],[Contracts Signed]]=0,0,SalesData[[#This Row],[Profit(€)]]/SalesData[[#This Row],[Contracts Signed]])</f>
        <v>14315</v>
      </c>
      <c r="AJ4179" s="5" t="str">
        <f>TRIM(CLEAN(SalesData[[#This Row],[Retailer]]))</f>
        <v>Stuttgart Auto Center</v>
      </c>
    </row>
    <row r="4180" spans="1:36" ht="14.25" hidden="1" x14ac:dyDescent="0.2">
      <c r="A4180" t="s">
        <v>5428</v>
      </c>
      <c r="B4180" s="1">
        <v>46057</v>
      </c>
      <c r="C4180" t="s">
        <v>24</v>
      </c>
      <c r="D4180" t="s">
        <v>82</v>
      </c>
      <c r="E4180" t="s">
        <v>26</v>
      </c>
      <c r="F4180" t="s">
        <v>27</v>
      </c>
      <c r="G4180" t="s">
        <v>28</v>
      </c>
      <c r="H4180" t="s">
        <v>29</v>
      </c>
      <c r="I4180" t="s">
        <v>116</v>
      </c>
      <c r="J4180" t="s">
        <v>117</v>
      </c>
      <c r="K4180" t="s">
        <v>78</v>
      </c>
      <c r="L4180" t="s">
        <v>67</v>
      </c>
      <c r="M4180" t="s">
        <v>87</v>
      </c>
      <c r="N4180" t="s">
        <v>35</v>
      </c>
      <c r="O4180" t="s">
        <v>70</v>
      </c>
      <c r="P4180" t="s">
        <v>71</v>
      </c>
      <c r="Q4180" t="s">
        <v>59</v>
      </c>
      <c r="R4180">
        <v>336</v>
      </c>
      <c r="S4180">
        <v>182</v>
      </c>
      <c r="T4180">
        <v>102</v>
      </c>
      <c r="U4180">
        <v>28</v>
      </c>
      <c r="V4180" t="s">
        <v>1109</v>
      </c>
      <c r="W4180">
        <v>25142</v>
      </c>
      <c r="X4180" t="s">
        <v>1789</v>
      </c>
      <c r="Y4180">
        <v>23009</v>
      </c>
      <c r="Z4180">
        <v>703976</v>
      </c>
      <c r="AA4180">
        <v>59724</v>
      </c>
      <c r="AB4180" t="str">
        <f>(VLOOKUP(SalesData[[#This Row],[Month Number]],Reference!C$5:E$16,2,FALSE))</f>
        <v>Feb</v>
      </c>
      <c r="AC4180">
        <f>MONTH(SalesData[[#This Row],[Date]])</f>
        <v>2</v>
      </c>
      <c r="AD4180">
        <f>Reference!F$4</f>
        <v>2026</v>
      </c>
      <c r="AE4180" t="str">
        <f>IF(OR(SalesData[[#This Row],[Day]]="Saturday",SalesData[[#This Row],[Day]]="Sunday"),"Weekend","Weekday")</f>
        <v>Weekday</v>
      </c>
      <c r="AF4180" s="5">
        <f>IF(SalesData[[#This Row],[Contracts Offered]]=0,0,SalesData[[#This Row],[Contracts Signed]]/SalesData[[#This Row],[Contracts Offered]])</f>
        <v>0.27450980392156865</v>
      </c>
      <c r="AG4180" s="5">
        <f>IF(SalesData[[#This Row],[Customers Visited]]=0,0,SalesData[[#This Row],[Test Drives]]/SalesData[[#This Row],[Customers Visited]])</f>
        <v>0.54166666666666663</v>
      </c>
      <c r="AH4180" s="5">
        <f>IF(SalesData[[#This Row],[Customers Visited]]=0,0,SalesData[[#This Row],[Contracts Signed]]/SalesData[[#This Row],[Customers Visited]])</f>
        <v>8.3333333333333329E-2</v>
      </c>
      <c r="AI4180" s="6">
        <f>IF(SalesData[[#This Row],[Contracts Signed]]=0,0,SalesData[[#This Row],[Profit(€)]]/SalesData[[#This Row],[Contracts Signed]])</f>
        <v>2133</v>
      </c>
      <c r="AJ4180" s="5" t="str">
        <f>TRIM(CLEAN(SalesData[[#This Row],[Retailer]]))</f>
        <v>Main Auto Hub</v>
      </c>
    </row>
    <row r="4181" spans="1:36" ht="14.25" hidden="1" x14ac:dyDescent="0.2">
      <c r="A4181" t="s">
        <v>5429</v>
      </c>
      <c r="B4181" s="1">
        <v>46067</v>
      </c>
      <c r="C4181" t="s">
        <v>121</v>
      </c>
      <c r="D4181" t="s">
        <v>151</v>
      </c>
      <c r="E4181" t="s">
        <v>42</v>
      </c>
      <c r="F4181" t="s">
        <v>109</v>
      </c>
      <c r="G4181" t="s">
        <v>110</v>
      </c>
      <c r="H4181" t="s">
        <v>45</v>
      </c>
      <c r="I4181" t="s">
        <v>64</v>
      </c>
      <c r="J4181" t="s">
        <v>65</v>
      </c>
      <c r="K4181" t="s">
        <v>78</v>
      </c>
      <c r="L4181" t="s">
        <v>33</v>
      </c>
      <c r="M4181" t="s">
        <v>87</v>
      </c>
      <c r="N4181" t="s">
        <v>69</v>
      </c>
      <c r="O4181" t="s">
        <v>70</v>
      </c>
      <c r="P4181" t="s">
        <v>49</v>
      </c>
      <c r="Q4181" t="s">
        <v>204</v>
      </c>
      <c r="R4181">
        <v>153</v>
      </c>
      <c r="S4181">
        <v>81</v>
      </c>
      <c r="T4181">
        <v>54</v>
      </c>
      <c r="U4181">
        <v>17</v>
      </c>
      <c r="V4181" t="s">
        <v>6747</v>
      </c>
      <c r="W4181">
        <v>57956</v>
      </c>
      <c r="X4181" t="s">
        <v>7453</v>
      </c>
      <c r="Y4181">
        <v>45015</v>
      </c>
      <c r="Z4181">
        <v>985252</v>
      </c>
      <c r="AA4181">
        <v>219997</v>
      </c>
      <c r="AB4181" t="str">
        <f>(VLOOKUP(SalesData[[#This Row],[Month Number]],Reference!C$5:E$16,2,FALSE))</f>
        <v>Feb</v>
      </c>
      <c r="AC4181">
        <f>MONTH(SalesData[[#This Row],[Date]])</f>
        <v>2</v>
      </c>
      <c r="AD4181">
        <f>Reference!F$4</f>
        <v>2026</v>
      </c>
      <c r="AE4181" t="str">
        <f>IF(OR(SalesData[[#This Row],[Day]]="Saturday",SalesData[[#This Row],[Day]]="Sunday"),"Weekend","Weekday")</f>
        <v>Weekend</v>
      </c>
      <c r="AF4181" s="5">
        <f>IF(SalesData[[#This Row],[Contracts Offered]]=0,0,SalesData[[#This Row],[Contracts Signed]]/SalesData[[#This Row],[Contracts Offered]])</f>
        <v>0.31481481481481483</v>
      </c>
      <c r="AG4181" s="5">
        <f>IF(SalesData[[#This Row],[Customers Visited]]=0,0,SalesData[[#This Row],[Test Drives]]/SalesData[[#This Row],[Customers Visited]])</f>
        <v>0.52941176470588236</v>
      </c>
      <c r="AH4181" s="5">
        <f>IF(SalesData[[#This Row],[Customers Visited]]=0,0,SalesData[[#This Row],[Contracts Signed]]/SalesData[[#This Row],[Customers Visited]])</f>
        <v>0.1111111111111111</v>
      </c>
      <c r="AI4181" s="6">
        <f>IF(SalesData[[#This Row],[Contracts Signed]]=0,0,SalesData[[#This Row],[Profit(€)]]/SalesData[[#This Row],[Contracts Signed]])</f>
        <v>12941</v>
      </c>
      <c r="AJ4181" s="5" t="str">
        <f>TRIM(CLEAN(SalesData[[#This Row],[Retailer]]))</f>
        <v>Leipzig Mobility</v>
      </c>
    </row>
    <row r="4182" spans="1:36" ht="14.25" hidden="1" x14ac:dyDescent="0.2">
      <c r="A4182" t="s">
        <v>5430</v>
      </c>
      <c r="B4182" s="1">
        <v>46065</v>
      </c>
      <c r="C4182" t="s">
        <v>121</v>
      </c>
      <c r="D4182" t="s">
        <v>100</v>
      </c>
      <c r="E4182" t="s">
        <v>26</v>
      </c>
      <c r="F4182" t="s">
        <v>127</v>
      </c>
      <c r="G4182" t="s">
        <v>128</v>
      </c>
      <c r="H4182" t="s">
        <v>103</v>
      </c>
      <c r="I4182" t="s">
        <v>56</v>
      </c>
      <c r="J4182" t="s">
        <v>179</v>
      </c>
      <c r="K4182" t="s">
        <v>91</v>
      </c>
      <c r="L4182" t="s">
        <v>67</v>
      </c>
      <c r="M4182" t="s">
        <v>87</v>
      </c>
      <c r="N4182" t="s">
        <v>48</v>
      </c>
      <c r="O4182" t="s">
        <v>36</v>
      </c>
      <c r="P4182" t="s">
        <v>49</v>
      </c>
      <c r="Q4182" t="s">
        <v>38</v>
      </c>
      <c r="R4182">
        <v>281</v>
      </c>
      <c r="S4182">
        <v>160</v>
      </c>
      <c r="T4182">
        <v>120</v>
      </c>
      <c r="U4182">
        <v>32</v>
      </c>
      <c r="V4182" t="s">
        <v>6410</v>
      </c>
      <c r="W4182">
        <v>54328</v>
      </c>
      <c r="X4182" t="s">
        <v>7116</v>
      </c>
      <c r="Y4182">
        <v>43359</v>
      </c>
      <c r="Z4182">
        <v>1738496</v>
      </c>
      <c r="AA4182">
        <v>351008</v>
      </c>
      <c r="AB4182" t="str">
        <f>(VLOOKUP(SalesData[[#This Row],[Month Number]],Reference!C$5:E$16,2,FALSE))</f>
        <v>Feb</v>
      </c>
      <c r="AC4182">
        <f>MONTH(SalesData[[#This Row],[Date]])</f>
        <v>2</v>
      </c>
      <c r="AD4182">
        <f>Reference!F$4</f>
        <v>2026</v>
      </c>
      <c r="AE4182" t="str">
        <f>IF(OR(SalesData[[#This Row],[Day]]="Saturday",SalesData[[#This Row],[Day]]="Sunday"),"Weekend","Weekday")</f>
        <v>Weekday</v>
      </c>
      <c r="AF4182" s="5">
        <f>IF(SalesData[[#This Row],[Contracts Offered]]=0,0,SalesData[[#This Row],[Contracts Signed]]/SalesData[[#This Row],[Contracts Offered]])</f>
        <v>0.26666666666666666</v>
      </c>
      <c r="AG4182" s="5">
        <f>IF(SalesData[[#This Row],[Customers Visited]]=0,0,SalesData[[#This Row],[Test Drives]]/SalesData[[#This Row],[Customers Visited]])</f>
        <v>0.56939501779359436</v>
      </c>
      <c r="AH4182" s="5">
        <f>IF(SalesData[[#This Row],[Customers Visited]]=0,0,SalesData[[#This Row],[Contracts Signed]]/SalesData[[#This Row],[Customers Visited]])</f>
        <v>0.11387900355871886</v>
      </c>
      <c r="AI4182" s="6">
        <f>IF(SalesData[[#This Row],[Contracts Signed]]=0,0,SalesData[[#This Row],[Profit(€)]]/SalesData[[#This Row],[Contracts Signed]])</f>
        <v>10969</v>
      </c>
      <c r="AJ4182" s="5" t="str">
        <f>TRIM(CLEAN(SalesData[[#This Row],[Retailer]]))</f>
        <v>Rhein Auto Group</v>
      </c>
    </row>
    <row r="4183" spans="1:36" ht="14.25" hidden="1" x14ac:dyDescent="0.2">
      <c r="A4183" t="s">
        <v>5431</v>
      </c>
      <c r="B4183" s="1">
        <v>46064</v>
      </c>
      <c r="C4183" t="s">
        <v>121</v>
      </c>
      <c r="D4183" t="s">
        <v>82</v>
      </c>
      <c r="E4183" t="s">
        <v>26</v>
      </c>
      <c r="F4183" t="s">
        <v>43</v>
      </c>
      <c r="G4183" t="s">
        <v>44</v>
      </c>
      <c r="H4183" t="s">
        <v>45</v>
      </c>
      <c r="I4183" t="s">
        <v>104</v>
      </c>
      <c r="J4183" t="s">
        <v>143</v>
      </c>
      <c r="K4183" t="s">
        <v>32</v>
      </c>
      <c r="L4183" t="s">
        <v>67</v>
      </c>
      <c r="M4183" t="s">
        <v>34</v>
      </c>
      <c r="N4183" t="s">
        <v>35</v>
      </c>
      <c r="O4183" t="s">
        <v>36</v>
      </c>
      <c r="P4183" t="s">
        <v>49</v>
      </c>
      <c r="Q4183" t="s">
        <v>122</v>
      </c>
      <c r="R4183">
        <v>426</v>
      </c>
      <c r="S4183">
        <v>178</v>
      </c>
      <c r="T4183">
        <v>112</v>
      </c>
      <c r="U4183">
        <v>29</v>
      </c>
      <c r="V4183" t="s">
        <v>3740</v>
      </c>
      <c r="W4183">
        <v>32522</v>
      </c>
      <c r="X4183" t="s">
        <v>3399</v>
      </c>
      <c r="Y4183">
        <v>29061</v>
      </c>
      <c r="Z4183">
        <v>943138</v>
      </c>
      <c r="AA4183">
        <v>100369</v>
      </c>
      <c r="AB4183" t="str">
        <f>(VLOOKUP(SalesData[[#This Row],[Month Number]],Reference!C$5:E$16,2,FALSE))</f>
        <v>Feb</v>
      </c>
      <c r="AC4183">
        <f>MONTH(SalesData[[#This Row],[Date]])</f>
        <v>2</v>
      </c>
      <c r="AD4183">
        <f>Reference!F$4</f>
        <v>2026</v>
      </c>
      <c r="AE4183" t="str">
        <f>IF(OR(SalesData[[#This Row],[Day]]="Saturday",SalesData[[#This Row],[Day]]="Sunday"),"Weekend","Weekday")</f>
        <v>Weekday</v>
      </c>
      <c r="AF4183" s="5">
        <f>IF(SalesData[[#This Row],[Contracts Offered]]=0,0,SalesData[[#This Row],[Contracts Signed]]/SalesData[[#This Row],[Contracts Offered]])</f>
        <v>0.25892857142857145</v>
      </c>
      <c r="AG4183" s="5">
        <f>IF(SalesData[[#This Row],[Customers Visited]]=0,0,SalesData[[#This Row],[Test Drives]]/SalesData[[#This Row],[Customers Visited]])</f>
        <v>0.41784037558685444</v>
      </c>
      <c r="AH4183" s="5">
        <f>IF(SalesData[[#This Row],[Customers Visited]]=0,0,SalesData[[#This Row],[Contracts Signed]]/SalesData[[#This Row],[Customers Visited]])</f>
        <v>6.8075117370892016E-2</v>
      </c>
      <c r="AI4183" s="6">
        <f>IF(SalesData[[#This Row],[Contracts Signed]]=0,0,SalesData[[#This Row],[Profit(€)]]/SalesData[[#This Row],[Contracts Signed]])</f>
        <v>3461</v>
      </c>
      <c r="AJ4183" s="5" t="str">
        <f>TRIM(CLEAN(SalesData[[#This Row],[Retailer]]))</f>
        <v>Saxon Wheels</v>
      </c>
    </row>
    <row r="4184" spans="1:36" ht="14.25" x14ac:dyDescent="0.2">
      <c r="A4184" t="s">
        <v>5432</v>
      </c>
      <c r="B4184" s="1">
        <v>46060</v>
      </c>
      <c r="C4184" t="s">
        <v>24</v>
      </c>
      <c r="D4184" t="s">
        <v>151</v>
      </c>
      <c r="E4184" t="s">
        <v>42</v>
      </c>
      <c r="F4184" t="s">
        <v>94</v>
      </c>
      <c r="G4184" t="s">
        <v>95</v>
      </c>
      <c r="H4184" t="s">
        <v>96</v>
      </c>
      <c r="I4184" t="s">
        <v>30</v>
      </c>
      <c r="J4184" t="s">
        <v>166</v>
      </c>
      <c r="K4184" t="s">
        <v>66</v>
      </c>
      <c r="L4184" t="s">
        <v>46</v>
      </c>
      <c r="M4184" t="s">
        <v>47</v>
      </c>
      <c r="N4184" t="s">
        <v>35</v>
      </c>
      <c r="O4184" t="s">
        <v>36</v>
      </c>
      <c r="P4184" t="s">
        <v>37</v>
      </c>
      <c r="Q4184" t="s">
        <v>347</v>
      </c>
      <c r="R4184">
        <v>197</v>
      </c>
      <c r="S4184">
        <v>119</v>
      </c>
      <c r="T4184">
        <v>87</v>
      </c>
      <c r="U4184">
        <v>34</v>
      </c>
      <c r="V4184" t="s">
        <v>6357</v>
      </c>
      <c r="W4184">
        <v>58964</v>
      </c>
      <c r="X4184" t="s">
        <v>1937</v>
      </c>
      <c r="Y4184">
        <v>41726</v>
      </c>
      <c r="Z4184">
        <v>2004776</v>
      </c>
      <c r="AA4184">
        <v>586092</v>
      </c>
      <c r="AB4184" t="str">
        <f>(VLOOKUP(SalesData[[#This Row],[Month Number]],Reference!C$5:E$16,2,FALSE))</f>
        <v>Feb</v>
      </c>
      <c r="AC4184">
        <f>MONTH(SalesData[[#This Row],[Date]])</f>
        <v>2</v>
      </c>
      <c r="AD4184">
        <f>Reference!F$4</f>
        <v>2026</v>
      </c>
      <c r="AE4184" t="str">
        <f>IF(OR(SalesData[[#This Row],[Day]]="Saturday",SalesData[[#This Row],[Day]]="Sunday"),"Weekend","Weekday")</f>
        <v>Weekend</v>
      </c>
      <c r="AF4184" s="5">
        <f>IF(SalesData[[#This Row],[Contracts Offered]]=0,0,SalesData[[#This Row],[Contracts Signed]]/SalesData[[#This Row],[Contracts Offered]])</f>
        <v>0.39080459770114945</v>
      </c>
      <c r="AG4184" s="5">
        <f>IF(SalesData[[#This Row],[Customers Visited]]=0,0,SalesData[[#This Row],[Test Drives]]/SalesData[[#This Row],[Customers Visited]])</f>
        <v>0.60406091370558379</v>
      </c>
      <c r="AH4184" s="5">
        <f>IF(SalesData[[#This Row],[Customers Visited]]=0,0,SalesData[[#This Row],[Contracts Signed]]/SalesData[[#This Row],[Customers Visited]])</f>
        <v>0.17258883248730963</v>
      </c>
      <c r="AI4184" s="6">
        <f>IF(SalesData[[#This Row],[Contracts Signed]]=0,0,SalesData[[#This Row],[Profit(€)]]/SalesData[[#This Row],[Contracts Signed]])</f>
        <v>17238</v>
      </c>
      <c r="AJ4184" s="5" t="str">
        <f>TRIM(CLEAN(SalesData[[#This Row],[Retailer]]))</f>
        <v>Bavaria Motors</v>
      </c>
    </row>
    <row r="4185" spans="1:36" ht="14.25" x14ac:dyDescent="0.2">
      <c r="A4185" t="s">
        <v>5433</v>
      </c>
      <c r="B4185" s="1">
        <v>46081</v>
      </c>
      <c r="C4185" t="s">
        <v>53</v>
      </c>
      <c r="D4185" t="s">
        <v>151</v>
      </c>
      <c r="E4185" t="s">
        <v>42</v>
      </c>
      <c r="F4185" t="s">
        <v>74</v>
      </c>
      <c r="G4185" t="s">
        <v>75</v>
      </c>
      <c r="H4185" t="s">
        <v>76</v>
      </c>
      <c r="I4185" t="s">
        <v>30</v>
      </c>
      <c r="J4185" t="s">
        <v>166</v>
      </c>
      <c r="K4185" t="s">
        <v>66</v>
      </c>
      <c r="L4185" t="s">
        <v>46</v>
      </c>
      <c r="M4185" t="s">
        <v>68</v>
      </c>
      <c r="N4185" t="s">
        <v>48</v>
      </c>
      <c r="O4185" t="s">
        <v>36</v>
      </c>
      <c r="P4185" t="s">
        <v>49</v>
      </c>
      <c r="Q4185" t="s">
        <v>135</v>
      </c>
      <c r="R4185">
        <v>143</v>
      </c>
      <c r="S4185">
        <v>85</v>
      </c>
      <c r="T4185">
        <v>60</v>
      </c>
      <c r="U4185">
        <v>24</v>
      </c>
      <c r="V4185" t="s">
        <v>6836</v>
      </c>
      <c r="W4185">
        <v>58181</v>
      </c>
      <c r="X4185" t="s">
        <v>3045</v>
      </c>
      <c r="Y4185">
        <v>40878</v>
      </c>
      <c r="Z4185">
        <v>1396344</v>
      </c>
      <c r="AA4185">
        <v>415272</v>
      </c>
      <c r="AB4185" t="str">
        <f>(VLOOKUP(SalesData[[#This Row],[Month Number]],Reference!C$5:E$16,2,FALSE))</f>
        <v>Feb</v>
      </c>
      <c r="AC4185">
        <f>MONTH(SalesData[[#This Row],[Date]])</f>
        <v>2</v>
      </c>
      <c r="AD4185">
        <f>Reference!F$4</f>
        <v>2026</v>
      </c>
      <c r="AE4185" t="str">
        <f>IF(OR(SalesData[[#This Row],[Day]]="Saturday",SalesData[[#This Row],[Day]]="Sunday"),"Weekend","Weekday")</f>
        <v>Weekend</v>
      </c>
      <c r="AF4185" s="5">
        <f>IF(SalesData[[#This Row],[Contracts Offered]]=0,0,SalesData[[#This Row],[Contracts Signed]]/SalesData[[#This Row],[Contracts Offered]])</f>
        <v>0.4</v>
      </c>
      <c r="AG4185" s="5">
        <f>IF(SalesData[[#This Row],[Customers Visited]]=0,0,SalesData[[#This Row],[Test Drives]]/SalesData[[#This Row],[Customers Visited]])</f>
        <v>0.59440559440559437</v>
      </c>
      <c r="AH4185" s="5">
        <f>IF(SalesData[[#This Row],[Customers Visited]]=0,0,SalesData[[#This Row],[Contracts Signed]]/SalesData[[#This Row],[Customers Visited]])</f>
        <v>0.16783216783216784</v>
      </c>
      <c r="AI4185" s="6">
        <f>IF(SalesData[[#This Row],[Contracts Signed]]=0,0,SalesData[[#This Row],[Profit(€)]]/SalesData[[#This Row],[Contracts Signed]])</f>
        <v>17303</v>
      </c>
      <c r="AJ4185" s="5" t="str">
        <f>TRIM(CLEAN(SalesData[[#This Row],[Retailer]]))</f>
        <v>Stuttgart Auto Center</v>
      </c>
    </row>
    <row r="4186" spans="1:36" ht="14.25" hidden="1" x14ac:dyDescent="0.2">
      <c r="A4186" t="s">
        <v>5434</v>
      </c>
      <c r="B4186" s="1">
        <v>46055</v>
      </c>
      <c r="C4186" t="s">
        <v>24</v>
      </c>
      <c r="D4186" t="s">
        <v>25</v>
      </c>
      <c r="E4186" t="s">
        <v>26</v>
      </c>
      <c r="F4186" t="s">
        <v>114</v>
      </c>
      <c r="G4186" t="s">
        <v>115</v>
      </c>
      <c r="H4186" t="s">
        <v>115</v>
      </c>
      <c r="I4186" t="s">
        <v>104</v>
      </c>
      <c r="J4186" t="s">
        <v>7031</v>
      </c>
      <c r="K4186" t="s">
        <v>66</v>
      </c>
      <c r="L4186" t="s">
        <v>46</v>
      </c>
      <c r="M4186" t="s">
        <v>68</v>
      </c>
      <c r="N4186" t="s">
        <v>35</v>
      </c>
      <c r="O4186" t="s">
        <v>36</v>
      </c>
      <c r="P4186" t="s">
        <v>49</v>
      </c>
      <c r="Q4186" t="s">
        <v>106</v>
      </c>
      <c r="R4186">
        <v>388</v>
      </c>
      <c r="S4186">
        <v>206</v>
      </c>
      <c r="T4186">
        <v>146</v>
      </c>
      <c r="U4186">
        <v>32</v>
      </c>
      <c r="V4186" t="s">
        <v>2464</v>
      </c>
      <c r="W4186">
        <v>31994</v>
      </c>
      <c r="X4186" t="s">
        <v>1943</v>
      </c>
      <c r="Y4186">
        <v>27824</v>
      </c>
      <c r="Z4186">
        <v>1023808</v>
      </c>
      <c r="AA4186">
        <v>133440</v>
      </c>
      <c r="AB4186" t="str">
        <f>(VLOOKUP(SalesData[[#This Row],[Month Number]],Reference!C$5:E$16,2,FALSE))</f>
        <v>Feb</v>
      </c>
      <c r="AC4186">
        <f>MONTH(SalesData[[#This Row],[Date]])</f>
        <v>2</v>
      </c>
      <c r="AD4186">
        <f>Reference!F$4</f>
        <v>2026</v>
      </c>
      <c r="AE4186" t="str">
        <f>IF(OR(SalesData[[#This Row],[Day]]="Saturday",SalesData[[#This Row],[Day]]="Sunday"),"Weekend","Weekday")</f>
        <v>Weekday</v>
      </c>
      <c r="AF4186" s="5">
        <f>IF(SalesData[[#This Row],[Contracts Offered]]=0,0,SalesData[[#This Row],[Contracts Signed]]/SalesData[[#This Row],[Contracts Offered]])</f>
        <v>0.21917808219178081</v>
      </c>
      <c r="AG4186" s="5">
        <f>IF(SalesData[[#This Row],[Customers Visited]]=0,0,SalesData[[#This Row],[Test Drives]]/SalesData[[#This Row],[Customers Visited]])</f>
        <v>0.53092783505154639</v>
      </c>
      <c r="AH4186" s="5">
        <f>IF(SalesData[[#This Row],[Customers Visited]]=0,0,SalesData[[#This Row],[Contracts Signed]]/SalesData[[#This Row],[Customers Visited]])</f>
        <v>8.247422680412371E-2</v>
      </c>
      <c r="AI4186" s="6">
        <f>IF(SalesData[[#This Row],[Contracts Signed]]=0,0,SalesData[[#This Row],[Profit(€)]]/SalesData[[#This Row],[Contracts Signed]])</f>
        <v>4170</v>
      </c>
      <c r="AJ4186" s="5" t="str">
        <f>TRIM(CLEAN(SalesData[[#This Row],[Retailer]]))</f>
        <v>Elbe Drive</v>
      </c>
    </row>
    <row r="4187" spans="1:36" ht="14.25" hidden="1" x14ac:dyDescent="0.2">
      <c r="A4187" t="s">
        <v>5436</v>
      </c>
      <c r="B4187" s="1">
        <v>46060</v>
      </c>
      <c r="C4187" t="s">
        <v>24</v>
      </c>
      <c r="D4187" t="s">
        <v>151</v>
      </c>
      <c r="E4187" t="s">
        <v>42</v>
      </c>
      <c r="F4187" t="s">
        <v>74</v>
      </c>
      <c r="G4187" t="s">
        <v>75</v>
      </c>
      <c r="H4187" t="s">
        <v>76</v>
      </c>
      <c r="I4187" t="s">
        <v>64</v>
      </c>
      <c r="J4187" t="s">
        <v>111</v>
      </c>
      <c r="K4187" t="s">
        <v>91</v>
      </c>
      <c r="L4187" t="s">
        <v>46</v>
      </c>
      <c r="M4187" t="s">
        <v>34</v>
      </c>
      <c r="N4187" t="s">
        <v>69</v>
      </c>
      <c r="O4187" t="s">
        <v>70</v>
      </c>
      <c r="P4187" t="s">
        <v>37</v>
      </c>
      <c r="Q4187" t="s">
        <v>158</v>
      </c>
      <c r="R4187">
        <v>200</v>
      </c>
      <c r="S4187">
        <v>102</v>
      </c>
      <c r="T4187">
        <v>81</v>
      </c>
      <c r="U4187">
        <v>22</v>
      </c>
      <c r="V4187" t="s">
        <v>6457</v>
      </c>
      <c r="W4187">
        <v>58586</v>
      </c>
      <c r="X4187" t="s">
        <v>7257</v>
      </c>
      <c r="Y4187">
        <v>42512</v>
      </c>
      <c r="Z4187">
        <v>1288892</v>
      </c>
      <c r="AA4187">
        <v>353628</v>
      </c>
      <c r="AB4187" t="str">
        <f>(VLOOKUP(SalesData[[#This Row],[Month Number]],Reference!C$5:E$16,2,FALSE))</f>
        <v>Feb</v>
      </c>
      <c r="AC4187">
        <f>MONTH(SalesData[[#This Row],[Date]])</f>
        <v>2</v>
      </c>
      <c r="AD4187">
        <f>Reference!F$4</f>
        <v>2026</v>
      </c>
      <c r="AE4187" t="str">
        <f>IF(OR(SalesData[[#This Row],[Day]]="Saturday",SalesData[[#This Row],[Day]]="Sunday"),"Weekend","Weekday")</f>
        <v>Weekend</v>
      </c>
      <c r="AF4187" s="5">
        <f>IF(SalesData[[#This Row],[Contracts Offered]]=0,0,SalesData[[#This Row],[Contracts Signed]]/SalesData[[#This Row],[Contracts Offered]])</f>
        <v>0.27160493827160492</v>
      </c>
      <c r="AG4187" s="5">
        <f>IF(SalesData[[#This Row],[Customers Visited]]=0,0,SalesData[[#This Row],[Test Drives]]/SalesData[[#This Row],[Customers Visited]])</f>
        <v>0.51</v>
      </c>
      <c r="AH4187" s="5">
        <f>IF(SalesData[[#This Row],[Customers Visited]]=0,0,SalesData[[#This Row],[Contracts Signed]]/SalesData[[#This Row],[Customers Visited]])</f>
        <v>0.11</v>
      </c>
      <c r="AI4187" s="6">
        <f>IF(SalesData[[#This Row],[Contracts Signed]]=0,0,SalesData[[#This Row],[Profit(€)]]/SalesData[[#This Row],[Contracts Signed]])</f>
        <v>16074</v>
      </c>
      <c r="AJ4187" s="5" t="str">
        <f>TRIM(CLEAN(SalesData[[#This Row],[Retailer]]))</f>
        <v>Stuttgart Auto Center</v>
      </c>
    </row>
    <row r="4188" spans="1:36" ht="14.25" hidden="1" x14ac:dyDescent="0.2">
      <c r="A4188" t="s">
        <v>5437</v>
      </c>
      <c r="B4188" s="1">
        <v>46080</v>
      </c>
      <c r="C4188" t="s">
        <v>53</v>
      </c>
      <c r="D4188" t="s">
        <v>54</v>
      </c>
      <c r="E4188" t="s">
        <v>26</v>
      </c>
      <c r="F4188" t="s">
        <v>101</v>
      </c>
      <c r="G4188" t="s">
        <v>102</v>
      </c>
      <c r="H4188" t="s">
        <v>103</v>
      </c>
      <c r="I4188" t="s">
        <v>104</v>
      </c>
      <c r="J4188" t="s">
        <v>7031</v>
      </c>
      <c r="K4188" t="s">
        <v>91</v>
      </c>
      <c r="L4188" t="s">
        <v>46</v>
      </c>
      <c r="M4188" t="s">
        <v>87</v>
      </c>
      <c r="N4188" t="s">
        <v>69</v>
      </c>
      <c r="O4188" t="s">
        <v>70</v>
      </c>
      <c r="P4188" t="s">
        <v>37</v>
      </c>
      <c r="Q4188" t="s">
        <v>152</v>
      </c>
      <c r="R4188">
        <v>484</v>
      </c>
      <c r="S4188">
        <v>218</v>
      </c>
      <c r="T4188">
        <v>135</v>
      </c>
      <c r="U4188">
        <v>34</v>
      </c>
      <c r="V4188" t="s">
        <v>2368</v>
      </c>
      <c r="W4188">
        <v>25964</v>
      </c>
      <c r="X4188" t="s">
        <v>2282</v>
      </c>
      <c r="Y4188">
        <v>22938</v>
      </c>
      <c r="Z4188">
        <v>882776</v>
      </c>
      <c r="AA4188">
        <v>102884</v>
      </c>
      <c r="AB4188" t="str">
        <f>(VLOOKUP(SalesData[[#This Row],[Month Number]],Reference!C$5:E$16,2,FALSE))</f>
        <v>Feb</v>
      </c>
      <c r="AC4188">
        <f>MONTH(SalesData[[#This Row],[Date]])</f>
        <v>2</v>
      </c>
      <c r="AD4188">
        <f>Reference!F$4</f>
        <v>2026</v>
      </c>
      <c r="AE4188" t="str">
        <f>IF(OR(SalesData[[#This Row],[Day]]="Saturday",SalesData[[#This Row],[Day]]="Sunday"),"Weekend","Weekday")</f>
        <v>Weekday</v>
      </c>
      <c r="AF4188" s="5">
        <f>IF(SalesData[[#This Row],[Contracts Offered]]=0,0,SalesData[[#This Row],[Contracts Signed]]/SalesData[[#This Row],[Contracts Offered]])</f>
        <v>0.25185185185185183</v>
      </c>
      <c r="AG4188" s="5">
        <f>IF(SalesData[[#This Row],[Customers Visited]]=0,0,SalesData[[#This Row],[Test Drives]]/SalesData[[#This Row],[Customers Visited]])</f>
        <v>0.45041322314049587</v>
      </c>
      <c r="AH4188" s="5">
        <f>IF(SalesData[[#This Row],[Customers Visited]]=0,0,SalesData[[#This Row],[Contracts Signed]]/SalesData[[#This Row],[Customers Visited]])</f>
        <v>7.0247933884297523E-2</v>
      </c>
      <c r="AI4188" s="6">
        <f>IF(SalesData[[#This Row],[Contracts Signed]]=0,0,SalesData[[#This Row],[Profit(€)]]/SalesData[[#This Row],[Contracts Signed]])</f>
        <v>3026</v>
      </c>
      <c r="AJ4188" s="5" t="str">
        <f>TRIM(CLEAN(SalesData[[#This Row],[Retailer]]))</f>
        <v>Ruhr Auto Plaza</v>
      </c>
    </row>
    <row r="4189" spans="1:36" ht="14.25" hidden="1" x14ac:dyDescent="0.2">
      <c r="A4189" t="s">
        <v>5438</v>
      </c>
      <c r="B4189" s="1">
        <v>46060</v>
      </c>
      <c r="C4189" t="s">
        <v>24</v>
      </c>
      <c r="D4189" t="s">
        <v>151</v>
      </c>
      <c r="E4189" t="s">
        <v>42</v>
      </c>
      <c r="F4189" t="s">
        <v>43</v>
      </c>
      <c r="G4189" t="s">
        <v>44</v>
      </c>
      <c r="H4189" t="s">
        <v>45</v>
      </c>
      <c r="I4189" t="s">
        <v>64</v>
      </c>
      <c r="J4189" t="s">
        <v>65</v>
      </c>
      <c r="K4189" t="s">
        <v>91</v>
      </c>
      <c r="L4189" t="s">
        <v>33</v>
      </c>
      <c r="M4189" t="s">
        <v>47</v>
      </c>
      <c r="N4189" t="s">
        <v>35</v>
      </c>
      <c r="O4189" t="s">
        <v>36</v>
      </c>
      <c r="P4189" t="s">
        <v>49</v>
      </c>
      <c r="Q4189" t="s">
        <v>59</v>
      </c>
      <c r="R4189">
        <v>161</v>
      </c>
      <c r="S4189">
        <v>91</v>
      </c>
      <c r="T4189">
        <v>72</v>
      </c>
      <c r="U4189">
        <v>21</v>
      </c>
      <c r="V4189" t="s">
        <v>6386</v>
      </c>
      <c r="W4189">
        <v>64812</v>
      </c>
      <c r="X4189" t="s">
        <v>7326</v>
      </c>
      <c r="Y4189">
        <v>50876</v>
      </c>
      <c r="Z4189">
        <v>1361052</v>
      </c>
      <c r="AA4189">
        <v>292656</v>
      </c>
      <c r="AB4189" t="str">
        <f>(VLOOKUP(SalesData[[#This Row],[Month Number]],Reference!C$5:E$16,2,FALSE))</f>
        <v>Feb</v>
      </c>
      <c r="AC4189">
        <f>MONTH(SalesData[[#This Row],[Date]])</f>
        <v>2</v>
      </c>
      <c r="AD4189">
        <f>Reference!F$4</f>
        <v>2026</v>
      </c>
      <c r="AE4189" t="str">
        <f>IF(OR(SalesData[[#This Row],[Day]]="Saturday",SalesData[[#This Row],[Day]]="Sunday"),"Weekend","Weekday")</f>
        <v>Weekend</v>
      </c>
      <c r="AF4189" s="5">
        <f>IF(SalesData[[#This Row],[Contracts Offered]]=0,0,SalesData[[#This Row],[Contracts Signed]]/SalesData[[#This Row],[Contracts Offered]])</f>
        <v>0.29166666666666669</v>
      </c>
      <c r="AG4189" s="5">
        <f>IF(SalesData[[#This Row],[Customers Visited]]=0,0,SalesData[[#This Row],[Test Drives]]/SalesData[[#This Row],[Customers Visited]])</f>
        <v>0.56521739130434778</v>
      </c>
      <c r="AH4189" s="5">
        <f>IF(SalesData[[#This Row],[Customers Visited]]=0,0,SalesData[[#This Row],[Contracts Signed]]/SalesData[[#This Row],[Customers Visited]])</f>
        <v>0.13043478260869565</v>
      </c>
      <c r="AI4189" s="6">
        <f>IF(SalesData[[#This Row],[Contracts Signed]]=0,0,SalesData[[#This Row],[Profit(€)]]/SalesData[[#This Row],[Contracts Signed]])</f>
        <v>13936</v>
      </c>
      <c r="AJ4189" s="5" t="str">
        <f>TRIM(CLEAN(SalesData[[#This Row],[Retailer]]))</f>
        <v>Saxon Wheels</v>
      </c>
    </row>
    <row r="4190" spans="1:36" ht="14.25" hidden="1" x14ac:dyDescent="0.2">
      <c r="A4190" t="s">
        <v>5439</v>
      </c>
      <c r="B4190" s="1">
        <v>46072</v>
      </c>
      <c r="C4190" t="s">
        <v>62</v>
      </c>
      <c r="D4190" t="s">
        <v>100</v>
      </c>
      <c r="E4190" t="s">
        <v>26</v>
      </c>
      <c r="F4190" t="s">
        <v>114</v>
      </c>
      <c r="G4190" t="s">
        <v>115</v>
      </c>
      <c r="H4190" t="s">
        <v>115</v>
      </c>
      <c r="I4190" t="s">
        <v>56</v>
      </c>
      <c r="J4190" t="s">
        <v>179</v>
      </c>
      <c r="K4190" t="s">
        <v>78</v>
      </c>
      <c r="L4190" t="s">
        <v>67</v>
      </c>
      <c r="M4190" t="s">
        <v>68</v>
      </c>
      <c r="N4190" t="s">
        <v>35</v>
      </c>
      <c r="O4190" t="s">
        <v>36</v>
      </c>
      <c r="P4190" t="s">
        <v>37</v>
      </c>
      <c r="Q4190" t="s">
        <v>135</v>
      </c>
      <c r="R4190">
        <v>162</v>
      </c>
      <c r="S4190">
        <v>92</v>
      </c>
      <c r="T4190">
        <v>59</v>
      </c>
      <c r="U4190">
        <v>23</v>
      </c>
      <c r="V4190" t="s">
        <v>6403</v>
      </c>
      <c r="W4190">
        <v>46076</v>
      </c>
      <c r="X4190" t="s">
        <v>958</v>
      </c>
      <c r="Y4190">
        <v>35978</v>
      </c>
      <c r="Z4190">
        <v>1059748</v>
      </c>
      <c r="AA4190">
        <v>232254</v>
      </c>
      <c r="AB4190" t="str">
        <f>(VLOOKUP(SalesData[[#This Row],[Month Number]],Reference!C$5:E$16,2,FALSE))</f>
        <v>Feb</v>
      </c>
      <c r="AC4190">
        <f>MONTH(SalesData[[#This Row],[Date]])</f>
        <v>2</v>
      </c>
      <c r="AD4190">
        <f>Reference!F$4</f>
        <v>2026</v>
      </c>
      <c r="AE4190" t="str">
        <f>IF(OR(SalesData[[#This Row],[Day]]="Saturday",SalesData[[#This Row],[Day]]="Sunday"),"Weekend","Weekday")</f>
        <v>Weekday</v>
      </c>
      <c r="AF4190" s="5">
        <f>IF(SalesData[[#This Row],[Contracts Offered]]=0,0,SalesData[[#This Row],[Contracts Signed]]/SalesData[[#This Row],[Contracts Offered]])</f>
        <v>0.38983050847457629</v>
      </c>
      <c r="AG4190" s="5">
        <f>IF(SalesData[[#This Row],[Customers Visited]]=0,0,SalesData[[#This Row],[Test Drives]]/SalesData[[#This Row],[Customers Visited]])</f>
        <v>0.5679012345679012</v>
      </c>
      <c r="AH4190" s="5">
        <f>IF(SalesData[[#This Row],[Customers Visited]]=0,0,SalesData[[#This Row],[Contracts Signed]]/SalesData[[#This Row],[Customers Visited]])</f>
        <v>0.1419753086419753</v>
      </c>
      <c r="AI4190" s="6">
        <f>IF(SalesData[[#This Row],[Contracts Signed]]=0,0,SalesData[[#This Row],[Profit(€)]]/SalesData[[#This Row],[Contracts Signed]])</f>
        <v>10098</v>
      </c>
      <c r="AJ4190" s="5" t="str">
        <f>TRIM(CLEAN(SalesData[[#This Row],[Retailer]]))</f>
        <v>Elbe Drive</v>
      </c>
    </row>
    <row r="4191" spans="1:36" ht="14.25" hidden="1" x14ac:dyDescent="0.2">
      <c r="A4191" t="s">
        <v>5440</v>
      </c>
      <c r="B4191" s="1">
        <v>46074</v>
      </c>
      <c r="C4191" t="s">
        <v>62</v>
      </c>
      <c r="D4191" t="s">
        <v>151</v>
      </c>
      <c r="E4191" t="s">
        <v>42</v>
      </c>
      <c r="F4191" t="s">
        <v>94</v>
      </c>
      <c r="G4191" t="s">
        <v>95</v>
      </c>
      <c r="H4191" t="s">
        <v>96</v>
      </c>
      <c r="I4191" t="s">
        <v>116</v>
      </c>
      <c r="J4191" t="s">
        <v>203</v>
      </c>
      <c r="K4191" t="s">
        <v>66</v>
      </c>
      <c r="L4191" t="s">
        <v>67</v>
      </c>
      <c r="M4191" t="s">
        <v>68</v>
      </c>
      <c r="N4191" t="s">
        <v>48</v>
      </c>
      <c r="O4191" t="s">
        <v>70</v>
      </c>
      <c r="P4191" t="s">
        <v>37</v>
      </c>
      <c r="Q4191" t="s">
        <v>172</v>
      </c>
      <c r="R4191">
        <v>293</v>
      </c>
      <c r="S4191">
        <v>120</v>
      </c>
      <c r="T4191">
        <v>83</v>
      </c>
      <c r="U4191">
        <v>20</v>
      </c>
      <c r="V4191" t="s">
        <v>508</v>
      </c>
      <c r="W4191">
        <v>23676</v>
      </c>
      <c r="X4191" t="s">
        <v>519</v>
      </c>
      <c r="Y4191">
        <v>21259</v>
      </c>
      <c r="Z4191">
        <v>473520</v>
      </c>
      <c r="AA4191">
        <v>48340</v>
      </c>
      <c r="AB4191" t="str">
        <f>(VLOOKUP(SalesData[[#This Row],[Month Number]],Reference!C$5:E$16,2,FALSE))</f>
        <v>Feb</v>
      </c>
      <c r="AC4191">
        <f>MONTH(SalesData[[#This Row],[Date]])</f>
        <v>2</v>
      </c>
      <c r="AD4191">
        <f>Reference!F$4</f>
        <v>2026</v>
      </c>
      <c r="AE4191" t="str">
        <f>IF(OR(SalesData[[#This Row],[Day]]="Saturday",SalesData[[#This Row],[Day]]="Sunday"),"Weekend","Weekday")</f>
        <v>Weekend</v>
      </c>
      <c r="AF4191" s="5">
        <f>IF(SalesData[[#This Row],[Contracts Offered]]=0,0,SalesData[[#This Row],[Contracts Signed]]/SalesData[[#This Row],[Contracts Offered]])</f>
        <v>0.24096385542168675</v>
      </c>
      <c r="AG4191" s="5">
        <f>IF(SalesData[[#This Row],[Customers Visited]]=0,0,SalesData[[#This Row],[Test Drives]]/SalesData[[#This Row],[Customers Visited]])</f>
        <v>0.40955631399317405</v>
      </c>
      <c r="AH4191" s="5">
        <f>IF(SalesData[[#This Row],[Customers Visited]]=0,0,SalesData[[#This Row],[Contracts Signed]]/SalesData[[#This Row],[Customers Visited]])</f>
        <v>6.8259385665529013E-2</v>
      </c>
      <c r="AI4191" s="6">
        <f>IF(SalesData[[#This Row],[Contracts Signed]]=0,0,SalesData[[#This Row],[Profit(€)]]/SalesData[[#This Row],[Contracts Signed]])</f>
        <v>2417</v>
      </c>
      <c r="AJ4191" s="5" t="str">
        <f>TRIM(CLEAN(SalesData[[#This Row],[Retailer]]))</f>
        <v>Bavaria Motors</v>
      </c>
    </row>
    <row r="4192" spans="1:36" ht="14.25" x14ac:dyDescent="0.2">
      <c r="A4192" t="s">
        <v>5441</v>
      </c>
      <c r="B4192" s="1">
        <v>46076</v>
      </c>
      <c r="C4192" t="s">
        <v>53</v>
      </c>
      <c r="D4192" t="s">
        <v>25</v>
      </c>
      <c r="E4192" t="s">
        <v>26</v>
      </c>
      <c r="F4192" t="s">
        <v>127</v>
      </c>
      <c r="G4192" t="s">
        <v>128</v>
      </c>
      <c r="H4192" t="s">
        <v>103</v>
      </c>
      <c r="I4192" t="s">
        <v>30</v>
      </c>
      <c r="J4192" t="s">
        <v>31</v>
      </c>
      <c r="K4192" t="s">
        <v>32</v>
      </c>
      <c r="L4192" t="s">
        <v>46</v>
      </c>
      <c r="M4192" t="s">
        <v>34</v>
      </c>
      <c r="N4192" t="s">
        <v>69</v>
      </c>
      <c r="O4192" t="s">
        <v>36</v>
      </c>
      <c r="P4192" t="s">
        <v>58</v>
      </c>
      <c r="Q4192" t="s">
        <v>50</v>
      </c>
      <c r="R4192">
        <v>181</v>
      </c>
      <c r="S4192">
        <v>89</v>
      </c>
      <c r="T4192">
        <v>61</v>
      </c>
      <c r="U4192">
        <v>30</v>
      </c>
      <c r="V4192" t="s">
        <v>7625</v>
      </c>
      <c r="W4192">
        <v>50915</v>
      </c>
      <c r="X4192" t="s">
        <v>1151</v>
      </c>
      <c r="Y4192">
        <v>38819</v>
      </c>
      <c r="Z4192">
        <v>1527450</v>
      </c>
      <c r="AA4192">
        <v>362880</v>
      </c>
      <c r="AB4192" t="str">
        <f>(VLOOKUP(SalesData[[#This Row],[Month Number]],Reference!C$5:E$16,2,FALSE))</f>
        <v>Feb</v>
      </c>
      <c r="AC4192">
        <f>MONTH(SalesData[[#This Row],[Date]])</f>
        <v>2</v>
      </c>
      <c r="AD4192">
        <f>Reference!F$4</f>
        <v>2026</v>
      </c>
      <c r="AE4192" t="str">
        <f>IF(OR(SalesData[[#This Row],[Day]]="Saturday",SalesData[[#This Row],[Day]]="Sunday"),"Weekend","Weekday")</f>
        <v>Weekday</v>
      </c>
      <c r="AF4192" s="5">
        <f>IF(SalesData[[#This Row],[Contracts Offered]]=0,0,SalesData[[#This Row],[Contracts Signed]]/SalesData[[#This Row],[Contracts Offered]])</f>
        <v>0.49180327868852458</v>
      </c>
      <c r="AG4192" s="5">
        <f>IF(SalesData[[#This Row],[Customers Visited]]=0,0,SalesData[[#This Row],[Test Drives]]/SalesData[[#This Row],[Customers Visited]])</f>
        <v>0.49171270718232046</v>
      </c>
      <c r="AH4192" s="5">
        <f>IF(SalesData[[#This Row],[Customers Visited]]=0,0,SalesData[[#This Row],[Contracts Signed]]/SalesData[[#This Row],[Customers Visited]])</f>
        <v>0.16574585635359115</v>
      </c>
      <c r="AI4192" s="6">
        <f>IF(SalesData[[#This Row],[Contracts Signed]]=0,0,SalesData[[#This Row],[Profit(€)]]/SalesData[[#This Row],[Contracts Signed]])</f>
        <v>12096</v>
      </c>
      <c r="AJ4192" s="5" t="str">
        <f>TRIM(CLEAN(SalesData[[#This Row],[Retailer]]))</f>
        <v>Rhein Auto Group</v>
      </c>
    </row>
    <row r="4193" spans="1:36" ht="14.25" hidden="1" x14ac:dyDescent="0.2">
      <c r="A4193" t="s">
        <v>5442</v>
      </c>
      <c r="B4193" s="1">
        <v>46060</v>
      </c>
      <c r="C4193" t="s">
        <v>24</v>
      </c>
      <c r="D4193" t="s">
        <v>151</v>
      </c>
      <c r="E4193" t="s">
        <v>42</v>
      </c>
      <c r="F4193" t="s">
        <v>109</v>
      </c>
      <c r="G4193" t="s">
        <v>110</v>
      </c>
      <c r="H4193" t="s">
        <v>45</v>
      </c>
      <c r="I4193" t="s">
        <v>116</v>
      </c>
      <c r="J4193" t="s">
        <v>7026</v>
      </c>
      <c r="K4193" t="s">
        <v>32</v>
      </c>
      <c r="L4193" t="s">
        <v>46</v>
      </c>
      <c r="M4193" t="s">
        <v>87</v>
      </c>
      <c r="N4193" t="s">
        <v>48</v>
      </c>
      <c r="O4193" t="s">
        <v>70</v>
      </c>
      <c r="P4193" t="s">
        <v>71</v>
      </c>
      <c r="Q4193" t="s">
        <v>88</v>
      </c>
      <c r="R4193">
        <v>227</v>
      </c>
      <c r="S4193">
        <v>110</v>
      </c>
      <c r="T4193">
        <v>62</v>
      </c>
      <c r="U4193">
        <v>17</v>
      </c>
      <c r="V4193" t="s">
        <v>946</v>
      </c>
      <c r="W4193">
        <v>25005</v>
      </c>
      <c r="X4193" t="s">
        <v>4384</v>
      </c>
      <c r="Y4193">
        <v>22949</v>
      </c>
      <c r="Z4193">
        <v>425085</v>
      </c>
      <c r="AA4193">
        <v>34952</v>
      </c>
      <c r="AB4193" t="str">
        <f>(VLOOKUP(SalesData[[#This Row],[Month Number]],Reference!C$5:E$16,2,FALSE))</f>
        <v>Feb</v>
      </c>
      <c r="AC4193">
        <f>MONTH(SalesData[[#This Row],[Date]])</f>
        <v>2</v>
      </c>
      <c r="AD4193">
        <f>Reference!F$4</f>
        <v>2026</v>
      </c>
      <c r="AE4193" t="str">
        <f>IF(OR(SalesData[[#This Row],[Day]]="Saturday",SalesData[[#This Row],[Day]]="Sunday"),"Weekend","Weekday")</f>
        <v>Weekend</v>
      </c>
      <c r="AF4193" s="5">
        <f>IF(SalesData[[#This Row],[Contracts Offered]]=0,0,SalesData[[#This Row],[Contracts Signed]]/SalesData[[#This Row],[Contracts Offered]])</f>
        <v>0.27419354838709675</v>
      </c>
      <c r="AG4193" s="5">
        <f>IF(SalesData[[#This Row],[Customers Visited]]=0,0,SalesData[[#This Row],[Test Drives]]/SalesData[[#This Row],[Customers Visited]])</f>
        <v>0.48458149779735682</v>
      </c>
      <c r="AH4193" s="5">
        <f>IF(SalesData[[#This Row],[Customers Visited]]=0,0,SalesData[[#This Row],[Contracts Signed]]/SalesData[[#This Row],[Customers Visited]])</f>
        <v>7.4889867841409691E-2</v>
      </c>
      <c r="AI4193" s="6">
        <f>IF(SalesData[[#This Row],[Contracts Signed]]=0,0,SalesData[[#This Row],[Profit(€)]]/SalesData[[#This Row],[Contracts Signed]])</f>
        <v>2056</v>
      </c>
      <c r="AJ4193" s="5" t="str">
        <f>TRIM(CLEAN(SalesData[[#This Row],[Retailer]]))</f>
        <v>Leipzig Mobility</v>
      </c>
    </row>
    <row r="4194" spans="1:36" ht="14.25" hidden="1" x14ac:dyDescent="0.2">
      <c r="A4194" t="s">
        <v>5443</v>
      </c>
      <c r="B4194" s="1">
        <v>46069</v>
      </c>
      <c r="C4194" t="s">
        <v>62</v>
      </c>
      <c r="D4194" t="s">
        <v>25</v>
      </c>
      <c r="E4194" t="s">
        <v>26</v>
      </c>
      <c r="F4194" t="s">
        <v>127</v>
      </c>
      <c r="G4194" t="s">
        <v>128</v>
      </c>
      <c r="H4194" t="s">
        <v>103</v>
      </c>
      <c r="I4194" t="s">
        <v>104</v>
      </c>
      <c r="J4194" t="s">
        <v>7061</v>
      </c>
      <c r="K4194" t="s">
        <v>66</v>
      </c>
      <c r="L4194" t="s">
        <v>46</v>
      </c>
      <c r="M4194" t="s">
        <v>47</v>
      </c>
      <c r="N4194" t="s">
        <v>69</v>
      </c>
      <c r="O4194" t="s">
        <v>36</v>
      </c>
      <c r="P4194" t="s">
        <v>58</v>
      </c>
      <c r="Q4194" t="s">
        <v>347</v>
      </c>
      <c r="R4194">
        <v>342</v>
      </c>
      <c r="S4194">
        <v>139</v>
      </c>
      <c r="T4194">
        <v>90</v>
      </c>
      <c r="U4194">
        <v>26</v>
      </c>
      <c r="V4194" t="s">
        <v>1361</v>
      </c>
      <c r="W4194">
        <v>32007</v>
      </c>
      <c r="X4194" t="s">
        <v>7265</v>
      </c>
      <c r="Y4194">
        <v>27802</v>
      </c>
      <c r="Z4194">
        <v>832182</v>
      </c>
      <c r="AA4194">
        <v>109330</v>
      </c>
      <c r="AB4194" t="str">
        <f>(VLOOKUP(SalesData[[#This Row],[Month Number]],Reference!C$5:E$16,2,FALSE))</f>
        <v>Feb</v>
      </c>
      <c r="AC4194">
        <f>MONTH(SalesData[[#This Row],[Date]])</f>
        <v>2</v>
      </c>
      <c r="AD4194">
        <f>Reference!F$4</f>
        <v>2026</v>
      </c>
      <c r="AE4194" t="str">
        <f>IF(OR(SalesData[[#This Row],[Day]]="Saturday",SalesData[[#This Row],[Day]]="Sunday"),"Weekend","Weekday")</f>
        <v>Weekday</v>
      </c>
      <c r="AF4194" s="5">
        <f>IF(SalesData[[#This Row],[Contracts Offered]]=0,0,SalesData[[#This Row],[Contracts Signed]]/SalesData[[#This Row],[Contracts Offered]])</f>
        <v>0.28888888888888886</v>
      </c>
      <c r="AG4194" s="5">
        <f>IF(SalesData[[#This Row],[Customers Visited]]=0,0,SalesData[[#This Row],[Test Drives]]/SalesData[[#This Row],[Customers Visited]])</f>
        <v>0.4064327485380117</v>
      </c>
      <c r="AH4194" s="5">
        <f>IF(SalesData[[#This Row],[Customers Visited]]=0,0,SalesData[[#This Row],[Contracts Signed]]/SalesData[[#This Row],[Customers Visited]])</f>
        <v>7.6023391812865493E-2</v>
      </c>
      <c r="AI4194" s="6">
        <f>IF(SalesData[[#This Row],[Contracts Signed]]=0,0,SalesData[[#This Row],[Profit(€)]]/SalesData[[#This Row],[Contracts Signed]])</f>
        <v>4205</v>
      </c>
      <c r="AJ4194" s="5" t="str">
        <f>TRIM(CLEAN(SalesData[[#This Row],[Retailer]]))</f>
        <v>Rhein Auto Group</v>
      </c>
    </row>
    <row r="4195" spans="1:36" ht="14.25" hidden="1" x14ac:dyDescent="0.2">
      <c r="A4195" t="s">
        <v>5444</v>
      </c>
      <c r="B4195" s="1">
        <v>46078</v>
      </c>
      <c r="C4195" t="s">
        <v>53</v>
      </c>
      <c r="D4195" t="s">
        <v>82</v>
      </c>
      <c r="E4195" t="s">
        <v>26</v>
      </c>
      <c r="F4195" t="s">
        <v>114</v>
      </c>
      <c r="G4195" t="s">
        <v>115</v>
      </c>
      <c r="H4195" t="s">
        <v>115</v>
      </c>
      <c r="I4195" t="s">
        <v>56</v>
      </c>
      <c r="J4195" t="s">
        <v>137</v>
      </c>
      <c r="K4195" t="s">
        <v>66</v>
      </c>
      <c r="L4195" t="s">
        <v>46</v>
      </c>
      <c r="M4195" t="s">
        <v>34</v>
      </c>
      <c r="N4195" t="s">
        <v>69</v>
      </c>
      <c r="O4195" t="s">
        <v>70</v>
      </c>
      <c r="P4195" t="s">
        <v>58</v>
      </c>
      <c r="Q4195" t="s">
        <v>135</v>
      </c>
      <c r="R4195">
        <v>275</v>
      </c>
      <c r="S4195">
        <v>175</v>
      </c>
      <c r="T4195">
        <v>114</v>
      </c>
      <c r="U4195">
        <v>42</v>
      </c>
      <c r="V4195" t="s">
        <v>6629</v>
      </c>
      <c r="W4195">
        <v>50154</v>
      </c>
      <c r="X4195" t="s">
        <v>2701</v>
      </c>
      <c r="Y4195">
        <v>40520</v>
      </c>
      <c r="Z4195">
        <v>2106468</v>
      </c>
      <c r="AA4195">
        <v>404628</v>
      </c>
      <c r="AB4195" t="str">
        <f>(VLOOKUP(SalesData[[#This Row],[Month Number]],Reference!C$5:E$16,2,FALSE))</f>
        <v>Feb</v>
      </c>
      <c r="AC4195">
        <f>MONTH(SalesData[[#This Row],[Date]])</f>
        <v>2</v>
      </c>
      <c r="AD4195">
        <f>Reference!F$4</f>
        <v>2026</v>
      </c>
      <c r="AE4195" t="str">
        <f>IF(OR(SalesData[[#This Row],[Day]]="Saturday",SalesData[[#This Row],[Day]]="Sunday"),"Weekend","Weekday")</f>
        <v>Weekday</v>
      </c>
      <c r="AF4195" s="5">
        <f>IF(SalesData[[#This Row],[Contracts Offered]]=0,0,SalesData[[#This Row],[Contracts Signed]]/SalesData[[#This Row],[Contracts Offered]])</f>
        <v>0.36842105263157893</v>
      </c>
      <c r="AG4195" s="5">
        <f>IF(SalesData[[#This Row],[Customers Visited]]=0,0,SalesData[[#This Row],[Test Drives]]/SalesData[[#This Row],[Customers Visited]])</f>
        <v>0.63636363636363635</v>
      </c>
      <c r="AH4195" s="5">
        <f>IF(SalesData[[#This Row],[Customers Visited]]=0,0,SalesData[[#This Row],[Contracts Signed]]/SalesData[[#This Row],[Customers Visited]])</f>
        <v>0.15272727272727274</v>
      </c>
      <c r="AI4195" s="6">
        <f>IF(SalesData[[#This Row],[Contracts Signed]]=0,0,SalesData[[#This Row],[Profit(€)]]/SalesData[[#This Row],[Contracts Signed]])</f>
        <v>9634</v>
      </c>
      <c r="AJ4195" s="5" t="str">
        <f>TRIM(CLEAN(SalesData[[#This Row],[Retailer]]))</f>
        <v>Elbe Drive</v>
      </c>
    </row>
    <row r="4196" spans="1:36" ht="14.25" x14ac:dyDescent="0.2">
      <c r="A4196" t="s">
        <v>5445</v>
      </c>
      <c r="B4196" s="1">
        <v>46063</v>
      </c>
      <c r="C4196" t="s">
        <v>121</v>
      </c>
      <c r="D4196" t="s">
        <v>63</v>
      </c>
      <c r="E4196" t="s">
        <v>26</v>
      </c>
      <c r="F4196" t="s">
        <v>101</v>
      </c>
      <c r="G4196" t="s">
        <v>102</v>
      </c>
      <c r="H4196" t="s">
        <v>103</v>
      </c>
      <c r="I4196" t="s">
        <v>30</v>
      </c>
      <c r="J4196" t="s">
        <v>31</v>
      </c>
      <c r="K4196" t="s">
        <v>91</v>
      </c>
      <c r="L4196" t="s">
        <v>46</v>
      </c>
      <c r="M4196" t="s">
        <v>34</v>
      </c>
      <c r="N4196" t="s">
        <v>69</v>
      </c>
      <c r="O4196" t="s">
        <v>36</v>
      </c>
      <c r="P4196" t="s">
        <v>49</v>
      </c>
      <c r="Q4196" t="s">
        <v>189</v>
      </c>
      <c r="R4196">
        <v>226</v>
      </c>
      <c r="S4196">
        <v>124</v>
      </c>
      <c r="T4196">
        <v>97</v>
      </c>
      <c r="U4196">
        <v>33</v>
      </c>
      <c r="V4196" t="s">
        <v>6687</v>
      </c>
      <c r="W4196">
        <v>56662</v>
      </c>
      <c r="X4196" t="s">
        <v>3261</v>
      </c>
      <c r="Y4196">
        <v>42697</v>
      </c>
      <c r="Z4196">
        <v>1869846</v>
      </c>
      <c r="AA4196">
        <v>460845</v>
      </c>
      <c r="AB4196" t="str">
        <f>(VLOOKUP(SalesData[[#This Row],[Month Number]],Reference!C$5:E$16,2,FALSE))</f>
        <v>Feb</v>
      </c>
      <c r="AC4196">
        <f>MONTH(SalesData[[#This Row],[Date]])</f>
        <v>2</v>
      </c>
      <c r="AD4196">
        <f>Reference!F$4</f>
        <v>2026</v>
      </c>
      <c r="AE4196" t="str">
        <f>IF(OR(SalesData[[#This Row],[Day]]="Saturday",SalesData[[#This Row],[Day]]="Sunday"),"Weekend","Weekday")</f>
        <v>Weekday</v>
      </c>
      <c r="AF4196" s="5">
        <f>IF(SalesData[[#This Row],[Contracts Offered]]=0,0,SalesData[[#This Row],[Contracts Signed]]/SalesData[[#This Row],[Contracts Offered]])</f>
        <v>0.34020618556701032</v>
      </c>
      <c r="AG4196" s="5">
        <f>IF(SalesData[[#This Row],[Customers Visited]]=0,0,SalesData[[#This Row],[Test Drives]]/SalesData[[#This Row],[Customers Visited]])</f>
        <v>0.54867256637168138</v>
      </c>
      <c r="AH4196" s="5">
        <f>IF(SalesData[[#This Row],[Customers Visited]]=0,0,SalesData[[#This Row],[Contracts Signed]]/SalesData[[#This Row],[Customers Visited]])</f>
        <v>0.14601769911504425</v>
      </c>
      <c r="AI4196" s="6">
        <f>IF(SalesData[[#This Row],[Contracts Signed]]=0,0,SalesData[[#This Row],[Profit(€)]]/SalesData[[#This Row],[Contracts Signed]])</f>
        <v>13965</v>
      </c>
      <c r="AJ4196" s="5" t="str">
        <f>TRIM(CLEAN(SalesData[[#This Row],[Retailer]]))</f>
        <v>Ruhr Auto Plaza</v>
      </c>
    </row>
    <row r="4197" spans="1:36" ht="14.25" hidden="1" x14ac:dyDescent="0.2">
      <c r="A4197" t="s">
        <v>5446</v>
      </c>
      <c r="B4197" s="1">
        <v>46069</v>
      </c>
      <c r="C4197" t="s">
        <v>62</v>
      </c>
      <c r="D4197" t="s">
        <v>25</v>
      </c>
      <c r="E4197" t="s">
        <v>26</v>
      </c>
      <c r="F4197" t="s">
        <v>127</v>
      </c>
      <c r="G4197" t="s">
        <v>128</v>
      </c>
      <c r="H4197" t="s">
        <v>103</v>
      </c>
      <c r="I4197" t="s">
        <v>104</v>
      </c>
      <c r="J4197" t="s">
        <v>7031</v>
      </c>
      <c r="K4197" t="s">
        <v>91</v>
      </c>
      <c r="L4197" t="s">
        <v>46</v>
      </c>
      <c r="M4197" t="s">
        <v>68</v>
      </c>
      <c r="N4197" t="s">
        <v>35</v>
      </c>
      <c r="O4197" t="s">
        <v>70</v>
      </c>
      <c r="P4197" t="s">
        <v>71</v>
      </c>
      <c r="Q4197" t="s">
        <v>129</v>
      </c>
      <c r="R4197">
        <v>322</v>
      </c>
      <c r="S4197">
        <v>173</v>
      </c>
      <c r="T4197">
        <v>122</v>
      </c>
      <c r="U4197">
        <v>32</v>
      </c>
      <c r="V4197" t="s">
        <v>7293</v>
      </c>
      <c r="W4197">
        <v>33088</v>
      </c>
      <c r="X4197" t="s">
        <v>3997</v>
      </c>
      <c r="Y4197">
        <v>29213</v>
      </c>
      <c r="Z4197">
        <v>1058816</v>
      </c>
      <c r="AA4197">
        <v>124000</v>
      </c>
      <c r="AB4197" t="str">
        <f>(VLOOKUP(SalesData[[#This Row],[Month Number]],Reference!C$5:E$16,2,FALSE))</f>
        <v>Feb</v>
      </c>
      <c r="AC4197">
        <f>MONTH(SalesData[[#This Row],[Date]])</f>
        <v>2</v>
      </c>
      <c r="AD4197">
        <f>Reference!F$4</f>
        <v>2026</v>
      </c>
      <c r="AE4197" t="str">
        <f>IF(OR(SalesData[[#This Row],[Day]]="Saturday",SalesData[[#This Row],[Day]]="Sunday"),"Weekend","Weekday")</f>
        <v>Weekday</v>
      </c>
      <c r="AF4197" s="5">
        <f>IF(SalesData[[#This Row],[Contracts Offered]]=0,0,SalesData[[#This Row],[Contracts Signed]]/SalesData[[#This Row],[Contracts Offered]])</f>
        <v>0.26229508196721313</v>
      </c>
      <c r="AG4197" s="5">
        <f>IF(SalesData[[#This Row],[Customers Visited]]=0,0,SalesData[[#This Row],[Test Drives]]/SalesData[[#This Row],[Customers Visited]])</f>
        <v>0.53726708074534157</v>
      </c>
      <c r="AH4197" s="5">
        <f>IF(SalesData[[#This Row],[Customers Visited]]=0,0,SalesData[[#This Row],[Contracts Signed]]/SalesData[[#This Row],[Customers Visited]])</f>
        <v>9.9378881987577633E-2</v>
      </c>
      <c r="AI4197" s="6">
        <f>IF(SalesData[[#This Row],[Contracts Signed]]=0,0,SalesData[[#This Row],[Profit(€)]]/SalesData[[#This Row],[Contracts Signed]])</f>
        <v>3875</v>
      </c>
      <c r="AJ4197" s="5" t="str">
        <f>TRIM(CLEAN(SalesData[[#This Row],[Retailer]]))</f>
        <v>Rhein Auto Group</v>
      </c>
    </row>
    <row r="4198" spans="1:36" ht="14.25" hidden="1" x14ac:dyDescent="0.2">
      <c r="A4198" t="s">
        <v>5447</v>
      </c>
      <c r="B4198" s="1">
        <v>46081</v>
      </c>
      <c r="C4198" t="s">
        <v>53</v>
      </c>
      <c r="D4198" t="s">
        <v>151</v>
      </c>
      <c r="E4198" t="s">
        <v>42</v>
      </c>
      <c r="F4198" t="s">
        <v>43</v>
      </c>
      <c r="G4198" t="s">
        <v>44</v>
      </c>
      <c r="H4198" t="s">
        <v>45</v>
      </c>
      <c r="I4198" t="s">
        <v>104</v>
      </c>
      <c r="J4198" t="s">
        <v>140</v>
      </c>
      <c r="K4198" t="s">
        <v>91</v>
      </c>
      <c r="L4198" t="s">
        <v>46</v>
      </c>
      <c r="M4198" t="s">
        <v>47</v>
      </c>
      <c r="N4198" t="s">
        <v>69</v>
      </c>
      <c r="O4198" t="s">
        <v>70</v>
      </c>
      <c r="P4198" t="s">
        <v>71</v>
      </c>
      <c r="Q4198" t="s">
        <v>59</v>
      </c>
      <c r="R4198">
        <v>474</v>
      </c>
      <c r="S4198">
        <v>209</v>
      </c>
      <c r="T4198">
        <v>129</v>
      </c>
      <c r="U4198">
        <v>35</v>
      </c>
      <c r="V4198" t="s">
        <v>595</v>
      </c>
      <c r="W4198">
        <v>27086</v>
      </c>
      <c r="X4198" t="s">
        <v>2336</v>
      </c>
      <c r="Y4198">
        <v>24108</v>
      </c>
      <c r="Z4198">
        <v>948010</v>
      </c>
      <c r="AA4198">
        <v>104230</v>
      </c>
      <c r="AB4198" t="str">
        <f>(VLOOKUP(SalesData[[#This Row],[Month Number]],Reference!C$5:E$16,2,FALSE))</f>
        <v>Feb</v>
      </c>
      <c r="AC4198">
        <f>MONTH(SalesData[[#This Row],[Date]])</f>
        <v>2</v>
      </c>
      <c r="AD4198">
        <f>Reference!F$4</f>
        <v>2026</v>
      </c>
      <c r="AE4198" t="str">
        <f>IF(OR(SalesData[[#This Row],[Day]]="Saturday",SalesData[[#This Row],[Day]]="Sunday"),"Weekend","Weekday")</f>
        <v>Weekend</v>
      </c>
      <c r="AF4198" s="5">
        <f>IF(SalesData[[#This Row],[Contracts Offered]]=0,0,SalesData[[#This Row],[Contracts Signed]]/SalesData[[#This Row],[Contracts Offered]])</f>
        <v>0.27131782945736432</v>
      </c>
      <c r="AG4198" s="5">
        <f>IF(SalesData[[#This Row],[Customers Visited]]=0,0,SalesData[[#This Row],[Test Drives]]/SalesData[[#This Row],[Customers Visited]])</f>
        <v>0.44092827004219409</v>
      </c>
      <c r="AH4198" s="5">
        <f>IF(SalesData[[#This Row],[Customers Visited]]=0,0,SalesData[[#This Row],[Contracts Signed]]/SalesData[[#This Row],[Customers Visited]])</f>
        <v>7.3839662447257384E-2</v>
      </c>
      <c r="AI4198" s="6">
        <f>IF(SalesData[[#This Row],[Contracts Signed]]=0,0,SalesData[[#This Row],[Profit(€)]]/SalesData[[#This Row],[Contracts Signed]])</f>
        <v>2978</v>
      </c>
      <c r="AJ4198" s="5" t="str">
        <f>TRIM(CLEAN(SalesData[[#This Row],[Retailer]]))</f>
        <v>Saxon Wheels</v>
      </c>
    </row>
    <row r="4199" spans="1:36" ht="14.25" hidden="1" x14ac:dyDescent="0.2">
      <c r="A4199" t="s">
        <v>5448</v>
      </c>
      <c r="B4199" s="1">
        <v>46080</v>
      </c>
      <c r="C4199" t="s">
        <v>53</v>
      </c>
      <c r="D4199" t="s">
        <v>54</v>
      </c>
      <c r="E4199" t="s">
        <v>26</v>
      </c>
      <c r="F4199" t="s">
        <v>83</v>
      </c>
      <c r="G4199" t="s">
        <v>84</v>
      </c>
      <c r="H4199" t="s">
        <v>85</v>
      </c>
      <c r="I4199" t="s">
        <v>116</v>
      </c>
      <c r="J4199" t="s">
        <v>203</v>
      </c>
      <c r="K4199" t="s">
        <v>78</v>
      </c>
      <c r="L4199" t="s">
        <v>67</v>
      </c>
      <c r="M4199" t="s">
        <v>87</v>
      </c>
      <c r="N4199" t="s">
        <v>69</v>
      </c>
      <c r="O4199" t="s">
        <v>70</v>
      </c>
      <c r="P4199" t="s">
        <v>58</v>
      </c>
      <c r="Q4199" t="s">
        <v>122</v>
      </c>
      <c r="R4199">
        <v>239</v>
      </c>
      <c r="S4199">
        <v>108</v>
      </c>
      <c r="T4199">
        <v>61</v>
      </c>
      <c r="U4199">
        <v>20</v>
      </c>
      <c r="V4199" t="s">
        <v>123</v>
      </c>
      <c r="W4199">
        <v>21672</v>
      </c>
      <c r="X4199" t="s">
        <v>1692</v>
      </c>
      <c r="Y4199">
        <v>19843</v>
      </c>
      <c r="Z4199">
        <v>433440</v>
      </c>
      <c r="AA4199">
        <v>36580</v>
      </c>
      <c r="AB4199" t="str">
        <f>(VLOOKUP(SalesData[[#This Row],[Month Number]],Reference!C$5:E$16,2,FALSE))</f>
        <v>Feb</v>
      </c>
      <c r="AC4199">
        <f>MONTH(SalesData[[#This Row],[Date]])</f>
        <v>2</v>
      </c>
      <c r="AD4199">
        <f>Reference!F$4</f>
        <v>2026</v>
      </c>
      <c r="AE4199" t="str">
        <f>IF(OR(SalesData[[#This Row],[Day]]="Saturday",SalesData[[#This Row],[Day]]="Sunday"),"Weekend","Weekday")</f>
        <v>Weekday</v>
      </c>
      <c r="AF4199" s="5">
        <f>IF(SalesData[[#This Row],[Contracts Offered]]=0,0,SalesData[[#This Row],[Contracts Signed]]/SalesData[[#This Row],[Contracts Offered]])</f>
        <v>0.32786885245901637</v>
      </c>
      <c r="AG4199" s="5">
        <f>IF(SalesData[[#This Row],[Customers Visited]]=0,0,SalesData[[#This Row],[Test Drives]]/SalesData[[#This Row],[Customers Visited]])</f>
        <v>0.45188284518828453</v>
      </c>
      <c r="AH4199" s="5">
        <f>IF(SalesData[[#This Row],[Customers Visited]]=0,0,SalesData[[#This Row],[Contracts Signed]]/SalesData[[#This Row],[Customers Visited]])</f>
        <v>8.3682008368200833E-2</v>
      </c>
      <c r="AI4199" s="6">
        <f>IF(SalesData[[#This Row],[Contracts Signed]]=0,0,SalesData[[#This Row],[Profit(€)]]/SalesData[[#This Row],[Contracts Signed]])</f>
        <v>1829</v>
      </c>
      <c r="AJ4199" s="5" t="str">
        <f>TRIM(CLEAN(SalesData[[#This Row],[Retailer]]))</f>
        <v>Hannover Cars</v>
      </c>
    </row>
    <row r="4200" spans="1:36" ht="14.25" hidden="1" x14ac:dyDescent="0.2">
      <c r="A4200" t="s">
        <v>5449</v>
      </c>
      <c r="B4200" s="1">
        <v>46060</v>
      </c>
      <c r="C4200" t="s">
        <v>24</v>
      </c>
      <c r="D4200" t="s">
        <v>151</v>
      </c>
      <c r="E4200" t="s">
        <v>42</v>
      </c>
      <c r="F4200" t="s">
        <v>27</v>
      </c>
      <c r="G4200" t="s">
        <v>28</v>
      </c>
      <c r="H4200" t="s">
        <v>29</v>
      </c>
      <c r="I4200" t="s">
        <v>64</v>
      </c>
      <c r="J4200" t="s">
        <v>7029</v>
      </c>
      <c r="K4200" t="s">
        <v>78</v>
      </c>
      <c r="L4200" t="s">
        <v>33</v>
      </c>
      <c r="M4200" t="s">
        <v>68</v>
      </c>
      <c r="N4200" t="s">
        <v>35</v>
      </c>
      <c r="O4200" t="s">
        <v>70</v>
      </c>
      <c r="P4200" t="s">
        <v>37</v>
      </c>
      <c r="Q4200" t="s">
        <v>167</v>
      </c>
      <c r="R4200">
        <v>225</v>
      </c>
      <c r="S4200">
        <v>100</v>
      </c>
      <c r="T4200">
        <v>70</v>
      </c>
      <c r="U4200">
        <v>23</v>
      </c>
      <c r="V4200" t="s">
        <v>6571</v>
      </c>
      <c r="W4200">
        <v>54506</v>
      </c>
      <c r="X4200" t="s">
        <v>7138</v>
      </c>
      <c r="Y4200">
        <v>42369</v>
      </c>
      <c r="Z4200">
        <v>1253638</v>
      </c>
      <c r="AA4200">
        <v>279151</v>
      </c>
      <c r="AB4200" t="str">
        <f>(VLOOKUP(SalesData[[#This Row],[Month Number]],Reference!C$5:E$16,2,FALSE))</f>
        <v>Feb</v>
      </c>
      <c r="AC4200">
        <f>MONTH(SalesData[[#This Row],[Date]])</f>
        <v>2</v>
      </c>
      <c r="AD4200">
        <f>Reference!F$4</f>
        <v>2026</v>
      </c>
      <c r="AE4200" t="str">
        <f>IF(OR(SalesData[[#This Row],[Day]]="Saturday",SalesData[[#This Row],[Day]]="Sunday"),"Weekend","Weekday")</f>
        <v>Weekend</v>
      </c>
      <c r="AF4200" s="5">
        <f>IF(SalesData[[#This Row],[Contracts Offered]]=0,0,SalesData[[#This Row],[Contracts Signed]]/SalesData[[#This Row],[Contracts Offered]])</f>
        <v>0.32857142857142857</v>
      </c>
      <c r="AG4200" s="5">
        <f>IF(SalesData[[#This Row],[Customers Visited]]=0,0,SalesData[[#This Row],[Test Drives]]/SalesData[[#This Row],[Customers Visited]])</f>
        <v>0.44444444444444442</v>
      </c>
      <c r="AH4200" s="5">
        <f>IF(SalesData[[#This Row],[Customers Visited]]=0,0,SalesData[[#This Row],[Contracts Signed]]/SalesData[[#This Row],[Customers Visited]])</f>
        <v>0.10222222222222223</v>
      </c>
      <c r="AI4200" s="6">
        <f>IF(SalesData[[#This Row],[Contracts Signed]]=0,0,SalesData[[#This Row],[Profit(€)]]/SalesData[[#This Row],[Contracts Signed]])</f>
        <v>12137</v>
      </c>
      <c r="AJ4200" s="5" t="str">
        <f>TRIM(CLEAN(SalesData[[#This Row],[Retailer]]))</f>
        <v>Main Auto Hub</v>
      </c>
    </row>
    <row r="4201" spans="1:36" ht="14.25" hidden="1" x14ac:dyDescent="0.2">
      <c r="A4201" t="s">
        <v>5450</v>
      </c>
      <c r="B4201" s="1">
        <v>46062</v>
      </c>
      <c r="C4201" t="s">
        <v>121</v>
      </c>
      <c r="D4201" t="s">
        <v>25</v>
      </c>
      <c r="E4201" t="s">
        <v>26</v>
      </c>
      <c r="F4201" t="s">
        <v>7649</v>
      </c>
      <c r="G4201" t="s">
        <v>55</v>
      </c>
      <c r="H4201" t="s">
        <v>55</v>
      </c>
      <c r="I4201" t="s">
        <v>64</v>
      </c>
      <c r="J4201" t="s">
        <v>77</v>
      </c>
      <c r="K4201" t="s">
        <v>32</v>
      </c>
      <c r="L4201" t="s">
        <v>46</v>
      </c>
      <c r="M4201" t="s">
        <v>68</v>
      </c>
      <c r="N4201" t="s">
        <v>69</v>
      </c>
      <c r="O4201" t="s">
        <v>36</v>
      </c>
      <c r="P4201" t="s">
        <v>71</v>
      </c>
      <c r="Q4201" t="s">
        <v>167</v>
      </c>
      <c r="R4201">
        <v>158</v>
      </c>
      <c r="S4201">
        <v>71</v>
      </c>
      <c r="T4201">
        <v>53</v>
      </c>
      <c r="U4201">
        <v>18</v>
      </c>
      <c r="V4201" t="s">
        <v>6368</v>
      </c>
      <c r="W4201">
        <v>61978</v>
      </c>
      <c r="X4201" t="s">
        <v>7294</v>
      </c>
      <c r="Y4201">
        <v>48344</v>
      </c>
      <c r="Z4201">
        <v>1115604</v>
      </c>
      <c r="AA4201">
        <v>245412</v>
      </c>
      <c r="AB4201" t="str">
        <f>(VLOOKUP(SalesData[[#This Row],[Month Number]],Reference!C$5:E$16,2,FALSE))</f>
        <v>Feb</v>
      </c>
      <c r="AC4201">
        <f>MONTH(SalesData[[#This Row],[Date]])</f>
        <v>2</v>
      </c>
      <c r="AD4201">
        <f>Reference!F$4</f>
        <v>2026</v>
      </c>
      <c r="AE4201" t="str">
        <f>IF(OR(SalesData[[#This Row],[Day]]="Saturday",SalesData[[#This Row],[Day]]="Sunday"),"Weekend","Weekday")</f>
        <v>Weekday</v>
      </c>
      <c r="AF4201" s="5">
        <f>IF(SalesData[[#This Row],[Contracts Offered]]=0,0,SalesData[[#This Row],[Contracts Signed]]/SalesData[[#This Row],[Contracts Offered]])</f>
        <v>0.33962264150943394</v>
      </c>
      <c r="AG4201" s="5">
        <f>IF(SalesData[[#This Row],[Customers Visited]]=0,0,SalesData[[#This Row],[Test Drives]]/SalesData[[#This Row],[Customers Visited]])</f>
        <v>0.44936708860759494</v>
      </c>
      <c r="AH4201" s="5">
        <f>IF(SalesData[[#This Row],[Customers Visited]]=0,0,SalesData[[#This Row],[Contracts Signed]]/SalesData[[#This Row],[Customers Visited]])</f>
        <v>0.11392405063291139</v>
      </c>
      <c r="AI4201" s="6">
        <f>IF(SalesData[[#This Row],[Contracts Signed]]=0,0,SalesData[[#This Row],[Profit(€)]]/SalesData[[#This Row],[Contracts Signed]])</f>
        <v>13634</v>
      </c>
      <c r="AJ4201" s="5" t="str">
        <f>TRIM(CLEAN(SalesData[[#This Row],[Retailer]]))</f>
        <v>Autohaus Berlin</v>
      </c>
    </row>
    <row r="4202" spans="1:36" ht="14.25" hidden="1" x14ac:dyDescent="0.2">
      <c r="A4202" t="s">
        <v>5451</v>
      </c>
      <c r="B4202" s="1">
        <v>46070</v>
      </c>
      <c r="C4202" t="s">
        <v>62</v>
      </c>
      <c r="D4202" t="s">
        <v>63</v>
      </c>
      <c r="E4202" t="s">
        <v>26</v>
      </c>
      <c r="F4202" t="s">
        <v>74</v>
      </c>
      <c r="G4202" t="s">
        <v>75</v>
      </c>
      <c r="H4202" t="s">
        <v>76</v>
      </c>
      <c r="I4202" t="s">
        <v>64</v>
      </c>
      <c r="J4202" t="s">
        <v>111</v>
      </c>
      <c r="K4202" t="s">
        <v>91</v>
      </c>
      <c r="L4202" t="s">
        <v>46</v>
      </c>
      <c r="M4202" t="s">
        <v>34</v>
      </c>
      <c r="N4202" t="s">
        <v>48</v>
      </c>
      <c r="O4202" t="s">
        <v>36</v>
      </c>
      <c r="P4202" t="s">
        <v>58</v>
      </c>
      <c r="Q4202" t="s">
        <v>122</v>
      </c>
      <c r="R4202">
        <v>268</v>
      </c>
      <c r="S4202">
        <v>150</v>
      </c>
      <c r="T4202">
        <v>115</v>
      </c>
      <c r="U4202">
        <v>46</v>
      </c>
      <c r="V4202" t="s">
        <v>7626</v>
      </c>
      <c r="W4202">
        <v>54924</v>
      </c>
      <c r="X4202" t="s">
        <v>7494</v>
      </c>
      <c r="Y4202">
        <v>41194</v>
      </c>
      <c r="Z4202">
        <v>2526504</v>
      </c>
      <c r="AA4202">
        <v>631580</v>
      </c>
      <c r="AB4202" t="str">
        <f>(VLOOKUP(SalesData[[#This Row],[Month Number]],Reference!C$5:E$16,2,FALSE))</f>
        <v>Feb</v>
      </c>
      <c r="AC4202">
        <f>MONTH(SalesData[[#This Row],[Date]])</f>
        <v>2</v>
      </c>
      <c r="AD4202">
        <f>Reference!F$4</f>
        <v>2026</v>
      </c>
      <c r="AE4202" t="str">
        <f>IF(OR(SalesData[[#This Row],[Day]]="Saturday",SalesData[[#This Row],[Day]]="Sunday"),"Weekend","Weekday")</f>
        <v>Weekday</v>
      </c>
      <c r="AF4202" s="5">
        <f>IF(SalesData[[#This Row],[Contracts Offered]]=0,0,SalesData[[#This Row],[Contracts Signed]]/SalesData[[#This Row],[Contracts Offered]])</f>
        <v>0.4</v>
      </c>
      <c r="AG4202" s="5">
        <f>IF(SalesData[[#This Row],[Customers Visited]]=0,0,SalesData[[#This Row],[Test Drives]]/SalesData[[#This Row],[Customers Visited]])</f>
        <v>0.55970149253731338</v>
      </c>
      <c r="AH4202" s="5">
        <f>IF(SalesData[[#This Row],[Customers Visited]]=0,0,SalesData[[#This Row],[Contracts Signed]]/SalesData[[#This Row],[Customers Visited]])</f>
        <v>0.17164179104477612</v>
      </c>
      <c r="AI4202" s="6">
        <f>IF(SalesData[[#This Row],[Contracts Signed]]=0,0,SalesData[[#This Row],[Profit(€)]]/SalesData[[#This Row],[Contracts Signed]])</f>
        <v>13730</v>
      </c>
      <c r="AJ4202" s="5" t="str">
        <f>TRIM(CLEAN(SalesData[[#This Row],[Retailer]]))</f>
        <v>Stuttgart Auto Center</v>
      </c>
    </row>
    <row r="4203" spans="1:36" ht="14.25" hidden="1" x14ac:dyDescent="0.2">
      <c r="A4203" t="s">
        <v>5453</v>
      </c>
      <c r="B4203" s="1">
        <v>46071</v>
      </c>
      <c r="C4203" t="s">
        <v>62</v>
      </c>
      <c r="D4203" t="s">
        <v>82</v>
      </c>
      <c r="E4203" t="s">
        <v>26</v>
      </c>
      <c r="F4203" t="s">
        <v>109</v>
      </c>
      <c r="G4203" t="s">
        <v>110</v>
      </c>
      <c r="H4203" t="s">
        <v>45</v>
      </c>
      <c r="I4203" t="s">
        <v>56</v>
      </c>
      <c r="J4203" t="s">
        <v>97</v>
      </c>
      <c r="K4203" t="s">
        <v>66</v>
      </c>
      <c r="L4203" t="s">
        <v>33</v>
      </c>
      <c r="M4203" t="s">
        <v>68</v>
      </c>
      <c r="N4203" t="s">
        <v>48</v>
      </c>
      <c r="O4203" t="s">
        <v>70</v>
      </c>
      <c r="P4203" t="s">
        <v>37</v>
      </c>
      <c r="Q4203" t="s">
        <v>122</v>
      </c>
      <c r="R4203">
        <v>239</v>
      </c>
      <c r="S4203">
        <v>139</v>
      </c>
      <c r="T4203">
        <v>90</v>
      </c>
      <c r="U4203">
        <v>31</v>
      </c>
      <c r="V4203" t="s">
        <v>6455</v>
      </c>
      <c r="W4203">
        <v>47348</v>
      </c>
      <c r="X4203" t="s">
        <v>2299</v>
      </c>
      <c r="Y4203">
        <v>36331</v>
      </c>
      <c r="Z4203">
        <v>1467788</v>
      </c>
      <c r="AA4203">
        <v>341527</v>
      </c>
      <c r="AB4203" t="str">
        <f>(VLOOKUP(SalesData[[#This Row],[Month Number]],Reference!C$5:E$16,2,FALSE))</f>
        <v>Feb</v>
      </c>
      <c r="AC4203">
        <f>MONTH(SalesData[[#This Row],[Date]])</f>
        <v>2</v>
      </c>
      <c r="AD4203">
        <f>Reference!F$4</f>
        <v>2026</v>
      </c>
      <c r="AE4203" t="str">
        <f>IF(OR(SalesData[[#This Row],[Day]]="Saturday",SalesData[[#This Row],[Day]]="Sunday"),"Weekend","Weekday")</f>
        <v>Weekday</v>
      </c>
      <c r="AF4203" s="5">
        <f>IF(SalesData[[#This Row],[Contracts Offered]]=0,0,SalesData[[#This Row],[Contracts Signed]]/SalesData[[#This Row],[Contracts Offered]])</f>
        <v>0.34444444444444444</v>
      </c>
      <c r="AG4203" s="5">
        <f>IF(SalesData[[#This Row],[Customers Visited]]=0,0,SalesData[[#This Row],[Test Drives]]/SalesData[[#This Row],[Customers Visited]])</f>
        <v>0.58158995815899583</v>
      </c>
      <c r="AH4203" s="5">
        <f>IF(SalesData[[#This Row],[Customers Visited]]=0,0,SalesData[[#This Row],[Contracts Signed]]/SalesData[[#This Row],[Customers Visited]])</f>
        <v>0.1297071129707113</v>
      </c>
      <c r="AI4203" s="6">
        <f>IF(SalesData[[#This Row],[Contracts Signed]]=0,0,SalesData[[#This Row],[Profit(€)]]/SalesData[[#This Row],[Contracts Signed]])</f>
        <v>11017</v>
      </c>
      <c r="AJ4203" s="5" t="str">
        <f>TRIM(CLEAN(SalesData[[#This Row],[Retailer]]))</f>
        <v>Leipzig Mobility</v>
      </c>
    </row>
    <row r="4204" spans="1:36" ht="14.25" x14ac:dyDescent="0.2">
      <c r="A4204" t="s">
        <v>5454</v>
      </c>
      <c r="B4204" s="1">
        <v>46061</v>
      </c>
      <c r="C4204" t="s">
        <v>121</v>
      </c>
      <c r="D4204" t="s">
        <v>41</v>
      </c>
      <c r="E4204" t="s">
        <v>42</v>
      </c>
      <c r="F4204" t="s">
        <v>101</v>
      </c>
      <c r="G4204" t="s">
        <v>102</v>
      </c>
      <c r="H4204" t="s">
        <v>103</v>
      </c>
      <c r="I4204" t="s">
        <v>30</v>
      </c>
      <c r="J4204" t="s">
        <v>7075</v>
      </c>
      <c r="K4204" t="s">
        <v>32</v>
      </c>
      <c r="L4204" t="s">
        <v>33</v>
      </c>
      <c r="M4204" t="s">
        <v>87</v>
      </c>
      <c r="N4204" t="s">
        <v>35</v>
      </c>
      <c r="O4204" t="s">
        <v>70</v>
      </c>
      <c r="P4204" t="s">
        <v>58</v>
      </c>
      <c r="Q4204" t="s">
        <v>106</v>
      </c>
      <c r="R4204">
        <v>273</v>
      </c>
      <c r="S4204">
        <v>164</v>
      </c>
      <c r="T4204">
        <v>119</v>
      </c>
      <c r="U4204">
        <v>46</v>
      </c>
      <c r="V4204" t="s">
        <v>6422</v>
      </c>
      <c r="W4204">
        <v>58661</v>
      </c>
      <c r="X4204" t="s">
        <v>439</v>
      </c>
      <c r="Y4204">
        <v>43431</v>
      </c>
      <c r="Z4204">
        <v>2698406</v>
      </c>
      <c r="AA4204">
        <v>700580</v>
      </c>
      <c r="AB4204" t="str">
        <f>(VLOOKUP(SalesData[[#This Row],[Month Number]],Reference!C$5:E$16,2,FALSE))</f>
        <v>Feb</v>
      </c>
      <c r="AC4204">
        <f>MONTH(SalesData[[#This Row],[Date]])</f>
        <v>2</v>
      </c>
      <c r="AD4204">
        <f>Reference!F$4</f>
        <v>2026</v>
      </c>
      <c r="AE4204" t="str">
        <f>IF(OR(SalesData[[#This Row],[Day]]="Saturday",SalesData[[#This Row],[Day]]="Sunday"),"Weekend","Weekday")</f>
        <v>Weekend</v>
      </c>
      <c r="AF4204" s="5">
        <f>IF(SalesData[[#This Row],[Contracts Offered]]=0,0,SalesData[[#This Row],[Contracts Signed]]/SalesData[[#This Row],[Contracts Offered]])</f>
        <v>0.38655462184873951</v>
      </c>
      <c r="AG4204" s="5">
        <f>IF(SalesData[[#This Row],[Customers Visited]]=0,0,SalesData[[#This Row],[Test Drives]]/SalesData[[#This Row],[Customers Visited]])</f>
        <v>0.60073260073260071</v>
      </c>
      <c r="AH4204" s="5">
        <f>IF(SalesData[[#This Row],[Customers Visited]]=0,0,SalesData[[#This Row],[Contracts Signed]]/SalesData[[#This Row],[Customers Visited]])</f>
        <v>0.16849816849816851</v>
      </c>
      <c r="AI4204" s="6">
        <f>IF(SalesData[[#This Row],[Contracts Signed]]=0,0,SalesData[[#This Row],[Profit(€)]]/SalesData[[#This Row],[Contracts Signed]])</f>
        <v>15230</v>
      </c>
      <c r="AJ4204" s="5" t="str">
        <f>TRIM(CLEAN(SalesData[[#This Row],[Retailer]]))</f>
        <v>Ruhr Auto Plaza</v>
      </c>
    </row>
    <row r="4205" spans="1:36" ht="14.25" hidden="1" x14ac:dyDescent="0.2">
      <c r="A4205" t="s">
        <v>5455</v>
      </c>
      <c r="B4205" s="1">
        <v>46061</v>
      </c>
      <c r="C4205" t="s">
        <v>121</v>
      </c>
      <c r="D4205" t="s">
        <v>41</v>
      </c>
      <c r="E4205" t="s">
        <v>42</v>
      </c>
      <c r="F4205" t="s">
        <v>27</v>
      </c>
      <c r="G4205" t="s">
        <v>28</v>
      </c>
      <c r="H4205" t="s">
        <v>29</v>
      </c>
      <c r="I4205" t="s">
        <v>64</v>
      </c>
      <c r="J4205" t="s">
        <v>77</v>
      </c>
      <c r="K4205" t="s">
        <v>91</v>
      </c>
      <c r="L4205" t="s">
        <v>46</v>
      </c>
      <c r="M4205" t="s">
        <v>87</v>
      </c>
      <c r="N4205" t="s">
        <v>48</v>
      </c>
      <c r="O4205" t="s">
        <v>70</v>
      </c>
      <c r="P4205" t="s">
        <v>49</v>
      </c>
      <c r="Q4205" t="s">
        <v>169</v>
      </c>
      <c r="R4205">
        <v>285</v>
      </c>
      <c r="S4205">
        <v>136</v>
      </c>
      <c r="T4205">
        <v>98</v>
      </c>
      <c r="U4205">
        <v>30</v>
      </c>
      <c r="V4205" t="s">
        <v>6366</v>
      </c>
      <c r="W4205">
        <v>60283</v>
      </c>
      <c r="X4205" t="s">
        <v>3904</v>
      </c>
      <c r="Y4205">
        <v>44660</v>
      </c>
      <c r="Z4205">
        <v>1808490</v>
      </c>
      <c r="AA4205">
        <v>468690</v>
      </c>
      <c r="AB4205" t="str">
        <f>(VLOOKUP(SalesData[[#This Row],[Month Number]],Reference!C$5:E$16,2,FALSE))</f>
        <v>Feb</v>
      </c>
      <c r="AC4205">
        <f>MONTH(SalesData[[#This Row],[Date]])</f>
        <v>2</v>
      </c>
      <c r="AD4205">
        <f>Reference!F$4</f>
        <v>2026</v>
      </c>
      <c r="AE4205" t="str">
        <f>IF(OR(SalesData[[#This Row],[Day]]="Saturday",SalesData[[#This Row],[Day]]="Sunday"),"Weekend","Weekday")</f>
        <v>Weekend</v>
      </c>
      <c r="AF4205" s="5">
        <f>IF(SalesData[[#This Row],[Contracts Offered]]=0,0,SalesData[[#This Row],[Contracts Signed]]/SalesData[[#This Row],[Contracts Offered]])</f>
        <v>0.30612244897959184</v>
      </c>
      <c r="AG4205" s="5">
        <f>IF(SalesData[[#This Row],[Customers Visited]]=0,0,SalesData[[#This Row],[Test Drives]]/SalesData[[#This Row],[Customers Visited]])</f>
        <v>0.47719298245614034</v>
      </c>
      <c r="AH4205" s="5">
        <f>IF(SalesData[[#This Row],[Customers Visited]]=0,0,SalesData[[#This Row],[Contracts Signed]]/SalesData[[#This Row],[Customers Visited]])</f>
        <v>0.10526315789473684</v>
      </c>
      <c r="AI4205" s="6">
        <f>IF(SalesData[[#This Row],[Contracts Signed]]=0,0,SalesData[[#This Row],[Profit(€)]]/SalesData[[#This Row],[Contracts Signed]])</f>
        <v>15623</v>
      </c>
      <c r="AJ4205" s="5" t="str">
        <f>TRIM(CLEAN(SalesData[[#This Row],[Retailer]]))</f>
        <v>Main Auto Hub</v>
      </c>
    </row>
    <row r="4206" spans="1:36" ht="14.25" hidden="1" x14ac:dyDescent="0.2">
      <c r="A4206" t="s">
        <v>5456</v>
      </c>
      <c r="B4206" s="1">
        <v>46070</v>
      </c>
      <c r="C4206" t="s">
        <v>62</v>
      </c>
      <c r="D4206" t="s">
        <v>63</v>
      </c>
      <c r="E4206" t="s">
        <v>26</v>
      </c>
      <c r="F4206" t="s">
        <v>127</v>
      </c>
      <c r="G4206" t="s">
        <v>128</v>
      </c>
      <c r="H4206" t="s">
        <v>103</v>
      </c>
      <c r="I4206" t="s">
        <v>64</v>
      </c>
      <c r="J4206" t="s">
        <v>77</v>
      </c>
      <c r="K4206" t="s">
        <v>66</v>
      </c>
      <c r="L4206" t="s">
        <v>46</v>
      </c>
      <c r="M4206" t="s">
        <v>47</v>
      </c>
      <c r="N4206" t="s">
        <v>48</v>
      </c>
      <c r="O4206" t="s">
        <v>36</v>
      </c>
      <c r="P4206" t="s">
        <v>37</v>
      </c>
      <c r="Q4206" t="s">
        <v>189</v>
      </c>
      <c r="R4206">
        <v>153</v>
      </c>
      <c r="S4206">
        <v>88</v>
      </c>
      <c r="T4206">
        <v>67</v>
      </c>
      <c r="U4206">
        <v>24</v>
      </c>
      <c r="V4206" t="s">
        <v>6483</v>
      </c>
      <c r="W4206">
        <v>67659</v>
      </c>
      <c r="X4206" t="s">
        <v>7109</v>
      </c>
      <c r="Y4206">
        <v>49583</v>
      </c>
      <c r="Z4206">
        <v>1623816</v>
      </c>
      <c r="AA4206">
        <v>433824</v>
      </c>
      <c r="AB4206" t="str">
        <f>(VLOOKUP(SalesData[[#This Row],[Month Number]],Reference!C$5:E$16,2,FALSE))</f>
        <v>Feb</v>
      </c>
      <c r="AC4206">
        <f>MONTH(SalesData[[#This Row],[Date]])</f>
        <v>2</v>
      </c>
      <c r="AD4206">
        <f>Reference!F$4</f>
        <v>2026</v>
      </c>
      <c r="AE4206" t="str">
        <f>IF(OR(SalesData[[#This Row],[Day]]="Saturday",SalesData[[#This Row],[Day]]="Sunday"),"Weekend","Weekday")</f>
        <v>Weekday</v>
      </c>
      <c r="AF4206" s="5">
        <f>IF(SalesData[[#This Row],[Contracts Offered]]=0,0,SalesData[[#This Row],[Contracts Signed]]/SalesData[[#This Row],[Contracts Offered]])</f>
        <v>0.35820895522388058</v>
      </c>
      <c r="AG4206" s="5">
        <f>IF(SalesData[[#This Row],[Customers Visited]]=0,0,SalesData[[#This Row],[Test Drives]]/SalesData[[#This Row],[Customers Visited]])</f>
        <v>0.57516339869281041</v>
      </c>
      <c r="AH4206" s="5">
        <f>IF(SalesData[[#This Row],[Customers Visited]]=0,0,SalesData[[#This Row],[Contracts Signed]]/SalesData[[#This Row],[Customers Visited]])</f>
        <v>0.15686274509803921</v>
      </c>
      <c r="AI4206" s="6">
        <f>IF(SalesData[[#This Row],[Contracts Signed]]=0,0,SalesData[[#This Row],[Profit(€)]]/SalesData[[#This Row],[Contracts Signed]])</f>
        <v>18076</v>
      </c>
      <c r="AJ4206" s="5" t="str">
        <f>TRIM(CLEAN(SalesData[[#This Row],[Retailer]]))</f>
        <v>Rhein Auto Group</v>
      </c>
    </row>
    <row r="4207" spans="1:36" ht="14.25" x14ac:dyDescent="0.2">
      <c r="A4207" t="s">
        <v>5457</v>
      </c>
      <c r="B4207" s="1">
        <v>46060</v>
      </c>
      <c r="C4207" t="s">
        <v>24</v>
      </c>
      <c r="D4207" t="s">
        <v>151</v>
      </c>
      <c r="E4207" t="s">
        <v>42</v>
      </c>
      <c r="F4207" t="s">
        <v>74</v>
      </c>
      <c r="G4207" t="s">
        <v>75</v>
      </c>
      <c r="H4207" t="s">
        <v>76</v>
      </c>
      <c r="I4207" t="s">
        <v>30</v>
      </c>
      <c r="J4207" t="s">
        <v>166</v>
      </c>
      <c r="K4207" t="s">
        <v>78</v>
      </c>
      <c r="L4207" t="s">
        <v>46</v>
      </c>
      <c r="M4207" t="s">
        <v>34</v>
      </c>
      <c r="N4207" t="s">
        <v>48</v>
      </c>
      <c r="O4207" t="s">
        <v>70</v>
      </c>
      <c r="P4207" t="s">
        <v>58</v>
      </c>
      <c r="Q4207" t="s">
        <v>189</v>
      </c>
      <c r="R4207">
        <v>204</v>
      </c>
      <c r="S4207">
        <v>95</v>
      </c>
      <c r="T4207">
        <v>75</v>
      </c>
      <c r="U4207">
        <v>29</v>
      </c>
      <c r="V4207" t="s">
        <v>7486</v>
      </c>
      <c r="W4207">
        <v>59033</v>
      </c>
      <c r="X4207" t="s">
        <v>3526</v>
      </c>
      <c r="Y4207">
        <v>43458</v>
      </c>
      <c r="Z4207">
        <v>1711957</v>
      </c>
      <c r="AA4207">
        <v>451675</v>
      </c>
      <c r="AB4207" t="str">
        <f>(VLOOKUP(SalesData[[#This Row],[Month Number]],Reference!C$5:E$16,2,FALSE))</f>
        <v>Feb</v>
      </c>
      <c r="AC4207">
        <f>MONTH(SalesData[[#This Row],[Date]])</f>
        <v>2</v>
      </c>
      <c r="AD4207">
        <f>Reference!F$4</f>
        <v>2026</v>
      </c>
      <c r="AE4207" t="str">
        <f>IF(OR(SalesData[[#This Row],[Day]]="Saturday",SalesData[[#This Row],[Day]]="Sunday"),"Weekend","Weekday")</f>
        <v>Weekend</v>
      </c>
      <c r="AF4207" s="5">
        <f>IF(SalesData[[#This Row],[Contracts Offered]]=0,0,SalesData[[#This Row],[Contracts Signed]]/SalesData[[#This Row],[Contracts Offered]])</f>
        <v>0.38666666666666666</v>
      </c>
      <c r="AG4207" s="5">
        <f>IF(SalesData[[#This Row],[Customers Visited]]=0,0,SalesData[[#This Row],[Test Drives]]/SalesData[[#This Row],[Customers Visited]])</f>
        <v>0.46568627450980393</v>
      </c>
      <c r="AH4207" s="5">
        <f>IF(SalesData[[#This Row],[Customers Visited]]=0,0,SalesData[[#This Row],[Contracts Signed]]/SalesData[[#This Row],[Customers Visited]])</f>
        <v>0.14215686274509803</v>
      </c>
      <c r="AI4207" s="6">
        <f>IF(SalesData[[#This Row],[Contracts Signed]]=0,0,SalesData[[#This Row],[Profit(€)]]/SalesData[[#This Row],[Contracts Signed]])</f>
        <v>15575</v>
      </c>
      <c r="AJ4207" s="5" t="str">
        <f>TRIM(CLEAN(SalesData[[#This Row],[Retailer]]))</f>
        <v>Stuttgart Auto Center</v>
      </c>
    </row>
    <row r="4208" spans="1:36" ht="14.25" x14ac:dyDescent="0.2">
      <c r="A4208" t="s">
        <v>5458</v>
      </c>
      <c r="B4208" s="1">
        <v>46080</v>
      </c>
      <c r="C4208" t="s">
        <v>53</v>
      </c>
      <c r="D4208" t="s">
        <v>54</v>
      </c>
      <c r="E4208" t="s">
        <v>26</v>
      </c>
      <c r="F4208" t="s">
        <v>27</v>
      </c>
      <c r="G4208" t="s">
        <v>28</v>
      </c>
      <c r="H4208" t="s">
        <v>29</v>
      </c>
      <c r="I4208" t="s">
        <v>30</v>
      </c>
      <c r="J4208" t="s">
        <v>7075</v>
      </c>
      <c r="K4208" t="s">
        <v>91</v>
      </c>
      <c r="L4208" t="s">
        <v>33</v>
      </c>
      <c r="M4208" t="s">
        <v>87</v>
      </c>
      <c r="N4208" t="s">
        <v>48</v>
      </c>
      <c r="O4208" t="s">
        <v>36</v>
      </c>
      <c r="P4208" t="s">
        <v>71</v>
      </c>
      <c r="Q4208" t="s">
        <v>172</v>
      </c>
      <c r="R4208">
        <v>159</v>
      </c>
      <c r="S4208">
        <v>80</v>
      </c>
      <c r="T4208">
        <v>64</v>
      </c>
      <c r="U4208">
        <v>22</v>
      </c>
      <c r="V4208" t="s">
        <v>6767</v>
      </c>
      <c r="W4208">
        <v>58132</v>
      </c>
      <c r="X4208" t="s">
        <v>7301</v>
      </c>
      <c r="Y4208">
        <v>41947</v>
      </c>
      <c r="Z4208">
        <v>1278904</v>
      </c>
      <c r="AA4208">
        <v>356070</v>
      </c>
      <c r="AB4208" t="str">
        <f>(VLOOKUP(SalesData[[#This Row],[Month Number]],Reference!C$5:E$16,2,FALSE))</f>
        <v>Feb</v>
      </c>
      <c r="AC4208">
        <f>MONTH(SalesData[[#This Row],[Date]])</f>
        <v>2</v>
      </c>
      <c r="AD4208">
        <f>Reference!F$4</f>
        <v>2026</v>
      </c>
      <c r="AE4208" t="str">
        <f>IF(OR(SalesData[[#This Row],[Day]]="Saturday",SalesData[[#This Row],[Day]]="Sunday"),"Weekend","Weekday")</f>
        <v>Weekday</v>
      </c>
      <c r="AF4208" s="5">
        <f>IF(SalesData[[#This Row],[Contracts Offered]]=0,0,SalesData[[#This Row],[Contracts Signed]]/SalesData[[#This Row],[Contracts Offered]])</f>
        <v>0.34375</v>
      </c>
      <c r="AG4208" s="5">
        <f>IF(SalesData[[#This Row],[Customers Visited]]=0,0,SalesData[[#This Row],[Test Drives]]/SalesData[[#This Row],[Customers Visited]])</f>
        <v>0.50314465408805031</v>
      </c>
      <c r="AH4208" s="5">
        <f>IF(SalesData[[#This Row],[Customers Visited]]=0,0,SalesData[[#This Row],[Contracts Signed]]/SalesData[[#This Row],[Customers Visited]])</f>
        <v>0.13836477987421383</v>
      </c>
      <c r="AI4208" s="6">
        <f>IF(SalesData[[#This Row],[Contracts Signed]]=0,0,SalesData[[#This Row],[Profit(€)]]/SalesData[[#This Row],[Contracts Signed]])</f>
        <v>16185</v>
      </c>
      <c r="AJ4208" s="5" t="str">
        <f>TRIM(CLEAN(SalesData[[#This Row],[Retailer]]))</f>
        <v>Main Auto Hub</v>
      </c>
    </row>
    <row r="4209" spans="1:36" ht="14.25" hidden="1" x14ac:dyDescent="0.2">
      <c r="A4209" t="s">
        <v>5459</v>
      </c>
      <c r="B4209" s="1">
        <v>46063</v>
      </c>
      <c r="C4209" t="s">
        <v>121</v>
      </c>
      <c r="D4209" t="s">
        <v>63</v>
      </c>
      <c r="E4209" t="s">
        <v>26</v>
      </c>
      <c r="F4209" t="s">
        <v>109</v>
      </c>
      <c r="G4209" t="s">
        <v>110</v>
      </c>
      <c r="H4209" t="s">
        <v>45</v>
      </c>
      <c r="I4209" t="s">
        <v>104</v>
      </c>
      <c r="J4209" t="s">
        <v>140</v>
      </c>
      <c r="K4209" t="s">
        <v>66</v>
      </c>
      <c r="L4209" t="s">
        <v>46</v>
      </c>
      <c r="M4209" t="s">
        <v>68</v>
      </c>
      <c r="N4209" t="s">
        <v>69</v>
      </c>
      <c r="O4209" t="s">
        <v>70</v>
      </c>
      <c r="P4209" t="s">
        <v>49</v>
      </c>
      <c r="Q4209" t="s">
        <v>144</v>
      </c>
      <c r="R4209">
        <v>354</v>
      </c>
      <c r="S4209">
        <v>194</v>
      </c>
      <c r="T4209">
        <v>123</v>
      </c>
      <c r="U4209">
        <v>26</v>
      </c>
      <c r="V4209" t="s">
        <v>3347</v>
      </c>
      <c r="W4209">
        <v>28202</v>
      </c>
      <c r="X4209" t="s">
        <v>7580</v>
      </c>
      <c r="Y4209">
        <v>25047</v>
      </c>
      <c r="Z4209">
        <v>733252</v>
      </c>
      <c r="AA4209">
        <v>82030</v>
      </c>
      <c r="AB4209" t="str">
        <f>(VLOOKUP(SalesData[[#This Row],[Month Number]],Reference!C$5:E$16,2,FALSE))</f>
        <v>Feb</v>
      </c>
      <c r="AC4209">
        <f>MONTH(SalesData[[#This Row],[Date]])</f>
        <v>2</v>
      </c>
      <c r="AD4209">
        <f>Reference!F$4</f>
        <v>2026</v>
      </c>
      <c r="AE4209" t="str">
        <f>IF(OR(SalesData[[#This Row],[Day]]="Saturday",SalesData[[#This Row],[Day]]="Sunday"),"Weekend","Weekday")</f>
        <v>Weekday</v>
      </c>
      <c r="AF4209" s="5">
        <f>IF(SalesData[[#This Row],[Contracts Offered]]=0,0,SalesData[[#This Row],[Contracts Signed]]/SalesData[[#This Row],[Contracts Offered]])</f>
        <v>0.21138211382113822</v>
      </c>
      <c r="AG4209" s="5">
        <f>IF(SalesData[[#This Row],[Customers Visited]]=0,0,SalesData[[#This Row],[Test Drives]]/SalesData[[#This Row],[Customers Visited]])</f>
        <v>0.54802259887005644</v>
      </c>
      <c r="AH4209" s="5">
        <f>IF(SalesData[[#This Row],[Customers Visited]]=0,0,SalesData[[#This Row],[Contracts Signed]]/SalesData[[#This Row],[Customers Visited]])</f>
        <v>7.3446327683615822E-2</v>
      </c>
      <c r="AI4209" s="6">
        <f>IF(SalesData[[#This Row],[Contracts Signed]]=0,0,SalesData[[#This Row],[Profit(€)]]/SalesData[[#This Row],[Contracts Signed]])</f>
        <v>3155</v>
      </c>
      <c r="AJ4209" s="5" t="str">
        <f>TRIM(CLEAN(SalesData[[#This Row],[Retailer]]))</f>
        <v>Leipzig Mobility</v>
      </c>
    </row>
    <row r="4210" spans="1:36" ht="14.25" x14ac:dyDescent="0.2">
      <c r="A4210" t="s">
        <v>5460</v>
      </c>
      <c r="B4210" s="1">
        <v>46071</v>
      </c>
      <c r="C4210" t="s">
        <v>62</v>
      </c>
      <c r="D4210" t="s">
        <v>82</v>
      </c>
      <c r="E4210" t="s">
        <v>26</v>
      </c>
      <c r="F4210" t="s">
        <v>7649</v>
      </c>
      <c r="G4210" t="s">
        <v>55</v>
      </c>
      <c r="H4210" t="s">
        <v>55</v>
      </c>
      <c r="I4210" t="s">
        <v>30</v>
      </c>
      <c r="J4210" t="s">
        <v>86</v>
      </c>
      <c r="K4210" t="s">
        <v>91</v>
      </c>
      <c r="L4210" t="s">
        <v>33</v>
      </c>
      <c r="M4210" t="s">
        <v>47</v>
      </c>
      <c r="N4210" t="s">
        <v>35</v>
      </c>
      <c r="O4210" t="s">
        <v>70</v>
      </c>
      <c r="P4210" t="s">
        <v>37</v>
      </c>
      <c r="Q4210" t="s">
        <v>88</v>
      </c>
      <c r="R4210">
        <v>214</v>
      </c>
      <c r="S4210">
        <v>105</v>
      </c>
      <c r="T4210">
        <v>71</v>
      </c>
      <c r="U4210">
        <v>30</v>
      </c>
      <c r="V4210" t="s">
        <v>6357</v>
      </c>
      <c r="W4210">
        <v>62327</v>
      </c>
      <c r="X4210" t="s">
        <v>7220</v>
      </c>
      <c r="Y4210">
        <v>43661</v>
      </c>
      <c r="Z4210">
        <v>1869810</v>
      </c>
      <c r="AA4210">
        <v>559980</v>
      </c>
      <c r="AB4210" t="str">
        <f>(VLOOKUP(SalesData[[#This Row],[Month Number]],Reference!C$5:E$16,2,FALSE))</f>
        <v>Feb</v>
      </c>
      <c r="AC4210">
        <f>MONTH(SalesData[[#This Row],[Date]])</f>
        <v>2</v>
      </c>
      <c r="AD4210">
        <f>Reference!F$4</f>
        <v>2026</v>
      </c>
      <c r="AE4210" t="str">
        <f>IF(OR(SalesData[[#This Row],[Day]]="Saturday",SalesData[[#This Row],[Day]]="Sunday"),"Weekend","Weekday")</f>
        <v>Weekday</v>
      </c>
      <c r="AF4210" s="5">
        <f>IF(SalesData[[#This Row],[Contracts Offered]]=0,0,SalesData[[#This Row],[Contracts Signed]]/SalesData[[#This Row],[Contracts Offered]])</f>
        <v>0.42253521126760563</v>
      </c>
      <c r="AG4210" s="5">
        <f>IF(SalesData[[#This Row],[Customers Visited]]=0,0,SalesData[[#This Row],[Test Drives]]/SalesData[[#This Row],[Customers Visited]])</f>
        <v>0.49065420560747663</v>
      </c>
      <c r="AH4210" s="5">
        <f>IF(SalesData[[#This Row],[Customers Visited]]=0,0,SalesData[[#This Row],[Contracts Signed]]/SalesData[[#This Row],[Customers Visited]])</f>
        <v>0.14018691588785046</v>
      </c>
      <c r="AI4210" s="6">
        <f>IF(SalesData[[#This Row],[Contracts Signed]]=0,0,SalesData[[#This Row],[Profit(€)]]/SalesData[[#This Row],[Contracts Signed]])</f>
        <v>18666</v>
      </c>
      <c r="AJ4210" s="5" t="str">
        <f>TRIM(CLEAN(SalesData[[#This Row],[Retailer]]))</f>
        <v>Autohaus Berlin</v>
      </c>
    </row>
    <row r="4211" spans="1:36" ht="14.25" x14ac:dyDescent="0.2">
      <c r="A4211" t="s">
        <v>5461</v>
      </c>
      <c r="B4211" s="1">
        <v>46071</v>
      </c>
      <c r="C4211" t="s">
        <v>62</v>
      </c>
      <c r="D4211" t="s">
        <v>82</v>
      </c>
      <c r="E4211" t="s">
        <v>26</v>
      </c>
      <c r="F4211" t="s">
        <v>127</v>
      </c>
      <c r="G4211" t="s">
        <v>128</v>
      </c>
      <c r="H4211" t="s">
        <v>103</v>
      </c>
      <c r="I4211" t="s">
        <v>30</v>
      </c>
      <c r="J4211" t="s">
        <v>188</v>
      </c>
      <c r="K4211" t="s">
        <v>32</v>
      </c>
      <c r="L4211" t="s">
        <v>33</v>
      </c>
      <c r="M4211" t="s">
        <v>68</v>
      </c>
      <c r="N4211" t="s">
        <v>35</v>
      </c>
      <c r="O4211" t="s">
        <v>36</v>
      </c>
      <c r="P4211" t="s">
        <v>49</v>
      </c>
      <c r="Q4211" t="s">
        <v>169</v>
      </c>
      <c r="R4211">
        <v>254</v>
      </c>
      <c r="S4211">
        <v>125</v>
      </c>
      <c r="T4211">
        <v>101</v>
      </c>
      <c r="U4211">
        <v>35</v>
      </c>
      <c r="V4211" t="s">
        <v>6544</v>
      </c>
      <c r="W4211">
        <v>51840</v>
      </c>
      <c r="X4211" t="s">
        <v>3065</v>
      </c>
      <c r="Y4211">
        <v>37419</v>
      </c>
      <c r="Z4211">
        <v>1814400</v>
      </c>
      <c r="AA4211">
        <v>504735</v>
      </c>
      <c r="AB4211" t="str">
        <f>(VLOOKUP(SalesData[[#This Row],[Month Number]],Reference!C$5:E$16,2,FALSE))</f>
        <v>Feb</v>
      </c>
      <c r="AC4211">
        <f>MONTH(SalesData[[#This Row],[Date]])</f>
        <v>2</v>
      </c>
      <c r="AD4211">
        <f>Reference!F$4</f>
        <v>2026</v>
      </c>
      <c r="AE4211" t="str">
        <f>IF(OR(SalesData[[#This Row],[Day]]="Saturday",SalesData[[#This Row],[Day]]="Sunday"),"Weekend","Weekday")</f>
        <v>Weekday</v>
      </c>
      <c r="AF4211" s="5">
        <f>IF(SalesData[[#This Row],[Contracts Offered]]=0,0,SalesData[[#This Row],[Contracts Signed]]/SalesData[[#This Row],[Contracts Offered]])</f>
        <v>0.34653465346534651</v>
      </c>
      <c r="AG4211" s="5">
        <f>IF(SalesData[[#This Row],[Customers Visited]]=0,0,SalesData[[#This Row],[Test Drives]]/SalesData[[#This Row],[Customers Visited]])</f>
        <v>0.49212598425196852</v>
      </c>
      <c r="AH4211" s="5">
        <f>IF(SalesData[[#This Row],[Customers Visited]]=0,0,SalesData[[#This Row],[Contracts Signed]]/SalesData[[#This Row],[Customers Visited]])</f>
        <v>0.13779527559055119</v>
      </c>
      <c r="AI4211" s="6">
        <f>IF(SalesData[[#This Row],[Contracts Signed]]=0,0,SalesData[[#This Row],[Profit(€)]]/SalesData[[#This Row],[Contracts Signed]])</f>
        <v>14421</v>
      </c>
      <c r="AJ4211" s="5" t="str">
        <f>TRIM(CLEAN(SalesData[[#This Row],[Retailer]]))</f>
        <v>Rhein Auto Group</v>
      </c>
    </row>
    <row r="4212" spans="1:36" ht="14.25" hidden="1" x14ac:dyDescent="0.2">
      <c r="A4212" t="s">
        <v>5462</v>
      </c>
      <c r="B4212" s="1">
        <v>46070</v>
      </c>
      <c r="C4212" t="s">
        <v>62</v>
      </c>
      <c r="D4212" t="s">
        <v>63</v>
      </c>
      <c r="E4212" t="s">
        <v>26</v>
      </c>
      <c r="F4212" t="s">
        <v>43</v>
      </c>
      <c r="G4212" t="s">
        <v>44</v>
      </c>
      <c r="H4212" t="s">
        <v>45</v>
      </c>
      <c r="I4212" t="s">
        <v>64</v>
      </c>
      <c r="J4212" t="s">
        <v>65</v>
      </c>
      <c r="K4212" t="s">
        <v>32</v>
      </c>
      <c r="L4212" t="s">
        <v>33</v>
      </c>
      <c r="M4212" t="s">
        <v>34</v>
      </c>
      <c r="N4212" t="s">
        <v>35</v>
      </c>
      <c r="O4212" t="s">
        <v>36</v>
      </c>
      <c r="P4212" t="s">
        <v>49</v>
      </c>
      <c r="Q4212" t="s">
        <v>158</v>
      </c>
      <c r="R4212">
        <v>159</v>
      </c>
      <c r="S4212">
        <v>71</v>
      </c>
      <c r="T4212">
        <v>53</v>
      </c>
      <c r="U4212">
        <v>15</v>
      </c>
      <c r="V4212" t="s">
        <v>6943</v>
      </c>
      <c r="W4212">
        <v>52041</v>
      </c>
      <c r="X4212" t="s">
        <v>7528</v>
      </c>
      <c r="Y4212">
        <v>39326</v>
      </c>
      <c r="Z4212">
        <v>780615</v>
      </c>
      <c r="AA4212">
        <v>190725</v>
      </c>
      <c r="AB4212" t="str">
        <f>(VLOOKUP(SalesData[[#This Row],[Month Number]],Reference!C$5:E$16,2,FALSE))</f>
        <v>Feb</v>
      </c>
      <c r="AC4212">
        <f>MONTH(SalesData[[#This Row],[Date]])</f>
        <v>2</v>
      </c>
      <c r="AD4212">
        <f>Reference!F$4</f>
        <v>2026</v>
      </c>
      <c r="AE4212" t="str">
        <f>IF(OR(SalesData[[#This Row],[Day]]="Saturday",SalesData[[#This Row],[Day]]="Sunday"),"Weekend","Weekday")</f>
        <v>Weekday</v>
      </c>
      <c r="AF4212" s="5">
        <f>IF(SalesData[[#This Row],[Contracts Offered]]=0,0,SalesData[[#This Row],[Contracts Signed]]/SalesData[[#This Row],[Contracts Offered]])</f>
        <v>0.28301886792452829</v>
      </c>
      <c r="AG4212" s="5">
        <f>IF(SalesData[[#This Row],[Customers Visited]]=0,0,SalesData[[#This Row],[Test Drives]]/SalesData[[#This Row],[Customers Visited]])</f>
        <v>0.44654088050314467</v>
      </c>
      <c r="AH4212" s="5">
        <f>IF(SalesData[[#This Row],[Customers Visited]]=0,0,SalesData[[#This Row],[Contracts Signed]]/SalesData[[#This Row],[Customers Visited]])</f>
        <v>9.4339622641509441E-2</v>
      </c>
      <c r="AI4212" s="6">
        <f>IF(SalesData[[#This Row],[Contracts Signed]]=0,0,SalesData[[#This Row],[Profit(€)]]/SalesData[[#This Row],[Contracts Signed]])</f>
        <v>12715</v>
      </c>
      <c r="AJ4212" s="5" t="str">
        <f>TRIM(CLEAN(SalesData[[#This Row],[Retailer]]))</f>
        <v>Saxon Wheels</v>
      </c>
    </row>
    <row r="4213" spans="1:36" ht="14.25" hidden="1" x14ac:dyDescent="0.2">
      <c r="A4213" t="s">
        <v>5463</v>
      </c>
      <c r="B4213" s="1">
        <v>46069</v>
      </c>
      <c r="C4213" t="s">
        <v>62</v>
      </c>
      <c r="D4213" t="s">
        <v>25</v>
      </c>
      <c r="E4213" t="s">
        <v>26</v>
      </c>
      <c r="F4213" t="s">
        <v>74</v>
      </c>
      <c r="G4213" t="s">
        <v>75</v>
      </c>
      <c r="H4213" t="s">
        <v>76</v>
      </c>
      <c r="I4213" t="s">
        <v>64</v>
      </c>
      <c r="J4213" t="s">
        <v>157</v>
      </c>
      <c r="K4213" t="s">
        <v>66</v>
      </c>
      <c r="L4213" t="s">
        <v>33</v>
      </c>
      <c r="M4213" t="s">
        <v>34</v>
      </c>
      <c r="N4213" t="s">
        <v>35</v>
      </c>
      <c r="O4213" t="s">
        <v>36</v>
      </c>
      <c r="P4213" t="s">
        <v>37</v>
      </c>
      <c r="Q4213" t="s">
        <v>167</v>
      </c>
      <c r="R4213">
        <v>266</v>
      </c>
      <c r="S4213">
        <v>136</v>
      </c>
      <c r="T4213">
        <v>90</v>
      </c>
      <c r="U4213">
        <v>32</v>
      </c>
      <c r="V4213" t="s">
        <v>6439</v>
      </c>
      <c r="W4213">
        <v>55113</v>
      </c>
      <c r="X4213" t="s">
        <v>2251</v>
      </c>
      <c r="Y4213">
        <v>42947</v>
      </c>
      <c r="Z4213">
        <v>1763616</v>
      </c>
      <c r="AA4213">
        <v>389312</v>
      </c>
      <c r="AB4213" t="str">
        <f>(VLOOKUP(SalesData[[#This Row],[Month Number]],Reference!C$5:E$16,2,FALSE))</f>
        <v>Feb</v>
      </c>
      <c r="AC4213">
        <f>MONTH(SalesData[[#This Row],[Date]])</f>
        <v>2</v>
      </c>
      <c r="AD4213">
        <f>Reference!F$4</f>
        <v>2026</v>
      </c>
      <c r="AE4213" t="str">
        <f>IF(OR(SalesData[[#This Row],[Day]]="Saturday",SalesData[[#This Row],[Day]]="Sunday"),"Weekend","Weekday")</f>
        <v>Weekday</v>
      </c>
      <c r="AF4213" s="5">
        <f>IF(SalesData[[#This Row],[Contracts Offered]]=0,0,SalesData[[#This Row],[Contracts Signed]]/SalesData[[#This Row],[Contracts Offered]])</f>
        <v>0.35555555555555557</v>
      </c>
      <c r="AG4213" s="5">
        <f>IF(SalesData[[#This Row],[Customers Visited]]=0,0,SalesData[[#This Row],[Test Drives]]/SalesData[[#This Row],[Customers Visited]])</f>
        <v>0.51127819548872178</v>
      </c>
      <c r="AH4213" s="5">
        <f>IF(SalesData[[#This Row],[Customers Visited]]=0,0,SalesData[[#This Row],[Contracts Signed]]/SalesData[[#This Row],[Customers Visited]])</f>
        <v>0.12030075187969924</v>
      </c>
      <c r="AI4213" s="6">
        <f>IF(SalesData[[#This Row],[Contracts Signed]]=0,0,SalesData[[#This Row],[Profit(€)]]/SalesData[[#This Row],[Contracts Signed]])</f>
        <v>12166</v>
      </c>
      <c r="AJ4213" s="5" t="str">
        <f>TRIM(CLEAN(SalesData[[#This Row],[Retailer]]))</f>
        <v>Stuttgart Auto Center</v>
      </c>
    </row>
    <row r="4214" spans="1:36" ht="14.25" hidden="1" x14ac:dyDescent="0.2">
      <c r="A4214" t="s">
        <v>5465</v>
      </c>
      <c r="B4214" s="1">
        <v>46068</v>
      </c>
      <c r="C4214" t="s">
        <v>62</v>
      </c>
      <c r="D4214" t="s">
        <v>41</v>
      </c>
      <c r="E4214" t="s">
        <v>42</v>
      </c>
      <c r="F4214" t="s">
        <v>83</v>
      </c>
      <c r="G4214" t="s">
        <v>84</v>
      </c>
      <c r="H4214" t="s">
        <v>85</v>
      </c>
      <c r="I4214" t="s">
        <v>56</v>
      </c>
      <c r="J4214" t="s">
        <v>97</v>
      </c>
      <c r="K4214" t="s">
        <v>66</v>
      </c>
      <c r="L4214" t="s">
        <v>33</v>
      </c>
      <c r="M4214" t="s">
        <v>68</v>
      </c>
      <c r="N4214" t="s">
        <v>48</v>
      </c>
      <c r="O4214" t="s">
        <v>70</v>
      </c>
      <c r="P4214" t="s">
        <v>49</v>
      </c>
      <c r="Q4214" t="s">
        <v>59</v>
      </c>
      <c r="R4214">
        <v>230</v>
      </c>
      <c r="S4214">
        <v>144</v>
      </c>
      <c r="T4214">
        <v>98</v>
      </c>
      <c r="U4214">
        <v>26</v>
      </c>
      <c r="V4214" t="s">
        <v>1783</v>
      </c>
      <c r="W4214">
        <v>46487</v>
      </c>
      <c r="X4214" t="s">
        <v>923</v>
      </c>
      <c r="Y4214">
        <v>36560</v>
      </c>
      <c r="Z4214">
        <v>1208662</v>
      </c>
      <c r="AA4214">
        <v>258102</v>
      </c>
      <c r="AB4214" t="str">
        <f>(VLOOKUP(SalesData[[#This Row],[Month Number]],Reference!C$5:E$16,2,FALSE))</f>
        <v>Feb</v>
      </c>
      <c r="AC4214">
        <f>MONTH(SalesData[[#This Row],[Date]])</f>
        <v>2</v>
      </c>
      <c r="AD4214">
        <f>Reference!F$4</f>
        <v>2026</v>
      </c>
      <c r="AE4214" t="str">
        <f>IF(OR(SalesData[[#This Row],[Day]]="Saturday",SalesData[[#This Row],[Day]]="Sunday"),"Weekend","Weekday")</f>
        <v>Weekend</v>
      </c>
      <c r="AF4214" s="5">
        <f>IF(SalesData[[#This Row],[Contracts Offered]]=0,0,SalesData[[#This Row],[Contracts Signed]]/SalesData[[#This Row],[Contracts Offered]])</f>
        <v>0.26530612244897961</v>
      </c>
      <c r="AG4214" s="5">
        <f>IF(SalesData[[#This Row],[Customers Visited]]=0,0,SalesData[[#This Row],[Test Drives]]/SalesData[[#This Row],[Customers Visited]])</f>
        <v>0.62608695652173918</v>
      </c>
      <c r="AH4214" s="5">
        <f>IF(SalesData[[#This Row],[Customers Visited]]=0,0,SalesData[[#This Row],[Contracts Signed]]/SalesData[[#This Row],[Customers Visited]])</f>
        <v>0.11304347826086956</v>
      </c>
      <c r="AI4214" s="6">
        <f>IF(SalesData[[#This Row],[Contracts Signed]]=0,0,SalesData[[#This Row],[Profit(€)]]/SalesData[[#This Row],[Contracts Signed]])</f>
        <v>9927</v>
      </c>
      <c r="AJ4214" s="5" t="str">
        <f>TRIM(CLEAN(SalesData[[#This Row],[Retailer]]))</f>
        <v>Hannover Cars</v>
      </c>
    </row>
    <row r="4215" spans="1:36" ht="14.25" hidden="1" x14ac:dyDescent="0.2">
      <c r="A4215" t="s">
        <v>5466</v>
      </c>
      <c r="B4215" s="1">
        <v>46061</v>
      </c>
      <c r="C4215" t="s">
        <v>121</v>
      </c>
      <c r="D4215" t="s">
        <v>41</v>
      </c>
      <c r="E4215" t="s">
        <v>42</v>
      </c>
      <c r="F4215" t="s">
        <v>114</v>
      </c>
      <c r="G4215" t="s">
        <v>115</v>
      </c>
      <c r="H4215" t="s">
        <v>115</v>
      </c>
      <c r="I4215" t="s">
        <v>56</v>
      </c>
      <c r="J4215" t="s">
        <v>7028</v>
      </c>
      <c r="K4215" t="s">
        <v>91</v>
      </c>
      <c r="L4215" t="s">
        <v>46</v>
      </c>
      <c r="M4215" t="s">
        <v>68</v>
      </c>
      <c r="N4215" t="s">
        <v>48</v>
      </c>
      <c r="O4215" t="s">
        <v>70</v>
      </c>
      <c r="P4215" t="s">
        <v>49</v>
      </c>
      <c r="Q4215" t="s">
        <v>122</v>
      </c>
      <c r="R4215">
        <v>235</v>
      </c>
      <c r="S4215">
        <v>108</v>
      </c>
      <c r="T4215">
        <v>76</v>
      </c>
      <c r="U4215">
        <v>24</v>
      </c>
      <c r="V4215" t="s">
        <v>6433</v>
      </c>
      <c r="W4215">
        <v>43762</v>
      </c>
      <c r="X4215" t="s">
        <v>307</v>
      </c>
      <c r="Y4215">
        <v>34711</v>
      </c>
      <c r="Z4215">
        <v>1050288</v>
      </c>
      <c r="AA4215">
        <v>217224</v>
      </c>
      <c r="AB4215" t="str">
        <f>(VLOOKUP(SalesData[[#This Row],[Month Number]],Reference!C$5:E$16,2,FALSE))</f>
        <v>Feb</v>
      </c>
      <c r="AC4215">
        <f>MONTH(SalesData[[#This Row],[Date]])</f>
        <v>2</v>
      </c>
      <c r="AD4215">
        <f>Reference!F$4</f>
        <v>2026</v>
      </c>
      <c r="AE4215" t="str">
        <f>IF(OR(SalesData[[#This Row],[Day]]="Saturday",SalesData[[#This Row],[Day]]="Sunday"),"Weekend","Weekday")</f>
        <v>Weekend</v>
      </c>
      <c r="AF4215" s="5">
        <f>IF(SalesData[[#This Row],[Contracts Offered]]=0,0,SalesData[[#This Row],[Contracts Signed]]/SalesData[[#This Row],[Contracts Offered]])</f>
        <v>0.31578947368421051</v>
      </c>
      <c r="AG4215" s="5">
        <f>IF(SalesData[[#This Row],[Customers Visited]]=0,0,SalesData[[#This Row],[Test Drives]]/SalesData[[#This Row],[Customers Visited]])</f>
        <v>0.45957446808510638</v>
      </c>
      <c r="AH4215" s="5">
        <f>IF(SalesData[[#This Row],[Customers Visited]]=0,0,SalesData[[#This Row],[Contracts Signed]]/SalesData[[#This Row],[Customers Visited]])</f>
        <v>0.10212765957446808</v>
      </c>
      <c r="AI4215" s="6">
        <f>IF(SalesData[[#This Row],[Contracts Signed]]=0,0,SalesData[[#This Row],[Profit(€)]]/SalesData[[#This Row],[Contracts Signed]])</f>
        <v>9051</v>
      </c>
      <c r="AJ4215" s="5" t="str">
        <f>TRIM(CLEAN(SalesData[[#This Row],[Retailer]]))</f>
        <v>Elbe Drive</v>
      </c>
    </row>
    <row r="4216" spans="1:36" ht="14.25" hidden="1" x14ac:dyDescent="0.2">
      <c r="A4216" t="s">
        <v>5467</v>
      </c>
      <c r="B4216" s="1">
        <v>46081</v>
      </c>
      <c r="C4216" t="s">
        <v>53</v>
      </c>
      <c r="D4216" t="s">
        <v>151</v>
      </c>
      <c r="E4216" t="s">
        <v>42</v>
      </c>
      <c r="F4216" t="s">
        <v>101</v>
      </c>
      <c r="G4216" t="s">
        <v>102</v>
      </c>
      <c r="H4216" t="s">
        <v>103</v>
      </c>
      <c r="I4216" t="s">
        <v>104</v>
      </c>
      <c r="J4216" t="s">
        <v>7061</v>
      </c>
      <c r="K4216" t="s">
        <v>32</v>
      </c>
      <c r="L4216" t="s">
        <v>46</v>
      </c>
      <c r="M4216" t="s">
        <v>87</v>
      </c>
      <c r="N4216" t="s">
        <v>48</v>
      </c>
      <c r="O4216" t="s">
        <v>36</v>
      </c>
      <c r="P4216" t="s">
        <v>37</v>
      </c>
      <c r="Q4216" t="s">
        <v>158</v>
      </c>
      <c r="R4216">
        <v>406</v>
      </c>
      <c r="S4216">
        <v>216</v>
      </c>
      <c r="T4216">
        <v>136</v>
      </c>
      <c r="U4216">
        <v>29</v>
      </c>
      <c r="V4216" t="s">
        <v>2235</v>
      </c>
      <c r="W4216">
        <v>34394</v>
      </c>
      <c r="X4216" t="s">
        <v>4997</v>
      </c>
      <c r="Y4216">
        <v>30585</v>
      </c>
      <c r="Z4216">
        <v>997426</v>
      </c>
      <c r="AA4216">
        <v>110461</v>
      </c>
      <c r="AB4216" t="str">
        <f>(VLOOKUP(SalesData[[#This Row],[Month Number]],Reference!C$5:E$16,2,FALSE))</f>
        <v>Feb</v>
      </c>
      <c r="AC4216">
        <f>MONTH(SalesData[[#This Row],[Date]])</f>
        <v>2</v>
      </c>
      <c r="AD4216">
        <f>Reference!F$4</f>
        <v>2026</v>
      </c>
      <c r="AE4216" t="str">
        <f>IF(OR(SalesData[[#This Row],[Day]]="Saturday",SalesData[[#This Row],[Day]]="Sunday"),"Weekend","Weekday")</f>
        <v>Weekend</v>
      </c>
      <c r="AF4216" s="5">
        <f>IF(SalesData[[#This Row],[Contracts Offered]]=0,0,SalesData[[#This Row],[Contracts Signed]]/SalesData[[#This Row],[Contracts Offered]])</f>
        <v>0.21323529411764705</v>
      </c>
      <c r="AG4216" s="5">
        <f>IF(SalesData[[#This Row],[Customers Visited]]=0,0,SalesData[[#This Row],[Test Drives]]/SalesData[[#This Row],[Customers Visited]])</f>
        <v>0.53201970443349755</v>
      </c>
      <c r="AH4216" s="5">
        <f>IF(SalesData[[#This Row],[Customers Visited]]=0,0,SalesData[[#This Row],[Contracts Signed]]/SalesData[[#This Row],[Customers Visited]])</f>
        <v>7.1428571428571425E-2</v>
      </c>
      <c r="AI4216" s="6">
        <f>IF(SalesData[[#This Row],[Contracts Signed]]=0,0,SalesData[[#This Row],[Profit(€)]]/SalesData[[#This Row],[Contracts Signed]])</f>
        <v>3809</v>
      </c>
      <c r="AJ4216" s="5" t="str">
        <f>TRIM(CLEAN(SalesData[[#This Row],[Retailer]]))</f>
        <v>Ruhr Auto Plaza</v>
      </c>
    </row>
    <row r="4217" spans="1:36" ht="14.25" hidden="1" x14ac:dyDescent="0.2">
      <c r="A4217" t="s">
        <v>5468</v>
      </c>
      <c r="B4217" s="1">
        <v>46055</v>
      </c>
      <c r="C4217" t="s">
        <v>24</v>
      </c>
      <c r="D4217" t="s">
        <v>25</v>
      </c>
      <c r="E4217" t="s">
        <v>26</v>
      </c>
      <c r="F4217" t="s">
        <v>7649</v>
      </c>
      <c r="G4217" t="s">
        <v>55</v>
      </c>
      <c r="H4217" t="s">
        <v>55</v>
      </c>
      <c r="I4217" t="s">
        <v>56</v>
      </c>
      <c r="J4217" t="s">
        <v>7028</v>
      </c>
      <c r="K4217" t="s">
        <v>32</v>
      </c>
      <c r="L4217" t="s">
        <v>46</v>
      </c>
      <c r="M4217" t="s">
        <v>87</v>
      </c>
      <c r="N4217" t="s">
        <v>35</v>
      </c>
      <c r="O4217" t="s">
        <v>36</v>
      </c>
      <c r="P4217" t="s">
        <v>71</v>
      </c>
      <c r="Q4217" t="s">
        <v>118</v>
      </c>
      <c r="R4217">
        <v>214</v>
      </c>
      <c r="S4217">
        <v>112</v>
      </c>
      <c r="T4217">
        <v>74</v>
      </c>
      <c r="U4217">
        <v>28</v>
      </c>
      <c r="V4217" t="s">
        <v>6403</v>
      </c>
      <c r="W4217">
        <v>54919</v>
      </c>
      <c r="X4217" t="s">
        <v>2852</v>
      </c>
      <c r="Y4217">
        <v>42297</v>
      </c>
      <c r="Z4217">
        <v>1537732</v>
      </c>
      <c r="AA4217">
        <v>353416</v>
      </c>
      <c r="AB4217" t="str">
        <f>(VLOOKUP(SalesData[[#This Row],[Month Number]],Reference!C$5:E$16,2,FALSE))</f>
        <v>Feb</v>
      </c>
      <c r="AC4217">
        <f>MONTH(SalesData[[#This Row],[Date]])</f>
        <v>2</v>
      </c>
      <c r="AD4217">
        <f>Reference!F$4</f>
        <v>2026</v>
      </c>
      <c r="AE4217" t="str">
        <f>IF(OR(SalesData[[#This Row],[Day]]="Saturday",SalesData[[#This Row],[Day]]="Sunday"),"Weekend","Weekday")</f>
        <v>Weekday</v>
      </c>
      <c r="AF4217" s="5">
        <f>IF(SalesData[[#This Row],[Contracts Offered]]=0,0,SalesData[[#This Row],[Contracts Signed]]/SalesData[[#This Row],[Contracts Offered]])</f>
        <v>0.3783783783783784</v>
      </c>
      <c r="AG4217" s="5">
        <f>IF(SalesData[[#This Row],[Customers Visited]]=0,0,SalesData[[#This Row],[Test Drives]]/SalesData[[#This Row],[Customers Visited]])</f>
        <v>0.52336448598130836</v>
      </c>
      <c r="AH4217" s="5">
        <f>IF(SalesData[[#This Row],[Customers Visited]]=0,0,SalesData[[#This Row],[Contracts Signed]]/SalesData[[#This Row],[Customers Visited]])</f>
        <v>0.13084112149532709</v>
      </c>
      <c r="AI4217" s="6">
        <f>IF(SalesData[[#This Row],[Contracts Signed]]=0,0,SalesData[[#This Row],[Profit(€)]]/SalesData[[#This Row],[Contracts Signed]])</f>
        <v>12622</v>
      </c>
      <c r="AJ4217" s="5" t="str">
        <f>TRIM(CLEAN(SalesData[[#This Row],[Retailer]]))</f>
        <v>Autohaus Berlin</v>
      </c>
    </row>
    <row r="4218" spans="1:36" ht="14.25" hidden="1" x14ac:dyDescent="0.2">
      <c r="A4218" t="s">
        <v>5469</v>
      </c>
      <c r="B4218" s="1">
        <v>46069</v>
      </c>
      <c r="C4218" t="s">
        <v>62</v>
      </c>
      <c r="D4218" t="s">
        <v>25</v>
      </c>
      <c r="E4218" t="s">
        <v>26</v>
      </c>
      <c r="F4218" t="s">
        <v>43</v>
      </c>
      <c r="G4218" t="s">
        <v>44</v>
      </c>
      <c r="H4218" t="s">
        <v>45</v>
      </c>
      <c r="I4218" t="s">
        <v>116</v>
      </c>
      <c r="J4218" t="s">
        <v>203</v>
      </c>
      <c r="K4218" t="s">
        <v>66</v>
      </c>
      <c r="L4218" t="s">
        <v>67</v>
      </c>
      <c r="M4218" t="s">
        <v>68</v>
      </c>
      <c r="N4218" t="s">
        <v>48</v>
      </c>
      <c r="O4218" t="s">
        <v>70</v>
      </c>
      <c r="P4218" t="s">
        <v>49</v>
      </c>
      <c r="Q4218" t="s">
        <v>169</v>
      </c>
      <c r="R4218">
        <v>338</v>
      </c>
      <c r="S4218">
        <v>163</v>
      </c>
      <c r="T4218">
        <v>113</v>
      </c>
      <c r="U4218">
        <v>22</v>
      </c>
      <c r="V4218" t="s">
        <v>3200</v>
      </c>
      <c r="W4218">
        <v>21109</v>
      </c>
      <c r="X4218" t="s">
        <v>1239</v>
      </c>
      <c r="Y4218">
        <v>19225</v>
      </c>
      <c r="Z4218">
        <v>464398</v>
      </c>
      <c r="AA4218">
        <v>41448</v>
      </c>
      <c r="AB4218" t="str">
        <f>(VLOOKUP(SalesData[[#This Row],[Month Number]],Reference!C$5:E$16,2,FALSE))</f>
        <v>Feb</v>
      </c>
      <c r="AC4218">
        <f>MONTH(SalesData[[#This Row],[Date]])</f>
        <v>2</v>
      </c>
      <c r="AD4218">
        <f>Reference!F$4</f>
        <v>2026</v>
      </c>
      <c r="AE4218" t="str">
        <f>IF(OR(SalesData[[#This Row],[Day]]="Saturday",SalesData[[#This Row],[Day]]="Sunday"),"Weekend","Weekday")</f>
        <v>Weekday</v>
      </c>
      <c r="AF4218" s="5">
        <f>IF(SalesData[[#This Row],[Contracts Offered]]=0,0,SalesData[[#This Row],[Contracts Signed]]/SalesData[[#This Row],[Contracts Offered]])</f>
        <v>0.19469026548672566</v>
      </c>
      <c r="AG4218" s="5">
        <f>IF(SalesData[[#This Row],[Customers Visited]]=0,0,SalesData[[#This Row],[Test Drives]]/SalesData[[#This Row],[Customers Visited]])</f>
        <v>0.48224852071005919</v>
      </c>
      <c r="AH4218" s="5">
        <f>IF(SalesData[[#This Row],[Customers Visited]]=0,0,SalesData[[#This Row],[Contracts Signed]]/SalesData[[#This Row],[Customers Visited]])</f>
        <v>6.5088757396449703E-2</v>
      </c>
      <c r="AI4218" s="6">
        <f>IF(SalesData[[#This Row],[Contracts Signed]]=0,0,SalesData[[#This Row],[Profit(€)]]/SalesData[[#This Row],[Contracts Signed]])</f>
        <v>1884</v>
      </c>
      <c r="AJ4218" s="5" t="str">
        <f>TRIM(CLEAN(SalesData[[#This Row],[Retailer]]))</f>
        <v>Saxon Wheels</v>
      </c>
    </row>
    <row r="4219" spans="1:36" ht="14.25" hidden="1" x14ac:dyDescent="0.2">
      <c r="A4219" t="s">
        <v>5470</v>
      </c>
      <c r="B4219" s="1">
        <v>46070</v>
      </c>
      <c r="C4219" t="s">
        <v>62</v>
      </c>
      <c r="D4219" t="s">
        <v>63</v>
      </c>
      <c r="E4219" t="s">
        <v>26</v>
      </c>
      <c r="F4219" t="s">
        <v>94</v>
      </c>
      <c r="G4219" t="s">
        <v>95</v>
      </c>
      <c r="H4219" t="s">
        <v>96</v>
      </c>
      <c r="I4219" t="s">
        <v>116</v>
      </c>
      <c r="J4219" t="s">
        <v>203</v>
      </c>
      <c r="K4219" t="s">
        <v>78</v>
      </c>
      <c r="L4219" t="s">
        <v>67</v>
      </c>
      <c r="M4219" t="s">
        <v>87</v>
      </c>
      <c r="N4219" t="s">
        <v>48</v>
      </c>
      <c r="O4219" t="s">
        <v>70</v>
      </c>
      <c r="P4219" t="s">
        <v>71</v>
      </c>
      <c r="Q4219" t="s">
        <v>135</v>
      </c>
      <c r="R4219">
        <v>394</v>
      </c>
      <c r="S4219">
        <v>214</v>
      </c>
      <c r="T4219">
        <v>137</v>
      </c>
      <c r="U4219">
        <v>39</v>
      </c>
      <c r="V4219" t="s">
        <v>3110</v>
      </c>
      <c r="W4219">
        <v>22066</v>
      </c>
      <c r="X4219" t="s">
        <v>2056</v>
      </c>
      <c r="Y4219">
        <v>20052</v>
      </c>
      <c r="Z4219">
        <v>860574</v>
      </c>
      <c r="AA4219">
        <v>78546</v>
      </c>
      <c r="AB4219" t="str">
        <f>(VLOOKUP(SalesData[[#This Row],[Month Number]],Reference!C$5:E$16,2,FALSE))</f>
        <v>Feb</v>
      </c>
      <c r="AC4219">
        <f>MONTH(SalesData[[#This Row],[Date]])</f>
        <v>2</v>
      </c>
      <c r="AD4219">
        <f>Reference!F$4</f>
        <v>2026</v>
      </c>
      <c r="AE4219" t="str">
        <f>IF(OR(SalesData[[#This Row],[Day]]="Saturday",SalesData[[#This Row],[Day]]="Sunday"),"Weekend","Weekday")</f>
        <v>Weekday</v>
      </c>
      <c r="AF4219" s="5">
        <f>IF(SalesData[[#This Row],[Contracts Offered]]=0,0,SalesData[[#This Row],[Contracts Signed]]/SalesData[[#This Row],[Contracts Offered]])</f>
        <v>0.28467153284671531</v>
      </c>
      <c r="AG4219" s="5">
        <f>IF(SalesData[[#This Row],[Customers Visited]]=0,0,SalesData[[#This Row],[Test Drives]]/SalesData[[#This Row],[Customers Visited]])</f>
        <v>0.54314720812182737</v>
      </c>
      <c r="AH4219" s="5">
        <f>IF(SalesData[[#This Row],[Customers Visited]]=0,0,SalesData[[#This Row],[Contracts Signed]]/SalesData[[#This Row],[Customers Visited]])</f>
        <v>9.8984771573604066E-2</v>
      </c>
      <c r="AI4219" s="6">
        <f>IF(SalesData[[#This Row],[Contracts Signed]]=0,0,SalesData[[#This Row],[Profit(€)]]/SalesData[[#This Row],[Contracts Signed]])</f>
        <v>2014</v>
      </c>
      <c r="AJ4219" s="5" t="str">
        <f>TRIM(CLEAN(SalesData[[#This Row],[Retailer]]))</f>
        <v>Bavaria Motors</v>
      </c>
    </row>
    <row r="4220" spans="1:36" ht="14.25" hidden="1" x14ac:dyDescent="0.2">
      <c r="A4220" t="s">
        <v>5471</v>
      </c>
      <c r="B4220" s="1">
        <v>46068</v>
      </c>
      <c r="C4220" t="s">
        <v>62</v>
      </c>
      <c r="D4220" t="s">
        <v>41</v>
      </c>
      <c r="E4220" t="s">
        <v>42</v>
      </c>
      <c r="F4220" t="s">
        <v>94</v>
      </c>
      <c r="G4220" t="s">
        <v>95</v>
      </c>
      <c r="H4220" t="s">
        <v>96</v>
      </c>
      <c r="I4220" t="s">
        <v>104</v>
      </c>
      <c r="J4220" t="s">
        <v>7031</v>
      </c>
      <c r="K4220" t="s">
        <v>32</v>
      </c>
      <c r="L4220" t="s">
        <v>46</v>
      </c>
      <c r="M4220" t="s">
        <v>87</v>
      </c>
      <c r="N4220" t="s">
        <v>35</v>
      </c>
      <c r="O4220" t="s">
        <v>70</v>
      </c>
      <c r="P4220" t="s">
        <v>37</v>
      </c>
      <c r="Q4220" t="s">
        <v>240</v>
      </c>
      <c r="R4220">
        <v>441</v>
      </c>
      <c r="S4220">
        <v>212</v>
      </c>
      <c r="T4220">
        <v>133</v>
      </c>
      <c r="U4220">
        <v>33</v>
      </c>
      <c r="V4220" t="s">
        <v>252</v>
      </c>
      <c r="W4220">
        <v>30757</v>
      </c>
      <c r="X4220" t="s">
        <v>985</v>
      </c>
      <c r="Y4220">
        <v>26742</v>
      </c>
      <c r="Z4220">
        <v>1014981</v>
      </c>
      <c r="AA4220">
        <v>132495</v>
      </c>
      <c r="AB4220" t="str">
        <f>(VLOOKUP(SalesData[[#This Row],[Month Number]],Reference!C$5:E$16,2,FALSE))</f>
        <v>Feb</v>
      </c>
      <c r="AC4220">
        <f>MONTH(SalesData[[#This Row],[Date]])</f>
        <v>2</v>
      </c>
      <c r="AD4220">
        <f>Reference!F$4</f>
        <v>2026</v>
      </c>
      <c r="AE4220" t="str">
        <f>IF(OR(SalesData[[#This Row],[Day]]="Saturday",SalesData[[#This Row],[Day]]="Sunday"),"Weekend","Weekday")</f>
        <v>Weekend</v>
      </c>
      <c r="AF4220" s="5">
        <f>IF(SalesData[[#This Row],[Contracts Offered]]=0,0,SalesData[[#This Row],[Contracts Signed]]/SalesData[[#This Row],[Contracts Offered]])</f>
        <v>0.24812030075187969</v>
      </c>
      <c r="AG4220" s="5">
        <f>IF(SalesData[[#This Row],[Customers Visited]]=0,0,SalesData[[#This Row],[Test Drives]]/SalesData[[#This Row],[Customers Visited]])</f>
        <v>0.48072562358276644</v>
      </c>
      <c r="AH4220" s="5">
        <f>IF(SalesData[[#This Row],[Customers Visited]]=0,0,SalesData[[#This Row],[Contracts Signed]]/SalesData[[#This Row],[Customers Visited]])</f>
        <v>7.4829931972789115E-2</v>
      </c>
      <c r="AI4220" s="6">
        <f>IF(SalesData[[#This Row],[Contracts Signed]]=0,0,SalesData[[#This Row],[Profit(€)]]/SalesData[[#This Row],[Contracts Signed]])</f>
        <v>4015</v>
      </c>
      <c r="AJ4220" s="5" t="str">
        <f>TRIM(CLEAN(SalesData[[#This Row],[Retailer]]))</f>
        <v>Bavaria Motors</v>
      </c>
    </row>
    <row r="4221" spans="1:36" ht="14.25" hidden="1" x14ac:dyDescent="0.2">
      <c r="A4221" t="s">
        <v>5472</v>
      </c>
      <c r="B4221" s="1">
        <v>46055</v>
      </c>
      <c r="C4221" t="s">
        <v>24</v>
      </c>
      <c r="D4221" t="s">
        <v>25</v>
      </c>
      <c r="E4221" t="s">
        <v>26</v>
      </c>
      <c r="F4221" t="s">
        <v>94</v>
      </c>
      <c r="G4221" t="s">
        <v>95</v>
      </c>
      <c r="H4221" t="s">
        <v>96</v>
      </c>
      <c r="I4221" t="s">
        <v>116</v>
      </c>
      <c r="J4221" t="s">
        <v>132</v>
      </c>
      <c r="K4221" t="s">
        <v>66</v>
      </c>
      <c r="L4221" t="s">
        <v>46</v>
      </c>
      <c r="M4221" t="s">
        <v>34</v>
      </c>
      <c r="N4221" t="s">
        <v>69</v>
      </c>
      <c r="O4221" t="s">
        <v>70</v>
      </c>
      <c r="P4221" t="s">
        <v>58</v>
      </c>
      <c r="Q4221" t="s">
        <v>38</v>
      </c>
      <c r="R4221">
        <v>389</v>
      </c>
      <c r="S4221">
        <v>157</v>
      </c>
      <c r="T4221">
        <v>105</v>
      </c>
      <c r="U4221">
        <v>35</v>
      </c>
      <c r="V4221" t="s">
        <v>6882</v>
      </c>
      <c r="W4221">
        <v>21122</v>
      </c>
      <c r="X4221" t="s">
        <v>529</v>
      </c>
      <c r="Y4221">
        <v>19409</v>
      </c>
      <c r="Z4221">
        <v>739270</v>
      </c>
      <c r="AA4221">
        <v>59955</v>
      </c>
      <c r="AB4221" t="str">
        <f>(VLOOKUP(SalesData[[#This Row],[Month Number]],Reference!C$5:E$16,2,FALSE))</f>
        <v>Feb</v>
      </c>
      <c r="AC4221">
        <f>MONTH(SalesData[[#This Row],[Date]])</f>
        <v>2</v>
      </c>
      <c r="AD4221">
        <f>Reference!F$4</f>
        <v>2026</v>
      </c>
      <c r="AE4221" t="str">
        <f>IF(OR(SalesData[[#This Row],[Day]]="Saturday",SalesData[[#This Row],[Day]]="Sunday"),"Weekend","Weekday")</f>
        <v>Weekday</v>
      </c>
      <c r="AF4221" s="5">
        <f>IF(SalesData[[#This Row],[Contracts Offered]]=0,0,SalesData[[#This Row],[Contracts Signed]]/SalesData[[#This Row],[Contracts Offered]])</f>
        <v>0.33333333333333331</v>
      </c>
      <c r="AG4221" s="5">
        <f>IF(SalesData[[#This Row],[Customers Visited]]=0,0,SalesData[[#This Row],[Test Drives]]/SalesData[[#This Row],[Customers Visited]])</f>
        <v>0.40359897172236503</v>
      </c>
      <c r="AH4221" s="5">
        <f>IF(SalesData[[#This Row],[Customers Visited]]=0,0,SalesData[[#This Row],[Contracts Signed]]/SalesData[[#This Row],[Customers Visited]])</f>
        <v>8.9974293059125965E-2</v>
      </c>
      <c r="AI4221" s="6">
        <f>IF(SalesData[[#This Row],[Contracts Signed]]=0,0,SalesData[[#This Row],[Profit(€)]]/SalesData[[#This Row],[Contracts Signed]])</f>
        <v>1713</v>
      </c>
      <c r="AJ4221" s="5" t="str">
        <f>TRIM(CLEAN(SalesData[[#This Row],[Retailer]]))</f>
        <v>Bavaria Motors</v>
      </c>
    </row>
    <row r="4222" spans="1:36" ht="14.25" hidden="1" x14ac:dyDescent="0.2">
      <c r="A4222" t="s">
        <v>5473</v>
      </c>
      <c r="B4222" s="1">
        <v>46058</v>
      </c>
      <c r="C4222" t="s">
        <v>24</v>
      </c>
      <c r="D4222" t="s">
        <v>100</v>
      </c>
      <c r="E4222" t="s">
        <v>26</v>
      </c>
      <c r="F4222" t="s">
        <v>94</v>
      </c>
      <c r="G4222" t="s">
        <v>95</v>
      </c>
      <c r="H4222" t="s">
        <v>96</v>
      </c>
      <c r="I4222" t="s">
        <v>104</v>
      </c>
      <c r="J4222" t="s">
        <v>7031</v>
      </c>
      <c r="K4222" t="s">
        <v>66</v>
      </c>
      <c r="L4222" t="s">
        <v>46</v>
      </c>
      <c r="M4222" t="s">
        <v>47</v>
      </c>
      <c r="N4222" t="s">
        <v>35</v>
      </c>
      <c r="O4222" t="s">
        <v>70</v>
      </c>
      <c r="P4222" t="s">
        <v>49</v>
      </c>
      <c r="Q4222" t="s">
        <v>167</v>
      </c>
      <c r="R4222">
        <v>343</v>
      </c>
      <c r="S4222">
        <v>167</v>
      </c>
      <c r="T4222">
        <v>119</v>
      </c>
      <c r="U4222">
        <v>23</v>
      </c>
      <c r="V4222" t="s">
        <v>5738</v>
      </c>
      <c r="W4222">
        <v>30208</v>
      </c>
      <c r="X4222" t="s">
        <v>609</v>
      </c>
      <c r="Y4222">
        <v>26728</v>
      </c>
      <c r="Z4222">
        <v>694784</v>
      </c>
      <c r="AA4222">
        <v>80040</v>
      </c>
      <c r="AB4222" t="str">
        <f>(VLOOKUP(SalesData[[#This Row],[Month Number]],Reference!C$5:E$16,2,FALSE))</f>
        <v>Feb</v>
      </c>
      <c r="AC4222">
        <f>MONTH(SalesData[[#This Row],[Date]])</f>
        <v>2</v>
      </c>
      <c r="AD4222">
        <f>Reference!F$4</f>
        <v>2026</v>
      </c>
      <c r="AE4222" t="str">
        <f>IF(OR(SalesData[[#This Row],[Day]]="Saturday",SalesData[[#This Row],[Day]]="Sunday"),"Weekend","Weekday")</f>
        <v>Weekday</v>
      </c>
      <c r="AF4222" s="5">
        <f>IF(SalesData[[#This Row],[Contracts Offered]]=0,0,SalesData[[#This Row],[Contracts Signed]]/SalesData[[#This Row],[Contracts Offered]])</f>
        <v>0.19327731092436976</v>
      </c>
      <c r="AG4222" s="5">
        <f>IF(SalesData[[#This Row],[Customers Visited]]=0,0,SalesData[[#This Row],[Test Drives]]/SalesData[[#This Row],[Customers Visited]])</f>
        <v>0.48688046647230321</v>
      </c>
      <c r="AH4222" s="5">
        <f>IF(SalesData[[#This Row],[Customers Visited]]=0,0,SalesData[[#This Row],[Contracts Signed]]/SalesData[[#This Row],[Customers Visited]])</f>
        <v>6.7055393586005832E-2</v>
      </c>
      <c r="AI4222" s="6">
        <f>IF(SalesData[[#This Row],[Contracts Signed]]=0,0,SalesData[[#This Row],[Profit(€)]]/SalesData[[#This Row],[Contracts Signed]])</f>
        <v>3480</v>
      </c>
      <c r="AJ4222" s="5" t="str">
        <f>TRIM(CLEAN(SalesData[[#This Row],[Retailer]]))</f>
        <v>Bavaria Motors</v>
      </c>
    </row>
    <row r="4223" spans="1:36" ht="14.25" hidden="1" x14ac:dyDescent="0.2">
      <c r="A4223" t="s">
        <v>5474</v>
      </c>
      <c r="B4223" s="1">
        <v>46076</v>
      </c>
      <c r="C4223" t="s">
        <v>53</v>
      </c>
      <c r="D4223" t="s">
        <v>25</v>
      </c>
      <c r="E4223" t="s">
        <v>26</v>
      </c>
      <c r="F4223" t="s">
        <v>94</v>
      </c>
      <c r="G4223" t="s">
        <v>95</v>
      </c>
      <c r="H4223" t="s">
        <v>96</v>
      </c>
      <c r="I4223" t="s">
        <v>104</v>
      </c>
      <c r="J4223" t="s">
        <v>143</v>
      </c>
      <c r="K4223" t="s">
        <v>66</v>
      </c>
      <c r="L4223" t="s">
        <v>67</v>
      </c>
      <c r="M4223" t="s">
        <v>87</v>
      </c>
      <c r="N4223" t="s">
        <v>35</v>
      </c>
      <c r="O4223" t="s">
        <v>70</v>
      </c>
      <c r="P4223" t="s">
        <v>37</v>
      </c>
      <c r="Q4223" t="s">
        <v>50</v>
      </c>
      <c r="R4223">
        <v>265</v>
      </c>
      <c r="S4223">
        <v>133</v>
      </c>
      <c r="T4223">
        <v>91</v>
      </c>
      <c r="U4223">
        <v>24</v>
      </c>
      <c r="V4223" t="s">
        <v>5564</v>
      </c>
      <c r="W4223">
        <v>25147</v>
      </c>
      <c r="X4223" t="s">
        <v>7627</v>
      </c>
      <c r="Y4223">
        <v>22461</v>
      </c>
      <c r="Z4223">
        <v>603528</v>
      </c>
      <c r="AA4223">
        <v>64464</v>
      </c>
      <c r="AB4223" t="str">
        <f>(VLOOKUP(SalesData[[#This Row],[Month Number]],Reference!C$5:E$16,2,FALSE))</f>
        <v>Feb</v>
      </c>
      <c r="AC4223">
        <f>MONTH(SalesData[[#This Row],[Date]])</f>
        <v>2</v>
      </c>
      <c r="AD4223">
        <f>Reference!F$4</f>
        <v>2026</v>
      </c>
      <c r="AE4223" t="str">
        <f>IF(OR(SalesData[[#This Row],[Day]]="Saturday",SalesData[[#This Row],[Day]]="Sunday"),"Weekend","Weekday")</f>
        <v>Weekday</v>
      </c>
      <c r="AF4223" s="5">
        <f>IF(SalesData[[#This Row],[Contracts Offered]]=0,0,SalesData[[#This Row],[Contracts Signed]]/SalesData[[#This Row],[Contracts Offered]])</f>
        <v>0.26373626373626374</v>
      </c>
      <c r="AG4223" s="5">
        <f>IF(SalesData[[#This Row],[Customers Visited]]=0,0,SalesData[[#This Row],[Test Drives]]/SalesData[[#This Row],[Customers Visited]])</f>
        <v>0.50188679245283019</v>
      </c>
      <c r="AH4223" s="5">
        <f>IF(SalesData[[#This Row],[Customers Visited]]=0,0,SalesData[[#This Row],[Contracts Signed]]/SalesData[[#This Row],[Customers Visited]])</f>
        <v>9.056603773584905E-2</v>
      </c>
      <c r="AI4223" s="6">
        <f>IF(SalesData[[#This Row],[Contracts Signed]]=0,0,SalesData[[#This Row],[Profit(€)]]/SalesData[[#This Row],[Contracts Signed]])</f>
        <v>2686</v>
      </c>
      <c r="AJ4223" s="5" t="str">
        <f>TRIM(CLEAN(SalesData[[#This Row],[Retailer]]))</f>
        <v>Bavaria Motors</v>
      </c>
    </row>
    <row r="4224" spans="1:36" ht="14.25" x14ac:dyDescent="0.2">
      <c r="A4224" t="s">
        <v>5475</v>
      </c>
      <c r="B4224" s="1">
        <v>46067</v>
      </c>
      <c r="C4224" t="s">
        <v>121</v>
      </c>
      <c r="D4224" t="s">
        <v>151</v>
      </c>
      <c r="E4224" t="s">
        <v>42</v>
      </c>
      <c r="F4224" t="s">
        <v>7649</v>
      </c>
      <c r="G4224" t="s">
        <v>55</v>
      </c>
      <c r="H4224" t="s">
        <v>55</v>
      </c>
      <c r="I4224" t="s">
        <v>30</v>
      </c>
      <c r="J4224" t="s">
        <v>188</v>
      </c>
      <c r="K4224" t="s">
        <v>66</v>
      </c>
      <c r="L4224" t="s">
        <v>33</v>
      </c>
      <c r="M4224" t="s">
        <v>34</v>
      </c>
      <c r="N4224" t="s">
        <v>69</v>
      </c>
      <c r="O4224" t="s">
        <v>70</v>
      </c>
      <c r="P4224" t="s">
        <v>71</v>
      </c>
      <c r="Q4224" t="s">
        <v>122</v>
      </c>
      <c r="R4224">
        <v>240</v>
      </c>
      <c r="S4224">
        <v>140</v>
      </c>
      <c r="T4224">
        <v>104</v>
      </c>
      <c r="U4224">
        <v>42</v>
      </c>
      <c r="V4224" t="s">
        <v>7100</v>
      </c>
      <c r="W4224">
        <v>51410</v>
      </c>
      <c r="X4224" t="s">
        <v>7434</v>
      </c>
      <c r="Y4224">
        <v>39884</v>
      </c>
      <c r="Z4224">
        <v>2159220</v>
      </c>
      <c r="AA4224">
        <v>484092</v>
      </c>
      <c r="AB4224" t="str">
        <f>(VLOOKUP(SalesData[[#This Row],[Month Number]],Reference!C$5:E$16,2,FALSE))</f>
        <v>Feb</v>
      </c>
      <c r="AC4224">
        <f>MONTH(SalesData[[#This Row],[Date]])</f>
        <v>2</v>
      </c>
      <c r="AD4224">
        <f>Reference!F$4</f>
        <v>2026</v>
      </c>
      <c r="AE4224" t="str">
        <f>IF(OR(SalesData[[#This Row],[Day]]="Saturday",SalesData[[#This Row],[Day]]="Sunday"),"Weekend","Weekday")</f>
        <v>Weekend</v>
      </c>
      <c r="AF4224" s="5">
        <f>IF(SalesData[[#This Row],[Contracts Offered]]=0,0,SalesData[[#This Row],[Contracts Signed]]/SalesData[[#This Row],[Contracts Offered]])</f>
        <v>0.40384615384615385</v>
      </c>
      <c r="AG4224" s="5">
        <f>IF(SalesData[[#This Row],[Customers Visited]]=0,0,SalesData[[#This Row],[Test Drives]]/SalesData[[#This Row],[Customers Visited]])</f>
        <v>0.58333333333333337</v>
      </c>
      <c r="AH4224" s="5">
        <f>IF(SalesData[[#This Row],[Customers Visited]]=0,0,SalesData[[#This Row],[Contracts Signed]]/SalesData[[#This Row],[Customers Visited]])</f>
        <v>0.17499999999999999</v>
      </c>
      <c r="AI4224" s="6">
        <f>IF(SalesData[[#This Row],[Contracts Signed]]=0,0,SalesData[[#This Row],[Profit(€)]]/SalesData[[#This Row],[Contracts Signed]])</f>
        <v>11526</v>
      </c>
      <c r="AJ4224" s="5" t="str">
        <f>TRIM(CLEAN(SalesData[[#This Row],[Retailer]]))</f>
        <v>Autohaus Berlin</v>
      </c>
    </row>
    <row r="4225" spans="1:36" ht="14.25" hidden="1" x14ac:dyDescent="0.2">
      <c r="A4225" t="s">
        <v>5476</v>
      </c>
      <c r="B4225" s="1">
        <v>46073</v>
      </c>
      <c r="C4225" t="s">
        <v>62</v>
      </c>
      <c r="D4225" t="s">
        <v>54</v>
      </c>
      <c r="E4225" t="s">
        <v>26</v>
      </c>
      <c r="F4225" t="s">
        <v>127</v>
      </c>
      <c r="G4225" t="s">
        <v>128</v>
      </c>
      <c r="H4225" t="s">
        <v>103</v>
      </c>
      <c r="I4225" t="s">
        <v>56</v>
      </c>
      <c r="J4225" t="s">
        <v>97</v>
      </c>
      <c r="K4225" t="s">
        <v>66</v>
      </c>
      <c r="L4225" t="s">
        <v>33</v>
      </c>
      <c r="M4225" t="s">
        <v>47</v>
      </c>
      <c r="N4225" t="s">
        <v>35</v>
      </c>
      <c r="O4225" t="s">
        <v>36</v>
      </c>
      <c r="P4225" t="s">
        <v>58</v>
      </c>
      <c r="Q4225" t="s">
        <v>172</v>
      </c>
      <c r="R4225">
        <v>240</v>
      </c>
      <c r="S4225">
        <v>146</v>
      </c>
      <c r="T4225">
        <v>110</v>
      </c>
      <c r="U4225">
        <v>40</v>
      </c>
      <c r="V4225" t="s">
        <v>6468</v>
      </c>
      <c r="W4225">
        <v>40473</v>
      </c>
      <c r="X4225" t="s">
        <v>7091</v>
      </c>
      <c r="Y4225">
        <v>32846</v>
      </c>
      <c r="Z4225">
        <v>1618920</v>
      </c>
      <c r="AA4225">
        <v>305080</v>
      </c>
      <c r="AB4225" t="str">
        <f>(VLOOKUP(SalesData[[#This Row],[Month Number]],Reference!C$5:E$16,2,FALSE))</f>
        <v>Feb</v>
      </c>
      <c r="AC4225">
        <f>MONTH(SalesData[[#This Row],[Date]])</f>
        <v>2</v>
      </c>
      <c r="AD4225">
        <f>Reference!F$4</f>
        <v>2026</v>
      </c>
      <c r="AE4225" t="str">
        <f>IF(OR(SalesData[[#This Row],[Day]]="Saturday",SalesData[[#This Row],[Day]]="Sunday"),"Weekend","Weekday")</f>
        <v>Weekday</v>
      </c>
      <c r="AF4225" s="5">
        <f>IF(SalesData[[#This Row],[Contracts Offered]]=0,0,SalesData[[#This Row],[Contracts Signed]]/SalesData[[#This Row],[Contracts Offered]])</f>
        <v>0.36363636363636365</v>
      </c>
      <c r="AG4225" s="5">
        <f>IF(SalesData[[#This Row],[Customers Visited]]=0,0,SalesData[[#This Row],[Test Drives]]/SalesData[[#This Row],[Customers Visited]])</f>
        <v>0.60833333333333328</v>
      </c>
      <c r="AH4225" s="5">
        <f>IF(SalesData[[#This Row],[Customers Visited]]=0,0,SalesData[[#This Row],[Contracts Signed]]/SalesData[[#This Row],[Customers Visited]])</f>
        <v>0.16666666666666666</v>
      </c>
      <c r="AI4225" s="6">
        <f>IF(SalesData[[#This Row],[Contracts Signed]]=0,0,SalesData[[#This Row],[Profit(€)]]/SalesData[[#This Row],[Contracts Signed]])</f>
        <v>7627</v>
      </c>
      <c r="AJ4225" s="5" t="str">
        <f>TRIM(CLEAN(SalesData[[#This Row],[Retailer]]))</f>
        <v>Rhein Auto Group</v>
      </c>
    </row>
    <row r="4226" spans="1:36" ht="14.25" x14ac:dyDescent="0.2">
      <c r="A4226" t="s">
        <v>5477</v>
      </c>
      <c r="B4226" s="1">
        <v>46074</v>
      </c>
      <c r="C4226" t="s">
        <v>62</v>
      </c>
      <c r="D4226" t="s">
        <v>151</v>
      </c>
      <c r="E4226" t="s">
        <v>42</v>
      </c>
      <c r="F4226" t="s">
        <v>94</v>
      </c>
      <c r="G4226" t="s">
        <v>95</v>
      </c>
      <c r="H4226" t="s">
        <v>96</v>
      </c>
      <c r="I4226" t="s">
        <v>30</v>
      </c>
      <c r="J4226" t="s">
        <v>166</v>
      </c>
      <c r="K4226" t="s">
        <v>91</v>
      </c>
      <c r="L4226" t="s">
        <v>46</v>
      </c>
      <c r="M4226" t="s">
        <v>87</v>
      </c>
      <c r="N4226" t="s">
        <v>35</v>
      </c>
      <c r="O4226" t="s">
        <v>36</v>
      </c>
      <c r="P4226" t="s">
        <v>71</v>
      </c>
      <c r="Q4226" t="s">
        <v>88</v>
      </c>
      <c r="R4226">
        <v>198</v>
      </c>
      <c r="S4226">
        <v>98</v>
      </c>
      <c r="T4226">
        <v>79</v>
      </c>
      <c r="U4226">
        <v>29</v>
      </c>
      <c r="V4226" t="s">
        <v>6654</v>
      </c>
      <c r="W4226">
        <v>52281</v>
      </c>
      <c r="X4226" t="s">
        <v>3045</v>
      </c>
      <c r="Y4226">
        <v>38792</v>
      </c>
      <c r="Z4226">
        <v>1516149</v>
      </c>
      <c r="AA4226">
        <v>391181</v>
      </c>
      <c r="AB4226" t="str">
        <f>(VLOOKUP(SalesData[[#This Row],[Month Number]],Reference!C$5:E$16,2,FALSE))</f>
        <v>Feb</v>
      </c>
      <c r="AC4226">
        <f>MONTH(SalesData[[#This Row],[Date]])</f>
        <v>2</v>
      </c>
      <c r="AD4226">
        <f>Reference!F$4</f>
        <v>2026</v>
      </c>
      <c r="AE4226" t="str">
        <f>IF(OR(SalesData[[#This Row],[Day]]="Saturday",SalesData[[#This Row],[Day]]="Sunday"),"Weekend","Weekday")</f>
        <v>Weekend</v>
      </c>
      <c r="AF4226" s="5">
        <f>IF(SalesData[[#This Row],[Contracts Offered]]=0,0,SalesData[[#This Row],[Contracts Signed]]/SalesData[[#This Row],[Contracts Offered]])</f>
        <v>0.36708860759493672</v>
      </c>
      <c r="AG4226" s="5">
        <f>IF(SalesData[[#This Row],[Customers Visited]]=0,0,SalesData[[#This Row],[Test Drives]]/SalesData[[#This Row],[Customers Visited]])</f>
        <v>0.49494949494949497</v>
      </c>
      <c r="AH4226" s="5">
        <f>IF(SalesData[[#This Row],[Customers Visited]]=0,0,SalesData[[#This Row],[Contracts Signed]]/SalesData[[#This Row],[Customers Visited]])</f>
        <v>0.14646464646464646</v>
      </c>
      <c r="AI4226" s="6">
        <f>IF(SalesData[[#This Row],[Contracts Signed]]=0,0,SalesData[[#This Row],[Profit(€)]]/SalesData[[#This Row],[Contracts Signed]])</f>
        <v>13489</v>
      </c>
      <c r="AJ4226" s="5" t="str">
        <f>TRIM(CLEAN(SalesData[[#This Row],[Retailer]]))</f>
        <v>Bavaria Motors</v>
      </c>
    </row>
    <row r="4227" spans="1:36" ht="14.25" hidden="1" x14ac:dyDescent="0.2">
      <c r="A4227" t="s">
        <v>5478</v>
      </c>
      <c r="B4227" s="1">
        <v>46078</v>
      </c>
      <c r="C4227" t="s">
        <v>53</v>
      </c>
      <c r="D4227" t="s">
        <v>82</v>
      </c>
      <c r="E4227" t="s">
        <v>26</v>
      </c>
      <c r="F4227" t="s">
        <v>7649</v>
      </c>
      <c r="G4227" t="s">
        <v>55</v>
      </c>
      <c r="H4227" t="s">
        <v>55</v>
      </c>
      <c r="I4227" t="s">
        <v>56</v>
      </c>
      <c r="J4227" t="s">
        <v>7028</v>
      </c>
      <c r="K4227" t="s">
        <v>32</v>
      </c>
      <c r="L4227" t="s">
        <v>46</v>
      </c>
      <c r="M4227" t="s">
        <v>34</v>
      </c>
      <c r="N4227" t="s">
        <v>48</v>
      </c>
      <c r="O4227" t="s">
        <v>70</v>
      </c>
      <c r="P4227" t="s">
        <v>37</v>
      </c>
      <c r="Q4227" t="s">
        <v>347</v>
      </c>
      <c r="R4227">
        <v>275</v>
      </c>
      <c r="S4227">
        <v>128</v>
      </c>
      <c r="T4227">
        <v>87</v>
      </c>
      <c r="U4227">
        <v>29</v>
      </c>
      <c r="V4227" t="s">
        <v>6958</v>
      </c>
      <c r="W4227">
        <v>42416</v>
      </c>
      <c r="X4227" t="s">
        <v>7036</v>
      </c>
      <c r="Y4227">
        <v>33987</v>
      </c>
      <c r="Z4227">
        <v>1230064</v>
      </c>
      <c r="AA4227">
        <v>244441</v>
      </c>
      <c r="AB4227" t="str">
        <f>(VLOOKUP(SalesData[[#This Row],[Month Number]],Reference!C$5:E$16,2,FALSE))</f>
        <v>Feb</v>
      </c>
      <c r="AC4227">
        <f>MONTH(SalesData[[#This Row],[Date]])</f>
        <v>2</v>
      </c>
      <c r="AD4227">
        <f>Reference!F$4</f>
        <v>2026</v>
      </c>
      <c r="AE4227" t="str">
        <f>IF(OR(SalesData[[#This Row],[Day]]="Saturday",SalesData[[#This Row],[Day]]="Sunday"),"Weekend","Weekday")</f>
        <v>Weekday</v>
      </c>
      <c r="AF4227" s="5">
        <f>IF(SalesData[[#This Row],[Contracts Offered]]=0,0,SalesData[[#This Row],[Contracts Signed]]/SalesData[[#This Row],[Contracts Offered]])</f>
        <v>0.33333333333333331</v>
      </c>
      <c r="AG4227" s="5">
        <f>IF(SalesData[[#This Row],[Customers Visited]]=0,0,SalesData[[#This Row],[Test Drives]]/SalesData[[#This Row],[Customers Visited]])</f>
        <v>0.46545454545454545</v>
      </c>
      <c r="AH4227" s="5">
        <f>IF(SalesData[[#This Row],[Customers Visited]]=0,0,SalesData[[#This Row],[Contracts Signed]]/SalesData[[#This Row],[Customers Visited]])</f>
        <v>0.10545454545454545</v>
      </c>
      <c r="AI4227" s="6">
        <f>IF(SalesData[[#This Row],[Contracts Signed]]=0,0,SalesData[[#This Row],[Profit(€)]]/SalesData[[#This Row],[Contracts Signed]])</f>
        <v>8429</v>
      </c>
      <c r="AJ4227" s="5" t="str">
        <f>TRIM(CLEAN(SalesData[[#This Row],[Retailer]]))</f>
        <v>Autohaus Berlin</v>
      </c>
    </row>
    <row r="4228" spans="1:36" ht="14.25" hidden="1" x14ac:dyDescent="0.2">
      <c r="A4228" t="s">
        <v>5479</v>
      </c>
      <c r="B4228" s="1">
        <v>46066</v>
      </c>
      <c r="C4228" t="s">
        <v>121</v>
      </c>
      <c r="D4228" t="s">
        <v>54</v>
      </c>
      <c r="E4228" t="s">
        <v>26</v>
      </c>
      <c r="F4228" t="s">
        <v>127</v>
      </c>
      <c r="G4228" t="s">
        <v>128</v>
      </c>
      <c r="H4228" t="s">
        <v>103</v>
      </c>
      <c r="I4228" t="s">
        <v>104</v>
      </c>
      <c r="J4228" t="s">
        <v>7031</v>
      </c>
      <c r="K4228" t="s">
        <v>66</v>
      </c>
      <c r="L4228" t="s">
        <v>46</v>
      </c>
      <c r="M4228" t="s">
        <v>87</v>
      </c>
      <c r="N4228" t="s">
        <v>35</v>
      </c>
      <c r="O4228" t="s">
        <v>36</v>
      </c>
      <c r="P4228" t="s">
        <v>71</v>
      </c>
      <c r="Q4228" t="s">
        <v>135</v>
      </c>
      <c r="R4228">
        <v>472</v>
      </c>
      <c r="S4228">
        <v>256</v>
      </c>
      <c r="T4228">
        <v>153</v>
      </c>
      <c r="U4228">
        <v>45</v>
      </c>
      <c r="V4228" t="s">
        <v>654</v>
      </c>
      <c r="W4228">
        <v>26761</v>
      </c>
      <c r="X4228" t="s">
        <v>7358</v>
      </c>
      <c r="Y4228">
        <v>24152</v>
      </c>
      <c r="Z4228">
        <v>1204245</v>
      </c>
      <c r="AA4228">
        <v>117405</v>
      </c>
      <c r="AB4228" t="str">
        <f>(VLOOKUP(SalesData[[#This Row],[Month Number]],Reference!C$5:E$16,2,FALSE))</f>
        <v>Feb</v>
      </c>
      <c r="AC4228">
        <f>MONTH(SalesData[[#This Row],[Date]])</f>
        <v>2</v>
      </c>
      <c r="AD4228">
        <f>Reference!F$4</f>
        <v>2026</v>
      </c>
      <c r="AE4228" t="str">
        <f>IF(OR(SalesData[[#This Row],[Day]]="Saturday",SalesData[[#This Row],[Day]]="Sunday"),"Weekend","Weekday")</f>
        <v>Weekday</v>
      </c>
      <c r="AF4228" s="5">
        <f>IF(SalesData[[#This Row],[Contracts Offered]]=0,0,SalesData[[#This Row],[Contracts Signed]]/SalesData[[#This Row],[Contracts Offered]])</f>
        <v>0.29411764705882354</v>
      </c>
      <c r="AG4228" s="5">
        <f>IF(SalesData[[#This Row],[Customers Visited]]=0,0,SalesData[[#This Row],[Test Drives]]/SalesData[[#This Row],[Customers Visited]])</f>
        <v>0.5423728813559322</v>
      </c>
      <c r="AH4228" s="5">
        <f>IF(SalesData[[#This Row],[Customers Visited]]=0,0,SalesData[[#This Row],[Contracts Signed]]/SalesData[[#This Row],[Customers Visited]])</f>
        <v>9.5338983050847453E-2</v>
      </c>
      <c r="AI4228" s="6">
        <f>IF(SalesData[[#This Row],[Contracts Signed]]=0,0,SalesData[[#This Row],[Profit(€)]]/SalesData[[#This Row],[Contracts Signed]])</f>
        <v>2609</v>
      </c>
      <c r="AJ4228" s="5" t="str">
        <f>TRIM(CLEAN(SalesData[[#This Row],[Retailer]]))</f>
        <v>Rhein Auto Group</v>
      </c>
    </row>
    <row r="4229" spans="1:36" ht="14.25" hidden="1" x14ac:dyDescent="0.2">
      <c r="A4229" t="s">
        <v>5480</v>
      </c>
      <c r="B4229" s="1">
        <v>46064</v>
      </c>
      <c r="C4229" t="s">
        <v>121</v>
      </c>
      <c r="D4229" t="s">
        <v>82</v>
      </c>
      <c r="E4229" t="s">
        <v>26</v>
      </c>
      <c r="F4229" t="s">
        <v>101</v>
      </c>
      <c r="G4229" t="s">
        <v>102</v>
      </c>
      <c r="H4229" t="s">
        <v>103</v>
      </c>
      <c r="I4229" t="s">
        <v>64</v>
      </c>
      <c r="J4229" t="s">
        <v>65</v>
      </c>
      <c r="K4229" t="s">
        <v>78</v>
      </c>
      <c r="L4229" t="s">
        <v>33</v>
      </c>
      <c r="M4229" t="s">
        <v>47</v>
      </c>
      <c r="N4229" t="s">
        <v>48</v>
      </c>
      <c r="O4229" t="s">
        <v>70</v>
      </c>
      <c r="P4229" t="s">
        <v>58</v>
      </c>
      <c r="Q4229" t="s">
        <v>204</v>
      </c>
      <c r="R4229">
        <v>179</v>
      </c>
      <c r="S4229">
        <v>89</v>
      </c>
      <c r="T4229">
        <v>63</v>
      </c>
      <c r="U4229">
        <v>23</v>
      </c>
      <c r="V4229" t="s">
        <v>6869</v>
      </c>
      <c r="W4229">
        <v>60338</v>
      </c>
      <c r="X4229" t="s">
        <v>7194</v>
      </c>
      <c r="Y4229">
        <v>47607</v>
      </c>
      <c r="Z4229">
        <v>1387774</v>
      </c>
      <c r="AA4229">
        <v>292813</v>
      </c>
      <c r="AB4229" t="str">
        <f>(VLOOKUP(SalesData[[#This Row],[Month Number]],Reference!C$5:E$16,2,FALSE))</f>
        <v>Feb</v>
      </c>
      <c r="AC4229">
        <f>MONTH(SalesData[[#This Row],[Date]])</f>
        <v>2</v>
      </c>
      <c r="AD4229">
        <f>Reference!F$4</f>
        <v>2026</v>
      </c>
      <c r="AE4229" t="str">
        <f>IF(OR(SalesData[[#This Row],[Day]]="Saturday",SalesData[[#This Row],[Day]]="Sunday"),"Weekend","Weekday")</f>
        <v>Weekday</v>
      </c>
      <c r="AF4229" s="5">
        <f>IF(SalesData[[#This Row],[Contracts Offered]]=0,0,SalesData[[#This Row],[Contracts Signed]]/SalesData[[#This Row],[Contracts Offered]])</f>
        <v>0.36507936507936506</v>
      </c>
      <c r="AG4229" s="5">
        <f>IF(SalesData[[#This Row],[Customers Visited]]=0,0,SalesData[[#This Row],[Test Drives]]/SalesData[[#This Row],[Customers Visited]])</f>
        <v>0.4972067039106145</v>
      </c>
      <c r="AH4229" s="5">
        <f>IF(SalesData[[#This Row],[Customers Visited]]=0,0,SalesData[[#This Row],[Contracts Signed]]/SalesData[[#This Row],[Customers Visited]])</f>
        <v>0.12849162011173185</v>
      </c>
      <c r="AI4229" s="6">
        <f>IF(SalesData[[#This Row],[Contracts Signed]]=0,0,SalesData[[#This Row],[Profit(€)]]/SalesData[[#This Row],[Contracts Signed]])</f>
        <v>12731</v>
      </c>
      <c r="AJ4229" s="5" t="str">
        <f>TRIM(CLEAN(SalesData[[#This Row],[Retailer]]))</f>
        <v>Ruhr Auto Plaza</v>
      </c>
    </row>
    <row r="4230" spans="1:36" ht="14.25" x14ac:dyDescent="0.2">
      <c r="A4230" t="s">
        <v>5481</v>
      </c>
      <c r="B4230" s="1">
        <v>46078</v>
      </c>
      <c r="C4230" t="s">
        <v>53</v>
      </c>
      <c r="D4230" t="s">
        <v>82</v>
      </c>
      <c r="E4230" t="s">
        <v>26</v>
      </c>
      <c r="F4230" t="s">
        <v>114</v>
      </c>
      <c r="G4230" t="s">
        <v>115</v>
      </c>
      <c r="H4230" t="s">
        <v>115</v>
      </c>
      <c r="I4230" t="s">
        <v>30</v>
      </c>
      <c r="J4230" t="s">
        <v>188</v>
      </c>
      <c r="K4230" t="s">
        <v>78</v>
      </c>
      <c r="L4230" t="s">
        <v>33</v>
      </c>
      <c r="M4230" t="s">
        <v>68</v>
      </c>
      <c r="N4230" t="s">
        <v>69</v>
      </c>
      <c r="O4230" t="s">
        <v>70</v>
      </c>
      <c r="P4230" t="s">
        <v>58</v>
      </c>
      <c r="Q4230" t="s">
        <v>79</v>
      </c>
      <c r="R4230">
        <v>180</v>
      </c>
      <c r="S4230">
        <v>100</v>
      </c>
      <c r="T4230">
        <v>77</v>
      </c>
      <c r="U4230">
        <v>31</v>
      </c>
      <c r="V4230" t="s">
        <v>7628</v>
      </c>
      <c r="W4230">
        <v>61006</v>
      </c>
      <c r="X4230" t="s">
        <v>698</v>
      </c>
      <c r="Y4230">
        <v>46187</v>
      </c>
      <c r="Z4230">
        <v>1891186</v>
      </c>
      <c r="AA4230">
        <v>459389</v>
      </c>
      <c r="AB4230" t="str">
        <f>(VLOOKUP(SalesData[[#This Row],[Month Number]],Reference!C$5:E$16,2,FALSE))</f>
        <v>Feb</v>
      </c>
      <c r="AC4230">
        <f>MONTH(SalesData[[#This Row],[Date]])</f>
        <v>2</v>
      </c>
      <c r="AD4230">
        <f>Reference!F$4</f>
        <v>2026</v>
      </c>
      <c r="AE4230" t="str">
        <f>IF(OR(SalesData[[#This Row],[Day]]="Saturday",SalesData[[#This Row],[Day]]="Sunday"),"Weekend","Weekday")</f>
        <v>Weekday</v>
      </c>
      <c r="AF4230" s="5">
        <f>IF(SalesData[[#This Row],[Contracts Offered]]=0,0,SalesData[[#This Row],[Contracts Signed]]/SalesData[[#This Row],[Contracts Offered]])</f>
        <v>0.40259740259740262</v>
      </c>
      <c r="AG4230" s="5">
        <f>IF(SalesData[[#This Row],[Customers Visited]]=0,0,SalesData[[#This Row],[Test Drives]]/SalesData[[#This Row],[Customers Visited]])</f>
        <v>0.55555555555555558</v>
      </c>
      <c r="AH4230" s="5">
        <f>IF(SalesData[[#This Row],[Customers Visited]]=0,0,SalesData[[#This Row],[Contracts Signed]]/SalesData[[#This Row],[Customers Visited]])</f>
        <v>0.17222222222222222</v>
      </c>
      <c r="AI4230" s="6">
        <f>IF(SalesData[[#This Row],[Contracts Signed]]=0,0,SalesData[[#This Row],[Profit(€)]]/SalesData[[#This Row],[Contracts Signed]])</f>
        <v>14819</v>
      </c>
      <c r="AJ4230" s="5" t="str">
        <f>TRIM(CLEAN(SalesData[[#This Row],[Retailer]]))</f>
        <v>Elbe Drive</v>
      </c>
    </row>
    <row r="4231" spans="1:36" ht="14.25" x14ac:dyDescent="0.2">
      <c r="A4231" t="s">
        <v>5482</v>
      </c>
      <c r="B4231" s="1">
        <v>46060</v>
      </c>
      <c r="C4231" t="s">
        <v>24</v>
      </c>
      <c r="D4231" t="s">
        <v>151</v>
      </c>
      <c r="E4231" t="s">
        <v>42</v>
      </c>
      <c r="F4231" t="s">
        <v>74</v>
      </c>
      <c r="G4231" t="s">
        <v>75</v>
      </c>
      <c r="H4231" t="s">
        <v>76</v>
      </c>
      <c r="I4231" t="s">
        <v>30</v>
      </c>
      <c r="J4231" t="s">
        <v>86</v>
      </c>
      <c r="K4231" t="s">
        <v>66</v>
      </c>
      <c r="L4231" t="s">
        <v>33</v>
      </c>
      <c r="M4231" t="s">
        <v>47</v>
      </c>
      <c r="N4231" t="s">
        <v>48</v>
      </c>
      <c r="O4231" t="s">
        <v>36</v>
      </c>
      <c r="P4231" t="s">
        <v>58</v>
      </c>
      <c r="Q4231" t="s">
        <v>152</v>
      </c>
      <c r="R4231">
        <v>211</v>
      </c>
      <c r="S4231">
        <v>128</v>
      </c>
      <c r="T4231">
        <v>99</v>
      </c>
      <c r="U4231">
        <v>38</v>
      </c>
      <c r="V4231" t="s">
        <v>7374</v>
      </c>
      <c r="W4231">
        <v>63240</v>
      </c>
      <c r="X4231" t="s">
        <v>572</v>
      </c>
      <c r="Y4231">
        <v>47650</v>
      </c>
      <c r="Z4231">
        <v>2403120</v>
      </c>
      <c r="AA4231">
        <v>592420</v>
      </c>
      <c r="AB4231" t="str">
        <f>(VLOOKUP(SalesData[[#This Row],[Month Number]],Reference!C$5:E$16,2,FALSE))</f>
        <v>Feb</v>
      </c>
      <c r="AC4231">
        <f>MONTH(SalesData[[#This Row],[Date]])</f>
        <v>2</v>
      </c>
      <c r="AD4231">
        <f>Reference!F$4</f>
        <v>2026</v>
      </c>
      <c r="AE4231" t="str">
        <f>IF(OR(SalesData[[#This Row],[Day]]="Saturday",SalesData[[#This Row],[Day]]="Sunday"),"Weekend","Weekday")</f>
        <v>Weekend</v>
      </c>
      <c r="AF4231" s="5">
        <f>IF(SalesData[[#This Row],[Contracts Offered]]=0,0,SalesData[[#This Row],[Contracts Signed]]/SalesData[[#This Row],[Contracts Offered]])</f>
        <v>0.38383838383838381</v>
      </c>
      <c r="AG4231" s="5">
        <f>IF(SalesData[[#This Row],[Customers Visited]]=0,0,SalesData[[#This Row],[Test Drives]]/SalesData[[#This Row],[Customers Visited]])</f>
        <v>0.60663507109004744</v>
      </c>
      <c r="AH4231" s="5">
        <f>IF(SalesData[[#This Row],[Customers Visited]]=0,0,SalesData[[#This Row],[Contracts Signed]]/SalesData[[#This Row],[Customers Visited]])</f>
        <v>0.18009478672985782</v>
      </c>
      <c r="AI4231" s="6">
        <f>IF(SalesData[[#This Row],[Contracts Signed]]=0,0,SalesData[[#This Row],[Profit(€)]]/SalesData[[#This Row],[Contracts Signed]])</f>
        <v>15590</v>
      </c>
      <c r="AJ4231" s="5" t="str">
        <f>TRIM(CLEAN(SalesData[[#This Row],[Retailer]]))</f>
        <v>Stuttgart Auto Center</v>
      </c>
    </row>
    <row r="4232" spans="1:36" ht="14.25" hidden="1" x14ac:dyDescent="0.2">
      <c r="A4232" t="s">
        <v>5483</v>
      </c>
      <c r="B4232" s="1">
        <v>46065</v>
      </c>
      <c r="C4232" t="s">
        <v>121</v>
      </c>
      <c r="D4232" t="s">
        <v>100</v>
      </c>
      <c r="E4232" t="s">
        <v>26</v>
      </c>
      <c r="F4232" t="s">
        <v>83</v>
      </c>
      <c r="G4232" t="s">
        <v>84</v>
      </c>
      <c r="H4232" t="s">
        <v>85</v>
      </c>
      <c r="I4232" t="s">
        <v>116</v>
      </c>
      <c r="J4232" t="s">
        <v>132</v>
      </c>
      <c r="K4232" t="s">
        <v>66</v>
      </c>
      <c r="L4232" t="s">
        <v>46</v>
      </c>
      <c r="M4232" t="s">
        <v>68</v>
      </c>
      <c r="N4232" t="s">
        <v>69</v>
      </c>
      <c r="O4232" t="s">
        <v>70</v>
      </c>
      <c r="P4232" t="s">
        <v>37</v>
      </c>
      <c r="Q4232" t="s">
        <v>158</v>
      </c>
      <c r="R4232">
        <v>355</v>
      </c>
      <c r="S4232">
        <v>178</v>
      </c>
      <c r="T4232">
        <v>121</v>
      </c>
      <c r="U4232">
        <v>29</v>
      </c>
      <c r="V4232" t="s">
        <v>3740</v>
      </c>
      <c r="W4232">
        <v>26608</v>
      </c>
      <c r="X4232" t="s">
        <v>1473</v>
      </c>
      <c r="Y4232">
        <v>24397</v>
      </c>
      <c r="Z4232">
        <v>771632</v>
      </c>
      <c r="AA4232">
        <v>64119</v>
      </c>
      <c r="AB4232" t="str">
        <f>(VLOOKUP(SalesData[[#This Row],[Month Number]],Reference!C$5:E$16,2,FALSE))</f>
        <v>Feb</v>
      </c>
      <c r="AC4232">
        <f>MONTH(SalesData[[#This Row],[Date]])</f>
        <v>2</v>
      </c>
      <c r="AD4232">
        <f>Reference!F$4</f>
        <v>2026</v>
      </c>
      <c r="AE4232" t="str">
        <f>IF(OR(SalesData[[#This Row],[Day]]="Saturday",SalesData[[#This Row],[Day]]="Sunday"),"Weekend","Weekday")</f>
        <v>Weekday</v>
      </c>
      <c r="AF4232" s="5">
        <f>IF(SalesData[[#This Row],[Contracts Offered]]=0,0,SalesData[[#This Row],[Contracts Signed]]/SalesData[[#This Row],[Contracts Offered]])</f>
        <v>0.23966942148760331</v>
      </c>
      <c r="AG4232" s="5">
        <f>IF(SalesData[[#This Row],[Customers Visited]]=0,0,SalesData[[#This Row],[Test Drives]]/SalesData[[#This Row],[Customers Visited]])</f>
        <v>0.50140845070422535</v>
      </c>
      <c r="AH4232" s="5">
        <f>IF(SalesData[[#This Row],[Customers Visited]]=0,0,SalesData[[#This Row],[Contracts Signed]]/SalesData[[#This Row],[Customers Visited]])</f>
        <v>8.1690140845070425E-2</v>
      </c>
      <c r="AI4232" s="6">
        <f>IF(SalesData[[#This Row],[Contracts Signed]]=0,0,SalesData[[#This Row],[Profit(€)]]/SalesData[[#This Row],[Contracts Signed]])</f>
        <v>2211</v>
      </c>
      <c r="AJ4232" s="5" t="str">
        <f>TRIM(CLEAN(SalesData[[#This Row],[Retailer]]))</f>
        <v>Hannover Cars</v>
      </c>
    </row>
    <row r="4233" spans="1:36" ht="14.25" hidden="1" x14ac:dyDescent="0.2">
      <c r="A4233" t="s">
        <v>5484</v>
      </c>
      <c r="B4233" s="1">
        <v>46079</v>
      </c>
      <c r="C4233" t="s">
        <v>53</v>
      </c>
      <c r="D4233" t="s">
        <v>100</v>
      </c>
      <c r="E4233" t="s">
        <v>26</v>
      </c>
      <c r="F4233" t="s">
        <v>43</v>
      </c>
      <c r="G4233" t="s">
        <v>44</v>
      </c>
      <c r="H4233" t="s">
        <v>45</v>
      </c>
      <c r="I4233" t="s">
        <v>56</v>
      </c>
      <c r="J4233" t="s">
        <v>137</v>
      </c>
      <c r="K4233" t="s">
        <v>91</v>
      </c>
      <c r="L4233" t="s">
        <v>46</v>
      </c>
      <c r="M4233" t="s">
        <v>34</v>
      </c>
      <c r="N4233" t="s">
        <v>48</v>
      </c>
      <c r="O4233" t="s">
        <v>70</v>
      </c>
      <c r="P4233" t="s">
        <v>37</v>
      </c>
      <c r="Q4233" t="s">
        <v>118</v>
      </c>
      <c r="R4233">
        <v>235</v>
      </c>
      <c r="S4233">
        <v>126</v>
      </c>
      <c r="T4233">
        <v>84</v>
      </c>
      <c r="U4233">
        <v>24</v>
      </c>
      <c r="V4233" t="s">
        <v>367</v>
      </c>
      <c r="W4233">
        <v>43219</v>
      </c>
      <c r="X4233" t="s">
        <v>80</v>
      </c>
      <c r="Y4233">
        <v>35007</v>
      </c>
      <c r="Z4233">
        <v>1037256</v>
      </c>
      <c r="AA4233">
        <v>197088</v>
      </c>
      <c r="AB4233" t="str">
        <f>(VLOOKUP(SalesData[[#This Row],[Month Number]],Reference!C$5:E$16,2,FALSE))</f>
        <v>Feb</v>
      </c>
      <c r="AC4233">
        <f>MONTH(SalesData[[#This Row],[Date]])</f>
        <v>2</v>
      </c>
      <c r="AD4233">
        <f>Reference!F$4</f>
        <v>2026</v>
      </c>
      <c r="AE4233" t="str">
        <f>IF(OR(SalesData[[#This Row],[Day]]="Saturday",SalesData[[#This Row],[Day]]="Sunday"),"Weekend","Weekday")</f>
        <v>Weekday</v>
      </c>
      <c r="AF4233" s="5">
        <f>IF(SalesData[[#This Row],[Contracts Offered]]=0,0,SalesData[[#This Row],[Contracts Signed]]/SalesData[[#This Row],[Contracts Offered]])</f>
        <v>0.2857142857142857</v>
      </c>
      <c r="AG4233" s="5">
        <f>IF(SalesData[[#This Row],[Customers Visited]]=0,0,SalesData[[#This Row],[Test Drives]]/SalesData[[#This Row],[Customers Visited]])</f>
        <v>0.53617021276595744</v>
      </c>
      <c r="AH4233" s="5">
        <f>IF(SalesData[[#This Row],[Customers Visited]]=0,0,SalesData[[#This Row],[Contracts Signed]]/SalesData[[#This Row],[Customers Visited]])</f>
        <v>0.10212765957446808</v>
      </c>
      <c r="AI4233" s="6">
        <f>IF(SalesData[[#This Row],[Contracts Signed]]=0,0,SalesData[[#This Row],[Profit(€)]]/SalesData[[#This Row],[Contracts Signed]])</f>
        <v>8212</v>
      </c>
      <c r="AJ4233" s="5" t="str">
        <f>TRIM(CLEAN(SalesData[[#This Row],[Retailer]]))</f>
        <v>Saxon Wheels</v>
      </c>
    </row>
    <row r="4234" spans="1:36" ht="14.25" x14ac:dyDescent="0.2">
      <c r="A4234" t="s">
        <v>5485</v>
      </c>
      <c r="B4234" s="1">
        <v>46066</v>
      </c>
      <c r="C4234" t="s">
        <v>121</v>
      </c>
      <c r="D4234" t="s">
        <v>54</v>
      </c>
      <c r="E4234" t="s">
        <v>26</v>
      </c>
      <c r="F4234" t="s">
        <v>83</v>
      </c>
      <c r="G4234" t="s">
        <v>84</v>
      </c>
      <c r="H4234" t="s">
        <v>85</v>
      </c>
      <c r="I4234" t="s">
        <v>30</v>
      </c>
      <c r="J4234" t="s">
        <v>86</v>
      </c>
      <c r="K4234" t="s">
        <v>78</v>
      </c>
      <c r="L4234" t="s">
        <v>33</v>
      </c>
      <c r="M4234" t="s">
        <v>87</v>
      </c>
      <c r="N4234" t="s">
        <v>35</v>
      </c>
      <c r="O4234" t="s">
        <v>70</v>
      </c>
      <c r="P4234" t="s">
        <v>71</v>
      </c>
      <c r="Q4234" t="s">
        <v>118</v>
      </c>
      <c r="R4234">
        <v>202</v>
      </c>
      <c r="S4234">
        <v>117</v>
      </c>
      <c r="T4234">
        <v>80</v>
      </c>
      <c r="U4234">
        <v>34</v>
      </c>
      <c r="V4234" t="s">
        <v>6580</v>
      </c>
      <c r="W4234">
        <v>63868</v>
      </c>
      <c r="X4234" t="s">
        <v>1680</v>
      </c>
      <c r="Y4234">
        <v>44867</v>
      </c>
      <c r="Z4234">
        <v>2171512</v>
      </c>
      <c r="AA4234">
        <v>646034</v>
      </c>
      <c r="AB4234" t="str">
        <f>(VLOOKUP(SalesData[[#This Row],[Month Number]],Reference!C$5:E$16,2,FALSE))</f>
        <v>Feb</v>
      </c>
      <c r="AC4234">
        <f>MONTH(SalesData[[#This Row],[Date]])</f>
        <v>2</v>
      </c>
      <c r="AD4234">
        <f>Reference!F$4</f>
        <v>2026</v>
      </c>
      <c r="AE4234" t="str">
        <f>IF(OR(SalesData[[#This Row],[Day]]="Saturday",SalesData[[#This Row],[Day]]="Sunday"),"Weekend","Weekday")</f>
        <v>Weekday</v>
      </c>
      <c r="AF4234" s="5">
        <f>IF(SalesData[[#This Row],[Contracts Offered]]=0,0,SalesData[[#This Row],[Contracts Signed]]/SalesData[[#This Row],[Contracts Offered]])</f>
        <v>0.42499999999999999</v>
      </c>
      <c r="AG4234" s="5">
        <f>IF(SalesData[[#This Row],[Customers Visited]]=0,0,SalesData[[#This Row],[Test Drives]]/SalesData[[#This Row],[Customers Visited]])</f>
        <v>0.57920792079207917</v>
      </c>
      <c r="AH4234" s="5">
        <f>IF(SalesData[[#This Row],[Customers Visited]]=0,0,SalesData[[#This Row],[Contracts Signed]]/SalesData[[#This Row],[Customers Visited]])</f>
        <v>0.16831683168316833</v>
      </c>
      <c r="AI4234" s="6">
        <f>IF(SalesData[[#This Row],[Contracts Signed]]=0,0,SalesData[[#This Row],[Profit(€)]]/SalesData[[#This Row],[Contracts Signed]])</f>
        <v>19001</v>
      </c>
      <c r="AJ4234" s="5" t="str">
        <f>TRIM(CLEAN(SalesData[[#This Row],[Retailer]]))</f>
        <v>Hannover Cars</v>
      </c>
    </row>
    <row r="4235" spans="1:36" ht="14.25" hidden="1" x14ac:dyDescent="0.2">
      <c r="A4235" t="s">
        <v>5486</v>
      </c>
      <c r="B4235" s="1">
        <v>46059</v>
      </c>
      <c r="C4235" t="s">
        <v>24</v>
      </c>
      <c r="D4235" t="s">
        <v>54</v>
      </c>
      <c r="E4235" t="s">
        <v>26</v>
      </c>
      <c r="F4235" t="s">
        <v>94</v>
      </c>
      <c r="G4235" t="s">
        <v>95</v>
      </c>
      <c r="H4235" t="s">
        <v>96</v>
      </c>
      <c r="I4235" t="s">
        <v>104</v>
      </c>
      <c r="J4235" t="s">
        <v>7061</v>
      </c>
      <c r="K4235" t="s">
        <v>91</v>
      </c>
      <c r="L4235" t="s">
        <v>46</v>
      </c>
      <c r="M4235" t="s">
        <v>47</v>
      </c>
      <c r="N4235" t="s">
        <v>35</v>
      </c>
      <c r="O4235" t="s">
        <v>36</v>
      </c>
      <c r="P4235" t="s">
        <v>71</v>
      </c>
      <c r="Q4235" t="s">
        <v>38</v>
      </c>
      <c r="R4235">
        <v>380</v>
      </c>
      <c r="S4235">
        <v>218</v>
      </c>
      <c r="T4235">
        <v>144</v>
      </c>
      <c r="U4235">
        <v>44</v>
      </c>
      <c r="V4235" t="s">
        <v>6427</v>
      </c>
      <c r="W4235">
        <v>32030</v>
      </c>
      <c r="X4235" t="s">
        <v>7551</v>
      </c>
      <c r="Y4235">
        <v>28040</v>
      </c>
      <c r="Z4235">
        <v>1409320</v>
      </c>
      <c r="AA4235">
        <v>175560</v>
      </c>
      <c r="AB4235" t="str">
        <f>(VLOOKUP(SalesData[[#This Row],[Month Number]],Reference!C$5:E$16,2,FALSE))</f>
        <v>Feb</v>
      </c>
      <c r="AC4235">
        <f>MONTH(SalesData[[#This Row],[Date]])</f>
        <v>2</v>
      </c>
      <c r="AD4235">
        <f>Reference!F$4</f>
        <v>2026</v>
      </c>
      <c r="AE4235" t="str">
        <f>IF(OR(SalesData[[#This Row],[Day]]="Saturday",SalesData[[#This Row],[Day]]="Sunday"),"Weekend","Weekday")</f>
        <v>Weekday</v>
      </c>
      <c r="AF4235" s="5">
        <f>IF(SalesData[[#This Row],[Contracts Offered]]=0,0,SalesData[[#This Row],[Contracts Signed]]/SalesData[[#This Row],[Contracts Offered]])</f>
        <v>0.30555555555555558</v>
      </c>
      <c r="AG4235" s="5">
        <f>IF(SalesData[[#This Row],[Customers Visited]]=0,0,SalesData[[#This Row],[Test Drives]]/SalesData[[#This Row],[Customers Visited]])</f>
        <v>0.5736842105263158</v>
      </c>
      <c r="AH4235" s="5">
        <f>IF(SalesData[[#This Row],[Customers Visited]]=0,0,SalesData[[#This Row],[Contracts Signed]]/SalesData[[#This Row],[Customers Visited]])</f>
        <v>0.11578947368421053</v>
      </c>
      <c r="AI4235" s="6">
        <f>IF(SalesData[[#This Row],[Contracts Signed]]=0,0,SalesData[[#This Row],[Profit(€)]]/SalesData[[#This Row],[Contracts Signed]])</f>
        <v>3990</v>
      </c>
      <c r="AJ4235" s="5" t="str">
        <f>TRIM(CLEAN(SalesData[[#This Row],[Retailer]]))</f>
        <v>Bavaria Motors</v>
      </c>
    </row>
    <row r="4236" spans="1:36" ht="14.25" hidden="1" x14ac:dyDescent="0.2">
      <c r="A4236" t="s">
        <v>5487</v>
      </c>
      <c r="B4236" s="1">
        <v>46063</v>
      </c>
      <c r="C4236" t="s">
        <v>121</v>
      </c>
      <c r="D4236" t="s">
        <v>63</v>
      </c>
      <c r="E4236" t="s">
        <v>26</v>
      </c>
      <c r="F4236" t="s">
        <v>101</v>
      </c>
      <c r="G4236" t="s">
        <v>102</v>
      </c>
      <c r="H4236" t="s">
        <v>103</v>
      </c>
      <c r="I4236" t="s">
        <v>56</v>
      </c>
      <c r="J4236" t="s">
        <v>7028</v>
      </c>
      <c r="K4236" t="s">
        <v>66</v>
      </c>
      <c r="L4236" t="s">
        <v>46</v>
      </c>
      <c r="M4236" t="s">
        <v>87</v>
      </c>
      <c r="N4236" t="s">
        <v>48</v>
      </c>
      <c r="O4236" t="s">
        <v>70</v>
      </c>
      <c r="P4236" t="s">
        <v>71</v>
      </c>
      <c r="Q4236" t="s">
        <v>59</v>
      </c>
      <c r="R4236">
        <v>265</v>
      </c>
      <c r="S4236">
        <v>128</v>
      </c>
      <c r="T4236">
        <v>95</v>
      </c>
      <c r="U4236">
        <v>31</v>
      </c>
      <c r="V4236" t="s">
        <v>6536</v>
      </c>
      <c r="W4236">
        <v>56052</v>
      </c>
      <c r="X4236" t="s">
        <v>7182</v>
      </c>
      <c r="Y4236">
        <v>45578</v>
      </c>
      <c r="Z4236">
        <v>1737612</v>
      </c>
      <c r="AA4236">
        <v>324694</v>
      </c>
      <c r="AB4236" t="str">
        <f>(VLOOKUP(SalesData[[#This Row],[Month Number]],Reference!C$5:E$16,2,FALSE))</f>
        <v>Feb</v>
      </c>
      <c r="AC4236">
        <f>MONTH(SalesData[[#This Row],[Date]])</f>
        <v>2</v>
      </c>
      <c r="AD4236">
        <f>Reference!F$4</f>
        <v>2026</v>
      </c>
      <c r="AE4236" t="str">
        <f>IF(OR(SalesData[[#This Row],[Day]]="Saturday",SalesData[[#This Row],[Day]]="Sunday"),"Weekend","Weekday")</f>
        <v>Weekday</v>
      </c>
      <c r="AF4236" s="5">
        <f>IF(SalesData[[#This Row],[Contracts Offered]]=0,0,SalesData[[#This Row],[Contracts Signed]]/SalesData[[#This Row],[Contracts Offered]])</f>
        <v>0.32631578947368423</v>
      </c>
      <c r="AG4236" s="5">
        <f>IF(SalesData[[#This Row],[Customers Visited]]=0,0,SalesData[[#This Row],[Test Drives]]/SalesData[[#This Row],[Customers Visited]])</f>
        <v>0.48301886792452831</v>
      </c>
      <c r="AH4236" s="5">
        <f>IF(SalesData[[#This Row],[Customers Visited]]=0,0,SalesData[[#This Row],[Contracts Signed]]/SalesData[[#This Row],[Customers Visited]])</f>
        <v>0.1169811320754717</v>
      </c>
      <c r="AI4236" s="6">
        <f>IF(SalesData[[#This Row],[Contracts Signed]]=0,0,SalesData[[#This Row],[Profit(€)]]/SalesData[[#This Row],[Contracts Signed]])</f>
        <v>10474</v>
      </c>
      <c r="AJ4236" s="5" t="str">
        <f>TRIM(CLEAN(SalesData[[#This Row],[Retailer]]))</f>
        <v>Ruhr Auto Plaza</v>
      </c>
    </row>
    <row r="4237" spans="1:36" ht="14.25" hidden="1" x14ac:dyDescent="0.2">
      <c r="A4237" t="s">
        <v>5489</v>
      </c>
      <c r="B4237" s="1">
        <v>46057</v>
      </c>
      <c r="C4237" t="s">
        <v>24</v>
      </c>
      <c r="D4237" t="s">
        <v>82</v>
      </c>
      <c r="E4237" t="s">
        <v>26</v>
      </c>
      <c r="F4237" t="s">
        <v>74</v>
      </c>
      <c r="G4237" t="s">
        <v>75</v>
      </c>
      <c r="H4237" t="s">
        <v>76</v>
      </c>
      <c r="I4237" t="s">
        <v>64</v>
      </c>
      <c r="J4237" t="s">
        <v>65</v>
      </c>
      <c r="K4237" t="s">
        <v>66</v>
      </c>
      <c r="L4237" t="s">
        <v>33</v>
      </c>
      <c r="M4237" t="s">
        <v>47</v>
      </c>
      <c r="N4237" t="s">
        <v>48</v>
      </c>
      <c r="O4237" t="s">
        <v>70</v>
      </c>
      <c r="P4237" t="s">
        <v>71</v>
      </c>
      <c r="Q4237" t="s">
        <v>172</v>
      </c>
      <c r="R4237">
        <v>269</v>
      </c>
      <c r="S4237">
        <v>152</v>
      </c>
      <c r="T4237">
        <v>108</v>
      </c>
      <c r="U4237">
        <v>37</v>
      </c>
      <c r="V4237" t="s">
        <v>6548</v>
      </c>
      <c r="W4237">
        <v>53142</v>
      </c>
      <c r="X4237" t="s">
        <v>7461</v>
      </c>
      <c r="Y4237">
        <v>38892</v>
      </c>
      <c r="Z4237">
        <v>1966254</v>
      </c>
      <c r="AA4237">
        <v>527250</v>
      </c>
      <c r="AB4237" t="str">
        <f>(VLOOKUP(SalesData[[#This Row],[Month Number]],Reference!C$5:E$16,2,FALSE))</f>
        <v>Feb</v>
      </c>
      <c r="AC4237">
        <f>MONTH(SalesData[[#This Row],[Date]])</f>
        <v>2</v>
      </c>
      <c r="AD4237">
        <f>Reference!F$4</f>
        <v>2026</v>
      </c>
      <c r="AE4237" t="str">
        <f>IF(OR(SalesData[[#This Row],[Day]]="Saturday",SalesData[[#This Row],[Day]]="Sunday"),"Weekend","Weekday")</f>
        <v>Weekday</v>
      </c>
      <c r="AF4237" s="5">
        <f>IF(SalesData[[#This Row],[Contracts Offered]]=0,0,SalesData[[#This Row],[Contracts Signed]]/SalesData[[#This Row],[Contracts Offered]])</f>
        <v>0.34259259259259262</v>
      </c>
      <c r="AG4237" s="5">
        <f>IF(SalesData[[#This Row],[Customers Visited]]=0,0,SalesData[[#This Row],[Test Drives]]/SalesData[[#This Row],[Customers Visited]])</f>
        <v>0.56505576208178443</v>
      </c>
      <c r="AH4237" s="5">
        <f>IF(SalesData[[#This Row],[Customers Visited]]=0,0,SalesData[[#This Row],[Contracts Signed]]/SalesData[[#This Row],[Customers Visited]])</f>
        <v>0.13754646840148699</v>
      </c>
      <c r="AI4237" s="6">
        <f>IF(SalesData[[#This Row],[Contracts Signed]]=0,0,SalesData[[#This Row],[Profit(€)]]/SalesData[[#This Row],[Contracts Signed]])</f>
        <v>14250</v>
      </c>
      <c r="AJ4237" s="5" t="str">
        <f>TRIM(CLEAN(SalesData[[#This Row],[Retailer]]))</f>
        <v>Stuttgart Auto Center</v>
      </c>
    </row>
    <row r="4238" spans="1:36" ht="14.25" hidden="1" x14ac:dyDescent="0.2">
      <c r="A4238" t="s">
        <v>5490</v>
      </c>
      <c r="B4238" s="1">
        <v>46077</v>
      </c>
      <c r="C4238" t="s">
        <v>53</v>
      </c>
      <c r="D4238" t="s">
        <v>63</v>
      </c>
      <c r="E4238" t="s">
        <v>26</v>
      </c>
      <c r="F4238" t="s">
        <v>27</v>
      </c>
      <c r="G4238" t="s">
        <v>28</v>
      </c>
      <c r="H4238" t="s">
        <v>29</v>
      </c>
      <c r="I4238" t="s">
        <v>64</v>
      </c>
      <c r="J4238" t="s">
        <v>77</v>
      </c>
      <c r="K4238" t="s">
        <v>66</v>
      </c>
      <c r="L4238" t="s">
        <v>46</v>
      </c>
      <c r="M4238" t="s">
        <v>87</v>
      </c>
      <c r="N4238" t="s">
        <v>48</v>
      </c>
      <c r="O4238" t="s">
        <v>36</v>
      </c>
      <c r="P4238" t="s">
        <v>58</v>
      </c>
      <c r="Q4238" t="s">
        <v>347</v>
      </c>
      <c r="R4238">
        <v>240</v>
      </c>
      <c r="S4238">
        <v>109</v>
      </c>
      <c r="T4238">
        <v>81</v>
      </c>
      <c r="U4238">
        <v>32</v>
      </c>
      <c r="V4238" t="s">
        <v>7001</v>
      </c>
      <c r="W4238">
        <v>69919</v>
      </c>
      <c r="X4238" t="s">
        <v>7413</v>
      </c>
      <c r="Y4238">
        <v>52459</v>
      </c>
      <c r="Z4238">
        <v>2237408</v>
      </c>
      <c r="AA4238">
        <v>558720</v>
      </c>
      <c r="AB4238" t="str">
        <f>(VLOOKUP(SalesData[[#This Row],[Month Number]],Reference!C$5:E$16,2,FALSE))</f>
        <v>Feb</v>
      </c>
      <c r="AC4238">
        <f>MONTH(SalesData[[#This Row],[Date]])</f>
        <v>2</v>
      </c>
      <c r="AD4238">
        <f>Reference!F$4</f>
        <v>2026</v>
      </c>
      <c r="AE4238" t="str">
        <f>IF(OR(SalesData[[#This Row],[Day]]="Saturday",SalesData[[#This Row],[Day]]="Sunday"),"Weekend","Weekday")</f>
        <v>Weekday</v>
      </c>
      <c r="AF4238" s="5">
        <f>IF(SalesData[[#This Row],[Contracts Offered]]=0,0,SalesData[[#This Row],[Contracts Signed]]/SalesData[[#This Row],[Contracts Offered]])</f>
        <v>0.39506172839506171</v>
      </c>
      <c r="AG4238" s="5">
        <f>IF(SalesData[[#This Row],[Customers Visited]]=0,0,SalesData[[#This Row],[Test Drives]]/SalesData[[#This Row],[Customers Visited]])</f>
        <v>0.45416666666666666</v>
      </c>
      <c r="AH4238" s="5">
        <f>IF(SalesData[[#This Row],[Customers Visited]]=0,0,SalesData[[#This Row],[Contracts Signed]]/SalesData[[#This Row],[Customers Visited]])</f>
        <v>0.13333333333333333</v>
      </c>
      <c r="AI4238" s="6">
        <f>IF(SalesData[[#This Row],[Contracts Signed]]=0,0,SalesData[[#This Row],[Profit(€)]]/SalesData[[#This Row],[Contracts Signed]])</f>
        <v>17460</v>
      </c>
      <c r="AJ4238" s="5" t="str">
        <f>TRIM(CLEAN(SalesData[[#This Row],[Retailer]]))</f>
        <v>Main Auto Hub</v>
      </c>
    </row>
    <row r="4239" spans="1:36" ht="14.25" hidden="1" x14ac:dyDescent="0.2">
      <c r="A4239" t="s">
        <v>5491</v>
      </c>
      <c r="B4239" s="1">
        <v>46056</v>
      </c>
      <c r="C4239" t="s">
        <v>24</v>
      </c>
      <c r="D4239" t="s">
        <v>63</v>
      </c>
      <c r="E4239" t="s">
        <v>26</v>
      </c>
      <c r="F4239" t="s">
        <v>7649</v>
      </c>
      <c r="G4239" t="s">
        <v>55</v>
      </c>
      <c r="H4239" t="s">
        <v>55</v>
      </c>
      <c r="I4239" t="s">
        <v>116</v>
      </c>
      <c r="J4239" t="s">
        <v>203</v>
      </c>
      <c r="K4239" t="s">
        <v>32</v>
      </c>
      <c r="L4239" t="s">
        <v>67</v>
      </c>
      <c r="M4239" t="s">
        <v>68</v>
      </c>
      <c r="N4239" t="s">
        <v>48</v>
      </c>
      <c r="O4239" t="s">
        <v>36</v>
      </c>
      <c r="P4239" t="s">
        <v>58</v>
      </c>
      <c r="Q4239" t="s">
        <v>135</v>
      </c>
      <c r="R4239">
        <v>248</v>
      </c>
      <c r="S4239">
        <v>99</v>
      </c>
      <c r="T4239">
        <v>62</v>
      </c>
      <c r="U4239">
        <v>20</v>
      </c>
      <c r="V4239" t="s">
        <v>6973</v>
      </c>
      <c r="W4239">
        <v>23786</v>
      </c>
      <c r="X4239" t="s">
        <v>329</v>
      </c>
      <c r="Y4239">
        <v>21726</v>
      </c>
      <c r="Z4239">
        <v>475720</v>
      </c>
      <c r="AA4239">
        <v>41200</v>
      </c>
      <c r="AB4239" t="str">
        <f>(VLOOKUP(SalesData[[#This Row],[Month Number]],Reference!C$5:E$16,2,FALSE))</f>
        <v>Feb</v>
      </c>
      <c r="AC4239">
        <f>MONTH(SalesData[[#This Row],[Date]])</f>
        <v>2</v>
      </c>
      <c r="AD4239">
        <f>Reference!F$4</f>
        <v>2026</v>
      </c>
      <c r="AE4239" t="str">
        <f>IF(OR(SalesData[[#This Row],[Day]]="Saturday",SalesData[[#This Row],[Day]]="Sunday"),"Weekend","Weekday")</f>
        <v>Weekday</v>
      </c>
      <c r="AF4239" s="5">
        <f>IF(SalesData[[#This Row],[Contracts Offered]]=0,0,SalesData[[#This Row],[Contracts Signed]]/SalesData[[#This Row],[Contracts Offered]])</f>
        <v>0.32258064516129031</v>
      </c>
      <c r="AG4239" s="5">
        <f>IF(SalesData[[#This Row],[Customers Visited]]=0,0,SalesData[[#This Row],[Test Drives]]/SalesData[[#This Row],[Customers Visited]])</f>
        <v>0.39919354838709675</v>
      </c>
      <c r="AH4239" s="5">
        <f>IF(SalesData[[#This Row],[Customers Visited]]=0,0,SalesData[[#This Row],[Contracts Signed]]/SalesData[[#This Row],[Customers Visited]])</f>
        <v>8.0645161290322578E-2</v>
      </c>
      <c r="AI4239" s="6">
        <f>IF(SalesData[[#This Row],[Contracts Signed]]=0,0,SalesData[[#This Row],[Profit(€)]]/SalesData[[#This Row],[Contracts Signed]])</f>
        <v>2060</v>
      </c>
      <c r="AJ4239" s="5" t="str">
        <f>TRIM(CLEAN(SalesData[[#This Row],[Retailer]]))</f>
        <v>Autohaus Berlin</v>
      </c>
    </row>
    <row r="4240" spans="1:36" ht="14.25" x14ac:dyDescent="0.2">
      <c r="A4240" t="s">
        <v>5492</v>
      </c>
      <c r="B4240" s="1">
        <v>46072</v>
      </c>
      <c r="C4240" t="s">
        <v>62</v>
      </c>
      <c r="D4240" t="s">
        <v>100</v>
      </c>
      <c r="E4240" t="s">
        <v>26</v>
      </c>
      <c r="F4240" t="s">
        <v>101</v>
      </c>
      <c r="G4240" t="s">
        <v>102</v>
      </c>
      <c r="H4240" t="s">
        <v>103</v>
      </c>
      <c r="I4240" t="s">
        <v>30</v>
      </c>
      <c r="J4240" t="s">
        <v>86</v>
      </c>
      <c r="K4240" t="s">
        <v>32</v>
      </c>
      <c r="L4240" t="s">
        <v>33</v>
      </c>
      <c r="M4240" t="s">
        <v>47</v>
      </c>
      <c r="N4240" t="s">
        <v>48</v>
      </c>
      <c r="O4240" t="s">
        <v>70</v>
      </c>
      <c r="P4240" t="s">
        <v>58</v>
      </c>
      <c r="Q4240" t="s">
        <v>144</v>
      </c>
      <c r="R4240">
        <v>188</v>
      </c>
      <c r="S4240">
        <v>107</v>
      </c>
      <c r="T4240">
        <v>78</v>
      </c>
      <c r="U4240">
        <v>29</v>
      </c>
      <c r="V4240" t="s">
        <v>6921</v>
      </c>
      <c r="W4240">
        <v>51078</v>
      </c>
      <c r="X4240" t="s">
        <v>876</v>
      </c>
      <c r="Y4240">
        <v>36818</v>
      </c>
      <c r="Z4240">
        <v>1481262</v>
      </c>
      <c r="AA4240">
        <v>413540</v>
      </c>
      <c r="AB4240" t="str">
        <f>(VLOOKUP(SalesData[[#This Row],[Month Number]],Reference!C$5:E$16,2,FALSE))</f>
        <v>Feb</v>
      </c>
      <c r="AC4240">
        <f>MONTH(SalesData[[#This Row],[Date]])</f>
        <v>2</v>
      </c>
      <c r="AD4240">
        <f>Reference!F$4</f>
        <v>2026</v>
      </c>
      <c r="AE4240" t="str">
        <f>IF(OR(SalesData[[#This Row],[Day]]="Saturday",SalesData[[#This Row],[Day]]="Sunday"),"Weekend","Weekday")</f>
        <v>Weekday</v>
      </c>
      <c r="AF4240" s="5">
        <f>IF(SalesData[[#This Row],[Contracts Offered]]=0,0,SalesData[[#This Row],[Contracts Signed]]/SalesData[[#This Row],[Contracts Offered]])</f>
        <v>0.37179487179487181</v>
      </c>
      <c r="AG4240" s="5">
        <f>IF(SalesData[[#This Row],[Customers Visited]]=0,0,SalesData[[#This Row],[Test Drives]]/SalesData[[#This Row],[Customers Visited]])</f>
        <v>0.56914893617021278</v>
      </c>
      <c r="AH4240" s="5">
        <f>IF(SalesData[[#This Row],[Customers Visited]]=0,0,SalesData[[#This Row],[Contracts Signed]]/SalesData[[#This Row],[Customers Visited]])</f>
        <v>0.15425531914893617</v>
      </c>
      <c r="AI4240" s="6">
        <f>IF(SalesData[[#This Row],[Contracts Signed]]=0,0,SalesData[[#This Row],[Profit(€)]]/SalesData[[#This Row],[Contracts Signed]])</f>
        <v>14260</v>
      </c>
      <c r="AJ4240" s="5" t="str">
        <f>TRIM(CLEAN(SalesData[[#This Row],[Retailer]]))</f>
        <v>Ruhr Auto Plaza</v>
      </c>
    </row>
    <row r="4241" spans="1:36" ht="14.25" hidden="1" x14ac:dyDescent="0.2">
      <c r="A4241" t="s">
        <v>5493</v>
      </c>
      <c r="B4241" s="1">
        <v>46081</v>
      </c>
      <c r="C4241" t="s">
        <v>53</v>
      </c>
      <c r="D4241" t="s">
        <v>151</v>
      </c>
      <c r="E4241" t="s">
        <v>42</v>
      </c>
      <c r="F4241" t="s">
        <v>94</v>
      </c>
      <c r="G4241" t="s">
        <v>95</v>
      </c>
      <c r="H4241" t="s">
        <v>96</v>
      </c>
      <c r="I4241" t="s">
        <v>116</v>
      </c>
      <c r="J4241" t="s">
        <v>132</v>
      </c>
      <c r="K4241" t="s">
        <v>66</v>
      </c>
      <c r="L4241" t="s">
        <v>46</v>
      </c>
      <c r="M4241" t="s">
        <v>34</v>
      </c>
      <c r="N4241" t="s">
        <v>48</v>
      </c>
      <c r="O4241" t="s">
        <v>70</v>
      </c>
      <c r="P4241" t="s">
        <v>49</v>
      </c>
      <c r="Q4241" t="s">
        <v>169</v>
      </c>
      <c r="R4241">
        <v>284</v>
      </c>
      <c r="S4241">
        <v>127</v>
      </c>
      <c r="T4241">
        <v>80</v>
      </c>
      <c r="U4241">
        <v>19</v>
      </c>
      <c r="V4241" t="s">
        <v>1987</v>
      </c>
      <c r="W4241">
        <v>22791</v>
      </c>
      <c r="X4241" t="s">
        <v>642</v>
      </c>
      <c r="Y4241">
        <v>20706</v>
      </c>
      <c r="Z4241">
        <v>433029</v>
      </c>
      <c r="AA4241">
        <v>39615</v>
      </c>
      <c r="AB4241" t="str">
        <f>(VLOOKUP(SalesData[[#This Row],[Month Number]],Reference!C$5:E$16,2,FALSE))</f>
        <v>Feb</v>
      </c>
      <c r="AC4241">
        <f>MONTH(SalesData[[#This Row],[Date]])</f>
        <v>2</v>
      </c>
      <c r="AD4241">
        <f>Reference!F$4</f>
        <v>2026</v>
      </c>
      <c r="AE4241" t="str">
        <f>IF(OR(SalesData[[#This Row],[Day]]="Saturday",SalesData[[#This Row],[Day]]="Sunday"),"Weekend","Weekday")</f>
        <v>Weekend</v>
      </c>
      <c r="AF4241" s="5">
        <f>IF(SalesData[[#This Row],[Contracts Offered]]=0,0,SalesData[[#This Row],[Contracts Signed]]/SalesData[[#This Row],[Contracts Offered]])</f>
        <v>0.23749999999999999</v>
      </c>
      <c r="AG4241" s="5">
        <f>IF(SalesData[[#This Row],[Customers Visited]]=0,0,SalesData[[#This Row],[Test Drives]]/SalesData[[#This Row],[Customers Visited]])</f>
        <v>0.44718309859154931</v>
      </c>
      <c r="AH4241" s="5">
        <f>IF(SalesData[[#This Row],[Customers Visited]]=0,0,SalesData[[#This Row],[Contracts Signed]]/SalesData[[#This Row],[Customers Visited]])</f>
        <v>6.6901408450704219E-2</v>
      </c>
      <c r="AI4241" s="6">
        <f>IF(SalesData[[#This Row],[Contracts Signed]]=0,0,SalesData[[#This Row],[Profit(€)]]/SalesData[[#This Row],[Contracts Signed]])</f>
        <v>2085</v>
      </c>
      <c r="AJ4241" s="5" t="str">
        <f>TRIM(CLEAN(SalesData[[#This Row],[Retailer]]))</f>
        <v>Bavaria Motors</v>
      </c>
    </row>
    <row r="4242" spans="1:36" ht="14.25" hidden="1" x14ac:dyDescent="0.2">
      <c r="A4242" t="s">
        <v>5494</v>
      </c>
      <c r="B4242" s="1">
        <v>46058</v>
      </c>
      <c r="C4242" t="s">
        <v>24</v>
      </c>
      <c r="D4242" t="s">
        <v>100</v>
      </c>
      <c r="E4242" t="s">
        <v>26</v>
      </c>
      <c r="F4242" t="s">
        <v>43</v>
      </c>
      <c r="G4242" t="s">
        <v>44</v>
      </c>
      <c r="H4242" t="s">
        <v>45</v>
      </c>
      <c r="I4242" t="s">
        <v>104</v>
      </c>
      <c r="J4242" t="s">
        <v>105</v>
      </c>
      <c r="K4242" t="s">
        <v>66</v>
      </c>
      <c r="L4242" t="s">
        <v>33</v>
      </c>
      <c r="M4242" t="s">
        <v>87</v>
      </c>
      <c r="N4242" t="s">
        <v>69</v>
      </c>
      <c r="O4242" t="s">
        <v>70</v>
      </c>
      <c r="P4242" t="s">
        <v>71</v>
      </c>
      <c r="Q4242" t="s">
        <v>38</v>
      </c>
      <c r="R4242">
        <v>505</v>
      </c>
      <c r="S4242">
        <v>225</v>
      </c>
      <c r="T4242">
        <v>161</v>
      </c>
      <c r="U4242">
        <v>35</v>
      </c>
      <c r="V4242" t="s">
        <v>925</v>
      </c>
      <c r="W4242">
        <v>29064</v>
      </c>
      <c r="X4242" t="s">
        <v>2090</v>
      </c>
      <c r="Y4242">
        <v>25082</v>
      </c>
      <c r="Z4242">
        <v>1017240</v>
      </c>
      <c r="AA4242">
        <v>139370</v>
      </c>
      <c r="AB4242" t="str">
        <f>(VLOOKUP(SalesData[[#This Row],[Month Number]],Reference!C$5:E$16,2,FALSE))</f>
        <v>Feb</v>
      </c>
      <c r="AC4242">
        <f>MONTH(SalesData[[#This Row],[Date]])</f>
        <v>2</v>
      </c>
      <c r="AD4242">
        <f>Reference!F$4</f>
        <v>2026</v>
      </c>
      <c r="AE4242" t="str">
        <f>IF(OR(SalesData[[#This Row],[Day]]="Saturday",SalesData[[#This Row],[Day]]="Sunday"),"Weekend","Weekday")</f>
        <v>Weekday</v>
      </c>
      <c r="AF4242" s="5">
        <f>IF(SalesData[[#This Row],[Contracts Offered]]=0,0,SalesData[[#This Row],[Contracts Signed]]/SalesData[[#This Row],[Contracts Offered]])</f>
        <v>0.21739130434782608</v>
      </c>
      <c r="AG4242" s="5">
        <f>IF(SalesData[[#This Row],[Customers Visited]]=0,0,SalesData[[#This Row],[Test Drives]]/SalesData[[#This Row],[Customers Visited]])</f>
        <v>0.44554455445544555</v>
      </c>
      <c r="AH4242" s="5">
        <f>IF(SalesData[[#This Row],[Customers Visited]]=0,0,SalesData[[#This Row],[Contracts Signed]]/SalesData[[#This Row],[Customers Visited]])</f>
        <v>6.9306930693069313E-2</v>
      </c>
      <c r="AI4242" s="6">
        <f>IF(SalesData[[#This Row],[Contracts Signed]]=0,0,SalesData[[#This Row],[Profit(€)]]/SalesData[[#This Row],[Contracts Signed]])</f>
        <v>3982</v>
      </c>
      <c r="AJ4242" s="5" t="str">
        <f>TRIM(CLEAN(SalesData[[#This Row],[Retailer]]))</f>
        <v>Saxon Wheels</v>
      </c>
    </row>
    <row r="4243" spans="1:36" ht="14.25" hidden="1" x14ac:dyDescent="0.2">
      <c r="A4243" t="s">
        <v>5495</v>
      </c>
      <c r="B4243" s="1">
        <v>46074</v>
      </c>
      <c r="C4243" t="s">
        <v>62</v>
      </c>
      <c r="D4243" t="s">
        <v>151</v>
      </c>
      <c r="E4243" t="s">
        <v>42</v>
      </c>
      <c r="F4243" t="s">
        <v>101</v>
      </c>
      <c r="G4243" t="s">
        <v>102</v>
      </c>
      <c r="H4243" t="s">
        <v>103</v>
      </c>
      <c r="I4243" t="s">
        <v>116</v>
      </c>
      <c r="J4243" t="s">
        <v>117</v>
      </c>
      <c r="K4243" t="s">
        <v>78</v>
      </c>
      <c r="L4243" t="s">
        <v>67</v>
      </c>
      <c r="M4243" t="s">
        <v>47</v>
      </c>
      <c r="N4243" t="s">
        <v>69</v>
      </c>
      <c r="O4243" t="s">
        <v>70</v>
      </c>
      <c r="P4243" t="s">
        <v>49</v>
      </c>
      <c r="Q4243" t="s">
        <v>50</v>
      </c>
      <c r="R4243">
        <v>247</v>
      </c>
      <c r="S4243">
        <v>117</v>
      </c>
      <c r="T4243">
        <v>76</v>
      </c>
      <c r="U4243">
        <v>14</v>
      </c>
      <c r="V4243" t="s">
        <v>1082</v>
      </c>
      <c r="W4243">
        <v>21847</v>
      </c>
      <c r="X4243" t="s">
        <v>2440</v>
      </c>
      <c r="Y4243">
        <v>20054</v>
      </c>
      <c r="Z4243">
        <v>305858</v>
      </c>
      <c r="AA4243">
        <v>25102</v>
      </c>
      <c r="AB4243" t="str">
        <f>(VLOOKUP(SalesData[[#This Row],[Month Number]],Reference!C$5:E$16,2,FALSE))</f>
        <v>Feb</v>
      </c>
      <c r="AC4243">
        <f>MONTH(SalesData[[#This Row],[Date]])</f>
        <v>2</v>
      </c>
      <c r="AD4243">
        <f>Reference!F$4</f>
        <v>2026</v>
      </c>
      <c r="AE4243" t="str">
        <f>IF(OR(SalesData[[#This Row],[Day]]="Saturday",SalesData[[#This Row],[Day]]="Sunday"),"Weekend","Weekday")</f>
        <v>Weekend</v>
      </c>
      <c r="AF4243" s="5">
        <f>IF(SalesData[[#This Row],[Contracts Offered]]=0,0,SalesData[[#This Row],[Contracts Signed]]/SalesData[[#This Row],[Contracts Offered]])</f>
        <v>0.18421052631578946</v>
      </c>
      <c r="AG4243" s="5">
        <f>IF(SalesData[[#This Row],[Customers Visited]]=0,0,SalesData[[#This Row],[Test Drives]]/SalesData[[#This Row],[Customers Visited]])</f>
        <v>0.47368421052631576</v>
      </c>
      <c r="AH4243" s="5">
        <f>IF(SalesData[[#This Row],[Customers Visited]]=0,0,SalesData[[#This Row],[Contracts Signed]]/SalesData[[#This Row],[Customers Visited]])</f>
        <v>5.6680161943319839E-2</v>
      </c>
      <c r="AI4243" s="6">
        <f>IF(SalesData[[#This Row],[Contracts Signed]]=0,0,SalesData[[#This Row],[Profit(€)]]/SalesData[[#This Row],[Contracts Signed]])</f>
        <v>1793</v>
      </c>
      <c r="AJ4243" s="5" t="str">
        <f>TRIM(CLEAN(SalesData[[#This Row],[Retailer]]))</f>
        <v>Ruhr Auto Plaza</v>
      </c>
    </row>
    <row r="4244" spans="1:36" ht="14.25" hidden="1" x14ac:dyDescent="0.2">
      <c r="A4244" t="s">
        <v>5496</v>
      </c>
      <c r="B4244" s="1">
        <v>46077</v>
      </c>
      <c r="C4244" t="s">
        <v>53</v>
      </c>
      <c r="D4244" t="s">
        <v>63</v>
      </c>
      <c r="E4244" t="s">
        <v>26</v>
      </c>
      <c r="F4244" t="s">
        <v>127</v>
      </c>
      <c r="G4244" t="s">
        <v>128</v>
      </c>
      <c r="H4244" t="s">
        <v>103</v>
      </c>
      <c r="I4244" t="s">
        <v>64</v>
      </c>
      <c r="J4244" t="s">
        <v>77</v>
      </c>
      <c r="K4244" t="s">
        <v>32</v>
      </c>
      <c r="L4244" t="s">
        <v>46</v>
      </c>
      <c r="M4244" t="s">
        <v>34</v>
      </c>
      <c r="N4244" t="s">
        <v>35</v>
      </c>
      <c r="O4244" t="s">
        <v>70</v>
      </c>
      <c r="P4244" t="s">
        <v>58</v>
      </c>
      <c r="Q4244" t="s">
        <v>152</v>
      </c>
      <c r="R4244">
        <v>148</v>
      </c>
      <c r="S4244">
        <v>73</v>
      </c>
      <c r="T4244">
        <v>55</v>
      </c>
      <c r="U4244">
        <v>19</v>
      </c>
      <c r="V4244" t="s">
        <v>6411</v>
      </c>
      <c r="W4244">
        <v>57842</v>
      </c>
      <c r="X4244" t="s">
        <v>7116</v>
      </c>
      <c r="Y4244">
        <v>41902</v>
      </c>
      <c r="Z4244">
        <v>1098998</v>
      </c>
      <c r="AA4244">
        <v>302860</v>
      </c>
      <c r="AB4244" t="str">
        <f>(VLOOKUP(SalesData[[#This Row],[Month Number]],Reference!C$5:E$16,2,FALSE))</f>
        <v>Feb</v>
      </c>
      <c r="AC4244">
        <f>MONTH(SalesData[[#This Row],[Date]])</f>
        <v>2</v>
      </c>
      <c r="AD4244">
        <f>Reference!F$4</f>
        <v>2026</v>
      </c>
      <c r="AE4244" t="str">
        <f>IF(OR(SalesData[[#This Row],[Day]]="Saturday",SalesData[[#This Row],[Day]]="Sunday"),"Weekend","Weekday")</f>
        <v>Weekday</v>
      </c>
      <c r="AF4244" s="5">
        <f>IF(SalesData[[#This Row],[Contracts Offered]]=0,0,SalesData[[#This Row],[Contracts Signed]]/SalesData[[#This Row],[Contracts Offered]])</f>
        <v>0.34545454545454546</v>
      </c>
      <c r="AG4244" s="5">
        <f>IF(SalesData[[#This Row],[Customers Visited]]=0,0,SalesData[[#This Row],[Test Drives]]/SalesData[[#This Row],[Customers Visited]])</f>
        <v>0.49324324324324326</v>
      </c>
      <c r="AH4244" s="5">
        <f>IF(SalesData[[#This Row],[Customers Visited]]=0,0,SalesData[[#This Row],[Contracts Signed]]/SalesData[[#This Row],[Customers Visited]])</f>
        <v>0.12837837837837837</v>
      </c>
      <c r="AI4244" s="6">
        <f>IF(SalesData[[#This Row],[Contracts Signed]]=0,0,SalesData[[#This Row],[Profit(€)]]/SalesData[[#This Row],[Contracts Signed]])</f>
        <v>15940</v>
      </c>
      <c r="AJ4244" s="5" t="str">
        <f>TRIM(CLEAN(SalesData[[#This Row],[Retailer]]))</f>
        <v>Rhein Auto Group</v>
      </c>
    </row>
    <row r="4245" spans="1:36" ht="14.25" x14ac:dyDescent="0.2">
      <c r="A4245" t="s">
        <v>5497</v>
      </c>
      <c r="B4245" s="1">
        <v>46054</v>
      </c>
      <c r="C4245" t="s">
        <v>24</v>
      </c>
      <c r="D4245" t="s">
        <v>41</v>
      </c>
      <c r="E4245" t="s">
        <v>42</v>
      </c>
      <c r="F4245" t="s">
        <v>43</v>
      </c>
      <c r="G4245" t="s">
        <v>44</v>
      </c>
      <c r="H4245" t="s">
        <v>45</v>
      </c>
      <c r="I4245" t="s">
        <v>30</v>
      </c>
      <c r="J4245" t="s">
        <v>188</v>
      </c>
      <c r="K4245" t="s">
        <v>78</v>
      </c>
      <c r="L4245" t="s">
        <v>33</v>
      </c>
      <c r="M4245" t="s">
        <v>47</v>
      </c>
      <c r="N4245" t="s">
        <v>35</v>
      </c>
      <c r="O4245" t="s">
        <v>70</v>
      </c>
      <c r="P4245" t="s">
        <v>58</v>
      </c>
      <c r="Q4245" t="s">
        <v>59</v>
      </c>
      <c r="R4245">
        <v>257</v>
      </c>
      <c r="S4245">
        <v>150</v>
      </c>
      <c r="T4245">
        <v>121</v>
      </c>
      <c r="U4245">
        <v>46</v>
      </c>
      <c r="V4245" t="s">
        <v>7626</v>
      </c>
      <c r="W4245">
        <v>60812</v>
      </c>
      <c r="X4245" t="s">
        <v>7330</v>
      </c>
      <c r="Y4245">
        <v>46584</v>
      </c>
      <c r="Z4245">
        <v>2797352</v>
      </c>
      <c r="AA4245">
        <v>654488</v>
      </c>
      <c r="AB4245" t="str">
        <f>(VLOOKUP(SalesData[[#This Row],[Month Number]],Reference!C$5:E$16,2,FALSE))</f>
        <v>Feb</v>
      </c>
      <c r="AC4245">
        <f>MONTH(SalesData[[#This Row],[Date]])</f>
        <v>2</v>
      </c>
      <c r="AD4245">
        <f>Reference!F$4</f>
        <v>2026</v>
      </c>
      <c r="AE4245" t="str">
        <f>IF(OR(SalesData[[#This Row],[Day]]="Saturday",SalesData[[#This Row],[Day]]="Sunday"),"Weekend","Weekday")</f>
        <v>Weekend</v>
      </c>
      <c r="AF4245" s="5">
        <f>IF(SalesData[[#This Row],[Contracts Offered]]=0,0,SalesData[[#This Row],[Contracts Signed]]/SalesData[[#This Row],[Contracts Offered]])</f>
        <v>0.38016528925619836</v>
      </c>
      <c r="AG4245" s="5">
        <f>IF(SalesData[[#This Row],[Customers Visited]]=0,0,SalesData[[#This Row],[Test Drives]]/SalesData[[#This Row],[Customers Visited]])</f>
        <v>0.58365758754863817</v>
      </c>
      <c r="AH4245" s="5">
        <f>IF(SalesData[[#This Row],[Customers Visited]]=0,0,SalesData[[#This Row],[Contracts Signed]]/SalesData[[#This Row],[Customers Visited]])</f>
        <v>0.17898832684824903</v>
      </c>
      <c r="AI4245" s="6">
        <f>IF(SalesData[[#This Row],[Contracts Signed]]=0,0,SalesData[[#This Row],[Profit(€)]]/SalesData[[#This Row],[Contracts Signed]])</f>
        <v>14228</v>
      </c>
      <c r="AJ4245" s="5" t="str">
        <f>TRIM(CLEAN(SalesData[[#This Row],[Retailer]]))</f>
        <v>Saxon Wheels</v>
      </c>
    </row>
    <row r="4246" spans="1:36" ht="14.25" hidden="1" x14ac:dyDescent="0.2">
      <c r="A4246" t="s">
        <v>5498</v>
      </c>
      <c r="B4246" s="1">
        <v>46073</v>
      </c>
      <c r="C4246" t="s">
        <v>62</v>
      </c>
      <c r="D4246" t="s">
        <v>54</v>
      </c>
      <c r="E4246" t="s">
        <v>26</v>
      </c>
      <c r="F4246" t="s">
        <v>74</v>
      </c>
      <c r="G4246" t="s">
        <v>75</v>
      </c>
      <c r="H4246" t="s">
        <v>76</v>
      </c>
      <c r="I4246" t="s">
        <v>116</v>
      </c>
      <c r="J4246" t="s">
        <v>132</v>
      </c>
      <c r="K4246" t="s">
        <v>66</v>
      </c>
      <c r="L4246" t="s">
        <v>46</v>
      </c>
      <c r="M4246" t="s">
        <v>34</v>
      </c>
      <c r="N4246" t="s">
        <v>48</v>
      </c>
      <c r="O4246" t="s">
        <v>70</v>
      </c>
      <c r="P4246" t="s">
        <v>71</v>
      </c>
      <c r="Q4246" t="s">
        <v>204</v>
      </c>
      <c r="R4246">
        <v>308</v>
      </c>
      <c r="S4246">
        <v>126</v>
      </c>
      <c r="T4246">
        <v>85</v>
      </c>
      <c r="U4246">
        <v>21</v>
      </c>
      <c r="V4246" t="s">
        <v>508</v>
      </c>
      <c r="W4246">
        <v>23126</v>
      </c>
      <c r="X4246" t="s">
        <v>4265</v>
      </c>
      <c r="Y4246">
        <v>20933</v>
      </c>
      <c r="Z4246">
        <v>485646</v>
      </c>
      <c r="AA4246">
        <v>46053</v>
      </c>
      <c r="AB4246" t="str">
        <f>(VLOOKUP(SalesData[[#This Row],[Month Number]],Reference!C$5:E$16,2,FALSE))</f>
        <v>Feb</v>
      </c>
      <c r="AC4246">
        <f>MONTH(SalesData[[#This Row],[Date]])</f>
        <v>2</v>
      </c>
      <c r="AD4246">
        <f>Reference!F$4</f>
        <v>2026</v>
      </c>
      <c r="AE4246" t="str">
        <f>IF(OR(SalesData[[#This Row],[Day]]="Saturday",SalesData[[#This Row],[Day]]="Sunday"),"Weekend","Weekday")</f>
        <v>Weekday</v>
      </c>
      <c r="AF4246" s="5">
        <f>IF(SalesData[[#This Row],[Contracts Offered]]=0,0,SalesData[[#This Row],[Contracts Signed]]/SalesData[[#This Row],[Contracts Offered]])</f>
        <v>0.24705882352941178</v>
      </c>
      <c r="AG4246" s="5">
        <f>IF(SalesData[[#This Row],[Customers Visited]]=0,0,SalesData[[#This Row],[Test Drives]]/SalesData[[#This Row],[Customers Visited]])</f>
        <v>0.40909090909090912</v>
      </c>
      <c r="AH4246" s="5">
        <f>IF(SalesData[[#This Row],[Customers Visited]]=0,0,SalesData[[#This Row],[Contracts Signed]]/SalesData[[#This Row],[Customers Visited]])</f>
        <v>6.8181818181818177E-2</v>
      </c>
      <c r="AI4246" s="6">
        <f>IF(SalesData[[#This Row],[Contracts Signed]]=0,0,SalesData[[#This Row],[Profit(€)]]/SalesData[[#This Row],[Contracts Signed]])</f>
        <v>2193</v>
      </c>
      <c r="AJ4246" s="5" t="str">
        <f>TRIM(CLEAN(SalesData[[#This Row],[Retailer]]))</f>
        <v>Stuttgart Auto Center</v>
      </c>
    </row>
    <row r="4247" spans="1:36" ht="14.25" hidden="1" x14ac:dyDescent="0.2">
      <c r="A4247" t="s">
        <v>5499</v>
      </c>
      <c r="B4247" s="1">
        <v>46080</v>
      </c>
      <c r="C4247" t="s">
        <v>53</v>
      </c>
      <c r="D4247" t="s">
        <v>54</v>
      </c>
      <c r="E4247" t="s">
        <v>26</v>
      </c>
      <c r="F4247" t="s">
        <v>127</v>
      </c>
      <c r="G4247" t="s">
        <v>128</v>
      </c>
      <c r="H4247" t="s">
        <v>103</v>
      </c>
      <c r="I4247" t="s">
        <v>56</v>
      </c>
      <c r="J4247" t="s">
        <v>97</v>
      </c>
      <c r="K4247" t="s">
        <v>66</v>
      </c>
      <c r="L4247" t="s">
        <v>33</v>
      </c>
      <c r="M4247" t="s">
        <v>34</v>
      </c>
      <c r="N4247" t="s">
        <v>48</v>
      </c>
      <c r="O4247" t="s">
        <v>36</v>
      </c>
      <c r="P4247" t="s">
        <v>71</v>
      </c>
      <c r="Q4247" t="s">
        <v>129</v>
      </c>
      <c r="R4247">
        <v>209</v>
      </c>
      <c r="S4247">
        <v>105</v>
      </c>
      <c r="T4247">
        <v>68</v>
      </c>
      <c r="U4247">
        <v>26</v>
      </c>
      <c r="V4247" t="s">
        <v>6834</v>
      </c>
      <c r="W4247">
        <v>44504</v>
      </c>
      <c r="X4247" t="s">
        <v>5630</v>
      </c>
      <c r="Y4247">
        <v>34889</v>
      </c>
      <c r="Z4247">
        <v>1157104</v>
      </c>
      <c r="AA4247">
        <v>249990</v>
      </c>
      <c r="AB4247" t="str">
        <f>(VLOOKUP(SalesData[[#This Row],[Month Number]],Reference!C$5:E$16,2,FALSE))</f>
        <v>Feb</v>
      </c>
      <c r="AC4247">
        <f>MONTH(SalesData[[#This Row],[Date]])</f>
        <v>2</v>
      </c>
      <c r="AD4247">
        <f>Reference!F$4</f>
        <v>2026</v>
      </c>
      <c r="AE4247" t="str">
        <f>IF(OR(SalesData[[#This Row],[Day]]="Saturday",SalesData[[#This Row],[Day]]="Sunday"),"Weekend","Weekday")</f>
        <v>Weekday</v>
      </c>
      <c r="AF4247" s="5">
        <f>IF(SalesData[[#This Row],[Contracts Offered]]=0,0,SalesData[[#This Row],[Contracts Signed]]/SalesData[[#This Row],[Contracts Offered]])</f>
        <v>0.38235294117647056</v>
      </c>
      <c r="AG4247" s="5">
        <f>IF(SalesData[[#This Row],[Customers Visited]]=0,0,SalesData[[#This Row],[Test Drives]]/SalesData[[#This Row],[Customers Visited]])</f>
        <v>0.50239234449760761</v>
      </c>
      <c r="AH4247" s="5">
        <f>IF(SalesData[[#This Row],[Customers Visited]]=0,0,SalesData[[#This Row],[Contracts Signed]]/SalesData[[#This Row],[Customers Visited]])</f>
        <v>0.12440191387559808</v>
      </c>
      <c r="AI4247" s="6">
        <f>IF(SalesData[[#This Row],[Contracts Signed]]=0,0,SalesData[[#This Row],[Profit(€)]]/SalesData[[#This Row],[Contracts Signed]])</f>
        <v>9615</v>
      </c>
      <c r="AJ4247" s="5" t="str">
        <f>TRIM(CLEAN(SalesData[[#This Row],[Retailer]]))</f>
        <v>Rhein Auto Group</v>
      </c>
    </row>
    <row r="4248" spans="1:36" ht="14.25" hidden="1" x14ac:dyDescent="0.2">
      <c r="A4248" t="s">
        <v>5500</v>
      </c>
      <c r="B4248" s="1">
        <v>46063</v>
      </c>
      <c r="C4248" t="s">
        <v>121</v>
      </c>
      <c r="D4248" t="s">
        <v>63</v>
      </c>
      <c r="E4248" t="s">
        <v>26</v>
      </c>
      <c r="F4248" t="s">
        <v>7649</v>
      </c>
      <c r="G4248" t="s">
        <v>55</v>
      </c>
      <c r="H4248" t="s">
        <v>55</v>
      </c>
      <c r="I4248" t="s">
        <v>64</v>
      </c>
      <c r="J4248" t="s">
        <v>65</v>
      </c>
      <c r="K4248" t="s">
        <v>32</v>
      </c>
      <c r="L4248" t="s">
        <v>33</v>
      </c>
      <c r="M4248" t="s">
        <v>68</v>
      </c>
      <c r="N4248" t="s">
        <v>35</v>
      </c>
      <c r="O4248" t="s">
        <v>70</v>
      </c>
      <c r="P4248" t="s">
        <v>37</v>
      </c>
      <c r="Q4248" t="s">
        <v>144</v>
      </c>
      <c r="R4248">
        <v>171</v>
      </c>
      <c r="S4248">
        <v>95</v>
      </c>
      <c r="T4248">
        <v>74</v>
      </c>
      <c r="U4248">
        <v>24</v>
      </c>
      <c r="V4248" t="s">
        <v>6868</v>
      </c>
      <c r="W4248">
        <v>59638</v>
      </c>
      <c r="X4248" t="s">
        <v>7330</v>
      </c>
      <c r="Y4248">
        <v>46925</v>
      </c>
      <c r="Z4248">
        <v>1431312</v>
      </c>
      <c r="AA4248">
        <v>305112</v>
      </c>
      <c r="AB4248" t="str">
        <f>(VLOOKUP(SalesData[[#This Row],[Month Number]],Reference!C$5:E$16,2,FALSE))</f>
        <v>Feb</v>
      </c>
      <c r="AC4248">
        <f>MONTH(SalesData[[#This Row],[Date]])</f>
        <v>2</v>
      </c>
      <c r="AD4248">
        <f>Reference!F$4</f>
        <v>2026</v>
      </c>
      <c r="AE4248" t="str">
        <f>IF(OR(SalesData[[#This Row],[Day]]="Saturday",SalesData[[#This Row],[Day]]="Sunday"),"Weekend","Weekday")</f>
        <v>Weekday</v>
      </c>
      <c r="AF4248" s="5">
        <f>IF(SalesData[[#This Row],[Contracts Offered]]=0,0,SalesData[[#This Row],[Contracts Signed]]/SalesData[[#This Row],[Contracts Offered]])</f>
        <v>0.32432432432432434</v>
      </c>
      <c r="AG4248" s="5">
        <f>IF(SalesData[[#This Row],[Customers Visited]]=0,0,SalesData[[#This Row],[Test Drives]]/SalesData[[#This Row],[Customers Visited]])</f>
        <v>0.55555555555555558</v>
      </c>
      <c r="AH4248" s="5">
        <f>IF(SalesData[[#This Row],[Customers Visited]]=0,0,SalesData[[#This Row],[Contracts Signed]]/SalesData[[#This Row],[Customers Visited]])</f>
        <v>0.14035087719298245</v>
      </c>
      <c r="AI4248" s="6">
        <f>IF(SalesData[[#This Row],[Contracts Signed]]=0,0,SalesData[[#This Row],[Profit(€)]]/SalesData[[#This Row],[Contracts Signed]])</f>
        <v>12713</v>
      </c>
      <c r="AJ4248" s="5" t="str">
        <f>TRIM(CLEAN(SalesData[[#This Row],[Retailer]]))</f>
        <v>Autohaus Berlin</v>
      </c>
    </row>
    <row r="4249" spans="1:36" ht="14.25" x14ac:dyDescent="0.2">
      <c r="A4249" t="s">
        <v>5501</v>
      </c>
      <c r="B4249" s="1">
        <v>46069</v>
      </c>
      <c r="C4249" t="s">
        <v>62</v>
      </c>
      <c r="D4249" t="s">
        <v>25</v>
      </c>
      <c r="E4249" t="s">
        <v>26</v>
      </c>
      <c r="F4249" t="s">
        <v>7649</v>
      </c>
      <c r="G4249" t="s">
        <v>55</v>
      </c>
      <c r="H4249" t="s">
        <v>55</v>
      </c>
      <c r="I4249" t="s">
        <v>30</v>
      </c>
      <c r="J4249" t="s">
        <v>7075</v>
      </c>
      <c r="K4249" t="s">
        <v>91</v>
      </c>
      <c r="L4249" t="s">
        <v>33</v>
      </c>
      <c r="M4249" t="s">
        <v>68</v>
      </c>
      <c r="N4249" t="s">
        <v>35</v>
      </c>
      <c r="O4249" t="s">
        <v>36</v>
      </c>
      <c r="P4249" t="s">
        <v>49</v>
      </c>
      <c r="Q4249" t="s">
        <v>167</v>
      </c>
      <c r="R4249">
        <v>171</v>
      </c>
      <c r="S4249">
        <v>102</v>
      </c>
      <c r="T4249">
        <v>83</v>
      </c>
      <c r="U4249">
        <v>30</v>
      </c>
      <c r="V4249" t="s">
        <v>6966</v>
      </c>
      <c r="W4249">
        <v>50091</v>
      </c>
      <c r="X4249" t="s">
        <v>7163</v>
      </c>
      <c r="Y4249">
        <v>38029</v>
      </c>
      <c r="Z4249">
        <v>1502730</v>
      </c>
      <c r="AA4249">
        <v>361860</v>
      </c>
      <c r="AB4249" t="str">
        <f>(VLOOKUP(SalesData[[#This Row],[Month Number]],Reference!C$5:E$16,2,FALSE))</f>
        <v>Feb</v>
      </c>
      <c r="AC4249">
        <f>MONTH(SalesData[[#This Row],[Date]])</f>
        <v>2</v>
      </c>
      <c r="AD4249">
        <f>Reference!F$4</f>
        <v>2026</v>
      </c>
      <c r="AE4249" t="str">
        <f>IF(OR(SalesData[[#This Row],[Day]]="Saturday",SalesData[[#This Row],[Day]]="Sunday"),"Weekend","Weekday")</f>
        <v>Weekday</v>
      </c>
      <c r="AF4249" s="5">
        <f>IF(SalesData[[#This Row],[Contracts Offered]]=0,0,SalesData[[#This Row],[Contracts Signed]]/SalesData[[#This Row],[Contracts Offered]])</f>
        <v>0.36144578313253012</v>
      </c>
      <c r="AG4249" s="5">
        <f>IF(SalesData[[#This Row],[Customers Visited]]=0,0,SalesData[[#This Row],[Test Drives]]/SalesData[[#This Row],[Customers Visited]])</f>
        <v>0.59649122807017541</v>
      </c>
      <c r="AH4249" s="5">
        <f>IF(SalesData[[#This Row],[Customers Visited]]=0,0,SalesData[[#This Row],[Contracts Signed]]/SalesData[[#This Row],[Customers Visited]])</f>
        <v>0.17543859649122806</v>
      </c>
      <c r="AI4249" s="6">
        <f>IF(SalesData[[#This Row],[Contracts Signed]]=0,0,SalesData[[#This Row],[Profit(€)]]/SalesData[[#This Row],[Contracts Signed]])</f>
        <v>12062</v>
      </c>
      <c r="AJ4249" s="5" t="str">
        <f>TRIM(CLEAN(SalesData[[#This Row],[Retailer]]))</f>
        <v>Autohaus Berlin</v>
      </c>
    </row>
    <row r="4250" spans="1:36" ht="14.25" hidden="1" x14ac:dyDescent="0.2">
      <c r="A4250" t="s">
        <v>5502</v>
      </c>
      <c r="B4250" s="1">
        <v>46058</v>
      </c>
      <c r="C4250" t="s">
        <v>24</v>
      </c>
      <c r="D4250" t="s">
        <v>100</v>
      </c>
      <c r="E4250" t="s">
        <v>26</v>
      </c>
      <c r="F4250" t="s">
        <v>127</v>
      </c>
      <c r="G4250" t="s">
        <v>128</v>
      </c>
      <c r="H4250" t="s">
        <v>103</v>
      </c>
      <c r="I4250" t="s">
        <v>104</v>
      </c>
      <c r="J4250" t="s">
        <v>7031</v>
      </c>
      <c r="K4250" t="s">
        <v>32</v>
      </c>
      <c r="L4250" t="s">
        <v>46</v>
      </c>
      <c r="M4250" t="s">
        <v>34</v>
      </c>
      <c r="N4250" t="s">
        <v>69</v>
      </c>
      <c r="O4250" t="s">
        <v>36</v>
      </c>
      <c r="P4250" t="s">
        <v>71</v>
      </c>
      <c r="Q4250" t="s">
        <v>88</v>
      </c>
      <c r="R4250">
        <v>432</v>
      </c>
      <c r="S4250">
        <v>208</v>
      </c>
      <c r="T4250">
        <v>124</v>
      </c>
      <c r="U4250">
        <v>35</v>
      </c>
      <c r="V4250" t="s">
        <v>2442</v>
      </c>
      <c r="W4250">
        <v>35002</v>
      </c>
      <c r="X4250" t="s">
        <v>3831</v>
      </c>
      <c r="Y4250">
        <v>31255</v>
      </c>
      <c r="Z4250">
        <v>1225070</v>
      </c>
      <c r="AA4250">
        <v>131145</v>
      </c>
      <c r="AB4250" t="str">
        <f>(VLOOKUP(SalesData[[#This Row],[Month Number]],Reference!C$5:E$16,2,FALSE))</f>
        <v>Feb</v>
      </c>
      <c r="AC4250">
        <f>MONTH(SalesData[[#This Row],[Date]])</f>
        <v>2</v>
      </c>
      <c r="AD4250">
        <f>Reference!F$4</f>
        <v>2026</v>
      </c>
      <c r="AE4250" t="str">
        <f>IF(OR(SalesData[[#This Row],[Day]]="Saturday",SalesData[[#This Row],[Day]]="Sunday"),"Weekend","Weekday")</f>
        <v>Weekday</v>
      </c>
      <c r="AF4250" s="5">
        <f>IF(SalesData[[#This Row],[Contracts Offered]]=0,0,SalesData[[#This Row],[Contracts Signed]]/SalesData[[#This Row],[Contracts Offered]])</f>
        <v>0.28225806451612906</v>
      </c>
      <c r="AG4250" s="5">
        <f>IF(SalesData[[#This Row],[Customers Visited]]=0,0,SalesData[[#This Row],[Test Drives]]/SalesData[[#This Row],[Customers Visited]])</f>
        <v>0.48148148148148145</v>
      </c>
      <c r="AH4250" s="5">
        <f>IF(SalesData[[#This Row],[Customers Visited]]=0,0,SalesData[[#This Row],[Contracts Signed]]/SalesData[[#This Row],[Customers Visited]])</f>
        <v>8.1018518518518517E-2</v>
      </c>
      <c r="AI4250" s="6">
        <f>IF(SalesData[[#This Row],[Contracts Signed]]=0,0,SalesData[[#This Row],[Profit(€)]]/SalesData[[#This Row],[Contracts Signed]])</f>
        <v>3747</v>
      </c>
      <c r="AJ4250" s="5" t="str">
        <f>TRIM(CLEAN(SalesData[[#This Row],[Retailer]]))</f>
        <v>Rhein Auto Group</v>
      </c>
    </row>
    <row r="4251" spans="1:36" ht="14.25" hidden="1" x14ac:dyDescent="0.2">
      <c r="A4251" t="s">
        <v>5503</v>
      </c>
      <c r="B4251" s="1">
        <v>46067</v>
      </c>
      <c r="C4251" t="s">
        <v>121</v>
      </c>
      <c r="D4251" t="s">
        <v>151</v>
      </c>
      <c r="E4251" t="s">
        <v>42</v>
      </c>
      <c r="F4251" t="s">
        <v>94</v>
      </c>
      <c r="G4251" t="s">
        <v>95</v>
      </c>
      <c r="H4251" t="s">
        <v>96</v>
      </c>
      <c r="I4251" t="s">
        <v>56</v>
      </c>
      <c r="J4251" t="s">
        <v>179</v>
      </c>
      <c r="K4251" t="s">
        <v>78</v>
      </c>
      <c r="L4251" t="s">
        <v>67</v>
      </c>
      <c r="M4251" t="s">
        <v>47</v>
      </c>
      <c r="N4251" t="s">
        <v>35</v>
      </c>
      <c r="O4251" t="s">
        <v>36</v>
      </c>
      <c r="P4251" t="s">
        <v>49</v>
      </c>
      <c r="Q4251" t="s">
        <v>204</v>
      </c>
      <c r="R4251">
        <v>210</v>
      </c>
      <c r="S4251">
        <v>131</v>
      </c>
      <c r="T4251">
        <v>88</v>
      </c>
      <c r="U4251">
        <v>31</v>
      </c>
      <c r="V4251" t="s">
        <v>6474</v>
      </c>
      <c r="W4251">
        <v>45553</v>
      </c>
      <c r="X4251" t="s">
        <v>750</v>
      </c>
      <c r="Y4251">
        <v>34835</v>
      </c>
      <c r="Z4251">
        <v>1412143</v>
      </c>
      <c r="AA4251">
        <v>332258</v>
      </c>
      <c r="AB4251" t="str">
        <f>(VLOOKUP(SalesData[[#This Row],[Month Number]],Reference!C$5:E$16,2,FALSE))</f>
        <v>Feb</v>
      </c>
      <c r="AC4251">
        <f>MONTH(SalesData[[#This Row],[Date]])</f>
        <v>2</v>
      </c>
      <c r="AD4251">
        <f>Reference!F$4</f>
        <v>2026</v>
      </c>
      <c r="AE4251" t="str">
        <f>IF(OR(SalesData[[#This Row],[Day]]="Saturday",SalesData[[#This Row],[Day]]="Sunday"),"Weekend","Weekday")</f>
        <v>Weekend</v>
      </c>
      <c r="AF4251" s="5">
        <f>IF(SalesData[[#This Row],[Contracts Offered]]=0,0,SalesData[[#This Row],[Contracts Signed]]/SalesData[[#This Row],[Contracts Offered]])</f>
        <v>0.35227272727272729</v>
      </c>
      <c r="AG4251" s="5">
        <f>IF(SalesData[[#This Row],[Customers Visited]]=0,0,SalesData[[#This Row],[Test Drives]]/SalesData[[#This Row],[Customers Visited]])</f>
        <v>0.62380952380952381</v>
      </c>
      <c r="AH4251" s="5">
        <f>IF(SalesData[[#This Row],[Customers Visited]]=0,0,SalesData[[#This Row],[Contracts Signed]]/SalesData[[#This Row],[Customers Visited]])</f>
        <v>0.14761904761904762</v>
      </c>
      <c r="AI4251" s="6">
        <f>IF(SalesData[[#This Row],[Contracts Signed]]=0,0,SalesData[[#This Row],[Profit(€)]]/SalesData[[#This Row],[Contracts Signed]])</f>
        <v>10718</v>
      </c>
      <c r="AJ4251" s="5" t="str">
        <f>TRIM(CLEAN(SalesData[[#This Row],[Retailer]]))</f>
        <v>Bavaria Motors</v>
      </c>
    </row>
    <row r="4252" spans="1:36" ht="14.25" x14ac:dyDescent="0.2">
      <c r="A4252" t="s">
        <v>5504</v>
      </c>
      <c r="B4252" s="1">
        <v>46071</v>
      </c>
      <c r="C4252" t="s">
        <v>62</v>
      </c>
      <c r="D4252" t="s">
        <v>82</v>
      </c>
      <c r="E4252" t="s">
        <v>26</v>
      </c>
      <c r="F4252" t="s">
        <v>83</v>
      </c>
      <c r="G4252" t="s">
        <v>84</v>
      </c>
      <c r="H4252" t="s">
        <v>85</v>
      </c>
      <c r="I4252" t="s">
        <v>30</v>
      </c>
      <c r="J4252" t="s">
        <v>86</v>
      </c>
      <c r="K4252" t="s">
        <v>91</v>
      </c>
      <c r="L4252" t="s">
        <v>33</v>
      </c>
      <c r="M4252" t="s">
        <v>47</v>
      </c>
      <c r="N4252" t="s">
        <v>48</v>
      </c>
      <c r="O4252" t="s">
        <v>70</v>
      </c>
      <c r="P4252" t="s">
        <v>49</v>
      </c>
      <c r="Q4252" t="s">
        <v>135</v>
      </c>
      <c r="R4252">
        <v>250</v>
      </c>
      <c r="S4252">
        <v>126</v>
      </c>
      <c r="T4252">
        <v>92</v>
      </c>
      <c r="U4252">
        <v>33</v>
      </c>
      <c r="V4252" t="s">
        <v>6663</v>
      </c>
      <c r="W4252">
        <v>61940</v>
      </c>
      <c r="X4252" t="s">
        <v>7033</v>
      </c>
      <c r="Y4252">
        <v>47660</v>
      </c>
      <c r="Z4252">
        <v>2044020</v>
      </c>
      <c r="AA4252">
        <v>471240</v>
      </c>
      <c r="AB4252" t="str">
        <f>(VLOOKUP(SalesData[[#This Row],[Month Number]],Reference!C$5:E$16,2,FALSE))</f>
        <v>Feb</v>
      </c>
      <c r="AC4252">
        <f>MONTH(SalesData[[#This Row],[Date]])</f>
        <v>2</v>
      </c>
      <c r="AD4252">
        <f>Reference!F$4</f>
        <v>2026</v>
      </c>
      <c r="AE4252" t="str">
        <f>IF(OR(SalesData[[#This Row],[Day]]="Saturday",SalesData[[#This Row],[Day]]="Sunday"),"Weekend","Weekday")</f>
        <v>Weekday</v>
      </c>
      <c r="AF4252" s="5">
        <f>IF(SalesData[[#This Row],[Contracts Offered]]=0,0,SalesData[[#This Row],[Contracts Signed]]/SalesData[[#This Row],[Contracts Offered]])</f>
        <v>0.35869565217391303</v>
      </c>
      <c r="AG4252" s="5">
        <f>IF(SalesData[[#This Row],[Customers Visited]]=0,0,SalesData[[#This Row],[Test Drives]]/SalesData[[#This Row],[Customers Visited]])</f>
        <v>0.504</v>
      </c>
      <c r="AH4252" s="5">
        <f>IF(SalesData[[#This Row],[Customers Visited]]=0,0,SalesData[[#This Row],[Contracts Signed]]/SalesData[[#This Row],[Customers Visited]])</f>
        <v>0.13200000000000001</v>
      </c>
      <c r="AI4252" s="6">
        <f>IF(SalesData[[#This Row],[Contracts Signed]]=0,0,SalesData[[#This Row],[Profit(€)]]/SalesData[[#This Row],[Contracts Signed]])</f>
        <v>14280</v>
      </c>
      <c r="AJ4252" s="5" t="str">
        <f>TRIM(CLEAN(SalesData[[#This Row],[Retailer]]))</f>
        <v>Hannover Cars</v>
      </c>
    </row>
    <row r="4253" spans="1:36" ht="14.25" hidden="1" x14ac:dyDescent="0.2">
      <c r="A4253" t="s">
        <v>5505</v>
      </c>
      <c r="B4253" s="1">
        <v>46073</v>
      </c>
      <c r="C4253" t="s">
        <v>62</v>
      </c>
      <c r="D4253" t="s">
        <v>54</v>
      </c>
      <c r="E4253" t="s">
        <v>26</v>
      </c>
      <c r="F4253" t="s">
        <v>109</v>
      </c>
      <c r="G4253" t="s">
        <v>110</v>
      </c>
      <c r="H4253" t="s">
        <v>45</v>
      </c>
      <c r="I4253" t="s">
        <v>104</v>
      </c>
      <c r="J4253" t="s">
        <v>105</v>
      </c>
      <c r="K4253" t="s">
        <v>78</v>
      </c>
      <c r="L4253" t="s">
        <v>33</v>
      </c>
      <c r="M4253" t="s">
        <v>34</v>
      </c>
      <c r="N4253" t="s">
        <v>69</v>
      </c>
      <c r="O4253" t="s">
        <v>70</v>
      </c>
      <c r="P4253" t="s">
        <v>71</v>
      </c>
      <c r="Q4253" t="s">
        <v>189</v>
      </c>
      <c r="R4253">
        <v>310</v>
      </c>
      <c r="S4253">
        <v>141</v>
      </c>
      <c r="T4253">
        <v>87</v>
      </c>
      <c r="U4253">
        <v>19</v>
      </c>
      <c r="V4253" t="s">
        <v>2831</v>
      </c>
      <c r="W4253">
        <v>33889</v>
      </c>
      <c r="X4253" t="s">
        <v>506</v>
      </c>
      <c r="Y4253">
        <v>30812</v>
      </c>
      <c r="Z4253">
        <v>643891</v>
      </c>
      <c r="AA4253">
        <v>58463</v>
      </c>
      <c r="AB4253" t="str">
        <f>(VLOOKUP(SalesData[[#This Row],[Month Number]],Reference!C$5:E$16,2,FALSE))</f>
        <v>Feb</v>
      </c>
      <c r="AC4253">
        <f>MONTH(SalesData[[#This Row],[Date]])</f>
        <v>2</v>
      </c>
      <c r="AD4253">
        <f>Reference!F$4</f>
        <v>2026</v>
      </c>
      <c r="AE4253" t="str">
        <f>IF(OR(SalesData[[#This Row],[Day]]="Saturday",SalesData[[#This Row],[Day]]="Sunday"),"Weekend","Weekday")</f>
        <v>Weekday</v>
      </c>
      <c r="AF4253" s="5">
        <f>IF(SalesData[[#This Row],[Contracts Offered]]=0,0,SalesData[[#This Row],[Contracts Signed]]/SalesData[[#This Row],[Contracts Offered]])</f>
        <v>0.21839080459770116</v>
      </c>
      <c r="AG4253" s="5">
        <f>IF(SalesData[[#This Row],[Customers Visited]]=0,0,SalesData[[#This Row],[Test Drives]]/SalesData[[#This Row],[Customers Visited]])</f>
        <v>0.45483870967741935</v>
      </c>
      <c r="AH4253" s="5">
        <f>IF(SalesData[[#This Row],[Customers Visited]]=0,0,SalesData[[#This Row],[Contracts Signed]]/SalesData[[#This Row],[Customers Visited]])</f>
        <v>6.1290322580645158E-2</v>
      </c>
      <c r="AI4253" s="6">
        <f>IF(SalesData[[#This Row],[Contracts Signed]]=0,0,SalesData[[#This Row],[Profit(€)]]/SalesData[[#This Row],[Contracts Signed]])</f>
        <v>3077</v>
      </c>
      <c r="AJ4253" s="5" t="str">
        <f>TRIM(CLEAN(SalesData[[#This Row],[Retailer]]))</f>
        <v>Leipzig Mobility</v>
      </c>
    </row>
    <row r="4254" spans="1:36" ht="14.25" hidden="1" x14ac:dyDescent="0.2">
      <c r="A4254" t="s">
        <v>5506</v>
      </c>
      <c r="B4254" s="1">
        <v>46061</v>
      </c>
      <c r="C4254" t="s">
        <v>121</v>
      </c>
      <c r="D4254" t="s">
        <v>41</v>
      </c>
      <c r="E4254" t="s">
        <v>42</v>
      </c>
      <c r="F4254" t="s">
        <v>43</v>
      </c>
      <c r="G4254" t="s">
        <v>44</v>
      </c>
      <c r="H4254" t="s">
        <v>45</v>
      </c>
      <c r="I4254" t="s">
        <v>116</v>
      </c>
      <c r="J4254" t="s">
        <v>203</v>
      </c>
      <c r="K4254" t="s">
        <v>66</v>
      </c>
      <c r="L4254" t="s">
        <v>67</v>
      </c>
      <c r="M4254" t="s">
        <v>87</v>
      </c>
      <c r="N4254" t="s">
        <v>35</v>
      </c>
      <c r="O4254" t="s">
        <v>70</v>
      </c>
      <c r="P4254" t="s">
        <v>37</v>
      </c>
      <c r="Q4254" t="s">
        <v>189</v>
      </c>
      <c r="R4254">
        <v>418</v>
      </c>
      <c r="S4254">
        <v>217</v>
      </c>
      <c r="T4254">
        <v>139</v>
      </c>
      <c r="U4254">
        <v>32</v>
      </c>
      <c r="V4254" t="s">
        <v>405</v>
      </c>
      <c r="W4254">
        <v>26680</v>
      </c>
      <c r="X4254" t="s">
        <v>1957</v>
      </c>
      <c r="Y4254">
        <v>24306</v>
      </c>
      <c r="Z4254">
        <v>853760</v>
      </c>
      <c r="AA4254">
        <v>75968</v>
      </c>
      <c r="AB4254" t="str">
        <f>(VLOOKUP(SalesData[[#This Row],[Month Number]],Reference!C$5:E$16,2,FALSE))</f>
        <v>Feb</v>
      </c>
      <c r="AC4254">
        <f>MONTH(SalesData[[#This Row],[Date]])</f>
        <v>2</v>
      </c>
      <c r="AD4254">
        <f>Reference!F$4</f>
        <v>2026</v>
      </c>
      <c r="AE4254" t="str">
        <f>IF(OR(SalesData[[#This Row],[Day]]="Saturday",SalesData[[#This Row],[Day]]="Sunday"),"Weekend","Weekday")</f>
        <v>Weekend</v>
      </c>
      <c r="AF4254" s="5">
        <f>IF(SalesData[[#This Row],[Contracts Offered]]=0,0,SalesData[[#This Row],[Contracts Signed]]/SalesData[[#This Row],[Contracts Offered]])</f>
        <v>0.23021582733812951</v>
      </c>
      <c r="AG4254" s="5">
        <f>IF(SalesData[[#This Row],[Customers Visited]]=0,0,SalesData[[#This Row],[Test Drives]]/SalesData[[#This Row],[Customers Visited]])</f>
        <v>0.51913875598086123</v>
      </c>
      <c r="AH4254" s="5">
        <f>IF(SalesData[[#This Row],[Customers Visited]]=0,0,SalesData[[#This Row],[Contracts Signed]]/SalesData[[#This Row],[Customers Visited]])</f>
        <v>7.6555023923444973E-2</v>
      </c>
      <c r="AI4254" s="6">
        <f>IF(SalesData[[#This Row],[Contracts Signed]]=0,0,SalesData[[#This Row],[Profit(€)]]/SalesData[[#This Row],[Contracts Signed]])</f>
        <v>2374</v>
      </c>
      <c r="AJ4254" s="5" t="str">
        <f>TRIM(CLEAN(SalesData[[#This Row],[Retailer]]))</f>
        <v>Saxon Wheels</v>
      </c>
    </row>
    <row r="4255" spans="1:36" ht="14.25" hidden="1" x14ac:dyDescent="0.2">
      <c r="A4255" t="s">
        <v>5507</v>
      </c>
      <c r="B4255" s="1">
        <v>46065</v>
      </c>
      <c r="C4255" t="s">
        <v>121</v>
      </c>
      <c r="D4255" t="s">
        <v>100</v>
      </c>
      <c r="E4255" t="s">
        <v>26</v>
      </c>
      <c r="F4255" t="s">
        <v>94</v>
      </c>
      <c r="G4255" t="s">
        <v>95</v>
      </c>
      <c r="H4255" t="s">
        <v>96</v>
      </c>
      <c r="I4255" t="s">
        <v>104</v>
      </c>
      <c r="J4255" t="s">
        <v>140</v>
      </c>
      <c r="K4255" t="s">
        <v>78</v>
      </c>
      <c r="L4255" t="s">
        <v>46</v>
      </c>
      <c r="M4255" t="s">
        <v>47</v>
      </c>
      <c r="N4255" t="s">
        <v>69</v>
      </c>
      <c r="O4255" t="s">
        <v>36</v>
      </c>
      <c r="P4255" t="s">
        <v>58</v>
      </c>
      <c r="Q4255" t="s">
        <v>106</v>
      </c>
      <c r="R4255">
        <v>378</v>
      </c>
      <c r="S4255">
        <v>218</v>
      </c>
      <c r="T4255">
        <v>153</v>
      </c>
      <c r="U4255">
        <v>50</v>
      </c>
      <c r="V4255" t="s">
        <v>6664</v>
      </c>
      <c r="W4255">
        <v>26223</v>
      </c>
      <c r="X4255" t="s">
        <v>824</v>
      </c>
      <c r="Y4255">
        <v>22878</v>
      </c>
      <c r="Z4255">
        <v>1311150</v>
      </c>
      <c r="AA4255">
        <v>167250</v>
      </c>
      <c r="AB4255" t="str">
        <f>(VLOOKUP(SalesData[[#This Row],[Month Number]],Reference!C$5:E$16,2,FALSE))</f>
        <v>Feb</v>
      </c>
      <c r="AC4255">
        <f>MONTH(SalesData[[#This Row],[Date]])</f>
        <v>2</v>
      </c>
      <c r="AD4255">
        <f>Reference!F$4</f>
        <v>2026</v>
      </c>
      <c r="AE4255" t="str">
        <f>IF(OR(SalesData[[#This Row],[Day]]="Saturday",SalesData[[#This Row],[Day]]="Sunday"),"Weekend","Weekday")</f>
        <v>Weekday</v>
      </c>
      <c r="AF4255" s="5">
        <f>IF(SalesData[[#This Row],[Contracts Offered]]=0,0,SalesData[[#This Row],[Contracts Signed]]/SalesData[[#This Row],[Contracts Offered]])</f>
        <v>0.32679738562091504</v>
      </c>
      <c r="AG4255" s="5">
        <f>IF(SalesData[[#This Row],[Customers Visited]]=0,0,SalesData[[#This Row],[Test Drives]]/SalesData[[#This Row],[Customers Visited]])</f>
        <v>0.57671957671957674</v>
      </c>
      <c r="AH4255" s="5">
        <f>IF(SalesData[[#This Row],[Customers Visited]]=0,0,SalesData[[#This Row],[Contracts Signed]]/SalesData[[#This Row],[Customers Visited]])</f>
        <v>0.13227513227513227</v>
      </c>
      <c r="AI4255" s="6">
        <f>IF(SalesData[[#This Row],[Contracts Signed]]=0,0,SalesData[[#This Row],[Profit(€)]]/SalesData[[#This Row],[Contracts Signed]])</f>
        <v>3345</v>
      </c>
      <c r="AJ4255" s="5" t="str">
        <f>TRIM(CLEAN(SalesData[[#This Row],[Retailer]]))</f>
        <v>Bavaria Motors</v>
      </c>
    </row>
    <row r="4256" spans="1:36" ht="14.25" hidden="1" x14ac:dyDescent="0.2">
      <c r="A4256" t="s">
        <v>5508</v>
      </c>
      <c r="B4256" s="1">
        <v>46078</v>
      </c>
      <c r="C4256" t="s">
        <v>53</v>
      </c>
      <c r="D4256" t="s">
        <v>82</v>
      </c>
      <c r="E4256" t="s">
        <v>26</v>
      </c>
      <c r="F4256" t="s">
        <v>43</v>
      </c>
      <c r="G4256" t="s">
        <v>44</v>
      </c>
      <c r="H4256" t="s">
        <v>45</v>
      </c>
      <c r="I4256" t="s">
        <v>56</v>
      </c>
      <c r="J4256" t="s">
        <v>57</v>
      </c>
      <c r="K4256" t="s">
        <v>32</v>
      </c>
      <c r="L4256" t="s">
        <v>46</v>
      </c>
      <c r="M4256" t="s">
        <v>47</v>
      </c>
      <c r="N4256" t="s">
        <v>48</v>
      </c>
      <c r="O4256" t="s">
        <v>70</v>
      </c>
      <c r="P4256" t="s">
        <v>71</v>
      </c>
      <c r="Q4256" t="s">
        <v>118</v>
      </c>
      <c r="R4256">
        <v>317</v>
      </c>
      <c r="S4256">
        <v>154</v>
      </c>
      <c r="T4256">
        <v>109</v>
      </c>
      <c r="U4256">
        <v>36</v>
      </c>
      <c r="V4256" t="s">
        <v>6700</v>
      </c>
      <c r="W4256">
        <v>52510</v>
      </c>
      <c r="X4256" t="s">
        <v>2192</v>
      </c>
      <c r="Y4256">
        <v>41970</v>
      </c>
      <c r="Z4256">
        <v>1890360</v>
      </c>
      <c r="AA4256">
        <v>379440</v>
      </c>
      <c r="AB4256" t="str">
        <f>(VLOOKUP(SalesData[[#This Row],[Month Number]],Reference!C$5:E$16,2,FALSE))</f>
        <v>Feb</v>
      </c>
      <c r="AC4256">
        <f>MONTH(SalesData[[#This Row],[Date]])</f>
        <v>2</v>
      </c>
      <c r="AD4256">
        <f>Reference!F$4</f>
        <v>2026</v>
      </c>
      <c r="AE4256" t="str">
        <f>IF(OR(SalesData[[#This Row],[Day]]="Saturday",SalesData[[#This Row],[Day]]="Sunday"),"Weekend","Weekday")</f>
        <v>Weekday</v>
      </c>
      <c r="AF4256" s="5">
        <f>IF(SalesData[[#This Row],[Contracts Offered]]=0,0,SalesData[[#This Row],[Contracts Signed]]/SalesData[[#This Row],[Contracts Offered]])</f>
        <v>0.33027522935779818</v>
      </c>
      <c r="AG4256" s="5">
        <f>IF(SalesData[[#This Row],[Customers Visited]]=0,0,SalesData[[#This Row],[Test Drives]]/SalesData[[#This Row],[Customers Visited]])</f>
        <v>0.48580441640378547</v>
      </c>
      <c r="AH4256" s="5">
        <f>IF(SalesData[[#This Row],[Customers Visited]]=0,0,SalesData[[#This Row],[Contracts Signed]]/SalesData[[#This Row],[Customers Visited]])</f>
        <v>0.11356466876971609</v>
      </c>
      <c r="AI4256" s="6">
        <f>IF(SalesData[[#This Row],[Contracts Signed]]=0,0,SalesData[[#This Row],[Profit(€)]]/SalesData[[#This Row],[Contracts Signed]])</f>
        <v>10540</v>
      </c>
      <c r="AJ4256" s="5" t="str">
        <f>TRIM(CLEAN(SalesData[[#This Row],[Retailer]]))</f>
        <v>Saxon Wheels</v>
      </c>
    </row>
    <row r="4257" spans="1:36" ht="14.25" hidden="1" x14ac:dyDescent="0.2">
      <c r="A4257" t="s">
        <v>5509</v>
      </c>
      <c r="B4257" s="1">
        <v>46077</v>
      </c>
      <c r="C4257" t="s">
        <v>53</v>
      </c>
      <c r="D4257" t="s">
        <v>63</v>
      </c>
      <c r="E4257" t="s">
        <v>26</v>
      </c>
      <c r="F4257" t="s">
        <v>7649</v>
      </c>
      <c r="G4257" t="s">
        <v>55</v>
      </c>
      <c r="H4257" t="s">
        <v>55</v>
      </c>
      <c r="I4257" t="s">
        <v>64</v>
      </c>
      <c r="J4257" t="s">
        <v>111</v>
      </c>
      <c r="K4257" t="s">
        <v>78</v>
      </c>
      <c r="L4257" t="s">
        <v>46</v>
      </c>
      <c r="M4257" t="s">
        <v>34</v>
      </c>
      <c r="N4257" t="s">
        <v>48</v>
      </c>
      <c r="O4257" t="s">
        <v>36</v>
      </c>
      <c r="P4257" t="s">
        <v>58</v>
      </c>
      <c r="Q4257" t="s">
        <v>135</v>
      </c>
      <c r="R4257">
        <v>210</v>
      </c>
      <c r="S4257">
        <v>100</v>
      </c>
      <c r="T4257">
        <v>76</v>
      </c>
      <c r="U4257">
        <v>28</v>
      </c>
      <c r="V4257" t="s">
        <v>6544</v>
      </c>
      <c r="W4257">
        <v>63580</v>
      </c>
      <c r="X4257" t="s">
        <v>4831</v>
      </c>
      <c r="Y4257">
        <v>46228</v>
      </c>
      <c r="Z4257">
        <v>1780240</v>
      </c>
      <c r="AA4257">
        <v>485856</v>
      </c>
      <c r="AB4257" t="str">
        <f>(VLOOKUP(SalesData[[#This Row],[Month Number]],Reference!C$5:E$16,2,FALSE))</f>
        <v>Feb</v>
      </c>
      <c r="AC4257">
        <f>MONTH(SalesData[[#This Row],[Date]])</f>
        <v>2</v>
      </c>
      <c r="AD4257">
        <f>Reference!F$4</f>
        <v>2026</v>
      </c>
      <c r="AE4257" t="str">
        <f>IF(OR(SalesData[[#This Row],[Day]]="Saturday",SalesData[[#This Row],[Day]]="Sunday"),"Weekend","Weekday")</f>
        <v>Weekday</v>
      </c>
      <c r="AF4257" s="5">
        <f>IF(SalesData[[#This Row],[Contracts Offered]]=0,0,SalesData[[#This Row],[Contracts Signed]]/SalesData[[#This Row],[Contracts Offered]])</f>
        <v>0.36842105263157893</v>
      </c>
      <c r="AG4257" s="5">
        <f>IF(SalesData[[#This Row],[Customers Visited]]=0,0,SalesData[[#This Row],[Test Drives]]/SalesData[[#This Row],[Customers Visited]])</f>
        <v>0.47619047619047616</v>
      </c>
      <c r="AH4257" s="5">
        <f>IF(SalesData[[#This Row],[Customers Visited]]=0,0,SalesData[[#This Row],[Contracts Signed]]/SalesData[[#This Row],[Customers Visited]])</f>
        <v>0.13333333333333333</v>
      </c>
      <c r="AI4257" s="6">
        <f>IF(SalesData[[#This Row],[Contracts Signed]]=0,0,SalesData[[#This Row],[Profit(€)]]/SalesData[[#This Row],[Contracts Signed]])</f>
        <v>17352</v>
      </c>
      <c r="AJ4257" s="5" t="str">
        <f>TRIM(CLEAN(SalesData[[#This Row],[Retailer]]))</f>
        <v>Autohaus Berlin</v>
      </c>
    </row>
    <row r="4258" spans="1:36" ht="14.25" x14ac:dyDescent="0.2">
      <c r="A4258" t="s">
        <v>5510</v>
      </c>
      <c r="B4258" s="1">
        <v>46066</v>
      </c>
      <c r="C4258" t="s">
        <v>121</v>
      </c>
      <c r="D4258" t="s">
        <v>54</v>
      </c>
      <c r="E4258" t="s">
        <v>26</v>
      </c>
      <c r="F4258" t="s">
        <v>43</v>
      </c>
      <c r="G4258" t="s">
        <v>44</v>
      </c>
      <c r="H4258" t="s">
        <v>45</v>
      </c>
      <c r="I4258" t="s">
        <v>30</v>
      </c>
      <c r="J4258" t="s">
        <v>31</v>
      </c>
      <c r="K4258" t="s">
        <v>66</v>
      </c>
      <c r="L4258" t="s">
        <v>46</v>
      </c>
      <c r="M4258" t="s">
        <v>87</v>
      </c>
      <c r="N4258" t="s">
        <v>35</v>
      </c>
      <c r="O4258" t="s">
        <v>70</v>
      </c>
      <c r="P4258" t="s">
        <v>37</v>
      </c>
      <c r="Q4258" t="s">
        <v>347</v>
      </c>
      <c r="R4258">
        <v>211</v>
      </c>
      <c r="S4258">
        <v>107</v>
      </c>
      <c r="T4258">
        <v>74</v>
      </c>
      <c r="U4258">
        <v>27</v>
      </c>
      <c r="V4258" t="s">
        <v>6674</v>
      </c>
      <c r="W4258">
        <v>60052</v>
      </c>
      <c r="X4258" t="s">
        <v>7106</v>
      </c>
      <c r="Y4258">
        <v>43096</v>
      </c>
      <c r="Z4258">
        <v>1621404</v>
      </c>
      <c r="AA4258">
        <v>457812</v>
      </c>
      <c r="AB4258" t="str">
        <f>(VLOOKUP(SalesData[[#This Row],[Month Number]],Reference!C$5:E$16,2,FALSE))</f>
        <v>Feb</v>
      </c>
      <c r="AC4258">
        <f>MONTH(SalesData[[#This Row],[Date]])</f>
        <v>2</v>
      </c>
      <c r="AD4258">
        <f>Reference!F$4</f>
        <v>2026</v>
      </c>
      <c r="AE4258" t="str">
        <f>IF(OR(SalesData[[#This Row],[Day]]="Saturday",SalesData[[#This Row],[Day]]="Sunday"),"Weekend","Weekday")</f>
        <v>Weekday</v>
      </c>
      <c r="AF4258" s="5">
        <f>IF(SalesData[[#This Row],[Contracts Offered]]=0,0,SalesData[[#This Row],[Contracts Signed]]/SalesData[[#This Row],[Contracts Offered]])</f>
        <v>0.36486486486486486</v>
      </c>
      <c r="AG4258" s="5">
        <f>IF(SalesData[[#This Row],[Customers Visited]]=0,0,SalesData[[#This Row],[Test Drives]]/SalesData[[#This Row],[Customers Visited]])</f>
        <v>0.50710900473933651</v>
      </c>
      <c r="AH4258" s="5">
        <f>IF(SalesData[[#This Row],[Customers Visited]]=0,0,SalesData[[#This Row],[Contracts Signed]]/SalesData[[#This Row],[Customers Visited]])</f>
        <v>0.12796208530805686</v>
      </c>
      <c r="AI4258" s="6">
        <f>IF(SalesData[[#This Row],[Contracts Signed]]=0,0,SalesData[[#This Row],[Profit(€)]]/SalesData[[#This Row],[Contracts Signed]])</f>
        <v>16956</v>
      </c>
      <c r="AJ4258" s="5" t="str">
        <f>TRIM(CLEAN(SalesData[[#This Row],[Retailer]]))</f>
        <v>Saxon Wheels</v>
      </c>
    </row>
    <row r="4259" spans="1:36" ht="14.25" hidden="1" x14ac:dyDescent="0.2">
      <c r="A4259" t="s">
        <v>5511</v>
      </c>
      <c r="B4259" s="1">
        <v>46071</v>
      </c>
      <c r="C4259" t="s">
        <v>62</v>
      </c>
      <c r="D4259" t="s">
        <v>82</v>
      </c>
      <c r="E4259" t="s">
        <v>26</v>
      </c>
      <c r="F4259" t="s">
        <v>109</v>
      </c>
      <c r="G4259" t="s">
        <v>110</v>
      </c>
      <c r="H4259" t="s">
        <v>45</v>
      </c>
      <c r="I4259" t="s">
        <v>56</v>
      </c>
      <c r="J4259" t="s">
        <v>97</v>
      </c>
      <c r="K4259" t="s">
        <v>78</v>
      </c>
      <c r="L4259" t="s">
        <v>33</v>
      </c>
      <c r="M4259" t="s">
        <v>87</v>
      </c>
      <c r="N4259" t="s">
        <v>48</v>
      </c>
      <c r="O4259" t="s">
        <v>70</v>
      </c>
      <c r="P4259" t="s">
        <v>37</v>
      </c>
      <c r="Q4259" t="s">
        <v>135</v>
      </c>
      <c r="R4259">
        <v>258</v>
      </c>
      <c r="S4259">
        <v>121</v>
      </c>
      <c r="T4259">
        <v>85</v>
      </c>
      <c r="U4259">
        <v>23</v>
      </c>
      <c r="V4259" t="s">
        <v>1825</v>
      </c>
      <c r="W4259">
        <v>53200</v>
      </c>
      <c r="X4259" t="s">
        <v>7337</v>
      </c>
      <c r="Y4259">
        <v>41242</v>
      </c>
      <c r="Z4259">
        <v>1223600</v>
      </c>
      <c r="AA4259">
        <v>275034</v>
      </c>
      <c r="AB4259" t="str">
        <f>(VLOOKUP(SalesData[[#This Row],[Month Number]],Reference!C$5:E$16,2,FALSE))</f>
        <v>Feb</v>
      </c>
      <c r="AC4259">
        <f>MONTH(SalesData[[#This Row],[Date]])</f>
        <v>2</v>
      </c>
      <c r="AD4259">
        <f>Reference!F$4</f>
        <v>2026</v>
      </c>
      <c r="AE4259" t="str">
        <f>IF(OR(SalesData[[#This Row],[Day]]="Saturday",SalesData[[#This Row],[Day]]="Sunday"),"Weekend","Weekday")</f>
        <v>Weekday</v>
      </c>
      <c r="AF4259" s="5">
        <f>IF(SalesData[[#This Row],[Contracts Offered]]=0,0,SalesData[[#This Row],[Contracts Signed]]/SalesData[[#This Row],[Contracts Offered]])</f>
        <v>0.27058823529411763</v>
      </c>
      <c r="AG4259" s="5">
        <f>IF(SalesData[[#This Row],[Customers Visited]]=0,0,SalesData[[#This Row],[Test Drives]]/SalesData[[#This Row],[Customers Visited]])</f>
        <v>0.4689922480620155</v>
      </c>
      <c r="AH4259" s="5">
        <f>IF(SalesData[[#This Row],[Customers Visited]]=0,0,SalesData[[#This Row],[Contracts Signed]]/SalesData[[#This Row],[Customers Visited]])</f>
        <v>8.9147286821705432E-2</v>
      </c>
      <c r="AI4259" s="6">
        <f>IF(SalesData[[#This Row],[Contracts Signed]]=0,0,SalesData[[#This Row],[Profit(€)]]/SalesData[[#This Row],[Contracts Signed]])</f>
        <v>11958</v>
      </c>
      <c r="AJ4259" s="5" t="str">
        <f>TRIM(CLEAN(SalesData[[#This Row],[Retailer]]))</f>
        <v>Leipzig Mobility</v>
      </c>
    </row>
    <row r="4260" spans="1:36" ht="14.25" hidden="1" x14ac:dyDescent="0.2">
      <c r="A4260" t="s">
        <v>5512</v>
      </c>
      <c r="B4260" s="1">
        <v>46068</v>
      </c>
      <c r="C4260" t="s">
        <v>62</v>
      </c>
      <c r="D4260" t="s">
        <v>41</v>
      </c>
      <c r="E4260" t="s">
        <v>42</v>
      </c>
      <c r="F4260" t="s">
        <v>127</v>
      </c>
      <c r="G4260" t="s">
        <v>128</v>
      </c>
      <c r="H4260" t="s">
        <v>103</v>
      </c>
      <c r="I4260" t="s">
        <v>104</v>
      </c>
      <c r="J4260" t="s">
        <v>140</v>
      </c>
      <c r="K4260" t="s">
        <v>78</v>
      </c>
      <c r="L4260" t="s">
        <v>46</v>
      </c>
      <c r="M4260" t="s">
        <v>68</v>
      </c>
      <c r="N4260" t="s">
        <v>35</v>
      </c>
      <c r="O4260" t="s">
        <v>36</v>
      </c>
      <c r="P4260" t="s">
        <v>58</v>
      </c>
      <c r="Q4260" t="s">
        <v>50</v>
      </c>
      <c r="R4260">
        <v>355</v>
      </c>
      <c r="S4260">
        <v>151</v>
      </c>
      <c r="T4260">
        <v>99</v>
      </c>
      <c r="U4260">
        <v>28</v>
      </c>
      <c r="V4260" t="s">
        <v>1103</v>
      </c>
      <c r="W4260">
        <v>32257</v>
      </c>
      <c r="X4260" t="s">
        <v>3932</v>
      </c>
      <c r="Y4260">
        <v>28582</v>
      </c>
      <c r="Z4260">
        <v>903196</v>
      </c>
      <c r="AA4260">
        <v>102900</v>
      </c>
      <c r="AB4260" t="str">
        <f>(VLOOKUP(SalesData[[#This Row],[Month Number]],Reference!C$5:E$16,2,FALSE))</f>
        <v>Feb</v>
      </c>
      <c r="AC4260">
        <f>MONTH(SalesData[[#This Row],[Date]])</f>
        <v>2</v>
      </c>
      <c r="AD4260">
        <f>Reference!F$4</f>
        <v>2026</v>
      </c>
      <c r="AE4260" t="str">
        <f>IF(OR(SalesData[[#This Row],[Day]]="Saturday",SalesData[[#This Row],[Day]]="Sunday"),"Weekend","Weekday")</f>
        <v>Weekend</v>
      </c>
      <c r="AF4260" s="5">
        <f>IF(SalesData[[#This Row],[Contracts Offered]]=0,0,SalesData[[#This Row],[Contracts Signed]]/SalesData[[#This Row],[Contracts Offered]])</f>
        <v>0.28282828282828282</v>
      </c>
      <c r="AG4260" s="5">
        <f>IF(SalesData[[#This Row],[Customers Visited]]=0,0,SalesData[[#This Row],[Test Drives]]/SalesData[[#This Row],[Customers Visited]])</f>
        <v>0.42535211267605633</v>
      </c>
      <c r="AH4260" s="5">
        <f>IF(SalesData[[#This Row],[Customers Visited]]=0,0,SalesData[[#This Row],[Contracts Signed]]/SalesData[[#This Row],[Customers Visited]])</f>
        <v>7.8873239436619724E-2</v>
      </c>
      <c r="AI4260" s="6">
        <f>IF(SalesData[[#This Row],[Contracts Signed]]=0,0,SalesData[[#This Row],[Profit(€)]]/SalesData[[#This Row],[Contracts Signed]])</f>
        <v>3675</v>
      </c>
      <c r="AJ4260" s="5" t="str">
        <f>TRIM(CLEAN(SalesData[[#This Row],[Retailer]]))</f>
        <v>Rhein Auto Group</v>
      </c>
    </row>
    <row r="4261" spans="1:36" ht="14.25" x14ac:dyDescent="0.2">
      <c r="A4261" t="s">
        <v>5513</v>
      </c>
      <c r="B4261" s="1">
        <v>46079</v>
      </c>
      <c r="C4261" t="s">
        <v>53</v>
      </c>
      <c r="D4261" t="s">
        <v>100</v>
      </c>
      <c r="E4261" t="s">
        <v>26</v>
      </c>
      <c r="F4261" t="s">
        <v>101</v>
      </c>
      <c r="G4261" t="s">
        <v>102</v>
      </c>
      <c r="H4261" t="s">
        <v>103</v>
      </c>
      <c r="I4261" t="s">
        <v>30</v>
      </c>
      <c r="J4261" t="s">
        <v>31</v>
      </c>
      <c r="K4261" t="s">
        <v>91</v>
      </c>
      <c r="L4261" t="s">
        <v>46</v>
      </c>
      <c r="M4261" t="s">
        <v>87</v>
      </c>
      <c r="N4261" t="s">
        <v>48</v>
      </c>
      <c r="O4261" t="s">
        <v>36</v>
      </c>
      <c r="P4261" t="s">
        <v>49</v>
      </c>
      <c r="Q4261" t="s">
        <v>118</v>
      </c>
      <c r="R4261">
        <v>188</v>
      </c>
      <c r="S4261">
        <v>99</v>
      </c>
      <c r="T4261">
        <v>78</v>
      </c>
      <c r="U4261">
        <v>27</v>
      </c>
      <c r="V4261" t="s">
        <v>6483</v>
      </c>
      <c r="W4261">
        <v>50425</v>
      </c>
      <c r="X4261" t="s">
        <v>2701</v>
      </c>
      <c r="Y4261">
        <v>35685</v>
      </c>
      <c r="Z4261">
        <v>1361475</v>
      </c>
      <c r="AA4261">
        <v>397980</v>
      </c>
      <c r="AB4261" t="str">
        <f>(VLOOKUP(SalesData[[#This Row],[Month Number]],Reference!C$5:E$16,2,FALSE))</f>
        <v>Feb</v>
      </c>
      <c r="AC4261">
        <f>MONTH(SalesData[[#This Row],[Date]])</f>
        <v>2</v>
      </c>
      <c r="AD4261">
        <f>Reference!F$4</f>
        <v>2026</v>
      </c>
      <c r="AE4261" t="str">
        <f>IF(OR(SalesData[[#This Row],[Day]]="Saturday",SalesData[[#This Row],[Day]]="Sunday"),"Weekend","Weekday")</f>
        <v>Weekday</v>
      </c>
      <c r="AF4261" s="5">
        <f>IF(SalesData[[#This Row],[Contracts Offered]]=0,0,SalesData[[#This Row],[Contracts Signed]]/SalesData[[#This Row],[Contracts Offered]])</f>
        <v>0.34615384615384615</v>
      </c>
      <c r="AG4261" s="5">
        <f>IF(SalesData[[#This Row],[Customers Visited]]=0,0,SalesData[[#This Row],[Test Drives]]/SalesData[[#This Row],[Customers Visited]])</f>
        <v>0.52659574468085102</v>
      </c>
      <c r="AH4261" s="5">
        <f>IF(SalesData[[#This Row],[Customers Visited]]=0,0,SalesData[[#This Row],[Contracts Signed]]/SalesData[[#This Row],[Customers Visited]])</f>
        <v>0.14361702127659576</v>
      </c>
      <c r="AI4261" s="6">
        <f>IF(SalesData[[#This Row],[Contracts Signed]]=0,0,SalesData[[#This Row],[Profit(€)]]/SalesData[[#This Row],[Contracts Signed]])</f>
        <v>14740</v>
      </c>
      <c r="AJ4261" s="5" t="str">
        <f>TRIM(CLEAN(SalesData[[#This Row],[Retailer]]))</f>
        <v>Ruhr Auto Plaza</v>
      </c>
    </row>
    <row r="4262" spans="1:36" ht="14.25" hidden="1" x14ac:dyDescent="0.2">
      <c r="A4262" t="s">
        <v>5514</v>
      </c>
      <c r="B4262" s="1">
        <v>46073</v>
      </c>
      <c r="C4262" t="s">
        <v>62</v>
      </c>
      <c r="D4262" t="s">
        <v>54</v>
      </c>
      <c r="E4262" t="s">
        <v>26</v>
      </c>
      <c r="F4262" t="s">
        <v>43</v>
      </c>
      <c r="G4262" t="s">
        <v>44</v>
      </c>
      <c r="H4262" t="s">
        <v>45</v>
      </c>
      <c r="I4262" t="s">
        <v>116</v>
      </c>
      <c r="J4262" t="s">
        <v>7026</v>
      </c>
      <c r="K4262" t="s">
        <v>91</v>
      </c>
      <c r="L4262" t="s">
        <v>46</v>
      </c>
      <c r="M4262" t="s">
        <v>47</v>
      </c>
      <c r="N4262" t="s">
        <v>69</v>
      </c>
      <c r="O4262" t="s">
        <v>70</v>
      </c>
      <c r="P4262" t="s">
        <v>58</v>
      </c>
      <c r="Q4262" t="s">
        <v>122</v>
      </c>
      <c r="R4262">
        <v>413</v>
      </c>
      <c r="S4262">
        <v>183</v>
      </c>
      <c r="T4262">
        <v>105</v>
      </c>
      <c r="U4262">
        <v>36</v>
      </c>
      <c r="V4262" t="s">
        <v>849</v>
      </c>
      <c r="W4262">
        <v>22109</v>
      </c>
      <c r="X4262" t="s">
        <v>3082</v>
      </c>
      <c r="Y4262">
        <v>19724</v>
      </c>
      <c r="Z4262">
        <v>795924</v>
      </c>
      <c r="AA4262">
        <v>85860</v>
      </c>
      <c r="AB4262" t="str">
        <f>(VLOOKUP(SalesData[[#This Row],[Month Number]],Reference!C$5:E$16,2,FALSE))</f>
        <v>Feb</v>
      </c>
      <c r="AC4262">
        <f>MONTH(SalesData[[#This Row],[Date]])</f>
        <v>2</v>
      </c>
      <c r="AD4262">
        <f>Reference!F$4</f>
        <v>2026</v>
      </c>
      <c r="AE4262" t="str">
        <f>IF(OR(SalesData[[#This Row],[Day]]="Saturday",SalesData[[#This Row],[Day]]="Sunday"),"Weekend","Weekday")</f>
        <v>Weekday</v>
      </c>
      <c r="AF4262" s="5">
        <f>IF(SalesData[[#This Row],[Contracts Offered]]=0,0,SalesData[[#This Row],[Contracts Signed]]/SalesData[[#This Row],[Contracts Offered]])</f>
        <v>0.34285714285714286</v>
      </c>
      <c r="AG4262" s="5">
        <f>IF(SalesData[[#This Row],[Customers Visited]]=0,0,SalesData[[#This Row],[Test Drives]]/SalesData[[#This Row],[Customers Visited]])</f>
        <v>0.4430992736077482</v>
      </c>
      <c r="AH4262" s="5">
        <f>IF(SalesData[[#This Row],[Customers Visited]]=0,0,SalesData[[#This Row],[Contracts Signed]]/SalesData[[#This Row],[Customers Visited]])</f>
        <v>8.7167070217917669E-2</v>
      </c>
      <c r="AI4262" s="6">
        <f>IF(SalesData[[#This Row],[Contracts Signed]]=0,0,SalesData[[#This Row],[Profit(€)]]/SalesData[[#This Row],[Contracts Signed]])</f>
        <v>2385</v>
      </c>
      <c r="AJ4262" s="5" t="str">
        <f>TRIM(CLEAN(SalesData[[#This Row],[Retailer]]))</f>
        <v>Saxon Wheels</v>
      </c>
    </row>
    <row r="4263" spans="1:36" ht="14.25" hidden="1" x14ac:dyDescent="0.2">
      <c r="A4263" t="s">
        <v>5515</v>
      </c>
      <c r="B4263" s="1">
        <v>46070</v>
      </c>
      <c r="C4263" t="s">
        <v>62</v>
      </c>
      <c r="D4263" t="s">
        <v>63</v>
      </c>
      <c r="E4263" t="s">
        <v>26</v>
      </c>
      <c r="F4263" t="s">
        <v>94</v>
      </c>
      <c r="G4263" t="s">
        <v>95</v>
      </c>
      <c r="H4263" t="s">
        <v>96</v>
      </c>
      <c r="I4263" t="s">
        <v>64</v>
      </c>
      <c r="J4263" t="s">
        <v>7029</v>
      </c>
      <c r="K4263" t="s">
        <v>32</v>
      </c>
      <c r="L4263" t="s">
        <v>33</v>
      </c>
      <c r="M4263" t="s">
        <v>87</v>
      </c>
      <c r="N4263" t="s">
        <v>35</v>
      </c>
      <c r="O4263" t="s">
        <v>70</v>
      </c>
      <c r="P4263" t="s">
        <v>71</v>
      </c>
      <c r="Q4263" t="s">
        <v>158</v>
      </c>
      <c r="R4263">
        <v>233</v>
      </c>
      <c r="S4263">
        <v>104</v>
      </c>
      <c r="T4263">
        <v>78</v>
      </c>
      <c r="U4263">
        <v>30</v>
      </c>
      <c r="V4263" t="s">
        <v>6532</v>
      </c>
      <c r="W4263">
        <v>58800</v>
      </c>
      <c r="X4263" t="s">
        <v>7169</v>
      </c>
      <c r="Y4263">
        <v>46228</v>
      </c>
      <c r="Z4263">
        <v>1764000</v>
      </c>
      <c r="AA4263">
        <v>377160</v>
      </c>
      <c r="AB4263" t="str">
        <f>(VLOOKUP(SalesData[[#This Row],[Month Number]],Reference!C$5:E$16,2,FALSE))</f>
        <v>Feb</v>
      </c>
      <c r="AC4263">
        <f>MONTH(SalesData[[#This Row],[Date]])</f>
        <v>2</v>
      </c>
      <c r="AD4263">
        <f>Reference!F$4</f>
        <v>2026</v>
      </c>
      <c r="AE4263" t="str">
        <f>IF(OR(SalesData[[#This Row],[Day]]="Saturday",SalesData[[#This Row],[Day]]="Sunday"),"Weekend","Weekday")</f>
        <v>Weekday</v>
      </c>
      <c r="AF4263" s="5">
        <f>IF(SalesData[[#This Row],[Contracts Offered]]=0,0,SalesData[[#This Row],[Contracts Signed]]/SalesData[[#This Row],[Contracts Offered]])</f>
        <v>0.38461538461538464</v>
      </c>
      <c r="AG4263" s="5">
        <f>IF(SalesData[[#This Row],[Customers Visited]]=0,0,SalesData[[#This Row],[Test Drives]]/SalesData[[#This Row],[Customers Visited]])</f>
        <v>0.44635193133047213</v>
      </c>
      <c r="AH4263" s="5">
        <f>IF(SalesData[[#This Row],[Customers Visited]]=0,0,SalesData[[#This Row],[Contracts Signed]]/SalesData[[#This Row],[Customers Visited]])</f>
        <v>0.12875536480686695</v>
      </c>
      <c r="AI4263" s="6">
        <f>IF(SalesData[[#This Row],[Contracts Signed]]=0,0,SalesData[[#This Row],[Profit(€)]]/SalesData[[#This Row],[Contracts Signed]])</f>
        <v>12572</v>
      </c>
      <c r="AJ4263" s="5" t="str">
        <f>TRIM(CLEAN(SalesData[[#This Row],[Retailer]]))</f>
        <v>Bavaria Motors</v>
      </c>
    </row>
    <row r="4264" spans="1:36" ht="14.25" x14ac:dyDescent="0.2">
      <c r="A4264" t="s">
        <v>5516</v>
      </c>
      <c r="B4264" s="1">
        <v>46079</v>
      </c>
      <c r="C4264" t="s">
        <v>53</v>
      </c>
      <c r="D4264" t="s">
        <v>100</v>
      </c>
      <c r="E4264" t="s">
        <v>26</v>
      </c>
      <c r="F4264" t="s">
        <v>109</v>
      </c>
      <c r="G4264" t="s">
        <v>110</v>
      </c>
      <c r="H4264" t="s">
        <v>45</v>
      </c>
      <c r="I4264" t="s">
        <v>30</v>
      </c>
      <c r="J4264" t="s">
        <v>188</v>
      </c>
      <c r="K4264" t="s">
        <v>66</v>
      </c>
      <c r="L4264" t="s">
        <v>33</v>
      </c>
      <c r="M4264" t="s">
        <v>47</v>
      </c>
      <c r="N4264" t="s">
        <v>35</v>
      </c>
      <c r="O4264" t="s">
        <v>70</v>
      </c>
      <c r="P4264" t="s">
        <v>71</v>
      </c>
      <c r="Q4264" t="s">
        <v>106</v>
      </c>
      <c r="R4264">
        <v>170</v>
      </c>
      <c r="S4264">
        <v>98</v>
      </c>
      <c r="T4264">
        <v>78</v>
      </c>
      <c r="U4264">
        <v>27</v>
      </c>
      <c r="V4264" t="s">
        <v>6363</v>
      </c>
      <c r="W4264">
        <v>57246</v>
      </c>
      <c r="X4264" t="s">
        <v>7240</v>
      </c>
      <c r="Y4264">
        <v>43347</v>
      </c>
      <c r="Z4264">
        <v>1545642</v>
      </c>
      <c r="AA4264">
        <v>375273</v>
      </c>
      <c r="AB4264" t="str">
        <f>(VLOOKUP(SalesData[[#This Row],[Month Number]],Reference!C$5:E$16,2,FALSE))</f>
        <v>Feb</v>
      </c>
      <c r="AC4264">
        <f>MONTH(SalesData[[#This Row],[Date]])</f>
        <v>2</v>
      </c>
      <c r="AD4264">
        <f>Reference!F$4</f>
        <v>2026</v>
      </c>
      <c r="AE4264" t="str">
        <f>IF(OR(SalesData[[#This Row],[Day]]="Saturday",SalesData[[#This Row],[Day]]="Sunday"),"Weekend","Weekday")</f>
        <v>Weekday</v>
      </c>
      <c r="AF4264" s="5">
        <f>IF(SalesData[[#This Row],[Contracts Offered]]=0,0,SalesData[[#This Row],[Contracts Signed]]/SalesData[[#This Row],[Contracts Offered]])</f>
        <v>0.34615384615384615</v>
      </c>
      <c r="AG4264" s="5">
        <f>IF(SalesData[[#This Row],[Customers Visited]]=0,0,SalesData[[#This Row],[Test Drives]]/SalesData[[#This Row],[Customers Visited]])</f>
        <v>0.57647058823529407</v>
      </c>
      <c r="AH4264" s="5">
        <f>IF(SalesData[[#This Row],[Customers Visited]]=0,0,SalesData[[#This Row],[Contracts Signed]]/SalesData[[#This Row],[Customers Visited]])</f>
        <v>0.1588235294117647</v>
      </c>
      <c r="AI4264" s="6">
        <f>IF(SalesData[[#This Row],[Contracts Signed]]=0,0,SalesData[[#This Row],[Profit(€)]]/SalesData[[#This Row],[Contracts Signed]])</f>
        <v>13899</v>
      </c>
      <c r="AJ4264" s="5" t="str">
        <f>TRIM(CLEAN(SalesData[[#This Row],[Retailer]]))</f>
        <v>Leipzig Mobility</v>
      </c>
    </row>
    <row r="4265" spans="1:36" ht="14.25" hidden="1" x14ac:dyDescent="0.2">
      <c r="A4265" t="s">
        <v>5517</v>
      </c>
      <c r="B4265" s="1">
        <v>46073</v>
      </c>
      <c r="C4265" t="s">
        <v>62</v>
      </c>
      <c r="D4265" t="s">
        <v>54</v>
      </c>
      <c r="E4265" t="s">
        <v>26</v>
      </c>
      <c r="F4265" t="s">
        <v>114</v>
      </c>
      <c r="G4265" t="s">
        <v>115</v>
      </c>
      <c r="H4265" t="s">
        <v>115</v>
      </c>
      <c r="I4265" t="s">
        <v>56</v>
      </c>
      <c r="J4265" t="s">
        <v>7028</v>
      </c>
      <c r="K4265" t="s">
        <v>66</v>
      </c>
      <c r="L4265" t="s">
        <v>46</v>
      </c>
      <c r="M4265" t="s">
        <v>47</v>
      </c>
      <c r="N4265" t="s">
        <v>35</v>
      </c>
      <c r="O4265" t="s">
        <v>36</v>
      </c>
      <c r="P4265" t="s">
        <v>58</v>
      </c>
      <c r="Q4265" t="s">
        <v>172</v>
      </c>
      <c r="R4265">
        <v>219</v>
      </c>
      <c r="S4265">
        <v>114</v>
      </c>
      <c r="T4265">
        <v>76</v>
      </c>
      <c r="U4265">
        <v>31</v>
      </c>
      <c r="V4265" t="s">
        <v>6500</v>
      </c>
      <c r="W4265">
        <v>42089</v>
      </c>
      <c r="X4265" t="s">
        <v>170</v>
      </c>
      <c r="Y4265">
        <v>34077</v>
      </c>
      <c r="Z4265">
        <v>1304759</v>
      </c>
      <c r="AA4265">
        <v>248372</v>
      </c>
      <c r="AB4265" t="str">
        <f>(VLOOKUP(SalesData[[#This Row],[Month Number]],Reference!C$5:E$16,2,FALSE))</f>
        <v>Feb</v>
      </c>
      <c r="AC4265">
        <f>MONTH(SalesData[[#This Row],[Date]])</f>
        <v>2</v>
      </c>
      <c r="AD4265">
        <f>Reference!F$4</f>
        <v>2026</v>
      </c>
      <c r="AE4265" t="str">
        <f>IF(OR(SalesData[[#This Row],[Day]]="Saturday",SalesData[[#This Row],[Day]]="Sunday"),"Weekend","Weekday")</f>
        <v>Weekday</v>
      </c>
      <c r="AF4265" s="5">
        <f>IF(SalesData[[#This Row],[Contracts Offered]]=0,0,SalesData[[#This Row],[Contracts Signed]]/SalesData[[#This Row],[Contracts Offered]])</f>
        <v>0.40789473684210525</v>
      </c>
      <c r="AG4265" s="5">
        <f>IF(SalesData[[#This Row],[Customers Visited]]=0,0,SalesData[[#This Row],[Test Drives]]/SalesData[[#This Row],[Customers Visited]])</f>
        <v>0.52054794520547942</v>
      </c>
      <c r="AH4265" s="5">
        <f>IF(SalesData[[#This Row],[Customers Visited]]=0,0,SalesData[[#This Row],[Contracts Signed]]/SalesData[[#This Row],[Customers Visited]])</f>
        <v>0.14155251141552511</v>
      </c>
      <c r="AI4265" s="6">
        <f>IF(SalesData[[#This Row],[Contracts Signed]]=0,0,SalesData[[#This Row],[Profit(€)]]/SalesData[[#This Row],[Contracts Signed]])</f>
        <v>8012</v>
      </c>
      <c r="AJ4265" s="5" t="str">
        <f>TRIM(CLEAN(SalesData[[#This Row],[Retailer]]))</f>
        <v>Elbe Drive</v>
      </c>
    </row>
    <row r="4266" spans="1:36" ht="14.25" hidden="1" x14ac:dyDescent="0.2">
      <c r="A4266" t="s">
        <v>5518</v>
      </c>
      <c r="B4266" s="1">
        <v>46079</v>
      </c>
      <c r="C4266" t="s">
        <v>53</v>
      </c>
      <c r="D4266" t="s">
        <v>100</v>
      </c>
      <c r="E4266" t="s">
        <v>26</v>
      </c>
      <c r="F4266" t="s">
        <v>43</v>
      </c>
      <c r="G4266" t="s">
        <v>44</v>
      </c>
      <c r="H4266" t="s">
        <v>45</v>
      </c>
      <c r="I4266" t="s">
        <v>116</v>
      </c>
      <c r="J4266" t="s">
        <v>132</v>
      </c>
      <c r="K4266" t="s">
        <v>91</v>
      </c>
      <c r="L4266" t="s">
        <v>46</v>
      </c>
      <c r="M4266" t="s">
        <v>34</v>
      </c>
      <c r="N4266" t="s">
        <v>35</v>
      </c>
      <c r="O4266" t="s">
        <v>36</v>
      </c>
      <c r="P4266" t="s">
        <v>37</v>
      </c>
      <c r="Q4266" t="s">
        <v>118</v>
      </c>
      <c r="R4266">
        <v>396</v>
      </c>
      <c r="S4266">
        <v>218</v>
      </c>
      <c r="T4266">
        <v>136</v>
      </c>
      <c r="U4266">
        <v>29</v>
      </c>
      <c r="V4266" t="s">
        <v>4345</v>
      </c>
      <c r="W4266">
        <v>25005</v>
      </c>
      <c r="X4266" t="s">
        <v>4401</v>
      </c>
      <c r="Y4266">
        <v>22462</v>
      </c>
      <c r="Z4266">
        <v>725145</v>
      </c>
      <c r="AA4266">
        <v>73747</v>
      </c>
      <c r="AB4266" t="str">
        <f>(VLOOKUP(SalesData[[#This Row],[Month Number]],Reference!C$5:E$16,2,FALSE))</f>
        <v>Feb</v>
      </c>
      <c r="AC4266">
        <f>MONTH(SalesData[[#This Row],[Date]])</f>
        <v>2</v>
      </c>
      <c r="AD4266">
        <f>Reference!F$4</f>
        <v>2026</v>
      </c>
      <c r="AE4266" t="str">
        <f>IF(OR(SalesData[[#This Row],[Day]]="Saturday",SalesData[[#This Row],[Day]]="Sunday"),"Weekend","Weekday")</f>
        <v>Weekday</v>
      </c>
      <c r="AF4266" s="5">
        <f>IF(SalesData[[#This Row],[Contracts Offered]]=0,0,SalesData[[#This Row],[Contracts Signed]]/SalesData[[#This Row],[Contracts Offered]])</f>
        <v>0.21323529411764705</v>
      </c>
      <c r="AG4266" s="5">
        <f>IF(SalesData[[#This Row],[Customers Visited]]=0,0,SalesData[[#This Row],[Test Drives]]/SalesData[[#This Row],[Customers Visited]])</f>
        <v>0.5505050505050505</v>
      </c>
      <c r="AH4266" s="5">
        <f>IF(SalesData[[#This Row],[Customers Visited]]=0,0,SalesData[[#This Row],[Contracts Signed]]/SalesData[[#This Row],[Customers Visited]])</f>
        <v>7.3232323232323232E-2</v>
      </c>
      <c r="AI4266" s="6">
        <f>IF(SalesData[[#This Row],[Contracts Signed]]=0,0,SalesData[[#This Row],[Profit(€)]]/SalesData[[#This Row],[Contracts Signed]])</f>
        <v>2543</v>
      </c>
      <c r="AJ4266" s="5" t="str">
        <f>TRIM(CLEAN(SalesData[[#This Row],[Retailer]]))</f>
        <v>Saxon Wheels</v>
      </c>
    </row>
    <row r="4267" spans="1:36" ht="14.25" hidden="1" x14ac:dyDescent="0.2">
      <c r="A4267" t="s">
        <v>5519</v>
      </c>
      <c r="B4267" s="1">
        <v>46072</v>
      </c>
      <c r="C4267" t="s">
        <v>62</v>
      </c>
      <c r="D4267" t="s">
        <v>100</v>
      </c>
      <c r="E4267" t="s">
        <v>26</v>
      </c>
      <c r="F4267" t="s">
        <v>43</v>
      </c>
      <c r="G4267" t="s">
        <v>44</v>
      </c>
      <c r="H4267" t="s">
        <v>45</v>
      </c>
      <c r="I4267" t="s">
        <v>64</v>
      </c>
      <c r="J4267" t="s">
        <v>7029</v>
      </c>
      <c r="K4267" t="s">
        <v>66</v>
      </c>
      <c r="L4267" t="s">
        <v>33</v>
      </c>
      <c r="M4267" t="s">
        <v>47</v>
      </c>
      <c r="N4267" t="s">
        <v>69</v>
      </c>
      <c r="O4267" t="s">
        <v>70</v>
      </c>
      <c r="P4267" t="s">
        <v>71</v>
      </c>
      <c r="Q4267" t="s">
        <v>129</v>
      </c>
      <c r="R4267">
        <v>179</v>
      </c>
      <c r="S4267">
        <v>96</v>
      </c>
      <c r="T4267">
        <v>70</v>
      </c>
      <c r="U4267">
        <v>23</v>
      </c>
      <c r="V4267" t="s">
        <v>6842</v>
      </c>
      <c r="W4267">
        <v>64820</v>
      </c>
      <c r="X4267" t="s">
        <v>7269</v>
      </c>
      <c r="Y4267">
        <v>49618</v>
      </c>
      <c r="Z4267">
        <v>1490860</v>
      </c>
      <c r="AA4267">
        <v>349646</v>
      </c>
      <c r="AB4267" t="str">
        <f>(VLOOKUP(SalesData[[#This Row],[Month Number]],Reference!C$5:E$16,2,FALSE))</f>
        <v>Feb</v>
      </c>
      <c r="AC4267">
        <f>MONTH(SalesData[[#This Row],[Date]])</f>
        <v>2</v>
      </c>
      <c r="AD4267">
        <f>Reference!F$4</f>
        <v>2026</v>
      </c>
      <c r="AE4267" t="str">
        <f>IF(OR(SalesData[[#This Row],[Day]]="Saturday",SalesData[[#This Row],[Day]]="Sunday"),"Weekend","Weekday")</f>
        <v>Weekday</v>
      </c>
      <c r="AF4267" s="5">
        <f>IF(SalesData[[#This Row],[Contracts Offered]]=0,0,SalesData[[#This Row],[Contracts Signed]]/SalesData[[#This Row],[Contracts Offered]])</f>
        <v>0.32857142857142857</v>
      </c>
      <c r="AG4267" s="5">
        <f>IF(SalesData[[#This Row],[Customers Visited]]=0,0,SalesData[[#This Row],[Test Drives]]/SalesData[[#This Row],[Customers Visited]])</f>
        <v>0.53631284916201116</v>
      </c>
      <c r="AH4267" s="5">
        <f>IF(SalesData[[#This Row],[Customers Visited]]=0,0,SalesData[[#This Row],[Contracts Signed]]/SalesData[[#This Row],[Customers Visited]])</f>
        <v>0.12849162011173185</v>
      </c>
      <c r="AI4267" s="6">
        <f>IF(SalesData[[#This Row],[Contracts Signed]]=0,0,SalesData[[#This Row],[Profit(€)]]/SalesData[[#This Row],[Contracts Signed]])</f>
        <v>15202</v>
      </c>
      <c r="AJ4267" s="5" t="str">
        <f>TRIM(CLEAN(SalesData[[#This Row],[Retailer]]))</f>
        <v>Saxon Wheels</v>
      </c>
    </row>
    <row r="4268" spans="1:36" ht="14.25" x14ac:dyDescent="0.2">
      <c r="A4268" t="s">
        <v>5520</v>
      </c>
      <c r="B4268" s="1">
        <v>46061</v>
      </c>
      <c r="C4268" t="s">
        <v>121</v>
      </c>
      <c r="D4268" t="s">
        <v>41</v>
      </c>
      <c r="E4268" t="s">
        <v>42</v>
      </c>
      <c r="F4268" t="s">
        <v>114</v>
      </c>
      <c r="G4268" t="s">
        <v>115</v>
      </c>
      <c r="H4268" t="s">
        <v>115</v>
      </c>
      <c r="I4268" t="s">
        <v>30</v>
      </c>
      <c r="J4268" t="s">
        <v>31</v>
      </c>
      <c r="K4268" t="s">
        <v>66</v>
      </c>
      <c r="L4268" t="s">
        <v>46</v>
      </c>
      <c r="M4268" t="s">
        <v>87</v>
      </c>
      <c r="N4268" t="s">
        <v>35</v>
      </c>
      <c r="O4268" t="s">
        <v>36</v>
      </c>
      <c r="P4268" t="s">
        <v>49</v>
      </c>
      <c r="Q4268" t="s">
        <v>122</v>
      </c>
      <c r="R4268">
        <v>200</v>
      </c>
      <c r="S4268">
        <v>100</v>
      </c>
      <c r="T4268">
        <v>74</v>
      </c>
      <c r="U4268">
        <v>25</v>
      </c>
      <c r="V4268" t="s">
        <v>6403</v>
      </c>
      <c r="W4268">
        <v>57802</v>
      </c>
      <c r="X4268" t="s">
        <v>1754</v>
      </c>
      <c r="Y4268">
        <v>41654</v>
      </c>
      <c r="Z4268">
        <v>1445050</v>
      </c>
      <c r="AA4268">
        <v>403700</v>
      </c>
      <c r="AB4268" t="str">
        <f>(VLOOKUP(SalesData[[#This Row],[Month Number]],Reference!C$5:E$16,2,FALSE))</f>
        <v>Feb</v>
      </c>
      <c r="AC4268">
        <f>MONTH(SalesData[[#This Row],[Date]])</f>
        <v>2</v>
      </c>
      <c r="AD4268">
        <f>Reference!F$4</f>
        <v>2026</v>
      </c>
      <c r="AE4268" t="str">
        <f>IF(OR(SalesData[[#This Row],[Day]]="Saturday",SalesData[[#This Row],[Day]]="Sunday"),"Weekend","Weekday")</f>
        <v>Weekend</v>
      </c>
      <c r="AF4268" s="5">
        <f>IF(SalesData[[#This Row],[Contracts Offered]]=0,0,SalesData[[#This Row],[Contracts Signed]]/SalesData[[#This Row],[Contracts Offered]])</f>
        <v>0.33783783783783783</v>
      </c>
      <c r="AG4268" s="5">
        <f>IF(SalesData[[#This Row],[Customers Visited]]=0,0,SalesData[[#This Row],[Test Drives]]/SalesData[[#This Row],[Customers Visited]])</f>
        <v>0.5</v>
      </c>
      <c r="AH4268" s="5">
        <f>IF(SalesData[[#This Row],[Customers Visited]]=0,0,SalesData[[#This Row],[Contracts Signed]]/SalesData[[#This Row],[Customers Visited]])</f>
        <v>0.125</v>
      </c>
      <c r="AI4268" s="6">
        <f>IF(SalesData[[#This Row],[Contracts Signed]]=0,0,SalesData[[#This Row],[Profit(€)]]/SalesData[[#This Row],[Contracts Signed]])</f>
        <v>16148</v>
      </c>
      <c r="AJ4268" s="5" t="str">
        <f>TRIM(CLEAN(SalesData[[#This Row],[Retailer]]))</f>
        <v>Elbe Drive</v>
      </c>
    </row>
    <row r="4269" spans="1:36" ht="14.25" hidden="1" x14ac:dyDescent="0.2">
      <c r="A4269" t="s">
        <v>5521</v>
      </c>
      <c r="B4269" s="1">
        <v>46076</v>
      </c>
      <c r="C4269" t="s">
        <v>53</v>
      </c>
      <c r="D4269" t="s">
        <v>25</v>
      </c>
      <c r="E4269" t="s">
        <v>26</v>
      </c>
      <c r="F4269" t="s">
        <v>74</v>
      </c>
      <c r="G4269" t="s">
        <v>75</v>
      </c>
      <c r="H4269" t="s">
        <v>76</v>
      </c>
      <c r="I4269" t="s">
        <v>56</v>
      </c>
      <c r="J4269" t="s">
        <v>97</v>
      </c>
      <c r="K4269" t="s">
        <v>66</v>
      </c>
      <c r="L4269" t="s">
        <v>33</v>
      </c>
      <c r="M4269" t="s">
        <v>87</v>
      </c>
      <c r="N4269" t="s">
        <v>48</v>
      </c>
      <c r="O4269" t="s">
        <v>36</v>
      </c>
      <c r="P4269" t="s">
        <v>49</v>
      </c>
      <c r="Q4269" t="s">
        <v>204</v>
      </c>
      <c r="R4269">
        <v>203</v>
      </c>
      <c r="S4269">
        <v>108</v>
      </c>
      <c r="T4269">
        <v>78</v>
      </c>
      <c r="U4269">
        <v>26</v>
      </c>
      <c r="V4269" t="s">
        <v>6497</v>
      </c>
      <c r="W4269">
        <v>43275</v>
      </c>
      <c r="X4269" t="s">
        <v>7161</v>
      </c>
      <c r="Y4269">
        <v>33013</v>
      </c>
      <c r="Z4269">
        <v>1125150</v>
      </c>
      <c r="AA4269">
        <v>266812</v>
      </c>
      <c r="AB4269" t="str">
        <f>(VLOOKUP(SalesData[[#This Row],[Month Number]],Reference!C$5:E$16,2,FALSE))</f>
        <v>Feb</v>
      </c>
      <c r="AC4269">
        <f>MONTH(SalesData[[#This Row],[Date]])</f>
        <v>2</v>
      </c>
      <c r="AD4269">
        <f>Reference!F$4</f>
        <v>2026</v>
      </c>
      <c r="AE4269" t="str">
        <f>IF(OR(SalesData[[#This Row],[Day]]="Saturday",SalesData[[#This Row],[Day]]="Sunday"),"Weekend","Weekday")</f>
        <v>Weekday</v>
      </c>
      <c r="AF4269" s="5">
        <f>IF(SalesData[[#This Row],[Contracts Offered]]=0,0,SalesData[[#This Row],[Contracts Signed]]/SalesData[[#This Row],[Contracts Offered]])</f>
        <v>0.33333333333333331</v>
      </c>
      <c r="AG4269" s="5">
        <f>IF(SalesData[[#This Row],[Customers Visited]]=0,0,SalesData[[#This Row],[Test Drives]]/SalesData[[#This Row],[Customers Visited]])</f>
        <v>0.53201970443349755</v>
      </c>
      <c r="AH4269" s="5">
        <f>IF(SalesData[[#This Row],[Customers Visited]]=0,0,SalesData[[#This Row],[Contracts Signed]]/SalesData[[#This Row],[Customers Visited]])</f>
        <v>0.12807881773399016</v>
      </c>
      <c r="AI4269" s="6">
        <f>IF(SalesData[[#This Row],[Contracts Signed]]=0,0,SalesData[[#This Row],[Profit(€)]]/SalesData[[#This Row],[Contracts Signed]])</f>
        <v>10262</v>
      </c>
      <c r="AJ4269" s="5" t="str">
        <f>TRIM(CLEAN(SalesData[[#This Row],[Retailer]]))</f>
        <v>Stuttgart Auto Center</v>
      </c>
    </row>
    <row r="4270" spans="1:36" ht="14.25" x14ac:dyDescent="0.2">
      <c r="A4270" t="s">
        <v>5522</v>
      </c>
      <c r="B4270" s="1">
        <v>46063</v>
      </c>
      <c r="C4270" t="s">
        <v>121</v>
      </c>
      <c r="D4270" t="s">
        <v>63</v>
      </c>
      <c r="E4270" t="s">
        <v>26</v>
      </c>
      <c r="F4270" t="s">
        <v>109</v>
      </c>
      <c r="G4270" t="s">
        <v>110</v>
      </c>
      <c r="H4270" t="s">
        <v>45</v>
      </c>
      <c r="I4270" t="s">
        <v>30</v>
      </c>
      <c r="J4270" t="s">
        <v>166</v>
      </c>
      <c r="K4270" t="s">
        <v>66</v>
      </c>
      <c r="L4270" t="s">
        <v>46</v>
      </c>
      <c r="M4270" t="s">
        <v>87</v>
      </c>
      <c r="N4270" t="s">
        <v>35</v>
      </c>
      <c r="O4270" t="s">
        <v>70</v>
      </c>
      <c r="P4270" t="s">
        <v>58</v>
      </c>
      <c r="Q4270" t="s">
        <v>152</v>
      </c>
      <c r="R4270">
        <v>243</v>
      </c>
      <c r="S4270">
        <v>150</v>
      </c>
      <c r="T4270">
        <v>104</v>
      </c>
      <c r="U4270">
        <v>45</v>
      </c>
      <c r="V4270" t="s">
        <v>7100</v>
      </c>
      <c r="W4270">
        <v>52467</v>
      </c>
      <c r="X4270" t="s">
        <v>7544</v>
      </c>
      <c r="Y4270">
        <v>38131</v>
      </c>
      <c r="Z4270">
        <v>2361015</v>
      </c>
      <c r="AA4270">
        <v>645120</v>
      </c>
      <c r="AB4270" t="str">
        <f>(VLOOKUP(SalesData[[#This Row],[Month Number]],Reference!C$5:E$16,2,FALSE))</f>
        <v>Feb</v>
      </c>
      <c r="AC4270">
        <f>MONTH(SalesData[[#This Row],[Date]])</f>
        <v>2</v>
      </c>
      <c r="AD4270">
        <f>Reference!F$4</f>
        <v>2026</v>
      </c>
      <c r="AE4270" t="str">
        <f>IF(OR(SalesData[[#This Row],[Day]]="Saturday",SalesData[[#This Row],[Day]]="Sunday"),"Weekend","Weekday")</f>
        <v>Weekday</v>
      </c>
      <c r="AF4270" s="5">
        <f>IF(SalesData[[#This Row],[Contracts Offered]]=0,0,SalesData[[#This Row],[Contracts Signed]]/SalesData[[#This Row],[Contracts Offered]])</f>
        <v>0.43269230769230771</v>
      </c>
      <c r="AG4270" s="5">
        <f>IF(SalesData[[#This Row],[Customers Visited]]=0,0,SalesData[[#This Row],[Test Drives]]/SalesData[[#This Row],[Customers Visited]])</f>
        <v>0.61728395061728392</v>
      </c>
      <c r="AH4270" s="5">
        <f>IF(SalesData[[#This Row],[Customers Visited]]=0,0,SalesData[[#This Row],[Contracts Signed]]/SalesData[[#This Row],[Customers Visited]])</f>
        <v>0.18518518518518517</v>
      </c>
      <c r="AI4270" s="6">
        <f>IF(SalesData[[#This Row],[Contracts Signed]]=0,0,SalesData[[#This Row],[Profit(€)]]/SalesData[[#This Row],[Contracts Signed]])</f>
        <v>14336</v>
      </c>
      <c r="AJ4270" s="5" t="str">
        <f>TRIM(CLEAN(SalesData[[#This Row],[Retailer]]))</f>
        <v>Leipzig Mobility</v>
      </c>
    </row>
    <row r="4271" spans="1:36" ht="14.25" x14ac:dyDescent="0.2">
      <c r="A4271" t="s">
        <v>5523</v>
      </c>
      <c r="B4271" s="1">
        <v>46055</v>
      </c>
      <c r="C4271" t="s">
        <v>24</v>
      </c>
      <c r="D4271" t="s">
        <v>25</v>
      </c>
      <c r="E4271" t="s">
        <v>26</v>
      </c>
      <c r="F4271" t="s">
        <v>74</v>
      </c>
      <c r="G4271" t="s">
        <v>75</v>
      </c>
      <c r="H4271" t="s">
        <v>76</v>
      </c>
      <c r="I4271" t="s">
        <v>30</v>
      </c>
      <c r="J4271" t="s">
        <v>31</v>
      </c>
      <c r="K4271" t="s">
        <v>66</v>
      </c>
      <c r="L4271" t="s">
        <v>46</v>
      </c>
      <c r="M4271" t="s">
        <v>68</v>
      </c>
      <c r="N4271" t="s">
        <v>69</v>
      </c>
      <c r="O4271" t="s">
        <v>70</v>
      </c>
      <c r="P4271" t="s">
        <v>37</v>
      </c>
      <c r="Q4271" t="s">
        <v>144</v>
      </c>
      <c r="R4271">
        <v>142</v>
      </c>
      <c r="S4271">
        <v>69</v>
      </c>
      <c r="T4271">
        <v>49</v>
      </c>
      <c r="U4271">
        <v>20</v>
      </c>
      <c r="V4271" t="s">
        <v>6362</v>
      </c>
      <c r="W4271">
        <v>58271</v>
      </c>
      <c r="X4271" t="s">
        <v>7326</v>
      </c>
      <c r="Y4271">
        <v>45116</v>
      </c>
      <c r="Z4271">
        <v>1165420</v>
      </c>
      <c r="AA4271">
        <v>263100</v>
      </c>
      <c r="AB4271" t="str">
        <f>(VLOOKUP(SalesData[[#This Row],[Month Number]],Reference!C$5:E$16,2,FALSE))</f>
        <v>Feb</v>
      </c>
      <c r="AC4271">
        <f>MONTH(SalesData[[#This Row],[Date]])</f>
        <v>2</v>
      </c>
      <c r="AD4271">
        <f>Reference!F$4</f>
        <v>2026</v>
      </c>
      <c r="AE4271" t="str">
        <f>IF(OR(SalesData[[#This Row],[Day]]="Saturday",SalesData[[#This Row],[Day]]="Sunday"),"Weekend","Weekday")</f>
        <v>Weekday</v>
      </c>
      <c r="AF4271" s="5">
        <f>IF(SalesData[[#This Row],[Contracts Offered]]=0,0,SalesData[[#This Row],[Contracts Signed]]/SalesData[[#This Row],[Contracts Offered]])</f>
        <v>0.40816326530612246</v>
      </c>
      <c r="AG4271" s="5">
        <f>IF(SalesData[[#This Row],[Customers Visited]]=0,0,SalesData[[#This Row],[Test Drives]]/SalesData[[#This Row],[Customers Visited]])</f>
        <v>0.4859154929577465</v>
      </c>
      <c r="AH4271" s="5">
        <f>IF(SalesData[[#This Row],[Customers Visited]]=0,0,SalesData[[#This Row],[Contracts Signed]]/SalesData[[#This Row],[Customers Visited]])</f>
        <v>0.14084507042253522</v>
      </c>
      <c r="AI4271" s="6">
        <f>IF(SalesData[[#This Row],[Contracts Signed]]=0,0,SalesData[[#This Row],[Profit(€)]]/SalesData[[#This Row],[Contracts Signed]])</f>
        <v>13155</v>
      </c>
      <c r="AJ4271" s="5" t="str">
        <f>TRIM(CLEAN(SalesData[[#This Row],[Retailer]]))</f>
        <v>Stuttgart Auto Center</v>
      </c>
    </row>
    <row r="4272" spans="1:36" ht="14.25" hidden="1" x14ac:dyDescent="0.2">
      <c r="A4272" t="s">
        <v>5524</v>
      </c>
      <c r="B4272" s="1">
        <v>46079</v>
      </c>
      <c r="C4272" t="s">
        <v>53</v>
      </c>
      <c r="D4272" t="s">
        <v>100</v>
      </c>
      <c r="E4272" t="s">
        <v>26</v>
      </c>
      <c r="F4272" t="s">
        <v>114</v>
      </c>
      <c r="G4272" t="s">
        <v>115</v>
      </c>
      <c r="H4272" t="s">
        <v>115</v>
      </c>
      <c r="I4272" t="s">
        <v>116</v>
      </c>
      <c r="J4272" t="s">
        <v>203</v>
      </c>
      <c r="K4272" t="s">
        <v>78</v>
      </c>
      <c r="L4272" t="s">
        <v>67</v>
      </c>
      <c r="M4272" t="s">
        <v>34</v>
      </c>
      <c r="N4272" t="s">
        <v>35</v>
      </c>
      <c r="O4272" t="s">
        <v>70</v>
      </c>
      <c r="P4272" t="s">
        <v>49</v>
      </c>
      <c r="Q4272" t="s">
        <v>59</v>
      </c>
      <c r="R4272">
        <v>358</v>
      </c>
      <c r="S4272">
        <v>162</v>
      </c>
      <c r="T4272">
        <v>107</v>
      </c>
      <c r="U4272">
        <v>21</v>
      </c>
      <c r="V4272" t="s">
        <v>275</v>
      </c>
      <c r="W4272">
        <v>24190</v>
      </c>
      <c r="X4272" t="s">
        <v>5149</v>
      </c>
      <c r="Y4272">
        <v>21688</v>
      </c>
      <c r="Z4272">
        <v>507990</v>
      </c>
      <c r="AA4272">
        <v>52542</v>
      </c>
      <c r="AB4272" t="str">
        <f>(VLOOKUP(SalesData[[#This Row],[Month Number]],Reference!C$5:E$16,2,FALSE))</f>
        <v>Feb</v>
      </c>
      <c r="AC4272">
        <f>MONTH(SalesData[[#This Row],[Date]])</f>
        <v>2</v>
      </c>
      <c r="AD4272">
        <f>Reference!F$4</f>
        <v>2026</v>
      </c>
      <c r="AE4272" t="str">
        <f>IF(OR(SalesData[[#This Row],[Day]]="Saturday",SalesData[[#This Row],[Day]]="Sunday"),"Weekend","Weekday")</f>
        <v>Weekday</v>
      </c>
      <c r="AF4272" s="5">
        <f>IF(SalesData[[#This Row],[Contracts Offered]]=0,0,SalesData[[#This Row],[Contracts Signed]]/SalesData[[#This Row],[Contracts Offered]])</f>
        <v>0.19626168224299065</v>
      </c>
      <c r="AG4272" s="5">
        <f>IF(SalesData[[#This Row],[Customers Visited]]=0,0,SalesData[[#This Row],[Test Drives]]/SalesData[[#This Row],[Customers Visited]])</f>
        <v>0.45251396648044695</v>
      </c>
      <c r="AH4272" s="5">
        <f>IF(SalesData[[#This Row],[Customers Visited]]=0,0,SalesData[[#This Row],[Contracts Signed]]/SalesData[[#This Row],[Customers Visited]])</f>
        <v>5.8659217877094973E-2</v>
      </c>
      <c r="AI4272" s="6">
        <f>IF(SalesData[[#This Row],[Contracts Signed]]=0,0,SalesData[[#This Row],[Profit(€)]]/SalesData[[#This Row],[Contracts Signed]])</f>
        <v>2502</v>
      </c>
      <c r="AJ4272" s="5" t="str">
        <f>TRIM(CLEAN(SalesData[[#This Row],[Retailer]]))</f>
        <v>Elbe Drive</v>
      </c>
    </row>
    <row r="4273" spans="1:36" ht="14.25" x14ac:dyDescent="0.2">
      <c r="A4273" t="s">
        <v>5525</v>
      </c>
      <c r="B4273" s="1">
        <v>46067</v>
      </c>
      <c r="C4273" t="s">
        <v>121</v>
      </c>
      <c r="D4273" t="s">
        <v>151</v>
      </c>
      <c r="E4273" t="s">
        <v>42</v>
      </c>
      <c r="F4273" t="s">
        <v>114</v>
      </c>
      <c r="G4273" t="s">
        <v>115</v>
      </c>
      <c r="H4273" t="s">
        <v>115</v>
      </c>
      <c r="I4273" t="s">
        <v>30</v>
      </c>
      <c r="J4273" t="s">
        <v>7075</v>
      </c>
      <c r="K4273" t="s">
        <v>91</v>
      </c>
      <c r="L4273" t="s">
        <v>33</v>
      </c>
      <c r="M4273" t="s">
        <v>34</v>
      </c>
      <c r="N4273" t="s">
        <v>69</v>
      </c>
      <c r="O4273" t="s">
        <v>36</v>
      </c>
      <c r="P4273" t="s">
        <v>58</v>
      </c>
      <c r="Q4273" t="s">
        <v>204</v>
      </c>
      <c r="R4273">
        <v>181</v>
      </c>
      <c r="S4273">
        <v>92</v>
      </c>
      <c r="T4273">
        <v>63</v>
      </c>
      <c r="U4273">
        <v>29</v>
      </c>
      <c r="V4273" t="s">
        <v>7368</v>
      </c>
      <c r="W4273">
        <v>50219</v>
      </c>
      <c r="X4273" t="s">
        <v>7122</v>
      </c>
      <c r="Y4273">
        <v>38946</v>
      </c>
      <c r="Z4273">
        <v>1456351</v>
      </c>
      <c r="AA4273">
        <v>326917</v>
      </c>
      <c r="AB4273" t="str">
        <f>(VLOOKUP(SalesData[[#This Row],[Month Number]],Reference!C$5:E$16,2,FALSE))</f>
        <v>Feb</v>
      </c>
      <c r="AC4273">
        <f>MONTH(SalesData[[#This Row],[Date]])</f>
        <v>2</v>
      </c>
      <c r="AD4273">
        <f>Reference!F$4</f>
        <v>2026</v>
      </c>
      <c r="AE4273" t="str">
        <f>IF(OR(SalesData[[#This Row],[Day]]="Saturday",SalesData[[#This Row],[Day]]="Sunday"),"Weekend","Weekday")</f>
        <v>Weekend</v>
      </c>
      <c r="AF4273" s="5">
        <f>IF(SalesData[[#This Row],[Contracts Offered]]=0,0,SalesData[[#This Row],[Contracts Signed]]/SalesData[[#This Row],[Contracts Offered]])</f>
        <v>0.46031746031746029</v>
      </c>
      <c r="AG4273" s="5">
        <f>IF(SalesData[[#This Row],[Customers Visited]]=0,0,SalesData[[#This Row],[Test Drives]]/SalesData[[#This Row],[Customers Visited]])</f>
        <v>0.50828729281767959</v>
      </c>
      <c r="AH4273" s="5">
        <f>IF(SalesData[[#This Row],[Customers Visited]]=0,0,SalesData[[#This Row],[Contracts Signed]]/SalesData[[#This Row],[Customers Visited]])</f>
        <v>0.16022099447513813</v>
      </c>
      <c r="AI4273" s="6">
        <f>IF(SalesData[[#This Row],[Contracts Signed]]=0,0,SalesData[[#This Row],[Profit(€)]]/SalesData[[#This Row],[Contracts Signed]])</f>
        <v>11273</v>
      </c>
      <c r="AJ4273" s="5" t="str">
        <f>TRIM(CLEAN(SalesData[[#This Row],[Retailer]]))</f>
        <v>Elbe Drive</v>
      </c>
    </row>
    <row r="4274" spans="1:36" ht="14.25" hidden="1" x14ac:dyDescent="0.2">
      <c r="A4274" t="s">
        <v>5526</v>
      </c>
      <c r="B4274" s="1">
        <v>46078</v>
      </c>
      <c r="C4274" t="s">
        <v>53</v>
      </c>
      <c r="D4274" t="s">
        <v>82</v>
      </c>
      <c r="E4274" t="s">
        <v>26</v>
      </c>
      <c r="F4274" t="s">
        <v>109</v>
      </c>
      <c r="G4274" t="s">
        <v>110</v>
      </c>
      <c r="H4274" t="s">
        <v>45</v>
      </c>
      <c r="I4274" t="s">
        <v>64</v>
      </c>
      <c r="J4274" t="s">
        <v>77</v>
      </c>
      <c r="K4274" t="s">
        <v>32</v>
      </c>
      <c r="L4274" t="s">
        <v>46</v>
      </c>
      <c r="M4274" t="s">
        <v>87</v>
      </c>
      <c r="N4274" t="s">
        <v>48</v>
      </c>
      <c r="O4274" t="s">
        <v>70</v>
      </c>
      <c r="P4274" t="s">
        <v>58</v>
      </c>
      <c r="Q4274" t="s">
        <v>169</v>
      </c>
      <c r="R4274">
        <v>197</v>
      </c>
      <c r="S4274">
        <v>114</v>
      </c>
      <c r="T4274">
        <v>86</v>
      </c>
      <c r="U4274">
        <v>32</v>
      </c>
      <c r="V4274" t="s">
        <v>6844</v>
      </c>
      <c r="W4274">
        <v>56919</v>
      </c>
      <c r="X4274" t="s">
        <v>7198</v>
      </c>
      <c r="Y4274">
        <v>42400</v>
      </c>
      <c r="Z4274">
        <v>1821408</v>
      </c>
      <c r="AA4274">
        <v>464608</v>
      </c>
      <c r="AB4274" t="str">
        <f>(VLOOKUP(SalesData[[#This Row],[Month Number]],Reference!C$5:E$16,2,FALSE))</f>
        <v>Feb</v>
      </c>
      <c r="AC4274">
        <f>MONTH(SalesData[[#This Row],[Date]])</f>
        <v>2</v>
      </c>
      <c r="AD4274">
        <f>Reference!F$4</f>
        <v>2026</v>
      </c>
      <c r="AE4274" t="str">
        <f>IF(OR(SalesData[[#This Row],[Day]]="Saturday",SalesData[[#This Row],[Day]]="Sunday"),"Weekend","Weekday")</f>
        <v>Weekday</v>
      </c>
      <c r="AF4274" s="5">
        <f>IF(SalesData[[#This Row],[Contracts Offered]]=0,0,SalesData[[#This Row],[Contracts Signed]]/SalesData[[#This Row],[Contracts Offered]])</f>
        <v>0.37209302325581395</v>
      </c>
      <c r="AG4274" s="5">
        <f>IF(SalesData[[#This Row],[Customers Visited]]=0,0,SalesData[[#This Row],[Test Drives]]/SalesData[[#This Row],[Customers Visited]])</f>
        <v>0.57868020304568524</v>
      </c>
      <c r="AH4274" s="5">
        <f>IF(SalesData[[#This Row],[Customers Visited]]=0,0,SalesData[[#This Row],[Contracts Signed]]/SalesData[[#This Row],[Customers Visited]])</f>
        <v>0.16243654822335024</v>
      </c>
      <c r="AI4274" s="6">
        <f>IF(SalesData[[#This Row],[Contracts Signed]]=0,0,SalesData[[#This Row],[Profit(€)]]/SalesData[[#This Row],[Contracts Signed]])</f>
        <v>14519</v>
      </c>
      <c r="AJ4274" s="5" t="str">
        <f>TRIM(CLEAN(SalesData[[#This Row],[Retailer]]))</f>
        <v>Leipzig Mobility</v>
      </c>
    </row>
    <row r="4275" spans="1:36" ht="14.25" hidden="1" x14ac:dyDescent="0.2">
      <c r="A4275" t="s">
        <v>5527</v>
      </c>
      <c r="B4275" s="1">
        <v>46066</v>
      </c>
      <c r="C4275" t="s">
        <v>121</v>
      </c>
      <c r="D4275" t="s">
        <v>54</v>
      </c>
      <c r="E4275" t="s">
        <v>26</v>
      </c>
      <c r="F4275" t="s">
        <v>43</v>
      </c>
      <c r="G4275" t="s">
        <v>44</v>
      </c>
      <c r="H4275" t="s">
        <v>45</v>
      </c>
      <c r="I4275" t="s">
        <v>56</v>
      </c>
      <c r="J4275" t="s">
        <v>137</v>
      </c>
      <c r="K4275" t="s">
        <v>91</v>
      </c>
      <c r="L4275" t="s">
        <v>46</v>
      </c>
      <c r="M4275" t="s">
        <v>87</v>
      </c>
      <c r="N4275" t="s">
        <v>69</v>
      </c>
      <c r="O4275" t="s">
        <v>70</v>
      </c>
      <c r="P4275" t="s">
        <v>58</v>
      </c>
      <c r="Q4275" t="s">
        <v>204</v>
      </c>
      <c r="R4275">
        <v>204</v>
      </c>
      <c r="S4275">
        <v>119</v>
      </c>
      <c r="T4275">
        <v>77</v>
      </c>
      <c r="U4275">
        <v>26</v>
      </c>
      <c r="V4275" t="s">
        <v>6798</v>
      </c>
      <c r="W4275">
        <v>54557</v>
      </c>
      <c r="X4275" t="s">
        <v>7555</v>
      </c>
      <c r="Y4275">
        <v>40930</v>
      </c>
      <c r="Z4275">
        <v>1418482</v>
      </c>
      <c r="AA4275">
        <v>354302</v>
      </c>
      <c r="AB4275" t="str">
        <f>(VLOOKUP(SalesData[[#This Row],[Month Number]],Reference!C$5:E$16,2,FALSE))</f>
        <v>Feb</v>
      </c>
      <c r="AC4275">
        <f>MONTH(SalesData[[#This Row],[Date]])</f>
        <v>2</v>
      </c>
      <c r="AD4275">
        <f>Reference!F$4</f>
        <v>2026</v>
      </c>
      <c r="AE4275" t="str">
        <f>IF(OR(SalesData[[#This Row],[Day]]="Saturday",SalesData[[#This Row],[Day]]="Sunday"),"Weekend","Weekday")</f>
        <v>Weekday</v>
      </c>
      <c r="AF4275" s="5">
        <f>IF(SalesData[[#This Row],[Contracts Offered]]=0,0,SalesData[[#This Row],[Contracts Signed]]/SalesData[[#This Row],[Contracts Offered]])</f>
        <v>0.33766233766233766</v>
      </c>
      <c r="AG4275" s="5">
        <f>IF(SalesData[[#This Row],[Customers Visited]]=0,0,SalesData[[#This Row],[Test Drives]]/SalesData[[#This Row],[Customers Visited]])</f>
        <v>0.58333333333333337</v>
      </c>
      <c r="AH4275" s="5">
        <f>IF(SalesData[[#This Row],[Customers Visited]]=0,0,SalesData[[#This Row],[Contracts Signed]]/SalesData[[#This Row],[Customers Visited]])</f>
        <v>0.12745098039215685</v>
      </c>
      <c r="AI4275" s="6">
        <f>IF(SalesData[[#This Row],[Contracts Signed]]=0,0,SalesData[[#This Row],[Profit(€)]]/SalesData[[#This Row],[Contracts Signed]])</f>
        <v>13627</v>
      </c>
      <c r="AJ4275" s="5" t="str">
        <f>TRIM(CLEAN(SalesData[[#This Row],[Retailer]]))</f>
        <v>Saxon Wheels</v>
      </c>
    </row>
    <row r="4276" spans="1:36" ht="14.25" hidden="1" x14ac:dyDescent="0.2">
      <c r="A4276" t="s">
        <v>5528</v>
      </c>
      <c r="B4276" s="1">
        <v>46079</v>
      </c>
      <c r="C4276" t="s">
        <v>53</v>
      </c>
      <c r="D4276" t="s">
        <v>100</v>
      </c>
      <c r="E4276" t="s">
        <v>26</v>
      </c>
      <c r="F4276" t="s">
        <v>43</v>
      </c>
      <c r="G4276" t="s">
        <v>44</v>
      </c>
      <c r="H4276" t="s">
        <v>45</v>
      </c>
      <c r="I4276" t="s">
        <v>116</v>
      </c>
      <c r="J4276" t="s">
        <v>7090</v>
      </c>
      <c r="K4276" t="s">
        <v>66</v>
      </c>
      <c r="L4276" t="s">
        <v>46</v>
      </c>
      <c r="M4276" t="s">
        <v>34</v>
      </c>
      <c r="N4276" t="s">
        <v>35</v>
      </c>
      <c r="O4276" t="s">
        <v>36</v>
      </c>
      <c r="P4276" t="s">
        <v>37</v>
      </c>
      <c r="Q4276" t="s">
        <v>50</v>
      </c>
      <c r="R4276">
        <v>336</v>
      </c>
      <c r="S4276">
        <v>174</v>
      </c>
      <c r="T4276">
        <v>103</v>
      </c>
      <c r="U4276">
        <v>23</v>
      </c>
      <c r="V4276" t="s">
        <v>1612</v>
      </c>
      <c r="W4276">
        <v>19923</v>
      </c>
      <c r="X4276" t="s">
        <v>941</v>
      </c>
      <c r="Y4276">
        <v>18293</v>
      </c>
      <c r="Z4276">
        <v>458229</v>
      </c>
      <c r="AA4276">
        <v>37490</v>
      </c>
      <c r="AB4276" t="str">
        <f>(VLOOKUP(SalesData[[#This Row],[Month Number]],Reference!C$5:E$16,2,FALSE))</f>
        <v>Feb</v>
      </c>
      <c r="AC4276">
        <f>MONTH(SalesData[[#This Row],[Date]])</f>
        <v>2</v>
      </c>
      <c r="AD4276">
        <f>Reference!F$4</f>
        <v>2026</v>
      </c>
      <c r="AE4276" t="str">
        <f>IF(OR(SalesData[[#This Row],[Day]]="Saturday",SalesData[[#This Row],[Day]]="Sunday"),"Weekend","Weekday")</f>
        <v>Weekday</v>
      </c>
      <c r="AF4276" s="5">
        <f>IF(SalesData[[#This Row],[Contracts Offered]]=0,0,SalesData[[#This Row],[Contracts Signed]]/SalesData[[#This Row],[Contracts Offered]])</f>
        <v>0.22330097087378642</v>
      </c>
      <c r="AG4276" s="5">
        <f>IF(SalesData[[#This Row],[Customers Visited]]=0,0,SalesData[[#This Row],[Test Drives]]/SalesData[[#This Row],[Customers Visited]])</f>
        <v>0.5178571428571429</v>
      </c>
      <c r="AH4276" s="5">
        <f>IF(SalesData[[#This Row],[Customers Visited]]=0,0,SalesData[[#This Row],[Contracts Signed]]/SalesData[[#This Row],[Customers Visited]])</f>
        <v>6.8452380952380959E-2</v>
      </c>
      <c r="AI4276" s="6">
        <f>IF(SalesData[[#This Row],[Contracts Signed]]=0,0,SalesData[[#This Row],[Profit(€)]]/SalesData[[#This Row],[Contracts Signed]])</f>
        <v>1630</v>
      </c>
      <c r="AJ4276" s="5" t="str">
        <f>TRIM(CLEAN(SalesData[[#This Row],[Retailer]]))</f>
        <v>Saxon Wheels</v>
      </c>
    </row>
    <row r="4277" spans="1:36" ht="14.25" x14ac:dyDescent="0.2">
      <c r="A4277" t="s">
        <v>5529</v>
      </c>
      <c r="B4277" s="1">
        <v>46064</v>
      </c>
      <c r="C4277" t="s">
        <v>121</v>
      </c>
      <c r="D4277" t="s">
        <v>82</v>
      </c>
      <c r="E4277" t="s">
        <v>26</v>
      </c>
      <c r="F4277" t="s">
        <v>74</v>
      </c>
      <c r="G4277" t="s">
        <v>75</v>
      </c>
      <c r="H4277" t="s">
        <v>76</v>
      </c>
      <c r="I4277" t="s">
        <v>30</v>
      </c>
      <c r="J4277" t="s">
        <v>31</v>
      </c>
      <c r="K4277" t="s">
        <v>32</v>
      </c>
      <c r="L4277" t="s">
        <v>46</v>
      </c>
      <c r="M4277" t="s">
        <v>87</v>
      </c>
      <c r="N4277" t="s">
        <v>48</v>
      </c>
      <c r="O4277" t="s">
        <v>36</v>
      </c>
      <c r="P4277" t="s">
        <v>37</v>
      </c>
      <c r="Q4277" t="s">
        <v>144</v>
      </c>
      <c r="R4277">
        <v>256</v>
      </c>
      <c r="S4277">
        <v>131</v>
      </c>
      <c r="T4277">
        <v>102</v>
      </c>
      <c r="U4277">
        <v>36</v>
      </c>
      <c r="V4277" t="s">
        <v>6381</v>
      </c>
      <c r="W4277">
        <v>61193</v>
      </c>
      <c r="X4277" t="s">
        <v>7165</v>
      </c>
      <c r="Y4277">
        <v>43013</v>
      </c>
      <c r="Z4277">
        <v>2202948</v>
      </c>
      <c r="AA4277">
        <v>654480</v>
      </c>
      <c r="AB4277" t="str">
        <f>(VLOOKUP(SalesData[[#This Row],[Month Number]],Reference!C$5:E$16,2,FALSE))</f>
        <v>Feb</v>
      </c>
      <c r="AC4277">
        <f>MONTH(SalesData[[#This Row],[Date]])</f>
        <v>2</v>
      </c>
      <c r="AD4277">
        <f>Reference!F$4</f>
        <v>2026</v>
      </c>
      <c r="AE4277" t="str">
        <f>IF(OR(SalesData[[#This Row],[Day]]="Saturday",SalesData[[#This Row],[Day]]="Sunday"),"Weekend","Weekday")</f>
        <v>Weekday</v>
      </c>
      <c r="AF4277" s="5">
        <f>IF(SalesData[[#This Row],[Contracts Offered]]=0,0,SalesData[[#This Row],[Contracts Signed]]/SalesData[[#This Row],[Contracts Offered]])</f>
        <v>0.35294117647058826</v>
      </c>
      <c r="AG4277" s="5">
        <f>IF(SalesData[[#This Row],[Customers Visited]]=0,0,SalesData[[#This Row],[Test Drives]]/SalesData[[#This Row],[Customers Visited]])</f>
        <v>0.51171875</v>
      </c>
      <c r="AH4277" s="5">
        <f>IF(SalesData[[#This Row],[Customers Visited]]=0,0,SalesData[[#This Row],[Contracts Signed]]/SalesData[[#This Row],[Customers Visited]])</f>
        <v>0.140625</v>
      </c>
      <c r="AI4277" s="6">
        <f>IF(SalesData[[#This Row],[Contracts Signed]]=0,0,SalesData[[#This Row],[Profit(€)]]/SalesData[[#This Row],[Contracts Signed]])</f>
        <v>18180</v>
      </c>
      <c r="AJ4277" s="5" t="str">
        <f>TRIM(CLEAN(SalesData[[#This Row],[Retailer]]))</f>
        <v>Stuttgart Auto Center</v>
      </c>
    </row>
    <row r="4278" spans="1:36" ht="14.25" hidden="1" x14ac:dyDescent="0.2">
      <c r="A4278" t="s">
        <v>5530</v>
      </c>
      <c r="B4278" s="1">
        <v>46077</v>
      </c>
      <c r="C4278" t="s">
        <v>53</v>
      </c>
      <c r="D4278" t="s">
        <v>63</v>
      </c>
      <c r="E4278" t="s">
        <v>26</v>
      </c>
      <c r="F4278" t="s">
        <v>127</v>
      </c>
      <c r="G4278" t="s">
        <v>128</v>
      </c>
      <c r="H4278" t="s">
        <v>103</v>
      </c>
      <c r="I4278" t="s">
        <v>104</v>
      </c>
      <c r="J4278" t="s">
        <v>7031</v>
      </c>
      <c r="K4278" t="s">
        <v>32</v>
      </c>
      <c r="L4278" t="s">
        <v>46</v>
      </c>
      <c r="M4278" t="s">
        <v>68</v>
      </c>
      <c r="N4278" t="s">
        <v>35</v>
      </c>
      <c r="O4278" t="s">
        <v>36</v>
      </c>
      <c r="P4278" t="s">
        <v>49</v>
      </c>
      <c r="Q4278" t="s">
        <v>135</v>
      </c>
      <c r="R4278">
        <v>341</v>
      </c>
      <c r="S4278">
        <v>174</v>
      </c>
      <c r="T4278">
        <v>120</v>
      </c>
      <c r="U4278">
        <v>25</v>
      </c>
      <c r="V4278" t="s">
        <v>733</v>
      </c>
      <c r="W4278">
        <v>25237</v>
      </c>
      <c r="X4278" t="s">
        <v>281</v>
      </c>
      <c r="Y4278">
        <v>22634</v>
      </c>
      <c r="Z4278">
        <v>630925</v>
      </c>
      <c r="AA4278">
        <v>65075</v>
      </c>
      <c r="AB4278" t="str">
        <f>(VLOOKUP(SalesData[[#This Row],[Month Number]],Reference!C$5:E$16,2,FALSE))</f>
        <v>Feb</v>
      </c>
      <c r="AC4278">
        <f>MONTH(SalesData[[#This Row],[Date]])</f>
        <v>2</v>
      </c>
      <c r="AD4278">
        <f>Reference!F$4</f>
        <v>2026</v>
      </c>
      <c r="AE4278" t="str">
        <f>IF(OR(SalesData[[#This Row],[Day]]="Saturday",SalesData[[#This Row],[Day]]="Sunday"),"Weekend","Weekday")</f>
        <v>Weekday</v>
      </c>
      <c r="AF4278" s="5">
        <f>IF(SalesData[[#This Row],[Contracts Offered]]=0,0,SalesData[[#This Row],[Contracts Signed]]/SalesData[[#This Row],[Contracts Offered]])</f>
        <v>0.20833333333333334</v>
      </c>
      <c r="AG4278" s="5">
        <f>IF(SalesData[[#This Row],[Customers Visited]]=0,0,SalesData[[#This Row],[Test Drives]]/SalesData[[#This Row],[Customers Visited]])</f>
        <v>0.51026392961876832</v>
      </c>
      <c r="AH4278" s="5">
        <f>IF(SalesData[[#This Row],[Customers Visited]]=0,0,SalesData[[#This Row],[Contracts Signed]]/SalesData[[#This Row],[Customers Visited]])</f>
        <v>7.331378299120235E-2</v>
      </c>
      <c r="AI4278" s="6">
        <f>IF(SalesData[[#This Row],[Contracts Signed]]=0,0,SalesData[[#This Row],[Profit(€)]]/SalesData[[#This Row],[Contracts Signed]])</f>
        <v>2603</v>
      </c>
      <c r="AJ4278" s="5" t="str">
        <f>TRIM(CLEAN(SalesData[[#This Row],[Retailer]]))</f>
        <v>Rhein Auto Group</v>
      </c>
    </row>
    <row r="4279" spans="1:36" ht="14.25" hidden="1" x14ac:dyDescent="0.2">
      <c r="A4279" t="s">
        <v>5531</v>
      </c>
      <c r="B4279" s="1">
        <v>46058</v>
      </c>
      <c r="C4279" t="s">
        <v>24</v>
      </c>
      <c r="D4279" t="s">
        <v>100</v>
      </c>
      <c r="E4279" t="s">
        <v>26</v>
      </c>
      <c r="F4279" t="s">
        <v>127</v>
      </c>
      <c r="G4279" t="s">
        <v>128</v>
      </c>
      <c r="H4279" t="s">
        <v>103</v>
      </c>
      <c r="I4279" t="s">
        <v>56</v>
      </c>
      <c r="J4279" t="s">
        <v>57</v>
      </c>
      <c r="K4279" t="s">
        <v>32</v>
      </c>
      <c r="L4279" t="s">
        <v>46</v>
      </c>
      <c r="M4279" t="s">
        <v>68</v>
      </c>
      <c r="N4279" t="s">
        <v>69</v>
      </c>
      <c r="O4279" t="s">
        <v>70</v>
      </c>
      <c r="P4279" t="s">
        <v>58</v>
      </c>
      <c r="Q4279" t="s">
        <v>144</v>
      </c>
      <c r="R4279">
        <v>168</v>
      </c>
      <c r="S4279">
        <v>82</v>
      </c>
      <c r="T4279">
        <v>57</v>
      </c>
      <c r="U4279">
        <v>22</v>
      </c>
      <c r="V4279" t="s">
        <v>7247</v>
      </c>
      <c r="W4279">
        <v>42817</v>
      </c>
      <c r="X4279" t="s">
        <v>7154</v>
      </c>
      <c r="Y4279">
        <v>32369</v>
      </c>
      <c r="Z4279">
        <v>941974</v>
      </c>
      <c r="AA4279">
        <v>229856</v>
      </c>
      <c r="AB4279" t="str">
        <f>(VLOOKUP(SalesData[[#This Row],[Month Number]],Reference!C$5:E$16,2,FALSE))</f>
        <v>Feb</v>
      </c>
      <c r="AC4279">
        <f>MONTH(SalesData[[#This Row],[Date]])</f>
        <v>2</v>
      </c>
      <c r="AD4279">
        <f>Reference!F$4</f>
        <v>2026</v>
      </c>
      <c r="AE4279" t="str">
        <f>IF(OR(SalesData[[#This Row],[Day]]="Saturday",SalesData[[#This Row],[Day]]="Sunday"),"Weekend","Weekday")</f>
        <v>Weekday</v>
      </c>
      <c r="AF4279" s="5">
        <f>IF(SalesData[[#This Row],[Contracts Offered]]=0,0,SalesData[[#This Row],[Contracts Signed]]/SalesData[[#This Row],[Contracts Offered]])</f>
        <v>0.38596491228070173</v>
      </c>
      <c r="AG4279" s="5">
        <f>IF(SalesData[[#This Row],[Customers Visited]]=0,0,SalesData[[#This Row],[Test Drives]]/SalesData[[#This Row],[Customers Visited]])</f>
        <v>0.48809523809523808</v>
      </c>
      <c r="AH4279" s="5">
        <f>IF(SalesData[[#This Row],[Customers Visited]]=0,0,SalesData[[#This Row],[Contracts Signed]]/SalesData[[#This Row],[Customers Visited]])</f>
        <v>0.13095238095238096</v>
      </c>
      <c r="AI4279" s="6">
        <f>IF(SalesData[[#This Row],[Contracts Signed]]=0,0,SalesData[[#This Row],[Profit(€)]]/SalesData[[#This Row],[Contracts Signed]])</f>
        <v>10448</v>
      </c>
      <c r="AJ4279" s="5" t="str">
        <f>TRIM(CLEAN(SalesData[[#This Row],[Retailer]]))</f>
        <v>Rhein Auto Group</v>
      </c>
    </row>
    <row r="4280" spans="1:36" ht="14.25" hidden="1" x14ac:dyDescent="0.2">
      <c r="A4280" t="s">
        <v>5532</v>
      </c>
      <c r="B4280" s="1">
        <v>46055</v>
      </c>
      <c r="C4280" t="s">
        <v>24</v>
      </c>
      <c r="D4280" t="s">
        <v>25</v>
      </c>
      <c r="E4280" t="s">
        <v>26</v>
      </c>
      <c r="F4280" t="s">
        <v>43</v>
      </c>
      <c r="G4280" t="s">
        <v>44</v>
      </c>
      <c r="H4280" t="s">
        <v>45</v>
      </c>
      <c r="I4280" t="s">
        <v>104</v>
      </c>
      <c r="J4280" t="s">
        <v>105</v>
      </c>
      <c r="K4280" t="s">
        <v>78</v>
      </c>
      <c r="L4280" t="s">
        <v>33</v>
      </c>
      <c r="M4280" t="s">
        <v>87</v>
      </c>
      <c r="N4280" t="s">
        <v>69</v>
      </c>
      <c r="O4280" t="s">
        <v>70</v>
      </c>
      <c r="P4280" t="s">
        <v>58</v>
      </c>
      <c r="Q4280" t="s">
        <v>50</v>
      </c>
      <c r="R4280">
        <v>444</v>
      </c>
      <c r="S4280">
        <v>204</v>
      </c>
      <c r="T4280">
        <v>144</v>
      </c>
      <c r="U4280">
        <v>35</v>
      </c>
      <c r="V4280" t="s">
        <v>833</v>
      </c>
      <c r="W4280">
        <v>28941</v>
      </c>
      <c r="X4280" t="s">
        <v>4223</v>
      </c>
      <c r="Y4280">
        <v>25900</v>
      </c>
      <c r="Z4280">
        <v>1012935</v>
      </c>
      <c r="AA4280">
        <v>106435</v>
      </c>
      <c r="AB4280" t="str">
        <f>(VLOOKUP(SalesData[[#This Row],[Month Number]],Reference!C$5:E$16,2,FALSE))</f>
        <v>Feb</v>
      </c>
      <c r="AC4280">
        <f>MONTH(SalesData[[#This Row],[Date]])</f>
        <v>2</v>
      </c>
      <c r="AD4280">
        <f>Reference!F$4</f>
        <v>2026</v>
      </c>
      <c r="AE4280" t="str">
        <f>IF(OR(SalesData[[#This Row],[Day]]="Saturday",SalesData[[#This Row],[Day]]="Sunday"),"Weekend","Weekday")</f>
        <v>Weekday</v>
      </c>
      <c r="AF4280" s="5">
        <f>IF(SalesData[[#This Row],[Contracts Offered]]=0,0,SalesData[[#This Row],[Contracts Signed]]/SalesData[[#This Row],[Contracts Offered]])</f>
        <v>0.24305555555555555</v>
      </c>
      <c r="AG4280" s="5">
        <f>IF(SalesData[[#This Row],[Customers Visited]]=0,0,SalesData[[#This Row],[Test Drives]]/SalesData[[#This Row],[Customers Visited]])</f>
        <v>0.45945945945945948</v>
      </c>
      <c r="AH4280" s="5">
        <f>IF(SalesData[[#This Row],[Customers Visited]]=0,0,SalesData[[#This Row],[Contracts Signed]]/SalesData[[#This Row],[Customers Visited]])</f>
        <v>7.8828828828828829E-2</v>
      </c>
      <c r="AI4280" s="6">
        <f>IF(SalesData[[#This Row],[Contracts Signed]]=0,0,SalesData[[#This Row],[Profit(€)]]/SalesData[[#This Row],[Contracts Signed]])</f>
        <v>3041</v>
      </c>
      <c r="AJ4280" s="5" t="str">
        <f>TRIM(CLEAN(SalesData[[#This Row],[Retailer]]))</f>
        <v>Saxon Wheels</v>
      </c>
    </row>
    <row r="4281" spans="1:36" ht="14.25" x14ac:dyDescent="0.2">
      <c r="A4281" t="s">
        <v>5533</v>
      </c>
      <c r="B4281" s="1">
        <v>46072</v>
      </c>
      <c r="C4281" t="s">
        <v>62</v>
      </c>
      <c r="D4281" t="s">
        <v>100</v>
      </c>
      <c r="E4281" t="s">
        <v>26</v>
      </c>
      <c r="F4281" t="s">
        <v>74</v>
      </c>
      <c r="G4281" t="s">
        <v>75</v>
      </c>
      <c r="H4281" t="s">
        <v>76</v>
      </c>
      <c r="I4281" t="s">
        <v>30</v>
      </c>
      <c r="J4281" t="s">
        <v>188</v>
      </c>
      <c r="K4281" t="s">
        <v>32</v>
      </c>
      <c r="L4281" t="s">
        <v>33</v>
      </c>
      <c r="M4281" t="s">
        <v>87</v>
      </c>
      <c r="N4281" t="s">
        <v>69</v>
      </c>
      <c r="O4281" t="s">
        <v>70</v>
      </c>
      <c r="P4281" t="s">
        <v>58</v>
      </c>
      <c r="Q4281" t="s">
        <v>50</v>
      </c>
      <c r="R4281">
        <v>186</v>
      </c>
      <c r="S4281">
        <v>86</v>
      </c>
      <c r="T4281">
        <v>65</v>
      </c>
      <c r="U4281">
        <v>26</v>
      </c>
      <c r="V4281" t="s">
        <v>7473</v>
      </c>
      <c r="W4281">
        <v>59647</v>
      </c>
      <c r="X4281" t="s">
        <v>7091</v>
      </c>
      <c r="Y4281">
        <v>43322</v>
      </c>
      <c r="Z4281">
        <v>1550822</v>
      </c>
      <c r="AA4281">
        <v>424450</v>
      </c>
      <c r="AB4281" t="str">
        <f>(VLOOKUP(SalesData[[#This Row],[Month Number]],Reference!C$5:E$16,2,FALSE))</f>
        <v>Feb</v>
      </c>
      <c r="AC4281">
        <f>MONTH(SalesData[[#This Row],[Date]])</f>
        <v>2</v>
      </c>
      <c r="AD4281">
        <f>Reference!F$4</f>
        <v>2026</v>
      </c>
      <c r="AE4281" t="str">
        <f>IF(OR(SalesData[[#This Row],[Day]]="Saturday",SalesData[[#This Row],[Day]]="Sunday"),"Weekend","Weekday")</f>
        <v>Weekday</v>
      </c>
      <c r="AF4281" s="5">
        <f>IF(SalesData[[#This Row],[Contracts Offered]]=0,0,SalesData[[#This Row],[Contracts Signed]]/SalesData[[#This Row],[Contracts Offered]])</f>
        <v>0.4</v>
      </c>
      <c r="AG4281" s="5">
        <f>IF(SalesData[[#This Row],[Customers Visited]]=0,0,SalesData[[#This Row],[Test Drives]]/SalesData[[#This Row],[Customers Visited]])</f>
        <v>0.46236559139784944</v>
      </c>
      <c r="AH4281" s="5">
        <f>IF(SalesData[[#This Row],[Customers Visited]]=0,0,SalesData[[#This Row],[Contracts Signed]]/SalesData[[#This Row],[Customers Visited]])</f>
        <v>0.13978494623655913</v>
      </c>
      <c r="AI4281" s="6">
        <f>IF(SalesData[[#This Row],[Contracts Signed]]=0,0,SalesData[[#This Row],[Profit(€)]]/SalesData[[#This Row],[Contracts Signed]])</f>
        <v>16325</v>
      </c>
      <c r="AJ4281" s="5" t="str">
        <f>TRIM(CLEAN(SalesData[[#This Row],[Retailer]]))</f>
        <v>Stuttgart Auto Center</v>
      </c>
    </row>
    <row r="4282" spans="1:36" ht="14.25" x14ac:dyDescent="0.2">
      <c r="A4282" t="s">
        <v>5534</v>
      </c>
      <c r="B4282" s="1">
        <v>46064</v>
      </c>
      <c r="C4282" t="s">
        <v>121</v>
      </c>
      <c r="D4282" t="s">
        <v>82</v>
      </c>
      <c r="E4282" t="s">
        <v>26</v>
      </c>
      <c r="F4282" t="s">
        <v>94</v>
      </c>
      <c r="G4282" t="s">
        <v>95</v>
      </c>
      <c r="H4282" t="s">
        <v>96</v>
      </c>
      <c r="I4282" t="s">
        <v>30</v>
      </c>
      <c r="J4282" t="s">
        <v>166</v>
      </c>
      <c r="K4282" t="s">
        <v>66</v>
      </c>
      <c r="L4282" t="s">
        <v>46</v>
      </c>
      <c r="M4282" t="s">
        <v>34</v>
      </c>
      <c r="N4282" t="s">
        <v>48</v>
      </c>
      <c r="O4282" t="s">
        <v>70</v>
      </c>
      <c r="P4282" t="s">
        <v>49</v>
      </c>
      <c r="Q4282" t="s">
        <v>169</v>
      </c>
      <c r="R4282">
        <v>151</v>
      </c>
      <c r="S4282">
        <v>82</v>
      </c>
      <c r="T4282">
        <v>56</v>
      </c>
      <c r="U4282">
        <v>24</v>
      </c>
      <c r="V4282" t="s">
        <v>6419</v>
      </c>
      <c r="W4282">
        <v>69803</v>
      </c>
      <c r="X4282" t="s">
        <v>7624</v>
      </c>
      <c r="Y4282">
        <v>53316</v>
      </c>
      <c r="Z4282">
        <v>1675272</v>
      </c>
      <c r="AA4282">
        <v>395688</v>
      </c>
      <c r="AB4282" t="str">
        <f>(VLOOKUP(SalesData[[#This Row],[Month Number]],Reference!C$5:E$16,2,FALSE))</f>
        <v>Feb</v>
      </c>
      <c r="AC4282">
        <f>MONTH(SalesData[[#This Row],[Date]])</f>
        <v>2</v>
      </c>
      <c r="AD4282">
        <f>Reference!F$4</f>
        <v>2026</v>
      </c>
      <c r="AE4282" t="str">
        <f>IF(OR(SalesData[[#This Row],[Day]]="Saturday",SalesData[[#This Row],[Day]]="Sunday"),"Weekend","Weekday")</f>
        <v>Weekday</v>
      </c>
      <c r="AF4282" s="5">
        <f>IF(SalesData[[#This Row],[Contracts Offered]]=0,0,SalesData[[#This Row],[Contracts Signed]]/SalesData[[#This Row],[Contracts Offered]])</f>
        <v>0.42857142857142855</v>
      </c>
      <c r="AG4282" s="5">
        <f>IF(SalesData[[#This Row],[Customers Visited]]=0,0,SalesData[[#This Row],[Test Drives]]/SalesData[[#This Row],[Customers Visited]])</f>
        <v>0.54304635761589404</v>
      </c>
      <c r="AH4282" s="5">
        <f>IF(SalesData[[#This Row],[Customers Visited]]=0,0,SalesData[[#This Row],[Contracts Signed]]/SalesData[[#This Row],[Customers Visited]])</f>
        <v>0.15894039735099338</v>
      </c>
      <c r="AI4282" s="6">
        <f>IF(SalesData[[#This Row],[Contracts Signed]]=0,0,SalesData[[#This Row],[Profit(€)]]/SalesData[[#This Row],[Contracts Signed]])</f>
        <v>16487</v>
      </c>
      <c r="AJ4282" s="5" t="str">
        <f>TRIM(CLEAN(SalesData[[#This Row],[Retailer]]))</f>
        <v>Bavaria Motors</v>
      </c>
    </row>
    <row r="4283" spans="1:36" ht="14.25" hidden="1" x14ac:dyDescent="0.2">
      <c r="A4283" t="s">
        <v>5535</v>
      </c>
      <c r="B4283" s="1">
        <v>46065</v>
      </c>
      <c r="C4283" t="s">
        <v>121</v>
      </c>
      <c r="D4283" t="s">
        <v>100</v>
      </c>
      <c r="E4283" t="s">
        <v>26</v>
      </c>
      <c r="F4283" t="s">
        <v>109</v>
      </c>
      <c r="G4283" t="s">
        <v>110</v>
      </c>
      <c r="H4283" t="s">
        <v>45</v>
      </c>
      <c r="I4283" t="s">
        <v>64</v>
      </c>
      <c r="J4283" t="s">
        <v>77</v>
      </c>
      <c r="K4283" t="s">
        <v>66</v>
      </c>
      <c r="L4283" t="s">
        <v>46</v>
      </c>
      <c r="M4283" t="s">
        <v>87</v>
      </c>
      <c r="N4283" t="s">
        <v>35</v>
      </c>
      <c r="O4283" t="s">
        <v>36</v>
      </c>
      <c r="P4283" t="s">
        <v>49</v>
      </c>
      <c r="Q4283" t="s">
        <v>204</v>
      </c>
      <c r="R4283">
        <v>266</v>
      </c>
      <c r="S4283">
        <v>117</v>
      </c>
      <c r="T4283">
        <v>78</v>
      </c>
      <c r="U4283">
        <v>27</v>
      </c>
      <c r="V4283" t="s">
        <v>6386</v>
      </c>
      <c r="W4283">
        <v>51301</v>
      </c>
      <c r="X4283" t="s">
        <v>7352</v>
      </c>
      <c r="Y4283">
        <v>38654</v>
      </c>
      <c r="Z4283">
        <v>1385127</v>
      </c>
      <c r="AA4283">
        <v>341469</v>
      </c>
      <c r="AB4283" t="str">
        <f>(VLOOKUP(SalesData[[#This Row],[Month Number]],Reference!C$5:E$16,2,FALSE))</f>
        <v>Feb</v>
      </c>
      <c r="AC4283">
        <f>MONTH(SalesData[[#This Row],[Date]])</f>
        <v>2</v>
      </c>
      <c r="AD4283">
        <f>Reference!F$4</f>
        <v>2026</v>
      </c>
      <c r="AE4283" t="str">
        <f>IF(OR(SalesData[[#This Row],[Day]]="Saturday",SalesData[[#This Row],[Day]]="Sunday"),"Weekend","Weekday")</f>
        <v>Weekday</v>
      </c>
      <c r="AF4283" s="5">
        <f>IF(SalesData[[#This Row],[Contracts Offered]]=0,0,SalesData[[#This Row],[Contracts Signed]]/SalesData[[#This Row],[Contracts Offered]])</f>
        <v>0.34615384615384615</v>
      </c>
      <c r="AG4283" s="5">
        <f>IF(SalesData[[#This Row],[Customers Visited]]=0,0,SalesData[[#This Row],[Test Drives]]/SalesData[[#This Row],[Customers Visited]])</f>
        <v>0.43984962406015038</v>
      </c>
      <c r="AH4283" s="5">
        <f>IF(SalesData[[#This Row],[Customers Visited]]=0,0,SalesData[[#This Row],[Contracts Signed]]/SalesData[[#This Row],[Customers Visited]])</f>
        <v>0.10150375939849623</v>
      </c>
      <c r="AI4283" s="6">
        <f>IF(SalesData[[#This Row],[Contracts Signed]]=0,0,SalesData[[#This Row],[Profit(€)]]/SalesData[[#This Row],[Contracts Signed]])</f>
        <v>12647</v>
      </c>
      <c r="AJ4283" s="5" t="str">
        <f>TRIM(CLEAN(SalesData[[#This Row],[Retailer]]))</f>
        <v>Leipzig Mobility</v>
      </c>
    </row>
    <row r="4284" spans="1:36" ht="14.25" hidden="1" x14ac:dyDescent="0.2">
      <c r="A4284" t="s">
        <v>5536</v>
      </c>
      <c r="B4284" s="1">
        <v>46060</v>
      </c>
      <c r="C4284" t="s">
        <v>24</v>
      </c>
      <c r="D4284" t="s">
        <v>151</v>
      </c>
      <c r="E4284" t="s">
        <v>42</v>
      </c>
      <c r="F4284" t="s">
        <v>101</v>
      </c>
      <c r="G4284" t="s">
        <v>102</v>
      </c>
      <c r="H4284" t="s">
        <v>103</v>
      </c>
      <c r="I4284" t="s">
        <v>104</v>
      </c>
      <c r="J4284" t="s">
        <v>7031</v>
      </c>
      <c r="K4284" t="s">
        <v>91</v>
      </c>
      <c r="L4284" t="s">
        <v>46</v>
      </c>
      <c r="M4284" t="s">
        <v>47</v>
      </c>
      <c r="N4284" t="s">
        <v>69</v>
      </c>
      <c r="O4284" t="s">
        <v>70</v>
      </c>
      <c r="P4284" t="s">
        <v>49</v>
      </c>
      <c r="Q4284" t="s">
        <v>50</v>
      </c>
      <c r="R4284">
        <v>508</v>
      </c>
      <c r="S4284">
        <v>270</v>
      </c>
      <c r="T4284">
        <v>184</v>
      </c>
      <c r="U4284">
        <v>30</v>
      </c>
      <c r="V4284" t="s">
        <v>667</v>
      </c>
      <c r="W4284">
        <v>31589</v>
      </c>
      <c r="X4284" t="s">
        <v>7221</v>
      </c>
      <c r="Y4284">
        <v>27471</v>
      </c>
      <c r="Z4284">
        <v>947670</v>
      </c>
      <c r="AA4284">
        <v>123540</v>
      </c>
      <c r="AB4284" t="str">
        <f>(VLOOKUP(SalesData[[#This Row],[Month Number]],Reference!C$5:E$16,2,FALSE))</f>
        <v>Feb</v>
      </c>
      <c r="AC4284">
        <f>MONTH(SalesData[[#This Row],[Date]])</f>
        <v>2</v>
      </c>
      <c r="AD4284">
        <f>Reference!F$4</f>
        <v>2026</v>
      </c>
      <c r="AE4284" t="str">
        <f>IF(OR(SalesData[[#This Row],[Day]]="Saturday",SalesData[[#This Row],[Day]]="Sunday"),"Weekend","Weekday")</f>
        <v>Weekend</v>
      </c>
      <c r="AF4284" s="5">
        <f>IF(SalesData[[#This Row],[Contracts Offered]]=0,0,SalesData[[#This Row],[Contracts Signed]]/SalesData[[#This Row],[Contracts Offered]])</f>
        <v>0.16304347826086957</v>
      </c>
      <c r="AG4284" s="5">
        <f>IF(SalesData[[#This Row],[Customers Visited]]=0,0,SalesData[[#This Row],[Test Drives]]/SalesData[[#This Row],[Customers Visited]])</f>
        <v>0.53149606299212604</v>
      </c>
      <c r="AH4284" s="5">
        <f>IF(SalesData[[#This Row],[Customers Visited]]=0,0,SalesData[[#This Row],[Contracts Signed]]/SalesData[[#This Row],[Customers Visited]])</f>
        <v>5.905511811023622E-2</v>
      </c>
      <c r="AI4284" s="6">
        <f>IF(SalesData[[#This Row],[Contracts Signed]]=0,0,SalesData[[#This Row],[Profit(€)]]/SalesData[[#This Row],[Contracts Signed]])</f>
        <v>4118</v>
      </c>
      <c r="AJ4284" s="5" t="str">
        <f>TRIM(CLEAN(SalesData[[#This Row],[Retailer]]))</f>
        <v>Ruhr Auto Plaza</v>
      </c>
    </row>
    <row r="4285" spans="1:36" ht="14.25" hidden="1" x14ac:dyDescent="0.2">
      <c r="A4285" t="s">
        <v>5537</v>
      </c>
      <c r="B4285" s="1">
        <v>46056</v>
      </c>
      <c r="C4285" t="s">
        <v>24</v>
      </c>
      <c r="D4285" t="s">
        <v>63</v>
      </c>
      <c r="E4285" t="s">
        <v>26</v>
      </c>
      <c r="F4285" t="s">
        <v>74</v>
      </c>
      <c r="G4285" t="s">
        <v>75</v>
      </c>
      <c r="H4285" t="s">
        <v>76</v>
      </c>
      <c r="I4285" t="s">
        <v>56</v>
      </c>
      <c r="J4285" t="s">
        <v>137</v>
      </c>
      <c r="K4285" t="s">
        <v>91</v>
      </c>
      <c r="L4285" t="s">
        <v>46</v>
      </c>
      <c r="M4285" t="s">
        <v>68</v>
      </c>
      <c r="N4285" t="s">
        <v>69</v>
      </c>
      <c r="O4285" t="s">
        <v>36</v>
      </c>
      <c r="P4285" t="s">
        <v>37</v>
      </c>
      <c r="Q4285" t="s">
        <v>122</v>
      </c>
      <c r="R4285">
        <v>291</v>
      </c>
      <c r="S4285">
        <v>153</v>
      </c>
      <c r="T4285">
        <v>115</v>
      </c>
      <c r="U4285">
        <v>36</v>
      </c>
      <c r="V4285" t="s">
        <v>6439</v>
      </c>
      <c r="W4285">
        <v>41612</v>
      </c>
      <c r="X4285" t="s">
        <v>3288</v>
      </c>
      <c r="Y4285">
        <v>32471</v>
      </c>
      <c r="Z4285">
        <v>1498032</v>
      </c>
      <c r="AA4285">
        <v>329076</v>
      </c>
      <c r="AB4285" t="str">
        <f>(VLOOKUP(SalesData[[#This Row],[Month Number]],Reference!C$5:E$16,2,FALSE))</f>
        <v>Feb</v>
      </c>
      <c r="AC4285">
        <f>MONTH(SalesData[[#This Row],[Date]])</f>
        <v>2</v>
      </c>
      <c r="AD4285">
        <f>Reference!F$4</f>
        <v>2026</v>
      </c>
      <c r="AE4285" t="str">
        <f>IF(OR(SalesData[[#This Row],[Day]]="Saturday",SalesData[[#This Row],[Day]]="Sunday"),"Weekend","Weekday")</f>
        <v>Weekday</v>
      </c>
      <c r="AF4285" s="5">
        <f>IF(SalesData[[#This Row],[Contracts Offered]]=0,0,SalesData[[#This Row],[Contracts Signed]]/SalesData[[#This Row],[Contracts Offered]])</f>
        <v>0.31304347826086959</v>
      </c>
      <c r="AG4285" s="5">
        <f>IF(SalesData[[#This Row],[Customers Visited]]=0,0,SalesData[[#This Row],[Test Drives]]/SalesData[[#This Row],[Customers Visited]])</f>
        <v>0.52577319587628868</v>
      </c>
      <c r="AH4285" s="5">
        <f>IF(SalesData[[#This Row],[Customers Visited]]=0,0,SalesData[[#This Row],[Contracts Signed]]/SalesData[[#This Row],[Customers Visited]])</f>
        <v>0.12371134020618557</v>
      </c>
      <c r="AI4285" s="6">
        <f>IF(SalesData[[#This Row],[Contracts Signed]]=0,0,SalesData[[#This Row],[Profit(€)]]/SalesData[[#This Row],[Contracts Signed]])</f>
        <v>9141</v>
      </c>
      <c r="AJ4285" s="5" t="str">
        <f>TRIM(CLEAN(SalesData[[#This Row],[Retailer]]))</f>
        <v>Stuttgart Auto Center</v>
      </c>
    </row>
    <row r="4286" spans="1:36" ht="14.25" x14ac:dyDescent="0.2">
      <c r="A4286" t="s">
        <v>5538</v>
      </c>
      <c r="B4286" s="1">
        <v>46057</v>
      </c>
      <c r="C4286" t="s">
        <v>24</v>
      </c>
      <c r="D4286" t="s">
        <v>82</v>
      </c>
      <c r="E4286" t="s">
        <v>26</v>
      </c>
      <c r="F4286" t="s">
        <v>43</v>
      </c>
      <c r="G4286" t="s">
        <v>44</v>
      </c>
      <c r="H4286" t="s">
        <v>45</v>
      </c>
      <c r="I4286" t="s">
        <v>30</v>
      </c>
      <c r="J4286" t="s">
        <v>31</v>
      </c>
      <c r="K4286" t="s">
        <v>66</v>
      </c>
      <c r="L4286" t="s">
        <v>46</v>
      </c>
      <c r="M4286" t="s">
        <v>68</v>
      </c>
      <c r="N4286" t="s">
        <v>48</v>
      </c>
      <c r="O4286" t="s">
        <v>36</v>
      </c>
      <c r="P4286" t="s">
        <v>71</v>
      </c>
      <c r="Q4286" t="s">
        <v>152</v>
      </c>
      <c r="R4286">
        <v>197</v>
      </c>
      <c r="S4286">
        <v>100</v>
      </c>
      <c r="T4286">
        <v>69</v>
      </c>
      <c r="U4286">
        <v>27</v>
      </c>
      <c r="V4286" t="s">
        <v>6648</v>
      </c>
      <c r="W4286">
        <v>63578</v>
      </c>
      <c r="X4286" t="s">
        <v>7170</v>
      </c>
      <c r="Y4286">
        <v>48524</v>
      </c>
      <c r="Z4286">
        <v>1716606</v>
      </c>
      <c r="AA4286">
        <v>406458</v>
      </c>
      <c r="AB4286" t="str">
        <f>(VLOOKUP(SalesData[[#This Row],[Month Number]],Reference!C$5:E$16,2,FALSE))</f>
        <v>Feb</v>
      </c>
      <c r="AC4286">
        <f>MONTH(SalesData[[#This Row],[Date]])</f>
        <v>2</v>
      </c>
      <c r="AD4286">
        <f>Reference!F$4</f>
        <v>2026</v>
      </c>
      <c r="AE4286" t="str">
        <f>IF(OR(SalesData[[#This Row],[Day]]="Saturday",SalesData[[#This Row],[Day]]="Sunday"),"Weekend","Weekday")</f>
        <v>Weekday</v>
      </c>
      <c r="AF4286" s="5">
        <f>IF(SalesData[[#This Row],[Contracts Offered]]=0,0,SalesData[[#This Row],[Contracts Signed]]/SalesData[[#This Row],[Contracts Offered]])</f>
        <v>0.39130434782608697</v>
      </c>
      <c r="AG4286" s="5">
        <f>IF(SalesData[[#This Row],[Customers Visited]]=0,0,SalesData[[#This Row],[Test Drives]]/SalesData[[#This Row],[Customers Visited]])</f>
        <v>0.50761421319796951</v>
      </c>
      <c r="AH4286" s="5">
        <f>IF(SalesData[[#This Row],[Customers Visited]]=0,0,SalesData[[#This Row],[Contracts Signed]]/SalesData[[#This Row],[Customers Visited]])</f>
        <v>0.13705583756345177</v>
      </c>
      <c r="AI4286" s="6">
        <f>IF(SalesData[[#This Row],[Contracts Signed]]=0,0,SalesData[[#This Row],[Profit(€)]]/SalesData[[#This Row],[Contracts Signed]])</f>
        <v>15054</v>
      </c>
      <c r="AJ4286" s="5" t="str">
        <f>TRIM(CLEAN(SalesData[[#This Row],[Retailer]]))</f>
        <v>Saxon Wheels</v>
      </c>
    </row>
    <row r="4287" spans="1:36" ht="14.25" hidden="1" x14ac:dyDescent="0.2">
      <c r="A4287" t="s">
        <v>5539</v>
      </c>
      <c r="B4287" s="1">
        <v>46068</v>
      </c>
      <c r="C4287" t="s">
        <v>62</v>
      </c>
      <c r="D4287" t="s">
        <v>41</v>
      </c>
      <c r="E4287" t="s">
        <v>42</v>
      </c>
      <c r="F4287" t="s">
        <v>101</v>
      </c>
      <c r="G4287" t="s">
        <v>102</v>
      </c>
      <c r="H4287" t="s">
        <v>103</v>
      </c>
      <c r="I4287" t="s">
        <v>116</v>
      </c>
      <c r="J4287" t="s">
        <v>7090</v>
      </c>
      <c r="K4287" t="s">
        <v>91</v>
      </c>
      <c r="L4287" t="s">
        <v>46</v>
      </c>
      <c r="M4287" t="s">
        <v>47</v>
      </c>
      <c r="N4287" t="s">
        <v>35</v>
      </c>
      <c r="O4287" t="s">
        <v>70</v>
      </c>
      <c r="P4287" t="s">
        <v>37</v>
      </c>
      <c r="Q4287" t="s">
        <v>172</v>
      </c>
      <c r="R4287">
        <v>403</v>
      </c>
      <c r="S4287">
        <v>169</v>
      </c>
      <c r="T4287">
        <v>100</v>
      </c>
      <c r="U4287">
        <v>17</v>
      </c>
      <c r="V4287" t="s">
        <v>842</v>
      </c>
      <c r="W4287">
        <v>25270</v>
      </c>
      <c r="X4287" t="s">
        <v>1646</v>
      </c>
      <c r="Y4287">
        <v>22615</v>
      </c>
      <c r="Z4287">
        <v>429590</v>
      </c>
      <c r="AA4287">
        <v>45135</v>
      </c>
      <c r="AB4287" t="str">
        <f>(VLOOKUP(SalesData[[#This Row],[Month Number]],Reference!C$5:E$16,2,FALSE))</f>
        <v>Feb</v>
      </c>
      <c r="AC4287">
        <f>MONTH(SalesData[[#This Row],[Date]])</f>
        <v>2</v>
      </c>
      <c r="AD4287">
        <f>Reference!F$4</f>
        <v>2026</v>
      </c>
      <c r="AE4287" t="str">
        <f>IF(OR(SalesData[[#This Row],[Day]]="Saturday",SalesData[[#This Row],[Day]]="Sunday"),"Weekend","Weekday")</f>
        <v>Weekend</v>
      </c>
      <c r="AF4287" s="5">
        <f>IF(SalesData[[#This Row],[Contracts Offered]]=0,0,SalesData[[#This Row],[Contracts Signed]]/SalesData[[#This Row],[Contracts Offered]])</f>
        <v>0.17</v>
      </c>
      <c r="AG4287" s="5">
        <f>IF(SalesData[[#This Row],[Customers Visited]]=0,0,SalesData[[#This Row],[Test Drives]]/SalesData[[#This Row],[Customers Visited]])</f>
        <v>0.41935483870967744</v>
      </c>
      <c r="AH4287" s="5">
        <f>IF(SalesData[[#This Row],[Customers Visited]]=0,0,SalesData[[#This Row],[Contracts Signed]]/SalesData[[#This Row],[Customers Visited]])</f>
        <v>4.2183622828784122E-2</v>
      </c>
      <c r="AI4287" s="6">
        <f>IF(SalesData[[#This Row],[Contracts Signed]]=0,0,SalesData[[#This Row],[Profit(€)]]/SalesData[[#This Row],[Contracts Signed]])</f>
        <v>2655</v>
      </c>
      <c r="AJ4287" s="5" t="str">
        <f>TRIM(CLEAN(SalesData[[#This Row],[Retailer]]))</f>
        <v>Ruhr Auto Plaza</v>
      </c>
    </row>
    <row r="4288" spans="1:36" ht="14.25" hidden="1" x14ac:dyDescent="0.2">
      <c r="A4288" t="s">
        <v>5540</v>
      </c>
      <c r="B4288" s="1">
        <v>46077</v>
      </c>
      <c r="C4288" t="s">
        <v>53</v>
      </c>
      <c r="D4288" t="s">
        <v>63</v>
      </c>
      <c r="E4288" t="s">
        <v>26</v>
      </c>
      <c r="F4288" t="s">
        <v>114</v>
      </c>
      <c r="G4288" t="s">
        <v>115</v>
      </c>
      <c r="H4288" t="s">
        <v>115</v>
      </c>
      <c r="I4288" t="s">
        <v>104</v>
      </c>
      <c r="J4288" t="s">
        <v>105</v>
      </c>
      <c r="K4288" t="s">
        <v>32</v>
      </c>
      <c r="L4288" t="s">
        <v>33</v>
      </c>
      <c r="M4288" t="s">
        <v>47</v>
      </c>
      <c r="N4288" t="s">
        <v>69</v>
      </c>
      <c r="O4288" t="s">
        <v>36</v>
      </c>
      <c r="P4288" t="s">
        <v>58</v>
      </c>
      <c r="Q4288" t="s">
        <v>38</v>
      </c>
      <c r="R4288">
        <v>369</v>
      </c>
      <c r="S4288">
        <v>213</v>
      </c>
      <c r="T4288">
        <v>136</v>
      </c>
      <c r="U4288">
        <v>42</v>
      </c>
      <c r="V4288" t="s">
        <v>756</v>
      </c>
      <c r="W4288">
        <v>32895</v>
      </c>
      <c r="X4288" t="s">
        <v>7383</v>
      </c>
      <c r="Y4288">
        <v>28485</v>
      </c>
      <c r="Z4288">
        <v>1381590</v>
      </c>
      <c r="AA4288">
        <v>185220</v>
      </c>
      <c r="AB4288" t="str">
        <f>(VLOOKUP(SalesData[[#This Row],[Month Number]],Reference!C$5:E$16,2,FALSE))</f>
        <v>Feb</v>
      </c>
      <c r="AC4288">
        <f>MONTH(SalesData[[#This Row],[Date]])</f>
        <v>2</v>
      </c>
      <c r="AD4288">
        <f>Reference!F$4</f>
        <v>2026</v>
      </c>
      <c r="AE4288" t="str">
        <f>IF(OR(SalesData[[#This Row],[Day]]="Saturday",SalesData[[#This Row],[Day]]="Sunday"),"Weekend","Weekday")</f>
        <v>Weekday</v>
      </c>
      <c r="AF4288" s="5">
        <f>IF(SalesData[[#This Row],[Contracts Offered]]=0,0,SalesData[[#This Row],[Contracts Signed]]/SalesData[[#This Row],[Contracts Offered]])</f>
        <v>0.30882352941176472</v>
      </c>
      <c r="AG4288" s="5">
        <f>IF(SalesData[[#This Row],[Customers Visited]]=0,0,SalesData[[#This Row],[Test Drives]]/SalesData[[#This Row],[Customers Visited]])</f>
        <v>0.57723577235772361</v>
      </c>
      <c r="AH4288" s="5">
        <f>IF(SalesData[[#This Row],[Customers Visited]]=0,0,SalesData[[#This Row],[Contracts Signed]]/SalesData[[#This Row],[Customers Visited]])</f>
        <v>0.11382113821138211</v>
      </c>
      <c r="AI4288" s="6">
        <f>IF(SalesData[[#This Row],[Contracts Signed]]=0,0,SalesData[[#This Row],[Profit(€)]]/SalesData[[#This Row],[Contracts Signed]])</f>
        <v>4410</v>
      </c>
      <c r="AJ4288" s="5" t="str">
        <f>TRIM(CLEAN(SalesData[[#This Row],[Retailer]]))</f>
        <v>Elbe Drive</v>
      </c>
    </row>
    <row r="4289" spans="1:36" ht="14.25" hidden="1" x14ac:dyDescent="0.2">
      <c r="A4289" t="s">
        <v>5541</v>
      </c>
      <c r="B4289" s="1">
        <v>46072</v>
      </c>
      <c r="C4289" t="s">
        <v>62</v>
      </c>
      <c r="D4289" t="s">
        <v>100</v>
      </c>
      <c r="E4289" t="s">
        <v>26</v>
      </c>
      <c r="F4289" t="s">
        <v>7649</v>
      </c>
      <c r="G4289" t="s">
        <v>55</v>
      </c>
      <c r="H4289" t="s">
        <v>55</v>
      </c>
      <c r="I4289" t="s">
        <v>64</v>
      </c>
      <c r="J4289" t="s">
        <v>77</v>
      </c>
      <c r="K4289" t="s">
        <v>66</v>
      </c>
      <c r="L4289" t="s">
        <v>46</v>
      </c>
      <c r="M4289" t="s">
        <v>34</v>
      </c>
      <c r="N4289" t="s">
        <v>35</v>
      </c>
      <c r="O4289" t="s">
        <v>70</v>
      </c>
      <c r="P4289" t="s">
        <v>37</v>
      </c>
      <c r="Q4289" t="s">
        <v>106</v>
      </c>
      <c r="R4289">
        <v>267</v>
      </c>
      <c r="S4289">
        <v>152</v>
      </c>
      <c r="T4289">
        <v>114</v>
      </c>
      <c r="U4289">
        <v>35</v>
      </c>
      <c r="V4289" t="s">
        <v>6689</v>
      </c>
      <c r="W4289">
        <v>56175</v>
      </c>
      <c r="X4289" t="s">
        <v>7063</v>
      </c>
      <c r="Y4289">
        <v>39983</v>
      </c>
      <c r="Z4289">
        <v>1966125</v>
      </c>
      <c r="AA4289">
        <v>566720</v>
      </c>
      <c r="AB4289" t="str">
        <f>(VLOOKUP(SalesData[[#This Row],[Month Number]],Reference!C$5:E$16,2,FALSE))</f>
        <v>Feb</v>
      </c>
      <c r="AC4289">
        <f>MONTH(SalesData[[#This Row],[Date]])</f>
        <v>2</v>
      </c>
      <c r="AD4289">
        <f>Reference!F$4</f>
        <v>2026</v>
      </c>
      <c r="AE4289" t="str">
        <f>IF(OR(SalesData[[#This Row],[Day]]="Saturday",SalesData[[#This Row],[Day]]="Sunday"),"Weekend","Weekday")</f>
        <v>Weekday</v>
      </c>
      <c r="AF4289" s="5">
        <f>IF(SalesData[[#This Row],[Contracts Offered]]=0,0,SalesData[[#This Row],[Contracts Signed]]/SalesData[[#This Row],[Contracts Offered]])</f>
        <v>0.30701754385964913</v>
      </c>
      <c r="AG4289" s="5">
        <f>IF(SalesData[[#This Row],[Customers Visited]]=0,0,SalesData[[#This Row],[Test Drives]]/SalesData[[#This Row],[Customers Visited]])</f>
        <v>0.56928838951310856</v>
      </c>
      <c r="AH4289" s="5">
        <f>IF(SalesData[[#This Row],[Customers Visited]]=0,0,SalesData[[#This Row],[Contracts Signed]]/SalesData[[#This Row],[Customers Visited]])</f>
        <v>0.13108614232209737</v>
      </c>
      <c r="AI4289" s="6">
        <f>IF(SalesData[[#This Row],[Contracts Signed]]=0,0,SalesData[[#This Row],[Profit(€)]]/SalesData[[#This Row],[Contracts Signed]])</f>
        <v>16192</v>
      </c>
      <c r="AJ4289" s="5" t="str">
        <f>TRIM(CLEAN(SalesData[[#This Row],[Retailer]]))</f>
        <v>Autohaus Berlin</v>
      </c>
    </row>
    <row r="4290" spans="1:36" ht="14.25" hidden="1" x14ac:dyDescent="0.2">
      <c r="A4290" t="s">
        <v>5542</v>
      </c>
      <c r="B4290" s="1">
        <v>46077</v>
      </c>
      <c r="C4290" t="s">
        <v>53</v>
      </c>
      <c r="D4290" t="s">
        <v>63</v>
      </c>
      <c r="E4290" t="s">
        <v>26</v>
      </c>
      <c r="F4290" t="s">
        <v>101</v>
      </c>
      <c r="G4290" t="s">
        <v>102</v>
      </c>
      <c r="H4290" t="s">
        <v>103</v>
      </c>
      <c r="I4290" t="s">
        <v>104</v>
      </c>
      <c r="J4290" t="s">
        <v>105</v>
      </c>
      <c r="K4290" t="s">
        <v>32</v>
      </c>
      <c r="L4290" t="s">
        <v>33</v>
      </c>
      <c r="M4290" t="s">
        <v>68</v>
      </c>
      <c r="N4290" t="s">
        <v>35</v>
      </c>
      <c r="O4290" t="s">
        <v>70</v>
      </c>
      <c r="P4290" t="s">
        <v>49</v>
      </c>
      <c r="Q4290" t="s">
        <v>158</v>
      </c>
      <c r="R4290">
        <v>327</v>
      </c>
      <c r="S4290">
        <v>156</v>
      </c>
      <c r="T4290">
        <v>91</v>
      </c>
      <c r="U4290">
        <v>19</v>
      </c>
      <c r="V4290" t="s">
        <v>4384</v>
      </c>
      <c r="W4290">
        <v>29121</v>
      </c>
      <c r="X4290" t="s">
        <v>2447</v>
      </c>
      <c r="Y4290">
        <v>25442</v>
      </c>
      <c r="Z4290">
        <v>553299</v>
      </c>
      <c r="AA4290">
        <v>69901</v>
      </c>
      <c r="AB4290" t="str">
        <f>(VLOOKUP(SalesData[[#This Row],[Month Number]],Reference!C$5:E$16,2,FALSE))</f>
        <v>Feb</v>
      </c>
      <c r="AC4290">
        <f>MONTH(SalesData[[#This Row],[Date]])</f>
        <v>2</v>
      </c>
      <c r="AD4290">
        <f>Reference!F$4</f>
        <v>2026</v>
      </c>
      <c r="AE4290" t="str">
        <f>IF(OR(SalesData[[#This Row],[Day]]="Saturday",SalesData[[#This Row],[Day]]="Sunday"),"Weekend","Weekday")</f>
        <v>Weekday</v>
      </c>
      <c r="AF4290" s="5">
        <f>IF(SalesData[[#This Row],[Contracts Offered]]=0,0,SalesData[[#This Row],[Contracts Signed]]/SalesData[[#This Row],[Contracts Offered]])</f>
        <v>0.2087912087912088</v>
      </c>
      <c r="AG4290" s="5">
        <f>IF(SalesData[[#This Row],[Customers Visited]]=0,0,SalesData[[#This Row],[Test Drives]]/SalesData[[#This Row],[Customers Visited]])</f>
        <v>0.47706422018348627</v>
      </c>
      <c r="AH4290" s="5">
        <f>IF(SalesData[[#This Row],[Customers Visited]]=0,0,SalesData[[#This Row],[Contracts Signed]]/SalesData[[#This Row],[Customers Visited]])</f>
        <v>5.8103975535168197E-2</v>
      </c>
      <c r="AI4290" s="6">
        <f>IF(SalesData[[#This Row],[Contracts Signed]]=0,0,SalesData[[#This Row],[Profit(€)]]/SalesData[[#This Row],[Contracts Signed]])</f>
        <v>3679</v>
      </c>
      <c r="AJ4290" s="5" t="str">
        <f>TRIM(CLEAN(SalesData[[#This Row],[Retailer]]))</f>
        <v>Ruhr Auto Plaza</v>
      </c>
    </row>
    <row r="4291" spans="1:36" ht="14.25" x14ac:dyDescent="0.2">
      <c r="A4291" t="s">
        <v>5543</v>
      </c>
      <c r="B4291" s="1">
        <v>46074</v>
      </c>
      <c r="C4291" t="s">
        <v>62</v>
      </c>
      <c r="D4291" t="s">
        <v>151</v>
      </c>
      <c r="E4291" t="s">
        <v>42</v>
      </c>
      <c r="F4291" t="s">
        <v>114</v>
      </c>
      <c r="G4291" t="s">
        <v>115</v>
      </c>
      <c r="H4291" t="s">
        <v>115</v>
      </c>
      <c r="I4291" t="s">
        <v>30</v>
      </c>
      <c r="J4291" t="s">
        <v>7075</v>
      </c>
      <c r="K4291" t="s">
        <v>32</v>
      </c>
      <c r="L4291" t="s">
        <v>33</v>
      </c>
      <c r="M4291" t="s">
        <v>87</v>
      </c>
      <c r="N4291" t="s">
        <v>48</v>
      </c>
      <c r="O4291" t="s">
        <v>70</v>
      </c>
      <c r="P4291" t="s">
        <v>58</v>
      </c>
      <c r="Q4291" t="s">
        <v>347</v>
      </c>
      <c r="R4291">
        <v>208</v>
      </c>
      <c r="S4291">
        <v>109</v>
      </c>
      <c r="T4291">
        <v>86</v>
      </c>
      <c r="U4291">
        <v>33</v>
      </c>
      <c r="V4291" t="s">
        <v>7629</v>
      </c>
      <c r="W4291">
        <v>54702</v>
      </c>
      <c r="X4291" t="s">
        <v>7148</v>
      </c>
      <c r="Y4291">
        <v>40116</v>
      </c>
      <c r="Z4291">
        <v>1805166</v>
      </c>
      <c r="AA4291">
        <v>481338</v>
      </c>
      <c r="AB4291" t="str">
        <f>(VLOOKUP(SalesData[[#This Row],[Month Number]],Reference!C$5:E$16,2,FALSE))</f>
        <v>Feb</v>
      </c>
      <c r="AC4291">
        <f>MONTH(SalesData[[#This Row],[Date]])</f>
        <v>2</v>
      </c>
      <c r="AD4291">
        <f>Reference!F$4</f>
        <v>2026</v>
      </c>
      <c r="AE4291" t="str">
        <f>IF(OR(SalesData[[#This Row],[Day]]="Saturday",SalesData[[#This Row],[Day]]="Sunday"),"Weekend","Weekday")</f>
        <v>Weekend</v>
      </c>
      <c r="AF4291" s="5">
        <f>IF(SalesData[[#This Row],[Contracts Offered]]=0,0,SalesData[[#This Row],[Contracts Signed]]/SalesData[[#This Row],[Contracts Offered]])</f>
        <v>0.38372093023255816</v>
      </c>
      <c r="AG4291" s="5">
        <f>IF(SalesData[[#This Row],[Customers Visited]]=0,0,SalesData[[#This Row],[Test Drives]]/SalesData[[#This Row],[Customers Visited]])</f>
        <v>0.52403846153846156</v>
      </c>
      <c r="AH4291" s="5">
        <f>IF(SalesData[[#This Row],[Customers Visited]]=0,0,SalesData[[#This Row],[Contracts Signed]]/SalesData[[#This Row],[Customers Visited]])</f>
        <v>0.15865384615384615</v>
      </c>
      <c r="AI4291" s="6">
        <f>IF(SalesData[[#This Row],[Contracts Signed]]=0,0,SalesData[[#This Row],[Profit(€)]]/SalesData[[#This Row],[Contracts Signed]])</f>
        <v>14586</v>
      </c>
      <c r="AJ4291" s="5" t="str">
        <f>TRIM(CLEAN(SalesData[[#This Row],[Retailer]]))</f>
        <v>Elbe Drive</v>
      </c>
    </row>
    <row r="4292" spans="1:36" ht="14.25" hidden="1" x14ac:dyDescent="0.2">
      <c r="A4292" t="s">
        <v>5544</v>
      </c>
      <c r="B4292" s="1">
        <v>46054</v>
      </c>
      <c r="C4292" t="s">
        <v>24</v>
      </c>
      <c r="D4292" t="s">
        <v>41</v>
      </c>
      <c r="E4292" t="s">
        <v>42</v>
      </c>
      <c r="F4292" t="s">
        <v>27</v>
      </c>
      <c r="G4292" t="s">
        <v>28</v>
      </c>
      <c r="H4292" t="s">
        <v>29</v>
      </c>
      <c r="I4292" t="s">
        <v>116</v>
      </c>
      <c r="J4292" t="s">
        <v>132</v>
      </c>
      <c r="K4292" t="s">
        <v>78</v>
      </c>
      <c r="L4292" t="s">
        <v>46</v>
      </c>
      <c r="M4292" t="s">
        <v>47</v>
      </c>
      <c r="N4292" t="s">
        <v>69</v>
      </c>
      <c r="O4292" t="s">
        <v>36</v>
      </c>
      <c r="P4292" t="s">
        <v>71</v>
      </c>
      <c r="Q4292" t="s">
        <v>50</v>
      </c>
      <c r="R4292">
        <v>263</v>
      </c>
      <c r="S4292">
        <v>146</v>
      </c>
      <c r="T4292">
        <v>87</v>
      </c>
      <c r="U4292">
        <v>22</v>
      </c>
      <c r="V4292" t="s">
        <v>1004</v>
      </c>
      <c r="W4292">
        <v>24185</v>
      </c>
      <c r="X4292" t="s">
        <v>2713</v>
      </c>
      <c r="Y4292">
        <v>22469</v>
      </c>
      <c r="Z4292">
        <v>532070</v>
      </c>
      <c r="AA4292">
        <v>37752</v>
      </c>
      <c r="AB4292" t="str">
        <f>(VLOOKUP(SalesData[[#This Row],[Month Number]],Reference!C$5:E$16,2,FALSE))</f>
        <v>Feb</v>
      </c>
      <c r="AC4292">
        <f>MONTH(SalesData[[#This Row],[Date]])</f>
        <v>2</v>
      </c>
      <c r="AD4292">
        <f>Reference!F$4</f>
        <v>2026</v>
      </c>
      <c r="AE4292" t="str">
        <f>IF(OR(SalesData[[#This Row],[Day]]="Saturday",SalesData[[#This Row],[Day]]="Sunday"),"Weekend","Weekday")</f>
        <v>Weekend</v>
      </c>
      <c r="AF4292" s="5">
        <f>IF(SalesData[[#This Row],[Contracts Offered]]=0,0,SalesData[[#This Row],[Contracts Signed]]/SalesData[[#This Row],[Contracts Offered]])</f>
        <v>0.25287356321839083</v>
      </c>
      <c r="AG4292" s="5">
        <f>IF(SalesData[[#This Row],[Customers Visited]]=0,0,SalesData[[#This Row],[Test Drives]]/SalesData[[#This Row],[Customers Visited]])</f>
        <v>0.55513307984790872</v>
      </c>
      <c r="AH4292" s="5">
        <f>IF(SalesData[[#This Row],[Customers Visited]]=0,0,SalesData[[#This Row],[Contracts Signed]]/SalesData[[#This Row],[Customers Visited]])</f>
        <v>8.3650190114068435E-2</v>
      </c>
      <c r="AI4292" s="6">
        <f>IF(SalesData[[#This Row],[Contracts Signed]]=0,0,SalesData[[#This Row],[Profit(€)]]/SalesData[[#This Row],[Contracts Signed]])</f>
        <v>1716</v>
      </c>
      <c r="AJ4292" s="5" t="str">
        <f>TRIM(CLEAN(SalesData[[#This Row],[Retailer]]))</f>
        <v>Main Auto Hub</v>
      </c>
    </row>
    <row r="4293" spans="1:36" ht="14.25" hidden="1" x14ac:dyDescent="0.2">
      <c r="A4293" t="s">
        <v>5546</v>
      </c>
      <c r="B4293" s="1">
        <v>46064</v>
      </c>
      <c r="C4293" t="s">
        <v>121</v>
      </c>
      <c r="D4293" t="s">
        <v>82</v>
      </c>
      <c r="E4293" t="s">
        <v>26</v>
      </c>
      <c r="F4293" t="s">
        <v>83</v>
      </c>
      <c r="G4293" t="s">
        <v>84</v>
      </c>
      <c r="H4293" t="s">
        <v>85</v>
      </c>
      <c r="I4293" t="s">
        <v>104</v>
      </c>
      <c r="J4293" t="s">
        <v>7031</v>
      </c>
      <c r="K4293" t="s">
        <v>32</v>
      </c>
      <c r="L4293" t="s">
        <v>46</v>
      </c>
      <c r="M4293" t="s">
        <v>87</v>
      </c>
      <c r="N4293" t="s">
        <v>48</v>
      </c>
      <c r="O4293" t="s">
        <v>36</v>
      </c>
      <c r="P4293" t="s">
        <v>49</v>
      </c>
      <c r="Q4293" t="s">
        <v>38</v>
      </c>
      <c r="R4293">
        <v>461</v>
      </c>
      <c r="S4293">
        <v>212</v>
      </c>
      <c r="T4293">
        <v>147</v>
      </c>
      <c r="U4293">
        <v>35</v>
      </c>
      <c r="V4293" t="s">
        <v>147</v>
      </c>
      <c r="W4293">
        <v>32427</v>
      </c>
      <c r="X4293" t="s">
        <v>1780</v>
      </c>
      <c r="Y4293">
        <v>28075</v>
      </c>
      <c r="Z4293">
        <v>1134945</v>
      </c>
      <c r="AA4293">
        <v>152320</v>
      </c>
      <c r="AB4293" t="str">
        <f>(VLOOKUP(SalesData[[#This Row],[Month Number]],Reference!C$5:E$16,2,FALSE))</f>
        <v>Feb</v>
      </c>
      <c r="AC4293">
        <f>MONTH(SalesData[[#This Row],[Date]])</f>
        <v>2</v>
      </c>
      <c r="AD4293">
        <f>Reference!F$4</f>
        <v>2026</v>
      </c>
      <c r="AE4293" t="str">
        <f>IF(OR(SalesData[[#This Row],[Day]]="Saturday",SalesData[[#This Row],[Day]]="Sunday"),"Weekend","Weekday")</f>
        <v>Weekday</v>
      </c>
      <c r="AF4293" s="5">
        <f>IF(SalesData[[#This Row],[Contracts Offered]]=0,0,SalesData[[#This Row],[Contracts Signed]]/SalesData[[#This Row],[Contracts Offered]])</f>
        <v>0.23809523809523808</v>
      </c>
      <c r="AG4293" s="5">
        <f>IF(SalesData[[#This Row],[Customers Visited]]=0,0,SalesData[[#This Row],[Test Drives]]/SalesData[[#This Row],[Customers Visited]])</f>
        <v>0.4598698481561822</v>
      </c>
      <c r="AH4293" s="5">
        <f>IF(SalesData[[#This Row],[Customers Visited]]=0,0,SalesData[[#This Row],[Contracts Signed]]/SalesData[[#This Row],[Customers Visited]])</f>
        <v>7.5921908893709325E-2</v>
      </c>
      <c r="AI4293" s="6">
        <f>IF(SalesData[[#This Row],[Contracts Signed]]=0,0,SalesData[[#This Row],[Profit(€)]]/SalesData[[#This Row],[Contracts Signed]])</f>
        <v>4352</v>
      </c>
      <c r="AJ4293" s="5" t="str">
        <f>TRIM(CLEAN(SalesData[[#This Row],[Retailer]]))</f>
        <v>Hannover Cars</v>
      </c>
    </row>
    <row r="4294" spans="1:36" ht="14.25" x14ac:dyDescent="0.2">
      <c r="A4294" t="s">
        <v>5547</v>
      </c>
      <c r="B4294" s="1">
        <v>46074</v>
      </c>
      <c r="C4294" t="s">
        <v>62</v>
      </c>
      <c r="D4294" t="s">
        <v>151</v>
      </c>
      <c r="E4294" t="s">
        <v>42</v>
      </c>
      <c r="F4294" t="s">
        <v>109</v>
      </c>
      <c r="G4294" t="s">
        <v>110</v>
      </c>
      <c r="H4294" t="s">
        <v>45</v>
      </c>
      <c r="I4294" t="s">
        <v>30</v>
      </c>
      <c r="J4294" t="s">
        <v>188</v>
      </c>
      <c r="K4294" t="s">
        <v>32</v>
      </c>
      <c r="L4294" t="s">
        <v>33</v>
      </c>
      <c r="M4294" t="s">
        <v>34</v>
      </c>
      <c r="N4294" t="s">
        <v>48</v>
      </c>
      <c r="O4294" t="s">
        <v>70</v>
      </c>
      <c r="P4294" t="s">
        <v>37</v>
      </c>
      <c r="Q4294" t="s">
        <v>129</v>
      </c>
      <c r="R4294">
        <v>142</v>
      </c>
      <c r="S4294">
        <v>83</v>
      </c>
      <c r="T4294">
        <v>60</v>
      </c>
      <c r="U4294">
        <v>21</v>
      </c>
      <c r="V4294" t="s">
        <v>6706</v>
      </c>
      <c r="W4294">
        <v>67189</v>
      </c>
      <c r="X4294" t="s">
        <v>7205</v>
      </c>
      <c r="Y4294">
        <v>47419</v>
      </c>
      <c r="Z4294">
        <v>1410969</v>
      </c>
      <c r="AA4294">
        <v>415170</v>
      </c>
      <c r="AB4294" t="str">
        <f>(VLOOKUP(SalesData[[#This Row],[Month Number]],Reference!C$5:E$16,2,FALSE))</f>
        <v>Feb</v>
      </c>
      <c r="AC4294">
        <f>MONTH(SalesData[[#This Row],[Date]])</f>
        <v>2</v>
      </c>
      <c r="AD4294">
        <f>Reference!F$4</f>
        <v>2026</v>
      </c>
      <c r="AE4294" t="str">
        <f>IF(OR(SalesData[[#This Row],[Day]]="Saturday",SalesData[[#This Row],[Day]]="Sunday"),"Weekend","Weekday")</f>
        <v>Weekend</v>
      </c>
      <c r="AF4294" s="5">
        <f>IF(SalesData[[#This Row],[Contracts Offered]]=0,0,SalesData[[#This Row],[Contracts Signed]]/SalesData[[#This Row],[Contracts Offered]])</f>
        <v>0.35</v>
      </c>
      <c r="AG4294" s="5">
        <f>IF(SalesData[[#This Row],[Customers Visited]]=0,0,SalesData[[#This Row],[Test Drives]]/SalesData[[#This Row],[Customers Visited]])</f>
        <v>0.58450704225352113</v>
      </c>
      <c r="AH4294" s="5">
        <f>IF(SalesData[[#This Row],[Customers Visited]]=0,0,SalesData[[#This Row],[Contracts Signed]]/SalesData[[#This Row],[Customers Visited]])</f>
        <v>0.14788732394366197</v>
      </c>
      <c r="AI4294" s="6">
        <f>IF(SalesData[[#This Row],[Contracts Signed]]=0,0,SalesData[[#This Row],[Profit(€)]]/SalesData[[#This Row],[Contracts Signed]])</f>
        <v>19770</v>
      </c>
      <c r="AJ4294" s="5" t="str">
        <f>TRIM(CLEAN(SalesData[[#This Row],[Retailer]]))</f>
        <v>Leipzig Mobility</v>
      </c>
    </row>
    <row r="4295" spans="1:36" ht="14.25" hidden="1" x14ac:dyDescent="0.2">
      <c r="A4295" t="s">
        <v>5548</v>
      </c>
      <c r="B4295" s="1">
        <v>46068</v>
      </c>
      <c r="C4295" t="s">
        <v>62</v>
      </c>
      <c r="D4295" t="s">
        <v>41</v>
      </c>
      <c r="E4295" t="s">
        <v>42</v>
      </c>
      <c r="F4295" t="s">
        <v>109</v>
      </c>
      <c r="G4295" t="s">
        <v>110</v>
      </c>
      <c r="H4295" t="s">
        <v>45</v>
      </c>
      <c r="I4295" t="s">
        <v>56</v>
      </c>
      <c r="J4295" t="s">
        <v>57</v>
      </c>
      <c r="K4295" t="s">
        <v>32</v>
      </c>
      <c r="L4295" t="s">
        <v>46</v>
      </c>
      <c r="M4295" t="s">
        <v>34</v>
      </c>
      <c r="N4295" t="s">
        <v>48</v>
      </c>
      <c r="O4295" t="s">
        <v>70</v>
      </c>
      <c r="P4295" t="s">
        <v>37</v>
      </c>
      <c r="Q4295" t="s">
        <v>189</v>
      </c>
      <c r="R4295">
        <v>253</v>
      </c>
      <c r="S4295">
        <v>139</v>
      </c>
      <c r="T4295">
        <v>94</v>
      </c>
      <c r="U4295">
        <v>24</v>
      </c>
      <c r="V4295" t="s">
        <v>531</v>
      </c>
      <c r="W4295">
        <v>45335</v>
      </c>
      <c r="X4295" t="s">
        <v>1403</v>
      </c>
      <c r="Y4295">
        <v>36908</v>
      </c>
      <c r="Z4295">
        <v>1088040</v>
      </c>
      <c r="AA4295">
        <v>202248</v>
      </c>
      <c r="AB4295" t="str">
        <f>(VLOOKUP(SalesData[[#This Row],[Month Number]],Reference!C$5:E$16,2,FALSE))</f>
        <v>Feb</v>
      </c>
      <c r="AC4295">
        <f>MONTH(SalesData[[#This Row],[Date]])</f>
        <v>2</v>
      </c>
      <c r="AD4295">
        <f>Reference!F$4</f>
        <v>2026</v>
      </c>
      <c r="AE4295" t="str">
        <f>IF(OR(SalesData[[#This Row],[Day]]="Saturday",SalesData[[#This Row],[Day]]="Sunday"),"Weekend","Weekday")</f>
        <v>Weekend</v>
      </c>
      <c r="AF4295" s="5">
        <f>IF(SalesData[[#This Row],[Contracts Offered]]=0,0,SalesData[[#This Row],[Contracts Signed]]/SalesData[[#This Row],[Contracts Offered]])</f>
        <v>0.25531914893617019</v>
      </c>
      <c r="AG4295" s="5">
        <f>IF(SalesData[[#This Row],[Customers Visited]]=0,0,SalesData[[#This Row],[Test Drives]]/SalesData[[#This Row],[Customers Visited]])</f>
        <v>0.54940711462450598</v>
      </c>
      <c r="AH4295" s="5">
        <f>IF(SalesData[[#This Row],[Customers Visited]]=0,0,SalesData[[#This Row],[Contracts Signed]]/SalesData[[#This Row],[Customers Visited]])</f>
        <v>9.4861660079051377E-2</v>
      </c>
      <c r="AI4295" s="6">
        <f>IF(SalesData[[#This Row],[Contracts Signed]]=0,0,SalesData[[#This Row],[Profit(€)]]/SalesData[[#This Row],[Contracts Signed]])</f>
        <v>8427</v>
      </c>
      <c r="AJ4295" s="5" t="str">
        <f>TRIM(CLEAN(SalesData[[#This Row],[Retailer]]))</f>
        <v>Leipzig Mobility</v>
      </c>
    </row>
    <row r="4296" spans="1:36" ht="14.25" hidden="1" x14ac:dyDescent="0.2">
      <c r="A4296" t="s">
        <v>5549</v>
      </c>
      <c r="B4296" s="1">
        <v>46061</v>
      </c>
      <c r="C4296" t="s">
        <v>121</v>
      </c>
      <c r="D4296" t="s">
        <v>41</v>
      </c>
      <c r="E4296" t="s">
        <v>42</v>
      </c>
      <c r="F4296" t="s">
        <v>74</v>
      </c>
      <c r="G4296" t="s">
        <v>75</v>
      </c>
      <c r="H4296" t="s">
        <v>76</v>
      </c>
      <c r="I4296" t="s">
        <v>56</v>
      </c>
      <c r="J4296" t="s">
        <v>57</v>
      </c>
      <c r="K4296" t="s">
        <v>91</v>
      </c>
      <c r="L4296" t="s">
        <v>46</v>
      </c>
      <c r="M4296" t="s">
        <v>87</v>
      </c>
      <c r="N4296" t="s">
        <v>35</v>
      </c>
      <c r="O4296" t="s">
        <v>36</v>
      </c>
      <c r="P4296" t="s">
        <v>37</v>
      </c>
      <c r="Q4296" t="s">
        <v>144</v>
      </c>
      <c r="R4296">
        <v>228</v>
      </c>
      <c r="S4296">
        <v>137</v>
      </c>
      <c r="T4296">
        <v>96</v>
      </c>
      <c r="U4296">
        <v>33</v>
      </c>
      <c r="V4296" t="s">
        <v>6496</v>
      </c>
      <c r="W4296">
        <v>44060</v>
      </c>
      <c r="X4296" t="s">
        <v>2958</v>
      </c>
      <c r="Y4296">
        <v>34638</v>
      </c>
      <c r="Z4296">
        <v>1453980</v>
      </c>
      <c r="AA4296">
        <v>310926</v>
      </c>
      <c r="AB4296" t="str">
        <f>(VLOOKUP(SalesData[[#This Row],[Month Number]],Reference!C$5:E$16,2,FALSE))</f>
        <v>Feb</v>
      </c>
      <c r="AC4296">
        <f>MONTH(SalesData[[#This Row],[Date]])</f>
        <v>2</v>
      </c>
      <c r="AD4296">
        <f>Reference!F$4</f>
        <v>2026</v>
      </c>
      <c r="AE4296" t="str">
        <f>IF(OR(SalesData[[#This Row],[Day]]="Saturday",SalesData[[#This Row],[Day]]="Sunday"),"Weekend","Weekday")</f>
        <v>Weekend</v>
      </c>
      <c r="AF4296" s="5">
        <f>IF(SalesData[[#This Row],[Contracts Offered]]=0,0,SalesData[[#This Row],[Contracts Signed]]/SalesData[[#This Row],[Contracts Offered]])</f>
        <v>0.34375</v>
      </c>
      <c r="AG4296" s="5">
        <f>IF(SalesData[[#This Row],[Customers Visited]]=0,0,SalesData[[#This Row],[Test Drives]]/SalesData[[#This Row],[Customers Visited]])</f>
        <v>0.60087719298245612</v>
      </c>
      <c r="AH4296" s="5">
        <f>IF(SalesData[[#This Row],[Customers Visited]]=0,0,SalesData[[#This Row],[Contracts Signed]]/SalesData[[#This Row],[Customers Visited]])</f>
        <v>0.14473684210526316</v>
      </c>
      <c r="AI4296" s="6">
        <f>IF(SalesData[[#This Row],[Contracts Signed]]=0,0,SalesData[[#This Row],[Profit(€)]]/SalesData[[#This Row],[Contracts Signed]])</f>
        <v>9422</v>
      </c>
      <c r="AJ4296" s="5" t="str">
        <f>TRIM(CLEAN(SalesData[[#This Row],[Retailer]]))</f>
        <v>Stuttgart Auto Center</v>
      </c>
    </row>
    <row r="4297" spans="1:36" ht="14.25" hidden="1" x14ac:dyDescent="0.2">
      <c r="A4297" t="s">
        <v>5550</v>
      </c>
      <c r="B4297" s="1">
        <v>46075</v>
      </c>
      <c r="C4297" t="s">
        <v>53</v>
      </c>
      <c r="D4297" t="s">
        <v>41</v>
      </c>
      <c r="E4297" t="s">
        <v>42</v>
      </c>
      <c r="F4297" t="s">
        <v>101</v>
      </c>
      <c r="G4297" t="s">
        <v>102</v>
      </c>
      <c r="H4297" t="s">
        <v>103</v>
      </c>
      <c r="I4297" t="s">
        <v>104</v>
      </c>
      <c r="J4297" t="s">
        <v>143</v>
      </c>
      <c r="K4297" t="s">
        <v>66</v>
      </c>
      <c r="L4297" t="s">
        <v>67</v>
      </c>
      <c r="M4297" t="s">
        <v>87</v>
      </c>
      <c r="N4297" t="s">
        <v>48</v>
      </c>
      <c r="O4297" t="s">
        <v>36</v>
      </c>
      <c r="P4297" t="s">
        <v>37</v>
      </c>
      <c r="Q4297" t="s">
        <v>167</v>
      </c>
      <c r="R4297">
        <v>460</v>
      </c>
      <c r="S4297">
        <v>204</v>
      </c>
      <c r="T4297">
        <v>120</v>
      </c>
      <c r="U4297">
        <v>24</v>
      </c>
      <c r="V4297" t="s">
        <v>313</v>
      </c>
      <c r="W4297">
        <v>28121</v>
      </c>
      <c r="X4297" t="s">
        <v>133</v>
      </c>
      <c r="Y4297">
        <v>25283</v>
      </c>
      <c r="Z4297">
        <v>674904</v>
      </c>
      <c r="AA4297">
        <v>68112</v>
      </c>
      <c r="AB4297" t="str">
        <f>(VLOOKUP(SalesData[[#This Row],[Month Number]],Reference!C$5:E$16,2,FALSE))</f>
        <v>Feb</v>
      </c>
      <c r="AC4297">
        <f>MONTH(SalesData[[#This Row],[Date]])</f>
        <v>2</v>
      </c>
      <c r="AD4297">
        <f>Reference!F$4</f>
        <v>2026</v>
      </c>
      <c r="AE4297" t="str">
        <f>IF(OR(SalesData[[#This Row],[Day]]="Saturday",SalesData[[#This Row],[Day]]="Sunday"),"Weekend","Weekday")</f>
        <v>Weekend</v>
      </c>
      <c r="AF4297" s="5">
        <f>IF(SalesData[[#This Row],[Contracts Offered]]=0,0,SalesData[[#This Row],[Contracts Signed]]/SalesData[[#This Row],[Contracts Offered]])</f>
        <v>0.2</v>
      </c>
      <c r="AG4297" s="5">
        <f>IF(SalesData[[#This Row],[Customers Visited]]=0,0,SalesData[[#This Row],[Test Drives]]/SalesData[[#This Row],[Customers Visited]])</f>
        <v>0.44347826086956521</v>
      </c>
      <c r="AH4297" s="5">
        <f>IF(SalesData[[#This Row],[Customers Visited]]=0,0,SalesData[[#This Row],[Contracts Signed]]/SalesData[[#This Row],[Customers Visited]])</f>
        <v>5.2173913043478258E-2</v>
      </c>
      <c r="AI4297" s="6">
        <f>IF(SalesData[[#This Row],[Contracts Signed]]=0,0,SalesData[[#This Row],[Profit(€)]]/SalesData[[#This Row],[Contracts Signed]])</f>
        <v>2838</v>
      </c>
      <c r="AJ4297" s="5" t="str">
        <f>TRIM(CLEAN(SalesData[[#This Row],[Retailer]]))</f>
        <v>Ruhr Auto Plaza</v>
      </c>
    </row>
    <row r="4298" spans="1:36" ht="14.25" hidden="1" x14ac:dyDescent="0.2">
      <c r="A4298" t="s">
        <v>5551</v>
      </c>
      <c r="B4298" s="1">
        <v>46063</v>
      </c>
      <c r="C4298" t="s">
        <v>121</v>
      </c>
      <c r="D4298" t="s">
        <v>63</v>
      </c>
      <c r="E4298" t="s">
        <v>26</v>
      </c>
      <c r="F4298" t="s">
        <v>114</v>
      </c>
      <c r="G4298" t="s">
        <v>115</v>
      </c>
      <c r="H4298" t="s">
        <v>115</v>
      </c>
      <c r="I4298" t="s">
        <v>116</v>
      </c>
      <c r="J4298" t="s">
        <v>117</v>
      </c>
      <c r="K4298" t="s">
        <v>91</v>
      </c>
      <c r="L4298" t="s">
        <v>67</v>
      </c>
      <c r="M4298" t="s">
        <v>34</v>
      </c>
      <c r="N4298" t="s">
        <v>35</v>
      </c>
      <c r="O4298" t="s">
        <v>36</v>
      </c>
      <c r="P4298" t="s">
        <v>49</v>
      </c>
      <c r="Q4298" t="s">
        <v>79</v>
      </c>
      <c r="R4298">
        <v>251</v>
      </c>
      <c r="S4298">
        <v>106</v>
      </c>
      <c r="T4298">
        <v>66</v>
      </c>
      <c r="U4298">
        <v>17</v>
      </c>
      <c r="V4298" t="s">
        <v>707</v>
      </c>
      <c r="W4298">
        <v>22495</v>
      </c>
      <c r="X4298" t="s">
        <v>1438</v>
      </c>
      <c r="Y4298">
        <v>20336</v>
      </c>
      <c r="Z4298">
        <v>382415</v>
      </c>
      <c r="AA4298">
        <v>36703</v>
      </c>
      <c r="AB4298" t="str">
        <f>(VLOOKUP(SalesData[[#This Row],[Month Number]],Reference!C$5:E$16,2,FALSE))</f>
        <v>Feb</v>
      </c>
      <c r="AC4298">
        <f>MONTH(SalesData[[#This Row],[Date]])</f>
        <v>2</v>
      </c>
      <c r="AD4298">
        <f>Reference!F$4</f>
        <v>2026</v>
      </c>
      <c r="AE4298" t="str">
        <f>IF(OR(SalesData[[#This Row],[Day]]="Saturday",SalesData[[#This Row],[Day]]="Sunday"),"Weekend","Weekday")</f>
        <v>Weekday</v>
      </c>
      <c r="AF4298" s="5">
        <f>IF(SalesData[[#This Row],[Contracts Offered]]=0,0,SalesData[[#This Row],[Contracts Signed]]/SalesData[[#This Row],[Contracts Offered]])</f>
        <v>0.25757575757575757</v>
      </c>
      <c r="AG4298" s="5">
        <f>IF(SalesData[[#This Row],[Customers Visited]]=0,0,SalesData[[#This Row],[Test Drives]]/SalesData[[#This Row],[Customers Visited]])</f>
        <v>0.42231075697211157</v>
      </c>
      <c r="AH4298" s="5">
        <f>IF(SalesData[[#This Row],[Customers Visited]]=0,0,SalesData[[#This Row],[Contracts Signed]]/SalesData[[#This Row],[Customers Visited]])</f>
        <v>6.7729083665338641E-2</v>
      </c>
      <c r="AI4298" s="6">
        <f>IF(SalesData[[#This Row],[Contracts Signed]]=0,0,SalesData[[#This Row],[Profit(€)]]/SalesData[[#This Row],[Contracts Signed]])</f>
        <v>2159</v>
      </c>
      <c r="AJ4298" s="5" t="str">
        <f>TRIM(CLEAN(SalesData[[#This Row],[Retailer]]))</f>
        <v>Elbe Drive</v>
      </c>
    </row>
    <row r="4299" spans="1:36" ht="14.25" x14ac:dyDescent="0.2">
      <c r="A4299" t="s">
        <v>5552</v>
      </c>
      <c r="B4299" s="1">
        <v>46070</v>
      </c>
      <c r="C4299" t="s">
        <v>62</v>
      </c>
      <c r="D4299" t="s">
        <v>63</v>
      </c>
      <c r="E4299" t="s">
        <v>26</v>
      </c>
      <c r="F4299" t="s">
        <v>109</v>
      </c>
      <c r="G4299" t="s">
        <v>110</v>
      </c>
      <c r="H4299" t="s">
        <v>45</v>
      </c>
      <c r="I4299" t="s">
        <v>30</v>
      </c>
      <c r="J4299" t="s">
        <v>7075</v>
      </c>
      <c r="K4299" t="s">
        <v>78</v>
      </c>
      <c r="L4299" t="s">
        <v>33</v>
      </c>
      <c r="M4299" t="s">
        <v>34</v>
      </c>
      <c r="N4299" t="s">
        <v>35</v>
      </c>
      <c r="O4299" t="s">
        <v>36</v>
      </c>
      <c r="P4299" t="s">
        <v>49</v>
      </c>
      <c r="Q4299" t="s">
        <v>59</v>
      </c>
      <c r="R4299">
        <v>144</v>
      </c>
      <c r="S4299">
        <v>65</v>
      </c>
      <c r="T4299">
        <v>45</v>
      </c>
      <c r="U4299">
        <v>17</v>
      </c>
      <c r="V4299" t="s">
        <v>6470</v>
      </c>
      <c r="W4299">
        <v>64157</v>
      </c>
      <c r="X4299" t="s">
        <v>1551</v>
      </c>
      <c r="Y4299">
        <v>45129</v>
      </c>
      <c r="Z4299">
        <v>1090669</v>
      </c>
      <c r="AA4299">
        <v>323476</v>
      </c>
      <c r="AB4299" t="str">
        <f>(VLOOKUP(SalesData[[#This Row],[Month Number]],Reference!C$5:E$16,2,FALSE))</f>
        <v>Feb</v>
      </c>
      <c r="AC4299">
        <f>MONTH(SalesData[[#This Row],[Date]])</f>
        <v>2</v>
      </c>
      <c r="AD4299">
        <f>Reference!F$4</f>
        <v>2026</v>
      </c>
      <c r="AE4299" t="str">
        <f>IF(OR(SalesData[[#This Row],[Day]]="Saturday",SalesData[[#This Row],[Day]]="Sunday"),"Weekend","Weekday")</f>
        <v>Weekday</v>
      </c>
      <c r="AF4299" s="5">
        <f>IF(SalesData[[#This Row],[Contracts Offered]]=0,0,SalesData[[#This Row],[Contracts Signed]]/SalesData[[#This Row],[Contracts Offered]])</f>
        <v>0.37777777777777777</v>
      </c>
      <c r="AG4299" s="5">
        <f>IF(SalesData[[#This Row],[Customers Visited]]=0,0,SalesData[[#This Row],[Test Drives]]/SalesData[[#This Row],[Customers Visited]])</f>
        <v>0.4513888888888889</v>
      </c>
      <c r="AH4299" s="5">
        <f>IF(SalesData[[#This Row],[Customers Visited]]=0,0,SalesData[[#This Row],[Contracts Signed]]/SalesData[[#This Row],[Customers Visited]])</f>
        <v>0.11805555555555555</v>
      </c>
      <c r="AI4299" s="6">
        <f>IF(SalesData[[#This Row],[Contracts Signed]]=0,0,SalesData[[#This Row],[Profit(€)]]/SalesData[[#This Row],[Contracts Signed]])</f>
        <v>19028</v>
      </c>
      <c r="AJ4299" s="5" t="str">
        <f>TRIM(CLEAN(SalesData[[#This Row],[Retailer]]))</f>
        <v>Leipzig Mobility</v>
      </c>
    </row>
    <row r="4300" spans="1:36" ht="14.25" hidden="1" x14ac:dyDescent="0.2">
      <c r="A4300" t="s">
        <v>5553</v>
      </c>
      <c r="B4300" s="1">
        <v>46056</v>
      </c>
      <c r="C4300" t="s">
        <v>24</v>
      </c>
      <c r="D4300" t="s">
        <v>63</v>
      </c>
      <c r="E4300" t="s">
        <v>26</v>
      </c>
      <c r="F4300" t="s">
        <v>94</v>
      </c>
      <c r="G4300" t="s">
        <v>95</v>
      </c>
      <c r="H4300" t="s">
        <v>96</v>
      </c>
      <c r="I4300" t="s">
        <v>104</v>
      </c>
      <c r="J4300" t="s">
        <v>7061</v>
      </c>
      <c r="K4300" t="s">
        <v>91</v>
      </c>
      <c r="L4300" t="s">
        <v>46</v>
      </c>
      <c r="M4300" t="s">
        <v>47</v>
      </c>
      <c r="N4300" t="s">
        <v>69</v>
      </c>
      <c r="O4300" t="s">
        <v>36</v>
      </c>
      <c r="P4300" t="s">
        <v>49</v>
      </c>
      <c r="Q4300" t="s">
        <v>129</v>
      </c>
      <c r="R4300">
        <v>495</v>
      </c>
      <c r="S4300">
        <v>241</v>
      </c>
      <c r="T4300">
        <v>141</v>
      </c>
      <c r="U4300">
        <v>40</v>
      </c>
      <c r="V4300" t="s">
        <v>6989</v>
      </c>
      <c r="W4300">
        <v>31081</v>
      </c>
      <c r="X4300" t="s">
        <v>1692</v>
      </c>
      <c r="Y4300">
        <v>26840</v>
      </c>
      <c r="Z4300">
        <v>1243240</v>
      </c>
      <c r="AA4300">
        <v>169640</v>
      </c>
      <c r="AB4300" t="str">
        <f>(VLOOKUP(SalesData[[#This Row],[Month Number]],Reference!C$5:E$16,2,FALSE))</f>
        <v>Feb</v>
      </c>
      <c r="AC4300">
        <f>MONTH(SalesData[[#This Row],[Date]])</f>
        <v>2</v>
      </c>
      <c r="AD4300">
        <f>Reference!F$4</f>
        <v>2026</v>
      </c>
      <c r="AE4300" t="str">
        <f>IF(OR(SalesData[[#This Row],[Day]]="Saturday",SalesData[[#This Row],[Day]]="Sunday"),"Weekend","Weekday")</f>
        <v>Weekday</v>
      </c>
      <c r="AF4300" s="5">
        <f>IF(SalesData[[#This Row],[Contracts Offered]]=0,0,SalesData[[#This Row],[Contracts Signed]]/SalesData[[#This Row],[Contracts Offered]])</f>
        <v>0.28368794326241137</v>
      </c>
      <c r="AG4300" s="5">
        <f>IF(SalesData[[#This Row],[Customers Visited]]=0,0,SalesData[[#This Row],[Test Drives]]/SalesData[[#This Row],[Customers Visited]])</f>
        <v>0.4868686868686869</v>
      </c>
      <c r="AH4300" s="5">
        <f>IF(SalesData[[#This Row],[Customers Visited]]=0,0,SalesData[[#This Row],[Contracts Signed]]/SalesData[[#This Row],[Customers Visited]])</f>
        <v>8.0808080808080815E-2</v>
      </c>
      <c r="AI4300" s="6">
        <f>IF(SalesData[[#This Row],[Contracts Signed]]=0,0,SalesData[[#This Row],[Profit(€)]]/SalesData[[#This Row],[Contracts Signed]])</f>
        <v>4241</v>
      </c>
      <c r="AJ4300" s="5" t="str">
        <f>TRIM(CLEAN(SalesData[[#This Row],[Retailer]]))</f>
        <v>Bavaria Motors</v>
      </c>
    </row>
    <row r="4301" spans="1:36" ht="14.25" hidden="1" x14ac:dyDescent="0.2">
      <c r="A4301" t="s">
        <v>5554</v>
      </c>
      <c r="B4301" s="1">
        <v>46064</v>
      </c>
      <c r="C4301" t="s">
        <v>121</v>
      </c>
      <c r="D4301" t="s">
        <v>82</v>
      </c>
      <c r="E4301" t="s">
        <v>26</v>
      </c>
      <c r="F4301" t="s">
        <v>114</v>
      </c>
      <c r="G4301" t="s">
        <v>115</v>
      </c>
      <c r="H4301" t="s">
        <v>115</v>
      </c>
      <c r="I4301" t="s">
        <v>56</v>
      </c>
      <c r="J4301" t="s">
        <v>57</v>
      </c>
      <c r="K4301" t="s">
        <v>32</v>
      </c>
      <c r="L4301" t="s">
        <v>46</v>
      </c>
      <c r="M4301" t="s">
        <v>68</v>
      </c>
      <c r="N4301" t="s">
        <v>35</v>
      </c>
      <c r="O4301" t="s">
        <v>70</v>
      </c>
      <c r="P4301" t="s">
        <v>37</v>
      </c>
      <c r="Q4301" t="s">
        <v>204</v>
      </c>
      <c r="R4301">
        <v>230</v>
      </c>
      <c r="S4301">
        <v>129</v>
      </c>
      <c r="T4301">
        <v>83</v>
      </c>
      <c r="U4301">
        <v>31</v>
      </c>
      <c r="V4301" t="s">
        <v>6454</v>
      </c>
      <c r="W4301">
        <v>49115</v>
      </c>
      <c r="X4301" t="s">
        <v>7343</v>
      </c>
      <c r="Y4301">
        <v>37783</v>
      </c>
      <c r="Z4301">
        <v>1522565</v>
      </c>
      <c r="AA4301">
        <v>351292</v>
      </c>
      <c r="AB4301" t="str">
        <f>(VLOOKUP(SalesData[[#This Row],[Month Number]],Reference!C$5:E$16,2,FALSE))</f>
        <v>Feb</v>
      </c>
      <c r="AC4301">
        <f>MONTH(SalesData[[#This Row],[Date]])</f>
        <v>2</v>
      </c>
      <c r="AD4301">
        <f>Reference!F$4</f>
        <v>2026</v>
      </c>
      <c r="AE4301" t="str">
        <f>IF(OR(SalesData[[#This Row],[Day]]="Saturday",SalesData[[#This Row],[Day]]="Sunday"),"Weekend","Weekday")</f>
        <v>Weekday</v>
      </c>
      <c r="AF4301" s="5">
        <f>IF(SalesData[[#This Row],[Contracts Offered]]=0,0,SalesData[[#This Row],[Contracts Signed]]/SalesData[[#This Row],[Contracts Offered]])</f>
        <v>0.37349397590361444</v>
      </c>
      <c r="AG4301" s="5">
        <f>IF(SalesData[[#This Row],[Customers Visited]]=0,0,SalesData[[#This Row],[Test Drives]]/SalesData[[#This Row],[Customers Visited]])</f>
        <v>0.56086956521739129</v>
      </c>
      <c r="AH4301" s="5">
        <f>IF(SalesData[[#This Row],[Customers Visited]]=0,0,SalesData[[#This Row],[Contracts Signed]]/SalesData[[#This Row],[Customers Visited]])</f>
        <v>0.13478260869565217</v>
      </c>
      <c r="AI4301" s="6">
        <f>IF(SalesData[[#This Row],[Contracts Signed]]=0,0,SalesData[[#This Row],[Profit(€)]]/SalesData[[#This Row],[Contracts Signed]])</f>
        <v>11332</v>
      </c>
      <c r="AJ4301" s="5" t="str">
        <f>TRIM(CLEAN(SalesData[[#This Row],[Retailer]]))</f>
        <v>Elbe Drive</v>
      </c>
    </row>
    <row r="4302" spans="1:36" ht="14.25" hidden="1" x14ac:dyDescent="0.2">
      <c r="A4302" t="s">
        <v>5555</v>
      </c>
      <c r="B4302" s="1">
        <v>46069</v>
      </c>
      <c r="C4302" t="s">
        <v>62</v>
      </c>
      <c r="D4302" t="s">
        <v>25</v>
      </c>
      <c r="E4302" t="s">
        <v>26</v>
      </c>
      <c r="F4302" t="s">
        <v>109</v>
      </c>
      <c r="G4302" t="s">
        <v>110</v>
      </c>
      <c r="H4302" t="s">
        <v>45</v>
      </c>
      <c r="I4302" t="s">
        <v>64</v>
      </c>
      <c r="J4302" t="s">
        <v>77</v>
      </c>
      <c r="K4302" t="s">
        <v>32</v>
      </c>
      <c r="L4302" t="s">
        <v>46</v>
      </c>
      <c r="M4302" t="s">
        <v>34</v>
      </c>
      <c r="N4302" t="s">
        <v>69</v>
      </c>
      <c r="O4302" t="s">
        <v>36</v>
      </c>
      <c r="P4302" t="s">
        <v>37</v>
      </c>
      <c r="Q4302" t="s">
        <v>79</v>
      </c>
      <c r="R4302">
        <v>180</v>
      </c>
      <c r="S4302">
        <v>91</v>
      </c>
      <c r="T4302">
        <v>71</v>
      </c>
      <c r="U4302">
        <v>21</v>
      </c>
      <c r="V4302" t="s">
        <v>6386</v>
      </c>
      <c r="W4302">
        <v>65487</v>
      </c>
      <c r="X4302" t="s">
        <v>7461</v>
      </c>
      <c r="Y4302">
        <v>49311</v>
      </c>
      <c r="Z4302">
        <v>1375227</v>
      </c>
      <c r="AA4302">
        <v>339696</v>
      </c>
      <c r="AB4302" t="str">
        <f>(VLOOKUP(SalesData[[#This Row],[Month Number]],Reference!C$5:E$16,2,FALSE))</f>
        <v>Feb</v>
      </c>
      <c r="AC4302">
        <f>MONTH(SalesData[[#This Row],[Date]])</f>
        <v>2</v>
      </c>
      <c r="AD4302">
        <f>Reference!F$4</f>
        <v>2026</v>
      </c>
      <c r="AE4302" t="str">
        <f>IF(OR(SalesData[[#This Row],[Day]]="Saturday",SalesData[[#This Row],[Day]]="Sunday"),"Weekend","Weekday")</f>
        <v>Weekday</v>
      </c>
      <c r="AF4302" s="5">
        <f>IF(SalesData[[#This Row],[Contracts Offered]]=0,0,SalesData[[#This Row],[Contracts Signed]]/SalesData[[#This Row],[Contracts Offered]])</f>
        <v>0.29577464788732394</v>
      </c>
      <c r="AG4302" s="5">
        <f>IF(SalesData[[#This Row],[Customers Visited]]=0,0,SalesData[[#This Row],[Test Drives]]/SalesData[[#This Row],[Customers Visited]])</f>
        <v>0.50555555555555554</v>
      </c>
      <c r="AH4302" s="5">
        <f>IF(SalesData[[#This Row],[Customers Visited]]=0,0,SalesData[[#This Row],[Contracts Signed]]/SalesData[[#This Row],[Customers Visited]])</f>
        <v>0.11666666666666667</v>
      </c>
      <c r="AI4302" s="6">
        <f>IF(SalesData[[#This Row],[Contracts Signed]]=0,0,SalesData[[#This Row],[Profit(€)]]/SalesData[[#This Row],[Contracts Signed]])</f>
        <v>16176</v>
      </c>
      <c r="AJ4302" s="5" t="str">
        <f>TRIM(CLEAN(SalesData[[#This Row],[Retailer]]))</f>
        <v>Leipzig Mobility</v>
      </c>
    </row>
    <row r="4303" spans="1:36" ht="14.25" x14ac:dyDescent="0.2">
      <c r="A4303" t="s">
        <v>5556</v>
      </c>
      <c r="B4303" s="1">
        <v>46078</v>
      </c>
      <c r="C4303" t="s">
        <v>53</v>
      </c>
      <c r="D4303" t="s">
        <v>82</v>
      </c>
      <c r="E4303" t="s">
        <v>26</v>
      </c>
      <c r="F4303" t="s">
        <v>94</v>
      </c>
      <c r="G4303" t="s">
        <v>95</v>
      </c>
      <c r="H4303" t="s">
        <v>96</v>
      </c>
      <c r="I4303" t="s">
        <v>30</v>
      </c>
      <c r="J4303" t="s">
        <v>31</v>
      </c>
      <c r="K4303" t="s">
        <v>66</v>
      </c>
      <c r="L4303" t="s">
        <v>46</v>
      </c>
      <c r="M4303" t="s">
        <v>68</v>
      </c>
      <c r="N4303" t="s">
        <v>35</v>
      </c>
      <c r="O4303" t="s">
        <v>70</v>
      </c>
      <c r="P4303" t="s">
        <v>71</v>
      </c>
      <c r="Q4303" t="s">
        <v>59</v>
      </c>
      <c r="R4303">
        <v>230</v>
      </c>
      <c r="S4303">
        <v>115</v>
      </c>
      <c r="T4303">
        <v>90</v>
      </c>
      <c r="U4303">
        <v>37</v>
      </c>
      <c r="V4303" t="s">
        <v>7499</v>
      </c>
      <c r="W4303">
        <v>61132</v>
      </c>
      <c r="X4303" t="s">
        <v>1551</v>
      </c>
      <c r="Y4303">
        <v>42999</v>
      </c>
      <c r="Z4303">
        <v>2261884</v>
      </c>
      <c r="AA4303">
        <v>670921</v>
      </c>
      <c r="AB4303" t="str">
        <f>(VLOOKUP(SalesData[[#This Row],[Month Number]],Reference!C$5:E$16,2,FALSE))</f>
        <v>Feb</v>
      </c>
      <c r="AC4303">
        <f>MONTH(SalesData[[#This Row],[Date]])</f>
        <v>2</v>
      </c>
      <c r="AD4303">
        <f>Reference!F$4</f>
        <v>2026</v>
      </c>
      <c r="AE4303" t="str">
        <f>IF(OR(SalesData[[#This Row],[Day]]="Saturday",SalesData[[#This Row],[Day]]="Sunday"),"Weekend","Weekday")</f>
        <v>Weekday</v>
      </c>
      <c r="AF4303" s="5">
        <f>IF(SalesData[[#This Row],[Contracts Offered]]=0,0,SalesData[[#This Row],[Contracts Signed]]/SalesData[[#This Row],[Contracts Offered]])</f>
        <v>0.41111111111111109</v>
      </c>
      <c r="AG4303" s="5">
        <f>IF(SalesData[[#This Row],[Customers Visited]]=0,0,SalesData[[#This Row],[Test Drives]]/SalesData[[#This Row],[Customers Visited]])</f>
        <v>0.5</v>
      </c>
      <c r="AH4303" s="5">
        <f>IF(SalesData[[#This Row],[Customers Visited]]=0,0,SalesData[[#This Row],[Contracts Signed]]/SalesData[[#This Row],[Customers Visited]])</f>
        <v>0.16086956521739129</v>
      </c>
      <c r="AI4303" s="6">
        <f>IF(SalesData[[#This Row],[Contracts Signed]]=0,0,SalesData[[#This Row],[Profit(€)]]/SalesData[[#This Row],[Contracts Signed]])</f>
        <v>18133</v>
      </c>
      <c r="AJ4303" s="5" t="str">
        <f>TRIM(CLEAN(SalesData[[#This Row],[Retailer]]))</f>
        <v>Bavaria Motors</v>
      </c>
    </row>
    <row r="4304" spans="1:36" ht="14.25" hidden="1" x14ac:dyDescent="0.2">
      <c r="A4304" t="s">
        <v>5557</v>
      </c>
      <c r="B4304" s="1">
        <v>46075</v>
      </c>
      <c r="C4304" t="s">
        <v>53</v>
      </c>
      <c r="D4304" t="s">
        <v>41</v>
      </c>
      <c r="E4304" t="s">
        <v>42</v>
      </c>
      <c r="F4304" t="s">
        <v>101</v>
      </c>
      <c r="G4304" t="s">
        <v>102</v>
      </c>
      <c r="H4304" t="s">
        <v>103</v>
      </c>
      <c r="I4304" t="s">
        <v>64</v>
      </c>
      <c r="J4304" t="s">
        <v>7029</v>
      </c>
      <c r="K4304" t="s">
        <v>32</v>
      </c>
      <c r="L4304" t="s">
        <v>33</v>
      </c>
      <c r="M4304" t="s">
        <v>87</v>
      </c>
      <c r="N4304" t="s">
        <v>48</v>
      </c>
      <c r="O4304" t="s">
        <v>36</v>
      </c>
      <c r="P4304" t="s">
        <v>49</v>
      </c>
      <c r="Q4304" t="s">
        <v>240</v>
      </c>
      <c r="R4304">
        <v>265</v>
      </c>
      <c r="S4304">
        <v>146</v>
      </c>
      <c r="T4304">
        <v>113</v>
      </c>
      <c r="U4304">
        <v>30</v>
      </c>
      <c r="V4304" t="s">
        <v>6724</v>
      </c>
      <c r="W4304">
        <v>57201</v>
      </c>
      <c r="X4304" t="s">
        <v>7091</v>
      </c>
      <c r="Y4304">
        <v>42245</v>
      </c>
      <c r="Z4304">
        <v>1716030</v>
      </c>
      <c r="AA4304">
        <v>448680</v>
      </c>
      <c r="AB4304" t="str">
        <f>(VLOOKUP(SalesData[[#This Row],[Month Number]],Reference!C$5:E$16,2,FALSE))</f>
        <v>Feb</v>
      </c>
      <c r="AC4304">
        <f>MONTH(SalesData[[#This Row],[Date]])</f>
        <v>2</v>
      </c>
      <c r="AD4304">
        <f>Reference!F$4</f>
        <v>2026</v>
      </c>
      <c r="AE4304" t="str">
        <f>IF(OR(SalesData[[#This Row],[Day]]="Saturday",SalesData[[#This Row],[Day]]="Sunday"),"Weekend","Weekday")</f>
        <v>Weekend</v>
      </c>
      <c r="AF4304" s="5">
        <f>IF(SalesData[[#This Row],[Contracts Offered]]=0,0,SalesData[[#This Row],[Contracts Signed]]/SalesData[[#This Row],[Contracts Offered]])</f>
        <v>0.26548672566371684</v>
      </c>
      <c r="AG4304" s="5">
        <f>IF(SalesData[[#This Row],[Customers Visited]]=0,0,SalesData[[#This Row],[Test Drives]]/SalesData[[#This Row],[Customers Visited]])</f>
        <v>0.55094339622641508</v>
      </c>
      <c r="AH4304" s="5">
        <f>IF(SalesData[[#This Row],[Customers Visited]]=0,0,SalesData[[#This Row],[Contracts Signed]]/SalesData[[#This Row],[Customers Visited]])</f>
        <v>0.11320754716981132</v>
      </c>
      <c r="AI4304" s="6">
        <f>IF(SalesData[[#This Row],[Contracts Signed]]=0,0,SalesData[[#This Row],[Profit(€)]]/SalesData[[#This Row],[Contracts Signed]])</f>
        <v>14956</v>
      </c>
      <c r="AJ4304" s="5" t="str">
        <f>TRIM(CLEAN(SalesData[[#This Row],[Retailer]]))</f>
        <v>Ruhr Auto Plaza</v>
      </c>
    </row>
    <row r="4305" spans="1:36" ht="14.25" hidden="1" x14ac:dyDescent="0.2">
      <c r="A4305" t="s">
        <v>5558</v>
      </c>
      <c r="B4305" s="1">
        <v>46067</v>
      </c>
      <c r="C4305" t="s">
        <v>121</v>
      </c>
      <c r="D4305" t="s">
        <v>151</v>
      </c>
      <c r="E4305" t="s">
        <v>42</v>
      </c>
      <c r="F4305" t="s">
        <v>27</v>
      </c>
      <c r="G4305" t="s">
        <v>28</v>
      </c>
      <c r="H4305" t="s">
        <v>29</v>
      </c>
      <c r="I4305" t="s">
        <v>104</v>
      </c>
      <c r="J4305" t="s">
        <v>7061</v>
      </c>
      <c r="K4305" t="s">
        <v>91</v>
      </c>
      <c r="L4305" t="s">
        <v>46</v>
      </c>
      <c r="M4305" t="s">
        <v>87</v>
      </c>
      <c r="N4305" t="s">
        <v>69</v>
      </c>
      <c r="O4305" t="s">
        <v>70</v>
      </c>
      <c r="P4305" t="s">
        <v>49</v>
      </c>
      <c r="Q4305" t="s">
        <v>158</v>
      </c>
      <c r="R4305">
        <v>457</v>
      </c>
      <c r="S4305">
        <v>188</v>
      </c>
      <c r="T4305">
        <v>125</v>
      </c>
      <c r="U4305">
        <v>23</v>
      </c>
      <c r="V4305" t="s">
        <v>1842</v>
      </c>
      <c r="W4305">
        <v>29146</v>
      </c>
      <c r="X4305" t="s">
        <v>1668</v>
      </c>
      <c r="Y4305">
        <v>26401</v>
      </c>
      <c r="Z4305">
        <v>670358</v>
      </c>
      <c r="AA4305">
        <v>63135</v>
      </c>
      <c r="AB4305" t="str">
        <f>(VLOOKUP(SalesData[[#This Row],[Month Number]],Reference!C$5:E$16,2,FALSE))</f>
        <v>Feb</v>
      </c>
      <c r="AC4305">
        <f>MONTH(SalesData[[#This Row],[Date]])</f>
        <v>2</v>
      </c>
      <c r="AD4305">
        <f>Reference!F$4</f>
        <v>2026</v>
      </c>
      <c r="AE4305" t="str">
        <f>IF(OR(SalesData[[#This Row],[Day]]="Saturday",SalesData[[#This Row],[Day]]="Sunday"),"Weekend","Weekday")</f>
        <v>Weekend</v>
      </c>
      <c r="AF4305" s="5">
        <f>IF(SalesData[[#This Row],[Contracts Offered]]=0,0,SalesData[[#This Row],[Contracts Signed]]/SalesData[[#This Row],[Contracts Offered]])</f>
        <v>0.184</v>
      </c>
      <c r="AG4305" s="5">
        <f>IF(SalesData[[#This Row],[Customers Visited]]=0,0,SalesData[[#This Row],[Test Drives]]/SalesData[[#This Row],[Customers Visited]])</f>
        <v>0.4113785557986871</v>
      </c>
      <c r="AH4305" s="5">
        <f>IF(SalesData[[#This Row],[Customers Visited]]=0,0,SalesData[[#This Row],[Contracts Signed]]/SalesData[[#This Row],[Customers Visited]])</f>
        <v>5.0328227571115977E-2</v>
      </c>
      <c r="AI4305" s="6">
        <f>IF(SalesData[[#This Row],[Contracts Signed]]=0,0,SalesData[[#This Row],[Profit(€)]]/SalesData[[#This Row],[Contracts Signed]])</f>
        <v>2745</v>
      </c>
      <c r="AJ4305" s="5" t="str">
        <f>TRIM(CLEAN(SalesData[[#This Row],[Retailer]]))</f>
        <v>Main Auto Hub</v>
      </c>
    </row>
    <row r="4306" spans="1:36" ht="14.25" hidden="1" x14ac:dyDescent="0.2">
      <c r="A4306" t="s">
        <v>5559</v>
      </c>
      <c r="B4306" s="1">
        <v>46060</v>
      </c>
      <c r="C4306" t="s">
        <v>24</v>
      </c>
      <c r="D4306" t="s">
        <v>151</v>
      </c>
      <c r="E4306" t="s">
        <v>42</v>
      </c>
      <c r="F4306" t="s">
        <v>43</v>
      </c>
      <c r="G4306" t="s">
        <v>44</v>
      </c>
      <c r="H4306" t="s">
        <v>45</v>
      </c>
      <c r="I4306" t="s">
        <v>104</v>
      </c>
      <c r="J4306" t="s">
        <v>140</v>
      </c>
      <c r="K4306" t="s">
        <v>32</v>
      </c>
      <c r="L4306" t="s">
        <v>46</v>
      </c>
      <c r="M4306" t="s">
        <v>47</v>
      </c>
      <c r="N4306" t="s">
        <v>48</v>
      </c>
      <c r="O4306" t="s">
        <v>70</v>
      </c>
      <c r="P4306" t="s">
        <v>37</v>
      </c>
      <c r="Q4306" t="s">
        <v>59</v>
      </c>
      <c r="R4306">
        <v>278</v>
      </c>
      <c r="S4306">
        <v>152</v>
      </c>
      <c r="T4306">
        <v>94</v>
      </c>
      <c r="U4306">
        <v>21</v>
      </c>
      <c r="V4306" t="s">
        <v>2440</v>
      </c>
      <c r="W4306">
        <v>30217</v>
      </c>
      <c r="X4306" t="s">
        <v>1192</v>
      </c>
      <c r="Y4306">
        <v>26819</v>
      </c>
      <c r="Z4306">
        <v>634557</v>
      </c>
      <c r="AA4306">
        <v>71358</v>
      </c>
      <c r="AB4306" t="str">
        <f>(VLOOKUP(SalesData[[#This Row],[Month Number]],Reference!C$5:E$16,2,FALSE))</f>
        <v>Feb</v>
      </c>
      <c r="AC4306">
        <f>MONTH(SalesData[[#This Row],[Date]])</f>
        <v>2</v>
      </c>
      <c r="AD4306">
        <f>Reference!F$4</f>
        <v>2026</v>
      </c>
      <c r="AE4306" t="str">
        <f>IF(OR(SalesData[[#This Row],[Day]]="Saturday",SalesData[[#This Row],[Day]]="Sunday"),"Weekend","Weekday")</f>
        <v>Weekend</v>
      </c>
      <c r="AF4306" s="5">
        <f>IF(SalesData[[#This Row],[Contracts Offered]]=0,0,SalesData[[#This Row],[Contracts Signed]]/SalesData[[#This Row],[Contracts Offered]])</f>
        <v>0.22340425531914893</v>
      </c>
      <c r="AG4306" s="5">
        <f>IF(SalesData[[#This Row],[Customers Visited]]=0,0,SalesData[[#This Row],[Test Drives]]/SalesData[[#This Row],[Customers Visited]])</f>
        <v>0.5467625899280576</v>
      </c>
      <c r="AH4306" s="5">
        <f>IF(SalesData[[#This Row],[Customers Visited]]=0,0,SalesData[[#This Row],[Contracts Signed]]/SalesData[[#This Row],[Customers Visited]])</f>
        <v>7.5539568345323743E-2</v>
      </c>
      <c r="AI4306" s="6">
        <f>IF(SalesData[[#This Row],[Contracts Signed]]=0,0,SalesData[[#This Row],[Profit(€)]]/SalesData[[#This Row],[Contracts Signed]])</f>
        <v>3398</v>
      </c>
      <c r="AJ4306" s="5" t="str">
        <f>TRIM(CLEAN(SalesData[[#This Row],[Retailer]]))</f>
        <v>Saxon Wheels</v>
      </c>
    </row>
    <row r="4307" spans="1:36" ht="14.25" hidden="1" x14ac:dyDescent="0.2">
      <c r="A4307" t="s">
        <v>5561</v>
      </c>
      <c r="B4307" s="1">
        <v>46070</v>
      </c>
      <c r="C4307" t="s">
        <v>62</v>
      </c>
      <c r="D4307" t="s">
        <v>63</v>
      </c>
      <c r="E4307" t="s">
        <v>26</v>
      </c>
      <c r="F4307" t="s">
        <v>127</v>
      </c>
      <c r="G4307" t="s">
        <v>128</v>
      </c>
      <c r="H4307" t="s">
        <v>103</v>
      </c>
      <c r="I4307" t="s">
        <v>64</v>
      </c>
      <c r="J4307" t="s">
        <v>111</v>
      </c>
      <c r="K4307" t="s">
        <v>32</v>
      </c>
      <c r="L4307" t="s">
        <v>46</v>
      </c>
      <c r="M4307" t="s">
        <v>68</v>
      </c>
      <c r="N4307" t="s">
        <v>35</v>
      </c>
      <c r="O4307" t="s">
        <v>36</v>
      </c>
      <c r="P4307" t="s">
        <v>58</v>
      </c>
      <c r="Q4307" t="s">
        <v>129</v>
      </c>
      <c r="R4307">
        <v>175</v>
      </c>
      <c r="S4307">
        <v>90</v>
      </c>
      <c r="T4307">
        <v>59</v>
      </c>
      <c r="U4307">
        <v>27</v>
      </c>
      <c r="V4307" t="s">
        <v>7100</v>
      </c>
      <c r="W4307">
        <v>72306</v>
      </c>
      <c r="X4307" t="s">
        <v>7128</v>
      </c>
      <c r="Y4307">
        <v>57013</v>
      </c>
      <c r="Z4307">
        <v>1952262</v>
      </c>
      <c r="AA4307">
        <v>412911</v>
      </c>
      <c r="AB4307" t="str">
        <f>(VLOOKUP(SalesData[[#This Row],[Month Number]],Reference!C$5:E$16,2,FALSE))</f>
        <v>Feb</v>
      </c>
      <c r="AC4307">
        <f>MONTH(SalesData[[#This Row],[Date]])</f>
        <v>2</v>
      </c>
      <c r="AD4307">
        <f>Reference!F$4</f>
        <v>2026</v>
      </c>
      <c r="AE4307" t="str">
        <f>IF(OR(SalesData[[#This Row],[Day]]="Saturday",SalesData[[#This Row],[Day]]="Sunday"),"Weekend","Weekday")</f>
        <v>Weekday</v>
      </c>
      <c r="AF4307" s="5">
        <f>IF(SalesData[[#This Row],[Contracts Offered]]=0,0,SalesData[[#This Row],[Contracts Signed]]/SalesData[[#This Row],[Contracts Offered]])</f>
        <v>0.4576271186440678</v>
      </c>
      <c r="AG4307" s="5">
        <f>IF(SalesData[[#This Row],[Customers Visited]]=0,0,SalesData[[#This Row],[Test Drives]]/SalesData[[#This Row],[Customers Visited]])</f>
        <v>0.51428571428571423</v>
      </c>
      <c r="AH4307" s="5">
        <f>IF(SalesData[[#This Row],[Customers Visited]]=0,0,SalesData[[#This Row],[Contracts Signed]]/SalesData[[#This Row],[Customers Visited]])</f>
        <v>0.15428571428571428</v>
      </c>
      <c r="AI4307" s="6">
        <f>IF(SalesData[[#This Row],[Contracts Signed]]=0,0,SalesData[[#This Row],[Profit(€)]]/SalesData[[#This Row],[Contracts Signed]])</f>
        <v>15293</v>
      </c>
      <c r="AJ4307" s="5" t="str">
        <f>TRIM(CLEAN(SalesData[[#This Row],[Retailer]]))</f>
        <v>Rhein Auto Group</v>
      </c>
    </row>
    <row r="4308" spans="1:36" ht="14.25" hidden="1" x14ac:dyDescent="0.2">
      <c r="A4308" t="s">
        <v>5562</v>
      </c>
      <c r="B4308" s="1">
        <v>46070</v>
      </c>
      <c r="C4308" t="s">
        <v>62</v>
      </c>
      <c r="D4308" t="s">
        <v>63</v>
      </c>
      <c r="E4308" t="s">
        <v>26</v>
      </c>
      <c r="F4308" t="s">
        <v>7649</v>
      </c>
      <c r="G4308" t="s">
        <v>55</v>
      </c>
      <c r="H4308" t="s">
        <v>55</v>
      </c>
      <c r="I4308" t="s">
        <v>64</v>
      </c>
      <c r="J4308" t="s">
        <v>7029</v>
      </c>
      <c r="K4308" t="s">
        <v>78</v>
      </c>
      <c r="L4308" t="s">
        <v>33</v>
      </c>
      <c r="M4308" t="s">
        <v>87</v>
      </c>
      <c r="N4308" t="s">
        <v>69</v>
      </c>
      <c r="O4308" t="s">
        <v>36</v>
      </c>
      <c r="P4308" t="s">
        <v>37</v>
      </c>
      <c r="Q4308" t="s">
        <v>189</v>
      </c>
      <c r="R4308">
        <v>214</v>
      </c>
      <c r="S4308">
        <v>117</v>
      </c>
      <c r="T4308">
        <v>78</v>
      </c>
      <c r="U4308">
        <v>30</v>
      </c>
      <c r="V4308" t="s">
        <v>6405</v>
      </c>
      <c r="W4308">
        <v>70529</v>
      </c>
      <c r="X4308" t="s">
        <v>7287</v>
      </c>
      <c r="Y4308">
        <v>50648</v>
      </c>
      <c r="Z4308">
        <v>2115870</v>
      </c>
      <c r="AA4308">
        <v>596430</v>
      </c>
      <c r="AB4308" t="str">
        <f>(VLOOKUP(SalesData[[#This Row],[Month Number]],Reference!C$5:E$16,2,FALSE))</f>
        <v>Feb</v>
      </c>
      <c r="AC4308">
        <f>MONTH(SalesData[[#This Row],[Date]])</f>
        <v>2</v>
      </c>
      <c r="AD4308">
        <f>Reference!F$4</f>
        <v>2026</v>
      </c>
      <c r="AE4308" t="str">
        <f>IF(OR(SalesData[[#This Row],[Day]]="Saturday",SalesData[[#This Row],[Day]]="Sunday"),"Weekend","Weekday")</f>
        <v>Weekday</v>
      </c>
      <c r="AF4308" s="5">
        <f>IF(SalesData[[#This Row],[Contracts Offered]]=0,0,SalesData[[#This Row],[Contracts Signed]]/SalesData[[#This Row],[Contracts Offered]])</f>
        <v>0.38461538461538464</v>
      </c>
      <c r="AG4308" s="5">
        <f>IF(SalesData[[#This Row],[Customers Visited]]=0,0,SalesData[[#This Row],[Test Drives]]/SalesData[[#This Row],[Customers Visited]])</f>
        <v>0.54672897196261683</v>
      </c>
      <c r="AH4308" s="5">
        <f>IF(SalesData[[#This Row],[Customers Visited]]=0,0,SalesData[[#This Row],[Contracts Signed]]/SalesData[[#This Row],[Customers Visited]])</f>
        <v>0.14018691588785046</v>
      </c>
      <c r="AI4308" s="6">
        <f>IF(SalesData[[#This Row],[Contracts Signed]]=0,0,SalesData[[#This Row],[Profit(€)]]/SalesData[[#This Row],[Contracts Signed]])</f>
        <v>19881</v>
      </c>
      <c r="AJ4308" s="5" t="str">
        <f>TRIM(CLEAN(SalesData[[#This Row],[Retailer]]))</f>
        <v>Autohaus Berlin</v>
      </c>
    </row>
    <row r="4309" spans="1:36" ht="14.25" hidden="1" x14ac:dyDescent="0.2">
      <c r="A4309" t="s">
        <v>5563</v>
      </c>
      <c r="B4309" s="1">
        <v>46080</v>
      </c>
      <c r="C4309" t="s">
        <v>53</v>
      </c>
      <c r="D4309" t="s">
        <v>54</v>
      </c>
      <c r="E4309" t="s">
        <v>26</v>
      </c>
      <c r="F4309" t="s">
        <v>101</v>
      </c>
      <c r="G4309" t="s">
        <v>102</v>
      </c>
      <c r="H4309" t="s">
        <v>103</v>
      </c>
      <c r="I4309" t="s">
        <v>104</v>
      </c>
      <c r="J4309" t="s">
        <v>7031</v>
      </c>
      <c r="K4309" t="s">
        <v>66</v>
      </c>
      <c r="L4309" t="s">
        <v>46</v>
      </c>
      <c r="M4309" t="s">
        <v>34</v>
      </c>
      <c r="N4309" t="s">
        <v>69</v>
      </c>
      <c r="O4309" t="s">
        <v>70</v>
      </c>
      <c r="P4309" t="s">
        <v>49</v>
      </c>
      <c r="Q4309" t="s">
        <v>204</v>
      </c>
      <c r="R4309">
        <v>379</v>
      </c>
      <c r="S4309">
        <v>179</v>
      </c>
      <c r="T4309">
        <v>109</v>
      </c>
      <c r="U4309">
        <v>20</v>
      </c>
      <c r="V4309" t="s">
        <v>898</v>
      </c>
      <c r="W4309">
        <v>29988</v>
      </c>
      <c r="X4309" t="s">
        <v>7572</v>
      </c>
      <c r="Y4309">
        <v>26075</v>
      </c>
      <c r="Z4309">
        <v>599760</v>
      </c>
      <c r="AA4309">
        <v>78260</v>
      </c>
      <c r="AB4309" t="str">
        <f>(VLOOKUP(SalesData[[#This Row],[Month Number]],Reference!C$5:E$16,2,FALSE))</f>
        <v>Feb</v>
      </c>
      <c r="AC4309">
        <f>MONTH(SalesData[[#This Row],[Date]])</f>
        <v>2</v>
      </c>
      <c r="AD4309">
        <f>Reference!F$4</f>
        <v>2026</v>
      </c>
      <c r="AE4309" t="str">
        <f>IF(OR(SalesData[[#This Row],[Day]]="Saturday",SalesData[[#This Row],[Day]]="Sunday"),"Weekend","Weekday")</f>
        <v>Weekday</v>
      </c>
      <c r="AF4309" s="5">
        <f>IF(SalesData[[#This Row],[Contracts Offered]]=0,0,SalesData[[#This Row],[Contracts Signed]]/SalesData[[#This Row],[Contracts Offered]])</f>
        <v>0.1834862385321101</v>
      </c>
      <c r="AG4309" s="5">
        <f>IF(SalesData[[#This Row],[Customers Visited]]=0,0,SalesData[[#This Row],[Test Drives]]/SalesData[[#This Row],[Customers Visited]])</f>
        <v>0.47229551451187335</v>
      </c>
      <c r="AH4309" s="5">
        <f>IF(SalesData[[#This Row],[Customers Visited]]=0,0,SalesData[[#This Row],[Contracts Signed]]/SalesData[[#This Row],[Customers Visited]])</f>
        <v>5.2770448548812667E-2</v>
      </c>
      <c r="AI4309" s="6">
        <f>IF(SalesData[[#This Row],[Contracts Signed]]=0,0,SalesData[[#This Row],[Profit(€)]]/SalesData[[#This Row],[Contracts Signed]])</f>
        <v>3913</v>
      </c>
      <c r="AJ4309" s="5" t="str">
        <f>TRIM(CLEAN(SalesData[[#This Row],[Retailer]]))</f>
        <v>Ruhr Auto Plaza</v>
      </c>
    </row>
    <row r="4310" spans="1:36" ht="14.25" hidden="1" x14ac:dyDescent="0.2">
      <c r="A4310" t="s">
        <v>5565</v>
      </c>
      <c r="B4310" s="1">
        <v>46071</v>
      </c>
      <c r="C4310" t="s">
        <v>62</v>
      </c>
      <c r="D4310" t="s">
        <v>82</v>
      </c>
      <c r="E4310" t="s">
        <v>26</v>
      </c>
      <c r="F4310" t="s">
        <v>83</v>
      </c>
      <c r="G4310" t="s">
        <v>84</v>
      </c>
      <c r="H4310" t="s">
        <v>85</v>
      </c>
      <c r="I4310" t="s">
        <v>104</v>
      </c>
      <c r="J4310" t="s">
        <v>143</v>
      </c>
      <c r="K4310" t="s">
        <v>91</v>
      </c>
      <c r="L4310" t="s">
        <v>67</v>
      </c>
      <c r="M4310" t="s">
        <v>47</v>
      </c>
      <c r="N4310" t="s">
        <v>69</v>
      </c>
      <c r="O4310" t="s">
        <v>70</v>
      </c>
      <c r="P4310" t="s">
        <v>49</v>
      </c>
      <c r="Q4310" t="s">
        <v>158</v>
      </c>
      <c r="R4310">
        <v>359</v>
      </c>
      <c r="S4310">
        <v>194</v>
      </c>
      <c r="T4310">
        <v>115</v>
      </c>
      <c r="U4310">
        <v>29</v>
      </c>
      <c r="V4310" t="s">
        <v>190</v>
      </c>
      <c r="W4310">
        <v>31651</v>
      </c>
      <c r="X4310" t="s">
        <v>917</v>
      </c>
      <c r="Y4310">
        <v>28120</v>
      </c>
      <c r="Z4310">
        <v>917879</v>
      </c>
      <c r="AA4310">
        <v>102399</v>
      </c>
      <c r="AB4310" t="str">
        <f>(VLOOKUP(SalesData[[#This Row],[Month Number]],Reference!C$5:E$16,2,FALSE))</f>
        <v>Feb</v>
      </c>
      <c r="AC4310">
        <f>MONTH(SalesData[[#This Row],[Date]])</f>
        <v>2</v>
      </c>
      <c r="AD4310">
        <f>Reference!F$4</f>
        <v>2026</v>
      </c>
      <c r="AE4310" t="str">
        <f>IF(OR(SalesData[[#This Row],[Day]]="Saturday",SalesData[[#This Row],[Day]]="Sunday"),"Weekend","Weekday")</f>
        <v>Weekday</v>
      </c>
      <c r="AF4310" s="5">
        <f>IF(SalesData[[#This Row],[Contracts Offered]]=0,0,SalesData[[#This Row],[Contracts Signed]]/SalesData[[#This Row],[Contracts Offered]])</f>
        <v>0.25217391304347825</v>
      </c>
      <c r="AG4310" s="5">
        <f>IF(SalesData[[#This Row],[Customers Visited]]=0,0,SalesData[[#This Row],[Test Drives]]/SalesData[[#This Row],[Customers Visited]])</f>
        <v>0.54038997214484674</v>
      </c>
      <c r="AH4310" s="5">
        <f>IF(SalesData[[#This Row],[Customers Visited]]=0,0,SalesData[[#This Row],[Contracts Signed]]/SalesData[[#This Row],[Customers Visited]])</f>
        <v>8.0779944289693595E-2</v>
      </c>
      <c r="AI4310" s="6">
        <f>IF(SalesData[[#This Row],[Contracts Signed]]=0,0,SalesData[[#This Row],[Profit(€)]]/SalesData[[#This Row],[Contracts Signed]])</f>
        <v>3531</v>
      </c>
      <c r="AJ4310" s="5" t="str">
        <f>TRIM(CLEAN(SalesData[[#This Row],[Retailer]]))</f>
        <v>Hannover Cars</v>
      </c>
    </row>
    <row r="4311" spans="1:36" ht="14.25" x14ac:dyDescent="0.2">
      <c r="A4311" t="s">
        <v>5567</v>
      </c>
      <c r="B4311" s="1">
        <v>46066</v>
      </c>
      <c r="C4311" t="s">
        <v>121</v>
      </c>
      <c r="D4311" t="s">
        <v>54</v>
      </c>
      <c r="E4311" t="s">
        <v>26</v>
      </c>
      <c r="F4311" t="s">
        <v>127</v>
      </c>
      <c r="G4311" t="s">
        <v>128</v>
      </c>
      <c r="H4311" t="s">
        <v>103</v>
      </c>
      <c r="I4311" t="s">
        <v>30</v>
      </c>
      <c r="J4311" t="s">
        <v>166</v>
      </c>
      <c r="K4311" t="s">
        <v>78</v>
      </c>
      <c r="L4311" t="s">
        <v>46</v>
      </c>
      <c r="M4311" t="s">
        <v>68</v>
      </c>
      <c r="N4311" t="s">
        <v>69</v>
      </c>
      <c r="O4311" t="s">
        <v>70</v>
      </c>
      <c r="P4311" t="s">
        <v>37</v>
      </c>
      <c r="Q4311" t="s">
        <v>158</v>
      </c>
      <c r="R4311">
        <v>204</v>
      </c>
      <c r="S4311">
        <v>124</v>
      </c>
      <c r="T4311">
        <v>88</v>
      </c>
      <c r="U4311">
        <v>32</v>
      </c>
      <c r="V4311" t="s">
        <v>6546</v>
      </c>
      <c r="W4311">
        <v>66306</v>
      </c>
      <c r="X4311" t="s">
        <v>39</v>
      </c>
      <c r="Y4311">
        <v>50213</v>
      </c>
      <c r="Z4311">
        <v>2121792</v>
      </c>
      <c r="AA4311">
        <v>514976</v>
      </c>
      <c r="AB4311" t="str">
        <f>(VLOOKUP(SalesData[[#This Row],[Month Number]],Reference!C$5:E$16,2,FALSE))</f>
        <v>Feb</v>
      </c>
      <c r="AC4311">
        <f>MONTH(SalesData[[#This Row],[Date]])</f>
        <v>2</v>
      </c>
      <c r="AD4311">
        <f>Reference!F$4</f>
        <v>2026</v>
      </c>
      <c r="AE4311" t="str">
        <f>IF(OR(SalesData[[#This Row],[Day]]="Saturday",SalesData[[#This Row],[Day]]="Sunday"),"Weekend","Weekday")</f>
        <v>Weekday</v>
      </c>
      <c r="AF4311" s="5">
        <f>IF(SalesData[[#This Row],[Contracts Offered]]=0,0,SalesData[[#This Row],[Contracts Signed]]/SalesData[[#This Row],[Contracts Offered]])</f>
        <v>0.36363636363636365</v>
      </c>
      <c r="AG4311" s="5">
        <f>IF(SalesData[[#This Row],[Customers Visited]]=0,0,SalesData[[#This Row],[Test Drives]]/SalesData[[#This Row],[Customers Visited]])</f>
        <v>0.60784313725490191</v>
      </c>
      <c r="AH4311" s="5">
        <f>IF(SalesData[[#This Row],[Customers Visited]]=0,0,SalesData[[#This Row],[Contracts Signed]]/SalesData[[#This Row],[Customers Visited]])</f>
        <v>0.15686274509803921</v>
      </c>
      <c r="AI4311" s="6">
        <f>IF(SalesData[[#This Row],[Contracts Signed]]=0,0,SalesData[[#This Row],[Profit(€)]]/SalesData[[#This Row],[Contracts Signed]])</f>
        <v>16093</v>
      </c>
      <c r="AJ4311" s="5" t="str">
        <f>TRIM(CLEAN(SalesData[[#This Row],[Retailer]]))</f>
        <v>Rhein Auto Group</v>
      </c>
    </row>
    <row r="4312" spans="1:36" ht="14.25" hidden="1" x14ac:dyDescent="0.2">
      <c r="A4312" t="s">
        <v>5568</v>
      </c>
      <c r="B4312" s="1">
        <v>46054</v>
      </c>
      <c r="C4312" t="s">
        <v>24</v>
      </c>
      <c r="D4312" t="s">
        <v>41</v>
      </c>
      <c r="E4312" t="s">
        <v>42</v>
      </c>
      <c r="F4312" t="s">
        <v>109</v>
      </c>
      <c r="G4312" t="s">
        <v>110</v>
      </c>
      <c r="H4312" t="s">
        <v>45</v>
      </c>
      <c r="I4312" t="s">
        <v>56</v>
      </c>
      <c r="J4312" t="s">
        <v>97</v>
      </c>
      <c r="K4312" t="s">
        <v>78</v>
      </c>
      <c r="L4312" t="s">
        <v>33</v>
      </c>
      <c r="M4312" t="s">
        <v>87</v>
      </c>
      <c r="N4312" t="s">
        <v>48</v>
      </c>
      <c r="O4312" t="s">
        <v>70</v>
      </c>
      <c r="P4312" t="s">
        <v>37</v>
      </c>
      <c r="Q4312" t="s">
        <v>152</v>
      </c>
      <c r="R4312">
        <v>288</v>
      </c>
      <c r="S4312">
        <v>152</v>
      </c>
      <c r="T4312">
        <v>116</v>
      </c>
      <c r="U4312">
        <v>30</v>
      </c>
      <c r="V4312" t="s">
        <v>3828</v>
      </c>
      <c r="W4312">
        <v>45396</v>
      </c>
      <c r="X4312" t="s">
        <v>92</v>
      </c>
      <c r="Y4312">
        <v>36668</v>
      </c>
      <c r="Z4312">
        <v>1361880</v>
      </c>
      <c r="AA4312">
        <v>261840</v>
      </c>
      <c r="AB4312" t="str">
        <f>(VLOOKUP(SalesData[[#This Row],[Month Number]],Reference!C$5:E$16,2,FALSE))</f>
        <v>Feb</v>
      </c>
      <c r="AC4312">
        <f>MONTH(SalesData[[#This Row],[Date]])</f>
        <v>2</v>
      </c>
      <c r="AD4312">
        <f>Reference!F$4</f>
        <v>2026</v>
      </c>
      <c r="AE4312" t="str">
        <f>IF(OR(SalesData[[#This Row],[Day]]="Saturday",SalesData[[#This Row],[Day]]="Sunday"),"Weekend","Weekday")</f>
        <v>Weekend</v>
      </c>
      <c r="AF4312" s="5">
        <f>IF(SalesData[[#This Row],[Contracts Offered]]=0,0,SalesData[[#This Row],[Contracts Signed]]/SalesData[[#This Row],[Contracts Offered]])</f>
        <v>0.25862068965517243</v>
      </c>
      <c r="AG4312" s="5">
        <f>IF(SalesData[[#This Row],[Customers Visited]]=0,0,SalesData[[#This Row],[Test Drives]]/SalesData[[#This Row],[Customers Visited]])</f>
        <v>0.52777777777777779</v>
      </c>
      <c r="AH4312" s="5">
        <f>IF(SalesData[[#This Row],[Customers Visited]]=0,0,SalesData[[#This Row],[Contracts Signed]]/SalesData[[#This Row],[Customers Visited]])</f>
        <v>0.10416666666666667</v>
      </c>
      <c r="AI4312" s="6">
        <f>IF(SalesData[[#This Row],[Contracts Signed]]=0,0,SalesData[[#This Row],[Profit(€)]]/SalesData[[#This Row],[Contracts Signed]])</f>
        <v>8728</v>
      </c>
      <c r="AJ4312" s="5" t="str">
        <f>TRIM(CLEAN(SalesData[[#This Row],[Retailer]]))</f>
        <v>Leipzig Mobility</v>
      </c>
    </row>
    <row r="4313" spans="1:36" ht="14.25" hidden="1" x14ac:dyDescent="0.2">
      <c r="A4313" t="s">
        <v>5569</v>
      </c>
      <c r="B4313" s="1">
        <v>46079</v>
      </c>
      <c r="C4313" t="s">
        <v>53</v>
      </c>
      <c r="D4313" t="s">
        <v>100</v>
      </c>
      <c r="E4313" t="s">
        <v>26</v>
      </c>
      <c r="F4313" t="s">
        <v>7649</v>
      </c>
      <c r="G4313" t="s">
        <v>55</v>
      </c>
      <c r="H4313" t="s">
        <v>55</v>
      </c>
      <c r="I4313" t="s">
        <v>116</v>
      </c>
      <c r="J4313" t="s">
        <v>203</v>
      </c>
      <c r="K4313" t="s">
        <v>32</v>
      </c>
      <c r="L4313" t="s">
        <v>67</v>
      </c>
      <c r="M4313" t="s">
        <v>34</v>
      </c>
      <c r="N4313" t="s">
        <v>69</v>
      </c>
      <c r="O4313" t="s">
        <v>36</v>
      </c>
      <c r="P4313" t="s">
        <v>58</v>
      </c>
      <c r="Q4313" t="s">
        <v>144</v>
      </c>
      <c r="R4313">
        <v>415</v>
      </c>
      <c r="S4313">
        <v>177</v>
      </c>
      <c r="T4313">
        <v>100</v>
      </c>
      <c r="U4313">
        <v>38</v>
      </c>
      <c r="V4313" t="s">
        <v>6623</v>
      </c>
      <c r="W4313">
        <v>24862</v>
      </c>
      <c r="X4313" t="s">
        <v>245</v>
      </c>
      <c r="Y4313">
        <v>22133</v>
      </c>
      <c r="Z4313">
        <v>944756</v>
      </c>
      <c r="AA4313">
        <v>103702</v>
      </c>
      <c r="AB4313" t="str">
        <f>(VLOOKUP(SalesData[[#This Row],[Month Number]],Reference!C$5:E$16,2,FALSE))</f>
        <v>Feb</v>
      </c>
      <c r="AC4313">
        <f>MONTH(SalesData[[#This Row],[Date]])</f>
        <v>2</v>
      </c>
      <c r="AD4313">
        <f>Reference!F$4</f>
        <v>2026</v>
      </c>
      <c r="AE4313" t="str">
        <f>IF(OR(SalesData[[#This Row],[Day]]="Saturday",SalesData[[#This Row],[Day]]="Sunday"),"Weekend","Weekday")</f>
        <v>Weekday</v>
      </c>
      <c r="AF4313" s="5">
        <f>IF(SalesData[[#This Row],[Contracts Offered]]=0,0,SalesData[[#This Row],[Contracts Signed]]/SalesData[[#This Row],[Contracts Offered]])</f>
        <v>0.38</v>
      </c>
      <c r="AG4313" s="5">
        <f>IF(SalesData[[#This Row],[Customers Visited]]=0,0,SalesData[[#This Row],[Test Drives]]/SalesData[[#This Row],[Customers Visited]])</f>
        <v>0.42650602409638555</v>
      </c>
      <c r="AH4313" s="5">
        <f>IF(SalesData[[#This Row],[Customers Visited]]=0,0,SalesData[[#This Row],[Contracts Signed]]/SalesData[[#This Row],[Customers Visited]])</f>
        <v>9.1566265060240959E-2</v>
      </c>
      <c r="AI4313" s="6">
        <f>IF(SalesData[[#This Row],[Contracts Signed]]=0,0,SalesData[[#This Row],[Profit(€)]]/SalesData[[#This Row],[Contracts Signed]])</f>
        <v>2729</v>
      </c>
      <c r="AJ4313" s="5" t="str">
        <f>TRIM(CLEAN(SalesData[[#This Row],[Retailer]]))</f>
        <v>Autohaus Berlin</v>
      </c>
    </row>
    <row r="4314" spans="1:36" ht="14.25" hidden="1" x14ac:dyDescent="0.2">
      <c r="A4314" t="s">
        <v>5570</v>
      </c>
      <c r="B4314" s="1">
        <v>46068</v>
      </c>
      <c r="C4314" t="s">
        <v>62</v>
      </c>
      <c r="D4314" t="s">
        <v>41</v>
      </c>
      <c r="E4314" t="s">
        <v>42</v>
      </c>
      <c r="F4314" t="s">
        <v>101</v>
      </c>
      <c r="G4314" t="s">
        <v>102</v>
      </c>
      <c r="H4314" t="s">
        <v>103</v>
      </c>
      <c r="I4314" t="s">
        <v>64</v>
      </c>
      <c r="J4314" t="s">
        <v>111</v>
      </c>
      <c r="K4314" t="s">
        <v>32</v>
      </c>
      <c r="L4314" t="s">
        <v>46</v>
      </c>
      <c r="M4314" t="s">
        <v>87</v>
      </c>
      <c r="N4314" t="s">
        <v>69</v>
      </c>
      <c r="O4314" t="s">
        <v>36</v>
      </c>
      <c r="P4314" t="s">
        <v>37</v>
      </c>
      <c r="Q4314" t="s">
        <v>347</v>
      </c>
      <c r="R4314">
        <v>281</v>
      </c>
      <c r="S4314">
        <v>135</v>
      </c>
      <c r="T4314">
        <v>90</v>
      </c>
      <c r="U4314">
        <v>28</v>
      </c>
      <c r="V4314" t="s">
        <v>7440</v>
      </c>
      <c r="W4314">
        <v>58542</v>
      </c>
      <c r="X4314" t="s">
        <v>184</v>
      </c>
      <c r="Y4314">
        <v>44016</v>
      </c>
      <c r="Z4314">
        <v>1639176</v>
      </c>
      <c r="AA4314">
        <v>406728</v>
      </c>
      <c r="AB4314" t="str">
        <f>(VLOOKUP(SalesData[[#This Row],[Month Number]],Reference!C$5:E$16,2,FALSE))</f>
        <v>Feb</v>
      </c>
      <c r="AC4314">
        <f>MONTH(SalesData[[#This Row],[Date]])</f>
        <v>2</v>
      </c>
      <c r="AD4314">
        <f>Reference!F$4</f>
        <v>2026</v>
      </c>
      <c r="AE4314" t="str">
        <f>IF(OR(SalesData[[#This Row],[Day]]="Saturday",SalesData[[#This Row],[Day]]="Sunday"),"Weekend","Weekday")</f>
        <v>Weekend</v>
      </c>
      <c r="AF4314" s="5">
        <f>IF(SalesData[[#This Row],[Contracts Offered]]=0,0,SalesData[[#This Row],[Contracts Signed]]/SalesData[[#This Row],[Contracts Offered]])</f>
        <v>0.31111111111111112</v>
      </c>
      <c r="AG4314" s="5">
        <f>IF(SalesData[[#This Row],[Customers Visited]]=0,0,SalesData[[#This Row],[Test Drives]]/SalesData[[#This Row],[Customers Visited]])</f>
        <v>0.4804270462633452</v>
      </c>
      <c r="AH4314" s="5">
        <f>IF(SalesData[[#This Row],[Customers Visited]]=0,0,SalesData[[#This Row],[Contracts Signed]]/SalesData[[#This Row],[Customers Visited]])</f>
        <v>9.9644128113879002E-2</v>
      </c>
      <c r="AI4314" s="6">
        <f>IF(SalesData[[#This Row],[Contracts Signed]]=0,0,SalesData[[#This Row],[Profit(€)]]/SalesData[[#This Row],[Contracts Signed]])</f>
        <v>14526</v>
      </c>
      <c r="AJ4314" s="5" t="str">
        <f>TRIM(CLEAN(SalesData[[#This Row],[Retailer]]))</f>
        <v>Ruhr Auto Plaza</v>
      </c>
    </row>
    <row r="4315" spans="1:36" ht="14.25" hidden="1" x14ac:dyDescent="0.2">
      <c r="A4315" t="s">
        <v>5571</v>
      </c>
      <c r="B4315" s="1">
        <v>46068</v>
      </c>
      <c r="C4315" t="s">
        <v>62</v>
      </c>
      <c r="D4315" t="s">
        <v>41</v>
      </c>
      <c r="E4315" t="s">
        <v>42</v>
      </c>
      <c r="F4315" t="s">
        <v>43</v>
      </c>
      <c r="G4315" t="s">
        <v>44</v>
      </c>
      <c r="H4315" t="s">
        <v>45</v>
      </c>
      <c r="I4315" t="s">
        <v>56</v>
      </c>
      <c r="J4315" t="s">
        <v>137</v>
      </c>
      <c r="K4315" t="s">
        <v>78</v>
      </c>
      <c r="L4315" t="s">
        <v>46</v>
      </c>
      <c r="M4315" t="s">
        <v>34</v>
      </c>
      <c r="N4315" t="s">
        <v>48</v>
      </c>
      <c r="O4315" t="s">
        <v>70</v>
      </c>
      <c r="P4315" t="s">
        <v>71</v>
      </c>
      <c r="Q4315" t="s">
        <v>204</v>
      </c>
      <c r="R4315">
        <v>221</v>
      </c>
      <c r="S4315">
        <v>134</v>
      </c>
      <c r="T4315">
        <v>95</v>
      </c>
      <c r="U4315">
        <v>31</v>
      </c>
      <c r="V4315" t="s">
        <v>6825</v>
      </c>
      <c r="W4315">
        <v>42608</v>
      </c>
      <c r="X4315" t="s">
        <v>3488</v>
      </c>
      <c r="Y4315">
        <v>33825</v>
      </c>
      <c r="Z4315">
        <v>1320848</v>
      </c>
      <c r="AA4315">
        <v>272273</v>
      </c>
      <c r="AB4315" t="str">
        <f>(VLOOKUP(SalesData[[#This Row],[Month Number]],Reference!C$5:E$16,2,FALSE))</f>
        <v>Feb</v>
      </c>
      <c r="AC4315">
        <f>MONTH(SalesData[[#This Row],[Date]])</f>
        <v>2</v>
      </c>
      <c r="AD4315">
        <f>Reference!F$4</f>
        <v>2026</v>
      </c>
      <c r="AE4315" t="str">
        <f>IF(OR(SalesData[[#This Row],[Day]]="Saturday",SalesData[[#This Row],[Day]]="Sunday"),"Weekend","Weekday")</f>
        <v>Weekend</v>
      </c>
      <c r="AF4315" s="5">
        <f>IF(SalesData[[#This Row],[Contracts Offered]]=0,0,SalesData[[#This Row],[Contracts Signed]]/SalesData[[#This Row],[Contracts Offered]])</f>
        <v>0.32631578947368423</v>
      </c>
      <c r="AG4315" s="5">
        <f>IF(SalesData[[#This Row],[Customers Visited]]=0,0,SalesData[[#This Row],[Test Drives]]/SalesData[[#This Row],[Customers Visited]])</f>
        <v>0.60633484162895923</v>
      </c>
      <c r="AH4315" s="5">
        <f>IF(SalesData[[#This Row],[Customers Visited]]=0,0,SalesData[[#This Row],[Contracts Signed]]/SalesData[[#This Row],[Customers Visited]])</f>
        <v>0.14027149321266968</v>
      </c>
      <c r="AI4315" s="6">
        <f>IF(SalesData[[#This Row],[Contracts Signed]]=0,0,SalesData[[#This Row],[Profit(€)]]/SalesData[[#This Row],[Contracts Signed]])</f>
        <v>8783</v>
      </c>
      <c r="AJ4315" s="5" t="str">
        <f>TRIM(CLEAN(SalesData[[#This Row],[Retailer]]))</f>
        <v>Saxon Wheels</v>
      </c>
    </row>
    <row r="4316" spans="1:36" ht="14.25" hidden="1" x14ac:dyDescent="0.2">
      <c r="A4316" t="s">
        <v>5572</v>
      </c>
      <c r="B4316" s="1">
        <v>46071</v>
      </c>
      <c r="C4316" t="s">
        <v>62</v>
      </c>
      <c r="D4316" t="s">
        <v>82</v>
      </c>
      <c r="E4316" t="s">
        <v>26</v>
      </c>
      <c r="F4316" t="s">
        <v>114</v>
      </c>
      <c r="G4316" t="s">
        <v>115</v>
      </c>
      <c r="H4316" t="s">
        <v>115</v>
      </c>
      <c r="I4316" t="s">
        <v>56</v>
      </c>
      <c r="J4316" t="s">
        <v>57</v>
      </c>
      <c r="K4316" t="s">
        <v>66</v>
      </c>
      <c r="L4316" t="s">
        <v>46</v>
      </c>
      <c r="M4316" t="s">
        <v>87</v>
      </c>
      <c r="N4316" t="s">
        <v>48</v>
      </c>
      <c r="O4316" t="s">
        <v>36</v>
      </c>
      <c r="P4316" t="s">
        <v>71</v>
      </c>
      <c r="Q4316" t="s">
        <v>79</v>
      </c>
      <c r="R4316">
        <v>207</v>
      </c>
      <c r="S4316">
        <v>108</v>
      </c>
      <c r="T4316">
        <v>72</v>
      </c>
      <c r="U4316">
        <v>29</v>
      </c>
      <c r="V4316" t="s">
        <v>6727</v>
      </c>
      <c r="W4316">
        <v>42944</v>
      </c>
      <c r="X4316" t="s">
        <v>5630</v>
      </c>
      <c r="Y4316">
        <v>34292</v>
      </c>
      <c r="Z4316">
        <v>1245376</v>
      </c>
      <c r="AA4316">
        <v>250908</v>
      </c>
      <c r="AB4316" t="str">
        <f>(VLOOKUP(SalesData[[#This Row],[Month Number]],Reference!C$5:E$16,2,FALSE))</f>
        <v>Feb</v>
      </c>
      <c r="AC4316">
        <f>MONTH(SalesData[[#This Row],[Date]])</f>
        <v>2</v>
      </c>
      <c r="AD4316">
        <f>Reference!F$4</f>
        <v>2026</v>
      </c>
      <c r="AE4316" t="str">
        <f>IF(OR(SalesData[[#This Row],[Day]]="Saturday",SalesData[[#This Row],[Day]]="Sunday"),"Weekend","Weekday")</f>
        <v>Weekday</v>
      </c>
      <c r="AF4316" s="5">
        <f>IF(SalesData[[#This Row],[Contracts Offered]]=0,0,SalesData[[#This Row],[Contracts Signed]]/SalesData[[#This Row],[Contracts Offered]])</f>
        <v>0.40277777777777779</v>
      </c>
      <c r="AG4316" s="5">
        <f>IF(SalesData[[#This Row],[Customers Visited]]=0,0,SalesData[[#This Row],[Test Drives]]/SalesData[[#This Row],[Customers Visited]])</f>
        <v>0.52173913043478259</v>
      </c>
      <c r="AH4316" s="5">
        <f>IF(SalesData[[#This Row],[Customers Visited]]=0,0,SalesData[[#This Row],[Contracts Signed]]/SalesData[[#This Row],[Customers Visited]])</f>
        <v>0.14009661835748793</v>
      </c>
      <c r="AI4316" s="6">
        <f>IF(SalesData[[#This Row],[Contracts Signed]]=0,0,SalesData[[#This Row],[Profit(€)]]/SalesData[[#This Row],[Contracts Signed]])</f>
        <v>8652</v>
      </c>
      <c r="AJ4316" s="5" t="str">
        <f>TRIM(CLEAN(SalesData[[#This Row],[Retailer]]))</f>
        <v>Elbe Drive</v>
      </c>
    </row>
    <row r="4317" spans="1:36" ht="14.25" hidden="1" x14ac:dyDescent="0.2">
      <c r="A4317" t="s">
        <v>5573</v>
      </c>
      <c r="B4317" s="1">
        <v>46069</v>
      </c>
      <c r="C4317" t="s">
        <v>62</v>
      </c>
      <c r="D4317" t="s">
        <v>25</v>
      </c>
      <c r="E4317" t="s">
        <v>26</v>
      </c>
      <c r="F4317" t="s">
        <v>94</v>
      </c>
      <c r="G4317" t="s">
        <v>95</v>
      </c>
      <c r="H4317" t="s">
        <v>96</v>
      </c>
      <c r="I4317" t="s">
        <v>56</v>
      </c>
      <c r="J4317" t="s">
        <v>7028</v>
      </c>
      <c r="K4317" t="s">
        <v>91</v>
      </c>
      <c r="L4317" t="s">
        <v>46</v>
      </c>
      <c r="M4317" t="s">
        <v>34</v>
      </c>
      <c r="N4317" t="s">
        <v>35</v>
      </c>
      <c r="O4317" t="s">
        <v>36</v>
      </c>
      <c r="P4317" t="s">
        <v>37</v>
      </c>
      <c r="Q4317" t="s">
        <v>122</v>
      </c>
      <c r="R4317">
        <v>262</v>
      </c>
      <c r="S4317">
        <v>129</v>
      </c>
      <c r="T4317">
        <v>99</v>
      </c>
      <c r="U4317">
        <v>28</v>
      </c>
      <c r="V4317" t="s">
        <v>6731</v>
      </c>
      <c r="W4317">
        <v>48874</v>
      </c>
      <c r="X4317" t="s">
        <v>7529</v>
      </c>
      <c r="Y4317">
        <v>38295</v>
      </c>
      <c r="Z4317">
        <v>1368472</v>
      </c>
      <c r="AA4317">
        <v>296212</v>
      </c>
      <c r="AB4317" t="str">
        <f>(VLOOKUP(SalesData[[#This Row],[Month Number]],Reference!C$5:E$16,2,FALSE))</f>
        <v>Feb</v>
      </c>
      <c r="AC4317">
        <f>MONTH(SalesData[[#This Row],[Date]])</f>
        <v>2</v>
      </c>
      <c r="AD4317">
        <f>Reference!F$4</f>
        <v>2026</v>
      </c>
      <c r="AE4317" t="str">
        <f>IF(OR(SalesData[[#This Row],[Day]]="Saturday",SalesData[[#This Row],[Day]]="Sunday"),"Weekend","Weekday")</f>
        <v>Weekday</v>
      </c>
      <c r="AF4317" s="5">
        <f>IF(SalesData[[#This Row],[Contracts Offered]]=0,0,SalesData[[#This Row],[Contracts Signed]]/SalesData[[#This Row],[Contracts Offered]])</f>
        <v>0.28282828282828282</v>
      </c>
      <c r="AG4317" s="5">
        <f>IF(SalesData[[#This Row],[Customers Visited]]=0,0,SalesData[[#This Row],[Test Drives]]/SalesData[[#This Row],[Customers Visited]])</f>
        <v>0.49236641221374045</v>
      </c>
      <c r="AH4317" s="5">
        <f>IF(SalesData[[#This Row],[Customers Visited]]=0,0,SalesData[[#This Row],[Contracts Signed]]/SalesData[[#This Row],[Customers Visited]])</f>
        <v>0.10687022900763359</v>
      </c>
      <c r="AI4317" s="6">
        <f>IF(SalesData[[#This Row],[Contracts Signed]]=0,0,SalesData[[#This Row],[Profit(€)]]/SalesData[[#This Row],[Contracts Signed]])</f>
        <v>10579</v>
      </c>
      <c r="AJ4317" s="5" t="str">
        <f>TRIM(CLEAN(SalesData[[#This Row],[Retailer]]))</f>
        <v>Bavaria Motors</v>
      </c>
    </row>
    <row r="4318" spans="1:36" ht="14.25" hidden="1" x14ac:dyDescent="0.2">
      <c r="A4318" t="s">
        <v>5574</v>
      </c>
      <c r="B4318" s="1">
        <v>46074</v>
      </c>
      <c r="C4318" t="s">
        <v>62</v>
      </c>
      <c r="D4318" t="s">
        <v>151</v>
      </c>
      <c r="E4318" t="s">
        <v>42</v>
      </c>
      <c r="F4318" t="s">
        <v>74</v>
      </c>
      <c r="G4318" t="s">
        <v>75</v>
      </c>
      <c r="H4318" t="s">
        <v>76</v>
      </c>
      <c r="I4318" t="s">
        <v>116</v>
      </c>
      <c r="J4318" t="s">
        <v>117</v>
      </c>
      <c r="K4318" t="s">
        <v>32</v>
      </c>
      <c r="L4318" t="s">
        <v>67</v>
      </c>
      <c r="M4318" t="s">
        <v>47</v>
      </c>
      <c r="N4318" t="s">
        <v>69</v>
      </c>
      <c r="O4318" t="s">
        <v>70</v>
      </c>
      <c r="P4318" t="s">
        <v>49</v>
      </c>
      <c r="Q4318" t="s">
        <v>144</v>
      </c>
      <c r="R4318">
        <v>424</v>
      </c>
      <c r="S4318">
        <v>230</v>
      </c>
      <c r="T4318">
        <v>143</v>
      </c>
      <c r="U4318">
        <v>38</v>
      </c>
      <c r="V4318" t="s">
        <v>5560</v>
      </c>
      <c r="W4318">
        <v>20217</v>
      </c>
      <c r="X4318" t="s">
        <v>7129</v>
      </c>
      <c r="Y4318">
        <v>18288</v>
      </c>
      <c r="Z4318">
        <v>768246</v>
      </c>
      <c r="AA4318">
        <v>73302</v>
      </c>
      <c r="AB4318" t="str">
        <f>(VLOOKUP(SalesData[[#This Row],[Month Number]],Reference!C$5:E$16,2,FALSE))</f>
        <v>Feb</v>
      </c>
      <c r="AC4318">
        <f>MONTH(SalesData[[#This Row],[Date]])</f>
        <v>2</v>
      </c>
      <c r="AD4318">
        <f>Reference!F$4</f>
        <v>2026</v>
      </c>
      <c r="AE4318" t="str">
        <f>IF(OR(SalesData[[#This Row],[Day]]="Saturday",SalesData[[#This Row],[Day]]="Sunday"),"Weekend","Weekday")</f>
        <v>Weekend</v>
      </c>
      <c r="AF4318" s="5">
        <f>IF(SalesData[[#This Row],[Contracts Offered]]=0,0,SalesData[[#This Row],[Contracts Signed]]/SalesData[[#This Row],[Contracts Offered]])</f>
        <v>0.26573426573426573</v>
      </c>
      <c r="AG4318" s="5">
        <f>IF(SalesData[[#This Row],[Customers Visited]]=0,0,SalesData[[#This Row],[Test Drives]]/SalesData[[#This Row],[Customers Visited]])</f>
        <v>0.54245283018867929</v>
      </c>
      <c r="AH4318" s="5">
        <f>IF(SalesData[[#This Row],[Customers Visited]]=0,0,SalesData[[#This Row],[Contracts Signed]]/SalesData[[#This Row],[Customers Visited]])</f>
        <v>8.9622641509433956E-2</v>
      </c>
      <c r="AI4318" s="6">
        <f>IF(SalesData[[#This Row],[Contracts Signed]]=0,0,SalesData[[#This Row],[Profit(€)]]/SalesData[[#This Row],[Contracts Signed]])</f>
        <v>1929</v>
      </c>
      <c r="AJ4318" s="5" t="str">
        <f>TRIM(CLEAN(SalesData[[#This Row],[Retailer]]))</f>
        <v>Stuttgart Auto Center</v>
      </c>
    </row>
    <row r="4319" spans="1:36" ht="14.25" hidden="1" x14ac:dyDescent="0.2">
      <c r="A4319" t="s">
        <v>5575</v>
      </c>
      <c r="B4319" s="1">
        <v>46078</v>
      </c>
      <c r="C4319" t="s">
        <v>53</v>
      </c>
      <c r="D4319" t="s">
        <v>82</v>
      </c>
      <c r="E4319" t="s">
        <v>26</v>
      </c>
      <c r="F4319" t="s">
        <v>94</v>
      </c>
      <c r="G4319" t="s">
        <v>95</v>
      </c>
      <c r="H4319" t="s">
        <v>96</v>
      </c>
      <c r="I4319" t="s">
        <v>56</v>
      </c>
      <c r="J4319" t="s">
        <v>97</v>
      </c>
      <c r="K4319" t="s">
        <v>66</v>
      </c>
      <c r="L4319" t="s">
        <v>33</v>
      </c>
      <c r="M4319" t="s">
        <v>34</v>
      </c>
      <c r="N4319" t="s">
        <v>69</v>
      </c>
      <c r="O4319" t="s">
        <v>36</v>
      </c>
      <c r="P4319" t="s">
        <v>37</v>
      </c>
      <c r="Q4319" t="s">
        <v>172</v>
      </c>
      <c r="R4319">
        <v>186</v>
      </c>
      <c r="S4319">
        <v>105</v>
      </c>
      <c r="T4319">
        <v>74</v>
      </c>
      <c r="U4319">
        <v>25</v>
      </c>
      <c r="V4319" t="s">
        <v>6383</v>
      </c>
      <c r="W4319">
        <v>46220</v>
      </c>
      <c r="X4319" t="s">
        <v>550</v>
      </c>
      <c r="Y4319">
        <v>36324</v>
      </c>
      <c r="Z4319">
        <v>1155500</v>
      </c>
      <c r="AA4319">
        <v>247400</v>
      </c>
      <c r="AB4319" t="str">
        <f>(VLOOKUP(SalesData[[#This Row],[Month Number]],Reference!C$5:E$16,2,FALSE))</f>
        <v>Feb</v>
      </c>
      <c r="AC4319">
        <f>MONTH(SalesData[[#This Row],[Date]])</f>
        <v>2</v>
      </c>
      <c r="AD4319">
        <f>Reference!F$4</f>
        <v>2026</v>
      </c>
      <c r="AE4319" t="str">
        <f>IF(OR(SalesData[[#This Row],[Day]]="Saturday",SalesData[[#This Row],[Day]]="Sunday"),"Weekend","Weekday")</f>
        <v>Weekday</v>
      </c>
      <c r="AF4319" s="5">
        <f>IF(SalesData[[#This Row],[Contracts Offered]]=0,0,SalesData[[#This Row],[Contracts Signed]]/SalesData[[#This Row],[Contracts Offered]])</f>
        <v>0.33783783783783783</v>
      </c>
      <c r="AG4319" s="5">
        <f>IF(SalesData[[#This Row],[Customers Visited]]=0,0,SalesData[[#This Row],[Test Drives]]/SalesData[[#This Row],[Customers Visited]])</f>
        <v>0.56451612903225812</v>
      </c>
      <c r="AH4319" s="5">
        <f>IF(SalesData[[#This Row],[Customers Visited]]=0,0,SalesData[[#This Row],[Contracts Signed]]/SalesData[[#This Row],[Customers Visited]])</f>
        <v>0.13440860215053763</v>
      </c>
      <c r="AI4319" s="6">
        <f>IF(SalesData[[#This Row],[Contracts Signed]]=0,0,SalesData[[#This Row],[Profit(€)]]/SalesData[[#This Row],[Contracts Signed]])</f>
        <v>9896</v>
      </c>
      <c r="AJ4319" s="5" t="str">
        <f>TRIM(CLEAN(SalesData[[#This Row],[Retailer]]))</f>
        <v>Bavaria Motors</v>
      </c>
    </row>
    <row r="4320" spans="1:36" ht="14.25" x14ac:dyDescent="0.2">
      <c r="A4320" t="s">
        <v>5577</v>
      </c>
      <c r="B4320" s="1">
        <v>46078</v>
      </c>
      <c r="C4320" t="s">
        <v>53</v>
      </c>
      <c r="D4320" t="s">
        <v>82</v>
      </c>
      <c r="E4320" t="s">
        <v>26</v>
      </c>
      <c r="F4320" t="s">
        <v>83</v>
      </c>
      <c r="G4320" t="s">
        <v>84</v>
      </c>
      <c r="H4320" t="s">
        <v>85</v>
      </c>
      <c r="I4320" t="s">
        <v>30</v>
      </c>
      <c r="J4320" t="s">
        <v>188</v>
      </c>
      <c r="K4320" t="s">
        <v>32</v>
      </c>
      <c r="L4320" t="s">
        <v>33</v>
      </c>
      <c r="M4320" t="s">
        <v>47</v>
      </c>
      <c r="N4320" t="s">
        <v>35</v>
      </c>
      <c r="O4320" t="s">
        <v>70</v>
      </c>
      <c r="P4320" t="s">
        <v>71</v>
      </c>
      <c r="Q4320" t="s">
        <v>122</v>
      </c>
      <c r="R4320">
        <v>185</v>
      </c>
      <c r="S4320">
        <v>104</v>
      </c>
      <c r="T4320">
        <v>84</v>
      </c>
      <c r="U4320">
        <v>27</v>
      </c>
      <c r="V4320" t="s">
        <v>6635</v>
      </c>
      <c r="W4320">
        <v>56179</v>
      </c>
      <c r="X4320" t="s">
        <v>7434</v>
      </c>
      <c r="Y4320">
        <v>40507</v>
      </c>
      <c r="Z4320">
        <v>1516833</v>
      </c>
      <c r="AA4320">
        <v>423144</v>
      </c>
      <c r="AB4320" t="str">
        <f>(VLOOKUP(SalesData[[#This Row],[Month Number]],Reference!C$5:E$16,2,FALSE))</f>
        <v>Feb</v>
      </c>
      <c r="AC4320">
        <f>MONTH(SalesData[[#This Row],[Date]])</f>
        <v>2</v>
      </c>
      <c r="AD4320">
        <f>Reference!F$4</f>
        <v>2026</v>
      </c>
      <c r="AE4320" t="str">
        <f>IF(OR(SalesData[[#This Row],[Day]]="Saturday",SalesData[[#This Row],[Day]]="Sunday"),"Weekend","Weekday")</f>
        <v>Weekday</v>
      </c>
      <c r="AF4320" s="5">
        <f>IF(SalesData[[#This Row],[Contracts Offered]]=0,0,SalesData[[#This Row],[Contracts Signed]]/SalesData[[#This Row],[Contracts Offered]])</f>
        <v>0.32142857142857145</v>
      </c>
      <c r="AG4320" s="5">
        <f>IF(SalesData[[#This Row],[Customers Visited]]=0,0,SalesData[[#This Row],[Test Drives]]/SalesData[[#This Row],[Customers Visited]])</f>
        <v>0.56216216216216219</v>
      </c>
      <c r="AH4320" s="5">
        <f>IF(SalesData[[#This Row],[Customers Visited]]=0,0,SalesData[[#This Row],[Contracts Signed]]/SalesData[[#This Row],[Customers Visited]])</f>
        <v>0.14594594594594595</v>
      </c>
      <c r="AI4320" s="6">
        <f>IF(SalesData[[#This Row],[Contracts Signed]]=0,0,SalesData[[#This Row],[Profit(€)]]/SalesData[[#This Row],[Contracts Signed]])</f>
        <v>15672</v>
      </c>
      <c r="AJ4320" s="5" t="str">
        <f>TRIM(CLEAN(SalesData[[#This Row],[Retailer]]))</f>
        <v>Hannover Cars</v>
      </c>
    </row>
    <row r="4321" spans="1:36" ht="14.25" hidden="1" x14ac:dyDescent="0.2">
      <c r="A4321" t="s">
        <v>5578</v>
      </c>
      <c r="B4321" s="1">
        <v>46080</v>
      </c>
      <c r="C4321" t="s">
        <v>53</v>
      </c>
      <c r="D4321" t="s">
        <v>54</v>
      </c>
      <c r="E4321" t="s">
        <v>26</v>
      </c>
      <c r="F4321" t="s">
        <v>94</v>
      </c>
      <c r="G4321" t="s">
        <v>95</v>
      </c>
      <c r="H4321" t="s">
        <v>96</v>
      </c>
      <c r="I4321" t="s">
        <v>56</v>
      </c>
      <c r="J4321" t="s">
        <v>179</v>
      </c>
      <c r="K4321" t="s">
        <v>66</v>
      </c>
      <c r="L4321" t="s">
        <v>67</v>
      </c>
      <c r="M4321" t="s">
        <v>87</v>
      </c>
      <c r="N4321" t="s">
        <v>35</v>
      </c>
      <c r="O4321" t="s">
        <v>36</v>
      </c>
      <c r="P4321" t="s">
        <v>58</v>
      </c>
      <c r="Q4321" t="s">
        <v>167</v>
      </c>
      <c r="R4321">
        <v>279</v>
      </c>
      <c r="S4321">
        <v>131</v>
      </c>
      <c r="T4321">
        <v>86</v>
      </c>
      <c r="U4321">
        <v>34</v>
      </c>
      <c r="V4321" t="s">
        <v>6725</v>
      </c>
      <c r="W4321">
        <v>43460</v>
      </c>
      <c r="X4321" t="s">
        <v>7216</v>
      </c>
      <c r="Y4321">
        <v>34989</v>
      </c>
      <c r="Z4321">
        <v>1477640</v>
      </c>
      <c r="AA4321">
        <v>288014</v>
      </c>
      <c r="AB4321" t="str">
        <f>(VLOOKUP(SalesData[[#This Row],[Month Number]],Reference!C$5:E$16,2,FALSE))</f>
        <v>Feb</v>
      </c>
      <c r="AC4321">
        <f>MONTH(SalesData[[#This Row],[Date]])</f>
        <v>2</v>
      </c>
      <c r="AD4321">
        <f>Reference!F$4</f>
        <v>2026</v>
      </c>
      <c r="AE4321" t="str">
        <f>IF(OR(SalesData[[#This Row],[Day]]="Saturday",SalesData[[#This Row],[Day]]="Sunday"),"Weekend","Weekday")</f>
        <v>Weekday</v>
      </c>
      <c r="AF4321" s="5">
        <f>IF(SalesData[[#This Row],[Contracts Offered]]=0,0,SalesData[[#This Row],[Contracts Signed]]/SalesData[[#This Row],[Contracts Offered]])</f>
        <v>0.39534883720930231</v>
      </c>
      <c r="AG4321" s="5">
        <f>IF(SalesData[[#This Row],[Customers Visited]]=0,0,SalesData[[#This Row],[Test Drives]]/SalesData[[#This Row],[Customers Visited]])</f>
        <v>0.46953405017921146</v>
      </c>
      <c r="AH4321" s="5">
        <f>IF(SalesData[[#This Row],[Customers Visited]]=0,0,SalesData[[#This Row],[Contracts Signed]]/SalesData[[#This Row],[Customers Visited]])</f>
        <v>0.12186379928315412</v>
      </c>
      <c r="AI4321" s="6">
        <f>IF(SalesData[[#This Row],[Contracts Signed]]=0,0,SalesData[[#This Row],[Profit(€)]]/SalesData[[#This Row],[Contracts Signed]])</f>
        <v>8471</v>
      </c>
      <c r="AJ4321" s="5" t="str">
        <f>TRIM(CLEAN(SalesData[[#This Row],[Retailer]]))</f>
        <v>Bavaria Motors</v>
      </c>
    </row>
    <row r="4322" spans="1:36" ht="14.25" hidden="1" x14ac:dyDescent="0.2">
      <c r="A4322" t="s">
        <v>5579</v>
      </c>
      <c r="B4322" s="1">
        <v>46073</v>
      </c>
      <c r="C4322" t="s">
        <v>62</v>
      </c>
      <c r="D4322" t="s">
        <v>54</v>
      </c>
      <c r="E4322" t="s">
        <v>26</v>
      </c>
      <c r="F4322" t="s">
        <v>43</v>
      </c>
      <c r="G4322" t="s">
        <v>44</v>
      </c>
      <c r="H4322" t="s">
        <v>45</v>
      </c>
      <c r="I4322" t="s">
        <v>104</v>
      </c>
      <c r="J4322" t="s">
        <v>105</v>
      </c>
      <c r="K4322" t="s">
        <v>66</v>
      </c>
      <c r="L4322" t="s">
        <v>33</v>
      </c>
      <c r="M4322" t="s">
        <v>47</v>
      </c>
      <c r="N4322" t="s">
        <v>35</v>
      </c>
      <c r="O4322" t="s">
        <v>36</v>
      </c>
      <c r="P4322" t="s">
        <v>71</v>
      </c>
      <c r="Q4322" t="s">
        <v>204</v>
      </c>
      <c r="R4322">
        <v>441</v>
      </c>
      <c r="S4322">
        <v>202</v>
      </c>
      <c r="T4322">
        <v>133</v>
      </c>
      <c r="U4322">
        <v>30</v>
      </c>
      <c r="V4322" t="s">
        <v>1319</v>
      </c>
      <c r="W4322">
        <v>34657</v>
      </c>
      <c r="X4322" t="s">
        <v>7203</v>
      </c>
      <c r="Y4322">
        <v>31101</v>
      </c>
      <c r="Z4322">
        <v>1039710</v>
      </c>
      <c r="AA4322">
        <v>106680</v>
      </c>
      <c r="AB4322" t="str">
        <f>(VLOOKUP(SalesData[[#This Row],[Month Number]],Reference!C$5:E$16,2,FALSE))</f>
        <v>Feb</v>
      </c>
      <c r="AC4322">
        <f>MONTH(SalesData[[#This Row],[Date]])</f>
        <v>2</v>
      </c>
      <c r="AD4322">
        <f>Reference!F$4</f>
        <v>2026</v>
      </c>
      <c r="AE4322" t="str">
        <f>IF(OR(SalesData[[#This Row],[Day]]="Saturday",SalesData[[#This Row],[Day]]="Sunday"),"Weekend","Weekday")</f>
        <v>Weekday</v>
      </c>
      <c r="AF4322" s="5">
        <f>IF(SalesData[[#This Row],[Contracts Offered]]=0,0,SalesData[[#This Row],[Contracts Signed]]/SalesData[[#This Row],[Contracts Offered]])</f>
        <v>0.22556390977443608</v>
      </c>
      <c r="AG4322" s="5">
        <f>IF(SalesData[[#This Row],[Customers Visited]]=0,0,SalesData[[#This Row],[Test Drives]]/SalesData[[#This Row],[Customers Visited]])</f>
        <v>0.45804988662131518</v>
      </c>
      <c r="AH4322" s="5">
        <f>IF(SalesData[[#This Row],[Customers Visited]]=0,0,SalesData[[#This Row],[Contracts Signed]]/SalesData[[#This Row],[Customers Visited]])</f>
        <v>6.8027210884353748E-2</v>
      </c>
      <c r="AI4322" s="6">
        <f>IF(SalesData[[#This Row],[Contracts Signed]]=0,0,SalesData[[#This Row],[Profit(€)]]/SalesData[[#This Row],[Contracts Signed]])</f>
        <v>3556</v>
      </c>
      <c r="AJ4322" s="5" t="str">
        <f>TRIM(CLEAN(SalesData[[#This Row],[Retailer]]))</f>
        <v>Saxon Wheels</v>
      </c>
    </row>
    <row r="4323" spans="1:36" ht="14.25" x14ac:dyDescent="0.2">
      <c r="A4323" t="s">
        <v>5580</v>
      </c>
      <c r="B4323" s="1">
        <v>46064</v>
      </c>
      <c r="C4323" t="s">
        <v>121</v>
      </c>
      <c r="D4323" t="s">
        <v>82</v>
      </c>
      <c r="E4323" t="s">
        <v>26</v>
      </c>
      <c r="F4323" t="s">
        <v>74</v>
      </c>
      <c r="G4323" t="s">
        <v>75</v>
      </c>
      <c r="H4323" t="s">
        <v>76</v>
      </c>
      <c r="I4323" t="s">
        <v>30</v>
      </c>
      <c r="J4323" t="s">
        <v>7075</v>
      </c>
      <c r="K4323" t="s">
        <v>91</v>
      </c>
      <c r="L4323" t="s">
        <v>33</v>
      </c>
      <c r="M4323" t="s">
        <v>34</v>
      </c>
      <c r="N4323" t="s">
        <v>69</v>
      </c>
      <c r="O4323" t="s">
        <v>36</v>
      </c>
      <c r="P4323" t="s">
        <v>58</v>
      </c>
      <c r="Q4323" t="s">
        <v>144</v>
      </c>
      <c r="R4323">
        <v>234</v>
      </c>
      <c r="S4323">
        <v>127</v>
      </c>
      <c r="T4323">
        <v>100</v>
      </c>
      <c r="U4323">
        <v>41</v>
      </c>
      <c r="V4323" t="s">
        <v>7630</v>
      </c>
      <c r="W4323">
        <v>55407</v>
      </c>
      <c r="X4323" t="s">
        <v>7208</v>
      </c>
      <c r="Y4323">
        <v>39192</v>
      </c>
      <c r="Z4323">
        <v>2271687</v>
      </c>
      <c r="AA4323">
        <v>664815</v>
      </c>
      <c r="AB4323" t="str">
        <f>(VLOOKUP(SalesData[[#This Row],[Month Number]],Reference!C$5:E$16,2,FALSE))</f>
        <v>Feb</v>
      </c>
      <c r="AC4323">
        <f>MONTH(SalesData[[#This Row],[Date]])</f>
        <v>2</v>
      </c>
      <c r="AD4323">
        <f>Reference!F$4</f>
        <v>2026</v>
      </c>
      <c r="AE4323" t="str">
        <f>IF(OR(SalesData[[#This Row],[Day]]="Saturday",SalesData[[#This Row],[Day]]="Sunday"),"Weekend","Weekday")</f>
        <v>Weekday</v>
      </c>
      <c r="AF4323" s="5">
        <f>IF(SalesData[[#This Row],[Contracts Offered]]=0,0,SalesData[[#This Row],[Contracts Signed]]/SalesData[[#This Row],[Contracts Offered]])</f>
        <v>0.41</v>
      </c>
      <c r="AG4323" s="5">
        <f>IF(SalesData[[#This Row],[Customers Visited]]=0,0,SalesData[[#This Row],[Test Drives]]/SalesData[[#This Row],[Customers Visited]])</f>
        <v>0.54273504273504269</v>
      </c>
      <c r="AH4323" s="5">
        <f>IF(SalesData[[#This Row],[Customers Visited]]=0,0,SalesData[[#This Row],[Contracts Signed]]/SalesData[[#This Row],[Customers Visited]])</f>
        <v>0.1752136752136752</v>
      </c>
      <c r="AI4323" s="6">
        <f>IF(SalesData[[#This Row],[Contracts Signed]]=0,0,SalesData[[#This Row],[Profit(€)]]/SalesData[[#This Row],[Contracts Signed]])</f>
        <v>16215</v>
      </c>
      <c r="AJ4323" s="5" t="str">
        <f>TRIM(CLEAN(SalesData[[#This Row],[Retailer]]))</f>
        <v>Stuttgart Auto Center</v>
      </c>
    </row>
    <row r="4324" spans="1:36" ht="14.25" hidden="1" x14ac:dyDescent="0.2">
      <c r="A4324" t="s">
        <v>5581</v>
      </c>
      <c r="B4324" s="1">
        <v>46065</v>
      </c>
      <c r="C4324" t="s">
        <v>121</v>
      </c>
      <c r="D4324" t="s">
        <v>100</v>
      </c>
      <c r="E4324" t="s">
        <v>26</v>
      </c>
      <c r="F4324" t="s">
        <v>27</v>
      </c>
      <c r="G4324" t="s">
        <v>28</v>
      </c>
      <c r="H4324" t="s">
        <v>29</v>
      </c>
      <c r="I4324" t="s">
        <v>116</v>
      </c>
      <c r="J4324" t="s">
        <v>203</v>
      </c>
      <c r="K4324" t="s">
        <v>66</v>
      </c>
      <c r="L4324" t="s">
        <v>67</v>
      </c>
      <c r="M4324" t="s">
        <v>34</v>
      </c>
      <c r="N4324" t="s">
        <v>35</v>
      </c>
      <c r="O4324" t="s">
        <v>70</v>
      </c>
      <c r="P4324" t="s">
        <v>58</v>
      </c>
      <c r="Q4324" t="s">
        <v>88</v>
      </c>
      <c r="R4324">
        <v>287</v>
      </c>
      <c r="S4324">
        <v>154</v>
      </c>
      <c r="T4324">
        <v>95</v>
      </c>
      <c r="U4324">
        <v>24</v>
      </c>
      <c r="V4324" t="s">
        <v>4134</v>
      </c>
      <c r="W4324">
        <v>26741</v>
      </c>
      <c r="X4324" t="s">
        <v>1201</v>
      </c>
      <c r="Y4324">
        <v>24277</v>
      </c>
      <c r="Z4324">
        <v>641784</v>
      </c>
      <c r="AA4324">
        <v>59136</v>
      </c>
      <c r="AB4324" t="str">
        <f>(VLOOKUP(SalesData[[#This Row],[Month Number]],Reference!C$5:E$16,2,FALSE))</f>
        <v>Feb</v>
      </c>
      <c r="AC4324">
        <f>MONTH(SalesData[[#This Row],[Date]])</f>
        <v>2</v>
      </c>
      <c r="AD4324">
        <f>Reference!F$4</f>
        <v>2026</v>
      </c>
      <c r="AE4324" t="str">
        <f>IF(OR(SalesData[[#This Row],[Day]]="Saturday",SalesData[[#This Row],[Day]]="Sunday"),"Weekend","Weekday")</f>
        <v>Weekday</v>
      </c>
      <c r="AF4324" s="5">
        <f>IF(SalesData[[#This Row],[Contracts Offered]]=0,0,SalesData[[#This Row],[Contracts Signed]]/SalesData[[#This Row],[Contracts Offered]])</f>
        <v>0.25263157894736843</v>
      </c>
      <c r="AG4324" s="5">
        <f>IF(SalesData[[#This Row],[Customers Visited]]=0,0,SalesData[[#This Row],[Test Drives]]/SalesData[[#This Row],[Customers Visited]])</f>
        <v>0.53658536585365857</v>
      </c>
      <c r="AH4324" s="5">
        <f>IF(SalesData[[#This Row],[Customers Visited]]=0,0,SalesData[[#This Row],[Contracts Signed]]/SalesData[[#This Row],[Customers Visited]])</f>
        <v>8.3623693379790948E-2</v>
      </c>
      <c r="AI4324" s="6">
        <f>IF(SalesData[[#This Row],[Contracts Signed]]=0,0,SalesData[[#This Row],[Profit(€)]]/SalesData[[#This Row],[Contracts Signed]])</f>
        <v>2464</v>
      </c>
      <c r="AJ4324" s="5" t="str">
        <f>TRIM(CLEAN(SalesData[[#This Row],[Retailer]]))</f>
        <v>Main Auto Hub</v>
      </c>
    </row>
    <row r="4325" spans="1:36" ht="14.25" hidden="1" x14ac:dyDescent="0.2">
      <c r="A4325" t="s">
        <v>5582</v>
      </c>
      <c r="B4325" s="1">
        <v>46062</v>
      </c>
      <c r="C4325" t="s">
        <v>121</v>
      </c>
      <c r="D4325" t="s">
        <v>25</v>
      </c>
      <c r="E4325" t="s">
        <v>26</v>
      </c>
      <c r="F4325" t="s">
        <v>109</v>
      </c>
      <c r="G4325" t="s">
        <v>110</v>
      </c>
      <c r="H4325" t="s">
        <v>45</v>
      </c>
      <c r="I4325" t="s">
        <v>116</v>
      </c>
      <c r="J4325" t="s">
        <v>7026</v>
      </c>
      <c r="K4325" t="s">
        <v>32</v>
      </c>
      <c r="L4325" t="s">
        <v>46</v>
      </c>
      <c r="M4325" t="s">
        <v>87</v>
      </c>
      <c r="N4325" t="s">
        <v>35</v>
      </c>
      <c r="O4325" t="s">
        <v>70</v>
      </c>
      <c r="P4325" t="s">
        <v>58</v>
      </c>
      <c r="Q4325" t="s">
        <v>240</v>
      </c>
      <c r="R4325">
        <v>309</v>
      </c>
      <c r="S4325">
        <v>146</v>
      </c>
      <c r="T4325">
        <v>96</v>
      </c>
      <c r="U4325">
        <v>26</v>
      </c>
      <c r="V4325" t="s">
        <v>283</v>
      </c>
      <c r="W4325">
        <v>26259</v>
      </c>
      <c r="X4325" t="s">
        <v>5435</v>
      </c>
      <c r="Y4325">
        <v>24064</v>
      </c>
      <c r="Z4325">
        <v>682734</v>
      </c>
      <c r="AA4325">
        <v>57070</v>
      </c>
      <c r="AB4325" t="str">
        <f>(VLOOKUP(SalesData[[#This Row],[Month Number]],Reference!C$5:E$16,2,FALSE))</f>
        <v>Feb</v>
      </c>
      <c r="AC4325">
        <f>MONTH(SalesData[[#This Row],[Date]])</f>
        <v>2</v>
      </c>
      <c r="AD4325">
        <f>Reference!F$4</f>
        <v>2026</v>
      </c>
      <c r="AE4325" t="str">
        <f>IF(OR(SalesData[[#This Row],[Day]]="Saturday",SalesData[[#This Row],[Day]]="Sunday"),"Weekend","Weekday")</f>
        <v>Weekday</v>
      </c>
      <c r="AF4325" s="5">
        <f>IF(SalesData[[#This Row],[Contracts Offered]]=0,0,SalesData[[#This Row],[Contracts Signed]]/SalesData[[#This Row],[Contracts Offered]])</f>
        <v>0.27083333333333331</v>
      </c>
      <c r="AG4325" s="5">
        <f>IF(SalesData[[#This Row],[Customers Visited]]=0,0,SalesData[[#This Row],[Test Drives]]/SalesData[[#This Row],[Customers Visited]])</f>
        <v>0.47249190938511326</v>
      </c>
      <c r="AH4325" s="5">
        <f>IF(SalesData[[#This Row],[Customers Visited]]=0,0,SalesData[[#This Row],[Contracts Signed]]/SalesData[[#This Row],[Customers Visited]])</f>
        <v>8.4142394822006472E-2</v>
      </c>
      <c r="AI4325" s="6">
        <f>IF(SalesData[[#This Row],[Contracts Signed]]=0,0,SalesData[[#This Row],[Profit(€)]]/SalesData[[#This Row],[Contracts Signed]])</f>
        <v>2195</v>
      </c>
      <c r="AJ4325" s="5" t="str">
        <f>TRIM(CLEAN(SalesData[[#This Row],[Retailer]]))</f>
        <v>Leipzig Mobility</v>
      </c>
    </row>
    <row r="4326" spans="1:36" ht="14.25" hidden="1" x14ac:dyDescent="0.2">
      <c r="A4326" t="s">
        <v>5584</v>
      </c>
      <c r="B4326" s="1">
        <v>46071</v>
      </c>
      <c r="C4326" t="s">
        <v>62</v>
      </c>
      <c r="D4326" t="s">
        <v>82</v>
      </c>
      <c r="E4326" t="s">
        <v>26</v>
      </c>
      <c r="F4326" t="s">
        <v>74</v>
      </c>
      <c r="G4326" t="s">
        <v>75</v>
      </c>
      <c r="H4326" t="s">
        <v>76</v>
      </c>
      <c r="I4326" t="s">
        <v>116</v>
      </c>
      <c r="J4326" t="s">
        <v>7026</v>
      </c>
      <c r="K4326" t="s">
        <v>78</v>
      </c>
      <c r="L4326" t="s">
        <v>46</v>
      </c>
      <c r="M4326" t="s">
        <v>34</v>
      </c>
      <c r="N4326" t="s">
        <v>48</v>
      </c>
      <c r="O4326" t="s">
        <v>70</v>
      </c>
      <c r="P4326" t="s">
        <v>58</v>
      </c>
      <c r="Q4326" t="s">
        <v>118</v>
      </c>
      <c r="R4326">
        <v>311</v>
      </c>
      <c r="S4326">
        <v>162</v>
      </c>
      <c r="T4326">
        <v>109</v>
      </c>
      <c r="U4326">
        <v>29</v>
      </c>
      <c r="V4326" t="s">
        <v>1274</v>
      </c>
      <c r="W4326">
        <v>20533</v>
      </c>
      <c r="X4326" t="s">
        <v>7341</v>
      </c>
      <c r="Y4326">
        <v>18593</v>
      </c>
      <c r="Z4326">
        <v>595457</v>
      </c>
      <c r="AA4326">
        <v>56260</v>
      </c>
      <c r="AB4326" t="str">
        <f>(VLOOKUP(SalesData[[#This Row],[Month Number]],Reference!C$5:E$16,2,FALSE))</f>
        <v>Feb</v>
      </c>
      <c r="AC4326">
        <f>MONTH(SalesData[[#This Row],[Date]])</f>
        <v>2</v>
      </c>
      <c r="AD4326">
        <f>Reference!F$4</f>
        <v>2026</v>
      </c>
      <c r="AE4326" t="str">
        <f>IF(OR(SalesData[[#This Row],[Day]]="Saturday",SalesData[[#This Row],[Day]]="Sunday"),"Weekend","Weekday")</f>
        <v>Weekday</v>
      </c>
      <c r="AF4326" s="5">
        <f>IF(SalesData[[#This Row],[Contracts Offered]]=0,0,SalesData[[#This Row],[Contracts Signed]]/SalesData[[#This Row],[Contracts Offered]])</f>
        <v>0.26605504587155965</v>
      </c>
      <c r="AG4326" s="5">
        <f>IF(SalesData[[#This Row],[Customers Visited]]=0,0,SalesData[[#This Row],[Test Drives]]/SalesData[[#This Row],[Customers Visited]])</f>
        <v>0.52090032154340837</v>
      </c>
      <c r="AH4326" s="5">
        <f>IF(SalesData[[#This Row],[Customers Visited]]=0,0,SalesData[[#This Row],[Contracts Signed]]/SalesData[[#This Row],[Customers Visited]])</f>
        <v>9.3247588424437297E-2</v>
      </c>
      <c r="AI4326" s="6">
        <f>IF(SalesData[[#This Row],[Contracts Signed]]=0,0,SalesData[[#This Row],[Profit(€)]]/SalesData[[#This Row],[Contracts Signed]])</f>
        <v>1940</v>
      </c>
      <c r="AJ4326" s="5" t="str">
        <f>TRIM(CLEAN(SalesData[[#This Row],[Retailer]]))</f>
        <v>Stuttgart Auto Center</v>
      </c>
    </row>
    <row r="4327" spans="1:36" ht="14.25" hidden="1" x14ac:dyDescent="0.2">
      <c r="A4327" t="s">
        <v>5585</v>
      </c>
      <c r="B4327" s="1">
        <v>46054</v>
      </c>
      <c r="C4327" t="s">
        <v>24</v>
      </c>
      <c r="D4327" t="s">
        <v>41</v>
      </c>
      <c r="E4327" t="s">
        <v>42</v>
      </c>
      <c r="F4327" t="s">
        <v>74</v>
      </c>
      <c r="G4327" t="s">
        <v>75</v>
      </c>
      <c r="H4327" t="s">
        <v>76</v>
      </c>
      <c r="I4327" t="s">
        <v>116</v>
      </c>
      <c r="J4327" t="s">
        <v>203</v>
      </c>
      <c r="K4327" t="s">
        <v>66</v>
      </c>
      <c r="L4327" t="s">
        <v>67</v>
      </c>
      <c r="M4327" t="s">
        <v>87</v>
      </c>
      <c r="N4327" t="s">
        <v>69</v>
      </c>
      <c r="O4327" t="s">
        <v>36</v>
      </c>
      <c r="P4327" t="s">
        <v>71</v>
      </c>
      <c r="Q4327" t="s">
        <v>172</v>
      </c>
      <c r="R4327">
        <v>424</v>
      </c>
      <c r="S4327">
        <v>232</v>
      </c>
      <c r="T4327">
        <v>148</v>
      </c>
      <c r="U4327">
        <v>45</v>
      </c>
      <c r="V4327" t="s">
        <v>1487</v>
      </c>
      <c r="W4327">
        <v>26531</v>
      </c>
      <c r="X4327" t="s">
        <v>1276</v>
      </c>
      <c r="Y4327">
        <v>23846</v>
      </c>
      <c r="Z4327">
        <v>1193895</v>
      </c>
      <c r="AA4327">
        <v>120825</v>
      </c>
      <c r="AB4327" t="str">
        <f>(VLOOKUP(SalesData[[#This Row],[Month Number]],Reference!C$5:E$16,2,FALSE))</f>
        <v>Feb</v>
      </c>
      <c r="AC4327">
        <f>MONTH(SalesData[[#This Row],[Date]])</f>
        <v>2</v>
      </c>
      <c r="AD4327">
        <f>Reference!F$4</f>
        <v>2026</v>
      </c>
      <c r="AE4327" t="str">
        <f>IF(OR(SalesData[[#This Row],[Day]]="Saturday",SalesData[[#This Row],[Day]]="Sunday"),"Weekend","Weekday")</f>
        <v>Weekend</v>
      </c>
      <c r="AF4327" s="5">
        <f>IF(SalesData[[#This Row],[Contracts Offered]]=0,0,SalesData[[#This Row],[Contracts Signed]]/SalesData[[#This Row],[Contracts Offered]])</f>
        <v>0.30405405405405406</v>
      </c>
      <c r="AG4327" s="5">
        <f>IF(SalesData[[#This Row],[Customers Visited]]=0,0,SalesData[[#This Row],[Test Drives]]/SalesData[[#This Row],[Customers Visited]])</f>
        <v>0.54716981132075471</v>
      </c>
      <c r="AH4327" s="5">
        <f>IF(SalesData[[#This Row],[Customers Visited]]=0,0,SalesData[[#This Row],[Contracts Signed]]/SalesData[[#This Row],[Customers Visited]])</f>
        <v>0.10613207547169812</v>
      </c>
      <c r="AI4327" s="6">
        <f>IF(SalesData[[#This Row],[Contracts Signed]]=0,0,SalesData[[#This Row],[Profit(€)]]/SalesData[[#This Row],[Contracts Signed]])</f>
        <v>2685</v>
      </c>
      <c r="AJ4327" s="5" t="str">
        <f>TRIM(CLEAN(SalesData[[#This Row],[Retailer]]))</f>
        <v>Stuttgart Auto Center</v>
      </c>
    </row>
    <row r="4328" spans="1:36" ht="14.25" hidden="1" x14ac:dyDescent="0.2">
      <c r="A4328" t="s">
        <v>5586</v>
      </c>
      <c r="B4328" s="1">
        <v>46074</v>
      </c>
      <c r="C4328" t="s">
        <v>62</v>
      </c>
      <c r="D4328" t="s">
        <v>151</v>
      </c>
      <c r="E4328" t="s">
        <v>42</v>
      </c>
      <c r="F4328" t="s">
        <v>127</v>
      </c>
      <c r="G4328" t="s">
        <v>128</v>
      </c>
      <c r="H4328" t="s">
        <v>103</v>
      </c>
      <c r="I4328" t="s">
        <v>64</v>
      </c>
      <c r="J4328" t="s">
        <v>65</v>
      </c>
      <c r="K4328" t="s">
        <v>91</v>
      </c>
      <c r="L4328" t="s">
        <v>33</v>
      </c>
      <c r="M4328" t="s">
        <v>34</v>
      </c>
      <c r="N4328" t="s">
        <v>48</v>
      </c>
      <c r="O4328" t="s">
        <v>36</v>
      </c>
      <c r="P4328" t="s">
        <v>37</v>
      </c>
      <c r="Q4328" t="s">
        <v>118</v>
      </c>
      <c r="R4328">
        <v>191</v>
      </c>
      <c r="S4328">
        <v>89</v>
      </c>
      <c r="T4328">
        <v>62</v>
      </c>
      <c r="U4328">
        <v>21</v>
      </c>
      <c r="V4328" t="s">
        <v>6487</v>
      </c>
      <c r="W4328">
        <v>58442</v>
      </c>
      <c r="X4328" t="s">
        <v>7085</v>
      </c>
      <c r="Y4328">
        <v>42101</v>
      </c>
      <c r="Z4328">
        <v>1227282</v>
      </c>
      <c r="AA4328">
        <v>343161</v>
      </c>
      <c r="AB4328" t="str">
        <f>(VLOOKUP(SalesData[[#This Row],[Month Number]],Reference!C$5:E$16,2,FALSE))</f>
        <v>Feb</v>
      </c>
      <c r="AC4328">
        <f>MONTH(SalesData[[#This Row],[Date]])</f>
        <v>2</v>
      </c>
      <c r="AD4328">
        <f>Reference!F$4</f>
        <v>2026</v>
      </c>
      <c r="AE4328" t="str">
        <f>IF(OR(SalesData[[#This Row],[Day]]="Saturday",SalesData[[#This Row],[Day]]="Sunday"),"Weekend","Weekday")</f>
        <v>Weekend</v>
      </c>
      <c r="AF4328" s="5">
        <f>IF(SalesData[[#This Row],[Contracts Offered]]=0,0,SalesData[[#This Row],[Contracts Signed]]/SalesData[[#This Row],[Contracts Offered]])</f>
        <v>0.33870967741935482</v>
      </c>
      <c r="AG4328" s="5">
        <f>IF(SalesData[[#This Row],[Customers Visited]]=0,0,SalesData[[#This Row],[Test Drives]]/SalesData[[#This Row],[Customers Visited]])</f>
        <v>0.46596858638743455</v>
      </c>
      <c r="AH4328" s="5">
        <f>IF(SalesData[[#This Row],[Customers Visited]]=0,0,SalesData[[#This Row],[Contracts Signed]]/SalesData[[#This Row],[Customers Visited]])</f>
        <v>0.1099476439790576</v>
      </c>
      <c r="AI4328" s="6">
        <f>IF(SalesData[[#This Row],[Contracts Signed]]=0,0,SalesData[[#This Row],[Profit(€)]]/SalesData[[#This Row],[Contracts Signed]])</f>
        <v>16341</v>
      </c>
      <c r="AJ4328" s="5" t="str">
        <f>TRIM(CLEAN(SalesData[[#This Row],[Retailer]]))</f>
        <v>Rhein Auto Group</v>
      </c>
    </row>
    <row r="4329" spans="1:36" ht="14.25" hidden="1" x14ac:dyDescent="0.2">
      <c r="A4329" t="s">
        <v>5587</v>
      </c>
      <c r="B4329" s="1">
        <v>46077</v>
      </c>
      <c r="C4329" t="s">
        <v>53</v>
      </c>
      <c r="D4329" t="s">
        <v>63</v>
      </c>
      <c r="E4329" t="s">
        <v>26</v>
      </c>
      <c r="F4329" t="s">
        <v>101</v>
      </c>
      <c r="G4329" t="s">
        <v>102</v>
      </c>
      <c r="H4329" t="s">
        <v>103</v>
      </c>
      <c r="I4329" t="s">
        <v>56</v>
      </c>
      <c r="J4329" t="s">
        <v>57</v>
      </c>
      <c r="K4329" t="s">
        <v>91</v>
      </c>
      <c r="L4329" t="s">
        <v>46</v>
      </c>
      <c r="M4329" t="s">
        <v>87</v>
      </c>
      <c r="N4329" t="s">
        <v>48</v>
      </c>
      <c r="O4329" t="s">
        <v>70</v>
      </c>
      <c r="P4329" t="s">
        <v>58</v>
      </c>
      <c r="Q4329" t="s">
        <v>50</v>
      </c>
      <c r="R4329">
        <v>261</v>
      </c>
      <c r="S4329">
        <v>138</v>
      </c>
      <c r="T4329">
        <v>106</v>
      </c>
      <c r="U4329">
        <v>32</v>
      </c>
      <c r="V4329" t="s">
        <v>6568</v>
      </c>
      <c r="W4329">
        <v>43498</v>
      </c>
      <c r="X4329" t="s">
        <v>4461</v>
      </c>
      <c r="Y4329">
        <v>34200</v>
      </c>
      <c r="Z4329">
        <v>1391936</v>
      </c>
      <c r="AA4329">
        <v>297536</v>
      </c>
      <c r="AB4329" t="str">
        <f>(VLOOKUP(SalesData[[#This Row],[Month Number]],Reference!C$5:E$16,2,FALSE))</f>
        <v>Feb</v>
      </c>
      <c r="AC4329">
        <f>MONTH(SalesData[[#This Row],[Date]])</f>
        <v>2</v>
      </c>
      <c r="AD4329">
        <f>Reference!F$4</f>
        <v>2026</v>
      </c>
      <c r="AE4329" t="str">
        <f>IF(OR(SalesData[[#This Row],[Day]]="Saturday",SalesData[[#This Row],[Day]]="Sunday"),"Weekend","Weekday")</f>
        <v>Weekday</v>
      </c>
      <c r="AF4329" s="5">
        <f>IF(SalesData[[#This Row],[Contracts Offered]]=0,0,SalesData[[#This Row],[Contracts Signed]]/SalesData[[#This Row],[Contracts Offered]])</f>
        <v>0.30188679245283018</v>
      </c>
      <c r="AG4329" s="5">
        <f>IF(SalesData[[#This Row],[Customers Visited]]=0,0,SalesData[[#This Row],[Test Drives]]/SalesData[[#This Row],[Customers Visited]])</f>
        <v>0.52873563218390807</v>
      </c>
      <c r="AH4329" s="5">
        <f>IF(SalesData[[#This Row],[Customers Visited]]=0,0,SalesData[[#This Row],[Contracts Signed]]/SalesData[[#This Row],[Customers Visited]])</f>
        <v>0.12260536398467432</v>
      </c>
      <c r="AI4329" s="6">
        <f>IF(SalesData[[#This Row],[Contracts Signed]]=0,0,SalesData[[#This Row],[Profit(€)]]/SalesData[[#This Row],[Contracts Signed]])</f>
        <v>9298</v>
      </c>
      <c r="AJ4329" s="5" t="str">
        <f>TRIM(CLEAN(SalesData[[#This Row],[Retailer]]))</f>
        <v>Ruhr Auto Plaza</v>
      </c>
    </row>
    <row r="4330" spans="1:36" ht="14.25" hidden="1" x14ac:dyDescent="0.2">
      <c r="A4330" t="s">
        <v>5588</v>
      </c>
      <c r="B4330" s="1">
        <v>46058</v>
      </c>
      <c r="C4330" t="s">
        <v>24</v>
      </c>
      <c r="D4330" t="s">
        <v>100</v>
      </c>
      <c r="E4330" t="s">
        <v>26</v>
      </c>
      <c r="F4330" t="s">
        <v>83</v>
      </c>
      <c r="G4330" t="s">
        <v>84</v>
      </c>
      <c r="H4330" t="s">
        <v>85</v>
      </c>
      <c r="I4330" t="s">
        <v>104</v>
      </c>
      <c r="J4330" t="s">
        <v>105</v>
      </c>
      <c r="K4330" t="s">
        <v>91</v>
      </c>
      <c r="L4330" t="s">
        <v>33</v>
      </c>
      <c r="M4330" t="s">
        <v>34</v>
      </c>
      <c r="N4330" t="s">
        <v>69</v>
      </c>
      <c r="O4330" t="s">
        <v>70</v>
      </c>
      <c r="P4330" t="s">
        <v>58</v>
      </c>
      <c r="Q4330" t="s">
        <v>79</v>
      </c>
      <c r="R4330">
        <v>371</v>
      </c>
      <c r="S4330">
        <v>213</v>
      </c>
      <c r="T4330">
        <v>138</v>
      </c>
      <c r="U4330">
        <v>39</v>
      </c>
      <c r="V4330" t="s">
        <v>611</v>
      </c>
      <c r="W4330">
        <v>30237</v>
      </c>
      <c r="X4330" t="s">
        <v>3713</v>
      </c>
      <c r="Y4330">
        <v>26183</v>
      </c>
      <c r="Z4330">
        <v>1179243</v>
      </c>
      <c r="AA4330">
        <v>158106</v>
      </c>
      <c r="AB4330" t="str">
        <f>(VLOOKUP(SalesData[[#This Row],[Month Number]],Reference!C$5:E$16,2,FALSE))</f>
        <v>Feb</v>
      </c>
      <c r="AC4330">
        <f>MONTH(SalesData[[#This Row],[Date]])</f>
        <v>2</v>
      </c>
      <c r="AD4330">
        <f>Reference!F$4</f>
        <v>2026</v>
      </c>
      <c r="AE4330" t="str">
        <f>IF(OR(SalesData[[#This Row],[Day]]="Saturday",SalesData[[#This Row],[Day]]="Sunday"),"Weekend","Weekday")</f>
        <v>Weekday</v>
      </c>
      <c r="AF4330" s="5">
        <f>IF(SalesData[[#This Row],[Contracts Offered]]=0,0,SalesData[[#This Row],[Contracts Signed]]/SalesData[[#This Row],[Contracts Offered]])</f>
        <v>0.28260869565217389</v>
      </c>
      <c r="AG4330" s="5">
        <f>IF(SalesData[[#This Row],[Customers Visited]]=0,0,SalesData[[#This Row],[Test Drives]]/SalesData[[#This Row],[Customers Visited]])</f>
        <v>0.57412398921832886</v>
      </c>
      <c r="AH4330" s="5">
        <f>IF(SalesData[[#This Row],[Customers Visited]]=0,0,SalesData[[#This Row],[Contracts Signed]]/SalesData[[#This Row],[Customers Visited]])</f>
        <v>0.10512129380053908</v>
      </c>
      <c r="AI4330" s="6">
        <f>IF(SalesData[[#This Row],[Contracts Signed]]=0,0,SalesData[[#This Row],[Profit(€)]]/SalesData[[#This Row],[Contracts Signed]])</f>
        <v>4054</v>
      </c>
      <c r="AJ4330" s="5" t="str">
        <f>TRIM(CLEAN(SalesData[[#This Row],[Retailer]]))</f>
        <v>Hannover Cars</v>
      </c>
    </row>
    <row r="4331" spans="1:36" ht="14.25" hidden="1" x14ac:dyDescent="0.2">
      <c r="A4331" t="s">
        <v>5589</v>
      </c>
      <c r="B4331" s="1">
        <v>46056</v>
      </c>
      <c r="C4331" t="s">
        <v>24</v>
      </c>
      <c r="D4331" t="s">
        <v>63</v>
      </c>
      <c r="E4331" t="s">
        <v>26</v>
      </c>
      <c r="F4331" t="s">
        <v>127</v>
      </c>
      <c r="G4331" t="s">
        <v>128</v>
      </c>
      <c r="H4331" t="s">
        <v>103</v>
      </c>
      <c r="I4331" t="s">
        <v>64</v>
      </c>
      <c r="J4331" t="s">
        <v>77</v>
      </c>
      <c r="K4331" t="s">
        <v>66</v>
      </c>
      <c r="L4331" t="s">
        <v>46</v>
      </c>
      <c r="M4331" t="s">
        <v>87</v>
      </c>
      <c r="N4331" t="s">
        <v>48</v>
      </c>
      <c r="O4331" t="s">
        <v>70</v>
      </c>
      <c r="P4331" t="s">
        <v>58</v>
      </c>
      <c r="Q4331" t="s">
        <v>106</v>
      </c>
      <c r="R4331">
        <v>279</v>
      </c>
      <c r="S4331">
        <v>151</v>
      </c>
      <c r="T4331">
        <v>114</v>
      </c>
      <c r="U4331">
        <v>45</v>
      </c>
      <c r="V4331" t="s">
        <v>7022</v>
      </c>
      <c r="W4331">
        <v>63130</v>
      </c>
      <c r="X4331" t="s">
        <v>7592</v>
      </c>
      <c r="Y4331">
        <v>47001</v>
      </c>
      <c r="Z4331">
        <v>2840850</v>
      </c>
      <c r="AA4331">
        <v>725805</v>
      </c>
      <c r="AB4331" t="str">
        <f>(VLOOKUP(SalesData[[#This Row],[Month Number]],Reference!C$5:E$16,2,FALSE))</f>
        <v>Feb</v>
      </c>
      <c r="AC4331">
        <f>MONTH(SalesData[[#This Row],[Date]])</f>
        <v>2</v>
      </c>
      <c r="AD4331">
        <f>Reference!F$4</f>
        <v>2026</v>
      </c>
      <c r="AE4331" t="str">
        <f>IF(OR(SalesData[[#This Row],[Day]]="Saturday",SalesData[[#This Row],[Day]]="Sunday"),"Weekend","Weekday")</f>
        <v>Weekday</v>
      </c>
      <c r="AF4331" s="5">
        <f>IF(SalesData[[#This Row],[Contracts Offered]]=0,0,SalesData[[#This Row],[Contracts Signed]]/SalesData[[#This Row],[Contracts Offered]])</f>
        <v>0.39473684210526316</v>
      </c>
      <c r="AG4331" s="5">
        <f>IF(SalesData[[#This Row],[Customers Visited]]=0,0,SalesData[[#This Row],[Test Drives]]/SalesData[[#This Row],[Customers Visited]])</f>
        <v>0.54121863799283154</v>
      </c>
      <c r="AH4331" s="5">
        <f>IF(SalesData[[#This Row],[Customers Visited]]=0,0,SalesData[[#This Row],[Contracts Signed]]/SalesData[[#This Row],[Customers Visited]])</f>
        <v>0.16129032258064516</v>
      </c>
      <c r="AI4331" s="6">
        <f>IF(SalesData[[#This Row],[Contracts Signed]]=0,0,SalesData[[#This Row],[Profit(€)]]/SalesData[[#This Row],[Contracts Signed]])</f>
        <v>16129</v>
      </c>
      <c r="AJ4331" s="5" t="str">
        <f>TRIM(CLEAN(SalesData[[#This Row],[Retailer]]))</f>
        <v>Rhein Auto Group</v>
      </c>
    </row>
    <row r="4332" spans="1:36" ht="14.25" hidden="1" x14ac:dyDescent="0.2">
      <c r="A4332" t="s">
        <v>5590</v>
      </c>
      <c r="B4332" s="1">
        <v>46068</v>
      </c>
      <c r="C4332" t="s">
        <v>62</v>
      </c>
      <c r="D4332" t="s">
        <v>41</v>
      </c>
      <c r="E4332" t="s">
        <v>42</v>
      </c>
      <c r="F4332" t="s">
        <v>43</v>
      </c>
      <c r="G4332" t="s">
        <v>44</v>
      </c>
      <c r="H4332" t="s">
        <v>45</v>
      </c>
      <c r="I4332" t="s">
        <v>104</v>
      </c>
      <c r="J4332" t="s">
        <v>140</v>
      </c>
      <c r="K4332" t="s">
        <v>78</v>
      </c>
      <c r="L4332" t="s">
        <v>46</v>
      </c>
      <c r="M4332" t="s">
        <v>68</v>
      </c>
      <c r="N4332" t="s">
        <v>69</v>
      </c>
      <c r="O4332" t="s">
        <v>36</v>
      </c>
      <c r="P4332" t="s">
        <v>71</v>
      </c>
      <c r="Q4332" t="s">
        <v>167</v>
      </c>
      <c r="R4332">
        <v>330</v>
      </c>
      <c r="S4332">
        <v>133</v>
      </c>
      <c r="T4332">
        <v>92</v>
      </c>
      <c r="U4332">
        <v>24</v>
      </c>
      <c r="V4332" t="s">
        <v>5564</v>
      </c>
      <c r="W4332">
        <v>34432</v>
      </c>
      <c r="X4332" t="s">
        <v>977</v>
      </c>
      <c r="Y4332">
        <v>30555</v>
      </c>
      <c r="Z4332">
        <v>826368</v>
      </c>
      <c r="AA4332">
        <v>93048</v>
      </c>
      <c r="AB4332" t="str">
        <f>(VLOOKUP(SalesData[[#This Row],[Month Number]],Reference!C$5:E$16,2,FALSE))</f>
        <v>Feb</v>
      </c>
      <c r="AC4332">
        <f>MONTH(SalesData[[#This Row],[Date]])</f>
        <v>2</v>
      </c>
      <c r="AD4332">
        <f>Reference!F$4</f>
        <v>2026</v>
      </c>
      <c r="AE4332" t="str">
        <f>IF(OR(SalesData[[#This Row],[Day]]="Saturday",SalesData[[#This Row],[Day]]="Sunday"),"Weekend","Weekday")</f>
        <v>Weekend</v>
      </c>
      <c r="AF4332" s="5">
        <f>IF(SalesData[[#This Row],[Contracts Offered]]=0,0,SalesData[[#This Row],[Contracts Signed]]/SalesData[[#This Row],[Contracts Offered]])</f>
        <v>0.2608695652173913</v>
      </c>
      <c r="AG4332" s="5">
        <f>IF(SalesData[[#This Row],[Customers Visited]]=0,0,SalesData[[#This Row],[Test Drives]]/SalesData[[#This Row],[Customers Visited]])</f>
        <v>0.40303030303030302</v>
      </c>
      <c r="AH4332" s="5">
        <f>IF(SalesData[[#This Row],[Customers Visited]]=0,0,SalesData[[#This Row],[Contracts Signed]]/SalesData[[#This Row],[Customers Visited]])</f>
        <v>7.2727272727272724E-2</v>
      </c>
      <c r="AI4332" s="6">
        <f>IF(SalesData[[#This Row],[Contracts Signed]]=0,0,SalesData[[#This Row],[Profit(€)]]/SalesData[[#This Row],[Contracts Signed]])</f>
        <v>3877</v>
      </c>
      <c r="AJ4332" s="5" t="str">
        <f>TRIM(CLEAN(SalesData[[#This Row],[Retailer]]))</f>
        <v>Saxon Wheels</v>
      </c>
    </row>
    <row r="4333" spans="1:36" ht="14.25" hidden="1" x14ac:dyDescent="0.2">
      <c r="A4333" t="s">
        <v>5591</v>
      </c>
      <c r="B4333" s="1">
        <v>46055</v>
      </c>
      <c r="C4333" t="s">
        <v>24</v>
      </c>
      <c r="D4333" t="s">
        <v>25</v>
      </c>
      <c r="E4333" t="s">
        <v>26</v>
      </c>
      <c r="F4333" t="s">
        <v>27</v>
      </c>
      <c r="G4333" t="s">
        <v>28</v>
      </c>
      <c r="H4333" t="s">
        <v>29</v>
      </c>
      <c r="I4333" t="s">
        <v>64</v>
      </c>
      <c r="J4333" t="s">
        <v>157</v>
      </c>
      <c r="K4333" t="s">
        <v>91</v>
      </c>
      <c r="L4333" t="s">
        <v>33</v>
      </c>
      <c r="M4333" t="s">
        <v>47</v>
      </c>
      <c r="N4333" t="s">
        <v>69</v>
      </c>
      <c r="O4333" t="s">
        <v>70</v>
      </c>
      <c r="P4333" t="s">
        <v>58</v>
      </c>
      <c r="Q4333" t="s">
        <v>59</v>
      </c>
      <c r="R4333">
        <v>287</v>
      </c>
      <c r="S4333">
        <v>135</v>
      </c>
      <c r="T4333">
        <v>107</v>
      </c>
      <c r="U4333">
        <v>38</v>
      </c>
      <c r="V4333" t="s">
        <v>6721</v>
      </c>
      <c r="W4333">
        <v>54941</v>
      </c>
      <c r="X4333" t="s">
        <v>7113</v>
      </c>
      <c r="Y4333">
        <v>42758</v>
      </c>
      <c r="Z4333">
        <v>2087758</v>
      </c>
      <c r="AA4333">
        <v>462954</v>
      </c>
      <c r="AB4333" t="str">
        <f>(VLOOKUP(SalesData[[#This Row],[Month Number]],Reference!C$5:E$16,2,FALSE))</f>
        <v>Feb</v>
      </c>
      <c r="AC4333">
        <f>MONTH(SalesData[[#This Row],[Date]])</f>
        <v>2</v>
      </c>
      <c r="AD4333">
        <f>Reference!F$4</f>
        <v>2026</v>
      </c>
      <c r="AE4333" t="str">
        <f>IF(OR(SalesData[[#This Row],[Day]]="Saturday",SalesData[[#This Row],[Day]]="Sunday"),"Weekend","Weekday")</f>
        <v>Weekday</v>
      </c>
      <c r="AF4333" s="5">
        <f>IF(SalesData[[#This Row],[Contracts Offered]]=0,0,SalesData[[#This Row],[Contracts Signed]]/SalesData[[#This Row],[Contracts Offered]])</f>
        <v>0.35514018691588783</v>
      </c>
      <c r="AG4333" s="5">
        <f>IF(SalesData[[#This Row],[Customers Visited]]=0,0,SalesData[[#This Row],[Test Drives]]/SalesData[[#This Row],[Customers Visited]])</f>
        <v>0.47038327526132406</v>
      </c>
      <c r="AH4333" s="5">
        <f>IF(SalesData[[#This Row],[Customers Visited]]=0,0,SalesData[[#This Row],[Contracts Signed]]/SalesData[[#This Row],[Customers Visited]])</f>
        <v>0.13240418118466898</v>
      </c>
      <c r="AI4333" s="6">
        <f>IF(SalesData[[#This Row],[Contracts Signed]]=0,0,SalesData[[#This Row],[Profit(€)]]/SalesData[[#This Row],[Contracts Signed]])</f>
        <v>12183</v>
      </c>
      <c r="AJ4333" s="5" t="str">
        <f>TRIM(CLEAN(SalesData[[#This Row],[Retailer]]))</f>
        <v>Main Auto Hub</v>
      </c>
    </row>
    <row r="4334" spans="1:36" ht="14.25" x14ac:dyDescent="0.2">
      <c r="A4334" t="s">
        <v>5592</v>
      </c>
      <c r="B4334" s="1">
        <v>46076</v>
      </c>
      <c r="C4334" t="s">
        <v>53</v>
      </c>
      <c r="D4334" t="s">
        <v>25</v>
      </c>
      <c r="E4334" t="s">
        <v>26</v>
      </c>
      <c r="F4334" t="s">
        <v>43</v>
      </c>
      <c r="G4334" t="s">
        <v>44</v>
      </c>
      <c r="H4334" t="s">
        <v>45</v>
      </c>
      <c r="I4334" t="s">
        <v>30</v>
      </c>
      <c r="J4334" t="s">
        <v>188</v>
      </c>
      <c r="K4334" t="s">
        <v>91</v>
      </c>
      <c r="L4334" t="s">
        <v>33</v>
      </c>
      <c r="M4334" t="s">
        <v>68</v>
      </c>
      <c r="N4334" t="s">
        <v>48</v>
      </c>
      <c r="O4334" t="s">
        <v>70</v>
      </c>
      <c r="P4334" t="s">
        <v>37</v>
      </c>
      <c r="Q4334" t="s">
        <v>129</v>
      </c>
      <c r="R4334">
        <v>200</v>
      </c>
      <c r="S4334">
        <v>114</v>
      </c>
      <c r="T4334">
        <v>77</v>
      </c>
      <c r="U4334">
        <v>28</v>
      </c>
      <c r="V4334" t="s">
        <v>6590</v>
      </c>
      <c r="W4334">
        <v>60705</v>
      </c>
      <c r="X4334" t="s">
        <v>7111</v>
      </c>
      <c r="Y4334">
        <v>44944</v>
      </c>
      <c r="Z4334">
        <v>1699740</v>
      </c>
      <c r="AA4334">
        <v>441308</v>
      </c>
      <c r="AB4334" t="str">
        <f>(VLOOKUP(SalesData[[#This Row],[Month Number]],Reference!C$5:E$16,2,FALSE))</f>
        <v>Feb</v>
      </c>
      <c r="AC4334">
        <f>MONTH(SalesData[[#This Row],[Date]])</f>
        <v>2</v>
      </c>
      <c r="AD4334">
        <f>Reference!F$4</f>
        <v>2026</v>
      </c>
      <c r="AE4334" t="str">
        <f>IF(OR(SalesData[[#This Row],[Day]]="Saturday",SalesData[[#This Row],[Day]]="Sunday"),"Weekend","Weekday")</f>
        <v>Weekday</v>
      </c>
      <c r="AF4334" s="5">
        <f>IF(SalesData[[#This Row],[Contracts Offered]]=0,0,SalesData[[#This Row],[Contracts Signed]]/SalesData[[#This Row],[Contracts Offered]])</f>
        <v>0.36363636363636365</v>
      </c>
      <c r="AG4334" s="5">
        <f>IF(SalesData[[#This Row],[Customers Visited]]=0,0,SalesData[[#This Row],[Test Drives]]/SalesData[[#This Row],[Customers Visited]])</f>
        <v>0.56999999999999995</v>
      </c>
      <c r="AH4334" s="5">
        <f>IF(SalesData[[#This Row],[Customers Visited]]=0,0,SalesData[[#This Row],[Contracts Signed]]/SalesData[[#This Row],[Customers Visited]])</f>
        <v>0.14000000000000001</v>
      </c>
      <c r="AI4334" s="6">
        <f>IF(SalesData[[#This Row],[Contracts Signed]]=0,0,SalesData[[#This Row],[Profit(€)]]/SalesData[[#This Row],[Contracts Signed]])</f>
        <v>15761</v>
      </c>
      <c r="AJ4334" s="5" t="str">
        <f>TRIM(CLEAN(SalesData[[#This Row],[Retailer]]))</f>
        <v>Saxon Wheels</v>
      </c>
    </row>
    <row r="4335" spans="1:36" ht="14.25" x14ac:dyDescent="0.2">
      <c r="A4335" t="s">
        <v>5593</v>
      </c>
      <c r="B4335" s="1">
        <v>46071</v>
      </c>
      <c r="C4335" t="s">
        <v>62</v>
      </c>
      <c r="D4335" t="s">
        <v>82</v>
      </c>
      <c r="E4335" t="s">
        <v>26</v>
      </c>
      <c r="F4335" t="s">
        <v>27</v>
      </c>
      <c r="G4335" t="s">
        <v>28</v>
      </c>
      <c r="H4335" t="s">
        <v>29</v>
      </c>
      <c r="I4335" t="s">
        <v>30</v>
      </c>
      <c r="J4335" t="s">
        <v>188</v>
      </c>
      <c r="K4335" t="s">
        <v>78</v>
      </c>
      <c r="L4335" t="s">
        <v>33</v>
      </c>
      <c r="M4335" t="s">
        <v>87</v>
      </c>
      <c r="N4335" t="s">
        <v>69</v>
      </c>
      <c r="O4335" t="s">
        <v>70</v>
      </c>
      <c r="P4335" t="s">
        <v>37</v>
      </c>
      <c r="Q4335" t="s">
        <v>129</v>
      </c>
      <c r="R4335">
        <v>181</v>
      </c>
      <c r="S4335">
        <v>82</v>
      </c>
      <c r="T4335">
        <v>62</v>
      </c>
      <c r="U4335">
        <v>19</v>
      </c>
      <c r="V4335" t="s">
        <v>6652</v>
      </c>
      <c r="W4335">
        <v>55888</v>
      </c>
      <c r="X4335" t="s">
        <v>2040</v>
      </c>
      <c r="Y4335">
        <v>40711</v>
      </c>
      <c r="Z4335">
        <v>1061872</v>
      </c>
      <c r="AA4335">
        <v>288363</v>
      </c>
      <c r="AB4335" t="str">
        <f>(VLOOKUP(SalesData[[#This Row],[Month Number]],Reference!C$5:E$16,2,FALSE))</f>
        <v>Feb</v>
      </c>
      <c r="AC4335">
        <f>MONTH(SalesData[[#This Row],[Date]])</f>
        <v>2</v>
      </c>
      <c r="AD4335">
        <f>Reference!F$4</f>
        <v>2026</v>
      </c>
      <c r="AE4335" t="str">
        <f>IF(OR(SalesData[[#This Row],[Day]]="Saturday",SalesData[[#This Row],[Day]]="Sunday"),"Weekend","Weekday")</f>
        <v>Weekday</v>
      </c>
      <c r="AF4335" s="5">
        <f>IF(SalesData[[#This Row],[Contracts Offered]]=0,0,SalesData[[#This Row],[Contracts Signed]]/SalesData[[#This Row],[Contracts Offered]])</f>
        <v>0.30645161290322581</v>
      </c>
      <c r="AG4335" s="5">
        <f>IF(SalesData[[#This Row],[Customers Visited]]=0,0,SalesData[[#This Row],[Test Drives]]/SalesData[[#This Row],[Customers Visited]])</f>
        <v>0.45303867403314918</v>
      </c>
      <c r="AH4335" s="5">
        <f>IF(SalesData[[#This Row],[Customers Visited]]=0,0,SalesData[[#This Row],[Contracts Signed]]/SalesData[[#This Row],[Customers Visited]])</f>
        <v>0.10497237569060773</v>
      </c>
      <c r="AI4335" s="6">
        <f>IF(SalesData[[#This Row],[Contracts Signed]]=0,0,SalesData[[#This Row],[Profit(€)]]/SalesData[[#This Row],[Contracts Signed]])</f>
        <v>15177</v>
      </c>
      <c r="AJ4335" s="5" t="str">
        <f>TRIM(CLEAN(SalesData[[#This Row],[Retailer]]))</f>
        <v>Main Auto Hub</v>
      </c>
    </row>
    <row r="4336" spans="1:36" ht="14.25" hidden="1" x14ac:dyDescent="0.2">
      <c r="A4336" t="s">
        <v>5594</v>
      </c>
      <c r="B4336" s="1">
        <v>46062</v>
      </c>
      <c r="C4336" t="s">
        <v>121</v>
      </c>
      <c r="D4336" t="s">
        <v>25</v>
      </c>
      <c r="E4336" t="s">
        <v>26</v>
      </c>
      <c r="F4336" t="s">
        <v>43</v>
      </c>
      <c r="G4336" t="s">
        <v>44</v>
      </c>
      <c r="H4336" t="s">
        <v>45</v>
      </c>
      <c r="I4336" t="s">
        <v>116</v>
      </c>
      <c r="J4336" t="s">
        <v>7090</v>
      </c>
      <c r="K4336" t="s">
        <v>32</v>
      </c>
      <c r="L4336" t="s">
        <v>46</v>
      </c>
      <c r="M4336" t="s">
        <v>47</v>
      </c>
      <c r="N4336" t="s">
        <v>35</v>
      </c>
      <c r="O4336" t="s">
        <v>36</v>
      </c>
      <c r="P4336" t="s">
        <v>37</v>
      </c>
      <c r="Q4336" t="s">
        <v>240</v>
      </c>
      <c r="R4336">
        <v>230</v>
      </c>
      <c r="S4336">
        <v>99</v>
      </c>
      <c r="T4336">
        <v>57</v>
      </c>
      <c r="U4336">
        <v>14</v>
      </c>
      <c r="V4336" t="s">
        <v>1787</v>
      </c>
      <c r="W4336">
        <v>20459</v>
      </c>
      <c r="X4336" t="s">
        <v>2401</v>
      </c>
      <c r="Y4336">
        <v>18391</v>
      </c>
      <c r="Z4336">
        <v>286426</v>
      </c>
      <c r="AA4336">
        <v>28952</v>
      </c>
      <c r="AB4336" t="str">
        <f>(VLOOKUP(SalesData[[#This Row],[Month Number]],Reference!C$5:E$16,2,FALSE))</f>
        <v>Feb</v>
      </c>
      <c r="AC4336">
        <f>MONTH(SalesData[[#This Row],[Date]])</f>
        <v>2</v>
      </c>
      <c r="AD4336">
        <f>Reference!F$4</f>
        <v>2026</v>
      </c>
      <c r="AE4336" t="str">
        <f>IF(OR(SalesData[[#This Row],[Day]]="Saturday",SalesData[[#This Row],[Day]]="Sunday"),"Weekend","Weekday")</f>
        <v>Weekday</v>
      </c>
      <c r="AF4336" s="5">
        <f>IF(SalesData[[#This Row],[Contracts Offered]]=0,0,SalesData[[#This Row],[Contracts Signed]]/SalesData[[#This Row],[Contracts Offered]])</f>
        <v>0.24561403508771928</v>
      </c>
      <c r="AG4336" s="5">
        <f>IF(SalesData[[#This Row],[Customers Visited]]=0,0,SalesData[[#This Row],[Test Drives]]/SalesData[[#This Row],[Customers Visited]])</f>
        <v>0.43043478260869567</v>
      </c>
      <c r="AH4336" s="5">
        <f>IF(SalesData[[#This Row],[Customers Visited]]=0,0,SalesData[[#This Row],[Contracts Signed]]/SalesData[[#This Row],[Customers Visited]])</f>
        <v>6.0869565217391307E-2</v>
      </c>
      <c r="AI4336" s="6">
        <f>IF(SalesData[[#This Row],[Contracts Signed]]=0,0,SalesData[[#This Row],[Profit(€)]]/SalesData[[#This Row],[Contracts Signed]])</f>
        <v>2068</v>
      </c>
      <c r="AJ4336" s="5" t="str">
        <f>TRIM(CLEAN(SalesData[[#This Row],[Retailer]]))</f>
        <v>Saxon Wheels</v>
      </c>
    </row>
    <row r="4337" spans="1:36" ht="14.25" hidden="1" x14ac:dyDescent="0.2">
      <c r="A4337" t="s">
        <v>5595</v>
      </c>
      <c r="B4337" s="1">
        <v>46054</v>
      </c>
      <c r="C4337" t="s">
        <v>24</v>
      </c>
      <c r="D4337" t="s">
        <v>41</v>
      </c>
      <c r="E4337" t="s">
        <v>42</v>
      </c>
      <c r="F4337" t="s">
        <v>43</v>
      </c>
      <c r="G4337" t="s">
        <v>44</v>
      </c>
      <c r="H4337" t="s">
        <v>45</v>
      </c>
      <c r="I4337" t="s">
        <v>104</v>
      </c>
      <c r="J4337" t="s">
        <v>143</v>
      </c>
      <c r="K4337" t="s">
        <v>32</v>
      </c>
      <c r="L4337" t="s">
        <v>67</v>
      </c>
      <c r="M4337" t="s">
        <v>87</v>
      </c>
      <c r="N4337" t="s">
        <v>35</v>
      </c>
      <c r="O4337" t="s">
        <v>70</v>
      </c>
      <c r="P4337" t="s">
        <v>37</v>
      </c>
      <c r="Q4337" t="s">
        <v>106</v>
      </c>
      <c r="R4337">
        <v>376</v>
      </c>
      <c r="S4337">
        <v>197</v>
      </c>
      <c r="T4337">
        <v>119</v>
      </c>
      <c r="U4337">
        <v>29</v>
      </c>
      <c r="V4337" t="s">
        <v>1182</v>
      </c>
      <c r="W4337">
        <v>24925</v>
      </c>
      <c r="X4337" t="s">
        <v>2925</v>
      </c>
      <c r="Y4337">
        <v>22372</v>
      </c>
      <c r="Z4337">
        <v>722825</v>
      </c>
      <c r="AA4337">
        <v>74037</v>
      </c>
      <c r="AB4337" t="str">
        <f>(VLOOKUP(SalesData[[#This Row],[Month Number]],Reference!C$5:E$16,2,FALSE))</f>
        <v>Feb</v>
      </c>
      <c r="AC4337">
        <f>MONTH(SalesData[[#This Row],[Date]])</f>
        <v>2</v>
      </c>
      <c r="AD4337">
        <f>Reference!F$4</f>
        <v>2026</v>
      </c>
      <c r="AE4337" t="str">
        <f>IF(OR(SalesData[[#This Row],[Day]]="Saturday",SalesData[[#This Row],[Day]]="Sunday"),"Weekend","Weekday")</f>
        <v>Weekend</v>
      </c>
      <c r="AF4337" s="5">
        <f>IF(SalesData[[#This Row],[Contracts Offered]]=0,0,SalesData[[#This Row],[Contracts Signed]]/SalesData[[#This Row],[Contracts Offered]])</f>
        <v>0.24369747899159663</v>
      </c>
      <c r="AG4337" s="5">
        <f>IF(SalesData[[#This Row],[Customers Visited]]=0,0,SalesData[[#This Row],[Test Drives]]/SalesData[[#This Row],[Customers Visited]])</f>
        <v>0.52393617021276595</v>
      </c>
      <c r="AH4337" s="5">
        <f>IF(SalesData[[#This Row],[Customers Visited]]=0,0,SalesData[[#This Row],[Contracts Signed]]/SalesData[[#This Row],[Customers Visited]])</f>
        <v>7.7127659574468085E-2</v>
      </c>
      <c r="AI4337" s="6">
        <f>IF(SalesData[[#This Row],[Contracts Signed]]=0,0,SalesData[[#This Row],[Profit(€)]]/SalesData[[#This Row],[Contracts Signed]])</f>
        <v>2553</v>
      </c>
      <c r="AJ4337" s="5" t="str">
        <f>TRIM(CLEAN(SalesData[[#This Row],[Retailer]]))</f>
        <v>Saxon Wheels</v>
      </c>
    </row>
    <row r="4338" spans="1:36" ht="14.25" x14ac:dyDescent="0.2">
      <c r="A4338" t="s">
        <v>5596</v>
      </c>
      <c r="B4338" s="1">
        <v>46054</v>
      </c>
      <c r="C4338" t="s">
        <v>24</v>
      </c>
      <c r="D4338" t="s">
        <v>41</v>
      </c>
      <c r="E4338" t="s">
        <v>42</v>
      </c>
      <c r="F4338" t="s">
        <v>74</v>
      </c>
      <c r="G4338" t="s">
        <v>75</v>
      </c>
      <c r="H4338" t="s">
        <v>76</v>
      </c>
      <c r="I4338" t="s">
        <v>30</v>
      </c>
      <c r="J4338" t="s">
        <v>188</v>
      </c>
      <c r="K4338" t="s">
        <v>78</v>
      </c>
      <c r="L4338" t="s">
        <v>33</v>
      </c>
      <c r="M4338" t="s">
        <v>68</v>
      </c>
      <c r="N4338" t="s">
        <v>69</v>
      </c>
      <c r="O4338" t="s">
        <v>70</v>
      </c>
      <c r="P4338" t="s">
        <v>37</v>
      </c>
      <c r="Q4338" t="s">
        <v>50</v>
      </c>
      <c r="R4338">
        <v>164</v>
      </c>
      <c r="S4338">
        <v>100</v>
      </c>
      <c r="T4338">
        <v>72</v>
      </c>
      <c r="U4338">
        <v>26</v>
      </c>
      <c r="V4338" t="s">
        <v>6519</v>
      </c>
      <c r="W4338">
        <v>57169</v>
      </c>
      <c r="X4338" t="s">
        <v>7130</v>
      </c>
      <c r="Y4338">
        <v>41176</v>
      </c>
      <c r="Z4338">
        <v>1486394</v>
      </c>
      <c r="AA4338">
        <v>415818</v>
      </c>
      <c r="AB4338" t="str">
        <f>(VLOOKUP(SalesData[[#This Row],[Month Number]],Reference!C$5:E$16,2,FALSE))</f>
        <v>Feb</v>
      </c>
      <c r="AC4338">
        <f>MONTH(SalesData[[#This Row],[Date]])</f>
        <v>2</v>
      </c>
      <c r="AD4338">
        <f>Reference!F$4</f>
        <v>2026</v>
      </c>
      <c r="AE4338" t="str">
        <f>IF(OR(SalesData[[#This Row],[Day]]="Saturday",SalesData[[#This Row],[Day]]="Sunday"),"Weekend","Weekday")</f>
        <v>Weekend</v>
      </c>
      <c r="AF4338" s="5">
        <f>IF(SalesData[[#This Row],[Contracts Offered]]=0,0,SalesData[[#This Row],[Contracts Signed]]/SalesData[[#This Row],[Contracts Offered]])</f>
        <v>0.3611111111111111</v>
      </c>
      <c r="AG4338" s="5">
        <f>IF(SalesData[[#This Row],[Customers Visited]]=0,0,SalesData[[#This Row],[Test Drives]]/SalesData[[#This Row],[Customers Visited]])</f>
        <v>0.6097560975609756</v>
      </c>
      <c r="AH4338" s="5">
        <f>IF(SalesData[[#This Row],[Customers Visited]]=0,0,SalesData[[#This Row],[Contracts Signed]]/SalesData[[#This Row],[Customers Visited]])</f>
        <v>0.15853658536585366</v>
      </c>
      <c r="AI4338" s="6">
        <f>IF(SalesData[[#This Row],[Contracts Signed]]=0,0,SalesData[[#This Row],[Profit(€)]]/SalesData[[#This Row],[Contracts Signed]])</f>
        <v>15993</v>
      </c>
      <c r="AJ4338" s="5" t="str">
        <f>TRIM(CLEAN(SalesData[[#This Row],[Retailer]]))</f>
        <v>Stuttgart Auto Center</v>
      </c>
    </row>
    <row r="4339" spans="1:36" ht="14.25" x14ac:dyDescent="0.2">
      <c r="A4339" t="s">
        <v>5597</v>
      </c>
      <c r="B4339" s="1">
        <v>46074</v>
      </c>
      <c r="C4339" t="s">
        <v>62</v>
      </c>
      <c r="D4339" t="s">
        <v>151</v>
      </c>
      <c r="E4339" t="s">
        <v>42</v>
      </c>
      <c r="F4339" t="s">
        <v>101</v>
      </c>
      <c r="G4339" t="s">
        <v>102</v>
      </c>
      <c r="H4339" t="s">
        <v>103</v>
      </c>
      <c r="I4339" t="s">
        <v>30</v>
      </c>
      <c r="J4339" t="s">
        <v>188</v>
      </c>
      <c r="K4339" t="s">
        <v>66</v>
      </c>
      <c r="L4339" t="s">
        <v>33</v>
      </c>
      <c r="M4339" t="s">
        <v>68</v>
      </c>
      <c r="N4339" t="s">
        <v>35</v>
      </c>
      <c r="O4339" t="s">
        <v>36</v>
      </c>
      <c r="P4339" t="s">
        <v>37</v>
      </c>
      <c r="Q4339" t="s">
        <v>204</v>
      </c>
      <c r="R4339">
        <v>185</v>
      </c>
      <c r="S4339">
        <v>108</v>
      </c>
      <c r="T4339">
        <v>83</v>
      </c>
      <c r="U4339">
        <v>26</v>
      </c>
      <c r="V4339" t="s">
        <v>6497</v>
      </c>
      <c r="W4339">
        <v>53490</v>
      </c>
      <c r="X4339" t="s">
        <v>5094</v>
      </c>
      <c r="Y4339">
        <v>39455</v>
      </c>
      <c r="Z4339">
        <v>1390740</v>
      </c>
      <c r="AA4339">
        <v>364910</v>
      </c>
      <c r="AB4339" t="str">
        <f>(VLOOKUP(SalesData[[#This Row],[Month Number]],Reference!C$5:E$16,2,FALSE))</f>
        <v>Feb</v>
      </c>
      <c r="AC4339">
        <f>MONTH(SalesData[[#This Row],[Date]])</f>
        <v>2</v>
      </c>
      <c r="AD4339">
        <f>Reference!F$4</f>
        <v>2026</v>
      </c>
      <c r="AE4339" t="str">
        <f>IF(OR(SalesData[[#This Row],[Day]]="Saturday",SalesData[[#This Row],[Day]]="Sunday"),"Weekend","Weekday")</f>
        <v>Weekend</v>
      </c>
      <c r="AF4339" s="5">
        <f>IF(SalesData[[#This Row],[Contracts Offered]]=0,0,SalesData[[#This Row],[Contracts Signed]]/SalesData[[#This Row],[Contracts Offered]])</f>
        <v>0.31325301204819278</v>
      </c>
      <c r="AG4339" s="5">
        <f>IF(SalesData[[#This Row],[Customers Visited]]=0,0,SalesData[[#This Row],[Test Drives]]/SalesData[[#This Row],[Customers Visited]])</f>
        <v>0.58378378378378382</v>
      </c>
      <c r="AH4339" s="5">
        <f>IF(SalesData[[#This Row],[Customers Visited]]=0,0,SalesData[[#This Row],[Contracts Signed]]/SalesData[[#This Row],[Customers Visited]])</f>
        <v>0.14054054054054055</v>
      </c>
      <c r="AI4339" s="6">
        <f>IF(SalesData[[#This Row],[Contracts Signed]]=0,0,SalesData[[#This Row],[Profit(€)]]/SalesData[[#This Row],[Contracts Signed]])</f>
        <v>14035</v>
      </c>
      <c r="AJ4339" s="5" t="str">
        <f>TRIM(CLEAN(SalesData[[#This Row],[Retailer]]))</f>
        <v>Ruhr Auto Plaza</v>
      </c>
    </row>
    <row r="4340" spans="1:36" ht="14.25" hidden="1" x14ac:dyDescent="0.2">
      <c r="A4340" t="s">
        <v>5598</v>
      </c>
      <c r="B4340" s="1">
        <v>46069</v>
      </c>
      <c r="C4340" t="s">
        <v>62</v>
      </c>
      <c r="D4340" t="s">
        <v>25</v>
      </c>
      <c r="E4340" t="s">
        <v>26</v>
      </c>
      <c r="F4340" t="s">
        <v>127</v>
      </c>
      <c r="G4340" t="s">
        <v>128</v>
      </c>
      <c r="H4340" t="s">
        <v>103</v>
      </c>
      <c r="I4340" t="s">
        <v>64</v>
      </c>
      <c r="J4340" t="s">
        <v>157</v>
      </c>
      <c r="K4340" t="s">
        <v>32</v>
      </c>
      <c r="L4340" t="s">
        <v>33</v>
      </c>
      <c r="M4340" t="s">
        <v>87</v>
      </c>
      <c r="N4340" t="s">
        <v>35</v>
      </c>
      <c r="O4340" t="s">
        <v>70</v>
      </c>
      <c r="P4340" t="s">
        <v>71</v>
      </c>
      <c r="Q4340" t="s">
        <v>169</v>
      </c>
      <c r="R4340">
        <v>260</v>
      </c>
      <c r="S4340">
        <v>115</v>
      </c>
      <c r="T4340">
        <v>79</v>
      </c>
      <c r="U4340">
        <v>31</v>
      </c>
      <c r="V4340" t="s">
        <v>6506</v>
      </c>
      <c r="W4340">
        <v>71203</v>
      </c>
      <c r="X4340" t="s">
        <v>7282</v>
      </c>
      <c r="Y4340">
        <v>52824</v>
      </c>
      <c r="Z4340">
        <v>2207293</v>
      </c>
      <c r="AA4340">
        <v>569749</v>
      </c>
      <c r="AB4340" t="str">
        <f>(VLOOKUP(SalesData[[#This Row],[Month Number]],Reference!C$5:E$16,2,FALSE))</f>
        <v>Feb</v>
      </c>
      <c r="AC4340">
        <f>MONTH(SalesData[[#This Row],[Date]])</f>
        <v>2</v>
      </c>
      <c r="AD4340">
        <f>Reference!F$4</f>
        <v>2026</v>
      </c>
      <c r="AE4340" t="str">
        <f>IF(OR(SalesData[[#This Row],[Day]]="Saturday",SalesData[[#This Row],[Day]]="Sunday"),"Weekend","Weekday")</f>
        <v>Weekday</v>
      </c>
      <c r="AF4340" s="5">
        <f>IF(SalesData[[#This Row],[Contracts Offered]]=0,0,SalesData[[#This Row],[Contracts Signed]]/SalesData[[#This Row],[Contracts Offered]])</f>
        <v>0.39240506329113922</v>
      </c>
      <c r="AG4340" s="5">
        <f>IF(SalesData[[#This Row],[Customers Visited]]=0,0,SalesData[[#This Row],[Test Drives]]/SalesData[[#This Row],[Customers Visited]])</f>
        <v>0.44230769230769229</v>
      </c>
      <c r="AH4340" s="5">
        <f>IF(SalesData[[#This Row],[Customers Visited]]=0,0,SalesData[[#This Row],[Contracts Signed]]/SalesData[[#This Row],[Customers Visited]])</f>
        <v>0.11923076923076924</v>
      </c>
      <c r="AI4340" s="6">
        <f>IF(SalesData[[#This Row],[Contracts Signed]]=0,0,SalesData[[#This Row],[Profit(€)]]/SalesData[[#This Row],[Contracts Signed]])</f>
        <v>18379</v>
      </c>
      <c r="AJ4340" s="5" t="str">
        <f>TRIM(CLEAN(SalesData[[#This Row],[Retailer]]))</f>
        <v>Rhein Auto Group</v>
      </c>
    </row>
    <row r="4341" spans="1:36" ht="14.25" hidden="1" x14ac:dyDescent="0.2">
      <c r="A4341" t="s">
        <v>5599</v>
      </c>
      <c r="B4341" s="1">
        <v>46081</v>
      </c>
      <c r="C4341" t="s">
        <v>53</v>
      </c>
      <c r="D4341" t="s">
        <v>151</v>
      </c>
      <c r="E4341" t="s">
        <v>42</v>
      </c>
      <c r="F4341" t="s">
        <v>114</v>
      </c>
      <c r="G4341" t="s">
        <v>115</v>
      </c>
      <c r="H4341" t="s">
        <v>115</v>
      </c>
      <c r="I4341" t="s">
        <v>104</v>
      </c>
      <c r="J4341" t="s">
        <v>140</v>
      </c>
      <c r="K4341" t="s">
        <v>91</v>
      </c>
      <c r="L4341" t="s">
        <v>46</v>
      </c>
      <c r="M4341" t="s">
        <v>87</v>
      </c>
      <c r="N4341" t="s">
        <v>35</v>
      </c>
      <c r="O4341" t="s">
        <v>36</v>
      </c>
      <c r="P4341" t="s">
        <v>49</v>
      </c>
      <c r="Q4341" t="s">
        <v>118</v>
      </c>
      <c r="R4341">
        <v>306</v>
      </c>
      <c r="S4341">
        <v>145</v>
      </c>
      <c r="T4341">
        <v>84</v>
      </c>
      <c r="U4341">
        <v>25</v>
      </c>
      <c r="V4341" t="s">
        <v>1447</v>
      </c>
      <c r="W4341">
        <v>26735</v>
      </c>
      <c r="X4341" t="s">
        <v>7509</v>
      </c>
      <c r="Y4341">
        <v>23755</v>
      </c>
      <c r="Z4341">
        <v>668375</v>
      </c>
      <c r="AA4341">
        <v>74500</v>
      </c>
      <c r="AB4341" t="str">
        <f>(VLOOKUP(SalesData[[#This Row],[Month Number]],Reference!C$5:E$16,2,FALSE))</f>
        <v>Feb</v>
      </c>
      <c r="AC4341">
        <f>MONTH(SalesData[[#This Row],[Date]])</f>
        <v>2</v>
      </c>
      <c r="AD4341">
        <f>Reference!F$4</f>
        <v>2026</v>
      </c>
      <c r="AE4341" t="str">
        <f>IF(OR(SalesData[[#This Row],[Day]]="Saturday",SalesData[[#This Row],[Day]]="Sunday"),"Weekend","Weekday")</f>
        <v>Weekend</v>
      </c>
      <c r="AF4341" s="5">
        <f>IF(SalesData[[#This Row],[Contracts Offered]]=0,0,SalesData[[#This Row],[Contracts Signed]]/SalesData[[#This Row],[Contracts Offered]])</f>
        <v>0.29761904761904762</v>
      </c>
      <c r="AG4341" s="5">
        <f>IF(SalesData[[#This Row],[Customers Visited]]=0,0,SalesData[[#This Row],[Test Drives]]/SalesData[[#This Row],[Customers Visited]])</f>
        <v>0.47385620915032678</v>
      </c>
      <c r="AH4341" s="5">
        <f>IF(SalesData[[#This Row],[Customers Visited]]=0,0,SalesData[[#This Row],[Contracts Signed]]/SalesData[[#This Row],[Customers Visited]])</f>
        <v>8.1699346405228759E-2</v>
      </c>
      <c r="AI4341" s="6">
        <f>IF(SalesData[[#This Row],[Contracts Signed]]=0,0,SalesData[[#This Row],[Profit(€)]]/SalesData[[#This Row],[Contracts Signed]])</f>
        <v>2980</v>
      </c>
      <c r="AJ4341" s="5" t="str">
        <f>TRIM(CLEAN(SalesData[[#This Row],[Retailer]]))</f>
        <v>Elbe Drive</v>
      </c>
    </row>
    <row r="4342" spans="1:36" ht="14.25" x14ac:dyDescent="0.2">
      <c r="A4342" t="s">
        <v>5600</v>
      </c>
      <c r="B4342" s="1">
        <v>46070</v>
      </c>
      <c r="C4342" t="s">
        <v>62</v>
      </c>
      <c r="D4342" t="s">
        <v>63</v>
      </c>
      <c r="E4342" t="s">
        <v>26</v>
      </c>
      <c r="F4342" t="s">
        <v>7649</v>
      </c>
      <c r="G4342" t="s">
        <v>55</v>
      </c>
      <c r="H4342" t="s">
        <v>55</v>
      </c>
      <c r="I4342" t="s">
        <v>30</v>
      </c>
      <c r="J4342" t="s">
        <v>166</v>
      </c>
      <c r="K4342" t="s">
        <v>32</v>
      </c>
      <c r="L4342" t="s">
        <v>46</v>
      </c>
      <c r="M4342" t="s">
        <v>47</v>
      </c>
      <c r="N4342" t="s">
        <v>69</v>
      </c>
      <c r="O4342" t="s">
        <v>36</v>
      </c>
      <c r="P4342" t="s">
        <v>71</v>
      </c>
      <c r="Q4342" t="s">
        <v>50</v>
      </c>
      <c r="R4342">
        <v>227</v>
      </c>
      <c r="S4342">
        <v>116</v>
      </c>
      <c r="T4342">
        <v>86</v>
      </c>
      <c r="U4342">
        <v>35</v>
      </c>
      <c r="V4342" t="s">
        <v>7363</v>
      </c>
      <c r="W4342">
        <v>61446</v>
      </c>
      <c r="X4342" t="s">
        <v>7337</v>
      </c>
      <c r="Y4342">
        <v>46563</v>
      </c>
      <c r="Z4342">
        <v>2150610</v>
      </c>
      <c r="AA4342">
        <v>520905</v>
      </c>
      <c r="AB4342" t="str">
        <f>(VLOOKUP(SalesData[[#This Row],[Month Number]],Reference!C$5:E$16,2,FALSE))</f>
        <v>Feb</v>
      </c>
      <c r="AC4342">
        <f>MONTH(SalesData[[#This Row],[Date]])</f>
        <v>2</v>
      </c>
      <c r="AD4342">
        <f>Reference!F$4</f>
        <v>2026</v>
      </c>
      <c r="AE4342" t="str">
        <f>IF(OR(SalesData[[#This Row],[Day]]="Saturday",SalesData[[#This Row],[Day]]="Sunday"),"Weekend","Weekday")</f>
        <v>Weekday</v>
      </c>
      <c r="AF4342" s="5">
        <f>IF(SalesData[[#This Row],[Contracts Offered]]=0,0,SalesData[[#This Row],[Contracts Signed]]/SalesData[[#This Row],[Contracts Offered]])</f>
        <v>0.40697674418604651</v>
      </c>
      <c r="AG4342" s="5">
        <f>IF(SalesData[[#This Row],[Customers Visited]]=0,0,SalesData[[#This Row],[Test Drives]]/SalesData[[#This Row],[Customers Visited]])</f>
        <v>0.51101321585903081</v>
      </c>
      <c r="AH4342" s="5">
        <f>IF(SalesData[[#This Row],[Customers Visited]]=0,0,SalesData[[#This Row],[Contracts Signed]]/SalesData[[#This Row],[Customers Visited]])</f>
        <v>0.15418502202643172</v>
      </c>
      <c r="AI4342" s="6">
        <f>IF(SalesData[[#This Row],[Contracts Signed]]=0,0,SalesData[[#This Row],[Profit(€)]]/SalesData[[#This Row],[Contracts Signed]])</f>
        <v>14883</v>
      </c>
      <c r="AJ4342" s="5" t="str">
        <f>TRIM(CLEAN(SalesData[[#This Row],[Retailer]]))</f>
        <v>Autohaus Berlin</v>
      </c>
    </row>
    <row r="4343" spans="1:36" ht="14.25" hidden="1" x14ac:dyDescent="0.2">
      <c r="A4343" t="s">
        <v>5602</v>
      </c>
      <c r="B4343" s="1">
        <v>46062</v>
      </c>
      <c r="C4343" t="s">
        <v>121</v>
      </c>
      <c r="D4343" t="s">
        <v>25</v>
      </c>
      <c r="E4343" t="s">
        <v>26</v>
      </c>
      <c r="F4343" t="s">
        <v>7649</v>
      </c>
      <c r="G4343" t="s">
        <v>55</v>
      </c>
      <c r="H4343" t="s">
        <v>55</v>
      </c>
      <c r="I4343" t="s">
        <v>64</v>
      </c>
      <c r="J4343" t="s">
        <v>7029</v>
      </c>
      <c r="K4343" t="s">
        <v>66</v>
      </c>
      <c r="L4343" t="s">
        <v>33</v>
      </c>
      <c r="M4343" t="s">
        <v>47</v>
      </c>
      <c r="N4343" t="s">
        <v>35</v>
      </c>
      <c r="O4343" t="s">
        <v>70</v>
      </c>
      <c r="P4343" t="s">
        <v>37</v>
      </c>
      <c r="Q4343" t="s">
        <v>189</v>
      </c>
      <c r="R4343">
        <v>260</v>
      </c>
      <c r="S4343">
        <v>124</v>
      </c>
      <c r="T4343">
        <v>91</v>
      </c>
      <c r="U4343">
        <v>33</v>
      </c>
      <c r="V4343" t="s">
        <v>6687</v>
      </c>
      <c r="W4343">
        <v>58317</v>
      </c>
      <c r="X4343" t="s">
        <v>3488</v>
      </c>
      <c r="Y4343">
        <v>45910</v>
      </c>
      <c r="Z4343">
        <v>1924461</v>
      </c>
      <c r="AA4343">
        <v>409431</v>
      </c>
      <c r="AB4343" t="str">
        <f>(VLOOKUP(SalesData[[#This Row],[Month Number]],Reference!C$5:E$16,2,FALSE))</f>
        <v>Feb</v>
      </c>
      <c r="AC4343">
        <f>MONTH(SalesData[[#This Row],[Date]])</f>
        <v>2</v>
      </c>
      <c r="AD4343">
        <f>Reference!F$4</f>
        <v>2026</v>
      </c>
      <c r="AE4343" t="str">
        <f>IF(OR(SalesData[[#This Row],[Day]]="Saturday",SalesData[[#This Row],[Day]]="Sunday"),"Weekend","Weekday")</f>
        <v>Weekday</v>
      </c>
      <c r="AF4343" s="5">
        <f>IF(SalesData[[#This Row],[Contracts Offered]]=0,0,SalesData[[#This Row],[Contracts Signed]]/SalesData[[#This Row],[Contracts Offered]])</f>
        <v>0.36263736263736263</v>
      </c>
      <c r="AG4343" s="5">
        <f>IF(SalesData[[#This Row],[Customers Visited]]=0,0,SalesData[[#This Row],[Test Drives]]/SalesData[[#This Row],[Customers Visited]])</f>
        <v>0.47692307692307695</v>
      </c>
      <c r="AH4343" s="5">
        <f>IF(SalesData[[#This Row],[Customers Visited]]=0,0,SalesData[[#This Row],[Contracts Signed]]/SalesData[[#This Row],[Customers Visited]])</f>
        <v>0.12692307692307692</v>
      </c>
      <c r="AI4343" s="6">
        <f>IF(SalesData[[#This Row],[Contracts Signed]]=0,0,SalesData[[#This Row],[Profit(€)]]/SalesData[[#This Row],[Contracts Signed]])</f>
        <v>12407</v>
      </c>
      <c r="AJ4343" s="5" t="str">
        <f>TRIM(CLEAN(SalesData[[#This Row],[Retailer]]))</f>
        <v>Autohaus Berlin</v>
      </c>
    </row>
    <row r="4344" spans="1:36" ht="14.25" hidden="1" x14ac:dyDescent="0.2">
      <c r="A4344" t="s">
        <v>5603</v>
      </c>
      <c r="B4344" s="1">
        <v>46071</v>
      </c>
      <c r="C4344" t="s">
        <v>62</v>
      </c>
      <c r="D4344" t="s">
        <v>82</v>
      </c>
      <c r="E4344" t="s">
        <v>26</v>
      </c>
      <c r="F4344" t="s">
        <v>127</v>
      </c>
      <c r="G4344" t="s">
        <v>128</v>
      </c>
      <c r="H4344" t="s">
        <v>103</v>
      </c>
      <c r="I4344" t="s">
        <v>64</v>
      </c>
      <c r="J4344" t="s">
        <v>65</v>
      </c>
      <c r="K4344" t="s">
        <v>91</v>
      </c>
      <c r="L4344" t="s">
        <v>33</v>
      </c>
      <c r="M4344" t="s">
        <v>87</v>
      </c>
      <c r="N4344" t="s">
        <v>48</v>
      </c>
      <c r="O4344" t="s">
        <v>70</v>
      </c>
      <c r="P4344" t="s">
        <v>71</v>
      </c>
      <c r="Q4344" t="s">
        <v>59</v>
      </c>
      <c r="R4344">
        <v>250</v>
      </c>
      <c r="S4344">
        <v>148</v>
      </c>
      <c r="T4344">
        <v>98</v>
      </c>
      <c r="U4344">
        <v>36</v>
      </c>
      <c r="V4344" t="s">
        <v>6378</v>
      </c>
      <c r="W4344">
        <v>61104</v>
      </c>
      <c r="X4344" t="s">
        <v>7165</v>
      </c>
      <c r="Y4344">
        <v>44904</v>
      </c>
      <c r="Z4344">
        <v>2199744</v>
      </c>
      <c r="AA4344">
        <v>583200</v>
      </c>
      <c r="AB4344" t="str">
        <f>(VLOOKUP(SalesData[[#This Row],[Month Number]],Reference!C$5:E$16,2,FALSE))</f>
        <v>Feb</v>
      </c>
      <c r="AC4344">
        <f>MONTH(SalesData[[#This Row],[Date]])</f>
        <v>2</v>
      </c>
      <c r="AD4344">
        <f>Reference!F$4</f>
        <v>2026</v>
      </c>
      <c r="AE4344" t="str">
        <f>IF(OR(SalesData[[#This Row],[Day]]="Saturday",SalesData[[#This Row],[Day]]="Sunday"),"Weekend","Weekday")</f>
        <v>Weekday</v>
      </c>
      <c r="AF4344" s="5">
        <f>IF(SalesData[[#This Row],[Contracts Offered]]=0,0,SalesData[[#This Row],[Contracts Signed]]/SalesData[[#This Row],[Contracts Offered]])</f>
        <v>0.36734693877551022</v>
      </c>
      <c r="AG4344" s="5">
        <f>IF(SalesData[[#This Row],[Customers Visited]]=0,0,SalesData[[#This Row],[Test Drives]]/SalesData[[#This Row],[Customers Visited]])</f>
        <v>0.59199999999999997</v>
      </c>
      <c r="AH4344" s="5">
        <f>IF(SalesData[[#This Row],[Customers Visited]]=0,0,SalesData[[#This Row],[Contracts Signed]]/SalesData[[#This Row],[Customers Visited]])</f>
        <v>0.14399999999999999</v>
      </c>
      <c r="AI4344" s="6">
        <f>IF(SalesData[[#This Row],[Contracts Signed]]=0,0,SalesData[[#This Row],[Profit(€)]]/SalesData[[#This Row],[Contracts Signed]])</f>
        <v>16200</v>
      </c>
      <c r="AJ4344" s="5" t="str">
        <f>TRIM(CLEAN(SalesData[[#This Row],[Retailer]]))</f>
        <v>Rhein Auto Group</v>
      </c>
    </row>
    <row r="4345" spans="1:36" ht="14.25" hidden="1" x14ac:dyDescent="0.2">
      <c r="A4345" t="s">
        <v>5604</v>
      </c>
      <c r="B4345" s="1">
        <v>46057</v>
      </c>
      <c r="C4345" t="s">
        <v>24</v>
      </c>
      <c r="D4345" t="s">
        <v>82</v>
      </c>
      <c r="E4345" t="s">
        <v>26</v>
      </c>
      <c r="F4345" t="s">
        <v>127</v>
      </c>
      <c r="G4345" t="s">
        <v>128</v>
      </c>
      <c r="H4345" t="s">
        <v>103</v>
      </c>
      <c r="I4345" t="s">
        <v>116</v>
      </c>
      <c r="J4345" t="s">
        <v>132</v>
      </c>
      <c r="K4345" t="s">
        <v>91</v>
      </c>
      <c r="L4345" t="s">
        <v>46</v>
      </c>
      <c r="M4345" t="s">
        <v>87</v>
      </c>
      <c r="N4345" t="s">
        <v>35</v>
      </c>
      <c r="O4345" t="s">
        <v>36</v>
      </c>
      <c r="P4345" t="s">
        <v>37</v>
      </c>
      <c r="Q4345" t="s">
        <v>59</v>
      </c>
      <c r="R4345">
        <v>235</v>
      </c>
      <c r="S4345">
        <v>129</v>
      </c>
      <c r="T4345">
        <v>86</v>
      </c>
      <c r="U4345">
        <v>21</v>
      </c>
      <c r="V4345" t="s">
        <v>89</v>
      </c>
      <c r="W4345">
        <v>24675</v>
      </c>
      <c r="X4345" t="s">
        <v>2614</v>
      </c>
      <c r="Y4345">
        <v>22721</v>
      </c>
      <c r="Z4345">
        <v>518175</v>
      </c>
      <c r="AA4345">
        <v>41034</v>
      </c>
      <c r="AB4345" t="str">
        <f>(VLOOKUP(SalesData[[#This Row],[Month Number]],Reference!C$5:E$16,2,FALSE))</f>
        <v>Feb</v>
      </c>
      <c r="AC4345">
        <f>MONTH(SalesData[[#This Row],[Date]])</f>
        <v>2</v>
      </c>
      <c r="AD4345">
        <f>Reference!F$4</f>
        <v>2026</v>
      </c>
      <c r="AE4345" t="str">
        <f>IF(OR(SalesData[[#This Row],[Day]]="Saturday",SalesData[[#This Row],[Day]]="Sunday"),"Weekend","Weekday")</f>
        <v>Weekday</v>
      </c>
      <c r="AF4345" s="5">
        <f>IF(SalesData[[#This Row],[Contracts Offered]]=0,0,SalesData[[#This Row],[Contracts Signed]]/SalesData[[#This Row],[Contracts Offered]])</f>
        <v>0.2441860465116279</v>
      </c>
      <c r="AG4345" s="5">
        <f>IF(SalesData[[#This Row],[Customers Visited]]=0,0,SalesData[[#This Row],[Test Drives]]/SalesData[[#This Row],[Customers Visited]])</f>
        <v>0.54893617021276597</v>
      </c>
      <c r="AH4345" s="5">
        <f>IF(SalesData[[#This Row],[Customers Visited]]=0,0,SalesData[[#This Row],[Contracts Signed]]/SalesData[[#This Row],[Customers Visited]])</f>
        <v>8.9361702127659579E-2</v>
      </c>
      <c r="AI4345" s="6">
        <f>IF(SalesData[[#This Row],[Contracts Signed]]=0,0,SalesData[[#This Row],[Profit(€)]]/SalesData[[#This Row],[Contracts Signed]])</f>
        <v>1954</v>
      </c>
      <c r="AJ4345" s="5" t="str">
        <f>TRIM(CLEAN(SalesData[[#This Row],[Retailer]]))</f>
        <v>Rhein Auto Group</v>
      </c>
    </row>
    <row r="4346" spans="1:36" ht="14.25" x14ac:dyDescent="0.2">
      <c r="A4346" t="s">
        <v>5605</v>
      </c>
      <c r="B4346" s="1">
        <v>46069</v>
      </c>
      <c r="C4346" t="s">
        <v>62</v>
      </c>
      <c r="D4346" t="s">
        <v>25</v>
      </c>
      <c r="E4346" t="s">
        <v>26</v>
      </c>
      <c r="F4346" t="s">
        <v>101</v>
      </c>
      <c r="G4346" t="s">
        <v>102</v>
      </c>
      <c r="H4346" t="s">
        <v>103</v>
      </c>
      <c r="I4346" t="s">
        <v>30</v>
      </c>
      <c r="J4346" t="s">
        <v>31</v>
      </c>
      <c r="K4346" t="s">
        <v>91</v>
      </c>
      <c r="L4346" t="s">
        <v>46</v>
      </c>
      <c r="M4346" t="s">
        <v>87</v>
      </c>
      <c r="N4346" t="s">
        <v>69</v>
      </c>
      <c r="O4346" t="s">
        <v>70</v>
      </c>
      <c r="P4346" t="s">
        <v>49</v>
      </c>
      <c r="Q4346" t="s">
        <v>38</v>
      </c>
      <c r="R4346">
        <v>180</v>
      </c>
      <c r="S4346">
        <v>94</v>
      </c>
      <c r="T4346">
        <v>64</v>
      </c>
      <c r="U4346">
        <v>25</v>
      </c>
      <c r="V4346" t="s">
        <v>6985</v>
      </c>
      <c r="W4346">
        <v>67016</v>
      </c>
      <c r="X4346" t="s">
        <v>7496</v>
      </c>
      <c r="Y4346">
        <v>51430</v>
      </c>
      <c r="Z4346">
        <v>1675400</v>
      </c>
      <c r="AA4346">
        <v>389650</v>
      </c>
      <c r="AB4346" t="str">
        <f>(VLOOKUP(SalesData[[#This Row],[Month Number]],Reference!C$5:E$16,2,FALSE))</f>
        <v>Feb</v>
      </c>
      <c r="AC4346">
        <f>MONTH(SalesData[[#This Row],[Date]])</f>
        <v>2</v>
      </c>
      <c r="AD4346">
        <f>Reference!F$4</f>
        <v>2026</v>
      </c>
      <c r="AE4346" t="str">
        <f>IF(OR(SalesData[[#This Row],[Day]]="Saturday",SalesData[[#This Row],[Day]]="Sunday"),"Weekend","Weekday")</f>
        <v>Weekday</v>
      </c>
      <c r="AF4346" s="5">
        <f>IF(SalesData[[#This Row],[Contracts Offered]]=0,0,SalesData[[#This Row],[Contracts Signed]]/SalesData[[#This Row],[Contracts Offered]])</f>
        <v>0.390625</v>
      </c>
      <c r="AG4346" s="5">
        <f>IF(SalesData[[#This Row],[Customers Visited]]=0,0,SalesData[[#This Row],[Test Drives]]/SalesData[[#This Row],[Customers Visited]])</f>
        <v>0.52222222222222225</v>
      </c>
      <c r="AH4346" s="5">
        <f>IF(SalesData[[#This Row],[Customers Visited]]=0,0,SalesData[[#This Row],[Contracts Signed]]/SalesData[[#This Row],[Customers Visited]])</f>
        <v>0.1388888888888889</v>
      </c>
      <c r="AI4346" s="6">
        <f>IF(SalesData[[#This Row],[Contracts Signed]]=0,0,SalesData[[#This Row],[Profit(€)]]/SalesData[[#This Row],[Contracts Signed]])</f>
        <v>15586</v>
      </c>
      <c r="AJ4346" s="5" t="str">
        <f>TRIM(CLEAN(SalesData[[#This Row],[Retailer]]))</f>
        <v>Ruhr Auto Plaza</v>
      </c>
    </row>
    <row r="4347" spans="1:36" ht="14.25" hidden="1" x14ac:dyDescent="0.2">
      <c r="A4347" t="s">
        <v>5606</v>
      </c>
      <c r="B4347" s="1">
        <v>46075</v>
      </c>
      <c r="C4347" t="s">
        <v>53</v>
      </c>
      <c r="D4347" t="s">
        <v>41</v>
      </c>
      <c r="E4347" t="s">
        <v>42</v>
      </c>
      <c r="F4347" t="s">
        <v>27</v>
      </c>
      <c r="G4347" t="s">
        <v>28</v>
      </c>
      <c r="H4347" t="s">
        <v>29</v>
      </c>
      <c r="I4347" t="s">
        <v>64</v>
      </c>
      <c r="J4347" t="s">
        <v>111</v>
      </c>
      <c r="K4347" t="s">
        <v>66</v>
      </c>
      <c r="L4347" t="s">
        <v>46</v>
      </c>
      <c r="M4347" t="s">
        <v>47</v>
      </c>
      <c r="N4347" t="s">
        <v>69</v>
      </c>
      <c r="O4347" t="s">
        <v>36</v>
      </c>
      <c r="P4347" t="s">
        <v>58</v>
      </c>
      <c r="Q4347" t="s">
        <v>189</v>
      </c>
      <c r="R4347">
        <v>242</v>
      </c>
      <c r="S4347">
        <v>142</v>
      </c>
      <c r="T4347">
        <v>96</v>
      </c>
      <c r="U4347">
        <v>38</v>
      </c>
      <c r="V4347" t="s">
        <v>6829</v>
      </c>
      <c r="W4347">
        <v>66206</v>
      </c>
      <c r="X4347" t="s">
        <v>7176</v>
      </c>
      <c r="Y4347">
        <v>50742</v>
      </c>
      <c r="Z4347">
        <v>2515828</v>
      </c>
      <c r="AA4347">
        <v>587632</v>
      </c>
      <c r="AB4347" t="str">
        <f>(VLOOKUP(SalesData[[#This Row],[Month Number]],Reference!C$5:E$16,2,FALSE))</f>
        <v>Feb</v>
      </c>
      <c r="AC4347">
        <f>MONTH(SalesData[[#This Row],[Date]])</f>
        <v>2</v>
      </c>
      <c r="AD4347">
        <f>Reference!F$4</f>
        <v>2026</v>
      </c>
      <c r="AE4347" t="str">
        <f>IF(OR(SalesData[[#This Row],[Day]]="Saturday",SalesData[[#This Row],[Day]]="Sunday"),"Weekend","Weekday")</f>
        <v>Weekend</v>
      </c>
      <c r="AF4347" s="5">
        <f>IF(SalesData[[#This Row],[Contracts Offered]]=0,0,SalesData[[#This Row],[Contracts Signed]]/SalesData[[#This Row],[Contracts Offered]])</f>
        <v>0.39583333333333331</v>
      </c>
      <c r="AG4347" s="5">
        <f>IF(SalesData[[#This Row],[Customers Visited]]=0,0,SalesData[[#This Row],[Test Drives]]/SalesData[[#This Row],[Customers Visited]])</f>
        <v>0.58677685950413228</v>
      </c>
      <c r="AH4347" s="5">
        <f>IF(SalesData[[#This Row],[Customers Visited]]=0,0,SalesData[[#This Row],[Contracts Signed]]/SalesData[[#This Row],[Customers Visited]])</f>
        <v>0.15702479338842976</v>
      </c>
      <c r="AI4347" s="6">
        <f>IF(SalesData[[#This Row],[Contracts Signed]]=0,0,SalesData[[#This Row],[Profit(€)]]/SalesData[[#This Row],[Contracts Signed]])</f>
        <v>15464</v>
      </c>
      <c r="AJ4347" s="5" t="str">
        <f>TRIM(CLEAN(SalesData[[#This Row],[Retailer]]))</f>
        <v>Main Auto Hub</v>
      </c>
    </row>
    <row r="4348" spans="1:36" ht="14.25" hidden="1" x14ac:dyDescent="0.2">
      <c r="A4348" t="s">
        <v>5607</v>
      </c>
      <c r="B4348" s="1">
        <v>46065</v>
      </c>
      <c r="C4348" t="s">
        <v>121</v>
      </c>
      <c r="D4348" t="s">
        <v>100</v>
      </c>
      <c r="E4348" t="s">
        <v>26</v>
      </c>
      <c r="F4348" t="s">
        <v>27</v>
      </c>
      <c r="G4348" t="s">
        <v>28</v>
      </c>
      <c r="H4348" t="s">
        <v>29</v>
      </c>
      <c r="I4348" t="s">
        <v>104</v>
      </c>
      <c r="J4348" t="s">
        <v>7031</v>
      </c>
      <c r="K4348" t="s">
        <v>78</v>
      </c>
      <c r="L4348" t="s">
        <v>46</v>
      </c>
      <c r="M4348" t="s">
        <v>34</v>
      </c>
      <c r="N4348" t="s">
        <v>48</v>
      </c>
      <c r="O4348" t="s">
        <v>70</v>
      </c>
      <c r="P4348" t="s">
        <v>58</v>
      </c>
      <c r="Q4348" t="s">
        <v>106</v>
      </c>
      <c r="R4348">
        <v>464</v>
      </c>
      <c r="S4348">
        <v>218</v>
      </c>
      <c r="T4348">
        <v>152</v>
      </c>
      <c r="U4348">
        <v>43</v>
      </c>
      <c r="V4348" t="s">
        <v>756</v>
      </c>
      <c r="W4348">
        <v>26184</v>
      </c>
      <c r="X4348" t="s">
        <v>446</v>
      </c>
      <c r="Y4348">
        <v>23369</v>
      </c>
      <c r="Z4348">
        <v>1125912</v>
      </c>
      <c r="AA4348">
        <v>121045</v>
      </c>
      <c r="AB4348" t="str">
        <f>(VLOOKUP(SalesData[[#This Row],[Month Number]],Reference!C$5:E$16,2,FALSE))</f>
        <v>Feb</v>
      </c>
      <c r="AC4348">
        <f>MONTH(SalesData[[#This Row],[Date]])</f>
        <v>2</v>
      </c>
      <c r="AD4348">
        <f>Reference!F$4</f>
        <v>2026</v>
      </c>
      <c r="AE4348" t="str">
        <f>IF(OR(SalesData[[#This Row],[Day]]="Saturday",SalesData[[#This Row],[Day]]="Sunday"),"Weekend","Weekday")</f>
        <v>Weekday</v>
      </c>
      <c r="AF4348" s="5">
        <f>IF(SalesData[[#This Row],[Contracts Offered]]=0,0,SalesData[[#This Row],[Contracts Signed]]/SalesData[[#This Row],[Contracts Offered]])</f>
        <v>0.28289473684210525</v>
      </c>
      <c r="AG4348" s="5">
        <f>IF(SalesData[[#This Row],[Customers Visited]]=0,0,SalesData[[#This Row],[Test Drives]]/SalesData[[#This Row],[Customers Visited]])</f>
        <v>0.46982758620689657</v>
      </c>
      <c r="AH4348" s="5">
        <f>IF(SalesData[[#This Row],[Customers Visited]]=0,0,SalesData[[#This Row],[Contracts Signed]]/SalesData[[#This Row],[Customers Visited]])</f>
        <v>9.2672413793103453E-2</v>
      </c>
      <c r="AI4348" s="6">
        <f>IF(SalesData[[#This Row],[Contracts Signed]]=0,0,SalesData[[#This Row],[Profit(€)]]/SalesData[[#This Row],[Contracts Signed]])</f>
        <v>2815</v>
      </c>
      <c r="AJ4348" s="5" t="str">
        <f>TRIM(CLEAN(SalesData[[#This Row],[Retailer]]))</f>
        <v>Main Auto Hub</v>
      </c>
    </row>
    <row r="4349" spans="1:36" ht="14.25" hidden="1" x14ac:dyDescent="0.2">
      <c r="A4349" t="s">
        <v>5608</v>
      </c>
      <c r="B4349" s="1">
        <v>46079</v>
      </c>
      <c r="C4349" t="s">
        <v>53</v>
      </c>
      <c r="D4349" t="s">
        <v>100</v>
      </c>
      <c r="E4349" t="s">
        <v>26</v>
      </c>
      <c r="F4349" t="s">
        <v>109</v>
      </c>
      <c r="G4349" t="s">
        <v>110</v>
      </c>
      <c r="H4349" t="s">
        <v>45</v>
      </c>
      <c r="I4349" t="s">
        <v>116</v>
      </c>
      <c r="J4349" t="s">
        <v>7090</v>
      </c>
      <c r="K4349" t="s">
        <v>32</v>
      </c>
      <c r="L4349" t="s">
        <v>46</v>
      </c>
      <c r="M4349" t="s">
        <v>87</v>
      </c>
      <c r="N4349" t="s">
        <v>35</v>
      </c>
      <c r="O4349" t="s">
        <v>36</v>
      </c>
      <c r="P4349" t="s">
        <v>49</v>
      </c>
      <c r="Q4349" t="s">
        <v>59</v>
      </c>
      <c r="R4349">
        <v>250</v>
      </c>
      <c r="S4349">
        <v>97</v>
      </c>
      <c r="T4349">
        <v>60</v>
      </c>
      <c r="U4349">
        <v>12</v>
      </c>
      <c r="V4349" t="s">
        <v>401</v>
      </c>
      <c r="W4349">
        <v>25903</v>
      </c>
      <c r="X4349" t="s">
        <v>866</v>
      </c>
      <c r="Y4349">
        <v>23648</v>
      </c>
      <c r="Z4349">
        <v>310836</v>
      </c>
      <c r="AA4349">
        <v>27060</v>
      </c>
      <c r="AB4349" t="str">
        <f>(VLOOKUP(SalesData[[#This Row],[Month Number]],Reference!C$5:E$16,2,FALSE))</f>
        <v>Feb</v>
      </c>
      <c r="AC4349">
        <f>MONTH(SalesData[[#This Row],[Date]])</f>
        <v>2</v>
      </c>
      <c r="AD4349">
        <f>Reference!F$4</f>
        <v>2026</v>
      </c>
      <c r="AE4349" t="str">
        <f>IF(OR(SalesData[[#This Row],[Day]]="Saturday",SalesData[[#This Row],[Day]]="Sunday"),"Weekend","Weekday")</f>
        <v>Weekday</v>
      </c>
      <c r="AF4349" s="5">
        <f>IF(SalesData[[#This Row],[Contracts Offered]]=0,0,SalesData[[#This Row],[Contracts Signed]]/SalesData[[#This Row],[Contracts Offered]])</f>
        <v>0.2</v>
      </c>
      <c r="AG4349" s="5">
        <f>IF(SalesData[[#This Row],[Customers Visited]]=0,0,SalesData[[#This Row],[Test Drives]]/SalesData[[#This Row],[Customers Visited]])</f>
        <v>0.38800000000000001</v>
      </c>
      <c r="AH4349" s="5">
        <f>IF(SalesData[[#This Row],[Customers Visited]]=0,0,SalesData[[#This Row],[Contracts Signed]]/SalesData[[#This Row],[Customers Visited]])</f>
        <v>4.8000000000000001E-2</v>
      </c>
      <c r="AI4349" s="6">
        <f>IF(SalesData[[#This Row],[Contracts Signed]]=0,0,SalesData[[#This Row],[Profit(€)]]/SalesData[[#This Row],[Contracts Signed]])</f>
        <v>2255</v>
      </c>
      <c r="AJ4349" s="5" t="str">
        <f>TRIM(CLEAN(SalesData[[#This Row],[Retailer]]))</f>
        <v>Leipzig Mobility</v>
      </c>
    </row>
    <row r="4350" spans="1:36" ht="14.25" x14ac:dyDescent="0.2">
      <c r="A4350" t="s">
        <v>5609</v>
      </c>
      <c r="B4350" s="1">
        <v>46081</v>
      </c>
      <c r="C4350" t="s">
        <v>53</v>
      </c>
      <c r="D4350" t="s">
        <v>151</v>
      </c>
      <c r="E4350" t="s">
        <v>42</v>
      </c>
      <c r="F4350" t="s">
        <v>114</v>
      </c>
      <c r="G4350" t="s">
        <v>115</v>
      </c>
      <c r="H4350" t="s">
        <v>115</v>
      </c>
      <c r="I4350" t="s">
        <v>30</v>
      </c>
      <c r="J4350" t="s">
        <v>188</v>
      </c>
      <c r="K4350" t="s">
        <v>78</v>
      </c>
      <c r="L4350" t="s">
        <v>33</v>
      </c>
      <c r="M4350" t="s">
        <v>87</v>
      </c>
      <c r="N4350" t="s">
        <v>69</v>
      </c>
      <c r="O4350" t="s">
        <v>70</v>
      </c>
      <c r="P4350" t="s">
        <v>71</v>
      </c>
      <c r="Q4350" t="s">
        <v>158</v>
      </c>
      <c r="R4350">
        <v>257</v>
      </c>
      <c r="S4350">
        <v>123</v>
      </c>
      <c r="T4350">
        <v>89</v>
      </c>
      <c r="U4350">
        <v>33</v>
      </c>
      <c r="V4350" t="s">
        <v>7247</v>
      </c>
      <c r="W4350">
        <v>64517</v>
      </c>
      <c r="X4350" t="s">
        <v>2107</v>
      </c>
      <c r="Y4350">
        <v>46554</v>
      </c>
      <c r="Z4350">
        <v>2129061</v>
      </c>
      <c r="AA4350">
        <v>592779</v>
      </c>
      <c r="AB4350" t="str">
        <f>(VLOOKUP(SalesData[[#This Row],[Month Number]],Reference!C$5:E$16,2,FALSE))</f>
        <v>Feb</v>
      </c>
      <c r="AC4350">
        <f>MONTH(SalesData[[#This Row],[Date]])</f>
        <v>2</v>
      </c>
      <c r="AD4350">
        <f>Reference!F$4</f>
        <v>2026</v>
      </c>
      <c r="AE4350" t="str">
        <f>IF(OR(SalesData[[#This Row],[Day]]="Saturday",SalesData[[#This Row],[Day]]="Sunday"),"Weekend","Weekday")</f>
        <v>Weekend</v>
      </c>
      <c r="AF4350" s="5">
        <f>IF(SalesData[[#This Row],[Contracts Offered]]=0,0,SalesData[[#This Row],[Contracts Signed]]/SalesData[[#This Row],[Contracts Offered]])</f>
        <v>0.3707865168539326</v>
      </c>
      <c r="AG4350" s="5">
        <f>IF(SalesData[[#This Row],[Customers Visited]]=0,0,SalesData[[#This Row],[Test Drives]]/SalesData[[#This Row],[Customers Visited]])</f>
        <v>0.47859922178988329</v>
      </c>
      <c r="AH4350" s="5">
        <f>IF(SalesData[[#This Row],[Customers Visited]]=0,0,SalesData[[#This Row],[Contracts Signed]]/SalesData[[#This Row],[Customers Visited]])</f>
        <v>0.12840466926070038</v>
      </c>
      <c r="AI4350" s="6">
        <f>IF(SalesData[[#This Row],[Contracts Signed]]=0,0,SalesData[[#This Row],[Profit(€)]]/SalesData[[#This Row],[Contracts Signed]])</f>
        <v>17963</v>
      </c>
      <c r="AJ4350" s="5" t="str">
        <f>TRIM(CLEAN(SalesData[[#This Row],[Retailer]]))</f>
        <v>Elbe Drive</v>
      </c>
    </row>
    <row r="4351" spans="1:36" ht="14.25" x14ac:dyDescent="0.2">
      <c r="A4351" t="s">
        <v>5610</v>
      </c>
      <c r="B4351" s="1">
        <v>46078</v>
      </c>
      <c r="C4351" t="s">
        <v>53</v>
      </c>
      <c r="D4351" t="s">
        <v>82</v>
      </c>
      <c r="E4351" t="s">
        <v>26</v>
      </c>
      <c r="F4351" t="s">
        <v>27</v>
      </c>
      <c r="G4351" t="s">
        <v>28</v>
      </c>
      <c r="H4351" t="s">
        <v>29</v>
      </c>
      <c r="I4351" t="s">
        <v>30</v>
      </c>
      <c r="J4351" t="s">
        <v>86</v>
      </c>
      <c r="K4351" t="s">
        <v>66</v>
      </c>
      <c r="L4351" t="s">
        <v>33</v>
      </c>
      <c r="M4351" t="s">
        <v>87</v>
      </c>
      <c r="N4351" t="s">
        <v>48</v>
      </c>
      <c r="O4351" t="s">
        <v>36</v>
      </c>
      <c r="P4351" t="s">
        <v>71</v>
      </c>
      <c r="Q4351" t="s">
        <v>347</v>
      </c>
      <c r="R4351">
        <v>190</v>
      </c>
      <c r="S4351">
        <v>100</v>
      </c>
      <c r="T4351">
        <v>71</v>
      </c>
      <c r="U4351">
        <v>31</v>
      </c>
      <c r="V4351" t="s">
        <v>7628</v>
      </c>
      <c r="W4351">
        <v>60381</v>
      </c>
      <c r="X4351" t="s">
        <v>3859</v>
      </c>
      <c r="Y4351">
        <v>45095</v>
      </c>
      <c r="Z4351">
        <v>1871811</v>
      </c>
      <c r="AA4351">
        <v>473866</v>
      </c>
      <c r="AB4351" t="str">
        <f>(VLOOKUP(SalesData[[#This Row],[Month Number]],Reference!C$5:E$16,2,FALSE))</f>
        <v>Feb</v>
      </c>
      <c r="AC4351">
        <f>MONTH(SalesData[[#This Row],[Date]])</f>
        <v>2</v>
      </c>
      <c r="AD4351">
        <f>Reference!F$4</f>
        <v>2026</v>
      </c>
      <c r="AE4351" t="str">
        <f>IF(OR(SalesData[[#This Row],[Day]]="Saturday",SalesData[[#This Row],[Day]]="Sunday"),"Weekend","Weekday")</f>
        <v>Weekday</v>
      </c>
      <c r="AF4351" s="5">
        <f>IF(SalesData[[#This Row],[Contracts Offered]]=0,0,SalesData[[#This Row],[Contracts Signed]]/SalesData[[#This Row],[Contracts Offered]])</f>
        <v>0.43661971830985913</v>
      </c>
      <c r="AG4351" s="5">
        <f>IF(SalesData[[#This Row],[Customers Visited]]=0,0,SalesData[[#This Row],[Test Drives]]/SalesData[[#This Row],[Customers Visited]])</f>
        <v>0.52631578947368418</v>
      </c>
      <c r="AH4351" s="5">
        <f>IF(SalesData[[#This Row],[Customers Visited]]=0,0,SalesData[[#This Row],[Contracts Signed]]/SalesData[[#This Row],[Customers Visited]])</f>
        <v>0.16315789473684211</v>
      </c>
      <c r="AI4351" s="6">
        <f>IF(SalesData[[#This Row],[Contracts Signed]]=0,0,SalesData[[#This Row],[Profit(€)]]/SalesData[[#This Row],[Contracts Signed]])</f>
        <v>15286</v>
      </c>
      <c r="AJ4351" s="5" t="str">
        <f>TRIM(CLEAN(SalesData[[#This Row],[Retailer]]))</f>
        <v>Main Auto Hub</v>
      </c>
    </row>
    <row r="4352" spans="1:36" ht="14.25" hidden="1" x14ac:dyDescent="0.2">
      <c r="A4352" t="s">
        <v>5611</v>
      </c>
      <c r="B4352" s="1">
        <v>46065</v>
      </c>
      <c r="C4352" t="s">
        <v>121</v>
      </c>
      <c r="D4352" t="s">
        <v>100</v>
      </c>
      <c r="E4352" t="s">
        <v>26</v>
      </c>
      <c r="F4352" t="s">
        <v>74</v>
      </c>
      <c r="G4352" t="s">
        <v>75</v>
      </c>
      <c r="H4352" t="s">
        <v>76</v>
      </c>
      <c r="I4352" t="s">
        <v>104</v>
      </c>
      <c r="J4352" t="s">
        <v>7031</v>
      </c>
      <c r="K4352" t="s">
        <v>32</v>
      </c>
      <c r="L4352" t="s">
        <v>46</v>
      </c>
      <c r="M4352" t="s">
        <v>34</v>
      </c>
      <c r="N4352" t="s">
        <v>69</v>
      </c>
      <c r="O4352" t="s">
        <v>36</v>
      </c>
      <c r="P4352" t="s">
        <v>49</v>
      </c>
      <c r="Q4352" t="s">
        <v>135</v>
      </c>
      <c r="R4352">
        <v>409</v>
      </c>
      <c r="S4352">
        <v>224</v>
      </c>
      <c r="T4352">
        <v>136</v>
      </c>
      <c r="U4352">
        <v>31</v>
      </c>
      <c r="V4352" t="s">
        <v>6741</v>
      </c>
      <c r="W4352">
        <v>26378</v>
      </c>
      <c r="X4352" t="s">
        <v>7551</v>
      </c>
      <c r="Y4352">
        <v>23950</v>
      </c>
      <c r="Z4352">
        <v>817718</v>
      </c>
      <c r="AA4352">
        <v>75268</v>
      </c>
      <c r="AB4352" t="str">
        <f>(VLOOKUP(SalesData[[#This Row],[Month Number]],Reference!C$5:E$16,2,FALSE))</f>
        <v>Feb</v>
      </c>
      <c r="AC4352">
        <f>MONTH(SalesData[[#This Row],[Date]])</f>
        <v>2</v>
      </c>
      <c r="AD4352">
        <f>Reference!F$4</f>
        <v>2026</v>
      </c>
      <c r="AE4352" t="str">
        <f>IF(OR(SalesData[[#This Row],[Day]]="Saturday",SalesData[[#This Row],[Day]]="Sunday"),"Weekend","Weekday")</f>
        <v>Weekday</v>
      </c>
      <c r="AF4352" s="5">
        <f>IF(SalesData[[#This Row],[Contracts Offered]]=0,0,SalesData[[#This Row],[Contracts Signed]]/SalesData[[#This Row],[Contracts Offered]])</f>
        <v>0.22794117647058823</v>
      </c>
      <c r="AG4352" s="5">
        <f>IF(SalesData[[#This Row],[Customers Visited]]=0,0,SalesData[[#This Row],[Test Drives]]/SalesData[[#This Row],[Customers Visited]])</f>
        <v>0.5476772616136919</v>
      </c>
      <c r="AH4352" s="5">
        <f>IF(SalesData[[#This Row],[Customers Visited]]=0,0,SalesData[[#This Row],[Contracts Signed]]/SalesData[[#This Row],[Customers Visited]])</f>
        <v>7.5794621026894868E-2</v>
      </c>
      <c r="AI4352" s="6">
        <f>IF(SalesData[[#This Row],[Contracts Signed]]=0,0,SalesData[[#This Row],[Profit(€)]]/SalesData[[#This Row],[Contracts Signed]])</f>
        <v>2428</v>
      </c>
      <c r="AJ4352" s="5" t="str">
        <f>TRIM(CLEAN(SalesData[[#This Row],[Retailer]]))</f>
        <v>Stuttgart Auto Center</v>
      </c>
    </row>
    <row r="4353" spans="1:36" ht="14.25" hidden="1" x14ac:dyDescent="0.2">
      <c r="A4353" t="s">
        <v>5612</v>
      </c>
      <c r="B4353" s="1">
        <v>46070</v>
      </c>
      <c r="C4353" t="s">
        <v>62</v>
      </c>
      <c r="D4353" t="s">
        <v>63</v>
      </c>
      <c r="E4353" t="s">
        <v>26</v>
      </c>
      <c r="F4353" t="s">
        <v>101</v>
      </c>
      <c r="G4353" t="s">
        <v>102</v>
      </c>
      <c r="H4353" t="s">
        <v>103</v>
      </c>
      <c r="I4353" t="s">
        <v>116</v>
      </c>
      <c r="J4353" t="s">
        <v>7026</v>
      </c>
      <c r="K4353" t="s">
        <v>78</v>
      </c>
      <c r="L4353" t="s">
        <v>46</v>
      </c>
      <c r="M4353" t="s">
        <v>47</v>
      </c>
      <c r="N4353" t="s">
        <v>48</v>
      </c>
      <c r="O4353" t="s">
        <v>36</v>
      </c>
      <c r="P4353" t="s">
        <v>49</v>
      </c>
      <c r="Q4353" t="s">
        <v>169</v>
      </c>
      <c r="R4353">
        <v>407</v>
      </c>
      <c r="S4353">
        <v>201</v>
      </c>
      <c r="T4353">
        <v>129</v>
      </c>
      <c r="U4353">
        <v>23</v>
      </c>
      <c r="V4353" t="s">
        <v>7543</v>
      </c>
      <c r="W4353">
        <v>23587</v>
      </c>
      <c r="X4353" t="s">
        <v>3085</v>
      </c>
      <c r="Y4353">
        <v>21424</v>
      </c>
      <c r="Z4353">
        <v>542501</v>
      </c>
      <c r="AA4353">
        <v>49749</v>
      </c>
      <c r="AB4353" t="str">
        <f>(VLOOKUP(SalesData[[#This Row],[Month Number]],Reference!C$5:E$16,2,FALSE))</f>
        <v>Feb</v>
      </c>
      <c r="AC4353">
        <f>MONTH(SalesData[[#This Row],[Date]])</f>
        <v>2</v>
      </c>
      <c r="AD4353">
        <f>Reference!F$4</f>
        <v>2026</v>
      </c>
      <c r="AE4353" t="str">
        <f>IF(OR(SalesData[[#This Row],[Day]]="Saturday",SalesData[[#This Row],[Day]]="Sunday"),"Weekend","Weekday")</f>
        <v>Weekday</v>
      </c>
      <c r="AF4353" s="5">
        <f>IF(SalesData[[#This Row],[Contracts Offered]]=0,0,SalesData[[#This Row],[Contracts Signed]]/SalesData[[#This Row],[Contracts Offered]])</f>
        <v>0.17829457364341086</v>
      </c>
      <c r="AG4353" s="5">
        <f>IF(SalesData[[#This Row],[Customers Visited]]=0,0,SalesData[[#This Row],[Test Drives]]/SalesData[[#This Row],[Customers Visited]])</f>
        <v>0.49385749385749383</v>
      </c>
      <c r="AH4353" s="5">
        <f>IF(SalesData[[#This Row],[Customers Visited]]=0,0,SalesData[[#This Row],[Contracts Signed]]/SalesData[[#This Row],[Customers Visited]])</f>
        <v>5.6511056511056514E-2</v>
      </c>
      <c r="AI4353" s="6">
        <f>IF(SalesData[[#This Row],[Contracts Signed]]=0,0,SalesData[[#This Row],[Profit(€)]]/SalesData[[#This Row],[Contracts Signed]])</f>
        <v>2163</v>
      </c>
      <c r="AJ4353" s="5" t="str">
        <f>TRIM(CLEAN(SalesData[[#This Row],[Retailer]]))</f>
        <v>Ruhr Auto Plaza</v>
      </c>
    </row>
    <row r="4354" spans="1:36" ht="14.25" hidden="1" x14ac:dyDescent="0.2">
      <c r="A4354" t="s">
        <v>5613</v>
      </c>
      <c r="B4354" s="1">
        <v>46067</v>
      </c>
      <c r="C4354" t="s">
        <v>121</v>
      </c>
      <c r="D4354" t="s">
        <v>151</v>
      </c>
      <c r="E4354" t="s">
        <v>42</v>
      </c>
      <c r="F4354" t="s">
        <v>101</v>
      </c>
      <c r="G4354" t="s">
        <v>102</v>
      </c>
      <c r="H4354" t="s">
        <v>103</v>
      </c>
      <c r="I4354" t="s">
        <v>56</v>
      </c>
      <c r="J4354" t="s">
        <v>97</v>
      </c>
      <c r="K4354" t="s">
        <v>66</v>
      </c>
      <c r="L4354" t="s">
        <v>33</v>
      </c>
      <c r="M4354" t="s">
        <v>47</v>
      </c>
      <c r="N4354" t="s">
        <v>48</v>
      </c>
      <c r="O4354" t="s">
        <v>36</v>
      </c>
      <c r="P4354" t="s">
        <v>49</v>
      </c>
      <c r="Q4354" t="s">
        <v>158</v>
      </c>
      <c r="R4354">
        <v>249</v>
      </c>
      <c r="S4354">
        <v>131</v>
      </c>
      <c r="T4354">
        <v>97</v>
      </c>
      <c r="U4354">
        <v>26</v>
      </c>
      <c r="V4354" t="s">
        <v>7557</v>
      </c>
      <c r="W4354">
        <v>44450</v>
      </c>
      <c r="X4354" t="s">
        <v>2142</v>
      </c>
      <c r="Y4354">
        <v>33838</v>
      </c>
      <c r="Z4354">
        <v>1155700</v>
      </c>
      <c r="AA4354">
        <v>275912</v>
      </c>
      <c r="AB4354" t="str">
        <f>(VLOOKUP(SalesData[[#This Row],[Month Number]],Reference!C$5:E$16,2,FALSE))</f>
        <v>Feb</v>
      </c>
      <c r="AC4354">
        <f>MONTH(SalesData[[#This Row],[Date]])</f>
        <v>2</v>
      </c>
      <c r="AD4354">
        <f>Reference!F$4</f>
        <v>2026</v>
      </c>
      <c r="AE4354" t="str">
        <f>IF(OR(SalesData[[#This Row],[Day]]="Saturday",SalesData[[#This Row],[Day]]="Sunday"),"Weekend","Weekday")</f>
        <v>Weekend</v>
      </c>
      <c r="AF4354" s="5">
        <f>IF(SalesData[[#This Row],[Contracts Offered]]=0,0,SalesData[[#This Row],[Contracts Signed]]/SalesData[[#This Row],[Contracts Offered]])</f>
        <v>0.26804123711340205</v>
      </c>
      <c r="AG4354" s="5">
        <f>IF(SalesData[[#This Row],[Customers Visited]]=0,0,SalesData[[#This Row],[Test Drives]]/SalesData[[#This Row],[Customers Visited]])</f>
        <v>0.52610441767068272</v>
      </c>
      <c r="AH4354" s="5">
        <f>IF(SalesData[[#This Row],[Customers Visited]]=0,0,SalesData[[#This Row],[Contracts Signed]]/SalesData[[#This Row],[Customers Visited]])</f>
        <v>0.10441767068273092</v>
      </c>
      <c r="AI4354" s="6">
        <f>IF(SalesData[[#This Row],[Contracts Signed]]=0,0,SalesData[[#This Row],[Profit(€)]]/SalesData[[#This Row],[Contracts Signed]])</f>
        <v>10612</v>
      </c>
      <c r="AJ4354" s="5" t="str">
        <f>TRIM(CLEAN(SalesData[[#This Row],[Retailer]]))</f>
        <v>Ruhr Auto Plaza</v>
      </c>
    </row>
    <row r="4355" spans="1:36" ht="14.25" x14ac:dyDescent="0.2">
      <c r="A4355" t="s">
        <v>5614</v>
      </c>
      <c r="B4355" s="1">
        <v>46073</v>
      </c>
      <c r="C4355" t="s">
        <v>62</v>
      </c>
      <c r="D4355" t="s">
        <v>54</v>
      </c>
      <c r="E4355" t="s">
        <v>26</v>
      </c>
      <c r="F4355" t="s">
        <v>109</v>
      </c>
      <c r="G4355" t="s">
        <v>110</v>
      </c>
      <c r="H4355" t="s">
        <v>45</v>
      </c>
      <c r="I4355" t="s">
        <v>30</v>
      </c>
      <c r="J4355" t="s">
        <v>86</v>
      </c>
      <c r="K4355" t="s">
        <v>66</v>
      </c>
      <c r="L4355" t="s">
        <v>33</v>
      </c>
      <c r="M4355" t="s">
        <v>47</v>
      </c>
      <c r="N4355" t="s">
        <v>69</v>
      </c>
      <c r="O4355" t="s">
        <v>70</v>
      </c>
      <c r="P4355" t="s">
        <v>49</v>
      </c>
      <c r="Q4355" t="s">
        <v>59</v>
      </c>
      <c r="R4355">
        <v>150</v>
      </c>
      <c r="S4355">
        <v>86</v>
      </c>
      <c r="T4355">
        <v>58</v>
      </c>
      <c r="U4355">
        <v>20</v>
      </c>
      <c r="V4355" t="s">
        <v>6726</v>
      </c>
      <c r="W4355">
        <v>50729</v>
      </c>
      <c r="X4355" t="s">
        <v>7223</v>
      </c>
      <c r="Y4355">
        <v>37442</v>
      </c>
      <c r="Z4355">
        <v>1014580</v>
      </c>
      <c r="AA4355">
        <v>265740</v>
      </c>
      <c r="AB4355" t="str">
        <f>(VLOOKUP(SalesData[[#This Row],[Month Number]],Reference!C$5:E$16,2,FALSE))</f>
        <v>Feb</v>
      </c>
      <c r="AC4355">
        <f>MONTH(SalesData[[#This Row],[Date]])</f>
        <v>2</v>
      </c>
      <c r="AD4355">
        <f>Reference!F$4</f>
        <v>2026</v>
      </c>
      <c r="AE4355" t="str">
        <f>IF(OR(SalesData[[#This Row],[Day]]="Saturday",SalesData[[#This Row],[Day]]="Sunday"),"Weekend","Weekday")</f>
        <v>Weekday</v>
      </c>
      <c r="AF4355" s="5">
        <f>IF(SalesData[[#This Row],[Contracts Offered]]=0,0,SalesData[[#This Row],[Contracts Signed]]/SalesData[[#This Row],[Contracts Offered]])</f>
        <v>0.34482758620689657</v>
      </c>
      <c r="AG4355" s="5">
        <f>IF(SalesData[[#This Row],[Customers Visited]]=0,0,SalesData[[#This Row],[Test Drives]]/SalesData[[#This Row],[Customers Visited]])</f>
        <v>0.57333333333333336</v>
      </c>
      <c r="AH4355" s="5">
        <f>IF(SalesData[[#This Row],[Customers Visited]]=0,0,SalesData[[#This Row],[Contracts Signed]]/SalesData[[#This Row],[Customers Visited]])</f>
        <v>0.13333333333333333</v>
      </c>
      <c r="AI4355" s="6">
        <f>IF(SalesData[[#This Row],[Contracts Signed]]=0,0,SalesData[[#This Row],[Profit(€)]]/SalesData[[#This Row],[Contracts Signed]])</f>
        <v>13287</v>
      </c>
      <c r="AJ4355" s="5" t="str">
        <f>TRIM(CLEAN(SalesData[[#This Row],[Retailer]]))</f>
        <v>Leipzig Mobility</v>
      </c>
    </row>
    <row r="4356" spans="1:36" ht="14.25" hidden="1" x14ac:dyDescent="0.2">
      <c r="A4356" t="s">
        <v>5615</v>
      </c>
      <c r="B4356" s="1">
        <v>46067</v>
      </c>
      <c r="C4356" t="s">
        <v>121</v>
      </c>
      <c r="D4356" t="s">
        <v>151</v>
      </c>
      <c r="E4356" t="s">
        <v>42</v>
      </c>
      <c r="F4356" t="s">
        <v>127</v>
      </c>
      <c r="G4356" t="s">
        <v>128</v>
      </c>
      <c r="H4356" t="s">
        <v>103</v>
      </c>
      <c r="I4356" t="s">
        <v>116</v>
      </c>
      <c r="J4356" t="s">
        <v>117</v>
      </c>
      <c r="K4356" t="s">
        <v>78</v>
      </c>
      <c r="L4356" t="s">
        <v>67</v>
      </c>
      <c r="M4356" t="s">
        <v>47</v>
      </c>
      <c r="N4356" t="s">
        <v>69</v>
      </c>
      <c r="O4356" t="s">
        <v>36</v>
      </c>
      <c r="P4356" t="s">
        <v>49</v>
      </c>
      <c r="Q4356" t="s">
        <v>158</v>
      </c>
      <c r="R4356">
        <v>392</v>
      </c>
      <c r="S4356">
        <v>174</v>
      </c>
      <c r="T4356">
        <v>119</v>
      </c>
      <c r="U4356">
        <v>27</v>
      </c>
      <c r="V4356" t="s">
        <v>480</v>
      </c>
      <c r="W4356">
        <v>24050</v>
      </c>
      <c r="X4356" t="s">
        <v>1743</v>
      </c>
      <c r="Y4356">
        <v>21870</v>
      </c>
      <c r="Z4356">
        <v>649350</v>
      </c>
      <c r="AA4356">
        <v>58860</v>
      </c>
      <c r="AB4356" t="str">
        <f>(VLOOKUP(SalesData[[#This Row],[Month Number]],Reference!C$5:E$16,2,FALSE))</f>
        <v>Feb</v>
      </c>
      <c r="AC4356">
        <f>MONTH(SalesData[[#This Row],[Date]])</f>
        <v>2</v>
      </c>
      <c r="AD4356">
        <f>Reference!F$4</f>
        <v>2026</v>
      </c>
      <c r="AE4356" t="str">
        <f>IF(OR(SalesData[[#This Row],[Day]]="Saturday",SalesData[[#This Row],[Day]]="Sunday"),"Weekend","Weekday")</f>
        <v>Weekend</v>
      </c>
      <c r="AF4356" s="5">
        <f>IF(SalesData[[#This Row],[Contracts Offered]]=0,0,SalesData[[#This Row],[Contracts Signed]]/SalesData[[#This Row],[Contracts Offered]])</f>
        <v>0.22689075630252101</v>
      </c>
      <c r="AG4356" s="5">
        <f>IF(SalesData[[#This Row],[Customers Visited]]=0,0,SalesData[[#This Row],[Test Drives]]/SalesData[[#This Row],[Customers Visited]])</f>
        <v>0.44387755102040816</v>
      </c>
      <c r="AH4356" s="5">
        <f>IF(SalesData[[#This Row],[Customers Visited]]=0,0,SalesData[[#This Row],[Contracts Signed]]/SalesData[[#This Row],[Customers Visited]])</f>
        <v>6.8877551020408156E-2</v>
      </c>
      <c r="AI4356" s="6">
        <f>IF(SalesData[[#This Row],[Contracts Signed]]=0,0,SalesData[[#This Row],[Profit(€)]]/SalesData[[#This Row],[Contracts Signed]])</f>
        <v>2180</v>
      </c>
      <c r="AJ4356" s="5" t="str">
        <f>TRIM(CLEAN(SalesData[[#This Row],[Retailer]]))</f>
        <v>Rhein Auto Group</v>
      </c>
    </row>
    <row r="4357" spans="1:36" ht="14.25" hidden="1" x14ac:dyDescent="0.2">
      <c r="A4357" t="s">
        <v>5616</v>
      </c>
      <c r="B4357" s="1">
        <v>46074</v>
      </c>
      <c r="C4357" t="s">
        <v>62</v>
      </c>
      <c r="D4357" t="s">
        <v>151</v>
      </c>
      <c r="E4357" t="s">
        <v>42</v>
      </c>
      <c r="F4357" t="s">
        <v>94</v>
      </c>
      <c r="G4357" t="s">
        <v>95</v>
      </c>
      <c r="H4357" t="s">
        <v>96</v>
      </c>
      <c r="I4357" t="s">
        <v>64</v>
      </c>
      <c r="J4357" t="s">
        <v>7029</v>
      </c>
      <c r="K4357" t="s">
        <v>91</v>
      </c>
      <c r="L4357" t="s">
        <v>33</v>
      </c>
      <c r="M4357" t="s">
        <v>68</v>
      </c>
      <c r="N4357" t="s">
        <v>35</v>
      </c>
      <c r="O4357" t="s">
        <v>36</v>
      </c>
      <c r="P4357" t="s">
        <v>58</v>
      </c>
      <c r="Q4357" t="s">
        <v>79</v>
      </c>
      <c r="R4357">
        <v>221</v>
      </c>
      <c r="S4357">
        <v>115</v>
      </c>
      <c r="T4357">
        <v>90</v>
      </c>
      <c r="U4357">
        <v>34</v>
      </c>
      <c r="V4357" t="s">
        <v>6656</v>
      </c>
      <c r="W4357">
        <v>59050</v>
      </c>
      <c r="X4357" t="s">
        <v>828</v>
      </c>
      <c r="Y4357">
        <v>46231</v>
      </c>
      <c r="Z4357">
        <v>2007700</v>
      </c>
      <c r="AA4357">
        <v>435846</v>
      </c>
      <c r="AB4357" t="str">
        <f>(VLOOKUP(SalesData[[#This Row],[Month Number]],Reference!C$5:E$16,2,FALSE))</f>
        <v>Feb</v>
      </c>
      <c r="AC4357">
        <f>MONTH(SalesData[[#This Row],[Date]])</f>
        <v>2</v>
      </c>
      <c r="AD4357">
        <f>Reference!F$4</f>
        <v>2026</v>
      </c>
      <c r="AE4357" t="str">
        <f>IF(OR(SalesData[[#This Row],[Day]]="Saturday",SalesData[[#This Row],[Day]]="Sunday"),"Weekend","Weekday")</f>
        <v>Weekend</v>
      </c>
      <c r="AF4357" s="5">
        <f>IF(SalesData[[#This Row],[Contracts Offered]]=0,0,SalesData[[#This Row],[Contracts Signed]]/SalesData[[#This Row],[Contracts Offered]])</f>
        <v>0.37777777777777777</v>
      </c>
      <c r="AG4357" s="5">
        <f>IF(SalesData[[#This Row],[Customers Visited]]=0,0,SalesData[[#This Row],[Test Drives]]/SalesData[[#This Row],[Customers Visited]])</f>
        <v>0.52036199095022628</v>
      </c>
      <c r="AH4357" s="5">
        <f>IF(SalesData[[#This Row],[Customers Visited]]=0,0,SalesData[[#This Row],[Contracts Signed]]/SalesData[[#This Row],[Customers Visited]])</f>
        <v>0.15384615384615385</v>
      </c>
      <c r="AI4357" s="6">
        <f>IF(SalesData[[#This Row],[Contracts Signed]]=0,0,SalesData[[#This Row],[Profit(€)]]/SalesData[[#This Row],[Contracts Signed]])</f>
        <v>12819</v>
      </c>
      <c r="AJ4357" s="5" t="str">
        <f>TRIM(CLEAN(SalesData[[#This Row],[Retailer]]))</f>
        <v>Bavaria Motors</v>
      </c>
    </row>
    <row r="4358" spans="1:36" ht="14.25" x14ac:dyDescent="0.2">
      <c r="A4358" t="s">
        <v>5617</v>
      </c>
      <c r="B4358" s="1">
        <v>46078</v>
      </c>
      <c r="C4358" t="s">
        <v>53</v>
      </c>
      <c r="D4358" t="s">
        <v>82</v>
      </c>
      <c r="E4358" t="s">
        <v>26</v>
      </c>
      <c r="F4358" t="s">
        <v>27</v>
      </c>
      <c r="G4358" t="s">
        <v>28</v>
      </c>
      <c r="H4358" t="s">
        <v>29</v>
      </c>
      <c r="I4358" t="s">
        <v>30</v>
      </c>
      <c r="J4358" t="s">
        <v>31</v>
      </c>
      <c r="K4358" t="s">
        <v>66</v>
      </c>
      <c r="L4358" t="s">
        <v>46</v>
      </c>
      <c r="M4358" t="s">
        <v>47</v>
      </c>
      <c r="N4358" t="s">
        <v>35</v>
      </c>
      <c r="O4358" t="s">
        <v>70</v>
      </c>
      <c r="P4358" t="s">
        <v>71</v>
      </c>
      <c r="Q4358" t="s">
        <v>204</v>
      </c>
      <c r="R4358">
        <v>264</v>
      </c>
      <c r="S4358">
        <v>141</v>
      </c>
      <c r="T4358">
        <v>103</v>
      </c>
      <c r="U4358">
        <v>39</v>
      </c>
      <c r="V4358" t="s">
        <v>6719</v>
      </c>
      <c r="W4358">
        <v>56446</v>
      </c>
      <c r="X4358" t="s">
        <v>1813</v>
      </c>
      <c r="Y4358">
        <v>43463</v>
      </c>
      <c r="Z4358">
        <v>2201394</v>
      </c>
      <c r="AA4358">
        <v>506337</v>
      </c>
      <c r="AB4358" t="str">
        <f>(VLOOKUP(SalesData[[#This Row],[Month Number]],Reference!C$5:E$16,2,FALSE))</f>
        <v>Feb</v>
      </c>
      <c r="AC4358">
        <f>MONTH(SalesData[[#This Row],[Date]])</f>
        <v>2</v>
      </c>
      <c r="AD4358">
        <f>Reference!F$4</f>
        <v>2026</v>
      </c>
      <c r="AE4358" t="str">
        <f>IF(OR(SalesData[[#This Row],[Day]]="Saturday",SalesData[[#This Row],[Day]]="Sunday"),"Weekend","Weekday")</f>
        <v>Weekday</v>
      </c>
      <c r="AF4358" s="5">
        <f>IF(SalesData[[#This Row],[Contracts Offered]]=0,0,SalesData[[#This Row],[Contracts Signed]]/SalesData[[#This Row],[Contracts Offered]])</f>
        <v>0.37864077669902912</v>
      </c>
      <c r="AG4358" s="5">
        <f>IF(SalesData[[#This Row],[Customers Visited]]=0,0,SalesData[[#This Row],[Test Drives]]/SalesData[[#This Row],[Customers Visited]])</f>
        <v>0.53409090909090906</v>
      </c>
      <c r="AH4358" s="5">
        <f>IF(SalesData[[#This Row],[Customers Visited]]=0,0,SalesData[[#This Row],[Contracts Signed]]/SalesData[[#This Row],[Customers Visited]])</f>
        <v>0.14772727272727273</v>
      </c>
      <c r="AI4358" s="6">
        <f>IF(SalesData[[#This Row],[Contracts Signed]]=0,0,SalesData[[#This Row],[Profit(€)]]/SalesData[[#This Row],[Contracts Signed]])</f>
        <v>12983</v>
      </c>
      <c r="AJ4358" s="5" t="str">
        <f>TRIM(CLEAN(SalesData[[#This Row],[Retailer]]))</f>
        <v>Main Auto Hub</v>
      </c>
    </row>
    <row r="4359" spans="1:36" ht="14.25" x14ac:dyDescent="0.2">
      <c r="A4359" t="s">
        <v>5618</v>
      </c>
      <c r="B4359" s="1">
        <v>46063</v>
      </c>
      <c r="C4359" t="s">
        <v>121</v>
      </c>
      <c r="D4359" t="s">
        <v>63</v>
      </c>
      <c r="E4359" t="s">
        <v>26</v>
      </c>
      <c r="F4359" t="s">
        <v>109</v>
      </c>
      <c r="G4359" t="s">
        <v>110</v>
      </c>
      <c r="H4359" t="s">
        <v>45</v>
      </c>
      <c r="I4359" t="s">
        <v>30</v>
      </c>
      <c r="J4359" t="s">
        <v>166</v>
      </c>
      <c r="K4359" t="s">
        <v>66</v>
      </c>
      <c r="L4359" t="s">
        <v>46</v>
      </c>
      <c r="M4359" t="s">
        <v>68</v>
      </c>
      <c r="N4359" t="s">
        <v>35</v>
      </c>
      <c r="O4359" t="s">
        <v>36</v>
      </c>
      <c r="P4359" t="s">
        <v>49</v>
      </c>
      <c r="Q4359" t="s">
        <v>59</v>
      </c>
      <c r="R4359">
        <v>258</v>
      </c>
      <c r="S4359">
        <v>150</v>
      </c>
      <c r="T4359">
        <v>121</v>
      </c>
      <c r="U4359">
        <v>41</v>
      </c>
      <c r="V4359" t="s">
        <v>6941</v>
      </c>
      <c r="W4359">
        <v>55240</v>
      </c>
      <c r="X4359" t="s">
        <v>958</v>
      </c>
      <c r="Y4359">
        <v>39711</v>
      </c>
      <c r="Z4359">
        <v>2264840</v>
      </c>
      <c r="AA4359">
        <v>636689</v>
      </c>
      <c r="AB4359" t="str">
        <f>(VLOOKUP(SalesData[[#This Row],[Month Number]],Reference!C$5:E$16,2,FALSE))</f>
        <v>Feb</v>
      </c>
      <c r="AC4359">
        <f>MONTH(SalesData[[#This Row],[Date]])</f>
        <v>2</v>
      </c>
      <c r="AD4359">
        <f>Reference!F$4</f>
        <v>2026</v>
      </c>
      <c r="AE4359" t="str">
        <f>IF(OR(SalesData[[#This Row],[Day]]="Saturday",SalesData[[#This Row],[Day]]="Sunday"),"Weekend","Weekday")</f>
        <v>Weekday</v>
      </c>
      <c r="AF4359" s="5">
        <f>IF(SalesData[[#This Row],[Contracts Offered]]=0,0,SalesData[[#This Row],[Contracts Signed]]/SalesData[[#This Row],[Contracts Offered]])</f>
        <v>0.33884297520661155</v>
      </c>
      <c r="AG4359" s="5">
        <f>IF(SalesData[[#This Row],[Customers Visited]]=0,0,SalesData[[#This Row],[Test Drives]]/SalesData[[#This Row],[Customers Visited]])</f>
        <v>0.58139534883720934</v>
      </c>
      <c r="AH4359" s="5">
        <f>IF(SalesData[[#This Row],[Customers Visited]]=0,0,SalesData[[#This Row],[Contracts Signed]]/SalesData[[#This Row],[Customers Visited]])</f>
        <v>0.15891472868217055</v>
      </c>
      <c r="AI4359" s="6">
        <f>IF(SalesData[[#This Row],[Contracts Signed]]=0,0,SalesData[[#This Row],[Profit(€)]]/SalesData[[#This Row],[Contracts Signed]])</f>
        <v>15529</v>
      </c>
      <c r="AJ4359" s="5" t="str">
        <f>TRIM(CLEAN(SalesData[[#This Row],[Retailer]]))</f>
        <v>Leipzig Mobility</v>
      </c>
    </row>
    <row r="4360" spans="1:36" ht="14.25" hidden="1" x14ac:dyDescent="0.2">
      <c r="A4360" t="s">
        <v>5620</v>
      </c>
      <c r="B4360" s="1">
        <v>46059</v>
      </c>
      <c r="C4360" t="s">
        <v>24</v>
      </c>
      <c r="D4360" t="s">
        <v>54</v>
      </c>
      <c r="E4360" t="s">
        <v>26</v>
      </c>
      <c r="F4360" t="s">
        <v>109</v>
      </c>
      <c r="G4360" t="s">
        <v>110</v>
      </c>
      <c r="H4360" t="s">
        <v>45</v>
      </c>
      <c r="I4360" t="s">
        <v>56</v>
      </c>
      <c r="J4360" t="s">
        <v>179</v>
      </c>
      <c r="K4360" t="s">
        <v>66</v>
      </c>
      <c r="L4360" t="s">
        <v>67</v>
      </c>
      <c r="M4360" t="s">
        <v>34</v>
      </c>
      <c r="N4360" t="s">
        <v>69</v>
      </c>
      <c r="O4360" t="s">
        <v>36</v>
      </c>
      <c r="P4360" t="s">
        <v>71</v>
      </c>
      <c r="Q4360" t="s">
        <v>169</v>
      </c>
      <c r="R4360">
        <v>202</v>
      </c>
      <c r="S4360">
        <v>95</v>
      </c>
      <c r="T4360">
        <v>70</v>
      </c>
      <c r="U4360">
        <v>24</v>
      </c>
      <c r="V4360" t="s">
        <v>6868</v>
      </c>
      <c r="W4360">
        <v>41684</v>
      </c>
      <c r="X4360" t="s">
        <v>7183</v>
      </c>
      <c r="Y4360">
        <v>32924</v>
      </c>
      <c r="Z4360">
        <v>1000416</v>
      </c>
      <c r="AA4360">
        <v>210240</v>
      </c>
      <c r="AB4360" t="str">
        <f>(VLOOKUP(SalesData[[#This Row],[Month Number]],Reference!C$5:E$16,2,FALSE))</f>
        <v>Feb</v>
      </c>
      <c r="AC4360">
        <f>MONTH(SalesData[[#This Row],[Date]])</f>
        <v>2</v>
      </c>
      <c r="AD4360">
        <f>Reference!F$4</f>
        <v>2026</v>
      </c>
      <c r="AE4360" t="str">
        <f>IF(OR(SalesData[[#This Row],[Day]]="Saturday",SalesData[[#This Row],[Day]]="Sunday"),"Weekend","Weekday")</f>
        <v>Weekday</v>
      </c>
      <c r="AF4360" s="5">
        <f>IF(SalesData[[#This Row],[Contracts Offered]]=0,0,SalesData[[#This Row],[Contracts Signed]]/SalesData[[#This Row],[Contracts Offered]])</f>
        <v>0.34285714285714286</v>
      </c>
      <c r="AG4360" s="5">
        <f>IF(SalesData[[#This Row],[Customers Visited]]=0,0,SalesData[[#This Row],[Test Drives]]/SalesData[[#This Row],[Customers Visited]])</f>
        <v>0.47029702970297027</v>
      </c>
      <c r="AH4360" s="5">
        <f>IF(SalesData[[#This Row],[Customers Visited]]=0,0,SalesData[[#This Row],[Contracts Signed]]/SalesData[[#This Row],[Customers Visited]])</f>
        <v>0.11881188118811881</v>
      </c>
      <c r="AI4360" s="6">
        <f>IF(SalesData[[#This Row],[Contracts Signed]]=0,0,SalesData[[#This Row],[Profit(€)]]/SalesData[[#This Row],[Contracts Signed]])</f>
        <v>8760</v>
      </c>
      <c r="AJ4360" s="5" t="str">
        <f>TRIM(CLEAN(SalesData[[#This Row],[Retailer]]))</f>
        <v>Leipzig Mobility</v>
      </c>
    </row>
    <row r="4361" spans="1:36" ht="14.25" hidden="1" x14ac:dyDescent="0.2">
      <c r="A4361" t="s">
        <v>5621</v>
      </c>
      <c r="B4361" s="1">
        <v>46062</v>
      </c>
      <c r="C4361" t="s">
        <v>121</v>
      </c>
      <c r="D4361" t="s">
        <v>25</v>
      </c>
      <c r="E4361" t="s">
        <v>26</v>
      </c>
      <c r="F4361" t="s">
        <v>74</v>
      </c>
      <c r="G4361" t="s">
        <v>75</v>
      </c>
      <c r="H4361" t="s">
        <v>76</v>
      </c>
      <c r="I4361" t="s">
        <v>104</v>
      </c>
      <c r="J4361" t="s">
        <v>7061</v>
      </c>
      <c r="K4361" t="s">
        <v>32</v>
      </c>
      <c r="L4361" t="s">
        <v>46</v>
      </c>
      <c r="M4361" t="s">
        <v>34</v>
      </c>
      <c r="N4361" t="s">
        <v>69</v>
      </c>
      <c r="O4361" t="s">
        <v>36</v>
      </c>
      <c r="P4361" t="s">
        <v>71</v>
      </c>
      <c r="Q4361" t="s">
        <v>152</v>
      </c>
      <c r="R4361">
        <v>485</v>
      </c>
      <c r="S4361">
        <v>279</v>
      </c>
      <c r="T4361">
        <v>169</v>
      </c>
      <c r="U4361">
        <v>51</v>
      </c>
      <c r="V4361" t="s">
        <v>3484</v>
      </c>
      <c r="W4361">
        <v>27054</v>
      </c>
      <c r="X4361" t="s">
        <v>1653</v>
      </c>
      <c r="Y4361">
        <v>24470</v>
      </c>
      <c r="Z4361">
        <v>1379754</v>
      </c>
      <c r="AA4361">
        <v>131784</v>
      </c>
      <c r="AB4361" t="str">
        <f>(VLOOKUP(SalesData[[#This Row],[Month Number]],Reference!C$5:E$16,2,FALSE))</f>
        <v>Feb</v>
      </c>
      <c r="AC4361">
        <f>MONTH(SalesData[[#This Row],[Date]])</f>
        <v>2</v>
      </c>
      <c r="AD4361">
        <f>Reference!F$4</f>
        <v>2026</v>
      </c>
      <c r="AE4361" t="str">
        <f>IF(OR(SalesData[[#This Row],[Day]]="Saturday",SalesData[[#This Row],[Day]]="Sunday"),"Weekend","Weekday")</f>
        <v>Weekday</v>
      </c>
      <c r="AF4361" s="5">
        <f>IF(SalesData[[#This Row],[Contracts Offered]]=0,0,SalesData[[#This Row],[Contracts Signed]]/SalesData[[#This Row],[Contracts Offered]])</f>
        <v>0.30177514792899407</v>
      </c>
      <c r="AG4361" s="5">
        <f>IF(SalesData[[#This Row],[Customers Visited]]=0,0,SalesData[[#This Row],[Test Drives]]/SalesData[[#This Row],[Customers Visited]])</f>
        <v>0.57525773195876284</v>
      </c>
      <c r="AH4361" s="5">
        <f>IF(SalesData[[#This Row],[Customers Visited]]=0,0,SalesData[[#This Row],[Contracts Signed]]/SalesData[[#This Row],[Customers Visited]])</f>
        <v>0.10515463917525773</v>
      </c>
      <c r="AI4361" s="6">
        <f>IF(SalesData[[#This Row],[Contracts Signed]]=0,0,SalesData[[#This Row],[Profit(€)]]/SalesData[[#This Row],[Contracts Signed]])</f>
        <v>2584</v>
      </c>
      <c r="AJ4361" s="5" t="str">
        <f>TRIM(CLEAN(SalesData[[#This Row],[Retailer]]))</f>
        <v>Stuttgart Auto Center</v>
      </c>
    </row>
    <row r="4362" spans="1:36" ht="14.25" hidden="1" x14ac:dyDescent="0.2">
      <c r="A4362" t="s">
        <v>5622</v>
      </c>
      <c r="B4362" s="1">
        <v>46067</v>
      </c>
      <c r="C4362" t="s">
        <v>121</v>
      </c>
      <c r="D4362" t="s">
        <v>151</v>
      </c>
      <c r="E4362" t="s">
        <v>42</v>
      </c>
      <c r="F4362" t="s">
        <v>83</v>
      </c>
      <c r="G4362" t="s">
        <v>84</v>
      </c>
      <c r="H4362" t="s">
        <v>85</v>
      </c>
      <c r="I4362" t="s">
        <v>56</v>
      </c>
      <c r="J4362" t="s">
        <v>179</v>
      </c>
      <c r="K4362" t="s">
        <v>32</v>
      </c>
      <c r="L4362" t="s">
        <v>67</v>
      </c>
      <c r="M4362" t="s">
        <v>68</v>
      </c>
      <c r="N4362" t="s">
        <v>35</v>
      </c>
      <c r="O4362" t="s">
        <v>36</v>
      </c>
      <c r="P4362" t="s">
        <v>37</v>
      </c>
      <c r="Q4362" t="s">
        <v>240</v>
      </c>
      <c r="R4362">
        <v>165</v>
      </c>
      <c r="S4362">
        <v>95</v>
      </c>
      <c r="T4362">
        <v>61</v>
      </c>
      <c r="U4362">
        <v>18</v>
      </c>
      <c r="V4362" t="s">
        <v>722</v>
      </c>
      <c r="W4362">
        <v>44748</v>
      </c>
      <c r="X4362" t="s">
        <v>7527</v>
      </c>
      <c r="Y4362">
        <v>34074</v>
      </c>
      <c r="Z4362">
        <v>805464</v>
      </c>
      <c r="AA4362">
        <v>192132</v>
      </c>
      <c r="AB4362" t="str">
        <f>(VLOOKUP(SalesData[[#This Row],[Month Number]],Reference!C$5:E$16,2,FALSE))</f>
        <v>Feb</v>
      </c>
      <c r="AC4362">
        <f>MONTH(SalesData[[#This Row],[Date]])</f>
        <v>2</v>
      </c>
      <c r="AD4362">
        <f>Reference!F$4</f>
        <v>2026</v>
      </c>
      <c r="AE4362" t="str">
        <f>IF(OR(SalesData[[#This Row],[Day]]="Saturday",SalesData[[#This Row],[Day]]="Sunday"),"Weekend","Weekday")</f>
        <v>Weekend</v>
      </c>
      <c r="AF4362" s="5">
        <f>IF(SalesData[[#This Row],[Contracts Offered]]=0,0,SalesData[[#This Row],[Contracts Signed]]/SalesData[[#This Row],[Contracts Offered]])</f>
        <v>0.29508196721311475</v>
      </c>
      <c r="AG4362" s="5">
        <f>IF(SalesData[[#This Row],[Customers Visited]]=0,0,SalesData[[#This Row],[Test Drives]]/SalesData[[#This Row],[Customers Visited]])</f>
        <v>0.5757575757575758</v>
      </c>
      <c r="AH4362" s="5">
        <f>IF(SalesData[[#This Row],[Customers Visited]]=0,0,SalesData[[#This Row],[Contracts Signed]]/SalesData[[#This Row],[Customers Visited]])</f>
        <v>0.10909090909090909</v>
      </c>
      <c r="AI4362" s="6">
        <f>IF(SalesData[[#This Row],[Contracts Signed]]=0,0,SalesData[[#This Row],[Profit(€)]]/SalesData[[#This Row],[Contracts Signed]])</f>
        <v>10674</v>
      </c>
      <c r="AJ4362" s="5" t="str">
        <f>TRIM(CLEAN(SalesData[[#This Row],[Retailer]]))</f>
        <v>Hannover Cars</v>
      </c>
    </row>
    <row r="4363" spans="1:36" ht="14.25" hidden="1" x14ac:dyDescent="0.2">
      <c r="A4363" t="s">
        <v>5623</v>
      </c>
      <c r="B4363" s="1">
        <v>46061</v>
      </c>
      <c r="C4363" t="s">
        <v>121</v>
      </c>
      <c r="D4363" t="s">
        <v>41</v>
      </c>
      <c r="E4363" t="s">
        <v>42</v>
      </c>
      <c r="F4363" t="s">
        <v>83</v>
      </c>
      <c r="G4363" t="s">
        <v>84</v>
      </c>
      <c r="H4363" t="s">
        <v>85</v>
      </c>
      <c r="I4363" t="s">
        <v>56</v>
      </c>
      <c r="J4363" t="s">
        <v>57</v>
      </c>
      <c r="K4363" t="s">
        <v>78</v>
      </c>
      <c r="L4363" t="s">
        <v>46</v>
      </c>
      <c r="M4363" t="s">
        <v>34</v>
      </c>
      <c r="N4363" t="s">
        <v>48</v>
      </c>
      <c r="O4363" t="s">
        <v>36</v>
      </c>
      <c r="P4363" t="s">
        <v>37</v>
      </c>
      <c r="Q4363" t="s">
        <v>79</v>
      </c>
      <c r="R4363">
        <v>301</v>
      </c>
      <c r="S4363">
        <v>175</v>
      </c>
      <c r="T4363">
        <v>120</v>
      </c>
      <c r="U4363">
        <v>34</v>
      </c>
      <c r="V4363" t="s">
        <v>3843</v>
      </c>
      <c r="W4363">
        <v>46730</v>
      </c>
      <c r="X4363" t="s">
        <v>7529</v>
      </c>
      <c r="Y4363">
        <v>38218</v>
      </c>
      <c r="Z4363">
        <v>1588820</v>
      </c>
      <c r="AA4363">
        <v>289408</v>
      </c>
      <c r="AB4363" t="str">
        <f>(VLOOKUP(SalesData[[#This Row],[Month Number]],Reference!C$5:E$16,2,FALSE))</f>
        <v>Feb</v>
      </c>
      <c r="AC4363">
        <f>MONTH(SalesData[[#This Row],[Date]])</f>
        <v>2</v>
      </c>
      <c r="AD4363">
        <f>Reference!F$4</f>
        <v>2026</v>
      </c>
      <c r="AE4363" t="str">
        <f>IF(OR(SalesData[[#This Row],[Day]]="Saturday",SalesData[[#This Row],[Day]]="Sunday"),"Weekend","Weekday")</f>
        <v>Weekend</v>
      </c>
      <c r="AF4363" s="5">
        <f>IF(SalesData[[#This Row],[Contracts Offered]]=0,0,SalesData[[#This Row],[Contracts Signed]]/SalesData[[#This Row],[Contracts Offered]])</f>
        <v>0.28333333333333333</v>
      </c>
      <c r="AG4363" s="5">
        <f>IF(SalesData[[#This Row],[Customers Visited]]=0,0,SalesData[[#This Row],[Test Drives]]/SalesData[[#This Row],[Customers Visited]])</f>
        <v>0.58139534883720934</v>
      </c>
      <c r="AH4363" s="5">
        <f>IF(SalesData[[#This Row],[Customers Visited]]=0,0,SalesData[[#This Row],[Contracts Signed]]/SalesData[[#This Row],[Customers Visited]])</f>
        <v>0.11295681063122924</v>
      </c>
      <c r="AI4363" s="6">
        <f>IF(SalesData[[#This Row],[Contracts Signed]]=0,0,SalesData[[#This Row],[Profit(€)]]/SalesData[[#This Row],[Contracts Signed]])</f>
        <v>8512</v>
      </c>
      <c r="AJ4363" s="5" t="str">
        <f>TRIM(CLEAN(SalesData[[#This Row],[Retailer]]))</f>
        <v>Hannover Cars</v>
      </c>
    </row>
    <row r="4364" spans="1:36" ht="14.25" hidden="1" x14ac:dyDescent="0.2">
      <c r="A4364" t="s">
        <v>5624</v>
      </c>
      <c r="B4364" s="1">
        <v>46075</v>
      </c>
      <c r="C4364" t="s">
        <v>53</v>
      </c>
      <c r="D4364" t="s">
        <v>41</v>
      </c>
      <c r="E4364" t="s">
        <v>42</v>
      </c>
      <c r="F4364" t="s">
        <v>83</v>
      </c>
      <c r="G4364" t="s">
        <v>84</v>
      </c>
      <c r="H4364" t="s">
        <v>85</v>
      </c>
      <c r="I4364" t="s">
        <v>104</v>
      </c>
      <c r="J4364" t="s">
        <v>143</v>
      </c>
      <c r="K4364" t="s">
        <v>32</v>
      </c>
      <c r="L4364" t="s">
        <v>67</v>
      </c>
      <c r="M4364" t="s">
        <v>87</v>
      </c>
      <c r="N4364" t="s">
        <v>69</v>
      </c>
      <c r="O4364" t="s">
        <v>70</v>
      </c>
      <c r="P4364" t="s">
        <v>49</v>
      </c>
      <c r="Q4364" t="s">
        <v>152</v>
      </c>
      <c r="R4364">
        <v>443</v>
      </c>
      <c r="S4364">
        <v>256</v>
      </c>
      <c r="T4364">
        <v>170</v>
      </c>
      <c r="U4364">
        <v>29</v>
      </c>
      <c r="V4364" t="s">
        <v>1276</v>
      </c>
      <c r="W4364">
        <v>28410</v>
      </c>
      <c r="X4364" t="s">
        <v>7203</v>
      </c>
      <c r="Y4364">
        <v>25583</v>
      </c>
      <c r="Z4364">
        <v>823890</v>
      </c>
      <c r="AA4364">
        <v>81983</v>
      </c>
      <c r="AB4364" t="str">
        <f>(VLOOKUP(SalesData[[#This Row],[Month Number]],Reference!C$5:E$16,2,FALSE))</f>
        <v>Feb</v>
      </c>
      <c r="AC4364">
        <f>MONTH(SalesData[[#This Row],[Date]])</f>
        <v>2</v>
      </c>
      <c r="AD4364">
        <f>Reference!F$4</f>
        <v>2026</v>
      </c>
      <c r="AE4364" t="str">
        <f>IF(OR(SalesData[[#This Row],[Day]]="Saturday",SalesData[[#This Row],[Day]]="Sunday"),"Weekend","Weekday")</f>
        <v>Weekend</v>
      </c>
      <c r="AF4364" s="5">
        <f>IF(SalesData[[#This Row],[Contracts Offered]]=0,0,SalesData[[#This Row],[Contracts Signed]]/SalesData[[#This Row],[Contracts Offered]])</f>
        <v>0.17058823529411765</v>
      </c>
      <c r="AG4364" s="5">
        <f>IF(SalesData[[#This Row],[Customers Visited]]=0,0,SalesData[[#This Row],[Test Drives]]/SalesData[[#This Row],[Customers Visited]])</f>
        <v>0.57787810383747173</v>
      </c>
      <c r="AH4364" s="5">
        <f>IF(SalesData[[#This Row],[Customers Visited]]=0,0,SalesData[[#This Row],[Contracts Signed]]/SalesData[[#This Row],[Customers Visited]])</f>
        <v>6.5462753950338598E-2</v>
      </c>
      <c r="AI4364" s="6">
        <f>IF(SalesData[[#This Row],[Contracts Signed]]=0,0,SalesData[[#This Row],[Profit(€)]]/SalesData[[#This Row],[Contracts Signed]])</f>
        <v>2827</v>
      </c>
      <c r="AJ4364" s="5" t="str">
        <f>TRIM(CLEAN(SalesData[[#This Row],[Retailer]]))</f>
        <v>Hannover Cars</v>
      </c>
    </row>
    <row r="4365" spans="1:36" ht="14.25" hidden="1" x14ac:dyDescent="0.2">
      <c r="A4365" t="s">
        <v>5625</v>
      </c>
      <c r="B4365" s="1">
        <v>46063</v>
      </c>
      <c r="C4365" t="s">
        <v>121</v>
      </c>
      <c r="D4365" t="s">
        <v>63</v>
      </c>
      <c r="E4365" t="s">
        <v>26</v>
      </c>
      <c r="F4365" t="s">
        <v>109</v>
      </c>
      <c r="G4365" t="s">
        <v>110</v>
      </c>
      <c r="H4365" t="s">
        <v>45</v>
      </c>
      <c r="I4365" t="s">
        <v>64</v>
      </c>
      <c r="J4365" t="s">
        <v>7029</v>
      </c>
      <c r="K4365" t="s">
        <v>91</v>
      </c>
      <c r="L4365" t="s">
        <v>33</v>
      </c>
      <c r="M4365" t="s">
        <v>34</v>
      </c>
      <c r="N4365" t="s">
        <v>69</v>
      </c>
      <c r="O4365" t="s">
        <v>70</v>
      </c>
      <c r="P4365" t="s">
        <v>37</v>
      </c>
      <c r="Q4365" t="s">
        <v>106</v>
      </c>
      <c r="R4365">
        <v>285</v>
      </c>
      <c r="S4365">
        <v>142</v>
      </c>
      <c r="T4365">
        <v>110</v>
      </c>
      <c r="U4365">
        <v>34</v>
      </c>
      <c r="V4365" t="s">
        <v>6456</v>
      </c>
      <c r="W4365">
        <v>66346</v>
      </c>
      <c r="X4365" t="s">
        <v>7235</v>
      </c>
      <c r="Y4365">
        <v>47779</v>
      </c>
      <c r="Z4365">
        <v>2255764</v>
      </c>
      <c r="AA4365">
        <v>631278</v>
      </c>
      <c r="AB4365" t="str">
        <f>(VLOOKUP(SalesData[[#This Row],[Month Number]],Reference!C$5:E$16,2,FALSE))</f>
        <v>Feb</v>
      </c>
      <c r="AC4365">
        <f>MONTH(SalesData[[#This Row],[Date]])</f>
        <v>2</v>
      </c>
      <c r="AD4365">
        <f>Reference!F$4</f>
        <v>2026</v>
      </c>
      <c r="AE4365" t="str">
        <f>IF(OR(SalesData[[#This Row],[Day]]="Saturday",SalesData[[#This Row],[Day]]="Sunday"),"Weekend","Weekday")</f>
        <v>Weekday</v>
      </c>
      <c r="AF4365" s="5">
        <f>IF(SalesData[[#This Row],[Contracts Offered]]=0,0,SalesData[[#This Row],[Contracts Signed]]/SalesData[[#This Row],[Contracts Offered]])</f>
        <v>0.30909090909090908</v>
      </c>
      <c r="AG4365" s="5">
        <f>IF(SalesData[[#This Row],[Customers Visited]]=0,0,SalesData[[#This Row],[Test Drives]]/SalesData[[#This Row],[Customers Visited]])</f>
        <v>0.49824561403508771</v>
      </c>
      <c r="AH4365" s="5">
        <f>IF(SalesData[[#This Row],[Customers Visited]]=0,0,SalesData[[#This Row],[Contracts Signed]]/SalesData[[#This Row],[Customers Visited]])</f>
        <v>0.11929824561403508</v>
      </c>
      <c r="AI4365" s="6">
        <f>IF(SalesData[[#This Row],[Contracts Signed]]=0,0,SalesData[[#This Row],[Profit(€)]]/SalesData[[#This Row],[Contracts Signed]])</f>
        <v>18567</v>
      </c>
      <c r="AJ4365" s="5" t="str">
        <f>TRIM(CLEAN(SalesData[[#This Row],[Retailer]]))</f>
        <v>Leipzig Mobility</v>
      </c>
    </row>
    <row r="4366" spans="1:36" ht="14.25" x14ac:dyDescent="0.2">
      <c r="A4366" t="s">
        <v>5626</v>
      </c>
      <c r="B4366" s="1">
        <v>46071</v>
      </c>
      <c r="C4366" t="s">
        <v>62</v>
      </c>
      <c r="D4366" t="s">
        <v>82</v>
      </c>
      <c r="E4366" t="s">
        <v>26</v>
      </c>
      <c r="F4366" t="s">
        <v>94</v>
      </c>
      <c r="G4366" t="s">
        <v>95</v>
      </c>
      <c r="H4366" t="s">
        <v>96</v>
      </c>
      <c r="I4366" t="s">
        <v>30</v>
      </c>
      <c r="J4366" t="s">
        <v>166</v>
      </c>
      <c r="K4366" t="s">
        <v>78</v>
      </c>
      <c r="L4366" t="s">
        <v>46</v>
      </c>
      <c r="M4366" t="s">
        <v>47</v>
      </c>
      <c r="N4366" t="s">
        <v>69</v>
      </c>
      <c r="O4366" t="s">
        <v>36</v>
      </c>
      <c r="P4366" t="s">
        <v>71</v>
      </c>
      <c r="Q4366" t="s">
        <v>88</v>
      </c>
      <c r="R4366">
        <v>182</v>
      </c>
      <c r="S4366">
        <v>101</v>
      </c>
      <c r="T4366">
        <v>72</v>
      </c>
      <c r="U4366">
        <v>32</v>
      </c>
      <c r="V4366" t="s">
        <v>7317</v>
      </c>
      <c r="W4366">
        <v>60642</v>
      </c>
      <c r="X4366" t="s">
        <v>7101</v>
      </c>
      <c r="Y4366">
        <v>44530</v>
      </c>
      <c r="Z4366">
        <v>1940544</v>
      </c>
      <c r="AA4366">
        <v>515584</v>
      </c>
      <c r="AB4366" t="str">
        <f>(VLOOKUP(SalesData[[#This Row],[Month Number]],Reference!C$5:E$16,2,FALSE))</f>
        <v>Feb</v>
      </c>
      <c r="AC4366">
        <f>MONTH(SalesData[[#This Row],[Date]])</f>
        <v>2</v>
      </c>
      <c r="AD4366">
        <f>Reference!F$4</f>
        <v>2026</v>
      </c>
      <c r="AE4366" t="str">
        <f>IF(OR(SalesData[[#This Row],[Day]]="Saturday",SalesData[[#This Row],[Day]]="Sunday"),"Weekend","Weekday")</f>
        <v>Weekday</v>
      </c>
      <c r="AF4366" s="5">
        <f>IF(SalesData[[#This Row],[Contracts Offered]]=0,0,SalesData[[#This Row],[Contracts Signed]]/SalesData[[#This Row],[Contracts Offered]])</f>
        <v>0.44444444444444442</v>
      </c>
      <c r="AG4366" s="5">
        <f>IF(SalesData[[#This Row],[Customers Visited]]=0,0,SalesData[[#This Row],[Test Drives]]/SalesData[[#This Row],[Customers Visited]])</f>
        <v>0.55494505494505497</v>
      </c>
      <c r="AH4366" s="5">
        <f>IF(SalesData[[#This Row],[Customers Visited]]=0,0,SalesData[[#This Row],[Contracts Signed]]/SalesData[[#This Row],[Customers Visited]])</f>
        <v>0.17582417582417584</v>
      </c>
      <c r="AI4366" s="6">
        <f>IF(SalesData[[#This Row],[Contracts Signed]]=0,0,SalesData[[#This Row],[Profit(€)]]/SalesData[[#This Row],[Contracts Signed]])</f>
        <v>16112</v>
      </c>
      <c r="AJ4366" s="5" t="str">
        <f>TRIM(CLEAN(SalesData[[#This Row],[Retailer]]))</f>
        <v>Bavaria Motors</v>
      </c>
    </row>
    <row r="4367" spans="1:36" ht="14.25" hidden="1" x14ac:dyDescent="0.2">
      <c r="A4367" t="s">
        <v>5627</v>
      </c>
      <c r="B4367" s="1">
        <v>46081</v>
      </c>
      <c r="C4367" t="s">
        <v>53</v>
      </c>
      <c r="D4367" t="s">
        <v>151</v>
      </c>
      <c r="E4367" t="s">
        <v>42</v>
      </c>
      <c r="F4367" t="s">
        <v>74</v>
      </c>
      <c r="G4367" t="s">
        <v>75</v>
      </c>
      <c r="H4367" t="s">
        <v>76</v>
      </c>
      <c r="I4367" t="s">
        <v>56</v>
      </c>
      <c r="J4367" t="s">
        <v>57</v>
      </c>
      <c r="K4367" t="s">
        <v>91</v>
      </c>
      <c r="L4367" t="s">
        <v>46</v>
      </c>
      <c r="M4367" t="s">
        <v>68</v>
      </c>
      <c r="N4367" t="s">
        <v>69</v>
      </c>
      <c r="O4367" t="s">
        <v>36</v>
      </c>
      <c r="P4367" t="s">
        <v>37</v>
      </c>
      <c r="Q4367" t="s">
        <v>152</v>
      </c>
      <c r="R4367">
        <v>173</v>
      </c>
      <c r="S4367">
        <v>102</v>
      </c>
      <c r="T4367">
        <v>72</v>
      </c>
      <c r="U4367">
        <v>23</v>
      </c>
      <c r="V4367" t="s">
        <v>6817</v>
      </c>
      <c r="W4367">
        <v>45487</v>
      </c>
      <c r="X4367" t="s">
        <v>1590</v>
      </c>
      <c r="Y4367">
        <v>36406</v>
      </c>
      <c r="Z4367">
        <v>1046201</v>
      </c>
      <c r="AA4367">
        <v>208863</v>
      </c>
      <c r="AB4367" t="str">
        <f>(VLOOKUP(SalesData[[#This Row],[Month Number]],Reference!C$5:E$16,2,FALSE))</f>
        <v>Feb</v>
      </c>
      <c r="AC4367">
        <f>MONTH(SalesData[[#This Row],[Date]])</f>
        <v>2</v>
      </c>
      <c r="AD4367">
        <f>Reference!F$4</f>
        <v>2026</v>
      </c>
      <c r="AE4367" t="str">
        <f>IF(OR(SalesData[[#This Row],[Day]]="Saturday",SalesData[[#This Row],[Day]]="Sunday"),"Weekend","Weekday")</f>
        <v>Weekend</v>
      </c>
      <c r="AF4367" s="5">
        <f>IF(SalesData[[#This Row],[Contracts Offered]]=0,0,SalesData[[#This Row],[Contracts Signed]]/SalesData[[#This Row],[Contracts Offered]])</f>
        <v>0.31944444444444442</v>
      </c>
      <c r="AG4367" s="5">
        <f>IF(SalesData[[#This Row],[Customers Visited]]=0,0,SalesData[[#This Row],[Test Drives]]/SalesData[[#This Row],[Customers Visited]])</f>
        <v>0.58959537572254339</v>
      </c>
      <c r="AH4367" s="5">
        <f>IF(SalesData[[#This Row],[Customers Visited]]=0,0,SalesData[[#This Row],[Contracts Signed]]/SalesData[[#This Row],[Customers Visited]])</f>
        <v>0.13294797687861271</v>
      </c>
      <c r="AI4367" s="6">
        <f>IF(SalesData[[#This Row],[Contracts Signed]]=0,0,SalesData[[#This Row],[Profit(€)]]/SalesData[[#This Row],[Contracts Signed]])</f>
        <v>9081</v>
      </c>
      <c r="AJ4367" s="5" t="str">
        <f>TRIM(CLEAN(SalesData[[#This Row],[Retailer]]))</f>
        <v>Stuttgart Auto Center</v>
      </c>
    </row>
    <row r="4368" spans="1:36" ht="14.25" hidden="1" x14ac:dyDescent="0.2">
      <c r="A4368" t="s">
        <v>5628</v>
      </c>
      <c r="B4368" s="1">
        <v>46059</v>
      </c>
      <c r="C4368" t="s">
        <v>24</v>
      </c>
      <c r="D4368" t="s">
        <v>54</v>
      </c>
      <c r="E4368" t="s">
        <v>26</v>
      </c>
      <c r="F4368" t="s">
        <v>27</v>
      </c>
      <c r="G4368" t="s">
        <v>28</v>
      </c>
      <c r="H4368" t="s">
        <v>29</v>
      </c>
      <c r="I4368" t="s">
        <v>64</v>
      </c>
      <c r="J4368" t="s">
        <v>157</v>
      </c>
      <c r="K4368" t="s">
        <v>91</v>
      </c>
      <c r="L4368" t="s">
        <v>33</v>
      </c>
      <c r="M4368" t="s">
        <v>87</v>
      </c>
      <c r="N4368" t="s">
        <v>35</v>
      </c>
      <c r="O4368" t="s">
        <v>70</v>
      </c>
      <c r="P4368" t="s">
        <v>58</v>
      </c>
      <c r="Q4368" t="s">
        <v>79</v>
      </c>
      <c r="R4368">
        <v>239</v>
      </c>
      <c r="S4368">
        <v>113</v>
      </c>
      <c r="T4368">
        <v>75</v>
      </c>
      <c r="U4368">
        <v>32</v>
      </c>
      <c r="V4368" t="s">
        <v>6878</v>
      </c>
      <c r="W4368">
        <v>56406</v>
      </c>
      <c r="X4368" t="s">
        <v>5237</v>
      </c>
      <c r="Y4368">
        <v>40221</v>
      </c>
      <c r="Z4368">
        <v>1804992</v>
      </c>
      <c r="AA4368">
        <v>517920</v>
      </c>
      <c r="AB4368" t="str">
        <f>(VLOOKUP(SalesData[[#This Row],[Month Number]],Reference!C$5:E$16,2,FALSE))</f>
        <v>Feb</v>
      </c>
      <c r="AC4368">
        <f>MONTH(SalesData[[#This Row],[Date]])</f>
        <v>2</v>
      </c>
      <c r="AD4368">
        <f>Reference!F$4</f>
        <v>2026</v>
      </c>
      <c r="AE4368" t="str">
        <f>IF(OR(SalesData[[#This Row],[Day]]="Saturday",SalesData[[#This Row],[Day]]="Sunday"),"Weekend","Weekday")</f>
        <v>Weekday</v>
      </c>
      <c r="AF4368" s="5">
        <f>IF(SalesData[[#This Row],[Contracts Offered]]=0,0,SalesData[[#This Row],[Contracts Signed]]/SalesData[[#This Row],[Contracts Offered]])</f>
        <v>0.42666666666666669</v>
      </c>
      <c r="AG4368" s="5">
        <f>IF(SalesData[[#This Row],[Customers Visited]]=0,0,SalesData[[#This Row],[Test Drives]]/SalesData[[#This Row],[Customers Visited]])</f>
        <v>0.47280334728033474</v>
      </c>
      <c r="AH4368" s="5">
        <f>IF(SalesData[[#This Row],[Customers Visited]]=0,0,SalesData[[#This Row],[Contracts Signed]]/SalesData[[#This Row],[Customers Visited]])</f>
        <v>0.13389121338912133</v>
      </c>
      <c r="AI4368" s="6">
        <f>IF(SalesData[[#This Row],[Contracts Signed]]=0,0,SalesData[[#This Row],[Profit(€)]]/SalesData[[#This Row],[Contracts Signed]])</f>
        <v>16185</v>
      </c>
      <c r="AJ4368" s="5" t="str">
        <f>TRIM(CLEAN(SalesData[[#This Row],[Retailer]]))</f>
        <v>Main Auto Hub</v>
      </c>
    </row>
    <row r="4369" spans="1:36" ht="14.25" hidden="1" x14ac:dyDescent="0.2">
      <c r="A4369" t="s">
        <v>5629</v>
      </c>
      <c r="B4369" s="1">
        <v>46060</v>
      </c>
      <c r="C4369" t="s">
        <v>24</v>
      </c>
      <c r="D4369" t="s">
        <v>151</v>
      </c>
      <c r="E4369" t="s">
        <v>42</v>
      </c>
      <c r="F4369" t="s">
        <v>7649</v>
      </c>
      <c r="G4369" t="s">
        <v>55</v>
      </c>
      <c r="H4369" t="s">
        <v>55</v>
      </c>
      <c r="I4369" t="s">
        <v>116</v>
      </c>
      <c r="J4369" t="s">
        <v>7090</v>
      </c>
      <c r="K4369" t="s">
        <v>32</v>
      </c>
      <c r="L4369" t="s">
        <v>46</v>
      </c>
      <c r="M4369" t="s">
        <v>47</v>
      </c>
      <c r="N4369" t="s">
        <v>48</v>
      </c>
      <c r="O4369" t="s">
        <v>70</v>
      </c>
      <c r="P4369" t="s">
        <v>49</v>
      </c>
      <c r="Q4369" t="s">
        <v>152</v>
      </c>
      <c r="R4369">
        <v>405</v>
      </c>
      <c r="S4369">
        <v>164</v>
      </c>
      <c r="T4369">
        <v>110</v>
      </c>
      <c r="U4369">
        <v>26</v>
      </c>
      <c r="V4369" t="s">
        <v>3128</v>
      </c>
      <c r="W4369">
        <v>21907</v>
      </c>
      <c r="X4369" t="s">
        <v>2521</v>
      </c>
      <c r="Y4369">
        <v>20185</v>
      </c>
      <c r="Z4369">
        <v>569582</v>
      </c>
      <c r="AA4369">
        <v>44772</v>
      </c>
      <c r="AB4369" t="str">
        <f>(VLOOKUP(SalesData[[#This Row],[Month Number]],Reference!C$5:E$16,2,FALSE))</f>
        <v>Feb</v>
      </c>
      <c r="AC4369">
        <f>MONTH(SalesData[[#This Row],[Date]])</f>
        <v>2</v>
      </c>
      <c r="AD4369">
        <f>Reference!F$4</f>
        <v>2026</v>
      </c>
      <c r="AE4369" t="str">
        <f>IF(OR(SalesData[[#This Row],[Day]]="Saturday",SalesData[[#This Row],[Day]]="Sunday"),"Weekend","Weekday")</f>
        <v>Weekend</v>
      </c>
      <c r="AF4369" s="5">
        <f>IF(SalesData[[#This Row],[Contracts Offered]]=0,0,SalesData[[#This Row],[Contracts Signed]]/SalesData[[#This Row],[Contracts Offered]])</f>
        <v>0.23636363636363636</v>
      </c>
      <c r="AG4369" s="5">
        <f>IF(SalesData[[#This Row],[Customers Visited]]=0,0,SalesData[[#This Row],[Test Drives]]/SalesData[[#This Row],[Customers Visited]])</f>
        <v>0.40493827160493828</v>
      </c>
      <c r="AH4369" s="5">
        <f>IF(SalesData[[#This Row],[Customers Visited]]=0,0,SalesData[[#This Row],[Contracts Signed]]/SalesData[[#This Row],[Customers Visited]])</f>
        <v>6.4197530864197536E-2</v>
      </c>
      <c r="AI4369" s="6">
        <f>IF(SalesData[[#This Row],[Contracts Signed]]=0,0,SalesData[[#This Row],[Profit(€)]]/SalesData[[#This Row],[Contracts Signed]])</f>
        <v>1722</v>
      </c>
      <c r="AJ4369" s="5" t="str">
        <f>TRIM(CLEAN(SalesData[[#This Row],[Retailer]]))</f>
        <v>Autohaus Berlin</v>
      </c>
    </row>
    <row r="4370" spans="1:36" ht="14.25" x14ac:dyDescent="0.2">
      <c r="A4370" t="s">
        <v>5631</v>
      </c>
      <c r="B4370" s="1">
        <v>46076</v>
      </c>
      <c r="C4370" t="s">
        <v>53</v>
      </c>
      <c r="D4370" t="s">
        <v>25</v>
      </c>
      <c r="E4370" t="s">
        <v>26</v>
      </c>
      <c r="F4370" t="s">
        <v>114</v>
      </c>
      <c r="G4370" t="s">
        <v>115</v>
      </c>
      <c r="H4370" t="s">
        <v>115</v>
      </c>
      <c r="I4370" t="s">
        <v>30</v>
      </c>
      <c r="J4370" t="s">
        <v>86</v>
      </c>
      <c r="K4370" t="s">
        <v>91</v>
      </c>
      <c r="L4370" t="s">
        <v>33</v>
      </c>
      <c r="M4370" t="s">
        <v>47</v>
      </c>
      <c r="N4370" t="s">
        <v>35</v>
      </c>
      <c r="O4370" t="s">
        <v>70</v>
      </c>
      <c r="P4370" t="s">
        <v>49</v>
      </c>
      <c r="Q4370" t="s">
        <v>144</v>
      </c>
      <c r="R4370">
        <v>206</v>
      </c>
      <c r="S4370">
        <v>105</v>
      </c>
      <c r="T4370">
        <v>75</v>
      </c>
      <c r="U4370">
        <v>30</v>
      </c>
      <c r="V4370" t="s">
        <v>6357</v>
      </c>
      <c r="W4370">
        <v>50759</v>
      </c>
      <c r="X4370" t="s">
        <v>1680</v>
      </c>
      <c r="Y4370">
        <v>38422</v>
      </c>
      <c r="Z4370">
        <v>1522770</v>
      </c>
      <c r="AA4370">
        <v>370110</v>
      </c>
      <c r="AB4370" t="str">
        <f>(VLOOKUP(SalesData[[#This Row],[Month Number]],Reference!C$5:E$16,2,FALSE))</f>
        <v>Feb</v>
      </c>
      <c r="AC4370">
        <f>MONTH(SalesData[[#This Row],[Date]])</f>
        <v>2</v>
      </c>
      <c r="AD4370">
        <f>Reference!F$4</f>
        <v>2026</v>
      </c>
      <c r="AE4370" t="str">
        <f>IF(OR(SalesData[[#This Row],[Day]]="Saturday",SalesData[[#This Row],[Day]]="Sunday"),"Weekend","Weekday")</f>
        <v>Weekday</v>
      </c>
      <c r="AF4370" s="5">
        <f>IF(SalesData[[#This Row],[Contracts Offered]]=0,0,SalesData[[#This Row],[Contracts Signed]]/SalesData[[#This Row],[Contracts Offered]])</f>
        <v>0.4</v>
      </c>
      <c r="AG4370" s="5">
        <f>IF(SalesData[[#This Row],[Customers Visited]]=0,0,SalesData[[#This Row],[Test Drives]]/SalesData[[#This Row],[Customers Visited]])</f>
        <v>0.50970873786407767</v>
      </c>
      <c r="AH4370" s="5">
        <f>IF(SalesData[[#This Row],[Customers Visited]]=0,0,SalesData[[#This Row],[Contracts Signed]]/SalesData[[#This Row],[Customers Visited]])</f>
        <v>0.14563106796116504</v>
      </c>
      <c r="AI4370" s="6">
        <f>IF(SalesData[[#This Row],[Contracts Signed]]=0,0,SalesData[[#This Row],[Profit(€)]]/SalesData[[#This Row],[Contracts Signed]])</f>
        <v>12337</v>
      </c>
      <c r="AJ4370" s="5" t="str">
        <f>TRIM(CLEAN(SalesData[[#This Row],[Retailer]]))</f>
        <v>Elbe Drive</v>
      </c>
    </row>
    <row r="4371" spans="1:36" ht="14.25" hidden="1" x14ac:dyDescent="0.2">
      <c r="A4371" t="s">
        <v>5632</v>
      </c>
      <c r="B4371" s="1">
        <v>46080</v>
      </c>
      <c r="C4371" t="s">
        <v>53</v>
      </c>
      <c r="D4371" t="s">
        <v>54</v>
      </c>
      <c r="E4371" t="s">
        <v>26</v>
      </c>
      <c r="F4371" t="s">
        <v>94</v>
      </c>
      <c r="G4371" t="s">
        <v>95</v>
      </c>
      <c r="H4371" t="s">
        <v>96</v>
      </c>
      <c r="I4371" t="s">
        <v>56</v>
      </c>
      <c r="J4371" t="s">
        <v>137</v>
      </c>
      <c r="K4371" t="s">
        <v>66</v>
      </c>
      <c r="L4371" t="s">
        <v>46</v>
      </c>
      <c r="M4371" t="s">
        <v>87</v>
      </c>
      <c r="N4371" t="s">
        <v>69</v>
      </c>
      <c r="O4371" t="s">
        <v>70</v>
      </c>
      <c r="P4371" t="s">
        <v>71</v>
      </c>
      <c r="Q4371" t="s">
        <v>59</v>
      </c>
      <c r="R4371">
        <v>242</v>
      </c>
      <c r="S4371">
        <v>143</v>
      </c>
      <c r="T4371">
        <v>98</v>
      </c>
      <c r="U4371">
        <v>34</v>
      </c>
      <c r="V4371" t="s">
        <v>6833</v>
      </c>
      <c r="W4371">
        <v>45790</v>
      </c>
      <c r="X4371" t="s">
        <v>7175</v>
      </c>
      <c r="Y4371">
        <v>36010</v>
      </c>
      <c r="Z4371">
        <v>1556860</v>
      </c>
      <c r="AA4371">
        <v>332520</v>
      </c>
      <c r="AB4371" t="str">
        <f>(VLOOKUP(SalesData[[#This Row],[Month Number]],Reference!C$5:E$16,2,FALSE))</f>
        <v>Feb</v>
      </c>
      <c r="AC4371">
        <f>MONTH(SalesData[[#This Row],[Date]])</f>
        <v>2</v>
      </c>
      <c r="AD4371">
        <f>Reference!F$4</f>
        <v>2026</v>
      </c>
      <c r="AE4371" t="str">
        <f>IF(OR(SalesData[[#This Row],[Day]]="Saturday",SalesData[[#This Row],[Day]]="Sunday"),"Weekend","Weekday")</f>
        <v>Weekday</v>
      </c>
      <c r="AF4371" s="5">
        <f>IF(SalesData[[#This Row],[Contracts Offered]]=0,0,SalesData[[#This Row],[Contracts Signed]]/SalesData[[#This Row],[Contracts Offered]])</f>
        <v>0.34693877551020408</v>
      </c>
      <c r="AG4371" s="5">
        <f>IF(SalesData[[#This Row],[Customers Visited]]=0,0,SalesData[[#This Row],[Test Drives]]/SalesData[[#This Row],[Customers Visited]])</f>
        <v>0.59090909090909094</v>
      </c>
      <c r="AH4371" s="5">
        <f>IF(SalesData[[#This Row],[Customers Visited]]=0,0,SalesData[[#This Row],[Contracts Signed]]/SalesData[[#This Row],[Customers Visited]])</f>
        <v>0.14049586776859505</v>
      </c>
      <c r="AI4371" s="6">
        <f>IF(SalesData[[#This Row],[Contracts Signed]]=0,0,SalesData[[#This Row],[Profit(€)]]/SalesData[[#This Row],[Contracts Signed]])</f>
        <v>9780</v>
      </c>
      <c r="AJ4371" s="5" t="str">
        <f>TRIM(CLEAN(SalesData[[#This Row],[Retailer]]))</f>
        <v>Bavaria Motors</v>
      </c>
    </row>
    <row r="4372" spans="1:36" ht="14.25" x14ac:dyDescent="0.2">
      <c r="A4372" t="s">
        <v>5633</v>
      </c>
      <c r="B4372" s="1">
        <v>46060</v>
      </c>
      <c r="C4372" t="s">
        <v>24</v>
      </c>
      <c r="D4372" t="s">
        <v>151</v>
      </c>
      <c r="E4372" t="s">
        <v>42</v>
      </c>
      <c r="F4372" t="s">
        <v>127</v>
      </c>
      <c r="G4372" t="s">
        <v>128</v>
      </c>
      <c r="H4372" t="s">
        <v>103</v>
      </c>
      <c r="I4372" t="s">
        <v>30</v>
      </c>
      <c r="J4372" t="s">
        <v>188</v>
      </c>
      <c r="K4372" t="s">
        <v>32</v>
      </c>
      <c r="L4372" t="s">
        <v>33</v>
      </c>
      <c r="M4372" t="s">
        <v>34</v>
      </c>
      <c r="N4372" t="s">
        <v>69</v>
      </c>
      <c r="O4372" t="s">
        <v>36</v>
      </c>
      <c r="P4372" t="s">
        <v>58</v>
      </c>
      <c r="Q4372" t="s">
        <v>347</v>
      </c>
      <c r="R4372">
        <v>140</v>
      </c>
      <c r="S4372">
        <v>70</v>
      </c>
      <c r="T4372">
        <v>52</v>
      </c>
      <c r="U4372">
        <v>20</v>
      </c>
      <c r="V4372" t="s">
        <v>6357</v>
      </c>
      <c r="W4372">
        <v>60615</v>
      </c>
      <c r="X4372" t="s">
        <v>7038</v>
      </c>
      <c r="Y4372">
        <v>44831</v>
      </c>
      <c r="Z4372">
        <v>1212300</v>
      </c>
      <c r="AA4372">
        <v>315680</v>
      </c>
      <c r="AB4372" t="str">
        <f>(VLOOKUP(SalesData[[#This Row],[Month Number]],Reference!C$5:E$16,2,FALSE))</f>
        <v>Feb</v>
      </c>
      <c r="AC4372">
        <f>MONTH(SalesData[[#This Row],[Date]])</f>
        <v>2</v>
      </c>
      <c r="AD4372">
        <f>Reference!F$4</f>
        <v>2026</v>
      </c>
      <c r="AE4372" t="str">
        <f>IF(OR(SalesData[[#This Row],[Day]]="Saturday",SalesData[[#This Row],[Day]]="Sunday"),"Weekend","Weekday")</f>
        <v>Weekend</v>
      </c>
      <c r="AF4372" s="5">
        <f>IF(SalesData[[#This Row],[Contracts Offered]]=0,0,SalesData[[#This Row],[Contracts Signed]]/SalesData[[#This Row],[Contracts Offered]])</f>
        <v>0.38461538461538464</v>
      </c>
      <c r="AG4372" s="5">
        <f>IF(SalesData[[#This Row],[Customers Visited]]=0,0,SalesData[[#This Row],[Test Drives]]/SalesData[[#This Row],[Customers Visited]])</f>
        <v>0.5</v>
      </c>
      <c r="AH4372" s="5">
        <f>IF(SalesData[[#This Row],[Customers Visited]]=0,0,SalesData[[#This Row],[Contracts Signed]]/SalesData[[#This Row],[Customers Visited]])</f>
        <v>0.14285714285714285</v>
      </c>
      <c r="AI4372" s="6">
        <f>IF(SalesData[[#This Row],[Contracts Signed]]=0,0,SalesData[[#This Row],[Profit(€)]]/SalesData[[#This Row],[Contracts Signed]])</f>
        <v>15784</v>
      </c>
      <c r="AJ4372" s="5" t="str">
        <f>TRIM(CLEAN(SalesData[[#This Row],[Retailer]]))</f>
        <v>Rhein Auto Group</v>
      </c>
    </row>
    <row r="4373" spans="1:36" ht="14.25" hidden="1" x14ac:dyDescent="0.2">
      <c r="A4373" t="s">
        <v>5634</v>
      </c>
      <c r="B4373" s="1">
        <v>46074</v>
      </c>
      <c r="C4373" t="s">
        <v>62</v>
      </c>
      <c r="D4373" t="s">
        <v>151</v>
      </c>
      <c r="E4373" t="s">
        <v>42</v>
      </c>
      <c r="F4373" t="s">
        <v>94</v>
      </c>
      <c r="G4373" t="s">
        <v>95</v>
      </c>
      <c r="H4373" t="s">
        <v>96</v>
      </c>
      <c r="I4373" t="s">
        <v>64</v>
      </c>
      <c r="J4373" t="s">
        <v>77</v>
      </c>
      <c r="K4373" t="s">
        <v>66</v>
      </c>
      <c r="L4373" t="s">
        <v>46</v>
      </c>
      <c r="M4373" t="s">
        <v>87</v>
      </c>
      <c r="N4373" t="s">
        <v>35</v>
      </c>
      <c r="O4373" t="s">
        <v>36</v>
      </c>
      <c r="P4373" t="s">
        <v>37</v>
      </c>
      <c r="Q4373" t="s">
        <v>169</v>
      </c>
      <c r="R4373">
        <v>233</v>
      </c>
      <c r="S4373">
        <v>111</v>
      </c>
      <c r="T4373">
        <v>85</v>
      </c>
      <c r="U4373">
        <v>30</v>
      </c>
      <c r="V4373" t="s">
        <v>6509</v>
      </c>
      <c r="W4373">
        <v>56179</v>
      </c>
      <c r="X4373" t="s">
        <v>7165</v>
      </c>
      <c r="Y4373">
        <v>41302</v>
      </c>
      <c r="Z4373">
        <v>1685370</v>
      </c>
      <c r="AA4373">
        <v>446310</v>
      </c>
      <c r="AB4373" t="str">
        <f>(VLOOKUP(SalesData[[#This Row],[Month Number]],Reference!C$5:E$16,2,FALSE))</f>
        <v>Feb</v>
      </c>
      <c r="AC4373">
        <f>MONTH(SalesData[[#This Row],[Date]])</f>
        <v>2</v>
      </c>
      <c r="AD4373">
        <f>Reference!F$4</f>
        <v>2026</v>
      </c>
      <c r="AE4373" t="str">
        <f>IF(OR(SalesData[[#This Row],[Day]]="Saturday",SalesData[[#This Row],[Day]]="Sunday"),"Weekend","Weekday")</f>
        <v>Weekend</v>
      </c>
      <c r="AF4373" s="5">
        <f>IF(SalesData[[#This Row],[Contracts Offered]]=0,0,SalesData[[#This Row],[Contracts Signed]]/SalesData[[#This Row],[Contracts Offered]])</f>
        <v>0.35294117647058826</v>
      </c>
      <c r="AG4373" s="5">
        <f>IF(SalesData[[#This Row],[Customers Visited]]=0,0,SalesData[[#This Row],[Test Drives]]/SalesData[[#This Row],[Customers Visited]])</f>
        <v>0.47639484978540775</v>
      </c>
      <c r="AH4373" s="5">
        <f>IF(SalesData[[#This Row],[Customers Visited]]=0,0,SalesData[[#This Row],[Contracts Signed]]/SalesData[[#This Row],[Customers Visited]])</f>
        <v>0.12875536480686695</v>
      </c>
      <c r="AI4373" s="6">
        <f>IF(SalesData[[#This Row],[Contracts Signed]]=0,0,SalesData[[#This Row],[Profit(€)]]/SalesData[[#This Row],[Contracts Signed]])</f>
        <v>14877</v>
      </c>
      <c r="AJ4373" s="5" t="str">
        <f>TRIM(CLEAN(SalesData[[#This Row],[Retailer]]))</f>
        <v>Bavaria Motors</v>
      </c>
    </row>
    <row r="4374" spans="1:36" ht="14.25" hidden="1" x14ac:dyDescent="0.2">
      <c r="A4374" t="s">
        <v>5635</v>
      </c>
      <c r="B4374" s="1">
        <v>46075</v>
      </c>
      <c r="C4374" t="s">
        <v>53</v>
      </c>
      <c r="D4374" t="s">
        <v>41</v>
      </c>
      <c r="E4374" t="s">
        <v>42</v>
      </c>
      <c r="F4374" t="s">
        <v>114</v>
      </c>
      <c r="G4374" t="s">
        <v>115</v>
      </c>
      <c r="H4374" t="s">
        <v>115</v>
      </c>
      <c r="I4374" t="s">
        <v>116</v>
      </c>
      <c r="J4374" t="s">
        <v>203</v>
      </c>
      <c r="K4374" t="s">
        <v>32</v>
      </c>
      <c r="L4374" t="s">
        <v>67</v>
      </c>
      <c r="M4374" t="s">
        <v>34</v>
      </c>
      <c r="N4374" t="s">
        <v>69</v>
      </c>
      <c r="O4374" t="s">
        <v>70</v>
      </c>
      <c r="P4374" t="s">
        <v>58</v>
      </c>
      <c r="Q4374" t="s">
        <v>347</v>
      </c>
      <c r="R4374">
        <v>357</v>
      </c>
      <c r="S4374">
        <v>156</v>
      </c>
      <c r="T4374">
        <v>89</v>
      </c>
      <c r="U4374">
        <v>27</v>
      </c>
      <c r="V4374" t="s">
        <v>430</v>
      </c>
      <c r="W4374">
        <v>20640</v>
      </c>
      <c r="X4374" t="s">
        <v>7601</v>
      </c>
      <c r="Y4374">
        <v>18722</v>
      </c>
      <c r="Z4374">
        <v>557280</v>
      </c>
      <c r="AA4374">
        <v>51786</v>
      </c>
      <c r="AB4374" t="str">
        <f>(VLOOKUP(SalesData[[#This Row],[Month Number]],Reference!C$5:E$16,2,FALSE))</f>
        <v>Feb</v>
      </c>
      <c r="AC4374">
        <f>MONTH(SalesData[[#This Row],[Date]])</f>
        <v>2</v>
      </c>
      <c r="AD4374">
        <f>Reference!F$4</f>
        <v>2026</v>
      </c>
      <c r="AE4374" t="str">
        <f>IF(OR(SalesData[[#This Row],[Day]]="Saturday",SalesData[[#This Row],[Day]]="Sunday"),"Weekend","Weekday")</f>
        <v>Weekend</v>
      </c>
      <c r="AF4374" s="5">
        <f>IF(SalesData[[#This Row],[Contracts Offered]]=0,0,SalesData[[#This Row],[Contracts Signed]]/SalesData[[#This Row],[Contracts Offered]])</f>
        <v>0.30337078651685395</v>
      </c>
      <c r="AG4374" s="5">
        <f>IF(SalesData[[#This Row],[Customers Visited]]=0,0,SalesData[[#This Row],[Test Drives]]/SalesData[[#This Row],[Customers Visited]])</f>
        <v>0.43697478991596639</v>
      </c>
      <c r="AH4374" s="5">
        <f>IF(SalesData[[#This Row],[Customers Visited]]=0,0,SalesData[[#This Row],[Contracts Signed]]/SalesData[[#This Row],[Customers Visited]])</f>
        <v>7.5630252100840331E-2</v>
      </c>
      <c r="AI4374" s="6">
        <f>IF(SalesData[[#This Row],[Contracts Signed]]=0,0,SalesData[[#This Row],[Profit(€)]]/SalesData[[#This Row],[Contracts Signed]])</f>
        <v>1918</v>
      </c>
      <c r="AJ4374" s="5" t="str">
        <f>TRIM(CLEAN(SalesData[[#This Row],[Retailer]]))</f>
        <v>Elbe Drive</v>
      </c>
    </row>
    <row r="4375" spans="1:36" ht="14.25" x14ac:dyDescent="0.2">
      <c r="A4375" t="s">
        <v>5636</v>
      </c>
      <c r="B4375" s="1">
        <v>46076</v>
      </c>
      <c r="C4375" t="s">
        <v>53</v>
      </c>
      <c r="D4375" t="s">
        <v>25</v>
      </c>
      <c r="E4375" t="s">
        <v>26</v>
      </c>
      <c r="F4375" t="s">
        <v>94</v>
      </c>
      <c r="G4375" t="s">
        <v>95</v>
      </c>
      <c r="H4375" t="s">
        <v>96</v>
      </c>
      <c r="I4375" t="s">
        <v>30</v>
      </c>
      <c r="J4375" t="s">
        <v>86</v>
      </c>
      <c r="K4375" t="s">
        <v>66</v>
      </c>
      <c r="L4375" t="s">
        <v>33</v>
      </c>
      <c r="M4375" t="s">
        <v>34</v>
      </c>
      <c r="N4375" t="s">
        <v>69</v>
      </c>
      <c r="O4375" t="s">
        <v>70</v>
      </c>
      <c r="P4375" t="s">
        <v>37</v>
      </c>
      <c r="Q4375" t="s">
        <v>144</v>
      </c>
      <c r="R4375">
        <v>263</v>
      </c>
      <c r="S4375">
        <v>139</v>
      </c>
      <c r="T4375">
        <v>94</v>
      </c>
      <c r="U4375">
        <v>42</v>
      </c>
      <c r="V4375" t="s">
        <v>7631</v>
      </c>
      <c r="W4375">
        <v>63925</v>
      </c>
      <c r="X4375" t="s">
        <v>7410</v>
      </c>
      <c r="Y4375">
        <v>45002</v>
      </c>
      <c r="Z4375">
        <v>2684850</v>
      </c>
      <c r="AA4375">
        <v>794766</v>
      </c>
      <c r="AB4375" t="str">
        <f>(VLOOKUP(SalesData[[#This Row],[Month Number]],Reference!C$5:E$16,2,FALSE))</f>
        <v>Feb</v>
      </c>
      <c r="AC4375">
        <f>MONTH(SalesData[[#This Row],[Date]])</f>
        <v>2</v>
      </c>
      <c r="AD4375">
        <f>Reference!F$4</f>
        <v>2026</v>
      </c>
      <c r="AE4375" t="str">
        <f>IF(OR(SalesData[[#This Row],[Day]]="Saturday",SalesData[[#This Row],[Day]]="Sunday"),"Weekend","Weekday")</f>
        <v>Weekday</v>
      </c>
      <c r="AF4375" s="5">
        <f>IF(SalesData[[#This Row],[Contracts Offered]]=0,0,SalesData[[#This Row],[Contracts Signed]]/SalesData[[#This Row],[Contracts Offered]])</f>
        <v>0.44680851063829785</v>
      </c>
      <c r="AG4375" s="5">
        <f>IF(SalesData[[#This Row],[Customers Visited]]=0,0,SalesData[[#This Row],[Test Drives]]/SalesData[[#This Row],[Customers Visited]])</f>
        <v>0.52851711026615966</v>
      </c>
      <c r="AH4375" s="5">
        <f>IF(SalesData[[#This Row],[Customers Visited]]=0,0,SalesData[[#This Row],[Contracts Signed]]/SalesData[[#This Row],[Customers Visited]])</f>
        <v>0.1596958174904943</v>
      </c>
      <c r="AI4375" s="6">
        <f>IF(SalesData[[#This Row],[Contracts Signed]]=0,0,SalesData[[#This Row],[Profit(€)]]/SalesData[[#This Row],[Contracts Signed]])</f>
        <v>18923</v>
      </c>
      <c r="AJ4375" s="5" t="str">
        <f>TRIM(CLEAN(SalesData[[#This Row],[Retailer]]))</f>
        <v>Bavaria Motors</v>
      </c>
    </row>
    <row r="4376" spans="1:36" ht="14.25" hidden="1" x14ac:dyDescent="0.2">
      <c r="A4376" t="s">
        <v>5637</v>
      </c>
      <c r="B4376" s="1">
        <v>46061</v>
      </c>
      <c r="C4376" t="s">
        <v>121</v>
      </c>
      <c r="D4376" t="s">
        <v>41</v>
      </c>
      <c r="E4376" t="s">
        <v>42</v>
      </c>
      <c r="F4376" t="s">
        <v>114</v>
      </c>
      <c r="G4376" t="s">
        <v>115</v>
      </c>
      <c r="H4376" t="s">
        <v>115</v>
      </c>
      <c r="I4376" t="s">
        <v>104</v>
      </c>
      <c r="J4376" t="s">
        <v>7061</v>
      </c>
      <c r="K4376" t="s">
        <v>32</v>
      </c>
      <c r="L4376" t="s">
        <v>46</v>
      </c>
      <c r="M4376" t="s">
        <v>47</v>
      </c>
      <c r="N4376" t="s">
        <v>35</v>
      </c>
      <c r="O4376" t="s">
        <v>36</v>
      </c>
      <c r="P4376" t="s">
        <v>71</v>
      </c>
      <c r="Q4376" t="s">
        <v>129</v>
      </c>
      <c r="R4376">
        <v>423</v>
      </c>
      <c r="S4376">
        <v>190</v>
      </c>
      <c r="T4376">
        <v>133</v>
      </c>
      <c r="U4376">
        <v>37</v>
      </c>
      <c r="V4376" t="s">
        <v>7464</v>
      </c>
      <c r="W4376">
        <v>32122</v>
      </c>
      <c r="X4376" t="s">
        <v>2587</v>
      </c>
      <c r="Y4376">
        <v>28749</v>
      </c>
      <c r="Z4376">
        <v>1188514</v>
      </c>
      <c r="AA4376">
        <v>124801</v>
      </c>
      <c r="AB4376" t="str">
        <f>(VLOOKUP(SalesData[[#This Row],[Month Number]],Reference!C$5:E$16,2,FALSE))</f>
        <v>Feb</v>
      </c>
      <c r="AC4376">
        <f>MONTH(SalesData[[#This Row],[Date]])</f>
        <v>2</v>
      </c>
      <c r="AD4376">
        <f>Reference!F$4</f>
        <v>2026</v>
      </c>
      <c r="AE4376" t="str">
        <f>IF(OR(SalesData[[#This Row],[Day]]="Saturday",SalesData[[#This Row],[Day]]="Sunday"),"Weekend","Weekday")</f>
        <v>Weekend</v>
      </c>
      <c r="AF4376" s="5">
        <f>IF(SalesData[[#This Row],[Contracts Offered]]=0,0,SalesData[[#This Row],[Contracts Signed]]/SalesData[[#This Row],[Contracts Offered]])</f>
        <v>0.2781954887218045</v>
      </c>
      <c r="AG4376" s="5">
        <f>IF(SalesData[[#This Row],[Customers Visited]]=0,0,SalesData[[#This Row],[Test Drives]]/SalesData[[#This Row],[Customers Visited]])</f>
        <v>0.44917257683215128</v>
      </c>
      <c r="AH4376" s="5">
        <f>IF(SalesData[[#This Row],[Customers Visited]]=0,0,SalesData[[#This Row],[Contracts Signed]]/SalesData[[#This Row],[Customers Visited]])</f>
        <v>8.7470449172576833E-2</v>
      </c>
      <c r="AI4376" s="6">
        <f>IF(SalesData[[#This Row],[Contracts Signed]]=0,0,SalesData[[#This Row],[Profit(€)]]/SalesData[[#This Row],[Contracts Signed]])</f>
        <v>3373</v>
      </c>
      <c r="AJ4376" s="5" t="str">
        <f>TRIM(CLEAN(SalesData[[#This Row],[Retailer]]))</f>
        <v>Elbe Drive</v>
      </c>
    </row>
    <row r="4377" spans="1:36" ht="14.25" hidden="1" x14ac:dyDescent="0.2">
      <c r="A4377" t="s">
        <v>5638</v>
      </c>
      <c r="B4377" s="1">
        <v>46069</v>
      </c>
      <c r="C4377" t="s">
        <v>62</v>
      </c>
      <c r="D4377" t="s">
        <v>25</v>
      </c>
      <c r="E4377" t="s">
        <v>26</v>
      </c>
      <c r="F4377" t="s">
        <v>74</v>
      </c>
      <c r="G4377" t="s">
        <v>75</v>
      </c>
      <c r="H4377" t="s">
        <v>76</v>
      </c>
      <c r="I4377" t="s">
        <v>64</v>
      </c>
      <c r="J4377" t="s">
        <v>65</v>
      </c>
      <c r="K4377" t="s">
        <v>32</v>
      </c>
      <c r="L4377" t="s">
        <v>33</v>
      </c>
      <c r="M4377" t="s">
        <v>68</v>
      </c>
      <c r="N4377" t="s">
        <v>69</v>
      </c>
      <c r="O4377" t="s">
        <v>70</v>
      </c>
      <c r="P4377" t="s">
        <v>49</v>
      </c>
      <c r="Q4377" t="s">
        <v>38</v>
      </c>
      <c r="R4377">
        <v>194</v>
      </c>
      <c r="S4377">
        <v>93</v>
      </c>
      <c r="T4377">
        <v>65</v>
      </c>
      <c r="U4377">
        <v>23</v>
      </c>
      <c r="V4377" t="s">
        <v>6453</v>
      </c>
      <c r="W4377">
        <v>70823</v>
      </c>
      <c r="X4377" t="s">
        <v>7453</v>
      </c>
      <c r="Y4377">
        <v>52450</v>
      </c>
      <c r="Z4377">
        <v>1628929</v>
      </c>
      <c r="AA4377">
        <v>422579</v>
      </c>
      <c r="AB4377" t="str">
        <f>(VLOOKUP(SalesData[[#This Row],[Month Number]],Reference!C$5:E$16,2,FALSE))</f>
        <v>Feb</v>
      </c>
      <c r="AC4377">
        <f>MONTH(SalesData[[#This Row],[Date]])</f>
        <v>2</v>
      </c>
      <c r="AD4377">
        <f>Reference!F$4</f>
        <v>2026</v>
      </c>
      <c r="AE4377" t="str">
        <f>IF(OR(SalesData[[#This Row],[Day]]="Saturday",SalesData[[#This Row],[Day]]="Sunday"),"Weekend","Weekday")</f>
        <v>Weekday</v>
      </c>
      <c r="AF4377" s="5">
        <f>IF(SalesData[[#This Row],[Contracts Offered]]=0,0,SalesData[[#This Row],[Contracts Signed]]/SalesData[[#This Row],[Contracts Offered]])</f>
        <v>0.35384615384615387</v>
      </c>
      <c r="AG4377" s="5">
        <f>IF(SalesData[[#This Row],[Customers Visited]]=0,0,SalesData[[#This Row],[Test Drives]]/SalesData[[#This Row],[Customers Visited]])</f>
        <v>0.47938144329896909</v>
      </c>
      <c r="AH4377" s="5">
        <f>IF(SalesData[[#This Row],[Customers Visited]]=0,0,SalesData[[#This Row],[Contracts Signed]]/SalesData[[#This Row],[Customers Visited]])</f>
        <v>0.11855670103092783</v>
      </c>
      <c r="AI4377" s="6">
        <f>IF(SalesData[[#This Row],[Contracts Signed]]=0,0,SalesData[[#This Row],[Profit(€)]]/SalesData[[#This Row],[Contracts Signed]])</f>
        <v>18373</v>
      </c>
      <c r="AJ4377" s="5" t="str">
        <f>TRIM(CLEAN(SalesData[[#This Row],[Retailer]]))</f>
        <v>Stuttgart Auto Center</v>
      </c>
    </row>
    <row r="4378" spans="1:36" ht="14.25" hidden="1" x14ac:dyDescent="0.2">
      <c r="A4378" t="s">
        <v>5639</v>
      </c>
      <c r="B4378" s="1">
        <v>46062</v>
      </c>
      <c r="C4378" t="s">
        <v>121</v>
      </c>
      <c r="D4378" t="s">
        <v>25</v>
      </c>
      <c r="E4378" t="s">
        <v>26</v>
      </c>
      <c r="F4378" t="s">
        <v>114</v>
      </c>
      <c r="G4378" t="s">
        <v>115</v>
      </c>
      <c r="H4378" t="s">
        <v>115</v>
      </c>
      <c r="I4378" t="s">
        <v>56</v>
      </c>
      <c r="J4378" t="s">
        <v>97</v>
      </c>
      <c r="K4378" t="s">
        <v>91</v>
      </c>
      <c r="L4378" t="s">
        <v>33</v>
      </c>
      <c r="M4378" t="s">
        <v>87</v>
      </c>
      <c r="N4378" t="s">
        <v>48</v>
      </c>
      <c r="O4378" t="s">
        <v>36</v>
      </c>
      <c r="P4378" t="s">
        <v>58</v>
      </c>
      <c r="Q4378" t="s">
        <v>88</v>
      </c>
      <c r="R4378">
        <v>221</v>
      </c>
      <c r="S4378">
        <v>121</v>
      </c>
      <c r="T4378">
        <v>84</v>
      </c>
      <c r="U4378">
        <v>34</v>
      </c>
      <c r="V4378" t="s">
        <v>6414</v>
      </c>
      <c r="W4378">
        <v>42236</v>
      </c>
      <c r="X4378" t="s">
        <v>2667</v>
      </c>
      <c r="Y4378">
        <v>33294</v>
      </c>
      <c r="Z4378">
        <v>1436024</v>
      </c>
      <c r="AA4378">
        <v>304028</v>
      </c>
      <c r="AB4378" t="str">
        <f>(VLOOKUP(SalesData[[#This Row],[Month Number]],Reference!C$5:E$16,2,FALSE))</f>
        <v>Feb</v>
      </c>
      <c r="AC4378">
        <f>MONTH(SalesData[[#This Row],[Date]])</f>
        <v>2</v>
      </c>
      <c r="AD4378">
        <f>Reference!F$4</f>
        <v>2026</v>
      </c>
      <c r="AE4378" t="str">
        <f>IF(OR(SalesData[[#This Row],[Day]]="Saturday",SalesData[[#This Row],[Day]]="Sunday"),"Weekend","Weekday")</f>
        <v>Weekday</v>
      </c>
      <c r="AF4378" s="5">
        <f>IF(SalesData[[#This Row],[Contracts Offered]]=0,0,SalesData[[#This Row],[Contracts Signed]]/SalesData[[#This Row],[Contracts Offered]])</f>
        <v>0.40476190476190477</v>
      </c>
      <c r="AG4378" s="5">
        <f>IF(SalesData[[#This Row],[Customers Visited]]=0,0,SalesData[[#This Row],[Test Drives]]/SalesData[[#This Row],[Customers Visited]])</f>
        <v>0.54751131221719462</v>
      </c>
      <c r="AH4378" s="5">
        <f>IF(SalesData[[#This Row],[Customers Visited]]=0,0,SalesData[[#This Row],[Contracts Signed]]/SalesData[[#This Row],[Customers Visited]])</f>
        <v>0.15384615384615385</v>
      </c>
      <c r="AI4378" s="6">
        <f>IF(SalesData[[#This Row],[Contracts Signed]]=0,0,SalesData[[#This Row],[Profit(€)]]/SalesData[[#This Row],[Contracts Signed]])</f>
        <v>8942</v>
      </c>
      <c r="AJ4378" s="5" t="str">
        <f>TRIM(CLEAN(SalesData[[#This Row],[Retailer]]))</f>
        <v>Elbe Drive</v>
      </c>
    </row>
    <row r="4379" spans="1:36" ht="14.25" hidden="1" x14ac:dyDescent="0.2">
      <c r="A4379" t="s">
        <v>5640</v>
      </c>
      <c r="B4379" s="1">
        <v>46054</v>
      </c>
      <c r="C4379" t="s">
        <v>24</v>
      </c>
      <c r="D4379" t="s">
        <v>41</v>
      </c>
      <c r="E4379" t="s">
        <v>42</v>
      </c>
      <c r="F4379" t="s">
        <v>109</v>
      </c>
      <c r="G4379" t="s">
        <v>110</v>
      </c>
      <c r="H4379" t="s">
        <v>45</v>
      </c>
      <c r="I4379" t="s">
        <v>64</v>
      </c>
      <c r="J4379" t="s">
        <v>65</v>
      </c>
      <c r="K4379" t="s">
        <v>78</v>
      </c>
      <c r="L4379" t="s">
        <v>33</v>
      </c>
      <c r="M4379" t="s">
        <v>47</v>
      </c>
      <c r="N4379" t="s">
        <v>35</v>
      </c>
      <c r="O4379" t="s">
        <v>70</v>
      </c>
      <c r="P4379" t="s">
        <v>49</v>
      </c>
      <c r="Q4379" t="s">
        <v>172</v>
      </c>
      <c r="R4379">
        <v>205</v>
      </c>
      <c r="S4379">
        <v>101</v>
      </c>
      <c r="T4379">
        <v>73</v>
      </c>
      <c r="U4379">
        <v>21</v>
      </c>
      <c r="V4379" t="s">
        <v>6399</v>
      </c>
      <c r="W4379">
        <v>62790</v>
      </c>
      <c r="X4379" t="s">
        <v>2192</v>
      </c>
      <c r="Y4379">
        <v>47129</v>
      </c>
      <c r="Z4379">
        <v>1318590</v>
      </c>
      <c r="AA4379">
        <v>328881</v>
      </c>
      <c r="AB4379" t="str">
        <f>(VLOOKUP(SalesData[[#This Row],[Month Number]],Reference!C$5:E$16,2,FALSE))</f>
        <v>Feb</v>
      </c>
      <c r="AC4379">
        <f>MONTH(SalesData[[#This Row],[Date]])</f>
        <v>2</v>
      </c>
      <c r="AD4379">
        <f>Reference!F$4</f>
        <v>2026</v>
      </c>
      <c r="AE4379" t="str">
        <f>IF(OR(SalesData[[#This Row],[Day]]="Saturday",SalesData[[#This Row],[Day]]="Sunday"),"Weekend","Weekday")</f>
        <v>Weekend</v>
      </c>
      <c r="AF4379" s="5">
        <f>IF(SalesData[[#This Row],[Contracts Offered]]=0,0,SalesData[[#This Row],[Contracts Signed]]/SalesData[[#This Row],[Contracts Offered]])</f>
        <v>0.28767123287671231</v>
      </c>
      <c r="AG4379" s="5">
        <f>IF(SalesData[[#This Row],[Customers Visited]]=0,0,SalesData[[#This Row],[Test Drives]]/SalesData[[#This Row],[Customers Visited]])</f>
        <v>0.49268292682926829</v>
      </c>
      <c r="AH4379" s="5">
        <f>IF(SalesData[[#This Row],[Customers Visited]]=0,0,SalesData[[#This Row],[Contracts Signed]]/SalesData[[#This Row],[Customers Visited]])</f>
        <v>0.1024390243902439</v>
      </c>
      <c r="AI4379" s="6">
        <f>IF(SalesData[[#This Row],[Contracts Signed]]=0,0,SalesData[[#This Row],[Profit(€)]]/SalesData[[#This Row],[Contracts Signed]])</f>
        <v>15661</v>
      </c>
      <c r="AJ4379" s="5" t="str">
        <f>TRIM(CLEAN(SalesData[[#This Row],[Retailer]]))</f>
        <v>Leipzig Mobility</v>
      </c>
    </row>
    <row r="4380" spans="1:36" ht="14.25" hidden="1" x14ac:dyDescent="0.2">
      <c r="A4380" t="s">
        <v>5641</v>
      </c>
      <c r="B4380" s="1">
        <v>46064</v>
      </c>
      <c r="C4380" t="s">
        <v>121</v>
      </c>
      <c r="D4380" t="s">
        <v>82</v>
      </c>
      <c r="E4380" t="s">
        <v>26</v>
      </c>
      <c r="F4380" t="s">
        <v>114</v>
      </c>
      <c r="G4380" t="s">
        <v>115</v>
      </c>
      <c r="H4380" t="s">
        <v>115</v>
      </c>
      <c r="I4380" t="s">
        <v>56</v>
      </c>
      <c r="J4380" t="s">
        <v>179</v>
      </c>
      <c r="K4380" t="s">
        <v>66</v>
      </c>
      <c r="L4380" t="s">
        <v>67</v>
      </c>
      <c r="M4380" t="s">
        <v>87</v>
      </c>
      <c r="N4380" t="s">
        <v>35</v>
      </c>
      <c r="O4380" t="s">
        <v>70</v>
      </c>
      <c r="P4380" t="s">
        <v>49</v>
      </c>
      <c r="Q4380" t="s">
        <v>152</v>
      </c>
      <c r="R4380">
        <v>174</v>
      </c>
      <c r="S4380">
        <v>106</v>
      </c>
      <c r="T4380">
        <v>68</v>
      </c>
      <c r="U4380">
        <v>21</v>
      </c>
      <c r="V4380" t="s">
        <v>7046</v>
      </c>
      <c r="W4380">
        <v>43622</v>
      </c>
      <c r="X4380" t="s">
        <v>7508</v>
      </c>
      <c r="Y4380">
        <v>35225</v>
      </c>
      <c r="Z4380">
        <v>916062</v>
      </c>
      <c r="AA4380">
        <v>176337</v>
      </c>
      <c r="AB4380" t="str">
        <f>(VLOOKUP(SalesData[[#This Row],[Month Number]],Reference!C$5:E$16,2,FALSE))</f>
        <v>Feb</v>
      </c>
      <c r="AC4380">
        <f>MONTH(SalesData[[#This Row],[Date]])</f>
        <v>2</v>
      </c>
      <c r="AD4380">
        <f>Reference!F$4</f>
        <v>2026</v>
      </c>
      <c r="AE4380" t="str">
        <f>IF(OR(SalesData[[#This Row],[Day]]="Saturday",SalesData[[#This Row],[Day]]="Sunday"),"Weekend","Weekday")</f>
        <v>Weekday</v>
      </c>
      <c r="AF4380" s="5">
        <f>IF(SalesData[[#This Row],[Contracts Offered]]=0,0,SalesData[[#This Row],[Contracts Signed]]/SalesData[[#This Row],[Contracts Offered]])</f>
        <v>0.30882352941176472</v>
      </c>
      <c r="AG4380" s="5">
        <f>IF(SalesData[[#This Row],[Customers Visited]]=0,0,SalesData[[#This Row],[Test Drives]]/SalesData[[#This Row],[Customers Visited]])</f>
        <v>0.60919540229885061</v>
      </c>
      <c r="AH4380" s="5">
        <f>IF(SalesData[[#This Row],[Customers Visited]]=0,0,SalesData[[#This Row],[Contracts Signed]]/SalesData[[#This Row],[Customers Visited]])</f>
        <v>0.1206896551724138</v>
      </c>
      <c r="AI4380" s="6">
        <f>IF(SalesData[[#This Row],[Contracts Signed]]=0,0,SalesData[[#This Row],[Profit(€)]]/SalesData[[#This Row],[Contracts Signed]])</f>
        <v>8397</v>
      </c>
      <c r="AJ4380" s="5" t="str">
        <f>TRIM(CLEAN(SalesData[[#This Row],[Retailer]]))</f>
        <v>Elbe Drive</v>
      </c>
    </row>
    <row r="4381" spans="1:36" ht="14.25" hidden="1" x14ac:dyDescent="0.2">
      <c r="A4381" t="s">
        <v>5642</v>
      </c>
      <c r="B4381" s="1">
        <v>46073</v>
      </c>
      <c r="C4381" t="s">
        <v>62</v>
      </c>
      <c r="D4381" t="s">
        <v>54</v>
      </c>
      <c r="E4381" t="s">
        <v>26</v>
      </c>
      <c r="F4381" t="s">
        <v>94</v>
      </c>
      <c r="G4381" t="s">
        <v>95</v>
      </c>
      <c r="H4381" t="s">
        <v>96</v>
      </c>
      <c r="I4381" t="s">
        <v>64</v>
      </c>
      <c r="J4381" t="s">
        <v>111</v>
      </c>
      <c r="K4381" t="s">
        <v>78</v>
      </c>
      <c r="L4381" t="s">
        <v>46</v>
      </c>
      <c r="M4381" t="s">
        <v>34</v>
      </c>
      <c r="N4381" t="s">
        <v>35</v>
      </c>
      <c r="O4381" t="s">
        <v>36</v>
      </c>
      <c r="P4381" t="s">
        <v>37</v>
      </c>
      <c r="Q4381" t="s">
        <v>167</v>
      </c>
      <c r="R4381">
        <v>147</v>
      </c>
      <c r="S4381">
        <v>67</v>
      </c>
      <c r="T4381">
        <v>50</v>
      </c>
      <c r="U4381">
        <v>19</v>
      </c>
      <c r="V4381" t="s">
        <v>6436</v>
      </c>
      <c r="W4381">
        <v>65754</v>
      </c>
      <c r="X4381" t="s">
        <v>7328</v>
      </c>
      <c r="Y4381">
        <v>48573</v>
      </c>
      <c r="Z4381">
        <v>1249326</v>
      </c>
      <c r="AA4381">
        <v>326439</v>
      </c>
      <c r="AB4381" t="str">
        <f>(VLOOKUP(SalesData[[#This Row],[Month Number]],Reference!C$5:E$16,2,FALSE))</f>
        <v>Feb</v>
      </c>
      <c r="AC4381">
        <f>MONTH(SalesData[[#This Row],[Date]])</f>
        <v>2</v>
      </c>
      <c r="AD4381">
        <f>Reference!F$4</f>
        <v>2026</v>
      </c>
      <c r="AE4381" t="str">
        <f>IF(OR(SalesData[[#This Row],[Day]]="Saturday",SalesData[[#This Row],[Day]]="Sunday"),"Weekend","Weekday")</f>
        <v>Weekday</v>
      </c>
      <c r="AF4381" s="5">
        <f>IF(SalesData[[#This Row],[Contracts Offered]]=0,0,SalesData[[#This Row],[Contracts Signed]]/SalesData[[#This Row],[Contracts Offered]])</f>
        <v>0.38</v>
      </c>
      <c r="AG4381" s="5">
        <f>IF(SalesData[[#This Row],[Customers Visited]]=0,0,SalesData[[#This Row],[Test Drives]]/SalesData[[#This Row],[Customers Visited]])</f>
        <v>0.45578231292517007</v>
      </c>
      <c r="AH4381" s="5">
        <f>IF(SalesData[[#This Row],[Customers Visited]]=0,0,SalesData[[#This Row],[Contracts Signed]]/SalesData[[#This Row],[Customers Visited]])</f>
        <v>0.12925170068027211</v>
      </c>
      <c r="AI4381" s="6">
        <f>IF(SalesData[[#This Row],[Contracts Signed]]=0,0,SalesData[[#This Row],[Profit(€)]]/SalesData[[#This Row],[Contracts Signed]])</f>
        <v>17181</v>
      </c>
      <c r="AJ4381" s="5" t="str">
        <f>TRIM(CLEAN(SalesData[[#This Row],[Retailer]]))</f>
        <v>Bavaria Motors</v>
      </c>
    </row>
    <row r="4382" spans="1:36" ht="14.25" hidden="1" x14ac:dyDescent="0.2">
      <c r="A4382" t="s">
        <v>5643</v>
      </c>
      <c r="B4382" s="1">
        <v>46064</v>
      </c>
      <c r="C4382" t="s">
        <v>121</v>
      </c>
      <c r="D4382" t="s">
        <v>82</v>
      </c>
      <c r="E4382" t="s">
        <v>26</v>
      </c>
      <c r="F4382" t="s">
        <v>101</v>
      </c>
      <c r="G4382" t="s">
        <v>102</v>
      </c>
      <c r="H4382" t="s">
        <v>103</v>
      </c>
      <c r="I4382" t="s">
        <v>56</v>
      </c>
      <c r="J4382" t="s">
        <v>97</v>
      </c>
      <c r="K4382" t="s">
        <v>66</v>
      </c>
      <c r="L4382" t="s">
        <v>33</v>
      </c>
      <c r="M4382" t="s">
        <v>87</v>
      </c>
      <c r="N4382" t="s">
        <v>48</v>
      </c>
      <c r="O4382" t="s">
        <v>36</v>
      </c>
      <c r="P4382" t="s">
        <v>49</v>
      </c>
      <c r="Q4382" t="s">
        <v>135</v>
      </c>
      <c r="R4382">
        <v>162</v>
      </c>
      <c r="S4382">
        <v>103</v>
      </c>
      <c r="T4382">
        <v>75</v>
      </c>
      <c r="U4382">
        <v>23</v>
      </c>
      <c r="V4382" t="s">
        <v>6642</v>
      </c>
      <c r="W4382">
        <v>47968</v>
      </c>
      <c r="X4382" t="s">
        <v>7033</v>
      </c>
      <c r="Y4382">
        <v>37679</v>
      </c>
      <c r="Z4382">
        <v>1103264</v>
      </c>
      <c r="AA4382">
        <v>236647</v>
      </c>
      <c r="AB4382" t="str">
        <f>(VLOOKUP(SalesData[[#This Row],[Month Number]],Reference!C$5:E$16,2,FALSE))</f>
        <v>Feb</v>
      </c>
      <c r="AC4382">
        <f>MONTH(SalesData[[#This Row],[Date]])</f>
        <v>2</v>
      </c>
      <c r="AD4382">
        <f>Reference!F$4</f>
        <v>2026</v>
      </c>
      <c r="AE4382" t="str">
        <f>IF(OR(SalesData[[#This Row],[Day]]="Saturday",SalesData[[#This Row],[Day]]="Sunday"),"Weekend","Weekday")</f>
        <v>Weekday</v>
      </c>
      <c r="AF4382" s="5">
        <f>IF(SalesData[[#This Row],[Contracts Offered]]=0,0,SalesData[[#This Row],[Contracts Signed]]/SalesData[[#This Row],[Contracts Offered]])</f>
        <v>0.30666666666666664</v>
      </c>
      <c r="AG4382" s="5">
        <f>IF(SalesData[[#This Row],[Customers Visited]]=0,0,SalesData[[#This Row],[Test Drives]]/SalesData[[#This Row],[Customers Visited]])</f>
        <v>0.63580246913580252</v>
      </c>
      <c r="AH4382" s="5">
        <f>IF(SalesData[[#This Row],[Customers Visited]]=0,0,SalesData[[#This Row],[Contracts Signed]]/SalesData[[#This Row],[Customers Visited]])</f>
        <v>0.1419753086419753</v>
      </c>
      <c r="AI4382" s="6">
        <f>IF(SalesData[[#This Row],[Contracts Signed]]=0,0,SalesData[[#This Row],[Profit(€)]]/SalesData[[#This Row],[Contracts Signed]])</f>
        <v>10289</v>
      </c>
      <c r="AJ4382" s="5" t="str">
        <f>TRIM(CLEAN(SalesData[[#This Row],[Retailer]]))</f>
        <v>Ruhr Auto Plaza</v>
      </c>
    </row>
    <row r="4383" spans="1:36" ht="14.25" x14ac:dyDescent="0.2">
      <c r="A4383" t="s">
        <v>5644</v>
      </c>
      <c r="B4383" s="1">
        <v>46081</v>
      </c>
      <c r="C4383" t="s">
        <v>53</v>
      </c>
      <c r="D4383" t="s">
        <v>151</v>
      </c>
      <c r="E4383" t="s">
        <v>42</v>
      </c>
      <c r="F4383" t="s">
        <v>114</v>
      </c>
      <c r="G4383" t="s">
        <v>115</v>
      </c>
      <c r="H4383" t="s">
        <v>115</v>
      </c>
      <c r="I4383" t="s">
        <v>30</v>
      </c>
      <c r="J4383" t="s">
        <v>188</v>
      </c>
      <c r="K4383" t="s">
        <v>32</v>
      </c>
      <c r="L4383" t="s">
        <v>33</v>
      </c>
      <c r="M4383" t="s">
        <v>34</v>
      </c>
      <c r="N4383" t="s">
        <v>35</v>
      </c>
      <c r="O4383" t="s">
        <v>70</v>
      </c>
      <c r="P4383" t="s">
        <v>71</v>
      </c>
      <c r="Q4383" t="s">
        <v>50</v>
      </c>
      <c r="R4383">
        <v>192</v>
      </c>
      <c r="S4383">
        <v>91</v>
      </c>
      <c r="T4383">
        <v>67</v>
      </c>
      <c r="U4383">
        <v>26</v>
      </c>
      <c r="V4383" t="s">
        <v>6357</v>
      </c>
      <c r="W4383">
        <v>66114</v>
      </c>
      <c r="X4383" t="s">
        <v>7592</v>
      </c>
      <c r="Y4383">
        <v>48109</v>
      </c>
      <c r="Z4383">
        <v>1718964</v>
      </c>
      <c r="AA4383">
        <v>468130</v>
      </c>
      <c r="AB4383" t="str">
        <f>(VLOOKUP(SalesData[[#This Row],[Month Number]],Reference!C$5:E$16,2,FALSE))</f>
        <v>Feb</v>
      </c>
      <c r="AC4383">
        <f>MONTH(SalesData[[#This Row],[Date]])</f>
        <v>2</v>
      </c>
      <c r="AD4383">
        <f>Reference!F$4</f>
        <v>2026</v>
      </c>
      <c r="AE4383" t="str">
        <f>IF(OR(SalesData[[#This Row],[Day]]="Saturday",SalesData[[#This Row],[Day]]="Sunday"),"Weekend","Weekday")</f>
        <v>Weekend</v>
      </c>
      <c r="AF4383" s="5">
        <f>IF(SalesData[[#This Row],[Contracts Offered]]=0,0,SalesData[[#This Row],[Contracts Signed]]/SalesData[[#This Row],[Contracts Offered]])</f>
        <v>0.38805970149253732</v>
      </c>
      <c r="AG4383" s="5">
        <f>IF(SalesData[[#This Row],[Customers Visited]]=0,0,SalesData[[#This Row],[Test Drives]]/SalesData[[#This Row],[Customers Visited]])</f>
        <v>0.47395833333333331</v>
      </c>
      <c r="AH4383" s="5">
        <f>IF(SalesData[[#This Row],[Customers Visited]]=0,0,SalesData[[#This Row],[Contracts Signed]]/SalesData[[#This Row],[Customers Visited]])</f>
        <v>0.13541666666666666</v>
      </c>
      <c r="AI4383" s="6">
        <f>IF(SalesData[[#This Row],[Contracts Signed]]=0,0,SalesData[[#This Row],[Profit(€)]]/SalesData[[#This Row],[Contracts Signed]])</f>
        <v>18005</v>
      </c>
      <c r="AJ4383" s="5" t="str">
        <f>TRIM(CLEAN(SalesData[[#This Row],[Retailer]]))</f>
        <v>Elbe Drive</v>
      </c>
    </row>
    <row r="4384" spans="1:36" ht="14.25" hidden="1" x14ac:dyDescent="0.2">
      <c r="A4384" t="s">
        <v>5645</v>
      </c>
      <c r="B4384" s="1">
        <v>46055</v>
      </c>
      <c r="C4384" t="s">
        <v>24</v>
      </c>
      <c r="D4384" t="s">
        <v>25</v>
      </c>
      <c r="E4384" t="s">
        <v>26</v>
      </c>
      <c r="F4384" t="s">
        <v>83</v>
      </c>
      <c r="G4384" t="s">
        <v>84</v>
      </c>
      <c r="H4384" t="s">
        <v>85</v>
      </c>
      <c r="I4384" t="s">
        <v>64</v>
      </c>
      <c r="J4384" t="s">
        <v>77</v>
      </c>
      <c r="K4384" t="s">
        <v>78</v>
      </c>
      <c r="L4384" t="s">
        <v>46</v>
      </c>
      <c r="M4384" t="s">
        <v>68</v>
      </c>
      <c r="N4384" t="s">
        <v>48</v>
      </c>
      <c r="O4384" t="s">
        <v>70</v>
      </c>
      <c r="P4384" t="s">
        <v>49</v>
      </c>
      <c r="Q4384" t="s">
        <v>347</v>
      </c>
      <c r="R4384">
        <v>202</v>
      </c>
      <c r="S4384">
        <v>92</v>
      </c>
      <c r="T4384">
        <v>67</v>
      </c>
      <c r="U4384">
        <v>19</v>
      </c>
      <c r="V4384" t="s">
        <v>6937</v>
      </c>
      <c r="W4384">
        <v>57773</v>
      </c>
      <c r="X4384" t="s">
        <v>7113</v>
      </c>
      <c r="Y4384">
        <v>44275</v>
      </c>
      <c r="Z4384">
        <v>1097687</v>
      </c>
      <c r="AA4384">
        <v>256462</v>
      </c>
      <c r="AB4384" t="str">
        <f>(VLOOKUP(SalesData[[#This Row],[Month Number]],Reference!C$5:E$16,2,FALSE))</f>
        <v>Feb</v>
      </c>
      <c r="AC4384">
        <f>MONTH(SalesData[[#This Row],[Date]])</f>
        <v>2</v>
      </c>
      <c r="AD4384">
        <f>Reference!F$4</f>
        <v>2026</v>
      </c>
      <c r="AE4384" t="str">
        <f>IF(OR(SalesData[[#This Row],[Day]]="Saturday",SalesData[[#This Row],[Day]]="Sunday"),"Weekend","Weekday")</f>
        <v>Weekday</v>
      </c>
      <c r="AF4384" s="5">
        <f>IF(SalesData[[#This Row],[Contracts Offered]]=0,0,SalesData[[#This Row],[Contracts Signed]]/SalesData[[#This Row],[Contracts Offered]])</f>
        <v>0.28358208955223879</v>
      </c>
      <c r="AG4384" s="5">
        <f>IF(SalesData[[#This Row],[Customers Visited]]=0,0,SalesData[[#This Row],[Test Drives]]/SalesData[[#This Row],[Customers Visited]])</f>
        <v>0.45544554455445546</v>
      </c>
      <c r="AH4384" s="5">
        <f>IF(SalesData[[#This Row],[Customers Visited]]=0,0,SalesData[[#This Row],[Contracts Signed]]/SalesData[[#This Row],[Customers Visited]])</f>
        <v>9.405940594059406E-2</v>
      </c>
      <c r="AI4384" s="6">
        <f>IF(SalesData[[#This Row],[Contracts Signed]]=0,0,SalesData[[#This Row],[Profit(€)]]/SalesData[[#This Row],[Contracts Signed]])</f>
        <v>13498</v>
      </c>
      <c r="AJ4384" s="5" t="str">
        <f>TRIM(CLEAN(SalesData[[#This Row],[Retailer]]))</f>
        <v>Hannover Cars</v>
      </c>
    </row>
    <row r="4385" spans="1:36" ht="14.25" hidden="1" x14ac:dyDescent="0.2">
      <c r="A4385" t="s">
        <v>5646</v>
      </c>
      <c r="B4385" s="1">
        <v>46066</v>
      </c>
      <c r="C4385" t="s">
        <v>121</v>
      </c>
      <c r="D4385" t="s">
        <v>54</v>
      </c>
      <c r="E4385" t="s">
        <v>26</v>
      </c>
      <c r="F4385" t="s">
        <v>109</v>
      </c>
      <c r="G4385" t="s">
        <v>110</v>
      </c>
      <c r="H4385" t="s">
        <v>45</v>
      </c>
      <c r="I4385" t="s">
        <v>64</v>
      </c>
      <c r="J4385" t="s">
        <v>111</v>
      </c>
      <c r="K4385" t="s">
        <v>91</v>
      </c>
      <c r="L4385" t="s">
        <v>46</v>
      </c>
      <c r="M4385" t="s">
        <v>87</v>
      </c>
      <c r="N4385" t="s">
        <v>69</v>
      </c>
      <c r="O4385" t="s">
        <v>36</v>
      </c>
      <c r="P4385" t="s">
        <v>58</v>
      </c>
      <c r="Q4385" t="s">
        <v>129</v>
      </c>
      <c r="R4385">
        <v>233</v>
      </c>
      <c r="S4385">
        <v>103</v>
      </c>
      <c r="T4385">
        <v>70</v>
      </c>
      <c r="U4385">
        <v>28</v>
      </c>
      <c r="V4385" t="s">
        <v>7004</v>
      </c>
      <c r="W4385">
        <v>54267</v>
      </c>
      <c r="X4385" t="s">
        <v>7056</v>
      </c>
      <c r="Y4385">
        <v>42236</v>
      </c>
      <c r="Z4385">
        <v>1519476</v>
      </c>
      <c r="AA4385">
        <v>336868</v>
      </c>
      <c r="AB4385" t="str">
        <f>(VLOOKUP(SalesData[[#This Row],[Month Number]],Reference!C$5:E$16,2,FALSE))</f>
        <v>Feb</v>
      </c>
      <c r="AC4385">
        <f>MONTH(SalesData[[#This Row],[Date]])</f>
        <v>2</v>
      </c>
      <c r="AD4385">
        <f>Reference!F$4</f>
        <v>2026</v>
      </c>
      <c r="AE4385" t="str">
        <f>IF(OR(SalesData[[#This Row],[Day]]="Saturday",SalesData[[#This Row],[Day]]="Sunday"),"Weekend","Weekday")</f>
        <v>Weekday</v>
      </c>
      <c r="AF4385" s="5">
        <f>IF(SalesData[[#This Row],[Contracts Offered]]=0,0,SalesData[[#This Row],[Contracts Signed]]/SalesData[[#This Row],[Contracts Offered]])</f>
        <v>0.4</v>
      </c>
      <c r="AG4385" s="5">
        <f>IF(SalesData[[#This Row],[Customers Visited]]=0,0,SalesData[[#This Row],[Test Drives]]/SalesData[[#This Row],[Customers Visited]])</f>
        <v>0.44206008583690987</v>
      </c>
      <c r="AH4385" s="5">
        <f>IF(SalesData[[#This Row],[Customers Visited]]=0,0,SalesData[[#This Row],[Contracts Signed]]/SalesData[[#This Row],[Customers Visited]])</f>
        <v>0.12017167381974249</v>
      </c>
      <c r="AI4385" s="6">
        <f>IF(SalesData[[#This Row],[Contracts Signed]]=0,0,SalesData[[#This Row],[Profit(€)]]/SalesData[[#This Row],[Contracts Signed]])</f>
        <v>12031</v>
      </c>
      <c r="AJ4385" s="5" t="str">
        <f>TRIM(CLEAN(SalesData[[#This Row],[Retailer]]))</f>
        <v>Leipzig Mobility</v>
      </c>
    </row>
    <row r="4386" spans="1:36" ht="14.25" x14ac:dyDescent="0.2">
      <c r="A4386" t="s">
        <v>5647</v>
      </c>
      <c r="B4386" s="1">
        <v>46070</v>
      </c>
      <c r="C4386" t="s">
        <v>62</v>
      </c>
      <c r="D4386" t="s">
        <v>63</v>
      </c>
      <c r="E4386" t="s">
        <v>26</v>
      </c>
      <c r="F4386" t="s">
        <v>127</v>
      </c>
      <c r="G4386" t="s">
        <v>128</v>
      </c>
      <c r="H4386" t="s">
        <v>103</v>
      </c>
      <c r="I4386" t="s">
        <v>30</v>
      </c>
      <c r="J4386" t="s">
        <v>86</v>
      </c>
      <c r="K4386" t="s">
        <v>78</v>
      </c>
      <c r="L4386" t="s">
        <v>33</v>
      </c>
      <c r="M4386" t="s">
        <v>87</v>
      </c>
      <c r="N4386" t="s">
        <v>48</v>
      </c>
      <c r="O4386" t="s">
        <v>36</v>
      </c>
      <c r="P4386" t="s">
        <v>37</v>
      </c>
      <c r="Q4386" t="s">
        <v>88</v>
      </c>
      <c r="R4386">
        <v>215</v>
      </c>
      <c r="S4386">
        <v>116</v>
      </c>
      <c r="T4386">
        <v>80</v>
      </c>
      <c r="U4386">
        <v>31</v>
      </c>
      <c r="V4386" t="s">
        <v>6607</v>
      </c>
      <c r="W4386">
        <v>65504</v>
      </c>
      <c r="X4386" t="s">
        <v>7438</v>
      </c>
      <c r="Y4386">
        <v>46630</v>
      </c>
      <c r="Z4386">
        <v>2030624</v>
      </c>
      <c r="AA4386">
        <v>585094</v>
      </c>
      <c r="AB4386" t="str">
        <f>(VLOOKUP(SalesData[[#This Row],[Month Number]],Reference!C$5:E$16,2,FALSE))</f>
        <v>Feb</v>
      </c>
      <c r="AC4386">
        <f>MONTH(SalesData[[#This Row],[Date]])</f>
        <v>2</v>
      </c>
      <c r="AD4386">
        <f>Reference!F$4</f>
        <v>2026</v>
      </c>
      <c r="AE4386" t="str">
        <f>IF(OR(SalesData[[#This Row],[Day]]="Saturday",SalesData[[#This Row],[Day]]="Sunday"),"Weekend","Weekday")</f>
        <v>Weekday</v>
      </c>
      <c r="AF4386" s="5">
        <f>IF(SalesData[[#This Row],[Contracts Offered]]=0,0,SalesData[[#This Row],[Contracts Signed]]/SalesData[[#This Row],[Contracts Offered]])</f>
        <v>0.38750000000000001</v>
      </c>
      <c r="AG4386" s="5">
        <f>IF(SalesData[[#This Row],[Customers Visited]]=0,0,SalesData[[#This Row],[Test Drives]]/SalesData[[#This Row],[Customers Visited]])</f>
        <v>0.53953488372093028</v>
      </c>
      <c r="AH4386" s="5">
        <f>IF(SalesData[[#This Row],[Customers Visited]]=0,0,SalesData[[#This Row],[Contracts Signed]]/SalesData[[#This Row],[Customers Visited]])</f>
        <v>0.14418604651162792</v>
      </c>
      <c r="AI4386" s="6">
        <f>IF(SalesData[[#This Row],[Contracts Signed]]=0,0,SalesData[[#This Row],[Profit(€)]]/SalesData[[#This Row],[Contracts Signed]])</f>
        <v>18874</v>
      </c>
      <c r="AJ4386" s="5" t="str">
        <f>TRIM(CLEAN(SalesData[[#This Row],[Retailer]]))</f>
        <v>Rhein Auto Group</v>
      </c>
    </row>
    <row r="4387" spans="1:36" ht="14.25" hidden="1" x14ac:dyDescent="0.2">
      <c r="A4387" t="s">
        <v>5648</v>
      </c>
      <c r="B4387" s="1">
        <v>46077</v>
      </c>
      <c r="C4387" t="s">
        <v>53</v>
      </c>
      <c r="D4387" t="s">
        <v>63</v>
      </c>
      <c r="E4387" t="s">
        <v>26</v>
      </c>
      <c r="F4387" t="s">
        <v>101</v>
      </c>
      <c r="G4387" t="s">
        <v>102</v>
      </c>
      <c r="H4387" t="s">
        <v>103</v>
      </c>
      <c r="I4387" t="s">
        <v>116</v>
      </c>
      <c r="J4387" t="s">
        <v>132</v>
      </c>
      <c r="K4387" t="s">
        <v>32</v>
      </c>
      <c r="L4387" t="s">
        <v>46</v>
      </c>
      <c r="M4387" t="s">
        <v>34</v>
      </c>
      <c r="N4387" t="s">
        <v>48</v>
      </c>
      <c r="O4387" t="s">
        <v>70</v>
      </c>
      <c r="P4387" t="s">
        <v>49</v>
      </c>
      <c r="Q4387" t="s">
        <v>189</v>
      </c>
      <c r="R4387">
        <v>245</v>
      </c>
      <c r="S4387">
        <v>126</v>
      </c>
      <c r="T4387">
        <v>75</v>
      </c>
      <c r="U4387">
        <v>13</v>
      </c>
      <c r="V4387" t="s">
        <v>1416</v>
      </c>
      <c r="W4387">
        <v>22768</v>
      </c>
      <c r="X4387" t="s">
        <v>7002</v>
      </c>
      <c r="Y4387">
        <v>20888</v>
      </c>
      <c r="Z4387">
        <v>295984</v>
      </c>
      <c r="AA4387">
        <v>24440</v>
      </c>
      <c r="AB4387" t="str">
        <f>(VLOOKUP(SalesData[[#This Row],[Month Number]],Reference!C$5:E$16,2,FALSE))</f>
        <v>Feb</v>
      </c>
      <c r="AC4387">
        <f>MONTH(SalesData[[#This Row],[Date]])</f>
        <v>2</v>
      </c>
      <c r="AD4387">
        <f>Reference!F$4</f>
        <v>2026</v>
      </c>
      <c r="AE4387" t="str">
        <f>IF(OR(SalesData[[#This Row],[Day]]="Saturday",SalesData[[#This Row],[Day]]="Sunday"),"Weekend","Weekday")</f>
        <v>Weekday</v>
      </c>
      <c r="AF4387" s="5">
        <f>IF(SalesData[[#This Row],[Contracts Offered]]=0,0,SalesData[[#This Row],[Contracts Signed]]/SalesData[[#This Row],[Contracts Offered]])</f>
        <v>0.17333333333333334</v>
      </c>
      <c r="AG4387" s="5">
        <f>IF(SalesData[[#This Row],[Customers Visited]]=0,0,SalesData[[#This Row],[Test Drives]]/SalesData[[#This Row],[Customers Visited]])</f>
        <v>0.51428571428571423</v>
      </c>
      <c r="AH4387" s="5">
        <f>IF(SalesData[[#This Row],[Customers Visited]]=0,0,SalesData[[#This Row],[Contracts Signed]]/SalesData[[#This Row],[Customers Visited]])</f>
        <v>5.3061224489795916E-2</v>
      </c>
      <c r="AI4387" s="6">
        <f>IF(SalesData[[#This Row],[Contracts Signed]]=0,0,SalesData[[#This Row],[Profit(€)]]/SalesData[[#This Row],[Contracts Signed]])</f>
        <v>1880</v>
      </c>
      <c r="AJ4387" s="5" t="str">
        <f>TRIM(CLEAN(SalesData[[#This Row],[Retailer]]))</f>
        <v>Ruhr Auto Plaza</v>
      </c>
    </row>
    <row r="4388" spans="1:36" ht="14.25" x14ac:dyDescent="0.2">
      <c r="A4388" t="s">
        <v>5649</v>
      </c>
      <c r="B4388" s="1">
        <v>46054</v>
      </c>
      <c r="C4388" t="s">
        <v>24</v>
      </c>
      <c r="D4388" t="s">
        <v>41</v>
      </c>
      <c r="E4388" t="s">
        <v>42</v>
      </c>
      <c r="F4388" t="s">
        <v>114</v>
      </c>
      <c r="G4388" t="s">
        <v>115</v>
      </c>
      <c r="H4388" t="s">
        <v>115</v>
      </c>
      <c r="I4388" t="s">
        <v>30</v>
      </c>
      <c r="J4388" t="s">
        <v>188</v>
      </c>
      <c r="K4388" t="s">
        <v>66</v>
      </c>
      <c r="L4388" t="s">
        <v>33</v>
      </c>
      <c r="M4388" t="s">
        <v>47</v>
      </c>
      <c r="N4388" t="s">
        <v>35</v>
      </c>
      <c r="O4388" t="s">
        <v>70</v>
      </c>
      <c r="P4388" t="s">
        <v>71</v>
      </c>
      <c r="Q4388" t="s">
        <v>59</v>
      </c>
      <c r="R4388">
        <v>270</v>
      </c>
      <c r="S4388">
        <v>123</v>
      </c>
      <c r="T4388">
        <v>94</v>
      </c>
      <c r="U4388">
        <v>37</v>
      </c>
      <c r="V4388" t="s">
        <v>7492</v>
      </c>
      <c r="W4388">
        <v>65678</v>
      </c>
      <c r="X4388" t="s">
        <v>7102</v>
      </c>
      <c r="Y4388">
        <v>50342</v>
      </c>
      <c r="Z4388">
        <v>2430086</v>
      </c>
      <c r="AA4388">
        <v>567432</v>
      </c>
      <c r="AB4388" t="str">
        <f>(VLOOKUP(SalesData[[#This Row],[Month Number]],Reference!C$5:E$16,2,FALSE))</f>
        <v>Feb</v>
      </c>
      <c r="AC4388">
        <f>MONTH(SalesData[[#This Row],[Date]])</f>
        <v>2</v>
      </c>
      <c r="AD4388">
        <f>Reference!F$4</f>
        <v>2026</v>
      </c>
      <c r="AE4388" t="str">
        <f>IF(OR(SalesData[[#This Row],[Day]]="Saturday",SalesData[[#This Row],[Day]]="Sunday"),"Weekend","Weekday")</f>
        <v>Weekend</v>
      </c>
      <c r="AF4388" s="5">
        <f>IF(SalesData[[#This Row],[Contracts Offered]]=0,0,SalesData[[#This Row],[Contracts Signed]]/SalesData[[#This Row],[Contracts Offered]])</f>
        <v>0.39361702127659576</v>
      </c>
      <c r="AG4388" s="5">
        <f>IF(SalesData[[#This Row],[Customers Visited]]=0,0,SalesData[[#This Row],[Test Drives]]/SalesData[[#This Row],[Customers Visited]])</f>
        <v>0.45555555555555555</v>
      </c>
      <c r="AH4388" s="5">
        <f>IF(SalesData[[#This Row],[Customers Visited]]=0,0,SalesData[[#This Row],[Contracts Signed]]/SalesData[[#This Row],[Customers Visited]])</f>
        <v>0.13703703703703704</v>
      </c>
      <c r="AI4388" s="6">
        <f>IF(SalesData[[#This Row],[Contracts Signed]]=0,0,SalesData[[#This Row],[Profit(€)]]/SalesData[[#This Row],[Contracts Signed]])</f>
        <v>15336</v>
      </c>
      <c r="AJ4388" s="5" t="str">
        <f>TRIM(CLEAN(SalesData[[#This Row],[Retailer]]))</f>
        <v>Elbe Drive</v>
      </c>
    </row>
    <row r="4389" spans="1:36" ht="14.25" hidden="1" x14ac:dyDescent="0.2">
      <c r="A4389" t="s">
        <v>5650</v>
      </c>
      <c r="B4389" s="1">
        <v>46079</v>
      </c>
      <c r="C4389" t="s">
        <v>53</v>
      </c>
      <c r="D4389" t="s">
        <v>100</v>
      </c>
      <c r="E4389" t="s">
        <v>26</v>
      </c>
      <c r="F4389" t="s">
        <v>83</v>
      </c>
      <c r="G4389" t="s">
        <v>84</v>
      </c>
      <c r="H4389" t="s">
        <v>85</v>
      </c>
      <c r="I4389" t="s">
        <v>64</v>
      </c>
      <c r="J4389" t="s">
        <v>157</v>
      </c>
      <c r="K4389" t="s">
        <v>66</v>
      </c>
      <c r="L4389" t="s">
        <v>33</v>
      </c>
      <c r="M4389" t="s">
        <v>68</v>
      </c>
      <c r="N4389" t="s">
        <v>48</v>
      </c>
      <c r="O4389" t="s">
        <v>70</v>
      </c>
      <c r="P4389" t="s">
        <v>49</v>
      </c>
      <c r="Q4389" t="s">
        <v>167</v>
      </c>
      <c r="R4389">
        <v>239</v>
      </c>
      <c r="S4389">
        <v>118</v>
      </c>
      <c r="T4389">
        <v>79</v>
      </c>
      <c r="U4389">
        <v>29</v>
      </c>
      <c r="V4389" t="s">
        <v>6406</v>
      </c>
      <c r="W4389">
        <v>52713</v>
      </c>
      <c r="X4389" t="s">
        <v>7285</v>
      </c>
      <c r="Y4389">
        <v>39883</v>
      </c>
      <c r="Z4389">
        <v>1528677</v>
      </c>
      <c r="AA4389">
        <v>372070</v>
      </c>
      <c r="AB4389" t="str">
        <f>(VLOOKUP(SalesData[[#This Row],[Month Number]],Reference!C$5:E$16,2,FALSE))</f>
        <v>Feb</v>
      </c>
      <c r="AC4389">
        <f>MONTH(SalesData[[#This Row],[Date]])</f>
        <v>2</v>
      </c>
      <c r="AD4389">
        <f>Reference!F$4</f>
        <v>2026</v>
      </c>
      <c r="AE4389" t="str">
        <f>IF(OR(SalesData[[#This Row],[Day]]="Saturday",SalesData[[#This Row],[Day]]="Sunday"),"Weekend","Weekday")</f>
        <v>Weekday</v>
      </c>
      <c r="AF4389" s="5">
        <f>IF(SalesData[[#This Row],[Contracts Offered]]=0,0,SalesData[[#This Row],[Contracts Signed]]/SalesData[[#This Row],[Contracts Offered]])</f>
        <v>0.36708860759493672</v>
      </c>
      <c r="AG4389" s="5">
        <f>IF(SalesData[[#This Row],[Customers Visited]]=0,0,SalesData[[#This Row],[Test Drives]]/SalesData[[#This Row],[Customers Visited]])</f>
        <v>0.49372384937238495</v>
      </c>
      <c r="AH4389" s="5">
        <f>IF(SalesData[[#This Row],[Customers Visited]]=0,0,SalesData[[#This Row],[Contracts Signed]]/SalesData[[#This Row],[Customers Visited]])</f>
        <v>0.12133891213389121</v>
      </c>
      <c r="AI4389" s="6">
        <f>IF(SalesData[[#This Row],[Contracts Signed]]=0,0,SalesData[[#This Row],[Profit(€)]]/SalesData[[#This Row],[Contracts Signed]])</f>
        <v>12830</v>
      </c>
      <c r="AJ4389" s="5" t="str">
        <f>TRIM(CLEAN(SalesData[[#This Row],[Retailer]]))</f>
        <v>Hannover Cars</v>
      </c>
    </row>
    <row r="4390" spans="1:36" ht="14.25" hidden="1" x14ac:dyDescent="0.2">
      <c r="A4390" t="s">
        <v>5652</v>
      </c>
      <c r="B4390" s="1">
        <v>46081</v>
      </c>
      <c r="C4390" t="s">
        <v>53</v>
      </c>
      <c r="D4390" t="s">
        <v>151</v>
      </c>
      <c r="E4390" t="s">
        <v>42</v>
      </c>
      <c r="F4390" t="s">
        <v>127</v>
      </c>
      <c r="G4390" t="s">
        <v>128</v>
      </c>
      <c r="H4390" t="s">
        <v>103</v>
      </c>
      <c r="I4390" t="s">
        <v>64</v>
      </c>
      <c r="J4390" t="s">
        <v>157</v>
      </c>
      <c r="K4390" t="s">
        <v>78</v>
      </c>
      <c r="L4390" t="s">
        <v>33</v>
      </c>
      <c r="M4390" t="s">
        <v>47</v>
      </c>
      <c r="N4390" t="s">
        <v>48</v>
      </c>
      <c r="O4390" t="s">
        <v>36</v>
      </c>
      <c r="P4390" t="s">
        <v>71</v>
      </c>
      <c r="Q4390" t="s">
        <v>88</v>
      </c>
      <c r="R4390">
        <v>237</v>
      </c>
      <c r="S4390">
        <v>110</v>
      </c>
      <c r="T4390">
        <v>78</v>
      </c>
      <c r="U4390">
        <v>28</v>
      </c>
      <c r="V4390" t="s">
        <v>6709</v>
      </c>
      <c r="W4390">
        <v>60968</v>
      </c>
      <c r="X4390" t="s">
        <v>2155</v>
      </c>
      <c r="Y4390">
        <v>46541</v>
      </c>
      <c r="Z4390">
        <v>1707104</v>
      </c>
      <c r="AA4390">
        <v>403956</v>
      </c>
      <c r="AB4390" t="str">
        <f>(VLOOKUP(SalesData[[#This Row],[Month Number]],Reference!C$5:E$16,2,FALSE))</f>
        <v>Feb</v>
      </c>
      <c r="AC4390">
        <f>MONTH(SalesData[[#This Row],[Date]])</f>
        <v>2</v>
      </c>
      <c r="AD4390">
        <f>Reference!F$4</f>
        <v>2026</v>
      </c>
      <c r="AE4390" t="str">
        <f>IF(OR(SalesData[[#This Row],[Day]]="Saturday",SalesData[[#This Row],[Day]]="Sunday"),"Weekend","Weekday")</f>
        <v>Weekend</v>
      </c>
      <c r="AF4390" s="5">
        <f>IF(SalesData[[#This Row],[Contracts Offered]]=0,0,SalesData[[#This Row],[Contracts Signed]]/SalesData[[#This Row],[Contracts Offered]])</f>
        <v>0.35897435897435898</v>
      </c>
      <c r="AG4390" s="5">
        <f>IF(SalesData[[#This Row],[Customers Visited]]=0,0,SalesData[[#This Row],[Test Drives]]/SalesData[[#This Row],[Customers Visited]])</f>
        <v>0.46413502109704641</v>
      </c>
      <c r="AH4390" s="5">
        <f>IF(SalesData[[#This Row],[Customers Visited]]=0,0,SalesData[[#This Row],[Contracts Signed]]/SalesData[[#This Row],[Customers Visited]])</f>
        <v>0.11814345991561181</v>
      </c>
      <c r="AI4390" s="6">
        <f>IF(SalesData[[#This Row],[Contracts Signed]]=0,0,SalesData[[#This Row],[Profit(€)]]/SalesData[[#This Row],[Contracts Signed]])</f>
        <v>14427</v>
      </c>
      <c r="AJ4390" s="5" t="str">
        <f>TRIM(CLEAN(SalesData[[#This Row],[Retailer]]))</f>
        <v>Rhein Auto Group</v>
      </c>
    </row>
    <row r="4391" spans="1:36" ht="14.25" hidden="1" x14ac:dyDescent="0.2">
      <c r="A4391" t="s">
        <v>5653</v>
      </c>
      <c r="B4391" s="1">
        <v>46055</v>
      </c>
      <c r="C4391" t="s">
        <v>24</v>
      </c>
      <c r="D4391" t="s">
        <v>25</v>
      </c>
      <c r="E4391" t="s">
        <v>26</v>
      </c>
      <c r="F4391" t="s">
        <v>83</v>
      </c>
      <c r="G4391" t="s">
        <v>84</v>
      </c>
      <c r="H4391" t="s">
        <v>85</v>
      </c>
      <c r="I4391" t="s">
        <v>64</v>
      </c>
      <c r="J4391" t="s">
        <v>65</v>
      </c>
      <c r="K4391" t="s">
        <v>32</v>
      </c>
      <c r="L4391" t="s">
        <v>33</v>
      </c>
      <c r="M4391" t="s">
        <v>68</v>
      </c>
      <c r="N4391" t="s">
        <v>48</v>
      </c>
      <c r="O4391" t="s">
        <v>36</v>
      </c>
      <c r="P4391" t="s">
        <v>49</v>
      </c>
      <c r="Q4391" t="s">
        <v>88</v>
      </c>
      <c r="R4391">
        <v>263</v>
      </c>
      <c r="S4391">
        <v>132</v>
      </c>
      <c r="T4391">
        <v>99</v>
      </c>
      <c r="U4391">
        <v>28</v>
      </c>
      <c r="V4391" t="s">
        <v>6802</v>
      </c>
      <c r="W4391">
        <v>61606</v>
      </c>
      <c r="X4391" t="s">
        <v>7343</v>
      </c>
      <c r="Y4391">
        <v>45394</v>
      </c>
      <c r="Z4391">
        <v>1724968</v>
      </c>
      <c r="AA4391">
        <v>453936</v>
      </c>
      <c r="AB4391" t="str">
        <f>(VLOOKUP(SalesData[[#This Row],[Month Number]],Reference!C$5:E$16,2,FALSE))</f>
        <v>Feb</v>
      </c>
      <c r="AC4391">
        <f>MONTH(SalesData[[#This Row],[Date]])</f>
        <v>2</v>
      </c>
      <c r="AD4391">
        <f>Reference!F$4</f>
        <v>2026</v>
      </c>
      <c r="AE4391" t="str">
        <f>IF(OR(SalesData[[#This Row],[Day]]="Saturday",SalesData[[#This Row],[Day]]="Sunday"),"Weekend","Weekday")</f>
        <v>Weekday</v>
      </c>
      <c r="AF4391" s="5">
        <f>IF(SalesData[[#This Row],[Contracts Offered]]=0,0,SalesData[[#This Row],[Contracts Signed]]/SalesData[[#This Row],[Contracts Offered]])</f>
        <v>0.28282828282828282</v>
      </c>
      <c r="AG4391" s="5">
        <f>IF(SalesData[[#This Row],[Customers Visited]]=0,0,SalesData[[#This Row],[Test Drives]]/SalesData[[#This Row],[Customers Visited]])</f>
        <v>0.50190114068441061</v>
      </c>
      <c r="AH4391" s="5">
        <f>IF(SalesData[[#This Row],[Customers Visited]]=0,0,SalesData[[#This Row],[Contracts Signed]]/SalesData[[#This Row],[Customers Visited]])</f>
        <v>0.10646387832699619</v>
      </c>
      <c r="AI4391" s="6">
        <f>IF(SalesData[[#This Row],[Contracts Signed]]=0,0,SalesData[[#This Row],[Profit(€)]]/SalesData[[#This Row],[Contracts Signed]])</f>
        <v>16212</v>
      </c>
      <c r="AJ4391" s="5" t="str">
        <f>TRIM(CLEAN(SalesData[[#This Row],[Retailer]]))</f>
        <v>Hannover Cars</v>
      </c>
    </row>
    <row r="4392" spans="1:36" ht="14.25" hidden="1" x14ac:dyDescent="0.2">
      <c r="A4392" t="s">
        <v>5654</v>
      </c>
      <c r="B4392" s="1">
        <v>46068</v>
      </c>
      <c r="C4392" t="s">
        <v>62</v>
      </c>
      <c r="D4392" t="s">
        <v>41</v>
      </c>
      <c r="E4392" t="s">
        <v>42</v>
      </c>
      <c r="F4392" t="s">
        <v>127</v>
      </c>
      <c r="G4392" t="s">
        <v>128</v>
      </c>
      <c r="H4392" t="s">
        <v>103</v>
      </c>
      <c r="I4392" t="s">
        <v>56</v>
      </c>
      <c r="J4392" t="s">
        <v>137</v>
      </c>
      <c r="K4392" t="s">
        <v>91</v>
      </c>
      <c r="L4392" t="s">
        <v>46</v>
      </c>
      <c r="M4392" t="s">
        <v>68</v>
      </c>
      <c r="N4392" t="s">
        <v>35</v>
      </c>
      <c r="O4392" t="s">
        <v>36</v>
      </c>
      <c r="P4392" t="s">
        <v>37</v>
      </c>
      <c r="Q4392" t="s">
        <v>158</v>
      </c>
      <c r="R4392">
        <v>176</v>
      </c>
      <c r="S4392">
        <v>104</v>
      </c>
      <c r="T4392">
        <v>77</v>
      </c>
      <c r="U4392">
        <v>25</v>
      </c>
      <c r="V4392" t="s">
        <v>6828</v>
      </c>
      <c r="W4392">
        <v>49030</v>
      </c>
      <c r="X4392" t="s">
        <v>7273</v>
      </c>
      <c r="Y4392">
        <v>37530</v>
      </c>
      <c r="Z4392">
        <v>1225750</v>
      </c>
      <c r="AA4392">
        <v>287500</v>
      </c>
      <c r="AB4392" t="str">
        <f>(VLOOKUP(SalesData[[#This Row],[Month Number]],Reference!C$5:E$16,2,FALSE))</f>
        <v>Feb</v>
      </c>
      <c r="AC4392">
        <f>MONTH(SalesData[[#This Row],[Date]])</f>
        <v>2</v>
      </c>
      <c r="AD4392">
        <f>Reference!F$4</f>
        <v>2026</v>
      </c>
      <c r="AE4392" t="str">
        <f>IF(OR(SalesData[[#This Row],[Day]]="Saturday",SalesData[[#This Row],[Day]]="Sunday"),"Weekend","Weekday")</f>
        <v>Weekend</v>
      </c>
      <c r="AF4392" s="5">
        <f>IF(SalesData[[#This Row],[Contracts Offered]]=0,0,SalesData[[#This Row],[Contracts Signed]]/SalesData[[#This Row],[Contracts Offered]])</f>
        <v>0.32467532467532467</v>
      </c>
      <c r="AG4392" s="5">
        <f>IF(SalesData[[#This Row],[Customers Visited]]=0,0,SalesData[[#This Row],[Test Drives]]/SalesData[[#This Row],[Customers Visited]])</f>
        <v>0.59090909090909094</v>
      </c>
      <c r="AH4392" s="5">
        <f>IF(SalesData[[#This Row],[Customers Visited]]=0,0,SalesData[[#This Row],[Contracts Signed]]/SalesData[[#This Row],[Customers Visited]])</f>
        <v>0.14204545454545456</v>
      </c>
      <c r="AI4392" s="6">
        <f>IF(SalesData[[#This Row],[Contracts Signed]]=0,0,SalesData[[#This Row],[Profit(€)]]/SalesData[[#This Row],[Contracts Signed]])</f>
        <v>11500</v>
      </c>
      <c r="AJ4392" s="5" t="str">
        <f>TRIM(CLEAN(SalesData[[#This Row],[Retailer]]))</f>
        <v>Rhein Auto Group</v>
      </c>
    </row>
    <row r="4393" spans="1:36" ht="14.25" hidden="1" x14ac:dyDescent="0.2">
      <c r="A4393" t="s">
        <v>5655</v>
      </c>
      <c r="B4393" s="1">
        <v>46054</v>
      </c>
      <c r="C4393" t="s">
        <v>24</v>
      </c>
      <c r="D4393" t="s">
        <v>41</v>
      </c>
      <c r="E4393" t="s">
        <v>42</v>
      </c>
      <c r="F4393" t="s">
        <v>127</v>
      </c>
      <c r="G4393" t="s">
        <v>128</v>
      </c>
      <c r="H4393" t="s">
        <v>103</v>
      </c>
      <c r="I4393" t="s">
        <v>56</v>
      </c>
      <c r="J4393" t="s">
        <v>179</v>
      </c>
      <c r="K4393" t="s">
        <v>78</v>
      </c>
      <c r="L4393" t="s">
        <v>67</v>
      </c>
      <c r="M4393" t="s">
        <v>68</v>
      </c>
      <c r="N4393" t="s">
        <v>69</v>
      </c>
      <c r="O4393" t="s">
        <v>36</v>
      </c>
      <c r="P4393" t="s">
        <v>71</v>
      </c>
      <c r="Q4393" t="s">
        <v>158</v>
      </c>
      <c r="R4393">
        <v>231</v>
      </c>
      <c r="S4393">
        <v>145</v>
      </c>
      <c r="T4393">
        <v>97</v>
      </c>
      <c r="U4393">
        <v>34</v>
      </c>
      <c r="V4393" t="s">
        <v>6815</v>
      </c>
      <c r="W4393">
        <v>53403</v>
      </c>
      <c r="X4393" t="s">
        <v>2576</v>
      </c>
      <c r="Y4393">
        <v>43659</v>
      </c>
      <c r="Z4393">
        <v>1815702</v>
      </c>
      <c r="AA4393">
        <v>331296</v>
      </c>
      <c r="AB4393" t="str">
        <f>(VLOOKUP(SalesData[[#This Row],[Month Number]],Reference!C$5:E$16,2,FALSE))</f>
        <v>Feb</v>
      </c>
      <c r="AC4393">
        <f>MONTH(SalesData[[#This Row],[Date]])</f>
        <v>2</v>
      </c>
      <c r="AD4393">
        <f>Reference!F$4</f>
        <v>2026</v>
      </c>
      <c r="AE4393" t="str">
        <f>IF(OR(SalesData[[#This Row],[Day]]="Saturday",SalesData[[#This Row],[Day]]="Sunday"),"Weekend","Weekday")</f>
        <v>Weekend</v>
      </c>
      <c r="AF4393" s="5">
        <f>IF(SalesData[[#This Row],[Contracts Offered]]=0,0,SalesData[[#This Row],[Contracts Signed]]/SalesData[[#This Row],[Contracts Offered]])</f>
        <v>0.35051546391752575</v>
      </c>
      <c r="AG4393" s="5">
        <f>IF(SalesData[[#This Row],[Customers Visited]]=0,0,SalesData[[#This Row],[Test Drives]]/SalesData[[#This Row],[Customers Visited]])</f>
        <v>0.62770562770562766</v>
      </c>
      <c r="AH4393" s="5">
        <f>IF(SalesData[[#This Row],[Customers Visited]]=0,0,SalesData[[#This Row],[Contracts Signed]]/SalesData[[#This Row],[Customers Visited]])</f>
        <v>0.1471861471861472</v>
      </c>
      <c r="AI4393" s="6">
        <f>IF(SalesData[[#This Row],[Contracts Signed]]=0,0,SalesData[[#This Row],[Profit(€)]]/SalesData[[#This Row],[Contracts Signed]])</f>
        <v>9744</v>
      </c>
      <c r="AJ4393" s="5" t="str">
        <f>TRIM(CLEAN(SalesData[[#This Row],[Retailer]]))</f>
        <v>Rhein Auto Group</v>
      </c>
    </row>
    <row r="4394" spans="1:36" ht="14.25" hidden="1" x14ac:dyDescent="0.2">
      <c r="A4394" t="s">
        <v>5656</v>
      </c>
      <c r="B4394" s="1">
        <v>46055</v>
      </c>
      <c r="C4394" t="s">
        <v>24</v>
      </c>
      <c r="D4394" t="s">
        <v>25</v>
      </c>
      <c r="E4394" t="s">
        <v>26</v>
      </c>
      <c r="F4394" t="s">
        <v>114</v>
      </c>
      <c r="G4394" t="s">
        <v>115</v>
      </c>
      <c r="H4394" t="s">
        <v>115</v>
      </c>
      <c r="I4394" t="s">
        <v>56</v>
      </c>
      <c r="J4394" t="s">
        <v>7028</v>
      </c>
      <c r="K4394" t="s">
        <v>66</v>
      </c>
      <c r="L4394" t="s">
        <v>46</v>
      </c>
      <c r="M4394" t="s">
        <v>87</v>
      </c>
      <c r="N4394" t="s">
        <v>35</v>
      </c>
      <c r="O4394" t="s">
        <v>36</v>
      </c>
      <c r="P4394" t="s">
        <v>37</v>
      </c>
      <c r="Q4394" t="s">
        <v>59</v>
      </c>
      <c r="R4394">
        <v>229</v>
      </c>
      <c r="S4394">
        <v>111</v>
      </c>
      <c r="T4394">
        <v>76</v>
      </c>
      <c r="U4394">
        <v>24</v>
      </c>
      <c r="V4394" t="s">
        <v>6633</v>
      </c>
      <c r="W4394">
        <v>52087</v>
      </c>
      <c r="X4394" t="s">
        <v>923</v>
      </c>
      <c r="Y4394">
        <v>42036</v>
      </c>
      <c r="Z4394">
        <v>1250088</v>
      </c>
      <c r="AA4394">
        <v>241224</v>
      </c>
      <c r="AB4394" t="str">
        <f>(VLOOKUP(SalesData[[#This Row],[Month Number]],Reference!C$5:E$16,2,FALSE))</f>
        <v>Feb</v>
      </c>
      <c r="AC4394">
        <f>MONTH(SalesData[[#This Row],[Date]])</f>
        <v>2</v>
      </c>
      <c r="AD4394">
        <f>Reference!F$4</f>
        <v>2026</v>
      </c>
      <c r="AE4394" t="str">
        <f>IF(OR(SalesData[[#This Row],[Day]]="Saturday",SalesData[[#This Row],[Day]]="Sunday"),"Weekend","Weekday")</f>
        <v>Weekday</v>
      </c>
      <c r="AF4394" s="5">
        <f>IF(SalesData[[#This Row],[Contracts Offered]]=0,0,SalesData[[#This Row],[Contracts Signed]]/SalesData[[#This Row],[Contracts Offered]])</f>
        <v>0.31578947368421051</v>
      </c>
      <c r="AG4394" s="5">
        <f>IF(SalesData[[#This Row],[Customers Visited]]=0,0,SalesData[[#This Row],[Test Drives]]/SalesData[[#This Row],[Customers Visited]])</f>
        <v>0.48471615720524019</v>
      </c>
      <c r="AH4394" s="5">
        <f>IF(SalesData[[#This Row],[Customers Visited]]=0,0,SalesData[[#This Row],[Contracts Signed]]/SalesData[[#This Row],[Customers Visited]])</f>
        <v>0.10480349344978165</v>
      </c>
      <c r="AI4394" s="6">
        <f>IF(SalesData[[#This Row],[Contracts Signed]]=0,0,SalesData[[#This Row],[Profit(€)]]/SalesData[[#This Row],[Contracts Signed]])</f>
        <v>10051</v>
      </c>
      <c r="AJ4394" s="5" t="str">
        <f>TRIM(CLEAN(SalesData[[#This Row],[Retailer]]))</f>
        <v>Elbe Drive</v>
      </c>
    </row>
    <row r="4395" spans="1:36" ht="14.25" hidden="1" x14ac:dyDescent="0.2">
      <c r="A4395" t="s">
        <v>5657</v>
      </c>
      <c r="B4395" s="1">
        <v>46079</v>
      </c>
      <c r="C4395" t="s">
        <v>53</v>
      </c>
      <c r="D4395" t="s">
        <v>100</v>
      </c>
      <c r="E4395" t="s">
        <v>26</v>
      </c>
      <c r="F4395" t="s">
        <v>83</v>
      </c>
      <c r="G4395" t="s">
        <v>84</v>
      </c>
      <c r="H4395" t="s">
        <v>85</v>
      </c>
      <c r="I4395" t="s">
        <v>116</v>
      </c>
      <c r="J4395" t="s">
        <v>7026</v>
      </c>
      <c r="K4395" t="s">
        <v>32</v>
      </c>
      <c r="L4395" t="s">
        <v>46</v>
      </c>
      <c r="M4395" t="s">
        <v>87</v>
      </c>
      <c r="N4395" t="s">
        <v>35</v>
      </c>
      <c r="O4395" t="s">
        <v>36</v>
      </c>
      <c r="P4395" t="s">
        <v>71</v>
      </c>
      <c r="Q4395" t="s">
        <v>172</v>
      </c>
      <c r="R4395">
        <v>271</v>
      </c>
      <c r="S4395">
        <v>132</v>
      </c>
      <c r="T4395">
        <v>85</v>
      </c>
      <c r="U4395">
        <v>21</v>
      </c>
      <c r="V4395" t="s">
        <v>696</v>
      </c>
      <c r="W4395">
        <v>21576</v>
      </c>
      <c r="X4395" t="s">
        <v>245</v>
      </c>
      <c r="Y4395">
        <v>20000</v>
      </c>
      <c r="Z4395">
        <v>453096</v>
      </c>
      <c r="AA4395">
        <v>33096</v>
      </c>
      <c r="AB4395" t="str">
        <f>(VLOOKUP(SalesData[[#This Row],[Month Number]],Reference!C$5:E$16,2,FALSE))</f>
        <v>Feb</v>
      </c>
      <c r="AC4395">
        <f>MONTH(SalesData[[#This Row],[Date]])</f>
        <v>2</v>
      </c>
      <c r="AD4395">
        <f>Reference!F$4</f>
        <v>2026</v>
      </c>
      <c r="AE4395" t="str">
        <f>IF(OR(SalesData[[#This Row],[Day]]="Saturday",SalesData[[#This Row],[Day]]="Sunday"),"Weekend","Weekday")</f>
        <v>Weekday</v>
      </c>
      <c r="AF4395" s="5">
        <f>IF(SalesData[[#This Row],[Contracts Offered]]=0,0,SalesData[[#This Row],[Contracts Signed]]/SalesData[[#This Row],[Contracts Offered]])</f>
        <v>0.24705882352941178</v>
      </c>
      <c r="AG4395" s="5">
        <f>IF(SalesData[[#This Row],[Customers Visited]]=0,0,SalesData[[#This Row],[Test Drives]]/SalesData[[#This Row],[Customers Visited]])</f>
        <v>0.4870848708487085</v>
      </c>
      <c r="AH4395" s="5">
        <f>IF(SalesData[[#This Row],[Customers Visited]]=0,0,SalesData[[#This Row],[Contracts Signed]]/SalesData[[#This Row],[Customers Visited]])</f>
        <v>7.7490774907749083E-2</v>
      </c>
      <c r="AI4395" s="6">
        <f>IF(SalesData[[#This Row],[Contracts Signed]]=0,0,SalesData[[#This Row],[Profit(€)]]/SalesData[[#This Row],[Contracts Signed]])</f>
        <v>1576</v>
      </c>
      <c r="AJ4395" s="5" t="str">
        <f>TRIM(CLEAN(SalesData[[#This Row],[Retailer]]))</f>
        <v>Hannover Cars</v>
      </c>
    </row>
    <row r="4396" spans="1:36" ht="14.25" hidden="1" x14ac:dyDescent="0.2">
      <c r="A4396" t="s">
        <v>5658</v>
      </c>
      <c r="B4396" s="1">
        <v>46078</v>
      </c>
      <c r="C4396" t="s">
        <v>53</v>
      </c>
      <c r="D4396" t="s">
        <v>82</v>
      </c>
      <c r="E4396" t="s">
        <v>26</v>
      </c>
      <c r="F4396" t="s">
        <v>27</v>
      </c>
      <c r="G4396" t="s">
        <v>28</v>
      </c>
      <c r="H4396" t="s">
        <v>29</v>
      </c>
      <c r="I4396" t="s">
        <v>56</v>
      </c>
      <c r="J4396" t="s">
        <v>97</v>
      </c>
      <c r="K4396" t="s">
        <v>78</v>
      </c>
      <c r="L4396" t="s">
        <v>33</v>
      </c>
      <c r="M4396" t="s">
        <v>34</v>
      </c>
      <c r="N4396" t="s">
        <v>35</v>
      </c>
      <c r="O4396" t="s">
        <v>36</v>
      </c>
      <c r="P4396" t="s">
        <v>71</v>
      </c>
      <c r="Q4396" t="s">
        <v>240</v>
      </c>
      <c r="R4396">
        <v>279</v>
      </c>
      <c r="S4396">
        <v>174</v>
      </c>
      <c r="T4396">
        <v>132</v>
      </c>
      <c r="U4396">
        <v>40</v>
      </c>
      <c r="V4396" t="s">
        <v>6489</v>
      </c>
      <c r="W4396">
        <v>49994</v>
      </c>
      <c r="X4396" t="s">
        <v>7445</v>
      </c>
      <c r="Y4396">
        <v>38822</v>
      </c>
      <c r="Z4396">
        <v>1999760</v>
      </c>
      <c r="AA4396">
        <v>446880</v>
      </c>
      <c r="AB4396" t="str">
        <f>(VLOOKUP(SalesData[[#This Row],[Month Number]],Reference!C$5:E$16,2,FALSE))</f>
        <v>Feb</v>
      </c>
      <c r="AC4396">
        <f>MONTH(SalesData[[#This Row],[Date]])</f>
        <v>2</v>
      </c>
      <c r="AD4396">
        <f>Reference!F$4</f>
        <v>2026</v>
      </c>
      <c r="AE4396" t="str">
        <f>IF(OR(SalesData[[#This Row],[Day]]="Saturday",SalesData[[#This Row],[Day]]="Sunday"),"Weekend","Weekday")</f>
        <v>Weekday</v>
      </c>
      <c r="AF4396" s="5">
        <f>IF(SalesData[[#This Row],[Contracts Offered]]=0,0,SalesData[[#This Row],[Contracts Signed]]/SalesData[[#This Row],[Contracts Offered]])</f>
        <v>0.30303030303030304</v>
      </c>
      <c r="AG4396" s="5">
        <f>IF(SalesData[[#This Row],[Customers Visited]]=0,0,SalesData[[#This Row],[Test Drives]]/SalesData[[#This Row],[Customers Visited]])</f>
        <v>0.62365591397849462</v>
      </c>
      <c r="AH4396" s="5">
        <f>IF(SalesData[[#This Row],[Customers Visited]]=0,0,SalesData[[#This Row],[Contracts Signed]]/SalesData[[#This Row],[Customers Visited]])</f>
        <v>0.14336917562724014</v>
      </c>
      <c r="AI4396" s="6">
        <f>IF(SalesData[[#This Row],[Contracts Signed]]=0,0,SalesData[[#This Row],[Profit(€)]]/SalesData[[#This Row],[Contracts Signed]])</f>
        <v>11172</v>
      </c>
      <c r="AJ4396" s="5" t="str">
        <f>TRIM(CLEAN(SalesData[[#This Row],[Retailer]]))</f>
        <v>Main Auto Hub</v>
      </c>
    </row>
    <row r="4397" spans="1:36" ht="14.25" x14ac:dyDescent="0.2">
      <c r="A4397" t="s">
        <v>5659</v>
      </c>
      <c r="B4397" s="1">
        <v>46077</v>
      </c>
      <c r="C4397" t="s">
        <v>53</v>
      </c>
      <c r="D4397" t="s">
        <v>63</v>
      </c>
      <c r="E4397" t="s">
        <v>26</v>
      </c>
      <c r="F4397" t="s">
        <v>7649</v>
      </c>
      <c r="G4397" t="s">
        <v>55</v>
      </c>
      <c r="H4397" t="s">
        <v>55</v>
      </c>
      <c r="I4397" t="s">
        <v>30</v>
      </c>
      <c r="J4397" t="s">
        <v>86</v>
      </c>
      <c r="K4397" t="s">
        <v>78</v>
      </c>
      <c r="L4397" t="s">
        <v>33</v>
      </c>
      <c r="M4397" t="s">
        <v>47</v>
      </c>
      <c r="N4397" t="s">
        <v>35</v>
      </c>
      <c r="O4397" t="s">
        <v>36</v>
      </c>
      <c r="P4397" t="s">
        <v>49</v>
      </c>
      <c r="Q4397" t="s">
        <v>118</v>
      </c>
      <c r="R4397">
        <v>154</v>
      </c>
      <c r="S4397">
        <v>77</v>
      </c>
      <c r="T4397">
        <v>57</v>
      </c>
      <c r="U4397">
        <v>21</v>
      </c>
      <c r="V4397" t="s">
        <v>6483</v>
      </c>
      <c r="W4397">
        <v>64773</v>
      </c>
      <c r="X4397" t="s">
        <v>80</v>
      </c>
      <c r="Y4397">
        <v>48925</v>
      </c>
      <c r="Z4397">
        <v>1360233</v>
      </c>
      <c r="AA4397">
        <v>332808</v>
      </c>
      <c r="AB4397" t="str">
        <f>(VLOOKUP(SalesData[[#This Row],[Month Number]],Reference!C$5:E$16,2,FALSE))</f>
        <v>Feb</v>
      </c>
      <c r="AC4397">
        <f>MONTH(SalesData[[#This Row],[Date]])</f>
        <v>2</v>
      </c>
      <c r="AD4397">
        <f>Reference!F$4</f>
        <v>2026</v>
      </c>
      <c r="AE4397" t="str">
        <f>IF(OR(SalesData[[#This Row],[Day]]="Saturday",SalesData[[#This Row],[Day]]="Sunday"),"Weekend","Weekday")</f>
        <v>Weekday</v>
      </c>
      <c r="AF4397" s="5">
        <f>IF(SalesData[[#This Row],[Contracts Offered]]=0,0,SalesData[[#This Row],[Contracts Signed]]/SalesData[[#This Row],[Contracts Offered]])</f>
        <v>0.36842105263157893</v>
      </c>
      <c r="AG4397" s="5">
        <f>IF(SalesData[[#This Row],[Customers Visited]]=0,0,SalesData[[#This Row],[Test Drives]]/SalesData[[#This Row],[Customers Visited]])</f>
        <v>0.5</v>
      </c>
      <c r="AH4397" s="5">
        <f>IF(SalesData[[#This Row],[Customers Visited]]=0,0,SalesData[[#This Row],[Contracts Signed]]/SalesData[[#This Row],[Customers Visited]])</f>
        <v>0.13636363636363635</v>
      </c>
      <c r="AI4397" s="6">
        <f>IF(SalesData[[#This Row],[Contracts Signed]]=0,0,SalesData[[#This Row],[Profit(€)]]/SalesData[[#This Row],[Contracts Signed]])</f>
        <v>15848</v>
      </c>
      <c r="AJ4397" s="5" t="str">
        <f>TRIM(CLEAN(SalesData[[#This Row],[Retailer]]))</f>
        <v>Autohaus Berlin</v>
      </c>
    </row>
    <row r="4398" spans="1:36" ht="14.25" hidden="1" x14ac:dyDescent="0.2">
      <c r="A4398" t="s">
        <v>5660</v>
      </c>
      <c r="B4398" s="1">
        <v>46063</v>
      </c>
      <c r="C4398" t="s">
        <v>121</v>
      </c>
      <c r="D4398" t="s">
        <v>63</v>
      </c>
      <c r="E4398" t="s">
        <v>26</v>
      </c>
      <c r="F4398" t="s">
        <v>114</v>
      </c>
      <c r="G4398" t="s">
        <v>115</v>
      </c>
      <c r="H4398" t="s">
        <v>115</v>
      </c>
      <c r="I4398" t="s">
        <v>104</v>
      </c>
      <c r="J4398" t="s">
        <v>7031</v>
      </c>
      <c r="K4398" t="s">
        <v>91</v>
      </c>
      <c r="L4398" t="s">
        <v>46</v>
      </c>
      <c r="M4398" t="s">
        <v>47</v>
      </c>
      <c r="N4398" t="s">
        <v>35</v>
      </c>
      <c r="O4398" t="s">
        <v>70</v>
      </c>
      <c r="P4398" t="s">
        <v>49</v>
      </c>
      <c r="Q4398" t="s">
        <v>129</v>
      </c>
      <c r="R4398">
        <v>289</v>
      </c>
      <c r="S4398">
        <v>139</v>
      </c>
      <c r="T4398">
        <v>83</v>
      </c>
      <c r="U4398">
        <v>24</v>
      </c>
      <c r="V4398" t="s">
        <v>531</v>
      </c>
      <c r="W4398">
        <v>32836</v>
      </c>
      <c r="X4398" t="s">
        <v>7550</v>
      </c>
      <c r="Y4398">
        <v>29669</v>
      </c>
      <c r="Z4398">
        <v>788064</v>
      </c>
      <c r="AA4398">
        <v>76008</v>
      </c>
      <c r="AB4398" t="str">
        <f>(VLOOKUP(SalesData[[#This Row],[Month Number]],Reference!C$5:E$16,2,FALSE))</f>
        <v>Feb</v>
      </c>
      <c r="AC4398">
        <f>MONTH(SalesData[[#This Row],[Date]])</f>
        <v>2</v>
      </c>
      <c r="AD4398">
        <f>Reference!F$4</f>
        <v>2026</v>
      </c>
      <c r="AE4398" t="str">
        <f>IF(OR(SalesData[[#This Row],[Day]]="Saturday",SalesData[[#This Row],[Day]]="Sunday"),"Weekend","Weekday")</f>
        <v>Weekday</v>
      </c>
      <c r="AF4398" s="5">
        <f>IF(SalesData[[#This Row],[Contracts Offered]]=0,0,SalesData[[#This Row],[Contracts Signed]]/SalesData[[#This Row],[Contracts Offered]])</f>
        <v>0.28915662650602408</v>
      </c>
      <c r="AG4398" s="5">
        <f>IF(SalesData[[#This Row],[Customers Visited]]=0,0,SalesData[[#This Row],[Test Drives]]/SalesData[[#This Row],[Customers Visited]])</f>
        <v>0.48096885813148788</v>
      </c>
      <c r="AH4398" s="5">
        <f>IF(SalesData[[#This Row],[Customers Visited]]=0,0,SalesData[[#This Row],[Contracts Signed]]/SalesData[[#This Row],[Customers Visited]])</f>
        <v>8.3044982698961933E-2</v>
      </c>
      <c r="AI4398" s="6">
        <f>IF(SalesData[[#This Row],[Contracts Signed]]=0,0,SalesData[[#This Row],[Profit(€)]]/SalesData[[#This Row],[Contracts Signed]])</f>
        <v>3167</v>
      </c>
      <c r="AJ4398" s="5" t="str">
        <f>TRIM(CLEAN(SalesData[[#This Row],[Retailer]]))</f>
        <v>Elbe Drive</v>
      </c>
    </row>
    <row r="4399" spans="1:36" ht="14.25" x14ac:dyDescent="0.2">
      <c r="A4399" t="s">
        <v>5662</v>
      </c>
      <c r="B4399" s="1">
        <v>46055</v>
      </c>
      <c r="C4399" t="s">
        <v>24</v>
      </c>
      <c r="D4399" t="s">
        <v>25</v>
      </c>
      <c r="E4399" t="s">
        <v>26</v>
      </c>
      <c r="F4399" t="s">
        <v>101</v>
      </c>
      <c r="G4399" t="s">
        <v>102</v>
      </c>
      <c r="H4399" t="s">
        <v>103</v>
      </c>
      <c r="I4399" t="s">
        <v>30</v>
      </c>
      <c r="J4399" t="s">
        <v>7075</v>
      </c>
      <c r="K4399" t="s">
        <v>32</v>
      </c>
      <c r="L4399" t="s">
        <v>33</v>
      </c>
      <c r="M4399" t="s">
        <v>34</v>
      </c>
      <c r="N4399" t="s">
        <v>48</v>
      </c>
      <c r="O4399" t="s">
        <v>36</v>
      </c>
      <c r="P4399" t="s">
        <v>58</v>
      </c>
      <c r="Q4399" t="s">
        <v>172</v>
      </c>
      <c r="R4399">
        <v>247</v>
      </c>
      <c r="S4399">
        <v>122</v>
      </c>
      <c r="T4399">
        <v>91</v>
      </c>
      <c r="U4399">
        <v>35</v>
      </c>
      <c r="V4399" t="s">
        <v>6552</v>
      </c>
      <c r="W4399">
        <v>55113</v>
      </c>
      <c r="X4399" t="s">
        <v>3025</v>
      </c>
      <c r="Y4399">
        <v>41732</v>
      </c>
      <c r="Z4399">
        <v>1928955</v>
      </c>
      <c r="AA4399">
        <v>468335</v>
      </c>
      <c r="AB4399" t="str">
        <f>(VLOOKUP(SalesData[[#This Row],[Month Number]],Reference!C$5:E$16,2,FALSE))</f>
        <v>Feb</v>
      </c>
      <c r="AC4399">
        <f>MONTH(SalesData[[#This Row],[Date]])</f>
        <v>2</v>
      </c>
      <c r="AD4399">
        <f>Reference!F$4</f>
        <v>2026</v>
      </c>
      <c r="AE4399" t="str">
        <f>IF(OR(SalesData[[#This Row],[Day]]="Saturday",SalesData[[#This Row],[Day]]="Sunday"),"Weekend","Weekday")</f>
        <v>Weekday</v>
      </c>
      <c r="AF4399" s="5">
        <f>IF(SalesData[[#This Row],[Contracts Offered]]=0,0,SalesData[[#This Row],[Contracts Signed]]/SalesData[[#This Row],[Contracts Offered]])</f>
        <v>0.38461538461538464</v>
      </c>
      <c r="AG4399" s="5">
        <f>IF(SalesData[[#This Row],[Customers Visited]]=0,0,SalesData[[#This Row],[Test Drives]]/SalesData[[#This Row],[Customers Visited]])</f>
        <v>0.49392712550607287</v>
      </c>
      <c r="AH4399" s="5">
        <f>IF(SalesData[[#This Row],[Customers Visited]]=0,0,SalesData[[#This Row],[Contracts Signed]]/SalesData[[#This Row],[Customers Visited]])</f>
        <v>0.1417004048582996</v>
      </c>
      <c r="AI4399" s="6">
        <f>IF(SalesData[[#This Row],[Contracts Signed]]=0,0,SalesData[[#This Row],[Profit(€)]]/SalesData[[#This Row],[Contracts Signed]])</f>
        <v>13381</v>
      </c>
      <c r="AJ4399" s="5" t="str">
        <f>TRIM(CLEAN(SalesData[[#This Row],[Retailer]]))</f>
        <v>Ruhr Auto Plaza</v>
      </c>
    </row>
    <row r="4400" spans="1:36" ht="14.25" hidden="1" x14ac:dyDescent="0.2">
      <c r="A4400" t="s">
        <v>5663</v>
      </c>
      <c r="B4400" s="1">
        <v>46059</v>
      </c>
      <c r="C4400" t="s">
        <v>24</v>
      </c>
      <c r="D4400" t="s">
        <v>54</v>
      </c>
      <c r="E4400" t="s">
        <v>26</v>
      </c>
      <c r="F4400" t="s">
        <v>43</v>
      </c>
      <c r="G4400" t="s">
        <v>44</v>
      </c>
      <c r="H4400" t="s">
        <v>45</v>
      </c>
      <c r="I4400" t="s">
        <v>64</v>
      </c>
      <c r="J4400" t="s">
        <v>77</v>
      </c>
      <c r="K4400" t="s">
        <v>66</v>
      </c>
      <c r="L4400" t="s">
        <v>46</v>
      </c>
      <c r="M4400" t="s">
        <v>68</v>
      </c>
      <c r="N4400" t="s">
        <v>69</v>
      </c>
      <c r="O4400" t="s">
        <v>36</v>
      </c>
      <c r="P4400" t="s">
        <v>71</v>
      </c>
      <c r="Q4400" t="s">
        <v>88</v>
      </c>
      <c r="R4400">
        <v>271</v>
      </c>
      <c r="S4400">
        <v>128</v>
      </c>
      <c r="T4400">
        <v>94</v>
      </c>
      <c r="U4400">
        <v>31</v>
      </c>
      <c r="V4400" t="s">
        <v>6536</v>
      </c>
      <c r="W4400">
        <v>62696</v>
      </c>
      <c r="X4400" t="s">
        <v>7378</v>
      </c>
      <c r="Y4400">
        <v>45762</v>
      </c>
      <c r="Z4400">
        <v>1943576</v>
      </c>
      <c r="AA4400">
        <v>524954</v>
      </c>
      <c r="AB4400" t="str">
        <f>(VLOOKUP(SalesData[[#This Row],[Month Number]],Reference!C$5:E$16,2,FALSE))</f>
        <v>Feb</v>
      </c>
      <c r="AC4400">
        <f>MONTH(SalesData[[#This Row],[Date]])</f>
        <v>2</v>
      </c>
      <c r="AD4400">
        <f>Reference!F$4</f>
        <v>2026</v>
      </c>
      <c r="AE4400" t="str">
        <f>IF(OR(SalesData[[#This Row],[Day]]="Saturday",SalesData[[#This Row],[Day]]="Sunday"),"Weekend","Weekday")</f>
        <v>Weekday</v>
      </c>
      <c r="AF4400" s="5">
        <f>IF(SalesData[[#This Row],[Contracts Offered]]=0,0,SalesData[[#This Row],[Contracts Signed]]/SalesData[[#This Row],[Contracts Offered]])</f>
        <v>0.32978723404255317</v>
      </c>
      <c r="AG4400" s="5">
        <f>IF(SalesData[[#This Row],[Customers Visited]]=0,0,SalesData[[#This Row],[Test Drives]]/SalesData[[#This Row],[Customers Visited]])</f>
        <v>0.47232472324723246</v>
      </c>
      <c r="AH4400" s="5">
        <f>IF(SalesData[[#This Row],[Customers Visited]]=0,0,SalesData[[#This Row],[Contracts Signed]]/SalesData[[#This Row],[Customers Visited]])</f>
        <v>0.11439114391143912</v>
      </c>
      <c r="AI4400" s="6">
        <f>IF(SalesData[[#This Row],[Contracts Signed]]=0,0,SalesData[[#This Row],[Profit(€)]]/SalesData[[#This Row],[Contracts Signed]])</f>
        <v>16934</v>
      </c>
      <c r="AJ4400" s="5" t="str">
        <f>TRIM(CLEAN(SalesData[[#This Row],[Retailer]]))</f>
        <v>Saxon Wheels</v>
      </c>
    </row>
    <row r="4401" spans="1:36" ht="14.25" hidden="1" x14ac:dyDescent="0.2">
      <c r="A4401" t="s">
        <v>5664</v>
      </c>
      <c r="B4401" s="1">
        <v>46075</v>
      </c>
      <c r="C4401" t="s">
        <v>53</v>
      </c>
      <c r="D4401" t="s">
        <v>41</v>
      </c>
      <c r="E4401" t="s">
        <v>42</v>
      </c>
      <c r="F4401" t="s">
        <v>109</v>
      </c>
      <c r="G4401" t="s">
        <v>110</v>
      </c>
      <c r="H4401" t="s">
        <v>45</v>
      </c>
      <c r="I4401" t="s">
        <v>56</v>
      </c>
      <c r="J4401" t="s">
        <v>7028</v>
      </c>
      <c r="K4401" t="s">
        <v>78</v>
      </c>
      <c r="L4401" t="s">
        <v>46</v>
      </c>
      <c r="M4401" t="s">
        <v>68</v>
      </c>
      <c r="N4401" t="s">
        <v>35</v>
      </c>
      <c r="O4401" t="s">
        <v>36</v>
      </c>
      <c r="P4401" t="s">
        <v>37</v>
      </c>
      <c r="Q4401" t="s">
        <v>347</v>
      </c>
      <c r="R4401">
        <v>163</v>
      </c>
      <c r="S4401">
        <v>75</v>
      </c>
      <c r="T4401">
        <v>55</v>
      </c>
      <c r="U4401">
        <v>14</v>
      </c>
      <c r="V4401" t="s">
        <v>935</v>
      </c>
      <c r="W4401">
        <v>44351</v>
      </c>
      <c r="X4401" t="s">
        <v>7246</v>
      </c>
      <c r="Y4401">
        <v>33629</v>
      </c>
      <c r="Z4401">
        <v>620914</v>
      </c>
      <c r="AA4401">
        <v>150108</v>
      </c>
      <c r="AB4401" t="str">
        <f>(VLOOKUP(SalesData[[#This Row],[Month Number]],Reference!C$5:E$16,2,FALSE))</f>
        <v>Feb</v>
      </c>
      <c r="AC4401">
        <f>MONTH(SalesData[[#This Row],[Date]])</f>
        <v>2</v>
      </c>
      <c r="AD4401">
        <f>Reference!F$4</f>
        <v>2026</v>
      </c>
      <c r="AE4401" t="str">
        <f>IF(OR(SalesData[[#This Row],[Day]]="Saturday",SalesData[[#This Row],[Day]]="Sunday"),"Weekend","Weekday")</f>
        <v>Weekend</v>
      </c>
      <c r="AF4401" s="5">
        <f>IF(SalesData[[#This Row],[Contracts Offered]]=0,0,SalesData[[#This Row],[Contracts Signed]]/SalesData[[#This Row],[Contracts Offered]])</f>
        <v>0.25454545454545452</v>
      </c>
      <c r="AG4401" s="5">
        <f>IF(SalesData[[#This Row],[Customers Visited]]=0,0,SalesData[[#This Row],[Test Drives]]/SalesData[[#This Row],[Customers Visited]])</f>
        <v>0.46012269938650308</v>
      </c>
      <c r="AH4401" s="5">
        <f>IF(SalesData[[#This Row],[Customers Visited]]=0,0,SalesData[[#This Row],[Contracts Signed]]/SalesData[[#This Row],[Customers Visited]])</f>
        <v>8.5889570552147243E-2</v>
      </c>
      <c r="AI4401" s="6">
        <f>IF(SalesData[[#This Row],[Contracts Signed]]=0,0,SalesData[[#This Row],[Profit(€)]]/SalesData[[#This Row],[Contracts Signed]])</f>
        <v>10722</v>
      </c>
      <c r="AJ4401" s="5" t="str">
        <f>TRIM(CLEAN(SalesData[[#This Row],[Retailer]]))</f>
        <v>Leipzig Mobility</v>
      </c>
    </row>
    <row r="4402" spans="1:36" ht="14.25" x14ac:dyDescent="0.2">
      <c r="A4402" t="s">
        <v>5665</v>
      </c>
      <c r="B4402" s="1">
        <v>46071</v>
      </c>
      <c r="C4402" t="s">
        <v>62</v>
      </c>
      <c r="D4402" t="s">
        <v>82</v>
      </c>
      <c r="E4402" t="s">
        <v>26</v>
      </c>
      <c r="F4402" t="s">
        <v>7649</v>
      </c>
      <c r="G4402" t="s">
        <v>55</v>
      </c>
      <c r="H4402" t="s">
        <v>55</v>
      </c>
      <c r="I4402" t="s">
        <v>30</v>
      </c>
      <c r="J4402" t="s">
        <v>7075</v>
      </c>
      <c r="K4402" t="s">
        <v>91</v>
      </c>
      <c r="L4402" t="s">
        <v>33</v>
      </c>
      <c r="M4402" t="s">
        <v>34</v>
      </c>
      <c r="N4402" t="s">
        <v>69</v>
      </c>
      <c r="O4402" t="s">
        <v>70</v>
      </c>
      <c r="P4402" t="s">
        <v>71</v>
      </c>
      <c r="Q4402" t="s">
        <v>59</v>
      </c>
      <c r="R4402">
        <v>180</v>
      </c>
      <c r="S4402">
        <v>107</v>
      </c>
      <c r="T4402">
        <v>82</v>
      </c>
      <c r="U4402">
        <v>31</v>
      </c>
      <c r="V4402" t="s">
        <v>6851</v>
      </c>
      <c r="W4402">
        <v>54340</v>
      </c>
      <c r="X4402" t="s">
        <v>7030</v>
      </c>
      <c r="Y4402">
        <v>42298</v>
      </c>
      <c r="Z4402">
        <v>1684540</v>
      </c>
      <c r="AA4402">
        <v>373302</v>
      </c>
      <c r="AB4402" t="str">
        <f>(VLOOKUP(SalesData[[#This Row],[Month Number]],Reference!C$5:E$16,2,FALSE))</f>
        <v>Feb</v>
      </c>
      <c r="AC4402">
        <f>MONTH(SalesData[[#This Row],[Date]])</f>
        <v>2</v>
      </c>
      <c r="AD4402">
        <f>Reference!F$4</f>
        <v>2026</v>
      </c>
      <c r="AE4402" t="str">
        <f>IF(OR(SalesData[[#This Row],[Day]]="Saturday",SalesData[[#This Row],[Day]]="Sunday"),"Weekend","Weekday")</f>
        <v>Weekday</v>
      </c>
      <c r="AF4402" s="5">
        <f>IF(SalesData[[#This Row],[Contracts Offered]]=0,0,SalesData[[#This Row],[Contracts Signed]]/SalesData[[#This Row],[Contracts Offered]])</f>
        <v>0.37804878048780488</v>
      </c>
      <c r="AG4402" s="5">
        <f>IF(SalesData[[#This Row],[Customers Visited]]=0,0,SalesData[[#This Row],[Test Drives]]/SalesData[[#This Row],[Customers Visited]])</f>
        <v>0.59444444444444444</v>
      </c>
      <c r="AH4402" s="5">
        <f>IF(SalesData[[#This Row],[Customers Visited]]=0,0,SalesData[[#This Row],[Contracts Signed]]/SalesData[[#This Row],[Customers Visited]])</f>
        <v>0.17222222222222222</v>
      </c>
      <c r="AI4402" s="6">
        <f>IF(SalesData[[#This Row],[Contracts Signed]]=0,0,SalesData[[#This Row],[Profit(€)]]/SalesData[[#This Row],[Contracts Signed]])</f>
        <v>12042</v>
      </c>
      <c r="AJ4402" s="5" t="str">
        <f>TRIM(CLEAN(SalesData[[#This Row],[Retailer]]))</f>
        <v>Autohaus Berlin</v>
      </c>
    </row>
    <row r="4403" spans="1:36" ht="14.25" x14ac:dyDescent="0.2">
      <c r="A4403" t="s">
        <v>5666</v>
      </c>
      <c r="B4403" s="1">
        <v>46076</v>
      </c>
      <c r="C4403" t="s">
        <v>53</v>
      </c>
      <c r="D4403" t="s">
        <v>25</v>
      </c>
      <c r="E4403" t="s">
        <v>26</v>
      </c>
      <c r="F4403" t="s">
        <v>94</v>
      </c>
      <c r="G4403" t="s">
        <v>95</v>
      </c>
      <c r="H4403" t="s">
        <v>96</v>
      </c>
      <c r="I4403" t="s">
        <v>30</v>
      </c>
      <c r="J4403" t="s">
        <v>188</v>
      </c>
      <c r="K4403" t="s">
        <v>91</v>
      </c>
      <c r="L4403" t="s">
        <v>33</v>
      </c>
      <c r="M4403" t="s">
        <v>34</v>
      </c>
      <c r="N4403" t="s">
        <v>48</v>
      </c>
      <c r="O4403" t="s">
        <v>36</v>
      </c>
      <c r="P4403" t="s">
        <v>58</v>
      </c>
      <c r="Q4403" t="s">
        <v>38</v>
      </c>
      <c r="R4403">
        <v>264</v>
      </c>
      <c r="S4403">
        <v>132</v>
      </c>
      <c r="T4403">
        <v>106</v>
      </c>
      <c r="U4403">
        <v>44</v>
      </c>
      <c r="V4403" t="s">
        <v>7206</v>
      </c>
      <c r="W4403">
        <v>67333</v>
      </c>
      <c r="X4403" t="s">
        <v>7465</v>
      </c>
      <c r="Y4403">
        <v>52342</v>
      </c>
      <c r="Z4403">
        <v>2962652</v>
      </c>
      <c r="AA4403">
        <v>659604</v>
      </c>
      <c r="AB4403" t="str">
        <f>(VLOOKUP(SalesData[[#This Row],[Month Number]],Reference!C$5:E$16,2,FALSE))</f>
        <v>Feb</v>
      </c>
      <c r="AC4403">
        <f>MONTH(SalesData[[#This Row],[Date]])</f>
        <v>2</v>
      </c>
      <c r="AD4403">
        <f>Reference!F$4</f>
        <v>2026</v>
      </c>
      <c r="AE4403" t="str">
        <f>IF(OR(SalesData[[#This Row],[Day]]="Saturday",SalesData[[#This Row],[Day]]="Sunday"),"Weekend","Weekday")</f>
        <v>Weekday</v>
      </c>
      <c r="AF4403" s="5">
        <f>IF(SalesData[[#This Row],[Contracts Offered]]=0,0,SalesData[[#This Row],[Contracts Signed]]/SalesData[[#This Row],[Contracts Offered]])</f>
        <v>0.41509433962264153</v>
      </c>
      <c r="AG4403" s="5">
        <f>IF(SalesData[[#This Row],[Customers Visited]]=0,0,SalesData[[#This Row],[Test Drives]]/SalesData[[#This Row],[Customers Visited]])</f>
        <v>0.5</v>
      </c>
      <c r="AH4403" s="5">
        <f>IF(SalesData[[#This Row],[Customers Visited]]=0,0,SalesData[[#This Row],[Contracts Signed]]/SalesData[[#This Row],[Customers Visited]])</f>
        <v>0.16666666666666666</v>
      </c>
      <c r="AI4403" s="6">
        <f>IF(SalesData[[#This Row],[Contracts Signed]]=0,0,SalesData[[#This Row],[Profit(€)]]/SalesData[[#This Row],[Contracts Signed]])</f>
        <v>14991</v>
      </c>
      <c r="AJ4403" s="5" t="str">
        <f>TRIM(CLEAN(SalesData[[#This Row],[Retailer]]))</f>
        <v>Bavaria Motors</v>
      </c>
    </row>
    <row r="4404" spans="1:36" ht="14.25" hidden="1" x14ac:dyDescent="0.2">
      <c r="A4404" t="s">
        <v>5667</v>
      </c>
      <c r="B4404" s="1">
        <v>46078</v>
      </c>
      <c r="C4404" t="s">
        <v>53</v>
      </c>
      <c r="D4404" t="s">
        <v>82</v>
      </c>
      <c r="E4404" t="s">
        <v>26</v>
      </c>
      <c r="F4404" t="s">
        <v>109</v>
      </c>
      <c r="G4404" t="s">
        <v>110</v>
      </c>
      <c r="H4404" t="s">
        <v>45</v>
      </c>
      <c r="I4404" t="s">
        <v>104</v>
      </c>
      <c r="J4404" t="s">
        <v>7031</v>
      </c>
      <c r="K4404" t="s">
        <v>91</v>
      </c>
      <c r="L4404" t="s">
        <v>46</v>
      </c>
      <c r="M4404" t="s">
        <v>68</v>
      </c>
      <c r="N4404" t="s">
        <v>48</v>
      </c>
      <c r="O4404" t="s">
        <v>70</v>
      </c>
      <c r="P4404" t="s">
        <v>37</v>
      </c>
      <c r="Q4404" t="s">
        <v>59</v>
      </c>
      <c r="R4404">
        <v>322</v>
      </c>
      <c r="S4404">
        <v>184</v>
      </c>
      <c r="T4404">
        <v>108</v>
      </c>
      <c r="U4404">
        <v>21</v>
      </c>
      <c r="V4404" t="s">
        <v>7575</v>
      </c>
      <c r="W4404">
        <v>31734</v>
      </c>
      <c r="X4404" t="s">
        <v>7397</v>
      </c>
      <c r="Y4404">
        <v>28354</v>
      </c>
      <c r="Z4404">
        <v>666414</v>
      </c>
      <c r="AA4404">
        <v>70980</v>
      </c>
      <c r="AB4404" t="str">
        <f>(VLOOKUP(SalesData[[#This Row],[Month Number]],Reference!C$5:E$16,2,FALSE))</f>
        <v>Feb</v>
      </c>
      <c r="AC4404">
        <f>MONTH(SalesData[[#This Row],[Date]])</f>
        <v>2</v>
      </c>
      <c r="AD4404">
        <f>Reference!F$4</f>
        <v>2026</v>
      </c>
      <c r="AE4404" t="str">
        <f>IF(OR(SalesData[[#This Row],[Day]]="Saturday",SalesData[[#This Row],[Day]]="Sunday"),"Weekend","Weekday")</f>
        <v>Weekday</v>
      </c>
      <c r="AF4404" s="5">
        <f>IF(SalesData[[#This Row],[Contracts Offered]]=0,0,SalesData[[#This Row],[Contracts Signed]]/SalesData[[#This Row],[Contracts Offered]])</f>
        <v>0.19444444444444445</v>
      </c>
      <c r="AG4404" s="5">
        <f>IF(SalesData[[#This Row],[Customers Visited]]=0,0,SalesData[[#This Row],[Test Drives]]/SalesData[[#This Row],[Customers Visited]])</f>
        <v>0.5714285714285714</v>
      </c>
      <c r="AH4404" s="5">
        <f>IF(SalesData[[#This Row],[Customers Visited]]=0,0,SalesData[[#This Row],[Contracts Signed]]/SalesData[[#This Row],[Customers Visited]])</f>
        <v>6.5217391304347824E-2</v>
      </c>
      <c r="AI4404" s="6">
        <f>IF(SalesData[[#This Row],[Contracts Signed]]=0,0,SalesData[[#This Row],[Profit(€)]]/SalesData[[#This Row],[Contracts Signed]])</f>
        <v>3380</v>
      </c>
      <c r="AJ4404" s="5" t="str">
        <f>TRIM(CLEAN(SalesData[[#This Row],[Retailer]]))</f>
        <v>Leipzig Mobility</v>
      </c>
    </row>
    <row r="4405" spans="1:36" ht="14.25" hidden="1" x14ac:dyDescent="0.2">
      <c r="A4405" t="s">
        <v>5668</v>
      </c>
      <c r="B4405" s="1">
        <v>46066</v>
      </c>
      <c r="C4405" t="s">
        <v>121</v>
      </c>
      <c r="D4405" t="s">
        <v>54</v>
      </c>
      <c r="E4405" t="s">
        <v>26</v>
      </c>
      <c r="F4405" t="s">
        <v>74</v>
      </c>
      <c r="G4405" t="s">
        <v>75</v>
      </c>
      <c r="H4405" t="s">
        <v>76</v>
      </c>
      <c r="I4405" t="s">
        <v>64</v>
      </c>
      <c r="J4405" t="s">
        <v>77</v>
      </c>
      <c r="K4405" t="s">
        <v>91</v>
      </c>
      <c r="L4405" t="s">
        <v>46</v>
      </c>
      <c r="M4405" t="s">
        <v>47</v>
      </c>
      <c r="N4405" t="s">
        <v>69</v>
      </c>
      <c r="O4405" t="s">
        <v>70</v>
      </c>
      <c r="P4405" t="s">
        <v>37</v>
      </c>
      <c r="Q4405" t="s">
        <v>122</v>
      </c>
      <c r="R4405">
        <v>274</v>
      </c>
      <c r="S4405">
        <v>145</v>
      </c>
      <c r="T4405">
        <v>112</v>
      </c>
      <c r="U4405">
        <v>38</v>
      </c>
      <c r="V4405" t="s">
        <v>6993</v>
      </c>
      <c r="W4405">
        <v>59477</v>
      </c>
      <c r="X4405" t="s">
        <v>7114</v>
      </c>
      <c r="Y4405">
        <v>45856</v>
      </c>
      <c r="Z4405">
        <v>2260126</v>
      </c>
      <c r="AA4405">
        <v>517598</v>
      </c>
      <c r="AB4405" t="str">
        <f>(VLOOKUP(SalesData[[#This Row],[Month Number]],Reference!C$5:E$16,2,FALSE))</f>
        <v>Feb</v>
      </c>
      <c r="AC4405">
        <f>MONTH(SalesData[[#This Row],[Date]])</f>
        <v>2</v>
      </c>
      <c r="AD4405">
        <f>Reference!F$4</f>
        <v>2026</v>
      </c>
      <c r="AE4405" t="str">
        <f>IF(OR(SalesData[[#This Row],[Day]]="Saturday",SalesData[[#This Row],[Day]]="Sunday"),"Weekend","Weekday")</f>
        <v>Weekday</v>
      </c>
      <c r="AF4405" s="5">
        <f>IF(SalesData[[#This Row],[Contracts Offered]]=0,0,SalesData[[#This Row],[Contracts Signed]]/SalesData[[#This Row],[Contracts Offered]])</f>
        <v>0.3392857142857143</v>
      </c>
      <c r="AG4405" s="5">
        <f>IF(SalesData[[#This Row],[Customers Visited]]=0,0,SalesData[[#This Row],[Test Drives]]/SalesData[[#This Row],[Customers Visited]])</f>
        <v>0.52919708029197077</v>
      </c>
      <c r="AH4405" s="5">
        <f>IF(SalesData[[#This Row],[Customers Visited]]=0,0,SalesData[[#This Row],[Contracts Signed]]/SalesData[[#This Row],[Customers Visited]])</f>
        <v>0.13868613138686131</v>
      </c>
      <c r="AI4405" s="6">
        <f>IF(SalesData[[#This Row],[Contracts Signed]]=0,0,SalesData[[#This Row],[Profit(€)]]/SalesData[[#This Row],[Contracts Signed]])</f>
        <v>13621</v>
      </c>
      <c r="AJ4405" s="5" t="str">
        <f>TRIM(CLEAN(SalesData[[#This Row],[Retailer]]))</f>
        <v>Stuttgart Auto Center</v>
      </c>
    </row>
    <row r="4406" spans="1:36" ht="14.25" hidden="1" x14ac:dyDescent="0.2">
      <c r="A4406" t="s">
        <v>5669</v>
      </c>
      <c r="B4406" s="1">
        <v>46056</v>
      </c>
      <c r="C4406" t="s">
        <v>24</v>
      </c>
      <c r="D4406" t="s">
        <v>63</v>
      </c>
      <c r="E4406" t="s">
        <v>26</v>
      </c>
      <c r="F4406" t="s">
        <v>27</v>
      </c>
      <c r="G4406" t="s">
        <v>28</v>
      </c>
      <c r="H4406" t="s">
        <v>29</v>
      </c>
      <c r="I4406" t="s">
        <v>104</v>
      </c>
      <c r="J4406" t="s">
        <v>143</v>
      </c>
      <c r="K4406" t="s">
        <v>78</v>
      </c>
      <c r="L4406" t="s">
        <v>67</v>
      </c>
      <c r="M4406" t="s">
        <v>87</v>
      </c>
      <c r="N4406" t="s">
        <v>35</v>
      </c>
      <c r="O4406" t="s">
        <v>70</v>
      </c>
      <c r="P4406" t="s">
        <v>71</v>
      </c>
      <c r="Q4406" t="s">
        <v>172</v>
      </c>
      <c r="R4406">
        <v>305</v>
      </c>
      <c r="S4406">
        <v>174</v>
      </c>
      <c r="T4406">
        <v>101</v>
      </c>
      <c r="U4406">
        <v>23</v>
      </c>
      <c r="V4406" t="s">
        <v>1612</v>
      </c>
      <c r="W4406">
        <v>28204</v>
      </c>
      <c r="X4406" t="s">
        <v>7550</v>
      </c>
      <c r="Y4406">
        <v>25100</v>
      </c>
      <c r="Z4406">
        <v>648692</v>
      </c>
      <c r="AA4406">
        <v>71392</v>
      </c>
      <c r="AB4406" t="str">
        <f>(VLOOKUP(SalesData[[#This Row],[Month Number]],Reference!C$5:E$16,2,FALSE))</f>
        <v>Feb</v>
      </c>
      <c r="AC4406">
        <f>MONTH(SalesData[[#This Row],[Date]])</f>
        <v>2</v>
      </c>
      <c r="AD4406">
        <f>Reference!F$4</f>
        <v>2026</v>
      </c>
      <c r="AE4406" t="str">
        <f>IF(OR(SalesData[[#This Row],[Day]]="Saturday",SalesData[[#This Row],[Day]]="Sunday"),"Weekend","Weekday")</f>
        <v>Weekday</v>
      </c>
      <c r="AF4406" s="5">
        <f>IF(SalesData[[#This Row],[Contracts Offered]]=0,0,SalesData[[#This Row],[Contracts Signed]]/SalesData[[#This Row],[Contracts Offered]])</f>
        <v>0.22772277227722773</v>
      </c>
      <c r="AG4406" s="5">
        <f>IF(SalesData[[#This Row],[Customers Visited]]=0,0,SalesData[[#This Row],[Test Drives]]/SalesData[[#This Row],[Customers Visited]])</f>
        <v>0.57049180327868854</v>
      </c>
      <c r="AH4406" s="5">
        <f>IF(SalesData[[#This Row],[Customers Visited]]=0,0,SalesData[[#This Row],[Contracts Signed]]/SalesData[[#This Row],[Customers Visited]])</f>
        <v>7.5409836065573776E-2</v>
      </c>
      <c r="AI4406" s="6">
        <f>IF(SalesData[[#This Row],[Contracts Signed]]=0,0,SalesData[[#This Row],[Profit(€)]]/SalesData[[#This Row],[Contracts Signed]])</f>
        <v>3104</v>
      </c>
      <c r="AJ4406" s="5" t="str">
        <f>TRIM(CLEAN(SalesData[[#This Row],[Retailer]]))</f>
        <v>Main Auto Hub</v>
      </c>
    </row>
    <row r="4407" spans="1:36" ht="14.25" hidden="1" x14ac:dyDescent="0.2">
      <c r="A4407" t="s">
        <v>5670</v>
      </c>
      <c r="B4407" s="1">
        <v>46064</v>
      </c>
      <c r="C4407" t="s">
        <v>121</v>
      </c>
      <c r="D4407" t="s">
        <v>82</v>
      </c>
      <c r="E4407" t="s">
        <v>26</v>
      </c>
      <c r="F4407" t="s">
        <v>101</v>
      </c>
      <c r="G4407" t="s">
        <v>102</v>
      </c>
      <c r="H4407" t="s">
        <v>103</v>
      </c>
      <c r="I4407" t="s">
        <v>56</v>
      </c>
      <c r="J4407" t="s">
        <v>7028</v>
      </c>
      <c r="K4407" t="s">
        <v>66</v>
      </c>
      <c r="L4407" t="s">
        <v>46</v>
      </c>
      <c r="M4407" t="s">
        <v>47</v>
      </c>
      <c r="N4407" t="s">
        <v>35</v>
      </c>
      <c r="O4407" t="s">
        <v>70</v>
      </c>
      <c r="P4407" t="s">
        <v>71</v>
      </c>
      <c r="Q4407" t="s">
        <v>167</v>
      </c>
      <c r="R4407">
        <v>175</v>
      </c>
      <c r="S4407">
        <v>109</v>
      </c>
      <c r="T4407">
        <v>79</v>
      </c>
      <c r="U4407">
        <v>25</v>
      </c>
      <c r="V4407" t="s">
        <v>6664</v>
      </c>
      <c r="W4407">
        <v>53595</v>
      </c>
      <c r="X4407" t="s">
        <v>2035</v>
      </c>
      <c r="Y4407">
        <v>40247</v>
      </c>
      <c r="Z4407">
        <v>1339875</v>
      </c>
      <c r="AA4407">
        <v>333700</v>
      </c>
      <c r="AB4407" t="str">
        <f>(VLOOKUP(SalesData[[#This Row],[Month Number]],Reference!C$5:E$16,2,FALSE))</f>
        <v>Feb</v>
      </c>
      <c r="AC4407">
        <f>MONTH(SalesData[[#This Row],[Date]])</f>
        <v>2</v>
      </c>
      <c r="AD4407">
        <f>Reference!F$4</f>
        <v>2026</v>
      </c>
      <c r="AE4407" t="str">
        <f>IF(OR(SalesData[[#This Row],[Day]]="Saturday",SalesData[[#This Row],[Day]]="Sunday"),"Weekend","Weekday")</f>
        <v>Weekday</v>
      </c>
      <c r="AF4407" s="5">
        <f>IF(SalesData[[#This Row],[Contracts Offered]]=0,0,SalesData[[#This Row],[Contracts Signed]]/SalesData[[#This Row],[Contracts Offered]])</f>
        <v>0.31645569620253167</v>
      </c>
      <c r="AG4407" s="5">
        <f>IF(SalesData[[#This Row],[Customers Visited]]=0,0,SalesData[[#This Row],[Test Drives]]/SalesData[[#This Row],[Customers Visited]])</f>
        <v>0.62285714285714289</v>
      </c>
      <c r="AH4407" s="5">
        <f>IF(SalesData[[#This Row],[Customers Visited]]=0,0,SalesData[[#This Row],[Contracts Signed]]/SalesData[[#This Row],[Customers Visited]])</f>
        <v>0.14285714285714285</v>
      </c>
      <c r="AI4407" s="6">
        <f>IF(SalesData[[#This Row],[Contracts Signed]]=0,0,SalesData[[#This Row],[Profit(€)]]/SalesData[[#This Row],[Contracts Signed]])</f>
        <v>13348</v>
      </c>
      <c r="AJ4407" s="5" t="str">
        <f>TRIM(CLEAN(SalesData[[#This Row],[Retailer]]))</f>
        <v>Ruhr Auto Plaza</v>
      </c>
    </row>
    <row r="4408" spans="1:36" ht="14.25" hidden="1" x14ac:dyDescent="0.2">
      <c r="A4408" t="s">
        <v>5671</v>
      </c>
      <c r="B4408" s="1">
        <v>46067</v>
      </c>
      <c r="C4408" t="s">
        <v>121</v>
      </c>
      <c r="D4408" t="s">
        <v>151</v>
      </c>
      <c r="E4408" t="s">
        <v>42</v>
      </c>
      <c r="F4408" t="s">
        <v>127</v>
      </c>
      <c r="G4408" t="s">
        <v>128</v>
      </c>
      <c r="H4408" t="s">
        <v>103</v>
      </c>
      <c r="I4408" t="s">
        <v>56</v>
      </c>
      <c r="J4408" t="s">
        <v>7028</v>
      </c>
      <c r="K4408" t="s">
        <v>91</v>
      </c>
      <c r="L4408" t="s">
        <v>46</v>
      </c>
      <c r="M4408" t="s">
        <v>68</v>
      </c>
      <c r="N4408" t="s">
        <v>48</v>
      </c>
      <c r="O4408" t="s">
        <v>36</v>
      </c>
      <c r="P4408" t="s">
        <v>71</v>
      </c>
      <c r="Q4408" t="s">
        <v>144</v>
      </c>
      <c r="R4408">
        <v>252</v>
      </c>
      <c r="S4408">
        <v>148</v>
      </c>
      <c r="T4408">
        <v>107</v>
      </c>
      <c r="U4408">
        <v>38</v>
      </c>
      <c r="V4408" t="s">
        <v>6736</v>
      </c>
      <c r="W4408">
        <v>51469</v>
      </c>
      <c r="X4408" t="s">
        <v>540</v>
      </c>
      <c r="Y4408">
        <v>41693</v>
      </c>
      <c r="Z4408">
        <v>1955822</v>
      </c>
      <c r="AA4408">
        <v>371488</v>
      </c>
      <c r="AB4408" t="str">
        <f>(VLOOKUP(SalesData[[#This Row],[Month Number]],Reference!C$5:E$16,2,FALSE))</f>
        <v>Feb</v>
      </c>
      <c r="AC4408">
        <f>MONTH(SalesData[[#This Row],[Date]])</f>
        <v>2</v>
      </c>
      <c r="AD4408">
        <f>Reference!F$4</f>
        <v>2026</v>
      </c>
      <c r="AE4408" t="str">
        <f>IF(OR(SalesData[[#This Row],[Day]]="Saturday",SalesData[[#This Row],[Day]]="Sunday"),"Weekend","Weekday")</f>
        <v>Weekend</v>
      </c>
      <c r="AF4408" s="5">
        <f>IF(SalesData[[#This Row],[Contracts Offered]]=0,0,SalesData[[#This Row],[Contracts Signed]]/SalesData[[#This Row],[Contracts Offered]])</f>
        <v>0.35514018691588783</v>
      </c>
      <c r="AG4408" s="5">
        <f>IF(SalesData[[#This Row],[Customers Visited]]=0,0,SalesData[[#This Row],[Test Drives]]/SalesData[[#This Row],[Customers Visited]])</f>
        <v>0.58730158730158732</v>
      </c>
      <c r="AH4408" s="5">
        <f>IF(SalesData[[#This Row],[Customers Visited]]=0,0,SalesData[[#This Row],[Contracts Signed]]/SalesData[[#This Row],[Customers Visited]])</f>
        <v>0.15079365079365079</v>
      </c>
      <c r="AI4408" s="6">
        <f>IF(SalesData[[#This Row],[Contracts Signed]]=0,0,SalesData[[#This Row],[Profit(€)]]/SalesData[[#This Row],[Contracts Signed]])</f>
        <v>9776</v>
      </c>
      <c r="AJ4408" s="5" t="str">
        <f>TRIM(CLEAN(SalesData[[#This Row],[Retailer]]))</f>
        <v>Rhein Auto Group</v>
      </c>
    </row>
    <row r="4409" spans="1:36" ht="14.25" hidden="1" x14ac:dyDescent="0.2">
      <c r="A4409" t="s">
        <v>5672</v>
      </c>
      <c r="B4409" s="1">
        <v>46078</v>
      </c>
      <c r="C4409" t="s">
        <v>53</v>
      </c>
      <c r="D4409" t="s">
        <v>82</v>
      </c>
      <c r="E4409" t="s">
        <v>26</v>
      </c>
      <c r="F4409" t="s">
        <v>127</v>
      </c>
      <c r="G4409" t="s">
        <v>128</v>
      </c>
      <c r="H4409" t="s">
        <v>103</v>
      </c>
      <c r="I4409" t="s">
        <v>64</v>
      </c>
      <c r="J4409" t="s">
        <v>7029</v>
      </c>
      <c r="K4409" t="s">
        <v>78</v>
      </c>
      <c r="L4409" t="s">
        <v>33</v>
      </c>
      <c r="M4409" t="s">
        <v>47</v>
      </c>
      <c r="N4409" t="s">
        <v>69</v>
      </c>
      <c r="O4409" t="s">
        <v>70</v>
      </c>
      <c r="P4409" t="s">
        <v>49</v>
      </c>
      <c r="Q4409" t="s">
        <v>169</v>
      </c>
      <c r="R4409">
        <v>156</v>
      </c>
      <c r="S4409">
        <v>81</v>
      </c>
      <c r="T4409">
        <v>58</v>
      </c>
      <c r="U4409">
        <v>21</v>
      </c>
      <c r="V4409" t="s">
        <v>6604</v>
      </c>
      <c r="W4409">
        <v>58031</v>
      </c>
      <c r="X4409" t="s">
        <v>589</v>
      </c>
      <c r="Y4409">
        <v>44828</v>
      </c>
      <c r="Z4409">
        <v>1218651</v>
      </c>
      <c r="AA4409">
        <v>277263</v>
      </c>
      <c r="AB4409" t="str">
        <f>(VLOOKUP(SalesData[[#This Row],[Month Number]],Reference!C$5:E$16,2,FALSE))</f>
        <v>Feb</v>
      </c>
      <c r="AC4409">
        <f>MONTH(SalesData[[#This Row],[Date]])</f>
        <v>2</v>
      </c>
      <c r="AD4409">
        <f>Reference!F$4</f>
        <v>2026</v>
      </c>
      <c r="AE4409" t="str">
        <f>IF(OR(SalesData[[#This Row],[Day]]="Saturday",SalesData[[#This Row],[Day]]="Sunday"),"Weekend","Weekday")</f>
        <v>Weekday</v>
      </c>
      <c r="AF4409" s="5">
        <f>IF(SalesData[[#This Row],[Contracts Offered]]=0,0,SalesData[[#This Row],[Contracts Signed]]/SalesData[[#This Row],[Contracts Offered]])</f>
        <v>0.36206896551724138</v>
      </c>
      <c r="AG4409" s="5">
        <f>IF(SalesData[[#This Row],[Customers Visited]]=0,0,SalesData[[#This Row],[Test Drives]]/SalesData[[#This Row],[Customers Visited]])</f>
        <v>0.51923076923076927</v>
      </c>
      <c r="AH4409" s="5">
        <f>IF(SalesData[[#This Row],[Customers Visited]]=0,0,SalesData[[#This Row],[Contracts Signed]]/SalesData[[#This Row],[Customers Visited]])</f>
        <v>0.13461538461538461</v>
      </c>
      <c r="AI4409" s="6">
        <f>IF(SalesData[[#This Row],[Contracts Signed]]=0,0,SalesData[[#This Row],[Profit(€)]]/SalesData[[#This Row],[Contracts Signed]])</f>
        <v>13203</v>
      </c>
      <c r="AJ4409" s="5" t="str">
        <f>TRIM(CLEAN(SalesData[[#This Row],[Retailer]]))</f>
        <v>Rhein Auto Group</v>
      </c>
    </row>
    <row r="4410" spans="1:36" ht="14.25" hidden="1" x14ac:dyDescent="0.2">
      <c r="A4410" t="s">
        <v>5673</v>
      </c>
      <c r="B4410" s="1">
        <v>46072</v>
      </c>
      <c r="C4410" t="s">
        <v>62</v>
      </c>
      <c r="D4410" t="s">
        <v>100</v>
      </c>
      <c r="E4410" t="s">
        <v>26</v>
      </c>
      <c r="F4410" t="s">
        <v>101</v>
      </c>
      <c r="G4410" t="s">
        <v>102</v>
      </c>
      <c r="H4410" t="s">
        <v>103</v>
      </c>
      <c r="I4410" t="s">
        <v>104</v>
      </c>
      <c r="J4410" t="s">
        <v>7031</v>
      </c>
      <c r="K4410" t="s">
        <v>78</v>
      </c>
      <c r="L4410" t="s">
        <v>46</v>
      </c>
      <c r="M4410" t="s">
        <v>87</v>
      </c>
      <c r="N4410" t="s">
        <v>69</v>
      </c>
      <c r="O4410" t="s">
        <v>70</v>
      </c>
      <c r="P4410" t="s">
        <v>71</v>
      </c>
      <c r="Q4410" t="s">
        <v>122</v>
      </c>
      <c r="R4410">
        <v>511</v>
      </c>
      <c r="S4410">
        <v>241</v>
      </c>
      <c r="T4410">
        <v>152</v>
      </c>
      <c r="U4410">
        <v>33</v>
      </c>
      <c r="V4410" t="s">
        <v>1411</v>
      </c>
      <c r="W4410">
        <v>28190</v>
      </c>
      <c r="X4410" t="s">
        <v>4982</v>
      </c>
      <c r="Y4410">
        <v>24317</v>
      </c>
      <c r="Z4410">
        <v>930270</v>
      </c>
      <c r="AA4410">
        <v>127809</v>
      </c>
      <c r="AB4410" t="str">
        <f>(VLOOKUP(SalesData[[#This Row],[Month Number]],Reference!C$5:E$16,2,FALSE))</f>
        <v>Feb</v>
      </c>
      <c r="AC4410">
        <f>MONTH(SalesData[[#This Row],[Date]])</f>
        <v>2</v>
      </c>
      <c r="AD4410">
        <f>Reference!F$4</f>
        <v>2026</v>
      </c>
      <c r="AE4410" t="str">
        <f>IF(OR(SalesData[[#This Row],[Day]]="Saturday",SalesData[[#This Row],[Day]]="Sunday"),"Weekend","Weekday")</f>
        <v>Weekday</v>
      </c>
      <c r="AF4410" s="5">
        <f>IF(SalesData[[#This Row],[Contracts Offered]]=0,0,SalesData[[#This Row],[Contracts Signed]]/SalesData[[#This Row],[Contracts Offered]])</f>
        <v>0.21710526315789475</v>
      </c>
      <c r="AG4410" s="5">
        <f>IF(SalesData[[#This Row],[Customers Visited]]=0,0,SalesData[[#This Row],[Test Drives]]/SalesData[[#This Row],[Customers Visited]])</f>
        <v>0.47162426614481406</v>
      </c>
      <c r="AH4410" s="5">
        <f>IF(SalesData[[#This Row],[Customers Visited]]=0,0,SalesData[[#This Row],[Contracts Signed]]/SalesData[[#This Row],[Customers Visited]])</f>
        <v>6.4579256360078274E-2</v>
      </c>
      <c r="AI4410" s="6">
        <f>IF(SalesData[[#This Row],[Contracts Signed]]=0,0,SalesData[[#This Row],[Profit(€)]]/SalesData[[#This Row],[Contracts Signed]])</f>
        <v>3873</v>
      </c>
      <c r="AJ4410" s="5" t="str">
        <f>TRIM(CLEAN(SalesData[[#This Row],[Retailer]]))</f>
        <v>Ruhr Auto Plaza</v>
      </c>
    </row>
    <row r="4411" spans="1:36" ht="14.25" x14ac:dyDescent="0.2">
      <c r="A4411" t="s">
        <v>5674</v>
      </c>
      <c r="B4411" s="1">
        <v>46057</v>
      </c>
      <c r="C4411" t="s">
        <v>24</v>
      </c>
      <c r="D4411" t="s">
        <v>82</v>
      </c>
      <c r="E4411" t="s">
        <v>26</v>
      </c>
      <c r="F4411" t="s">
        <v>109</v>
      </c>
      <c r="G4411" t="s">
        <v>110</v>
      </c>
      <c r="H4411" t="s">
        <v>45</v>
      </c>
      <c r="I4411" t="s">
        <v>30</v>
      </c>
      <c r="J4411" t="s">
        <v>7075</v>
      </c>
      <c r="K4411" t="s">
        <v>91</v>
      </c>
      <c r="L4411" t="s">
        <v>33</v>
      </c>
      <c r="M4411" t="s">
        <v>68</v>
      </c>
      <c r="N4411" t="s">
        <v>48</v>
      </c>
      <c r="O4411" t="s">
        <v>36</v>
      </c>
      <c r="P4411" t="s">
        <v>71</v>
      </c>
      <c r="Q4411" t="s">
        <v>204</v>
      </c>
      <c r="R4411">
        <v>264</v>
      </c>
      <c r="S4411">
        <v>133</v>
      </c>
      <c r="T4411">
        <v>99</v>
      </c>
      <c r="U4411">
        <v>37</v>
      </c>
      <c r="V4411" t="s">
        <v>7306</v>
      </c>
      <c r="W4411">
        <v>55523</v>
      </c>
      <c r="X4411" t="s">
        <v>7266</v>
      </c>
      <c r="Y4411">
        <v>41813</v>
      </c>
      <c r="Z4411">
        <v>2054351</v>
      </c>
      <c r="AA4411">
        <v>507270</v>
      </c>
      <c r="AB4411" t="str">
        <f>(VLOOKUP(SalesData[[#This Row],[Month Number]],Reference!C$5:E$16,2,FALSE))</f>
        <v>Feb</v>
      </c>
      <c r="AC4411">
        <f>MONTH(SalesData[[#This Row],[Date]])</f>
        <v>2</v>
      </c>
      <c r="AD4411">
        <f>Reference!F$4</f>
        <v>2026</v>
      </c>
      <c r="AE4411" t="str">
        <f>IF(OR(SalesData[[#This Row],[Day]]="Saturday",SalesData[[#This Row],[Day]]="Sunday"),"Weekend","Weekday")</f>
        <v>Weekday</v>
      </c>
      <c r="AF4411" s="5">
        <f>IF(SalesData[[#This Row],[Contracts Offered]]=0,0,SalesData[[#This Row],[Contracts Signed]]/SalesData[[#This Row],[Contracts Offered]])</f>
        <v>0.37373737373737376</v>
      </c>
      <c r="AG4411" s="5">
        <f>IF(SalesData[[#This Row],[Customers Visited]]=0,0,SalesData[[#This Row],[Test Drives]]/SalesData[[#This Row],[Customers Visited]])</f>
        <v>0.50378787878787878</v>
      </c>
      <c r="AH4411" s="5">
        <f>IF(SalesData[[#This Row],[Customers Visited]]=0,0,SalesData[[#This Row],[Contracts Signed]]/SalesData[[#This Row],[Customers Visited]])</f>
        <v>0.14015151515151514</v>
      </c>
      <c r="AI4411" s="6">
        <f>IF(SalesData[[#This Row],[Contracts Signed]]=0,0,SalesData[[#This Row],[Profit(€)]]/SalesData[[#This Row],[Contracts Signed]])</f>
        <v>13710</v>
      </c>
      <c r="AJ4411" s="5" t="str">
        <f>TRIM(CLEAN(SalesData[[#This Row],[Retailer]]))</f>
        <v>Leipzig Mobility</v>
      </c>
    </row>
    <row r="4412" spans="1:36" ht="14.25" hidden="1" x14ac:dyDescent="0.2">
      <c r="A4412" t="s">
        <v>5675</v>
      </c>
      <c r="B4412" s="1">
        <v>46074</v>
      </c>
      <c r="C4412" t="s">
        <v>62</v>
      </c>
      <c r="D4412" t="s">
        <v>151</v>
      </c>
      <c r="E4412" t="s">
        <v>42</v>
      </c>
      <c r="F4412" t="s">
        <v>114</v>
      </c>
      <c r="G4412" t="s">
        <v>115</v>
      </c>
      <c r="H4412" t="s">
        <v>115</v>
      </c>
      <c r="I4412" t="s">
        <v>116</v>
      </c>
      <c r="J4412" t="s">
        <v>117</v>
      </c>
      <c r="K4412" t="s">
        <v>66</v>
      </c>
      <c r="L4412" t="s">
        <v>67</v>
      </c>
      <c r="M4412" t="s">
        <v>87</v>
      </c>
      <c r="N4412" t="s">
        <v>48</v>
      </c>
      <c r="O4412" t="s">
        <v>36</v>
      </c>
      <c r="P4412" t="s">
        <v>37</v>
      </c>
      <c r="Q4412" t="s">
        <v>144</v>
      </c>
      <c r="R4412">
        <v>333</v>
      </c>
      <c r="S4412">
        <v>161</v>
      </c>
      <c r="T4412">
        <v>112</v>
      </c>
      <c r="U4412">
        <v>28</v>
      </c>
      <c r="V4412" t="s">
        <v>292</v>
      </c>
      <c r="W4412">
        <v>26668</v>
      </c>
      <c r="X4412" t="s">
        <v>2056</v>
      </c>
      <c r="Y4412">
        <v>24727</v>
      </c>
      <c r="Z4412">
        <v>746704</v>
      </c>
      <c r="AA4412">
        <v>54348</v>
      </c>
      <c r="AB4412" t="str">
        <f>(VLOOKUP(SalesData[[#This Row],[Month Number]],Reference!C$5:E$16,2,FALSE))</f>
        <v>Feb</v>
      </c>
      <c r="AC4412">
        <f>MONTH(SalesData[[#This Row],[Date]])</f>
        <v>2</v>
      </c>
      <c r="AD4412">
        <f>Reference!F$4</f>
        <v>2026</v>
      </c>
      <c r="AE4412" t="str">
        <f>IF(OR(SalesData[[#This Row],[Day]]="Saturday",SalesData[[#This Row],[Day]]="Sunday"),"Weekend","Weekday")</f>
        <v>Weekend</v>
      </c>
      <c r="AF4412" s="5">
        <f>IF(SalesData[[#This Row],[Contracts Offered]]=0,0,SalesData[[#This Row],[Contracts Signed]]/SalesData[[#This Row],[Contracts Offered]])</f>
        <v>0.25</v>
      </c>
      <c r="AG4412" s="5">
        <f>IF(SalesData[[#This Row],[Customers Visited]]=0,0,SalesData[[#This Row],[Test Drives]]/SalesData[[#This Row],[Customers Visited]])</f>
        <v>0.48348348348348347</v>
      </c>
      <c r="AH4412" s="5">
        <f>IF(SalesData[[#This Row],[Customers Visited]]=0,0,SalesData[[#This Row],[Contracts Signed]]/SalesData[[#This Row],[Customers Visited]])</f>
        <v>8.408408408408409E-2</v>
      </c>
      <c r="AI4412" s="6">
        <f>IF(SalesData[[#This Row],[Contracts Signed]]=0,0,SalesData[[#This Row],[Profit(€)]]/SalesData[[#This Row],[Contracts Signed]])</f>
        <v>1941</v>
      </c>
      <c r="AJ4412" s="5" t="str">
        <f>TRIM(CLEAN(SalesData[[#This Row],[Retailer]]))</f>
        <v>Elbe Drive</v>
      </c>
    </row>
    <row r="4413" spans="1:36" ht="14.25" hidden="1" x14ac:dyDescent="0.2">
      <c r="A4413" t="s">
        <v>5676</v>
      </c>
      <c r="B4413" s="1">
        <v>46059</v>
      </c>
      <c r="C4413" t="s">
        <v>24</v>
      </c>
      <c r="D4413" t="s">
        <v>54</v>
      </c>
      <c r="E4413" t="s">
        <v>26</v>
      </c>
      <c r="F4413" t="s">
        <v>101</v>
      </c>
      <c r="G4413" t="s">
        <v>102</v>
      </c>
      <c r="H4413" t="s">
        <v>103</v>
      </c>
      <c r="I4413" t="s">
        <v>116</v>
      </c>
      <c r="J4413" t="s">
        <v>7090</v>
      </c>
      <c r="K4413" t="s">
        <v>66</v>
      </c>
      <c r="L4413" t="s">
        <v>46</v>
      </c>
      <c r="M4413" t="s">
        <v>47</v>
      </c>
      <c r="N4413" t="s">
        <v>35</v>
      </c>
      <c r="O4413" t="s">
        <v>36</v>
      </c>
      <c r="P4413" t="s">
        <v>71</v>
      </c>
      <c r="Q4413" t="s">
        <v>88</v>
      </c>
      <c r="R4413">
        <v>223</v>
      </c>
      <c r="S4413">
        <v>87</v>
      </c>
      <c r="T4413">
        <v>57</v>
      </c>
      <c r="U4413">
        <v>14</v>
      </c>
      <c r="V4413" t="s">
        <v>365</v>
      </c>
      <c r="W4413">
        <v>22427</v>
      </c>
      <c r="X4413" t="s">
        <v>1940</v>
      </c>
      <c r="Y4413">
        <v>20106</v>
      </c>
      <c r="Z4413">
        <v>313978</v>
      </c>
      <c r="AA4413">
        <v>32494</v>
      </c>
      <c r="AB4413" t="str">
        <f>(VLOOKUP(SalesData[[#This Row],[Month Number]],Reference!C$5:E$16,2,FALSE))</f>
        <v>Feb</v>
      </c>
      <c r="AC4413">
        <f>MONTH(SalesData[[#This Row],[Date]])</f>
        <v>2</v>
      </c>
      <c r="AD4413">
        <f>Reference!F$4</f>
        <v>2026</v>
      </c>
      <c r="AE4413" t="str">
        <f>IF(OR(SalesData[[#This Row],[Day]]="Saturday",SalesData[[#This Row],[Day]]="Sunday"),"Weekend","Weekday")</f>
        <v>Weekday</v>
      </c>
      <c r="AF4413" s="5">
        <f>IF(SalesData[[#This Row],[Contracts Offered]]=0,0,SalesData[[#This Row],[Contracts Signed]]/SalesData[[#This Row],[Contracts Offered]])</f>
        <v>0.24561403508771928</v>
      </c>
      <c r="AG4413" s="5">
        <f>IF(SalesData[[#This Row],[Customers Visited]]=0,0,SalesData[[#This Row],[Test Drives]]/SalesData[[#This Row],[Customers Visited]])</f>
        <v>0.39013452914798208</v>
      </c>
      <c r="AH4413" s="5">
        <f>IF(SalesData[[#This Row],[Customers Visited]]=0,0,SalesData[[#This Row],[Contracts Signed]]/SalesData[[#This Row],[Customers Visited]])</f>
        <v>6.2780269058295965E-2</v>
      </c>
      <c r="AI4413" s="6">
        <f>IF(SalesData[[#This Row],[Contracts Signed]]=0,0,SalesData[[#This Row],[Profit(€)]]/SalesData[[#This Row],[Contracts Signed]])</f>
        <v>2321</v>
      </c>
      <c r="AJ4413" s="5" t="str">
        <f>TRIM(CLEAN(SalesData[[#This Row],[Retailer]]))</f>
        <v>Ruhr Auto Plaza</v>
      </c>
    </row>
    <row r="4414" spans="1:36" ht="14.25" hidden="1" x14ac:dyDescent="0.2">
      <c r="A4414" t="s">
        <v>5677</v>
      </c>
      <c r="B4414" s="1">
        <v>46061</v>
      </c>
      <c r="C4414" t="s">
        <v>121</v>
      </c>
      <c r="D4414" t="s">
        <v>41</v>
      </c>
      <c r="E4414" t="s">
        <v>42</v>
      </c>
      <c r="F4414" t="s">
        <v>127</v>
      </c>
      <c r="G4414" t="s">
        <v>128</v>
      </c>
      <c r="H4414" t="s">
        <v>103</v>
      </c>
      <c r="I4414" t="s">
        <v>104</v>
      </c>
      <c r="J4414" t="s">
        <v>143</v>
      </c>
      <c r="K4414" t="s">
        <v>78</v>
      </c>
      <c r="L4414" t="s">
        <v>67</v>
      </c>
      <c r="M4414" t="s">
        <v>34</v>
      </c>
      <c r="N4414" t="s">
        <v>69</v>
      </c>
      <c r="O4414" t="s">
        <v>70</v>
      </c>
      <c r="P4414" t="s">
        <v>71</v>
      </c>
      <c r="Q4414" t="s">
        <v>106</v>
      </c>
      <c r="R4414">
        <v>339</v>
      </c>
      <c r="S4414">
        <v>171</v>
      </c>
      <c r="T4414">
        <v>107</v>
      </c>
      <c r="U4414">
        <v>26</v>
      </c>
      <c r="V4414" t="s">
        <v>2827</v>
      </c>
      <c r="W4414">
        <v>27675</v>
      </c>
      <c r="X4414" t="s">
        <v>238</v>
      </c>
      <c r="Y4414">
        <v>24063</v>
      </c>
      <c r="Z4414">
        <v>719550</v>
      </c>
      <c r="AA4414">
        <v>93912</v>
      </c>
      <c r="AB4414" t="str">
        <f>(VLOOKUP(SalesData[[#This Row],[Month Number]],Reference!C$5:E$16,2,FALSE))</f>
        <v>Feb</v>
      </c>
      <c r="AC4414">
        <f>MONTH(SalesData[[#This Row],[Date]])</f>
        <v>2</v>
      </c>
      <c r="AD4414">
        <f>Reference!F$4</f>
        <v>2026</v>
      </c>
      <c r="AE4414" t="str">
        <f>IF(OR(SalesData[[#This Row],[Day]]="Saturday",SalesData[[#This Row],[Day]]="Sunday"),"Weekend","Weekday")</f>
        <v>Weekend</v>
      </c>
      <c r="AF4414" s="5">
        <f>IF(SalesData[[#This Row],[Contracts Offered]]=0,0,SalesData[[#This Row],[Contracts Signed]]/SalesData[[#This Row],[Contracts Offered]])</f>
        <v>0.24299065420560748</v>
      </c>
      <c r="AG4414" s="5">
        <f>IF(SalesData[[#This Row],[Customers Visited]]=0,0,SalesData[[#This Row],[Test Drives]]/SalesData[[#This Row],[Customers Visited]])</f>
        <v>0.50442477876106195</v>
      </c>
      <c r="AH4414" s="5">
        <f>IF(SalesData[[#This Row],[Customers Visited]]=0,0,SalesData[[#This Row],[Contracts Signed]]/SalesData[[#This Row],[Customers Visited]])</f>
        <v>7.6696165191740412E-2</v>
      </c>
      <c r="AI4414" s="6">
        <f>IF(SalesData[[#This Row],[Contracts Signed]]=0,0,SalesData[[#This Row],[Profit(€)]]/SalesData[[#This Row],[Contracts Signed]])</f>
        <v>3612</v>
      </c>
      <c r="AJ4414" s="5" t="str">
        <f>TRIM(CLEAN(SalesData[[#This Row],[Retailer]]))</f>
        <v>Rhein Auto Group</v>
      </c>
    </row>
    <row r="4415" spans="1:36" ht="14.25" x14ac:dyDescent="0.2">
      <c r="A4415" t="s">
        <v>5678</v>
      </c>
      <c r="B4415" s="1">
        <v>46080</v>
      </c>
      <c r="C4415" t="s">
        <v>53</v>
      </c>
      <c r="D4415" t="s">
        <v>54</v>
      </c>
      <c r="E4415" t="s">
        <v>26</v>
      </c>
      <c r="F4415" t="s">
        <v>83</v>
      </c>
      <c r="G4415" t="s">
        <v>84</v>
      </c>
      <c r="H4415" t="s">
        <v>85</v>
      </c>
      <c r="I4415" t="s">
        <v>30</v>
      </c>
      <c r="J4415" t="s">
        <v>166</v>
      </c>
      <c r="K4415" t="s">
        <v>78</v>
      </c>
      <c r="L4415" t="s">
        <v>46</v>
      </c>
      <c r="M4415" t="s">
        <v>47</v>
      </c>
      <c r="N4415" t="s">
        <v>35</v>
      </c>
      <c r="O4415" t="s">
        <v>36</v>
      </c>
      <c r="P4415" t="s">
        <v>37</v>
      </c>
      <c r="Q4415" t="s">
        <v>79</v>
      </c>
      <c r="R4415">
        <v>280</v>
      </c>
      <c r="S4415">
        <v>137</v>
      </c>
      <c r="T4415">
        <v>103</v>
      </c>
      <c r="U4415">
        <v>37</v>
      </c>
      <c r="V4415" t="s">
        <v>7003</v>
      </c>
      <c r="W4415">
        <v>67655</v>
      </c>
      <c r="X4415" t="s">
        <v>7083</v>
      </c>
      <c r="Y4415">
        <v>51793</v>
      </c>
      <c r="Z4415">
        <v>2503235</v>
      </c>
      <c r="AA4415">
        <v>586894</v>
      </c>
      <c r="AB4415" t="str">
        <f>(VLOOKUP(SalesData[[#This Row],[Month Number]],Reference!C$5:E$16,2,FALSE))</f>
        <v>Feb</v>
      </c>
      <c r="AC4415">
        <f>MONTH(SalesData[[#This Row],[Date]])</f>
        <v>2</v>
      </c>
      <c r="AD4415">
        <f>Reference!F$4</f>
        <v>2026</v>
      </c>
      <c r="AE4415" t="str">
        <f>IF(OR(SalesData[[#This Row],[Day]]="Saturday",SalesData[[#This Row],[Day]]="Sunday"),"Weekend","Weekday")</f>
        <v>Weekday</v>
      </c>
      <c r="AF4415" s="5">
        <f>IF(SalesData[[#This Row],[Contracts Offered]]=0,0,SalesData[[#This Row],[Contracts Signed]]/SalesData[[#This Row],[Contracts Offered]])</f>
        <v>0.35922330097087379</v>
      </c>
      <c r="AG4415" s="5">
        <f>IF(SalesData[[#This Row],[Customers Visited]]=0,0,SalesData[[#This Row],[Test Drives]]/SalesData[[#This Row],[Customers Visited]])</f>
        <v>0.48928571428571427</v>
      </c>
      <c r="AH4415" s="5">
        <f>IF(SalesData[[#This Row],[Customers Visited]]=0,0,SalesData[[#This Row],[Contracts Signed]]/SalesData[[#This Row],[Customers Visited]])</f>
        <v>0.13214285714285715</v>
      </c>
      <c r="AI4415" s="6">
        <f>IF(SalesData[[#This Row],[Contracts Signed]]=0,0,SalesData[[#This Row],[Profit(€)]]/SalesData[[#This Row],[Contracts Signed]])</f>
        <v>15862</v>
      </c>
      <c r="AJ4415" s="5" t="str">
        <f>TRIM(CLEAN(SalesData[[#This Row],[Retailer]]))</f>
        <v>Hannover Cars</v>
      </c>
    </row>
    <row r="4416" spans="1:36" ht="14.25" hidden="1" x14ac:dyDescent="0.2">
      <c r="A4416" t="s">
        <v>5679</v>
      </c>
      <c r="B4416" s="1">
        <v>46070</v>
      </c>
      <c r="C4416" t="s">
        <v>62</v>
      </c>
      <c r="D4416" t="s">
        <v>63</v>
      </c>
      <c r="E4416" t="s">
        <v>26</v>
      </c>
      <c r="F4416" t="s">
        <v>101</v>
      </c>
      <c r="G4416" t="s">
        <v>102</v>
      </c>
      <c r="H4416" t="s">
        <v>103</v>
      </c>
      <c r="I4416" t="s">
        <v>104</v>
      </c>
      <c r="J4416" t="s">
        <v>143</v>
      </c>
      <c r="K4416" t="s">
        <v>91</v>
      </c>
      <c r="L4416" t="s">
        <v>67</v>
      </c>
      <c r="M4416" t="s">
        <v>47</v>
      </c>
      <c r="N4416" t="s">
        <v>69</v>
      </c>
      <c r="O4416" t="s">
        <v>70</v>
      </c>
      <c r="P4416" t="s">
        <v>49</v>
      </c>
      <c r="Q4416" t="s">
        <v>88</v>
      </c>
      <c r="R4416">
        <v>300</v>
      </c>
      <c r="S4416">
        <v>151</v>
      </c>
      <c r="T4416">
        <v>104</v>
      </c>
      <c r="U4416">
        <v>18</v>
      </c>
      <c r="V4416" t="s">
        <v>3542</v>
      </c>
      <c r="W4416">
        <v>27814</v>
      </c>
      <c r="X4416" t="s">
        <v>7234</v>
      </c>
      <c r="Y4416">
        <v>24338</v>
      </c>
      <c r="Z4416">
        <v>500652</v>
      </c>
      <c r="AA4416">
        <v>62568</v>
      </c>
      <c r="AB4416" t="str">
        <f>(VLOOKUP(SalesData[[#This Row],[Month Number]],Reference!C$5:E$16,2,FALSE))</f>
        <v>Feb</v>
      </c>
      <c r="AC4416">
        <f>MONTH(SalesData[[#This Row],[Date]])</f>
        <v>2</v>
      </c>
      <c r="AD4416">
        <f>Reference!F$4</f>
        <v>2026</v>
      </c>
      <c r="AE4416" t="str">
        <f>IF(OR(SalesData[[#This Row],[Day]]="Saturday",SalesData[[#This Row],[Day]]="Sunday"),"Weekend","Weekday")</f>
        <v>Weekday</v>
      </c>
      <c r="AF4416" s="5">
        <f>IF(SalesData[[#This Row],[Contracts Offered]]=0,0,SalesData[[#This Row],[Contracts Signed]]/SalesData[[#This Row],[Contracts Offered]])</f>
        <v>0.17307692307692307</v>
      </c>
      <c r="AG4416" s="5">
        <f>IF(SalesData[[#This Row],[Customers Visited]]=0,0,SalesData[[#This Row],[Test Drives]]/SalesData[[#This Row],[Customers Visited]])</f>
        <v>0.5033333333333333</v>
      </c>
      <c r="AH4416" s="5">
        <f>IF(SalesData[[#This Row],[Customers Visited]]=0,0,SalesData[[#This Row],[Contracts Signed]]/SalesData[[#This Row],[Customers Visited]])</f>
        <v>0.06</v>
      </c>
      <c r="AI4416" s="6">
        <f>IF(SalesData[[#This Row],[Contracts Signed]]=0,0,SalesData[[#This Row],[Profit(€)]]/SalesData[[#This Row],[Contracts Signed]])</f>
        <v>3476</v>
      </c>
      <c r="AJ4416" s="5" t="str">
        <f>TRIM(CLEAN(SalesData[[#This Row],[Retailer]]))</f>
        <v>Ruhr Auto Plaza</v>
      </c>
    </row>
    <row r="4417" spans="1:36" ht="14.25" hidden="1" x14ac:dyDescent="0.2">
      <c r="A4417" t="s">
        <v>5680</v>
      </c>
      <c r="B4417" s="1">
        <v>46078</v>
      </c>
      <c r="C4417" t="s">
        <v>53</v>
      </c>
      <c r="D4417" t="s">
        <v>82</v>
      </c>
      <c r="E4417" t="s">
        <v>26</v>
      </c>
      <c r="F4417" t="s">
        <v>127</v>
      </c>
      <c r="G4417" t="s">
        <v>128</v>
      </c>
      <c r="H4417" t="s">
        <v>103</v>
      </c>
      <c r="I4417" t="s">
        <v>104</v>
      </c>
      <c r="J4417" t="s">
        <v>7061</v>
      </c>
      <c r="K4417" t="s">
        <v>78</v>
      </c>
      <c r="L4417" t="s">
        <v>46</v>
      </c>
      <c r="M4417" t="s">
        <v>34</v>
      </c>
      <c r="N4417" t="s">
        <v>35</v>
      </c>
      <c r="O4417" t="s">
        <v>36</v>
      </c>
      <c r="P4417" t="s">
        <v>71</v>
      </c>
      <c r="Q4417" t="s">
        <v>79</v>
      </c>
      <c r="R4417">
        <v>402</v>
      </c>
      <c r="S4417">
        <v>231</v>
      </c>
      <c r="T4417">
        <v>141</v>
      </c>
      <c r="U4417">
        <v>37</v>
      </c>
      <c r="V4417" t="s">
        <v>801</v>
      </c>
      <c r="W4417">
        <v>26897</v>
      </c>
      <c r="X4417" t="s">
        <v>5601</v>
      </c>
      <c r="Y4417">
        <v>24263</v>
      </c>
      <c r="Z4417">
        <v>995189</v>
      </c>
      <c r="AA4417">
        <v>97458</v>
      </c>
      <c r="AB4417" t="str">
        <f>(VLOOKUP(SalesData[[#This Row],[Month Number]],Reference!C$5:E$16,2,FALSE))</f>
        <v>Feb</v>
      </c>
      <c r="AC4417">
        <f>MONTH(SalesData[[#This Row],[Date]])</f>
        <v>2</v>
      </c>
      <c r="AD4417">
        <f>Reference!F$4</f>
        <v>2026</v>
      </c>
      <c r="AE4417" t="str">
        <f>IF(OR(SalesData[[#This Row],[Day]]="Saturday",SalesData[[#This Row],[Day]]="Sunday"),"Weekend","Weekday")</f>
        <v>Weekday</v>
      </c>
      <c r="AF4417" s="5">
        <f>IF(SalesData[[#This Row],[Contracts Offered]]=0,0,SalesData[[#This Row],[Contracts Signed]]/SalesData[[#This Row],[Contracts Offered]])</f>
        <v>0.26241134751773049</v>
      </c>
      <c r="AG4417" s="5">
        <f>IF(SalesData[[#This Row],[Customers Visited]]=0,0,SalesData[[#This Row],[Test Drives]]/SalesData[[#This Row],[Customers Visited]])</f>
        <v>0.57462686567164178</v>
      </c>
      <c r="AH4417" s="5">
        <f>IF(SalesData[[#This Row],[Customers Visited]]=0,0,SalesData[[#This Row],[Contracts Signed]]/SalesData[[#This Row],[Customers Visited]])</f>
        <v>9.2039800995024873E-2</v>
      </c>
      <c r="AI4417" s="6">
        <f>IF(SalesData[[#This Row],[Contracts Signed]]=0,0,SalesData[[#This Row],[Profit(€)]]/SalesData[[#This Row],[Contracts Signed]])</f>
        <v>2634</v>
      </c>
      <c r="AJ4417" s="5" t="str">
        <f>TRIM(CLEAN(SalesData[[#This Row],[Retailer]]))</f>
        <v>Rhein Auto Group</v>
      </c>
    </row>
    <row r="4418" spans="1:36" ht="14.25" hidden="1" x14ac:dyDescent="0.2">
      <c r="A4418" t="s">
        <v>5681</v>
      </c>
      <c r="B4418" s="1">
        <v>46077</v>
      </c>
      <c r="C4418" t="s">
        <v>53</v>
      </c>
      <c r="D4418" t="s">
        <v>63</v>
      </c>
      <c r="E4418" t="s">
        <v>26</v>
      </c>
      <c r="F4418" t="s">
        <v>83</v>
      </c>
      <c r="G4418" t="s">
        <v>84</v>
      </c>
      <c r="H4418" t="s">
        <v>85</v>
      </c>
      <c r="I4418" t="s">
        <v>56</v>
      </c>
      <c r="J4418" t="s">
        <v>7028</v>
      </c>
      <c r="K4418" t="s">
        <v>66</v>
      </c>
      <c r="L4418" t="s">
        <v>46</v>
      </c>
      <c r="M4418" t="s">
        <v>34</v>
      </c>
      <c r="N4418" t="s">
        <v>35</v>
      </c>
      <c r="O4418" t="s">
        <v>70</v>
      </c>
      <c r="P4418" t="s">
        <v>58</v>
      </c>
      <c r="Q4418" t="s">
        <v>189</v>
      </c>
      <c r="R4418">
        <v>231</v>
      </c>
      <c r="S4418">
        <v>113</v>
      </c>
      <c r="T4418">
        <v>87</v>
      </c>
      <c r="U4418">
        <v>26</v>
      </c>
      <c r="V4418" t="s">
        <v>7570</v>
      </c>
      <c r="W4418">
        <v>54850</v>
      </c>
      <c r="X4418" t="s">
        <v>7208</v>
      </c>
      <c r="Y4418">
        <v>41656</v>
      </c>
      <c r="Z4418">
        <v>1426100</v>
      </c>
      <c r="AA4418">
        <v>343044</v>
      </c>
      <c r="AB4418" t="str">
        <f>(VLOOKUP(SalesData[[#This Row],[Month Number]],Reference!C$5:E$16,2,FALSE))</f>
        <v>Feb</v>
      </c>
      <c r="AC4418">
        <f>MONTH(SalesData[[#This Row],[Date]])</f>
        <v>2</v>
      </c>
      <c r="AD4418">
        <f>Reference!F$4</f>
        <v>2026</v>
      </c>
      <c r="AE4418" t="str">
        <f>IF(OR(SalesData[[#This Row],[Day]]="Saturday",SalesData[[#This Row],[Day]]="Sunday"),"Weekend","Weekday")</f>
        <v>Weekday</v>
      </c>
      <c r="AF4418" s="5">
        <f>IF(SalesData[[#This Row],[Contracts Offered]]=0,0,SalesData[[#This Row],[Contracts Signed]]/SalesData[[#This Row],[Contracts Offered]])</f>
        <v>0.2988505747126437</v>
      </c>
      <c r="AG4418" s="5">
        <f>IF(SalesData[[#This Row],[Customers Visited]]=0,0,SalesData[[#This Row],[Test Drives]]/SalesData[[#This Row],[Customers Visited]])</f>
        <v>0.48917748917748916</v>
      </c>
      <c r="AH4418" s="5">
        <f>IF(SalesData[[#This Row],[Customers Visited]]=0,0,SalesData[[#This Row],[Contracts Signed]]/SalesData[[#This Row],[Customers Visited]])</f>
        <v>0.11255411255411256</v>
      </c>
      <c r="AI4418" s="6">
        <f>IF(SalesData[[#This Row],[Contracts Signed]]=0,0,SalesData[[#This Row],[Profit(€)]]/SalesData[[#This Row],[Contracts Signed]])</f>
        <v>13194</v>
      </c>
      <c r="AJ4418" s="5" t="str">
        <f>TRIM(CLEAN(SalesData[[#This Row],[Retailer]]))</f>
        <v>Hannover Cars</v>
      </c>
    </row>
    <row r="4419" spans="1:36" ht="14.25" x14ac:dyDescent="0.2">
      <c r="A4419" t="s">
        <v>5682</v>
      </c>
      <c r="B4419" s="1">
        <v>46055</v>
      </c>
      <c r="C4419" t="s">
        <v>24</v>
      </c>
      <c r="D4419" t="s">
        <v>25</v>
      </c>
      <c r="E4419" t="s">
        <v>26</v>
      </c>
      <c r="F4419" t="s">
        <v>101</v>
      </c>
      <c r="G4419" t="s">
        <v>102</v>
      </c>
      <c r="H4419" t="s">
        <v>103</v>
      </c>
      <c r="I4419" t="s">
        <v>30</v>
      </c>
      <c r="J4419" t="s">
        <v>86</v>
      </c>
      <c r="K4419" t="s">
        <v>91</v>
      </c>
      <c r="L4419" t="s">
        <v>33</v>
      </c>
      <c r="M4419" t="s">
        <v>87</v>
      </c>
      <c r="N4419" t="s">
        <v>48</v>
      </c>
      <c r="O4419" t="s">
        <v>36</v>
      </c>
      <c r="P4419" t="s">
        <v>58</v>
      </c>
      <c r="Q4419" t="s">
        <v>169</v>
      </c>
      <c r="R4419">
        <v>212</v>
      </c>
      <c r="S4419">
        <v>105</v>
      </c>
      <c r="T4419">
        <v>74</v>
      </c>
      <c r="U4419">
        <v>32</v>
      </c>
      <c r="V4419" t="s">
        <v>7632</v>
      </c>
      <c r="W4419">
        <v>68715</v>
      </c>
      <c r="X4419" t="s">
        <v>7124</v>
      </c>
      <c r="Y4419">
        <v>51541</v>
      </c>
      <c r="Z4419">
        <v>2198880</v>
      </c>
      <c r="AA4419">
        <v>549568</v>
      </c>
      <c r="AB4419" t="str">
        <f>(VLOOKUP(SalesData[[#This Row],[Month Number]],Reference!C$5:E$16,2,FALSE))</f>
        <v>Feb</v>
      </c>
      <c r="AC4419">
        <f>MONTH(SalesData[[#This Row],[Date]])</f>
        <v>2</v>
      </c>
      <c r="AD4419">
        <f>Reference!F$4</f>
        <v>2026</v>
      </c>
      <c r="AE4419" t="str">
        <f>IF(OR(SalesData[[#This Row],[Day]]="Saturday",SalesData[[#This Row],[Day]]="Sunday"),"Weekend","Weekday")</f>
        <v>Weekday</v>
      </c>
      <c r="AF4419" s="5">
        <f>IF(SalesData[[#This Row],[Contracts Offered]]=0,0,SalesData[[#This Row],[Contracts Signed]]/SalesData[[#This Row],[Contracts Offered]])</f>
        <v>0.43243243243243246</v>
      </c>
      <c r="AG4419" s="5">
        <f>IF(SalesData[[#This Row],[Customers Visited]]=0,0,SalesData[[#This Row],[Test Drives]]/SalesData[[#This Row],[Customers Visited]])</f>
        <v>0.49528301886792453</v>
      </c>
      <c r="AH4419" s="5">
        <f>IF(SalesData[[#This Row],[Customers Visited]]=0,0,SalesData[[#This Row],[Contracts Signed]]/SalesData[[#This Row],[Customers Visited]])</f>
        <v>0.15094339622641509</v>
      </c>
      <c r="AI4419" s="6">
        <f>IF(SalesData[[#This Row],[Contracts Signed]]=0,0,SalesData[[#This Row],[Profit(€)]]/SalesData[[#This Row],[Contracts Signed]])</f>
        <v>17174</v>
      </c>
      <c r="AJ4419" s="5" t="str">
        <f>TRIM(CLEAN(SalesData[[#This Row],[Retailer]]))</f>
        <v>Ruhr Auto Plaza</v>
      </c>
    </row>
    <row r="4420" spans="1:36" ht="14.25" hidden="1" x14ac:dyDescent="0.2">
      <c r="A4420" t="s">
        <v>5683</v>
      </c>
      <c r="B4420" s="1">
        <v>46054</v>
      </c>
      <c r="C4420" t="s">
        <v>24</v>
      </c>
      <c r="D4420" t="s">
        <v>41</v>
      </c>
      <c r="E4420" t="s">
        <v>42</v>
      </c>
      <c r="F4420" t="s">
        <v>109</v>
      </c>
      <c r="G4420" t="s">
        <v>110</v>
      </c>
      <c r="H4420" t="s">
        <v>45</v>
      </c>
      <c r="I4420" t="s">
        <v>64</v>
      </c>
      <c r="J4420" t="s">
        <v>157</v>
      </c>
      <c r="K4420" t="s">
        <v>91</v>
      </c>
      <c r="L4420" t="s">
        <v>33</v>
      </c>
      <c r="M4420" t="s">
        <v>68</v>
      </c>
      <c r="N4420" t="s">
        <v>69</v>
      </c>
      <c r="O4420" t="s">
        <v>70</v>
      </c>
      <c r="P4420" t="s">
        <v>37</v>
      </c>
      <c r="Q4420" t="s">
        <v>106</v>
      </c>
      <c r="R4420">
        <v>220</v>
      </c>
      <c r="S4420">
        <v>108</v>
      </c>
      <c r="T4420">
        <v>82</v>
      </c>
      <c r="U4420">
        <v>22</v>
      </c>
      <c r="V4420" t="s">
        <v>6904</v>
      </c>
      <c r="W4420">
        <v>66993</v>
      </c>
      <c r="X4420" t="s">
        <v>7223</v>
      </c>
      <c r="Y4420">
        <v>50119</v>
      </c>
      <c r="Z4420">
        <v>1473846</v>
      </c>
      <c r="AA4420">
        <v>371228</v>
      </c>
      <c r="AB4420" t="str">
        <f>(VLOOKUP(SalesData[[#This Row],[Month Number]],Reference!C$5:E$16,2,FALSE))</f>
        <v>Feb</v>
      </c>
      <c r="AC4420">
        <f>MONTH(SalesData[[#This Row],[Date]])</f>
        <v>2</v>
      </c>
      <c r="AD4420">
        <f>Reference!F$4</f>
        <v>2026</v>
      </c>
      <c r="AE4420" t="str">
        <f>IF(OR(SalesData[[#This Row],[Day]]="Saturday",SalesData[[#This Row],[Day]]="Sunday"),"Weekend","Weekday")</f>
        <v>Weekend</v>
      </c>
      <c r="AF4420" s="5">
        <f>IF(SalesData[[#This Row],[Contracts Offered]]=0,0,SalesData[[#This Row],[Contracts Signed]]/SalesData[[#This Row],[Contracts Offered]])</f>
        <v>0.26829268292682928</v>
      </c>
      <c r="AG4420" s="5">
        <f>IF(SalesData[[#This Row],[Customers Visited]]=0,0,SalesData[[#This Row],[Test Drives]]/SalesData[[#This Row],[Customers Visited]])</f>
        <v>0.49090909090909091</v>
      </c>
      <c r="AH4420" s="5">
        <f>IF(SalesData[[#This Row],[Customers Visited]]=0,0,SalesData[[#This Row],[Contracts Signed]]/SalesData[[#This Row],[Customers Visited]])</f>
        <v>0.1</v>
      </c>
      <c r="AI4420" s="6">
        <f>IF(SalesData[[#This Row],[Contracts Signed]]=0,0,SalesData[[#This Row],[Profit(€)]]/SalesData[[#This Row],[Contracts Signed]])</f>
        <v>16874</v>
      </c>
      <c r="AJ4420" s="5" t="str">
        <f>TRIM(CLEAN(SalesData[[#This Row],[Retailer]]))</f>
        <v>Leipzig Mobility</v>
      </c>
    </row>
    <row r="4421" spans="1:36" ht="14.25" hidden="1" x14ac:dyDescent="0.2">
      <c r="A4421" t="s">
        <v>5684</v>
      </c>
      <c r="B4421" s="1">
        <v>46074</v>
      </c>
      <c r="C4421" t="s">
        <v>62</v>
      </c>
      <c r="D4421" t="s">
        <v>151</v>
      </c>
      <c r="E4421" t="s">
        <v>42</v>
      </c>
      <c r="F4421" t="s">
        <v>127</v>
      </c>
      <c r="G4421" t="s">
        <v>128</v>
      </c>
      <c r="H4421" t="s">
        <v>103</v>
      </c>
      <c r="I4421" t="s">
        <v>116</v>
      </c>
      <c r="J4421" t="s">
        <v>117</v>
      </c>
      <c r="K4421" t="s">
        <v>66</v>
      </c>
      <c r="L4421" t="s">
        <v>67</v>
      </c>
      <c r="M4421" t="s">
        <v>87</v>
      </c>
      <c r="N4421" t="s">
        <v>69</v>
      </c>
      <c r="O4421" t="s">
        <v>70</v>
      </c>
      <c r="P4421" t="s">
        <v>37</v>
      </c>
      <c r="Q4421" t="s">
        <v>38</v>
      </c>
      <c r="R4421">
        <v>257</v>
      </c>
      <c r="S4421">
        <v>133</v>
      </c>
      <c r="T4421">
        <v>85</v>
      </c>
      <c r="U4421">
        <v>18</v>
      </c>
      <c r="V4421" t="s">
        <v>6615</v>
      </c>
      <c r="W4421">
        <v>22522</v>
      </c>
      <c r="X4421" t="s">
        <v>4345</v>
      </c>
      <c r="Y4421">
        <v>20449</v>
      </c>
      <c r="Z4421">
        <v>405396</v>
      </c>
      <c r="AA4421">
        <v>37314</v>
      </c>
      <c r="AB4421" t="str">
        <f>(VLOOKUP(SalesData[[#This Row],[Month Number]],Reference!C$5:E$16,2,FALSE))</f>
        <v>Feb</v>
      </c>
      <c r="AC4421">
        <f>MONTH(SalesData[[#This Row],[Date]])</f>
        <v>2</v>
      </c>
      <c r="AD4421">
        <f>Reference!F$4</f>
        <v>2026</v>
      </c>
      <c r="AE4421" t="str">
        <f>IF(OR(SalesData[[#This Row],[Day]]="Saturday",SalesData[[#This Row],[Day]]="Sunday"),"Weekend","Weekday")</f>
        <v>Weekend</v>
      </c>
      <c r="AF4421" s="5">
        <f>IF(SalesData[[#This Row],[Contracts Offered]]=0,0,SalesData[[#This Row],[Contracts Signed]]/SalesData[[#This Row],[Contracts Offered]])</f>
        <v>0.21176470588235294</v>
      </c>
      <c r="AG4421" s="5">
        <f>IF(SalesData[[#This Row],[Customers Visited]]=0,0,SalesData[[#This Row],[Test Drives]]/SalesData[[#This Row],[Customers Visited]])</f>
        <v>0.51750972762645919</v>
      </c>
      <c r="AH4421" s="5">
        <f>IF(SalesData[[#This Row],[Customers Visited]]=0,0,SalesData[[#This Row],[Contracts Signed]]/SalesData[[#This Row],[Customers Visited]])</f>
        <v>7.0038910505836577E-2</v>
      </c>
      <c r="AI4421" s="6">
        <f>IF(SalesData[[#This Row],[Contracts Signed]]=0,0,SalesData[[#This Row],[Profit(€)]]/SalesData[[#This Row],[Contracts Signed]])</f>
        <v>2073</v>
      </c>
      <c r="AJ4421" s="5" t="str">
        <f>TRIM(CLEAN(SalesData[[#This Row],[Retailer]]))</f>
        <v>Rhein Auto Group</v>
      </c>
    </row>
    <row r="4422" spans="1:36" ht="14.25" hidden="1" x14ac:dyDescent="0.2">
      <c r="A4422" t="s">
        <v>5685</v>
      </c>
      <c r="B4422" s="1">
        <v>46075</v>
      </c>
      <c r="C4422" t="s">
        <v>53</v>
      </c>
      <c r="D4422" t="s">
        <v>41</v>
      </c>
      <c r="E4422" t="s">
        <v>42</v>
      </c>
      <c r="F4422" t="s">
        <v>127</v>
      </c>
      <c r="G4422" t="s">
        <v>128</v>
      </c>
      <c r="H4422" t="s">
        <v>103</v>
      </c>
      <c r="I4422" t="s">
        <v>64</v>
      </c>
      <c r="J4422" t="s">
        <v>65</v>
      </c>
      <c r="K4422" t="s">
        <v>78</v>
      </c>
      <c r="L4422" t="s">
        <v>33</v>
      </c>
      <c r="M4422" t="s">
        <v>87</v>
      </c>
      <c r="N4422" t="s">
        <v>35</v>
      </c>
      <c r="O4422" t="s">
        <v>70</v>
      </c>
      <c r="P4422" t="s">
        <v>71</v>
      </c>
      <c r="Q4422" t="s">
        <v>106</v>
      </c>
      <c r="R4422">
        <v>178</v>
      </c>
      <c r="S4422">
        <v>86</v>
      </c>
      <c r="T4422">
        <v>58</v>
      </c>
      <c r="U4422">
        <v>21</v>
      </c>
      <c r="V4422" t="s">
        <v>6505</v>
      </c>
      <c r="W4422">
        <v>69350</v>
      </c>
      <c r="X4422" t="s">
        <v>7354</v>
      </c>
      <c r="Y4422">
        <v>49247</v>
      </c>
      <c r="Z4422">
        <v>1456350</v>
      </c>
      <c r="AA4422">
        <v>422163</v>
      </c>
      <c r="AB4422" t="str">
        <f>(VLOOKUP(SalesData[[#This Row],[Month Number]],Reference!C$5:E$16,2,FALSE))</f>
        <v>Feb</v>
      </c>
      <c r="AC4422">
        <f>MONTH(SalesData[[#This Row],[Date]])</f>
        <v>2</v>
      </c>
      <c r="AD4422">
        <f>Reference!F$4</f>
        <v>2026</v>
      </c>
      <c r="AE4422" t="str">
        <f>IF(OR(SalesData[[#This Row],[Day]]="Saturday",SalesData[[#This Row],[Day]]="Sunday"),"Weekend","Weekday")</f>
        <v>Weekend</v>
      </c>
      <c r="AF4422" s="5">
        <f>IF(SalesData[[#This Row],[Contracts Offered]]=0,0,SalesData[[#This Row],[Contracts Signed]]/SalesData[[#This Row],[Contracts Offered]])</f>
        <v>0.36206896551724138</v>
      </c>
      <c r="AG4422" s="5">
        <f>IF(SalesData[[#This Row],[Customers Visited]]=0,0,SalesData[[#This Row],[Test Drives]]/SalesData[[#This Row],[Customers Visited]])</f>
        <v>0.48314606741573035</v>
      </c>
      <c r="AH4422" s="5">
        <f>IF(SalesData[[#This Row],[Customers Visited]]=0,0,SalesData[[#This Row],[Contracts Signed]]/SalesData[[#This Row],[Customers Visited]])</f>
        <v>0.11797752808988764</v>
      </c>
      <c r="AI4422" s="6">
        <f>IF(SalesData[[#This Row],[Contracts Signed]]=0,0,SalesData[[#This Row],[Profit(€)]]/SalesData[[#This Row],[Contracts Signed]])</f>
        <v>20103</v>
      </c>
      <c r="AJ4422" s="5" t="str">
        <f>TRIM(CLEAN(SalesData[[#This Row],[Retailer]]))</f>
        <v>Rhein Auto Group</v>
      </c>
    </row>
    <row r="4423" spans="1:36" ht="14.25" x14ac:dyDescent="0.2">
      <c r="A4423" t="s">
        <v>5686</v>
      </c>
      <c r="B4423" s="1">
        <v>46075</v>
      </c>
      <c r="C4423" t="s">
        <v>53</v>
      </c>
      <c r="D4423" t="s">
        <v>41</v>
      </c>
      <c r="E4423" t="s">
        <v>42</v>
      </c>
      <c r="F4423" t="s">
        <v>43</v>
      </c>
      <c r="G4423" t="s">
        <v>44</v>
      </c>
      <c r="H4423" t="s">
        <v>45</v>
      </c>
      <c r="I4423" t="s">
        <v>30</v>
      </c>
      <c r="J4423" t="s">
        <v>7075</v>
      </c>
      <c r="K4423" t="s">
        <v>66</v>
      </c>
      <c r="L4423" t="s">
        <v>33</v>
      </c>
      <c r="M4423" t="s">
        <v>47</v>
      </c>
      <c r="N4423" t="s">
        <v>69</v>
      </c>
      <c r="O4423" t="s">
        <v>36</v>
      </c>
      <c r="P4423" t="s">
        <v>71</v>
      </c>
      <c r="Q4423" t="s">
        <v>88</v>
      </c>
      <c r="R4423">
        <v>211</v>
      </c>
      <c r="S4423">
        <v>116</v>
      </c>
      <c r="T4423">
        <v>79</v>
      </c>
      <c r="U4423">
        <v>34</v>
      </c>
      <c r="V4423" t="s">
        <v>6915</v>
      </c>
      <c r="W4423">
        <v>51010</v>
      </c>
      <c r="X4423" t="s">
        <v>407</v>
      </c>
      <c r="Y4423">
        <v>38982</v>
      </c>
      <c r="Z4423">
        <v>1734340</v>
      </c>
      <c r="AA4423">
        <v>408952</v>
      </c>
      <c r="AB4423" t="str">
        <f>(VLOOKUP(SalesData[[#This Row],[Month Number]],Reference!C$5:E$16,2,FALSE))</f>
        <v>Feb</v>
      </c>
      <c r="AC4423">
        <f>MONTH(SalesData[[#This Row],[Date]])</f>
        <v>2</v>
      </c>
      <c r="AD4423">
        <f>Reference!F$4</f>
        <v>2026</v>
      </c>
      <c r="AE4423" t="str">
        <f>IF(OR(SalesData[[#This Row],[Day]]="Saturday",SalesData[[#This Row],[Day]]="Sunday"),"Weekend","Weekday")</f>
        <v>Weekend</v>
      </c>
      <c r="AF4423" s="5">
        <f>IF(SalesData[[#This Row],[Contracts Offered]]=0,0,SalesData[[#This Row],[Contracts Signed]]/SalesData[[#This Row],[Contracts Offered]])</f>
        <v>0.43037974683544306</v>
      </c>
      <c r="AG4423" s="5">
        <f>IF(SalesData[[#This Row],[Customers Visited]]=0,0,SalesData[[#This Row],[Test Drives]]/SalesData[[#This Row],[Customers Visited]])</f>
        <v>0.54976303317535546</v>
      </c>
      <c r="AH4423" s="5">
        <f>IF(SalesData[[#This Row],[Customers Visited]]=0,0,SalesData[[#This Row],[Contracts Signed]]/SalesData[[#This Row],[Customers Visited]])</f>
        <v>0.16113744075829384</v>
      </c>
      <c r="AI4423" s="6">
        <f>IF(SalesData[[#This Row],[Contracts Signed]]=0,0,SalesData[[#This Row],[Profit(€)]]/SalesData[[#This Row],[Contracts Signed]])</f>
        <v>12028</v>
      </c>
      <c r="AJ4423" s="5" t="str">
        <f>TRIM(CLEAN(SalesData[[#This Row],[Retailer]]))</f>
        <v>Saxon Wheels</v>
      </c>
    </row>
    <row r="4424" spans="1:36" ht="14.25" hidden="1" x14ac:dyDescent="0.2">
      <c r="A4424" t="s">
        <v>5687</v>
      </c>
      <c r="B4424" s="1">
        <v>46062</v>
      </c>
      <c r="C4424" t="s">
        <v>121</v>
      </c>
      <c r="D4424" t="s">
        <v>25</v>
      </c>
      <c r="E4424" t="s">
        <v>26</v>
      </c>
      <c r="F4424" t="s">
        <v>27</v>
      </c>
      <c r="G4424" t="s">
        <v>28</v>
      </c>
      <c r="H4424" t="s">
        <v>29</v>
      </c>
      <c r="I4424" t="s">
        <v>104</v>
      </c>
      <c r="J4424" t="s">
        <v>7031</v>
      </c>
      <c r="K4424" t="s">
        <v>32</v>
      </c>
      <c r="L4424" t="s">
        <v>46</v>
      </c>
      <c r="M4424" t="s">
        <v>47</v>
      </c>
      <c r="N4424" t="s">
        <v>48</v>
      </c>
      <c r="O4424" t="s">
        <v>70</v>
      </c>
      <c r="P4424" t="s">
        <v>49</v>
      </c>
      <c r="Q4424" t="s">
        <v>240</v>
      </c>
      <c r="R4424">
        <v>344</v>
      </c>
      <c r="S4424">
        <v>147</v>
      </c>
      <c r="T4424">
        <v>95</v>
      </c>
      <c r="U4424">
        <v>23</v>
      </c>
      <c r="V4424" t="s">
        <v>1225</v>
      </c>
      <c r="W4424">
        <v>31022</v>
      </c>
      <c r="X4424" t="s">
        <v>642</v>
      </c>
      <c r="Y4424">
        <v>27575</v>
      </c>
      <c r="Z4424">
        <v>713506</v>
      </c>
      <c r="AA4424">
        <v>79281</v>
      </c>
      <c r="AB4424" t="str">
        <f>(VLOOKUP(SalesData[[#This Row],[Month Number]],Reference!C$5:E$16,2,FALSE))</f>
        <v>Feb</v>
      </c>
      <c r="AC4424">
        <f>MONTH(SalesData[[#This Row],[Date]])</f>
        <v>2</v>
      </c>
      <c r="AD4424">
        <f>Reference!F$4</f>
        <v>2026</v>
      </c>
      <c r="AE4424" t="str">
        <f>IF(OR(SalesData[[#This Row],[Day]]="Saturday",SalesData[[#This Row],[Day]]="Sunday"),"Weekend","Weekday")</f>
        <v>Weekday</v>
      </c>
      <c r="AF4424" s="5">
        <f>IF(SalesData[[#This Row],[Contracts Offered]]=0,0,SalesData[[#This Row],[Contracts Signed]]/SalesData[[#This Row],[Contracts Offered]])</f>
        <v>0.24210526315789474</v>
      </c>
      <c r="AG4424" s="5">
        <f>IF(SalesData[[#This Row],[Customers Visited]]=0,0,SalesData[[#This Row],[Test Drives]]/SalesData[[#This Row],[Customers Visited]])</f>
        <v>0.42732558139534882</v>
      </c>
      <c r="AH4424" s="5">
        <f>IF(SalesData[[#This Row],[Customers Visited]]=0,0,SalesData[[#This Row],[Contracts Signed]]/SalesData[[#This Row],[Customers Visited]])</f>
        <v>6.6860465116279064E-2</v>
      </c>
      <c r="AI4424" s="6">
        <f>IF(SalesData[[#This Row],[Contracts Signed]]=0,0,SalesData[[#This Row],[Profit(€)]]/SalesData[[#This Row],[Contracts Signed]])</f>
        <v>3447</v>
      </c>
      <c r="AJ4424" s="5" t="str">
        <f>TRIM(CLEAN(SalesData[[#This Row],[Retailer]]))</f>
        <v>Main Auto Hub</v>
      </c>
    </row>
    <row r="4425" spans="1:36" ht="14.25" hidden="1" x14ac:dyDescent="0.2">
      <c r="A4425" t="s">
        <v>5688</v>
      </c>
      <c r="B4425" s="1">
        <v>46060</v>
      </c>
      <c r="C4425" t="s">
        <v>24</v>
      </c>
      <c r="D4425" t="s">
        <v>151</v>
      </c>
      <c r="E4425" t="s">
        <v>42</v>
      </c>
      <c r="F4425" t="s">
        <v>74</v>
      </c>
      <c r="G4425" t="s">
        <v>75</v>
      </c>
      <c r="H4425" t="s">
        <v>76</v>
      </c>
      <c r="I4425" t="s">
        <v>104</v>
      </c>
      <c r="J4425" t="s">
        <v>7031</v>
      </c>
      <c r="K4425" t="s">
        <v>91</v>
      </c>
      <c r="L4425" t="s">
        <v>46</v>
      </c>
      <c r="M4425" t="s">
        <v>34</v>
      </c>
      <c r="N4425" t="s">
        <v>35</v>
      </c>
      <c r="O4425" t="s">
        <v>36</v>
      </c>
      <c r="P4425" t="s">
        <v>49</v>
      </c>
      <c r="Q4425" t="s">
        <v>59</v>
      </c>
      <c r="R4425">
        <v>271</v>
      </c>
      <c r="S4425">
        <v>118</v>
      </c>
      <c r="T4425">
        <v>77</v>
      </c>
      <c r="U4425">
        <v>16</v>
      </c>
      <c r="V4425" t="s">
        <v>1528</v>
      </c>
      <c r="W4425">
        <v>31541</v>
      </c>
      <c r="X4425" t="s">
        <v>1636</v>
      </c>
      <c r="Y4425">
        <v>27968</v>
      </c>
      <c r="Z4425">
        <v>504656</v>
      </c>
      <c r="AA4425">
        <v>57168</v>
      </c>
      <c r="AB4425" t="str">
        <f>(VLOOKUP(SalesData[[#This Row],[Month Number]],Reference!C$5:E$16,2,FALSE))</f>
        <v>Feb</v>
      </c>
      <c r="AC4425">
        <f>MONTH(SalesData[[#This Row],[Date]])</f>
        <v>2</v>
      </c>
      <c r="AD4425">
        <f>Reference!F$4</f>
        <v>2026</v>
      </c>
      <c r="AE4425" t="str">
        <f>IF(OR(SalesData[[#This Row],[Day]]="Saturday",SalesData[[#This Row],[Day]]="Sunday"),"Weekend","Weekday")</f>
        <v>Weekend</v>
      </c>
      <c r="AF4425" s="5">
        <f>IF(SalesData[[#This Row],[Contracts Offered]]=0,0,SalesData[[#This Row],[Contracts Signed]]/SalesData[[#This Row],[Contracts Offered]])</f>
        <v>0.20779220779220781</v>
      </c>
      <c r="AG4425" s="5">
        <f>IF(SalesData[[#This Row],[Customers Visited]]=0,0,SalesData[[#This Row],[Test Drives]]/SalesData[[#This Row],[Customers Visited]])</f>
        <v>0.43542435424354242</v>
      </c>
      <c r="AH4425" s="5">
        <f>IF(SalesData[[#This Row],[Customers Visited]]=0,0,SalesData[[#This Row],[Contracts Signed]]/SalesData[[#This Row],[Customers Visited]])</f>
        <v>5.9040590405904057E-2</v>
      </c>
      <c r="AI4425" s="6">
        <f>IF(SalesData[[#This Row],[Contracts Signed]]=0,0,SalesData[[#This Row],[Profit(€)]]/SalesData[[#This Row],[Contracts Signed]])</f>
        <v>3573</v>
      </c>
      <c r="AJ4425" s="5" t="str">
        <f>TRIM(CLEAN(SalesData[[#This Row],[Retailer]]))</f>
        <v>Stuttgart Auto Center</v>
      </c>
    </row>
    <row r="4426" spans="1:36" ht="14.25" x14ac:dyDescent="0.2">
      <c r="A4426" t="s">
        <v>5689</v>
      </c>
      <c r="B4426" s="1">
        <v>46073</v>
      </c>
      <c r="C4426" t="s">
        <v>62</v>
      </c>
      <c r="D4426" t="s">
        <v>54</v>
      </c>
      <c r="E4426" t="s">
        <v>26</v>
      </c>
      <c r="F4426" t="s">
        <v>7649</v>
      </c>
      <c r="G4426" t="s">
        <v>55</v>
      </c>
      <c r="H4426" t="s">
        <v>55</v>
      </c>
      <c r="I4426" t="s">
        <v>30</v>
      </c>
      <c r="J4426" t="s">
        <v>188</v>
      </c>
      <c r="K4426" t="s">
        <v>91</v>
      </c>
      <c r="L4426" t="s">
        <v>33</v>
      </c>
      <c r="M4426" t="s">
        <v>68</v>
      </c>
      <c r="N4426" t="s">
        <v>69</v>
      </c>
      <c r="O4426" t="s">
        <v>70</v>
      </c>
      <c r="P4426" t="s">
        <v>71</v>
      </c>
      <c r="Q4426" t="s">
        <v>118</v>
      </c>
      <c r="R4426">
        <v>217</v>
      </c>
      <c r="S4426">
        <v>110</v>
      </c>
      <c r="T4426">
        <v>86</v>
      </c>
      <c r="U4426">
        <v>34</v>
      </c>
      <c r="V4426" t="s">
        <v>7184</v>
      </c>
      <c r="W4426">
        <v>63193</v>
      </c>
      <c r="X4426" t="s">
        <v>7055</v>
      </c>
      <c r="Y4426">
        <v>47138</v>
      </c>
      <c r="Z4426">
        <v>2148562</v>
      </c>
      <c r="AA4426">
        <v>545870</v>
      </c>
      <c r="AB4426" t="str">
        <f>(VLOOKUP(SalesData[[#This Row],[Month Number]],Reference!C$5:E$16,2,FALSE))</f>
        <v>Feb</v>
      </c>
      <c r="AC4426">
        <f>MONTH(SalesData[[#This Row],[Date]])</f>
        <v>2</v>
      </c>
      <c r="AD4426">
        <f>Reference!F$4</f>
        <v>2026</v>
      </c>
      <c r="AE4426" t="str">
        <f>IF(OR(SalesData[[#This Row],[Day]]="Saturday",SalesData[[#This Row],[Day]]="Sunday"),"Weekend","Weekday")</f>
        <v>Weekday</v>
      </c>
      <c r="AF4426" s="5">
        <f>IF(SalesData[[#This Row],[Contracts Offered]]=0,0,SalesData[[#This Row],[Contracts Signed]]/SalesData[[#This Row],[Contracts Offered]])</f>
        <v>0.39534883720930231</v>
      </c>
      <c r="AG4426" s="5">
        <f>IF(SalesData[[#This Row],[Customers Visited]]=0,0,SalesData[[#This Row],[Test Drives]]/SalesData[[#This Row],[Customers Visited]])</f>
        <v>0.50691244239631339</v>
      </c>
      <c r="AH4426" s="5">
        <f>IF(SalesData[[#This Row],[Customers Visited]]=0,0,SalesData[[#This Row],[Contracts Signed]]/SalesData[[#This Row],[Customers Visited]])</f>
        <v>0.15668202764976957</v>
      </c>
      <c r="AI4426" s="6">
        <f>IF(SalesData[[#This Row],[Contracts Signed]]=0,0,SalesData[[#This Row],[Profit(€)]]/SalesData[[#This Row],[Contracts Signed]])</f>
        <v>16055</v>
      </c>
      <c r="AJ4426" s="5" t="str">
        <f>TRIM(CLEAN(SalesData[[#This Row],[Retailer]]))</f>
        <v>Autohaus Berlin</v>
      </c>
    </row>
    <row r="4427" spans="1:36" ht="14.25" hidden="1" x14ac:dyDescent="0.2">
      <c r="A4427" t="s">
        <v>5690</v>
      </c>
      <c r="B4427" s="1">
        <v>46075</v>
      </c>
      <c r="C4427" t="s">
        <v>53</v>
      </c>
      <c r="D4427" t="s">
        <v>41</v>
      </c>
      <c r="E4427" t="s">
        <v>42</v>
      </c>
      <c r="F4427" t="s">
        <v>27</v>
      </c>
      <c r="G4427" t="s">
        <v>28</v>
      </c>
      <c r="H4427" t="s">
        <v>29</v>
      </c>
      <c r="I4427" t="s">
        <v>56</v>
      </c>
      <c r="J4427" t="s">
        <v>179</v>
      </c>
      <c r="K4427" t="s">
        <v>91</v>
      </c>
      <c r="L4427" t="s">
        <v>67</v>
      </c>
      <c r="M4427" t="s">
        <v>87</v>
      </c>
      <c r="N4427" t="s">
        <v>35</v>
      </c>
      <c r="O4427" t="s">
        <v>70</v>
      </c>
      <c r="P4427" t="s">
        <v>58</v>
      </c>
      <c r="Q4427" t="s">
        <v>204</v>
      </c>
      <c r="R4427">
        <v>247</v>
      </c>
      <c r="S4427">
        <v>143</v>
      </c>
      <c r="T4427">
        <v>105</v>
      </c>
      <c r="U4427">
        <v>36</v>
      </c>
      <c r="V4427" t="s">
        <v>6543</v>
      </c>
      <c r="W4427">
        <v>42265</v>
      </c>
      <c r="X4427" t="s">
        <v>7196</v>
      </c>
      <c r="Y4427">
        <v>33891</v>
      </c>
      <c r="Z4427">
        <v>1521540</v>
      </c>
      <c r="AA4427">
        <v>301464</v>
      </c>
      <c r="AB4427" t="str">
        <f>(VLOOKUP(SalesData[[#This Row],[Month Number]],Reference!C$5:E$16,2,FALSE))</f>
        <v>Feb</v>
      </c>
      <c r="AC4427">
        <f>MONTH(SalesData[[#This Row],[Date]])</f>
        <v>2</v>
      </c>
      <c r="AD4427">
        <f>Reference!F$4</f>
        <v>2026</v>
      </c>
      <c r="AE4427" t="str">
        <f>IF(OR(SalesData[[#This Row],[Day]]="Saturday",SalesData[[#This Row],[Day]]="Sunday"),"Weekend","Weekday")</f>
        <v>Weekend</v>
      </c>
      <c r="AF4427" s="5">
        <f>IF(SalesData[[#This Row],[Contracts Offered]]=0,0,SalesData[[#This Row],[Contracts Signed]]/SalesData[[#This Row],[Contracts Offered]])</f>
        <v>0.34285714285714286</v>
      </c>
      <c r="AG4427" s="5">
        <f>IF(SalesData[[#This Row],[Customers Visited]]=0,0,SalesData[[#This Row],[Test Drives]]/SalesData[[#This Row],[Customers Visited]])</f>
        <v>0.57894736842105265</v>
      </c>
      <c r="AH4427" s="5">
        <f>IF(SalesData[[#This Row],[Customers Visited]]=0,0,SalesData[[#This Row],[Contracts Signed]]/SalesData[[#This Row],[Customers Visited]])</f>
        <v>0.145748987854251</v>
      </c>
      <c r="AI4427" s="6">
        <f>IF(SalesData[[#This Row],[Contracts Signed]]=0,0,SalesData[[#This Row],[Profit(€)]]/SalesData[[#This Row],[Contracts Signed]])</f>
        <v>8374</v>
      </c>
      <c r="AJ4427" s="5" t="str">
        <f>TRIM(CLEAN(SalesData[[#This Row],[Retailer]]))</f>
        <v>Main Auto Hub</v>
      </c>
    </row>
    <row r="4428" spans="1:36" ht="14.25" hidden="1" x14ac:dyDescent="0.2">
      <c r="A4428" t="s">
        <v>5691</v>
      </c>
      <c r="B4428" s="1">
        <v>46054</v>
      </c>
      <c r="C4428" t="s">
        <v>24</v>
      </c>
      <c r="D4428" t="s">
        <v>41</v>
      </c>
      <c r="E4428" t="s">
        <v>42</v>
      </c>
      <c r="F4428" t="s">
        <v>114</v>
      </c>
      <c r="G4428" t="s">
        <v>115</v>
      </c>
      <c r="H4428" t="s">
        <v>115</v>
      </c>
      <c r="I4428" t="s">
        <v>56</v>
      </c>
      <c r="J4428" t="s">
        <v>97</v>
      </c>
      <c r="K4428" t="s">
        <v>78</v>
      </c>
      <c r="L4428" t="s">
        <v>33</v>
      </c>
      <c r="M4428" t="s">
        <v>68</v>
      </c>
      <c r="N4428" t="s">
        <v>35</v>
      </c>
      <c r="O4428" t="s">
        <v>70</v>
      </c>
      <c r="P4428" t="s">
        <v>58</v>
      </c>
      <c r="Q4428" t="s">
        <v>50</v>
      </c>
      <c r="R4428">
        <v>197</v>
      </c>
      <c r="S4428">
        <v>104</v>
      </c>
      <c r="T4428">
        <v>76</v>
      </c>
      <c r="U4428">
        <v>24</v>
      </c>
      <c r="V4428" t="s">
        <v>6386</v>
      </c>
      <c r="W4428">
        <v>54740</v>
      </c>
      <c r="X4428" t="s">
        <v>7144</v>
      </c>
      <c r="Y4428">
        <v>41110</v>
      </c>
      <c r="Z4428">
        <v>1313760</v>
      </c>
      <c r="AA4428">
        <v>327120</v>
      </c>
      <c r="AB4428" t="str">
        <f>(VLOOKUP(SalesData[[#This Row],[Month Number]],Reference!C$5:E$16,2,FALSE))</f>
        <v>Feb</v>
      </c>
      <c r="AC4428">
        <f>MONTH(SalesData[[#This Row],[Date]])</f>
        <v>2</v>
      </c>
      <c r="AD4428">
        <f>Reference!F$4</f>
        <v>2026</v>
      </c>
      <c r="AE4428" t="str">
        <f>IF(OR(SalesData[[#This Row],[Day]]="Saturday",SalesData[[#This Row],[Day]]="Sunday"),"Weekend","Weekday")</f>
        <v>Weekend</v>
      </c>
      <c r="AF4428" s="5">
        <f>IF(SalesData[[#This Row],[Contracts Offered]]=0,0,SalesData[[#This Row],[Contracts Signed]]/SalesData[[#This Row],[Contracts Offered]])</f>
        <v>0.31578947368421051</v>
      </c>
      <c r="AG4428" s="5">
        <f>IF(SalesData[[#This Row],[Customers Visited]]=0,0,SalesData[[#This Row],[Test Drives]]/SalesData[[#This Row],[Customers Visited]])</f>
        <v>0.52791878172588835</v>
      </c>
      <c r="AH4428" s="5">
        <f>IF(SalesData[[#This Row],[Customers Visited]]=0,0,SalesData[[#This Row],[Contracts Signed]]/SalesData[[#This Row],[Customers Visited]])</f>
        <v>0.12182741116751269</v>
      </c>
      <c r="AI4428" s="6">
        <f>IF(SalesData[[#This Row],[Contracts Signed]]=0,0,SalesData[[#This Row],[Profit(€)]]/SalesData[[#This Row],[Contracts Signed]])</f>
        <v>13630</v>
      </c>
      <c r="AJ4428" s="5" t="str">
        <f>TRIM(CLEAN(SalesData[[#This Row],[Retailer]]))</f>
        <v>Elbe Drive</v>
      </c>
    </row>
    <row r="4429" spans="1:36" ht="14.25" x14ac:dyDescent="0.2">
      <c r="A4429" t="s">
        <v>5692</v>
      </c>
      <c r="B4429" s="1">
        <v>46063</v>
      </c>
      <c r="C4429" t="s">
        <v>121</v>
      </c>
      <c r="D4429" t="s">
        <v>63</v>
      </c>
      <c r="E4429" t="s">
        <v>26</v>
      </c>
      <c r="F4429" t="s">
        <v>27</v>
      </c>
      <c r="G4429" t="s">
        <v>28</v>
      </c>
      <c r="H4429" t="s">
        <v>29</v>
      </c>
      <c r="I4429" t="s">
        <v>30</v>
      </c>
      <c r="J4429" t="s">
        <v>188</v>
      </c>
      <c r="K4429" t="s">
        <v>66</v>
      </c>
      <c r="L4429" t="s">
        <v>33</v>
      </c>
      <c r="M4429" t="s">
        <v>47</v>
      </c>
      <c r="N4429" t="s">
        <v>69</v>
      </c>
      <c r="O4429" t="s">
        <v>70</v>
      </c>
      <c r="P4429" t="s">
        <v>49</v>
      </c>
      <c r="Q4429" t="s">
        <v>144</v>
      </c>
      <c r="R4429">
        <v>184</v>
      </c>
      <c r="S4429">
        <v>95</v>
      </c>
      <c r="T4429">
        <v>77</v>
      </c>
      <c r="U4429">
        <v>25</v>
      </c>
      <c r="V4429" t="s">
        <v>6471</v>
      </c>
      <c r="W4429">
        <v>50135</v>
      </c>
      <c r="X4429" t="s">
        <v>7111</v>
      </c>
      <c r="Y4429">
        <v>38471</v>
      </c>
      <c r="Z4429">
        <v>1253375</v>
      </c>
      <c r="AA4429">
        <v>291600</v>
      </c>
      <c r="AB4429" t="str">
        <f>(VLOOKUP(SalesData[[#This Row],[Month Number]],Reference!C$5:E$16,2,FALSE))</f>
        <v>Feb</v>
      </c>
      <c r="AC4429">
        <f>MONTH(SalesData[[#This Row],[Date]])</f>
        <v>2</v>
      </c>
      <c r="AD4429">
        <f>Reference!F$4</f>
        <v>2026</v>
      </c>
      <c r="AE4429" t="str">
        <f>IF(OR(SalesData[[#This Row],[Day]]="Saturday",SalesData[[#This Row],[Day]]="Sunday"),"Weekend","Weekday")</f>
        <v>Weekday</v>
      </c>
      <c r="AF4429" s="5">
        <f>IF(SalesData[[#This Row],[Contracts Offered]]=0,0,SalesData[[#This Row],[Contracts Signed]]/SalesData[[#This Row],[Contracts Offered]])</f>
        <v>0.32467532467532467</v>
      </c>
      <c r="AG4429" s="5">
        <f>IF(SalesData[[#This Row],[Customers Visited]]=0,0,SalesData[[#This Row],[Test Drives]]/SalesData[[#This Row],[Customers Visited]])</f>
        <v>0.51630434782608692</v>
      </c>
      <c r="AH4429" s="5">
        <f>IF(SalesData[[#This Row],[Customers Visited]]=0,0,SalesData[[#This Row],[Contracts Signed]]/SalesData[[#This Row],[Customers Visited]])</f>
        <v>0.1358695652173913</v>
      </c>
      <c r="AI4429" s="6">
        <f>IF(SalesData[[#This Row],[Contracts Signed]]=0,0,SalesData[[#This Row],[Profit(€)]]/SalesData[[#This Row],[Contracts Signed]])</f>
        <v>11664</v>
      </c>
      <c r="AJ4429" s="5" t="str">
        <f>TRIM(CLEAN(SalesData[[#This Row],[Retailer]]))</f>
        <v>Main Auto Hub</v>
      </c>
    </row>
    <row r="4430" spans="1:36" ht="14.25" hidden="1" x14ac:dyDescent="0.2">
      <c r="A4430" t="s">
        <v>5694</v>
      </c>
      <c r="B4430" s="1">
        <v>46071</v>
      </c>
      <c r="C4430" t="s">
        <v>62</v>
      </c>
      <c r="D4430" t="s">
        <v>82</v>
      </c>
      <c r="E4430" t="s">
        <v>26</v>
      </c>
      <c r="F4430" t="s">
        <v>27</v>
      </c>
      <c r="G4430" t="s">
        <v>28</v>
      </c>
      <c r="H4430" t="s">
        <v>29</v>
      </c>
      <c r="I4430" t="s">
        <v>116</v>
      </c>
      <c r="J4430" t="s">
        <v>203</v>
      </c>
      <c r="K4430" t="s">
        <v>32</v>
      </c>
      <c r="L4430" t="s">
        <v>67</v>
      </c>
      <c r="M4430" t="s">
        <v>87</v>
      </c>
      <c r="N4430" t="s">
        <v>35</v>
      </c>
      <c r="O4430" t="s">
        <v>36</v>
      </c>
      <c r="P4430" t="s">
        <v>58</v>
      </c>
      <c r="Q4430" t="s">
        <v>152</v>
      </c>
      <c r="R4430">
        <v>236</v>
      </c>
      <c r="S4430">
        <v>129</v>
      </c>
      <c r="T4430">
        <v>77</v>
      </c>
      <c r="U4430">
        <v>26</v>
      </c>
      <c r="V4430" t="s">
        <v>6734</v>
      </c>
      <c r="W4430">
        <v>26573</v>
      </c>
      <c r="X4430" t="s">
        <v>2404</v>
      </c>
      <c r="Y4430">
        <v>24595</v>
      </c>
      <c r="Z4430">
        <v>690898</v>
      </c>
      <c r="AA4430">
        <v>51428</v>
      </c>
      <c r="AB4430" t="str">
        <f>(VLOOKUP(SalesData[[#This Row],[Month Number]],Reference!C$5:E$16,2,FALSE))</f>
        <v>Feb</v>
      </c>
      <c r="AC4430">
        <f>MONTH(SalesData[[#This Row],[Date]])</f>
        <v>2</v>
      </c>
      <c r="AD4430">
        <f>Reference!F$4</f>
        <v>2026</v>
      </c>
      <c r="AE4430" t="str">
        <f>IF(OR(SalesData[[#This Row],[Day]]="Saturday",SalesData[[#This Row],[Day]]="Sunday"),"Weekend","Weekday")</f>
        <v>Weekday</v>
      </c>
      <c r="AF4430" s="5">
        <f>IF(SalesData[[#This Row],[Contracts Offered]]=0,0,SalesData[[#This Row],[Contracts Signed]]/SalesData[[#This Row],[Contracts Offered]])</f>
        <v>0.33766233766233766</v>
      </c>
      <c r="AG4430" s="5">
        <f>IF(SalesData[[#This Row],[Customers Visited]]=0,0,SalesData[[#This Row],[Test Drives]]/SalesData[[#This Row],[Customers Visited]])</f>
        <v>0.54661016949152541</v>
      </c>
      <c r="AH4430" s="5">
        <f>IF(SalesData[[#This Row],[Customers Visited]]=0,0,SalesData[[#This Row],[Contracts Signed]]/SalesData[[#This Row],[Customers Visited]])</f>
        <v>0.11016949152542373</v>
      </c>
      <c r="AI4430" s="6">
        <f>IF(SalesData[[#This Row],[Contracts Signed]]=0,0,SalesData[[#This Row],[Profit(€)]]/SalesData[[#This Row],[Contracts Signed]])</f>
        <v>1978</v>
      </c>
      <c r="AJ4430" s="5" t="str">
        <f>TRIM(CLEAN(SalesData[[#This Row],[Retailer]]))</f>
        <v>Main Auto Hub</v>
      </c>
    </row>
    <row r="4431" spans="1:36" ht="14.25" hidden="1" x14ac:dyDescent="0.2">
      <c r="A4431" t="s">
        <v>5695</v>
      </c>
      <c r="B4431" s="1">
        <v>46068</v>
      </c>
      <c r="C4431" t="s">
        <v>62</v>
      </c>
      <c r="D4431" t="s">
        <v>41</v>
      </c>
      <c r="E4431" t="s">
        <v>42</v>
      </c>
      <c r="F4431" t="s">
        <v>109</v>
      </c>
      <c r="G4431" t="s">
        <v>110</v>
      </c>
      <c r="H4431" t="s">
        <v>45</v>
      </c>
      <c r="I4431" t="s">
        <v>56</v>
      </c>
      <c r="J4431" t="s">
        <v>179</v>
      </c>
      <c r="K4431" t="s">
        <v>78</v>
      </c>
      <c r="L4431" t="s">
        <v>67</v>
      </c>
      <c r="M4431" t="s">
        <v>47</v>
      </c>
      <c r="N4431" t="s">
        <v>69</v>
      </c>
      <c r="O4431" t="s">
        <v>36</v>
      </c>
      <c r="P4431" t="s">
        <v>58</v>
      </c>
      <c r="Q4431" t="s">
        <v>88</v>
      </c>
      <c r="R4431">
        <v>226</v>
      </c>
      <c r="S4431">
        <v>138</v>
      </c>
      <c r="T4431">
        <v>94</v>
      </c>
      <c r="U4431">
        <v>35</v>
      </c>
      <c r="V4431" t="s">
        <v>6852</v>
      </c>
      <c r="W4431">
        <v>44959</v>
      </c>
      <c r="X4431" t="s">
        <v>7231</v>
      </c>
      <c r="Y4431">
        <v>33945</v>
      </c>
      <c r="Z4431">
        <v>1573565</v>
      </c>
      <c r="AA4431">
        <v>385490</v>
      </c>
      <c r="AB4431" t="str">
        <f>(VLOOKUP(SalesData[[#This Row],[Month Number]],Reference!C$5:E$16,2,FALSE))</f>
        <v>Feb</v>
      </c>
      <c r="AC4431">
        <f>MONTH(SalesData[[#This Row],[Date]])</f>
        <v>2</v>
      </c>
      <c r="AD4431">
        <f>Reference!F$4</f>
        <v>2026</v>
      </c>
      <c r="AE4431" t="str">
        <f>IF(OR(SalesData[[#This Row],[Day]]="Saturday",SalesData[[#This Row],[Day]]="Sunday"),"Weekend","Weekday")</f>
        <v>Weekend</v>
      </c>
      <c r="AF4431" s="5">
        <f>IF(SalesData[[#This Row],[Contracts Offered]]=0,0,SalesData[[#This Row],[Contracts Signed]]/SalesData[[#This Row],[Contracts Offered]])</f>
        <v>0.37234042553191488</v>
      </c>
      <c r="AG4431" s="5">
        <f>IF(SalesData[[#This Row],[Customers Visited]]=0,0,SalesData[[#This Row],[Test Drives]]/SalesData[[#This Row],[Customers Visited]])</f>
        <v>0.61061946902654862</v>
      </c>
      <c r="AH4431" s="5">
        <f>IF(SalesData[[#This Row],[Customers Visited]]=0,0,SalesData[[#This Row],[Contracts Signed]]/SalesData[[#This Row],[Customers Visited]])</f>
        <v>0.15486725663716813</v>
      </c>
      <c r="AI4431" s="6">
        <f>IF(SalesData[[#This Row],[Contracts Signed]]=0,0,SalesData[[#This Row],[Profit(€)]]/SalesData[[#This Row],[Contracts Signed]])</f>
        <v>11014</v>
      </c>
      <c r="AJ4431" s="5" t="str">
        <f>TRIM(CLEAN(SalesData[[#This Row],[Retailer]]))</f>
        <v>Leipzig Mobility</v>
      </c>
    </row>
    <row r="4432" spans="1:36" ht="14.25" hidden="1" x14ac:dyDescent="0.2">
      <c r="A4432" t="s">
        <v>5696</v>
      </c>
      <c r="B4432" s="1">
        <v>46067</v>
      </c>
      <c r="C4432" t="s">
        <v>121</v>
      </c>
      <c r="D4432" t="s">
        <v>151</v>
      </c>
      <c r="E4432" t="s">
        <v>42</v>
      </c>
      <c r="F4432" t="s">
        <v>7649</v>
      </c>
      <c r="G4432" t="s">
        <v>55</v>
      </c>
      <c r="H4432" t="s">
        <v>55</v>
      </c>
      <c r="I4432" t="s">
        <v>104</v>
      </c>
      <c r="J4432" t="s">
        <v>143</v>
      </c>
      <c r="K4432" t="s">
        <v>32</v>
      </c>
      <c r="L4432" t="s">
        <v>67</v>
      </c>
      <c r="M4432" t="s">
        <v>68</v>
      </c>
      <c r="N4432" t="s">
        <v>35</v>
      </c>
      <c r="O4432" t="s">
        <v>36</v>
      </c>
      <c r="P4432" t="s">
        <v>49</v>
      </c>
      <c r="Q4432" t="s">
        <v>158</v>
      </c>
      <c r="R4432">
        <v>343</v>
      </c>
      <c r="S4432">
        <v>185</v>
      </c>
      <c r="T4432">
        <v>115</v>
      </c>
      <c r="U4432">
        <v>28</v>
      </c>
      <c r="V4432" t="s">
        <v>2662</v>
      </c>
      <c r="W4432">
        <v>32777</v>
      </c>
      <c r="X4432" t="s">
        <v>919</v>
      </c>
      <c r="Y4432">
        <v>29285</v>
      </c>
      <c r="Z4432">
        <v>917756</v>
      </c>
      <c r="AA4432">
        <v>97776</v>
      </c>
      <c r="AB4432" t="str">
        <f>(VLOOKUP(SalesData[[#This Row],[Month Number]],Reference!C$5:E$16,2,FALSE))</f>
        <v>Feb</v>
      </c>
      <c r="AC4432">
        <f>MONTH(SalesData[[#This Row],[Date]])</f>
        <v>2</v>
      </c>
      <c r="AD4432">
        <f>Reference!F$4</f>
        <v>2026</v>
      </c>
      <c r="AE4432" t="str">
        <f>IF(OR(SalesData[[#This Row],[Day]]="Saturday",SalesData[[#This Row],[Day]]="Sunday"),"Weekend","Weekday")</f>
        <v>Weekend</v>
      </c>
      <c r="AF4432" s="5">
        <f>IF(SalesData[[#This Row],[Contracts Offered]]=0,0,SalesData[[#This Row],[Contracts Signed]]/SalesData[[#This Row],[Contracts Offered]])</f>
        <v>0.24347826086956523</v>
      </c>
      <c r="AG4432" s="5">
        <f>IF(SalesData[[#This Row],[Customers Visited]]=0,0,SalesData[[#This Row],[Test Drives]]/SalesData[[#This Row],[Customers Visited]])</f>
        <v>0.53935860058309038</v>
      </c>
      <c r="AH4432" s="5">
        <f>IF(SalesData[[#This Row],[Customers Visited]]=0,0,SalesData[[#This Row],[Contracts Signed]]/SalesData[[#This Row],[Customers Visited]])</f>
        <v>8.1632653061224483E-2</v>
      </c>
      <c r="AI4432" s="6">
        <f>IF(SalesData[[#This Row],[Contracts Signed]]=0,0,SalesData[[#This Row],[Profit(€)]]/SalesData[[#This Row],[Contracts Signed]])</f>
        <v>3492</v>
      </c>
      <c r="AJ4432" s="5" t="str">
        <f>TRIM(CLEAN(SalesData[[#This Row],[Retailer]]))</f>
        <v>Autohaus Berlin</v>
      </c>
    </row>
    <row r="4433" spans="1:36" ht="14.25" x14ac:dyDescent="0.2">
      <c r="A4433" t="s">
        <v>5697</v>
      </c>
      <c r="B4433" s="1">
        <v>46070</v>
      </c>
      <c r="C4433" t="s">
        <v>62</v>
      </c>
      <c r="D4433" t="s">
        <v>63</v>
      </c>
      <c r="E4433" t="s">
        <v>26</v>
      </c>
      <c r="F4433" t="s">
        <v>94</v>
      </c>
      <c r="G4433" t="s">
        <v>95</v>
      </c>
      <c r="H4433" t="s">
        <v>96</v>
      </c>
      <c r="I4433" t="s">
        <v>30</v>
      </c>
      <c r="J4433" t="s">
        <v>7075</v>
      </c>
      <c r="K4433" t="s">
        <v>91</v>
      </c>
      <c r="L4433" t="s">
        <v>33</v>
      </c>
      <c r="M4433" t="s">
        <v>34</v>
      </c>
      <c r="N4433" t="s">
        <v>69</v>
      </c>
      <c r="O4433" t="s">
        <v>36</v>
      </c>
      <c r="P4433" t="s">
        <v>71</v>
      </c>
      <c r="Q4433" t="s">
        <v>129</v>
      </c>
      <c r="R4433">
        <v>192</v>
      </c>
      <c r="S4433">
        <v>96</v>
      </c>
      <c r="T4433">
        <v>68</v>
      </c>
      <c r="U4433">
        <v>30</v>
      </c>
      <c r="V4433" t="s">
        <v>7076</v>
      </c>
      <c r="W4433">
        <v>70216</v>
      </c>
      <c r="X4433" t="s">
        <v>7266</v>
      </c>
      <c r="Y4433">
        <v>52509</v>
      </c>
      <c r="Z4433">
        <v>2106480</v>
      </c>
      <c r="AA4433">
        <v>531210</v>
      </c>
      <c r="AB4433" t="str">
        <f>(VLOOKUP(SalesData[[#This Row],[Month Number]],Reference!C$5:E$16,2,FALSE))</f>
        <v>Feb</v>
      </c>
      <c r="AC4433">
        <f>MONTH(SalesData[[#This Row],[Date]])</f>
        <v>2</v>
      </c>
      <c r="AD4433">
        <f>Reference!F$4</f>
        <v>2026</v>
      </c>
      <c r="AE4433" t="str">
        <f>IF(OR(SalesData[[#This Row],[Day]]="Saturday",SalesData[[#This Row],[Day]]="Sunday"),"Weekend","Weekday")</f>
        <v>Weekday</v>
      </c>
      <c r="AF4433" s="5">
        <f>IF(SalesData[[#This Row],[Contracts Offered]]=0,0,SalesData[[#This Row],[Contracts Signed]]/SalesData[[#This Row],[Contracts Offered]])</f>
        <v>0.44117647058823528</v>
      </c>
      <c r="AG4433" s="5">
        <f>IF(SalesData[[#This Row],[Customers Visited]]=0,0,SalesData[[#This Row],[Test Drives]]/SalesData[[#This Row],[Customers Visited]])</f>
        <v>0.5</v>
      </c>
      <c r="AH4433" s="5">
        <f>IF(SalesData[[#This Row],[Customers Visited]]=0,0,SalesData[[#This Row],[Contracts Signed]]/SalesData[[#This Row],[Customers Visited]])</f>
        <v>0.15625</v>
      </c>
      <c r="AI4433" s="6">
        <f>IF(SalesData[[#This Row],[Contracts Signed]]=0,0,SalesData[[#This Row],[Profit(€)]]/SalesData[[#This Row],[Contracts Signed]])</f>
        <v>17707</v>
      </c>
      <c r="AJ4433" s="5" t="str">
        <f>TRIM(CLEAN(SalesData[[#This Row],[Retailer]]))</f>
        <v>Bavaria Motors</v>
      </c>
    </row>
    <row r="4434" spans="1:36" ht="14.25" x14ac:dyDescent="0.2">
      <c r="A4434" t="s">
        <v>5698</v>
      </c>
      <c r="B4434" s="1">
        <v>46059</v>
      </c>
      <c r="C4434" t="s">
        <v>24</v>
      </c>
      <c r="D4434" t="s">
        <v>54</v>
      </c>
      <c r="E4434" t="s">
        <v>26</v>
      </c>
      <c r="F4434" t="s">
        <v>43</v>
      </c>
      <c r="G4434" t="s">
        <v>44</v>
      </c>
      <c r="H4434" t="s">
        <v>45</v>
      </c>
      <c r="I4434" t="s">
        <v>30</v>
      </c>
      <c r="J4434" t="s">
        <v>7075</v>
      </c>
      <c r="K4434" t="s">
        <v>91</v>
      </c>
      <c r="L4434" t="s">
        <v>33</v>
      </c>
      <c r="M4434" t="s">
        <v>68</v>
      </c>
      <c r="N4434" t="s">
        <v>35</v>
      </c>
      <c r="O4434" t="s">
        <v>36</v>
      </c>
      <c r="P4434" t="s">
        <v>58</v>
      </c>
      <c r="Q4434" t="s">
        <v>144</v>
      </c>
      <c r="R4434">
        <v>232</v>
      </c>
      <c r="S4434">
        <v>127</v>
      </c>
      <c r="T4434">
        <v>87</v>
      </c>
      <c r="U4434">
        <v>36</v>
      </c>
      <c r="V4434" t="s">
        <v>7051</v>
      </c>
      <c r="W4434">
        <v>70195</v>
      </c>
      <c r="X4434" t="s">
        <v>7448</v>
      </c>
      <c r="Y4434">
        <v>49676</v>
      </c>
      <c r="Z4434">
        <v>2527020</v>
      </c>
      <c r="AA4434">
        <v>738684</v>
      </c>
      <c r="AB4434" t="str">
        <f>(VLOOKUP(SalesData[[#This Row],[Month Number]],Reference!C$5:E$16,2,FALSE))</f>
        <v>Feb</v>
      </c>
      <c r="AC4434">
        <f>MONTH(SalesData[[#This Row],[Date]])</f>
        <v>2</v>
      </c>
      <c r="AD4434">
        <f>Reference!F$4</f>
        <v>2026</v>
      </c>
      <c r="AE4434" t="str">
        <f>IF(OR(SalesData[[#This Row],[Day]]="Saturday",SalesData[[#This Row],[Day]]="Sunday"),"Weekend","Weekday")</f>
        <v>Weekday</v>
      </c>
      <c r="AF4434" s="5">
        <f>IF(SalesData[[#This Row],[Contracts Offered]]=0,0,SalesData[[#This Row],[Contracts Signed]]/SalesData[[#This Row],[Contracts Offered]])</f>
        <v>0.41379310344827586</v>
      </c>
      <c r="AG4434" s="5">
        <f>IF(SalesData[[#This Row],[Customers Visited]]=0,0,SalesData[[#This Row],[Test Drives]]/SalesData[[#This Row],[Customers Visited]])</f>
        <v>0.54741379310344829</v>
      </c>
      <c r="AH4434" s="5">
        <f>IF(SalesData[[#This Row],[Customers Visited]]=0,0,SalesData[[#This Row],[Contracts Signed]]/SalesData[[#This Row],[Customers Visited]])</f>
        <v>0.15517241379310345</v>
      </c>
      <c r="AI4434" s="6">
        <f>IF(SalesData[[#This Row],[Contracts Signed]]=0,0,SalesData[[#This Row],[Profit(€)]]/SalesData[[#This Row],[Contracts Signed]])</f>
        <v>20519</v>
      </c>
      <c r="AJ4434" s="5" t="str">
        <f>TRIM(CLEAN(SalesData[[#This Row],[Retailer]]))</f>
        <v>Saxon Wheels</v>
      </c>
    </row>
    <row r="4435" spans="1:36" ht="14.25" x14ac:dyDescent="0.2">
      <c r="A4435" t="s">
        <v>5699</v>
      </c>
      <c r="B4435" s="1">
        <v>46075</v>
      </c>
      <c r="C4435" t="s">
        <v>53</v>
      </c>
      <c r="D4435" t="s">
        <v>41</v>
      </c>
      <c r="E4435" t="s">
        <v>42</v>
      </c>
      <c r="F4435" t="s">
        <v>94</v>
      </c>
      <c r="G4435" t="s">
        <v>95</v>
      </c>
      <c r="H4435" t="s">
        <v>96</v>
      </c>
      <c r="I4435" t="s">
        <v>30</v>
      </c>
      <c r="J4435" t="s">
        <v>188</v>
      </c>
      <c r="K4435" t="s">
        <v>66</v>
      </c>
      <c r="L4435" t="s">
        <v>33</v>
      </c>
      <c r="M4435" t="s">
        <v>47</v>
      </c>
      <c r="N4435" t="s">
        <v>35</v>
      </c>
      <c r="O4435" t="s">
        <v>36</v>
      </c>
      <c r="P4435" t="s">
        <v>58</v>
      </c>
      <c r="Q4435" t="s">
        <v>38</v>
      </c>
      <c r="R4435">
        <v>236</v>
      </c>
      <c r="S4435">
        <v>138</v>
      </c>
      <c r="T4435">
        <v>109</v>
      </c>
      <c r="U4435">
        <v>45</v>
      </c>
      <c r="V4435" t="s">
        <v>7561</v>
      </c>
      <c r="W4435">
        <v>59493</v>
      </c>
      <c r="X4435" t="s">
        <v>5350</v>
      </c>
      <c r="Y4435">
        <v>42274</v>
      </c>
      <c r="Z4435">
        <v>2677185</v>
      </c>
      <c r="AA4435">
        <v>774855</v>
      </c>
      <c r="AB4435" t="str">
        <f>(VLOOKUP(SalesData[[#This Row],[Month Number]],Reference!C$5:E$16,2,FALSE))</f>
        <v>Feb</v>
      </c>
      <c r="AC4435">
        <f>MONTH(SalesData[[#This Row],[Date]])</f>
        <v>2</v>
      </c>
      <c r="AD4435">
        <f>Reference!F$4</f>
        <v>2026</v>
      </c>
      <c r="AE4435" t="str">
        <f>IF(OR(SalesData[[#This Row],[Day]]="Saturday",SalesData[[#This Row],[Day]]="Sunday"),"Weekend","Weekday")</f>
        <v>Weekend</v>
      </c>
      <c r="AF4435" s="5">
        <f>IF(SalesData[[#This Row],[Contracts Offered]]=0,0,SalesData[[#This Row],[Contracts Signed]]/SalesData[[#This Row],[Contracts Offered]])</f>
        <v>0.41284403669724773</v>
      </c>
      <c r="AG4435" s="5">
        <f>IF(SalesData[[#This Row],[Customers Visited]]=0,0,SalesData[[#This Row],[Test Drives]]/SalesData[[#This Row],[Customers Visited]])</f>
        <v>0.5847457627118644</v>
      </c>
      <c r="AH4435" s="5">
        <f>IF(SalesData[[#This Row],[Customers Visited]]=0,0,SalesData[[#This Row],[Contracts Signed]]/SalesData[[#This Row],[Customers Visited]])</f>
        <v>0.19067796610169491</v>
      </c>
      <c r="AI4435" s="6">
        <f>IF(SalesData[[#This Row],[Contracts Signed]]=0,0,SalesData[[#This Row],[Profit(€)]]/SalesData[[#This Row],[Contracts Signed]])</f>
        <v>17219</v>
      </c>
      <c r="AJ4435" s="5" t="str">
        <f>TRIM(CLEAN(SalesData[[#This Row],[Retailer]]))</f>
        <v>Bavaria Motors</v>
      </c>
    </row>
    <row r="4436" spans="1:36" ht="14.25" hidden="1" x14ac:dyDescent="0.2">
      <c r="A4436" t="s">
        <v>5700</v>
      </c>
      <c r="B4436" s="1">
        <v>46061</v>
      </c>
      <c r="C4436" t="s">
        <v>121</v>
      </c>
      <c r="D4436" t="s">
        <v>41</v>
      </c>
      <c r="E4436" t="s">
        <v>42</v>
      </c>
      <c r="F4436" t="s">
        <v>114</v>
      </c>
      <c r="G4436" t="s">
        <v>115</v>
      </c>
      <c r="H4436" t="s">
        <v>115</v>
      </c>
      <c r="I4436" t="s">
        <v>116</v>
      </c>
      <c r="J4436" t="s">
        <v>7090</v>
      </c>
      <c r="K4436" t="s">
        <v>32</v>
      </c>
      <c r="L4436" t="s">
        <v>46</v>
      </c>
      <c r="M4436" t="s">
        <v>68</v>
      </c>
      <c r="N4436" t="s">
        <v>48</v>
      </c>
      <c r="O4436" t="s">
        <v>36</v>
      </c>
      <c r="P4436" t="s">
        <v>37</v>
      </c>
      <c r="Q4436" t="s">
        <v>152</v>
      </c>
      <c r="R4436">
        <v>388</v>
      </c>
      <c r="S4436">
        <v>204</v>
      </c>
      <c r="T4436">
        <v>136</v>
      </c>
      <c r="U4436">
        <v>28</v>
      </c>
      <c r="V4436" t="s">
        <v>915</v>
      </c>
      <c r="W4436">
        <v>23565</v>
      </c>
      <c r="X4436" t="s">
        <v>437</v>
      </c>
      <c r="Y4436">
        <v>21238</v>
      </c>
      <c r="Z4436">
        <v>659820</v>
      </c>
      <c r="AA4436">
        <v>65156</v>
      </c>
      <c r="AB4436" t="str">
        <f>(VLOOKUP(SalesData[[#This Row],[Month Number]],Reference!C$5:E$16,2,FALSE))</f>
        <v>Feb</v>
      </c>
      <c r="AC4436">
        <f>MONTH(SalesData[[#This Row],[Date]])</f>
        <v>2</v>
      </c>
      <c r="AD4436">
        <f>Reference!F$4</f>
        <v>2026</v>
      </c>
      <c r="AE4436" t="str">
        <f>IF(OR(SalesData[[#This Row],[Day]]="Saturday",SalesData[[#This Row],[Day]]="Sunday"),"Weekend","Weekday")</f>
        <v>Weekend</v>
      </c>
      <c r="AF4436" s="5">
        <f>IF(SalesData[[#This Row],[Contracts Offered]]=0,0,SalesData[[#This Row],[Contracts Signed]]/SalesData[[#This Row],[Contracts Offered]])</f>
        <v>0.20588235294117646</v>
      </c>
      <c r="AG4436" s="5">
        <f>IF(SalesData[[#This Row],[Customers Visited]]=0,0,SalesData[[#This Row],[Test Drives]]/SalesData[[#This Row],[Customers Visited]])</f>
        <v>0.52577319587628868</v>
      </c>
      <c r="AH4436" s="5">
        <f>IF(SalesData[[#This Row],[Customers Visited]]=0,0,SalesData[[#This Row],[Contracts Signed]]/SalesData[[#This Row],[Customers Visited]])</f>
        <v>7.2164948453608241E-2</v>
      </c>
      <c r="AI4436" s="6">
        <f>IF(SalesData[[#This Row],[Contracts Signed]]=0,0,SalesData[[#This Row],[Profit(€)]]/SalesData[[#This Row],[Contracts Signed]])</f>
        <v>2327</v>
      </c>
      <c r="AJ4436" s="5" t="str">
        <f>TRIM(CLEAN(SalesData[[#This Row],[Retailer]]))</f>
        <v>Elbe Drive</v>
      </c>
    </row>
    <row r="4437" spans="1:36" ht="14.25" hidden="1" x14ac:dyDescent="0.2">
      <c r="A4437" t="s">
        <v>5701</v>
      </c>
      <c r="B4437" s="1">
        <v>46078</v>
      </c>
      <c r="C4437" t="s">
        <v>53</v>
      </c>
      <c r="D4437" t="s">
        <v>82</v>
      </c>
      <c r="E4437" t="s">
        <v>26</v>
      </c>
      <c r="F4437" t="s">
        <v>43</v>
      </c>
      <c r="G4437" t="s">
        <v>44</v>
      </c>
      <c r="H4437" t="s">
        <v>45</v>
      </c>
      <c r="I4437" t="s">
        <v>56</v>
      </c>
      <c r="J4437" t="s">
        <v>97</v>
      </c>
      <c r="K4437" t="s">
        <v>91</v>
      </c>
      <c r="L4437" t="s">
        <v>33</v>
      </c>
      <c r="M4437" t="s">
        <v>87</v>
      </c>
      <c r="N4437" t="s">
        <v>69</v>
      </c>
      <c r="O4437" t="s">
        <v>70</v>
      </c>
      <c r="P4437" t="s">
        <v>49</v>
      </c>
      <c r="Q4437" t="s">
        <v>189</v>
      </c>
      <c r="R4437">
        <v>160</v>
      </c>
      <c r="S4437">
        <v>79</v>
      </c>
      <c r="T4437">
        <v>55</v>
      </c>
      <c r="U4437">
        <v>16</v>
      </c>
      <c r="V4437" t="s">
        <v>6911</v>
      </c>
      <c r="W4437">
        <v>50527</v>
      </c>
      <c r="X4437" t="s">
        <v>7171</v>
      </c>
      <c r="Y4437">
        <v>40641</v>
      </c>
      <c r="Z4437">
        <v>808432</v>
      </c>
      <c r="AA4437">
        <v>158176</v>
      </c>
      <c r="AB4437" t="str">
        <f>(VLOOKUP(SalesData[[#This Row],[Month Number]],Reference!C$5:E$16,2,FALSE))</f>
        <v>Feb</v>
      </c>
      <c r="AC4437">
        <f>MONTH(SalesData[[#This Row],[Date]])</f>
        <v>2</v>
      </c>
      <c r="AD4437">
        <f>Reference!F$4</f>
        <v>2026</v>
      </c>
      <c r="AE4437" t="str">
        <f>IF(OR(SalesData[[#This Row],[Day]]="Saturday",SalesData[[#This Row],[Day]]="Sunday"),"Weekend","Weekday")</f>
        <v>Weekday</v>
      </c>
      <c r="AF4437" s="5">
        <f>IF(SalesData[[#This Row],[Contracts Offered]]=0,0,SalesData[[#This Row],[Contracts Signed]]/SalesData[[#This Row],[Contracts Offered]])</f>
        <v>0.29090909090909089</v>
      </c>
      <c r="AG4437" s="5">
        <f>IF(SalesData[[#This Row],[Customers Visited]]=0,0,SalesData[[#This Row],[Test Drives]]/SalesData[[#This Row],[Customers Visited]])</f>
        <v>0.49375000000000002</v>
      </c>
      <c r="AH4437" s="5">
        <f>IF(SalesData[[#This Row],[Customers Visited]]=0,0,SalesData[[#This Row],[Contracts Signed]]/SalesData[[#This Row],[Customers Visited]])</f>
        <v>0.1</v>
      </c>
      <c r="AI4437" s="6">
        <f>IF(SalesData[[#This Row],[Contracts Signed]]=0,0,SalesData[[#This Row],[Profit(€)]]/SalesData[[#This Row],[Contracts Signed]])</f>
        <v>9886</v>
      </c>
      <c r="AJ4437" s="5" t="str">
        <f>TRIM(CLEAN(SalesData[[#This Row],[Retailer]]))</f>
        <v>Saxon Wheels</v>
      </c>
    </row>
    <row r="4438" spans="1:36" ht="14.25" hidden="1" x14ac:dyDescent="0.2">
      <c r="A4438" t="s">
        <v>5702</v>
      </c>
      <c r="B4438" s="1">
        <v>46073</v>
      </c>
      <c r="C4438" t="s">
        <v>62</v>
      </c>
      <c r="D4438" t="s">
        <v>54</v>
      </c>
      <c r="E4438" t="s">
        <v>26</v>
      </c>
      <c r="F4438" t="s">
        <v>74</v>
      </c>
      <c r="G4438" t="s">
        <v>75</v>
      </c>
      <c r="H4438" t="s">
        <v>76</v>
      </c>
      <c r="I4438" t="s">
        <v>64</v>
      </c>
      <c r="J4438" t="s">
        <v>157</v>
      </c>
      <c r="K4438" t="s">
        <v>78</v>
      </c>
      <c r="L4438" t="s">
        <v>33</v>
      </c>
      <c r="M4438" t="s">
        <v>87</v>
      </c>
      <c r="N4438" t="s">
        <v>35</v>
      </c>
      <c r="O4438" t="s">
        <v>70</v>
      </c>
      <c r="P4438" t="s">
        <v>71</v>
      </c>
      <c r="Q4438" t="s">
        <v>135</v>
      </c>
      <c r="R4438">
        <v>250</v>
      </c>
      <c r="S4438">
        <v>117</v>
      </c>
      <c r="T4438">
        <v>79</v>
      </c>
      <c r="U4438">
        <v>29</v>
      </c>
      <c r="V4438" t="s">
        <v>6927</v>
      </c>
      <c r="W4438">
        <v>58702</v>
      </c>
      <c r="X4438" t="s">
        <v>7139</v>
      </c>
      <c r="Y4438">
        <v>45316</v>
      </c>
      <c r="Z4438">
        <v>1702358</v>
      </c>
      <c r="AA4438">
        <v>388194</v>
      </c>
      <c r="AB4438" t="str">
        <f>(VLOOKUP(SalesData[[#This Row],[Month Number]],Reference!C$5:E$16,2,FALSE))</f>
        <v>Feb</v>
      </c>
      <c r="AC4438">
        <f>MONTH(SalesData[[#This Row],[Date]])</f>
        <v>2</v>
      </c>
      <c r="AD4438">
        <f>Reference!F$4</f>
        <v>2026</v>
      </c>
      <c r="AE4438" t="str">
        <f>IF(OR(SalesData[[#This Row],[Day]]="Saturday",SalesData[[#This Row],[Day]]="Sunday"),"Weekend","Weekday")</f>
        <v>Weekday</v>
      </c>
      <c r="AF4438" s="5">
        <f>IF(SalesData[[#This Row],[Contracts Offered]]=0,0,SalesData[[#This Row],[Contracts Signed]]/SalesData[[#This Row],[Contracts Offered]])</f>
        <v>0.36708860759493672</v>
      </c>
      <c r="AG4438" s="5">
        <f>IF(SalesData[[#This Row],[Customers Visited]]=0,0,SalesData[[#This Row],[Test Drives]]/SalesData[[#This Row],[Customers Visited]])</f>
        <v>0.46800000000000003</v>
      </c>
      <c r="AH4438" s="5">
        <f>IF(SalesData[[#This Row],[Customers Visited]]=0,0,SalesData[[#This Row],[Contracts Signed]]/SalesData[[#This Row],[Customers Visited]])</f>
        <v>0.11600000000000001</v>
      </c>
      <c r="AI4438" s="6">
        <f>IF(SalesData[[#This Row],[Contracts Signed]]=0,0,SalesData[[#This Row],[Profit(€)]]/SalesData[[#This Row],[Contracts Signed]])</f>
        <v>13386</v>
      </c>
      <c r="AJ4438" s="5" t="str">
        <f>TRIM(CLEAN(SalesData[[#This Row],[Retailer]]))</f>
        <v>Stuttgart Auto Center</v>
      </c>
    </row>
    <row r="4439" spans="1:36" ht="14.25" hidden="1" x14ac:dyDescent="0.2">
      <c r="A4439" t="s">
        <v>5703</v>
      </c>
      <c r="B4439" s="1">
        <v>46066</v>
      </c>
      <c r="C4439" t="s">
        <v>121</v>
      </c>
      <c r="D4439" t="s">
        <v>54</v>
      </c>
      <c r="E4439" t="s">
        <v>26</v>
      </c>
      <c r="F4439" t="s">
        <v>43</v>
      </c>
      <c r="G4439" t="s">
        <v>44</v>
      </c>
      <c r="H4439" t="s">
        <v>45</v>
      </c>
      <c r="I4439" t="s">
        <v>104</v>
      </c>
      <c r="J4439" t="s">
        <v>7061</v>
      </c>
      <c r="K4439" t="s">
        <v>78</v>
      </c>
      <c r="L4439" t="s">
        <v>46</v>
      </c>
      <c r="M4439" t="s">
        <v>87</v>
      </c>
      <c r="N4439" t="s">
        <v>48</v>
      </c>
      <c r="O4439" t="s">
        <v>70</v>
      </c>
      <c r="P4439" t="s">
        <v>71</v>
      </c>
      <c r="Q4439" t="s">
        <v>38</v>
      </c>
      <c r="R4439">
        <v>492</v>
      </c>
      <c r="S4439">
        <v>233</v>
      </c>
      <c r="T4439">
        <v>140</v>
      </c>
      <c r="U4439">
        <v>31</v>
      </c>
      <c r="V4439" t="s">
        <v>4345</v>
      </c>
      <c r="W4439">
        <v>29453</v>
      </c>
      <c r="X4439" t="s">
        <v>417</v>
      </c>
      <c r="Y4439">
        <v>26386</v>
      </c>
      <c r="Z4439">
        <v>913043</v>
      </c>
      <c r="AA4439">
        <v>95077</v>
      </c>
      <c r="AB4439" t="str">
        <f>(VLOOKUP(SalesData[[#This Row],[Month Number]],Reference!C$5:E$16,2,FALSE))</f>
        <v>Feb</v>
      </c>
      <c r="AC4439">
        <f>MONTH(SalesData[[#This Row],[Date]])</f>
        <v>2</v>
      </c>
      <c r="AD4439">
        <f>Reference!F$4</f>
        <v>2026</v>
      </c>
      <c r="AE4439" t="str">
        <f>IF(OR(SalesData[[#This Row],[Day]]="Saturday",SalesData[[#This Row],[Day]]="Sunday"),"Weekend","Weekday")</f>
        <v>Weekday</v>
      </c>
      <c r="AF4439" s="5">
        <f>IF(SalesData[[#This Row],[Contracts Offered]]=0,0,SalesData[[#This Row],[Contracts Signed]]/SalesData[[#This Row],[Contracts Offered]])</f>
        <v>0.22142857142857142</v>
      </c>
      <c r="AG4439" s="5">
        <f>IF(SalesData[[#This Row],[Customers Visited]]=0,0,SalesData[[#This Row],[Test Drives]]/SalesData[[#This Row],[Customers Visited]])</f>
        <v>0.47357723577235772</v>
      </c>
      <c r="AH4439" s="5">
        <f>IF(SalesData[[#This Row],[Customers Visited]]=0,0,SalesData[[#This Row],[Contracts Signed]]/SalesData[[#This Row],[Customers Visited]])</f>
        <v>6.3008130081300809E-2</v>
      </c>
      <c r="AI4439" s="6">
        <f>IF(SalesData[[#This Row],[Contracts Signed]]=0,0,SalesData[[#This Row],[Profit(€)]]/SalesData[[#This Row],[Contracts Signed]])</f>
        <v>3067</v>
      </c>
      <c r="AJ4439" s="5" t="str">
        <f>TRIM(CLEAN(SalesData[[#This Row],[Retailer]]))</f>
        <v>Saxon Wheels</v>
      </c>
    </row>
    <row r="4440" spans="1:36" ht="14.25" hidden="1" x14ac:dyDescent="0.2">
      <c r="A4440" t="s">
        <v>5704</v>
      </c>
      <c r="B4440" s="1">
        <v>46069</v>
      </c>
      <c r="C4440" t="s">
        <v>62</v>
      </c>
      <c r="D4440" t="s">
        <v>25</v>
      </c>
      <c r="E4440" t="s">
        <v>26</v>
      </c>
      <c r="F4440" t="s">
        <v>27</v>
      </c>
      <c r="G4440" t="s">
        <v>28</v>
      </c>
      <c r="H4440" t="s">
        <v>29</v>
      </c>
      <c r="I4440" t="s">
        <v>116</v>
      </c>
      <c r="J4440" t="s">
        <v>7090</v>
      </c>
      <c r="K4440" t="s">
        <v>66</v>
      </c>
      <c r="L4440" t="s">
        <v>46</v>
      </c>
      <c r="M4440" t="s">
        <v>47</v>
      </c>
      <c r="N4440" t="s">
        <v>48</v>
      </c>
      <c r="O4440" t="s">
        <v>70</v>
      </c>
      <c r="P4440" t="s">
        <v>58</v>
      </c>
      <c r="Q4440" t="s">
        <v>129</v>
      </c>
      <c r="R4440">
        <v>394</v>
      </c>
      <c r="S4440">
        <v>160</v>
      </c>
      <c r="T4440">
        <v>101</v>
      </c>
      <c r="U4440">
        <v>29</v>
      </c>
      <c r="V4440" t="s">
        <v>785</v>
      </c>
      <c r="W4440">
        <v>26025</v>
      </c>
      <c r="X4440" t="s">
        <v>2583</v>
      </c>
      <c r="Y4440">
        <v>23514</v>
      </c>
      <c r="Z4440">
        <v>754725</v>
      </c>
      <c r="AA4440">
        <v>72819</v>
      </c>
      <c r="AB4440" t="str">
        <f>(VLOOKUP(SalesData[[#This Row],[Month Number]],Reference!C$5:E$16,2,FALSE))</f>
        <v>Feb</v>
      </c>
      <c r="AC4440">
        <f>MONTH(SalesData[[#This Row],[Date]])</f>
        <v>2</v>
      </c>
      <c r="AD4440">
        <f>Reference!F$4</f>
        <v>2026</v>
      </c>
      <c r="AE4440" t="str">
        <f>IF(OR(SalesData[[#This Row],[Day]]="Saturday",SalesData[[#This Row],[Day]]="Sunday"),"Weekend","Weekday")</f>
        <v>Weekday</v>
      </c>
      <c r="AF4440" s="5">
        <f>IF(SalesData[[#This Row],[Contracts Offered]]=0,0,SalesData[[#This Row],[Contracts Signed]]/SalesData[[#This Row],[Contracts Offered]])</f>
        <v>0.28712871287128711</v>
      </c>
      <c r="AG4440" s="5">
        <f>IF(SalesData[[#This Row],[Customers Visited]]=0,0,SalesData[[#This Row],[Test Drives]]/SalesData[[#This Row],[Customers Visited]])</f>
        <v>0.40609137055837563</v>
      </c>
      <c r="AH4440" s="5">
        <f>IF(SalesData[[#This Row],[Customers Visited]]=0,0,SalesData[[#This Row],[Contracts Signed]]/SalesData[[#This Row],[Customers Visited]])</f>
        <v>7.3604060913705582E-2</v>
      </c>
      <c r="AI4440" s="6">
        <f>IF(SalesData[[#This Row],[Contracts Signed]]=0,0,SalesData[[#This Row],[Profit(€)]]/SalesData[[#This Row],[Contracts Signed]])</f>
        <v>2511</v>
      </c>
      <c r="AJ4440" s="5" t="str">
        <f>TRIM(CLEAN(SalesData[[#This Row],[Retailer]]))</f>
        <v>Main Auto Hub</v>
      </c>
    </row>
    <row r="4441" spans="1:36" ht="14.25" x14ac:dyDescent="0.2">
      <c r="A4441" t="s">
        <v>5705</v>
      </c>
      <c r="B4441" s="1">
        <v>46064</v>
      </c>
      <c r="C4441" t="s">
        <v>121</v>
      </c>
      <c r="D4441" t="s">
        <v>82</v>
      </c>
      <c r="E4441" t="s">
        <v>26</v>
      </c>
      <c r="F4441" t="s">
        <v>7649</v>
      </c>
      <c r="G4441" t="s">
        <v>55</v>
      </c>
      <c r="H4441" t="s">
        <v>55</v>
      </c>
      <c r="I4441" t="s">
        <v>30</v>
      </c>
      <c r="J4441" t="s">
        <v>86</v>
      </c>
      <c r="K4441" t="s">
        <v>32</v>
      </c>
      <c r="L4441" t="s">
        <v>33</v>
      </c>
      <c r="M4441" t="s">
        <v>34</v>
      </c>
      <c r="N4441" t="s">
        <v>69</v>
      </c>
      <c r="O4441" t="s">
        <v>70</v>
      </c>
      <c r="P4441" t="s">
        <v>49</v>
      </c>
      <c r="Q4441" t="s">
        <v>135</v>
      </c>
      <c r="R4441">
        <v>242</v>
      </c>
      <c r="S4441">
        <v>132</v>
      </c>
      <c r="T4441">
        <v>104</v>
      </c>
      <c r="U4441">
        <v>37</v>
      </c>
      <c r="V4441" t="s">
        <v>6925</v>
      </c>
      <c r="W4441">
        <v>54430</v>
      </c>
      <c r="X4441" t="s">
        <v>7633</v>
      </c>
      <c r="Y4441">
        <v>40054</v>
      </c>
      <c r="Z4441">
        <v>2013910</v>
      </c>
      <c r="AA4441">
        <v>531912</v>
      </c>
      <c r="AB4441" t="str">
        <f>(VLOOKUP(SalesData[[#This Row],[Month Number]],Reference!C$5:E$16,2,FALSE))</f>
        <v>Feb</v>
      </c>
      <c r="AC4441">
        <f>MONTH(SalesData[[#This Row],[Date]])</f>
        <v>2</v>
      </c>
      <c r="AD4441">
        <f>Reference!F$4</f>
        <v>2026</v>
      </c>
      <c r="AE4441" t="str">
        <f>IF(OR(SalesData[[#This Row],[Day]]="Saturday",SalesData[[#This Row],[Day]]="Sunday"),"Weekend","Weekday")</f>
        <v>Weekday</v>
      </c>
      <c r="AF4441" s="5">
        <f>IF(SalesData[[#This Row],[Contracts Offered]]=0,0,SalesData[[#This Row],[Contracts Signed]]/SalesData[[#This Row],[Contracts Offered]])</f>
        <v>0.35576923076923078</v>
      </c>
      <c r="AG4441" s="5">
        <f>IF(SalesData[[#This Row],[Customers Visited]]=0,0,SalesData[[#This Row],[Test Drives]]/SalesData[[#This Row],[Customers Visited]])</f>
        <v>0.54545454545454541</v>
      </c>
      <c r="AH4441" s="5">
        <f>IF(SalesData[[#This Row],[Customers Visited]]=0,0,SalesData[[#This Row],[Contracts Signed]]/SalesData[[#This Row],[Customers Visited]])</f>
        <v>0.15289256198347106</v>
      </c>
      <c r="AI4441" s="6">
        <f>IF(SalesData[[#This Row],[Contracts Signed]]=0,0,SalesData[[#This Row],[Profit(€)]]/SalesData[[#This Row],[Contracts Signed]])</f>
        <v>14376</v>
      </c>
      <c r="AJ4441" s="5" t="str">
        <f>TRIM(CLEAN(SalesData[[#This Row],[Retailer]]))</f>
        <v>Autohaus Berlin</v>
      </c>
    </row>
    <row r="4442" spans="1:36" ht="14.25" hidden="1" x14ac:dyDescent="0.2">
      <c r="A4442" t="s">
        <v>5706</v>
      </c>
      <c r="B4442" s="1">
        <v>46075</v>
      </c>
      <c r="C4442" t="s">
        <v>53</v>
      </c>
      <c r="D4442" t="s">
        <v>41</v>
      </c>
      <c r="E4442" t="s">
        <v>42</v>
      </c>
      <c r="F4442" t="s">
        <v>83</v>
      </c>
      <c r="G4442" t="s">
        <v>84</v>
      </c>
      <c r="H4442" t="s">
        <v>85</v>
      </c>
      <c r="I4442" t="s">
        <v>56</v>
      </c>
      <c r="J4442" t="s">
        <v>137</v>
      </c>
      <c r="K4442" t="s">
        <v>32</v>
      </c>
      <c r="L4442" t="s">
        <v>46</v>
      </c>
      <c r="M4442" t="s">
        <v>87</v>
      </c>
      <c r="N4442" t="s">
        <v>48</v>
      </c>
      <c r="O4442" t="s">
        <v>36</v>
      </c>
      <c r="P4442" t="s">
        <v>71</v>
      </c>
      <c r="Q4442" t="s">
        <v>189</v>
      </c>
      <c r="R4442">
        <v>196</v>
      </c>
      <c r="S4442">
        <v>97</v>
      </c>
      <c r="T4442">
        <v>72</v>
      </c>
      <c r="U4442">
        <v>23</v>
      </c>
      <c r="V4442" t="s">
        <v>6863</v>
      </c>
      <c r="W4442">
        <v>39808</v>
      </c>
      <c r="X4442" t="s">
        <v>107</v>
      </c>
      <c r="Y4442">
        <v>32563</v>
      </c>
      <c r="Z4442">
        <v>915584</v>
      </c>
      <c r="AA4442">
        <v>166635</v>
      </c>
      <c r="AB4442" t="str">
        <f>(VLOOKUP(SalesData[[#This Row],[Month Number]],Reference!C$5:E$16,2,FALSE))</f>
        <v>Feb</v>
      </c>
      <c r="AC4442">
        <f>MONTH(SalesData[[#This Row],[Date]])</f>
        <v>2</v>
      </c>
      <c r="AD4442">
        <f>Reference!F$4</f>
        <v>2026</v>
      </c>
      <c r="AE4442" t="str">
        <f>IF(OR(SalesData[[#This Row],[Day]]="Saturday",SalesData[[#This Row],[Day]]="Sunday"),"Weekend","Weekday")</f>
        <v>Weekend</v>
      </c>
      <c r="AF4442" s="5">
        <f>IF(SalesData[[#This Row],[Contracts Offered]]=0,0,SalesData[[#This Row],[Contracts Signed]]/SalesData[[#This Row],[Contracts Offered]])</f>
        <v>0.31944444444444442</v>
      </c>
      <c r="AG4442" s="5">
        <f>IF(SalesData[[#This Row],[Customers Visited]]=0,0,SalesData[[#This Row],[Test Drives]]/SalesData[[#This Row],[Customers Visited]])</f>
        <v>0.49489795918367346</v>
      </c>
      <c r="AH4442" s="5">
        <f>IF(SalesData[[#This Row],[Customers Visited]]=0,0,SalesData[[#This Row],[Contracts Signed]]/SalesData[[#This Row],[Customers Visited]])</f>
        <v>0.11734693877551021</v>
      </c>
      <c r="AI4442" s="6">
        <f>IF(SalesData[[#This Row],[Contracts Signed]]=0,0,SalesData[[#This Row],[Profit(€)]]/SalesData[[#This Row],[Contracts Signed]])</f>
        <v>7245</v>
      </c>
      <c r="AJ4442" s="5" t="str">
        <f>TRIM(CLEAN(SalesData[[#This Row],[Retailer]]))</f>
        <v>Hannover Cars</v>
      </c>
    </row>
    <row r="4443" spans="1:36" ht="14.25" x14ac:dyDescent="0.2">
      <c r="A4443" t="s">
        <v>5707</v>
      </c>
      <c r="B4443" s="1">
        <v>46059</v>
      </c>
      <c r="C4443" t="s">
        <v>24</v>
      </c>
      <c r="D4443" t="s">
        <v>54</v>
      </c>
      <c r="E4443" t="s">
        <v>26</v>
      </c>
      <c r="F4443" t="s">
        <v>109</v>
      </c>
      <c r="G4443" t="s">
        <v>110</v>
      </c>
      <c r="H4443" t="s">
        <v>45</v>
      </c>
      <c r="I4443" t="s">
        <v>30</v>
      </c>
      <c r="J4443" t="s">
        <v>86</v>
      </c>
      <c r="K4443" t="s">
        <v>66</v>
      </c>
      <c r="L4443" t="s">
        <v>33</v>
      </c>
      <c r="M4443" t="s">
        <v>47</v>
      </c>
      <c r="N4443" t="s">
        <v>69</v>
      </c>
      <c r="O4443" t="s">
        <v>36</v>
      </c>
      <c r="P4443" t="s">
        <v>71</v>
      </c>
      <c r="Q4443" t="s">
        <v>172</v>
      </c>
      <c r="R4443">
        <v>193</v>
      </c>
      <c r="S4443">
        <v>114</v>
      </c>
      <c r="T4443">
        <v>82</v>
      </c>
      <c r="U4443">
        <v>34</v>
      </c>
      <c r="V4443" t="s">
        <v>7040</v>
      </c>
      <c r="W4443">
        <v>59667</v>
      </c>
      <c r="X4443" t="s">
        <v>7314</v>
      </c>
      <c r="Y4443">
        <v>43871</v>
      </c>
      <c r="Z4443">
        <v>2028678</v>
      </c>
      <c r="AA4443">
        <v>537064</v>
      </c>
      <c r="AB4443" t="str">
        <f>(VLOOKUP(SalesData[[#This Row],[Month Number]],Reference!C$5:E$16,2,FALSE))</f>
        <v>Feb</v>
      </c>
      <c r="AC4443">
        <f>MONTH(SalesData[[#This Row],[Date]])</f>
        <v>2</v>
      </c>
      <c r="AD4443">
        <f>Reference!F$4</f>
        <v>2026</v>
      </c>
      <c r="AE4443" t="str">
        <f>IF(OR(SalesData[[#This Row],[Day]]="Saturday",SalesData[[#This Row],[Day]]="Sunday"),"Weekend","Weekday")</f>
        <v>Weekday</v>
      </c>
      <c r="AF4443" s="5">
        <f>IF(SalesData[[#This Row],[Contracts Offered]]=0,0,SalesData[[#This Row],[Contracts Signed]]/SalesData[[#This Row],[Contracts Offered]])</f>
        <v>0.41463414634146339</v>
      </c>
      <c r="AG4443" s="5">
        <f>IF(SalesData[[#This Row],[Customers Visited]]=0,0,SalesData[[#This Row],[Test Drives]]/SalesData[[#This Row],[Customers Visited]])</f>
        <v>0.59067357512953367</v>
      </c>
      <c r="AH4443" s="5">
        <f>IF(SalesData[[#This Row],[Customers Visited]]=0,0,SalesData[[#This Row],[Contracts Signed]]/SalesData[[#This Row],[Customers Visited]])</f>
        <v>0.17616580310880828</v>
      </c>
      <c r="AI4443" s="6">
        <f>IF(SalesData[[#This Row],[Contracts Signed]]=0,0,SalesData[[#This Row],[Profit(€)]]/SalesData[[#This Row],[Contracts Signed]])</f>
        <v>15796</v>
      </c>
      <c r="AJ4443" s="5" t="str">
        <f>TRIM(CLEAN(SalesData[[#This Row],[Retailer]]))</f>
        <v>Leipzig Mobility</v>
      </c>
    </row>
    <row r="4444" spans="1:36" ht="14.25" x14ac:dyDescent="0.2">
      <c r="A4444" t="s">
        <v>5708</v>
      </c>
      <c r="B4444" s="1">
        <v>46081</v>
      </c>
      <c r="C4444" t="s">
        <v>53</v>
      </c>
      <c r="D4444" t="s">
        <v>151</v>
      </c>
      <c r="E4444" t="s">
        <v>42</v>
      </c>
      <c r="F4444" t="s">
        <v>83</v>
      </c>
      <c r="G4444" t="s">
        <v>84</v>
      </c>
      <c r="H4444" t="s">
        <v>85</v>
      </c>
      <c r="I4444" t="s">
        <v>30</v>
      </c>
      <c r="J4444" t="s">
        <v>86</v>
      </c>
      <c r="K4444" t="s">
        <v>78</v>
      </c>
      <c r="L4444" t="s">
        <v>33</v>
      </c>
      <c r="M4444" t="s">
        <v>68</v>
      </c>
      <c r="N4444" t="s">
        <v>69</v>
      </c>
      <c r="O4444" t="s">
        <v>36</v>
      </c>
      <c r="P4444" t="s">
        <v>37</v>
      </c>
      <c r="Q4444" t="s">
        <v>240</v>
      </c>
      <c r="R4444">
        <v>280</v>
      </c>
      <c r="S4444">
        <v>153</v>
      </c>
      <c r="T4444">
        <v>111</v>
      </c>
      <c r="U4444">
        <v>40</v>
      </c>
      <c r="V4444" t="s">
        <v>6775</v>
      </c>
      <c r="W4444">
        <v>62437</v>
      </c>
      <c r="X4444" t="s">
        <v>2261</v>
      </c>
      <c r="Y4444">
        <v>44860</v>
      </c>
      <c r="Z4444">
        <v>2497480</v>
      </c>
      <c r="AA4444">
        <v>703080</v>
      </c>
      <c r="AB4444" t="str">
        <f>(VLOOKUP(SalesData[[#This Row],[Month Number]],Reference!C$5:E$16,2,FALSE))</f>
        <v>Feb</v>
      </c>
      <c r="AC4444">
        <f>MONTH(SalesData[[#This Row],[Date]])</f>
        <v>2</v>
      </c>
      <c r="AD4444">
        <f>Reference!F$4</f>
        <v>2026</v>
      </c>
      <c r="AE4444" t="str">
        <f>IF(OR(SalesData[[#This Row],[Day]]="Saturday",SalesData[[#This Row],[Day]]="Sunday"),"Weekend","Weekday")</f>
        <v>Weekend</v>
      </c>
      <c r="AF4444" s="5">
        <f>IF(SalesData[[#This Row],[Contracts Offered]]=0,0,SalesData[[#This Row],[Contracts Signed]]/SalesData[[#This Row],[Contracts Offered]])</f>
        <v>0.36036036036036034</v>
      </c>
      <c r="AG4444" s="5">
        <f>IF(SalesData[[#This Row],[Customers Visited]]=0,0,SalesData[[#This Row],[Test Drives]]/SalesData[[#This Row],[Customers Visited]])</f>
        <v>0.54642857142857137</v>
      </c>
      <c r="AH4444" s="5">
        <f>IF(SalesData[[#This Row],[Customers Visited]]=0,0,SalesData[[#This Row],[Contracts Signed]]/SalesData[[#This Row],[Customers Visited]])</f>
        <v>0.14285714285714285</v>
      </c>
      <c r="AI4444" s="6">
        <f>IF(SalesData[[#This Row],[Contracts Signed]]=0,0,SalesData[[#This Row],[Profit(€)]]/SalesData[[#This Row],[Contracts Signed]])</f>
        <v>17577</v>
      </c>
      <c r="AJ4444" s="5" t="str">
        <f>TRIM(CLEAN(SalesData[[#This Row],[Retailer]]))</f>
        <v>Hannover Cars</v>
      </c>
    </row>
    <row r="4445" spans="1:36" ht="14.25" x14ac:dyDescent="0.2">
      <c r="A4445" t="s">
        <v>5709</v>
      </c>
      <c r="B4445" s="1">
        <v>46081</v>
      </c>
      <c r="C4445" t="s">
        <v>53</v>
      </c>
      <c r="D4445" t="s">
        <v>151</v>
      </c>
      <c r="E4445" t="s">
        <v>42</v>
      </c>
      <c r="F4445" t="s">
        <v>83</v>
      </c>
      <c r="G4445" t="s">
        <v>84</v>
      </c>
      <c r="H4445" t="s">
        <v>85</v>
      </c>
      <c r="I4445" t="s">
        <v>30</v>
      </c>
      <c r="J4445" t="s">
        <v>31</v>
      </c>
      <c r="K4445" t="s">
        <v>91</v>
      </c>
      <c r="L4445" t="s">
        <v>46</v>
      </c>
      <c r="M4445" t="s">
        <v>34</v>
      </c>
      <c r="N4445" t="s">
        <v>69</v>
      </c>
      <c r="O4445" t="s">
        <v>70</v>
      </c>
      <c r="P4445" t="s">
        <v>37</v>
      </c>
      <c r="Q4445" t="s">
        <v>158</v>
      </c>
      <c r="R4445">
        <v>143</v>
      </c>
      <c r="S4445">
        <v>84</v>
      </c>
      <c r="T4445">
        <v>59</v>
      </c>
      <c r="U4445">
        <v>23</v>
      </c>
      <c r="V4445" t="s">
        <v>6944</v>
      </c>
      <c r="W4445">
        <v>52857</v>
      </c>
      <c r="X4445" t="s">
        <v>7093</v>
      </c>
      <c r="Y4445">
        <v>39482</v>
      </c>
      <c r="Z4445">
        <v>1215711</v>
      </c>
      <c r="AA4445">
        <v>307625</v>
      </c>
      <c r="AB4445" t="str">
        <f>(VLOOKUP(SalesData[[#This Row],[Month Number]],Reference!C$5:E$16,2,FALSE))</f>
        <v>Feb</v>
      </c>
      <c r="AC4445">
        <f>MONTH(SalesData[[#This Row],[Date]])</f>
        <v>2</v>
      </c>
      <c r="AD4445">
        <f>Reference!F$4</f>
        <v>2026</v>
      </c>
      <c r="AE4445" t="str">
        <f>IF(OR(SalesData[[#This Row],[Day]]="Saturday",SalesData[[#This Row],[Day]]="Sunday"),"Weekend","Weekday")</f>
        <v>Weekend</v>
      </c>
      <c r="AF4445" s="5">
        <f>IF(SalesData[[#This Row],[Contracts Offered]]=0,0,SalesData[[#This Row],[Contracts Signed]]/SalesData[[#This Row],[Contracts Offered]])</f>
        <v>0.38983050847457629</v>
      </c>
      <c r="AG4445" s="5">
        <f>IF(SalesData[[#This Row],[Customers Visited]]=0,0,SalesData[[#This Row],[Test Drives]]/SalesData[[#This Row],[Customers Visited]])</f>
        <v>0.58741258741258739</v>
      </c>
      <c r="AH4445" s="5">
        <f>IF(SalesData[[#This Row],[Customers Visited]]=0,0,SalesData[[#This Row],[Contracts Signed]]/SalesData[[#This Row],[Customers Visited]])</f>
        <v>0.16083916083916083</v>
      </c>
      <c r="AI4445" s="6">
        <f>IF(SalesData[[#This Row],[Contracts Signed]]=0,0,SalesData[[#This Row],[Profit(€)]]/SalesData[[#This Row],[Contracts Signed]])</f>
        <v>13375</v>
      </c>
      <c r="AJ4445" s="5" t="str">
        <f>TRIM(CLEAN(SalesData[[#This Row],[Retailer]]))</f>
        <v>Hannover Cars</v>
      </c>
    </row>
    <row r="4446" spans="1:36" ht="14.25" hidden="1" x14ac:dyDescent="0.2">
      <c r="A4446" t="s">
        <v>5710</v>
      </c>
      <c r="B4446" s="1">
        <v>46062</v>
      </c>
      <c r="C4446" t="s">
        <v>121</v>
      </c>
      <c r="D4446" t="s">
        <v>25</v>
      </c>
      <c r="E4446" t="s">
        <v>26</v>
      </c>
      <c r="F4446" t="s">
        <v>27</v>
      </c>
      <c r="G4446" t="s">
        <v>28</v>
      </c>
      <c r="H4446" t="s">
        <v>29</v>
      </c>
      <c r="I4446" t="s">
        <v>56</v>
      </c>
      <c r="J4446" t="s">
        <v>179</v>
      </c>
      <c r="K4446" t="s">
        <v>91</v>
      </c>
      <c r="L4446" t="s">
        <v>67</v>
      </c>
      <c r="M4446" t="s">
        <v>87</v>
      </c>
      <c r="N4446" t="s">
        <v>35</v>
      </c>
      <c r="O4446" t="s">
        <v>70</v>
      </c>
      <c r="P4446" t="s">
        <v>37</v>
      </c>
      <c r="Q4446" t="s">
        <v>122</v>
      </c>
      <c r="R4446">
        <v>239</v>
      </c>
      <c r="S4446">
        <v>133</v>
      </c>
      <c r="T4446">
        <v>85</v>
      </c>
      <c r="U4446">
        <v>24</v>
      </c>
      <c r="V4446" t="s">
        <v>5564</v>
      </c>
      <c r="W4446">
        <v>47818</v>
      </c>
      <c r="X4446" t="s">
        <v>2176</v>
      </c>
      <c r="Y4446">
        <v>36640</v>
      </c>
      <c r="Z4446">
        <v>1147632</v>
      </c>
      <c r="AA4446">
        <v>268272</v>
      </c>
      <c r="AB4446" t="str">
        <f>(VLOOKUP(SalesData[[#This Row],[Month Number]],Reference!C$5:E$16,2,FALSE))</f>
        <v>Feb</v>
      </c>
      <c r="AC4446">
        <f>MONTH(SalesData[[#This Row],[Date]])</f>
        <v>2</v>
      </c>
      <c r="AD4446">
        <f>Reference!F$4</f>
        <v>2026</v>
      </c>
      <c r="AE4446" t="str">
        <f>IF(OR(SalesData[[#This Row],[Day]]="Saturday",SalesData[[#This Row],[Day]]="Sunday"),"Weekend","Weekday")</f>
        <v>Weekday</v>
      </c>
      <c r="AF4446" s="5">
        <f>IF(SalesData[[#This Row],[Contracts Offered]]=0,0,SalesData[[#This Row],[Contracts Signed]]/SalesData[[#This Row],[Contracts Offered]])</f>
        <v>0.28235294117647058</v>
      </c>
      <c r="AG4446" s="5">
        <f>IF(SalesData[[#This Row],[Customers Visited]]=0,0,SalesData[[#This Row],[Test Drives]]/SalesData[[#This Row],[Customers Visited]])</f>
        <v>0.55648535564853552</v>
      </c>
      <c r="AH4446" s="5">
        <f>IF(SalesData[[#This Row],[Customers Visited]]=0,0,SalesData[[#This Row],[Contracts Signed]]/SalesData[[#This Row],[Customers Visited]])</f>
        <v>0.100418410041841</v>
      </c>
      <c r="AI4446" s="6">
        <f>IF(SalesData[[#This Row],[Contracts Signed]]=0,0,SalesData[[#This Row],[Profit(€)]]/SalesData[[#This Row],[Contracts Signed]])</f>
        <v>11178</v>
      </c>
      <c r="AJ4446" s="5" t="str">
        <f>TRIM(CLEAN(SalesData[[#This Row],[Retailer]]))</f>
        <v>Main Auto Hub</v>
      </c>
    </row>
    <row r="4447" spans="1:36" ht="14.25" hidden="1" x14ac:dyDescent="0.2">
      <c r="A4447" t="s">
        <v>5711</v>
      </c>
      <c r="B4447" s="1">
        <v>46077</v>
      </c>
      <c r="C4447" t="s">
        <v>53</v>
      </c>
      <c r="D4447" t="s">
        <v>63</v>
      </c>
      <c r="E4447" t="s">
        <v>26</v>
      </c>
      <c r="F4447" t="s">
        <v>94</v>
      </c>
      <c r="G4447" t="s">
        <v>95</v>
      </c>
      <c r="H4447" t="s">
        <v>96</v>
      </c>
      <c r="I4447" t="s">
        <v>56</v>
      </c>
      <c r="J4447" t="s">
        <v>7028</v>
      </c>
      <c r="K4447" t="s">
        <v>32</v>
      </c>
      <c r="L4447" t="s">
        <v>46</v>
      </c>
      <c r="M4447" t="s">
        <v>68</v>
      </c>
      <c r="N4447" t="s">
        <v>48</v>
      </c>
      <c r="O4447" t="s">
        <v>36</v>
      </c>
      <c r="P4447" t="s">
        <v>49</v>
      </c>
      <c r="Q4447" t="s">
        <v>204</v>
      </c>
      <c r="R4447">
        <v>278</v>
      </c>
      <c r="S4447">
        <v>167</v>
      </c>
      <c r="T4447">
        <v>116</v>
      </c>
      <c r="U4447">
        <v>40</v>
      </c>
      <c r="V4447" t="s">
        <v>6771</v>
      </c>
      <c r="W4447">
        <v>47023</v>
      </c>
      <c r="X4447" t="s">
        <v>1440</v>
      </c>
      <c r="Y4447">
        <v>38501</v>
      </c>
      <c r="Z4447">
        <v>1880920</v>
      </c>
      <c r="AA4447">
        <v>340880</v>
      </c>
      <c r="AB4447" t="str">
        <f>(VLOOKUP(SalesData[[#This Row],[Month Number]],Reference!C$5:E$16,2,FALSE))</f>
        <v>Feb</v>
      </c>
      <c r="AC4447">
        <f>MONTH(SalesData[[#This Row],[Date]])</f>
        <v>2</v>
      </c>
      <c r="AD4447">
        <f>Reference!F$4</f>
        <v>2026</v>
      </c>
      <c r="AE4447" t="str">
        <f>IF(OR(SalesData[[#This Row],[Day]]="Saturday",SalesData[[#This Row],[Day]]="Sunday"),"Weekend","Weekday")</f>
        <v>Weekday</v>
      </c>
      <c r="AF4447" s="5">
        <f>IF(SalesData[[#This Row],[Contracts Offered]]=0,0,SalesData[[#This Row],[Contracts Signed]]/SalesData[[#This Row],[Contracts Offered]])</f>
        <v>0.34482758620689657</v>
      </c>
      <c r="AG4447" s="5">
        <f>IF(SalesData[[#This Row],[Customers Visited]]=0,0,SalesData[[#This Row],[Test Drives]]/SalesData[[#This Row],[Customers Visited]])</f>
        <v>0.60071942446043169</v>
      </c>
      <c r="AH4447" s="5">
        <f>IF(SalesData[[#This Row],[Customers Visited]]=0,0,SalesData[[#This Row],[Contracts Signed]]/SalesData[[#This Row],[Customers Visited]])</f>
        <v>0.14388489208633093</v>
      </c>
      <c r="AI4447" s="6">
        <f>IF(SalesData[[#This Row],[Contracts Signed]]=0,0,SalesData[[#This Row],[Profit(€)]]/SalesData[[#This Row],[Contracts Signed]])</f>
        <v>8522</v>
      </c>
      <c r="AJ4447" s="5" t="str">
        <f>TRIM(CLEAN(SalesData[[#This Row],[Retailer]]))</f>
        <v>Bavaria Motors</v>
      </c>
    </row>
    <row r="4448" spans="1:36" ht="14.25" hidden="1" x14ac:dyDescent="0.2">
      <c r="A4448" t="s">
        <v>5713</v>
      </c>
      <c r="B4448" s="1">
        <v>46062</v>
      </c>
      <c r="C4448" t="s">
        <v>121</v>
      </c>
      <c r="D4448" t="s">
        <v>25</v>
      </c>
      <c r="E4448" t="s">
        <v>26</v>
      </c>
      <c r="F4448" t="s">
        <v>101</v>
      </c>
      <c r="G4448" t="s">
        <v>102</v>
      </c>
      <c r="H4448" t="s">
        <v>103</v>
      </c>
      <c r="I4448" t="s">
        <v>64</v>
      </c>
      <c r="J4448" t="s">
        <v>111</v>
      </c>
      <c r="K4448" t="s">
        <v>66</v>
      </c>
      <c r="L4448" t="s">
        <v>46</v>
      </c>
      <c r="M4448" t="s">
        <v>47</v>
      </c>
      <c r="N4448" t="s">
        <v>35</v>
      </c>
      <c r="O4448" t="s">
        <v>36</v>
      </c>
      <c r="P4448" t="s">
        <v>49</v>
      </c>
      <c r="Q4448" t="s">
        <v>50</v>
      </c>
      <c r="R4448">
        <v>153</v>
      </c>
      <c r="S4448">
        <v>72</v>
      </c>
      <c r="T4448">
        <v>50</v>
      </c>
      <c r="U4448">
        <v>14</v>
      </c>
      <c r="V4448" t="s">
        <v>1767</v>
      </c>
      <c r="W4448">
        <v>67168</v>
      </c>
      <c r="X4448" t="s">
        <v>2787</v>
      </c>
      <c r="Y4448">
        <v>51859</v>
      </c>
      <c r="Z4448">
        <v>940352</v>
      </c>
      <c r="AA4448">
        <v>214326</v>
      </c>
      <c r="AB4448" t="str">
        <f>(VLOOKUP(SalesData[[#This Row],[Month Number]],Reference!C$5:E$16,2,FALSE))</f>
        <v>Feb</v>
      </c>
      <c r="AC4448">
        <f>MONTH(SalesData[[#This Row],[Date]])</f>
        <v>2</v>
      </c>
      <c r="AD4448">
        <f>Reference!F$4</f>
        <v>2026</v>
      </c>
      <c r="AE4448" t="str">
        <f>IF(OR(SalesData[[#This Row],[Day]]="Saturday",SalesData[[#This Row],[Day]]="Sunday"),"Weekend","Weekday")</f>
        <v>Weekday</v>
      </c>
      <c r="AF4448" s="5">
        <f>IF(SalesData[[#This Row],[Contracts Offered]]=0,0,SalesData[[#This Row],[Contracts Signed]]/SalesData[[#This Row],[Contracts Offered]])</f>
        <v>0.28000000000000003</v>
      </c>
      <c r="AG4448" s="5">
        <f>IF(SalesData[[#This Row],[Customers Visited]]=0,0,SalesData[[#This Row],[Test Drives]]/SalesData[[#This Row],[Customers Visited]])</f>
        <v>0.47058823529411764</v>
      </c>
      <c r="AH4448" s="5">
        <f>IF(SalesData[[#This Row],[Customers Visited]]=0,0,SalesData[[#This Row],[Contracts Signed]]/SalesData[[#This Row],[Customers Visited]])</f>
        <v>9.1503267973856203E-2</v>
      </c>
      <c r="AI4448" s="6">
        <f>IF(SalesData[[#This Row],[Contracts Signed]]=0,0,SalesData[[#This Row],[Profit(€)]]/SalesData[[#This Row],[Contracts Signed]])</f>
        <v>15309</v>
      </c>
      <c r="AJ4448" s="5" t="str">
        <f>TRIM(CLEAN(SalesData[[#This Row],[Retailer]]))</f>
        <v>Ruhr Auto Plaza</v>
      </c>
    </row>
    <row r="4449" spans="1:36" ht="14.25" hidden="1" x14ac:dyDescent="0.2">
      <c r="A4449" t="s">
        <v>5714</v>
      </c>
      <c r="B4449" s="1">
        <v>46059</v>
      </c>
      <c r="C4449" t="s">
        <v>24</v>
      </c>
      <c r="D4449" t="s">
        <v>54</v>
      </c>
      <c r="E4449" t="s">
        <v>26</v>
      </c>
      <c r="F4449" t="s">
        <v>127</v>
      </c>
      <c r="G4449" t="s">
        <v>128</v>
      </c>
      <c r="H4449" t="s">
        <v>103</v>
      </c>
      <c r="I4449" t="s">
        <v>116</v>
      </c>
      <c r="J4449" t="s">
        <v>7090</v>
      </c>
      <c r="K4449" t="s">
        <v>78</v>
      </c>
      <c r="L4449" t="s">
        <v>46</v>
      </c>
      <c r="M4449" t="s">
        <v>47</v>
      </c>
      <c r="N4449" t="s">
        <v>69</v>
      </c>
      <c r="O4449" t="s">
        <v>36</v>
      </c>
      <c r="P4449" t="s">
        <v>71</v>
      </c>
      <c r="Q4449" t="s">
        <v>144</v>
      </c>
      <c r="R4449">
        <v>252</v>
      </c>
      <c r="S4449">
        <v>111</v>
      </c>
      <c r="T4449">
        <v>66</v>
      </c>
      <c r="U4449">
        <v>20</v>
      </c>
      <c r="V4449" t="s">
        <v>2741</v>
      </c>
      <c r="W4449">
        <v>25774</v>
      </c>
      <c r="X4449" t="s">
        <v>256</v>
      </c>
      <c r="Y4449">
        <v>23309</v>
      </c>
      <c r="Z4449">
        <v>515480</v>
      </c>
      <c r="AA4449">
        <v>49300</v>
      </c>
      <c r="AB4449" t="str">
        <f>(VLOOKUP(SalesData[[#This Row],[Month Number]],Reference!C$5:E$16,2,FALSE))</f>
        <v>Feb</v>
      </c>
      <c r="AC4449">
        <f>MONTH(SalesData[[#This Row],[Date]])</f>
        <v>2</v>
      </c>
      <c r="AD4449">
        <f>Reference!F$4</f>
        <v>2026</v>
      </c>
      <c r="AE4449" t="str">
        <f>IF(OR(SalesData[[#This Row],[Day]]="Saturday",SalesData[[#This Row],[Day]]="Sunday"),"Weekend","Weekday")</f>
        <v>Weekday</v>
      </c>
      <c r="AF4449" s="5">
        <f>IF(SalesData[[#This Row],[Contracts Offered]]=0,0,SalesData[[#This Row],[Contracts Signed]]/SalesData[[#This Row],[Contracts Offered]])</f>
        <v>0.30303030303030304</v>
      </c>
      <c r="AG4449" s="5">
        <f>IF(SalesData[[#This Row],[Customers Visited]]=0,0,SalesData[[#This Row],[Test Drives]]/SalesData[[#This Row],[Customers Visited]])</f>
        <v>0.44047619047619047</v>
      </c>
      <c r="AH4449" s="5">
        <f>IF(SalesData[[#This Row],[Customers Visited]]=0,0,SalesData[[#This Row],[Contracts Signed]]/SalesData[[#This Row],[Customers Visited]])</f>
        <v>7.9365079365079361E-2</v>
      </c>
      <c r="AI4449" s="6">
        <f>IF(SalesData[[#This Row],[Contracts Signed]]=0,0,SalesData[[#This Row],[Profit(€)]]/SalesData[[#This Row],[Contracts Signed]])</f>
        <v>2465</v>
      </c>
      <c r="AJ4449" s="5" t="str">
        <f>TRIM(CLEAN(SalesData[[#This Row],[Retailer]]))</f>
        <v>Rhein Auto Group</v>
      </c>
    </row>
    <row r="4450" spans="1:36" ht="14.25" hidden="1" x14ac:dyDescent="0.2">
      <c r="A4450" t="s">
        <v>5715</v>
      </c>
      <c r="B4450" s="1">
        <v>46074</v>
      </c>
      <c r="C4450" t="s">
        <v>62</v>
      </c>
      <c r="D4450" t="s">
        <v>151</v>
      </c>
      <c r="E4450" t="s">
        <v>42</v>
      </c>
      <c r="F4450" t="s">
        <v>74</v>
      </c>
      <c r="G4450" t="s">
        <v>75</v>
      </c>
      <c r="H4450" t="s">
        <v>76</v>
      </c>
      <c r="I4450" t="s">
        <v>104</v>
      </c>
      <c r="J4450" t="s">
        <v>140</v>
      </c>
      <c r="K4450" t="s">
        <v>66</v>
      </c>
      <c r="L4450" t="s">
        <v>46</v>
      </c>
      <c r="M4450" t="s">
        <v>34</v>
      </c>
      <c r="N4450" t="s">
        <v>69</v>
      </c>
      <c r="O4450" t="s">
        <v>36</v>
      </c>
      <c r="P4450" t="s">
        <v>58</v>
      </c>
      <c r="Q4450" t="s">
        <v>79</v>
      </c>
      <c r="R4450">
        <v>415</v>
      </c>
      <c r="S4450">
        <v>232</v>
      </c>
      <c r="T4450">
        <v>157</v>
      </c>
      <c r="U4450">
        <v>41</v>
      </c>
      <c r="V4450" t="s">
        <v>720</v>
      </c>
      <c r="W4450">
        <v>29048</v>
      </c>
      <c r="X4450" t="s">
        <v>7405</v>
      </c>
      <c r="Y4450">
        <v>25400</v>
      </c>
      <c r="Z4450">
        <v>1190968</v>
      </c>
      <c r="AA4450">
        <v>149568</v>
      </c>
      <c r="AB4450" t="str">
        <f>(VLOOKUP(SalesData[[#This Row],[Month Number]],Reference!C$5:E$16,2,FALSE))</f>
        <v>Feb</v>
      </c>
      <c r="AC4450">
        <f>MONTH(SalesData[[#This Row],[Date]])</f>
        <v>2</v>
      </c>
      <c r="AD4450">
        <f>Reference!F$4</f>
        <v>2026</v>
      </c>
      <c r="AE4450" t="str">
        <f>IF(OR(SalesData[[#This Row],[Day]]="Saturday",SalesData[[#This Row],[Day]]="Sunday"),"Weekend","Weekday")</f>
        <v>Weekend</v>
      </c>
      <c r="AF4450" s="5">
        <f>IF(SalesData[[#This Row],[Contracts Offered]]=0,0,SalesData[[#This Row],[Contracts Signed]]/SalesData[[#This Row],[Contracts Offered]])</f>
        <v>0.26114649681528662</v>
      </c>
      <c r="AG4450" s="5">
        <f>IF(SalesData[[#This Row],[Customers Visited]]=0,0,SalesData[[#This Row],[Test Drives]]/SalesData[[#This Row],[Customers Visited]])</f>
        <v>0.5590361445783133</v>
      </c>
      <c r="AH4450" s="5">
        <f>IF(SalesData[[#This Row],[Customers Visited]]=0,0,SalesData[[#This Row],[Contracts Signed]]/SalesData[[#This Row],[Customers Visited]])</f>
        <v>9.8795180722891562E-2</v>
      </c>
      <c r="AI4450" s="6">
        <f>IF(SalesData[[#This Row],[Contracts Signed]]=0,0,SalesData[[#This Row],[Profit(€)]]/SalesData[[#This Row],[Contracts Signed]])</f>
        <v>3648</v>
      </c>
      <c r="AJ4450" s="5" t="str">
        <f>TRIM(CLEAN(SalesData[[#This Row],[Retailer]]))</f>
        <v>Stuttgart Auto Center</v>
      </c>
    </row>
    <row r="4451" spans="1:36" ht="14.25" hidden="1" x14ac:dyDescent="0.2">
      <c r="A4451" t="s">
        <v>5716</v>
      </c>
      <c r="B4451" s="1">
        <v>46069</v>
      </c>
      <c r="C4451" t="s">
        <v>62</v>
      </c>
      <c r="D4451" t="s">
        <v>25</v>
      </c>
      <c r="E4451" t="s">
        <v>26</v>
      </c>
      <c r="F4451" t="s">
        <v>109</v>
      </c>
      <c r="G4451" t="s">
        <v>110</v>
      </c>
      <c r="H4451" t="s">
        <v>45</v>
      </c>
      <c r="I4451" t="s">
        <v>104</v>
      </c>
      <c r="J4451" t="s">
        <v>7061</v>
      </c>
      <c r="K4451" t="s">
        <v>66</v>
      </c>
      <c r="L4451" t="s">
        <v>46</v>
      </c>
      <c r="M4451" t="s">
        <v>68</v>
      </c>
      <c r="N4451" t="s">
        <v>69</v>
      </c>
      <c r="O4451" t="s">
        <v>70</v>
      </c>
      <c r="P4451" t="s">
        <v>49</v>
      </c>
      <c r="Q4451" t="s">
        <v>144</v>
      </c>
      <c r="R4451">
        <v>476</v>
      </c>
      <c r="S4451">
        <v>252</v>
      </c>
      <c r="T4451">
        <v>175</v>
      </c>
      <c r="U4451">
        <v>35</v>
      </c>
      <c r="V4451" t="s">
        <v>1418</v>
      </c>
      <c r="W4451">
        <v>32505</v>
      </c>
      <c r="X4451" t="s">
        <v>7376</v>
      </c>
      <c r="Y4451">
        <v>28237</v>
      </c>
      <c r="Z4451">
        <v>1137675</v>
      </c>
      <c r="AA4451">
        <v>149380</v>
      </c>
      <c r="AB4451" t="str">
        <f>(VLOOKUP(SalesData[[#This Row],[Month Number]],Reference!C$5:E$16,2,FALSE))</f>
        <v>Feb</v>
      </c>
      <c r="AC4451">
        <f>MONTH(SalesData[[#This Row],[Date]])</f>
        <v>2</v>
      </c>
      <c r="AD4451">
        <f>Reference!F$4</f>
        <v>2026</v>
      </c>
      <c r="AE4451" t="str">
        <f>IF(OR(SalesData[[#This Row],[Day]]="Saturday",SalesData[[#This Row],[Day]]="Sunday"),"Weekend","Weekday")</f>
        <v>Weekday</v>
      </c>
      <c r="AF4451" s="5">
        <f>IF(SalesData[[#This Row],[Contracts Offered]]=0,0,SalesData[[#This Row],[Contracts Signed]]/SalesData[[#This Row],[Contracts Offered]])</f>
        <v>0.2</v>
      </c>
      <c r="AG4451" s="5">
        <f>IF(SalesData[[#This Row],[Customers Visited]]=0,0,SalesData[[#This Row],[Test Drives]]/SalesData[[#This Row],[Customers Visited]])</f>
        <v>0.52941176470588236</v>
      </c>
      <c r="AH4451" s="5">
        <f>IF(SalesData[[#This Row],[Customers Visited]]=0,0,SalesData[[#This Row],[Contracts Signed]]/SalesData[[#This Row],[Customers Visited]])</f>
        <v>7.3529411764705885E-2</v>
      </c>
      <c r="AI4451" s="6">
        <f>IF(SalesData[[#This Row],[Contracts Signed]]=0,0,SalesData[[#This Row],[Profit(€)]]/SalesData[[#This Row],[Contracts Signed]])</f>
        <v>4268</v>
      </c>
      <c r="AJ4451" s="5" t="str">
        <f>TRIM(CLEAN(SalesData[[#This Row],[Retailer]]))</f>
        <v>Leipzig Mobility</v>
      </c>
    </row>
    <row r="4452" spans="1:36" ht="14.25" x14ac:dyDescent="0.2">
      <c r="A4452" t="s">
        <v>5717</v>
      </c>
      <c r="B4452" s="1">
        <v>46055</v>
      </c>
      <c r="C4452" t="s">
        <v>24</v>
      </c>
      <c r="D4452" t="s">
        <v>25</v>
      </c>
      <c r="E4452" t="s">
        <v>26</v>
      </c>
      <c r="F4452" t="s">
        <v>109</v>
      </c>
      <c r="G4452" t="s">
        <v>110</v>
      </c>
      <c r="H4452" t="s">
        <v>45</v>
      </c>
      <c r="I4452" t="s">
        <v>30</v>
      </c>
      <c r="J4452" t="s">
        <v>7075</v>
      </c>
      <c r="K4452" t="s">
        <v>66</v>
      </c>
      <c r="L4452" t="s">
        <v>33</v>
      </c>
      <c r="M4452" t="s">
        <v>68</v>
      </c>
      <c r="N4452" t="s">
        <v>69</v>
      </c>
      <c r="O4452" t="s">
        <v>70</v>
      </c>
      <c r="P4452" t="s">
        <v>49</v>
      </c>
      <c r="Q4452" t="s">
        <v>50</v>
      </c>
      <c r="R4452">
        <v>167</v>
      </c>
      <c r="S4452">
        <v>101</v>
      </c>
      <c r="T4452">
        <v>75</v>
      </c>
      <c r="U4452">
        <v>26</v>
      </c>
      <c r="V4452" t="s">
        <v>6599</v>
      </c>
      <c r="W4452">
        <v>54747</v>
      </c>
      <c r="X4452" t="s">
        <v>7567</v>
      </c>
      <c r="Y4452">
        <v>41759</v>
      </c>
      <c r="Z4452">
        <v>1423422</v>
      </c>
      <c r="AA4452">
        <v>337688</v>
      </c>
      <c r="AB4452" t="str">
        <f>(VLOOKUP(SalesData[[#This Row],[Month Number]],Reference!C$5:E$16,2,FALSE))</f>
        <v>Feb</v>
      </c>
      <c r="AC4452">
        <f>MONTH(SalesData[[#This Row],[Date]])</f>
        <v>2</v>
      </c>
      <c r="AD4452">
        <f>Reference!F$4</f>
        <v>2026</v>
      </c>
      <c r="AE4452" t="str">
        <f>IF(OR(SalesData[[#This Row],[Day]]="Saturday",SalesData[[#This Row],[Day]]="Sunday"),"Weekend","Weekday")</f>
        <v>Weekday</v>
      </c>
      <c r="AF4452" s="5">
        <f>IF(SalesData[[#This Row],[Contracts Offered]]=0,0,SalesData[[#This Row],[Contracts Signed]]/SalesData[[#This Row],[Contracts Offered]])</f>
        <v>0.34666666666666668</v>
      </c>
      <c r="AG4452" s="5">
        <f>IF(SalesData[[#This Row],[Customers Visited]]=0,0,SalesData[[#This Row],[Test Drives]]/SalesData[[#This Row],[Customers Visited]])</f>
        <v>0.60479041916167664</v>
      </c>
      <c r="AH4452" s="5">
        <f>IF(SalesData[[#This Row],[Customers Visited]]=0,0,SalesData[[#This Row],[Contracts Signed]]/SalesData[[#This Row],[Customers Visited]])</f>
        <v>0.15568862275449102</v>
      </c>
      <c r="AI4452" s="6">
        <f>IF(SalesData[[#This Row],[Contracts Signed]]=0,0,SalesData[[#This Row],[Profit(€)]]/SalesData[[#This Row],[Contracts Signed]])</f>
        <v>12988</v>
      </c>
      <c r="AJ4452" s="5" t="str">
        <f>TRIM(CLEAN(SalesData[[#This Row],[Retailer]]))</f>
        <v>Leipzig Mobility</v>
      </c>
    </row>
    <row r="4453" spans="1:36" ht="14.25" x14ac:dyDescent="0.2">
      <c r="A4453" t="s">
        <v>5719</v>
      </c>
      <c r="B4453" s="1">
        <v>46058</v>
      </c>
      <c r="C4453" t="s">
        <v>24</v>
      </c>
      <c r="D4453" t="s">
        <v>100</v>
      </c>
      <c r="E4453" t="s">
        <v>26</v>
      </c>
      <c r="F4453" t="s">
        <v>101</v>
      </c>
      <c r="G4453" t="s">
        <v>102</v>
      </c>
      <c r="H4453" t="s">
        <v>103</v>
      </c>
      <c r="I4453" t="s">
        <v>30</v>
      </c>
      <c r="J4453" t="s">
        <v>166</v>
      </c>
      <c r="K4453" t="s">
        <v>32</v>
      </c>
      <c r="L4453" t="s">
        <v>46</v>
      </c>
      <c r="M4453" t="s">
        <v>47</v>
      </c>
      <c r="N4453" t="s">
        <v>69</v>
      </c>
      <c r="O4453" t="s">
        <v>36</v>
      </c>
      <c r="P4453" t="s">
        <v>71</v>
      </c>
      <c r="Q4453" t="s">
        <v>144</v>
      </c>
      <c r="R4453">
        <v>159</v>
      </c>
      <c r="S4453">
        <v>85</v>
      </c>
      <c r="T4453">
        <v>65</v>
      </c>
      <c r="U4453">
        <v>22</v>
      </c>
      <c r="V4453" t="s">
        <v>6816</v>
      </c>
      <c r="W4453">
        <v>63093</v>
      </c>
      <c r="X4453" t="s">
        <v>1677</v>
      </c>
      <c r="Y4453">
        <v>46044</v>
      </c>
      <c r="Z4453">
        <v>1388046</v>
      </c>
      <c r="AA4453">
        <v>375078</v>
      </c>
      <c r="AB4453" t="str">
        <f>(VLOOKUP(SalesData[[#This Row],[Month Number]],Reference!C$5:E$16,2,FALSE))</f>
        <v>Feb</v>
      </c>
      <c r="AC4453">
        <f>MONTH(SalesData[[#This Row],[Date]])</f>
        <v>2</v>
      </c>
      <c r="AD4453">
        <f>Reference!F$4</f>
        <v>2026</v>
      </c>
      <c r="AE4453" t="str">
        <f>IF(OR(SalesData[[#This Row],[Day]]="Saturday",SalesData[[#This Row],[Day]]="Sunday"),"Weekend","Weekday")</f>
        <v>Weekday</v>
      </c>
      <c r="AF4453" s="5">
        <f>IF(SalesData[[#This Row],[Contracts Offered]]=0,0,SalesData[[#This Row],[Contracts Signed]]/SalesData[[#This Row],[Contracts Offered]])</f>
        <v>0.33846153846153848</v>
      </c>
      <c r="AG4453" s="5">
        <f>IF(SalesData[[#This Row],[Customers Visited]]=0,0,SalesData[[#This Row],[Test Drives]]/SalesData[[#This Row],[Customers Visited]])</f>
        <v>0.53459119496855345</v>
      </c>
      <c r="AH4453" s="5">
        <f>IF(SalesData[[#This Row],[Customers Visited]]=0,0,SalesData[[#This Row],[Contracts Signed]]/SalesData[[#This Row],[Customers Visited]])</f>
        <v>0.13836477987421383</v>
      </c>
      <c r="AI4453" s="6">
        <f>IF(SalesData[[#This Row],[Contracts Signed]]=0,0,SalesData[[#This Row],[Profit(€)]]/SalesData[[#This Row],[Contracts Signed]])</f>
        <v>17049</v>
      </c>
      <c r="AJ4453" s="5" t="str">
        <f>TRIM(CLEAN(SalesData[[#This Row],[Retailer]]))</f>
        <v>Ruhr Auto Plaza</v>
      </c>
    </row>
    <row r="4454" spans="1:36" ht="14.25" hidden="1" x14ac:dyDescent="0.2">
      <c r="A4454" t="s">
        <v>5720</v>
      </c>
      <c r="B4454" s="1">
        <v>46057</v>
      </c>
      <c r="C4454" t="s">
        <v>24</v>
      </c>
      <c r="D4454" t="s">
        <v>82</v>
      </c>
      <c r="E4454" t="s">
        <v>26</v>
      </c>
      <c r="F4454" t="s">
        <v>94</v>
      </c>
      <c r="G4454" t="s">
        <v>95</v>
      </c>
      <c r="H4454" t="s">
        <v>96</v>
      </c>
      <c r="I4454" t="s">
        <v>104</v>
      </c>
      <c r="J4454" t="s">
        <v>140</v>
      </c>
      <c r="K4454" t="s">
        <v>66</v>
      </c>
      <c r="L4454" t="s">
        <v>46</v>
      </c>
      <c r="M4454" t="s">
        <v>34</v>
      </c>
      <c r="N4454" t="s">
        <v>48</v>
      </c>
      <c r="O4454" t="s">
        <v>70</v>
      </c>
      <c r="P4454" t="s">
        <v>58</v>
      </c>
      <c r="Q4454" t="s">
        <v>172</v>
      </c>
      <c r="R4454">
        <v>461</v>
      </c>
      <c r="S4454">
        <v>218</v>
      </c>
      <c r="T4454">
        <v>130</v>
      </c>
      <c r="U4454">
        <v>44</v>
      </c>
      <c r="V4454" t="s">
        <v>6427</v>
      </c>
      <c r="W4454">
        <v>32291</v>
      </c>
      <c r="X4454" t="s">
        <v>1184</v>
      </c>
      <c r="Y4454">
        <v>29092</v>
      </c>
      <c r="Z4454">
        <v>1420804</v>
      </c>
      <c r="AA4454">
        <v>140756</v>
      </c>
      <c r="AB4454" t="str">
        <f>(VLOOKUP(SalesData[[#This Row],[Month Number]],Reference!C$5:E$16,2,FALSE))</f>
        <v>Feb</v>
      </c>
      <c r="AC4454">
        <f>MONTH(SalesData[[#This Row],[Date]])</f>
        <v>2</v>
      </c>
      <c r="AD4454">
        <f>Reference!F$4</f>
        <v>2026</v>
      </c>
      <c r="AE4454" t="str">
        <f>IF(OR(SalesData[[#This Row],[Day]]="Saturday",SalesData[[#This Row],[Day]]="Sunday"),"Weekend","Weekday")</f>
        <v>Weekday</v>
      </c>
      <c r="AF4454" s="5">
        <f>IF(SalesData[[#This Row],[Contracts Offered]]=0,0,SalesData[[#This Row],[Contracts Signed]]/SalesData[[#This Row],[Contracts Offered]])</f>
        <v>0.33846153846153848</v>
      </c>
      <c r="AG4454" s="5">
        <f>IF(SalesData[[#This Row],[Customers Visited]]=0,0,SalesData[[#This Row],[Test Drives]]/SalesData[[#This Row],[Customers Visited]])</f>
        <v>0.47288503253796094</v>
      </c>
      <c r="AH4454" s="5">
        <f>IF(SalesData[[#This Row],[Customers Visited]]=0,0,SalesData[[#This Row],[Contracts Signed]]/SalesData[[#This Row],[Customers Visited]])</f>
        <v>9.5444685466377438E-2</v>
      </c>
      <c r="AI4454" s="6">
        <f>IF(SalesData[[#This Row],[Contracts Signed]]=0,0,SalesData[[#This Row],[Profit(€)]]/SalesData[[#This Row],[Contracts Signed]])</f>
        <v>3199</v>
      </c>
      <c r="AJ4454" s="5" t="str">
        <f>TRIM(CLEAN(SalesData[[#This Row],[Retailer]]))</f>
        <v>Bavaria Motors</v>
      </c>
    </row>
    <row r="4455" spans="1:36" ht="14.25" hidden="1" x14ac:dyDescent="0.2">
      <c r="A4455" t="s">
        <v>5721</v>
      </c>
      <c r="B4455" s="1">
        <v>46075</v>
      </c>
      <c r="C4455" t="s">
        <v>53</v>
      </c>
      <c r="D4455" t="s">
        <v>41</v>
      </c>
      <c r="E4455" t="s">
        <v>42</v>
      </c>
      <c r="F4455" t="s">
        <v>83</v>
      </c>
      <c r="G4455" t="s">
        <v>84</v>
      </c>
      <c r="H4455" t="s">
        <v>85</v>
      </c>
      <c r="I4455" t="s">
        <v>116</v>
      </c>
      <c r="J4455" t="s">
        <v>7026</v>
      </c>
      <c r="K4455" t="s">
        <v>91</v>
      </c>
      <c r="L4455" t="s">
        <v>46</v>
      </c>
      <c r="M4455" t="s">
        <v>68</v>
      </c>
      <c r="N4455" t="s">
        <v>48</v>
      </c>
      <c r="O4455" t="s">
        <v>70</v>
      </c>
      <c r="P4455" t="s">
        <v>71</v>
      </c>
      <c r="Q4455" t="s">
        <v>122</v>
      </c>
      <c r="R4455">
        <v>256</v>
      </c>
      <c r="S4455">
        <v>115</v>
      </c>
      <c r="T4455">
        <v>68</v>
      </c>
      <c r="U4455">
        <v>18</v>
      </c>
      <c r="V4455" t="s">
        <v>1225</v>
      </c>
      <c r="W4455">
        <v>22416</v>
      </c>
      <c r="X4455" t="s">
        <v>241</v>
      </c>
      <c r="Y4455">
        <v>20254</v>
      </c>
      <c r="Z4455">
        <v>403488</v>
      </c>
      <c r="AA4455">
        <v>38916</v>
      </c>
      <c r="AB4455" t="str">
        <f>(VLOOKUP(SalesData[[#This Row],[Month Number]],Reference!C$5:E$16,2,FALSE))</f>
        <v>Feb</v>
      </c>
      <c r="AC4455">
        <f>MONTH(SalesData[[#This Row],[Date]])</f>
        <v>2</v>
      </c>
      <c r="AD4455">
        <f>Reference!F$4</f>
        <v>2026</v>
      </c>
      <c r="AE4455" t="str">
        <f>IF(OR(SalesData[[#This Row],[Day]]="Saturday",SalesData[[#This Row],[Day]]="Sunday"),"Weekend","Weekday")</f>
        <v>Weekend</v>
      </c>
      <c r="AF4455" s="5">
        <f>IF(SalesData[[#This Row],[Contracts Offered]]=0,0,SalesData[[#This Row],[Contracts Signed]]/SalesData[[#This Row],[Contracts Offered]])</f>
        <v>0.26470588235294118</v>
      </c>
      <c r="AG4455" s="5">
        <f>IF(SalesData[[#This Row],[Customers Visited]]=0,0,SalesData[[#This Row],[Test Drives]]/SalesData[[#This Row],[Customers Visited]])</f>
        <v>0.44921875</v>
      </c>
      <c r="AH4455" s="5">
        <f>IF(SalesData[[#This Row],[Customers Visited]]=0,0,SalesData[[#This Row],[Contracts Signed]]/SalesData[[#This Row],[Customers Visited]])</f>
        <v>7.03125E-2</v>
      </c>
      <c r="AI4455" s="6">
        <f>IF(SalesData[[#This Row],[Contracts Signed]]=0,0,SalesData[[#This Row],[Profit(€)]]/SalesData[[#This Row],[Contracts Signed]])</f>
        <v>2162</v>
      </c>
      <c r="AJ4455" s="5" t="str">
        <f>TRIM(CLEAN(SalesData[[#This Row],[Retailer]]))</f>
        <v>Hannover Cars</v>
      </c>
    </row>
    <row r="4456" spans="1:36" ht="14.25" hidden="1" x14ac:dyDescent="0.2">
      <c r="A4456" t="s">
        <v>5722</v>
      </c>
      <c r="B4456" s="1">
        <v>46081</v>
      </c>
      <c r="C4456" t="s">
        <v>53</v>
      </c>
      <c r="D4456" t="s">
        <v>151</v>
      </c>
      <c r="E4456" t="s">
        <v>42</v>
      </c>
      <c r="F4456" t="s">
        <v>43</v>
      </c>
      <c r="G4456" t="s">
        <v>44</v>
      </c>
      <c r="H4456" t="s">
        <v>45</v>
      </c>
      <c r="I4456" t="s">
        <v>64</v>
      </c>
      <c r="J4456" t="s">
        <v>65</v>
      </c>
      <c r="K4456" t="s">
        <v>91</v>
      </c>
      <c r="L4456" t="s">
        <v>33</v>
      </c>
      <c r="M4456" t="s">
        <v>87</v>
      </c>
      <c r="N4456" t="s">
        <v>48</v>
      </c>
      <c r="O4456" t="s">
        <v>36</v>
      </c>
      <c r="P4456" t="s">
        <v>71</v>
      </c>
      <c r="Q4456" t="s">
        <v>50</v>
      </c>
      <c r="R4456">
        <v>148</v>
      </c>
      <c r="S4456">
        <v>65</v>
      </c>
      <c r="T4456">
        <v>43</v>
      </c>
      <c r="U4456">
        <v>17</v>
      </c>
      <c r="V4456" t="s">
        <v>6470</v>
      </c>
      <c r="W4456">
        <v>62964</v>
      </c>
      <c r="X4456" t="s">
        <v>7122</v>
      </c>
      <c r="Y4456">
        <v>49123</v>
      </c>
      <c r="Z4456">
        <v>1070388</v>
      </c>
      <c r="AA4456">
        <v>235297</v>
      </c>
      <c r="AB4456" t="str">
        <f>(VLOOKUP(SalesData[[#This Row],[Month Number]],Reference!C$5:E$16,2,FALSE))</f>
        <v>Feb</v>
      </c>
      <c r="AC4456">
        <f>MONTH(SalesData[[#This Row],[Date]])</f>
        <v>2</v>
      </c>
      <c r="AD4456">
        <f>Reference!F$4</f>
        <v>2026</v>
      </c>
      <c r="AE4456" t="str">
        <f>IF(OR(SalesData[[#This Row],[Day]]="Saturday",SalesData[[#This Row],[Day]]="Sunday"),"Weekend","Weekday")</f>
        <v>Weekend</v>
      </c>
      <c r="AF4456" s="5">
        <f>IF(SalesData[[#This Row],[Contracts Offered]]=0,0,SalesData[[#This Row],[Contracts Signed]]/SalesData[[#This Row],[Contracts Offered]])</f>
        <v>0.39534883720930231</v>
      </c>
      <c r="AG4456" s="5">
        <f>IF(SalesData[[#This Row],[Customers Visited]]=0,0,SalesData[[#This Row],[Test Drives]]/SalesData[[#This Row],[Customers Visited]])</f>
        <v>0.4391891891891892</v>
      </c>
      <c r="AH4456" s="5">
        <f>IF(SalesData[[#This Row],[Customers Visited]]=0,0,SalesData[[#This Row],[Contracts Signed]]/SalesData[[#This Row],[Customers Visited]])</f>
        <v>0.11486486486486487</v>
      </c>
      <c r="AI4456" s="6">
        <f>IF(SalesData[[#This Row],[Contracts Signed]]=0,0,SalesData[[#This Row],[Profit(€)]]/SalesData[[#This Row],[Contracts Signed]])</f>
        <v>13841</v>
      </c>
      <c r="AJ4456" s="5" t="str">
        <f>TRIM(CLEAN(SalesData[[#This Row],[Retailer]]))</f>
        <v>Saxon Wheels</v>
      </c>
    </row>
    <row r="4457" spans="1:36" ht="14.25" hidden="1" x14ac:dyDescent="0.2">
      <c r="A4457" t="s">
        <v>5723</v>
      </c>
      <c r="B4457" s="1">
        <v>46060</v>
      </c>
      <c r="C4457" t="s">
        <v>24</v>
      </c>
      <c r="D4457" t="s">
        <v>151</v>
      </c>
      <c r="E4457" t="s">
        <v>42</v>
      </c>
      <c r="F4457" t="s">
        <v>83</v>
      </c>
      <c r="G4457" t="s">
        <v>84</v>
      </c>
      <c r="H4457" t="s">
        <v>85</v>
      </c>
      <c r="I4457" t="s">
        <v>116</v>
      </c>
      <c r="J4457" t="s">
        <v>7026</v>
      </c>
      <c r="K4457" t="s">
        <v>91</v>
      </c>
      <c r="L4457" t="s">
        <v>46</v>
      </c>
      <c r="M4457" t="s">
        <v>68</v>
      </c>
      <c r="N4457" t="s">
        <v>48</v>
      </c>
      <c r="O4457" t="s">
        <v>70</v>
      </c>
      <c r="P4457" t="s">
        <v>71</v>
      </c>
      <c r="Q4457" t="s">
        <v>152</v>
      </c>
      <c r="R4457">
        <v>347</v>
      </c>
      <c r="S4457">
        <v>174</v>
      </c>
      <c r="T4457">
        <v>109</v>
      </c>
      <c r="U4457">
        <v>28</v>
      </c>
      <c r="V4457" t="s">
        <v>365</v>
      </c>
      <c r="W4457">
        <v>20029</v>
      </c>
      <c r="X4457" t="s">
        <v>3194</v>
      </c>
      <c r="Y4457">
        <v>17983</v>
      </c>
      <c r="Z4457">
        <v>560812</v>
      </c>
      <c r="AA4457">
        <v>57288</v>
      </c>
      <c r="AB4457" t="str">
        <f>(VLOOKUP(SalesData[[#This Row],[Month Number]],Reference!C$5:E$16,2,FALSE))</f>
        <v>Feb</v>
      </c>
      <c r="AC4457">
        <f>MONTH(SalesData[[#This Row],[Date]])</f>
        <v>2</v>
      </c>
      <c r="AD4457">
        <f>Reference!F$4</f>
        <v>2026</v>
      </c>
      <c r="AE4457" t="str">
        <f>IF(OR(SalesData[[#This Row],[Day]]="Saturday",SalesData[[#This Row],[Day]]="Sunday"),"Weekend","Weekday")</f>
        <v>Weekend</v>
      </c>
      <c r="AF4457" s="5">
        <f>IF(SalesData[[#This Row],[Contracts Offered]]=0,0,SalesData[[#This Row],[Contracts Signed]]/SalesData[[#This Row],[Contracts Offered]])</f>
        <v>0.25688073394495414</v>
      </c>
      <c r="AG4457" s="5">
        <f>IF(SalesData[[#This Row],[Customers Visited]]=0,0,SalesData[[#This Row],[Test Drives]]/SalesData[[#This Row],[Customers Visited]])</f>
        <v>0.50144092219020175</v>
      </c>
      <c r="AH4457" s="5">
        <f>IF(SalesData[[#This Row],[Customers Visited]]=0,0,SalesData[[#This Row],[Contracts Signed]]/SalesData[[#This Row],[Customers Visited]])</f>
        <v>8.069164265129683E-2</v>
      </c>
      <c r="AI4457" s="6">
        <f>IF(SalesData[[#This Row],[Contracts Signed]]=0,0,SalesData[[#This Row],[Profit(€)]]/SalesData[[#This Row],[Contracts Signed]])</f>
        <v>2046</v>
      </c>
      <c r="AJ4457" s="5" t="str">
        <f>TRIM(CLEAN(SalesData[[#This Row],[Retailer]]))</f>
        <v>Hannover Cars</v>
      </c>
    </row>
    <row r="4458" spans="1:36" ht="14.25" hidden="1" x14ac:dyDescent="0.2">
      <c r="A4458" t="s">
        <v>5724</v>
      </c>
      <c r="B4458" s="1">
        <v>46073</v>
      </c>
      <c r="C4458" t="s">
        <v>62</v>
      </c>
      <c r="D4458" t="s">
        <v>54</v>
      </c>
      <c r="E4458" t="s">
        <v>26</v>
      </c>
      <c r="F4458" t="s">
        <v>101</v>
      </c>
      <c r="G4458" t="s">
        <v>102</v>
      </c>
      <c r="H4458" t="s">
        <v>103</v>
      </c>
      <c r="I4458" t="s">
        <v>116</v>
      </c>
      <c r="J4458" t="s">
        <v>117</v>
      </c>
      <c r="K4458" t="s">
        <v>78</v>
      </c>
      <c r="L4458" t="s">
        <v>67</v>
      </c>
      <c r="M4458" t="s">
        <v>87</v>
      </c>
      <c r="N4458" t="s">
        <v>69</v>
      </c>
      <c r="O4458" t="s">
        <v>36</v>
      </c>
      <c r="P4458" t="s">
        <v>37</v>
      </c>
      <c r="Q4458" t="s">
        <v>347</v>
      </c>
      <c r="R4458">
        <v>311</v>
      </c>
      <c r="S4458">
        <v>163</v>
      </c>
      <c r="T4458">
        <v>94</v>
      </c>
      <c r="U4458">
        <v>19</v>
      </c>
      <c r="V4458" t="s">
        <v>2543</v>
      </c>
      <c r="W4458">
        <v>23659</v>
      </c>
      <c r="X4458" t="s">
        <v>7297</v>
      </c>
      <c r="Y4458">
        <v>21336</v>
      </c>
      <c r="Z4458">
        <v>449521</v>
      </c>
      <c r="AA4458">
        <v>44137</v>
      </c>
      <c r="AB4458" t="str">
        <f>(VLOOKUP(SalesData[[#This Row],[Month Number]],Reference!C$5:E$16,2,FALSE))</f>
        <v>Feb</v>
      </c>
      <c r="AC4458">
        <f>MONTH(SalesData[[#This Row],[Date]])</f>
        <v>2</v>
      </c>
      <c r="AD4458">
        <f>Reference!F$4</f>
        <v>2026</v>
      </c>
      <c r="AE4458" t="str">
        <f>IF(OR(SalesData[[#This Row],[Day]]="Saturday",SalesData[[#This Row],[Day]]="Sunday"),"Weekend","Weekday")</f>
        <v>Weekday</v>
      </c>
      <c r="AF4458" s="5">
        <f>IF(SalesData[[#This Row],[Contracts Offered]]=0,0,SalesData[[#This Row],[Contracts Signed]]/SalesData[[#This Row],[Contracts Offered]])</f>
        <v>0.20212765957446807</v>
      </c>
      <c r="AG4458" s="5">
        <f>IF(SalesData[[#This Row],[Customers Visited]]=0,0,SalesData[[#This Row],[Test Drives]]/SalesData[[#This Row],[Customers Visited]])</f>
        <v>0.52411575562700963</v>
      </c>
      <c r="AH4458" s="5">
        <f>IF(SalesData[[#This Row],[Customers Visited]]=0,0,SalesData[[#This Row],[Contracts Signed]]/SalesData[[#This Row],[Customers Visited]])</f>
        <v>6.1093247588424437E-2</v>
      </c>
      <c r="AI4458" s="6">
        <f>IF(SalesData[[#This Row],[Contracts Signed]]=0,0,SalesData[[#This Row],[Profit(€)]]/SalesData[[#This Row],[Contracts Signed]])</f>
        <v>2323</v>
      </c>
      <c r="AJ4458" s="5" t="str">
        <f>TRIM(CLEAN(SalesData[[#This Row],[Retailer]]))</f>
        <v>Ruhr Auto Plaza</v>
      </c>
    </row>
    <row r="4459" spans="1:36" ht="14.25" hidden="1" x14ac:dyDescent="0.2">
      <c r="A4459" t="s">
        <v>5725</v>
      </c>
      <c r="B4459" s="1">
        <v>46059</v>
      </c>
      <c r="C4459" t="s">
        <v>24</v>
      </c>
      <c r="D4459" t="s">
        <v>54</v>
      </c>
      <c r="E4459" t="s">
        <v>26</v>
      </c>
      <c r="F4459" t="s">
        <v>127</v>
      </c>
      <c r="G4459" t="s">
        <v>128</v>
      </c>
      <c r="H4459" t="s">
        <v>103</v>
      </c>
      <c r="I4459" t="s">
        <v>64</v>
      </c>
      <c r="J4459" t="s">
        <v>111</v>
      </c>
      <c r="K4459" t="s">
        <v>66</v>
      </c>
      <c r="L4459" t="s">
        <v>46</v>
      </c>
      <c r="M4459" t="s">
        <v>34</v>
      </c>
      <c r="N4459" t="s">
        <v>48</v>
      </c>
      <c r="O4459" t="s">
        <v>70</v>
      </c>
      <c r="P4459" t="s">
        <v>58</v>
      </c>
      <c r="Q4459" t="s">
        <v>152</v>
      </c>
      <c r="R4459">
        <v>286</v>
      </c>
      <c r="S4459">
        <v>154</v>
      </c>
      <c r="T4459">
        <v>105</v>
      </c>
      <c r="U4459">
        <v>44</v>
      </c>
      <c r="V4459" t="s">
        <v>6357</v>
      </c>
      <c r="W4459">
        <v>70740</v>
      </c>
      <c r="X4459" t="s">
        <v>7150</v>
      </c>
      <c r="Y4459">
        <v>51811</v>
      </c>
      <c r="Z4459">
        <v>3112560</v>
      </c>
      <c r="AA4459">
        <v>832876</v>
      </c>
      <c r="AB4459" t="str">
        <f>(VLOOKUP(SalesData[[#This Row],[Month Number]],Reference!C$5:E$16,2,FALSE))</f>
        <v>Feb</v>
      </c>
      <c r="AC4459">
        <f>MONTH(SalesData[[#This Row],[Date]])</f>
        <v>2</v>
      </c>
      <c r="AD4459">
        <f>Reference!F$4</f>
        <v>2026</v>
      </c>
      <c r="AE4459" t="str">
        <f>IF(OR(SalesData[[#This Row],[Day]]="Saturday",SalesData[[#This Row],[Day]]="Sunday"),"Weekend","Weekday")</f>
        <v>Weekday</v>
      </c>
      <c r="AF4459" s="5">
        <f>IF(SalesData[[#This Row],[Contracts Offered]]=0,0,SalesData[[#This Row],[Contracts Signed]]/SalesData[[#This Row],[Contracts Offered]])</f>
        <v>0.41904761904761906</v>
      </c>
      <c r="AG4459" s="5">
        <f>IF(SalesData[[#This Row],[Customers Visited]]=0,0,SalesData[[#This Row],[Test Drives]]/SalesData[[#This Row],[Customers Visited]])</f>
        <v>0.53846153846153844</v>
      </c>
      <c r="AH4459" s="5">
        <f>IF(SalesData[[#This Row],[Customers Visited]]=0,0,SalesData[[#This Row],[Contracts Signed]]/SalesData[[#This Row],[Customers Visited]])</f>
        <v>0.15384615384615385</v>
      </c>
      <c r="AI4459" s="6">
        <f>IF(SalesData[[#This Row],[Contracts Signed]]=0,0,SalesData[[#This Row],[Profit(€)]]/SalesData[[#This Row],[Contracts Signed]])</f>
        <v>18929</v>
      </c>
      <c r="AJ4459" s="5" t="str">
        <f>TRIM(CLEAN(SalesData[[#This Row],[Retailer]]))</f>
        <v>Rhein Auto Group</v>
      </c>
    </row>
    <row r="4460" spans="1:36" ht="14.25" hidden="1" x14ac:dyDescent="0.2">
      <c r="A4460" t="s">
        <v>5726</v>
      </c>
      <c r="B4460" s="1">
        <v>46059</v>
      </c>
      <c r="C4460" t="s">
        <v>24</v>
      </c>
      <c r="D4460" t="s">
        <v>54</v>
      </c>
      <c r="E4460" t="s">
        <v>26</v>
      </c>
      <c r="F4460" t="s">
        <v>74</v>
      </c>
      <c r="G4460" t="s">
        <v>75</v>
      </c>
      <c r="H4460" t="s">
        <v>76</v>
      </c>
      <c r="I4460" t="s">
        <v>64</v>
      </c>
      <c r="J4460" t="s">
        <v>65</v>
      </c>
      <c r="K4460" t="s">
        <v>32</v>
      </c>
      <c r="L4460" t="s">
        <v>33</v>
      </c>
      <c r="M4460" t="s">
        <v>47</v>
      </c>
      <c r="N4460" t="s">
        <v>69</v>
      </c>
      <c r="O4460" t="s">
        <v>36</v>
      </c>
      <c r="P4460" t="s">
        <v>49</v>
      </c>
      <c r="Q4460" t="s">
        <v>79</v>
      </c>
      <c r="R4460">
        <v>225</v>
      </c>
      <c r="S4460">
        <v>103</v>
      </c>
      <c r="T4460">
        <v>77</v>
      </c>
      <c r="U4460">
        <v>26</v>
      </c>
      <c r="V4460" t="s">
        <v>6533</v>
      </c>
      <c r="W4460">
        <v>60559</v>
      </c>
      <c r="X4460" t="s">
        <v>2278</v>
      </c>
      <c r="Y4460">
        <v>44867</v>
      </c>
      <c r="Z4460">
        <v>1574534</v>
      </c>
      <c r="AA4460">
        <v>407992</v>
      </c>
      <c r="AB4460" t="str">
        <f>(VLOOKUP(SalesData[[#This Row],[Month Number]],Reference!C$5:E$16,2,FALSE))</f>
        <v>Feb</v>
      </c>
      <c r="AC4460">
        <f>MONTH(SalesData[[#This Row],[Date]])</f>
        <v>2</v>
      </c>
      <c r="AD4460">
        <f>Reference!F$4</f>
        <v>2026</v>
      </c>
      <c r="AE4460" t="str">
        <f>IF(OR(SalesData[[#This Row],[Day]]="Saturday",SalesData[[#This Row],[Day]]="Sunday"),"Weekend","Weekday")</f>
        <v>Weekday</v>
      </c>
      <c r="AF4460" s="5">
        <f>IF(SalesData[[#This Row],[Contracts Offered]]=0,0,SalesData[[#This Row],[Contracts Signed]]/SalesData[[#This Row],[Contracts Offered]])</f>
        <v>0.33766233766233766</v>
      </c>
      <c r="AG4460" s="5">
        <f>IF(SalesData[[#This Row],[Customers Visited]]=0,0,SalesData[[#This Row],[Test Drives]]/SalesData[[#This Row],[Customers Visited]])</f>
        <v>0.45777777777777778</v>
      </c>
      <c r="AH4460" s="5">
        <f>IF(SalesData[[#This Row],[Customers Visited]]=0,0,SalesData[[#This Row],[Contracts Signed]]/SalesData[[#This Row],[Customers Visited]])</f>
        <v>0.11555555555555555</v>
      </c>
      <c r="AI4460" s="6">
        <f>IF(SalesData[[#This Row],[Contracts Signed]]=0,0,SalesData[[#This Row],[Profit(€)]]/SalesData[[#This Row],[Contracts Signed]])</f>
        <v>15692</v>
      </c>
      <c r="AJ4460" s="5" t="str">
        <f>TRIM(CLEAN(SalesData[[#This Row],[Retailer]]))</f>
        <v>Stuttgart Auto Center</v>
      </c>
    </row>
    <row r="4461" spans="1:36" ht="14.25" hidden="1" x14ac:dyDescent="0.2">
      <c r="A4461" t="s">
        <v>5728</v>
      </c>
      <c r="B4461" s="1">
        <v>46076</v>
      </c>
      <c r="C4461" t="s">
        <v>53</v>
      </c>
      <c r="D4461" t="s">
        <v>25</v>
      </c>
      <c r="E4461" t="s">
        <v>26</v>
      </c>
      <c r="F4461" t="s">
        <v>74</v>
      </c>
      <c r="G4461" t="s">
        <v>75</v>
      </c>
      <c r="H4461" t="s">
        <v>76</v>
      </c>
      <c r="I4461" t="s">
        <v>104</v>
      </c>
      <c r="J4461" t="s">
        <v>7031</v>
      </c>
      <c r="K4461" t="s">
        <v>32</v>
      </c>
      <c r="L4461" t="s">
        <v>46</v>
      </c>
      <c r="M4461" t="s">
        <v>87</v>
      </c>
      <c r="N4461" t="s">
        <v>35</v>
      </c>
      <c r="O4461" t="s">
        <v>70</v>
      </c>
      <c r="P4461" t="s">
        <v>71</v>
      </c>
      <c r="Q4461" t="s">
        <v>240</v>
      </c>
      <c r="R4461">
        <v>305</v>
      </c>
      <c r="S4461">
        <v>150</v>
      </c>
      <c r="T4461">
        <v>96</v>
      </c>
      <c r="U4461">
        <v>28</v>
      </c>
      <c r="V4461" t="s">
        <v>935</v>
      </c>
      <c r="W4461">
        <v>26233</v>
      </c>
      <c r="X4461" t="s">
        <v>5036</v>
      </c>
      <c r="Y4461">
        <v>23405</v>
      </c>
      <c r="Z4461">
        <v>734524</v>
      </c>
      <c r="AA4461">
        <v>79184</v>
      </c>
      <c r="AB4461" t="str">
        <f>(VLOOKUP(SalesData[[#This Row],[Month Number]],Reference!C$5:E$16,2,FALSE))</f>
        <v>Feb</v>
      </c>
      <c r="AC4461">
        <f>MONTH(SalesData[[#This Row],[Date]])</f>
        <v>2</v>
      </c>
      <c r="AD4461">
        <f>Reference!F$4</f>
        <v>2026</v>
      </c>
      <c r="AE4461" t="str">
        <f>IF(OR(SalesData[[#This Row],[Day]]="Saturday",SalesData[[#This Row],[Day]]="Sunday"),"Weekend","Weekday")</f>
        <v>Weekday</v>
      </c>
      <c r="AF4461" s="5">
        <f>IF(SalesData[[#This Row],[Contracts Offered]]=0,0,SalesData[[#This Row],[Contracts Signed]]/SalesData[[#This Row],[Contracts Offered]])</f>
        <v>0.29166666666666669</v>
      </c>
      <c r="AG4461" s="5">
        <f>IF(SalesData[[#This Row],[Customers Visited]]=0,0,SalesData[[#This Row],[Test Drives]]/SalesData[[#This Row],[Customers Visited]])</f>
        <v>0.49180327868852458</v>
      </c>
      <c r="AH4461" s="5">
        <f>IF(SalesData[[#This Row],[Customers Visited]]=0,0,SalesData[[#This Row],[Contracts Signed]]/SalesData[[#This Row],[Customers Visited]])</f>
        <v>9.1803278688524587E-2</v>
      </c>
      <c r="AI4461" s="6">
        <f>IF(SalesData[[#This Row],[Contracts Signed]]=0,0,SalesData[[#This Row],[Profit(€)]]/SalesData[[#This Row],[Contracts Signed]])</f>
        <v>2828</v>
      </c>
      <c r="AJ4461" s="5" t="str">
        <f>TRIM(CLEAN(SalesData[[#This Row],[Retailer]]))</f>
        <v>Stuttgart Auto Center</v>
      </c>
    </row>
    <row r="4462" spans="1:36" ht="14.25" hidden="1" x14ac:dyDescent="0.2">
      <c r="A4462" t="s">
        <v>5729</v>
      </c>
      <c r="B4462" s="1">
        <v>46070</v>
      </c>
      <c r="C4462" t="s">
        <v>62</v>
      </c>
      <c r="D4462" t="s">
        <v>63</v>
      </c>
      <c r="E4462" t="s">
        <v>26</v>
      </c>
      <c r="F4462" t="s">
        <v>114</v>
      </c>
      <c r="G4462" t="s">
        <v>115</v>
      </c>
      <c r="H4462" t="s">
        <v>115</v>
      </c>
      <c r="I4462" t="s">
        <v>104</v>
      </c>
      <c r="J4462" t="s">
        <v>7031</v>
      </c>
      <c r="K4462" t="s">
        <v>91</v>
      </c>
      <c r="L4462" t="s">
        <v>46</v>
      </c>
      <c r="M4462" t="s">
        <v>68</v>
      </c>
      <c r="N4462" t="s">
        <v>35</v>
      </c>
      <c r="O4462" t="s">
        <v>36</v>
      </c>
      <c r="P4462" t="s">
        <v>58</v>
      </c>
      <c r="Q4462" t="s">
        <v>347</v>
      </c>
      <c r="R4462">
        <v>511</v>
      </c>
      <c r="S4462">
        <v>217</v>
      </c>
      <c r="T4462">
        <v>154</v>
      </c>
      <c r="U4462">
        <v>41</v>
      </c>
      <c r="V4462" t="s">
        <v>218</v>
      </c>
      <c r="W4462">
        <v>26862</v>
      </c>
      <c r="X4462" t="s">
        <v>7142</v>
      </c>
      <c r="Y4462">
        <v>23925</v>
      </c>
      <c r="Z4462">
        <v>1101342</v>
      </c>
      <c r="AA4462">
        <v>120417</v>
      </c>
      <c r="AB4462" t="str">
        <f>(VLOOKUP(SalesData[[#This Row],[Month Number]],Reference!C$5:E$16,2,FALSE))</f>
        <v>Feb</v>
      </c>
      <c r="AC4462">
        <f>MONTH(SalesData[[#This Row],[Date]])</f>
        <v>2</v>
      </c>
      <c r="AD4462">
        <f>Reference!F$4</f>
        <v>2026</v>
      </c>
      <c r="AE4462" t="str">
        <f>IF(OR(SalesData[[#This Row],[Day]]="Saturday",SalesData[[#This Row],[Day]]="Sunday"),"Weekend","Weekday")</f>
        <v>Weekday</v>
      </c>
      <c r="AF4462" s="5">
        <f>IF(SalesData[[#This Row],[Contracts Offered]]=0,0,SalesData[[#This Row],[Contracts Signed]]/SalesData[[#This Row],[Contracts Offered]])</f>
        <v>0.26623376623376621</v>
      </c>
      <c r="AG4462" s="5">
        <f>IF(SalesData[[#This Row],[Customers Visited]]=0,0,SalesData[[#This Row],[Test Drives]]/SalesData[[#This Row],[Customers Visited]])</f>
        <v>0.42465753424657532</v>
      </c>
      <c r="AH4462" s="5">
        <f>IF(SalesData[[#This Row],[Customers Visited]]=0,0,SalesData[[#This Row],[Contracts Signed]]/SalesData[[#This Row],[Customers Visited]])</f>
        <v>8.0234833659491189E-2</v>
      </c>
      <c r="AI4462" s="6">
        <f>IF(SalesData[[#This Row],[Contracts Signed]]=0,0,SalesData[[#This Row],[Profit(€)]]/SalesData[[#This Row],[Contracts Signed]])</f>
        <v>2937</v>
      </c>
      <c r="AJ4462" s="5" t="str">
        <f>TRIM(CLEAN(SalesData[[#This Row],[Retailer]]))</f>
        <v>Elbe Drive</v>
      </c>
    </row>
    <row r="4463" spans="1:36" ht="14.25" hidden="1" x14ac:dyDescent="0.2">
      <c r="A4463" t="s">
        <v>5730</v>
      </c>
      <c r="B4463" s="1">
        <v>46065</v>
      </c>
      <c r="C4463" t="s">
        <v>121</v>
      </c>
      <c r="D4463" t="s">
        <v>100</v>
      </c>
      <c r="E4463" t="s">
        <v>26</v>
      </c>
      <c r="F4463" t="s">
        <v>109</v>
      </c>
      <c r="G4463" t="s">
        <v>110</v>
      </c>
      <c r="H4463" t="s">
        <v>45</v>
      </c>
      <c r="I4463" t="s">
        <v>56</v>
      </c>
      <c r="J4463" t="s">
        <v>137</v>
      </c>
      <c r="K4463" t="s">
        <v>66</v>
      </c>
      <c r="L4463" t="s">
        <v>46</v>
      </c>
      <c r="M4463" t="s">
        <v>87</v>
      </c>
      <c r="N4463" t="s">
        <v>35</v>
      </c>
      <c r="O4463" t="s">
        <v>36</v>
      </c>
      <c r="P4463" t="s">
        <v>58</v>
      </c>
      <c r="Q4463" t="s">
        <v>59</v>
      </c>
      <c r="R4463">
        <v>319</v>
      </c>
      <c r="S4463">
        <v>200</v>
      </c>
      <c r="T4463">
        <v>147</v>
      </c>
      <c r="U4463">
        <v>49</v>
      </c>
      <c r="V4463" t="s">
        <v>6738</v>
      </c>
      <c r="W4463">
        <v>51247</v>
      </c>
      <c r="X4463" t="s">
        <v>3496</v>
      </c>
      <c r="Y4463">
        <v>41735</v>
      </c>
      <c r="Z4463">
        <v>2511103</v>
      </c>
      <c r="AA4463">
        <v>466088</v>
      </c>
      <c r="AB4463" t="str">
        <f>(VLOOKUP(SalesData[[#This Row],[Month Number]],Reference!C$5:E$16,2,FALSE))</f>
        <v>Feb</v>
      </c>
      <c r="AC4463">
        <f>MONTH(SalesData[[#This Row],[Date]])</f>
        <v>2</v>
      </c>
      <c r="AD4463">
        <f>Reference!F$4</f>
        <v>2026</v>
      </c>
      <c r="AE4463" t="str">
        <f>IF(OR(SalesData[[#This Row],[Day]]="Saturday",SalesData[[#This Row],[Day]]="Sunday"),"Weekend","Weekday")</f>
        <v>Weekday</v>
      </c>
      <c r="AF4463" s="5">
        <f>IF(SalesData[[#This Row],[Contracts Offered]]=0,0,SalesData[[#This Row],[Contracts Signed]]/SalesData[[#This Row],[Contracts Offered]])</f>
        <v>0.33333333333333331</v>
      </c>
      <c r="AG4463" s="5">
        <f>IF(SalesData[[#This Row],[Customers Visited]]=0,0,SalesData[[#This Row],[Test Drives]]/SalesData[[#This Row],[Customers Visited]])</f>
        <v>0.62695924764890287</v>
      </c>
      <c r="AH4463" s="5">
        <f>IF(SalesData[[#This Row],[Customers Visited]]=0,0,SalesData[[#This Row],[Contracts Signed]]/SalesData[[#This Row],[Customers Visited]])</f>
        <v>0.15360501567398119</v>
      </c>
      <c r="AI4463" s="6">
        <f>IF(SalesData[[#This Row],[Contracts Signed]]=0,0,SalesData[[#This Row],[Profit(€)]]/SalesData[[#This Row],[Contracts Signed]])</f>
        <v>9512</v>
      </c>
      <c r="AJ4463" s="5" t="str">
        <f>TRIM(CLEAN(SalesData[[#This Row],[Retailer]]))</f>
        <v>Leipzig Mobility</v>
      </c>
    </row>
    <row r="4464" spans="1:36" ht="14.25" hidden="1" x14ac:dyDescent="0.2">
      <c r="A4464" t="s">
        <v>5731</v>
      </c>
      <c r="B4464" s="1">
        <v>46069</v>
      </c>
      <c r="C4464" t="s">
        <v>62</v>
      </c>
      <c r="D4464" t="s">
        <v>25</v>
      </c>
      <c r="E4464" t="s">
        <v>26</v>
      </c>
      <c r="F4464" t="s">
        <v>83</v>
      </c>
      <c r="G4464" t="s">
        <v>84</v>
      </c>
      <c r="H4464" t="s">
        <v>85</v>
      </c>
      <c r="I4464" t="s">
        <v>56</v>
      </c>
      <c r="J4464" t="s">
        <v>7028</v>
      </c>
      <c r="K4464" t="s">
        <v>32</v>
      </c>
      <c r="L4464" t="s">
        <v>46</v>
      </c>
      <c r="M4464" t="s">
        <v>34</v>
      </c>
      <c r="N4464" t="s">
        <v>48</v>
      </c>
      <c r="O4464" t="s">
        <v>70</v>
      </c>
      <c r="P4464" t="s">
        <v>71</v>
      </c>
      <c r="Q4464" t="s">
        <v>158</v>
      </c>
      <c r="R4464">
        <v>305</v>
      </c>
      <c r="S4464">
        <v>167</v>
      </c>
      <c r="T4464">
        <v>118</v>
      </c>
      <c r="U4464">
        <v>40</v>
      </c>
      <c r="V4464" t="s">
        <v>6771</v>
      </c>
      <c r="W4464">
        <v>42859</v>
      </c>
      <c r="X4464" t="s">
        <v>439</v>
      </c>
      <c r="Y4464">
        <v>33389</v>
      </c>
      <c r="Z4464">
        <v>1714360</v>
      </c>
      <c r="AA4464">
        <v>378800</v>
      </c>
      <c r="AB4464" t="str">
        <f>(VLOOKUP(SalesData[[#This Row],[Month Number]],Reference!C$5:E$16,2,FALSE))</f>
        <v>Feb</v>
      </c>
      <c r="AC4464">
        <f>MONTH(SalesData[[#This Row],[Date]])</f>
        <v>2</v>
      </c>
      <c r="AD4464">
        <f>Reference!F$4</f>
        <v>2026</v>
      </c>
      <c r="AE4464" t="str">
        <f>IF(OR(SalesData[[#This Row],[Day]]="Saturday",SalesData[[#This Row],[Day]]="Sunday"),"Weekend","Weekday")</f>
        <v>Weekday</v>
      </c>
      <c r="AF4464" s="5">
        <f>IF(SalesData[[#This Row],[Contracts Offered]]=0,0,SalesData[[#This Row],[Contracts Signed]]/SalesData[[#This Row],[Contracts Offered]])</f>
        <v>0.33898305084745761</v>
      </c>
      <c r="AG4464" s="5">
        <f>IF(SalesData[[#This Row],[Customers Visited]]=0,0,SalesData[[#This Row],[Test Drives]]/SalesData[[#This Row],[Customers Visited]])</f>
        <v>0.54754098360655734</v>
      </c>
      <c r="AH4464" s="5">
        <f>IF(SalesData[[#This Row],[Customers Visited]]=0,0,SalesData[[#This Row],[Contracts Signed]]/SalesData[[#This Row],[Customers Visited]])</f>
        <v>0.13114754098360656</v>
      </c>
      <c r="AI4464" s="6">
        <f>IF(SalesData[[#This Row],[Contracts Signed]]=0,0,SalesData[[#This Row],[Profit(€)]]/SalesData[[#This Row],[Contracts Signed]])</f>
        <v>9470</v>
      </c>
      <c r="AJ4464" s="5" t="str">
        <f>TRIM(CLEAN(SalesData[[#This Row],[Retailer]]))</f>
        <v>Hannover Cars</v>
      </c>
    </row>
    <row r="4465" spans="1:36" ht="14.25" x14ac:dyDescent="0.2">
      <c r="A4465" t="s">
        <v>5732</v>
      </c>
      <c r="B4465" s="1">
        <v>46062</v>
      </c>
      <c r="C4465" t="s">
        <v>121</v>
      </c>
      <c r="D4465" t="s">
        <v>25</v>
      </c>
      <c r="E4465" t="s">
        <v>26</v>
      </c>
      <c r="F4465" t="s">
        <v>7649</v>
      </c>
      <c r="G4465" t="s">
        <v>55</v>
      </c>
      <c r="H4465" t="s">
        <v>55</v>
      </c>
      <c r="I4465" t="s">
        <v>30</v>
      </c>
      <c r="J4465" t="s">
        <v>166</v>
      </c>
      <c r="K4465" t="s">
        <v>32</v>
      </c>
      <c r="L4465" t="s">
        <v>46</v>
      </c>
      <c r="M4465" t="s">
        <v>68</v>
      </c>
      <c r="N4465" t="s">
        <v>48</v>
      </c>
      <c r="O4465" t="s">
        <v>36</v>
      </c>
      <c r="P4465" t="s">
        <v>49</v>
      </c>
      <c r="Q4465" t="s">
        <v>59</v>
      </c>
      <c r="R4465">
        <v>211</v>
      </c>
      <c r="S4465">
        <v>105</v>
      </c>
      <c r="T4465">
        <v>82</v>
      </c>
      <c r="U4465">
        <v>29</v>
      </c>
      <c r="V4465" t="s">
        <v>6528</v>
      </c>
      <c r="W4465">
        <v>58257</v>
      </c>
      <c r="X4465" t="s">
        <v>7399</v>
      </c>
      <c r="Y4465">
        <v>43193</v>
      </c>
      <c r="Z4465">
        <v>1689453</v>
      </c>
      <c r="AA4465">
        <v>436856</v>
      </c>
      <c r="AB4465" t="str">
        <f>(VLOOKUP(SalesData[[#This Row],[Month Number]],Reference!C$5:E$16,2,FALSE))</f>
        <v>Feb</v>
      </c>
      <c r="AC4465">
        <f>MONTH(SalesData[[#This Row],[Date]])</f>
        <v>2</v>
      </c>
      <c r="AD4465">
        <f>Reference!F$4</f>
        <v>2026</v>
      </c>
      <c r="AE4465" t="str">
        <f>IF(OR(SalesData[[#This Row],[Day]]="Saturday",SalesData[[#This Row],[Day]]="Sunday"),"Weekend","Weekday")</f>
        <v>Weekday</v>
      </c>
      <c r="AF4465" s="5">
        <f>IF(SalesData[[#This Row],[Contracts Offered]]=0,0,SalesData[[#This Row],[Contracts Signed]]/SalesData[[#This Row],[Contracts Offered]])</f>
        <v>0.35365853658536583</v>
      </c>
      <c r="AG4465" s="5">
        <f>IF(SalesData[[#This Row],[Customers Visited]]=0,0,SalesData[[#This Row],[Test Drives]]/SalesData[[#This Row],[Customers Visited]])</f>
        <v>0.49763033175355448</v>
      </c>
      <c r="AH4465" s="5">
        <f>IF(SalesData[[#This Row],[Customers Visited]]=0,0,SalesData[[#This Row],[Contracts Signed]]/SalesData[[#This Row],[Customers Visited]])</f>
        <v>0.13744075829383887</v>
      </c>
      <c r="AI4465" s="6">
        <f>IF(SalesData[[#This Row],[Contracts Signed]]=0,0,SalesData[[#This Row],[Profit(€)]]/SalesData[[#This Row],[Contracts Signed]])</f>
        <v>15064</v>
      </c>
      <c r="AJ4465" s="5" t="str">
        <f>TRIM(CLEAN(SalesData[[#This Row],[Retailer]]))</f>
        <v>Autohaus Berlin</v>
      </c>
    </row>
    <row r="4466" spans="1:36" ht="14.25" hidden="1" x14ac:dyDescent="0.2">
      <c r="A4466" t="s">
        <v>5733</v>
      </c>
      <c r="B4466" s="1">
        <v>46075</v>
      </c>
      <c r="C4466" t="s">
        <v>53</v>
      </c>
      <c r="D4466" t="s">
        <v>41</v>
      </c>
      <c r="E4466" t="s">
        <v>42</v>
      </c>
      <c r="F4466" t="s">
        <v>127</v>
      </c>
      <c r="G4466" t="s">
        <v>128</v>
      </c>
      <c r="H4466" t="s">
        <v>103</v>
      </c>
      <c r="I4466" t="s">
        <v>104</v>
      </c>
      <c r="J4466" t="s">
        <v>7031</v>
      </c>
      <c r="K4466" t="s">
        <v>32</v>
      </c>
      <c r="L4466" t="s">
        <v>46</v>
      </c>
      <c r="M4466" t="s">
        <v>34</v>
      </c>
      <c r="N4466" t="s">
        <v>48</v>
      </c>
      <c r="O4466" t="s">
        <v>36</v>
      </c>
      <c r="P4466" t="s">
        <v>71</v>
      </c>
      <c r="Q4466" t="s">
        <v>158</v>
      </c>
      <c r="R4466">
        <v>374</v>
      </c>
      <c r="S4466">
        <v>163</v>
      </c>
      <c r="T4466">
        <v>99</v>
      </c>
      <c r="U4466">
        <v>30</v>
      </c>
      <c r="V4466" t="s">
        <v>1170</v>
      </c>
      <c r="W4466">
        <v>30155</v>
      </c>
      <c r="X4466" t="s">
        <v>2535</v>
      </c>
      <c r="Y4466">
        <v>26409</v>
      </c>
      <c r="Z4466">
        <v>904650</v>
      </c>
      <c r="AA4466">
        <v>112380</v>
      </c>
      <c r="AB4466" t="str">
        <f>(VLOOKUP(SalesData[[#This Row],[Month Number]],Reference!C$5:E$16,2,FALSE))</f>
        <v>Feb</v>
      </c>
      <c r="AC4466">
        <f>MONTH(SalesData[[#This Row],[Date]])</f>
        <v>2</v>
      </c>
      <c r="AD4466">
        <f>Reference!F$4</f>
        <v>2026</v>
      </c>
      <c r="AE4466" t="str">
        <f>IF(OR(SalesData[[#This Row],[Day]]="Saturday",SalesData[[#This Row],[Day]]="Sunday"),"Weekend","Weekday")</f>
        <v>Weekend</v>
      </c>
      <c r="AF4466" s="5">
        <f>IF(SalesData[[#This Row],[Contracts Offered]]=0,0,SalesData[[#This Row],[Contracts Signed]]/SalesData[[#This Row],[Contracts Offered]])</f>
        <v>0.30303030303030304</v>
      </c>
      <c r="AG4466" s="5">
        <f>IF(SalesData[[#This Row],[Customers Visited]]=0,0,SalesData[[#This Row],[Test Drives]]/SalesData[[#This Row],[Customers Visited]])</f>
        <v>0.43582887700534761</v>
      </c>
      <c r="AH4466" s="5">
        <f>IF(SalesData[[#This Row],[Customers Visited]]=0,0,SalesData[[#This Row],[Contracts Signed]]/SalesData[[#This Row],[Customers Visited]])</f>
        <v>8.0213903743315509E-2</v>
      </c>
      <c r="AI4466" s="6">
        <f>IF(SalesData[[#This Row],[Contracts Signed]]=0,0,SalesData[[#This Row],[Profit(€)]]/SalesData[[#This Row],[Contracts Signed]])</f>
        <v>3746</v>
      </c>
      <c r="AJ4466" s="5" t="str">
        <f>TRIM(CLEAN(SalesData[[#This Row],[Retailer]]))</f>
        <v>Rhein Auto Group</v>
      </c>
    </row>
    <row r="4467" spans="1:36" ht="14.25" hidden="1" x14ac:dyDescent="0.2">
      <c r="A4467" t="s">
        <v>5734</v>
      </c>
      <c r="B4467" s="1">
        <v>46078</v>
      </c>
      <c r="C4467" t="s">
        <v>53</v>
      </c>
      <c r="D4467" t="s">
        <v>82</v>
      </c>
      <c r="E4467" t="s">
        <v>26</v>
      </c>
      <c r="F4467" t="s">
        <v>83</v>
      </c>
      <c r="G4467" t="s">
        <v>84</v>
      </c>
      <c r="H4467" t="s">
        <v>85</v>
      </c>
      <c r="I4467" t="s">
        <v>104</v>
      </c>
      <c r="J4467" t="s">
        <v>143</v>
      </c>
      <c r="K4467" t="s">
        <v>32</v>
      </c>
      <c r="L4467" t="s">
        <v>67</v>
      </c>
      <c r="M4467" t="s">
        <v>87</v>
      </c>
      <c r="N4467" t="s">
        <v>48</v>
      </c>
      <c r="O4467" t="s">
        <v>70</v>
      </c>
      <c r="P4467" t="s">
        <v>71</v>
      </c>
      <c r="Q4467" t="s">
        <v>122</v>
      </c>
      <c r="R4467">
        <v>281</v>
      </c>
      <c r="S4467">
        <v>146</v>
      </c>
      <c r="T4467">
        <v>104</v>
      </c>
      <c r="U4467">
        <v>23</v>
      </c>
      <c r="V4467" t="s">
        <v>939</v>
      </c>
      <c r="W4467">
        <v>32550</v>
      </c>
      <c r="X4467" t="s">
        <v>2713</v>
      </c>
      <c r="Y4467">
        <v>29327</v>
      </c>
      <c r="Z4467">
        <v>748650</v>
      </c>
      <c r="AA4467">
        <v>74129</v>
      </c>
      <c r="AB4467" t="str">
        <f>(VLOOKUP(SalesData[[#This Row],[Month Number]],Reference!C$5:E$16,2,FALSE))</f>
        <v>Feb</v>
      </c>
      <c r="AC4467">
        <f>MONTH(SalesData[[#This Row],[Date]])</f>
        <v>2</v>
      </c>
      <c r="AD4467">
        <f>Reference!F$4</f>
        <v>2026</v>
      </c>
      <c r="AE4467" t="str">
        <f>IF(OR(SalesData[[#This Row],[Day]]="Saturday",SalesData[[#This Row],[Day]]="Sunday"),"Weekend","Weekday")</f>
        <v>Weekday</v>
      </c>
      <c r="AF4467" s="5">
        <f>IF(SalesData[[#This Row],[Contracts Offered]]=0,0,SalesData[[#This Row],[Contracts Signed]]/SalesData[[#This Row],[Contracts Offered]])</f>
        <v>0.22115384615384615</v>
      </c>
      <c r="AG4467" s="5">
        <f>IF(SalesData[[#This Row],[Customers Visited]]=0,0,SalesData[[#This Row],[Test Drives]]/SalesData[[#This Row],[Customers Visited]])</f>
        <v>0.5195729537366548</v>
      </c>
      <c r="AH4467" s="5">
        <f>IF(SalesData[[#This Row],[Customers Visited]]=0,0,SalesData[[#This Row],[Contracts Signed]]/SalesData[[#This Row],[Customers Visited]])</f>
        <v>8.1850533807829182E-2</v>
      </c>
      <c r="AI4467" s="6">
        <f>IF(SalesData[[#This Row],[Contracts Signed]]=0,0,SalesData[[#This Row],[Profit(€)]]/SalesData[[#This Row],[Contracts Signed]])</f>
        <v>3223</v>
      </c>
      <c r="AJ4467" s="5" t="str">
        <f>TRIM(CLEAN(SalesData[[#This Row],[Retailer]]))</f>
        <v>Hannover Cars</v>
      </c>
    </row>
    <row r="4468" spans="1:36" ht="14.25" hidden="1" x14ac:dyDescent="0.2">
      <c r="A4468" t="s">
        <v>5735</v>
      </c>
      <c r="B4468" s="1">
        <v>46062</v>
      </c>
      <c r="C4468" t="s">
        <v>121</v>
      </c>
      <c r="D4468" t="s">
        <v>25</v>
      </c>
      <c r="E4468" t="s">
        <v>26</v>
      </c>
      <c r="F4468" t="s">
        <v>94</v>
      </c>
      <c r="G4468" t="s">
        <v>95</v>
      </c>
      <c r="H4468" t="s">
        <v>96</v>
      </c>
      <c r="I4468" t="s">
        <v>56</v>
      </c>
      <c r="J4468" t="s">
        <v>7028</v>
      </c>
      <c r="K4468" t="s">
        <v>66</v>
      </c>
      <c r="L4468" t="s">
        <v>46</v>
      </c>
      <c r="M4468" t="s">
        <v>34</v>
      </c>
      <c r="N4468" t="s">
        <v>35</v>
      </c>
      <c r="O4468" t="s">
        <v>36</v>
      </c>
      <c r="P4468" t="s">
        <v>37</v>
      </c>
      <c r="Q4468" t="s">
        <v>144</v>
      </c>
      <c r="R4468">
        <v>243</v>
      </c>
      <c r="S4468">
        <v>121</v>
      </c>
      <c r="T4468">
        <v>83</v>
      </c>
      <c r="U4468">
        <v>29</v>
      </c>
      <c r="V4468" t="s">
        <v>6682</v>
      </c>
      <c r="W4468">
        <v>55871</v>
      </c>
      <c r="X4468" t="s">
        <v>7300</v>
      </c>
      <c r="Y4468">
        <v>45798</v>
      </c>
      <c r="Z4468">
        <v>1620259</v>
      </c>
      <c r="AA4468">
        <v>292117</v>
      </c>
      <c r="AB4468" t="str">
        <f>(VLOOKUP(SalesData[[#This Row],[Month Number]],Reference!C$5:E$16,2,FALSE))</f>
        <v>Feb</v>
      </c>
      <c r="AC4468">
        <f>MONTH(SalesData[[#This Row],[Date]])</f>
        <v>2</v>
      </c>
      <c r="AD4468">
        <f>Reference!F$4</f>
        <v>2026</v>
      </c>
      <c r="AE4468" t="str">
        <f>IF(OR(SalesData[[#This Row],[Day]]="Saturday",SalesData[[#This Row],[Day]]="Sunday"),"Weekend","Weekday")</f>
        <v>Weekday</v>
      </c>
      <c r="AF4468" s="5">
        <f>IF(SalesData[[#This Row],[Contracts Offered]]=0,0,SalesData[[#This Row],[Contracts Signed]]/SalesData[[#This Row],[Contracts Offered]])</f>
        <v>0.3493975903614458</v>
      </c>
      <c r="AG4468" s="5">
        <f>IF(SalesData[[#This Row],[Customers Visited]]=0,0,SalesData[[#This Row],[Test Drives]]/SalesData[[#This Row],[Customers Visited]])</f>
        <v>0.49794238683127573</v>
      </c>
      <c r="AH4468" s="5">
        <f>IF(SalesData[[#This Row],[Customers Visited]]=0,0,SalesData[[#This Row],[Contracts Signed]]/SalesData[[#This Row],[Customers Visited]])</f>
        <v>0.11934156378600823</v>
      </c>
      <c r="AI4468" s="6">
        <f>IF(SalesData[[#This Row],[Contracts Signed]]=0,0,SalesData[[#This Row],[Profit(€)]]/SalesData[[#This Row],[Contracts Signed]])</f>
        <v>10073</v>
      </c>
      <c r="AJ4468" s="5" t="str">
        <f>TRIM(CLEAN(SalesData[[#This Row],[Retailer]]))</f>
        <v>Bavaria Motors</v>
      </c>
    </row>
    <row r="4469" spans="1:36" ht="14.25" hidden="1" x14ac:dyDescent="0.2">
      <c r="A4469" t="s">
        <v>5736</v>
      </c>
      <c r="B4469" s="1">
        <v>46078</v>
      </c>
      <c r="C4469" t="s">
        <v>53</v>
      </c>
      <c r="D4469" t="s">
        <v>82</v>
      </c>
      <c r="E4469" t="s">
        <v>26</v>
      </c>
      <c r="F4469" t="s">
        <v>101</v>
      </c>
      <c r="G4469" t="s">
        <v>102</v>
      </c>
      <c r="H4469" t="s">
        <v>103</v>
      </c>
      <c r="I4469" t="s">
        <v>116</v>
      </c>
      <c r="J4469" t="s">
        <v>132</v>
      </c>
      <c r="K4469" t="s">
        <v>32</v>
      </c>
      <c r="L4469" t="s">
        <v>46</v>
      </c>
      <c r="M4469" t="s">
        <v>87</v>
      </c>
      <c r="N4469" t="s">
        <v>69</v>
      </c>
      <c r="O4469" t="s">
        <v>70</v>
      </c>
      <c r="P4469" t="s">
        <v>71</v>
      </c>
      <c r="Q4469" t="s">
        <v>189</v>
      </c>
      <c r="R4469">
        <v>336</v>
      </c>
      <c r="S4469">
        <v>172</v>
      </c>
      <c r="T4469">
        <v>106</v>
      </c>
      <c r="U4469">
        <v>28</v>
      </c>
      <c r="V4469" t="s">
        <v>89</v>
      </c>
      <c r="W4469">
        <v>25461</v>
      </c>
      <c r="X4469" t="s">
        <v>7145</v>
      </c>
      <c r="Y4469">
        <v>23530</v>
      </c>
      <c r="Z4469">
        <v>712908</v>
      </c>
      <c r="AA4469">
        <v>54068</v>
      </c>
      <c r="AB4469" t="str">
        <f>(VLOOKUP(SalesData[[#This Row],[Month Number]],Reference!C$5:E$16,2,FALSE))</f>
        <v>Feb</v>
      </c>
      <c r="AC4469">
        <f>MONTH(SalesData[[#This Row],[Date]])</f>
        <v>2</v>
      </c>
      <c r="AD4469">
        <f>Reference!F$4</f>
        <v>2026</v>
      </c>
      <c r="AE4469" t="str">
        <f>IF(OR(SalesData[[#This Row],[Day]]="Saturday",SalesData[[#This Row],[Day]]="Sunday"),"Weekend","Weekday")</f>
        <v>Weekday</v>
      </c>
      <c r="AF4469" s="5">
        <f>IF(SalesData[[#This Row],[Contracts Offered]]=0,0,SalesData[[#This Row],[Contracts Signed]]/SalesData[[#This Row],[Contracts Offered]])</f>
        <v>0.26415094339622641</v>
      </c>
      <c r="AG4469" s="5">
        <f>IF(SalesData[[#This Row],[Customers Visited]]=0,0,SalesData[[#This Row],[Test Drives]]/SalesData[[#This Row],[Customers Visited]])</f>
        <v>0.51190476190476186</v>
      </c>
      <c r="AH4469" s="5">
        <f>IF(SalesData[[#This Row],[Customers Visited]]=0,0,SalesData[[#This Row],[Contracts Signed]]/SalesData[[#This Row],[Customers Visited]])</f>
        <v>8.3333333333333329E-2</v>
      </c>
      <c r="AI4469" s="6">
        <f>IF(SalesData[[#This Row],[Contracts Signed]]=0,0,SalesData[[#This Row],[Profit(€)]]/SalesData[[#This Row],[Contracts Signed]])</f>
        <v>1931</v>
      </c>
      <c r="AJ4469" s="5" t="str">
        <f>TRIM(CLEAN(SalesData[[#This Row],[Retailer]]))</f>
        <v>Ruhr Auto Plaza</v>
      </c>
    </row>
    <row r="4470" spans="1:36" ht="14.25" hidden="1" x14ac:dyDescent="0.2">
      <c r="A4470" t="s">
        <v>5737</v>
      </c>
      <c r="B4470" s="1">
        <v>46071</v>
      </c>
      <c r="C4470" t="s">
        <v>62</v>
      </c>
      <c r="D4470" t="s">
        <v>82</v>
      </c>
      <c r="E4470" t="s">
        <v>26</v>
      </c>
      <c r="F4470" t="s">
        <v>114</v>
      </c>
      <c r="G4470" t="s">
        <v>115</v>
      </c>
      <c r="H4470" t="s">
        <v>115</v>
      </c>
      <c r="I4470" t="s">
        <v>64</v>
      </c>
      <c r="J4470" t="s">
        <v>111</v>
      </c>
      <c r="K4470" t="s">
        <v>78</v>
      </c>
      <c r="L4470" t="s">
        <v>46</v>
      </c>
      <c r="M4470" t="s">
        <v>34</v>
      </c>
      <c r="N4470" t="s">
        <v>48</v>
      </c>
      <c r="O4470" t="s">
        <v>36</v>
      </c>
      <c r="P4470" t="s">
        <v>49</v>
      </c>
      <c r="Q4470" t="s">
        <v>189</v>
      </c>
      <c r="R4470">
        <v>170</v>
      </c>
      <c r="S4470">
        <v>98</v>
      </c>
      <c r="T4470">
        <v>72</v>
      </c>
      <c r="U4470">
        <v>26</v>
      </c>
      <c r="V4470" t="s">
        <v>6655</v>
      </c>
      <c r="W4470">
        <v>70987</v>
      </c>
      <c r="X4470" t="s">
        <v>1489</v>
      </c>
      <c r="Y4470">
        <v>53254</v>
      </c>
      <c r="Z4470">
        <v>1845662</v>
      </c>
      <c r="AA4470">
        <v>461058</v>
      </c>
      <c r="AB4470" t="str">
        <f>(VLOOKUP(SalesData[[#This Row],[Month Number]],Reference!C$5:E$16,2,FALSE))</f>
        <v>Feb</v>
      </c>
      <c r="AC4470">
        <f>MONTH(SalesData[[#This Row],[Date]])</f>
        <v>2</v>
      </c>
      <c r="AD4470">
        <f>Reference!F$4</f>
        <v>2026</v>
      </c>
      <c r="AE4470" t="str">
        <f>IF(OR(SalesData[[#This Row],[Day]]="Saturday",SalesData[[#This Row],[Day]]="Sunday"),"Weekend","Weekday")</f>
        <v>Weekday</v>
      </c>
      <c r="AF4470" s="5">
        <f>IF(SalesData[[#This Row],[Contracts Offered]]=0,0,SalesData[[#This Row],[Contracts Signed]]/SalesData[[#This Row],[Contracts Offered]])</f>
        <v>0.3611111111111111</v>
      </c>
      <c r="AG4470" s="5">
        <f>IF(SalesData[[#This Row],[Customers Visited]]=0,0,SalesData[[#This Row],[Test Drives]]/SalesData[[#This Row],[Customers Visited]])</f>
        <v>0.57647058823529407</v>
      </c>
      <c r="AH4470" s="5">
        <f>IF(SalesData[[#This Row],[Customers Visited]]=0,0,SalesData[[#This Row],[Contracts Signed]]/SalesData[[#This Row],[Customers Visited]])</f>
        <v>0.15294117647058825</v>
      </c>
      <c r="AI4470" s="6">
        <f>IF(SalesData[[#This Row],[Contracts Signed]]=0,0,SalesData[[#This Row],[Profit(€)]]/SalesData[[#This Row],[Contracts Signed]])</f>
        <v>17733</v>
      </c>
      <c r="AJ4470" s="5" t="str">
        <f>TRIM(CLEAN(SalesData[[#This Row],[Retailer]]))</f>
        <v>Elbe Drive</v>
      </c>
    </row>
    <row r="4471" spans="1:36" ht="14.25" x14ac:dyDescent="0.2">
      <c r="A4471" t="s">
        <v>5739</v>
      </c>
      <c r="B4471" s="1">
        <v>46056</v>
      </c>
      <c r="C4471" t="s">
        <v>24</v>
      </c>
      <c r="D4471" t="s">
        <v>63</v>
      </c>
      <c r="E4471" t="s">
        <v>26</v>
      </c>
      <c r="F4471" t="s">
        <v>94</v>
      </c>
      <c r="G4471" t="s">
        <v>95</v>
      </c>
      <c r="H4471" t="s">
        <v>96</v>
      </c>
      <c r="I4471" t="s">
        <v>30</v>
      </c>
      <c r="J4471" t="s">
        <v>86</v>
      </c>
      <c r="K4471" t="s">
        <v>91</v>
      </c>
      <c r="L4471" t="s">
        <v>33</v>
      </c>
      <c r="M4471" t="s">
        <v>47</v>
      </c>
      <c r="N4471" t="s">
        <v>48</v>
      </c>
      <c r="O4471" t="s">
        <v>36</v>
      </c>
      <c r="P4471" t="s">
        <v>71</v>
      </c>
      <c r="Q4471" t="s">
        <v>152</v>
      </c>
      <c r="R4471">
        <v>251</v>
      </c>
      <c r="S4471">
        <v>117</v>
      </c>
      <c r="T4471">
        <v>91</v>
      </c>
      <c r="U4471">
        <v>38</v>
      </c>
      <c r="V4471" t="s">
        <v>7334</v>
      </c>
      <c r="W4471">
        <v>55389</v>
      </c>
      <c r="X4471" t="s">
        <v>7407</v>
      </c>
      <c r="Y4471">
        <v>40480</v>
      </c>
      <c r="Z4471">
        <v>2104782</v>
      </c>
      <c r="AA4471">
        <v>566542</v>
      </c>
      <c r="AB4471" t="str">
        <f>(VLOOKUP(SalesData[[#This Row],[Month Number]],Reference!C$5:E$16,2,FALSE))</f>
        <v>Feb</v>
      </c>
      <c r="AC4471">
        <f>MONTH(SalesData[[#This Row],[Date]])</f>
        <v>2</v>
      </c>
      <c r="AD4471">
        <f>Reference!F$4</f>
        <v>2026</v>
      </c>
      <c r="AE4471" t="str">
        <f>IF(OR(SalesData[[#This Row],[Day]]="Saturday",SalesData[[#This Row],[Day]]="Sunday"),"Weekend","Weekday")</f>
        <v>Weekday</v>
      </c>
      <c r="AF4471" s="5">
        <f>IF(SalesData[[#This Row],[Contracts Offered]]=0,0,SalesData[[#This Row],[Contracts Signed]]/SalesData[[#This Row],[Contracts Offered]])</f>
        <v>0.4175824175824176</v>
      </c>
      <c r="AG4471" s="5">
        <f>IF(SalesData[[#This Row],[Customers Visited]]=0,0,SalesData[[#This Row],[Test Drives]]/SalesData[[#This Row],[Customers Visited]])</f>
        <v>0.46613545816733065</v>
      </c>
      <c r="AH4471" s="5">
        <f>IF(SalesData[[#This Row],[Customers Visited]]=0,0,SalesData[[#This Row],[Contracts Signed]]/SalesData[[#This Row],[Customers Visited]])</f>
        <v>0.15139442231075698</v>
      </c>
      <c r="AI4471" s="6">
        <f>IF(SalesData[[#This Row],[Contracts Signed]]=0,0,SalesData[[#This Row],[Profit(€)]]/SalesData[[#This Row],[Contracts Signed]])</f>
        <v>14909</v>
      </c>
      <c r="AJ4471" s="5" t="str">
        <f>TRIM(CLEAN(SalesData[[#This Row],[Retailer]]))</f>
        <v>Bavaria Motors</v>
      </c>
    </row>
    <row r="4472" spans="1:36" ht="14.25" hidden="1" x14ac:dyDescent="0.2">
      <c r="A4472" t="s">
        <v>5740</v>
      </c>
      <c r="B4472" s="1">
        <v>46058</v>
      </c>
      <c r="C4472" t="s">
        <v>24</v>
      </c>
      <c r="D4472" t="s">
        <v>100</v>
      </c>
      <c r="E4472" t="s">
        <v>26</v>
      </c>
      <c r="F4472" t="s">
        <v>27</v>
      </c>
      <c r="G4472" t="s">
        <v>28</v>
      </c>
      <c r="H4472" t="s">
        <v>29</v>
      </c>
      <c r="I4472" t="s">
        <v>104</v>
      </c>
      <c r="J4472" t="s">
        <v>7061</v>
      </c>
      <c r="K4472" t="s">
        <v>66</v>
      </c>
      <c r="L4472" t="s">
        <v>46</v>
      </c>
      <c r="M4472" t="s">
        <v>87</v>
      </c>
      <c r="N4472" t="s">
        <v>48</v>
      </c>
      <c r="O4472" t="s">
        <v>36</v>
      </c>
      <c r="P4472" t="s">
        <v>71</v>
      </c>
      <c r="Q4472" t="s">
        <v>204</v>
      </c>
      <c r="R4472">
        <v>414</v>
      </c>
      <c r="S4472">
        <v>222</v>
      </c>
      <c r="T4472">
        <v>143</v>
      </c>
      <c r="U4472">
        <v>35</v>
      </c>
      <c r="V4472" t="s">
        <v>7634</v>
      </c>
      <c r="W4472">
        <v>33024</v>
      </c>
      <c r="X4472" t="s">
        <v>7047</v>
      </c>
      <c r="Y4472">
        <v>29312</v>
      </c>
      <c r="Z4472">
        <v>1155840</v>
      </c>
      <c r="AA4472">
        <v>129920</v>
      </c>
      <c r="AB4472" t="str">
        <f>(VLOOKUP(SalesData[[#This Row],[Month Number]],Reference!C$5:E$16,2,FALSE))</f>
        <v>Feb</v>
      </c>
      <c r="AC4472">
        <f>MONTH(SalesData[[#This Row],[Date]])</f>
        <v>2</v>
      </c>
      <c r="AD4472">
        <f>Reference!F$4</f>
        <v>2026</v>
      </c>
      <c r="AE4472" t="str">
        <f>IF(OR(SalesData[[#This Row],[Day]]="Saturday",SalesData[[#This Row],[Day]]="Sunday"),"Weekend","Weekday")</f>
        <v>Weekday</v>
      </c>
      <c r="AF4472" s="5">
        <f>IF(SalesData[[#This Row],[Contracts Offered]]=0,0,SalesData[[#This Row],[Contracts Signed]]/SalesData[[#This Row],[Contracts Offered]])</f>
        <v>0.24475524475524477</v>
      </c>
      <c r="AG4472" s="5">
        <f>IF(SalesData[[#This Row],[Customers Visited]]=0,0,SalesData[[#This Row],[Test Drives]]/SalesData[[#This Row],[Customers Visited]])</f>
        <v>0.53623188405797106</v>
      </c>
      <c r="AH4472" s="5">
        <f>IF(SalesData[[#This Row],[Customers Visited]]=0,0,SalesData[[#This Row],[Contracts Signed]]/SalesData[[#This Row],[Customers Visited]])</f>
        <v>8.4541062801932368E-2</v>
      </c>
      <c r="AI4472" s="6">
        <f>IF(SalesData[[#This Row],[Contracts Signed]]=0,0,SalesData[[#This Row],[Profit(€)]]/SalesData[[#This Row],[Contracts Signed]])</f>
        <v>3712</v>
      </c>
      <c r="AJ4472" s="5" t="str">
        <f>TRIM(CLEAN(SalesData[[#This Row],[Retailer]]))</f>
        <v>Main Auto Hub</v>
      </c>
    </row>
    <row r="4473" spans="1:36" ht="14.25" hidden="1" x14ac:dyDescent="0.2">
      <c r="A4473" t="s">
        <v>5741</v>
      </c>
      <c r="B4473" s="1">
        <v>46071</v>
      </c>
      <c r="C4473" t="s">
        <v>62</v>
      </c>
      <c r="D4473" t="s">
        <v>82</v>
      </c>
      <c r="E4473" t="s">
        <v>26</v>
      </c>
      <c r="F4473" t="s">
        <v>7649</v>
      </c>
      <c r="G4473" t="s">
        <v>55</v>
      </c>
      <c r="H4473" t="s">
        <v>55</v>
      </c>
      <c r="I4473" t="s">
        <v>116</v>
      </c>
      <c r="J4473" t="s">
        <v>132</v>
      </c>
      <c r="K4473" t="s">
        <v>78</v>
      </c>
      <c r="L4473" t="s">
        <v>46</v>
      </c>
      <c r="M4473" t="s">
        <v>34</v>
      </c>
      <c r="N4473" t="s">
        <v>48</v>
      </c>
      <c r="O4473" t="s">
        <v>70</v>
      </c>
      <c r="P4473" t="s">
        <v>58</v>
      </c>
      <c r="Q4473" t="s">
        <v>50</v>
      </c>
      <c r="R4473">
        <v>381</v>
      </c>
      <c r="S4473">
        <v>164</v>
      </c>
      <c r="T4473">
        <v>110</v>
      </c>
      <c r="U4473">
        <v>34</v>
      </c>
      <c r="V4473" t="s">
        <v>7498</v>
      </c>
      <c r="W4473">
        <v>26013</v>
      </c>
      <c r="X4473" t="s">
        <v>548</v>
      </c>
      <c r="Y4473">
        <v>23741</v>
      </c>
      <c r="Z4473">
        <v>884442</v>
      </c>
      <c r="AA4473">
        <v>77248</v>
      </c>
      <c r="AB4473" t="str">
        <f>(VLOOKUP(SalesData[[#This Row],[Month Number]],Reference!C$5:E$16,2,FALSE))</f>
        <v>Feb</v>
      </c>
      <c r="AC4473">
        <f>MONTH(SalesData[[#This Row],[Date]])</f>
        <v>2</v>
      </c>
      <c r="AD4473">
        <f>Reference!F$4</f>
        <v>2026</v>
      </c>
      <c r="AE4473" t="str">
        <f>IF(OR(SalesData[[#This Row],[Day]]="Saturday",SalesData[[#This Row],[Day]]="Sunday"),"Weekend","Weekday")</f>
        <v>Weekday</v>
      </c>
      <c r="AF4473" s="5">
        <f>IF(SalesData[[#This Row],[Contracts Offered]]=0,0,SalesData[[#This Row],[Contracts Signed]]/SalesData[[#This Row],[Contracts Offered]])</f>
        <v>0.30909090909090908</v>
      </c>
      <c r="AG4473" s="5">
        <f>IF(SalesData[[#This Row],[Customers Visited]]=0,0,SalesData[[#This Row],[Test Drives]]/SalesData[[#This Row],[Customers Visited]])</f>
        <v>0.43044619422572178</v>
      </c>
      <c r="AH4473" s="5">
        <f>IF(SalesData[[#This Row],[Customers Visited]]=0,0,SalesData[[#This Row],[Contracts Signed]]/SalesData[[#This Row],[Customers Visited]])</f>
        <v>8.9238845144356954E-2</v>
      </c>
      <c r="AI4473" s="6">
        <f>IF(SalesData[[#This Row],[Contracts Signed]]=0,0,SalesData[[#This Row],[Profit(€)]]/SalesData[[#This Row],[Contracts Signed]])</f>
        <v>2272</v>
      </c>
      <c r="AJ4473" s="5" t="str">
        <f>TRIM(CLEAN(SalesData[[#This Row],[Retailer]]))</f>
        <v>Autohaus Berlin</v>
      </c>
    </row>
    <row r="4474" spans="1:36" ht="14.25" x14ac:dyDescent="0.2">
      <c r="A4474" t="s">
        <v>5742</v>
      </c>
      <c r="B4474" s="1">
        <v>46065</v>
      </c>
      <c r="C4474" t="s">
        <v>121</v>
      </c>
      <c r="D4474" t="s">
        <v>100</v>
      </c>
      <c r="E4474" t="s">
        <v>26</v>
      </c>
      <c r="F4474" t="s">
        <v>83</v>
      </c>
      <c r="G4474" t="s">
        <v>84</v>
      </c>
      <c r="H4474" t="s">
        <v>85</v>
      </c>
      <c r="I4474" t="s">
        <v>30</v>
      </c>
      <c r="J4474" t="s">
        <v>166</v>
      </c>
      <c r="K4474" t="s">
        <v>32</v>
      </c>
      <c r="L4474" t="s">
        <v>46</v>
      </c>
      <c r="M4474" t="s">
        <v>68</v>
      </c>
      <c r="N4474" t="s">
        <v>35</v>
      </c>
      <c r="O4474" t="s">
        <v>36</v>
      </c>
      <c r="P4474" t="s">
        <v>58</v>
      </c>
      <c r="Q4474" t="s">
        <v>38</v>
      </c>
      <c r="R4474">
        <v>193</v>
      </c>
      <c r="S4474">
        <v>117</v>
      </c>
      <c r="T4474">
        <v>93</v>
      </c>
      <c r="U4474">
        <v>37</v>
      </c>
      <c r="V4474" t="s">
        <v>7635</v>
      </c>
      <c r="W4474">
        <v>64664</v>
      </c>
      <c r="X4474" t="s">
        <v>7269</v>
      </c>
      <c r="Y4474">
        <v>46686</v>
      </c>
      <c r="Z4474">
        <v>2392568</v>
      </c>
      <c r="AA4474">
        <v>665186</v>
      </c>
      <c r="AB4474" t="str">
        <f>(VLOOKUP(SalesData[[#This Row],[Month Number]],Reference!C$5:E$16,2,FALSE))</f>
        <v>Feb</v>
      </c>
      <c r="AC4474">
        <f>MONTH(SalesData[[#This Row],[Date]])</f>
        <v>2</v>
      </c>
      <c r="AD4474">
        <f>Reference!F$4</f>
        <v>2026</v>
      </c>
      <c r="AE4474" t="str">
        <f>IF(OR(SalesData[[#This Row],[Day]]="Saturday",SalesData[[#This Row],[Day]]="Sunday"),"Weekend","Weekday")</f>
        <v>Weekday</v>
      </c>
      <c r="AF4474" s="5">
        <f>IF(SalesData[[#This Row],[Contracts Offered]]=0,0,SalesData[[#This Row],[Contracts Signed]]/SalesData[[#This Row],[Contracts Offered]])</f>
        <v>0.39784946236559138</v>
      </c>
      <c r="AG4474" s="5">
        <f>IF(SalesData[[#This Row],[Customers Visited]]=0,0,SalesData[[#This Row],[Test Drives]]/SalesData[[#This Row],[Customers Visited]])</f>
        <v>0.60621761658031093</v>
      </c>
      <c r="AH4474" s="5">
        <f>IF(SalesData[[#This Row],[Customers Visited]]=0,0,SalesData[[#This Row],[Contracts Signed]]/SalesData[[#This Row],[Customers Visited]])</f>
        <v>0.19170984455958548</v>
      </c>
      <c r="AI4474" s="6">
        <f>IF(SalesData[[#This Row],[Contracts Signed]]=0,0,SalesData[[#This Row],[Profit(€)]]/SalesData[[#This Row],[Contracts Signed]])</f>
        <v>17978</v>
      </c>
      <c r="AJ4474" s="5" t="str">
        <f>TRIM(CLEAN(SalesData[[#This Row],[Retailer]]))</f>
        <v>Hannover Cars</v>
      </c>
    </row>
    <row r="4475" spans="1:36" ht="14.25" hidden="1" x14ac:dyDescent="0.2">
      <c r="A4475" t="s">
        <v>5743</v>
      </c>
      <c r="B4475" s="1">
        <v>46077</v>
      </c>
      <c r="C4475" t="s">
        <v>53</v>
      </c>
      <c r="D4475" t="s">
        <v>63</v>
      </c>
      <c r="E4475" t="s">
        <v>26</v>
      </c>
      <c r="F4475" t="s">
        <v>7649</v>
      </c>
      <c r="G4475" t="s">
        <v>55</v>
      </c>
      <c r="H4475" t="s">
        <v>55</v>
      </c>
      <c r="I4475" t="s">
        <v>56</v>
      </c>
      <c r="J4475" t="s">
        <v>137</v>
      </c>
      <c r="K4475" t="s">
        <v>91</v>
      </c>
      <c r="L4475" t="s">
        <v>46</v>
      </c>
      <c r="M4475" t="s">
        <v>47</v>
      </c>
      <c r="N4475" t="s">
        <v>35</v>
      </c>
      <c r="O4475" t="s">
        <v>70</v>
      </c>
      <c r="P4475" t="s">
        <v>71</v>
      </c>
      <c r="Q4475" t="s">
        <v>118</v>
      </c>
      <c r="R4475">
        <v>295</v>
      </c>
      <c r="S4475">
        <v>179</v>
      </c>
      <c r="T4475">
        <v>122</v>
      </c>
      <c r="U4475">
        <v>43</v>
      </c>
      <c r="V4475" t="s">
        <v>6811</v>
      </c>
      <c r="W4475">
        <v>45394</v>
      </c>
      <c r="X4475" t="s">
        <v>7087</v>
      </c>
      <c r="Y4475">
        <v>36623</v>
      </c>
      <c r="Z4475">
        <v>1951942</v>
      </c>
      <c r="AA4475">
        <v>377153</v>
      </c>
      <c r="AB4475" t="str">
        <f>(VLOOKUP(SalesData[[#This Row],[Month Number]],Reference!C$5:E$16,2,FALSE))</f>
        <v>Feb</v>
      </c>
      <c r="AC4475">
        <f>MONTH(SalesData[[#This Row],[Date]])</f>
        <v>2</v>
      </c>
      <c r="AD4475">
        <f>Reference!F$4</f>
        <v>2026</v>
      </c>
      <c r="AE4475" t="str">
        <f>IF(OR(SalesData[[#This Row],[Day]]="Saturday",SalesData[[#This Row],[Day]]="Sunday"),"Weekend","Weekday")</f>
        <v>Weekday</v>
      </c>
      <c r="AF4475" s="5">
        <f>IF(SalesData[[#This Row],[Contracts Offered]]=0,0,SalesData[[#This Row],[Contracts Signed]]/SalesData[[#This Row],[Contracts Offered]])</f>
        <v>0.35245901639344263</v>
      </c>
      <c r="AG4475" s="5">
        <f>IF(SalesData[[#This Row],[Customers Visited]]=0,0,SalesData[[#This Row],[Test Drives]]/SalesData[[#This Row],[Customers Visited]])</f>
        <v>0.60677966101694913</v>
      </c>
      <c r="AH4475" s="5">
        <f>IF(SalesData[[#This Row],[Customers Visited]]=0,0,SalesData[[#This Row],[Contracts Signed]]/SalesData[[#This Row],[Customers Visited]])</f>
        <v>0.14576271186440679</v>
      </c>
      <c r="AI4475" s="6">
        <f>IF(SalesData[[#This Row],[Contracts Signed]]=0,0,SalesData[[#This Row],[Profit(€)]]/SalesData[[#This Row],[Contracts Signed]])</f>
        <v>8771</v>
      </c>
      <c r="AJ4475" s="5" t="str">
        <f>TRIM(CLEAN(SalesData[[#This Row],[Retailer]]))</f>
        <v>Autohaus Berlin</v>
      </c>
    </row>
    <row r="4476" spans="1:36" ht="14.25" x14ac:dyDescent="0.2">
      <c r="A4476" t="s">
        <v>5744</v>
      </c>
      <c r="B4476" s="1">
        <v>46059</v>
      </c>
      <c r="C4476" t="s">
        <v>24</v>
      </c>
      <c r="D4476" t="s">
        <v>54</v>
      </c>
      <c r="E4476" t="s">
        <v>26</v>
      </c>
      <c r="F4476" t="s">
        <v>7649</v>
      </c>
      <c r="G4476" t="s">
        <v>55</v>
      </c>
      <c r="H4476" t="s">
        <v>55</v>
      </c>
      <c r="I4476" t="s">
        <v>30</v>
      </c>
      <c r="J4476" t="s">
        <v>31</v>
      </c>
      <c r="K4476" t="s">
        <v>91</v>
      </c>
      <c r="L4476" t="s">
        <v>46</v>
      </c>
      <c r="M4476" t="s">
        <v>68</v>
      </c>
      <c r="N4476" t="s">
        <v>48</v>
      </c>
      <c r="O4476" t="s">
        <v>36</v>
      </c>
      <c r="P4476" t="s">
        <v>37</v>
      </c>
      <c r="Q4476" t="s">
        <v>122</v>
      </c>
      <c r="R4476">
        <v>168</v>
      </c>
      <c r="S4476">
        <v>78</v>
      </c>
      <c r="T4476">
        <v>53</v>
      </c>
      <c r="U4476">
        <v>21</v>
      </c>
      <c r="V4476" t="s">
        <v>6476</v>
      </c>
      <c r="W4476">
        <v>65683</v>
      </c>
      <c r="X4476" t="s">
        <v>7497</v>
      </c>
      <c r="Y4476">
        <v>50926</v>
      </c>
      <c r="Z4476">
        <v>1379343</v>
      </c>
      <c r="AA4476">
        <v>309897</v>
      </c>
      <c r="AB4476" t="str">
        <f>(VLOOKUP(SalesData[[#This Row],[Month Number]],Reference!C$5:E$16,2,FALSE))</f>
        <v>Feb</v>
      </c>
      <c r="AC4476">
        <f>MONTH(SalesData[[#This Row],[Date]])</f>
        <v>2</v>
      </c>
      <c r="AD4476">
        <f>Reference!F$4</f>
        <v>2026</v>
      </c>
      <c r="AE4476" t="str">
        <f>IF(OR(SalesData[[#This Row],[Day]]="Saturday",SalesData[[#This Row],[Day]]="Sunday"),"Weekend","Weekday")</f>
        <v>Weekday</v>
      </c>
      <c r="AF4476" s="5">
        <f>IF(SalesData[[#This Row],[Contracts Offered]]=0,0,SalesData[[#This Row],[Contracts Signed]]/SalesData[[#This Row],[Contracts Offered]])</f>
        <v>0.39622641509433965</v>
      </c>
      <c r="AG4476" s="5">
        <f>IF(SalesData[[#This Row],[Customers Visited]]=0,0,SalesData[[#This Row],[Test Drives]]/SalesData[[#This Row],[Customers Visited]])</f>
        <v>0.4642857142857143</v>
      </c>
      <c r="AH4476" s="5">
        <f>IF(SalesData[[#This Row],[Customers Visited]]=0,0,SalesData[[#This Row],[Contracts Signed]]/SalesData[[#This Row],[Customers Visited]])</f>
        <v>0.125</v>
      </c>
      <c r="AI4476" s="6">
        <f>IF(SalesData[[#This Row],[Contracts Signed]]=0,0,SalesData[[#This Row],[Profit(€)]]/SalesData[[#This Row],[Contracts Signed]])</f>
        <v>14757</v>
      </c>
      <c r="AJ4476" s="5" t="str">
        <f>TRIM(CLEAN(SalesData[[#This Row],[Retailer]]))</f>
        <v>Autohaus Berlin</v>
      </c>
    </row>
    <row r="4477" spans="1:36" ht="14.25" hidden="1" x14ac:dyDescent="0.2">
      <c r="A4477" t="s">
        <v>5745</v>
      </c>
      <c r="B4477" s="1">
        <v>46078</v>
      </c>
      <c r="C4477" t="s">
        <v>53</v>
      </c>
      <c r="D4477" t="s">
        <v>82</v>
      </c>
      <c r="E4477" t="s">
        <v>26</v>
      </c>
      <c r="F4477" t="s">
        <v>83</v>
      </c>
      <c r="G4477" t="s">
        <v>84</v>
      </c>
      <c r="H4477" t="s">
        <v>85</v>
      </c>
      <c r="I4477" t="s">
        <v>56</v>
      </c>
      <c r="J4477" t="s">
        <v>137</v>
      </c>
      <c r="K4477" t="s">
        <v>78</v>
      </c>
      <c r="L4477" t="s">
        <v>46</v>
      </c>
      <c r="M4477" t="s">
        <v>34</v>
      </c>
      <c r="N4477" t="s">
        <v>48</v>
      </c>
      <c r="O4477" t="s">
        <v>36</v>
      </c>
      <c r="P4477" t="s">
        <v>49</v>
      </c>
      <c r="Q4477" t="s">
        <v>79</v>
      </c>
      <c r="R4477">
        <v>248</v>
      </c>
      <c r="S4477">
        <v>154</v>
      </c>
      <c r="T4477">
        <v>99</v>
      </c>
      <c r="U4477">
        <v>30</v>
      </c>
      <c r="V4477" t="s">
        <v>2484</v>
      </c>
      <c r="W4477">
        <v>55447</v>
      </c>
      <c r="X4477" t="s">
        <v>7330</v>
      </c>
      <c r="Y4477">
        <v>43230</v>
      </c>
      <c r="Z4477">
        <v>1663410</v>
      </c>
      <c r="AA4477">
        <v>366510</v>
      </c>
      <c r="AB4477" t="str">
        <f>(VLOOKUP(SalesData[[#This Row],[Month Number]],Reference!C$5:E$16,2,FALSE))</f>
        <v>Feb</v>
      </c>
      <c r="AC4477">
        <f>MONTH(SalesData[[#This Row],[Date]])</f>
        <v>2</v>
      </c>
      <c r="AD4477">
        <f>Reference!F$4</f>
        <v>2026</v>
      </c>
      <c r="AE4477" t="str">
        <f>IF(OR(SalesData[[#This Row],[Day]]="Saturday",SalesData[[#This Row],[Day]]="Sunday"),"Weekend","Weekday")</f>
        <v>Weekday</v>
      </c>
      <c r="AF4477" s="5">
        <f>IF(SalesData[[#This Row],[Contracts Offered]]=0,0,SalesData[[#This Row],[Contracts Signed]]/SalesData[[#This Row],[Contracts Offered]])</f>
        <v>0.30303030303030304</v>
      </c>
      <c r="AG4477" s="5">
        <f>IF(SalesData[[#This Row],[Customers Visited]]=0,0,SalesData[[#This Row],[Test Drives]]/SalesData[[#This Row],[Customers Visited]])</f>
        <v>0.62096774193548387</v>
      </c>
      <c r="AH4477" s="5">
        <f>IF(SalesData[[#This Row],[Customers Visited]]=0,0,SalesData[[#This Row],[Contracts Signed]]/SalesData[[#This Row],[Customers Visited]])</f>
        <v>0.12096774193548387</v>
      </c>
      <c r="AI4477" s="6">
        <f>IF(SalesData[[#This Row],[Contracts Signed]]=0,0,SalesData[[#This Row],[Profit(€)]]/SalesData[[#This Row],[Contracts Signed]])</f>
        <v>12217</v>
      </c>
      <c r="AJ4477" s="5" t="str">
        <f>TRIM(CLEAN(SalesData[[#This Row],[Retailer]]))</f>
        <v>Hannover Cars</v>
      </c>
    </row>
    <row r="4478" spans="1:36" ht="14.25" x14ac:dyDescent="0.2">
      <c r="A4478" t="s">
        <v>5746</v>
      </c>
      <c r="B4478" s="1">
        <v>46078</v>
      </c>
      <c r="C4478" t="s">
        <v>53</v>
      </c>
      <c r="D4478" t="s">
        <v>82</v>
      </c>
      <c r="E4478" t="s">
        <v>26</v>
      </c>
      <c r="F4478" t="s">
        <v>127</v>
      </c>
      <c r="G4478" t="s">
        <v>128</v>
      </c>
      <c r="H4478" t="s">
        <v>103</v>
      </c>
      <c r="I4478" t="s">
        <v>30</v>
      </c>
      <c r="J4478" t="s">
        <v>188</v>
      </c>
      <c r="K4478" t="s">
        <v>32</v>
      </c>
      <c r="L4478" t="s">
        <v>33</v>
      </c>
      <c r="M4478" t="s">
        <v>34</v>
      </c>
      <c r="N4478" t="s">
        <v>48</v>
      </c>
      <c r="O4478" t="s">
        <v>36</v>
      </c>
      <c r="P4478" t="s">
        <v>49</v>
      </c>
      <c r="Q4478" t="s">
        <v>79</v>
      </c>
      <c r="R4478">
        <v>151</v>
      </c>
      <c r="S4478">
        <v>80</v>
      </c>
      <c r="T4478">
        <v>64</v>
      </c>
      <c r="U4478">
        <v>21</v>
      </c>
      <c r="V4478" t="s">
        <v>6824</v>
      </c>
      <c r="W4478">
        <v>50357</v>
      </c>
      <c r="X4478" t="s">
        <v>5878</v>
      </c>
      <c r="Y4478">
        <v>35600</v>
      </c>
      <c r="Z4478">
        <v>1057497</v>
      </c>
      <c r="AA4478">
        <v>309897</v>
      </c>
      <c r="AB4478" t="str">
        <f>(VLOOKUP(SalesData[[#This Row],[Month Number]],Reference!C$5:E$16,2,FALSE))</f>
        <v>Feb</v>
      </c>
      <c r="AC4478">
        <f>MONTH(SalesData[[#This Row],[Date]])</f>
        <v>2</v>
      </c>
      <c r="AD4478">
        <f>Reference!F$4</f>
        <v>2026</v>
      </c>
      <c r="AE4478" t="str">
        <f>IF(OR(SalesData[[#This Row],[Day]]="Saturday",SalesData[[#This Row],[Day]]="Sunday"),"Weekend","Weekday")</f>
        <v>Weekday</v>
      </c>
      <c r="AF4478" s="5">
        <f>IF(SalesData[[#This Row],[Contracts Offered]]=0,0,SalesData[[#This Row],[Contracts Signed]]/SalesData[[#This Row],[Contracts Offered]])</f>
        <v>0.328125</v>
      </c>
      <c r="AG4478" s="5">
        <f>IF(SalesData[[#This Row],[Customers Visited]]=0,0,SalesData[[#This Row],[Test Drives]]/SalesData[[#This Row],[Customers Visited]])</f>
        <v>0.5298013245033113</v>
      </c>
      <c r="AH4478" s="5">
        <f>IF(SalesData[[#This Row],[Customers Visited]]=0,0,SalesData[[#This Row],[Contracts Signed]]/SalesData[[#This Row],[Customers Visited]])</f>
        <v>0.13907284768211919</v>
      </c>
      <c r="AI4478" s="6">
        <f>IF(SalesData[[#This Row],[Contracts Signed]]=0,0,SalesData[[#This Row],[Profit(€)]]/SalesData[[#This Row],[Contracts Signed]])</f>
        <v>14757</v>
      </c>
      <c r="AJ4478" s="5" t="str">
        <f>TRIM(CLEAN(SalesData[[#This Row],[Retailer]]))</f>
        <v>Rhein Auto Group</v>
      </c>
    </row>
    <row r="4479" spans="1:36" ht="14.25" x14ac:dyDescent="0.2">
      <c r="A4479" t="s">
        <v>5747</v>
      </c>
      <c r="B4479" s="1">
        <v>46072</v>
      </c>
      <c r="C4479" t="s">
        <v>62</v>
      </c>
      <c r="D4479" t="s">
        <v>100</v>
      </c>
      <c r="E4479" t="s">
        <v>26</v>
      </c>
      <c r="F4479" t="s">
        <v>27</v>
      </c>
      <c r="G4479" t="s">
        <v>28</v>
      </c>
      <c r="H4479" t="s">
        <v>29</v>
      </c>
      <c r="I4479" t="s">
        <v>30</v>
      </c>
      <c r="J4479" t="s">
        <v>86</v>
      </c>
      <c r="K4479" t="s">
        <v>32</v>
      </c>
      <c r="L4479" t="s">
        <v>33</v>
      </c>
      <c r="M4479" t="s">
        <v>87</v>
      </c>
      <c r="N4479" t="s">
        <v>69</v>
      </c>
      <c r="O4479" t="s">
        <v>36</v>
      </c>
      <c r="P4479" t="s">
        <v>49</v>
      </c>
      <c r="Q4479" t="s">
        <v>106</v>
      </c>
      <c r="R4479">
        <v>152</v>
      </c>
      <c r="S4479">
        <v>85</v>
      </c>
      <c r="T4479">
        <v>67</v>
      </c>
      <c r="U4479">
        <v>24</v>
      </c>
      <c r="V4479" t="s">
        <v>6836</v>
      </c>
      <c r="W4479">
        <v>66927</v>
      </c>
      <c r="X4479" t="s">
        <v>7283</v>
      </c>
      <c r="Y4479">
        <v>47468</v>
      </c>
      <c r="Z4479">
        <v>1606248</v>
      </c>
      <c r="AA4479">
        <v>467016</v>
      </c>
      <c r="AB4479" t="str">
        <f>(VLOOKUP(SalesData[[#This Row],[Month Number]],Reference!C$5:E$16,2,FALSE))</f>
        <v>Feb</v>
      </c>
      <c r="AC4479">
        <f>MONTH(SalesData[[#This Row],[Date]])</f>
        <v>2</v>
      </c>
      <c r="AD4479">
        <f>Reference!F$4</f>
        <v>2026</v>
      </c>
      <c r="AE4479" t="str">
        <f>IF(OR(SalesData[[#This Row],[Day]]="Saturday",SalesData[[#This Row],[Day]]="Sunday"),"Weekend","Weekday")</f>
        <v>Weekday</v>
      </c>
      <c r="AF4479" s="5">
        <f>IF(SalesData[[#This Row],[Contracts Offered]]=0,0,SalesData[[#This Row],[Contracts Signed]]/SalesData[[#This Row],[Contracts Offered]])</f>
        <v>0.35820895522388058</v>
      </c>
      <c r="AG4479" s="5">
        <f>IF(SalesData[[#This Row],[Customers Visited]]=0,0,SalesData[[#This Row],[Test Drives]]/SalesData[[#This Row],[Customers Visited]])</f>
        <v>0.55921052631578949</v>
      </c>
      <c r="AH4479" s="5">
        <f>IF(SalesData[[#This Row],[Customers Visited]]=0,0,SalesData[[#This Row],[Contracts Signed]]/SalesData[[#This Row],[Customers Visited]])</f>
        <v>0.15789473684210525</v>
      </c>
      <c r="AI4479" s="6">
        <f>IF(SalesData[[#This Row],[Contracts Signed]]=0,0,SalesData[[#This Row],[Profit(€)]]/SalesData[[#This Row],[Contracts Signed]])</f>
        <v>19459</v>
      </c>
      <c r="AJ4479" s="5" t="str">
        <f>TRIM(CLEAN(SalesData[[#This Row],[Retailer]]))</f>
        <v>Main Auto Hub</v>
      </c>
    </row>
    <row r="4480" spans="1:36" ht="14.25" x14ac:dyDescent="0.2">
      <c r="A4480" t="s">
        <v>5748</v>
      </c>
      <c r="B4480" s="1">
        <v>46060</v>
      </c>
      <c r="C4480" t="s">
        <v>24</v>
      </c>
      <c r="D4480" t="s">
        <v>151</v>
      </c>
      <c r="E4480" t="s">
        <v>42</v>
      </c>
      <c r="F4480" t="s">
        <v>7649</v>
      </c>
      <c r="G4480" t="s">
        <v>55</v>
      </c>
      <c r="H4480" t="s">
        <v>55</v>
      </c>
      <c r="I4480" t="s">
        <v>30</v>
      </c>
      <c r="J4480" t="s">
        <v>166</v>
      </c>
      <c r="K4480" t="s">
        <v>91</v>
      </c>
      <c r="L4480" t="s">
        <v>46</v>
      </c>
      <c r="M4480" t="s">
        <v>68</v>
      </c>
      <c r="N4480" t="s">
        <v>35</v>
      </c>
      <c r="O4480" t="s">
        <v>36</v>
      </c>
      <c r="P4480" t="s">
        <v>49</v>
      </c>
      <c r="Q4480" t="s">
        <v>189</v>
      </c>
      <c r="R4480">
        <v>159</v>
      </c>
      <c r="S4480">
        <v>83</v>
      </c>
      <c r="T4480">
        <v>61</v>
      </c>
      <c r="U4480">
        <v>24</v>
      </c>
      <c r="V4480" t="s">
        <v>7006</v>
      </c>
      <c r="W4480">
        <v>50239</v>
      </c>
      <c r="X4480" t="s">
        <v>500</v>
      </c>
      <c r="Y4480">
        <v>38379</v>
      </c>
      <c r="Z4480">
        <v>1205736</v>
      </c>
      <c r="AA4480">
        <v>284640</v>
      </c>
      <c r="AB4480" t="str">
        <f>(VLOOKUP(SalesData[[#This Row],[Month Number]],Reference!C$5:E$16,2,FALSE))</f>
        <v>Feb</v>
      </c>
      <c r="AC4480">
        <f>MONTH(SalesData[[#This Row],[Date]])</f>
        <v>2</v>
      </c>
      <c r="AD4480">
        <f>Reference!F$4</f>
        <v>2026</v>
      </c>
      <c r="AE4480" t="str">
        <f>IF(OR(SalesData[[#This Row],[Day]]="Saturday",SalesData[[#This Row],[Day]]="Sunday"),"Weekend","Weekday")</f>
        <v>Weekend</v>
      </c>
      <c r="AF4480" s="5">
        <f>IF(SalesData[[#This Row],[Contracts Offered]]=0,0,SalesData[[#This Row],[Contracts Signed]]/SalesData[[#This Row],[Contracts Offered]])</f>
        <v>0.39344262295081966</v>
      </c>
      <c r="AG4480" s="5">
        <f>IF(SalesData[[#This Row],[Customers Visited]]=0,0,SalesData[[#This Row],[Test Drives]]/SalesData[[#This Row],[Customers Visited]])</f>
        <v>0.5220125786163522</v>
      </c>
      <c r="AH4480" s="5">
        <f>IF(SalesData[[#This Row],[Customers Visited]]=0,0,SalesData[[#This Row],[Contracts Signed]]/SalesData[[#This Row],[Customers Visited]])</f>
        <v>0.15094339622641509</v>
      </c>
      <c r="AI4480" s="6">
        <f>IF(SalesData[[#This Row],[Contracts Signed]]=0,0,SalesData[[#This Row],[Profit(€)]]/SalesData[[#This Row],[Contracts Signed]])</f>
        <v>11860</v>
      </c>
      <c r="AJ4480" s="5" t="str">
        <f>TRIM(CLEAN(SalesData[[#This Row],[Retailer]]))</f>
        <v>Autohaus Berlin</v>
      </c>
    </row>
    <row r="4481" spans="1:36" ht="14.25" x14ac:dyDescent="0.2">
      <c r="A4481" t="s">
        <v>5749</v>
      </c>
      <c r="B4481" s="1">
        <v>46064</v>
      </c>
      <c r="C4481" t="s">
        <v>121</v>
      </c>
      <c r="D4481" t="s">
        <v>82</v>
      </c>
      <c r="E4481" t="s">
        <v>26</v>
      </c>
      <c r="F4481" t="s">
        <v>74</v>
      </c>
      <c r="G4481" t="s">
        <v>75</v>
      </c>
      <c r="H4481" t="s">
        <v>76</v>
      </c>
      <c r="I4481" t="s">
        <v>30</v>
      </c>
      <c r="J4481" t="s">
        <v>31</v>
      </c>
      <c r="K4481" t="s">
        <v>66</v>
      </c>
      <c r="L4481" t="s">
        <v>46</v>
      </c>
      <c r="M4481" t="s">
        <v>68</v>
      </c>
      <c r="N4481" t="s">
        <v>48</v>
      </c>
      <c r="O4481" t="s">
        <v>36</v>
      </c>
      <c r="P4481" t="s">
        <v>37</v>
      </c>
      <c r="Q4481" t="s">
        <v>240</v>
      </c>
      <c r="R4481">
        <v>149</v>
      </c>
      <c r="S4481">
        <v>77</v>
      </c>
      <c r="T4481">
        <v>55</v>
      </c>
      <c r="U4481">
        <v>20</v>
      </c>
      <c r="V4481" t="s">
        <v>6398</v>
      </c>
      <c r="W4481">
        <v>62513</v>
      </c>
      <c r="X4481" t="s">
        <v>7269</v>
      </c>
      <c r="Y4481">
        <v>45754</v>
      </c>
      <c r="Z4481">
        <v>1250260</v>
      </c>
      <c r="AA4481">
        <v>335180</v>
      </c>
      <c r="AB4481" t="str">
        <f>(VLOOKUP(SalesData[[#This Row],[Month Number]],Reference!C$5:E$16,2,FALSE))</f>
        <v>Feb</v>
      </c>
      <c r="AC4481">
        <f>MONTH(SalesData[[#This Row],[Date]])</f>
        <v>2</v>
      </c>
      <c r="AD4481">
        <f>Reference!F$4</f>
        <v>2026</v>
      </c>
      <c r="AE4481" t="str">
        <f>IF(OR(SalesData[[#This Row],[Day]]="Saturday",SalesData[[#This Row],[Day]]="Sunday"),"Weekend","Weekday")</f>
        <v>Weekday</v>
      </c>
      <c r="AF4481" s="5">
        <f>IF(SalesData[[#This Row],[Contracts Offered]]=0,0,SalesData[[#This Row],[Contracts Signed]]/SalesData[[#This Row],[Contracts Offered]])</f>
        <v>0.36363636363636365</v>
      </c>
      <c r="AG4481" s="5">
        <f>IF(SalesData[[#This Row],[Customers Visited]]=0,0,SalesData[[#This Row],[Test Drives]]/SalesData[[#This Row],[Customers Visited]])</f>
        <v>0.51677852348993292</v>
      </c>
      <c r="AH4481" s="5">
        <f>IF(SalesData[[#This Row],[Customers Visited]]=0,0,SalesData[[#This Row],[Contracts Signed]]/SalesData[[#This Row],[Customers Visited]])</f>
        <v>0.13422818791946309</v>
      </c>
      <c r="AI4481" s="6">
        <f>IF(SalesData[[#This Row],[Contracts Signed]]=0,0,SalesData[[#This Row],[Profit(€)]]/SalesData[[#This Row],[Contracts Signed]])</f>
        <v>16759</v>
      </c>
      <c r="AJ4481" s="5" t="str">
        <f>TRIM(CLEAN(SalesData[[#This Row],[Retailer]]))</f>
        <v>Stuttgart Auto Center</v>
      </c>
    </row>
    <row r="4482" spans="1:36" ht="14.25" hidden="1" x14ac:dyDescent="0.2">
      <c r="A4482" t="s">
        <v>5750</v>
      </c>
      <c r="B4482" s="1">
        <v>46077</v>
      </c>
      <c r="C4482" t="s">
        <v>53</v>
      </c>
      <c r="D4482" t="s">
        <v>63</v>
      </c>
      <c r="E4482" t="s">
        <v>26</v>
      </c>
      <c r="F4482" t="s">
        <v>27</v>
      </c>
      <c r="G4482" t="s">
        <v>28</v>
      </c>
      <c r="H4482" t="s">
        <v>29</v>
      </c>
      <c r="I4482" t="s">
        <v>104</v>
      </c>
      <c r="J4482" t="s">
        <v>105</v>
      </c>
      <c r="K4482" t="s">
        <v>78</v>
      </c>
      <c r="L4482" t="s">
        <v>33</v>
      </c>
      <c r="M4482" t="s">
        <v>87</v>
      </c>
      <c r="N4482" t="s">
        <v>48</v>
      </c>
      <c r="O4482" t="s">
        <v>36</v>
      </c>
      <c r="P4482" t="s">
        <v>49</v>
      </c>
      <c r="Q4482" t="s">
        <v>122</v>
      </c>
      <c r="R4482">
        <v>419</v>
      </c>
      <c r="S4482">
        <v>195</v>
      </c>
      <c r="T4482">
        <v>120</v>
      </c>
      <c r="U4482">
        <v>25</v>
      </c>
      <c r="V4482" t="s">
        <v>889</v>
      </c>
      <c r="W4482">
        <v>31385</v>
      </c>
      <c r="X4482" t="s">
        <v>4276</v>
      </c>
      <c r="Y4482">
        <v>27182</v>
      </c>
      <c r="Z4482">
        <v>784625</v>
      </c>
      <c r="AA4482">
        <v>105075</v>
      </c>
      <c r="AB4482" t="str">
        <f>(VLOOKUP(SalesData[[#This Row],[Month Number]],Reference!C$5:E$16,2,FALSE))</f>
        <v>Feb</v>
      </c>
      <c r="AC4482">
        <f>MONTH(SalesData[[#This Row],[Date]])</f>
        <v>2</v>
      </c>
      <c r="AD4482">
        <f>Reference!F$4</f>
        <v>2026</v>
      </c>
      <c r="AE4482" t="str">
        <f>IF(OR(SalesData[[#This Row],[Day]]="Saturday",SalesData[[#This Row],[Day]]="Sunday"),"Weekend","Weekday")</f>
        <v>Weekday</v>
      </c>
      <c r="AF4482" s="5">
        <f>IF(SalesData[[#This Row],[Contracts Offered]]=0,0,SalesData[[#This Row],[Contracts Signed]]/SalesData[[#This Row],[Contracts Offered]])</f>
        <v>0.20833333333333334</v>
      </c>
      <c r="AG4482" s="5">
        <f>IF(SalesData[[#This Row],[Customers Visited]]=0,0,SalesData[[#This Row],[Test Drives]]/SalesData[[#This Row],[Customers Visited]])</f>
        <v>0.46539379474940334</v>
      </c>
      <c r="AH4482" s="5">
        <f>IF(SalesData[[#This Row],[Customers Visited]]=0,0,SalesData[[#This Row],[Contracts Signed]]/SalesData[[#This Row],[Customers Visited]])</f>
        <v>5.9665871121718374E-2</v>
      </c>
      <c r="AI4482" s="6">
        <f>IF(SalesData[[#This Row],[Contracts Signed]]=0,0,SalesData[[#This Row],[Profit(€)]]/SalesData[[#This Row],[Contracts Signed]])</f>
        <v>4203</v>
      </c>
      <c r="AJ4482" s="5" t="str">
        <f>TRIM(CLEAN(SalesData[[#This Row],[Retailer]]))</f>
        <v>Main Auto Hub</v>
      </c>
    </row>
    <row r="4483" spans="1:36" ht="14.25" hidden="1" x14ac:dyDescent="0.2">
      <c r="A4483" t="s">
        <v>5751</v>
      </c>
      <c r="B4483" s="1">
        <v>46080</v>
      </c>
      <c r="C4483" t="s">
        <v>53</v>
      </c>
      <c r="D4483" t="s">
        <v>54</v>
      </c>
      <c r="E4483" t="s">
        <v>26</v>
      </c>
      <c r="F4483" t="s">
        <v>127</v>
      </c>
      <c r="G4483" t="s">
        <v>128</v>
      </c>
      <c r="H4483" t="s">
        <v>103</v>
      </c>
      <c r="I4483" t="s">
        <v>56</v>
      </c>
      <c r="J4483" t="s">
        <v>137</v>
      </c>
      <c r="K4483" t="s">
        <v>91</v>
      </c>
      <c r="L4483" t="s">
        <v>46</v>
      </c>
      <c r="M4483" t="s">
        <v>34</v>
      </c>
      <c r="N4483" t="s">
        <v>69</v>
      </c>
      <c r="O4483" t="s">
        <v>70</v>
      </c>
      <c r="P4483" t="s">
        <v>37</v>
      </c>
      <c r="Q4483" t="s">
        <v>167</v>
      </c>
      <c r="R4483">
        <v>197</v>
      </c>
      <c r="S4483">
        <v>122</v>
      </c>
      <c r="T4483">
        <v>90</v>
      </c>
      <c r="U4483">
        <v>27</v>
      </c>
      <c r="V4483" t="s">
        <v>6631</v>
      </c>
      <c r="W4483">
        <v>52817</v>
      </c>
      <c r="X4483" t="s">
        <v>7111</v>
      </c>
      <c r="Y4483">
        <v>41158</v>
      </c>
      <c r="Z4483">
        <v>1426059</v>
      </c>
      <c r="AA4483">
        <v>314793</v>
      </c>
      <c r="AB4483" t="str">
        <f>(VLOOKUP(SalesData[[#This Row],[Month Number]],Reference!C$5:E$16,2,FALSE))</f>
        <v>Feb</v>
      </c>
      <c r="AC4483">
        <f>MONTH(SalesData[[#This Row],[Date]])</f>
        <v>2</v>
      </c>
      <c r="AD4483">
        <f>Reference!F$4</f>
        <v>2026</v>
      </c>
      <c r="AE4483" t="str">
        <f>IF(OR(SalesData[[#This Row],[Day]]="Saturday",SalesData[[#This Row],[Day]]="Sunday"),"Weekend","Weekday")</f>
        <v>Weekday</v>
      </c>
      <c r="AF4483" s="5">
        <f>IF(SalesData[[#This Row],[Contracts Offered]]=0,0,SalesData[[#This Row],[Contracts Signed]]/SalesData[[#This Row],[Contracts Offered]])</f>
        <v>0.3</v>
      </c>
      <c r="AG4483" s="5">
        <f>IF(SalesData[[#This Row],[Customers Visited]]=0,0,SalesData[[#This Row],[Test Drives]]/SalesData[[#This Row],[Customers Visited]])</f>
        <v>0.61928934010152281</v>
      </c>
      <c r="AH4483" s="5">
        <f>IF(SalesData[[#This Row],[Customers Visited]]=0,0,SalesData[[#This Row],[Contracts Signed]]/SalesData[[#This Row],[Customers Visited]])</f>
        <v>0.13705583756345177</v>
      </c>
      <c r="AI4483" s="6">
        <f>IF(SalesData[[#This Row],[Contracts Signed]]=0,0,SalesData[[#This Row],[Profit(€)]]/SalesData[[#This Row],[Contracts Signed]])</f>
        <v>11659</v>
      </c>
      <c r="AJ4483" s="5" t="str">
        <f>TRIM(CLEAN(SalesData[[#This Row],[Retailer]]))</f>
        <v>Rhein Auto Group</v>
      </c>
    </row>
    <row r="4484" spans="1:36" ht="14.25" x14ac:dyDescent="0.2">
      <c r="A4484" t="s">
        <v>5752</v>
      </c>
      <c r="B4484" s="1">
        <v>46073</v>
      </c>
      <c r="C4484" t="s">
        <v>62</v>
      </c>
      <c r="D4484" t="s">
        <v>54</v>
      </c>
      <c r="E4484" t="s">
        <v>26</v>
      </c>
      <c r="F4484" t="s">
        <v>114</v>
      </c>
      <c r="G4484" t="s">
        <v>115</v>
      </c>
      <c r="H4484" t="s">
        <v>115</v>
      </c>
      <c r="I4484" t="s">
        <v>30</v>
      </c>
      <c r="J4484" t="s">
        <v>86</v>
      </c>
      <c r="K4484" t="s">
        <v>66</v>
      </c>
      <c r="L4484" t="s">
        <v>33</v>
      </c>
      <c r="M4484" t="s">
        <v>87</v>
      </c>
      <c r="N4484" t="s">
        <v>69</v>
      </c>
      <c r="O4484" t="s">
        <v>36</v>
      </c>
      <c r="P4484" t="s">
        <v>58</v>
      </c>
      <c r="Q4484" t="s">
        <v>118</v>
      </c>
      <c r="R4484">
        <v>206</v>
      </c>
      <c r="S4484">
        <v>119</v>
      </c>
      <c r="T4484">
        <v>89</v>
      </c>
      <c r="U4484">
        <v>40</v>
      </c>
      <c r="V4484" t="s">
        <v>7470</v>
      </c>
      <c r="W4484">
        <v>65123</v>
      </c>
      <c r="X4484" t="s">
        <v>2334</v>
      </c>
      <c r="Y4484">
        <v>47285</v>
      </c>
      <c r="Z4484">
        <v>2604920</v>
      </c>
      <c r="AA4484">
        <v>713520</v>
      </c>
      <c r="AB4484" t="str">
        <f>(VLOOKUP(SalesData[[#This Row],[Month Number]],Reference!C$5:E$16,2,FALSE))</f>
        <v>Feb</v>
      </c>
      <c r="AC4484">
        <f>MONTH(SalesData[[#This Row],[Date]])</f>
        <v>2</v>
      </c>
      <c r="AD4484">
        <f>Reference!F$4</f>
        <v>2026</v>
      </c>
      <c r="AE4484" t="str">
        <f>IF(OR(SalesData[[#This Row],[Day]]="Saturday",SalesData[[#This Row],[Day]]="Sunday"),"Weekend","Weekday")</f>
        <v>Weekday</v>
      </c>
      <c r="AF4484" s="5">
        <f>IF(SalesData[[#This Row],[Contracts Offered]]=0,0,SalesData[[#This Row],[Contracts Signed]]/SalesData[[#This Row],[Contracts Offered]])</f>
        <v>0.449438202247191</v>
      </c>
      <c r="AG4484" s="5">
        <f>IF(SalesData[[#This Row],[Customers Visited]]=0,0,SalesData[[#This Row],[Test Drives]]/SalesData[[#This Row],[Customers Visited]])</f>
        <v>0.57766990291262132</v>
      </c>
      <c r="AH4484" s="5">
        <f>IF(SalesData[[#This Row],[Customers Visited]]=0,0,SalesData[[#This Row],[Contracts Signed]]/SalesData[[#This Row],[Customers Visited]])</f>
        <v>0.1941747572815534</v>
      </c>
      <c r="AI4484" s="6">
        <f>IF(SalesData[[#This Row],[Contracts Signed]]=0,0,SalesData[[#This Row],[Profit(€)]]/SalesData[[#This Row],[Contracts Signed]])</f>
        <v>17838</v>
      </c>
      <c r="AJ4484" s="5" t="str">
        <f>TRIM(CLEAN(SalesData[[#This Row],[Retailer]]))</f>
        <v>Elbe Drive</v>
      </c>
    </row>
    <row r="4485" spans="1:36" ht="14.25" hidden="1" x14ac:dyDescent="0.2">
      <c r="A4485" t="s">
        <v>5753</v>
      </c>
      <c r="B4485" s="1">
        <v>46073</v>
      </c>
      <c r="C4485" t="s">
        <v>62</v>
      </c>
      <c r="D4485" t="s">
        <v>54</v>
      </c>
      <c r="E4485" t="s">
        <v>26</v>
      </c>
      <c r="F4485" t="s">
        <v>74</v>
      </c>
      <c r="G4485" t="s">
        <v>75</v>
      </c>
      <c r="H4485" t="s">
        <v>76</v>
      </c>
      <c r="I4485" t="s">
        <v>64</v>
      </c>
      <c r="J4485" t="s">
        <v>65</v>
      </c>
      <c r="K4485" t="s">
        <v>66</v>
      </c>
      <c r="L4485" t="s">
        <v>33</v>
      </c>
      <c r="M4485" t="s">
        <v>47</v>
      </c>
      <c r="N4485" t="s">
        <v>48</v>
      </c>
      <c r="O4485" t="s">
        <v>70</v>
      </c>
      <c r="P4485" t="s">
        <v>71</v>
      </c>
      <c r="Q4485" t="s">
        <v>38</v>
      </c>
      <c r="R4485">
        <v>219</v>
      </c>
      <c r="S4485">
        <v>114</v>
      </c>
      <c r="T4485">
        <v>83</v>
      </c>
      <c r="U4485">
        <v>28</v>
      </c>
      <c r="V4485" t="s">
        <v>6590</v>
      </c>
      <c r="W4485">
        <v>55475</v>
      </c>
      <c r="X4485" t="s">
        <v>7535</v>
      </c>
      <c r="Y4485">
        <v>41898</v>
      </c>
      <c r="Z4485">
        <v>1553300</v>
      </c>
      <c r="AA4485">
        <v>380156</v>
      </c>
      <c r="AB4485" t="str">
        <f>(VLOOKUP(SalesData[[#This Row],[Month Number]],Reference!C$5:E$16,2,FALSE))</f>
        <v>Feb</v>
      </c>
      <c r="AC4485">
        <f>MONTH(SalesData[[#This Row],[Date]])</f>
        <v>2</v>
      </c>
      <c r="AD4485">
        <f>Reference!F$4</f>
        <v>2026</v>
      </c>
      <c r="AE4485" t="str">
        <f>IF(OR(SalesData[[#This Row],[Day]]="Saturday",SalesData[[#This Row],[Day]]="Sunday"),"Weekend","Weekday")</f>
        <v>Weekday</v>
      </c>
      <c r="AF4485" s="5">
        <f>IF(SalesData[[#This Row],[Contracts Offered]]=0,0,SalesData[[#This Row],[Contracts Signed]]/SalesData[[#This Row],[Contracts Offered]])</f>
        <v>0.33734939759036142</v>
      </c>
      <c r="AG4485" s="5">
        <f>IF(SalesData[[#This Row],[Customers Visited]]=0,0,SalesData[[#This Row],[Test Drives]]/SalesData[[#This Row],[Customers Visited]])</f>
        <v>0.52054794520547942</v>
      </c>
      <c r="AH4485" s="5">
        <f>IF(SalesData[[#This Row],[Customers Visited]]=0,0,SalesData[[#This Row],[Contracts Signed]]/SalesData[[#This Row],[Customers Visited]])</f>
        <v>0.12785388127853881</v>
      </c>
      <c r="AI4485" s="6">
        <f>IF(SalesData[[#This Row],[Contracts Signed]]=0,0,SalesData[[#This Row],[Profit(€)]]/SalesData[[#This Row],[Contracts Signed]])</f>
        <v>13577</v>
      </c>
      <c r="AJ4485" s="5" t="str">
        <f>TRIM(CLEAN(SalesData[[#This Row],[Retailer]]))</f>
        <v>Stuttgart Auto Center</v>
      </c>
    </row>
    <row r="4486" spans="1:36" ht="14.25" hidden="1" x14ac:dyDescent="0.2">
      <c r="A4486" t="s">
        <v>5754</v>
      </c>
      <c r="B4486" s="1">
        <v>46075</v>
      </c>
      <c r="C4486" t="s">
        <v>53</v>
      </c>
      <c r="D4486" t="s">
        <v>41</v>
      </c>
      <c r="E4486" t="s">
        <v>42</v>
      </c>
      <c r="F4486" t="s">
        <v>27</v>
      </c>
      <c r="G4486" t="s">
        <v>28</v>
      </c>
      <c r="H4486" t="s">
        <v>29</v>
      </c>
      <c r="I4486" t="s">
        <v>64</v>
      </c>
      <c r="J4486" t="s">
        <v>7029</v>
      </c>
      <c r="K4486" t="s">
        <v>91</v>
      </c>
      <c r="L4486" t="s">
        <v>33</v>
      </c>
      <c r="M4486" t="s">
        <v>68</v>
      </c>
      <c r="N4486" t="s">
        <v>69</v>
      </c>
      <c r="O4486" t="s">
        <v>36</v>
      </c>
      <c r="P4486" t="s">
        <v>58</v>
      </c>
      <c r="Q4486" t="s">
        <v>135</v>
      </c>
      <c r="R4486">
        <v>215</v>
      </c>
      <c r="S4486">
        <v>127</v>
      </c>
      <c r="T4486">
        <v>88</v>
      </c>
      <c r="U4486">
        <v>35</v>
      </c>
      <c r="V4486" t="s">
        <v>6385</v>
      </c>
      <c r="W4486">
        <v>71202</v>
      </c>
      <c r="X4486" t="s">
        <v>7116</v>
      </c>
      <c r="Y4486">
        <v>55116</v>
      </c>
      <c r="Z4486">
        <v>2492070</v>
      </c>
      <c r="AA4486">
        <v>563010</v>
      </c>
      <c r="AB4486" t="str">
        <f>(VLOOKUP(SalesData[[#This Row],[Month Number]],Reference!C$5:E$16,2,FALSE))</f>
        <v>Feb</v>
      </c>
      <c r="AC4486">
        <f>MONTH(SalesData[[#This Row],[Date]])</f>
        <v>2</v>
      </c>
      <c r="AD4486">
        <f>Reference!F$4</f>
        <v>2026</v>
      </c>
      <c r="AE4486" t="str">
        <f>IF(OR(SalesData[[#This Row],[Day]]="Saturday",SalesData[[#This Row],[Day]]="Sunday"),"Weekend","Weekday")</f>
        <v>Weekend</v>
      </c>
      <c r="AF4486" s="5">
        <f>IF(SalesData[[#This Row],[Contracts Offered]]=0,0,SalesData[[#This Row],[Contracts Signed]]/SalesData[[#This Row],[Contracts Offered]])</f>
        <v>0.39772727272727271</v>
      </c>
      <c r="AG4486" s="5">
        <f>IF(SalesData[[#This Row],[Customers Visited]]=0,0,SalesData[[#This Row],[Test Drives]]/SalesData[[#This Row],[Customers Visited]])</f>
        <v>0.59069767441860466</v>
      </c>
      <c r="AH4486" s="5">
        <f>IF(SalesData[[#This Row],[Customers Visited]]=0,0,SalesData[[#This Row],[Contracts Signed]]/SalesData[[#This Row],[Customers Visited]])</f>
        <v>0.16279069767441862</v>
      </c>
      <c r="AI4486" s="6">
        <f>IF(SalesData[[#This Row],[Contracts Signed]]=0,0,SalesData[[#This Row],[Profit(€)]]/SalesData[[#This Row],[Contracts Signed]])</f>
        <v>16086</v>
      </c>
      <c r="AJ4486" s="5" t="str">
        <f>TRIM(CLEAN(SalesData[[#This Row],[Retailer]]))</f>
        <v>Main Auto Hub</v>
      </c>
    </row>
    <row r="4487" spans="1:36" ht="14.25" x14ac:dyDescent="0.2">
      <c r="A4487" t="s">
        <v>5755</v>
      </c>
      <c r="B4487" s="1">
        <v>46077</v>
      </c>
      <c r="C4487" t="s">
        <v>53</v>
      </c>
      <c r="D4487" t="s">
        <v>63</v>
      </c>
      <c r="E4487" t="s">
        <v>26</v>
      </c>
      <c r="F4487" t="s">
        <v>83</v>
      </c>
      <c r="G4487" t="s">
        <v>84</v>
      </c>
      <c r="H4487" t="s">
        <v>85</v>
      </c>
      <c r="I4487" t="s">
        <v>30</v>
      </c>
      <c r="J4487" t="s">
        <v>188</v>
      </c>
      <c r="K4487" t="s">
        <v>66</v>
      </c>
      <c r="L4487" t="s">
        <v>33</v>
      </c>
      <c r="M4487" t="s">
        <v>34</v>
      </c>
      <c r="N4487" t="s">
        <v>48</v>
      </c>
      <c r="O4487" t="s">
        <v>36</v>
      </c>
      <c r="P4487" t="s">
        <v>49</v>
      </c>
      <c r="Q4487" t="s">
        <v>122</v>
      </c>
      <c r="R4487">
        <v>151</v>
      </c>
      <c r="S4487">
        <v>84</v>
      </c>
      <c r="T4487">
        <v>67</v>
      </c>
      <c r="U4487">
        <v>24</v>
      </c>
      <c r="V4487" t="s">
        <v>6357</v>
      </c>
      <c r="W4487">
        <v>50130</v>
      </c>
      <c r="X4487" t="s">
        <v>184</v>
      </c>
      <c r="Y4487">
        <v>36490</v>
      </c>
      <c r="Z4487">
        <v>1203120</v>
      </c>
      <c r="AA4487">
        <v>327360</v>
      </c>
      <c r="AB4487" t="str">
        <f>(VLOOKUP(SalesData[[#This Row],[Month Number]],Reference!C$5:E$16,2,FALSE))</f>
        <v>Feb</v>
      </c>
      <c r="AC4487">
        <f>MONTH(SalesData[[#This Row],[Date]])</f>
        <v>2</v>
      </c>
      <c r="AD4487">
        <f>Reference!F$4</f>
        <v>2026</v>
      </c>
      <c r="AE4487" t="str">
        <f>IF(OR(SalesData[[#This Row],[Day]]="Saturday",SalesData[[#This Row],[Day]]="Sunday"),"Weekend","Weekday")</f>
        <v>Weekday</v>
      </c>
      <c r="AF4487" s="5">
        <f>IF(SalesData[[#This Row],[Contracts Offered]]=0,0,SalesData[[#This Row],[Contracts Signed]]/SalesData[[#This Row],[Contracts Offered]])</f>
        <v>0.35820895522388058</v>
      </c>
      <c r="AG4487" s="5">
        <f>IF(SalesData[[#This Row],[Customers Visited]]=0,0,SalesData[[#This Row],[Test Drives]]/SalesData[[#This Row],[Customers Visited]])</f>
        <v>0.55629139072847678</v>
      </c>
      <c r="AH4487" s="5">
        <f>IF(SalesData[[#This Row],[Customers Visited]]=0,0,SalesData[[#This Row],[Contracts Signed]]/SalesData[[#This Row],[Customers Visited]])</f>
        <v>0.15894039735099338</v>
      </c>
      <c r="AI4487" s="6">
        <f>IF(SalesData[[#This Row],[Contracts Signed]]=0,0,SalesData[[#This Row],[Profit(€)]]/SalesData[[#This Row],[Contracts Signed]])</f>
        <v>13640</v>
      </c>
      <c r="AJ4487" s="5" t="str">
        <f>TRIM(CLEAN(SalesData[[#This Row],[Retailer]]))</f>
        <v>Hannover Cars</v>
      </c>
    </row>
    <row r="4488" spans="1:36" ht="14.25" hidden="1" x14ac:dyDescent="0.2">
      <c r="A4488" t="s">
        <v>5756</v>
      </c>
      <c r="B4488" s="1">
        <v>46077</v>
      </c>
      <c r="C4488" t="s">
        <v>53</v>
      </c>
      <c r="D4488" t="s">
        <v>63</v>
      </c>
      <c r="E4488" t="s">
        <v>26</v>
      </c>
      <c r="F4488" t="s">
        <v>43</v>
      </c>
      <c r="G4488" t="s">
        <v>44</v>
      </c>
      <c r="H4488" t="s">
        <v>45</v>
      </c>
      <c r="I4488" t="s">
        <v>64</v>
      </c>
      <c r="J4488" t="s">
        <v>77</v>
      </c>
      <c r="K4488" t="s">
        <v>91</v>
      </c>
      <c r="L4488" t="s">
        <v>46</v>
      </c>
      <c r="M4488" t="s">
        <v>47</v>
      </c>
      <c r="N4488" t="s">
        <v>35</v>
      </c>
      <c r="O4488" t="s">
        <v>36</v>
      </c>
      <c r="P4488" t="s">
        <v>58</v>
      </c>
      <c r="Q4488" t="s">
        <v>88</v>
      </c>
      <c r="R4488">
        <v>269</v>
      </c>
      <c r="S4488">
        <v>123</v>
      </c>
      <c r="T4488">
        <v>82</v>
      </c>
      <c r="U4488">
        <v>32</v>
      </c>
      <c r="V4488" t="s">
        <v>6515</v>
      </c>
      <c r="W4488">
        <v>54999</v>
      </c>
      <c r="X4488" t="s">
        <v>7387</v>
      </c>
      <c r="Y4488">
        <v>42670</v>
      </c>
      <c r="Z4488">
        <v>1759968</v>
      </c>
      <c r="AA4488">
        <v>394528</v>
      </c>
      <c r="AB4488" t="str">
        <f>(VLOOKUP(SalesData[[#This Row],[Month Number]],Reference!C$5:E$16,2,FALSE))</f>
        <v>Feb</v>
      </c>
      <c r="AC4488">
        <f>MONTH(SalesData[[#This Row],[Date]])</f>
        <v>2</v>
      </c>
      <c r="AD4488">
        <f>Reference!F$4</f>
        <v>2026</v>
      </c>
      <c r="AE4488" t="str">
        <f>IF(OR(SalesData[[#This Row],[Day]]="Saturday",SalesData[[#This Row],[Day]]="Sunday"),"Weekend","Weekday")</f>
        <v>Weekday</v>
      </c>
      <c r="AF4488" s="5">
        <f>IF(SalesData[[#This Row],[Contracts Offered]]=0,0,SalesData[[#This Row],[Contracts Signed]]/SalesData[[#This Row],[Contracts Offered]])</f>
        <v>0.3902439024390244</v>
      </c>
      <c r="AG4488" s="5">
        <f>IF(SalesData[[#This Row],[Customers Visited]]=0,0,SalesData[[#This Row],[Test Drives]]/SalesData[[#This Row],[Customers Visited]])</f>
        <v>0.45724907063197023</v>
      </c>
      <c r="AH4488" s="5">
        <f>IF(SalesData[[#This Row],[Customers Visited]]=0,0,SalesData[[#This Row],[Contracts Signed]]/SalesData[[#This Row],[Customers Visited]])</f>
        <v>0.11895910780669144</v>
      </c>
      <c r="AI4488" s="6">
        <f>IF(SalesData[[#This Row],[Contracts Signed]]=0,0,SalesData[[#This Row],[Profit(€)]]/SalesData[[#This Row],[Contracts Signed]])</f>
        <v>12329</v>
      </c>
      <c r="AJ4488" s="5" t="str">
        <f>TRIM(CLEAN(SalesData[[#This Row],[Retailer]]))</f>
        <v>Saxon Wheels</v>
      </c>
    </row>
    <row r="4489" spans="1:36" ht="14.25" hidden="1" x14ac:dyDescent="0.2">
      <c r="A4489" t="s">
        <v>5757</v>
      </c>
      <c r="B4489" s="1">
        <v>46077</v>
      </c>
      <c r="C4489" t="s">
        <v>53</v>
      </c>
      <c r="D4489" t="s">
        <v>63</v>
      </c>
      <c r="E4489" t="s">
        <v>26</v>
      </c>
      <c r="F4489" t="s">
        <v>101</v>
      </c>
      <c r="G4489" t="s">
        <v>102</v>
      </c>
      <c r="H4489" t="s">
        <v>103</v>
      </c>
      <c r="I4489" t="s">
        <v>56</v>
      </c>
      <c r="J4489" t="s">
        <v>57</v>
      </c>
      <c r="K4489" t="s">
        <v>78</v>
      </c>
      <c r="L4489" t="s">
        <v>46</v>
      </c>
      <c r="M4489" t="s">
        <v>87</v>
      </c>
      <c r="N4489" t="s">
        <v>48</v>
      </c>
      <c r="O4489" t="s">
        <v>36</v>
      </c>
      <c r="P4489" t="s">
        <v>58</v>
      </c>
      <c r="Q4489" t="s">
        <v>152</v>
      </c>
      <c r="R4489">
        <v>222</v>
      </c>
      <c r="S4489">
        <v>123</v>
      </c>
      <c r="T4489">
        <v>82</v>
      </c>
      <c r="U4489">
        <v>29</v>
      </c>
      <c r="V4489" t="s">
        <v>6463</v>
      </c>
      <c r="W4489">
        <v>51109</v>
      </c>
      <c r="X4489" t="s">
        <v>1813</v>
      </c>
      <c r="Y4489">
        <v>39308</v>
      </c>
      <c r="Z4489">
        <v>1482161</v>
      </c>
      <c r="AA4489">
        <v>342229</v>
      </c>
      <c r="AB4489" t="str">
        <f>(VLOOKUP(SalesData[[#This Row],[Month Number]],Reference!C$5:E$16,2,FALSE))</f>
        <v>Feb</v>
      </c>
      <c r="AC4489">
        <f>MONTH(SalesData[[#This Row],[Date]])</f>
        <v>2</v>
      </c>
      <c r="AD4489">
        <f>Reference!F$4</f>
        <v>2026</v>
      </c>
      <c r="AE4489" t="str">
        <f>IF(OR(SalesData[[#This Row],[Day]]="Saturday",SalesData[[#This Row],[Day]]="Sunday"),"Weekend","Weekday")</f>
        <v>Weekday</v>
      </c>
      <c r="AF4489" s="5">
        <f>IF(SalesData[[#This Row],[Contracts Offered]]=0,0,SalesData[[#This Row],[Contracts Signed]]/SalesData[[#This Row],[Contracts Offered]])</f>
        <v>0.35365853658536583</v>
      </c>
      <c r="AG4489" s="5">
        <f>IF(SalesData[[#This Row],[Customers Visited]]=0,0,SalesData[[#This Row],[Test Drives]]/SalesData[[#This Row],[Customers Visited]])</f>
        <v>0.55405405405405406</v>
      </c>
      <c r="AH4489" s="5">
        <f>IF(SalesData[[#This Row],[Customers Visited]]=0,0,SalesData[[#This Row],[Contracts Signed]]/SalesData[[#This Row],[Customers Visited]])</f>
        <v>0.13063063063063063</v>
      </c>
      <c r="AI4489" s="6">
        <f>IF(SalesData[[#This Row],[Contracts Signed]]=0,0,SalesData[[#This Row],[Profit(€)]]/SalesData[[#This Row],[Contracts Signed]])</f>
        <v>11801</v>
      </c>
      <c r="AJ4489" s="5" t="str">
        <f>TRIM(CLEAN(SalesData[[#This Row],[Retailer]]))</f>
        <v>Ruhr Auto Plaza</v>
      </c>
    </row>
    <row r="4490" spans="1:36" ht="14.25" hidden="1" x14ac:dyDescent="0.2">
      <c r="A4490" t="s">
        <v>5758</v>
      </c>
      <c r="B4490" s="1">
        <v>46057</v>
      </c>
      <c r="C4490" t="s">
        <v>24</v>
      </c>
      <c r="D4490" t="s">
        <v>82</v>
      </c>
      <c r="E4490" t="s">
        <v>26</v>
      </c>
      <c r="F4490" t="s">
        <v>43</v>
      </c>
      <c r="G4490" t="s">
        <v>44</v>
      </c>
      <c r="H4490" t="s">
        <v>45</v>
      </c>
      <c r="I4490" t="s">
        <v>56</v>
      </c>
      <c r="J4490" t="s">
        <v>179</v>
      </c>
      <c r="K4490" t="s">
        <v>78</v>
      </c>
      <c r="L4490" t="s">
        <v>67</v>
      </c>
      <c r="M4490" t="s">
        <v>87</v>
      </c>
      <c r="N4490" t="s">
        <v>69</v>
      </c>
      <c r="O4490" t="s">
        <v>36</v>
      </c>
      <c r="P4490" t="s">
        <v>71</v>
      </c>
      <c r="Q4490" t="s">
        <v>88</v>
      </c>
      <c r="R4490">
        <v>247</v>
      </c>
      <c r="S4490">
        <v>156</v>
      </c>
      <c r="T4490">
        <v>111</v>
      </c>
      <c r="U4490">
        <v>40</v>
      </c>
      <c r="V4490" t="s">
        <v>6405</v>
      </c>
      <c r="W4490">
        <v>54306</v>
      </c>
      <c r="X4490" t="s">
        <v>7217</v>
      </c>
      <c r="Y4490">
        <v>41126</v>
      </c>
      <c r="Z4490">
        <v>2172240</v>
      </c>
      <c r="AA4490">
        <v>527200</v>
      </c>
      <c r="AB4490" t="str">
        <f>(VLOOKUP(SalesData[[#This Row],[Month Number]],Reference!C$5:E$16,2,FALSE))</f>
        <v>Feb</v>
      </c>
      <c r="AC4490">
        <f>MONTH(SalesData[[#This Row],[Date]])</f>
        <v>2</v>
      </c>
      <c r="AD4490">
        <f>Reference!F$4</f>
        <v>2026</v>
      </c>
      <c r="AE4490" t="str">
        <f>IF(OR(SalesData[[#This Row],[Day]]="Saturday",SalesData[[#This Row],[Day]]="Sunday"),"Weekend","Weekday")</f>
        <v>Weekday</v>
      </c>
      <c r="AF4490" s="5">
        <f>IF(SalesData[[#This Row],[Contracts Offered]]=0,0,SalesData[[#This Row],[Contracts Signed]]/SalesData[[#This Row],[Contracts Offered]])</f>
        <v>0.36036036036036034</v>
      </c>
      <c r="AG4490" s="5">
        <f>IF(SalesData[[#This Row],[Customers Visited]]=0,0,SalesData[[#This Row],[Test Drives]]/SalesData[[#This Row],[Customers Visited]])</f>
        <v>0.63157894736842102</v>
      </c>
      <c r="AH4490" s="5">
        <f>IF(SalesData[[#This Row],[Customers Visited]]=0,0,SalesData[[#This Row],[Contracts Signed]]/SalesData[[#This Row],[Customers Visited]])</f>
        <v>0.16194331983805668</v>
      </c>
      <c r="AI4490" s="6">
        <f>IF(SalesData[[#This Row],[Contracts Signed]]=0,0,SalesData[[#This Row],[Profit(€)]]/SalesData[[#This Row],[Contracts Signed]])</f>
        <v>13180</v>
      </c>
      <c r="AJ4490" s="5" t="str">
        <f>TRIM(CLEAN(SalesData[[#This Row],[Retailer]]))</f>
        <v>Saxon Wheels</v>
      </c>
    </row>
    <row r="4491" spans="1:36" ht="14.25" hidden="1" x14ac:dyDescent="0.2">
      <c r="A4491" t="s">
        <v>5759</v>
      </c>
      <c r="B4491" s="1">
        <v>46073</v>
      </c>
      <c r="C4491" t="s">
        <v>62</v>
      </c>
      <c r="D4491" t="s">
        <v>54</v>
      </c>
      <c r="E4491" t="s">
        <v>26</v>
      </c>
      <c r="F4491" t="s">
        <v>43</v>
      </c>
      <c r="G4491" t="s">
        <v>44</v>
      </c>
      <c r="H4491" t="s">
        <v>45</v>
      </c>
      <c r="I4491" t="s">
        <v>56</v>
      </c>
      <c r="J4491" t="s">
        <v>57</v>
      </c>
      <c r="K4491" t="s">
        <v>32</v>
      </c>
      <c r="L4491" t="s">
        <v>46</v>
      </c>
      <c r="M4491" t="s">
        <v>68</v>
      </c>
      <c r="N4491" t="s">
        <v>35</v>
      </c>
      <c r="O4491" t="s">
        <v>70</v>
      </c>
      <c r="P4491" t="s">
        <v>49</v>
      </c>
      <c r="Q4491" t="s">
        <v>118</v>
      </c>
      <c r="R4491">
        <v>265</v>
      </c>
      <c r="S4491">
        <v>158</v>
      </c>
      <c r="T4491">
        <v>114</v>
      </c>
      <c r="U4491">
        <v>31</v>
      </c>
      <c r="V4491" t="s">
        <v>7336</v>
      </c>
      <c r="W4491">
        <v>51420</v>
      </c>
      <c r="X4491" t="s">
        <v>4223</v>
      </c>
      <c r="Y4491">
        <v>41665</v>
      </c>
      <c r="Z4491">
        <v>1594020</v>
      </c>
      <c r="AA4491">
        <v>302405</v>
      </c>
      <c r="AB4491" t="str">
        <f>(VLOOKUP(SalesData[[#This Row],[Month Number]],Reference!C$5:E$16,2,FALSE))</f>
        <v>Feb</v>
      </c>
      <c r="AC4491">
        <f>MONTH(SalesData[[#This Row],[Date]])</f>
        <v>2</v>
      </c>
      <c r="AD4491">
        <f>Reference!F$4</f>
        <v>2026</v>
      </c>
      <c r="AE4491" t="str">
        <f>IF(OR(SalesData[[#This Row],[Day]]="Saturday",SalesData[[#This Row],[Day]]="Sunday"),"Weekend","Weekday")</f>
        <v>Weekday</v>
      </c>
      <c r="AF4491" s="5">
        <f>IF(SalesData[[#This Row],[Contracts Offered]]=0,0,SalesData[[#This Row],[Contracts Signed]]/SalesData[[#This Row],[Contracts Offered]])</f>
        <v>0.27192982456140352</v>
      </c>
      <c r="AG4491" s="5">
        <f>IF(SalesData[[#This Row],[Customers Visited]]=0,0,SalesData[[#This Row],[Test Drives]]/SalesData[[#This Row],[Customers Visited]])</f>
        <v>0.5962264150943396</v>
      </c>
      <c r="AH4491" s="5">
        <f>IF(SalesData[[#This Row],[Customers Visited]]=0,0,SalesData[[#This Row],[Contracts Signed]]/SalesData[[#This Row],[Customers Visited]])</f>
        <v>0.1169811320754717</v>
      </c>
      <c r="AI4491" s="6">
        <f>IF(SalesData[[#This Row],[Contracts Signed]]=0,0,SalesData[[#This Row],[Profit(€)]]/SalesData[[#This Row],[Contracts Signed]])</f>
        <v>9755</v>
      </c>
      <c r="AJ4491" s="5" t="str">
        <f>TRIM(CLEAN(SalesData[[#This Row],[Retailer]]))</f>
        <v>Saxon Wheels</v>
      </c>
    </row>
    <row r="4492" spans="1:36" ht="14.25" hidden="1" x14ac:dyDescent="0.2">
      <c r="A4492" t="s">
        <v>5760</v>
      </c>
      <c r="B4492" s="1">
        <v>46059</v>
      </c>
      <c r="C4492" t="s">
        <v>24</v>
      </c>
      <c r="D4492" t="s">
        <v>54</v>
      </c>
      <c r="E4492" t="s">
        <v>26</v>
      </c>
      <c r="F4492" t="s">
        <v>94</v>
      </c>
      <c r="G4492" t="s">
        <v>95</v>
      </c>
      <c r="H4492" t="s">
        <v>96</v>
      </c>
      <c r="I4492" t="s">
        <v>64</v>
      </c>
      <c r="J4492" t="s">
        <v>111</v>
      </c>
      <c r="K4492" t="s">
        <v>66</v>
      </c>
      <c r="L4492" t="s">
        <v>46</v>
      </c>
      <c r="M4492" t="s">
        <v>34</v>
      </c>
      <c r="N4492" t="s">
        <v>35</v>
      </c>
      <c r="O4492" t="s">
        <v>36</v>
      </c>
      <c r="P4492" t="s">
        <v>58</v>
      </c>
      <c r="Q4492" t="s">
        <v>144</v>
      </c>
      <c r="R4492">
        <v>250</v>
      </c>
      <c r="S4492">
        <v>134</v>
      </c>
      <c r="T4492">
        <v>101</v>
      </c>
      <c r="U4492">
        <v>40</v>
      </c>
      <c r="V4492" t="s">
        <v>7636</v>
      </c>
      <c r="W4492">
        <v>58951</v>
      </c>
      <c r="X4492" t="s">
        <v>7450</v>
      </c>
      <c r="Y4492">
        <v>45068</v>
      </c>
      <c r="Z4492">
        <v>2358040</v>
      </c>
      <c r="AA4492">
        <v>555320</v>
      </c>
      <c r="AB4492" t="str">
        <f>(VLOOKUP(SalesData[[#This Row],[Month Number]],Reference!C$5:E$16,2,FALSE))</f>
        <v>Feb</v>
      </c>
      <c r="AC4492">
        <f>MONTH(SalesData[[#This Row],[Date]])</f>
        <v>2</v>
      </c>
      <c r="AD4492">
        <f>Reference!F$4</f>
        <v>2026</v>
      </c>
      <c r="AE4492" t="str">
        <f>IF(OR(SalesData[[#This Row],[Day]]="Saturday",SalesData[[#This Row],[Day]]="Sunday"),"Weekend","Weekday")</f>
        <v>Weekday</v>
      </c>
      <c r="AF4492" s="5">
        <f>IF(SalesData[[#This Row],[Contracts Offered]]=0,0,SalesData[[#This Row],[Contracts Signed]]/SalesData[[#This Row],[Contracts Offered]])</f>
        <v>0.39603960396039606</v>
      </c>
      <c r="AG4492" s="5">
        <f>IF(SalesData[[#This Row],[Customers Visited]]=0,0,SalesData[[#This Row],[Test Drives]]/SalesData[[#This Row],[Customers Visited]])</f>
        <v>0.53600000000000003</v>
      </c>
      <c r="AH4492" s="5">
        <f>IF(SalesData[[#This Row],[Customers Visited]]=0,0,SalesData[[#This Row],[Contracts Signed]]/SalesData[[#This Row],[Customers Visited]])</f>
        <v>0.16</v>
      </c>
      <c r="AI4492" s="6">
        <f>IF(SalesData[[#This Row],[Contracts Signed]]=0,0,SalesData[[#This Row],[Profit(€)]]/SalesData[[#This Row],[Contracts Signed]])</f>
        <v>13883</v>
      </c>
      <c r="AJ4492" s="5" t="str">
        <f>TRIM(CLEAN(SalesData[[#This Row],[Retailer]]))</f>
        <v>Bavaria Motors</v>
      </c>
    </row>
    <row r="4493" spans="1:36" ht="14.25" x14ac:dyDescent="0.2">
      <c r="A4493" t="s">
        <v>5761</v>
      </c>
      <c r="B4493" s="1">
        <v>46077</v>
      </c>
      <c r="C4493" t="s">
        <v>53</v>
      </c>
      <c r="D4493" t="s">
        <v>63</v>
      </c>
      <c r="E4493" t="s">
        <v>26</v>
      </c>
      <c r="F4493" t="s">
        <v>114</v>
      </c>
      <c r="G4493" t="s">
        <v>115</v>
      </c>
      <c r="H4493" t="s">
        <v>115</v>
      </c>
      <c r="I4493" t="s">
        <v>30</v>
      </c>
      <c r="J4493" t="s">
        <v>188</v>
      </c>
      <c r="K4493" t="s">
        <v>78</v>
      </c>
      <c r="L4493" t="s">
        <v>33</v>
      </c>
      <c r="M4493" t="s">
        <v>87</v>
      </c>
      <c r="N4493" t="s">
        <v>48</v>
      </c>
      <c r="O4493" t="s">
        <v>36</v>
      </c>
      <c r="P4493" t="s">
        <v>71</v>
      </c>
      <c r="Q4493" t="s">
        <v>144</v>
      </c>
      <c r="R4493">
        <v>161</v>
      </c>
      <c r="S4493">
        <v>96</v>
      </c>
      <c r="T4493">
        <v>66</v>
      </c>
      <c r="U4493">
        <v>29</v>
      </c>
      <c r="V4493" t="s">
        <v>7562</v>
      </c>
      <c r="W4493">
        <v>55501</v>
      </c>
      <c r="X4493" t="s">
        <v>2155</v>
      </c>
      <c r="Y4493">
        <v>39249</v>
      </c>
      <c r="Z4493">
        <v>1609529</v>
      </c>
      <c r="AA4493">
        <v>471308</v>
      </c>
      <c r="AB4493" t="str">
        <f>(VLOOKUP(SalesData[[#This Row],[Month Number]],Reference!C$5:E$16,2,FALSE))</f>
        <v>Feb</v>
      </c>
      <c r="AC4493">
        <f>MONTH(SalesData[[#This Row],[Date]])</f>
        <v>2</v>
      </c>
      <c r="AD4493">
        <f>Reference!F$4</f>
        <v>2026</v>
      </c>
      <c r="AE4493" t="str">
        <f>IF(OR(SalesData[[#This Row],[Day]]="Saturday",SalesData[[#This Row],[Day]]="Sunday"),"Weekend","Weekday")</f>
        <v>Weekday</v>
      </c>
      <c r="AF4493" s="5">
        <f>IF(SalesData[[#This Row],[Contracts Offered]]=0,0,SalesData[[#This Row],[Contracts Signed]]/SalesData[[#This Row],[Contracts Offered]])</f>
        <v>0.43939393939393939</v>
      </c>
      <c r="AG4493" s="5">
        <f>IF(SalesData[[#This Row],[Customers Visited]]=0,0,SalesData[[#This Row],[Test Drives]]/SalesData[[#This Row],[Customers Visited]])</f>
        <v>0.59627329192546585</v>
      </c>
      <c r="AH4493" s="5">
        <f>IF(SalesData[[#This Row],[Customers Visited]]=0,0,SalesData[[#This Row],[Contracts Signed]]/SalesData[[#This Row],[Customers Visited]])</f>
        <v>0.18012422360248448</v>
      </c>
      <c r="AI4493" s="6">
        <f>IF(SalesData[[#This Row],[Contracts Signed]]=0,0,SalesData[[#This Row],[Profit(€)]]/SalesData[[#This Row],[Contracts Signed]])</f>
        <v>16252</v>
      </c>
      <c r="AJ4493" s="5" t="str">
        <f>TRIM(CLEAN(SalesData[[#This Row],[Retailer]]))</f>
        <v>Elbe Drive</v>
      </c>
    </row>
    <row r="4494" spans="1:36" ht="14.25" hidden="1" x14ac:dyDescent="0.2">
      <c r="A4494" t="s">
        <v>5762</v>
      </c>
      <c r="B4494" s="1">
        <v>46059</v>
      </c>
      <c r="C4494" t="s">
        <v>24</v>
      </c>
      <c r="D4494" t="s">
        <v>54</v>
      </c>
      <c r="E4494" t="s">
        <v>26</v>
      </c>
      <c r="F4494" t="s">
        <v>43</v>
      </c>
      <c r="G4494" t="s">
        <v>44</v>
      </c>
      <c r="H4494" t="s">
        <v>45</v>
      </c>
      <c r="I4494" t="s">
        <v>116</v>
      </c>
      <c r="J4494" t="s">
        <v>132</v>
      </c>
      <c r="K4494" t="s">
        <v>91</v>
      </c>
      <c r="L4494" t="s">
        <v>46</v>
      </c>
      <c r="M4494" t="s">
        <v>34</v>
      </c>
      <c r="N4494" t="s">
        <v>69</v>
      </c>
      <c r="O4494" t="s">
        <v>70</v>
      </c>
      <c r="P4494" t="s">
        <v>71</v>
      </c>
      <c r="Q4494" t="s">
        <v>189</v>
      </c>
      <c r="R4494">
        <v>423</v>
      </c>
      <c r="S4494">
        <v>221</v>
      </c>
      <c r="T4494">
        <v>146</v>
      </c>
      <c r="U4494">
        <v>37</v>
      </c>
      <c r="V4494" t="s">
        <v>6986</v>
      </c>
      <c r="W4494">
        <v>24569</v>
      </c>
      <c r="X4494" t="s">
        <v>4334</v>
      </c>
      <c r="Y4494">
        <v>22666</v>
      </c>
      <c r="Z4494">
        <v>909053</v>
      </c>
      <c r="AA4494">
        <v>70411</v>
      </c>
      <c r="AB4494" t="str">
        <f>(VLOOKUP(SalesData[[#This Row],[Month Number]],Reference!C$5:E$16,2,FALSE))</f>
        <v>Feb</v>
      </c>
      <c r="AC4494">
        <f>MONTH(SalesData[[#This Row],[Date]])</f>
        <v>2</v>
      </c>
      <c r="AD4494">
        <f>Reference!F$4</f>
        <v>2026</v>
      </c>
      <c r="AE4494" t="str">
        <f>IF(OR(SalesData[[#This Row],[Day]]="Saturday",SalesData[[#This Row],[Day]]="Sunday"),"Weekend","Weekday")</f>
        <v>Weekday</v>
      </c>
      <c r="AF4494" s="5">
        <f>IF(SalesData[[#This Row],[Contracts Offered]]=0,0,SalesData[[#This Row],[Contracts Signed]]/SalesData[[#This Row],[Contracts Offered]])</f>
        <v>0.25342465753424659</v>
      </c>
      <c r="AG4494" s="5">
        <f>IF(SalesData[[#This Row],[Customers Visited]]=0,0,SalesData[[#This Row],[Test Drives]]/SalesData[[#This Row],[Customers Visited]])</f>
        <v>0.52245862884160754</v>
      </c>
      <c r="AH4494" s="5">
        <f>IF(SalesData[[#This Row],[Customers Visited]]=0,0,SalesData[[#This Row],[Contracts Signed]]/SalesData[[#This Row],[Customers Visited]])</f>
        <v>8.7470449172576833E-2</v>
      </c>
      <c r="AI4494" s="6">
        <f>IF(SalesData[[#This Row],[Contracts Signed]]=0,0,SalesData[[#This Row],[Profit(€)]]/SalesData[[#This Row],[Contracts Signed]])</f>
        <v>1903</v>
      </c>
      <c r="AJ4494" s="5" t="str">
        <f>TRIM(CLEAN(SalesData[[#This Row],[Retailer]]))</f>
        <v>Saxon Wheels</v>
      </c>
    </row>
    <row r="4495" spans="1:36" ht="14.25" hidden="1" x14ac:dyDescent="0.2">
      <c r="A4495" t="s">
        <v>5763</v>
      </c>
      <c r="B4495" s="1">
        <v>46069</v>
      </c>
      <c r="C4495" t="s">
        <v>62</v>
      </c>
      <c r="D4495" t="s">
        <v>25</v>
      </c>
      <c r="E4495" t="s">
        <v>26</v>
      </c>
      <c r="F4495" t="s">
        <v>109</v>
      </c>
      <c r="G4495" t="s">
        <v>110</v>
      </c>
      <c r="H4495" t="s">
        <v>45</v>
      </c>
      <c r="I4495" t="s">
        <v>56</v>
      </c>
      <c r="J4495" t="s">
        <v>97</v>
      </c>
      <c r="K4495" t="s">
        <v>32</v>
      </c>
      <c r="L4495" t="s">
        <v>33</v>
      </c>
      <c r="M4495" t="s">
        <v>87</v>
      </c>
      <c r="N4495" t="s">
        <v>48</v>
      </c>
      <c r="O4495" t="s">
        <v>70</v>
      </c>
      <c r="P4495" t="s">
        <v>58</v>
      </c>
      <c r="Q4495" t="s">
        <v>79</v>
      </c>
      <c r="R4495">
        <v>298</v>
      </c>
      <c r="S4495">
        <v>170</v>
      </c>
      <c r="T4495">
        <v>131</v>
      </c>
      <c r="U4495">
        <v>42</v>
      </c>
      <c r="V4495" t="s">
        <v>6827</v>
      </c>
      <c r="W4495">
        <v>52318</v>
      </c>
      <c r="X4495" t="s">
        <v>331</v>
      </c>
      <c r="Y4495">
        <v>42480</v>
      </c>
      <c r="Z4495">
        <v>2197356</v>
      </c>
      <c r="AA4495">
        <v>413196</v>
      </c>
      <c r="AB4495" t="str">
        <f>(VLOOKUP(SalesData[[#This Row],[Month Number]],Reference!C$5:E$16,2,FALSE))</f>
        <v>Feb</v>
      </c>
      <c r="AC4495">
        <f>MONTH(SalesData[[#This Row],[Date]])</f>
        <v>2</v>
      </c>
      <c r="AD4495">
        <f>Reference!F$4</f>
        <v>2026</v>
      </c>
      <c r="AE4495" t="str">
        <f>IF(OR(SalesData[[#This Row],[Day]]="Saturday",SalesData[[#This Row],[Day]]="Sunday"),"Weekend","Weekday")</f>
        <v>Weekday</v>
      </c>
      <c r="AF4495" s="5">
        <f>IF(SalesData[[#This Row],[Contracts Offered]]=0,0,SalesData[[#This Row],[Contracts Signed]]/SalesData[[#This Row],[Contracts Offered]])</f>
        <v>0.32061068702290074</v>
      </c>
      <c r="AG4495" s="5">
        <f>IF(SalesData[[#This Row],[Customers Visited]]=0,0,SalesData[[#This Row],[Test Drives]]/SalesData[[#This Row],[Customers Visited]])</f>
        <v>0.57046979865771807</v>
      </c>
      <c r="AH4495" s="5">
        <f>IF(SalesData[[#This Row],[Customers Visited]]=0,0,SalesData[[#This Row],[Contracts Signed]]/SalesData[[#This Row],[Customers Visited]])</f>
        <v>0.14093959731543623</v>
      </c>
      <c r="AI4495" s="6">
        <f>IF(SalesData[[#This Row],[Contracts Signed]]=0,0,SalesData[[#This Row],[Profit(€)]]/SalesData[[#This Row],[Contracts Signed]])</f>
        <v>9838</v>
      </c>
      <c r="AJ4495" s="5" t="str">
        <f>TRIM(CLEAN(SalesData[[#This Row],[Retailer]]))</f>
        <v>Leipzig Mobility</v>
      </c>
    </row>
    <row r="4496" spans="1:36" ht="14.25" hidden="1" x14ac:dyDescent="0.2">
      <c r="A4496" t="s">
        <v>5764</v>
      </c>
      <c r="B4496" s="1">
        <v>46066</v>
      </c>
      <c r="C4496" t="s">
        <v>121</v>
      </c>
      <c r="D4496" t="s">
        <v>54</v>
      </c>
      <c r="E4496" t="s">
        <v>26</v>
      </c>
      <c r="F4496" t="s">
        <v>74</v>
      </c>
      <c r="G4496" t="s">
        <v>75</v>
      </c>
      <c r="H4496" t="s">
        <v>76</v>
      </c>
      <c r="I4496" t="s">
        <v>116</v>
      </c>
      <c r="J4496" t="s">
        <v>117</v>
      </c>
      <c r="K4496" t="s">
        <v>78</v>
      </c>
      <c r="L4496" t="s">
        <v>67</v>
      </c>
      <c r="M4496" t="s">
        <v>47</v>
      </c>
      <c r="N4496" t="s">
        <v>69</v>
      </c>
      <c r="O4496" t="s">
        <v>70</v>
      </c>
      <c r="P4496" t="s">
        <v>58</v>
      </c>
      <c r="Q4496" t="s">
        <v>169</v>
      </c>
      <c r="R4496">
        <v>332</v>
      </c>
      <c r="S4496">
        <v>167</v>
      </c>
      <c r="T4496">
        <v>110</v>
      </c>
      <c r="U4496">
        <v>33</v>
      </c>
      <c r="V4496" t="s">
        <v>3250</v>
      </c>
      <c r="W4496">
        <v>21554</v>
      </c>
      <c r="X4496" t="s">
        <v>2132</v>
      </c>
      <c r="Y4496">
        <v>19724</v>
      </c>
      <c r="Z4496">
        <v>711282</v>
      </c>
      <c r="AA4496">
        <v>60390</v>
      </c>
      <c r="AB4496" t="str">
        <f>(VLOOKUP(SalesData[[#This Row],[Month Number]],Reference!C$5:E$16,2,FALSE))</f>
        <v>Feb</v>
      </c>
      <c r="AC4496">
        <f>MONTH(SalesData[[#This Row],[Date]])</f>
        <v>2</v>
      </c>
      <c r="AD4496">
        <f>Reference!F$4</f>
        <v>2026</v>
      </c>
      <c r="AE4496" t="str">
        <f>IF(OR(SalesData[[#This Row],[Day]]="Saturday",SalesData[[#This Row],[Day]]="Sunday"),"Weekend","Weekday")</f>
        <v>Weekday</v>
      </c>
      <c r="AF4496" s="5">
        <f>IF(SalesData[[#This Row],[Contracts Offered]]=0,0,SalesData[[#This Row],[Contracts Signed]]/SalesData[[#This Row],[Contracts Offered]])</f>
        <v>0.3</v>
      </c>
      <c r="AG4496" s="5">
        <f>IF(SalesData[[#This Row],[Customers Visited]]=0,0,SalesData[[#This Row],[Test Drives]]/SalesData[[#This Row],[Customers Visited]])</f>
        <v>0.50301204819277112</v>
      </c>
      <c r="AH4496" s="5">
        <f>IF(SalesData[[#This Row],[Customers Visited]]=0,0,SalesData[[#This Row],[Contracts Signed]]/SalesData[[#This Row],[Customers Visited]])</f>
        <v>9.9397590361445784E-2</v>
      </c>
      <c r="AI4496" s="6">
        <f>IF(SalesData[[#This Row],[Contracts Signed]]=0,0,SalesData[[#This Row],[Profit(€)]]/SalesData[[#This Row],[Contracts Signed]])</f>
        <v>1830</v>
      </c>
      <c r="AJ4496" s="5" t="str">
        <f>TRIM(CLEAN(SalesData[[#This Row],[Retailer]]))</f>
        <v>Stuttgart Auto Center</v>
      </c>
    </row>
    <row r="4497" spans="1:36" ht="14.25" x14ac:dyDescent="0.2">
      <c r="A4497" t="s">
        <v>5765</v>
      </c>
      <c r="B4497" s="1">
        <v>46054</v>
      </c>
      <c r="C4497" t="s">
        <v>24</v>
      </c>
      <c r="D4497" t="s">
        <v>41</v>
      </c>
      <c r="E4497" t="s">
        <v>42</v>
      </c>
      <c r="F4497" t="s">
        <v>109</v>
      </c>
      <c r="G4497" t="s">
        <v>110</v>
      </c>
      <c r="H4497" t="s">
        <v>45</v>
      </c>
      <c r="I4497" t="s">
        <v>30</v>
      </c>
      <c r="J4497" t="s">
        <v>31</v>
      </c>
      <c r="K4497" t="s">
        <v>78</v>
      </c>
      <c r="L4497" t="s">
        <v>46</v>
      </c>
      <c r="M4497" t="s">
        <v>34</v>
      </c>
      <c r="N4497" t="s">
        <v>48</v>
      </c>
      <c r="O4497" t="s">
        <v>70</v>
      </c>
      <c r="P4497" t="s">
        <v>71</v>
      </c>
      <c r="Q4497" t="s">
        <v>152</v>
      </c>
      <c r="R4497">
        <v>196</v>
      </c>
      <c r="S4497">
        <v>95</v>
      </c>
      <c r="T4497">
        <v>73</v>
      </c>
      <c r="U4497">
        <v>25</v>
      </c>
      <c r="V4497" t="s">
        <v>6471</v>
      </c>
      <c r="W4497">
        <v>51364</v>
      </c>
      <c r="X4497" t="s">
        <v>2061</v>
      </c>
      <c r="Y4497">
        <v>37632</v>
      </c>
      <c r="Z4497">
        <v>1284100</v>
      </c>
      <c r="AA4497">
        <v>343300</v>
      </c>
      <c r="AB4497" t="str">
        <f>(VLOOKUP(SalesData[[#This Row],[Month Number]],Reference!C$5:E$16,2,FALSE))</f>
        <v>Feb</v>
      </c>
      <c r="AC4497">
        <f>MONTH(SalesData[[#This Row],[Date]])</f>
        <v>2</v>
      </c>
      <c r="AD4497">
        <f>Reference!F$4</f>
        <v>2026</v>
      </c>
      <c r="AE4497" t="str">
        <f>IF(OR(SalesData[[#This Row],[Day]]="Saturday",SalesData[[#This Row],[Day]]="Sunday"),"Weekend","Weekday")</f>
        <v>Weekend</v>
      </c>
      <c r="AF4497" s="5">
        <f>IF(SalesData[[#This Row],[Contracts Offered]]=0,0,SalesData[[#This Row],[Contracts Signed]]/SalesData[[#This Row],[Contracts Offered]])</f>
        <v>0.34246575342465752</v>
      </c>
      <c r="AG4497" s="5">
        <f>IF(SalesData[[#This Row],[Customers Visited]]=0,0,SalesData[[#This Row],[Test Drives]]/SalesData[[#This Row],[Customers Visited]])</f>
        <v>0.48469387755102039</v>
      </c>
      <c r="AH4497" s="5">
        <f>IF(SalesData[[#This Row],[Customers Visited]]=0,0,SalesData[[#This Row],[Contracts Signed]]/SalesData[[#This Row],[Customers Visited]])</f>
        <v>0.12755102040816327</v>
      </c>
      <c r="AI4497" s="6">
        <f>IF(SalesData[[#This Row],[Contracts Signed]]=0,0,SalesData[[#This Row],[Profit(€)]]/SalesData[[#This Row],[Contracts Signed]])</f>
        <v>13732</v>
      </c>
      <c r="AJ4497" s="5" t="str">
        <f>TRIM(CLEAN(SalesData[[#This Row],[Retailer]]))</f>
        <v>Leipzig Mobility</v>
      </c>
    </row>
    <row r="4498" spans="1:36" ht="14.25" hidden="1" x14ac:dyDescent="0.2">
      <c r="A4498" t="s">
        <v>5766</v>
      </c>
      <c r="B4498" s="1">
        <v>46072</v>
      </c>
      <c r="C4498" t="s">
        <v>62</v>
      </c>
      <c r="D4498" t="s">
        <v>100</v>
      </c>
      <c r="E4498" t="s">
        <v>26</v>
      </c>
      <c r="F4498" t="s">
        <v>27</v>
      </c>
      <c r="G4498" t="s">
        <v>28</v>
      </c>
      <c r="H4498" t="s">
        <v>29</v>
      </c>
      <c r="I4498" t="s">
        <v>116</v>
      </c>
      <c r="J4498" t="s">
        <v>7026</v>
      </c>
      <c r="K4498" t="s">
        <v>32</v>
      </c>
      <c r="L4498" t="s">
        <v>46</v>
      </c>
      <c r="M4498" t="s">
        <v>47</v>
      </c>
      <c r="N4498" t="s">
        <v>35</v>
      </c>
      <c r="O4498" t="s">
        <v>36</v>
      </c>
      <c r="P4498" t="s">
        <v>37</v>
      </c>
      <c r="Q4498" t="s">
        <v>240</v>
      </c>
      <c r="R4498">
        <v>380</v>
      </c>
      <c r="S4498">
        <v>183</v>
      </c>
      <c r="T4498">
        <v>106</v>
      </c>
      <c r="U4498">
        <v>24</v>
      </c>
      <c r="V4498" t="s">
        <v>1427</v>
      </c>
      <c r="W4498">
        <v>27499</v>
      </c>
      <c r="X4498" t="s">
        <v>781</v>
      </c>
      <c r="Y4498">
        <v>24618</v>
      </c>
      <c r="Z4498">
        <v>659976</v>
      </c>
      <c r="AA4498">
        <v>69144</v>
      </c>
      <c r="AB4498" t="str">
        <f>(VLOOKUP(SalesData[[#This Row],[Month Number]],Reference!C$5:E$16,2,FALSE))</f>
        <v>Feb</v>
      </c>
      <c r="AC4498">
        <f>MONTH(SalesData[[#This Row],[Date]])</f>
        <v>2</v>
      </c>
      <c r="AD4498">
        <f>Reference!F$4</f>
        <v>2026</v>
      </c>
      <c r="AE4498" t="str">
        <f>IF(OR(SalesData[[#This Row],[Day]]="Saturday",SalesData[[#This Row],[Day]]="Sunday"),"Weekend","Weekday")</f>
        <v>Weekday</v>
      </c>
      <c r="AF4498" s="5">
        <f>IF(SalesData[[#This Row],[Contracts Offered]]=0,0,SalesData[[#This Row],[Contracts Signed]]/SalesData[[#This Row],[Contracts Offered]])</f>
        <v>0.22641509433962265</v>
      </c>
      <c r="AG4498" s="5">
        <f>IF(SalesData[[#This Row],[Customers Visited]]=0,0,SalesData[[#This Row],[Test Drives]]/SalesData[[#This Row],[Customers Visited]])</f>
        <v>0.48157894736842105</v>
      </c>
      <c r="AH4498" s="5">
        <f>IF(SalesData[[#This Row],[Customers Visited]]=0,0,SalesData[[#This Row],[Contracts Signed]]/SalesData[[#This Row],[Customers Visited]])</f>
        <v>6.3157894736842107E-2</v>
      </c>
      <c r="AI4498" s="6">
        <f>IF(SalesData[[#This Row],[Contracts Signed]]=0,0,SalesData[[#This Row],[Profit(€)]]/SalesData[[#This Row],[Contracts Signed]])</f>
        <v>2881</v>
      </c>
      <c r="AJ4498" s="5" t="str">
        <f>TRIM(CLEAN(SalesData[[#This Row],[Retailer]]))</f>
        <v>Main Auto Hub</v>
      </c>
    </row>
    <row r="4499" spans="1:36" ht="14.25" hidden="1" x14ac:dyDescent="0.2">
      <c r="A4499" t="s">
        <v>5767</v>
      </c>
      <c r="B4499" s="1">
        <v>46076</v>
      </c>
      <c r="C4499" t="s">
        <v>53</v>
      </c>
      <c r="D4499" t="s">
        <v>25</v>
      </c>
      <c r="E4499" t="s">
        <v>26</v>
      </c>
      <c r="F4499" t="s">
        <v>127</v>
      </c>
      <c r="G4499" t="s">
        <v>128</v>
      </c>
      <c r="H4499" t="s">
        <v>103</v>
      </c>
      <c r="I4499" t="s">
        <v>64</v>
      </c>
      <c r="J4499" t="s">
        <v>77</v>
      </c>
      <c r="K4499" t="s">
        <v>78</v>
      </c>
      <c r="L4499" t="s">
        <v>46</v>
      </c>
      <c r="M4499" t="s">
        <v>34</v>
      </c>
      <c r="N4499" t="s">
        <v>35</v>
      </c>
      <c r="O4499" t="s">
        <v>36</v>
      </c>
      <c r="P4499" t="s">
        <v>49</v>
      </c>
      <c r="Q4499" t="s">
        <v>189</v>
      </c>
      <c r="R4499">
        <v>153</v>
      </c>
      <c r="S4499">
        <v>80</v>
      </c>
      <c r="T4499">
        <v>57</v>
      </c>
      <c r="U4499">
        <v>17</v>
      </c>
      <c r="V4499" t="s">
        <v>6978</v>
      </c>
      <c r="W4499">
        <v>60152</v>
      </c>
      <c r="X4499" t="s">
        <v>1906</v>
      </c>
      <c r="Y4499">
        <v>44044</v>
      </c>
      <c r="Z4499">
        <v>1022584</v>
      </c>
      <c r="AA4499">
        <v>273836</v>
      </c>
      <c r="AB4499" t="str">
        <f>(VLOOKUP(SalesData[[#This Row],[Month Number]],Reference!C$5:E$16,2,FALSE))</f>
        <v>Feb</v>
      </c>
      <c r="AC4499">
        <f>MONTH(SalesData[[#This Row],[Date]])</f>
        <v>2</v>
      </c>
      <c r="AD4499">
        <f>Reference!F$4</f>
        <v>2026</v>
      </c>
      <c r="AE4499" t="str">
        <f>IF(OR(SalesData[[#This Row],[Day]]="Saturday",SalesData[[#This Row],[Day]]="Sunday"),"Weekend","Weekday")</f>
        <v>Weekday</v>
      </c>
      <c r="AF4499" s="5">
        <f>IF(SalesData[[#This Row],[Contracts Offered]]=0,0,SalesData[[#This Row],[Contracts Signed]]/SalesData[[#This Row],[Contracts Offered]])</f>
        <v>0.2982456140350877</v>
      </c>
      <c r="AG4499" s="5">
        <f>IF(SalesData[[#This Row],[Customers Visited]]=0,0,SalesData[[#This Row],[Test Drives]]/SalesData[[#This Row],[Customers Visited]])</f>
        <v>0.52287581699346408</v>
      </c>
      <c r="AH4499" s="5">
        <f>IF(SalesData[[#This Row],[Customers Visited]]=0,0,SalesData[[#This Row],[Contracts Signed]]/SalesData[[#This Row],[Customers Visited]])</f>
        <v>0.1111111111111111</v>
      </c>
      <c r="AI4499" s="6">
        <f>IF(SalesData[[#This Row],[Contracts Signed]]=0,0,SalesData[[#This Row],[Profit(€)]]/SalesData[[#This Row],[Contracts Signed]])</f>
        <v>16108</v>
      </c>
      <c r="AJ4499" s="5" t="str">
        <f>TRIM(CLEAN(SalesData[[#This Row],[Retailer]]))</f>
        <v>Rhein Auto Group</v>
      </c>
    </row>
    <row r="4500" spans="1:36" ht="14.25" hidden="1" x14ac:dyDescent="0.2">
      <c r="A4500" t="s">
        <v>5768</v>
      </c>
      <c r="B4500" s="1">
        <v>46070</v>
      </c>
      <c r="C4500" t="s">
        <v>62</v>
      </c>
      <c r="D4500" t="s">
        <v>63</v>
      </c>
      <c r="E4500" t="s">
        <v>26</v>
      </c>
      <c r="F4500" t="s">
        <v>27</v>
      </c>
      <c r="G4500" t="s">
        <v>28</v>
      </c>
      <c r="H4500" t="s">
        <v>29</v>
      </c>
      <c r="I4500" t="s">
        <v>56</v>
      </c>
      <c r="J4500" t="s">
        <v>137</v>
      </c>
      <c r="K4500" t="s">
        <v>32</v>
      </c>
      <c r="L4500" t="s">
        <v>46</v>
      </c>
      <c r="M4500" t="s">
        <v>68</v>
      </c>
      <c r="N4500" t="s">
        <v>35</v>
      </c>
      <c r="O4500" t="s">
        <v>36</v>
      </c>
      <c r="P4500" t="s">
        <v>58</v>
      </c>
      <c r="Q4500" t="s">
        <v>240</v>
      </c>
      <c r="R4500">
        <v>239</v>
      </c>
      <c r="S4500">
        <v>120</v>
      </c>
      <c r="T4500">
        <v>77</v>
      </c>
      <c r="U4500">
        <v>32</v>
      </c>
      <c r="V4500" t="s">
        <v>6388</v>
      </c>
      <c r="W4500">
        <v>50499</v>
      </c>
      <c r="X4500" t="s">
        <v>7222</v>
      </c>
      <c r="Y4500">
        <v>38524</v>
      </c>
      <c r="Z4500">
        <v>1615968</v>
      </c>
      <c r="AA4500">
        <v>383200</v>
      </c>
      <c r="AB4500" t="str">
        <f>(VLOOKUP(SalesData[[#This Row],[Month Number]],Reference!C$5:E$16,2,FALSE))</f>
        <v>Feb</v>
      </c>
      <c r="AC4500">
        <f>MONTH(SalesData[[#This Row],[Date]])</f>
        <v>2</v>
      </c>
      <c r="AD4500">
        <f>Reference!F$4</f>
        <v>2026</v>
      </c>
      <c r="AE4500" t="str">
        <f>IF(OR(SalesData[[#This Row],[Day]]="Saturday",SalesData[[#This Row],[Day]]="Sunday"),"Weekend","Weekday")</f>
        <v>Weekday</v>
      </c>
      <c r="AF4500" s="5">
        <f>IF(SalesData[[#This Row],[Contracts Offered]]=0,0,SalesData[[#This Row],[Contracts Signed]]/SalesData[[#This Row],[Contracts Offered]])</f>
        <v>0.41558441558441561</v>
      </c>
      <c r="AG4500" s="5">
        <f>IF(SalesData[[#This Row],[Customers Visited]]=0,0,SalesData[[#This Row],[Test Drives]]/SalesData[[#This Row],[Customers Visited]])</f>
        <v>0.502092050209205</v>
      </c>
      <c r="AH4500" s="5">
        <f>IF(SalesData[[#This Row],[Customers Visited]]=0,0,SalesData[[#This Row],[Contracts Signed]]/SalesData[[#This Row],[Customers Visited]])</f>
        <v>0.13389121338912133</v>
      </c>
      <c r="AI4500" s="6">
        <f>IF(SalesData[[#This Row],[Contracts Signed]]=0,0,SalesData[[#This Row],[Profit(€)]]/SalesData[[#This Row],[Contracts Signed]])</f>
        <v>11975</v>
      </c>
      <c r="AJ4500" s="5" t="str">
        <f>TRIM(CLEAN(SalesData[[#This Row],[Retailer]]))</f>
        <v>Main Auto Hub</v>
      </c>
    </row>
    <row r="4501" spans="1:36" ht="14.25" hidden="1" x14ac:dyDescent="0.2">
      <c r="A4501" t="s">
        <v>5769</v>
      </c>
      <c r="B4501" s="1">
        <v>46057</v>
      </c>
      <c r="C4501" t="s">
        <v>24</v>
      </c>
      <c r="D4501" t="s">
        <v>82</v>
      </c>
      <c r="E4501" t="s">
        <v>26</v>
      </c>
      <c r="F4501" t="s">
        <v>114</v>
      </c>
      <c r="G4501" t="s">
        <v>115</v>
      </c>
      <c r="H4501" t="s">
        <v>115</v>
      </c>
      <c r="I4501" t="s">
        <v>104</v>
      </c>
      <c r="J4501" t="s">
        <v>105</v>
      </c>
      <c r="K4501" t="s">
        <v>32</v>
      </c>
      <c r="L4501" t="s">
        <v>33</v>
      </c>
      <c r="M4501" t="s">
        <v>34</v>
      </c>
      <c r="N4501" t="s">
        <v>48</v>
      </c>
      <c r="O4501" t="s">
        <v>70</v>
      </c>
      <c r="P4501" t="s">
        <v>49</v>
      </c>
      <c r="Q4501" t="s">
        <v>158</v>
      </c>
      <c r="R4501">
        <v>362</v>
      </c>
      <c r="S4501">
        <v>172</v>
      </c>
      <c r="T4501">
        <v>102</v>
      </c>
      <c r="U4501">
        <v>25</v>
      </c>
      <c r="V4501" t="s">
        <v>180</v>
      </c>
      <c r="W4501">
        <v>30441</v>
      </c>
      <c r="X4501" t="s">
        <v>369</v>
      </c>
      <c r="Y4501">
        <v>27347</v>
      </c>
      <c r="Z4501">
        <v>761025</v>
      </c>
      <c r="AA4501">
        <v>77350</v>
      </c>
      <c r="AB4501" t="str">
        <f>(VLOOKUP(SalesData[[#This Row],[Month Number]],Reference!C$5:E$16,2,FALSE))</f>
        <v>Feb</v>
      </c>
      <c r="AC4501">
        <f>MONTH(SalesData[[#This Row],[Date]])</f>
        <v>2</v>
      </c>
      <c r="AD4501">
        <f>Reference!F$4</f>
        <v>2026</v>
      </c>
      <c r="AE4501" t="str">
        <f>IF(OR(SalesData[[#This Row],[Day]]="Saturday",SalesData[[#This Row],[Day]]="Sunday"),"Weekend","Weekday")</f>
        <v>Weekday</v>
      </c>
      <c r="AF4501" s="5">
        <f>IF(SalesData[[#This Row],[Contracts Offered]]=0,0,SalesData[[#This Row],[Contracts Signed]]/SalesData[[#This Row],[Contracts Offered]])</f>
        <v>0.24509803921568626</v>
      </c>
      <c r="AG4501" s="5">
        <f>IF(SalesData[[#This Row],[Customers Visited]]=0,0,SalesData[[#This Row],[Test Drives]]/SalesData[[#This Row],[Customers Visited]])</f>
        <v>0.47513812154696133</v>
      </c>
      <c r="AH4501" s="5">
        <f>IF(SalesData[[#This Row],[Customers Visited]]=0,0,SalesData[[#This Row],[Contracts Signed]]/SalesData[[#This Row],[Customers Visited]])</f>
        <v>6.9060773480662987E-2</v>
      </c>
      <c r="AI4501" s="6">
        <f>IF(SalesData[[#This Row],[Contracts Signed]]=0,0,SalesData[[#This Row],[Profit(€)]]/SalesData[[#This Row],[Contracts Signed]])</f>
        <v>3094</v>
      </c>
      <c r="AJ4501" s="5" t="str">
        <f>TRIM(CLEAN(SalesData[[#This Row],[Retailer]]))</f>
        <v>Elbe Drive</v>
      </c>
    </row>
    <row r="4502" spans="1:36" ht="14.25" hidden="1" x14ac:dyDescent="0.2">
      <c r="A4502" t="s">
        <v>5770</v>
      </c>
      <c r="B4502" s="1">
        <v>46078</v>
      </c>
      <c r="C4502" t="s">
        <v>53</v>
      </c>
      <c r="D4502" t="s">
        <v>82</v>
      </c>
      <c r="E4502" t="s">
        <v>26</v>
      </c>
      <c r="F4502" t="s">
        <v>7649</v>
      </c>
      <c r="G4502" t="s">
        <v>55</v>
      </c>
      <c r="H4502" t="s">
        <v>55</v>
      </c>
      <c r="I4502" t="s">
        <v>56</v>
      </c>
      <c r="J4502" t="s">
        <v>97</v>
      </c>
      <c r="K4502" t="s">
        <v>91</v>
      </c>
      <c r="L4502" t="s">
        <v>33</v>
      </c>
      <c r="M4502" t="s">
        <v>87</v>
      </c>
      <c r="N4502" t="s">
        <v>48</v>
      </c>
      <c r="O4502" t="s">
        <v>36</v>
      </c>
      <c r="P4502" t="s">
        <v>58</v>
      </c>
      <c r="Q4502" t="s">
        <v>158</v>
      </c>
      <c r="R4502">
        <v>202</v>
      </c>
      <c r="S4502">
        <v>121</v>
      </c>
      <c r="T4502">
        <v>84</v>
      </c>
      <c r="U4502">
        <v>31</v>
      </c>
      <c r="V4502" t="s">
        <v>6598</v>
      </c>
      <c r="W4502">
        <v>43814</v>
      </c>
      <c r="X4502" t="s">
        <v>7402</v>
      </c>
      <c r="Y4502">
        <v>34317</v>
      </c>
      <c r="Z4502">
        <v>1358234</v>
      </c>
      <c r="AA4502">
        <v>294407</v>
      </c>
      <c r="AB4502" t="str">
        <f>(VLOOKUP(SalesData[[#This Row],[Month Number]],Reference!C$5:E$16,2,FALSE))</f>
        <v>Feb</v>
      </c>
      <c r="AC4502">
        <f>MONTH(SalesData[[#This Row],[Date]])</f>
        <v>2</v>
      </c>
      <c r="AD4502">
        <f>Reference!F$4</f>
        <v>2026</v>
      </c>
      <c r="AE4502" t="str">
        <f>IF(OR(SalesData[[#This Row],[Day]]="Saturday",SalesData[[#This Row],[Day]]="Sunday"),"Weekend","Weekday")</f>
        <v>Weekday</v>
      </c>
      <c r="AF4502" s="5">
        <f>IF(SalesData[[#This Row],[Contracts Offered]]=0,0,SalesData[[#This Row],[Contracts Signed]]/SalesData[[#This Row],[Contracts Offered]])</f>
        <v>0.36904761904761907</v>
      </c>
      <c r="AG4502" s="5">
        <f>IF(SalesData[[#This Row],[Customers Visited]]=0,0,SalesData[[#This Row],[Test Drives]]/SalesData[[#This Row],[Customers Visited]])</f>
        <v>0.59900990099009899</v>
      </c>
      <c r="AH4502" s="5">
        <f>IF(SalesData[[#This Row],[Customers Visited]]=0,0,SalesData[[#This Row],[Contracts Signed]]/SalesData[[#This Row],[Customers Visited]])</f>
        <v>0.15346534653465346</v>
      </c>
      <c r="AI4502" s="6">
        <f>IF(SalesData[[#This Row],[Contracts Signed]]=0,0,SalesData[[#This Row],[Profit(€)]]/SalesData[[#This Row],[Contracts Signed]])</f>
        <v>9497</v>
      </c>
      <c r="AJ4502" s="5" t="str">
        <f>TRIM(CLEAN(SalesData[[#This Row],[Retailer]]))</f>
        <v>Autohaus Berlin</v>
      </c>
    </row>
    <row r="4503" spans="1:36" ht="14.25" x14ac:dyDescent="0.2">
      <c r="A4503" t="s">
        <v>5771</v>
      </c>
      <c r="B4503" s="1">
        <v>46081</v>
      </c>
      <c r="C4503" t="s">
        <v>53</v>
      </c>
      <c r="D4503" t="s">
        <v>151</v>
      </c>
      <c r="E4503" t="s">
        <v>42</v>
      </c>
      <c r="F4503" t="s">
        <v>94</v>
      </c>
      <c r="G4503" t="s">
        <v>95</v>
      </c>
      <c r="H4503" t="s">
        <v>96</v>
      </c>
      <c r="I4503" t="s">
        <v>30</v>
      </c>
      <c r="J4503" t="s">
        <v>7075</v>
      </c>
      <c r="K4503" t="s">
        <v>32</v>
      </c>
      <c r="L4503" t="s">
        <v>33</v>
      </c>
      <c r="M4503" t="s">
        <v>47</v>
      </c>
      <c r="N4503" t="s">
        <v>69</v>
      </c>
      <c r="O4503" t="s">
        <v>70</v>
      </c>
      <c r="P4503" t="s">
        <v>58</v>
      </c>
      <c r="Q4503" t="s">
        <v>167</v>
      </c>
      <c r="R4503">
        <v>168</v>
      </c>
      <c r="S4503">
        <v>86</v>
      </c>
      <c r="T4503">
        <v>61</v>
      </c>
      <c r="U4503">
        <v>28</v>
      </c>
      <c r="V4503" t="s">
        <v>7560</v>
      </c>
      <c r="W4503">
        <v>62050</v>
      </c>
      <c r="X4503" t="s">
        <v>7033</v>
      </c>
      <c r="Y4503">
        <v>47203</v>
      </c>
      <c r="Z4503">
        <v>1737400</v>
      </c>
      <c r="AA4503">
        <v>415716</v>
      </c>
      <c r="AB4503" t="str">
        <f>(VLOOKUP(SalesData[[#This Row],[Month Number]],Reference!C$5:E$16,2,FALSE))</f>
        <v>Feb</v>
      </c>
      <c r="AC4503">
        <f>MONTH(SalesData[[#This Row],[Date]])</f>
        <v>2</v>
      </c>
      <c r="AD4503">
        <f>Reference!F$4</f>
        <v>2026</v>
      </c>
      <c r="AE4503" t="str">
        <f>IF(OR(SalesData[[#This Row],[Day]]="Saturday",SalesData[[#This Row],[Day]]="Sunday"),"Weekend","Weekday")</f>
        <v>Weekend</v>
      </c>
      <c r="AF4503" s="5">
        <f>IF(SalesData[[#This Row],[Contracts Offered]]=0,0,SalesData[[#This Row],[Contracts Signed]]/SalesData[[#This Row],[Contracts Offered]])</f>
        <v>0.45901639344262296</v>
      </c>
      <c r="AG4503" s="5">
        <f>IF(SalesData[[#This Row],[Customers Visited]]=0,0,SalesData[[#This Row],[Test Drives]]/SalesData[[#This Row],[Customers Visited]])</f>
        <v>0.51190476190476186</v>
      </c>
      <c r="AH4503" s="5">
        <f>IF(SalesData[[#This Row],[Customers Visited]]=0,0,SalesData[[#This Row],[Contracts Signed]]/SalesData[[#This Row],[Customers Visited]])</f>
        <v>0.16666666666666666</v>
      </c>
      <c r="AI4503" s="6">
        <f>IF(SalesData[[#This Row],[Contracts Signed]]=0,0,SalesData[[#This Row],[Profit(€)]]/SalesData[[#This Row],[Contracts Signed]])</f>
        <v>14847</v>
      </c>
      <c r="AJ4503" s="5" t="str">
        <f>TRIM(CLEAN(SalesData[[#This Row],[Retailer]]))</f>
        <v>Bavaria Motors</v>
      </c>
    </row>
    <row r="4504" spans="1:36" ht="14.25" hidden="1" x14ac:dyDescent="0.2">
      <c r="A4504" t="s">
        <v>5772</v>
      </c>
      <c r="B4504" s="1">
        <v>46060</v>
      </c>
      <c r="C4504" t="s">
        <v>24</v>
      </c>
      <c r="D4504" t="s">
        <v>151</v>
      </c>
      <c r="E4504" t="s">
        <v>42</v>
      </c>
      <c r="F4504" t="s">
        <v>109</v>
      </c>
      <c r="G4504" t="s">
        <v>110</v>
      </c>
      <c r="H4504" t="s">
        <v>45</v>
      </c>
      <c r="I4504" t="s">
        <v>64</v>
      </c>
      <c r="J4504" t="s">
        <v>7029</v>
      </c>
      <c r="K4504" t="s">
        <v>66</v>
      </c>
      <c r="L4504" t="s">
        <v>33</v>
      </c>
      <c r="M4504" t="s">
        <v>87</v>
      </c>
      <c r="N4504" t="s">
        <v>69</v>
      </c>
      <c r="O4504" t="s">
        <v>70</v>
      </c>
      <c r="P4504" t="s">
        <v>58</v>
      </c>
      <c r="Q4504" t="s">
        <v>79</v>
      </c>
      <c r="R4504">
        <v>231</v>
      </c>
      <c r="S4504">
        <v>122</v>
      </c>
      <c r="T4504">
        <v>97</v>
      </c>
      <c r="U4504">
        <v>30</v>
      </c>
      <c r="V4504" t="s">
        <v>6481</v>
      </c>
      <c r="W4504">
        <v>58721</v>
      </c>
      <c r="X4504" t="s">
        <v>7035</v>
      </c>
      <c r="Y4504">
        <v>42180</v>
      </c>
      <c r="Z4504">
        <v>1761630</v>
      </c>
      <c r="AA4504">
        <v>496230</v>
      </c>
      <c r="AB4504" t="str">
        <f>(VLOOKUP(SalesData[[#This Row],[Month Number]],Reference!C$5:E$16,2,FALSE))</f>
        <v>Feb</v>
      </c>
      <c r="AC4504">
        <f>MONTH(SalesData[[#This Row],[Date]])</f>
        <v>2</v>
      </c>
      <c r="AD4504">
        <f>Reference!F$4</f>
        <v>2026</v>
      </c>
      <c r="AE4504" t="str">
        <f>IF(OR(SalesData[[#This Row],[Day]]="Saturday",SalesData[[#This Row],[Day]]="Sunday"),"Weekend","Weekday")</f>
        <v>Weekend</v>
      </c>
      <c r="AF4504" s="5">
        <f>IF(SalesData[[#This Row],[Contracts Offered]]=0,0,SalesData[[#This Row],[Contracts Signed]]/SalesData[[#This Row],[Contracts Offered]])</f>
        <v>0.30927835051546393</v>
      </c>
      <c r="AG4504" s="5">
        <f>IF(SalesData[[#This Row],[Customers Visited]]=0,0,SalesData[[#This Row],[Test Drives]]/SalesData[[#This Row],[Customers Visited]])</f>
        <v>0.52813852813852813</v>
      </c>
      <c r="AH4504" s="5">
        <f>IF(SalesData[[#This Row],[Customers Visited]]=0,0,SalesData[[#This Row],[Contracts Signed]]/SalesData[[#This Row],[Customers Visited]])</f>
        <v>0.12987012987012986</v>
      </c>
      <c r="AI4504" s="6">
        <f>IF(SalesData[[#This Row],[Contracts Signed]]=0,0,SalesData[[#This Row],[Profit(€)]]/SalesData[[#This Row],[Contracts Signed]])</f>
        <v>16541</v>
      </c>
      <c r="AJ4504" s="5" t="str">
        <f>TRIM(CLEAN(SalesData[[#This Row],[Retailer]]))</f>
        <v>Leipzig Mobility</v>
      </c>
    </row>
    <row r="4505" spans="1:36" ht="14.25" x14ac:dyDescent="0.2">
      <c r="A4505" t="s">
        <v>5773</v>
      </c>
      <c r="B4505" s="1">
        <v>46056</v>
      </c>
      <c r="C4505" t="s">
        <v>24</v>
      </c>
      <c r="D4505" t="s">
        <v>63</v>
      </c>
      <c r="E4505" t="s">
        <v>26</v>
      </c>
      <c r="F4505" t="s">
        <v>74</v>
      </c>
      <c r="G4505" t="s">
        <v>75</v>
      </c>
      <c r="H4505" t="s">
        <v>76</v>
      </c>
      <c r="I4505" t="s">
        <v>30</v>
      </c>
      <c r="J4505" t="s">
        <v>166</v>
      </c>
      <c r="K4505" t="s">
        <v>32</v>
      </c>
      <c r="L4505" t="s">
        <v>46</v>
      </c>
      <c r="M4505" t="s">
        <v>34</v>
      </c>
      <c r="N4505" t="s">
        <v>35</v>
      </c>
      <c r="O4505" t="s">
        <v>36</v>
      </c>
      <c r="P4505" t="s">
        <v>58</v>
      </c>
      <c r="Q4505" t="s">
        <v>144</v>
      </c>
      <c r="R4505">
        <v>186</v>
      </c>
      <c r="S4505">
        <v>91</v>
      </c>
      <c r="T4505">
        <v>74</v>
      </c>
      <c r="U4505">
        <v>29</v>
      </c>
      <c r="V4505" t="s">
        <v>7414</v>
      </c>
      <c r="W4505">
        <v>59227</v>
      </c>
      <c r="X4505" t="s">
        <v>3364</v>
      </c>
      <c r="Y4505">
        <v>42380</v>
      </c>
      <c r="Z4505">
        <v>1717583</v>
      </c>
      <c r="AA4505">
        <v>488563</v>
      </c>
      <c r="AB4505" t="str">
        <f>(VLOOKUP(SalesData[[#This Row],[Month Number]],Reference!C$5:E$16,2,FALSE))</f>
        <v>Feb</v>
      </c>
      <c r="AC4505">
        <f>MONTH(SalesData[[#This Row],[Date]])</f>
        <v>2</v>
      </c>
      <c r="AD4505">
        <f>Reference!F$4</f>
        <v>2026</v>
      </c>
      <c r="AE4505" t="str">
        <f>IF(OR(SalesData[[#This Row],[Day]]="Saturday",SalesData[[#This Row],[Day]]="Sunday"),"Weekend","Weekday")</f>
        <v>Weekday</v>
      </c>
      <c r="AF4505" s="5">
        <f>IF(SalesData[[#This Row],[Contracts Offered]]=0,0,SalesData[[#This Row],[Contracts Signed]]/SalesData[[#This Row],[Contracts Offered]])</f>
        <v>0.39189189189189189</v>
      </c>
      <c r="AG4505" s="5">
        <f>IF(SalesData[[#This Row],[Customers Visited]]=0,0,SalesData[[#This Row],[Test Drives]]/SalesData[[#This Row],[Customers Visited]])</f>
        <v>0.489247311827957</v>
      </c>
      <c r="AH4505" s="5">
        <f>IF(SalesData[[#This Row],[Customers Visited]]=0,0,SalesData[[#This Row],[Contracts Signed]]/SalesData[[#This Row],[Customers Visited]])</f>
        <v>0.15591397849462366</v>
      </c>
      <c r="AI4505" s="6">
        <f>IF(SalesData[[#This Row],[Contracts Signed]]=0,0,SalesData[[#This Row],[Profit(€)]]/SalesData[[#This Row],[Contracts Signed]])</f>
        <v>16847</v>
      </c>
      <c r="AJ4505" s="5" t="str">
        <f>TRIM(CLEAN(SalesData[[#This Row],[Retailer]]))</f>
        <v>Stuttgart Auto Center</v>
      </c>
    </row>
    <row r="4506" spans="1:36" ht="14.25" hidden="1" x14ac:dyDescent="0.2">
      <c r="A4506" t="s">
        <v>5774</v>
      </c>
      <c r="B4506" s="1">
        <v>46063</v>
      </c>
      <c r="C4506" t="s">
        <v>121</v>
      </c>
      <c r="D4506" t="s">
        <v>63</v>
      </c>
      <c r="E4506" t="s">
        <v>26</v>
      </c>
      <c r="F4506" t="s">
        <v>101</v>
      </c>
      <c r="G4506" t="s">
        <v>102</v>
      </c>
      <c r="H4506" t="s">
        <v>103</v>
      </c>
      <c r="I4506" t="s">
        <v>104</v>
      </c>
      <c r="J4506" t="s">
        <v>143</v>
      </c>
      <c r="K4506" t="s">
        <v>91</v>
      </c>
      <c r="L4506" t="s">
        <v>67</v>
      </c>
      <c r="M4506" t="s">
        <v>47</v>
      </c>
      <c r="N4506" t="s">
        <v>35</v>
      </c>
      <c r="O4506" t="s">
        <v>36</v>
      </c>
      <c r="P4506" t="s">
        <v>58</v>
      </c>
      <c r="Q4506" t="s">
        <v>118</v>
      </c>
      <c r="R4506">
        <v>484</v>
      </c>
      <c r="S4506">
        <v>232</v>
      </c>
      <c r="T4506">
        <v>141</v>
      </c>
      <c r="U4506">
        <v>46</v>
      </c>
      <c r="V4506" t="s">
        <v>1976</v>
      </c>
      <c r="W4506">
        <v>26784</v>
      </c>
      <c r="X4506" t="s">
        <v>7079</v>
      </c>
      <c r="Y4506">
        <v>24368</v>
      </c>
      <c r="Z4506">
        <v>1232064</v>
      </c>
      <c r="AA4506">
        <v>111136</v>
      </c>
      <c r="AB4506" t="str">
        <f>(VLOOKUP(SalesData[[#This Row],[Month Number]],Reference!C$5:E$16,2,FALSE))</f>
        <v>Feb</v>
      </c>
      <c r="AC4506">
        <f>MONTH(SalesData[[#This Row],[Date]])</f>
        <v>2</v>
      </c>
      <c r="AD4506">
        <f>Reference!F$4</f>
        <v>2026</v>
      </c>
      <c r="AE4506" t="str">
        <f>IF(OR(SalesData[[#This Row],[Day]]="Saturday",SalesData[[#This Row],[Day]]="Sunday"),"Weekend","Weekday")</f>
        <v>Weekday</v>
      </c>
      <c r="AF4506" s="5">
        <f>IF(SalesData[[#This Row],[Contracts Offered]]=0,0,SalesData[[#This Row],[Contracts Signed]]/SalesData[[#This Row],[Contracts Offered]])</f>
        <v>0.32624113475177308</v>
      </c>
      <c r="AG4506" s="5">
        <f>IF(SalesData[[#This Row],[Customers Visited]]=0,0,SalesData[[#This Row],[Test Drives]]/SalesData[[#This Row],[Customers Visited]])</f>
        <v>0.47933884297520662</v>
      </c>
      <c r="AH4506" s="5">
        <f>IF(SalesData[[#This Row],[Customers Visited]]=0,0,SalesData[[#This Row],[Contracts Signed]]/SalesData[[#This Row],[Customers Visited]])</f>
        <v>9.5041322314049589E-2</v>
      </c>
      <c r="AI4506" s="6">
        <f>IF(SalesData[[#This Row],[Contracts Signed]]=0,0,SalesData[[#This Row],[Profit(€)]]/SalesData[[#This Row],[Contracts Signed]])</f>
        <v>2416</v>
      </c>
      <c r="AJ4506" s="5" t="str">
        <f>TRIM(CLEAN(SalesData[[#This Row],[Retailer]]))</f>
        <v>Ruhr Auto Plaza</v>
      </c>
    </row>
    <row r="4507" spans="1:36" ht="14.25" hidden="1" x14ac:dyDescent="0.2">
      <c r="A4507" t="s">
        <v>5775</v>
      </c>
      <c r="B4507" s="1">
        <v>46073</v>
      </c>
      <c r="C4507" t="s">
        <v>62</v>
      </c>
      <c r="D4507" t="s">
        <v>54</v>
      </c>
      <c r="E4507" t="s">
        <v>26</v>
      </c>
      <c r="F4507" t="s">
        <v>74</v>
      </c>
      <c r="G4507" t="s">
        <v>75</v>
      </c>
      <c r="H4507" t="s">
        <v>76</v>
      </c>
      <c r="I4507" t="s">
        <v>104</v>
      </c>
      <c r="J4507" t="s">
        <v>7031</v>
      </c>
      <c r="K4507" t="s">
        <v>91</v>
      </c>
      <c r="L4507" t="s">
        <v>46</v>
      </c>
      <c r="M4507" t="s">
        <v>68</v>
      </c>
      <c r="N4507" t="s">
        <v>48</v>
      </c>
      <c r="O4507" t="s">
        <v>70</v>
      </c>
      <c r="P4507" t="s">
        <v>58</v>
      </c>
      <c r="Q4507" t="s">
        <v>106</v>
      </c>
      <c r="R4507">
        <v>331</v>
      </c>
      <c r="S4507">
        <v>153</v>
      </c>
      <c r="T4507">
        <v>98</v>
      </c>
      <c r="U4507">
        <v>30</v>
      </c>
      <c r="V4507" t="s">
        <v>1030</v>
      </c>
      <c r="W4507">
        <v>30803</v>
      </c>
      <c r="X4507" t="s">
        <v>7446</v>
      </c>
      <c r="Y4507">
        <v>27704</v>
      </c>
      <c r="Z4507">
        <v>924090</v>
      </c>
      <c r="AA4507">
        <v>92970</v>
      </c>
      <c r="AB4507" t="str">
        <f>(VLOOKUP(SalesData[[#This Row],[Month Number]],Reference!C$5:E$16,2,FALSE))</f>
        <v>Feb</v>
      </c>
      <c r="AC4507">
        <f>MONTH(SalesData[[#This Row],[Date]])</f>
        <v>2</v>
      </c>
      <c r="AD4507">
        <f>Reference!F$4</f>
        <v>2026</v>
      </c>
      <c r="AE4507" t="str">
        <f>IF(OR(SalesData[[#This Row],[Day]]="Saturday",SalesData[[#This Row],[Day]]="Sunday"),"Weekend","Weekday")</f>
        <v>Weekday</v>
      </c>
      <c r="AF4507" s="5">
        <f>IF(SalesData[[#This Row],[Contracts Offered]]=0,0,SalesData[[#This Row],[Contracts Signed]]/SalesData[[#This Row],[Contracts Offered]])</f>
        <v>0.30612244897959184</v>
      </c>
      <c r="AG4507" s="5">
        <f>IF(SalesData[[#This Row],[Customers Visited]]=0,0,SalesData[[#This Row],[Test Drives]]/SalesData[[#This Row],[Customers Visited]])</f>
        <v>0.46223564954682778</v>
      </c>
      <c r="AH4507" s="5">
        <f>IF(SalesData[[#This Row],[Customers Visited]]=0,0,SalesData[[#This Row],[Contracts Signed]]/SalesData[[#This Row],[Customers Visited]])</f>
        <v>9.0634441087613288E-2</v>
      </c>
      <c r="AI4507" s="6">
        <f>IF(SalesData[[#This Row],[Contracts Signed]]=0,0,SalesData[[#This Row],[Profit(€)]]/SalesData[[#This Row],[Contracts Signed]])</f>
        <v>3099</v>
      </c>
      <c r="AJ4507" s="5" t="str">
        <f>TRIM(CLEAN(SalesData[[#This Row],[Retailer]]))</f>
        <v>Stuttgart Auto Center</v>
      </c>
    </row>
    <row r="4508" spans="1:36" ht="14.25" hidden="1" x14ac:dyDescent="0.2">
      <c r="A4508" t="s">
        <v>5776</v>
      </c>
      <c r="B4508" s="1">
        <v>46059</v>
      </c>
      <c r="C4508" t="s">
        <v>24</v>
      </c>
      <c r="D4508" t="s">
        <v>54</v>
      </c>
      <c r="E4508" t="s">
        <v>26</v>
      </c>
      <c r="F4508" t="s">
        <v>127</v>
      </c>
      <c r="G4508" t="s">
        <v>128</v>
      </c>
      <c r="H4508" t="s">
        <v>103</v>
      </c>
      <c r="I4508" t="s">
        <v>116</v>
      </c>
      <c r="J4508" t="s">
        <v>132</v>
      </c>
      <c r="K4508" t="s">
        <v>91</v>
      </c>
      <c r="L4508" t="s">
        <v>46</v>
      </c>
      <c r="M4508" t="s">
        <v>68</v>
      </c>
      <c r="N4508" t="s">
        <v>35</v>
      </c>
      <c r="O4508" t="s">
        <v>70</v>
      </c>
      <c r="P4508" t="s">
        <v>58</v>
      </c>
      <c r="Q4508" t="s">
        <v>135</v>
      </c>
      <c r="R4508">
        <v>408</v>
      </c>
      <c r="S4508">
        <v>166</v>
      </c>
      <c r="T4508">
        <v>100</v>
      </c>
      <c r="U4508">
        <v>32</v>
      </c>
      <c r="V4508" t="s">
        <v>886</v>
      </c>
      <c r="W4508">
        <v>21772</v>
      </c>
      <c r="X4508" t="s">
        <v>329</v>
      </c>
      <c r="Y4508">
        <v>19428</v>
      </c>
      <c r="Z4508">
        <v>696704</v>
      </c>
      <c r="AA4508">
        <v>75008</v>
      </c>
      <c r="AB4508" t="str">
        <f>(VLOOKUP(SalesData[[#This Row],[Month Number]],Reference!C$5:E$16,2,FALSE))</f>
        <v>Feb</v>
      </c>
      <c r="AC4508">
        <f>MONTH(SalesData[[#This Row],[Date]])</f>
        <v>2</v>
      </c>
      <c r="AD4508">
        <f>Reference!F$4</f>
        <v>2026</v>
      </c>
      <c r="AE4508" t="str">
        <f>IF(OR(SalesData[[#This Row],[Day]]="Saturday",SalesData[[#This Row],[Day]]="Sunday"),"Weekend","Weekday")</f>
        <v>Weekday</v>
      </c>
      <c r="AF4508" s="5">
        <f>IF(SalesData[[#This Row],[Contracts Offered]]=0,0,SalesData[[#This Row],[Contracts Signed]]/SalesData[[#This Row],[Contracts Offered]])</f>
        <v>0.32</v>
      </c>
      <c r="AG4508" s="5">
        <f>IF(SalesData[[#This Row],[Customers Visited]]=0,0,SalesData[[#This Row],[Test Drives]]/SalesData[[#This Row],[Customers Visited]])</f>
        <v>0.40686274509803921</v>
      </c>
      <c r="AH4508" s="5">
        <f>IF(SalesData[[#This Row],[Customers Visited]]=0,0,SalesData[[#This Row],[Contracts Signed]]/SalesData[[#This Row],[Customers Visited]])</f>
        <v>7.8431372549019607E-2</v>
      </c>
      <c r="AI4508" s="6">
        <f>IF(SalesData[[#This Row],[Contracts Signed]]=0,0,SalesData[[#This Row],[Profit(€)]]/SalesData[[#This Row],[Contracts Signed]])</f>
        <v>2344</v>
      </c>
      <c r="AJ4508" s="5" t="str">
        <f>TRIM(CLEAN(SalesData[[#This Row],[Retailer]]))</f>
        <v>Rhein Auto Group</v>
      </c>
    </row>
    <row r="4509" spans="1:36" ht="14.25" hidden="1" x14ac:dyDescent="0.2">
      <c r="A4509" t="s">
        <v>5777</v>
      </c>
      <c r="B4509" s="1">
        <v>46070</v>
      </c>
      <c r="C4509" t="s">
        <v>62</v>
      </c>
      <c r="D4509" t="s">
        <v>63</v>
      </c>
      <c r="E4509" t="s">
        <v>26</v>
      </c>
      <c r="F4509" t="s">
        <v>127</v>
      </c>
      <c r="G4509" t="s">
        <v>128</v>
      </c>
      <c r="H4509" t="s">
        <v>103</v>
      </c>
      <c r="I4509" t="s">
        <v>104</v>
      </c>
      <c r="J4509" t="s">
        <v>143</v>
      </c>
      <c r="K4509" t="s">
        <v>78</v>
      </c>
      <c r="L4509" t="s">
        <v>67</v>
      </c>
      <c r="M4509" t="s">
        <v>47</v>
      </c>
      <c r="N4509" t="s">
        <v>35</v>
      </c>
      <c r="O4509" t="s">
        <v>36</v>
      </c>
      <c r="P4509" t="s">
        <v>49</v>
      </c>
      <c r="Q4509" t="s">
        <v>88</v>
      </c>
      <c r="R4509">
        <v>299</v>
      </c>
      <c r="S4509">
        <v>141</v>
      </c>
      <c r="T4509">
        <v>83</v>
      </c>
      <c r="U4509">
        <v>23</v>
      </c>
      <c r="V4509" t="s">
        <v>6529</v>
      </c>
      <c r="W4509">
        <v>32265</v>
      </c>
      <c r="X4509" t="s">
        <v>7618</v>
      </c>
      <c r="Y4509">
        <v>28829</v>
      </c>
      <c r="Z4509">
        <v>742095</v>
      </c>
      <c r="AA4509">
        <v>79028</v>
      </c>
      <c r="AB4509" t="str">
        <f>(VLOOKUP(SalesData[[#This Row],[Month Number]],Reference!C$5:E$16,2,FALSE))</f>
        <v>Feb</v>
      </c>
      <c r="AC4509">
        <f>MONTH(SalesData[[#This Row],[Date]])</f>
        <v>2</v>
      </c>
      <c r="AD4509">
        <f>Reference!F$4</f>
        <v>2026</v>
      </c>
      <c r="AE4509" t="str">
        <f>IF(OR(SalesData[[#This Row],[Day]]="Saturday",SalesData[[#This Row],[Day]]="Sunday"),"Weekend","Weekday")</f>
        <v>Weekday</v>
      </c>
      <c r="AF4509" s="5">
        <f>IF(SalesData[[#This Row],[Contracts Offered]]=0,0,SalesData[[#This Row],[Contracts Signed]]/SalesData[[#This Row],[Contracts Offered]])</f>
        <v>0.27710843373493976</v>
      </c>
      <c r="AG4509" s="5">
        <f>IF(SalesData[[#This Row],[Customers Visited]]=0,0,SalesData[[#This Row],[Test Drives]]/SalesData[[#This Row],[Customers Visited]])</f>
        <v>0.47157190635451507</v>
      </c>
      <c r="AH4509" s="5">
        <f>IF(SalesData[[#This Row],[Customers Visited]]=0,0,SalesData[[#This Row],[Contracts Signed]]/SalesData[[#This Row],[Customers Visited]])</f>
        <v>7.6923076923076927E-2</v>
      </c>
      <c r="AI4509" s="6">
        <f>IF(SalesData[[#This Row],[Contracts Signed]]=0,0,SalesData[[#This Row],[Profit(€)]]/SalesData[[#This Row],[Contracts Signed]])</f>
        <v>3436</v>
      </c>
      <c r="AJ4509" s="5" t="str">
        <f>TRIM(CLEAN(SalesData[[#This Row],[Retailer]]))</f>
        <v>Rhein Auto Group</v>
      </c>
    </row>
    <row r="4510" spans="1:36" ht="14.25" hidden="1" x14ac:dyDescent="0.2">
      <c r="A4510" t="s">
        <v>5778</v>
      </c>
      <c r="B4510" s="1">
        <v>46066</v>
      </c>
      <c r="C4510" t="s">
        <v>121</v>
      </c>
      <c r="D4510" t="s">
        <v>54</v>
      </c>
      <c r="E4510" t="s">
        <v>26</v>
      </c>
      <c r="F4510" t="s">
        <v>7649</v>
      </c>
      <c r="G4510" t="s">
        <v>55</v>
      </c>
      <c r="H4510" t="s">
        <v>55</v>
      </c>
      <c r="I4510" t="s">
        <v>64</v>
      </c>
      <c r="J4510" t="s">
        <v>7029</v>
      </c>
      <c r="K4510" t="s">
        <v>91</v>
      </c>
      <c r="L4510" t="s">
        <v>33</v>
      </c>
      <c r="M4510" t="s">
        <v>68</v>
      </c>
      <c r="N4510" t="s">
        <v>48</v>
      </c>
      <c r="O4510" t="s">
        <v>70</v>
      </c>
      <c r="P4510" t="s">
        <v>58</v>
      </c>
      <c r="Q4510" t="s">
        <v>129</v>
      </c>
      <c r="R4510">
        <v>234</v>
      </c>
      <c r="S4510">
        <v>106</v>
      </c>
      <c r="T4510">
        <v>73</v>
      </c>
      <c r="U4510">
        <v>29</v>
      </c>
      <c r="V4510" t="s">
        <v>6717</v>
      </c>
      <c r="W4510">
        <v>72780</v>
      </c>
      <c r="X4510" t="s">
        <v>7436</v>
      </c>
      <c r="Y4510">
        <v>55383</v>
      </c>
      <c r="Z4510">
        <v>2110620</v>
      </c>
      <c r="AA4510">
        <v>504513</v>
      </c>
      <c r="AB4510" t="str">
        <f>(VLOOKUP(SalesData[[#This Row],[Month Number]],Reference!C$5:E$16,2,FALSE))</f>
        <v>Feb</v>
      </c>
      <c r="AC4510">
        <f>MONTH(SalesData[[#This Row],[Date]])</f>
        <v>2</v>
      </c>
      <c r="AD4510">
        <f>Reference!F$4</f>
        <v>2026</v>
      </c>
      <c r="AE4510" t="str">
        <f>IF(OR(SalesData[[#This Row],[Day]]="Saturday",SalesData[[#This Row],[Day]]="Sunday"),"Weekend","Weekday")</f>
        <v>Weekday</v>
      </c>
      <c r="AF4510" s="5">
        <f>IF(SalesData[[#This Row],[Contracts Offered]]=0,0,SalesData[[#This Row],[Contracts Signed]]/SalesData[[#This Row],[Contracts Offered]])</f>
        <v>0.39726027397260272</v>
      </c>
      <c r="AG4510" s="5">
        <f>IF(SalesData[[#This Row],[Customers Visited]]=0,0,SalesData[[#This Row],[Test Drives]]/SalesData[[#This Row],[Customers Visited]])</f>
        <v>0.45299145299145299</v>
      </c>
      <c r="AH4510" s="5">
        <f>IF(SalesData[[#This Row],[Customers Visited]]=0,0,SalesData[[#This Row],[Contracts Signed]]/SalesData[[#This Row],[Customers Visited]])</f>
        <v>0.12393162393162394</v>
      </c>
      <c r="AI4510" s="6">
        <f>IF(SalesData[[#This Row],[Contracts Signed]]=0,0,SalesData[[#This Row],[Profit(€)]]/SalesData[[#This Row],[Contracts Signed]])</f>
        <v>17397</v>
      </c>
      <c r="AJ4510" s="5" t="str">
        <f>TRIM(CLEAN(SalesData[[#This Row],[Retailer]]))</f>
        <v>Autohaus Berlin</v>
      </c>
    </row>
    <row r="4511" spans="1:36" ht="14.25" hidden="1" x14ac:dyDescent="0.2">
      <c r="A4511" t="s">
        <v>5779</v>
      </c>
      <c r="B4511" s="1">
        <v>46057</v>
      </c>
      <c r="C4511" t="s">
        <v>24</v>
      </c>
      <c r="D4511" t="s">
        <v>82</v>
      </c>
      <c r="E4511" t="s">
        <v>26</v>
      </c>
      <c r="F4511" t="s">
        <v>74</v>
      </c>
      <c r="G4511" t="s">
        <v>75</v>
      </c>
      <c r="H4511" t="s">
        <v>76</v>
      </c>
      <c r="I4511" t="s">
        <v>104</v>
      </c>
      <c r="J4511" t="s">
        <v>7031</v>
      </c>
      <c r="K4511" t="s">
        <v>66</v>
      </c>
      <c r="L4511" t="s">
        <v>46</v>
      </c>
      <c r="M4511" t="s">
        <v>68</v>
      </c>
      <c r="N4511" t="s">
        <v>48</v>
      </c>
      <c r="O4511" t="s">
        <v>70</v>
      </c>
      <c r="P4511" t="s">
        <v>49</v>
      </c>
      <c r="Q4511" t="s">
        <v>204</v>
      </c>
      <c r="R4511">
        <v>284</v>
      </c>
      <c r="S4511">
        <v>152</v>
      </c>
      <c r="T4511">
        <v>109</v>
      </c>
      <c r="U4511">
        <v>23</v>
      </c>
      <c r="V4511" t="s">
        <v>2601</v>
      </c>
      <c r="W4511">
        <v>31514</v>
      </c>
      <c r="X4511" t="s">
        <v>7543</v>
      </c>
      <c r="Y4511">
        <v>27182</v>
      </c>
      <c r="Z4511">
        <v>724822</v>
      </c>
      <c r="AA4511">
        <v>99636</v>
      </c>
      <c r="AB4511" t="str">
        <f>(VLOOKUP(SalesData[[#This Row],[Month Number]],Reference!C$5:E$16,2,FALSE))</f>
        <v>Feb</v>
      </c>
      <c r="AC4511">
        <f>MONTH(SalesData[[#This Row],[Date]])</f>
        <v>2</v>
      </c>
      <c r="AD4511">
        <f>Reference!F$4</f>
        <v>2026</v>
      </c>
      <c r="AE4511" t="str">
        <f>IF(OR(SalesData[[#This Row],[Day]]="Saturday",SalesData[[#This Row],[Day]]="Sunday"),"Weekend","Weekday")</f>
        <v>Weekday</v>
      </c>
      <c r="AF4511" s="5">
        <f>IF(SalesData[[#This Row],[Contracts Offered]]=0,0,SalesData[[#This Row],[Contracts Signed]]/SalesData[[#This Row],[Contracts Offered]])</f>
        <v>0.21100917431192662</v>
      </c>
      <c r="AG4511" s="5">
        <f>IF(SalesData[[#This Row],[Customers Visited]]=0,0,SalesData[[#This Row],[Test Drives]]/SalesData[[#This Row],[Customers Visited]])</f>
        <v>0.53521126760563376</v>
      </c>
      <c r="AH4511" s="5">
        <f>IF(SalesData[[#This Row],[Customers Visited]]=0,0,SalesData[[#This Row],[Contracts Signed]]/SalesData[[#This Row],[Customers Visited]])</f>
        <v>8.098591549295775E-2</v>
      </c>
      <c r="AI4511" s="6">
        <f>IF(SalesData[[#This Row],[Contracts Signed]]=0,0,SalesData[[#This Row],[Profit(€)]]/SalesData[[#This Row],[Contracts Signed]])</f>
        <v>4332</v>
      </c>
      <c r="AJ4511" s="5" t="str">
        <f>TRIM(CLEAN(SalesData[[#This Row],[Retailer]]))</f>
        <v>Stuttgart Auto Center</v>
      </c>
    </row>
    <row r="4512" spans="1:36" ht="14.25" hidden="1" x14ac:dyDescent="0.2">
      <c r="A4512" t="s">
        <v>5780</v>
      </c>
      <c r="B4512" s="1">
        <v>46059</v>
      </c>
      <c r="C4512" t="s">
        <v>24</v>
      </c>
      <c r="D4512" t="s">
        <v>54</v>
      </c>
      <c r="E4512" t="s">
        <v>26</v>
      </c>
      <c r="F4512" t="s">
        <v>127</v>
      </c>
      <c r="G4512" t="s">
        <v>128</v>
      </c>
      <c r="H4512" t="s">
        <v>103</v>
      </c>
      <c r="I4512" t="s">
        <v>56</v>
      </c>
      <c r="J4512" t="s">
        <v>7028</v>
      </c>
      <c r="K4512" t="s">
        <v>91</v>
      </c>
      <c r="L4512" t="s">
        <v>46</v>
      </c>
      <c r="M4512" t="s">
        <v>68</v>
      </c>
      <c r="N4512" t="s">
        <v>48</v>
      </c>
      <c r="O4512" t="s">
        <v>70</v>
      </c>
      <c r="P4512" t="s">
        <v>58</v>
      </c>
      <c r="Q4512" t="s">
        <v>38</v>
      </c>
      <c r="R4512">
        <v>200</v>
      </c>
      <c r="S4512">
        <v>104</v>
      </c>
      <c r="T4512">
        <v>74</v>
      </c>
      <c r="U4512">
        <v>27</v>
      </c>
      <c r="V4512" t="s">
        <v>6635</v>
      </c>
      <c r="W4512">
        <v>49646</v>
      </c>
      <c r="X4512" t="s">
        <v>7555</v>
      </c>
      <c r="Y4512">
        <v>40015</v>
      </c>
      <c r="Z4512">
        <v>1340442</v>
      </c>
      <c r="AA4512">
        <v>260037</v>
      </c>
      <c r="AB4512" t="str">
        <f>(VLOOKUP(SalesData[[#This Row],[Month Number]],Reference!C$5:E$16,2,FALSE))</f>
        <v>Feb</v>
      </c>
      <c r="AC4512">
        <f>MONTH(SalesData[[#This Row],[Date]])</f>
        <v>2</v>
      </c>
      <c r="AD4512">
        <f>Reference!F$4</f>
        <v>2026</v>
      </c>
      <c r="AE4512" t="str">
        <f>IF(OR(SalesData[[#This Row],[Day]]="Saturday",SalesData[[#This Row],[Day]]="Sunday"),"Weekend","Weekday")</f>
        <v>Weekday</v>
      </c>
      <c r="AF4512" s="5">
        <f>IF(SalesData[[#This Row],[Contracts Offered]]=0,0,SalesData[[#This Row],[Contracts Signed]]/SalesData[[#This Row],[Contracts Offered]])</f>
        <v>0.36486486486486486</v>
      </c>
      <c r="AG4512" s="5">
        <f>IF(SalesData[[#This Row],[Customers Visited]]=0,0,SalesData[[#This Row],[Test Drives]]/SalesData[[#This Row],[Customers Visited]])</f>
        <v>0.52</v>
      </c>
      <c r="AH4512" s="5">
        <f>IF(SalesData[[#This Row],[Customers Visited]]=0,0,SalesData[[#This Row],[Contracts Signed]]/SalesData[[#This Row],[Customers Visited]])</f>
        <v>0.13500000000000001</v>
      </c>
      <c r="AI4512" s="6">
        <f>IF(SalesData[[#This Row],[Contracts Signed]]=0,0,SalesData[[#This Row],[Profit(€)]]/SalesData[[#This Row],[Contracts Signed]])</f>
        <v>9631</v>
      </c>
      <c r="AJ4512" s="5" t="str">
        <f>TRIM(CLEAN(SalesData[[#This Row],[Retailer]]))</f>
        <v>Rhein Auto Group</v>
      </c>
    </row>
    <row r="4513" spans="1:36" ht="14.25" hidden="1" x14ac:dyDescent="0.2">
      <c r="A4513" t="s">
        <v>5781</v>
      </c>
      <c r="B4513" s="1">
        <v>46078</v>
      </c>
      <c r="C4513" t="s">
        <v>53</v>
      </c>
      <c r="D4513" t="s">
        <v>82</v>
      </c>
      <c r="E4513" t="s">
        <v>26</v>
      </c>
      <c r="F4513" t="s">
        <v>74</v>
      </c>
      <c r="G4513" t="s">
        <v>75</v>
      </c>
      <c r="H4513" t="s">
        <v>76</v>
      </c>
      <c r="I4513" t="s">
        <v>116</v>
      </c>
      <c r="J4513" t="s">
        <v>7026</v>
      </c>
      <c r="K4513" t="s">
        <v>78</v>
      </c>
      <c r="L4513" t="s">
        <v>46</v>
      </c>
      <c r="M4513" t="s">
        <v>87</v>
      </c>
      <c r="N4513" t="s">
        <v>48</v>
      </c>
      <c r="O4513" t="s">
        <v>36</v>
      </c>
      <c r="P4513" t="s">
        <v>37</v>
      </c>
      <c r="Q4513" t="s">
        <v>347</v>
      </c>
      <c r="R4513">
        <v>375</v>
      </c>
      <c r="S4513">
        <v>158</v>
      </c>
      <c r="T4513">
        <v>92</v>
      </c>
      <c r="U4513">
        <v>29</v>
      </c>
      <c r="V4513" t="s">
        <v>628</v>
      </c>
      <c r="W4513">
        <v>20065</v>
      </c>
      <c r="X4513" t="s">
        <v>390</v>
      </c>
      <c r="Y4513">
        <v>17936</v>
      </c>
      <c r="Z4513">
        <v>581885</v>
      </c>
      <c r="AA4513">
        <v>61741</v>
      </c>
      <c r="AB4513" t="str">
        <f>(VLOOKUP(SalesData[[#This Row],[Month Number]],Reference!C$5:E$16,2,FALSE))</f>
        <v>Feb</v>
      </c>
      <c r="AC4513">
        <f>MONTH(SalesData[[#This Row],[Date]])</f>
        <v>2</v>
      </c>
      <c r="AD4513">
        <f>Reference!F$4</f>
        <v>2026</v>
      </c>
      <c r="AE4513" t="str">
        <f>IF(OR(SalesData[[#This Row],[Day]]="Saturday",SalesData[[#This Row],[Day]]="Sunday"),"Weekend","Weekday")</f>
        <v>Weekday</v>
      </c>
      <c r="AF4513" s="5">
        <f>IF(SalesData[[#This Row],[Contracts Offered]]=0,0,SalesData[[#This Row],[Contracts Signed]]/SalesData[[#This Row],[Contracts Offered]])</f>
        <v>0.31521739130434784</v>
      </c>
      <c r="AG4513" s="5">
        <f>IF(SalesData[[#This Row],[Customers Visited]]=0,0,SalesData[[#This Row],[Test Drives]]/SalesData[[#This Row],[Customers Visited]])</f>
        <v>0.42133333333333334</v>
      </c>
      <c r="AH4513" s="5">
        <f>IF(SalesData[[#This Row],[Customers Visited]]=0,0,SalesData[[#This Row],[Contracts Signed]]/SalesData[[#This Row],[Customers Visited]])</f>
        <v>7.7333333333333337E-2</v>
      </c>
      <c r="AI4513" s="6">
        <f>IF(SalesData[[#This Row],[Contracts Signed]]=0,0,SalesData[[#This Row],[Profit(€)]]/SalesData[[#This Row],[Contracts Signed]])</f>
        <v>2129</v>
      </c>
      <c r="AJ4513" s="5" t="str">
        <f>TRIM(CLEAN(SalesData[[#This Row],[Retailer]]))</f>
        <v>Stuttgart Auto Center</v>
      </c>
    </row>
    <row r="4514" spans="1:36" ht="14.25" hidden="1" x14ac:dyDescent="0.2">
      <c r="A4514" t="s">
        <v>5783</v>
      </c>
      <c r="B4514" s="1">
        <v>46065</v>
      </c>
      <c r="C4514" t="s">
        <v>121</v>
      </c>
      <c r="D4514" t="s">
        <v>100</v>
      </c>
      <c r="E4514" t="s">
        <v>26</v>
      </c>
      <c r="F4514" t="s">
        <v>114</v>
      </c>
      <c r="G4514" t="s">
        <v>115</v>
      </c>
      <c r="H4514" t="s">
        <v>115</v>
      </c>
      <c r="I4514" t="s">
        <v>64</v>
      </c>
      <c r="J4514" t="s">
        <v>111</v>
      </c>
      <c r="K4514" t="s">
        <v>66</v>
      </c>
      <c r="L4514" t="s">
        <v>46</v>
      </c>
      <c r="M4514" t="s">
        <v>47</v>
      </c>
      <c r="N4514" t="s">
        <v>35</v>
      </c>
      <c r="O4514" t="s">
        <v>70</v>
      </c>
      <c r="P4514" t="s">
        <v>49</v>
      </c>
      <c r="Q4514" t="s">
        <v>122</v>
      </c>
      <c r="R4514">
        <v>191</v>
      </c>
      <c r="S4514">
        <v>102</v>
      </c>
      <c r="T4514">
        <v>69</v>
      </c>
      <c r="U4514">
        <v>26</v>
      </c>
      <c r="V4514" t="s">
        <v>6517</v>
      </c>
      <c r="W4514">
        <v>52836</v>
      </c>
      <c r="X4514" t="s">
        <v>39</v>
      </c>
      <c r="Y4514">
        <v>39360</v>
      </c>
      <c r="Z4514">
        <v>1373736</v>
      </c>
      <c r="AA4514">
        <v>350376</v>
      </c>
      <c r="AB4514" t="str">
        <f>(VLOOKUP(SalesData[[#This Row],[Month Number]],Reference!C$5:E$16,2,FALSE))</f>
        <v>Feb</v>
      </c>
      <c r="AC4514">
        <f>MONTH(SalesData[[#This Row],[Date]])</f>
        <v>2</v>
      </c>
      <c r="AD4514">
        <f>Reference!F$4</f>
        <v>2026</v>
      </c>
      <c r="AE4514" t="str">
        <f>IF(OR(SalesData[[#This Row],[Day]]="Saturday",SalesData[[#This Row],[Day]]="Sunday"),"Weekend","Weekday")</f>
        <v>Weekday</v>
      </c>
      <c r="AF4514" s="5">
        <f>IF(SalesData[[#This Row],[Contracts Offered]]=0,0,SalesData[[#This Row],[Contracts Signed]]/SalesData[[#This Row],[Contracts Offered]])</f>
        <v>0.37681159420289856</v>
      </c>
      <c r="AG4514" s="5">
        <f>IF(SalesData[[#This Row],[Customers Visited]]=0,0,SalesData[[#This Row],[Test Drives]]/SalesData[[#This Row],[Customers Visited]])</f>
        <v>0.53403141361256545</v>
      </c>
      <c r="AH4514" s="5">
        <f>IF(SalesData[[#This Row],[Customers Visited]]=0,0,SalesData[[#This Row],[Contracts Signed]]/SalesData[[#This Row],[Customers Visited]])</f>
        <v>0.13612565445026178</v>
      </c>
      <c r="AI4514" s="6">
        <f>IF(SalesData[[#This Row],[Contracts Signed]]=0,0,SalesData[[#This Row],[Profit(€)]]/SalesData[[#This Row],[Contracts Signed]])</f>
        <v>13476</v>
      </c>
      <c r="AJ4514" s="5" t="str">
        <f>TRIM(CLEAN(SalesData[[#This Row],[Retailer]]))</f>
        <v>Elbe Drive</v>
      </c>
    </row>
    <row r="4515" spans="1:36" ht="14.25" hidden="1" x14ac:dyDescent="0.2">
      <c r="A4515" t="s">
        <v>5784</v>
      </c>
      <c r="B4515" s="1">
        <v>46061</v>
      </c>
      <c r="C4515" t="s">
        <v>121</v>
      </c>
      <c r="D4515" t="s">
        <v>41</v>
      </c>
      <c r="E4515" t="s">
        <v>42</v>
      </c>
      <c r="F4515" t="s">
        <v>7649</v>
      </c>
      <c r="G4515" t="s">
        <v>55</v>
      </c>
      <c r="H4515" t="s">
        <v>55</v>
      </c>
      <c r="I4515" t="s">
        <v>56</v>
      </c>
      <c r="J4515" t="s">
        <v>57</v>
      </c>
      <c r="K4515" t="s">
        <v>91</v>
      </c>
      <c r="L4515" t="s">
        <v>46</v>
      </c>
      <c r="M4515" t="s">
        <v>47</v>
      </c>
      <c r="N4515" t="s">
        <v>35</v>
      </c>
      <c r="O4515" t="s">
        <v>36</v>
      </c>
      <c r="P4515" t="s">
        <v>58</v>
      </c>
      <c r="Q4515" t="s">
        <v>152</v>
      </c>
      <c r="R4515">
        <v>258</v>
      </c>
      <c r="S4515">
        <v>160</v>
      </c>
      <c r="T4515">
        <v>120</v>
      </c>
      <c r="U4515">
        <v>47</v>
      </c>
      <c r="V4515" t="s">
        <v>6859</v>
      </c>
      <c r="W4515">
        <v>40632</v>
      </c>
      <c r="X4515" t="s">
        <v>7318</v>
      </c>
      <c r="Y4515">
        <v>31479</v>
      </c>
      <c r="Z4515">
        <v>1909704</v>
      </c>
      <c r="AA4515">
        <v>430191</v>
      </c>
      <c r="AB4515" t="str">
        <f>(VLOOKUP(SalesData[[#This Row],[Month Number]],Reference!C$5:E$16,2,FALSE))</f>
        <v>Feb</v>
      </c>
      <c r="AC4515">
        <f>MONTH(SalesData[[#This Row],[Date]])</f>
        <v>2</v>
      </c>
      <c r="AD4515">
        <f>Reference!F$4</f>
        <v>2026</v>
      </c>
      <c r="AE4515" t="str">
        <f>IF(OR(SalesData[[#This Row],[Day]]="Saturday",SalesData[[#This Row],[Day]]="Sunday"),"Weekend","Weekday")</f>
        <v>Weekend</v>
      </c>
      <c r="AF4515" s="5">
        <f>IF(SalesData[[#This Row],[Contracts Offered]]=0,0,SalesData[[#This Row],[Contracts Signed]]/SalesData[[#This Row],[Contracts Offered]])</f>
        <v>0.39166666666666666</v>
      </c>
      <c r="AG4515" s="5">
        <f>IF(SalesData[[#This Row],[Customers Visited]]=0,0,SalesData[[#This Row],[Test Drives]]/SalesData[[#This Row],[Customers Visited]])</f>
        <v>0.62015503875968991</v>
      </c>
      <c r="AH4515" s="5">
        <f>IF(SalesData[[#This Row],[Customers Visited]]=0,0,SalesData[[#This Row],[Contracts Signed]]/SalesData[[#This Row],[Customers Visited]])</f>
        <v>0.18217054263565891</v>
      </c>
      <c r="AI4515" s="6">
        <f>IF(SalesData[[#This Row],[Contracts Signed]]=0,0,SalesData[[#This Row],[Profit(€)]]/SalesData[[#This Row],[Contracts Signed]])</f>
        <v>9153</v>
      </c>
      <c r="AJ4515" s="5" t="str">
        <f>TRIM(CLEAN(SalesData[[#This Row],[Retailer]]))</f>
        <v>Autohaus Berlin</v>
      </c>
    </row>
    <row r="4516" spans="1:36" ht="14.25" hidden="1" x14ac:dyDescent="0.2">
      <c r="A4516" t="s">
        <v>5785</v>
      </c>
      <c r="B4516" s="1">
        <v>46081</v>
      </c>
      <c r="C4516" t="s">
        <v>53</v>
      </c>
      <c r="D4516" t="s">
        <v>151</v>
      </c>
      <c r="E4516" t="s">
        <v>42</v>
      </c>
      <c r="F4516" t="s">
        <v>74</v>
      </c>
      <c r="G4516" t="s">
        <v>75</v>
      </c>
      <c r="H4516" t="s">
        <v>76</v>
      </c>
      <c r="I4516" t="s">
        <v>104</v>
      </c>
      <c r="J4516" t="s">
        <v>105</v>
      </c>
      <c r="K4516" t="s">
        <v>66</v>
      </c>
      <c r="L4516" t="s">
        <v>33</v>
      </c>
      <c r="M4516" t="s">
        <v>47</v>
      </c>
      <c r="N4516" t="s">
        <v>48</v>
      </c>
      <c r="O4516" t="s">
        <v>36</v>
      </c>
      <c r="P4516" t="s">
        <v>58</v>
      </c>
      <c r="Q4516" t="s">
        <v>129</v>
      </c>
      <c r="R4516">
        <v>457</v>
      </c>
      <c r="S4516">
        <v>216</v>
      </c>
      <c r="T4516">
        <v>151</v>
      </c>
      <c r="U4516">
        <v>42</v>
      </c>
      <c r="V4516" t="s">
        <v>1767</v>
      </c>
      <c r="W4516">
        <v>30662</v>
      </c>
      <c r="X4516" t="s">
        <v>3707</v>
      </c>
      <c r="Y4516">
        <v>27561</v>
      </c>
      <c r="Z4516">
        <v>1287804</v>
      </c>
      <c r="AA4516">
        <v>130242</v>
      </c>
      <c r="AB4516" t="str">
        <f>(VLOOKUP(SalesData[[#This Row],[Month Number]],Reference!C$5:E$16,2,FALSE))</f>
        <v>Feb</v>
      </c>
      <c r="AC4516">
        <f>MONTH(SalesData[[#This Row],[Date]])</f>
        <v>2</v>
      </c>
      <c r="AD4516">
        <f>Reference!F$4</f>
        <v>2026</v>
      </c>
      <c r="AE4516" t="str">
        <f>IF(OR(SalesData[[#This Row],[Day]]="Saturday",SalesData[[#This Row],[Day]]="Sunday"),"Weekend","Weekday")</f>
        <v>Weekend</v>
      </c>
      <c r="AF4516" s="5">
        <f>IF(SalesData[[#This Row],[Contracts Offered]]=0,0,SalesData[[#This Row],[Contracts Signed]]/SalesData[[#This Row],[Contracts Offered]])</f>
        <v>0.27814569536423839</v>
      </c>
      <c r="AG4516" s="5">
        <f>IF(SalesData[[#This Row],[Customers Visited]]=0,0,SalesData[[#This Row],[Test Drives]]/SalesData[[#This Row],[Customers Visited]])</f>
        <v>0.47264770240700221</v>
      </c>
      <c r="AH4516" s="5">
        <f>IF(SalesData[[#This Row],[Customers Visited]]=0,0,SalesData[[#This Row],[Contracts Signed]]/SalesData[[#This Row],[Customers Visited]])</f>
        <v>9.1903719912472648E-2</v>
      </c>
      <c r="AI4516" s="6">
        <f>IF(SalesData[[#This Row],[Contracts Signed]]=0,0,SalesData[[#This Row],[Profit(€)]]/SalesData[[#This Row],[Contracts Signed]])</f>
        <v>3101</v>
      </c>
      <c r="AJ4516" s="5" t="str">
        <f>TRIM(CLEAN(SalesData[[#This Row],[Retailer]]))</f>
        <v>Stuttgart Auto Center</v>
      </c>
    </row>
    <row r="4517" spans="1:36" ht="14.25" hidden="1" x14ac:dyDescent="0.2">
      <c r="A4517" t="s">
        <v>5786</v>
      </c>
      <c r="B4517" s="1">
        <v>46071</v>
      </c>
      <c r="C4517" t="s">
        <v>62</v>
      </c>
      <c r="D4517" t="s">
        <v>82</v>
      </c>
      <c r="E4517" t="s">
        <v>26</v>
      </c>
      <c r="F4517" t="s">
        <v>43</v>
      </c>
      <c r="G4517" t="s">
        <v>44</v>
      </c>
      <c r="H4517" t="s">
        <v>45</v>
      </c>
      <c r="I4517" t="s">
        <v>104</v>
      </c>
      <c r="J4517" t="s">
        <v>143</v>
      </c>
      <c r="K4517" t="s">
        <v>78</v>
      </c>
      <c r="L4517" t="s">
        <v>67</v>
      </c>
      <c r="M4517" t="s">
        <v>68</v>
      </c>
      <c r="N4517" t="s">
        <v>69</v>
      </c>
      <c r="O4517" t="s">
        <v>36</v>
      </c>
      <c r="P4517" t="s">
        <v>37</v>
      </c>
      <c r="Q4517" t="s">
        <v>88</v>
      </c>
      <c r="R4517">
        <v>371</v>
      </c>
      <c r="S4517">
        <v>153</v>
      </c>
      <c r="T4517">
        <v>90</v>
      </c>
      <c r="U4517">
        <v>20</v>
      </c>
      <c r="V4517" t="s">
        <v>3035</v>
      </c>
      <c r="W4517">
        <v>26645</v>
      </c>
      <c r="X4517" t="s">
        <v>7186</v>
      </c>
      <c r="Y4517">
        <v>23626</v>
      </c>
      <c r="Z4517">
        <v>532900</v>
      </c>
      <c r="AA4517">
        <v>60380</v>
      </c>
      <c r="AB4517" t="str">
        <f>(VLOOKUP(SalesData[[#This Row],[Month Number]],Reference!C$5:E$16,2,FALSE))</f>
        <v>Feb</v>
      </c>
      <c r="AC4517">
        <f>MONTH(SalesData[[#This Row],[Date]])</f>
        <v>2</v>
      </c>
      <c r="AD4517">
        <f>Reference!F$4</f>
        <v>2026</v>
      </c>
      <c r="AE4517" t="str">
        <f>IF(OR(SalesData[[#This Row],[Day]]="Saturday",SalesData[[#This Row],[Day]]="Sunday"),"Weekend","Weekday")</f>
        <v>Weekday</v>
      </c>
      <c r="AF4517" s="5">
        <f>IF(SalesData[[#This Row],[Contracts Offered]]=0,0,SalesData[[#This Row],[Contracts Signed]]/SalesData[[#This Row],[Contracts Offered]])</f>
        <v>0.22222222222222221</v>
      </c>
      <c r="AG4517" s="5">
        <f>IF(SalesData[[#This Row],[Customers Visited]]=0,0,SalesData[[#This Row],[Test Drives]]/SalesData[[#This Row],[Customers Visited]])</f>
        <v>0.41239892183288412</v>
      </c>
      <c r="AH4517" s="5">
        <f>IF(SalesData[[#This Row],[Customers Visited]]=0,0,SalesData[[#This Row],[Contracts Signed]]/SalesData[[#This Row],[Customers Visited]])</f>
        <v>5.3908355795148251E-2</v>
      </c>
      <c r="AI4517" s="6">
        <f>IF(SalesData[[#This Row],[Contracts Signed]]=0,0,SalesData[[#This Row],[Profit(€)]]/SalesData[[#This Row],[Contracts Signed]])</f>
        <v>3019</v>
      </c>
      <c r="AJ4517" s="5" t="str">
        <f>TRIM(CLEAN(SalesData[[#This Row],[Retailer]]))</f>
        <v>Saxon Wheels</v>
      </c>
    </row>
    <row r="4518" spans="1:36" ht="14.25" hidden="1" x14ac:dyDescent="0.2">
      <c r="A4518" t="s">
        <v>5787</v>
      </c>
      <c r="B4518" s="1">
        <v>46075</v>
      </c>
      <c r="C4518" t="s">
        <v>53</v>
      </c>
      <c r="D4518" t="s">
        <v>41</v>
      </c>
      <c r="E4518" t="s">
        <v>42</v>
      </c>
      <c r="F4518" t="s">
        <v>101</v>
      </c>
      <c r="G4518" t="s">
        <v>102</v>
      </c>
      <c r="H4518" t="s">
        <v>103</v>
      </c>
      <c r="I4518" t="s">
        <v>64</v>
      </c>
      <c r="J4518" t="s">
        <v>157</v>
      </c>
      <c r="K4518" t="s">
        <v>66</v>
      </c>
      <c r="L4518" t="s">
        <v>33</v>
      </c>
      <c r="M4518" t="s">
        <v>87</v>
      </c>
      <c r="N4518" t="s">
        <v>48</v>
      </c>
      <c r="O4518" t="s">
        <v>70</v>
      </c>
      <c r="P4518" t="s">
        <v>49</v>
      </c>
      <c r="Q4518" t="s">
        <v>167</v>
      </c>
      <c r="R4518">
        <v>169</v>
      </c>
      <c r="S4518">
        <v>75</v>
      </c>
      <c r="T4518">
        <v>51</v>
      </c>
      <c r="U4518">
        <v>15</v>
      </c>
      <c r="V4518" t="s">
        <v>6410</v>
      </c>
      <c r="W4518">
        <v>64097</v>
      </c>
      <c r="X4518" t="s">
        <v>7254</v>
      </c>
      <c r="Y4518">
        <v>45744</v>
      </c>
      <c r="Z4518">
        <v>961455</v>
      </c>
      <c r="AA4518">
        <v>275295</v>
      </c>
      <c r="AB4518" t="str">
        <f>(VLOOKUP(SalesData[[#This Row],[Month Number]],Reference!C$5:E$16,2,FALSE))</f>
        <v>Feb</v>
      </c>
      <c r="AC4518">
        <f>MONTH(SalesData[[#This Row],[Date]])</f>
        <v>2</v>
      </c>
      <c r="AD4518">
        <f>Reference!F$4</f>
        <v>2026</v>
      </c>
      <c r="AE4518" t="str">
        <f>IF(OR(SalesData[[#This Row],[Day]]="Saturday",SalesData[[#This Row],[Day]]="Sunday"),"Weekend","Weekday")</f>
        <v>Weekend</v>
      </c>
      <c r="AF4518" s="5">
        <f>IF(SalesData[[#This Row],[Contracts Offered]]=0,0,SalesData[[#This Row],[Contracts Signed]]/SalesData[[#This Row],[Contracts Offered]])</f>
        <v>0.29411764705882354</v>
      </c>
      <c r="AG4518" s="5">
        <f>IF(SalesData[[#This Row],[Customers Visited]]=0,0,SalesData[[#This Row],[Test Drives]]/SalesData[[#This Row],[Customers Visited]])</f>
        <v>0.4437869822485207</v>
      </c>
      <c r="AH4518" s="5">
        <f>IF(SalesData[[#This Row],[Customers Visited]]=0,0,SalesData[[#This Row],[Contracts Signed]]/SalesData[[#This Row],[Customers Visited]])</f>
        <v>8.8757396449704137E-2</v>
      </c>
      <c r="AI4518" s="6">
        <f>IF(SalesData[[#This Row],[Contracts Signed]]=0,0,SalesData[[#This Row],[Profit(€)]]/SalesData[[#This Row],[Contracts Signed]])</f>
        <v>18353</v>
      </c>
      <c r="AJ4518" s="5" t="str">
        <f>TRIM(CLEAN(SalesData[[#This Row],[Retailer]]))</f>
        <v>Ruhr Auto Plaza</v>
      </c>
    </row>
    <row r="4519" spans="1:36" ht="14.25" hidden="1" x14ac:dyDescent="0.2">
      <c r="A4519" t="s">
        <v>5788</v>
      </c>
      <c r="B4519" s="1">
        <v>46080</v>
      </c>
      <c r="C4519" t="s">
        <v>53</v>
      </c>
      <c r="D4519" t="s">
        <v>54</v>
      </c>
      <c r="E4519" t="s">
        <v>26</v>
      </c>
      <c r="F4519" t="s">
        <v>109</v>
      </c>
      <c r="G4519" t="s">
        <v>110</v>
      </c>
      <c r="H4519" t="s">
        <v>45</v>
      </c>
      <c r="I4519" t="s">
        <v>104</v>
      </c>
      <c r="J4519" t="s">
        <v>105</v>
      </c>
      <c r="K4519" t="s">
        <v>32</v>
      </c>
      <c r="L4519" t="s">
        <v>33</v>
      </c>
      <c r="M4519" t="s">
        <v>87</v>
      </c>
      <c r="N4519" t="s">
        <v>48</v>
      </c>
      <c r="O4519" t="s">
        <v>70</v>
      </c>
      <c r="P4519" t="s">
        <v>37</v>
      </c>
      <c r="Q4519" t="s">
        <v>122</v>
      </c>
      <c r="R4519">
        <v>388</v>
      </c>
      <c r="S4519">
        <v>224</v>
      </c>
      <c r="T4519">
        <v>158</v>
      </c>
      <c r="U4519">
        <v>32</v>
      </c>
      <c r="V4519" t="s">
        <v>527</v>
      </c>
      <c r="W4519">
        <v>32116</v>
      </c>
      <c r="X4519" t="s">
        <v>735</v>
      </c>
      <c r="Y4519">
        <v>27894</v>
      </c>
      <c r="Z4519">
        <v>1027712</v>
      </c>
      <c r="AA4519">
        <v>135104</v>
      </c>
      <c r="AB4519" t="str">
        <f>(VLOOKUP(SalesData[[#This Row],[Month Number]],Reference!C$5:E$16,2,FALSE))</f>
        <v>Feb</v>
      </c>
      <c r="AC4519">
        <f>MONTH(SalesData[[#This Row],[Date]])</f>
        <v>2</v>
      </c>
      <c r="AD4519">
        <f>Reference!F$4</f>
        <v>2026</v>
      </c>
      <c r="AE4519" t="str">
        <f>IF(OR(SalesData[[#This Row],[Day]]="Saturday",SalesData[[#This Row],[Day]]="Sunday"),"Weekend","Weekday")</f>
        <v>Weekday</v>
      </c>
      <c r="AF4519" s="5">
        <f>IF(SalesData[[#This Row],[Contracts Offered]]=0,0,SalesData[[#This Row],[Contracts Signed]]/SalesData[[#This Row],[Contracts Offered]])</f>
        <v>0.20253164556962025</v>
      </c>
      <c r="AG4519" s="5">
        <f>IF(SalesData[[#This Row],[Customers Visited]]=0,0,SalesData[[#This Row],[Test Drives]]/SalesData[[#This Row],[Customers Visited]])</f>
        <v>0.57731958762886593</v>
      </c>
      <c r="AH4519" s="5">
        <f>IF(SalesData[[#This Row],[Customers Visited]]=0,0,SalesData[[#This Row],[Contracts Signed]]/SalesData[[#This Row],[Customers Visited]])</f>
        <v>8.247422680412371E-2</v>
      </c>
      <c r="AI4519" s="6">
        <f>IF(SalesData[[#This Row],[Contracts Signed]]=0,0,SalesData[[#This Row],[Profit(€)]]/SalesData[[#This Row],[Contracts Signed]])</f>
        <v>4222</v>
      </c>
      <c r="AJ4519" s="5" t="str">
        <f>TRIM(CLEAN(SalesData[[#This Row],[Retailer]]))</f>
        <v>Leipzig Mobility</v>
      </c>
    </row>
    <row r="4520" spans="1:36" ht="14.25" x14ac:dyDescent="0.2">
      <c r="A4520" t="s">
        <v>5789</v>
      </c>
      <c r="B4520" s="1">
        <v>46063</v>
      </c>
      <c r="C4520" t="s">
        <v>121</v>
      </c>
      <c r="D4520" t="s">
        <v>63</v>
      </c>
      <c r="E4520" t="s">
        <v>26</v>
      </c>
      <c r="F4520" t="s">
        <v>83</v>
      </c>
      <c r="G4520" t="s">
        <v>84</v>
      </c>
      <c r="H4520" t="s">
        <v>85</v>
      </c>
      <c r="I4520" t="s">
        <v>30</v>
      </c>
      <c r="J4520" t="s">
        <v>166</v>
      </c>
      <c r="K4520" t="s">
        <v>78</v>
      </c>
      <c r="L4520" t="s">
        <v>46</v>
      </c>
      <c r="M4520" t="s">
        <v>34</v>
      </c>
      <c r="N4520" t="s">
        <v>69</v>
      </c>
      <c r="O4520" t="s">
        <v>36</v>
      </c>
      <c r="P4520" t="s">
        <v>71</v>
      </c>
      <c r="Q4520" t="s">
        <v>118</v>
      </c>
      <c r="R4520">
        <v>215</v>
      </c>
      <c r="S4520">
        <v>124</v>
      </c>
      <c r="T4520">
        <v>92</v>
      </c>
      <c r="U4520">
        <v>35</v>
      </c>
      <c r="V4520" t="s">
        <v>6860</v>
      </c>
      <c r="W4520">
        <v>55335</v>
      </c>
      <c r="X4520" t="s">
        <v>4831</v>
      </c>
      <c r="Y4520">
        <v>40544</v>
      </c>
      <c r="Z4520">
        <v>1936725</v>
      </c>
      <c r="AA4520">
        <v>517685</v>
      </c>
      <c r="AB4520" t="str">
        <f>(VLOOKUP(SalesData[[#This Row],[Month Number]],Reference!C$5:E$16,2,FALSE))</f>
        <v>Feb</v>
      </c>
      <c r="AC4520">
        <f>MONTH(SalesData[[#This Row],[Date]])</f>
        <v>2</v>
      </c>
      <c r="AD4520">
        <f>Reference!F$4</f>
        <v>2026</v>
      </c>
      <c r="AE4520" t="str">
        <f>IF(OR(SalesData[[#This Row],[Day]]="Saturday",SalesData[[#This Row],[Day]]="Sunday"),"Weekend","Weekday")</f>
        <v>Weekday</v>
      </c>
      <c r="AF4520" s="5">
        <f>IF(SalesData[[#This Row],[Contracts Offered]]=0,0,SalesData[[#This Row],[Contracts Signed]]/SalesData[[#This Row],[Contracts Offered]])</f>
        <v>0.38043478260869568</v>
      </c>
      <c r="AG4520" s="5">
        <f>IF(SalesData[[#This Row],[Customers Visited]]=0,0,SalesData[[#This Row],[Test Drives]]/SalesData[[#This Row],[Customers Visited]])</f>
        <v>0.57674418604651168</v>
      </c>
      <c r="AH4520" s="5">
        <f>IF(SalesData[[#This Row],[Customers Visited]]=0,0,SalesData[[#This Row],[Contracts Signed]]/SalesData[[#This Row],[Customers Visited]])</f>
        <v>0.16279069767441862</v>
      </c>
      <c r="AI4520" s="6">
        <f>IF(SalesData[[#This Row],[Contracts Signed]]=0,0,SalesData[[#This Row],[Profit(€)]]/SalesData[[#This Row],[Contracts Signed]])</f>
        <v>14791</v>
      </c>
      <c r="AJ4520" s="5" t="str">
        <f>TRIM(CLEAN(SalesData[[#This Row],[Retailer]]))</f>
        <v>Hannover Cars</v>
      </c>
    </row>
    <row r="4521" spans="1:36" ht="14.25" hidden="1" x14ac:dyDescent="0.2">
      <c r="A4521" t="s">
        <v>5790</v>
      </c>
      <c r="B4521" s="1">
        <v>46069</v>
      </c>
      <c r="C4521" t="s">
        <v>62</v>
      </c>
      <c r="D4521" t="s">
        <v>25</v>
      </c>
      <c r="E4521" t="s">
        <v>26</v>
      </c>
      <c r="F4521" t="s">
        <v>109</v>
      </c>
      <c r="G4521" t="s">
        <v>110</v>
      </c>
      <c r="H4521" t="s">
        <v>45</v>
      </c>
      <c r="I4521" t="s">
        <v>56</v>
      </c>
      <c r="J4521" t="s">
        <v>179</v>
      </c>
      <c r="K4521" t="s">
        <v>78</v>
      </c>
      <c r="L4521" t="s">
        <v>67</v>
      </c>
      <c r="M4521" t="s">
        <v>34</v>
      </c>
      <c r="N4521" t="s">
        <v>35</v>
      </c>
      <c r="O4521" t="s">
        <v>70</v>
      </c>
      <c r="P4521" t="s">
        <v>49</v>
      </c>
      <c r="Q4521" t="s">
        <v>240</v>
      </c>
      <c r="R4521">
        <v>247</v>
      </c>
      <c r="S4521">
        <v>120</v>
      </c>
      <c r="T4521">
        <v>79</v>
      </c>
      <c r="U4521">
        <v>21</v>
      </c>
      <c r="V4521" t="s">
        <v>648</v>
      </c>
      <c r="W4521">
        <v>52556</v>
      </c>
      <c r="X4521" t="s">
        <v>2852</v>
      </c>
      <c r="Y4521">
        <v>41401</v>
      </c>
      <c r="Z4521">
        <v>1103676</v>
      </c>
      <c r="AA4521">
        <v>234255</v>
      </c>
      <c r="AB4521" t="str">
        <f>(VLOOKUP(SalesData[[#This Row],[Month Number]],Reference!C$5:E$16,2,FALSE))</f>
        <v>Feb</v>
      </c>
      <c r="AC4521">
        <f>MONTH(SalesData[[#This Row],[Date]])</f>
        <v>2</v>
      </c>
      <c r="AD4521">
        <f>Reference!F$4</f>
        <v>2026</v>
      </c>
      <c r="AE4521" t="str">
        <f>IF(OR(SalesData[[#This Row],[Day]]="Saturday",SalesData[[#This Row],[Day]]="Sunday"),"Weekend","Weekday")</f>
        <v>Weekday</v>
      </c>
      <c r="AF4521" s="5">
        <f>IF(SalesData[[#This Row],[Contracts Offered]]=0,0,SalesData[[#This Row],[Contracts Signed]]/SalesData[[#This Row],[Contracts Offered]])</f>
        <v>0.26582278481012656</v>
      </c>
      <c r="AG4521" s="5">
        <f>IF(SalesData[[#This Row],[Customers Visited]]=0,0,SalesData[[#This Row],[Test Drives]]/SalesData[[#This Row],[Customers Visited]])</f>
        <v>0.48582995951417002</v>
      </c>
      <c r="AH4521" s="5">
        <f>IF(SalesData[[#This Row],[Customers Visited]]=0,0,SalesData[[#This Row],[Contracts Signed]]/SalesData[[#This Row],[Customers Visited]])</f>
        <v>8.5020242914979755E-2</v>
      </c>
      <c r="AI4521" s="6">
        <f>IF(SalesData[[#This Row],[Contracts Signed]]=0,0,SalesData[[#This Row],[Profit(€)]]/SalesData[[#This Row],[Contracts Signed]])</f>
        <v>11155</v>
      </c>
      <c r="AJ4521" s="5" t="str">
        <f>TRIM(CLEAN(SalesData[[#This Row],[Retailer]]))</f>
        <v>Leipzig Mobility</v>
      </c>
    </row>
    <row r="4522" spans="1:36" ht="14.25" hidden="1" x14ac:dyDescent="0.2">
      <c r="A4522" t="s">
        <v>5791</v>
      </c>
      <c r="B4522" s="1">
        <v>46056</v>
      </c>
      <c r="C4522" t="s">
        <v>24</v>
      </c>
      <c r="D4522" t="s">
        <v>63</v>
      </c>
      <c r="E4522" t="s">
        <v>26</v>
      </c>
      <c r="F4522" t="s">
        <v>114</v>
      </c>
      <c r="G4522" t="s">
        <v>115</v>
      </c>
      <c r="H4522" t="s">
        <v>115</v>
      </c>
      <c r="I4522" t="s">
        <v>64</v>
      </c>
      <c r="J4522" t="s">
        <v>77</v>
      </c>
      <c r="K4522" t="s">
        <v>66</v>
      </c>
      <c r="L4522" t="s">
        <v>46</v>
      </c>
      <c r="M4522" t="s">
        <v>87</v>
      </c>
      <c r="N4522" t="s">
        <v>35</v>
      </c>
      <c r="O4522" t="s">
        <v>70</v>
      </c>
      <c r="P4522" t="s">
        <v>58</v>
      </c>
      <c r="Q4522" t="s">
        <v>122</v>
      </c>
      <c r="R4522">
        <v>288</v>
      </c>
      <c r="S4522">
        <v>171</v>
      </c>
      <c r="T4522">
        <v>118</v>
      </c>
      <c r="U4522">
        <v>51</v>
      </c>
      <c r="V4522" t="s">
        <v>7040</v>
      </c>
      <c r="W4522">
        <v>64409</v>
      </c>
      <c r="X4522" t="s">
        <v>3593</v>
      </c>
      <c r="Y4522">
        <v>47535</v>
      </c>
      <c r="Z4522">
        <v>3284859</v>
      </c>
      <c r="AA4522">
        <v>860574</v>
      </c>
      <c r="AB4522" t="str">
        <f>(VLOOKUP(SalesData[[#This Row],[Month Number]],Reference!C$5:E$16,2,FALSE))</f>
        <v>Feb</v>
      </c>
      <c r="AC4522">
        <f>MONTH(SalesData[[#This Row],[Date]])</f>
        <v>2</v>
      </c>
      <c r="AD4522">
        <f>Reference!F$4</f>
        <v>2026</v>
      </c>
      <c r="AE4522" t="str">
        <f>IF(OR(SalesData[[#This Row],[Day]]="Saturday",SalesData[[#This Row],[Day]]="Sunday"),"Weekend","Weekday")</f>
        <v>Weekday</v>
      </c>
      <c r="AF4522" s="5">
        <f>IF(SalesData[[#This Row],[Contracts Offered]]=0,0,SalesData[[#This Row],[Contracts Signed]]/SalesData[[#This Row],[Contracts Offered]])</f>
        <v>0.43220338983050849</v>
      </c>
      <c r="AG4522" s="5">
        <f>IF(SalesData[[#This Row],[Customers Visited]]=0,0,SalesData[[#This Row],[Test Drives]]/SalesData[[#This Row],[Customers Visited]])</f>
        <v>0.59375</v>
      </c>
      <c r="AH4522" s="5">
        <f>IF(SalesData[[#This Row],[Customers Visited]]=0,0,SalesData[[#This Row],[Contracts Signed]]/SalesData[[#This Row],[Customers Visited]])</f>
        <v>0.17708333333333334</v>
      </c>
      <c r="AI4522" s="6">
        <f>IF(SalesData[[#This Row],[Contracts Signed]]=0,0,SalesData[[#This Row],[Profit(€)]]/SalesData[[#This Row],[Contracts Signed]])</f>
        <v>16874</v>
      </c>
      <c r="AJ4522" s="5" t="str">
        <f>TRIM(CLEAN(SalesData[[#This Row],[Retailer]]))</f>
        <v>Elbe Drive</v>
      </c>
    </row>
    <row r="4523" spans="1:36" ht="14.25" hidden="1" x14ac:dyDescent="0.2">
      <c r="A4523" t="s">
        <v>5792</v>
      </c>
      <c r="B4523" s="1">
        <v>46081</v>
      </c>
      <c r="C4523" t="s">
        <v>53</v>
      </c>
      <c r="D4523" t="s">
        <v>151</v>
      </c>
      <c r="E4523" t="s">
        <v>42</v>
      </c>
      <c r="F4523" t="s">
        <v>83</v>
      </c>
      <c r="G4523" t="s">
        <v>84</v>
      </c>
      <c r="H4523" t="s">
        <v>85</v>
      </c>
      <c r="I4523" t="s">
        <v>56</v>
      </c>
      <c r="J4523" t="s">
        <v>137</v>
      </c>
      <c r="K4523" t="s">
        <v>32</v>
      </c>
      <c r="L4523" t="s">
        <v>46</v>
      </c>
      <c r="M4523" t="s">
        <v>34</v>
      </c>
      <c r="N4523" t="s">
        <v>35</v>
      </c>
      <c r="O4523" t="s">
        <v>36</v>
      </c>
      <c r="P4523" t="s">
        <v>37</v>
      </c>
      <c r="Q4523" t="s">
        <v>122</v>
      </c>
      <c r="R4523">
        <v>270</v>
      </c>
      <c r="S4523">
        <v>131</v>
      </c>
      <c r="T4523">
        <v>86</v>
      </c>
      <c r="U4523">
        <v>31</v>
      </c>
      <c r="V4523" t="s">
        <v>6474</v>
      </c>
      <c r="W4523">
        <v>50022</v>
      </c>
      <c r="X4523" t="s">
        <v>678</v>
      </c>
      <c r="Y4523">
        <v>39632</v>
      </c>
      <c r="Z4523">
        <v>1550682</v>
      </c>
      <c r="AA4523">
        <v>322090</v>
      </c>
      <c r="AB4523" t="str">
        <f>(VLOOKUP(SalesData[[#This Row],[Month Number]],Reference!C$5:E$16,2,FALSE))</f>
        <v>Feb</v>
      </c>
      <c r="AC4523">
        <f>MONTH(SalesData[[#This Row],[Date]])</f>
        <v>2</v>
      </c>
      <c r="AD4523">
        <f>Reference!F$4</f>
        <v>2026</v>
      </c>
      <c r="AE4523" t="str">
        <f>IF(OR(SalesData[[#This Row],[Day]]="Saturday",SalesData[[#This Row],[Day]]="Sunday"),"Weekend","Weekday")</f>
        <v>Weekend</v>
      </c>
      <c r="AF4523" s="5">
        <f>IF(SalesData[[#This Row],[Contracts Offered]]=0,0,SalesData[[#This Row],[Contracts Signed]]/SalesData[[#This Row],[Contracts Offered]])</f>
        <v>0.36046511627906974</v>
      </c>
      <c r="AG4523" s="5">
        <f>IF(SalesData[[#This Row],[Customers Visited]]=0,0,SalesData[[#This Row],[Test Drives]]/SalesData[[#This Row],[Customers Visited]])</f>
        <v>0.48518518518518516</v>
      </c>
      <c r="AH4523" s="5">
        <f>IF(SalesData[[#This Row],[Customers Visited]]=0,0,SalesData[[#This Row],[Contracts Signed]]/SalesData[[#This Row],[Customers Visited]])</f>
        <v>0.11481481481481481</v>
      </c>
      <c r="AI4523" s="6">
        <f>IF(SalesData[[#This Row],[Contracts Signed]]=0,0,SalesData[[#This Row],[Profit(€)]]/SalesData[[#This Row],[Contracts Signed]])</f>
        <v>10390</v>
      </c>
      <c r="AJ4523" s="5" t="str">
        <f>TRIM(CLEAN(SalesData[[#This Row],[Retailer]]))</f>
        <v>Hannover Cars</v>
      </c>
    </row>
    <row r="4524" spans="1:36" ht="14.25" hidden="1" x14ac:dyDescent="0.2">
      <c r="A4524" t="s">
        <v>5793</v>
      </c>
      <c r="B4524" s="1">
        <v>46059</v>
      </c>
      <c r="C4524" t="s">
        <v>24</v>
      </c>
      <c r="D4524" t="s">
        <v>54</v>
      </c>
      <c r="E4524" t="s">
        <v>26</v>
      </c>
      <c r="F4524" t="s">
        <v>43</v>
      </c>
      <c r="G4524" t="s">
        <v>44</v>
      </c>
      <c r="H4524" t="s">
        <v>45</v>
      </c>
      <c r="I4524" t="s">
        <v>56</v>
      </c>
      <c r="J4524" t="s">
        <v>57</v>
      </c>
      <c r="K4524" t="s">
        <v>91</v>
      </c>
      <c r="L4524" t="s">
        <v>46</v>
      </c>
      <c r="M4524" t="s">
        <v>34</v>
      </c>
      <c r="N4524" t="s">
        <v>69</v>
      </c>
      <c r="O4524" t="s">
        <v>70</v>
      </c>
      <c r="P4524" t="s">
        <v>58</v>
      </c>
      <c r="Q4524" t="s">
        <v>106</v>
      </c>
      <c r="R4524">
        <v>264</v>
      </c>
      <c r="S4524">
        <v>148</v>
      </c>
      <c r="T4524">
        <v>109</v>
      </c>
      <c r="U4524">
        <v>39</v>
      </c>
      <c r="V4524" t="s">
        <v>6370</v>
      </c>
      <c r="W4524">
        <v>52214</v>
      </c>
      <c r="X4524" t="s">
        <v>7494</v>
      </c>
      <c r="Y4524">
        <v>40060</v>
      </c>
      <c r="Z4524">
        <v>2036346</v>
      </c>
      <c r="AA4524">
        <v>474006</v>
      </c>
      <c r="AB4524" t="str">
        <f>(VLOOKUP(SalesData[[#This Row],[Month Number]],Reference!C$5:E$16,2,FALSE))</f>
        <v>Feb</v>
      </c>
      <c r="AC4524">
        <f>MONTH(SalesData[[#This Row],[Date]])</f>
        <v>2</v>
      </c>
      <c r="AD4524">
        <f>Reference!F$4</f>
        <v>2026</v>
      </c>
      <c r="AE4524" t="str">
        <f>IF(OR(SalesData[[#This Row],[Day]]="Saturday",SalesData[[#This Row],[Day]]="Sunday"),"Weekend","Weekday")</f>
        <v>Weekday</v>
      </c>
      <c r="AF4524" s="5">
        <f>IF(SalesData[[#This Row],[Contracts Offered]]=0,0,SalesData[[#This Row],[Contracts Signed]]/SalesData[[#This Row],[Contracts Offered]])</f>
        <v>0.3577981651376147</v>
      </c>
      <c r="AG4524" s="5">
        <f>IF(SalesData[[#This Row],[Customers Visited]]=0,0,SalesData[[#This Row],[Test Drives]]/SalesData[[#This Row],[Customers Visited]])</f>
        <v>0.56060606060606055</v>
      </c>
      <c r="AH4524" s="5">
        <f>IF(SalesData[[#This Row],[Customers Visited]]=0,0,SalesData[[#This Row],[Contracts Signed]]/SalesData[[#This Row],[Customers Visited]])</f>
        <v>0.14772727272727273</v>
      </c>
      <c r="AI4524" s="6">
        <f>IF(SalesData[[#This Row],[Contracts Signed]]=0,0,SalesData[[#This Row],[Profit(€)]]/SalesData[[#This Row],[Contracts Signed]])</f>
        <v>12154</v>
      </c>
      <c r="AJ4524" s="5" t="str">
        <f>TRIM(CLEAN(SalesData[[#This Row],[Retailer]]))</f>
        <v>Saxon Wheels</v>
      </c>
    </row>
    <row r="4525" spans="1:36" ht="14.25" hidden="1" x14ac:dyDescent="0.2">
      <c r="A4525" t="s">
        <v>5794</v>
      </c>
      <c r="B4525" s="1">
        <v>46066</v>
      </c>
      <c r="C4525" t="s">
        <v>121</v>
      </c>
      <c r="D4525" t="s">
        <v>54</v>
      </c>
      <c r="E4525" t="s">
        <v>26</v>
      </c>
      <c r="F4525" t="s">
        <v>114</v>
      </c>
      <c r="G4525" t="s">
        <v>115</v>
      </c>
      <c r="H4525" t="s">
        <v>115</v>
      </c>
      <c r="I4525" t="s">
        <v>116</v>
      </c>
      <c r="J4525" t="s">
        <v>7026</v>
      </c>
      <c r="K4525" t="s">
        <v>66</v>
      </c>
      <c r="L4525" t="s">
        <v>46</v>
      </c>
      <c r="M4525" t="s">
        <v>47</v>
      </c>
      <c r="N4525" t="s">
        <v>69</v>
      </c>
      <c r="O4525" t="s">
        <v>70</v>
      </c>
      <c r="P4525" t="s">
        <v>71</v>
      </c>
      <c r="Q4525" t="s">
        <v>50</v>
      </c>
      <c r="R4525">
        <v>311</v>
      </c>
      <c r="S4525">
        <v>154</v>
      </c>
      <c r="T4525">
        <v>104</v>
      </c>
      <c r="U4525">
        <v>25</v>
      </c>
      <c r="V4525" t="s">
        <v>1079</v>
      </c>
      <c r="W4525">
        <v>21520</v>
      </c>
      <c r="X4525" t="s">
        <v>1270</v>
      </c>
      <c r="Y4525">
        <v>19400</v>
      </c>
      <c r="Z4525">
        <v>538000</v>
      </c>
      <c r="AA4525">
        <v>53000</v>
      </c>
      <c r="AB4525" t="str">
        <f>(VLOOKUP(SalesData[[#This Row],[Month Number]],Reference!C$5:E$16,2,FALSE))</f>
        <v>Feb</v>
      </c>
      <c r="AC4525">
        <f>MONTH(SalesData[[#This Row],[Date]])</f>
        <v>2</v>
      </c>
      <c r="AD4525">
        <f>Reference!F$4</f>
        <v>2026</v>
      </c>
      <c r="AE4525" t="str">
        <f>IF(OR(SalesData[[#This Row],[Day]]="Saturday",SalesData[[#This Row],[Day]]="Sunday"),"Weekend","Weekday")</f>
        <v>Weekday</v>
      </c>
      <c r="AF4525" s="5">
        <f>IF(SalesData[[#This Row],[Contracts Offered]]=0,0,SalesData[[#This Row],[Contracts Signed]]/SalesData[[#This Row],[Contracts Offered]])</f>
        <v>0.24038461538461539</v>
      </c>
      <c r="AG4525" s="5">
        <f>IF(SalesData[[#This Row],[Customers Visited]]=0,0,SalesData[[#This Row],[Test Drives]]/SalesData[[#This Row],[Customers Visited]])</f>
        <v>0.49517684887459806</v>
      </c>
      <c r="AH4525" s="5">
        <f>IF(SalesData[[#This Row],[Customers Visited]]=0,0,SalesData[[#This Row],[Contracts Signed]]/SalesData[[#This Row],[Customers Visited]])</f>
        <v>8.0385852090032156E-2</v>
      </c>
      <c r="AI4525" s="6">
        <f>IF(SalesData[[#This Row],[Contracts Signed]]=0,0,SalesData[[#This Row],[Profit(€)]]/SalesData[[#This Row],[Contracts Signed]])</f>
        <v>2120</v>
      </c>
      <c r="AJ4525" s="5" t="str">
        <f>TRIM(CLEAN(SalesData[[#This Row],[Retailer]]))</f>
        <v>Elbe Drive</v>
      </c>
    </row>
    <row r="4526" spans="1:36" ht="14.25" hidden="1" x14ac:dyDescent="0.2">
      <c r="A4526" t="s">
        <v>5795</v>
      </c>
      <c r="B4526" s="1">
        <v>46069</v>
      </c>
      <c r="C4526" t="s">
        <v>62</v>
      </c>
      <c r="D4526" t="s">
        <v>25</v>
      </c>
      <c r="E4526" t="s">
        <v>26</v>
      </c>
      <c r="F4526" t="s">
        <v>83</v>
      </c>
      <c r="G4526" t="s">
        <v>84</v>
      </c>
      <c r="H4526" t="s">
        <v>85</v>
      </c>
      <c r="I4526" t="s">
        <v>116</v>
      </c>
      <c r="J4526" t="s">
        <v>203</v>
      </c>
      <c r="K4526" t="s">
        <v>32</v>
      </c>
      <c r="L4526" t="s">
        <v>67</v>
      </c>
      <c r="M4526" t="s">
        <v>68</v>
      </c>
      <c r="N4526" t="s">
        <v>69</v>
      </c>
      <c r="O4526" t="s">
        <v>36</v>
      </c>
      <c r="P4526" t="s">
        <v>37</v>
      </c>
      <c r="Q4526" t="s">
        <v>135</v>
      </c>
      <c r="R4526">
        <v>315</v>
      </c>
      <c r="S4526">
        <v>142</v>
      </c>
      <c r="T4526">
        <v>88</v>
      </c>
      <c r="U4526">
        <v>21</v>
      </c>
      <c r="V4526" t="s">
        <v>731</v>
      </c>
      <c r="W4526">
        <v>20911</v>
      </c>
      <c r="X4526" t="s">
        <v>1026</v>
      </c>
      <c r="Y4526">
        <v>19111</v>
      </c>
      <c r="Z4526">
        <v>439131</v>
      </c>
      <c r="AA4526">
        <v>37800</v>
      </c>
      <c r="AB4526" t="str">
        <f>(VLOOKUP(SalesData[[#This Row],[Month Number]],Reference!C$5:E$16,2,FALSE))</f>
        <v>Feb</v>
      </c>
      <c r="AC4526">
        <f>MONTH(SalesData[[#This Row],[Date]])</f>
        <v>2</v>
      </c>
      <c r="AD4526">
        <f>Reference!F$4</f>
        <v>2026</v>
      </c>
      <c r="AE4526" t="str">
        <f>IF(OR(SalesData[[#This Row],[Day]]="Saturday",SalesData[[#This Row],[Day]]="Sunday"),"Weekend","Weekday")</f>
        <v>Weekday</v>
      </c>
      <c r="AF4526" s="5">
        <f>IF(SalesData[[#This Row],[Contracts Offered]]=0,0,SalesData[[#This Row],[Contracts Signed]]/SalesData[[#This Row],[Contracts Offered]])</f>
        <v>0.23863636363636365</v>
      </c>
      <c r="AG4526" s="5">
        <f>IF(SalesData[[#This Row],[Customers Visited]]=0,0,SalesData[[#This Row],[Test Drives]]/SalesData[[#This Row],[Customers Visited]])</f>
        <v>0.4507936507936508</v>
      </c>
      <c r="AH4526" s="5">
        <f>IF(SalesData[[#This Row],[Customers Visited]]=0,0,SalesData[[#This Row],[Contracts Signed]]/SalesData[[#This Row],[Customers Visited]])</f>
        <v>6.6666666666666666E-2</v>
      </c>
      <c r="AI4526" s="6">
        <f>IF(SalesData[[#This Row],[Contracts Signed]]=0,0,SalesData[[#This Row],[Profit(€)]]/SalesData[[#This Row],[Contracts Signed]])</f>
        <v>1800</v>
      </c>
      <c r="AJ4526" s="5" t="str">
        <f>TRIM(CLEAN(SalesData[[#This Row],[Retailer]]))</f>
        <v>Hannover Cars</v>
      </c>
    </row>
    <row r="4527" spans="1:36" ht="14.25" hidden="1" x14ac:dyDescent="0.2">
      <c r="A4527" t="s">
        <v>5796</v>
      </c>
      <c r="B4527" s="1">
        <v>46055</v>
      </c>
      <c r="C4527" t="s">
        <v>24</v>
      </c>
      <c r="D4527" t="s">
        <v>25</v>
      </c>
      <c r="E4527" t="s">
        <v>26</v>
      </c>
      <c r="F4527" t="s">
        <v>127</v>
      </c>
      <c r="G4527" t="s">
        <v>128</v>
      </c>
      <c r="H4527" t="s">
        <v>103</v>
      </c>
      <c r="I4527" t="s">
        <v>56</v>
      </c>
      <c r="J4527" t="s">
        <v>7028</v>
      </c>
      <c r="K4527" t="s">
        <v>66</v>
      </c>
      <c r="L4527" t="s">
        <v>46</v>
      </c>
      <c r="M4527" t="s">
        <v>34</v>
      </c>
      <c r="N4527" t="s">
        <v>48</v>
      </c>
      <c r="O4527" t="s">
        <v>70</v>
      </c>
      <c r="P4527" t="s">
        <v>49</v>
      </c>
      <c r="Q4527" t="s">
        <v>158</v>
      </c>
      <c r="R4527">
        <v>217</v>
      </c>
      <c r="S4527">
        <v>105</v>
      </c>
      <c r="T4527">
        <v>73</v>
      </c>
      <c r="U4527">
        <v>22</v>
      </c>
      <c r="V4527" t="s">
        <v>6846</v>
      </c>
      <c r="W4527">
        <v>55164</v>
      </c>
      <c r="X4527" t="s">
        <v>7527</v>
      </c>
      <c r="Y4527">
        <v>42096</v>
      </c>
      <c r="Z4527">
        <v>1213608</v>
      </c>
      <c r="AA4527">
        <v>287496</v>
      </c>
      <c r="AB4527" t="str">
        <f>(VLOOKUP(SalesData[[#This Row],[Month Number]],Reference!C$5:E$16,2,FALSE))</f>
        <v>Feb</v>
      </c>
      <c r="AC4527">
        <f>MONTH(SalesData[[#This Row],[Date]])</f>
        <v>2</v>
      </c>
      <c r="AD4527">
        <f>Reference!F$4</f>
        <v>2026</v>
      </c>
      <c r="AE4527" t="str">
        <f>IF(OR(SalesData[[#This Row],[Day]]="Saturday",SalesData[[#This Row],[Day]]="Sunday"),"Weekend","Weekday")</f>
        <v>Weekday</v>
      </c>
      <c r="AF4527" s="5">
        <f>IF(SalesData[[#This Row],[Contracts Offered]]=0,0,SalesData[[#This Row],[Contracts Signed]]/SalesData[[#This Row],[Contracts Offered]])</f>
        <v>0.30136986301369861</v>
      </c>
      <c r="AG4527" s="5">
        <f>IF(SalesData[[#This Row],[Customers Visited]]=0,0,SalesData[[#This Row],[Test Drives]]/SalesData[[#This Row],[Customers Visited]])</f>
        <v>0.4838709677419355</v>
      </c>
      <c r="AH4527" s="5">
        <f>IF(SalesData[[#This Row],[Customers Visited]]=0,0,SalesData[[#This Row],[Contracts Signed]]/SalesData[[#This Row],[Customers Visited]])</f>
        <v>0.10138248847926268</v>
      </c>
      <c r="AI4527" s="6">
        <f>IF(SalesData[[#This Row],[Contracts Signed]]=0,0,SalesData[[#This Row],[Profit(€)]]/SalesData[[#This Row],[Contracts Signed]])</f>
        <v>13068</v>
      </c>
      <c r="AJ4527" s="5" t="str">
        <f>TRIM(CLEAN(SalesData[[#This Row],[Retailer]]))</f>
        <v>Rhein Auto Group</v>
      </c>
    </row>
    <row r="4528" spans="1:36" ht="14.25" hidden="1" x14ac:dyDescent="0.2">
      <c r="A4528" t="s">
        <v>5797</v>
      </c>
      <c r="B4528" s="1">
        <v>46076</v>
      </c>
      <c r="C4528" t="s">
        <v>53</v>
      </c>
      <c r="D4528" t="s">
        <v>25</v>
      </c>
      <c r="E4528" t="s">
        <v>26</v>
      </c>
      <c r="F4528" t="s">
        <v>83</v>
      </c>
      <c r="G4528" t="s">
        <v>84</v>
      </c>
      <c r="H4528" t="s">
        <v>85</v>
      </c>
      <c r="I4528" t="s">
        <v>64</v>
      </c>
      <c r="J4528" t="s">
        <v>65</v>
      </c>
      <c r="K4528" t="s">
        <v>78</v>
      </c>
      <c r="L4528" t="s">
        <v>33</v>
      </c>
      <c r="M4528" t="s">
        <v>47</v>
      </c>
      <c r="N4528" t="s">
        <v>48</v>
      </c>
      <c r="O4528" t="s">
        <v>70</v>
      </c>
      <c r="P4528" t="s">
        <v>49</v>
      </c>
      <c r="Q4528" t="s">
        <v>169</v>
      </c>
      <c r="R4528">
        <v>155</v>
      </c>
      <c r="S4528">
        <v>90</v>
      </c>
      <c r="T4528">
        <v>67</v>
      </c>
      <c r="U4528">
        <v>22</v>
      </c>
      <c r="V4528" t="s">
        <v>6705</v>
      </c>
      <c r="W4528">
        <v>54230</v>
      </c>
      <c r="X4528" t="s">
        <v>3526</v>
      </c>
      <c r="Y4528">
        <v>38526</v>
      </c>
      <c r="Z4528">
        <v>1193060</v>
      </c>
      <c r="AA4528">
        <v>345488</v>
      </c>
      <c r="AB4528" t="str">
        <f>(VLOOKUP(SalesData[[#This Row],[Month Number]],Reference!C$5:E$16,2,FALSE))</f>
        <v>Feb</v>
      </c>
      <c r="AC4528">
        <f>MONTH(SalesData[[#This Row],[Date]])</f>
        <v>2</v>
      </c>
      <c r="AD4528">
        <f>Reference!F$4</f>
        <v>2026</v>
      </c>
      <c r="AE4528" t="str">
        <f>IF(OR(SalesData[[#This Row],[Day]]="Saturday",SalesData[[#This Row],[Day]]="Sunday"),"Weekend","Weekday")</f>
        <v>Weekday</v>
      </c>
      <c r="AF4528" s="5">
        <f>IF(SalesData[[#This Row],[Contracts Offered]]=0,0,SalesData[[#This Row],[Contracts Signed]]/SalesData[[#This Row],[Contracts Offered]])</f>
        <v>0.32835820895522388</v>
      </c>
      <c r="AG4528" s="5">
        <f>IF(SalesData[[#This Row],[Customers Visited]]=0,0,SalesData[[#This Row],[Test Drives]]/SalesData[[#This Row],[Customers Visited]])</f>
        <v>0.58064516129032262</v>
      </c>
      <c r="AH4528" s="5">
        <f>IF(SalesData[[#This Row],[Customers Visited]]=0,0,SalesData[[#This Row],[Contracts Signed]]/SalesData[[#This Row],[Customers Visited]])</f>
        <v>0.14193548387096774</v>
      </c>
      <c r="AI4528" s="6">
        <f>IF(SalesData[[#This Row],[Contracts Signed]]=0,0,SalesData[[#This Row],[Profit(€)]]/SalesData[[#This Row],[Contracts Signed]])</f>
        <v>15704</v>
      </c>
      <c r="AJ4528" s="5" t="str">
        <f>TRIM(CLEAN(SalesData[[#This Row],[Retailer]]))</f>
        <v>Hannover Cars</v>
      </c>
    </row>
    <row r="4529" spans="1:36" ht="14.25" x14ac:dyDescent="0.2">
      <c r="A4529" t="s">
        <v>5798</v>
      </c>
      <c r="B4529" s="1">
        <v>46057</v>
      </c>
      <c r="C4529" t="s">
        <v>24</v>
      </c>
      <c r="D4529" t="s">
        <v>82</v>
      </c>
      <c r="E4529" t="s">
        <v>26</v>
      </c>
      <c r="F4529" t="s">
        <v>74</v>
      </c>
      <c r="G4529" t="s">
        <v>75</v>
      </c>
      <c r="H4529" t="s">
        <v>76</v>
      </c>
      <c r="I4529" t="s">
        <v>30</v>
      </c>
      <c r="J4529" t="s">
        <v>166</v>
      </c>
      <c r="K4529" t="s">
        <v>91</v>
      </c>
      <c r="L4529" t="s">
        <v>46</v>
      </c>
      <c r="M4529" t="s">
        <v>68</v>
      </c>
      <c r="N4529" t="s">
        <v>48</v>
      </c>
      <c r="O4529" t="s">
        <v>70</v>
      </c>
      <c r="P4529" t="s">
        <v>58</v>
      </c>
      <c r="Q4529" t="s">
        <v>50</v>
      </c>
      <c r="R4529">
        <v>240</v>
      </c>
      <c r="S4529">
        <v>111</v>
      </c>
      <c r="T4529">
        <v>88</v>
      </c>
      <c r="U4529">
        <v>32</v>
      </c>
      <c r="V4529" t="s">
        <v>6893</v>
      </c>
      <c r="W4529">
        <v>56896</v>
      </c>
      <c r="X4529" t="s">
        <v>7133</v>
      </c>
      <c r="Y4529">
        <v>39875</v>
      </c>
      <c r="Z4529">
        <v>1820672</v>
      </c>
      <c r="AA4529">
        <v>544672</v>
      </c>
      <c r="AB4529" t="str">
        <f>(VLOOKUP(SalesData[[#This Row],[Month Number]],Reference!C$5:E$16,2,FALSE))</f>
        <v>Feb</v>
      </c>
      <c r="AC4529">
        <f>MONTH(SalesData[[#This Row],[Date]])</f>
        <v>2</v>
      </c>
      <c r="AD4529">
        <f>Reference!F$4</f>
        <v>2026</v>
      </c>
      <c r="AE4529" t="str">
        <f>IF(OR(SalesData[[#This Row],[Day]]="Saturday",SalesData[[#This Row],[Day]]="Sunday"),"Weekend","Weekday")</f>
        <v>Weekday</v>
      </c>
      <c r="AF4529" s="5">
        <f>IF(SalesData[[#This Row],[Contracts Offered]]=0,0,SalesData[[#This Row],[Contracts Signed]]/SalesData[[#This Row],[Contracts Offered]])</f>
        <v>0.36363636363636365</v>
      </c>
      <c r="AG4529" s="5">
        <f>IF(SalesData[[#This Row],[Customers Visited]]=0,0,SalesData[[#This Row],[Test Drives]]/SalesData[[#This Row],[Customers Visited]])</f>
        <v>0.46250000000000002</v>
      </c>
      <c r="AH4529" s="5">
        <f>IF(SalesData[[#This Row],[Customers Visited]]=0,0,SalesData[[#This Row],[Contracts Signed]]/SalesData[[#This Row],[Customers Visited]])</f>
        <v>0.13333333333333333</v>
      </c>
      <c r="AI4529" s="6">
        <f>IF(SalesData[[#This Row],[Contracts Signed]]=0,0,SalesData[[#This Row],[Profit(€)]]/SalesData[[#This Row],[Contracts Signed]])</f>
        <v>17021</v>
      </c>
      <c r="AJ4529" s="5" t="str">
        <f>TRIM(CLEAN(SalesData[[#This Row],[Retailer]]))</f>
        <v>Stuttgart Auto Center</v>
      </c>
    </row>
    <row r="4530" spans="1:36" ht="14.25" hidden="1" x14ac:dyDescent="0.2">
      <c r="A4530" t="s">
        <v>5799</v>
      </c>
      <c r="B4530" s="1">
        <v>46057</v>
      </c>
      <c r="C4530" t="s">
        <v>24</v>
      </c>
      <c r="D4530" t="s">
        <v>82</v>
      </c>
      <c r="E4530" t="s">
        <v>26</v>
      </c>
      <c r="F4530" t="s">
        <v>114</v>
      </c>
      <c r="G4530" t="s">
        <v>115</v>
      </c>
      <c r="H4530" t="s">
        <v>115</v>
      </c>
      <c r="I4530" t="s">
        <v>56</v>
      </c>
      <c r="J4530" t="s">
        <v>97</v>
      </c>
      <c r="K4530" t="s">
        <v>91</v>
      </c>
      <c r="L4530" t="s">
        <v>33</v>
      </c>
      <c r="M4530" t="s">
        <v>34</v>
      </c>
      <c r="N4530" t="s">
        <v>48</v>
      </c>
      <c r="O4530" t="s">
        <v>70</v>
      </c>
      <c r="P4530" t="s">
        <v>58</v>
      </c>
      <c r="Q4530" t="s">
        <v>172</v>
      </c>
      <c r="R4530">
        <v>174</v>
      </c>
      <c r="S4530">
        <v>98</v>
      </c>
      <c r="T4530">
        <v>68</v>
      </c>
      <c r="U4530">
        <v>27</v>
      </c>
      <c r="V4530" t="s">
        <v>6363</v>
      </c>
      <c r="W4530">
        <v>48976</v>
      </c>
      <c r="X4530" t="s">
        <v>7395</v>
      </c>
      <c r="Y4530">
        <v>40104</v>
      </c>
      <c r="Z4530">
        <v>1322352</v>
      </c>
      <c r="AA4530">
        <v>239544</v>
      </c>
      <c r="AB4530" t="str">
        <f>(VLOOKUP(SalesData[[#This Row],[Month Number]],Reference!C$5:E$16,2,FALSE))</f>
        <v>Feb</v>
      </c>
      <c r="AC4530">
        <f>MONTH(SalesData[[#This Row],[Date]])</f>
        <v>2</v>
      </c>
      <c r="AD4530">
        <f>Reference!F$4</f>
        <v>2026</v>
      </c>
      <c r="AE4530" t="str">
        <f>IF(OR(SalesData[[#This Row],[Day]]="Saturday",SalesData[[#This Row],[Day]]="Sunday"),"Weekend","Weekday")</f>
        <v>Weekday</v>
      </c>
      <c r="AF4530" s="5">
        <f>IF(SalesData[[#This Row],[Contracts Offered]]=0,0,SalesData[[#This Row],[Contracts Signed]]/SalesData[[#This Row],[Contracts Offered]])</f>
        <v>0.39705882352941174</v>
      </c>
      <c r="AG4530" s="5">
        <f>IF(SalesData[[#This Row],[Customers Visited]]=0,0,SalesData[[#This Row],[Test Drives]]/SalesData[[#This Row],[Customers Visited]])</f>
        <v>0.56321839080459768</v>
      </c>
      <c r="AH4530" s="5">
        <f>IF(SalesData[[#This Row],[Customers Visited]]=0,0,SalesData[[#This Row],[Contracts Signed]]/SalesData[[#This Row],[Customers Visited]])</f>
        <v>0.15517241379310345</v>
      </c>
      <c r="AI4530" s="6">
        <f>IF(SalesData[[#This Row],[Contracts Signed]]=0,0,SalesData[[#This Row],[Profit(€)]]/SalesData[[#This Row],[Contracts Signed]])</f>
        <v>8872</v>
      </c>
      <c r="AJ4530" s="5" t="str">
        <f>TRIM(CLEAN(SalesData[[#This Row],[Retailer]]))</f>
        <v>Elbe Drive</v>
      </c>
    </row>
    <row r="4531" spans="1:36" ht="14.25" hidden="1" x14ac:dyDescent="0.2">
      <c r="A4531" t="s">
        <v>5800</v>
      </c>
      <c r="B4531" s="1">
        <v>46078</v>
      </c>
      <c r="C4531" t="s">
        <v>53</v>
      </c>
      <c r="D4531" t="s">
        <v>82</v>
      </c>
      <c r="E4531" t="s">
        <v>26</v>
      </c>
      <c r="F4531" t="s">
        <v>74</v>
      </c>
      <c r="G4531" t="s">
        <v>75</v>
      </c>
      <c r="H4531" t="s">
        <v>76</v>
      </c>
      <c r="I4531" t="s">
        <v>104</v>
      </c>
      <c r="J4531" t="s">
        <v>7061</v>
      </c>
      <c r="K4531" t="s">
        <v>32</v>
      </c>
      <c r="L4531" t="s">
        <v>46</v>
      </c>
      <c r="M4531" t="s">
        <v>87</v>
      </c>
      <c r="N4531" t="s">
        <v>48</v>
      </c>
      <c r="O4531" t="s">
        <v>36</v>
      </c>
      <c r="P4531" t="s">
        <v>49</v>
      </c>
      <c r="Q4531" t="s">
        <v>240</v>
      </c>
      <c r="R4531">
        <v>387</v>
      </c>
      <c r="S4531">
        <v>215</v>
      </c>
      <c r="T4531">
        <v>153</v>
      </c>
      <c r="U4531">
        <v>31</v>
      </c>
      <c r="V4531" t="s">
        <v>1800</v>
      </c>
      <c r="W4531">
        <v>28782</v>
      </c>
      <c r="X4531" t="s">
        <v>3085</v>
      </c>
      <c r="Y4531">
        <v>25736</v>
      </c>
      <c r="Z4531">
        <v>892242</v>
      </c>
      <c r="AA4531">
        <v>94426</v>
      </c>
      <c r="AB4531" t="str">
        <f>(VLOOKUP(SalesData[[#This Row],[Month Number]],Reference!C$5:E$16,2,FALSE))</f>
        <v>Feb</v>
      </c>
      <c r="AC4531">
        <f>MONTH(SalesData[[#This Row],[Date]])</f>
        <v>2</v>
      </c>
      <c r="AD4531">
        <f>Reference!F$4</f>
        <v>2026</v>
      </c>
      <c r="AE4531" t="str">
        <f>IF(OR(SalesData[[#This Row],[Day]]="Saturday",SalesData[[#This Row],[Day]]="Sunday"),"Weekend","Weekday")</f>
        <v>Weekday</v>
      </c>
      <c r="AF4531" s="5">
        <f>IF(SalesData[[#This Row],[Contracts Offered]]=0,0,SalesData[[#This Row],[Contracts Signed]]/SalesData[[#This Row],[Contracts Offered]])</f>
        <v>0.20261437908496732</v>
      </c>
      <c r="AG4531" s="5">
        <f>IF(SalesData[[#This Row],[Customers Visited]]=0,0,SalesData[[#This Row],[Test Drives]]/SalesData[[#This Row],[Customers Visited]])</f>
        <v>0.55555555555555558</v>
      </c>
      <c r="AH4531" s="5">
        <f>IF(SalesData[[#This Row],[Customers Visited]]=0,0,SalesData[[#This Row],[Contracts Signed]]/SalesData[[#This Row],[Customers Visited]])</f>
        <v>8.0103359173126609E-2</v>
      </c>
      <c r="AI4531" s="6">
        <f>IF(SalesData[[#This Row],[Contracts Signed]]=0,0,SalesData[[#This Row],[Profit(€)]]/SalesData[[#This Row],[Contracts Signed]])</f>
        <v>3046</v>
      </c>
      <c r="AJ4531" s="5" t="str">
        <f>TRIM(CLEAN(SalesData[[#This Row],[Retailer]]))</f>
        <v>Stuttgart Auto Center</v>
      </c>
    </row>
    <row r="4532" spans="1:36" ht="14.25" hidden="1" x14ac:dyDescent="0.2">
      <c r="A4532" t="s">
        <v>5801</v>
      </c>
      <c r="B4532" s="1">
        <v>46063</v>
      </c>
      <c r="C4532" t="s">
        <v>121</v>
      </c>
      <c r="D4532" t="s">
        <v>63</v>
      </c>
      <c r="E4532" t="s">
        <v>26</v>
      </c>
      <c r="F4532" t="s">
        <v>27</v>
      </c>
      <c r="G4532" t="s">
        <v>28</v>
      </c>
      <c r="H4532" t="s">
        <v>29</v>
      </c>
      <c r="I4532" t="s">
        <v>104</v>
      </c>
      <c r="J4532" t="s">
        <v>7031</v>
      </c>
      <c r="K4532" t="s">
        <v>32</v>
      </c>
      <c r="L4532" t="s">
        <v>46</v>
      </c>
      <c r="M4532" t="s">
        <v>47</v>
      </c>
      <c r="N4532" t="s">
        <v>35</v>
      </c>
      <c r="O4532" t="s">
        <v>36</v>
      </c>
      <c r="P4532" t="s">
        <v>37</v>
      </c>
      <c r="Q4532" t="s">
        <v>144</v>
      </c>
      <c r="R4532">
        <v>508</v>
      </c>
      <c r="S4532">
        <v>280</v>
      </c>
      <c r="T4532">
        <v>188</v>
      </c>
      <c r="U4532">
        <v>37</v>
      </c>
      <c r="V4532" t="s">
        <v>822</v>
      </c>
      <c r="W4532">
        <v>34673</v>
      </c>
      <c r="X4532" t="s">
        <v>2006</v>
      </c>
      <c r="Y4532">
        <v>30979</v>
      </c>
      <c r="Z4532">
        <v>1282901</v>
      </c>
      <c r="AA4532">
        <v>136678</v>
      </c>
      <c r="AB4532" t="str">
        <f>(VLOOKUP(SalesData[[#This Row],[Month Number]],Reference!C$5:E$16,2,FALSE))</f>
        <v>Feb</v>
      </c>
      <c r="AC4532">
        <f>MONTH(SalesData[[#This Row],[Date]])</f>
        <v>2</v>
      </c>
      <c r="AD4532">
        <f>Reference!F$4</f>
        <v>2026</v>
      </c>
      <c r="AE4532" t="str">
        <f>IF(OR(SalesData[[#This Row],[Day]]="Saturday",SalesData[[#This Row],[Day]]="Sunday"),"Weekend","Weekday")</f>
        <v>Weekday</v>
      </c>
      <c r="AF4532" s="5">
        <f>IF(SalesData[[#This Row],[Contracts Offered]]=0,0,SalesData[[#This Row],[Contracts Signed]]/SalesData[[#This Row],[Contracts Offered]])</f>
        <v>0.19680851063829788</v>
      </c>
      <c r="AG4532" s="5">
        <f>IF(SalesData[[#This Row],[Customers Visited]]=0,0,SalesData[[#This Row],[Test Drives]]/SalesData[[#This Row],[Customers Visited]])</f>
        <v>0.55118110236220474</v>
      </c>
      <c r="AH4532" s="5">
        <f>IF(SalesData[[#This Row],[Customers Visited]]=0,0,SalesData[[#This Row],[Contracts Signed]]/SalesData[[#This Row],[Customers Visited]])</f>
        <v>7.2834645669291334E-2</v>
      </c>
      <c r="AI4532" s="6">
        <f>IF(SalesData[[#This Row],[Contracts Signed]]=0,0,SalesData[[#This Row],[Profit(€)]]/SalesData[[#This Row],[Contracts Signed]])</f>
        <v>3694</v>
      </c>
      <c r="AJ4532" s="5" t="str">
        <f>TRIM(CLEAN(SalesData[[#This Row],[Retailer]]))</f>
        <v>Main Auto Hub</v>
      </c>
    </row>
    <row r="4533" spans="1:36" ht="14.25" hidden="1" x14ac:dyDescent="0.2">
      <c r="A4533" t="s">
        <v>5802</v>
      </c>
      <c r="B4533" s="1">
        <v>46065</v>
      </c>
      <c r="C4533" t="s">
        <v>121</v>
      </c>
      <c r="D4533" t="s">
        <v>100</v>
      </c>
      <c r="E4533" t="s">
        <v>26</v>
      </c>
      <c r="F4533" t="s">
        <v>94</v>
      </c>
      <c r="G4533" t="s">
        <v>95</v>
      </c>
      <c r="H4533" t="s">
        <v>96</v>
      </c>
      <c r="I4533" t="s">
        <v>104</v>
      </c>
      <c r="J4533" t="s">
        <v>143</v>
      </c>
      <c r="K4533" t="s">
        <v>78</v>
      </c>
      <c r="L4533" t="s">
        <v>67</v>
      </c>
      <c r="M4533" t="s">
        <v>47</v>
      </c>
      <c r="N4533" t="s">
        <v>35</v>
      </c>
      <c r="O4533" t="s">
        <v>70</v>
      </c>
      <c r="P4533" t="s">
        <v>37</v>
      </c>
      <c r="Q4533" t="s">
        <v>122</v>
      </c>
      <c r="R4533">
        <v>370</v>
      </c>
      <c r="S4533">
        <v>171</v>
      </c>
      <c r="T4533">
        <v>109</v>
      </c>
      <c r="U4533">
        <v>30</v>
      </c>
      <c r="V4533" t="s">
        <v>356</v>
      </c>
      <c r="W4533">
        <v>29362</v>
      </c>
      <c r="X4533" t="s">
        <v>3370</v>
      </c>
      <c r="Y4533">
        <v>26104</v>
      </c>
      <c r="Z4533">
        <v>880860</v>
      </c>
      <c r="AA4533">
        <v>97740</v>
      </c>
      <c r="AB4533" t="str">
        <f>(VLOOKUP(SalesData[[#This Row],[Month Number]],Reference!C$5:E$16,2,FALSE))</f>
        <v>Feb</v>
      </c>
      <c r="AC4533">
        <f>MONTH(SalesData[[#This Row],[Date]])</f>
        <v>2</v>
      </c>
      <c r="AD4533">
        <f>Reference!F$4</f>
        <v>2026</v>
      </c>
      <c r="AE4533" t="str">
        <f>IF(OR(SalesData[[#This Row],[Day]]="Saturday",SalesData[[#This Row],[Day]]="Sunday"),"Weekend","Weekday")</f>
        <v>Weekday</v>
      </c>
      <c r="AF4533" s="5">
        <f>IF(SalesData[[#This Row],[Contracts Offered]]=0,0,SalesData[[#This Row],[Contracts Signed]]/SalesData[[#This Row],[Contracts Offered]])</f>
        <v>0.27522935779816515</v>
      </c>
      <c r="AG4533" s="5">
        <f>IF(SalesData[[#This Row],[Customers Visited]]=0,0,SalesData[[#This Row],[Test Drives]]/SalesData[[#This Row],[Customers Visited]])</f>
        <v>0.46216216216216216</v>
      </c>
      <c r="AH4533" s="5">
        <f>IF(SalesData[[#This Row],[Customers Visited]]=0,0,SalesData[[#This Row],[Contracts Signed]]/SalesData[[#This Row],[Customers Visited]])</f>
        <v>8.1081081081081086E-2</v>
      </c>
      <c r="AI4533" s="6">
        <f>IF(SalesData[[#This Row],[Contracts Signed]]=0,0,SalesData[[#This Row],[Profit(€)]]/SalesData[[#This Row],[Contracts Signed]])</f>
        <v>3258</v>
      </c>
      <c r="AJ4533" s="5" t="str">
        <f>TRIM(CLEAN(SalesData[[#This Row],[Retailer]]))</f>
        <v>Bavaria Motors</v>
      </c>
    </row>
    <row r="4534" spans="1:36" ht="14.25" hidden="1" x14ac:dyDescent="0.2">
      <c r="A4534" t="s">
        <v>5803</v>
      </c>
      <c r="B4534" s="1">
        <v>46080</v>
      </c>
      <c r="C4534" t="s">
        <v>53</v>
      </c>
      <c r="D4534" t="s">
        <v>54</v>
      </c>
      <c r="E4534" t="s">
        <v>26</v>
      </c>
      <c r="F4534" t="s">
        <v>43</v>
      </c>
      <c r="G4534" t="s">
        <v>44</v>
      </c>
      <c r="H4534" t="s">
        <v>45</v>
      </c>
      <c r="I4534" t="s">
        <v>64</v>
      </c>
      <c r="J4534" t="s">
        <v>77</v>
      </c>
      <c r="K4534" t="s">
        <v>66</v>
      </c>
      <c r="L4534" t="s">
        <v>46</v>
      </c>
      <c r="M4534" t="s">
        <v>68</v>
      </c>
      <c r="N4534" t="s">
        <v>35</v>
      </c>
      <c r="O4534" t="s">
        <v>36</v>
      </c>
      <c r="P4534" t="s">
        <v>37</v>
      </c>
      <c r="Q4534" t="s">
        <v>204</v>
      </c>
      <c r="R4534">
        <v>200</v>
      </c>
      <c r="S4534">
        <v>89</v>
      </c>
      <c r="T4534">
        <v>65</v>
      </c>
      <c r="U4534">
        <v>21</v>
      </c>
      <c r="V4534" t="s">
        <v>6487</v>
      </c>
      <c r="W4534">
        <v>56816</v>
      </c>
      <c r="X4534" t="s">
        <v>1830</v>
      </c>
      <c r="Y4534">
        <v>43751</v>
      </c>
      <c r="Z4534">
        <v>1193136</v>
      </c>
      <c r="AA4534">
        <v>274365</v>
      </c>
      <c r="AB4534" t="str">
        <f>(VLOOKUP(SalesData[[#This Row],[Month Number]],Reference!C$5:E$16,2,FALSE))</f>
        <v>Feb</v>
      </c>
      <c r="AC4534">
        <f>MONTH(SalesData[[#This Row],[Date]])</f>
        <v>2</v>
      </c>
      <c r="AD4534">
        <f>Reference!F$4</f>
        <v>2026</v>
      </c>
      <c r="AE4534" t="str">
        <f>IF(OR(SalesData[[#This Row],[Day]]="Saturday",SalesData[[#This Row],[Day]]="Sunday"),"Weekend","Weekday")</f>
        <v>Weekday</v>
      </c>
      <c r="AF4534" s="5">
        <f>IF(SalesData[[#This Row],[Contracts Offered]]=0,0,SalesData[[#This Row],[Contracts Signed]]/SalesData[[#This Row],[Contracts Offered]])</f>
        <v>0.32307692307692309</v>
      </c>
      <c r="AG4534" s="5">
        <f>IF(SalesData[[#This Row],[Customers Visited]]=0,0,SalesData[[#This Row],[Test Drives]]/SalesData[[#This Row],[Customers Visited]])</f>
        <v>0.44500000000000001</v>
      </c>
      <c r="AH4534" s="5">
        <f>IF(SalesData[[#This Row],[Customers Visited]]=0,0,SalesData[[#This Row],[Contracts Signed]]/SalesData[[#This Row],[Customers Visited]])</f>
        <v>0.105</v>
      </c>
      <c r="AI4534" s="6">
        <f>IF(SalesData[[#This Row],[Contracts Signed]]=0,0,SalesData[[#This Row],[Profit(€)]]/SalesData[[#This Row],[Contracts Signed]])</f>
        <v>13065</v>
      </c>
      <c r="AJ4534" s="5" t="str">
        <f>TRIM(CLEAN(SalesData[[#This Row],[Retailer]]))</f>
        <v>Saxon Wheels</v>
      </c>
    </row>
    <row r="4535" spans="1:36" ht="14.25" hidden="1" x14ac:dyDescent="0.2">
      <c r="A4535" t="s">
        <v>5804</v>
      </c>
      <c r="B4535" s="1">
        <v>46065</v>
      </c>
      <c r="C4535" t="s">
        <v>121</v>
      </c>
      <c r="D4535" t="s">
        <v>100</v>
      </c>
      <c r="E4535" t="s">
        <v>26</v>
      </c>
      <c r="F4535" t="s">
        <v>83</v>
      </c>
      <c r="G4535" t="s">
        <v>84</v>
      </c>
      <c r="H4535" t="s">
        <v>85</v>
      </c>
      <c r="I4535" t="s">
        <v>104</v>
      </c>
      <c r="J4535" t="s">
        <v>140</v>
      </c>
      <c r="K4535" t="s">
        <v>78</v>
      </c>
      <c r="L4535" t="s">
        <v>46</v>
      </c>
      <c r="M4535" t="s">
        <v>34</v>
      </c>
      <c r="N4535" t="s">
        <v>35</v>
      </c>
      <c r="O4535" t="s">
        <v>70</v>
      </c>
      <c r="P4535" t="s">
        <v>58</v>
      </c>
      <c r="Q4535" t="s">
        <v>167</v>
      </c>
      <c r="R4535">
        <v>449</v>
      </c>
      <c r="S4535">
        <v>194</v>
      </c>
      <c r="T4535">
        <v>115</v>
      </c>
      <c r="U4535">
        <v>38</v>
      </c>
      <c r="V4535" t="s">
        <v>1357</v>
      </c>
      <c r="W4535">
        <v>26095</v>
      </c>
      <c r="X4535" t="s">
        <v>7211</v>
      </c>
      <c r="Y4535">
        <v>22919</v>
      </c>
      <c r="Z4535">
        <v>991610</v>
      </c>
      <c r="AA4535">
        <v>120688</v>
      </c>
      <c r="AB4535" t="str">
        <f>(VLOOKUP(SalesData[[#This Row],[Month Number]],Reference!C$5:E$16,2,FALSE))</f>
        <v>Feb</v>
      </c>
      <c r="AC4535">
        <f>MONTH(SalesData[[#This Row],[Date]])</f>
        <v>2</v>
      </c>
      <c r="AD4535">
        <f>Reference!F$4</f>
        <v>2026</v>
      </c>
      <c r="AE4535" t="str">
        <f>IF(OR(SalesData[[#This Row],[Day]]="Saturday",SalesData[[#This Row],[Day]]="Sunday"),"Weekend","Weekday")</f>
        <v>Weekday</v>
      </c>
      <c r="AF4535" s="5">
        <f>IF(SalesData[[#This Row],[Contracts Offered]]=0,0,SalesData[[#This Row],[Contracts Signed]]/SalesData[[#This Row],[Contracts Offered]])</f>
        <v>0.33043478260869563</v>
      </c>
      <c r="AG4535" s="5">
        <f>IF(SalesData[[#This Row],[Customers Visited]]=0,0,SalesData[[#This Row],[Test Drives]]/SalesData[[#This Row],[Customers Visited]])</f>
        <v>0.43207126948775054</v>
      </c>
      <c r="AH4535" s="5">
        <f>IF(SalesData[[#This Row],[Customers Visited]]=0,0,SalesData[[#This Row],[Contracts Signed]]/SalesData[[#This Row],[Customers Visited]])</f>
        <v>8.4632516703786187E-2</v>
      </c>
      <c r="AI4535" s="6">
        <f>IF(SalesData[[#This Row],[Contracts Signed]]=0,0,SalesData[[#This Row],[Profit(€)]]/SalesData[[#This Row],[Contracts Signed]])</f>
        <v>3176</v>
      </c>
      <c r="AJ4535" s="5" t="str">
        <f>TRIM(CLEAN(SalesData[[#This Row],[Retailer]]))</f>
        <v>Hannover Cars</v>
      </c>
    </row>
    <row r="4536" spans="1:36" ht="14.25" hidden="1" x14ac:dyDescent="0.2">
      <c r="A4536" t="s">
        <v>5805</v>
      </c>
      <c r="B4536" s="1">
        <v>46059</v>
      </c>
      <c r="C4536" t="s">
        <v>24</v>
      </c>
      <c r="D4536" t="s">
        <v>54</v>
      </c>
      <c r="E4536" t="s">
        <v>26</v>
      </c>
      <c r="F4536" t="s">
        <v>43</v>
      </c>
      <c r="G4536" t="s">
        <v>44</v>
      </c>
      <c r="H4536" t="s">
        <v>45</v>
      </c>
      <c r="I4536" t="s">
        <v>116</v>
      </c>
      <c r="J4536" t="s">
        <v>132</v>
      </c>
      <c r="K4536" t="s">
        <v>32</v>
      </c>
      <c r="L4536" t="s">
        <v>46</v>
      </c>
      <c r="M4536" t="s">
        <v>87</v>
      </c>
      <c r="N4536" t="s">
        <v>69</v>
      </c>
      <c r="O4536" t="s">
        <v>70</v>
      </c>
      <c r="P4536" t="s">
        <v>49</v>
      </c>
      <c r="Q4536" t="s">
        <v>347</v>
      </c>
      <c r="R4536">
        <v>393</v>
      </c>
      <c r="S4536">
        <v>194</v>
      </c>
      <c r="T4536">
        <v>135</v>
      </c>
      <c r="U4536">
        <v>28</v>
      </c>
      <c r="V4536" t="s">
        <v>4123</v>
      </c>
      <c r="W4536">
        <v>20876</v>
      </c>
      <c r="X4536" t="s">
        <v>894</v>
      </c>
      <c r="Y4536">
        <v>18841</v>
      </c>
      <c r="Z4536">
        <v>584528</v>
      </c>
      <c r="AA4536">
        <v>56980</v>
      </c>
      <c r="AB4536" t="str">
        <f>(VLOOKUP(SalesData[[#This Row],[Month Number]],Reference!C$5:E$16,2,FALSE))</f>
        <v>Feb</v>
      </c>
      <c r="AC4536">
        <f>MONTH(SalesData[[#This Row],[Date]])</f>
        <v>2</v>
      </c>
      <c r="AD4536">
        <f>Reference!F$4</f>
        <v>2026</v>
      </c>
      <c r="AE4536" t="str">
        <f>IF(OR(SalesData[[#This Row],[Day]]="Saturday",SalesData[[#This Row],[Day]]="Sunday"),"Weekend","Weekday")</f>
        <v>Weekday</v>
      </c>
      <c r="AF4536" s="5">
        <f>IF(SalesData[[#This Row],[Contracts Offered]]=0,0,SalesData[[#This Row],[Contracts Signed]]/SalesData[[#This Row],[Contracts Offered]])</f>
        <v>0.2074074074074074</v>
      </c>
      <c r="AG4536" s="5">
        <f>IF(SalesData[[#This Row],[Customers Visited]]=0,0,SalesData[[#This Row],[Test Drives]]/SalesData[[#This Row],[Customers Visited]])</f>
        <v>0.49363867684478374</v>
      </c>
      <c r="AH4536" s="5">
        <f>IF(SalesData[[#This Row],[Customers Visited]]=0,0,SalesData[[#This Row],[Contracts Signed]]/SalesData[[#This Row],[Customers Visited]])</f>
        <v>7.124681933842239E-2</v>
      </c>
      <c r="AI4536" s="6">
        <f>IF(SalesData[[#This Row],[Contracts Signed]]=0,0,SalesData[[#This Row],[Profit(€)]]/SalesData[[#This Row],[Contracts Signed]])</f>
        <v>2035</v>
      </c>
      <c r="AJ4536" s="5" t="str">
        <f>TRIM(CLEAN(SalesData[[#This Row],[Retailer]]))</f>
        <v>Saxon Wheels</v>
      </c>
    </row>
    <row r="4537" spans="1:36" ht="14.25" x14ac:dyDescent="0.2">
      <c r="A4537" t="s">
        <v>5806</v>
      </c>
      <c r="B4537" s="1">
        <v>46079</v>
      </c>
      <c r="C4537" t="s">
        <v>53</v>
      </c>
      <c r="D4537" t="s">
        <v>100</v>
      </c>
      <c r="E4537" t="s">
        <v>26</v>
      </c>
      <c r="F4537" t="s">
        <v>27</v>
      </c>
      <c r="G4537" t="s">
        <v>28</v>
      </c>
      <c r="H4537" t="s">
        <v>29</v>
      </c>
      <c r="I4537" t="s">
        <v>30</v>
      </c>
      <c r="J4537" t="s">
        <v>31</v>
      </c>
      <c r="K4537" t="s">
        <v>32</v>
      </c>
      <c r="L4537" t="s">
        <v>46</v>
      </c>
      <c r="M4537" t="s">
        <v>34</v>
      </c>
      <c r="N4537" t="s">
        <v>69</v>
      </c>
      <c r="O4537" t="s">
        <v>70</v>
      </c>
      <c r="P4537" t="s">
        <v>37</v>
      </c>
      <c r="Q4537" t="s">
        <v>152</v>
      </c>
      <c r="R4537">
        <v>263</v>
      </c>
      <c r="S4537">
        <v>133</v>
      </c>
      <c r="T4537">
        <v>90</v>
      </c>
      <c r="U4537">
        <v>34</v>
      </c>
      <c r="V4537" t="s">
        <v>6344</v>
      </c>
      <c r="W4537">
        <v>64567</v>
      </c>
      <c r="X4537" t="s">
        <v>7101</v>
      </c>
      <c r="Y4537">
        <v>47820</v>
      </c>
      <c r="Z4537">
        <v>2195278</v>
      </c>
      <c r="AA4537">
        <v>569398</v>
      </c>
      <c r="AB4537" t="str">
        <f>(VLOOKUP(SalesData[[#This Row],[Month Number]],Reference!C$5:E$16,2,FALSE))</f>
        <v>Feb</v>
      </c>
      <c r="AC4537">
        <f>MONTH(SalesData[[#This Row],[Date]])</f>
        <v>2</v>
      </c>
      <c r="AD4537">
        <f>Reference!F$4</f>
        <v>2026</v>
      </c>
      <c r="AE4537" t="str">
        <f>IF(OR(SalesData[[#This Row],[Day]]="Saturday",SalesData[[#This Row],[Day]]="Sunday"),"Weekend","Weekday")</f>
        <v>Weekday</v>
      </c>
      <c r="AF4537" s="5">
        <f>IF(SalesData[[#This Row],[Contracts Offered]]=0,0,SalesData[[#This Row],[Contracts Signed]]/SalesData[[#This Row],[Contracts Offered]])</f>
        <v>0.37777777777777777</v>
      </c>
      <c r="AG4537" s="5">
        <f>IF(SalesData[[#This Row],[Customers Visited]]=0,0,SalesData[[#This Row],[Test Drives]]/SalesData[[#This Row],[Customers Visited]])</f>
        <v>0.50570342205323193</v>
      </c>
      <c r="AH4537" s="5">
        <f>IF(SalesData[[#This Row],[Customers Visited]]=0,0,SalesData[[#This Row],[Contracts Signed]]/SalesData[[#This Row],[Customers Visited]])</f>
        <v>0.12927756653992395</v>
      </c>
      <c r="AI4537" s="6">
        <f>IF(SalesData[[#This Row],[Contracts Signed]]=0,0,SalesData[[#This Row],[Profit(€)]]/SalesData[[#This Row],[Contracts Signed]])</f>
        <v>16747</v>
      </c>
      <c r="AJ4537" s="5" t="str">
        <f>TRIM(CLEAN(SalesData[[#This Row],[Retailer]]))</f>
        <v>Main Auto Hub</v>
      </c>
    </row>
    <row r="4538" spans="1:36" ht="14.25" hidden="1" x14ac:dyDescent="0.2">
      <c r="A4538" t="s">
        <v>5807</v>
      </c>
      <c r="B4538" s="1">
        <v>46064</v>
      </c>
      <c r="C4538" t="s">
        <v>121</v>
      </c>
      <c r="D4538" t="s">
        <v>82</v>
      </c>
      <c r="E4538" t="s">
        <v>26</v>
      </c>
      <c r="F4538" t="s">
        <v>7649</v>
      </c>
      <c r="G4538" t="s">
        <v>55</v>
      </c>
      <c r="H4538" t="s">
        <v>55</v>
      </c>
      <c r="I4538" t="s">
        <v>56</v>
      </c>
      <c r="J4538" t="s">
        <v>137</v>
      </c>
      <c r="K4538" t="s">
        <v>91</v>
      </c>
      <c r="L4538" t="s">
        <v>46</v>
      </c>
      <c r="M4538" t="s">
        <v>47</v>
      </c>
      <c r="N4538" t="s">
        <v>69</v>
      </c>
      <c r="O4538" t="s">
        <v>70</v>
      </c>
      <c r="P4538" t="s">
        <v>49</v>
      </c>
      <c r="Q4538" t="s">
        <v>88</v>
      </c>
      <c r="R4538">
        <v>240</v>
      </c>
      <c r="S4538">
        <v>111</v>
      </c>
      <c r="T4538">
        <v>72</v>
      </c>
      <c r="U4538">
        <v>26</v>
      </c>
      <c r="V4538" t="s">
        <v>6492</v>
      </c>
      <c r="W4538">
        <v>46931</v>
      </c>
      <c r="X4538" t="s">
        <v>7371</v>
      </c>
      <c r="Y4538">
        <v>36104</v>
      </c>
      <c r="Z4538">
        <v>1220206</v>
      </c>
      <c r="AA4538">
        <v>281502</v>
      </c>
      <c r="AB4538" t="str">
        <f>(VLOOKUP(SalesData[[#This Row],[Month Number]],Reference!C$5:E$16,2,FALSE))</f>
        <v>Feb</v>
      </c>
      <c r="AC4538">
        <f>MONTH(SalesData[[#This Row],[Date]])</f>
        <v>2</v>
      </c>
      <c r="AD4538">
        <f>Reference!F$4</f>
        <v>2026</v>
      </c>
      <c r="AE4538" t="str">
        <f>IF(OR(SalesData[[#This Row],[Day]]="Saturday",SalesData[[#This Row],[Day]]="Sunday"),"Weekend","Weekday")</f>
        <v>Weekday</v>
      </c>
      <c r="AF4538" s="5">
        <f>IF(SalesData[[#This Row],[Contracts Offered]]=0,0,SalesData[[#This Row],[Contracts Signed]]/SalesData[[#This Row],[Contracts Offered]])</f>
        <v>0.3611111111111111</v>
      </c>
      <c r="AG4538" s="5">
        <f>IF(SalesData[[#This Row],[Customers Visited]]=0,0,SalesData[[#This Row],[Test Drives]]/SalesData[[#This Row],[Customers Visited]])</f>
        <v>0.46250000000000002</v>
      </c>
      <c r="AH4538" s="5">
        <f>IF(SalesData[[#This Row],[Customers Visited]]=0,0,SalesData[[#This Row],[Contracts Signed]]/SalesData[[#This Row],[Customers Visited]])</f>
        <v>0.10833333333333334</v>
      </c>
      <c r="AI4538" s="6">
        <f>IF(SalesData[[#This Row],[Contracts Signed]]=0,0,SalesData[[#This Row],[Profit(€)]]/SalesData[[#This Row],[Contracts Signed]])</f>
        <v>10827</v>
      </c>
      <c r="AJ4538" s="5" t="str">
        <f>TRIM(CLEAN(SalesData[[#This Row],[Retailer]]))</f>
        <v>Autohaus Berlin</v>
      </c>
    </row>
    <row r="4539" spans="1:36" ht="14.25" hidden="1" x14ac:dyDescent="0.2">
      <c r="A4539" t="s">
        <v>5808</v>
      </c>
      <c r="B4539" s="1">
        <v>46062</v>
      </c>
      <c r="C4539" t="s">
        <v>121</v>
      </c>
      <c r="D4539" t="s">
        <v>25</v>
      </c>
      <c r="E4539" t="s">
        <v>26</v>
      </c>
      <c r="F4539" t="s">
        <v>94</v>
      </c>
      <c r="G4539" t="s">
        <v>95</v>
      </c>
      <c r="H4539" t="s">
        <v>96</v>
      </c>
      <c r="I4539" t="s">
        <v>116</v>
      </c>
      <c r="J4539" t="s">
        <v>7026</v>
      </c>
      <c r="K4539" t="s">
        <v>66</v>
      </c>
      <c r="L4539" t="s">
        <v>46</v>
      </c>
      <c r="M4539" t="s">
        <v>68</v>
      </c>
      <c r="N4539" t="s">
        <v>48</v>
      </c>
      <c r="O4539" t="s">
        <v>36</v>
      </c>
      <c r="P4539" t="s">
        <v>71</v>
      </c>
      <c r="Q4539" t="s">
        <v>50</v>
      </c>
      <c r="R4539">
        <v>426</v>
      </c>
      <c r="S4539">
        <v>172</v>
      </c>
      <c r="T4539">
        <v>104</v>
      </c>
      <c r="U4539">
        <v>32</v>
      </c>
      <c r="V4539" t="s">
        <v>363</v>
      </c>
      <c r="W4539">
        <v>26038</v>
      </c>
      <c r="X4539" t="s">
        <v>3085</v>
      </c>
      <c r="Y4539">
        <v>23286</v>
      </c>
      <c r="Z4539">
        <v>833216</v>
      </c>
      <c r="AA4539">
        <v>88064</v>
      </c>
      <c r="AB4539" t="str">
        <f>(VLOOKUP(SalesData[[#This Row],[Month Number]],Reference!C$5:E$16,2,FALSE))</f>
        <v>Feb</v>
      </c>
      <c r="AC4539">
        <f>MONTH(SalesData[[#This Row],[Date]])</f>
        <v>2</v>
      </c>
      <c r="AD4539">
        <f>Reference!F$4</f>
        <v>2026</v>
      </c>
      <c r="AE4539" t="str">
        <f>IF(OR(SalesData[[#This Row],[Day]]="Saturday",SalesData[[#This Row],[Day]]="Sunday"),"Weekend","Weekday")</f>
        <v>Weekday</v>
      </c>
      <c r="AF4539" s="5">
        <f>IF(SalesData[[#This Row],[Contracts Offered]]=0,0,SalesData[[#This Row],[Contracts Signed]]/SalesData[[#This Row],[Contracts Offered]])</f>
        <v>0.30769230769230771</v>
      </c>
      <c r="AG4539" s="5">
        <f>IF(SalesData[[#This Row],[Customers Visited]]=0,0,SalesData[[#This Row],[Test Drives]]/SalesData[[#This Row],[Customers Visited]])</f>
        <v>0.40375586854460094</v>
      </c>
      <c r="AH4539" s="5">
        <f>IF(SalesData[[#This Row],[Customers Visited]]=0,0,SalesData[[#This Row],[Contracts Signed]]/SalesData[[#This Row],[Customers Visited]])</f>
        <v>7.5117370892018781E-2</v>
      </c>
      <c r="AI4539" s="6">
        <f>IF(SalesData[[#This Row],[Contracts Signed]]=0,0,SalesData[[#This Row],[Profit(€)]]/SalesData[[#This Row],[Contracts Signed]])</f>
        <v>2752</v>
      </c>
      <c r="AJ4539" s="5" t="str">
        <f>TRIM(CLEAN(SalesData[[#This Row],[Retailer]]))</f>
        <v>Bavaria Motors</v>
      </c>
    </row>
    <row r="4540" spans="1:36" ht="14.25" hidden="1" x14ac:dyDescent="0.2">
      <c r="A4540" t="s">
        <v>5809</v>
      </c>
      <c r="B4540" s="1">
        <v>46064</v>
      </c>
      <c r="C4540" t="s">
        <v>121</v>
      </c>
      <c r="D4540" t="s">
        <v>82</v>
      </c>
      <c r="E4540" t="s">
        <v>26</v>
      </c>
      <c r="F4540" t="s">
        <v>7649</v>
      </c>
      <c r="G4540" t="s">
        <v>55</v>
      </c>
      <c r="H4540" t="s">
        <v>55</v>
      </c>
      <c r="I4540" t="s">
        <v>64</v>
      </c>
      <c r="J4540" t="s">
        <v>65</v>
      </c>
      <c r="K4540" t="s">
        <v>78</v>
      </c>
      <c r="L4540" t="s">
        <v>33</v>
      </c>
      <c r="M4540" t="s">
        <v>68</v>
      </c>
      <c r="N4540" t="s">
        <v>48</v>
      </c>
      <c r="O4540" t="s">
        <v>70</v>
      </c>
      <c r="P4540" t="s">
        <v>49</v>
      </c>
      <c r="Q4540" t="s">
        <v>144</v>
      </c>
      <c r="R4540">
        <v>216</v>
      </c>
      <c r="S4540">
        <v>97</v>
      </c>
      <c r="T4540">
        <v>73</v>
      </c>
      <c r="U4540">
        <v>24</v>
      </c>
      <c r="V4540" t="s">
        <v>6892</v>
      </c>
      <c r="W4540">
        <v>55500</v>
      </c>
      <c r="X4540" t="s">
        <v>7252</v>
      </c>
      <c r="Y4540">
        <v>41203</v>
      </c>
      <c r="Z4540">
        <v>1332000</v>
      </c>
      <c r="AA4540">
        <v>343128</v>
      </c>
      <c r="AB4540" t="str">
        <f>(VLOOKUP(SalesData[[#This Row],[Month Number]],Reference!C$5:E$16,2,FALSE))</f>
        <v>Feb</v>
      </c>
      <c r="AC4540">
        <f>MONTH(SalesData[[#This Row],[Date]])</f>
        <v>2</v>
      </c>
      <c r="AD4540">
        <f>Reference!F$4</f>
        <v>2026</v>
      </c>
      <c r="AE4540" t="str">
        <f>IF(OR(SalesData[[#This Row],[Day]]="Saturday",SalesData[[#This Row],[Day]]="Sunday"),"Weekend","Weekday")</f>
        <v>Weekday</v>
      </c>
      <c r="AF4540" s="5">
        <f>IF(SalesData[[#This Row],[Contracts Offered]]=0,0,SalesData[[#This Row],[Contracts Signed]]/SalesData[[#This Row],[Contracts Offered]])</f>
        <v>0.32876712328767121</v>
      </c>
      <c r="AG4540" s="5">
        <f>IF(SalesData[[#This Row],[Customers Visited]]=0,0,SalesData[[#This Row],[Test Drives]]/SalesData[[#This Row],[Customers Visited]])</f>
        <v>0.44907407407407407</v>
      </c>
      <c r="AH4540" s="5">
        <f>IF(SalesData[[#This Row],[Customers Visited]]=0,0,SalesData[[#This Row],[Contracts Signed]]/SalesData[[#This Row],[Customers Visited]])</f>
        <v>0.1111111111111111</v>
      </c>
      <c r="AI4540" s="6">
        <f>IF(SalesData[[#This Row],[Contracts Signed]]=0,0,SalesData[[#This Row],[Profit(€)]]/SalesData[[#This Row],[Contracts Signed]])</f>
        <v>14297</v>
      </c>
      <c r="AJ4540" s="5" t="str">
        <f>TRIM(CLEAN(SalesData[[#This Row],[Retailer]]))</f>
        <v>Autohaus Berlin</v>
      </c>
    </row>
    <row r="4541" spans="1:36" ht="14.25" hidden="1" x14ac:dyDescent="0.2">
      <c r="A4541" t="s">
        <v>5810</v>
      </c>
      <c r="B4541" s="1">
        <v>46064</v>
      </c>
      <c r="C4541" t="s">
        <v>121</v>
      </c>
      <c r="D4541" t="s">
        <v>82</v>
      </c>
      <c r="E4541" t="s">
        <v>26</v>
      </c>
      <c r="F4541" t="s">
        <v>109</v>
      </c>
      <c r="G4541" t="s">
        <v>110</v>
      </c>
      <c r="H4541" t="s">
        <v>45</v>
      </c>
      <c r="I4541" t="s">
        <v>104</v>
      </c>
      <c r="J4541" t="s">
        <v>7031</v>
      </c>
      <c r="K4541" t="s">
        <v>78</v>
      </c>
      <c r="L4541" t="s">
        <v>46</v>
      </c>
      <c r="M4541" t="s">
        <v>87</v>
      </c>
      <c r="N4541" t="s">
        <v>69</v>
      </c>
      <c r="O4541" t="s">
        <v>70</v>
      </c>
      <c r="P4541" t="s">
        <v>37</v>
      </c>
      <c r="Q4541" t="s">
        <v>158</v>
      </c>
      <c r="R4541">
        <v>390</v>
      </c>
      <c r="S4541">
        <v>176</v>
      </c>
      <c r="T4541">
        <v>107</v>
      </c>
      <c r="U4541">
        <v>27</v>
      </c>
      <c r="V4541" t="s">
        <v>3824</v>
      </c>
      <c r="W4541">
        <v>30506</v>
      </c>
      <c r="X4541" t="s">
        <v>119</v>
      </c>
      <c r="Y4541">
        <v>27248</v>
      </c>
      <c r="Z4541">
        <v>823662</v>
      </c>
      <c r="AA4541">
        <v>87966</v>
      </c>
      <c r="AB4541" t="str">
        <f>(VLOOKUP(SalesData[[#This Row],[Month Number]],Reference!C$5:E$16,2,FALSE))</f>
        <v>Feb</v>
      </c>
      <c r="AC4541">
        <f>MONTH(SalesData[[#This Row],[Date]])</f>
        <v>2</v>
      </c>
      <c r="AD4541">
        <f>Reference!F$4</f>
        <v>2026</v>
      </c>
      <c r="AE4541" t="str">
        <f>IF(OR(SalesData[[#This Row],[Day]]="Saturday",SalesData[[#This Row],[Day]]="Sunday"),"Weekend","Weekday")</f>
        <v>Weekday</v>
      </c>
      <c r="AF4541" s="5">
        <f>IF(SalesData[[#This Row],[Contracts Offered]]=0,0,SalesData[[#This Row],[Contracts Signed]]/SalesData[[#This Row],[Contracts Offered]])</f>
        <v>0.25233644859813081</v>
      </c>
      <c r="AG4541" s="5">
        <f>IF(SalesData[[#This Row],[Customers Visited]]=0,0,SalesData[[#This Row],[Test Drives]]/SalesData[[#This Row],[Customers Visited]])</f>
        <v>0.45128205128205129</v>
      </c>
      <c r="AH4541" s="5">
        <f>IF(SalesData[[#This Row],[Customers Visited]]=0,0,SalesData[[#This Row],[Contracts Signed]]/SalesData[[#This Row],[Customers Visited]])</f>
        <v>6.9230769230769235E-2</v>
      </c>
      <c r="AI4541" s="6">
        <f>IF(SalesData[[#This Row],[Contracts Signed]]=0,0,SalesData[[#This Row],[Profit(€)]]/SalesData[[#This Row],[Contracts Signed]])</f>
        <v>3258</v>
      </c>
      <c r="AJ4541" s="5" t="str">
        <f>TRIM(CLEAN(SalesData[[#This Row],[Retailer]]))</f>
        <v>Leipzig Mobility</v>
      </c>
    </row>
    <row r="4542" spans="1:36" ht="14.25" hidden="1" x14ac:dyDescent="0.2">
      <c r="A4542" t="s">
        <v>5811</v>
      </c>
      <c r="B4542" s="1">
        <v>46057</v>
      </c>
      <c r="C4542" t="s">
        <v>24</v>
      </c>
      <c r="D4542" t="s">
        <v>82</v>
      </c>
      <c r="E4542" t="s">
        <v>26</v>
      </c>
      <c r="F4542" t="s">
        <v>127</v>
      </c>
      <c r="G4542" t="s">
        <v>128</v>
      </c>
      <c r="H4542" t="s">
        <v>103</v>
      </c>
      <c r="I4542" t="s">
        <v>116</v>
      </c>
      <c r="J4542" t="s">
        <v>7090</v>
      </c>
      <c r="K4542" t="s">
        <v>66</v>
      </c>
      <c r="L4542" t="s">
        <v>46</v>
      </c>
      <c r="M4542" t="s">
        <v>87</v>
      </c>
      <c r="N4542" t="s">
        <v>35</v>
      </c>
      <c r="O4542" t="s">
        <v>36</v>
      </c>
      <c r="P4542" t="s">
        <v>71</v>
      </c>
      <c r="Q4542" t="s">
        <v>189</v>
      </c>
      <c r="R4542">
        <v>338</v>
      </c>
      <c r="S4542">
        <v>149</v>
      </c>
      <c r="T4542">
        <v>100</v>
      </c>
      <c r="U4542">
        <v>26</v>
      </c>
      <c r="V4542" t="s">
        <v>2476</v>
      </c>
      <c r="W4542">
        <v>26041</v>
      </c>
      <c r="X4542" t="s">
        <v>369</v>
      </c>
      <c r="Y4542">
        <v>23680</v>
      </c>
      <c r="Z4542">
        <v>677066</v>
      </c>
      <c r="AA4542">
        <v>61386</v>
      </c>
      <c r="AB4542" t="str">
        <f>(VLOOKUP(SalesData[[#This Row],[Month Number]],Reference!C$5:E$16,2,FALSE))</f>
        <v>Feb</v>
      </c>
      <c r="AC4542">
        <f>MONTH(SalesData[[#This Row],[Date]])</f>
        <v>2</v>
      </c>
      <c r="AD4542">
        <f>Reference!F$4</f>
        <v>2026</v>
      </c>
      <c r="AE4542" t="str">
        <f>IF(OR(SalesData[[#This Row],[Day]]="Saturday",SalesData[[#This Row],[Day]]="Sunday"),"Weekend","Weekday")</f>
        <v>Weekday</v>
      </c>
      <c r="AF4542" s="5">
        <f>IF(SalesData[[#This Row],[Contracts Offered]]=0,0,SalesData[[#This Row],[Contracts Signed]]/SalesData[[#This Row],[Contracts Offered]])</f>
        <v>0.26</v>
      </c>
      <c r="AG4542" s="5">
        <f>IF(SalesData[[#This Row],[Customers Visited]]=0,0,SalesData[[#This Row],[Test Drives]]/SalesData[[#This Row],[Customers Visited]])</f>
        <v>0.44082840236686388</v>
      </c>
      <c r="AH4542" s="5">
        <f>IF(SalesData[[#This Row],[Customers Visited]]=0,0,SalesData[[#This Row],[Contracts Signed]]/SalesData[[#This Row],[Customers Visited]])</f>
        <v>7.6923076923076927E-2</v>
      </c>
      <c r="AI4542" s="6">
        <f>IF(SalesData[[#This Row],[Contracts Signed]]=0,0,SalesData[[#This Row],[Profit(€)]]/SalesData[[#This Row],[Contracts Signed]])</f>
        <v>2361</v>
      </c>
      <c r="AJ4542" s="5" t="str">
        <f>TRIM(CLEAN(SalesData[[#This Row],[Retailer]]))</f>
        <v>Rhein Auto Group</v>
      </c>
    </row>
    <row r="4543" spans="1:36" ht="14.25" hidden="1" x14ac:dyDescent="0.2">
      <c r="A4543" t="s">
        <v>5812</v>
      </c>
      <c r="B4543" s="1">
        <v>46068</v>
      </c>
      <c r="C4543" t="s">
        <v>62</v>
      </c>
      <c r="D4543" t="s">
        <v>41</v>
      </c>
      <c r="E4543" t="s">
        <v>42</v>
      </c>
      <c r="F4543" t="s">
        <v>127</v>
      </c>
      <c r="G4543" t="s">
        <v>128</v>
      </c>
      <c r="H4543" t="s">
        <v>103</v>
      </c>
      <c r="I4543" t="s">
        <v>104</v>
      </c>
      <c r="J4543" t="s">
        <v>140</v>
      </c>
      <c r="K4543" t="s">
        <v>32</v>
      </c>
      <c r="L4543" t="s">
        <v>46</v>
      </c>
      <c r="M4543" t="s">
        <v>87</v>
      </c>
      <c r="N4543" t="s">
        <v>48</v>
      </c>
      <c r="O4543" t="s">
        <v>36</v>
      </c>
      <c r="P4543" t="s">
        <v>58</v>
      </c>
      <c r="Q4543" t="s">
        <v>129</v>
      </c>
      <c r="R4543">
        <v>418</v>
      </c>
      <c r="S4543">
        <v>214</v>
      </c>
      <c r="T4543">
        <v>140</v>
      </c>
      <c r="U4543">
        <v>39</v>
      </c>
      <c r="V4543" t="s">
        <v>3110</v>
      </c>
      <c r="W4543">
        <v>28668</v>
      </c>
      <c r="X4543" t="s">
        <v>1701</v>
      </c>
      <c r="Y4543">
        <v>24970</v>
      </c>
      <c r="Z4543">
        <v>1118052</v>
      </c>
      <c r="AA4543">
        <v>144222</v>
      </c>
      <c r="AB4543" t="str">
        <f>(VLOOKUP(SalesData[[#This Row],[Month Number]],Reference!C$5:E$16,2,FALSE))</f>
        <v>Feb</v>
      </c>
      <c r="AC4543">
        <f>MONTH(SalesData[[#This Row],[Date]])</f>
        <v>2</v>
      </c>
      <c r="AD4543">
        <f>Reference!F$4</f>
        <v>2026</v>
      </c>
      <c r="AE4543" t="str">
        <f>IF(OR(SalesData[[#This Row],[Day]]="Saturday",SalesData[[#This Row],[Day]]="Sunday"),"Weekend","Weekday")</f>
        <v>Weekend</v>
      </c>
      <c r="AF4543" s="5">
        <f>IF(SalesData[[#This Row],[Contracts Offered]]=0,0,SalesData[[#This Row],[Contracts Signed]]/SalesData[[#This Row],[Contracts Offered]])</f>
        <v>0.27857142857142858</v>
      </c>
      <c r="AG4543" s="5">
        <f>IF(SalesData[[#This Row],[Customers Visited]]=0,0,SalesData[[#This Row],[Test Drives]]/SalesData[[#This Row],[Customers Visited]])</f>
        <v>0.51196172248803828</v>
      </c>
      <c r="AH4543" s="5">
        <f>IF(SalesData[[#This Row],[Customers Visited]]=0,0,SalesData[[#This Row],[Contracts Signed]]/SalesData[[#This Row],[Customers Visited]])</f>
        <v>9.3301435406698566E-2</v>
      </c>
      <c r="AI4543" s="6">
        <f>IF(SalesData[[#This Row],[Contracts Signed]]=0,0,SalesData[[#This Row],[Profit(€)]]/SalesData[[#This Row],[Contracts Signed]])</f>
        <v>3698</v>
      </c>
      <c r="AJ4543" s="5" t="str">
        <f>TRIM(CLEAN(SalesData[[#This Row],[Retailer]]))</f>
        <v>Rhein Auto Group</v>
      </c>
    </row>
    <row r="4544" spans="1:36" ht="14.25" hidden="1" x14ac:dyDescent="0.2">
      <c r="A4544" t="s">
        <v>5813</v>
      </c>
      <c r="B4544" s="1">
        <v>46073</v>
      </c>
      <c r="C4544" t="s">
        <v>62</v>
      </c>
      <c r="D4544" t="s">
        <v>54</v>
      </c>
      <c r="E4544" t="s">
        <v>26</v>
      </c>
      <c r="F4544" t="s">
        <v>114</v>
      </c>
      <c r="G4544" t="s">
        <v>115</v>
      </c>
      <c r="H4544" t="s">
        <v>115</v>
      </c>
      <c r="I4544" t="s">
        <v>116</v>
      </c>
      <c r="J4544" t="s">
        <v>132</v>
      </c>
      <c r="K4544" t="s">
        <v>91</v>
      </c>
      <c r="L4544" t="s">
        <v>46</v>
      </c>
      <c r="M4544" t="s">
        <v>87</v>
      </c>
      <c r="N4544" t="s">
        <v>48</v>
      </c>
      <c r="O4544" t="s">
        <v>70</v>
      </c>
      <c r="P4544" t="s">
        <v>37</v>
      </c>
      <c r="Q4544" t="s">
        <v>204</v>
      </c>
      <c r="R4544">
        <v>421</v>
      </c>
      <c r="S4544">
        <v>178</v>
      </c>
      <c r="T4544">
        <v>114</v>
      </c>
      <c r="U4544">
        <v>28</v>
      </c>
      <c r="V4544" t="s">
        <v>3410</v>
      </c>
      <c r="W4544">
        <v>25947</v>
      </c>
      <c r="X4544" t="s">
        <v>4093</v>
      </c>
      <c r="Y4544">
        <v>23570</v>
      </c>
      <c r="Z4544">
        <v>726516</v>
      </c>
      <c r="AA4544">
        <v>66556</v>
      </c>
      <c r="AB4544" t="str">
        <f>(VLOOKUP(SalesData[[#This Row],[Month Number]],Reference!C$5:E$16,2,FALSE))</f>
        <v>Feb</v>
      </c>
      <c r="AC4544">
        <f>MONTH(SalesData[[#This Row],[Date]])</f>
        <v>2</v>
      </c>
      <c r="AD4544">
        <f>Reference!F$4</f>
        <v>2026</v>
      </c>
      <c r="AE4544" t="str">
        <f>IF(OR(SalesData[[#This Row],[Day]]="Saturday",SalesData[[#This Row],[Day]]="Sunday"),"Weekend","Weekday")</f>
        <v>Weekday</v>
      </c>
      <c r="AF4544" s="5">
        <f>IF(SalesData[[#This Row],[Contracts Offered]]=0,0,SalesData[[#This Row],[Contracts Signed]]/SalesData[[#This Row],[Contracts Offered]])</f>
        <v>0.24561403508771928</v>
      </c>
      <c r="AG4544" s="5">
        <f>IF(SalesData[[#This Row],[Customers Visited]]=0,0,SalesData[[#This Row],[Test Drives]]/SalesData[[#This Row],[Customers Visited]])</f>
        <v>0.42280285035629456</v>
      </c>
      <c r="AH4544" s="5">
        <f>IF(SalesData[[#This Row],[Customers Visited]]=0,0,SalesData[[#This Row],[Contracts Signed]]/SalesData[[#This Row],[Customers Visited]])</f>
        <v>6.6508313539192399E-2</v>
      </c>
      <c r="AI4544" s="6">
        <f>IF(SalesData[[#This Row],[Contracts Signed]]=0,0,SalesData[[#This Row],[Profit(€)]]/SalesData[[#This Row],[Contracts Signed]])</f>
        <v>2377</v>
      </c>
      <c r="AJ4544" s="5" t="str">
        <f>TRIM(CLEAN(SalesData[[#This Row],[Retailer]]))</f>
        <v>Elbe Drive</v>
      </c>
    </row>
    <row r="4545" spans="1:36" ht="14.25" hidden="1" x14ac:dyDescent="0.2">
      <c r="A4545" t="s">
        <v>5814</v>
      </c>
      <c r="B4545" s="1">
        <v>46055</v>
      </c>
      <c r="C4545" t="s">
        <v>24</v>
      </c>
      <c r="D4545" t="s">
        <v>25</v>
      </c>
      <c r="E4545" t="s">
        <v>26</v>
      </c>
      <c r="F4545" t="s">
        <v>94</v>
      </c>
      <c r="G4545" t="s">
        <v>95</v>
      </c>
      <c r="H4545" t="s">
        <v>96</v>
      </c>
      <c r="I4545" t="s">
        <v>64</v>
      </c>
      <c r="J4545" t="s">
        <v>7029</v>
      </c>
      <c r="K4545" t="s">
        <v>66</v>
      </c>
      <c r="L4545" t="s">
        <v>33</v>
      </c>
      <c r="M4545" t="s">
        <v>47</v>
      </c>
      <c r="N4545" t="s">
        <v>69</v>
      </c>
      <c r="O4545" t="s">
        <v>70</v>
      </c>
      <c r="P4545" t="s">
        <v>58</v>
      </c>
      <c r="Q4545" t="s">
        <v>38</v>
      </c>
      <c r="R4545">
        <v>273</v>
      </c>
      <c r="S4545">
        <v>158</v>
      </c>
      <c r="T4545">
        <v>122</v>
      </c>
      <c r="U4545">
        <v>45</v>
      </c>
      <c r="V4545" t="s">
        <v>6354</v>
      </c>
      <c r="W4545">
        <v>59980</v>
      </c>
      <c r="X4545" t="s">
        <v>7279</v>
      </c>
      <c r="Y4545">
        <v>47107</v>
      </c>
      <c r="Z4545">
        <v>2699100</v>
      </c>
      <c r="AA4545">
        <v>579285</v>
      </c>
      <c r="AB4545" t="str">
        <f>(VLOOKUP(SalesData[[#This Row],[Month Number]],Reference!C$5:E$16,2,FALSE))</f>
        <v>Feb</v>
      </c>
      <c r="AC4545">
        <f>MONTH(SalesData[[#This Row],[Date]])</f>
        <v>2</v>
      </c>
      <c r="AD4545">
        <f>Reference!F$4</f>
        <v>2026</v>
      </c>
      <c r="AE4545" t="str">
        <f>IF(OR(SalesData[[#This Row],[Day]]="Saturday",SalesData[[#This Row],[Day]]="Sunday"),"Weekend","Weekday")</f>
        <v>Weekday</v>
      </c>
      <c r="AF4545" s="5">
        <f>IF(SalesData[[#This Row],[Contracts Offered]]=0,0,SalesData[[#This Row],[Contracts Signed]]/SalesData[[#This Row],[Contracts Offered]])</f>
        <v>0.36885245901639346</v>
      </c>
      <c r="AG4545" s="5">
        <f>IF(SalesData[[#This Row],[Customers Visited]]=0,0,SalesData[[#This Row],[Test Drives]]/SalesData[[#This Row],[Customers Visited]])</f>
        <v>0.57875457875457881</v>
      </c>
      <c r="AH4545" s="5">
        <f>IF(SalesData[[#This Row],[Customers Visited]]=0,0,SalesData[[#This Row],[Contracts Signed]]/SalesData[[#This Row],[Customers Visited]])</f>
        <v>0.16483516483516483</v>
      </c>
      <c r="AI4545" s="6">
        <f>IF(SalesData[[#This Row],[Contracts Signed]]=0,0,SalesData[[#This Row],[Profit(€)]]/SalesData[[#This Row],[Contracts Signed]])</f>
        <v>12873</v>
      </c>
      <c r="AJ4545" s="5" t="str">
        <f>TRIM(CLEAN(SalesData[[#This Row],[Retailer]]))</f>
        <v>Bavaria Motors</v>
      </c>
    </row>
    <row r="4546" spans="1:36" ht="14.25" hidden="1" x14ac:dyDescent="0.2">
      <c r="A4546" t="s">
        <v>5815</v>
      </c>
      <c r="B4546" s="1">
        <v>46056</v>
      </c>
      <c r="C4546" t="s">
        <v>24</v>
      </c>
      <c r="D4546" t="s">
        <v>63</v>
      </c>
      <c r="E4546" t="s">
        <v>26</v>
      </c>
      <c r="F4546" t="s">
        <v>101</v>
      </c>
      <c r="G4546" t="s">
        <v>102</v>
      </c>
      <c r="H4546" t="s">
        <v>103</v>
      </c>
      <c r="I4546" t="s">
        <v>64</v>
      </c>
      <c r="J4546" t="s">
        <v>77</v>
      </c>
      <c r="K4546" t="s">
        <v>32</v>
      </c>
      <c r="L4546" t="s">
        <v>46</v>
      </c>
      <c r="M4546" t="s">
        <v>47</v>
      </c>
      <c r="N4546" t="s">
        <v>35</v>
      </c>
      <c r="O4546" t="s">
        <v>70</v>
      </c>
      <c r="P4546" t="s">
        <v>37</v>
      </c>
      <c r="Q4546" t="s">
        <v>158</v>
      </c>
      <c r="R4546">
        <v>271</v>
      </c>
      <c r="S4546">
        <v>145</v>
      </c>
      <c r="T4546">
        <v>102</v>
      </c>
      <c r="U4546">
        <v>32</v>
      </c>
      <c r="V4546" t="s">
        <v>6493</v>
      </c>
      <c r="W4546">
        <v>66121</v>
      </c>
      <c r="X4546" t="s">
        <v>1440</v>
      </c>
      <c r="Y4546">
        <v>51485</v>
      </c>
      <c r="Z4546">
        <v>2115872</v>
      </c>
      <c r="AA4546">
        <v>468352</v>
      </c>
      <c r="AB4546" t="str">
        <f>(VLOOKUP(SalesData[[#This Row],[Month Number]],Reference!C$5:E$16,2,FALSE))</f>
        <v>Feb</v>
      </c>
      <c r="AC4546">
        <f>MONTH(SalesData[[#This Row],[Date]])</f>
        <v>2</v>
      </c>
      <c r="AD4546">
        <f>Reference!F$4</f>
        <v>2026</v>
      </c>
      <c r="AE4546" t="str">
        <f>IF(OR(SalesData[[#This Row],[Day]]="Saturday",SalesData[[#This Row],[Day]]="Sunday"),"Weekend","Weekday")</f>
        <v>Weekday</v>
      </c>
      <c r="AF4546" s="5">
        <f>IF(SalesData[[#This Row],[Contracts Offered]]=0,0,SalesData[[#This Row],[Contracts Signed]]/SalesData[[#This Row],[Contracts Offered]])</f>
        <v>0.31372549019607843</v>
      </c>
      <c r="AG4546" s="5">
        <f>IF(SalesData[[#This Row],[Customers Visited]]=0,0,SalesData[[#This Row],[Test Drives]]/SalesData[[#This Row],[Customers Visited]])</f>
        <v>0.5350553505535055</v>
      </c>
      <c r="AH4546" s="5">
        <f>IF(SalesData[[#This Row],[Customers Visited]]=0,0,SalesData[[#This Row],[Contracts Signed]]/SalesData[[#This Row],[Customers Visited]])</f>
        <v>0.11808118081180811</v>
      </c>
      <c r="AI4546" s="6">
        <f>IF(SalesData[[#This Row],[Contracts Signed]]=0,0,SalesData[[#This Row],[Profit(€)]]/SalesData[[#This Row],[Contracts Signed]])</f>
        <v>14636</v>
      </c>
      <c r="AJ4546" s="5" t="str">
        <f>TRIM(CLEAN(SalesData[[#This Row],[Retailer]]))</f>
        <v>Ruhr Auto Plaza</v>
      </c>
    </row>
    <row r="4547" spans="1:36" ht="14.25" hidden="1" x14ac:dyDescent="0.2">
      <c r="A4547" t="s">
        <v>5816</v>
      </c>
      <c r="B4547" s="1">
        <v>46074</v>
      </c>
      <c r="C4547" t="s">
        <v>62</v>
      </c>
      <c r="D4547" t="s">
        <v>151</v>
      </c>
      <c r="E4547" t="s">
        <v>42</v>
      </c>
      <c r="F4547" t="s">
        <v>27</v>
      </c>
      <c r="G4547" t="s">
        <v>28</v>
      </c>
      <c r="H4547" t="s">
        <v>29</v>
      </c>
      <c r="I4547" t="s">
        <v>56</v>
      </c>
      <c r="J4547" t="s">
        <v>97</v>
      </c>
      <c r="K4547" t="s">
        <v>66</v>
      </c>
      <c r="L4547" t="s">
        <v>33</v>
      </c>
      <c r="M4547" t="s">
        <v>47</v>
      </c>
      <c r="N4547" t="s">
        <v>69</v>
      </c>
      <c r="O4547" t="s">
        <v>36</v>
      </c>
      <c r="P4547" t="s">
        <v>58</v>
      </c>
      <c r="Q4547" t="s">
        <v>204</v>
      </c>
      <c r="R4547">
        <v>205</v>
      </c>
      <c r="S4547">
        <v>123</v>
      </c>
      <c r="T4547">
        <v>92</v>
      </c>
      <c r="U4547">
        <v>30</v>
      </c>
      <c r="V4547" t="s">
        <v>6903</v>
      </c>
      <c r="W4547">
        <v>44614</v>
      </c>
      <c r="X4547" t="s">
        <v>7330</v>
      </c>
      <c r="Y4547">
        <v>35252</v>
      </c>
      <c r="Z4547">
        <v>1338420</v>
      </c>
      <c r="AA4547">
        <v>280860</v>
      </c>
      <c r="AB4547" t="str">
        <f>(VLOOKUP(SalesData[[#This Row],[Month Number]],Reference!C$5:E$16,2,FALSE))</f>
        <v>Feb</v>
      </c>
      <c r="AC4547">
        <f>MONTH(SalesData[[#This Row],[Date]])</f>
        <v>2</v>
      </c>
      <c r="AD4547">
        <f>Reference!F$4</f>
        <v>2026</v>
      </c>
      <c r="AE4547" t="str">
        <f>IF(OR(SalesData[[#This Row],[Day]]="Saturday",SalesData[[#This Row],[Day]]="Sunday"),"Weekend","Weekday")</f>
        <v>Weekend</v>
      </c>
      <c r="AF4547" s="5">
        <f>IF(SalesData[[#This Row],[Contracts Offered]]=0,0,SalesData[[#This Row],[Contracts Signed]]/SalesData[[#This Row],[Contracts Offered]])</f>
        <v>0.32608695652173914</v>
      </c>
      <c r="AG4547" s="5">
        <f>IF(SalesData[[#This Row],[Customers Visited]]=0,0,SalesData[[#This Row],[Test Drives]]/SalesData[[#This Row],[Customers Visited]])</f>
        <v>0.6</v>
      </c>
      <c r="AH4547" s="5">
        <f>IF(SalesData[[#This Row],[Customers Visited]]=0,0,SalesData[[#This Row],[Contracts Signed]]/SalesData[[#This Row],[Customers Visited]])</f>
        <v>0.14634146341463414</v>
      </c>
      <c r="AI4547" s="6">
        <f>IF(SalesData[[#This Row],[Contracts Signed]]=0,0,SalesData[[#This Row],[Profit(€)]]/SalesData[[#This Row],[Contracts Signed]])</f>
        <v>9362</v>
      </c>
      <c r="AJ4547" s="5" t="str">
        <f>TRIM(CLEAN(SalesData[[#This Row],[Retailer]]))</f>
        <v>Main Auto Hub</v>
      </c>
    </row>
    <row r="4548" spans="1:36" ht="14.25" hidden="1" x14ac:dyDescent="0.2">
      <c r="A4548" t="s">
        <v>5817</v>
      </c>
      <c r="B4548" s="1">
        <v>46078</v>
      </c>
      <c r="C4548" t="s">
        <v>53</v>
      </c>
      <c r="D4548" t="s">
        <v>82</v>
      </c>
      <c r="E4548" t="s">
        <v>26</v>
      </c>
      <c r="F4548" t="s">
        <v>7649</v>
      </c>
      <c r="G4548" t="s">
        <v>55</v>
      </c>
      <c r="H4548" t="s">
        <v>55</v>
      </c>
      <c r="I4548" t="s">
        <v>104</v>
      </c>
      <c r="J4548" t="s">
        <v>140</v>
      </c>
      <c r="K4548" t="s">
        <v>32</v>
      </c>
      <c r="L4548" t="s">
        <v>46</v>
      </c>
      <c r="M4548" t="s">
        <v>87</v>
      </c>
      <c r="N4548" t="s">
        <v>48</v>
      </c>
      <c r="O4548" t="s">
        <v>70</v>
      </c>
      <c r="P4548" t="s">
        <v>49</v>
      </c>
      <c r="Q4548" t="s">
        <v>79</v>
      </c>
      <c r="R4548">
        <v>388</v>
      </c>
      <c r="S4548">
        <v>176</v>
      </c>
      <c r="T4548">
        <v>108</v>
      </c>
      <c r="U4548">
        <v>25</v>
      </c>
      <c r="V4548" t="s">
        <v>2532</v>
      </c>
      <c r="W4548">
        <v>35065</v>
      </c>
      <c r="X4548" t="s">
        <v>3163</v>
      </c>
      <c r="Y4548">
        <v>30970</v>
      </c>
      <c r="Z4548">
        <v>876625</v>
      </c>
      <c r="AA4548">
        <v>102375</v>
      </c>
      <c r="AB4548" t="str">
        <f>(VLOOKUP(SalesData[[#This Row],[Month Number]],Reference!C$5:E$16,2,FALSE))</f>
        <v>Feb</v>
      </c>
      <c r="AC4548">
        <f>MONTH(SalesData[[#This Row],[Date]])</f>
        <v>2</v>
      </c>
      <c r="AD4548">
        <f>Reference!F$4</f>
        <v>2026</v>
      </c>
      <c r="AE4548" t="str">
        <f>IF(OR(SalesData[[#This Row],[Day]]="Saturday",SalesData[[#This Row],[Day]]="Sunday"),"Weekend","Weekday")</f>
        <v>Weekday</v>
      </c>
      <c r="AF4548" s="5">
        <f>IF(SalesData[[#This Row],[Contracts Offered]]=0,0,SalesData[[#This Row],[Contracts Signed]]/SalesData[[#This Row],[Contracts Offered]])</f>
        <v>0.23148148148148148</v>
      </c>
      <c r="AG4548" s="5">
        <f>IF(SalesData[[#This Row],[Customers Visited]]=0,0,SalesData[[#This Row],[Test Drives]]/SalesData[[#This Row],[Customers Visited]])</f>
        <v>0.45360824742268041</v>
      </c>
      <c r="AH4548" s="5">
        <f>IF(SalesData[[#This Row],[Customers Visited]]=0,0,SalesData[[#This Row],[Contracts Signed]]/SalesData[[#This Row],[Customers Visited]])</f>
        <v>6.4432989690721643E-2</v>
      </c>
      <c r="AI4548" s="6">
        <f>IF(SalesData[[#This Row],[Contracts Signed]]=0,0,SalesData[[#This Row],[Profit(€)]]/SalesData[[#This Row],[Contracts Signed]])</f>
        <v>4095</v>
      </c>
      <c r="AJ4548" s="5" t="str">
        <f>TRIM(CLEAN(SalesData[[#This Row],[Retailer]]))</f>
        <v>Autohaus Berlin</v>
      </c>
    </row>
    <row r="4549" spans="1:36" ht="14.25" hidden="1" x14ac:dyDescent="0.2">
      <c r="A4549" t="s">
        <v>5818</v>
      </c>
      <c r="B4549" s="1">
        <v>46070</v>
      </c>
      <c r="C4549" t="s">
        <v>62</v>
      </c>
      <c r="D4549" t="s">
        <v>63</v>
      </c>
      <c r="E4549" t="s">
        <v>26</v>
      </c>
      <c r="F4549" t="s">
        <v>127</v>
      </c>
      <c r="G4549" t="s">
        <v>128</v>
      </c>
      <c r="H4549" t="s">
        <v>103</v>
      </c>
      <c r="I4549" t="s">
        <v>64</v>
      </c>
      <c r="J4549" t="s">
        <v>157</v>
      </c>
      <c r="K4549" t="s">
        <v>91</v>
      </c>
      <c r="L4549" t="s">
        <v>33</v>
      </c>
      <c r="M4549" t="s">
        <v>68</v>
      </c>
      <c r="N4549" t="s">
        <v>48</v>
      </c>
      <c r="O4549" t="s">
        <v>36</v>
      </c>
      <c r="P4549" t="s">
        <v>37</v>
      </c>
      <c r="Q4549" t="s">
        <v>189</v>
      </c>
      <c r="R4549">
        <v>262</v>
      </c>
      <c r="S4549">
        <v>135</v>
      </c>
      <c r="T4549">
        <v>94</v>
      </c>
      <c r="U4549">
        <v>35</v>
      </c>
      <c r="V4549" t="s">
        <v>6604</v>
      </c>
      <c r="W4549">
        <v>65488</v>
      </c>
      <c r="X4549" t="s">
        <v>7218</v>
      </c>
      <c r="Y4549">
        <v>51665</v>
      </c>
      <c r="Z4549">
        <v>2292080</v>
      </c>
      <c r="AA4549">
        <v>483805</v>
      </c>
      <c r="AB4549" t="str">
        <f>(VLOOKUP(SalesData[[#This Row],[Month Number]],Reference!C$5:E$16,2,FALSE))</f>
        <v>Feb</v>
      </c>
      <c r="AC4549">
        <f>MONTH(SalesData[[#This Row],[Date]])</f>
        <v>2</v>
      </c>
      <c r="AD4549">
        <f>Reference!F$4</f>
        <v>2026</v>
      </c>
      <c r="AE4549" t="str">
        <f>IF(OR(SalesData[[#This Row],[Day]]="Saturday",SalesData[[#This Row],[Day]]="Sunday"),"Weekend","Weekday")</f>
        <v>Weekday</v>
      </c>
      <c r="AF4549" s="5">
        <f>IF(SalesData[[#This Row],[Contracts Offered]]=0,0,SalesData[[#This Row],[Contracts Signed]]/SalesData[[#This Row],[Contracts Offered]])</f>
        <v>0.37234042553191488</v>
      </c>
      <c r="AG4549" s="5">
        <f>IF(SalesData[[#This Row],[Customers Visited]]=0,0,SalesData[[#This Row],[Test Drives]]/SalesData[[#This Row],[Customers Visited]])</f>
        <v>0.51526717557251911</v>
      </c>
      <c r="AH4549" s="5">
        <f>IF(SalesData[[#This Row],[Customers Visited]]=0,0,SalesData[[#This Row],[Contracts Signed]]/SalesData[[#This Row],[Customers Visited]])</f>
        <v>0.13358778625954199</v>
      </c>
      <c r="AI4549" s="6">
        <f>IF(SalesData[[#This Row],[Contracts Signed]]=0,0,SalesData[[#This Row],[Profit(€)]]/SalesData[[#This Row],[Contracts Signed]])</f>
        <v>13823</v>
      </c>
      <c r="AJ4549" s="5" t="str">
        <f>TRIM(CLEAN(SalesData[[#This Row],[Retailer]]))</f>
        <v>Rhein Auto Group</v>
      </c>
    </row>
    <row r="4550" spans="1:36" ht="14.25" hidden="1" x14ac:dyDescent="0.2">
      <c r="A4550" t="s">
        <v>5819</v>
      </c>
      <c r="B4550" s="1">
        <v>46073</v>
      </c>
      <c r="C4550" t="s">
        <v>62</v>
      </c>
      <c r="D4550" t="s">
        <v>54</v>
      </c>
      <c r="E4550" t="s">
        <v>26</v>
      </c>
      <c r="F4550" t="s">
        <v>114</v>
      </c>
      <c r="G4550" t="s">
        <v>115</v>
      </c>
      <c r="H4550" t="s">
        <v>115</v>
      </c>
      <c r="I4550" t="s">
        <v>104</v>
      </c>
      <c r="J4550" t="s">
        <v>140</v>
      </c>
      <c r="K4550" t="s">
        <v>78</v>
      </c>
      <c r="L4550" t="s">
        <v>46</v>
      </c>
      <c r="M4550" t="s">
        <v>34</v>
      </c>
      <c r="N4550" t="s">
        <v>69</v>
      </c>
      <c r="O4550" t="s">
        <v>70</v>
      </c>
      <c r="P4550" t="s">
        <v>49</v>
      </c>
      <c r="Q4550" t="s">
        <v>122</v>
      </c>
      <c r="R4550">
        <v>359</v>
      </c>
      <c r="S4550">
        <v>207</v>
      </c>
      <c r="T4550">
        <v>139</v>
      </c>
      <c r="U4550">
        <v>27</v>
      </c>
      <c r="V4550" t="s">
        <v>1278</v>
      </c>
      <c r="W4550">
        <v>27780</v>
      </c>
      <c r="X4550" t="s">
        <v>979</v>
      </c>
      <c r="Y4550">
        <v>24995</v>
      </c>
      <c r="Z4550">
        <v>750060</v>
      </c>
      <c r="AA4550">
        <v>75195</v>
      </c>
      <c r="AB4550" t="str">
        <f>(VLOOKUP(SalesData[[#This Row],[Month Number]],Reference!C$5:E$16,2,FALSE))</f>
        <v>Feb</v>
      </c>
      <c r="AC4550">
        <f>MONTH(SalesData[[#This Row],[Date]])</f>
        <v>2</v>
      </c>
      <c r="AD4550">
        <f>Reference!F$4</f>
        <v>2026</v>
      </c>
      <c r="AE4550" t="str">
        <f>IF(OR(SalesData[[#This Row],[Day]]="Saturday",SalesData[[#This Row],[Day]]="Sunday"),"Weekend","Weekday")</f>
        <v>Weekday</v>
      </c>
      <c r="AF4550" s="5">
        <f>IF(SalesData[[#This Row],[Contracts Offered]]=0,0,SalesData[[#This Row],[Contracts Signed]]/SalesData[[#This Row],[Contracts Offered]])</f>
        <v>0.19424460431654678</v>
      </c>
      <c r="AG4550" s="5">
        <f>IF(SalesData[[#This Row],[Customers Visited]]=0,0,SalesData[[#This Row],[Test Drives]]/SalesData[[#This Row],[Customers Visited]])</f>
        <v>0.57660167130919215</v>
      </c>
      <c r="AH4550" s="5">
        <f>IF(SalesData[[#This Row],[Customers Visited]]=0,0,SalesData[[#This Row],[Contracts Signed]]/SalesData[[#This Row],[Customers Visited]])</f>
        <v>7.5208913649025072E-2</v>
      </c>
      <c r="AI4550" s="6">
        <f>IF(SalesData[[#This Row],[Contracts Signed]]=0,0,SalesData[[#This Row],[Profit(€)]]/SalesData[[#This Row],[Contracts Signed]])</f>
        <v>2785</v>
      </c>
      <c r="AJ4550" s="5" t="str">
        <f>TRIM(CLEAN(SalesData[[#This Row],[Retailer]]))</f>
        <v>Elbe Drive</v>
      </c>
    </row>
    <row r="4551" spans="1:36" ht="14.25" hidden="1" x14ac:dyDescent="0.2">
      <c r="A4551" t="s">
        <v>5820</v>
      </c>
      <c r="B4551" s="1">
        <v>46058</v>
      </c>
      <c r="C4551" t="s">
        <v>24</v>
      </c>
      <c r="D4551" t="s">
        <v>100</v>
      </c>
      <c r="E4551" t="s">
        <v>26</v>
      </c>
      <c r="F4551" t="s">
        <v>27</v>
      </c>
      <c r="G4551" t="s">
        <v>28</v>
      </c>
      <c r="H4551" t="s">
        <v>29</v>
      </c>
      <c r="I4551" t="s">
        <v>64</v>
      </c>
      <c r="J4551" t="s">
        <v>77</v>
      </c>
      <c r="K4551" t="s">
        <v>66</v>
      </c>
      <c r="L4551" t="s">
        <v>46</v>
      </c>
      <c r="M4551" t="s">
        <v>87</v>
      </c>
      <c r="N4551" t="s">
        <v>35</v>
      </c>
      <c r="O4551" t="s">
        <v>70</v>
      </c>
      <c r="P4551" t="s">
        <v>71</v>
      </c>
      <c r="Q4551" t="s">
        <v>347</v>
      </c>
      <c r="R4551">
        <v>276</v>
      </c>
      <c r="S4551">
        <v>122</v>
      </c>
      <c r="T4551">
        <v>85</v>
      </c>
      <c r="U4551">
        <v>33</v>
      </c>
      <c r="V4551" t="s">
        <v>7539</v>
      </c>
      <c r="W4551">
        <v>54749</v>
      </c>
      <c r="X4551" t="s">
        <v>7299</v>
      </c>
      <c r="Y4551">
        <v>41953</v>
      </c>
      <c r="Z4551">
        <v>1806717</v>
      </c>
      <c r="AA4551">
        <v>422268</v>
      </c>
      <c r="AB4551" t="str">
        <f>(VLOOKUP(SalesData[[#This Row],[Month Number]],Reference!C$5:E$16,2,FALSE))</f>
        <v>Feb</v>
      </c>
      <c r="AC4551">
        <f>MONTH(SalesData[[#This Row],[Date]])</f>
        <v>2</v>
      </c>
      <c r="AD4551">
        <f>Reference!F$4</f>
        <v>2026</v>
      </c>
      <c r="AE4551" t="str">
        <f>IF(OR(SalesData[[#This Row],[Day]]="Saturday",SalesData[[#This Row],[Day]]="Sunday"),"Weekend","Weekday")</f>
        <v>Weekday</v>
      </c>
      <c r="AF4551" s="5">
        <f>IF(SalesData[[#This Row],[Contracts Offered]]=0,0,SalesData[[#This Row],[Contracts Signed]]/SalesData[[#This Row],[Contracts Offered]])</f>
        <v>0.38823529411764707</v>
      </c>
      <c r="AG4551" s="5">
        <f>IF(SalesData[[#This Row],[Customers Visited]]=0,0,SalesData[[#This Row],[Test Drives]]/SalesData[[#This Row],[Customers Visited]])</f>
        <v>0.4420289855072464</v>
      </c>
      <c r="AH4551" s="5">
        <f>IF(SalesData[[#This Row],[Customers Visited]]=0,0,SalesData[[#This Row],[Contracts Signed]]/SalesData[[#This Row],[Customers Visited]])</f>
        <v>0.11956521739130435</v>
      </c>
      <c r="AI4551" s="6">
        <f>IF(SalesData[[#This Row],[Contracts Signed]]=0,0,SalesData[[#This Row],[Profit(€)]]/SalesData[[#This Row],[Contracts Signed]])</f>
        <v>12796</v>
      </c>
      <c r="AJ4551" s="5" t="str">
        <f>TRIM(CLEAN(SalesData[[#This Row],[Retailer]]))</f>
        <v>Main Auto Hub</v>
      </c>
    </row>
    <row r="4552" spans="1:36" ht="14.25" hidden="1" x14ac:dyDescent="0.2">
      <c r="A4552" t="s">
        <v>5821</v>
      </c>
      <c r="B4552" s="1">
        <v>46056</v>
      </c>
      <c r="C4552" t="s">
        <v>24</v>
      </c>
      <c r="D4552" t="s">
        <v>63</v>
      </c>
      <c r="E4552" t="s">
        <v>26</v>
      </c>
      <c r="F4552" t="s">
        <v>101</v>
      </c>
      <c r="G4552" t="s">
        <v>102</v>
      </c>
      <c r="H4552" t="s">
        <v>103</v>
      </c>
      <c r="I4552" t="s">
        <v>56</v>
      </c>
      <c r="J4552" t="s">
        <v>137</v>
      </c>
      <c r="K4552" t="s">
        <v>78</v>
      </c>
      <c r="L4552" t="s">
        <v>46</v>
      </c>
      <c r="M4552" t="s">
        <v>87</v>
      </c>
      <c r="N4552" t="s">
        <v>48</v>
      </c>
      <c r="O4552" t="s">
        <v>70</v>
      </c>
      <c r="P4552" t="s">
        <v>37</v>
      </c>
      <c r="Q4552" t="s">
        <v>88</v>
      </c>
      <c r="R4552">
        <v>255</v>
      </c>
      <c r="S4552">
        <v>122</v>
      </c>
      <c r="T4552">
        <v>89</v>
      </c>
      <c r="U4552">
        <v>21</v>
      </c>
      <c r="V4552" t="s">
        <v>3581</v>
      </c>
      <c r="W4552">
        <v>53089</v>
      </c>
      <c r="X4552" t="s">
        <v>2278</v>
      </c>
      <c r="Y4552">
        <v>43103</v>
      </c>
      <c r="Z4552">
        <v>1114869</v>
      </c>
      <c r="AA4552">
        <v>209706</v>
      </c>
      <c r="AB4552" t="str">
        <f>(VLOOKUP(SalesData[[#This Row],[Month Number]],Reference!C$5:E$16,2,FALSE))</f>
        <v>Feb</v>
      </c>
      <c r="AC4552">
        <f>MONTH(SalesData[[#This Row],[Date]])</f>
        <v>2</v>
      </c>
      <c r="AD4552">
        <f>Reference!F$4</f>
        <v>2026</v>
      </c>
      <c r="AE4552" t="str">
        <f>IF(OR(SalesData[[#This Row],[Day]]="Saturday",SalesData[[#This Row],[Day]]="Sunday"),"Weekend","Weekday")</f>
        <v>Weekday</v>
      </c>
      <c r="AF4552" s="5">
        <f>IF(SalesData[[#This Row],[Contracts Offered]]=0,0,SalesData[[#This Row],[Contracts Signed]]/SalesData[[#This Row],[Contracts Offered]])</f>
        <v>0.23595505617977527</v>
      </c>
      <c r="AG4552" s="5">
        <f>IF(SalesData[[#This Row],[Customers Visited]]=0,0,SalesData[[#This Row],[Test Drives]]/SalesData[[#This Row],[Customers Visited]])</f>
        <v>0.47843137254901963</v>
      </c>
      <c r="AH4552" s="5">
        <f>IF(SalesData[[#This Row],[Customers Visited]]=0,0,SalesData[[#This Row],[Contracts Signed]]/SalesData[[#This Row],[Customers Visited]])</f>
        <v>8.2352941176470587E-2</v>
      </c>
      <c r="AI4552" s="6">
        <f>IF(SalesData[[#This Row],[Contracts Signed]]=0,0,SalesData[[#This Row],[Profit(€)]]/SalesData[[#This Row],[Contracts Signed]])</f>
        <v>9986</v>
      </c>
      <c r="AJ4552" s="5" t="str">
        <f>TRIM(CLEAN(SalesData[[#This Row],[Retailer]]))</f>
        <v>Ruhr Auto Plaza</v>
      </c>
    </row>
    <row r="4553" spans="1:36" ht="14.25" hidden="1" x14ac:dyDescent="0.2">
      <c r="A4553" t="s">
        <v>5822</v>
      </c>
      <c r="B4553" s="1">
        <v>46055</v>
      </c>
      <c r="C4553" t="s">
        <v>24</v>
      </c>
      <c r="D4553" t="s">
        <v>25</v>
      </c>
      <c r="E4553" t="s">
        <v>26</v>
      </c>
      <c r="F4553" t="s">
        <v>7649</v>
      </c>
      <c r="G4553" t="s">
        <v>55</v>
      </c>
      <c r="H4553" t="s">
        <v>55</v>
      </c>
      <c r="I4553" t="s">
        <v>116</v>
      </c>
      <c r="J4553" t="s">
        <v>132</v>
      </c>
      <c r="K4553" t="s">
        <v>32</v>
      </c>
      <c r="L4553" t="s">
        <v>46</v>
      </c>
      <c r="M4553" t="s">
        <v>68</v>
      </c>
      <c r="N4553" t="s">
        <v>48</v>
      </c>
      <c r="O4553" t="s">
        <v>36</v>
      </c>
      <c r="P4553" t="s">
        <v>71</v>
      </c>
      <c r="Q4553" t="s">
        <v>204</v>
      </c>
      <c r="R4553">
        <v>413</v>
      </c>
      <c r="S4553">
        <v>209</v>
      </c>
      <c r="T4553">
        <v>125</v>
      </c>
      <c r="U4553">
        <v>37</v>
      </c>
      <c r="V4553" t="s">
        <v>5846</v>
      </c>
      <c r="W4553">
        <v>20375</v>
      </c>
      <c r="X4553" t="s">
        <v>3304</v>
      </c>
      <c r="Y4553">
        <v>18373</v>
      </c>
      <c r="Z4553">
        <v>753875</v>
      </c>
      <c r="AA4553">
        <v>74074</v>
      </c>
      <c r="AB4553" t="str">
        <f>(VLOOKUP(SalesData[[#This Row],[Month Number]],Reference!C$5:E$16,2,FALSE))</f>
        <v>Feb</v>
      </c>
      <c r="AC4553">
        <f>MONTH(SalesData[[#This Row],[Date]])</f>
        <v>2</v>
      </c>
      <c r="AD4553">
        <f>Reference!F$4</f>
        <v>2026</v>
      </c>
      <c r="AE4553" t="str">
        <f>IF(OR(SalesData[[#This Row],[Day]]="Saturday",SalesData[[#This Row],[Day]]="Sunday"),"Weekend","Weekday")</f>
        <v>Weekday</v>
      </c>
      <c r="AF4553" s="5">
        <f>IF(SalesData[[#This Row],[Contracts Offered]]=0,0,SalesData[[#This Row],[Contracts Signed]]/SalesData[[#This Row],[Contracts Offered]])</f>
        <v>0.29599999999999999</v>
      </c>
      <c r="AG4553" s="5">
        <f>IF(SalesData[[#This Row],[Customers Visited]]=0,0,SalesData[[#This Row],[Test Drives]]/SalesData[[#This Row],[Customers Visited]])</f>
        <v>0.50605326876513312</v>
      </c>
      <c r="AH4553" s="5">
        <f>IF(SalesData[[#This Row],[Customers Visited]]=0,0,SalesData[[#This Row],[Contracts Signed]]/SalesData[[#This Row],[Customers Visited]])</f>
        <v>8.9588377723970949E-2</v>
      </c>
      <c r="AI4553" s="6">
        <f>IF(SalesData[[#This Row],[Contracts Signed]]=0,0,SalesData[[#This Row],[Profit(€)]]/SalesData[[#This Row],[Contracts Signed]])</f>
        <v>2002</v>
      </c>
      <c r="AJ4553" s="5" t="str">
        <f>TRIM(CLEAN(SalesData[[#This Row],[Retailer]]))</f>
        <v>Autohaus Berlin</v>
      </c>
    </row>
    <row r="4554" spans="1:36" ht="14.25" x14ac:dyDescent="0.2">
      <c r="A4554" t="s">
        <v>5823</v>
      </c>
      <c r="B4554" s="1">
        <v>46076</v>
      </c>
      <c r="C4554" t="s">
        <v>53</v>
      </c>
      <c r="D4554" t="s">
        <v>25</v>
      </c>
      <c r="E4554" t="s">
        <v>26</v>
      </c>
      <c r="F4554" t="s">
        <v>43</v>
      </c>
      <c r="G4554" t="s">
        <v>44</v>
      </c>
      <c r="H4554" t="s">
        <v>45</v>
      </c>
      <c r="I4554" t="s">
        <v>30</v>
      </c>
      <c r="J4554" t="s">
        <v>7075</v>
      </c>
      <c r="K4554" t="s">
        <v>32</v>
      </c>
      <c r="L4554" t="s">
        <v>33</v>
      </c>
      <c r="M4554" t="s">
        <v>47</v>
      </c>
      <c r="N4554" t="s">
        <v>48</v>
      </c>
      <c r="O4554" t="s">
        <v>36</v>
      </c>
      <c r="P4554" t="s">
        <v>71</v>
      </c>
      <c r="Q4554" t="s">
        <v>38</v>
      </c>
      <c r="R4554">
        <v>267</v>
      </c>
      <c r="S4554">
        <v>140</v>
      </c>
      <c r="T4554">
        <v>103</v>
      </c>
      <c r="U4554">
        <v>41</v>
      </c>
      <c r="V4554" t="s">
        <v>6582</v>
      </c>
      <c r="W4554">
        <v>59527</v>
      </c>
      <c r="X4554" t="s">
        <v>2701</v>
      </c>
      <c r="Y4554">
        <v>42243</v>
      </c>
      <c r="Z4554">
        <v>2440607</v>
      </c>
      <c r="AA4554">
        <v>708644</v>
      </c>
      <c r="AB4554" t="str">
        <f>(VLOOKUP(SalesData[[#This Row],[Month Number]],Reference!C$5:E$16,2,FALSE))</f>
        <v>Feb</v>
      </c>
      <c r="AC4554">
        <f>MONTH(SalesData[[#This Row],[Date]])</f>
        <v>2</v>
      </c>
      <c r="AD4554">
        <f>Reference!F$4</f>
        <v>2026</v>
      </c>
      <c r="AE4554" t="str">
        <f>IF(OR(SalesData[[#This Row],[Day]]="Saturday",SalesData[[#This Row],[Day]]="Sunday"),"Weekend","Weekday")</f>
        <v>Weekday</v>
      </c>
      <c r="AF4554" s="5">
        <f>IF(SalesData[[#This Row],[Contracts Offered]]=0,0,SalesData[[#This Row],[Contracts Signed]]/SalesData[[#This Row],[Contracts Offered]])</f>
        <v>0.39805825242718446</v>
      </c>
      <c r="AG4554" s="5">
        <f>IF(SalesData[[#This Row],[Customers Visited]]=0,0,SalesData[[#This Row],[Test Drives]]/SalesData[[#This Row],[Customers Visited]])</f>
        <v>0.52434456928838946</v>
      </c>
      <c r="AH4554" s="5">
        <f>IF(SalesData[[#This Row],[Customers Visited]]=0,0,SalesData[[#This Row],[Contracts Signed]]/SalesData[[#This Row],[Customers Visited]])</f>
        <v>0.15355805243445692</v>
      </c>
      <c r="AI4554" s="6">
        <f>IF(SalesData[[#This Row],[Contracts Signed]]=0,0,SalesData[[#This Row],[Profit(€)]]/SalesData[[#This Row],[Contracts Signed]])</f>
        <v>17284</v>
      </c>
      <c r="AJ4554" s="5" t="str">
        <f>TRIM(CLEAN(SalesData[[#This Row],[Retailer]]))</f>
        <v>Saxon Wheels</v>
      </c>
    </row>
    <row r="4555" spans="1:36" ht="14.25" hidden="1" x14ac:dyDescent="0.2">
      <c r="A4555" t="s">
        <v>5824</v>
      </c>
      <c r="B4555" s="1">
        <v>46067</v>
      </c>
      <c r="C4555" t="s">
        <v>121</v>
      </c>
      <c r="D4555" t="s">
        <v>151</v>
      </c>
      <c r="E4555" t="s">
        <v>42</v>
      </c>
      <c r="F4555" t="s">
        <v>83</v>
      </c>
      <c r="G4555" t="s">
        <v>84</v>
      </c>
      <c r="H4555" t="s">
        <v>85</v>
      </c>
      <c r="I4555" t="s">
        <v>104</v>
      </c>
      <c r="J4555" t="s">
        <v>7061</v>
      </c>
      <c r="K4555" t="s">
        <v>66</v>
      </c>
      <c r="L4555" t="s">
        <v>46</v>
      </c>
      <c r="M4555" t="s">
        <v>87</v>
      </c>
      <c r="N4555" t="s">
        <v>69</v>
      </c>
      <c r="O4555" t="s">
        <v>36</v>
      </c>
      <c r="P4555" t="s">
        <v>49</v>
      </c>
      <c r="Q4555" t="s">
        <v>172</v>
      </c>
      <c r="R4555">
        <v>294</v>
      </c>
      <c r="S4555">
        <v>120</v>
      </c>
      <c r="T4555">
        <v>81</v>
      </c>
      <c r="U4555">
        <v>18</v>
      </c>
      <c r="V4555" t="s">
        <v>597</v>
      </c>
      <c r="W4555">
        <v>33403</v>
      </c>
      <c r="X4555" t="s">
        <v>770</v>
      </c>
      <c r="Y4555">
        <v>30079</v>
      </c>
      <c r="Z4555">
        <v>601254</v>
      </c>
      <c r="AA4555">
        <v>59832</v>
      </c>
      <c r="AB4555" t="str">
        <f>(VLOOKUP(SalesData[[#This Row],[Month Number]],Reference!C$5:E$16,2,FALSE))</f>
        <v>Feb</v>
      </c>
      <c r="AC4555">
        <f>MONTH(SalesData[[#This Row],[Date]])</f>
        <v>2</v>
      </c>
      <c r="AD4555">
        <f>Reference!F$4</f>
        <v>2026</v>
      </c>
      <c r="AE4555" t="str">
        <f>IF(OR(SalesData[[#This Row],[Day]]="Saturday",SalesData[[#This Row],[Day]]="Sunday"),"Weekend","Weekday")</f>
        <v>Weekend</v>
      </c>
      <c r="AF4555" s="5">
        <f>IF(SalesData[[#This Row],[Contracts Offered]]=0,0,SalesData[[#This Row],[Contracts Signed]]/SalesData[[#This Row],[Contracts Offered]])</f>
        <v>0.22222222222222221</v>
      </c>
      <c r="AG4555" s="5">
        <f>IF(SalesData[[#This Row],[Customers Visited]]=0,0,SalesData[[#This Row],[Test Drives]]/SalesData[[#This Row],[Customers Visited]])</f>
        <v>0.40816326530612246</v>
      </c>
      <c r="AH4555" s="5">
        <f>IF(SalesData[[#This Row],[Customers Visited]]=0,0,SalesData[[#This Row],[Contracts Signed]]/SalesData[[#This Row],[Customers Visited]])</f>
        <v>6.1224489795918366E-2</v>
      </c>
      <c r="AI4555" s="6">
        <f>IF(SalesData[[#This Row],[Contracts Signed]]=0,0,SalesData[[#This Row],[Profit(€)]]/SalesData[[#This Row],[Contracts Signed]])</f>
        <v>3324</v>
      </c>
      <c r="AJ4555" s="5" t="str">
        <f>TRIM(CLEAN(SalesData[[#This Row],[Retailer]]))</f>
        <v>Hannover Cars</v>
      </c>
    </row>
    <row r="4556" spans="1:36" ht="14.25" hidden="1" x14ac:dyDescent="0.2">
      <c r="A4556" t="s">
        <v>5825</v>
      </c>
      <c r="B4556" s="1">
        <v>46064</v>
      </c>
      <c r="C4556" t="s">
        <v>121</v>
      </c>
      <c r="D4556" t="s">
        <v>82</v>
      </c>
      <c r="E4556" t="s">
        <v>26</v>
      </c>
      <c r="F4556" t="s">
        <v>109</v>
      </c>
      <c r="G4556" t="s">
        <v>110</v>
      </c>
      <c r="H4556" t="s">
        <v>45</v>
      </c>
      <c r="I4556" t="s">
        <v>104</v>
      </c>
      <c r="J4556" t="s">
        <v>105</v>
      </c>
      <c r="K4556" t="s">
        <v>91</v>
      </c>
      <c r="L4556" t="s">
        <v>33</v>
      </c>
      <c r="M4556" t="s">
        <v>68</v>
      </c>
      <c r="N4556" t="s">
        <v>69</v>
      </c>
      <c r="O4556" t="s">
        <v>36</v>
      </c>
      <c r="P4556" t="s">
        <v>71</v>
      </c>
      <c r="Q4556" t="s">
        <v>167</v>
      </c>
      <c r="R4556">
        <v>346</v>
      </c>
      <c r="S4556">
        <v>194</v>
      </c>
      <c r="T4556">
        <v>134</v>
      </c>
      <c r="U4556">
        <v>27</v>
      </c>
      <c r="V4556" t="s">
        <v>840</v>
      </c>
      <c r="W4556">
        <v>32664</v>
      </c>
      <c r="X4556" t="s">
        <v>4957</v>
      </c>
      <c r="Y4556">
        <v>29599</v>
      </c>
      <c r="Z4556">
        <v>881928</v>
      </c>
      <c r="AA4556">
        <v>82755</v>
      </c>
      <c r="AB4556" t="str">
        <f>(VLOOKUP(SalesData[[#This Row],[Month Number]],Reference!C$5:E$16,2,FALSE))</f>
        <v>Feb</v>
      </c>
      <c r="AC4556">
        <f>MONTH(SalesData[[#This Row],[Date]])</f>
        <v>2</v>
      </c>
      <c r="AD4556">
        <f>Reference!F$4</f>
        <v>2026</v>
      </c>
      <c r="AE4556" t="str">
        <f>IF(OR(SalesData[[#This Row],[Day]]="Saturday",SalesData[[#This Row],[Day]]="Sunday"),"Weekend","Weekday")</f>
        <v>Weekday</v>
      </c>
      <c r="AF4556" s="5">
        <f>IF(SalesData[[#This Row],[Contracts Offered]]=0,0,SalesData[[#This Row],[Contracts Signed]]/SalesData[[#This Row],[Contracts Offered]])</f>
        <v>0.20149253731343283</v>
      </c>
      <c r="AG4556" s="5">
        <f>IF(SalesData[[#This Row],[Customers Visited]]=0,0,SalesData[[#This Row],[Test Drives]]/SalesData[[#This Row],[Customers Visited]])</f>
        <v>0.56069364161849711</v>
      </c>
      <c r="AH4556" s="5">
        <f>IF(SalesData[[#This Row],[Customers Visited]]=0,0,SalesData[[#This Row],[Contracts Signed]]/SalesData[[#This Row],[Customers Visited]])</f>
        <v>7.8034682080924858E-2</v>
      </c>
      <c r="AI4556" s="6">
        <f>IF(SalesData[[#This Row],[Contracts Signed]]=0,0,SalesData[[#This Row],[Profit(€)]]/SalesData[[#This Row],[Contracts Signed]])</f>
        <v>3065</v>
      </c>
      <c r="AJ4556" s="5" t="str">
        <f>TRIM(CLEAN(SalesData[[#This Row],[Retailer]]))</f>
        <v>Leipzig Mobility</v>
      </c>
    </row>
    <row r="4557" spans="1:36" ht="14.25" hidden="1" x14ac:dyDescent="0.2">
      <c r="A4557" t="s">
        <v>5826</v>
      </c>
      <c r="B4557" s="1">
        <v>46075</v>
      </c>
      <c r="C4557" t="s">
        <v>53</v>
      </c>
      <c r="D4557" t="s">
        <v>41</v>
      </c>
      <c r="E4557" t="s">
        <v>42</v>
      </c>
      <c r="F4557" t="s">
        <v>27</v>
      </c>
      <c r="G4557" t="s">
        <v>28</v>
      </c>
      <c r="H4557" t="s">
        <v>29</v>
      </c>
      <c r="I4557" t="s">
        <v>56</v>
      </c>
      <c r="J4557" t="s">
        <v>137</v>
      </c>
      <c r="K4557" t="s">
        <v>78</v>
      </c>
      <c r="L4557" t="s">
        <v>46</v>
      </c>
      <c r="M4557" t="s">
        <v>47</v>
      </c>
      <c r="N4557" t="s">
        <v>48</v>
      </c>
      <c r="O4557" t="s">
        <v>36</v>
      </c>
      <c r="P4557" t="s">
        <v>71</v>
      </c>
      <c r="Q4557" t="s">
        <v>158</v>
      </c>
      <c r="R4557">
        <v>223</v>
      </c>
      <c r="S4557">
        <v>135</v>
      </c>
      <c r="T4557">
        <v>102</v>
      </c>
      <c r="U4557">
        <v>33</v>
      </c>
      <c r="V4557" t="s">
        <v>6705</v>
      </c>
      <c r="W4557">
        <v>45299</v>
      </c>
      <c r="X4557" t="s">
        <v>1892</v>
      </c>
      <c r="Y4557">
        <v>36906</v>
      </c>
      <c r="Z4557">
        <v>1494867</v>
      </c>
      <c r="AA4557">
        <v>276969</v>
      </c>
      <c r="AB4557" t="str">
        <f>(VLOOKUP(SalesData[[#This Row],[Month Number]],Reference!C$5:E$16,2,FALSE))</f>
        <v>Feb</v>
      </c>
      <c r="AC4557">
        <f>MONTH(SalesData[[#This Row],[Date]])</f>
        <v>2</v>
      </c>
      <c r="AD4557">
        <f>Reference!F$4</f>
        <v>2026</v>
      </c>
      <c r="AE4557" t="str">
        <f>IF(OR(SalesData[[#This Row],[Day]]="Saturday",SalesData[[#This Row],[Day]]="Sunday"),"Weekend","Weekday")</f>
        <v>Weekend</v>
      </c>
      <c r="AF4557" s="5">
        <f>IF(SalesData[[#This Row],[Contracts Offered]]=0,0,SalesData[[#This Row],[Contracts Signed]]/SalesData[[#This Row],[Contracts Offered]])</f>
        <v>0.3235294117647059</v>
      </c>
      <c r="AG4557" s="5">
        <f>IF(SalesData[[#This Row],[Customers Visited]]=0,0,SalesData[[#This Row],[Test Drives]]/SalesData[[#This Row],[Customers Visited]])</f>
        <v>0.60538116591928248</v>
      </c>
      <c r="AH4557" s="5">
        <f>IF(SalesData[[#This Row],[Customers Visited]]=0,0,SalesData[[#This Row],[Contracts Signed]]/SalesData[[#This Row],[Customers Visited]])</f>
        <v>0.14798206278026907</v>
      </c>
      <c r="AI4557" s="6">
        <f>IF(SalesData[[#This Row],[Contracts Signed]]=0,0,SalesData[[#This Row],[Profit(€)]]/SalesData[[#This Row],[Contracts Signed]])</f>
        <v>8393</v>
      </c>
      <c r="AJ4557" s="5" t="str">
        <f>TRIM(CLEAN(SalesData[[#This Row],[Retailer]]))</f>
        <v>Main Auto Hub</v>
      </c>
    </row>
    <row r="4558" spans="1:36" ht="14.25" hidden="1" x14ac:dyDescent="0.2">
      <c r="A4558" t="s">
        <v>5827</v>
      </c>
      <c r="B4558" s="1">
        <v>46073</v>
      </c>
      <c r="C4558" t="s">
        <v>62</v>
      </c>
      <c r="D4558" t="s">
        <v>54</v>
      </c>
      <c r="E4558" t="s">
        <v>26</v>
      </c>
      <c r="F4558" t="s">
        <v>74</v>
      </c>
      <c r="G4558" t="s">
        <v>75</v>
      </c>
      <c r="H4558" t="s">
        <v>76</v>
      </c>
      <c r="I4558" t="s">
        <v>116</v>
      </c>
      <c r="J4558" t="s">
        <v>203</v>
      </c>
      <c r="K4558" t="s">
        <v>91</v>
      </c>
      <c r="L4558" t="s">
        <v>67</v>
      </c>
      <c r="M4558" t="s">
        <v>68</v>
      </c>
      <c r="N4558" t="s">
        <v>35</v>
      </c>
      <c r="O4558" t="s">
        <v>36</v>
      </c>
      <c r="P4558" t="s">
        <v>37</v>
      </c>
      <c r="Q4558" t="s">
        <v>135</v>
      </c>
      <c r="R4558">
        <v>364</v>
      </c>
      <c r="S4558">
        <v>146</v>
      </c>
      <c r="T4558">
        <v>93</v>
      </c>
      <c r="U4558">
        <v>25</v>
      </c>
      <c r="V4558" t="s">
        <v>1302</v>
      </c>
      <c r="W4558">
        <v>24263</v>
      </c>
      <c r="X4558" t="s">
        <v>2518</v>
      </c>
      <c r="Y4558">
        <v>21889</v>
      </c>
      <c r="Z4558">
        <v>606575</v>
      </c>
      <c r="AA4558">
        <v>59350</v>
      </c>
      <c r="AB4558" t="str">
        <f>(VLOOKUP(SalesData[[#This Row],[Month Number]],Reference!C$5:E$16,2,FALSE))</f>
        <v>Feb</v>
      </c>
      <c r="AC4558">
        <f>MONTH(SalesData[[#This Row],[Date]])</f>
        <v>2</v>
      </c>
      <c r="AD4558">
        <f>Reference!F$4</f>
        <v>2026</v>
      </c>
      <c r="AE4558" t="str">
        <f>IF(OR(SalesData[[#This Row],[Day]]="Saturday",SalesData[[#This Row],[Day]]="Sunday"),"Weekend","Weekday")</f>
        <v>Weekday</v>
      </c>
      <c r="AF4558" s="5">
        <f>IF(SalesData[[#This Row],[Contracts Offered]]=0,0,SalesData[[#This Row],[Contracts Signed]]/SalesData[[#This Row],[Contracts Offered]])</f>
        <v>0.26881720430107525</v>
      </c>
      <c r="AG4558" s="5">
        <f>IF(SalesData[[#This Row],[Customers Visited]]=0,0,SalesData[[#This Row],[Test Drives]]/SalesData[[#This Row],[Customers Visited]])</f>
        <v>0.40109890109890112</v>
      </c>
      <c r="AH4558" s="5">
        <f>IF(SalesData[[#This Row],[Customers Visited]]=0,0,SalesData[[#This Row],[Contracts Signed]]/SalesData[[#This Row],[Customers Visited]])</f>
        <v>6.8681318681318687E-2</v>
      </c>
      <c r="AI4558" s="6">
        <f>IF(SalesData[[#This Row],[Contracts Signed]]=0,0,SalesData[[#This Row],[Profit(€)]]/SalesData[[#This Row],[Contracts Signed]])</f>
        <v>2374</v>
      </c>
      <c r="AJ4558" s="5" t="str">
        <f>TRIM(CLEAN(SalesData[[#This Row],[Retailer]]))</f>
        <v>Stuttgart Auto Center</v>
      </c>
    </row>
    <row r="4559" spans="1:36" ht="14.25" hidden="1" x14ac:dyDescent="0.2">
      <c r="A4559" t="s">
        <v>5828</v>
      </c>
      <c r="B4559" s="1">
        <v>46055</v>
      </c>
      <c r="C4559" t="s">
        <v>24</v>
      </c>
      <c r="D4559" t="s">
        <v>25</v>
      </c>
      <c r="E4559" t="s">
        <v>26</v>
      </c>
      <c r="F4559" t="s">
        <v>109</v>
      </c>
      <c r="G4559" t="s">
        <v>110</v>
      </c>
      <c r="H4559" t="s">
        <v>45</v>
      </c>
      <c r="I4559" t="s">
        <v>64</v>
      </c>
      <c r="J4559" t="s">
        <v>65</v>
      </c>
      <c r="K4559" t="s">
        <v>91</v>
      </c>
      <c r="L4559" t="s">
        <v>33</v>
      </c>
      <c r="M4559" t="s">
        <v>68</v>
      </c>
      <c r="N4559" t="s">
        <v>69</v>
      </c>
      <c r="O4559" t="s">
        <v>36</v>
      </c>
      <c r="P4559" t="s">
        <v>37</v>
      </c>
      <c r="Q4559" t="s">
        <v>152</v>
      </c>
      <c r="R4559">
        <v>278</v>
      </c>
      <c r="S4559">
        <v>147</v>
      </c>
      <c r="T4559">
        <v>116</v>
      </c>
      <c r="U4559">
        <v>33</v>
      </c>
      <c r="V4559" t="s">
        <v>6600</v>
      </c>
      <c r="W4559">
        <v>65620</v>
      </c>
      <c r="X4559" t="s">
        <v>5727</v>
      </c>
      <c r="Y4559">
        <v>46957</v>
      </c>
      <c r="Z4559">
        <v>2165460</v>
      </c>
      <c r="AA4559">
        <v>615879</v>
      </c>
      <c r="AB4559" t="str">
        <f>(VLOOKUP(SalesData[[#This Row],[Month Number]],Reference!C$5:E$16,2,FALSE))</f>
        <v>Feb</v>
      </c>
      <c r="AC4559">
        <f>MONTH(SalesData[[#This Row],[Date]])</f>
        <v>2</v>
      </c>
      <c r="AD4559">
        <f>Reference!F$4</f>
        <v>2026</v>
      </c>
      <c r="AE4559" t="str">
        <f>IF(OR(SalesData[[#This Row],[Day]]="Saturday",SalesData[[#This Row],[Day]]="Sunday"),"Weekend","Weekday")</f>
        <v>Weekday</v>
      </c>
      <c r="AF4559" s="5">
        <f>IF(SalesData[[#This Row],[Contracts Offered]]=0,0,SalesData[[#This Row],[Contracts Signed]]/SalesData[[#This Row],[Contracts Offered]])</f>
        <v>0.28448275862068967</v>
      </c>
      <c r="AG4559" s="5">
        <f>IF(SalesData[[#This Row],[Customers Visited]]=0,0,SalesData[[#This Row],[Test Drives]]/SalesData[[#This Row],[Customers Visited]])</f>
        <v>0.52877697841726623</v>
      </c>
      <c r="AH4559" s="5">
        <f>IF(SalesData[[#This Row],[Customers Visited]]=0,0,SalesData[[#This Row],[Contracts Signed]]/SalesData[[#This Row],[Customers Visited]])</f>
        <v>0.11870503597122302</v>
      </c>
      <c r="AI4559" s="6">
        <f>IF(SalesData[[#This Row],[Contracts Signed]]=0,0,SalesData[[#This Row],[Profit(€)]]/SalesData[[#This Row],[Contracts Signed]])</f>
        <v>18663</v>
      </c>
      <c r="AJ4559" s="5" t="str">
        <f>TRIM(CLEAN(SalesData[[#This Row],[Retailer]]))</f>
        <v>Leipzig Mobility</v>
      </c>
    </row>
    <row r="4560" spans="1:36" ht="14.25" hidden="1" x14ac:dyDescent="0.2">
      <c r="A4560" t="s">
        <v>5829</v>
      </c>
      <c r="B4560" s="1">
        <v>46058</v>
      </c>
      <c r="C4560" t="s">
        <v>24</v>
      </c>
      <c r="D4560" t="s">
        <v>100</v>
      </c>
      <c r="E4560" t="s">
        <v>26</v>
      </c>
      <c r="F4560" t="s">
        <v>114</v>
      </c>
      <c r="G4560" t="s">
        <v>115</v>
      </c>
      <c r="H4560" t="s">
        <v>115</v>
      </c>
      <c r="I4560" t="s">
        <v>116</v>
      </c>
      <c r="J4560" t="s">
        <v>7026</v>
      </c>
      <c r="K4560" t="s">
        <v>78</v>
      </c>
      <c r="L4560" t="s">
        <v>46</v>
      </c>
      <c r="M4560" t="s">
        <v>34</v>
      </c>
      <c r="N4560" t="s">
        <v>69</v>
      </c>
      <c r="O4560" t="s">
        <v>70</v>
      </c>
      <c r="P4560" t="s">
        <v>58</v>
      </c>
      <c r="Q4560" t="s">
        <v>152</v>
      </c>
      <c r="R4560">
        <v>375</v>
      </c>
      <c r="S4560">
        <v>192</v>
      </c>
      <c r="T4560">
        <v>114</v>
      </c>
      <c r="U4560">
        <v>35</v>
      </c>
      <c r="V4560" t="s">
        <v>1158</v>
      </c>
      <c r="W4560">
        <v>22067</v>
      </c>
      <c r="X4560" t="s">
        <v>7048</v>
      </c>
      <c r="Y4560">
        <v>20146</v>
      </c>
      <c r="Z4560">
        <v>772345</v>
      </c>
      <c r="AA4560">
        <v>67235</v>
      </c>
      <c r="AB4560" t="str">
        <f>(VLOOKUP(SalesData[[#This Row],[Month Number]],Reference!C$5:E$16,2,FALSE))</f>
        <v>Feb</v>
      </c>
      <c r="AC4560">
        <f>MONTH(SalesData[[#This Row],[Date]])</f>
        <v>2</v>
      </c>
      <c r="AD4560">
        <f>Reference!F$4</f>
        <v>2026</v>
      </c>
      <c r="AE4560" t="str">
        <f>IF(OR(SalesData[[#This Row],[Day]]="Saturday",SalesData[[#This Row],[Day]]="Sunday"),"Weekend","Weekday")</f>
        <v>Weekday</v>
      </c>
      <c r="AF4560" s="5">
        <f>IF(SalesData[[#This Row],[Contracts Offered]]=0,0,SalesData[[#This Row],[Contracts Signed]]/SalesData[[#This Row],[Contracts Offered]])</f>
        <v>0.30701754385964913</v>
      </c>
      <c r="AG4560" s="5">
        <f>IF(SalesData[[#This Row],[Customers Visited]]=0,0,SalesData[[#This Row],[Test Drives]]/SalesData[[#This Row],[Customers Visited]])</f>
        <v>0.51200000000000001</v>
      </c>
      <c r="AH4560" s="5">
        <f>IF(SalesData[[#This Row],[Customers Visited]]=0,0,SalesData[[#This Row],[Contracts Signed]]/SalesData[[#This Row],[Customers Visited]])</f>
        <v>9.3333333333333338E-2</v>
      </c>
      <c r="AI4560" s="6">
        <f>IF(SalesData[[#This Row],[Contracts Signed]]=0,0,SalesData[[#This Row],[Profit(€)]]/SalesData[[#This Row],[Contracts Signed]])</f>
        <v>1921</v>
      </c>
      <c r="AJ4560" s="5" t="str">
        <f>TRIM(CLEAN(SalesData[[#This Row],[Retailer]]))</f>
        <v>Elbe Drive</v>
      </c>
    </row>
    <row r="4561" spans="1:36" ht="14.25" hidden="1" x14ac:dyDescent="0.2">
      <c r="A4561" t="s">
        <v>5830</v>
      </c>
      <c r="B4561" s="1">
        <v>46058</v>
      </c>
      <c r="C4561" t="s">
        <v>24</v>
      </c>
      <c r="D4561" t="s">
        <v>100</v>
      </c>
      <c r="E4561" t="s">
        <v>26</v>
      </c>
      <c r="F4561" t="s">
        <v>7649</v>
      </c>
      <c r="G4561" t="s">
        <v>55</v>
      </c>
      <c r="H4561" t="s">
        <v>55</v>
      </c>
      <c r="I4561" t="s">
        <v>104</v>
      </c>
      <c r="J4561" t="s">
        <v>143</v>
      </c>
      <c r="K4561" t="s">
        <v>66</v>
      </c>
      <c r="L4561" t="s">
        <v>67</v>
      </c>
      <c r="M4561" t="s">
        <v>68</v>
      </c>
      <c r="N4561" t="s">
        <v>69</v>
      </c>
      <c r="O4561" t="s">
        <v>36</v>
      </c>
      <c r="P4561" t="s">
        <v>37</v>
      </c>
      <c r="Q4561" t="s">
        <v>167</v>
      </c>
      <c r="R4561">
        <v>382</v>
      </c>
      <c r="S4561">
        <v>190</v>
      </c>
      <c r="T4561">
        <v>115</v>
      </c>
      <c r="U4561">
        <v>36</v>
      </c>
      <c r="V4561" t="s">
        <v>722</v>
      </c>
      <c r="W4561">
        <v>31728</v>
      </c>
      <c r="X4561" t="s">
        <v>1592</v>
      </c>
      <c r="Y4561">
        <v>27307</v>
      </c>
      <c r="Z4561">
        <v>1142208</v>
      </c>
      <c r="AA4561">
        <v>159156</v>
      </c>
      <c r="AB4561" t="str">
        <f>(VLOOKUP(SalesData[[#This Row],[Month Number]],Reference!C$5:E$16,2,FALSE))</f>
        <v>Feb</v>
      </c>
      <c r="AC4561">
        <f>MONTH(SalesData[[#This Row],[Date]])</f>
        <v>2</v>
      </c>
      <c r="AD4561">
        <f>Reference!F$4</f>
        <v>2026</v>
      </c>
      <c r="AE4561" t="str">
        <f>IF(OR(SalesData[[#This Row],[Day]]="Saturday",SalesData[[#This Row],[Day]]="Sunday"),"Weekend","Weekday")</f>
        <v>Weekday</v>
      </c>
      <c r="AF4561" s="5">
        <f>IF(SalesData[[#This Row],[Contracts Offered]]=0,0,SalesData[[#This Row],[Contracts Signed]]/SalesData[[#This Row],[Contracts Offered]])</f>
        <v>0.31304347826086959</v>
      </c>
      <c r="AG4561" s="5">
        <f>IF(SalesData[[#This Row],[Customers Visited]]=0,0,SalesData[[#This Row],[Test Drives]]/SalesData[[#This Row],[Customers Visited]])</f>
        <v>0.49738219895287961</v>
      </c>
      <c r="AH4561" s="5">
        <f>IF(SalesData[[#This Row],[Customers Visited]]=0,0,SalesData[[#This Row],[Contracts Signed]]/SalesData[[#This Row],[Customers Visited]])</f>
        <v>9.4240837696335081E-2</v>
      </c>
      <c r="AI4561" s="6">
        <f>IF(SalesData[[#This Row],[Contracts Signed]]=0,0,SalesData[[#This Row],[Profit(€)]]/SalesData[[#This Row],[Contracts Signed]])</f>
        <v>4421</v>
      </c>
      <c r="AJ4561" s="5" t="str">
        <f>TRIM(CLEAN(SalesData[[#This Row],[Retailer]]))</f>
        <v>Autohaus Berlin</v>
      </c>
    </row>
    <row r="4562" spans="1:36" ht="14.25" hidden="1" x14ac:dyDescent="0.2">
      <c r="A4562" t="s">
        <v>5831</v>
      </c>
      <c r="B4562" s="1">
        <v>46069</v>
      </c>
      <c r="C4562" t="s">
        <v>62</v>
      </c>
      <c r="D4562" t="s">
        <v>25</v>
      </c>
      <c r="E4562" t="s">
        <v>26</v>
      </c>
      <c r="F4562" t="s">
        <v>101</v>
      </c>
      <c r="G4562" t="s">
        <v>102</v>
      </c>
      <c r="H4562" t="s">
        <v>103</v>
      </c>
      <c r="I4562" t="s">
        <v>64</v>
      </c>
      <c r="J4562" t="s">
        <v>77</v>
      </c>
      <c r="K4562" t="s">
        <v>91</v>
      </c>
      <c r="L4562" t="s">
        <v>46</v>
      </c>
      <c r="M4562" t="s">
        <v>47</v>
      </c>
      <c r="N4562" t="s">
        <v>69</v>
      </c>
      <c r="O4562" t="s">
        <v>70</v>
      </c>
      <c r="P4562" t="s">
        <v>49</v>
      </c>
      <c r="Q4562" t="s">
        <v>79</v>
      </c>
      <c r="R4562">
        <v>262</v>
      </c>
      <c r="S4562">
        <v>131</v>
      </c>
      <c r="T4562">
        <v>103</v>
      </c>
      <c r="U4562">
        <v>26</v>
      </c>
      <c r="V4562" t="s">
        <v>7557</v>
      </c>
      <c r="W4562">
        <v>60085</v>
      </c>
      <c r="X4562" t="s">
        <v>3211</v>
      </c>
      <c r="Y4562">
        <v>45242</v>
      </c>
      <c r="Z4562">
        <v>1562210</v>
      </c>
      <c r="AA4562">
        <v>385918</v>
      </c>
      <c r="AB4562" t="str">
        <f>(VLOOKUP(SalesData[[#This Row],[Month Number]],Reference!C$5:E$16,2,FALSE))</f>
        <v>Feb</v>
      </c>
      <c r="AC4562">
        <f>MONTH(SalesData[[#This Row],[Date]])</f>
        <v>2</v>
      </c>
      <c r="AD4562">
        <f>Reference!F$4</f>
        <v>2026</v>
      </c>
      <c r="AE4562" t="str">
        <f>IF(OR(SalesData[[#This Row],[Day]]="Saturday",SalesData[[#This Row],[Day]]="Sunday"),"Weekend","Weekday")</f>
        <v>Weekday</v>
      </c>
      <c r="AF4562" s="5">
        <f>IF(SalesData[[#This Row],[Contracts Offered]]=0,0,SalesData[[#This Row],[Contracts Signed]]/SalesData[[#This Row],[Contracts Offered]])</f>
        <v>0.25242718446601942</v>
      </c>
      <c r="AG4562" s="5">
        <f>IF(SalesData[[#This Row],[Customers Visited]]=0,0,SalesData[[#This Row],[Test Drives]]/SalesData[[#This Row],[Customers Visited]])</f>
        <v>0.5</v>
      </c>
      <c r="AH4562" s="5">
        <f>IF(SalesData[[#This Row],[Customers Visited]]=0,0,SalesData[[#This Row],[Contracts Signed]]/SalesData[[#This Row],[Customers Visited]])</f>
        <v>9.9236641221374045E-2</v>
      </c>
      <c r="AI4562" s="6">
        <f>IF(SalesData[[#This Row],[Contracts Signed]]=0,0,SalesData[[#This Row],[Profit(€)]]/SalesData[[#This Row],[Contracts Signed]])</f>
        <v>14843</v>
      </c>
      <c r="AJ4562" s="5" t="str">
        <f>TRIM(CLEAN(SalesData[[#This Row],[Retailer]]))</f>
        <v>Ruhr Auto Plaza</v>
      </c>
    </row>
    <row r="4563" spans="1:36" ht="14.25" x14ac:dyDescent="0.2">
      <c r="A4563" t="s">
        <v>5832</v>
      </c>
      <c r="B4563" s="1">
        <v>46073</v>
      </c>
      <c r="C4563" t="s">
        <v>62</v>
      </c>
      <c r="D4563" t="s">
        <v>54</v>
      </c>
      <c r="E4563" t="s">
        <v>26</v>
      </c>
      <c r="F4563" t="s">
        <v>94</v>
      </c>
      <c r="G4563" t="s">
        <v>95</v>
      </c>
      <c r="H4563" t="s">
        <v>96</v>
      </c>
      <c r="I4563" t="s">
        <v>30</v>
      </c>
      <c r="J4563" t="s">
        <v>7075</v>
      </c>
      <c r="K4563" t="s">
        <v>32</v>
      </c>
      <c r="L4563" t="s">
        <v>33</v>
      </c>
      <c r="M4563" t="s">
        <v>87</v>
      </c>
      <c r="N4563" t="s">
        <v>35</v>
      </c>
      <c r="O4563" t="s">
        <v>70</v>
      </c>
      <c r="P4563" t="s">
        <v>71</v>
      </c>
      <c r="Q4563" t="s">
        <v>38</v>
      </c>
      <c r="R4563">
        <v>199</v>
      </c>
      <c r="S4563">
        <v>119</v>
      </c>
      <c r="T4563">
        <v>81</v>
      </c>
      <c r="U4563">
        <v>34</v>
      </c>
      <c r="V4563" t="s">
        <v>6357</v>
      </c>
      <c r="W4563">
        <v>54871</v>
      </c>
      <c r="X4563" t="s">
        <v>7065</v>
      </c>
      <c r="Y4563">
        <v>38581</v>
      </c>
      <c r="Z4563">
        <v>1865614</v>
      </c>
      <c r="AA4563">
        <v>553860</v>
      </c>
      <c r="AB4563" t="str">
        <f>(VLOOKUP(SalesData[[#This Row],[Month Number]],Reference!C$5:E$16,2,FALSE))</f>
        <v>Feb</v>
      </c>
      <c r="AC4563">
        <f>MONTH(SalesData[[#This Row],[Date]])</f>
        <v>2</v>
      </c>
      <c r="AD4563">
        <f>Reference!F$4</f>
        <v>2026</v>
      </c>
      <c r="AE4563" t="str">
        <f>IF(OR(SalesData[[#This Row],[Day]]="Saturday",SalesData[[#This Row],[Day]]="Sunday"),"Weekend","Weekday")</f>
        <v>Weekday</v>
      </c>
      <c r="AF4563" s="5">
        <f>IF(SalesData[[#This Row],[Contracts Offered]]=0,0,SalesData[[#This Row],[Contracts Signed]]/SalesData[[#This Row],[Contracts Offered]])</f>
        <v>0.41975308641975306</v>
      </c>
      <c r="AG4563" s="5">
        <f>IF(SalesData[[#This Row],[Customers Visited]]=0,0,SalesData[[#This Row],[Test Drives]]/SalesData[[#This Row],[Customers Visited]])</f>
        <v>0.59798994974874375</v>
      </c>
      <c r="AH4563" s="5">
        <f>IF(SalesData[[#This Row],[Customers Visited]]=0,0,SalesData[[#This Row],[Contracts Signed]]/SalesData[[#This Row],[Customers Visited]])</f>
        <v>0.17085427135678391</v>
      </c>
      <c r="AI4563" s="6">
        <f>IF(SalesData[[#This Row],[Contracts Signed]]=0,0,SalesData[[#This Row],[Profit(€)]]/SalesData[[#This Row],[Contracts Signed]])</f>
        <v>16290</v>
      </c>
      <c r="AJ4563" s="5" t="str">
        <f>TRIM(CLEAN(SalesData[[#This Row],[Retailer]]))</f>
        <v>Bavaria Motors</v>
      </c>
    </row>
    <row r="4564" spans="1:36" ht="14.25" hidden="1" x14ac:dyDescent="0.2">
      <c r="A4564" t="s">
        <v>5833</v>
      </c>
      <c r="B4564" s="1">
        <v>46081</v>
      </c>
      <c r="C4564" t="s">
        <v>53</v>
      </c>
      <c r="D4564" t="s">
        <v>151</v>
      </c>
      <c r="E4564" t="s">
        <v>42</v>
      </c>
      <c r="F4564" t="s">
        <v>27</v>
      </c>
      <c r="G4564" t="s">
        <v>28</v>
      </c>
      <c r="H4564" t="s">
        <v>29</v>
      </c>
      <c r="I4564" t="s">
        <v>56</v>
      </c>
      <c r="J4564" t="s">
        <v>137</v>
      </c>
      <c r="K4564" t="s">
        <v>32</v>
      </c>
      <c r="L4564" t="s">
        <v>46</v>
      </c>
      <c r="M4564" t="s">
        <v>68</v>
      </c>
      <c r="N4564" t="s">
        <v>35</v>
      </c>
      <c r="O4564" t="s">
        <v>36</v>
      </c>
      <c r="P4564" t="s">
        <v>37</v>
      </c>
      <c r="Q4564" t="s">
        <v>240</v>
      </c>
      <c r="R4564">
        <v>260</v>
      </c>
      <c r="S4564">
        <v>120</v>
      </c>
      <c r="T4564">
        <v>80</v>
      </c>
      <c r="U4564">
        <v>25</v>
      </c>
      <c r="V4564" t="s">
        <v>6372</v>
      </c>
      <c r="W4564">
        <v>41084</v>
      </c>
      <c r="X4564" t="s">
        <v>2155</v>
      </c>
      <c r="Y4564">
        <v>31751</v>
      </c>
      <c r="Z4564">
        <v>1027100</v>
      </c>
      <c r="AA4564">
        <v>233325</v>
      </c>
      <c r="AB4564" t="str">
        <f>(VLOOKUP(SalesData[[#This Row],[Month Number]],Reference!C$5:E$16,2,FALSE))</f>
        <v>Feb</v>
      </c>
      <c r="AC4564">
        <f>MONTH(SalesData[[#This Row],[Date]])</f>
        <v>2</v>
      </c>
      <c r="AD4564">
        <f>Reference!F$4</f>
        <v>2026</v>
      </c>
      <c r="AE4564" t="str">
        <f>IF(OR(SalesData[[#This Row],[Day]]="Saturday",SalesData[[#This Row],[Day]]="Sunday"),"Weekend","Weekday")</f>
        <v>Weekend</v>
      </c>
      <c r="AF4564" s="5">
        <f>IF(SalesData[[#This Row],[Contracts Offered]]=0,0,SalesData[[#This Row],[Contracts Signed]]/SalesData[[#This Row],[Contracts Offered]])</f>
        <v>0.3125</v>
      </c>
      <c r="AG4564" s="5">
        <f>IF(SalesData[[#This Row],[Customers Visited]]=0,0,SalesData[[#This Row],[Test Drives]]/SalesData[[#This Row],[Customers Visited]])</f>
        <v>0.46153846153846156</v>
      </c>
      <c r="AH4564" s="5">
        <f>IF(SalesData[[#This Row],[Customers Visited]]=0,0,SalesData[[#This Row],[Contracts Signed]]/SalesData[[#This Row],[Customers Visited]])</f>
        <v>9.6153846153846159E-2</v>
      </c>
      <c r="AI4564" s="6">
        <f>IF(SalesData[[#This Row],[Contracts Signed]]=0,0,SalesData[[#This Row],[Profit(€)]]/SalesData[[#This Row],[Contracts Signed]])</f>
        <v>9333</v>
      </c>
      <c r="AJ4564" s="5" t="str">
        <f>TRIM(CLEAN(SalesData[[#This Row],[Retailer]]))</f>
        <v>Main Auto Hub</v>
      </c>
    </row>
    <row r="4565" spans="1:36" ht="14.25" x14ac:dyDescent="0.2">
      <c r="A4565" t="s">
        <v>5834</v>
      </c>
      <c r="B4565" s="1">
        <v>46077</v>
      </c>
      <c r="C4565" t="s">
        <v>53</v>
      </c>
      <c r="D4565" t="s">
        <v>63</v>
      </c>
      <c r="E4565" t="s">
        <v>26</v>
      </c>
      <c r="F4565" t="s">
        <v>109</v>
      </c>
      <c r="G4565" t="s">
        <v>110</v>
      </c>
      <c r="H4565" t="s">
        <v>45</v>
      </c>
      <c r="I4565" t="s">
        <v>30</v>
      </c>
      <c r="J4565" t="s">
        <v>166</v>
      </c>
      <c r="K4565" t="s">
        <v>78</v>
      </c>
      <c r="L4565" t="s">
        <v>46</v>
      </c>
      <c r="M4565" t="s">
        <v>68</v>
      </c>
      <c r="N4565" t="s">
        <v>48</v>
      </c>
      <c r="O4565" t="s">
        <v>70</v>
      </c>
      <c r="P4565" t="s">
        <v>49</v>
      </c>
      <c r="Q4565" t="s">
        <v>135</v>
      </c>
      <c r="R4565">
        <v>180</v>
      </c>
      <c r="S4565">
        <v>100</v>
      </c>
      <c r="T4565">
        <v>69</v>
      </c>
      <c r="U4565">
        <v>25</v>
      </c>
      <c r="V4565" t="s">
        <v>6403</v>
      </c>
      <c r="W4565">
        <v>62700</v>
      </c>
      <c r="X4565" t="s">
        <v>7566</v>
      </c>
      <c r="Y4565">
        <v>47627</v>
      </c>
      <c r="Z4565">
        <v>1567500</v>
      </c>
      <c r="AA4565">
        <v>376825</v>
      </c>
      <c r="AB4565" t="str">
        <f>(VLOOKUP(SalesData[[#This Row],[Month Number]],Reference!C$5:E$16,2,FALSE))</f>
        <v>Feb</v>
      </c>
      <c r="AC4565">
        <f>MONTH(SalesData[[#This Row],[Date]])</f>
        <v>2</v>
      </c>
      <c r="AD4565">
        <f>Reference!F$4</f>
        <v>2026</v>
      </c>
      <c r="AE4565" t="str">
        <f>IF(OR(SalesData[[#This Row],[Day]]="Saturday",SalesData[[#This Row],[Day]]="Sunday"),"Weekend","Weekday")</f>
        <v>Weekday</v>
      </c>
      <c r="AF4565" s="5">
        <f>IF(SalesData[[#This Row],[Contracts Offered]]=0,0,SalesData[[#This Row],[Contracts Signed]]/SalesData[[#This Row],[Contracts Offered]])</f>
        <v>0.36231884057971014</v>
      </c>
      <c r="AG4565" s="5">
        <f>IF(SalesData[[#This Row],[Customers Visited]]=0,0,SalesData[[#This Row],[Test Drives]]/SalesData[[#This Row],[Customers Visited]])</f>
        <v>0.55555555555555558</v>
      </c>
      <c r="AH4565" s="5">
        <f>IF(SalesData[[#This Row],[Customers Visited]]=0,0,SalesData[[#This Row],[Contracts Signed]]/SalesData[[#This Row],[Customers Visited]])</f>
        <v>0.1388888888888889</v>
      </c>
      <c r="AI4565" s="6">
        <f>IF(SalesData[[#This Row],[Contracts Signed]]=0,0,SalesData[[#This Row],[Profit(€)]]/SalesData[[#This Row],[Contracts Signed]])</f>
        <v>15073</v>
      </c>
      <c r="AJ4565" s="5" t="str">
        <f>TRIM(CLEAN(SalesData[[#This Row],[Retailer]]))</f>
        <v>Leipzig Mobility</v>
      </c>
    </row>
    <row r="4566" spans="1:36" ht="14.25" hidden="1" x14ac:dyDescent="0.2">
      <c r="A4566" t="s">
        <v>5835</v>
      </c>
      <c r="B4566" s="1">
        <v>46074</v>
      </c>
      <c r="C4566" t="s">
        <v>62</v>
      </c>
      <c r="D4566" t="s">
        <v>151</v>
      </c>
      <c r="E4566" t="s">
        <v>42</v>
      </c>
      <c r="F4566" t="s">
        <v>43</v>
      </c>
      <c r="G4566" t="s">
        <v>44</v>
      </c>
      <c r="H4566" t="s">
        <v>45</v>
      </c>
      <c r="I4566" t="s">
        <v>104</v>
      </c>
      <c r="J4566" t="s">
        <v>105</v>
      </c>
      <c r="K4566" t="s">
        <v>91</v>
      </c>
      <c r="L4566" t="s">
        <v>33</v>
      </c>
      <c r="M4566" t="s">
        <v>34</v>
      </c>
      <c r="N4566" t="s">
        <v>35</v>
      </c>
      <c r="O4566" t="s">
        <v>70</v>
      </c>
      <c r="P4566" t="s">
        <v>58</v>
      </c>
      <c r="Q4566" t="s">
        <v>59</v>
      </c>
      <c r="R4566">
        <v>319</v>
      </c>
      <c r="S4566">
        <v>164</v>
      </c>
      <c r="T4566">
        <v>107</v>
      </c>
      <c r="U4566">
        <v>29</v>
      </c>
      <c r="V4566" t="s">
        <v>968</v>
      </c>
      <c r="W4566">
        <v>31393</v>
      </c>
      <c r="X4566" t="s">
        <v>7315</v>
      </c>
      <c r="Y4566">
        <v>28127</v>
      </c>
      <c r="Z4566">
        <v>910397</v>
      </c>
      <c r="AA4566">
        <v>94714</v>
      </c>
      <c r="AB4566" t="str">
        <f>(VLOOKUP(SalesData[[#This Row],[Month Number]],Reference!C$5:E$16,2,FALSE))</f>
        <v>Feb</v>
      </c>
      <c r="AC4566">
        <f>MONTH(SalesData[[#This Row],[Date]])</f>
        <v>2</v>
      </c>
      <c r="AD4566">
        <f>Reference!F$4</f>
        <v>2026</v>
      </c>
      <c r="AE4566" t="str">
        <f>IF(OR(SalesData[[#This Row],[Day]]="Saturday",SalesData[[#This Row],[Day]]="Sunday"),"Weekend","Weekday")</f>
        <v>Weekend</v>
      </c>
      <c r="AF4566" s="5">
        <f>IF(SalesData[[#This Row],[Contracts Offered]]=0,0,SalesData[[#This Row],[Contracts Signed]]/SalesData[[#This Row],[Contracts Offered]])</f>
        <v>0.27102803738317754</v>
      </c>
      <c r="AG4566" s="5">
        <f>IF(SalesData[[#This Row],[Customers Visited]]=0,0,SalesData[[#This Row],[Test Drives]]/SalesData[[#This Row],[Customers Visited]])</f>
        <v>0.51410658307210033</v>
      </c>
      <c r="AH4566" s="5">
        <f>IF(SalesData[[#This Row],[Customers Visited]]=0,0,SalesData[[#This Row],[Contracts Signed]]/SalesData[[#This Row],[Customers Visited]])</f>
        <v>9.0909090909090912E-2</v>
      </c>
      <c r="AI4566" s="6">
        <f>IF(SalesData[[#This Row],[Contracts Signed]]=0,0,SalesData[[#This Row],[Profit(€)]]/SalesData[[#This Row],[Contracts Signed]])</f>
        <v>3266</v>
      </c>
      <c r="AJ4566" s="5" t="str">
        <f>TRIM(CLEAN(SalesData[[#This Row],[Retailer]]))</f>
        <v>Saxon Wheels</v>
      </c>
    </row>
    <row r="4567" spans="1:36" ht="14.25" hidden="1" x14ac:dyDescent="0.2">
      <c r="A4567" t="s">
        <v>5836</v>
      </c>
      <c r="B4567" s="1">
        <v>46058</v>
      </c>
      <c r="C4567" t="s">
        <v>24</v>
      </c>
      <c r="D4567" t="s">
        <v>100</v>
      </c>
      <c r="E4567" t="s">
        <v>26</v>
      </c>
      <c r="F4567" t="s">
        <v>7649</v>
      </c>
      <c r="G4567" t="s">
        <v>55</v>
      </c>
      <c r="H4567" t="s">
        <v>55</v>
      </c>
      <c r="I4567" t="s">
        <v>104</v>
      </c>
      <c r="J4567" t="s">
        <v>7031</v>
      </c>
      <c r="K4567" t="s">
        <v>78</v>
      </c>
      <c r="L4567" t="s">
        <v>46</v>
      </c>
      <c r="M4567" t="s">
        <v>34</v>
      </c>
      <c r="N4567" t="s">
        <v>69</v>
      </c>
      <c r="O4567" t="s">
        <v>70</v>
      </c>
      <c r="P4567" t="s">
        <v>71</v>
      </c>
      <c r="Q4567" t="s">
        <v>50</v>
      </c>
      <c r="R4567">
        <v>409</v>
      </c>
      <c r="S4567">
        <v>189</v>
      </c>
      <c r="T4567">
        <v>125</v>
      </c>
      <c r="U4567">
        <v>34</v>
      </c>
      <c r="V4567" t="s">
        <v>1573</v>
      </c>
      <c r="W4567">
        <v>32454</v>
      </c>
      <c r="X4567" t="s">
        <v>1816</v>
      </c>
      <c r="Y4567">
        <v>29008</v>
      </c>
      <c r="Z4567">
        <v>1103436</v>
      </c>
      <c r="AA4567">
        <v>117164</v>
      </c>
      <c r="AB4567" t="str">
        <f>(VLOOKUP(SalesData[[#This Row],[Month Number]],Reference!C$5:E$16,2,FALSE))</f>
        <v>Feb</v>
      </c>
      <c r="AC4567">
        <f>MONTH(SalesData[[#This Row],[Date]])</f>
        <v>2</v>
      </c>
      <c r="AD4567">
        <f>Reference!F$4</f>
        <v>2026</v>
      </c>
      <c r="AE4567" t="str">
        <f>IF(OR(SalesData[[#This Row],[Day]]="Saturday",SalesData[[#This Row],[Day]]="Sunday"),"Weekend","Weekday")</f>
        <v>Weekday</v>
      </c>
      <c r="AF4567" s="5">
        <f>IF(SalesData[[#This Row],[Contracts Offered]]=0,0,SalesData[[#This Row],[Contracts Signed]]/SalesData[[#This Row],[Contracts Offered]])</f>
        <v>0.27200000000000002</v>
      </c>
      <c r="AG4567" s="5">
        <f>IF(SalesData[[#This Row],[Customers Visited]]=0,0,SalesData[[#This Row],[Test Drives]]/SalesData[[#This Row],[Customers Visited]])</f>
        <v>0.46210268948655259</v>
      </c>
      <c r="AH4567" s="5">
        <f>IF(SalesData[[#This Row],[Customers Visited]]=0,0,SalesData[[#This Row],[Contracts Signed]]/SalesData[[#This Row],[Customers Visited]])</f>
        <v>8.3129584352078234E-2</v>
      </c>
      <c r="AI4567" s="6">
        <f>IF(SalesData[[#This Row],[Contracts Signed]]=0,0,SalesData[[#This Row],[Profit(€)]]/SalesData[[#This Row],[Contracts Signed]])</f>
        <v>3446</v>
      </c>
      <c r="AJ4567" s="5" t="str">
        <f>TRIM(CLEAN(SalesData[[#This Row],[Retailer]]))</f>
        <v>Autohaus Berlin</v>
      </c>
    </row>
    <row r="4568" spans="1:36" ht="14.25" hidden="1" x14ac:dyDescent="0.2">
      <c r="A4568" t="s">
        <v>5837</v>
      </c>
      <c r="B4568" s="1">
        <v>46071</v>
      </c>
      <c r="C4568" t="s">
        <v>62</v>
      </c>
      <c r="D4568" t="s">
        <v>82</v>
      </c>
      <c r="E4568" t="s">
        <v>26</v>
      </c>
      <c r="F4568" t="s">
        <v>83</v>
      </c>
      <c r="G4568" t="s">
        <v>84</v>
      </c>
      <c r="H4568" t="s">
        <v>85</v>
      </c>
      <c r="I4568" t="s">
        <v>104</v>
      </c>
      <c r="J4568" t="s">
        <v>143</v>
      </c>
      <c r="K4568" t="s">
        <v>78</v>
      </c>
      <c r="L4568" t="s">
        <v>67</v>
      </c>
      <c r="M4568" t="s">
        <v>87</v>
      </c>
      <c r="N4568" t="s">
        <v>48</v>
      </c>
      <c r="O4568" t="s">
        <v>36</v>
      </c>
      <c r="P4568" t="s">
        <v>37</v>
      </c>
      <c r="Q4568" t="s">
        <v>347</v>
      </c>
      <c r="R4568">
        <v>451</v>
      </c>
      <c r="S4568">
        <v>183</v>
      </c>
      <c r="T4568">
        <v>122</v>
      </c>
      <c r="U4568">
        <v>30</v>
      </c>
      <c r="V4568" t="s">
        <v>4469</v>
      </c>
      <c r="W4568">
        <v>31168</v>
      </c>
      <c r="X4568" t="s">
        <v>392</v>
      </c>
      <c r="Y4568">
        <v>27513</v>
      </c>
      <c r="Z4568">
        <v>935040</v>
      </c>
      <c r="AA4568">
        <v>109650</v>
      </c>
      <c r="AB4568" t="str">
        <f>(VLOOKUP(SalesData[[#This Row],[Month Number]],Reference!C$5:E$16,2,FALSE))</f>
        <v>Feb</v>
      </c>
      <c r="AC4568">
        <f>MONTH(SalesData[[#This Row],[Date]])</f>
        <v>2</v>
      </c>
      <c r="AD4568">
        <f>Reference!F$4</f>
        <v>2026</v>
      </c>
      <c r="AE4568" t="str">
        <f>IF(OR(SalesData[[#This Row],[Day]]="Saturday",SalesData[[#This Row],[Day]]="Sunday"),"Weekend","Weekday")</f>
        <v>Weekday</v>
      </c>
      <c r="AF4568" s="5">
        <f>IF(SalesData[[#This Row],[Contracts Offered]]=0,0,SalesData[[#This Row],[Contracts Signed]]/SalesData[[#This Row],[Contracts Offered]])</f>
        <v>0.24590163934426229</v>
      </c>
      <c r="AG4568" s="5">
        <f>IF(SalesData[[#This Row],[Customers Visited]]=0,0,SalesData[[#This Row],[Test Drives]]/SalesData[[#This Row],[Customers Visited]])</f>
        <v>0.40576496674057649</v>
      </c>
      <c r="AH4568" s="5">
        <f>IF(SalesData[[#This Row],[Customers Visited]]=0,0,SalesData[[#This Row],[Contracts Signed]]/SalesData[[#This Row],[Customers Visited]])</f>
        <v>6.6518847006651879E-2</v>
      </c>
      <c r="AI4568" s="6">
        <f>IF(SalesData[[#This Row],[Contracts Signed]]=0,0,SalesData[[#This Row],[Profit(€)]]/SalesData[[#This Row],[Contracts Signed]])</f>
        <v>3655</v>
      </c>
      <c r="AJ4568" s="5" t="str">
        <f>TRIM(CLEAN(SalesData[[#This Row],[Retailer]]))</f>
        <v>Hannover Cars</v>
      </c>
    </row>
    <row r="4569" spans="1:36" ht="14.25" hidden="1" x14ac:dyDescent="0.2">
      <c r="A4569" t="s">
        <v>5838</v>
      </c>
      <c r="B4569" s="1">
        <v>46075</v>
      </c>
      <c r="C4569" t="s">
        <v>53</v>
      </c>
      <c r="D4569" t="s">
        <v>41</v>
      </c>
      <c r="E4569" t="s">
        <v>42</v>
      </c>
      <c r="F4569" t="s">
        <v>127</v>
      </c>
      <c r="G4569" t="s">
        <v>128</v>
      </c>
      <c r="H4569" t="s">
        <v>103</v>
      </c>
      <c r="I4569" t="s">
        <v>64</v>
      </c>
      <c r="J4569" t="s">
        <v>111</v>
      </c>
      <c r="K4569" t="s">
        <v>78</v>
      </c>
      <c r="L4569" t="s">
        <v>46</v>
      </c>
      <c r="M4569" t="s">
        <v>47</v>
      </c>
      <c r="N4569" t="s">
        <v>48</v>
      </c>
      <c r="O4569" t="s">
        <v>36</v>
      </c>
      <c r="P4569" t="s">
        <v>71</v>
      </c>
      <c r="Q4569" t="s">
        <v>118</v>
      </c>
      <c r="R4569">
        <v>280</v>
      </c>
      <c r="S4569">
        <v>158</v>
      </c>
      <c r="T4569">
        <v>124</v>
      </c>
      <c r="U4569">
        <v>41</v>
      </c>
      <c r="V4569" t="s">
        <v>6725</v>
      </c>
      <c r="W4569">
        <v>70565</v>
      </c>
      <c r="X4569" t="s">
        <v>7301</v>
      </c>
      <c r="Y4569">
        <v>52285</v>
      </c>
      <c r="Z4569">
        <v>2893165</v>
      </c>
      <c r="AA4569">
        <v>749480</v>
      </c>
      <c r="AB4569" t="str">
        <f>(VLOOKUP(SalesData[[#This Row],[Month Number]],Reference!C$5:E$16,2,FALSE))</f>
        <v>Feb</v>
      </c>
      <c r="AC4569">
        <f>MONTH(SalesData[[#This Row],[Date]])</f>
        <v>2</v>
      </c>
      <c r="AD4569">
        <f>Reference!F$4</f>
        <v>2026</v>
      </c>
      <c r="AE4569" t="str">
        <f>IF(OR(SalesData[[#This Row],[Day]]="Saturday",SalesData[[#This Row],[Day]]="Sunday"),"Weekend","Weekday")</f>
        <v>Weekend</v>
      </c>
      <c r="AF4569" s="5">
        <f>IF(SalesData[[#This Row],[Contracts Offered]]=0,0,SalesData[[#This Row],[Contracts Signed]]/SalesData[[#This Row],[Contracts Offered]])</f>
        <v>0.33064516129032256</v>
      </c>
      <c r="AG4569" s="5">
        <f>IF(SalesData[[#This Row],[Customers Visited]]=0,0,SalesData[[#This Row],[Test Drives]]/SalesData[[#This Row],[Customers Visited]])</f>
        <v>0.56428571428571428</v>
      </c>
      <c r="AH4569" s="5">
        <f>IF(SalesData[[#This Row],[Customers Visited]]=0,0,SalesData[[#This Row],[Contracts Signed]]/SalesData[[#This Row],[Customers Visited]])</f>
        <v>0.14642857142857144</v>
      </c>
      <c r="AI4569" s="6">
        <f>IF(SalesData[[#This Row],[Contracts Signed]]=0,0,SalesData[[#This Row],[Profit(€)]]/SalesData[[#This Row],[Contracts Signed]])</f>
        <v>18280</v>
      </c>
      <c r="AJ4569" s="5" t="str">
        <f>TRIM(CLEAN(SalesData[[#This Row],[Retailer]]))</f>
        <v>Rhein Auto Group</v>
      </c>
    </row>
    <row r="4570" spans="1:36" ht="14.25" x14ac:dyDescent="0.2">
      <c r="A4570" t="s">
        <v>5839</v>
      </c>
      <c r="B4570" s="1">
        <v>46063</v>
      </c>
      <c r="C4570" t="s">
        <v>121</v>
      </c>
      <c r="D4570" t="s">
        <v>63</v>
      </c>
      <c r="E4570" t="s">
        <v>26</v>
      </c>
      <c r="F4570" t="s">
        <v>101</v>
      </c>
      <c r="G4570" t="s">
        <v>102</v>
      </c>
      <c r="H4570" t="s">
        <v>103</v>
      </c>
      <c r="I4570" t="s">
        <v>30</v>
      </c>
      <c r="J4570" t="s">
        <v>31</v>
      </c>
      <c r="K4570" t="s">
        <v>78</v>
      </c>
      <c r="L4570" t="s">
        <v>46</v>
      </c>
      <c r="M4570" t="s">
        <v>34</v>
      </c>
      <c r="N4570" t="s">
        <v>69</v>
      </c>
      <c r="O4570" t="s">
        <v>70</v>
      </c>
      <c r="P4570" t="s">
        <v>37</v>
      </c>
      <c r="Q4570" t="s">
        <v>167</v>
      </c>
      <c r="R4570">
        <v>277</v>
      </c>
      <c r="S4570">
        <v>126</v>
      </c>
      <c r="T4570">
        <v>101</v>
      </c>
      <c r="U4570">
        <v>33</v>
      </c>
      <c r="V4570" t="s">
        <v>6663</v>
      </c>
      <c r="W4570">
        <v>56242</v>
      </c>
      <c r="X4570" t="s">
        <v>7109</v>
      </c>
      <c r="Y4570">
        <v>41464</v>
      </c>
      <c r="Z4570">
        <v>1855986</v>
      </c>
      <c r="AA4570">
        <v>487674</v>
      </c>
      <c r="AB4570" t="str">
        <f>(VLOOKUP(SalesData[[#This Row],[Month Number]],Reference!C$5:E$16,2,FALSE))</f>
        <v>Feb</v>
      </c>
      <c r="AC4570">
        <f>MONTH(SalesData[[#This Row],[Date]])</f>
        <v>2</v>
      </c>
      <c r="AD4570">
        <f>Reference!F$4</f>
        <v>2026</v>
      </c>
      <c r="AE4570" t="str">
        <f>IF(OR(SalesData[[#This Row],[Day]]="Saturday",SalesData[[#This Row],[Day]]="Sunday"),"Weekend","Weekday")</f>
        <v>Weekday</v>
      </c>
      <c r="AF4570" s="5">
        <f>IF(SalesData[[#This Row],[Contracts Offered]]=0,0,SalesData[[#This Row],[Contracts Signed]]/SalesData[[#This Row],[Contracts Offered]])</f>
        <v>0.32673267326732675</v>
      </c>
      <c r="AG4570" s="5">
        <f>IF(SalesData[[#This Row],[Customers Visited]]=0,0,SalesData[[#This Row],[Test Drives]]/SalesData[[#This Row],[Customers Visited]])</f>
        <v>0.45487364620938631</v>
      </c>
      <c r="AH4570" s="5">
        <f>IF(SalesData[[#This Row],[Customers Visited]]=0,0,SalesData[[#This Row],[Contracts Signed]]/SalesData[[#This Row],[Customers Visited]])</f>
        <v>0.11913357400722022</v>
      </c>
      <c r="AI4570" s="6">
        <f>IF(SalesData[[#This Row],[Contracts Signed]]=0,0,SalesData[[#This Row],[Profit(€)]]/SalesData[[#This Row],[Contracts Signed]])</f>
        <v>14778</v>
      </c>
      <c r="AJ4570" s="5" t="str">
        <f>TRIM(CLEAN(SalesData[[#This Row],[Retailer]]))</f>
        <v>Ruhr Auto Plaza</v>
      </c>
    </row>
    <row r="4571" spans="1:36" ht="14.25" hidden="1" x14ac:dyDescent="0.2">
      <c r="A4571" t="s">
        <v>5840</v>
      </c>
      <c r="B4571" s="1">
        <v>46058</v>
      </c>
      <c r="C4571" t="s">
        <v>24</v>
      </c>
      <c r="D4571" t="s">
        <v>100</v>
      </c>
      <c r="E4571" t="s">
        <v>26</v>
      </c>
      <c r="F4571" t="s">
        <v>27</v>
      </c>
      <c r="G4571" t="s">
        <v>28</v>
      </c>
      <c r="H4571" t="s">
        <v>29</v>
      </c>
      <c r="I4571" t="s">
        <v>64</v>
      </c>
      <c r="J4571" t="s">
        <v>7029</v>
      </c>
      <c r="K4571" t="s">
        <v>66</v>
      </c>
      <c r="L4571" t="s">
        <v>33</v>
      </c>
      <c r="M4571" t="s">
        <v>87</v>
      </c>
      <c r="N4571" t="s">
        <v>69</v>
      </c>
      <c r="O4571" t="s">
        <v>36</v>
      </c>
      <c r="P4571" t="s">
        <v>58</v>
      </c>
      <c r="Q4571" t="s">
        <v>118</v>
      </c>
      <c r="R4571">
        <v>171</v>
      </c>
      <c r="S4571">
        <v>94</v>
      </c>
      <c r="T4571">
        <v>72</v>
      </c>
      <c r="U4571">
        <v>25</v>
      </c>
      <c r="V4571" t="s">
        <v>6985</v>
      </c>
      <c r="W4571">
        <v>60819</v>
      </c>
      <c r="X4571" t="s">
        <v>7527</v>
      </c>
      <c r="Y4571">
        <v>43872</v>
      </c>
      <c r="Z4571">
        <v>1520475</v>
      </c>
      <c r="AA4571">
        <v>423675</v>
      </c>
      <c r="AB4571" t="str">
        <f>(VLOOKUP(SalesData[[#This Row],[Month Number]],Reference!C$5:E$16,2,FALSE))</f>
        <v>Feb</v>
      </c>
      <c r="AC4571">
        <f>MONTH(SalesData[[#This Row],[Date]])</f>
        <v>2</v>
      </c>
      <c r="AD4571">
        <f>Reference!F$4</f>
        <v>2026</v>
      </c>
      <c r="AE4571" t="str">
        <f>IF(OR(SalesData[[#This Row],[Day]]="Saturday",SalesData[[#This Row],[Day]]="Sunday"),"Weekend","Weekday")</f>
        <v>Weekday</v>
      </c>
      <c r="AF4571" s="5">
        <f>IF(SalesData[[#This Row],[Contracts Offered]]=0,0,SalesData[[#This Row],[Contracts Signed]]/SalesData[[#This Row],[Contracts Offered]])</f>
        <v>0.34722222222222221</v>
      </c>
      <c r="AG4571" s="5">
        <f>IF(SalesData[[#This Row],[Customers Visited]]=0,0,SalesData[[#This Row],[Test Drives]]/SalesData[[#This Row],[Customers Visited]])</f>
        <v>0.54970760233918126</v>
      </c>
      <c r="AH4571" s="5">
        <f>IF(SalesData[[#This Row],[Customers Visited]]=0,0,SalesData[[#This Row],[Contracts Signed]]/SalesData[[#This Row],[Customers Visited]])</f>
        <v>0.14619883040935672</v>
      </c>
      <c r="AI4571" s="6">
        <f>IF(SalesData[[#This Row],[Contracts Signed]]=0,0,SalesData[[#This Row],[Profit(€)]]/SalesData[[#This Row],[Contracts Signed]])</f>
        <v>16947</v>
      </c>
      <c r="AJ4571" s="5" t="str">
        <f>TRIM(CLEAN(SalesData[[#This Row],[Retailer]]))</f>
        <v>Main Auto Hub</v>
      </c>
    </row>
    <row r="4572" spans="1:36" ht="14.25" hidden="1" x14ac:dyDescent="0.2">
      <c r="A4572" t="s">
        <v>5841</v>
      </c>
      <c r="B4572" s="1">
        <v>46066</v>
      </c>
      <c r="C4572" t="s">
        <v>121</v>
      </c>
      <c r="D4572" t="s">
        <v>54</v>
      </c>
      <c r="E4572" t="s">
        <v>26</v>
      </c>
      <c r="F4572" t="s">
        <v>114</v>
      </c>
      <c r="G4572" t="s">
        <v>115</v>
      </c>
      <c r="H4572" t="s">
        <v>115</v>
      </c>
      <c r="I4572" t="s">
        <v>64</v>
      </c>
      <c r="J4572" t="s">
        <v>157</v>
      </c>
      <c r="K4572" t="s">
        <v>32</v>
      </c>
      <c r="L4572" t="s">
        <v>33</v>
      </c>
      <c r="M4572" t="s">
        <v>68</v>
      </c>
      <c r="N4572" t="s">
        <v>69</v>
      </c>
      <c r="O4572" t="s">
        <v>70</v>
      </c>
      <c r="P4572" t="s">
        <v>49</v>
      </c>
      <c r="Q4572" t="s">
        <v>158</v>
      </c>
      <c r="R4572">
        <v>261</v>
      </c>
      <c r="S4572">
        <v>129</v>
      </c>
      <c r="T4572">
        <v>91</v>
      </c>
      <c r="U4572">
        <v>33</v>
      </c>
      <c r="V4572" t="s">
        <v>6469</v>
      </c>
      <c r="W4572">
        <v>52591</v>
      </c>
      <c r="X4572" t="s">
        <v>439</v>
      </c>
      <c r="Y4572">
        <v>38968</v>
      </c>
      <c r="Z4572">
        <v>1735503</v>
      </c>
      <c r="AA4572">
        <v>449559</v>
      </c>
      <c r="AB4572" t="str">
        <f>(VLOOKUP(SalesData[[#This Row],[Month Number]],Reference!C$5:E$16,2,FALSE))</f>
        <v>Feb</v>
      </c>
      <c r="AC4572">
        <f>MONTH(SalesData[[#This Row],[Date]])</f>
        <v>2</v>
      </c>
      <c r="AD4572">
        <f>Reference!F$4</f>
        <v>2026</v>
      </c>
      <c r="AE4572" t="str">
        <f>IF(OR(SalesData[[#This Row],[Day]]="Saturday",SalesData[[#This Row],[Day]]="Sunday"),"Weekend","Weekday")</f>
        <v>Weekday</v>
      </c>
      <c r="AF4572" s="5">
        <f>IF(SalesData[[#This Row],[Contracts Offered]]=0,0,SalesData[[#This Row],[Contracts Signed]]/SalesData[[#This Row],[Contracts Offered]])</f>
        <v>0.36263736263736263</v>
      </c>
      <c r="AG4572" s="5">
        <f>IF(SalesData[[#This Row],[Customers Visited]]=0,0,SalesData[[#This Row],[Test Drives]]/SalesData[[#This Row],[Customers Visited]])</f>
        <v>0.4942528735632184</v>
      </c>
      <c r="AH4572" s="5">
        <f>IF(SalesData[[#This Row],[Customers Visited]]=0,0,SalesData[[#This Row],[Contracts Signed]]/SalesData[[#This Row],[Customers Visited]])</f>
        <v>0.12643678160919541</v>
      </c>
      <c r="AI4572" s="6">
        <f>IF(SalesData[[#This Row],[Contracts Signed]]=0,0,SalesData[[#This Row],[Profit(€)]]/SalesData[[#This Row],[Contracts Signed]])</f>
        <v>13623</v>
      </c>
      <c r="AJ4572" s="5" t="str">
        <f>TRIM(CLEAN(SalesData[[#This Row],[Retailer]]))</f>
        <v>Elbe Drive</v>
      </c>
    </row>
    <row r="4573" spans="1:36" ht="14.25" hidden="1" x14ac:dyDescent="0.2">
      <c r="A4573" t="s">
        <v>5842</v>
      </c>
      <c r="B4573" s="1">
        <v>46063</v>
      </c>
      <c r="C4573" t="s">
        <v>121</v>
      </c>
      <c r="D4573" t="s">
        <v>63</v>
      </c>
      <c r="E4573" t="s">
        <v>26</v>
      </c>
      <c r="F4573" t="s">
        <v>7649</v>
      </c>
      <c r="G4573" t="s">
        <v>55</v>
      </c>
      <c r="H4573" t="s">
        <v>55</v>
      </c>
      <c r="I4573" t="s">
        <v>56</v>
      </c>
      <c r="J4573" t="s">
        <v>7028</v>
      </c>
      <c r="K4573" t="s">
        <v>91</v>
      </c>
      <c r="L4573" t="s">
        <v>46</v>
      </c>
      <c r="M4573" t="s">
        <v>87</v>
      </c>
      <c r="N4573" t="s">
        <v>48</v>
      </c>
      <c r="O4573" t="s">
        <v>70</v>
      </c>
      <c r="P4573" t="s">
        <v>49</v>
      </c>
      <c r="Q4573" t="s">
        <v>144</v>
      </c>
      <c r="R4573">
        <v>233</v>
      </c>
      <c r="S4573">
        <v>142</v>
      </c>
      <c r="T4573">
        <v>92</v>
      </c>
      <c r="U4573">
        <v>34</v>
      </c>
      <c r="V4573" t="s">
        <v>6456</v>
      </c>
      <c r="W4573">
        <v>48772</v>
      </c>
      <c r="X4573" t="s">
        <v>3364</v>
      </c>
      <c r="Y4573">
        <v>37576</v>
      </c>
      <c r="Z4573">
        <v>1658248</v>
      </c>
      <c r="AA4573">
        <v>380664</v>
      </c>
      <c r="AB4573" t="str">
        <f>(VLOOKUP(SalesData[[#This Row],[Month Number]],Reference!C$5:E$16,2,FALSE))</f>
        <v>Feb</v>
      </c>
      <c r="AC4573">
        <f>MONTH(SalesData[[#This Row],[Date]])</f>
        <v>2</v>
      </c>
      <c r="AD4573">
        <f>Reference!F$4</f>
        <v>2026</v>
      </c>
      <c r="AE4573" t="str">
        <f>IF(OR(SalesData[[#This Row],[Day]]="Saturday",SalesData[[#This Row],[Day]]="Sunday"),"Weekend","Weekday")</f>
        <v>Weekday</v>
      </c>
      <c r="AF4573" s="5">
        <f>IF(SalesData[[#This Row],[Contracts Offered]]=0,0,SalesData[[#This Row],[Contracts Signed]]/SalesData[[#This Row],[Contracts Offered]])</f>
        <v>0.36956521739130432</v>
      </c>
      <c r="AG4573" s="5">
        <f>IF(SalesData[[#This Row],[Customers Visited]]=0,0,SalesData[[#This Row],[Test Drives]]/SalesData[[#This Row],[Customers Visited]])</f>
        <v>0.6094420600858369</v>
      </c>
      <c r="AH4573" s="5">
        <f>IF(SalesData[[#This Row],[Customers Visited]]=0,0,SalesData[[#This Row],[Contracts Signed]]/SalesData[[#This Row],[Customers Visited]])</f>
        <v>0.14592274678111589</v>
      </c>
      <c r="AI4573" s="6">
        <f>IF(SalesData[[#This Row],[Contracts Signed]]=0,0,SalesData[[#This Row],[Profit(€)]]/SalesData[[#This Row],[Contracts Signed]])</f>
        <v>11196</v>
      </c>
      <c r="AJ4573" s="5" t="str">
        <f>TRIM(CLEAN(SalesData[[#This Row],[Retailer]]))</f>
        <v>Autohaus Berlin</v>
      </c>
    </row>
    <row r="4574" spans="1:36" ht="14.25" hidden="1" x14ac:dyDescent="0.2">
      <c r="A4574" t="s">
        <v>5843</v>
      </c>
      <c r="B4574" s="1">
        <v>46076</v>
      </c>
      <c r="C4574" t="s">
        <v>53</v>
      </c>
      <c r="D4574" t="s">
        <v>25</v>
      </c>
      <c r="E4574" t="s">
        <v>26</v>
      </c>
      <c r="F4574" t="s">
        <v>43</v>
      </c>
      <c r="G4574" t="s">
        <v>44</v>
      </c>
      <c r="H4574" t="s">
        <v>45</v>
      </c>
      <c r="I4574" t="s">
        <v>56</v>
      </c>
      <c r="J4574" t="s">
        <v>57</v>
      </c>
      <c r="K4574" t="s">
        <v>32</v>
      </c>
      <c r="L4574" t="s">
        <v>46</v>
      </c>
      <c r="M4574" t="s">
        <v>87</v>
      </c>
      <c r="N4574" t="s">
        <v>69</v>
      </c>
      <c r="O4574" t="s">
        <v>70</v>
      </c>
      <c r="P4574" t="s">
        <v>71</v>
      </c>
      <c r="Q4574" t="s">
        <v>240</v>
      </c>
      <c r="R4574">
        <v>194</v>
      </c>
      <c r="S4574">
        <v>92</v>
      </c>
      <c r="T4574">
        <v>61</v>
      </c>
      <c r="U4574">
        <v>20</v>
      </c>
      <c r="V4574" t="s">
        <v>6379</v>
      </c>
      <c r="W4574">
        <v>52595</v>
      </c>
      <c r="X4574" t="s">
        <v>7476</v>
      </c>
      <c r="Y4574">
        <v>42785</v>
      </c>
      <c r="Z4574">
        <v>1051900</v>
      </c>
      <c r="AA4574">
        <v>196200</v>
      </c>
      <c r="AB4574" t="str">
        <f>(VLOOKUP(SalesData[[#This Row],[Month Number]],Reference!C$5:E$16,2,FALSE))</f>
        <v>Feb</v>
      </c>
      <c r="AC4574">
        <f>MONTH(SalesData[[#This Row],[Date]])</f>
        <v>2</v>
      </c>
      <c r="AD4574">
        <f>Reference!F$4</f>
        <v>2026</v>
      </c>
      <c r="AE4574" t="str">
        <f>IF(OR(SalesData[[#This Row],[Day]]="Saturday",SalesData[[#This Row],[Day]]="Sunday"),"Weekend","Weekday")</f>
        <v>Weekday</v>
      </c>
      <c r="AF4574" s="5">
        <f>IF(SalesData[[#This Row],[Contracts Offered]]=0,0,SalesData[[#This Row],[Contracts Signed]]/SalesData[[#This Row],[Contracts Offered]])</f>
        <v>0.32786885245901637</v>
      </c>
      <c r="AG4574" s="5">
        <f>IF(SalesData[[#This Row],[Customers Visited]]=0,0,SalesData[[#This Row],[Test Drives]]/SalesData[[#This Row],[Customers Visited]])</f>
        <v>0.47422680412371132</v>
      </c>
      <c r="AH4574" s="5">
        <f>IF(SalesData[[#This Row],[Customers Visited]]=0,0,SalesData[[#This Row],[Contracts Signed]]/SalesData[[#This Row],[Customers Visited]])</f>
        <v>0.10309278350515463</v>
      </c>
      <c r="AI4574" s="6">
        <f>IF(SalesData[[#This Row],[Contracts Signed]]=0,0,SalesData[[#This Row],[Profit(€)]]/SalesData[[#This Row],[Contracts Signed]])</f>
        <v>9810</v>
      </c>
      <c r="AJ4574" s="5" t="str">
        <f>TRIM(CLEAN(SalesData[[#This Row],[Retailer]]))</f>
        <v>Saxon Wheels</v>
      </c>
    </row>
    <row r="4575" spans="1:36" ht="14.25" hidden="1" x14ac:dyDescent="0.2">
      <c r="A4575" t="s">
        <v>5844</v>
      </c>
      <c r="B4575" s="1">
        <v>46070</v>
      </c>
      <c r="C4575" t="s">
        <v>62</v>
      </c>
      <c r="D4575" t="s">
        <v>63</v>
      </c>
      <c r="E4575" t="s">
        <v>26</v>
      </c>
      <c r="F4575" t="s">
        <v>114</v>
      </c>
      <c r="G4575" t="s">
        <v>115</v>
      </c>
      <c r="H4575" t="s">
        <v>115</v>
      </c>
      <c r="I4575" t="s">
        <v>64</v>
      </c>
      <c r="J4575" t="s">
        <v>157</v>
      </c>
      <c r="K4575" t="s">
        <v>66</v>
      </c>
      <c r="L4575" t="s">
        <v>33</v>
      </c>
      <c r="M4575" t="s">
        <v>47</v>
      </c>
      <c r="N4575" t="s">
        <v>35</v>
      </c>
      <c r="O4575" t="s">
        <v>36</v>
      </c>
      <c r="P4575" t="s">
        <v>58</v>
      </c>
      <c r="Q4575" t="s">
        <v>172</v>
      </c>
      <c r="R4575">
        <v>230</v>
      </c>
      <c r="S4575">
        <v>129</v>
      </c>
      <c r="T4575">
        <v>95</v>
      </c>
      <c r="U4575">
        <v>34</v>
      </c>
      <c r="V4575" t="s">
        <v>6522</v>
      </c>
      <c r="W4575">
        <v>69223</v>
      </c>
      <c r="X4575" t="s">
        <v>7080</v>
      </c>
      <c r="Y4575">
        <v>53483</v>
      </c>
      <c r="Z4575">
        <v>2353582</v>
      </c>
      <c r="AA4575">
        <v>535160</v>
      </c>
      <c r="AB4575" t="str">
        <f>(VLOOKUP(SalesData[[#This Row],[Month Number]],Reference!C$5:E$16,2,FALSE))</f>
        <v>Feb</v>
      </c>
      <c r="AC4575">
        <f>MONTH(SalesData[[#This Row],[Date]])</f>
        <v>2</v>
      </c>
      <c r="AD4575">
        <f>Reference!F$4</f>
        <v>2026</v>
      </c>
      <c r="AE4575" t="str">
        <f>IF(OR(SalesData[[#This Row],[Day]]="Saturday",SalesData[[#This Row],[Day]]="Sunday"),"Weekend","Weekday")</f>
        <v>Weekday</v>
      </c>
      <c r="AF4575" s="5">
        <f>IF(SalesData[[#This Row],[Contracts Offered]]=0,0,SalesData[[#This Row],[Contracts Signed]]/SalesData[[#This Row],[Contracts Offered]])</f>
        <v>0.35789473684210527</v>
      </c>
      <c r="AG4575" s="5">
        <f>IF(SalesData[[#This Row],[Customers Visited]]=0,0,SalesData[[#This Row],[Test Drives]]/SalesData[[#This Row],[Customers Visited]])</f>
        <v>0.56086956521739129</v>
      </c>
      <c r="AH4575" s="5">
        <f>IF(SalesData[[#This Row],[Customers Visited]]=0,0,SalesData[[#This Row],[Contracts Signed]]/SalesData[[#This Row],[Customers Visited]])</f>
        <v>0.14782608695652175</v>
      </c>
      <c r="AI4575" s="6">
        <f>IF(SalesData[[#This Row],[Contracts Signed]]=0,0,SalesData[[#This Row],[Profit(€)]]/SalesData[[#This Row],[Contracts Signed]])</f>
        <v>15740</v>
      </c>
      <c r="AJ4575" s="5" t="str">
        <f>TRIM(CLEAN(SalesData[[#This Row],[Retailer]]))</f>
        <v>Elbe Drive</v>
      </c>
    </row>
    <row r="4576" spans="1:36" ht="14.25" hidden="1" x14ac:dyDescent="0.2">
      <c r="A4576" t="s">
        <v>5845</v>
      </c>
      <c r="B4576" s="1">
        <v>46069</v>
      </c>
      <c r="C4576" t="s">
        <v>62</v>
      </c>
      <c r="D4576" t="s">
        <v>25</v>
      </c>
      <c r="E4576" t="s">
        <v>26</v>
      </c>
      <c r="F4576" t="s">
        <v>101</v>
      </c>
      <c r="G4576" t="s">
        <v>102</v>
      </c>
      <c r="H4576" t="s">
        <v>103</v>
      </c>
      <c r="I4576" t="s">
        <v>64</v>
      </c>
      <c r="J4576" t="s">
        <v>77</v>
      </c>
      <c r="K4576" t="s">
        <v>91</v>
      </c>
      <c r="L4576" t="s">
        <v>46</v>
      </c>
      <c r="M4576" t="s">
        <v>47</v>
      </c>
      <c r="N4576" t="s">
        <v>48</v>
      </c>
      <c r="O4576" t="s">
        <v>36</v>
      </c>
      <c r="P4576" t="s">
        <v>58</v>
      </c>
      <c r="Q4576" t="s">
        <v>347</v>
      </c>
      <c r="R4576">
        <v>255</v>
      </c>
      <c r="S4576">
        <v>113</v>
      </c>
      <c r="T4576">
        <v>89</v>
      </c>
      <c r="U4576">
        <v>28</v>
      </c>
      <c r="V4576" t="s">
        <v>6418</v>
      </c>
      <c r="W4576">
        <v>60677</v>
      </c>
      <c r="X4576" t="s">
        <v>2667</v>
      </c>
      <c r="Y4576">
        <v>45437</v>
      </c>
      <c r="Z4576">
        <v>1698956</v>
      </c>
      <c r="AA4576">
        <v>426720</v>
      </c>
      <c r="AB4576" t="str">
        <f>(VLOOKUP(SalesData[[#This Row],[Month Number]],Reference!C$5:E$16,2,FALSE))</f>
        <v>Feb</v>
      </c>
      <c r="AC4576">
        <f>MONTH(SalesData[[#This Row],[Date]])</f>
        <v>2</v>
      </c>
      <c r="AD4576">
        <f>Reference!F$4</f>
        <v>2026</v>
      </c>
      <c r="AE4576" t="str">
        <f>IF(OR(SalesData[[#This Row],[Day]]="Saturday",SalesData[[#This Row],[Day]]="Sunday"),"Weekend","Weekday")</f>
        <v>Weekday</v>
      </c>
      <c r="AF4576" s="5">
        <f>IF(SalesData[[#This Row],[Contracts Offered]]=0,0,SalesData[[#This Row],[Contracts Signed]]/SalesData[[#This Row],[Contracts Offered]])</f>
        <v>0.3146067415730337</v>
      </c>
      <c r="AG4576" s="5">
        <f>IF(SalesData[[#This Row],[Customers Visited]]=0,0,SalesData[[#This Row],[Test Drives]]/SalesData[[#This Row],[Customers Visited]])</f>
        <v>0.44313725490196076</v>
      </c>
      <c r="AH4576" s="5">
        <f>IF(SalesData[[#This Row],[Customers Visited]]=0,0,SalesData[[#This Row],[Contracts Signed]]/SalesData[[#This Row],[Customers Visited]])</f>
        <v>0.10980392156862745</v>
      </c>
      <c r="AI4576" s="6">
        <f>IF(SalesData[[#This Row],[Contracts Signed]]=0,0,SalesData[[#This Row],[Profit(€)]]/SalesData[[#This Row],[Contracts Signed]])</f>
        <v>15240</v>
      </c>
      <c r="AJ4576" s="5" t="str">
        <f>TRIM(CLEAN(SalesData[[#This Row],[Retailer]]))</f>
        <v>Ruhr Auto Plaza</v>
      </c>
    </row>
    <row r="4577" spans="1:36" ht="14.25" hidden="1" x14ac:dyDescent="0.2">
      <c r="A4577" t="s">
        <v>5847</v>
      </c>
      <c r="B4577" s="1">
        <v>46062</v>
      </c>
      <c r="C4577" t="s">
        <v>121</v>
      </c>
      <c r="D4577" t="s">
        <v>25</v>
      </c>
      <c r="E4577" t="s">
        <v>26</v>
      </c>
      <c r="F4577" t="s">
        <v>27</v>
      </c>
      <c r="G4577" t="s">
        <v>28</v>
      </c>
      <c r="H4577" t="s">
        <v>29</v>
      </c>
      <c r="I4577" t="s">
        <v>116</v>
      </c>
      <c r="J4577" t="s">
        <v>117</v>
      </c>
      <c r="K4577" t="s">
        <v>91</v>
      </c>
      <c r="L4577" t="s">
        <v>67</v>
      </c>
      <c r="M4577" t="s">
        <v>34</v>
      </c>
      <c r="N4577" t="s">
        <v>69</v>
      </c>
      <c r="O4577" t="s">
        <v>36</v>
      </c>
      <c r="P4577" t="s">
        <v>49</v>
      </c>
      <c r="Q4577" t="s">
        <v>118</v>
      </c>
      <c r="R4577">
        <v>245</v>
      </c>
      <c r="S4577">
        <v>130</v>
      </c>
      <c r="T4577">
        <v>81</v>
      </c>
      <c r="U4577">
        <v>18</v>
      </c>
      <c r="V4577" t="s">
        <v>3798</v>
      </c>
      <c r="W4577">
        <v>24305</v>
      </c>
      <c r="X4577" t="s">
        <v>7637</v>
      </c>
      <c r="Y4577">
        <v>21639</v>
      </c>
      <c r="Z4577">
        <v>437490</v>
      </c>
      <c r="AA4577">
        <v>47988</v>
      </c>
      <c r="AB4577" t="str">
        <f>(VLOOKUP(SalesData[[#This Row],[Month Number]],Reference!C$5:E$16,2,FALSE))</f>
        <v>Feb</v>
      </c>
      <c r="AC4577">
        <f>MONTH(SalesData[[#This Row],[Date]])</f>
        <v>2</v>
      </c>
      <c r="AD4577">
        <f>Reference!F$4</f>
        <v>2026</v>
      </c>
      <c r="AE4577" t="str">
        <f>IF(OR(SalesData[[#This Row],[Day]]="Saturday",SalesData[[#This Row],[Day]]="Sunday"),"Weekend","Weekday")</f>
        <v>Weekday</v>
      </c>
      <c r="AF4577" s="5">
        <f>IF(SalesData[[#This Row],[Contracts Offered]]=0,0,SalesData[[#This Row],[Contracts Signed]]/SalesData[[#This Row],[Contracts Offered]])</f>
        <v>0.22222222222222221</v>
      </c>
      <c r="AG4577" s="5">
        <f>IF(SalesData[[#This Row],[Customers Visited]]=0,0,SalesData[[#This Row],[Test Drives]]/SalesData[[#This Row],[Customers Visited]])</f>
        <v>0.53061224489795922</v>
      </c>
      <c r="AH4577" s="5">
        <f>IF(SalesData[[#This Row],[Customers Visited]]=0,0,SalesData[[#This Row],[Contracts Signed]]/SalesData[[#This Row],[Customers Visited]])</f>
        <v>7.3469387755102047E-2</v>
      </c>
      <c r="AI4577" s="6">
        <f>IF(SalesData[[#This Row],[Contracts Signed]]=0,0,SalesData[[#This Row],[Profit(€)]]/SalesData[[#This Row],[Contracts Signed]])</f>
        <v>2666</v>
      </c>
      <c r="AJ4577" s="5" t="str">
        <f>TRIM(CLEAN(SalesData[[#This Row],[Retailer]]))</f>
        <v>Main Auto Hub</v>
      </c>
    </row>
    <row r="4578" spans="1:36" ht="14.25" hidden="1" x14ac:dyDescent="0.2">
      <c r="A4578" t="s">
        <v>5848</v>
      </c>
      <c r="B4578" s="1">
        <v>46078</v>
      </c>
      <c r="C4578" t="s">
        <v>53</v>
      </c>
      <c r="D4578" t="s">
        <v>82</v>
      </c>
      <c r="E4578" t="s">
        <v>26</v>
      </c>
      <c r="F4578" t="s">
        <v>7649</v>
      </c>
      <c r="G4578" t="s">
        <v>55</v>
      </c>
      <c r="H4578" t="s">
        <v>55</v>
      </c>
      <c r="I4578" t="s">
        <v>116</v>
      </c>
      <c r="J4578" t="s">
        <v>7026</v>
      </c>
      <c r="K4578" t="s">
        <v>66</v>
      </c>
      <c r="L4578" t="s">
        <v>46</v>
      </c>
      <c r="M4578" t="s">
        <v>68</v>
      </c>
      <c r="N4578" t="s">
        <v>48</v>
      </c>
      <c r="O4578" t="s">
        <v>36</v>
      </c>
      <c r="P4578" t="s">
        <v>37</v>
      </c>
      <c r="Q4578" t="s">
        <v>152</v>
      </c>
      <c r="R4578">
        <v>233</v>
      </c>
      <c r="S4578">
        <v>120</v>
      </c>
      <c r="T4578">
        <v>68</v>
      </c>
      <c r="U4578">
        <v>21</v>
      </c>
      <c r="V4578" t="s">
        <v>648</v>
      </c>
      <c r="W4578">
        <v>23861</v>
      </c>
      <c r="X4578" t="s">
        <v>4263</v>
      </c>
      <c r="Y4578">
        <v>21802</v>
      </c>
      <c r="Z4578">
        <v>501081</v>
      </c>
      <c r="AA4578">
        <v>43239</v>
      </c>
      <c r="AB4578" t="str">
        <f>(VLOOKUP(SalesData[[#This Row],[Month Number]],Reference!C$5:E$16,2,FALSE))</f>
        <v>Feb</v>
      </c>
      <c r="AC4578">
        <f>MONTH(SalesData[[#This Row],[Date]])</f>
        <v>2</v>
      </c>
      <c r="AD4578">
        <f>Reference!F$4</f>
        <v>2026</v>
      </c>
      <c r="AE4578" t="str">
        <f>IF(OR(SalesData[[#This Row],[Day]]="Saturday",SalesData[[#This Row],[Day]]="Sunday"),"Weekend","Weekday")</f>
        <v>Weekday</v>
      </c>
      <c r="AF4578" s="5">
        <f>IF(SalesData[[#This Row],[Contracts Offered]]=0,0,SalesData[[#This Row],[Contracts Signed]]/SalesData[[#This Row],[Contracts Offered]])</f>
        <v>0.30882352941176472</v>
      </c>
      <c r="AG4578" s="5">
        <f>IF(SalesData[[#This Row],[Customers Visited]]=0,0,SalesData[[#This Row],[Test Drives]]/SalesData[[#This Row],[Customers Visited]])</f>
        <v>0.51502145922746778</v>
      </c>
      <c r="AH4578" s="5">
        <f>IF(SalesData[[#This Row],[Customers Visited]]=0,0,SalesData[[#This Row],[Contracts Signed]]/SalesData[[#This Row],[Customers Visited]])</f>
        <v>9.012875536480687E-2</v>
      </c>
      <c r="AI4578" s="6">
        <f>IF(SalesData[[#This Row],[Contracts Signed]]=0,0,SalesData[[#This Row],[Profit(€)]]/SalesData[[#This Row],[Contracts Signed]])</f>
        <v>2059</v>
      </c>
      <c r="AJ4578" s="5" t="str">
        <f>TRIM(CLEAN(SalesData[[#This Row],[Retailer]]))</f>
        <v>Autohaus Berlin</v>
      </c>
    </row>
    <row r="4579" spans="1:36" ht="14.25" hidden="1" x14ac:dyDescent="0.2">
      <c r="A4579" t="s">
        <v>5849</v>
      </c>
      <c r="B4579" s="1">
        <v>46063</v>
      </c>
      <c r="C4579" t="s">
        <v>121</v>
      </c>
      <c r="D4579" t="s">
        <v>63</v>
      </c>
      <c r="E4579" t="s">
        <v>26</v>
      </c>
      <c r="F4579" t="s">
        <v>43</v>
      </c>
      <c r="G4579" t="s">
        <v>44</v>
      </c>
      <c r="H4579" t="s">
        <v>45</v>
      </c>
      <c r="I4579" t="s">
        <v>56</v>
      </c>
      <c r="J4579" t="s">
        <v>137</v>
      </c>
      <c r="K4579" t="s">
        <v>32</v>
      </c>
      <c r="L4579" t="s">
        <v>46</v>
      </c>
      <c r="M4579" t="s">
        <v>87</v>
      </c>
      <c r="N4579" t="s">
        <v>69</v>
      </c>
      <c r="O4579" t="s">
        <v>70</v>
      </c>
      <c r="P4579" t="s">
        <v>49</v>
      </c>
      <c r="Q4579" t="s">
        <v>50</v>
      </c>
      <c r="R4579">
        <v>297</v>
      </c>
      <c r="S4579">
        <v>151</v>
      </c>
      <c r="T4579">
        <v>114</v>
      </c>
      <c r="U4579">
        <v>33</v>
      </c>
      <c r="V4579" t="s">
        <v>6798</v>
      </c>
      <c r="W4579">
        <v>39960</v>
      </c>
      <c r="X4579" t="s">
        <v>1978</v>
      </c>
      <c r="Y4579">
        <v>31089</v>
      </c>
      <c r="Z4579">
        <v>1318680</v>
      </c>
      <c r="AA4579">
        <v>292743</v>
      </c>
      <c r="AB4579" t="str">
        <f>(VLOOKUP(SalesData[[#This Row],[Month Number]],Reference!C$5:E$16,2,FALSE))</f>
        <v>Feb</v>
      </c>
      <c r="AC4579">
        <f>MONTH(SalesData[[#This Row],[Date]])</f>
        <v>2</v>
      </c>
      <c r="AD4579">
        <f>Reference!F$4</f>
        <v>2026</v>
      </c>
      <c r="AE4579" t="str">
        <f>IF(OR(SalesData[[#This Row],[Day]]="Saturday",SalesData[[#This Row],[Day]]="Sunday"),"Weekend","Weekday")</f>
        <v>Weekday</v>
      </c>
      <c r="AF4579" s="5">
        <f>IF(SalesData[[#This Row],[Contracts Offered]]=0,0,SalesData[[#This Row],[Contracts Signed]]/SalesData[[#This Row],[Contracts Offered]])</f>
        <v>0.28947368421052633</v>
      </c>
      <c r="AG4579" s="5">
        <f>IF(SalesData[[#This Row],[Customers Visited]]=0,0,SalesData[[#This Row],[Test Drives]]/SalesData[[#This Row],[Customers Visited]])</f>
        <v>0.50841750841750843</v>
      </c>
      <c r="AH4579" s="5">
        <f>IF(SalesData[[#This Row],[Customers Visited]]=0,0,SalesData[[#This Row],[Contracts Signed]]/SalesData[[#This Row],[Customers Visited]])</f>
        <v>0.1111111111111111</v>
      </c>
      <c r="AI4579" s="6">
        <f>IF(SalesData[[#This Row],[Contracts Signed]]=0,0,SalesData[[#This Row],[Profit(€)]]/SalesData[[#This Row],[Contracts Signed]])</f>
        <v>8871</v>
      </c>
      <c r="AJ4579" s="5" t="str">
        <f>TRIM(CLEAN(SalesData[[#This Row],[Retailer]]))</f>
        <v>Saxon Wheels</v>
      </c>
    </row>
    <row r="4580" spans="1:36" ht="14.25" hidden="1" x14ac:dyDescent="0.2">
      <c r="A4580" t="s">
        <v>5850</v>
      </c>
      <c r="B4580" s="1">
        <v>46064</v>
      </c>
      <c r="C4580" t="s">
        <v>121</v>
      </c>
      <c r="D4580" t="s">
        <v>82</v>
      </c>
      <c r="E4580" t="s">
        <v>26</v>
      </c>
      <c r="F4580" t="s">
        <v>74</v>
      </c>
      <c r="G4580" t="s">
        <v>75</v>
      </c>
      <c r="H4580" t="s">
        <v>76</v>
      </c>
      <c r="I4580" t="s">
        <v>64</v>
      </c>
      <c r="J4580" t="s">
        <v>77</v>
      </c>
      <c r="K4580" t="s">
        <v>91</v>
      </c>
      <c r="L4580" t="s">
        <v>46</v>
      </c>
      <c r="M4580" t="s">
        <v>34</v>
      </c>
      <c r="N4580" t="s">
        <v>69</v>
      </c>
      <c r="O4580" t="s">
        <v>36</v>
      </c>
      <c r="P4580" t="s">
        <v>49</v>
      </c>
      <c r="Q4580" t="s">
        <v>122</v>
      </c>
      <c r="R4580">
        <v>196</v>
      </c>
      <c r="S4580">
        <v>91</v>
      </c>
      <c r="T4580">
        <v>68</v>
      </c>
      <c r="U4580">
        <v>22</v>
      </c>
      <c r="V4580" t="s">
        <v>6510</v>
      </c>
      <c r="W4580">
        <v>64435</v>
      </c>
      <c r="X4580" t="s">
        <v>7280</v>
      </c>
      <c r="Y4580">
        <v>50438</v>
      </c>
      <c r="Z4580">
        <v>1417570</v>
      </c>
      <c r="AA4580">
        <v>307934</v>
      </c>
      <c r="AB4580" t="str">
        <f>(VLOOKUP(SalesData[[#This Row],[Month Number]],Reference!C$5:E$16,2,FALSE))</f>
        <v>Feb</v>
      </c>
      <c r="AC4580">
        <f>MONTH(SalesData[[#This Row],[Date]])</f>
        <v>2</v>
      </c>
      <c r="AD4580">
        <f>Reference!F$4</f>
        <v>2026</v>
      </c>
      <c r="AE4580" t="str">
        <f>IF(OR(SalesData[[#This Row],[Day]]="Saturday",SalesData[[#This Row],[Day]]="Sunday"),"Weekend","Weekday")</f>
        <v>Weekday</v>
      </c>
      <c r="AF4580" s="5">
        <f>IF(SalesData[[#This Row],[Contracts Offered]]=0,0,SalesData[[#This Row],[Contracts Signed]]/SalesData[[#This Row],[Contracts Offered]])</f>
        <v>0.3235294117647059</v>
      </c>
      <c r="AG4580" s="5">
        <f>IF(SalesData[[#This Row],[Customers Visited]]=0,0,SalesData[[#This Row],[Test Drives]]/SalesData[[#This Row],[Customers Visited]])</f>
        <v>0.4642857142857143</v>
      </c>
      <c r="AH4580" s="5">
        <f>IF(SalesData[[#This Row],[Customers Visited]]=0,0,SalesData[[#This Row],[Contracts Signed]]/SalesData[[#This Row],[Customers Visited]])</f>
        <v>0.11224489795918367</v>
      </c>
      <c r="AI4580" s="6">
        <f>IF(SalesData[[#This Row],[Contracts Signed]]=0,0,SalesData[[#This Row],[Profit(€)]]/SalesData[[#This Row],[Contracts Signed]])</f>
        <v>13997</v>
      </c>
      <c r="AJ4580" s="5" t="str">
        <f>TRIM(CLEAN(SalesData[[#This Row],[Retailer]]))</f>
        <v>Stuttgart Auto Center</v>
      </c>
    </row>
    <row r="4581" spans="1:36" ht="14.25" hidden="1" x14ac:dyDescent="0.2">
      <c r="A4581" t="s">
        <v>5851</v>
      </c>
      <c r="B4581" s="1">
        <v>46068</v>
      </c>
      <c r="C4581" t="s">
        <v>62</v>
      </c>
      <c r="D4581" t="s">
        <v>41</v>
      </c>
      <c r="E4581" t="s">
        <v>42</v>
      </c>
      <c r="F4581" t="s">
        <v>27</v>
      </c>
      <c r="G4581" t="s">
        <v>28</v>
      </c>
      <c r="H4581" t="s">
        <v>29</v>
      </c>
      <c r="I4581" t="s">
        <v>56</v>
      </c>
      <c r="J4581" t="s">
        <v>179</v>
      </c>
      <c r="K4581" t="s">
        <v>78</v>
      </c>
      <c r="L4581" t="s">
        <v>67</v>
      </c>
      <c r="M4581" t="s">
        <v>87</v>
      </c>
      <c r="N4581" t="s">
        <v>35</v>
      </c>
      <c r="O4581" t="s">
        <v>36</v>
      </c>
      <c r="P4581" t="s">
        <v>49</v>
      </c>
      <c r="Q4581" t="s">
        <v>152</v>
      </c>
      <c r="R4581">
        <v>196</v>
      </c>
      <c r="S4581">
        <v>120</v>
      </c>
      <c r="T4581">
        <v>92</v>
      </c>
      <c r="U4581">
        <v>23</v>
      </c>
      <c r="V4581" t="s">
        <v>5010</v>
      </c>
      <c r="W4581">
        <v>43527</v>
      </c>
      <c r="X4581" t="s">
        <v>2541</v>
      </c>
      <c r="Y4581">
        <v>34502</v>
      </c>
      <c r="Z4581">
        <v>1001121</v>
      </c>
      <c r="AA4581">
        <v>207575</v>
      </c>
      <c r="AB4581" t="str">
        <f>(VLOOKUP(SalesData[[#This Row],[Month Number]],Reference!C$5:E$16,2,FALSE))</f>
        <v>Feb</v>
      </c>
      <c r="AC4581">
        <f>MONTH(SalesData[[#This Row],[Date]])</f>
        <v>2</v>
      </c>
      <c r="AD4581">
        <f>Reference!F$4</f>
        <v>2026</v>
      </c>
      <c r="AE4581" t="str">
        <f>IF(OR(SalesData[[#This Row],[Day]]="Saturday",SalesData[[#This Row],[Day]]="Sunday"),"Weekend","Weekday")</f>
        <v>Weekend</v>
      </c>
      <c r="AF4581" s="5">
        <f>IF(SalesData[[#This Row],[Contracts Offered]]=0,0,SalesData[[#This Row],[Contracts Signed]]/SalesData[[#This Row],[Contracts Offered]])</f>
        <v>0.25</v>
      </c>
      <c r="AG4581" s="5">
        <f>IF(SalesData[[#This Row],[Customers Visited]]=0,0,SalesData[[#This Row],[Test Drives]]/SalesData[[#This Row],[Customers Visited]])</f>
        <v>0.61224489795918369</v>
      </c>
      <c r="AH4581" s="5">
        <f>IF(SalesData[[#This Row],[Customers Visited]]=0,0,SalesData[[#This Row],[Contracts Signed]]/SalesData[[#This Row],[Customers Visited]])</f>
        <v>0.11734693877551021</v>
      </c>
      <c r="AI4581" s="6">
        <f>IF(SalesData[[#This Row],[Contracts Signed]]=0,0,SalesData[[#This Row],[Profit(€)]]/SalesData[[#This Row],[Contracts Signed]])</f>
        <v>9025</v>
      </c>
      <c r="AJ4581" s="5" t="str">
        <f>TRIM(CLEAN(SalesData[[#This Row],[Retailer]]))</f>
        <v>Main Auto Hub</v>
      </c>
    </row>
    <row r="4582" spans="1:36" ht="14.25" hidden="1" x14ac:dyDescent="0.2">
      <c r="A4582" t="s">
        <v>5852</v>
      </c>
      <c r="B4582" s="1">
        <v>46069</v>
      </c>
      <c r="C4582" t="s">
        <v>62</v>
      </c>
      <c r="D4582" t="s">
        <v>25</v>
      </c>
      <c r="E4582" t="s">
        <v>26</v>
      </c>
      <c r="F4582" t="s">
        <v>94</v>
      </c>
      <c r="G4582" t="s">
        <v>95</v>
      </c>
      <c r="H4582" t="s">
        <v>96</v>
      </c>
      <c r="I4582" t="s">
        <v>64</v>
      </c>
      <c r="J4582" t="s">
        <v>111</v>
      </c>
      <c r="K4582" t="s">
        <v>78</v>
      </c>
      <c r="L4582" t="s">
        <v>46</v>
      </c>
      <c r="M4582" t="s">
        <v>87</v>
      </c>
      <c r="N4582" t="s">
        <v>69</v>
      </c>
      <c r="O4582" t="s">
        <v>36</v>
      </c>
      <c r="P4582" t="s">
        <v>37</v>
      </c>
      <c r="Q4582" t="s">
        <v>240</v>
      </c>
      <c r="R4582">
        <v>149</v>
      </c>
      <c r="S4582">
        <v>76</v>
      </c>
      <c r="T4582">
        <v>50</v>
      </c>
      <c r="U4582">
        <v>18</v>
      </c>
      <c r="V4582" t="s">
        <v>6441</v>
      </c>
      <c r="W4582">
        <v>50353</v>
      </c>
      <c r="X4582" t="s">
        <v>572</v>
      </c>
      <c r="Y4582">
        <v>36045</v>
      </c>
      <c r="Z4582">
        <v>906354</v>
      </c>
      <c r="AA4582">
        <v>257544</v>
      </c>
      <c r="AB4582" t="str">
        <f>(VLOOKUP(SalesData[[#This Row],[Month Number]],Reference!C$5:E$16,2,FALSE))</f>
        <v>Feb</v>
      </c>
      <c r="AC4582">
        <f>MONTH(SalesData[[#This Row],[Date]])</f>
        <v>2</v>
      </c>
      <c r="AD4582">
        <f>Reference!F$4</f>
        <v>2026</v>
      </c>
      <c r="AE4582" t="str">
        <f>IF(OR(SalesData[[#This Row],[Day]]="Saturday",SalesData[[#This Row],[Day]]="Sunday"),"Weekend","Weekday")</f>
        <v>Weekday</v>
      </c>
      <c r="AF4582" s="5">
        <f>IF(SalesData[[#This Row],[Contracts Offered]]=0,0,SalesData[[#This Row],[Contracts Signed]]/SalesData[[#This Row],[Contracts Offered]])</f>
        <v>0.36</v>
      </c>
      <c r="AG4582" s="5">
        <f>IF(SalesData[[#This Row],[Customers Visited]]=0,0,SalesData[[#This Row],[Test Drives]]/SalesData[[#This Row],[Customers Visited]])</f>
        <v>0.51006711409395977</v>
      </c>
      <c r="AH4582" s="5">
        <f>IF(SalesData[[#This Row],[Customers Visited]]=0,0,SalesData[[#This Row],[Contracts Signed]]/SalesData[[#This Row],[Customers Visited]])</f>
        <v>0.12080536912751678</v>
      </c>
      <c r="AI4582" s="6">
        <f>IF(SalesData[[#This Row],[Contracts Signed]]=0,0,SalesData[[#This Row],[Profit(€)]]/SalesData[[#This Row],[Contracts Signed]])</f>
        <v>14308</v>
      </c>
      <c r="AJ4582" s="5" t="str">
        <f>TRIM(CLEAN(SalesData[[#This Row],[Retailer]]))</f>
        <v>Bavaria Motors</v>
      </c>
    </row>
    <row r="4583" spans="1:36" ht="14.25" hidden="1" x14ac:dyDescent="0.2">
      <c r="A4583" t="s">
        <v>5853</v>
      </c>
      <c r="B4583" s="1">
        <v>46069</v>
      </c>
      <c r="C4583" t="s">
        <v>62</v>
      </c>
      <c r="D4583" t="s">
        <v>25</v>
      </c>
      <c r="E4583" t="s">
        <v>26</v>
      </c>
      <c r="F4583" t="s">
        <v>94</v>
      </c>
      <c r="G4583" t="s">
        <v>95</v>
      </c>
      <c r="H4583" t="s">
        <v>96</v>
      </c>
      <c r="I4583" t="s">
        <v>56</v>
      </c>
      <c r="J4583" t="s">
        <v>137</v>
      </c>
      <c r="K4583" t="s">
        <v>32</v>
      </c>
      <c r="L4583" t="s">
        <v>46</v>
      </c>
      <c r="M4583" t="s">
        <v>34</v>
      </c>
      <c r="N4583" t="s">
        <v>35</v>
      </c>
      <c r="O4583" t="s">
        <v>36</v>
      </c>
      <c r="P4583" t="s">
        <v>71</v>
      </c>
      <c r="Q4583" t="s">
        <v>79</v>
      </c>
      <c r="R4583">
        <v>171</v>
      </c>
      <c r="S4583">
        <v>89</v>
      </c>
      <c r="T4583">
        <v>59</v>
      </c>
      <c r="U4583">
        <v>24</v>
      </c>
      <c r="V4583" t="s">
        <v>6417</v>
      </c>
      <c r="W4583">
        <v>41174</v>
      </c>
      <c r="X4583" t="s">
        <v>1754</v>
      </c>
      <c r="Y4583">
        <v>33363</v>
      </c>
      <c r="Z4583">
        <v>988176</v>
      </c>
      <c r="AA4583">
        <v>187464</v>
      </c>
      <c r="AB4583" t="str">
        <f>(VLOOKUP(SalesData[[#This Row],[Month Number]],Reference!C$5:E$16,2,FALSE))</f>
        <v>Feb</v>
      </c>
      <c r="AC4583">
        <f>MONTH(SalesData[[#This Row],[Date]])</f>
        <v>2</v>
      </c>
      <c r="AD4583">
        <f>Reference!F$4</f>
        <v>2026</v>
      </c>
      <c r="AE4583" t="str">
        <f>IF(OR(SalesData[[#This Row],[Day]]="Saturday",SalesData[[#This Row],[Day]]="Sunday"),"Weekend","Weekday")</f>
        <v>Weekday</v>
      </c>
      <c r="AF4583" s="5">
        <f>IF(SalesData[[#This Row],[Contracts Offered]]=0,0,SalesData[[#This Row],[Contracts Signed]]/SalesData[[#This Row],[Contracts Offered]])</f>
        <v>0.40677966101694918</v>
      </c>
      <c r="AG4583" s="5">
        <f>IF(SalesData[[#This Row],[Customers Visited]]=0,0,SalesData[[#This Row],[Test Drives]]/SalesData[[#This Row],[Customers Visited]])</f>
        <v>0.52046783625730997</v>
      </c>
      <c r="AH4583" s="5">
        <f>IF(SalesData[[#This Row],[Customers Visited]]=0,0,SalesData[[#This Row],[Contracts Signed]]/SalesData[[#This Row],[Customers Visited]])</f>
        <v>0.14035087719298245</v>
      </c>
      <c r="AI4583" s="6">
        <f>IF(SalesData[[#This Row],[Contracts Signed]]=0,0,SalesData[[#This Row],[Profit(€)]]/SalesData[[#This Row],[Contracts Signed]])</f>
        <v>7811</v>
      </c>
      <c r="AJ4583" s="5" t="str">
        <f>TRIM(CLEAN(SalesData[[#This Row],[Retailer]]))</f>
        <v>Bavaria Motors</v>
      </c>
    </row>
    <row r="4584" spans="1:36" ht="14.25" hidden="1" x14ac:dyDescent="0.2">
      <c r="A4584" t="s">
        <v>5855</v>
      </c>
      <c r="B4584" s="1">
        <v>46078</v>
      </c>
      <c r="C4584" t="s">
        <v>53</v>
      </c>
      <c r="D4584" t="s">
        <v>82</v>
      </c>
      <c r="E4584" t="s">
        <v>26</v>
      </c>
      <c r="F4584" t="s">
        <v>83</v>
      </c>
      <c r="G4584" t="s">
        <v>84</v>
      </c>
      <c r="H4584" t="s">
        <v>85</v>
      </c>
      <c r="I4584" t="s">
        <v>56</v>
      </c>
      <c r="J4584" t="s">
        <v>7028</v>
      </c>
      <c r="K4584" t="s">
        <v>78</v>
      </c>
      <c r="L4584" t="s">
        <v>46</v>
      </c>
      <c r="M4584" t="s">
        <v>87</v>
      </c>
      <c r="N4584" t="s">
        <v>48</v>
      </c>
      <c r="O4584" t="s">
        <v>70</v>
      </c>
      <c r="P4584" t="s">
        <v>58</v>
      </c>
      <c r="Q4584" t="s">
        <v>106</v>
      </c>
      <c r="R4584">
        <v>280</v>
      </c>
      <c r="S4584">
        <v>130</v>
      </c>
      <c r="T4584">
        <v>93</v>
      </c>
      <c r="U4584">
        <v>31</v>
      </c>
      <c r="V4584" t="s">
        <v>6785</v>
      </c>
      <c r="W4584">
        <v>50595</v>
      </c>
      <c r="X4584" t="s">
        <v>2278</v>
      </c>
      <c r="Y4584">
        <v>38652</v>
      </c>
      <c r="Z4584">
        <v>1568445</v>
      </c>
      <c r="AA4584">
        <v>370233</v>
      </c>
      <c r="AB4584" t="str">
        <f>(VLOOKUP(SalesData[[#This Row],[Month Number]],Reference!C$5:E$16,2,FALSE))</f>
        <v>Feb</v>
      </c>
      <c r="AC4584">
        <f>MONTH(SalesData[[#This Row],[Date]])</f>
        <v>2</v>
      </c>
      <c r="AD4584">
        <f>Reference!F$4</f>
        <v>2026</v>
      </c>
      <c r="AE4584" t="str">
        <f>IF(OR(SalesData[[#This Row],[Day]]="Saturday",SalesData[[#This Row],[Day]]="Sunday"),"Weekend","Weekday")</f>
        <v>Weekday</v>
      </c>
      <c r="AF4584" s="5">
        <f>IF(SalesData[[#This Row],[Contracts Offered]]=0,0,SalesData[[#This Row],[Contracts Signed]]/SalesData[[#This Row],[Contracts Offered]])</f>
        <v>0.33333333333333331</v>
      </c>
      <c r="AG4584" s="5">
        <f>IF(SalesData[[#This Row],[Customers Visited]]=0,0,SalesData[[#This Row],[Test Drives]]/SalesData[[#This Row],[Customers Visited]])</f>
        <v>0.4642857142857143</v>
      </c>
      <c r="AH4584" s="5">
        <f>IF(SalesData[[#This Row],[Customers Visited]]=0,0,SalesData[[#This Row],[Contracts Signed]]/SalesData[[#This Row],[Customers Visited]])</f>
        <v>0.11071428571428571</v>
      </c>
      <c r="AI4584" s="6">
        <f>IF(SalesData[[#This Row],[Contracts Signed]]=0,0,SalesData[[#This Row],[Profit(€)]]/SalesData[[#This Row],[Contracts Signed]])</f>
        <v>11943</v>
      </c>
      <c r="AJ4584" s="5" t="str">
        <f>TRIM(CLEAN(SalesData[[#This Row],[Retailer]]))</f>
        <v>Hannover Cars</v>
      </c>
    </row>
    <row r="4585" spans="1:36" ht="14.25" x14ac:dyDescent="0.2">
      <c r="A4585" t="s">
        <v>5856</v>
      </c>
      <c r="B4585" s="1">
        <v>46065</v>
      </c>
      <c r="C4585" t="s">
        <v>121</v>
      </c>
      <c r="D4585" t="s">
        <v>100</v>
      </c>
      <c r="E4585" t="s">
        <v>26</v>
      </c>
      <c r="F4585" t="s">
        <v>94</v>
      </c>
      <c r="G4585" t="s">
        <v>95</v>
      </c>
      <c r="H4585" t="s">
        <v>96</v>
      </c>
      <c r="I4585" t="s">
        <v>30</v>
      </c>
      <c r="J4585" t="s">
        <v>7075</v>
      </c>
      <c r="K4585" t="s">
        <v>66</v>
      </c>
      <c r="L4585" t="s">
        <v>33</v>
      </c>
      <c r="M4585" t="s">
        <v>68</v>
      </c>
      <c r="N4585" t="s">
        <v>35</v>
      </c>
      <c r="O4585" t="s">
        <v>70</v>
      </c>
      <c r="P4585" t="s">
        <v>37</v>
      </c>
      <c r="Q4585" t="s">
        <v>172</v>
      </c>
      <c r="R4585">
        <v>182</v>
      </c>
      <c r="S4585">
        <v>88</v>
      </c>
      <c r="T4585">
        <v>63</v>
      </c>
      <c r="U4585">
        <v>25</v>
      </c>
      <c r="V4585" t="s">
        <v>7088</v>
      </c>
      <c r="W4585">
        <v>64440</v>
      </c>
      <c r="X4585" t="s">
        <v>7160</v>
      </c>
      <c r="Y4585">
        <v>47765</v>
      </c>
      <c r="Z4585">
        <v>1611000</v>
      </c>
      <c r="AA4585">
        <v>416875</v>
      </c>
      <c r="AB4585" t="str">
        <f>(VLOOKUP(SalesData[[#This Row],[Month Number]],Reference!C$5:E$16,2,FALSE))</f>
        <v>Feb</v>
      </c>
      <c r="AC4585">
        <f>MONTH(SalesData[[#This Row],[Date]])</f>
        <v>2</v>
      </c>
      <c r="AD4585">
        <f>Reference!F$4</f>
        <v>2026</v>
      </c>
      <c r="AE4585" t="str">
        <f>IF(OR(SalesData[[#This Row],[Day]]="Saturday",SalesData[[#This Row],[Day]]="Sunday"),"Weekend","Weekday")</f>
        <v>Weekday</v>
      </c>
      <c r="AF4585" s="5">
        <f>IF(SalesData[[#This Row],[Contracts Offered]]=0,0,SalesData[[#This Row],[Contracts Signed]]/SalesData[[#This Row],[Contracts Offered]])</f>
        <v>0.3968253968253968</v>
      </c>
      <c r="AG4585" s="5">
        <f>IF(SalesData[[#This Row],[Customers Visited]]=0,0,SalesData[[#This Row],[Test Drives]]/SalesData[[#This Row],[Customers Visited]])</f>
        <v>0.48351648351648352</v>
      </c>
      <c r="AH4585" s="5">
        <f>IF(SalesData[[#This Row],[Customers Visited]]=0,0,SalesData[[#This Row],[Contracts Signed]]/SalesData[[#This Row],[Customers Visited]])</f>
        <v>0.13736263736263737</v>
      </c>
      <c r="AI4585" s="6">
        <f>IF(SalesData[[#This Row],[Contracts Signed]]=0,0,SalesData[[#This Row],[Profit(€)]]/SalesData[[#This Row],[Contracts Signed]])</f>
        <v>16675</v>
      </c>
      <c r="AJ4585" s="5" t="str">
        <f>TRIM(CLEAN(SalesData[[#This Row],[Retailer]]))</f>
        <v>Bavaria Motors</v>
      </c>
    </row>
    <row r="4586" spans="1:36" ht="14.25" x14ac:dyDescent="0.2">
      <c r="A4586" t="s">
        <v>5857</v>
      </c>
      <c r="B4586" s="1">
        <v>46077</v>
      </c>
      <c r="C4586" t="s">
        <v>53</v>
      </c>
      <c r="D4586" t="s">
        <v>63</v>
      </c>
      <c r="E4586" t="s">
        <v>26</v>
      </c>
      <c r="F4586" t="s">
        <v>127</v>
      </c>
      <c r="G4586" t="s">
        <v>128</v>
      </c>
      <c r="H4586" t="s">
        <v>103</v>
      </c>
      <c r="I4586" t="s">
        <v>30</v>
      </c>
      <c r="J4586" t="s">
        <v>7075</v>
      </c>
      <c r="K4586" t="s">
        <v>91</v>
      </c>
      <c r="L4586" t="s">
        <v>33</v>
      </c>
      <c r="M4586" t="s">
        <v>87</v>
      </c>
      <c r="N4586" t="s">
        <v>48</v>
      </c>
      <c r="O4586" t="s">
        <v>36</v>
      </c>
      <c r="P4586" t="s">
        <v>71</v>
      </c>
      <c r="Q4586" t="s">
        <v>79</v>
      </c>
      <c r="R4586">
        <v>150</v>
      </c>
      <c r="S4586">
        <v>85</v>
      </c>
      <c r="T4586">
        <v>67</v>
      </c>
      <c r="U4586">
        <v>24</v>
      </c>
      <c r="V4586" t="s">
        <v>6836</v>
      </c>
      <c r="W4586">
        <v>58926</v>
      </c>
      <c r="X4586" t="s">
        <v>2023</v>
      </c>
      <c r="Y4586">
        <v>44117</v>
      </c>
      <c r="Z4586">
        <v>1414224</v>
      </c>
      <c r="AA4586">
        <v>355416</v>
      </c>
      <c r="AB4586" t="str">
        <f>(VLOOKUP(SalesData[[#This Row],[Month Number]],Reference!C$5:E$16,2,FALSE))</f>
        <v>Feb</v>
      </c>
      <c r="AC4586">
        <f>MONTH(SalesData[[#This Row],[Date]])</f>
        <v>2</v>
      </c>
      <c r="AD4586">
        <f>Reference!F$4</f>
        <v>2026</v>
      </c>
      <c r="AE4586" t="str">
        <f>IF(OR(SalesData[[#This Row],[Day]]="Saturday",SalesData[[#This Row],[Day]]="Sunday"),"Weekend","Weekday")</f>
        <v>Weekday</v>
      </c>
      <c r="AF4586" s="5">
        <f>IF(SalesData[[#This Row],[Contracts Offered]]=0,0,SalesData[[#This Row],[Contracts Signed]]/SalesData[[#This Row],[Contracts Offered]])</f>
        <v>0.35820895522388058</v>
      </c>
      <c r="AG4586" s="5">
        <f>IF(SalesData[[#This Row],[Customers Visited]]=0,0,SalesData[[#This Row],[Test Drives]]/SalesData[[#This Row],[Customers Visited]])</f>
        <v>0.56666666666666665</v>
      </c>
      <c r="AH4586" s="5">
        <f>IF(SalesData[[#This Row],[Customers Visited]]=0,0,SalesData[[#This Row],[Contracts Signed]]/SalesData[[#This Row],[Customers Visited]])</f>
        <v>0.16</v>
      </c>
      <c r="AI4586" s="6">
        <f>IF(SalesData[[#This Row],[Contracts Signed]]=0,0,SalesData[[#This Row],[Profit(€)]]/SalesData[[#This Row],[Contracts Signed]])</f>
        <v>14809</v>
      </c>
      <c r="AJ4586" s="5" t="str">
        <f>TRIM(CLEAN(SalesData[[#This Row],[Retailer]]))</f>
        <v>Rhein Auto Group</v>
      </c>
    </row>
    <row r="4587" spans="1:36" ht="14.25" hidden="1" x14ac:dyDescent="0.2">
      <c r="A4587" t="s">
        <v>5858</v>
      </c>
      <c r="B4587" s="1">
        <v>46058</v>
      </c>
      <c r="C4587" t="s">
        <v>24</v>
      </c>
      <c r="D4587" t="s">
        <v>100</v>
      </c>
      <c r="E4587" t="s">
        <v>26</v>
      </c>
      <c r="F4587" t="s">
        <v>101</v>
      </c>
      <c r="G4587" t="s">
        <v>102</v>
      </c>
      <c r="H4587" t="s">
        <v>103</v>
      </c>
      <c r="I4587" t="s">
        <v>64</v>
      </c>
      <c r="J4587" t="s">
        <v>65</v>
      </c>
      <c r="K4587" t="s">
        <v>78</v>
      </c>
      <c r="L4587" t="s">
        <v>33</v>
      </c>
      <c r="M4587" t="s">
        <v>34</v>
      </c>
      <c r="N4587" t="s">
        <v>48</v>
      </c>
      <c r="O4587" t="s">
        <v>36</v>
      </c>
      <c r="P4587" t="s">
        <v>37</v>
      </c>
      <c r="Q4587" t="s">
        <v>152</v>
      </c>
      <c r="R4587">
        <v>205</v>
      </c>
      <c r="S4587">
        <v>94</v>
      </c>
      <c r="T4587">
        <v>66</v>
      </c>
      <c r="U4587">
        <v>20</v>
      </c>
      <c r="V4587" t="s">
        <v>7070</v>
      </c>
      <c r="W4587">
        <v>66242</v>
      </c>
      <c r="X4587" t="s">
        <v>7183</v>
      </c>
      <c r="Y4587">
        <v>47857</v>
      </c>
      <c r="Z4587">
        <v>1324840</v>
      </c>
      <c r="AA4587">
        <v>367700</v>
      </c>
      <c r="AB4587" t="str">
        <f>(VLOOKUP(SalesData[[#This Row],[Month Number]],Reference!C$5:E$16,2,FALSE))</f>
        <v>Feb</v>
      </c>
      <c r="AC4587">
        <f>MONTH(SalesData[[#This Row],[Date]])</f>
        <v>2</v>
      </c>
      <c r="AD4587">
        <f>Reference!F$4</f>
        <v>2026</v>
      </c>
      <c r="AE4587" t="str">
        <f>IF(OR(SalesData[[#This Row],[Day]]="Saturday",SalesData[[#This Row],[Day]]="Sunday"),"Weekend","Weekday")</f>
        <v>Weekday</v>
      </c>
      <c r="AF4587" s="5">
        <f>IF(SalesData[[#This Row],[Contracts Offered]]=0,0,SalesData[[#This Row],[Contracts Signed]]/SalesData[[#This Row],[Contracts Offered]])</f>
        <v>0.30303030303030304</v>
      </c>
      <c r="AG4587" s="5">
        <f>IF(SalesData[[#This Row],[Customers Visited]]=0,0,SalesData[[#This Row],[Test Drives]]/SalesData[[#This Row],[Customers Visited]])</f>
        <v>0.45853658536585368</v>
      </c>
      <c r="AH4587" s="5">
        <f>IF(SalesData[[#This Row],[Customers Visited]]=0,0,SalesData[[#This Row],[Contracts Signed]]/SalesData[[#This Row],[Customers Visited]])</f>
        <v>9.7560975609756101E-2</v>
      </c>
      <c r="AI4587" s="6">
        <f>IF(SalesData[[#This Row],[Contracts Signed]]=0,0,SalesData[[#This Row],[Profit(€)]]/SalesData[[#This Row],[Contracts Signed]])</f>
        <v>18385</v>
      </c>
      <c r="AJ4587" s="5" t="str">
        <f>TRIM(CLEAN(SalesData[[#This Row],[Retailer]]))</f>
        <v>Ruhr Auto Plaza</v>
      </c>
    </row>
    <row r="4588" spans="1:36" ht="14.25" hidden="1" x14ac:dyDescent="0.2">
      <c r="A4588" t="s">
        <v>5859</v>
      </c>
      <c r="B4588" s="1">
        <v>46070</v>
      </c>
      <c r="C4588" t="s">
        <v>62</v>
      </c>
      <c r="D4588" t="s">
        <v>63</v>
      </c>
      <c r="E4588" t="s">
        <v>26</v>
      </c>
      <c r="F4588" t="s">
        <v>109</v>
      </c>
      <c r="G4588" t="s">
        <v>110</v>
      </c>
      <c r="H4588" t="s">
        <v>45</v>
      </c>
      <c r="I4588" t="s">
        <v>56</v>
      </c>
      <c r="J4588" t="s">
        <v>137</v>
      </c>
      <c r="K4588" t="s">
        <v>66</v>
      </c>
      <c r="L4588" t="s">
        <v>46</v>
      </c>
      <c r="M4588" t="s">
        <v>68</v>
      </c>
      <c r="N4588" t="s">
        <v>69</v>
      </c>
      <c r="O4588" t="s">
        <v>70</v>
      </c>
      <c r="P4588" t="s">
        <v>49</v>
      </c>
      <c r="Q4588" t="s">
        <v>347</v>
      </c>
      <c r="R4588">
        <v>320</v>
      </c>
      <c r="S4588">
        <v>191</v>
      </c>
      <c r="T4588">
        <v>139</v>
      </c>
      <c r="U4588">
        <v>35</v>
      </c>
      <c r="V4588" t="s">
        <v>1736</v>
      </c>
      <c r="W4588">
        <v>42388</v>
      </c>
      <c r="X4588" t="s">
        <v>7132</v>
      </c>
      <c r="Y4588">
        <v>32963</v>
      </c>
      <c r="Z4588">
        <v>1483580</v>
      </c>
      <c r="AA4588">
        <v>329875</v>
      </c>
      <c r="AB4588" t="str">
        <f>(VLOOKUP(SalesData[[#This Row],[Month Number]],Reference!C$5:E$16,2,FALSE))</f>
        <v>Feb</v>
      </c>
      <c r="AC4588">
        <f>MONTH(SalesData[[#This Row],[Date]])</f>
        <v>2</v>
      </c>
      <c r="AD4588">
        <f>Reference!F$4</f>
        <v>2026</v>
      </c>
      <c r="AE4588" t="str">
        <f>IF(OR(SalesData[[#This Row],[Day]]="Saturday",SalesData[[#This Row],[Day]]="Sunday"),"Weekend","Weekday")</f>
        <v>Weekday</v>
      </c>
      <c r="AF4588" s="5">
        <f>IF(SalesData[[#This Row],[Contracts Offered]]=0,0,SalesData[[#This Row],[Contracts Signed]]/SalesData[[#This Row],[Contracts Offered]])</f>
        <v>0.25179856115107913</v>
      </c>
      <c r="AG4588" s="5">
        <f>IF(SalesData[[#This Row],[Customers Visited]]=0,0,SalesData[[#This Row],[Test Drives]]/SalesData[[#This Row],[Customers Visited]])</f>
        <v>0.59687500000000004</v>
      </c>
      <c r="AH4588" s="5">
        <f>IF(SalesData[[#This Row],[Customers Visited]]=0,0,SalesData[[#This Row],[Contracts Signed]]/SalesData[[#This Row],[Customers Visited]])</f>
        <v>0.109375</v>
      </c>
      <c r="AI4588" s="6">
        <f>IF(SalesData[[#This Row],[Contracts Signed]]=0,0,SalesData[[#This Row],[Profit(€)]]/SalesData[[#This Row],[Contracts Signed]])</f>
        <v>9425</v>
      </c>
      <c r="AJ4588" s="5" t="str">
        <f>TRIM(CLEAN(SalesData[[#This Row],[Retailer]]))</f>
        <v>Leipzig Mobility</v>
      </c>
    </row>
    <row r="4589" spans="1:36" ht="14.25" hidden="1" x14ac:dyDescent="0.2">
      <c r="A4589" t="s">
        <v>5860</v>
      </c>
      <c r="B4589" s="1">
        <v>46077</v>
      </c>
      <c r="C4589" t="s">
        <v>53</v>
      </c>
      <c r="D4589" t="s">
        <v>63</v>
      </c>
      <c r="E4589" t="s">
        <v>26</v>
      </c>
      <c r="F4589" t="s">
        <v>101</v>
      </c>
      <c r="G4589" t="s">
        <v>102</v>
      </c>
      <c r="H4589" t="s">
        <v>103</v>
      </c>
      <c r="I4589" t="s">
        <v>104</v>
      </c>
      <c r="J4589" t="s">
        <v>7031</v>
      </c>
      <c r="K4589" t="s">
        <v>66</v>
      </c>
      <c r="L4589" t="s">
        <v>46</v>
      </c>
      <c r="M4589" t="s">
        <v>68</v>
      </c>
      <c r="N4589" t="s">
        <v>69</v>
      </c>
      <c r="O4589" t="s">
        <v>36</v>
      </c>
      <c r="P4589" t="s">
        <v>58</v>
      </c>
      <c r="Q4589" t="s">
        <v>144</v>
      </c>
      <c r="R4589">
        <v>353</v>
      </c>
      <c r="S4589">
        <v>174</v>
      </c>
      <c r="T4589">
        <v>119</v>
      </c>
      <c r="U4589">
        <v>34</v>
      </c>
      <c r="V4589" t="s">
        <v>7638</v>
      </c>
      <c r="W4589">
        <v>28285</v>
      </c>
      <c r="X4589" t="s">
        <v>2518</v>
      </c>
      <c r="Y4589">
        <v>24904</v>
      </c>
      <c r="Z4589">
        <v>961690</v>
      </c>
      <c r="AA4589">
        <v>114954</v>
      </c>
      <c r="AB4589" t="str">
        <f>(VLOOKUP(SalesData[[#This Row],[Month Number]],Reference!C$5:E$16,2,FALSE))</f>
        <v>Feb</v>
      </c>
      <c r="AC4589">
        <f>MONTH(SalesData[[#This Row],[Date]])</f>
        <v>2</v>
      </c>
      <c r="AD4589">
        <f>Reference!F$4</f>
        <v>2026</v>
      </c>
      <c r="AE4589" t="str">
        <f>IF(OR(SalesData[[#This Row],[Day]]="Saturday",SalesData[[#This Row],[Day]]="Sunday"),"Weekend","Weekday")</f>
        <v>Weekday</v>
      </c>
      <c r="AF4589" s="5">
        <f>IF(SalesData[[#This Row],[Contracts Offered]]=0,0,SalesData[[#This Row],[Contracts Signed]]/SalesData[[#This Row],[Contracts Offered]])</f>
        <v>0.2857142857142857</v>
      </c>
      <c r="AG4589" s="5">
        <f>IF(SalesData[[#This Row],[Customers Visited]]=0,0,SalesData[[#This Row],[Test Drives]]/SalesData[[#This Row],[Customers Visited]])</f>
        <v>0.49291784702549574</v>
      </c>
      <c r="AH4589" s="5">
        <f>IF(SalesData[[#This Row],[Customers Visited]]=0,0,SalesData[[#This Row],[Contracts Signed]]/SalesData[[#This Row],[Customers Visited]])</f>
        <v>9.6317280453257784E-2</v>
      </c>
      <c r="AI4589" s="6">
        <f>IF(SalesData[[#This Row],[Contracts Signed]]=0,0,SalesData[[#This Row],[Profit(€)]]/SalesData[[#This Row],[Contracts Signed]])</f>
        <v>3381</v>
      </c>
      <c r="AJ4589" s="5" t="str">
        <f>TRIM(CLEAN(SalesData[[#This Row],[Retailer]]))</f>
        <v>Ruhr Auto Plaza</v>
      </c>
    </row>
    <row r="4590" spans="1:36" ht="14.25" hidden="1" x14ac:dyDescent="0.2">
      <c r="A4590" t="s">
        <v>5861</v>
      </c>
      <c r="B4590" s="1">
        <v>46064</v>
      </c>
      <c r="C4590" t="s">
        <v>121</v>
      </c>
      <c r="D4590" t="s">
        <v>82</v>
      </c>
      <c r="E4590" t="s">
        <v>26</v>
      </c>
      <c r="F4590" t="s">
        <v>83</v>
      </c>
      <c r="G4590" t="s">
        <v>84</v>
      </c>
      <c r="H4590" t="s">
        <v>85</v>
      </c>
      <c r="I4590" t="s">
        <v>116</v>
      </c>
      <c r="J4590" t="s">
        <v>117</v>
      </c>
      <c r="K4590" t="s">
        <v>32</v>
      </c>
      <c r="L4590" t="s">
        <v>67</v>
      </c>
      <c r="M4590" t="s">
        <v>34</v>
      </c>
      <c r="N4590" t="s">
        <v>69</v>
      </c>
      <c r="O4590" t="s">
        <v>36</v>
      </c>
      <c r="P4590" t="s">
        <v>71</v>
      </c>
      <c r="Q4590" t="s">
        <v>204</v>
      </c>
      <c r="R4590">
        <v>240</v>
      </c>
      <c r="S4590">
        <v>128</v>
      </c>
      <c r="T4590">
        <v>83</v>
      </c>
      <c r="U4590">
        <v>21</v>
      </c>
      <c r="V4590" t="s">
        <v>1741</v>
      </c>
      <c r="W4590">
        <v>23761</v>
      </c>
      <c r="X4590" t="s">
        <v>220</v>
      </c>
      <c r="Y4590">
        <v>22071</v>
      </c>
      <c r="Z4590">
        <v>498981</v>
      </c>
      <c r="AA4590">
        <v>35490</v>
      </c>
      <c r="AB4590" t="str">
        <f>(VLOOKUP(SalesData[[#This Row],[Month Number]],Reference!C$5:E$16,2,FALSE))</f>
        <v>Feb</v>
      </c>
      <c r="AC4590">
        <f>MONTH(SalesData[[#This Row],[Date]])</f>
        <v>2</v>
      </c>
      <c r="AD4590">
        <f>Reference!F$4</f>
        <v>2026</v>
      </c>
      <c r="AE4590" t="str">
        <f>IF(OR(SalesData[[#This Row],[Day]]="Saturday",SalesData[[#This Row],[Day]]="Sunday"),"Weekend","Weekday")</f>
        <v>Weekday</v>
      </c>
      <c r="AF4590" s="5">
        <f>IF(SalesData[[#This Row],[Contracts Offered]]=0,0,SalesData[[#This Row],[Contracts Signed]]/SalesData[[#This Row],[Contracts Offered]])</f>
        <v>0.25301204819277107</v>
      </c>
      <c r="AG4590" s="5">
        <f>IF(SalesData[[#This Row],[Customers Visited]]=0,0,SalesData[[#This Row],[Test Drives]]/SalesData[[#This Row],[Customers Visited]])</f>
        <v>0.53333333333333333</v>
      </c>
      <c r="AH4590" s="5">
        <f>IF(SalesData[[#This Row],[Customers Visited]]=0,0,SalesData[[#This Row],[Contracts Signed]]/SalesData[[#This Row],[Customers Visited]])</f>
        <v>8.7499999999999994E-2</v>
      </c>
      <c r="AI4590" s="6">
        <f>IF(SalesData[[#This Row],[Contracts Signed]]=0,0,SalesData[[#This Row],[Profit(€)]]/SalesData[[#This Row],[Contracts Signed]])</f>
        <v>1690</v>
      </c>
      <c r="AJ4590" s="5" t="str">
        <f>TRIM(CLEAN(SalesData[[#This Row],[Retailer]]))</f>
        <v>Hannover Cars</v>
      </c>
    </row>
    <row r="4591" spans="1:36" ht="14.25" x14ac:dyDescent="0.2">
      <c r="A4591" t="s">
        <v>5863</v>
      </c>
      <c r="B4591" s="1">
        <v>46056</v>
      </c>
      <c r="C4591" t="s">
        <v>24</v>
      </c>
      <c r="D4591" t="s">
        <v>63</v>
      </c>
      <c r="E4591" t="s">
        <v>26</v>
      </c>
      <c r="F4591" t="s">
        <v>109</v>
      </c>
      <c r="G4591" t="s">
        <v>110</v>
      </c>
      <c r="H4591" t="s">
        <v>45</v>
      </c>
      <c r="I4591" t="s">
        <v>30</v>
      </c>
      <c r="J4591" t="s">
        <v>86</v>
      </c>
      <c r="K4591" t="s">
        <v>78</v>
      </c>
      <c r="L4591" t="s">
        <v>33</v>
      </c>
      <c r="M4591" t="s">
        <v>68</v>
      </c>
      <c r="N4591" t="s">
        <v>69</v>
      </c>
      <c r="O4591" t="s">
        <v>36</v>
      </c>
      <c r="P4591" t="s">
        <v>49</v>
      </c>
      <c r="Q4591" t="s">
        <v>204</v>
      </c>
      <c r="R4591">
        <v>253</v>
      </c>
      <c r="S4591">
        <v>145</v>
      </c>
      <c r="T4591">
        <v>112</v>
      </c>
      <c r="U4591">
        <v>36</v>
      </c>
      <c r="V4591" t="s">
        <v>6856</v>
      </c>
      <c r="W4591">
        <v>53050</v>
      </c>
      <c r="X4591" t="s">
        <v>3642</v>
      </c>
      <c r="Y4591">
        <v>38150</v>
      </c>
      <c r="Z4591">
        <v>1909800</v>
      </c>
      <c r="AA4591">
        <v>536400</v>
      </c>
      <c r="AB4591" t="str">
        <f>(VLOOKUP(SalesData[[#This Row],[Month Number]],Reference!C$5:E$16,2,FALSE))</f>
        <v>Feb</v>
      </c>
      <c r="AC4591">
        <f>MONTH(SalesData[[#This Row],[Date]])</f>
        <v>2</v>
      </c>
      <c r="AD4591">
        <f>Reference!F$4</f>
        <v>2026</v>
      </c>
      <c r="AE4591" t="str">
        <f>IF(OR(SalesData[[#This Row],[Day]]="Saturday",SalesData[[#This Row],[Day]]="Sunday"),"Weekend","Weekday")</f>
        <v>Weekday</v>
      </c>
      <c r="AF4591" s="5">
        <f>IF(SalesData[[#This Row],[Contracts Offered]]=0,0,SalesData[[#This Row],[Contracts Signed]]/SalesData[[#This Row],[Contracts Offered]])</f>
        <v>0.32142857142857145</v>
      </c>
      <c r="AG4591" s="5">
        <f>IF(SalesData[[#This Row],[Customers Visited]]=0,0,SalesData[[#This Row],[Test Drives]]/SalesData[[#This Row],[Customers Visited]])</f>
        <v>0.5731225296442688</v>
      </c>
      <c r="AH4591" s="5">
        <f>IF(SalesData[[#This Row],[Customers Visited]]=0,0,SalesData[[#This Row],[Contracts Signed]]/SalesData[[#This Row],[Customers Visited]])</f>
        <v>0.14229249011857709</v>
      </c>
      <c r="AI4591" s="6">
        <f>IF(SalesData[[#This Row],[Contracts Signed]]=0,0,SalesData[[#This Row],[Profit(€)]]/SalesData[[#This Row],[Contracts Signed]])</f>
        <v>14900</v>
      </c>
      <c r="AJ4591" s="5" t="str">
        <f>TRIM(CLEAN(SalesData[[#This Row],[Retailer]]))</f>
        <v>Leipzig Mobility</v>
      </c>
    </row>
    <row r="4592" spans="1:36" ht="14.25" hidden="1" x14ac:dyDescent="0.2">
      <c r="A4592" t="s">
        <v>5864</v>
      </c>
      <c r="B4592" s="1">
        <v>46057</v>
      </c>
      <c r="C4592" t="s">
        <v>24</v>
      </c>
      <c r="D4592" t="s">
        <v>82</v>
      </c>
      <c r="E4592" t="s">
        <v>26</v>
      </c>
      <c r="F4592" t="s">
        <v>114</v>
      </c>
      <c r="G4592" t="s">
        <v>115</v>
      </c>
      <c r="H4592" t="s">
        <v>115</v>
      </c>
      <c r="I4592" t="s">
        <v>116</v>
      </c>
      <c r="J4592" t="s">
        <v>7090</v>
      </c>
      <c r="K4592" t="s">
        <v>78</v>
      </c>
      <c r="L4592" t="s">
        <v>46</v>
      </c>
      <c r="M4592" t="s">
        <v>87</v>
      </c>
      <c r="N4592" t="s">
        <v>69</v>
      </c>
      <c r="O4592" t="s">
        <v>36</v>
      </c>
      <c r="P4592" t="s">
        <v>58</v>
      </c>
      <c r="Q4592" t="s">
        <v>129</v>
      </c>
      <c r="R4592">
        <v>256</v>
      </c>
      <c r="S4592">
        <v>116</v>
      </c>
      <c r="T4592">
        <v>79</v>
      </c>
      <c r="U4592">
        <v>25</v>
      </c>
      <c r="V4592" t="s">
        <v>6992</v>
      </c>
      <c r="W4592">
        <v>20118</v>
      </c>
      <c r="X4592" t="s">
        <v>4957</v>
      </c>
      <c r="Y4592">
        <v>18570</v>
      </c>
      <c r="Z4592">
        <v>502950</v>
      </c>
      <c r="AA4592">
        <v>38700</v>
      </c>
      <c r="AB4592" t="str">
        <f>(VLOOKUP(SalesData[[#This Row],[Month Number]],Reference!C$5:E$16,2,FALSE))</f>
        <v>Feb</v>
      </c>
      <c r="AC4592">
        <f>MONTH(SalesData[[#This Row],[Date]])</f>
        <v>2</v>
      </c>
      <c r="AD4592">
        <f>Reference!F$4</f>
        <v>2026</v>
      </c>
      <c r="AE4592" t="str">
        <f>IF(OR(SalesData[[#This Row],[Day]]="Saturday",SalesData[[#This Row],[Day]]="Sunday"),"Weekend","Weekday")</f>
        <v>Weekday</v>
      </c>
      <c r="AF4592" s="5">
        <f>IF(SalesData[[#This Row],[Contracts Offered]]=0,0,SalesData[[#This Row],[Contracts Signed]]/SalesData[[#This Row],[Contracts Offered]])</f>
        <v>0.31645569620253167</v>
      </c>
      <c r="AG4592" s="5">
        <f>IF(SalesData[[#This Row],[Customers Visited]]=0,0,SalesData[[#This Row],[Test Drives]]/SalesData[[#This Row],[Customers Visited]])</f>
        <v>0.453125</v>
      </c>
      <c r="AH4592" s="5">
        <f>IF(SalesData[[#This Row],[Customers Visited]]=0,0,SalesData[[#This Row],[Contracts Signed]]/SalesData[[#This Row],[Customers Visited]])</f>
        <v>9.765625E-2</v>
      </c>
      <c r="AI4592" s="6">
        <f>IF(SalesData[[#This Row],[Contracts Signed]]=0,0,SalesData[[#This Row],[Profit(€)]]/SalesData[[#This Row],[Contracts Signed]])</f>
        <v>1548</v>
      </c>
      <c r="AJ4592" s="5" t="str">
        <f>TRIM(CLEAN(SalesData[[#This Row],[Retailer]]))</f>
        <v>Elbe Drive</v>
      </c>
    </row>
    <row r="4593" spans="1:36" ht="14.25" hidden="1" x14ac:dyDescent="0.2">
      <c r="A4593" t="s">
        <v>5865</v>
      </c>
      <c r="B4593" s="1">
        <v>46073</v>
      </c>
      <c r="C4593" t="s">
        <v>62</v>
      </c>
      <c r="D4593" t="s">
        <v>54</v>
      </c>
      <c r="E4593" t="s">
        <v>26</v>
      </c>
      <c r="F4593" t="s">
        <v>127</v>
      </c>
      <c r="G4593" t="s">
        <v>128</v>
      </c>
      <c r="H4593" t="s">
        <v>103</v>
      </c>
      <c r="I4593" t="s">
        <v>104</v>
      </c>
      <c r="J4593" t="s">
        <v>7031</v>
      </c>
      <c r="K4593" t="s">
        <v>91</v>
      </c>
      <c r="L4593" t="s">
        <v>46</v>
      </c>
      <c r="M4593" t="s">
        <v>87</v>
      </c>
      <c r="N4593" t="s">
        <v>69</v>
      </c>
      <c r="O4593" t="s">
        <v>70</v>
      </c>
      <c r="P4593" t="s">
        <v>37</v>
      </c>
      <c r="Q4593" t="s">
        <v>38</v>
      </c>
      <c r="R4593">
        <v>265</v>
      </c>
      <c r="S4593">
        <v>151</v>
      </c>
      <c r="T4593">
        <v>92</v>
      </c>
      <c r="U4593">
        <v>21</v>
      </c>
      <c r="V4593" t="s">
        <v>161</v>
      </c>
      <c r="W4593">
        <v>30685</v>
      </c>
      <c r="X4593" t="s">
        <v>7039</v>
      </c>
      <c r="Y4593">
        <v>26450</v>
      </c>
      <c r="Z4593">
        <v>644385</v>
      </c>
      <c r="AA4593">
        <v>88935</v>
      </c>
      <c r="AB4593" t="str">
        <f>(VLOOKUP(SalesData[[#This Row],[Month Number]],Reference!C$5:E$16,2,FALSE))</f>
        <v>Feb</v>
      </c>
      <c r="AC4593">
        <f>MONTH(SalesData[[#This Row],[Date]])</f>
        <v>2</v>
      </c>
      <c r="AD4593">
        <f>Reference!F$4</f>
        <v>2026</v>
      </c>
      <c r="AE4593" t="str">
        <f>IF(OR(SalesData[[#This Row],[Day]]="Saturday",SalesData[[#This Row],[Day]]="Sunday"),"Weekend","Weekday")</f>
        <v>Weekday</v>
      </c>
      <c r="AF4593" s="5">
        <f>IF(SalesData[[#This Row],[Contracts Offered]]=0,0,SalesData[[#This Row],[Contracts Signed]]/SalesData[[#This Row],[Contracts Offered]])</f>
        <v>0.22826086956521738</v>
      </c>
      <c r="AG4593" s="5">
        <f>IF(SalesData[[#This Row],[Customers Visited]]=0,0,SalesData[[#This Row],[Test Drives]]/SalesData[[#This Row],[Customers Visited]])</f>
        <v>0.56981132075471697</v>
      </c>
      <c r="AH4593" s="5">
        <f>IF(SalesData[[#This Row],[Customers Visited]]=0,0,SalesData[[#This Row],[Contracts Signed]]/SalesData[[#This Row],[Customers Visited]])</f>
        <v>7.9245283018867921E-2</v>
      </c>
      <c r="AI4593" s="6">
        <f>IF(SalesData[[#This Row],[Contracts Signed]]=0,0,SalesData[[#This Row],[Profit(€)]]/SalesData[[#This Row],[Contracts Signed]])</f>
        <v>4235</v>
      </c>
      <c r="AJ4593" s="5" t="str">
        <f>TRIM(CLEAN(SalesData[[#This Row],[Retailer]]))</f>
        <v>Rhein Auto Group</v>
      </c>
    </row>
    <row r="4594" spans="1:36" ht="14.25" hidden="1" x14ac:dyDescent="0.2">
      <c r="A4594" t="s">
        <v>5866</v>
      </c>
      <c r="B4594" s="1">
        <v>46065</v>
      </c>
      <c r="C4594" t="s">
        <v>121</v>
      </c>
      <c r="D4594" t="s">
        <v>100</v>
      </c>
      <c r="E4594" t="s">
        <v>26</v>
      </c>
      <c r="F4594" t="s">
        <v>74</v>
      </c>
      <c r="G4594" t="s">
        <v>75</v>
      </c>
      <c r="H4594" t="s">
        <v>76</v>
      </c>
      <c r="I4594" t="s">
        <v>116</v>
      </c>
      <c r="J4594" t="s">
        <v>7026</v>
      </c>
      <c r="K4594" t="s">
        <v>91</v>
      </c>
      <c r="L4594" t="s">
        <v>46</v>
      </c>
      <c r="M4594" t="s">
        <v>68</v>
      </c>
      <c r="N4594" t="s">
        <v>48</v>
      </c>
      <c r="O4594" t="s">
        <v>70</v>
      </c>
      <c r="P4594" t="s">
        <v>37</v>
      </c>
      <c r="Q4594" t="s">
        <v>204</v>
      </c>
      <c r="R4594">
        <v>382</v>
      </c>
      <c r="S4594">
        <v>177</v>
      </c>
      <c r="T4594">
        <v>104</v>
      </c>
      <c r="U4594">
        <v>27</v>
      </c>
      <c r="V4594" t="s">
        <v>704</v>
      </c>
      <c r="W4594">
        <v>21476</v>
      </c>
      <c r="X4594" t="s">
        <v>2942</v>
      </c>
      <c r="Y4594">
        <v>19530</v>
      </c>
      <c r="Z4594">
        <v>579852</v>
      </c>
      <c r="AA4594">
        <v>52542</v>
      </c>
      <c r="AB4594" t="str">
        <f>(VLOOKUP(SalesData[[#This Row],[Month Number]],Reference!C$5:E$16,2,FALSE))</f>
        <v>Feb</v>
      </c>
      <c r="AC4594">
        <f>MONTH(SalesData[[#This Row],[Date]])</f>
        <v>2</v>
      </c>
      <c r="AD4594">
        <f>Reference!F$4</f>
        <v>2026</v>
      </c>
      <c r="AE4594" t="str">
        <f>IF(OR(SalesData[[#This Row],[Day]]="Saturday",SalesData[[#This Row],[Day]]="Sunday"),"Weekend","Weekday")</f>
        <v>Weekday</v>
      </c>
      <c r="AF4594" s="5">
        <f>IF(SalesData[[#This Row],[Contracts Offered]]=0,0,SalesData[[#This Row],[Contracts Signed]]/SalesData[[#This Row],[Contracts Offered]])</f>
        <v>0.25961538461538464</v>
      </c>
      <c r="AG4594" s="5">
        <f>IF(SalesData[[#This Row],[Customers Visited]]=0,0,SalesData[[#This Row],[Test Drives]]/SalesData[[#This Row],[Customers Visited]])</f>
        <v>0.46335078534031415</v>
      </c>
      <c r="AH4594" s="5">
        <f>IF(SalesData[[#This Row],[Customers Visited]]=0,0,SalesData[[#This Row],[Contracts Signed]]/SalesData[[#This Row],[Customers Visited]])</f>
        <v>7.0680628272251314E-2</v>
      </c>
      <c r="AI4594" s="6">
        <f>IF(SalesData[[#This Row],[Contracts Signed]]=0,0,SalesData[[#This Row],[Profit(€)]]/SalesData[[#This Row],[Contracts Signed]])</f>
        <v>1946</v>
      </c>
      <c r="AJ4594" s="5" t="str">
        <f>TRIM(CLEAN(SalesData[[#This Row],[Retailer]]))</f>
        <v>Stuttgart Auto Center</v>
      </c>
    </row>
    <row r="4595" spans="1:36" ht="14.25" hidden="1" x14ac:dyDescent="0.2">
      <c r="A4595" t="s">
        <v>5867</v>
      </c>
      <c r="B4595" s="1">
        <v>46056</v>
      </c>
      <c r="C4595" t="s">
        <v>24</v>
      </c>
      <c r="D4595" t="s">
        <v>63</v>
      </c>
      <c r="E4595" t="s">
        <v>26</v>
      </c>
      <c r="F4595" t="s">
        <v>109</v>
      </c>
      <c r="G4595" t="s">
        <v>110</v>
      </c>
      <c r="H4595" t="s">
        <v>45</v>
      </c>
      <c r="I4595" t="s">
        <v>64</v>
      </c>
      <c r="J4595" t="s">
        <v>7029</v>
      </c>
      <c r="K4595" t="s">
        <v>32</v>
      </c>
      <c r="L4595" t="s">
        <v>33</v>
      </c>
      <c r="M4595" t="s">
        <v>68</v>
      </c>
      <c r="N4595" t="s">
        <v>48</v>
      </c>
      <c r="O4595" t="s">
        <v>36</v>
      </c>
      <c r="P4595" t="s">
        <v>49</v>
      </c>
      <c r="Q4595" t="s">
        <v>79</v>
      </c>
      <c r="R4595">
        <v>238</v>
      </c>
      <c r="S4595">
        <v>135</v>
      </c>
      <c r="T4595">
        <v>104</v>
      </c>
      <c r="U4595">
        <v>33</v>
      </c>
      <c r="V4595" t="s">
        <v>6705</v>
      </c>
      <c r="W4595">
        <v>52592</v>
      </c>
      <c r="X4595" t="s">
        <v>7218</v>
      </c>
      <c r="Y4595">
        <v>41366</v>
      </c>
      <c r="Z4595">
        <v>1735536</v>
      </c>
      <c r="AA4595">
        <v>370458</v>
      </c>
      <c r="AB4595" t="str">
        <f>(VLOOKUP(SalesData[[#This Row],[Month Number]],Reference!C$5:E$16,2,FALSE))</f>
        <v>Feb</v>
      </c>
      <c r="AC4595">
        <f>MONTH(SalesData[[#This Row],[Date]])</f>
        <v>2</v>
      </c>
      <c r="AD4595">
        <f>Reference!F$4</f>
        <v>2026</v>
      </c>
      <c r="AE4595" t="str">
        <f>IF(OR(SalesData[[#This Row],[Day]]="Saturday",SalesData[[#This Row],[Day]]="Sunday"),"Weekend","Weekday")</f>
        <v>Weekday</v>
      </c>
      <c r="AF4595" s="5">
        <f>IF(SalesData[[#This Row],[Contracts Offered]]=0,0,SalesData[[#This Row],[Contracts Signed]]/SalesData[[#This Row],[Contracts Offered]])</f>
        <v>0.31730769230769229</v>
      </c>
      <c r="AG4595" s="5">
        <f>IF(SalesData[[#This Row],[Customers Visited]]=0,0,SalesData[[#This Row],[Test Drives]]/SalesData[[#This Row],[Customers Visited]])</f>
        <v>0.5672268907563025</v>
      </c>
      <c r="AH4595" s="5">
        <f>IF(SalesData[[#This Row],[Customers Visited]]=0,0,SalesData[[#This Row],[Contracts Signed]]/SalesData[[#This Row],[Customers Visited]])</f>
        <v>0.13865546218487396</v>
      </c>
      <c r="AI4595" s="6">
        <f>IF(SalesData[[#This Row],[Contracts Signed]]=0,0,SalesData[[#This Row],[Profit(€)]]/SalesData[[#This Row],[Contracts Signed]])</f>
        <v>11226</v>
      </c>
      <c r="AJ4595" s="5" t="str">
        <f>TRIM(CLEAN(SalesData[[#This Row],[Retailer]]))</f>
        <v>Leipzig Mobility</v>
      </c>
    </row>
    <row r="4596" spans="1:36" ht="14.25" hidden="1" x14ac:dyDescent="0.2">
      <c r="A4596" t="s">
        <v>5868</v>
      </c>
      <c r="B4596" s="1">
        <v>46058</v>
      </c>
      <c r="C4596" t="s">
        <v>24</v>
      </c>
      <c r="D4596" t="s">
        <v>100</v>
      </c>
      <c r="E4596" t="s">
        <v>26</v>
      </c>
      <c r="F4596" t="s">
        <v>43</v>
      </c>
      <c r="G4596" t="s">
        <v>44</v>
      </c>
      <c r="H4596" t="s">
        <v>45</v>
      </c>
      <c r="I4596" t="s">
        <v>104</v>
      </c>
      <c r="J4596" t="s">
        <v>7031</v>
      </c>
      <c r="K4596" t="s">
        <v>91</v>
      </c>
      <c r="L4596" t="s">
        <v>46</v>
      </c>
      <c r="M4596" t="s">
        <v>68</v>
      </c>
      <c r="N4596" t="s">
        <v>69</v>
      </c>
      <c r="O4596" t="s">
        <v>36</v>
      </c>
      <c r="P4596" t="s">
        <v>37</v>
      </c>
      <c r="Q4596" t="s">
        <v>189</v>
      </c>
      <c r="R4596">
        <v>298</v>
      </c>
      <c r="S4596">
        <v>128</v>
      </c>
      <c r="T4596">
        <v>83</v>
      </c>
      <c r="U4596">
        <v>20</v>
      </c>
      <c r="V4596" t="s">
        <v>1495</v>
      </c>
      <c r="W4596">
        <v>29727</v>
      </c>
      <c r="X4596" t="s">
        <v>919</v>
      </c>
      <c r="Y4596">
        <v>26511</v>
      </c>
      <c r="Z4596">
        <v>594540</v>
      </c>
      <c r="AA4596">
        <v>64320</v>
      </c>
      <c r="AB4596" t="str">
        <f>(VLOOKUP(SalesData[[#This Row],[Month Number]],Reference!C$5:E$16,2,FALSE))</f>
        <v>Feb</v>
      </c>
      <c r="AC4596">
        <f>MONTH(SalesData[[#This Row],[Date]])</f>
        <v>2</v>
      </c>
      <c r="AD4596">
        <f>Reference!F$4</f>
        <v>2026</v>
      </c>
      <c r="AE4596" t="str">
        <f>IF(OR(SalesData[[#This Row],[Day]]="Saturday",SalesData[[#This Row],[Day]]="Sunday"),"Weekend","Weekday")</f>
        <v>Weekday</v>
      </c>
      <c r="AF4596" s="5">
        <f>IF(SalesData[[#This Row],[Contracts Offered]]=0,0,SalesData[[#This Row],[Contracts Signed]]/SalesData[[#This Row],[Contracts Offered]])</f>
        <v>0.24096385542168675</v>
      </c>
      <c r="AG4596" s="5">
        <f>IF(SalesData[[#This Row],[Customers Visited]]=0,0,SalesData[[#This Row],[Test Drives]]/SalesData[[#This Row],[Customers Visited]])</f>
        <v>0.42953020134228187</v>
      </c>
      <c r="AH4596" s="5">
        <f>IF(SalesData[[#This Row],[Customers Visited]]=0,0,SalesData[[#This Row],[Contracts Signed]]/SalesData[[#This Row],[Customers Visited]])</f>
        <v>6.7114093959731544E-2</v>
      </c>
      <c r="AI4596" s="6">
        <f>IF(SalesData[[#This Row],[Contracts Signed]]=0,0,SalesData[[#This Row],[Profit(€)]]/SalesData[[#This Row],[Contracts Signed]])</f>
        <v>3216</v>
      </c>
      <c r="AJ4596" s="5" t="str">
        <f>TRIM(CLEAN(SalesData[[#This Row],[Retailer]]))</f>
        <v>Saxon Wheels</v>
      </c>
    </row>
    <row r="4597" spans="1:36" ht="14.25" hidden="1" x14ac:dyDescent="0.2">
      <c r="A4597" t="s">
        <v>5869</v>
      </c>
      <c r="B4597" s="1">
        <v>46055</v>
      </c>
      <c r="C4597" t="s">
        <v>24</v>
      </c>
      <c r="D4597" t="s">
        <v>25</v>
      </c>
      <c r="E4597" t="s">
        <v>26</v>
      </c>
      <c r="F4597" t="s">
        <v>114</v>
      </c>
      <c r="G4597" t="s">
        <v>115</v>
      </c>
      <c r="H4597" t="s">
        <v>115</v>
      </c>
      <c r="I4597" t="s">
        <v>64</v>
      </c>
      <c r="J4597" t="s">
        <v>157</v>
      </c>
      <c r="K4597" t="s">
        <v>91</v>
      </c>
      <c r="L4597" t="s">
        <v>33</v>
      </c>
      <c r="M4597" t="s">
        <v>47</v>
      </c>
      <c r="N4597" t="s">
        <v>35</v>
      </c>
      <c r="O4597" t="s">
        <v>70</v>
      </c>
      <c r="P4597" t="s">
        <v>71</v>
      </c>
      <c r="Q4597" t="s">
        <v>172</v>
      </c>
      <c r="R4597">
        <v>249</v>
      </c>
      <c r="S4597">
        <v>147</v>
      </c>
      <c r="T4597">
        <v>102</v>
      </c>
      <c r="U4597">
        <v>42</v>
      </c>
      <c r="V4597" t="s">
        <v>6357</v>
      </c>
      <c r="W4597">
        <v>72171</v>
      </c>
      <c r="X4597" t="s">
        <v>7448</v>
      </c>
      <c r="Y4597">
        <v>53978</v>
      </c>
      <c r="Z4597">
        <v>3031182</v>
      </c>
      <c r="AA4597">
        <v>764106</v>
      </c>
      <c r="AB4597" t="str">
        <f>(VLOOKUP(SalesData[[#This Row],[Month Number]],Reference!C$5:E$16,2,FALSE))</f>
        <v>Feb</v>
      </c>
      <c r="AC4597">
        <f>MONTH(SalesData[[#This Row],[Date]])</f>
        <v>2</v>
      </c>
      <c r="AD4597">
        <f>Reference!F$4</f>
        <v>2026</v>
      </c>
      <c r="AE4597" t="str">
        <f>IF(OR(SalesData[[#This Row],[Day]]="Saturday",SalesData[[#This Row],[Day]]="Sunday"),"Weekend","Weekday")</f>
        <v>Weekday</v>
      </c>
      <c r="AF4597" s="5">
        <f>IF(SalesData[[#This Row],[Contracts Offered]]=0,0,SalesData[[#This Row],[Contracts Signed]]/SalesData[[#This Row],[Contracts Offered]])</f>
        <v>0.41176470588235292</v>
      </c>
      <c r="AG4597" s="5">
        <f>IF(SalesData[[#This Row],[Customers Visited]]=0,0,SalesData[[#This Row],[Test Drives]]/SalesData[[#This Row],[Customers Visited]])</f>
        <v>0.59036144578313254</v>
      </c>
      <c r="AH4597" s="5">
        <f>IF(SalesData[[#This Row],[Customers Visited]]=0,0,SalesData[[#This Row],[Contracts Signed]]/SalesData[[#This Row],[Customers Visited]])</f>
        <v>0.16867469879518071</v>
      </c>
      <c r="AI4597" s="6">
        <f>IF(SalesData[[#This Row],[Contracts Signed]]=0,0,SalesData[[#This Row],[Profit(€)]]/SalesData[[#This Row],[Contracts Signed]])</f>
        <v>18193</v>
      </c>
      <c r="AJ4597" s="5" t="str">
        <f>TRIM(CLEAN(SalesData[[#This Row],[Retailer]]))</f>
        <v>Elbe Drive</v>
      </c>
    </row>
    <row r="4598" spans="1:36" ht="14.25" hidden="1" x14ac:dyDescent="0.2">
      <c r="A4598" t="s">
        <v>5870</v>
      </c>
      <c r="B4598" s="1">
        <v>46058</v>
      </c>
      <c r="C4598" t="s">
        <v>24</v>
      </c>
      <c r="D4598" t="s">
        <v>100</v>
      </c>
      <c r="E4598" t="s">
        <v>26</v>
      </c>
      <c r="F4598" t="s">
        <v>43</v>
      </c>
      <c r="G4598" t="s">
        <v>44</v>
      </c>
      <c r="H4598" t="s">
        <v>45</v>
      </c>
      <c r="I4598" t="s">
        <v>104</v>
      </c>
      <c r="J4598" t="s">
        <v>7031</v>
      </c>
      <c r="K4598" t="s">
        <v>32</v>
      </c>
      <c r="L4598" t="s">
        <v>46</v>
      </c>
      <c r="M4598" t="s">
        <v>68</v>
      </c>
      <c r="N4598" t="s">
        <v>48</v>
      </c>
      <c r="O4598" t="s">
        <v>70</v>
      </c>
      <c r="P4598" t="s">
        <v>71</v>
      </c>
      <c r="Q4598" t="s">
        <v>204</v>
      </c>
      <c r="R4598">
        <v>379</v>
      </c>
      <c r="S4598">
        <v>198</v>
      </c>
      <c r="T4598">
        <v>132</v>
      </c>
      <c r="U4598">
        <v>31</v>
      </c>
      <c r="V4598" t="s">
        <v>1197</v>
      </c>
      <c r="W4598">
        <v>32460</v>
      </c>
      <c r="X4598" t="s">
        <v>7639</v>
      </c>
      <c r="Y4598">
        <v>28062</v>
      </c>
      <c r="Z4598">
        <v>1006260</v>
      </c>
      <c r="AA4598">
        <v>136338</v>
      </c>
      <c r="AB4598" t="str">
        <f>(VLOOKUP(SalesData[[#This Row],[Month Number]],Reference!C$5:E$16,2,FALSE))</f>
        <v>Feb</v>
      </c>
      <c r="AC4598">
        <f>MONTH(SalesData[[#This Row],[Date]])</f>
        <v>2</v>
      </c>
      <c r="AD4598">
        <f>Reference!F$4</f>
        <v>2026</v>
      </c>
      <c r="AE4598" t="str">
        <f>IF(OR(SalesData[[#This Row],[Day]]="Saturday",SalesData[[#This Row],[Day]]="Sunday"),"Weekend","Weekday")</f>
        <v>Weekday</v>
      </c>
      <c r="AF4598" s="5">
        <f>IF(SalesData[[#This Row],[Contracts Offered]]=0,0,SalesData[[#This Row],[Contracts Signed]]/SalesData[[#This Row],[Contracts Offered]])</f>
        <v>0.23484848484848486</v>
      </c>
      <c r="AG4598" s="5">
        <f>IF(SalesData[[#This Row],[Customers Visited]]=0,0,SalesData[[#This Row],[Test Drives]]/SalesData[[#This Row],[Customers Visited]])</f>
        <v>0.52242744063324542</v>
      </c>
      <c r="AH4598" s="5">
        <f>IF(SalesData[[#This Row],[Customers Visited]]=0,0,SalesData[[#This Row],[Contracts Signed]]/SalesData[[#This Row],[Customers Visited]])</f>
        <v>8.1794195250659632E-2</v>
      </c>
      <c r="AI4598" s="6">
        <f>IF(SalesData[[#This Row],[Contracts Signed]]=0,0,SalesData[[#This Row],[Profit(€)]]/SalesData[[#This Row],[Contracts Signed]])</f>
        <v>4398</v>
      </c>
      <c r="AJ4598" s="5" t="str">
        <f>TRIM(CLEAN(SalesData[[#This Row],[Retailer]]))</f>
        <v>Saxon Wheels</v>
      </c>
    </row>
    <row r="4599" spans="1:36" ht="14.25" hidden="1" x14ac:dyDescent="0.2">
      <c r="A4599" t="s">
        <v>5871</v>
      </c>
      <c r="B4599" s="1">
        <v>46054</v>
      </c>
      <c r="C4599" t="s">
        <v>24</v>
      </c>
      <c r="D4599" t="s">
        <v>41</v>
      </c>
      <c r="E4599" t="s">
        <v>42</v>
      </c>
      <c r="F4599" t="s">
        <v>127</v>
      </c>
      <c r="G4599" t="s">
        <v>128</v>
      </c>
      <c r="H4599" t="s">
        <v>103</v>
      </c>
      <c r="I4599" t="s">
        <v>56</v>
      </c>
      <c r="J4599" t="s">
        <v>137</v>
      </c>
      <c r="K4599" t="s">
        <v>32</v>
      </c>
      <c r="L4599" t="s">
        <v>46</v>
      </c>
      <c r="M4599" t="s">
        <v>68</v>
      </c>
      <c r="N4599" t="s">
        <v>48</v>
      </c>
      <c r="O4599" t="s">
        <v>70</v>
      </c>
      <c r="P4599" t="s">
        <v>71</v>
      </c>
      <c r="Q4599" t="s">
        <v>169</v>
      </c>
      <c r="R4599">
        <v>258</v>
      </c>
      <c r="S4599">
        <v>142</v>
      </c>
      <c r="T4599">
        <v>93</v>
      </c>
      <c r="U4599">
        <v>34</v>
      </c>
      <c r="V4599" t="s">
        <v>6456</v>
      </c>
      <c r="W4599">
        <v>50685</v>
      </c>
      <c r="X4599" t="s">
        <v>7330</v>
      </c>
      <c r="Y4599">
        <v>40444</v>
      </c>
      <c r="Z4599">
        <v>1723290</v>
      </c>
      <c r="AA4599">
        <v>348194</v>
      </c>
      <c r="AB4599" t="str">
        <f>(VLOOKUP(SalesData[[#This Row],[Month Number]],Reference!C$5:E$16,2,FALSE))</f>
        <v>Feb</v>
      </c>
      <c r="AC4599">
        <f>MONTH(SalesData[[#This Row],[Date]])</f>
        <v>2</v>
      </c>
      <c r="AD4599">
        <f>Reference!F$4</f>
        <v>2026</v>
      </c>
      <c r="AE4599" t="str">
        <f>IF(OR(SalesData[[#This Row],[Day]]="Saturday",SalesData[[#This Row],[Day]]="Sunday"),"Weekend","Weekday")</f>
        <v>Weekend</v>
      </c>
      <c r="AF4599" s="5">
        <f>IF(SalesData[[#This Row],[Contracts Offered]]=0,0,SalesData[[#This Row],[Contracts Signed]]/SalesData[[#This Row],[Contracts Offered]])</f>
        <v>0.36559139784946237</v>
      </c>
      <c r="AG4599" s="5">
        <f>IF(SalesData[[#This Row],[Customers Visited]]=0,0,SalesData[[#This Row],[Test Drives]]/SalesData[[#This Row],[Customers Visited]])</f>
        <v>0.55038759689922478</v>
      </c>
      <c r="AH4599" s="5">
        <f>IF(SalesData[[#This Row],[Customers Visited]]=0,0,SalesData[[#This Row],[Contracts Signed]]/SalesData[[#This Row],[Customers Visited]])</f>
        <v>0.13178294573643412</v>
      </c>
      <c r="AI4599" s="6">
        <f>IF(SalesData[[#This Row],[Contracts Signed]]=0,0,SalesData[[#This Row],[Profit(€)]]/SalesData[[#This Row],[Contracts Signed]])</f>
        <v>10241</v>
      </c>
      <c r="AJ4599" s="5" t="str">
        <f>TRIM(CLEAN(SalesData[[#This Row],[Retailer]]))</f>
        <v>Rhein Auto Group</v>
      </c>
    </row>
    <row r="4600" spans="1:36" ht="14.25" hidden="1" x14ac:dyDescent="0.2">
      <c r="A4600" t="s">
        <v>5872</v>
      </c>
      <c r="B4600" s="1">
        <v>46074</v>
      </c>
      <c r="C4600" t="s">
        <v>62</v>
      </c>
      <c r="D4600" t="s">
        <v>151</v>
      </c>
      <c r="E4600" t="s">
        <v>42</v>
      </c>
      <c r="F4600" t="s">
        <v>83</v>
      </c>
      <c r="G4600" t="s">
        <v>84</v>
      </c>
      <c r="H4600" t="s">
        <v>85</v>
      </c>
      <c r="I4600" t="s">
        <v>56</v>
      </c>
      <c r="J4600" t="s">
        <v>137</v>
      </c>
      <c r="K4600" t="s">
        <v>91</v>
      </c>
      <c r="L4600" t="s">
        <v>46</v>
      </c>
      <c r="M4600" t="s">
        <v>68</v>
      </c>
      <c r="N4600" t="s">
        <v>69</v>
      </c>
      <c r="O4600" t="s">
        <v>70</v>
      </c>
      <c r="P4600" t="s">
        <v>49</v>
      </c>
      <c r="Q4600" t="s">
        <v>189</v>
      </c>
      <c r="R4600">
        <v>295</v>
      </c>
      <c r="S4600">
        <v>174</v>
      </c>
      <c r="T4600">
        <v>123</v>
      </c>
      <c r="U4600">
        <v>39</v>
      </c>
      <c r="V4600" t="s">
        <v>6508</v>
      </c>
      <c r="W4600">
        <v>42410</v>
      </c>
      <c r="X4600" t="s">
        <v>746</v>
      </c>
      <c r="Y4600">
        <v>33278</v>
      </c>
      <c r="Z4600">
        <v>1653990</v>
      </c>
      <c r="AA4600">
        <v>356148</v>
      </c>
      <c r="AB4600" t="str">
        <f>(VLOOKUP(SalesData[[#This Row],[Month Number]],Reference!C$5:E$16,2,FALSE))</f>
        <v>Feb</v>
      </c>
      <c r="AC4600">
        <f>MONTH(SalesData[[#This Row],[Date]])</f>
        <v>2</v>
      </c>
      <c r="AD4600">
        <f>Reference!F$4</f>
        <v>2026</v>
      </c>
      <c r="AE4600" t="str">
        <f>IF(OR(SalesData[[#This Row],[Day]]="Saturday",SalesData[[#This Row],[Day]]="Sunday"),"Weekend","Weekday")</f>
        <v>Weekend</v>
      </c>
      <c r="AF4600" s="5">
        <f>IF(SalesData[[#This Row],[Contracts Offered]]=0,0,SalesData[[#This Row],[Contracts Signed]]/SalesData[[#This Row],[Contracts Offered]])</f>
        <v>0.31707317073170732</v>
      </c>
      <c r="AG4600" s="5">
        <f>IF(SalesData[[#This Row],[Customers Visited]]=0,0,SalesData[[#This Row],[Test Drives]]/SalesData[[#This Row],[Customers Visited]])</f>
        <v>0.5898305084745763</v>
      </c>
      <c r="AH4600" s="5">
        <f>IF(SalesData[[#This Row],[Customers Visited]]=0,0,SalesData[[#This Row],[Contracts Signed]]/SalesData[[#This Row],[Customers Visited]])</f>
        <v>0.13220338983050847</v>
      </c>
      <c r="AI4600" s="6">
        <f>IF(SalesData[[#This Row],[Contracts Signed]]=0,0,SalesData[[#This Row],[Profit(€)]]/SalesData[[#This Row],[Contracts Signed]])</f>
        <v>9132</v>
      </c>
      <c r="AJ4600" s="5" t="str">
        <f>TRIM(CLEAN(SalesData[[#This Row],[Retailer]]))</f>
        <v>Hannover Cars</v>
      </c>
    </row>
    <row r="4601" spans="1:36" ht="14.25" hidden="1" x14ac:dyDescent="0.2">
      <c r="A4601" t="s">
        <v>5873</v>
      </c>
      <c r="B4601" s="1">
        <v>46061</v>
      </c>
      <c r="C4601" t="s">
        <v>121</v>
      </c>
      <c r="D4601" t="s">
        <v>41</v>
      </c>
      <c r="E4601" t="s">
        <v>42</v>
      </c>
      <c r="F4601" t="s">
        <v>83</v>
      </c>
      <c r="G4601" t="s">
        <v>84</v>
      </c>
      <c r="H4601" t="s">
        <v>85</v>
      </c>
      <c r="I4601" t="s">
        <v>116</v>
      </c>
      <c r="J4601" t="s">
        <v>132</v>
      </c>
      <c r="K4601" t="s">
        <v>66</v>
      </c>
      <c r="L4601" t="s">
        <v>46</v>
      </c>
      <c r="M4601" t="s">
        <v>47</v>
      </c>
      <c r="N4601" t="s">
        <v>48</v>
      </c>
      <c r="O4601" t="s">
        <v>36</v>
      </c>
      <c r="P4601" t="s">
        <v>58</v>
      </c>
      <c r="Q4601" t="s">
        <v>169</v>
      </c>
      <c r="R4601">
        <v>426</v>
      </c>
      <c r="S4601">
        <v>220</v>
      </c>
      <c r="T4601">
        <v>136</v>
      </c>
      <c r="U4601">
        <v>40</v>
      </c>
      <c r="V4601" t="s">
        <v>752</v>
      </c>
      <c r="W4601">
        <v>25138</v>
      </c>
      <c r="X4601" t="s">
        <v>2398</v>
      </c>
      <c r="Y4601">
        <v>23341</v>
      </c>
      <c r="Z4601">
        <v>1005520</v>
      </c>
      <c r="AA4601">
        <v>71880</v>
      </c>
      <c r="AB4601" t="str">
        <f>(VLOOKUP(SalesData[[#This Row],[Month Number]],Reference!C$5:E$16,2,FALSE))</f>
        <v>Feb</v>
      </c>
      <c r="AC4601">
        <f>MONTH(SalesData[[#This Row],[Date]])</f>
        <v>2</v>
      </c>
      <c r="AD4601">
        <f>Reference!F$4</f>
        <v>2026</v>
      </c>
      <c r="AE4601" t="str">
        <f>IF(OR(SalesData[[#This Row],[Day]]="Saturday",SalesData[[#This Row],[Day]]="Sunday"),"Weekend","Weekday")</f>
        <v>Weekend</v>
      </c>
      <c r="AF4601" s="5">
        <f>IF(SalesData[[#This Row],[Contracts Offered]]=0,0,SalesData[[#This Row],[Contracts Signed]]/SalesData[[#This Row],[Contracts Offered]])</f>
        <v>0.29411764705882354</v>
      </c>
      <c r="AG4601" s="5">
        <f>IF(SalesData[[#This Row],[Customers Visited]]=0,0,SalesData[[#This Row],[Test Drives]]/SalesData[[#This Row],[Customers Visited]])</f>
        <v>0.51643192488262912</v>
      </c>
      <c r="AH4601" s="5">
        <f>IF(SalesData[[#This Row],[Customers Visited]]=0,0,SalesData[[#This Row],[Contracts Signed]]/SalesData[[#This Row],[Customers Visited]])</f>
        <v>9.3896713615023469E-2</v>
      </c>
      <c r="AI4601" s="6">
        <f>IF(SalesData[[#This Row],[Contracts Signed]]=0,0,SalesData[[#This Row],[Profit(€)]]/SalesData[[#This Row],[Contracts Signed]])</f>
        <v>1797</v>
      </c>
      <c r="AJ4601" s="5" t="str">
        <f>TRIM(CLEAN(SalesData[[#This Row],[Retailer]]))</f>
        <v>Hannover Cars</v>
      </c>
    </row>
    <row r="4602" spans="1:36" ht="14.25" hidden="1" x14ac:dyDescent="0.2">
      <c r="A4602" t="s">
        <v>5874</v>
      </c>
      <c r="B4602" s="1">
        <v>46061</v>
      </c>
      <c r="C4602" t="s">
        <v>121</v>
      </c>
      <c r="D4602" t="s">
        <v>41</v>
      </c>
      <c r="E4602" t="s">
        <v>42</v>
      </c>
      <c r="F4602" t="s">
        <v>83</v>
      </c>
      <c r="G4602" t="s">
        <v>84</v>
      </c>
      <c r="H4602" t="s">
        <v>85</v>
      </c>
      <c r="I4602" t="s">
        <v>64</v>
      </c>
      <c r="J4602" t="s">
        <v>111</v>
      </c>
      <c r="K4602" t="s">
        <v>32</v>
      </c>
      <c r="L4602" t="s">
        <v>46</v>
      </c>
      <c r="M4602" t="s">
        <v>47</v>
      </c>
      <c r="N4602" t="s">
        <v>69</v>
      </c>
      <c r="O4602" t="s">
        <v>36</v>
      </c>
      <c r="P4602" t="s">
        <v>37</v>
      </c>
      <c r="Q4602" t="s">
        <v>189</v>
      </c>
      <c r="R4602">
        <v>250</v>
      </c>
      <c r="S4602">
        <v>116</v>
      </c>
      <c r="T4602">
        <v>85</v>
      </c>
      <c r="U4602">
        <v>29</v>
      </c>
      <c r="V4602" t="s">
        <v>6403</v>
      </c>
      <c r="W4602">
        <v>53206</v>
      </c>
      <c r="X4602" t="s">
        <v>4802</v>
      </c>
      <c r="Y4602">
        <v>38619</v>
      </c>
      <c r="Z4602">
        <v>1542974</v>
      </c>
      <c r="AA4602">
        <v>423023</v>
      </c>
      <c r="AB4602" t="str">
        <f>(VLOOKUP(SalesData[[#This Row],[Month Number]],Reference!C$5:E$16,2,FALSE))</f>
        <v>Feb</v>
      </c>
      <c r="AC4602">
        <f>MONTH(SalesData[[#This Row],[Date]])</f>
        <v>2</v>
      </c>
      <c r="AD4602">
        <f>Reference!F$4</f>
        <v>2026</v>
      </c>
      <c r="AE4602" t="str">
        <f>IF(OR(SalesData[[#This Row],[Day]]="Saturday",SalesData[[#This Row],[Day]]="Sunday"),"Weekend","Weekday")</f>
        <v>Weekend</v>
      </c>
      <c r="AF4602" s="5">
        <f>IF(SalesData[[#This Row],[Contracts Offered]]=0,0,SalesData[[#This Row],[Contracts Signed]]/SalesData[[#This Row],[Contracts Offered]])</f>
        <v>0.3411764705882353</v>
      </c>
      <c r="AG4602" s="5">
        <f>IF(SalesData[[#This Row],[Customers Visited]]=0,0,SalesData[[#This Row],[Test Drives]]/SalesData[[#This Row],[Customers Visited]])</f>
        <v>0.46400000000000002</v>
      </c>
      <c r="AH4602" s="5">
        <f>IF(SalesData[[#This Row],[Customers Visited]]=0,0,SalesData[[#This Row],[Contracts Signed]]/SalesData[[#This Row],[Customers Visited]])</f>
        <v>0.11600000000000001</v>
      </c>
      <c r="AI4602" s="6">
        <f>IF(SalesData[[#This Row],[Contracts Signed]]=0,0,SalesData[[#This Row],[Profit(€)]]/SalesData[[#This Row],[Contracts Signed]])</f>
        <v>14587</v>
      </c>
      <c r="AJ4602" s="5" t="str">
        <f>TRIM(CLEAN(SalesData[[#This Row],[Retailer]]))</f>
        <v>Hannover Cars</v>
      </c>
    </row>
    <row r="4603" spans="1:36" ht="14.25" hidden="1" x14ac:dyDescent="0.2">
      <c r="A4603" t="s">
        <v>5875</v>
      </c>
      <c r="B4603" s="1">
        <v>46061</v>
      </c>
      <c r="C4603" t="s">
        <v>121</v>
      </c>
      <c r="D4603" t="s">
        <v>41</v>
      </c>
      <c r="E4603" t="s">
        <v>42</v>
      </c>
      <c r="F4603" t="s">
        <v>74</v>
      </c>
      <c r="G4603" t="s">
        <v>75</v>
      </c>
      <c r="H4603" t="s">
        <v>76</v>
      </c>
      <c r="I4603" t="s">
        <v>104</v>
      </c>
      <c r="J4603" t="s">
        <v>143</v>
      </c>
      <c r="K4603" t="s">
        <v>78</v>
      </c>
      <c r="L4603" t="s">
        <v>67</v>
      </c>
      <c r="M4603" t="s">
        <v>68</v>
      </c>
      <c r="N4603" t="s">
        <v>35</v>
      </c>
      <c r="O4603" t="s">
        <v>36</v>
      </c>
      <c r="P4603" t="s">
        <v>58</v>
      </c>
      <c r="Q4603" t="s">
        <v>88</v>
      </c>
      <c r="R4603">
        <v>316</v>
      </c>
      <c r="S4603">
        <v>150</v>
      </c>
      <c r="T4603">
        <v>87</v>
      </c>
      <c r="U4603">
        <v>29</v>
      </c>
      <c r="V4603" t="s">
        <v>5576</v>
      </c>
      <c r="W4603">
        <v>33125</v>
      </c>
      <c r="X4603" t="s">
        <v>1347</v>
      </c>
      <c r="Y4603">
        <v>28633</v>
      </c>
      <c r="Z4603">
        <v>960625</v>
      </c>
      <c r="AA4603">
        <v>130268</v>
      </c>
      <c r="AB4603" t="str">
        <f>(VLOOKUP(SalesData[[#This Row],[Month Number]],Reference!C$5:E$16,2,FALSE))</f>
        <v>Feb</v>
      </c>
      <c r="AC4603">
        <f>MONTH(SalesData[[#This Row],[Date]])</f>
        <v>2</v>
      </c>
      <c r="AD4603">
        <f>Reference!F$4</f>
        <v>2026</v>
      </c>
      <c r="AE4603" t="str">
        <f>IF(OR(SalesData[[#This Row],[Day]]="Saturday",SalesData[[#This Row],[Day]]="Sunday"),"Weekend","Weekday")</f>
        <v>Weekend</v>
      </c>
      <c r="AF4603" s="5">
        <f>IF(SalesData[[#This Row],[Contracts Offered]]=0,0,SalesData[[#This Row],[Contracts Signed]]/SalesData[[#This Row],[Contracts Offered]])</f>
        <v>0.33333333333333331</v>
      </c>
      <c r="AG4603" s="5">
        <f>IF(SalesData[[#This Row],[Customers Visited]]=0,0,SalesData[[#This Row],[Test Drives]]/SalesData[[#This Row],[Customers Visited]])</f>
        <v>0.47468354430379744</v>
      </c>
      <c r="AH4603" s="5">
        <f>IF(SalesData[[#This Row],[Customers Visited]]=0,0,SalesData[[#This Row],[Contracts Signed]]/SalesData[[#This Row],[Customers Visited]])</f>
        <v>9.1772151898734181E-2</v>
      </c>
      <c r="AI4603" s="6">
        <f>IF(SalesData[[#This Row],[Contracts Signed]]=0,0,SalesData[[#This Row],[Profit(€)]]/SalesData[[#This Row],[Contracts Signed]])</f>
        <v>4492</v>
      </c>
      <c r="AJ4603" s="5" t="str">
        <f>TRIM(CLEAN(SalesData[[#This Row],[Retailer]]))</f>
        <v>Stuttgart Auto Center</v>
      </c>
    </row>
    <row r="4604" spans="1:36" ht="14.25" x14ac:dyDescent="0.2">
      <c r="A4604" t="s">
        <v>5876</v>
      </c>
      <c r="B4604" s="1">
        <v>46054</v>
      </c>
      <c r="C4604" t="s">
        <v>24</v>
      </c>
      <c r="D4604" t="s">
        <v>41</v>
      </c>
      <c r="E4604" t="s">
        <v>42</v>
      </c>
      <c r="F4604" t="s">
        <v>7649</v>
      </c>
      <c r="G4604" t="s">
        <v>55</v>
      </c>
      <c r="H4604" t="s">
        <v>55</v>
      </c>
      <c r="I4604" t="s">
        <v>30</v>
      </c>
      <c r="J4604" t="s">
        <v>188</v>
      </c>
      <c r="K4604" t="s">
        <v>32</v>
      </c>
      <c r="L4604" t="s">
        <v>33</v>
      </c>
      <c r="M4604" t="s">
        <v>34</v>
      </c>
      <c r="N4604" t="s">
        <v>35</v>
      </c>
      <c r="O4604" t="s">
        <v>70</v>
      </c>
      <c r="P4604" t="s">
        <v>71</v>
      </c>
      <c r="Q4604" t="s">
        <v>118</v>
      </c>
      <c r="R4604">
        <v>191</v>
      </c>
      <c r="S4604">
        <v>116</v>
      </c>
      <c r="T4604">
        <v>88</v>
      </c>
      <c r="U4604">
        <v>31</v>
      </c>
      <c r="V4604" t="s">
        <v>6607</v>
      </c>
      <c r="W4604">
        <v>63209</v>
      </c>
      <c r="X4604" t="s">
        <v>7136</v>
      </c>
      <c r="Y4604">
        <v>44860</v>
      </c>
      <c r="Z4604">
        <v>1959479</v>
      </c>
      <c r="AA4604">
        <v>568819</v>
      </c>
      <c r="AB4604" t="str">
        <f>(VLOOKUP(SalesData[[#This Row],[Month Number]],Reference!C$5:E$16,2,FALSE))</f>
        <v>Feb</v>
      </c>
      <c r="AC4604">
        <f>MONTH(SalesData[[#This Row],[Date]])</f>
        <v>2</v>
      </c>
      <c r="AD4604">
        <f>Reference!F$4</f>
        <v>2026</v>
      </c>
      <c r="AE4604" t="str">
        <f>IF(OR(SalesData[[#This Row],[Day]]="Saturday",SalesData[[#This Row],[Day]]="Sunday"),"Weekend","Weekday")</f>
        <v>Weekend</v>
      </c>
      <c r="AF4604" s="5">
        <f>IF(SalesData[[#This Row],[Contracts Offered]]=0,0,SalesData[[#This Row],[Contracts Signed]]/SalesData[[#This Row],[Contracts Offered]])</f>
        <v>0.35227272727272729</v>
      </c>
      <c r="AG4604" s="5">
        <f>IF(SalesData[[#This Row],[Customers Visited]]=0,0,SalesData[[#This Row],[Test Drives]]/SalesData[[#This Row],[Customers Visited]])</f>
        <v>0.60732984293193715</v>
      </c>
      <c r="AH4604" s="5">
        <f>IF(SalesData[[#This Row],[Customers Visited]]=0,0,SalesData[[#This Row],[Contracts Signed]]/SalesData[[#This Row],[Customers Visited]])</f>
        <v>0.16230366492146597</v>
      </c>
      <c r="AI4604" s="6">
        <f>IF(SalesData[[#This Row],[Contracts Signed]]=0,0,SalesData[[#This Row],[Profit(€)]]/SalesData[[#This Row],[Contracts Signed]])</f>
        <v>18349</v>
      </c>
      <c r="AJ4604" s="5" t="str">
        <f>TRIM(CLEAN(SalesData[[#This Row],[Retailer]]))</f>
        <v>Autohaus Berlin</v>
      </c>
    </row>
    <row r="4605" spans="1:36" ht="14.25" x14ac:dyDescent="0.2">
      <c r="A4605" t="s">
        <v>5877</v>
      </c>
      <c r="B4605" s="1">
        <v>46054</v>
      </c>
      <c r="C4605" t="s">
        <v>24</v>
      </c>
      <c r="D4605" t="s">
        <v>41</v>
      </c>
      <c r="E4605" t="s">
        <v>42</v>
      </c>
      <c r="F4605" t="s">
        <v>74</v>
      </c>
      <c r="G4605" t="s">
        <v>75</v>
      </c>
      <c r="H4605" t="s">
        <v>76</v>
      </c>
      <c r="I4605" t="s">
        <v>30</v>
      </c>
      <c r="J4605" t="s">
        <v>7075</v>
      </c>
      <c r="K4605" t="s">
        <v>91</v>
      </c>
      <c r="L4605" t="s">
        <v>33</v>
      </c>
      <c r="M4605" t="s">
        <v>34</v>
      </c>
      <c r="N4605" t="s">
        <v>35</v>
      </c>
      <c r="O4605" t="s">
        <v>36</v>
      </c>
      <c r="P4605" t="s">
        <v>71</v>
      </c>
      <c r="Q4605" t="s">
        <v>144</v>
      </c>
      <c r="R4605">
        <v>142</v>
      </c>
      <c r="S4605">
        <v>88</v>
      </c>
      <c r="T4605">
        <v>69</v>
      </c>
      <c r="U4605">
        <v>26</v>
      </c>
      <c r="V4605" t="s">
        <v>6697</v>
      </c>
      <c r="W4605">
        <v>64515</v>
      </c>
      <c r="X4605" t="s">
        <v>7115</v>
      </c>
      <c r="Y4605">
        <v>48947</v>
      </c>
      <c r="Z4605">
        <v>1677390</v>
      </c>
      <c r="AA4605">
        <v>404768</v>
      </c>
      <c r="AB4605" t="str">
        <f>(VLOOKUP(SalesData[[#This Row],[Month Number]],Reference!C$5:E$16,2,FALSE))</f>
        <v>Feb</v>
      </c>
      <c r="AC4605">
        <f>MONTH(SalesData[[#This Row],[Date]])</f>
        <v>2</v>
      </c>
      <c r="AD4605">
        <f>Reference!F$4</f>
        <v>2026</v>
      </c>
      <c r="AE4605" t="str">
        <f>IF(OR(SalesData[[#This Row],[Day]]="Saturday",SalesData[[#This Row],[Day]]="Sunday"),"Weekend","Weekday")</f>
        <v>Weekend</v>
      </c>
      <c r="AF4605" s="5">
        <f>IF(SalesData[[#This Row],[Contracts Offered]]=0,0,SalesData[[#This Row],[Contracts Signed]]/SalesData[[#This Row],[Contracts Offered]])</f>
        <v>0.37681159420289856</v>
      </c>
      <c r="AG4605" s="5">
        <f>IF(SalesData[[#This Row],[Customers Visited]]=0,0,SalesData[[#This Row],[Test Drives]]/SalesData[[#This Row],[Customers Visited]])</f>
        <v>0.61971830985915488</v>
      </c>
      <c r="AH4605" s="5">
        <f>IF(SalesData[[#This Row],[Customers Visited]]=0,0,SalesData[[#This Row],[Contracts Signed]]/SalesData[[#This Row],[Customers Visited]])</f>
        <v>0.18309859154929578</v>
      </c>
      <c r="AI4605" s="6">
        <f>IF(SalesData[[#This Row],[Contracts Signed]]=0,0,SalesData[[#This Row],[Profit(€)]]/SalesData[[#This Row],[Contracts Signed]])</f>
        <v>15568</v>
      </c>
      <c r="AJ4605" s="5" t="str">
        <f>TRIM(CLEAN(SalesData[[#This Row],[Retailer]]))</f>
        <v>Stuttgart Auto Center</v>
      </c>
    </row>
    <row r="4606" spans="1:36" ht="14.25" x14ac:dyDescent="0.2">
      <c r="A4606" t="s">
        <v>5879</v>
      </c>
      <c r="B4606" s="1">
        <v>46057</v>
      </c>
      <c r="C4606" t="s">
        <v>24</v>
      </c>
      <c r="D4606" t="s">
        <v>82</v>
      </c>
      <c r="E4606" t="s">
        <v>26</v>
      </c>
      <c r="F4606" t="s">
        <v>109</v>
      </c>
      <c r="G4606" t="s">
        <v>110</v>
      </c>
      <c r="H4606" t="s">
        <v>45</v>
      </c>
      <c r="I4606" t="s">
        <v>30</v>
      </c>
      <c r="J4606" t="s">
        <v>166</v>
      </c>
      <c r="K4606" t="s">
        <v>66</v>
      </c>
      <c r="L4606" t="s">
        <v>46</v>
      </c>
      <c r="M4606" t="s">
        <v>47</v>
      </c>
      <c r="N4606" t="s">
        <v>35</v>
      </c>
      <c r="O4606" t="s">
        <v>36</v>
      </c>
      <c r="P4606" t="s">
        <v>71</v>
      </c>
      <c r="Q4606" t="s">
        <v>79</v>
      </c>
      <c r="R4606">
        <v>179</v>
      </c>
      <c r="S4606">
        <v>90</v>
      </c>
      <c r="T4606">
        <v>62</v>
      </c>
      <c r="U4606">
        <v>27</v>
      </c>
      <c r="V4606" t="s">
        <v>7100</v>
      </c>
      <c r="W4606">
        <v>63865</v>
      </c>
      <c r="X4606" t="s">
        <v>80</v>
      </c>
      <c r="Y4606">
        <v>48378</v>
      </c>
      <c r="Z4606">
        <v>1724355</v>
      </c>
      <c r="AA4606">
        <v>418149</v>
      </c>
      <c r="AB4606" t="str">
        <f>(VLOOKUP(SalesData[[#This Row],[Month Number]],Reference!C$5:E$16,2,FALSE))</f>
        <v>Feb</v>
      </c>
      <c r="AC4606">
        <f>MONTH(SalesData[[#This Row],[Date]])</f>
        <v>2</v>
      </c>
      <c r="AD4606">
        <f>Reference!F$4</f>
        <v>2026</v>
      </c>
      <c r="AE4606" t="str">
        <f>IF(OR(SalesData[[#This Row],[Day]]="Saturday",SalesData[[#This Row],[Day]]="Sunday"),"Weekend","Weekday")</f>
        <v>Weekday</v>
      </c>
      <c r="AF4606" s="5">
        <f>IF(SalesData[[#This Row],[Contracts Offered]]=0,0,SalesData[[#This Row],[Contracts Signed]]/SalesData[[#This Row],[Contracts Offered]])</f>
        <v>0.43548387096774194</v>
      </c>
      <c r="AG4606" s="5">
        <f>IF(SalesData[[#This Row],[Customers Visited]]=0,0,SalesData[[#This Row],[Test Drives]]/SalesData[[#This Row],[Customers Visited]])</f>
        <v>0.5027932960893855</v>
      </c>
      <c r="AH4606" s="5">
        <f>IF(SalesData[[#This Row],[Customers Visited]]=0,0,SalesData[[#This Row],[Contracts Signed]]/SalesData[[#This Row],[Customers Visited]])</f>
        <v>0.15083798882681565</v>
      </c>
      <c r="AI4606" s="6">
        <f>IF(SalesData[[#This Row],[Contracts Signed]]=0,0,SalesData[[#This Row],[Profit(€)]]/SalesData[[#This Row],[Contracts Signed]])</f>
        <v>15487</v>
      </c>
      <c r="AJ4606" s="5" t="str">
        <f>TRIM(CLEAN(SalesData[[#This Row],[Retailer]]))</f>
        <v>Leipzig Mobility</v>
      </c>
    </row>
    <row r="4607" spans="1:36" ht="14.25" hidden="1" x14ac:dyDescent="0.2">
      <c r="A4607" t="s">
        <v>5880</v>
      </c>
      <c r="B4607" s="1">
        <v>46077</v>
      </c>
      <c r="C4607" t="s">
        <v>53</v>
      </c>
      <c r="D4607" t="s">
        <v>63</v>
      </c>
      <c r="E4607" t="s">
        <v>26</v>
      </c>
      <c r="F4607" t="s">
        <v>101</v>
      </c>
      <c r="G4607" t="s">
        <v>102</v>
      </c>
      <c r="H4607" t="s">
        <v>103</v>
      </c>
      <c r="I4607" t="s">
        <v>56</v>
      </c>
      <c r="J4607" t="s">
        <v>97</v>
      </c>
      <c r="K4607" t="s">
        <v>32</v>
      </c>
      <c r="L4607" t="s">
        <v>33</v>
      </c>
      <c r="M4607" t="s">
        <v>47</v>
      </c>
      <c r="N4607" t="s">
        <v>48</v>
      </c>
      <c r="O4607" t="s">
        <v>36</v>
      </c>
      <c r="P4607" t="s">
        <v>58</v>
      </c>
      <c r="Q4607" t="s">
        <v>347</v>
      </c>
      <c r="R4607">
        <v>257</v>
      </c>
      <c r="S4607">
        <v>144</v>
      </c>
      <c r="T4607">
        <v>93</v>
      </c>
      <c r="U4607">
        <v>37</v>
      </c>
      <c r="V4607" t="s">
        <v>6593</v>
      </c>
      <c r="W4607">
        <v>45525</v>
      </c>
      <c r="X4607" t="s">
        <v>7527</v>
      </c>
      <c r="Y4607">
        <v>36610</v>
      </c>
      <c r="Z4607">
        <v>1684425</v>
      </c>
      <c r="AA4607">
        <v>329855</v>
      </c>
      <c r="AB4607" t="str">
        <f>(VLOOKUP(SalesData[[#This Row],[Month Number]],Reference!C$5:E$16,2,FALSE))</f>
        <v>Feb</v>
      </c>
      <c r="AC4607">
        <f>MONTH(SalesData[[#This Row],[Date]])</f>
        <v>2</v>
      </c>
      <c r="AD4607">
        <f>Reference!F$4</f>
        <v>2026</v>
      </c>
      <c r="AE4607" t="str">
        <f>IF(OR(SalesData[[#This Row],[Day]]="Saturday",SalesData[[#This Row],[Day]]="Sunday"),"Weekend","Weekday")</f>
        <v>Weekday</v>
      </c>
      <c r="AF4607" s="5">
        <f>IF(SalesData[[#This Row],[Contracts Offered]]=0,0,SalesData[[#This Row],[Contracts Signed]]/SalesData[[#This Row],[Contracts Offered]])</f>
        <v>0.39784946236559138</v>
      </c>
      <c r="AG4607" s="5">
        <f>IF(SalesData[[#This Row],[Customers Visited]]=0,0,SalesData[[#This Row],[Test Drives]]/SalesData[[#This Row],[Customers Visited]])</f>
        <v>0.56031128404669261</v>
      </c>
      <c r="AH4607" s="5">
        <f>IF(SalesData[[#This Row],[Customers Visited]]=0,0,SalesData[[#This Row],[Contracts Signed]]/SalesData[[#This Row],[Customers Visited]])</f>
        <v>0.14396887159533073</v>
      </c>
      <c r="AI4607" s="6">
        <f>IF(SalesData[[#This Row],[Contracts Signed]]=0,0,SalesData[[#This Row],[Profit(€)]]/SalesData[[#This Row],[Contracts Signed]])</f>
        <v>8915</v>
      </c>
      <c r="AJ4607" s="5" t="str">
        <f>TRIM(CLEAN(SalesData[[#This Row],[Retailer]]))</f>
        <v>Ruhr Auto Plaza</v>
      </c>
    </row>
    <row r="4608" spans="1:36" ht="14.25" hidden="1" x14ac:dyDescent="0.2">
      <c r="A4608" t="s">
        <v>5881</v>
      </c>
      <c r="B4608" s="1">
        <v>46060</v>
      </c>
      <c r="C4608" t="s">
        <v>24</v>
      </c>
      <c r="D4608" t="s">
        <v>151</v>
      </c>
      <c r="E4608" t="s">
        <v>42</v>
      </c>
      <c r="F4608" t="s">
        <v>101</v>
      </c>
      <c r="G4608" t="s">
        <v>102</v>
      </c>
      <c r="H4608" t="s">
        <v>103</v>
      </c>
      <c r="I4608" t="s">
        <v>104</v>
      </c>
      <c r="J4608" t="s">
        <v>105</v>
      </c>
      <c r="K4608" t="s">
        <v>32</v>
      </c>
      <c r="L4608" t="s">
        <v>33</v>
      </c>
      <c r="M4608" t="s">
        <v>68</v>
      </c>
      <c r="N4608" t="s">
        <v>48</v>
      </c>
      <c r="O4608" t="s">
        <v>70</v>
      </c>
      <c r="P4608" t="s">
        <v>37</v>
      </c>
      <c r="Q4608" t="s">
        <v>135</v>
      </c>
      <c r="R4608">
        <v>399</v>
      </c>
      <c r="S4608">
        <v>183</v>
      </c>
      <c r="T4608">
        <v>130</v>
      </c>
      <c r="U4608">
        <v>19</v>
      </c>
      <c r="V4608" t="s">
        <v>1084</v>
      </c>
      <c r="W4608">
        <v>33615</v>
      </c>
      <c r="X4608" t="s">
        <v>5149</v>
      </c>
      <c r="Y4608">
        <v>29346</v>
      </c>
      <c r="Z4608">
        <v>638685</v>
      </c>
      <c r="AA4608">
        <v>81111</v>
      </c>
      <c r="AB4608" t="str">
        <f>(VLOOKUP(SalesData[[#This Row],[Month Number]],Reference!C$5:E$16,2,FALSE))</f>
        <v>Feb</v>
      </c>
      <c r="AC4608">
        <f>MONTH(SalesData[[#This Row],[Date]])</f>
        <v>2</v>
      </c>
      <c r="AD4608">
        <f>Reference!F$4</f>
        <v>2026</v>
      </c>
      <c r="AE4608" t="str">
        <f>IF(OR(SalesData[[#This Row],[Day]]="Saturday",SalesData[[#This Row],[Day]]="Sunday"),"Weekend","Weekday")</f>
        <v>Weekend</v>
      </c>
      <c r="AF4608" s="5">
        <f>IF(SalesData[[#This Row],[Contracts Offered]]=0,0,SalesData[[#This Row],[Contracts Signed]]/SalesData[[#This Row],[Contracts Offered]])</f>
        <v>0.14615384615384616</v>
      </c>
      <c r="AG4608" s="5">
        <f>IF(SalesData[[#This Row],[Customers Visited]]=0,0,SalesData[[#This Row],[Test Drives]]/SalesData[[#This Row],[Customers Visited]])</f>
        <v>0.45864661654135336</v>
      </c>
      <c r="AH4608" s="5">
        <f>IF(SalesData[[#This Row],[Customers Visited]]=0,0,SalesData[[#This Row],[Contracts Signed]]/SalesData[[#This Row],[Customers Visited]])</f>
        <v>4.7619047619047616E-2</v>
      </c>
      <c r="AI4608" s="6">
        <f>IF(SalesData[[#This Row],[Contracts Signed]]=0,0,SalesData[[#This Row],[Profit(€)]]/SalesData[[#This Row],[Contracts Signed]])</f>
        <v>4269</v>
      </c>
      <c r="AJ4608" s="5" t="str">
        <f>TRIM(CLEAN(SalesData[[#This Row],[Retailer]]))</f>
        <v>Ruhr Auto Plaza</v>
      </c>
    </row>
    <row r="4609" spans="1:36" ht="14.25" hidden="1" x14ac:dyDescent="0.2">
      <c r="A4609" t="s">
        <v>5882</v>
      </c>
      <c r="B4609" s="1">
        <v>46072</v>
      </c>
      <c r="C4609" t="s">
        <v>62</v>
      </c>
      <c r="D4609" t="s">
        <v>100</v>
      </c>
      <c r="E4609" t="s">
        <v>26</v>
      </c>
      <c r="F4609" t="s">
        <v>74</v>
      </c>
      <c r="G4609" t="s">
        <v>75</v>
      </c>
      <c r="H4609" t="s">
        <v>76</v>
      </c>
      <c r="I4609" t="s">
        <v>56</v>
      </c>
      <c r="J4609" t="s">
        <v>179</v>
      </c>
      <c r="K4609" t="s">
        <v>91</v>
      </c>
      <c r="L4609" t="s">
        <v>67</v>
      </c>
      <c r="M4609" t="s">
        <v>68</v>
      </c>
      <c r="N4609" t="s">
        <v>48</v>
      </c>
      <c r="O4609" t="s">
        <v>36</v>
      </c>
      <c r="P4609" t="s">
        <v>71</v>
      </c>
      <c r="Q4609" t="s">
        <v>79</v>
      </c>
      <c r="R4609">
        <v>169</v>
      </c>
      <c r="S4609">
        <v>94</v>
      </c>
      <c r="T4609">
        <v>65</v>
      </c>
      <c r="U4609">
        <v>24</v>
      </c>
      <c r="V4609" t="s">
        <v>6461</v>
      </c>
      <c r="W4609">
        <v>48120</v>
      </c>
      <c r="X4609" t="s">
        <v>7056</v>
      </c>
      <c r="Y4609">
        <v>38310</v>
      </c>
      <c r="Z4609">
        <v>1154880</v>
      </c>
      <c r="AA4609">
        <v>235440</v>
      </c>
      <c r="AB4609" t="str">
        <f>(VLOOKUP(SalesData[[#This Row],[Month Number]],Reference!C$5:E$16,2,FALSE))</f>
        <v>Feb</v>
      </c>
      <c r="AC4609">
        <f>MONTH(SalesData[[#This Row],[Date]])</f>
        <v>2</v>
      </c>
      <c r="AD4609">
        <f>Reference!F$4</f>
        <v>2026</v>
      </c>
      <c r="AE4609" t="str">
        <f>IF(OR(SalesData[[#This Row],[Day]]="Saturday",SalesData[[#This Row],[Day]]="Sunday"),"Weekend","Weekday")</f>
        <v>Weekday</v>
      </c>
      <c r="AF4609" s="5">
        <f>IF(SalesData[[#This Row],[Contracts Offered]]=0,0,SalesData[[#This Row],[Contracts Signed]]/SalesData[[#This Row],[Contracts Offered]])</f>
        <v>0.36923076923076925</v>
      </c>
      <c r="AG4609" s="5">
        <f>IF(SalesData[[#This Row],[Customers Visited]]=0,0,SalesData[[#This Row],[Test Drives]]/SalesData[[#This Row],[Customers Visited]])</f>
        <v>0.55621301775147924</v>
      </c>
      <c r="AH4609" s="5">
        <f>IF(SalesData[[#This Row],[Customers Visited]]=0,0,SalesData[[#This Row],[Contracts Signed]]/SalesData[[#This Row],[Customers Visited]])</f>
        <v>0.14201183431952663</v>
      </c>
      <c r="AI4609" s="6">
        <f>IF(SalesData[[#This Row],[Contracts Signed]]=0,0,SalesData[[#This Row],[Profit(€)]]/SalesData[[#This Row],[Contracts Signed]])</f>
        <v>9810</v>
      </c>
      <c r="AJ4609" s="5" t="str">
        <f>TRIM(CLEAN(SalesData[[#This Row],[Retailer]]))</f>
        <v>Stuttgart Auto Center</v>
      </c>
    </row>
    <row r="4610" spans="1:36" ht="14.25" hidden="1" x14ac:dyDescent="0.2">
      <c r="A4610" t="s">
        <v>5883</v>
      </c>
      <c r="B4610" s="1">
        <v>46062</v>
      </c>
      <c r="C4610" t="s">
        <v>121</v>
      </c>
      <c r="D4610" t="s">
        <v>25</v>
      </c>
      <c r="E4610" t="s">
        <v>26</v>
      </c>
      <c r="F4610" t="s">
        <v>101</v>
      </c>
      <c r="G4610" t="s">
        <v>102</v>
      </c>
      <c r="H4610" t="s">
        <v>103</v>
      </c>
      <c r="I4610" t="s">
        <v>104</v>
      </c>
      <c r="J4610" t="s">
        <v>7031</v>
      </c>
      <c r="K4610" t="s">
        <v>32</v>
      </c>
      <c r="L4610" t="s">
        <v>46</v>
      </c>
      <c r="M4610" t="s">
        <v>87</v>
      </c>
      <c r="N4610" t="s">
        <v>35</v>
      </c>
      <c r="O4610" t="s">
        <v>70</v>
      </c>
      <c r="P4610" t="s">
        <v>37</v>
      </c>
      <c r="Q4610" t="s">
        <v>169</v>
      </c>
      <c r="R4610">
        <v>408</v>
      </c>
      <c r="S4610">
        <v>166</v>
      </c>
      <c r="T4610">
        <v>111</v>
      </c>
      <c r="U4610">
        <v>18</v>
      </c>
      <c r="V4610" t="s">
        <v>2016</v>
      </c>
      <c r="W4610">
        <v>27945</v>
      </c>
      <c r="X4610" t="s">
        <v>441</v>
      </c>
      <c r="Y4610">
        <v>24444</v>
      </c>
      <c r="Z4610">
        <v>503010</v>
      </c>
      <c r="AA4610">
        <v>63018</v>
      </c>
      <c r="AB4610" t="str">
        <f>(VLOOKUP(SalesData[[#This Row],[Month Number]],Reference!C$5:E$16,2,FALSE))</f>
        <v>Feb</v>
      </c>
      <c r="AC4610">
        <f>MONTH(SalesData[[#This Row],[Date]])</f>
        <v>2</v>
      </c>
      <c r="AD4610">
        <f>Reference!F$4</f>
        <v>2026</v>
      </c>
      <c r="AE4610" t="str">
        <f>IF(OR(SalesData[[#This Row],[Day]]="Saturday",SalesData[[#This Row],[Day]]="Sunday"),"Weekend","Weekday")</f>
        <v>Weekday</v>
      </c>
      <c r="AF4610" s="5">
        <f>IF(SalesData[[#This Row],[Contracts Offered]]=0,0,SalesData[[#This Row],[Contracts Signed]]/SalesData[[#This Row],[Contracts Offered]])</f>
        <v>0.16216216216216217</v>
      </c>
      <c r="AG4610" s="5">
        <f>IF(SalesData[[#This Row],[Customers Visited]]=0,0,SalesData[[#This Row],[Test Drives]]/SalesData[[#This Row],[Customers Visited]])</f>
        <v>0.40686274509803921</v>
      </c>
      <c r="AH4610" s="5">
        <f>IF(SalesData[[#This Row],[Customers Visited]]=0,0,SalesData[[#This Row],[Contracts Signed]]/SalesData[[#This Row],[Customers Visited]])</f>
        <v>4.4117647058823532E-2</v>
      </c>
      <c r="AI4610" s="6">
        <f>IF(SalesData[[#This Row],[Contracts Signed]]=0,0,SalesData[[#This Row],[Profit(€)]]/SalesData[[#This Row],[Contracts Signed]])</f>
        <v>3501</v>
      </c>
      <c r="AJ4610" s="5" t="str">
        <f>TRIM(CLEAN(SalesData[[#This Row],[Retailer]]))</f>
        <v>Ruhr Auto Plaza</v>
      </c>
    </row>
    <row r="4611" spans="1:36" ht="14.25" hidden="1" x14ac:dyDescent="0.2">
      <c r="A4611" t="s">
        <v>5884</v>
      </c>
      <c r="B4611" s="1">
        <v>46058</v>
      </c>
      <c r="C4611" t="s">
        <v>24</v>
      </c>
      <c r="D4611" t="s">
        <v>100</v>
      </c>
      <c r="E4611" t="s">
        <v>26</v>
      </c>
      <c r="F4611" t="s">
        <v>101</v>
      </c>
      <c r="G4611" t="s">
        <v>102</v>
      </c>
      <c r="H4611" t="s">
        <v>103</v>
      </c>
      <c r="I4611" t="s">
        <v>56</v>
      </c>
      <c r="J4611" t="s">
        <v>57</v>
      </c>
      <c r="K4611" t="s">
        <v>78</v>
      </c>
      <c r="L4611" t="s">
        <v>46</v>
      </c>
      <c r="M4611" t="s">
        <v>34</v>
      </c>
      <c r="N4611" t="s">
        <v>69</v>
      </c>
      <c r="O4611" t="s">
        <v>36</v>
      </c>
      <c r="P4611" t="s">
        <v>49</v>
      </c>
      <c r="Q4611" t="s">
        <v>50</v>
      </c>
      <c r="R4611">
        <v>252</v>
      </c>
      <c r="S4611">
        <v>159</v>
      </c>
      <c r="T4611">
        <v>121</v>
      </c>
      <c r="U4611">
        <v>30</v>
      </c>
      <c r="V4611" t="s">
        <v>1162</v>
      </c>
      <c r="W4611">
        <v>48607</v>
      </c>
      <c r="X4611" t="s">
        <v>7122</v>
      </c>
      <c r="Y4611">
        <v>37643</v>
      </c>
      <c r="Z4611">
        <v>1458210</v>
      </c>
      <c r="AA4611">
        <v>328920</v>
      </c>
      <c r="AB4611" t="str">
        <f>(VLOOKUP(SalesData[[#This Row],[Month Number]],Reference!C$5:E$16,2,FALSE))</f>
        <v>Feb</v>
      </c>
      <c r="AC4611">
        <f>MONTH(SalesData[[#This Row],[Date]])</f>
        <v>2</v>
      </c>
      <c r="AD4611">
        <f>Reference!F$4</f>
        <v>2026</v>
      </c>
      <c r="AE4611" t="str">
        <f>IF(OR(SalesData[[#This Row],[Day]]="Saturday",SalesData[[#This Row],[Day]]="Sunday"),"Weekend","Weekday")</f>
        <v>Weekday</v>
      </c>
      <c r="AF4611" s="5">
        <f>IF(SalesData[[#This Row],[Contracts Offered]]=0,0,SalesData[[#This Row],[Contracts Signed]]/SalesData[[#This Row],[Contracts Offered]])</f>
        <v>0.24793388429752067</v>
      </c>
      <c r="AG4611" s="5">
        <f>IF(SalesData[[#This Row],[Customers Visited]]=0,0,SalesData[[#This Row],[Test Drives]]/SalesData[[#This Row],[Customers Visited]])</f>
        <v>0.63095238095238093</v>
      </c>
      <c r="AH4611" s="5">
        <f>IF(SalesData[[#This Row],[Customers Visited]]=0,0,SalesData[[#This Row],[Contracts Signed]]/SalesData[[#This Row],[Customers Visited]])</f>
        <v>0.11904761904761904</v>
      </c>
      <c r="AI4611" s="6">
        <f>IF(SalesData[[#This Row],[Contracts Signed]]=0,0,SalesData[[#This Row],[Profit(€)]]/SalesData[[#This Row],[Contracts Signed]])</f>
        <v>10964</v>
      </c>
      <c r="AJ4611" s="5" t="str">
        <f>TRIM(CLEAN(SalesData[[#This Row],[Retailer]]))</f>
        <v>Ruhr Auto Plaza</v>
      </c>
    </row>
    <row r="4612" spans="1:36" ht="14.25" hidden="1" x14ac:dyDescent="0.2">
      <c r="A4612" t="s">
        <v>5885</v>
      </c>
      <c r="B4612" s="1">
        <v>46065</v>
      </c>
      <c r="C4612" t="s">
        <v>121</v>
      </c>
      <c r="D4612" t="s">
        <v>100</v>
      </c>
      <c r="E4612" t="s">
        <v>26</v>
      </c>
      <c r="F4612" t="s">
        <v>109</v>
      </c>
      <c r="G4612" t="s">
        <v>110</v>
      </c>
      <c r="H4612" t="s">
        <v>45</v>
      </c>
      <c r="I4612" t="s">
        <v>56</v>
      </c>
      <c r="J4612" t="s">
        <v>57</v>
      </c>
      <c r="K4612" t="s">
        <v>66</v>
      </c>
      <c r="L4612" t="s">
        <v>46</v>
      </c>
      <c r="M4612" t="s">
        <v>34</v>
      </c>
      <c r="N4612" t="s">
        <v>69</v>
      </c>
      <c r="O4612" t="s">
        <v>36</v>
      </c>
      <c r="P4612" t="s">
        <v>71</v>
      </c>
      <c r="Q4612" t="s">
        <v>172</v>
      </c>
      <c r="R4612">
        <v>205</v>
      </c>
      <c r="S4612">
        <v>120</v>
      </c>
      <c r="T4612">
        <v>87</v>
      </c>
      <c r="U4612">
        <v>30</v>
      </c>
      <c r="V4612" t="s">
        <v>6403</v>
      </c>
      <c r="W4612">
        <v>42879</v>
      </c>
      <c r="X4612" t="s">
        <v>7380</v>
      </c>
      <c r="Y4612">
        <v>32627</v>
      </c>
      <c r="Z4612">
        <v>1286370</v>
      </c>
      <c r="AA4612">
        <v>307560</v>
      </c>
      <c r="AB4612" t="str">
        <f>(VLOOKUP(SalesData[[#This Row],[Month Number]],Reference!C$5:E$16,2,FALSE))</f>
        <v>Feb</v>
      </c>
      <c r="AC4612">
        <f>MONTH(SalesData[[#This Row],[Date]])</f>
        <v>2</v>
      </c>
      <c r="AD4612">
        <f>Reference!F$4</f>
        <v>2026</v>
      </c>
      <c r="AE4612" t="str">
        <f>IF(OR(SalesData[[#This Row],[Day]]="Saturday",SalesData[[#This Row],[Day]]="Sunday"),"Weekend","Weekday")</f>
        <v>Weekday</v>
      </c>
      <c r="AF4612" s="5">
        <f>IF(SalesData[[#This Row],[Contracts Offered]]=0,0,SalesData[[#This Row],[Contracts Signed]]/SalesData[[#This Row],[Contracts Offered]])</f>
        <v>0.34482758620689657</v>
      </c>
      <c r="AG4612" s="5">
        <f>IF(SalesData[[#This Row],[Customers Visited]]=0,0,SalesData[[#This Row],[Test Drives]]/SalesData[[#This Row],[Customers Visited]])</f>
        <v>0.58536585365853655</v>
      </c>
      <c r="AH4612" s="5">
        <f>IF(SalesData[[#This Row],[Customers Visited]]=0,0,SalesData[[#This Row],[Contracts Signed]]/SalesData[[#This Row],[Customers Visited]])</f>
        <v>0.14634146341463414</v>
      </c>
      <c r="AI4612" s="6">
        <f>IF(SalesData[[#This Row],[Contracts Signed]]=0,0,SalesData[[#This Row],[Profit(€)]]/SalesData[[#This Row],[Contracts Signed]])</f>
        <v>10252</v>
      </c>
      <c r="AJ4612" s="5" t="str">
        <f>TRIM(CLEAN(SalesData[[#This Row],[Retailer]]))</f>
        <v>Leipzig Mobility</v>
      </c>
    </row>
    <row r="4613" spans="1:36" ht="14.25" hidden="1" x14ac:dyDescent="0.2">
      <c r="A4613" t="s">
        <v>5886</v>
      </c>
      <c r="B4613" s="1">
        <v>46075</v>
      </c>
      <c r="C4613" t="s">
        <v>53</v>
      </c>
      <c r="D4613" t="s">
        <v>41</v>
      </c>
      <c r="E4613" t="s">
        <v>42</v>
      </c>
      <c r="F4613" t="s">
        <v>83</v>
      </c>
      <c r="G4613" t="s">
        <v>84</v>
      </c>
      <c r="H4613" t="s">
        <v>85</v>
      </c>
      <c r="I4613" t="s">
        <v>116</v>
      </c>
      <c r="J4613" t="s">
        <v>7026</v>
      </c>
      <c r="K4613" t="s">
        <v>78</v>
      </c>
      <c r="L4613" t="s">
        <v>46</v>
      </c>
      <c r="M4613" t="s">
        <v>87</v>
      </c>
      <c r="N4613" t="s">
        <v>35</v>
      </c>
      <c r="O4613" t="s">
        <v>70</v>
      </c>
      <c r="P4613" t="s">
        <v>58</v>
      </c>
      <c r="Q4613" t="s">
        <v>118</v>
      </c>
      <c r="R4613">
        <v>420</v>
      </c>
      <c r="S4613">
        <v>204</v>
      </c>
      <c r="T4613">
        <v>120</v>
      </c>
      <c r="U4613">
        <v>34</v>
      </c>
      <c r="V4613" t="s">
        <v>508</v>
      </c>
      <c r="W4613">
        <v>26118</v>
      </c>
      <c r="X4613" t="s">
        <v>7611</v>
      </c>
      <c r="Y4613">
        <v>23973</v>
      </c>
      <c r="Z4613">
        <v>888012</v>
      </c>
      <c r="AA4613">
        <v>72930</v>
      </c>
      <c r="AB4613" t="str">
        <f>(VLOOKUP(SalesData[[#This Row],[Month Number]],Reference!C$5:E$16,2,FALSE))</f>
        <v>Feb</v>
      </c>
      <c r="AC4613">
        <f>MONTH(SalesData[[#This Row],[Date]])</f>
        <v>2</v>
      </c>
      <c r="AD4613">
        <f>Reference!F$4</f>
        <v>2026</v>
      </c>
      <c r="AE4613" t="str">
        <f>IF(OR(SalesData[[#This Row],[Day]]="Saturday",SalesData[[#This Row],[Day]]="Sunday"),"Weekend","Weekday")</f>
        <v>Weekend</v>
      </c>
      <c r="AF4613" s="5">
        <f>IF(SalesData[[#This Row],[Contracts Offered]]=0,0,SalesData[[#This Row],[Contracts Signed]]/SalesData[[#This Row],[Contracts Offered]])</f>
        <v>0.28333333333333333</v>
      </c>
      <c r="AG4613" s="5">
        <f>IF(SalesData[[#This Row],[Customers Visited]]=0,0,SalesData[[#This Row],[Test Drives]]/SalesData[[#This Row],[Customers Visited]])</f>
        <v>0.48571428571428571</v>
      </c>
      <c r="AH4613" s="5">
        <f>IF(SalesData[[#This Row],[Customers Visited]]=0,0,SalesData[[#This Row],[Contracts Signed]]/SalesData[[#This Row],[Customers Visited]])</f>
        <v>8.0952380952380956E-2</v>
      </c>
      <c r="AI4613" s="6">
        <f>IF(SalesData[[#This Row],[Contracts Signed]]=0,0,SalesData[[#This Row],[Profit(€)]]/SalesData[[#This Row],[Contracts Signed]])</f>
        <v>2145</v>
      </c>
      <c r="AJ4613" s="5" t="str">
        <f>TRIM(CLEAN(SalesData[[#This Row],[Retailer]]))</f>
        <v>Hannover Cars</v>
      </c>
    </row>
    <row r="4614" spans="1:36" ht="14.25" x14ac:dyDescent="0.2">
      <c r="A4614" t="s">
        <v>5887</v>
      </c>
      <c r="B4614" s="1">
        <v>46079</v>
      </c>
      <c r="C4614" t="s">
        <v>53</v>
      </c>
      <c r="D4614" t="s">
        <v>100</v>
      </c>
      <c r="E4614" t="s">
        <v>26</v>
      </c>
      <c r="F4614" t="s">
        <v>109</v>
      </c>
      <c r="G4614" t="s">
        <v>110</v>
      </c>
      <c r="H4614" t="s">
        <v>45</v>
      </c>
      <c r="I4614" t="s">
        <v>30</v>
      </c>
      <c r="J4614" t="s">
        <v>188</v>
      </c>
      <c r="K4614" t="s">
        <v>32</v>
      </c>
      <c r="L4614" t="s">
        <v>33</v>
      </c>
      <c r="M4614" t="s">
        <v>34</v>
      </c>
      <c r="N4614" t="s">
        <v>48</v>
      </c>
      <c r="O4614" t="s">
        <v>70</v>
      </c>
      <c r="P4614" t="s">
        <v>49</v>
      </c>
      <c r="Q4614" t="s">
        <v>189</v>
      </c>
      <c r="R4614">
        <v>207</v>
      </c>
      <c r="S4614">
        <v>108</v>
      </c>
      <c r="T4614">
        <v>77</v>
      </c>
      <c r="U4614">
        <v>24</v>
      </c>
      <c r="V4614" t="s">
        <v>6433</v>
      </c>
      <c r="W4614">
        <v>67029</v>
      </c>
      <c r="X4614" t="s">
        <v>7354</v>
      </c>
      <c r="Y4614">
        <v>47553</v>
      </c>
      <c r="Z4614">
        <v>1608696</v>
      </c>
      <c r="AA4614">
        <v>467424</v>
      </c>
      <c r="AB4614" t="str">
        <f>(VLOOKUP(SalesData[[#This Row],[Month Number]],Reference!C$5:E$16,2,FALSE))</f>
        <v>Feb</v>
      </c>
      <c r="AC4614">
        <f>MONTH(SalesData[[#This Row],[Date]])</f>
        <v>2</v>
      </c>
      <c r="AD4614">
        <f>Reference!F$4</f>
        <v>2026</v>
      </c>
      <c r="AE4614" t="str">
        <f>IF(OR(SalesData[[#This Row],[Day]]="Saturday",SalesData[[#This Row],[Day]]="Sunday"),"Weekend","Weekday")</f>
        <v>Weekday</v>
      </c>
      <c r="AF4614" s="5">
        <f>IF(SalesData[[#This Row],[Contracts Offered]]=0,0,SalesData[[#This Row],[Contracts Signed]]/SalesData[[#This Row],[Contracts Offered]])</f>
        <v>0.31168831168831168</v>
      </c>
      <c r="AG4614" s="5">
        <f>IF(SalesData[[#This Row],[Customers Visited]]=0,0,SalesData[[#This Row],[Test Drives]]/SalesData[[#This Row],[Customers Visited]])</f>
        <v>0.52173913043478259</v>
      </c>
      <c r="AH4614" s="5">
        <f>IF(SalesData[[#This Row],[Customers Visited]]=0,0,SalesData[[#This Row],[Contracts Signed]]/SalesData[[#This Row],[Customers Visited]])</f>
        <v>0.11594202898550725</v>
      </c>
      <c r="AI4614" s="6">
        <f>IF(SalesData[[#This Row],[Contracts Signed]]=0,0,SalesData[[#This Row],[Profit(€)]]/SalesData[[#This Row],[Contracts Signed]])</f>
        <v>19476</v>
      </c>
      <c r="AJ4614" s="5" t="str">
        <f>TRIM(CLEAN(SalesData[[#This Row],[Retailer]]))</f>
        <v>Leipzig Mobility</v>
      </c>
    </row>
    <row r="4615" spans="1:36" ht="14.25" hidden="1" x14ac:dyDescent="0.2">
      <c r="A4615" t="s">
        <v>5888</v>
      </c>
      <c r="B4615" s="1">
        <v>46071</v>
      </c>
      <c r="C4615" t="s">
        <v>62</v>
      </c>
      <c r="D4615" t="s">
        <v>82</v>
      </c>
      <c r="E4615" t="s">
        <v>26</v>
      </c>
      <c r="F4615" t="s">
        <v>27</v>
      </c>
      <c r="G4615" t="s">
        <v>28</v>
      </c>
      <c r="H4615" t="s">
        <v>29</v>
      </c>
      <c r="I4615" t="s">
        <v>64</v>
      </c>
      <c r="J4615" t="s">
        <v>77</v>
      </c>
      <c r="K4615" t="s">
        <v>32</v>
      </c>
      <c r="L4615" t="s">
        <v>46</v>
      </c>
      <c r="M4615" t="s">
        <v>87</v>
      </c>
      <c r="N4615" t="s">
        <v>69</v>
      </c>
      <c r="O4615" t="s">
        <v>36</v>
      </c>
      <c r="P4615" t="s">
        <v>37</v>
      </c>
      <c r="Q4615" t="s">
        <v>88</v>
      </c>
      <c r="R4615">
        <v>259</v>
      </c>
      <c r="S4615">
        <v>144</v>
      </c>
      <c r="T4615">
        <v>107</v>
      </c>
      <c r="U4615">
        <v>36</v>
      </c>
      <c r="V4615" t="s">
        <v>6403</v>
      </c>
      <c r="W4615">
        <v>50636</v>
      </c>
      <c r="X4615" t="s">
        <v>4917</v>
      </c>
      <c r="Y4615">
        <v>36025</v>
      </c>
      <c r="Z4615">
        <v>1822896</v>
      </c>
      <c r="AA4615">
        <v>525996</v>
      </c>
      <c r="AB4615" t="str">
        <f>(VLOOKUP(SalesData[[#This Row],[Month Number]],Reference!C$5:E$16,2,FALSE))</f>
        <v>Feb</v>
      </c>
      <c r="AC4615">
        <f>MONTH(SalesData[[#This Row],[Date]])</f>
        <v>2</v>
      </c>
      <c r="AD4615">
        <f>Reference!F$4</f>
        <v>2026</v>
      </c>
      <c r="AE4615" t="str">
        <f>IF(OR(SalesData[[#This Row],[Day]]="Saturday",SalesData[[#This Row],[Day]]="Sunday"),"Weekend","Weekday")</f>
        <v>Weekday</v>
      </c>
      <c r="AF4615" s="5">
        <f>IF(SalesData[[#This Row],[Contracts Offered]]=0,0,SalesData[[#This Row],[Contracts Signed]]/SalesData[[#This Row],[Contracts Offered]])</f>
        <v>0.3364485981308411</v>
      </c>
      <c r="AG4615" s="5">
        <f>IF(SalesData[[#This Row],[Customers Visited]]=0,0,SalesData[[#This Row],[Test Drives]]/SalesData[[#This Row],[Customers Visited]])</f>
        <v>0.55598455598455598</v>
      </c>
      <c r="AH4615" s="5">
        <f>IF(SalesData[[#This Row],[Customers Visited]]=0,0,SalesData[[#This Row],[Contracts Signed]]/SalesData[[#This Row],[Customers Visited]])</f>
        <v>0.138996138996139</v>
      </c>
      <c r="AI4615" s="6">
        <f>IF(SalesData[[#This Row],[Contracts Signed]]=0,0,SalesData[[#This Row],[Profit(€)]]/SalesData[[#This Row],[Contracts Signed]])</f>
        <v>14611</v>
      </c>
      <c r="AJ4615" s="5" t="str">
        <f>TRIM(CLEAN(SalesData[[#This Row],[Retailer]]))</f>
        <v>Main Auto Hub</v>
      </c>
    </row>
    <row r="4616" spans="1:36" ht="14.25" hidden="1" x14ac:dyDescent="0.2">
      <c r="A4616" t="s">
        <v>5889</v>
      </c>
      <c r="B4616" s="1">
        <v>46059</v>
      </c>
      <c r="C4616" t="s">
        <v>24</v>
      </c>
      <c r="D4616" t="s">
        <v>54</v>
      </c>
      <c r="E4616" t="s">
        <v>26</v>
      </c>
      <c r="F4616" t="s">
        <v>114</v>
      </c>
      <c r="G4616" t="s">
        <v>115</v>
      </c>
      <c r="H4616" t="s">
        <v>115</v>
      </c>
      <c r="I4616" t="s">
        <v>104</v>
      </c>
      <c r="J4616" t="s">
        <v>7061</v>
      </c>
      <c r="K4616" t="s">
        <v>32</v>
      </c>
      <c r="L4616" t="s">
        <v>46</v>
      </c>
      <c r="M4616" t="s">
        <v>34</v>
      </c>
      <c r="N4616" t="s">
        <v>69</v>
      </c>
      <c r="O4616" t="s">
        <v>36</v>
      </c>
      <c r="P4616" t="s">
        <v>37</v>
      </c>
      <c r="Q4616" t="s">
        <v>152</v>
      </c>
      <c r="R4616">
        <v>395</v>
      </c>
      <c r="S4616">
        <v>167</v>
      </c>
      <c r="T4616">
        <v>105</v>
      </c>
      <c r="U4616">
        <v>29</v>
      </c>
      <c r="V4616" t="s">
        <v>1721</v>
      </c>
      <c r="W4616">
        <v>26567</v>
      </c>
      <c r="X4616" t="s">
        <v>765</v>
      </c>
      <c r="Y4616">
        <v>24088</v>
      </c>
      <c r="Z4616">
        <v>770443</v>
      </c>
      <c r="AA4616">
        <v>71891</v>
      </c>
      <c r="AB4616" t="str">
        <f>(VLOOKUP(SalesData[[#This Row],[Month Number]],Reference!C$5:E$16,2,FALSE))</f>
        <v>Feb</v>
      </c>
      <c r="AC4616">
        <f>MONTH(SalesData[[#This Row],[Date]])</f>
        <v>2</v>
      </c>
      <c r="AD4616">
        <f>Reference!F$4</f>
        <v>2026</v>
      </c>
      <c r="AE4616" t="str">
        <f>IF(OR(SalesData[[#This Row],[Day]]="Saturday",SalesData[[#This Row],[Day]]="Sunday"),"Weekend","Weekday")</f>
        <v>Weekday</v>
      </c>
      <c r="AF4616" s="5">
        <f>IF(SalesData[[#This Row],[Contracts Offered]]=0,0,SalesData[[#This Row],[Contracts Signed]]/SalesData[[#This Row],[Contracts Offered]])</f>
        <v>0.27619047619047621</v>
      </c>
      <c r="AG4616" s="5">
        <f>IF(SalesData[[#This Row],[Customers Visited]]=0,0,SalesData[[#This Row],[Test Drives]]/SalesData[[#This Row],[Customers Visited]])</f>
        <v>0.42278481012658226</v>
      </c>
      <c r="AH4616" s="5">
        <f>IF(SalesData[[#This Row],[Customers Visited]]=0,0,SalesData[[#This Row],[Contracts Signed]]/SalesData[[#This Row],[Customers Visited]])</f>
        <v>7.3417721518987344E-2</v>
      </c>
      <c r="AI4616" s="6">
        <f>IF(SalesData[[#This Row],[Contracts Signed]]=0,0,SalesData[[#This Row],[Profit(€)]]/SalesData[[#This Row],[Contracts Signed]])</f>
        <v>2479</v>
      </c>
      <c r="AJ4616" s="5" t="str">
        <f>TRIM(CLEAN(SalesData[[#This Row],[Retailer]]))</f>
        <v>Elbe Drive</v>
      </c>
    </row>
    <row r="4617" spans="1:36" ht="14.25" hidden="1" x14ac:dyDescent="0.2">
      <c r="A4617" t="s">
        <v>5890</v>
      </c>
      <c r="B4617" s="1">
        <v>46072</v>
      </c>
      <c r="C4617" t="s">
        <v>62</v>
      </c>
      <c r="D4617" t="s">
        <v>100</v>
      </c>
      <c r="E4617" t="s">
        <v>26</v>
      </c>
      <c r="F4617" t="s">
        <v>27</v>
      </c>
      <c r="G4617" t="s">
        <v>28</v>
      </c>
      <c r="H4617" t="s">
        <v>29</v>
      </c>
      <c r="I4617" t="s">
        <v>64</v>
      </c>
      <c r="J4617" t="s">
        <v>111</v>
      </c>
      <c r="K4617" t="s">
        <v>32</v>
      </c>
      <c r="L4617" t="s">
        <v>46</v>
      </c>
      <c r="M4617" t="s">
        <v>47</v>
      </c>
      <c r="N4617" t="s">
        <v>69</v>
      </c>
      <c r="O4617" t="s">
        <v>70</v>
      </c>
      <c r="P4617" t="s">
        <v>37</v>
      </c>
      <c r="Q4617" t="s">
        <v>158</v>
      </c>
      <c r="R4617">
        <v>204</v>
      </c>
      <c r="S4617">
        <v>99</v>
      </c>
      <c r="T4617">
        <v>74</v>
      </c>
      <c r="U4617">
        <v>22</v>
      </c>
      <c r="V4617" t="s">
        <v>6433</v>
      </c>
      <c r="W4617">
        <v>66651</v>
      </c>
      <c r="X4617" t="s">
        <v>7386</v>
      </c>
      <c r="Y4617">
        <v>50217</v>
      </c>
      <c r="Z4617">
        <v>1466322</v>
      </c>
      <c r="AA4617">
        <v>361548</v>
      </c>
      <c r="AB4617" t="str">
        <f>(VLOOKUP(SalesData[[#This Row],[Month Number]],Reference!C$5:E$16,2,FALSE))</f>
        <v>Feb</v>
      </c>
      <c r="AC4617">
        <f>MONTH(SalesData[[#This Row],[Date]])</f>
        <v>2</v>
      </c>
      <c r="AD4617">
        <f>Reference!F$4</f>
        <v>2026</v>
      </c>
      <c r="AE4617" t="str">
        <f>IF(OR(SalesData[[#This Row],[Day]]="Saturday",SalesData[[#This Row],[Day]]="Sunday"),"Weekend","Weekday")</f>
        <v>Weekday</v>
      </c>
      <c r="AF4617" s="5">
        <f>IF(SalesData[[#This Row],[Contracts Offered]]=0,0,SalesData[[#This Row],[Contracts Signed]]/SalesData[[#This Row],[Contracts Offered]])</f>
        <v>0.29729729729729731</v>
      </c>
      <c r="AG4617" s="5">
        <f>IF(SalesData[[#This Row],[Customers Visited]]=0,0,SalesData[[#This Row],[Test Drives]]/SalesData[[#This Row],[Customers Visited]])</f>
        <v>0.48529411764705882</v>
      </c>
      <c r="AH4617" s="5">
        <f>IF(SalesData[[#This Row],[Customers Visited]]=0,0,SalesData[[#This Row],[Contracts Signed]]/SalesData[[#This Row],[Customers Visited]])</f>
        <v>0.10784313725490197</v>
      </c>
      <c r="AI4617" s="6">
        <f>IF(SalesData[[#This Row],[Contracts Signed]]=0,0,SalesData[[#This Row],[Profit(€)]]/SalesData[[#This Row],[Contracts Signed]])</f>
        <v>16434</v>
      </c>
      <c r="AJ4617" s="5" t="str">
        <f>TRIM(CLEAN(SalesData[[#This Row],[Retailer]]))</f>
        <v>Main Auto Hub</v>
      </c>
    </row>
    <row r="4618" spans="1:36" ht="14.25" hidden="1" x14ac:dyDescent="0.2">
      <c r="A4618" t="s">
        <v>5892</v>
      </c>
      <c r="B4618" s="1">
        <v>46057</v>
      </c>
      <c r="C4618" t="s">
        <v>24</v>
      </c>
      <c r="D4618" t="s">
        <v>82</v>
      </c>
      <c r="E4618" t="s">
        <v>26</v>
      </c>
      <c r="F4618" t="s">
        <v>43</v>
      </c>
      <c r="G4618" t="s">
        <v>44</v>
      </c>
      <c r="H4618" t="s">
        <v>45</v>
      </c>
      <c r="I4618" t="s">
        <v>64</v>
      </c>
      <c r="J4618" t="s">
        <v>111</v>
      </c>
      <c r="K4618" t="s">
        <v>91</v>
      </c>
      <c r="L4618" t="s">
        <v>46</v>
      </c>
      <c r="M4618" t="s">
        <v>34</v>
      </c>
      <c r="N4618" t="s">
        <v>35</v>
      </c>
      <c r="O4618" t="s">
        <v>36</v>
      </c>
      <c r="P4618" t="s">
        <v>71</v>
      </c>
      <c r="Q4618" t="s">
        <v>240</v>
      </c>
      <c r="R4618">
        <v>205</v>
      </c>
      <c r="S4618">
        <v>93</v>
      </c>
      <c r="T4618">
        <v>71</v>
      </c>
      <c r="U4618">
        <v>24</v>
      </c>
      <c r="V4618" t="s">
        <v>6546</v>
      </c>
      <c r="W4618">
        <v>52292</v>
      </c>
      <c r="X4618" t="s">
        <v>7091</v>
      </c>
      <c r="Y4618">
        <v>38921</v>
      </c>
      <c r="Z4618">
        <v>1255008</v>
      </c>
      <c r="AA4618">
        <v>320904</v>
      </c>
      <c r="AB4618" t="str">
        <f>(VLOOKUP(SalesData[[#This Row],[Month Number]],Reference!C$5:E$16,2,FALSE))</f>
        <v>Feb</v>
      </c>
      <c r="AC4618">
        <f>MONTH(SalesData[[#This Row],[Date]])</f>
        <v>2</v>
      </c>
      <c r="AD4618">
        <f>Reference!F$4</f>
        <v>2026</v>
      </c>
      <c r="AE4618" t="str">
        <f>IF(OR(SalesData[[#This Row],[Day]]="Saturday",SalesData[[#This Row],[Day]]="Sunday"),"Weekend","Weekday")</f>
        <v>Weekday</v>
      </c>
      <c r="AF4618" s="5">
        <f>IF(SalesData[[#This Row],[Contracts Offered]]=0,0,SalesData[[#This Row],[Contracts Signed]]/SalesData[[#This Row],[Contracts Offered]])</f>
        <v>0.3380281690140845</v>
      </c>
      <c r="AG4618" s="5">
        <f>IF(SalesData[[#This Row],[Customers Visited]]=0,0,SalesData[[#This Row],[Test Drives]]/SalesData[[#This Row],[Customers Visited]])</f>
        <v>0.45365853658536587</v>
      </c>
      <c r="AH4618" s="5">
        <f>IF(SalesData[[#This Row],[Customers Visited]]=0,0,SalesData[[#This Row],[Contracts Signed]]/SalesData[[#This Row],[Customers Visited]])</f>
        <v>0.11707317073170732</v>
      </c>
      <c r="AI4618" s="6">
        <f>IF(SalesData[[#This Row],[Contracts Signed]]=0,0,SalesData[[#This Row],[Profit(€)]]/SalesData[[#This Row],[Contracts Signed]])</f>
        <v>13371</v>
      </c>
      <c r="AJ4618" s="5" t="str">
        <f>TRIM(CLEAN(SalesData[[#This Row],[Retailer]]))</f>
        <v>Saxon Wheels</v>
      </c>
    </row>
    <row r="4619" spans="1:36" ht="14.25" hidden="1" x14ac:dyDescent="0.2">
      <c r="A4619" t="s">
        <v>5893</v>
      </c>
      <c r="B4619" s="1">
        <v>46078</v>
      </c>
      <c r="C4619" t="s">
        <v>53</v>
      </c>
      <c r="D4619" t="s">
        <v>82</v>
      </c>
      <c r="E4619" t="s">
        <v>26</v>
      </c>
      <c r="F4619" t="s">
        <v>114</v>
      </c>
      <c r="G4619" t="s">
        <v>115</v>
      </c>
      <c r="H4619" t="s">
        <v>115</v>
      </c>
      <c r="I4619" t="s">
        <v>56</v>
      </c>
      <c r="J4619" t="s">
        <v>179</v>
      </c>
      <c r="K4619" t="s">
        <v>78</v>
      </c>
      <c r="L4619" t="s">
        <v>67</v>
      </c>
      <c r="M4619" t="s">
        <v>87</v>
      </c>
      <c r="N4619" t="s">
        <v>69</v>
      </c>
      <c r="O4619" t="s">
        <v>70</v>
      </c>
      <c r="P4619" t="s">
        <v>37</v>
      </c>
      <c r="Q4619" t="s">
        <v>172</v>
      </c>
      <c r="R4619">
        <v>304</v>
      </c>
      <c r="S4619">
        <v>146</v>
      </c>
      <c r="T4619">
        <v>108</v>
      </c>
      <c r="U4619">
        <v>31</v>
      </c>
      <c r="V4619" t="s">
        <v>6789</v>
      </c>
      <c r="W4619">
        <v>42393</v>
      </c>
      <c r="X4619" t="s">
        <v>750</v>
      </c>
      <c r="Y4619">
        <v>33575</v>
      </c>
      <c r="Z4619">
        <v>1314183</v>
      </c>
      <c r="AA4619">
        <v>273358</v>
      </c>
      <c r="AB4619" t="str">
        <f>(VLOOKUP(SalesData[[#This Row],[Month Number]],Reference!C$5:E$16,2,FALSE))</f>
        <v>Feb</v>
      </c>
      <c r="AC4619">
        <f>MONTH(SalesData[[#This Row],[Date]])</f>
        <v>2</v>
      </c>
      <c r="AD4619">
        <f>Reference!F$4</f>
        <v>2026</v>
      </c>
      <c r="AE4619" t="str">
        <f>IF(OR(SalesData[[#This Row],[Day]]="Saturday",SalesData[[#This Row],[Day]]="Sunday"),"Weekend","Weekday")</f>
        <v>Weekday</v>
      </c>
      <c r="AF4619" s="5">
        <f>IF(SalesData[[#This Row],[Contracts Offered]]=0,0,SalesData[[#This Row],[Contracts Signed]]/SalesData[[#This Row],[Contracts Offered]])</f>
        <v>0.28703703703703703</v>
      </c>
      <c r="AG4619" s="5">
        <f>IF(SalesData[[#This Row],[Customers Visited]]=0,0,SalesData[[#This Row],[Test Drives]]/SalesData[[#This Row],[Customers Visited]])</f>
        <v>0.48026315789473684</v>
      </c>
      <c r="AH4619" s="5">
        <f>IF(SalesData[[#This Row],[Customers Visited]]=0,0,SalesData[[#This Row],[Contracts Signed]]/SalesData[[#This Row],[Customers Visited]])</f>
        <v>0.10197368421052631</v>
      </c>
      <c r="AI4619" s="6">
        <f>IF(SalesData[[#This Row],[Contracts Signed]]=0,0,SalesData[[#This Row],[Profit(€)]]/SalesData[[#This Row],[Contracts Signed]])</f>
        <v>8818</v>
      </c>
      <c r="AJ4619" s="5" t="str">
        <f>TRIM(CLEAN(SalesData[[#This Row],[Retailer]]))</f>
        <v>Elbe Drive</v>
      </c>
    </row>
    <row r="4620" spans="1:36" ht="14.25" x14ac:dyDescent="0.2">
      <c r="A4620" t="s">
        <v>5894</v>
      </c>
      <c r="B4620" s="1">
        <v>46061</v>
      </c>
      <c r="C4620" t="s">
        <v>121</v>
      </c>
      <c r="D4620" t="s">
        <v>41</v>
      </c>
      <c r="E4620" t="s">
        <v>42</v>
      </c>
      <c r="F4620" t="s">
        <v>127</v>
      </c>
      <c r="G4620" t="s">
        <v>128</v>
      </c>
      <c r="H4620" t="s">
        <v>103</v>
      </c>
      <c r="I4620" t="s">
        <v>30</v>
      </c>
      <c r="J4620" t="s">
        <v>166</v>
      </c>
      <c r="K4620" t="s">
        <v>66</v>
      </c>
      <c r="L4620" t="s">
        <v>46</v>
      </c>
      <c r="M4620" t="s">
        <v>47</v>
      </c>
      <c r="N4620" t="s">
        <v>69</v>
      </c>
      <c r="O4620" t="s">
        <v>70</v>
      </c>
      <c r="P4620" t="s">
        <v>71</v>
      </c>
      <c r="Q4620" t="s">
        <v>88</v>
      </c>
      <c r="R4620">
        <v>157</v>
      </c>
      <c r="S4620">
        <v>78</v>
      </c>
      <c r="T4620">
        <v>59</v>
      </c>
      <c r="U4620">
        <v>21</v>
      </c>
      <c r="V4620" t="s">
        <v>6476</v>
      </c>
      <c r="W4620">
        <v>49419</v>
      </c>
      <c r="X4620" t="s">
        <v>7593</v>
      </c>
      <c r="Y4620">
        <v>38437</v>
      </c>
      <c r="Z4620">
        <v>1037799</v>
      </c>
      <c r="AA4620">
        <v>230622</v>
      </c>
      <c r="AB4620" t="str">
        <f>(VLOOKUP(SalesData[[#This Row],[Month Number]],Reference!C$5:E$16,2,FALSE))</f>
        <v>Feb</v>
      </c>
      <c r="AC4620">
        <f>MONTH(SalesData[[#This Row],[Date]])</f>
        <v>2</v>
      </c>
      <c r="AD4620">
        <f>Reference!F$4</f>
        <v>2026</v>
      </c>
      <c r="AE4620" t="str">
        <f>IF(OR(SalesData[[#This Row],[Day]]="Saturday",SalesData[[#This Row],[Day]]="Sunday"),"Weekend","Weekday")</f>
        <v>Weekend</v>
      </c>
      <c r="AF4620" s="5">
        <f>IF(SalesData[[#This Row],[Contracts Offered]]=0,0,SalesData[[#This Row],[Contracts Signed]]/SalesData[[#This Row],[Contracts Offered]])</f>
        <v>0.3559322033898305</v>
      </c>
      <c r="AG4620" s="5">
        <f>IF(SalesData[[#This Row],[Customers Visited]]=0,0,SalesData[[#This Row],[Test Drives]]/SalesData[[#This Row],[Customers Visited]])</f>
        <v>0.49681528662420382</v>
      </c>
      <c r="AH4620" s="5">
        <f>IF(SalesData[[#This Row],[Customers Visited]]=0,0,SalesData[[#This Row],[Contracts Signed]]/SalesData[[#This Row],[Customers Visited]])</f>
        <v>0.13375796178343949</v>
      </c>
      <c r="AI4620" s="6">
        <f>IF(SalesData[[#This Row],[Contracts Signed]]=0,0,SalesData[[#This Row],[Profit(€)]]/SalesData[[#This Row],[Contracts Signed]])</f>
        <v>10982</v>
      </c>
      <c r="AJ4620" s="5" t="str">
        <f>TRIM(CLEAN(SalesData[[#This Row],[Retailer]]))</f>
        <v>Rhein Auto Group</v>
      </c>
    </row>
    <row r="4621" spans="1:36" ht="14.25" hidden="1" x14ac:dyDescent="0.2">
      <c r="A4621" t="s">
        <v>5895</v>
      </c>
      <c r="B4621" s="1">
        <v>46055</v>
      </c>
      <c r="C4621" t="s">
        <v>24</v>
      </c>
      <c r="D4621" t="s">
        <v>25</v>
      </c>
      <c r="E4621" t="s">
        <v>26</v>
      </c>
      <c r="F4621" t="s">
        <v>114</v>
      </c>
      <c r="G4621" t="s">
        <v>115</v>
      </c>
      <c r="H4621" t="s">
        <v>115</v>
      </c>
      <c r="I4621" t="s">
        <v>116</v>
      </c>
      <c r="J4621" t="s">
        <v>117</v>
      </c>
      <c r="K4621" t="s">
        <v>32</v>
      </c>
      <c r="L4621" t="s">
        <v>67</v>
      </c>
      <c r="M4621" t="s">
        <v>47</v>
      </c>
      <c r="N4621" t="s">
        <v>48</v>
      </c>
      <c r="O4621" t="s">
        <v>70</v>
      </c>
      <c r="P4621" t="s">
        <v>71</v>
      </c>
      <c r="Q4621" t="s">
        <v>158</v>
      </c>
      <c r="R4621">
        <v>365</v>
      </c>
      <c r="S4621">
        <v>144</v>
      </c>
      <c r="T4621">
        <v>99</v>
      </c>
      <c r="U4621">
        <v>22</v>
      </c>
      <c r="V4621" t="s">
        <v>3899</v>
      </c>
      <c r="W4621">
        <v>25369</v>
      </c>
      <c r="X4621" t="s">
        <v>2116</v>
      </c>
      <c r="Y4621">
        <v>23548</v>
      </c>
      <c r="Z4621">
        <v>558118</v>
      </c>
      <c r="AA4621">
        <v>40062</v>
      </c>
      <c r="AB4621" t="str">
        <f>(VLOOKUP(SalesData[[#This Row],[Month Number]],Reference!C$5:E$16,2,FALSE))</f>
        <v>Feb</v>
      </c>
      <c r="AC4621">
        <f>MONTH(SalesData[[#This Row],[Date]])</f>
        <v>2</v>
      </c>
      <c r="AD4621">
        <f>Reference!F$4</f>
        <v>2026</v>
      </c>
      <c r="AE4621" t="str">
        <f>IF(OR(SalesData[[#This Row],[Day]]="Saturday",SalesData[[#This Row],[Day]]="Sunday"),"Weekend","Weekday")</f>
        <v>Weekday</v>
      </c>
      <c r="AF4621" s="5">
        <f>IF(SalesData[[#This Row],[Contracts Offered]]=0,0,SalesData[[#This Row],[Contracts Signed]]/SalesData[[#This Row],[Contracts Offered]])</f>
        <v>0.22222222222222221</v>
      </c>
      <c r="AG4621" s="5">
        <f>IF(SalesData[[#This Row],[Customers Visited]]=0,0,SalesData[[#This Row],[Test Drives]]/SalesData[[#This Row],[Customers Visited]])</f>
        <v>0.39452054794520547</v>
      </c>
      <c r="AH4621" s="5">
        <f>IF(SalesData[[#This Row],[Customers Visited]]=0,0,SalesData[[#This Row],[Contracts Signed]]/SalesData[[#This Row],[Customers Visited]])</f>
        <v>6.0273972602739728E-2</v>
      </c>
      <c r="AI4621" s="6">
        <f>IF(SalesData[[#This Row],[Contracts Signed]]=0,0,SalesData[[#This Row],[Profit(€)]]/SalesData[[#This Row],[Contracts Signed]])</f>
        <v>1821</v>
      </c>
      <c r="AJ4621" s="5" t="str">
        <f>TRIM(CLEAN(SalesData[[#This Row],[Retailer]]))</f>
        <v>Elbe Drive</v>
      </c>
    </row>
    <row r="4622" spans="1:36" ht="14.25" x14ac:dyDescent="0.2">
      <c r="A4622" t="s">
        <v>5896</v>
      </c>
      <c r="B4622" s="1">
        <v>46078</v>
      </c>
      <c r="C4622" t="s">
        <v>53</v>
      </c>
      <c r="D4622" t="s">
        <v>82</v>
      </c>
      <c r="E4622" t="s">
        <v>26</v>
      </c>
      <c r="F4622" t="s">
        <v>83</v>
      </c>
      <c r="G4622" t="s">
        <v>84</v>
      </c>
      <c r="H4622" t="s">
        <v>85</v>
      </c>
      <c r="I4622" t="s">
        <v>30</v>
      </c>
      <c r="J4622" t="s">
        <v>7075</v>
      </c>
      <c r="K4622" t="s">
        <v>78</v>
      </c>
      <c r="L4622" t="s">
        <v>33</v>
      </c>
      <c r="M4622" t="s">
        <v>47</v>
      </c>
      <c r="N4622" t="s">
        <v>35</v>
      </c>
      <c r="O4622" t="s">
        <v>36</v>
      </c>
      <c r="P4622" t="s">
        <v>37</v>
      </c>
      <c r="Q4622" t="s">
        <v>129</v>
      </c>
      <c r="R4622">
        <v>264</v>
      </c>
      <c r="S4622">
        <v>159</v>
      </c>
      <c r="T4622">
        <v>111</v>
      </c>
      <c r="U4622">
        <v>45</v>
      </c>
      <c r="V4622" t="s">
        <v>6760</v>
      </c>
      <c r="W4622">
        <v>62814</v>
      </c>
      <c r="X4622" t="s">
        <v>7615</v>
      </c>
      <c r="Y4622">
        <v>45223</v>
      </c>
      <c r="Z4622">
        <v>2826630</v>
      </c>
      <c r="AA4622">
        <v>791595</v>
      </c>
      <c r="AB4622" t="str">
        <f>(VLOOKUP(SalesData[[#This Row],[Month Number]],Reference!C$5:E$16,2,FALSE))</f>
        <v>Feb</v>
      </c>
      <c r="AC4622">
        <f>MONTH(SalesData[[#This Row],[Date]])</f>
        <v>2</v>
      </c>
      <c r="AD4622">
        <f>Reference!F$4</f>
        <v>2026</v>
      </c>
      <c r="AE4622" t="str">
        <f>IF(OR(SalesData[[#This Row],[Day]]="Saturday",SalesData[[#This Row],[Day]]="Sunday"),"Weekend","Weekday")</f>
        <v>Weekday</v>
      </c>
      <c r="AF4622" s="5">
        <f>IF(SalesData[[#This Row],[Contracts Offered]]=0,0,SalesData[[#This Row],[Contracts Signed]]/SalesData[[#This Row],[Contracts Offered]])</f>
        <v>0.40540540540540543</v>
      </c>
      <c r="AG4622" s="5">
        <f>IF(SalesData[[#This Row],[Customers Visited]]=0,0,SalesData[[#This Row],[Test Drives]]/SalesData[[#This Row],[Customers Visited]])</f>
        <v>0.60227272727272729</v>
      </c>
      <c r="AH4622" s="5">
        <f>IF(SalesData[[#This Row],[Customers Visited]]=0,0,SalesData[[#This Row],[Contracts Signed]]/SalesData[[#This Row],[Customers Visited]])</f>
        <v>0.17045454545454544</v>
      </c>
      <c r="AI4622" s="6">
        <f>IF(SalesData[[#This Row],[Contracts Signed]]=0,0,SalesData[[#This Row],[Profit(€)]]/SalesData[[#This Row],[Contracts Signed]])</f>
        <v>17591</v>
      </c>
      <c r="AJ4622" s="5" t="str">
        <f>TRIM(CLEAN(SalesData[[#This Row],[Retailer]]))</f>
        <v>Hannover Cars</v>
      </c>
    </row>
    <row r="4623" spans="1:36" ht="14.25" hidden="1" x14ac:dyDescent="0.2">
      <c r="A4623" t="s">
        <v>5897</v>
      </c>
      <c r="B4623" s="1">
        <v>46056</v>
      </c>
      <c r="C4623" t="s">
        <v>24</v>
      </c>
      <c r="D4623" t="s">
        <v>63</v>
      </c>
      <c r="E4623" t="s">
        <v>26</v>
      </c>
      <c r="F4623" t="s">
        <v>114</v>
      </c>
      <c r="G4623" t="s">
        <v>115</v>
      </c>
      <c r="H4623" t="s">
        <v>115</v>
      </c>
      <c r="I4623" t="s">
        <v>104</v>
      </c>
      <c r="J4623" t="s">
        <v>143</v>
      </c>
      <c r="K4623" t="s">
        <v>66</v>
      </c>
      <c r="L4623" t="s">
        <v>67</v>
      </c>
      <c r="M4623" t="s">
        <v>68</v>
      </c>
      <c r="N4623" t="s">
        <v>48</v>
      </c>
      <c r="O4623" t="s">
        <v>70</v>
      </c>
      <c r="P4623" t="s">
        <v>37</v>
      </c>
      <c r="Q4623" t="s">
        <v>50</v>
      </c>
      <c r="R4623">
        <v>318</v>
      </c>
      <c r="S4623">
        <v>148</v>
      </c>
      <c r="T4623">
        <v>100</v>
      </c>
      <c r="U4623">
        <v>19</v>
      </c>
      <c r="V4623" t="s">
        <v>1644</v>
      </c>
      <c r="W4623">
        <v>30427</v>
      </c>
      <c r="X4623" t="s">
        <v>3069</v>
      </c>
      <c r="Y4623">
        <v>27036</v>
      </c>
      <c r="Z4623">
        <v>578113</v>
      </c>
      <c r="AA4623">
        <v>64429</v>
      </c>
      <c r="AB4623" t="str">
        <f>(VLOOKUP(SalesData[[#This Row],[Month Number]],Reference!C$5:E$16,2,FALSE))</f>
        <v>Feb</v>
      </c>
      <c r="AC4623">
        <f>MONTH(SalesData[[#This Row],[Date]])</f>
        <v>2</v>
      </c>
      <c r="AD4623">
        <f>Reference!F$4</f>
        <v>2026</v>
      </c>
      <c r="AE4623" t="str">
        <f>IF(OR(SalesData[[#This Row],[Day]]="Saturday",SalesData[[#This Row],[Day]]="Sunday"),"Weekend","Weekday")</f>
        <v>Weekday</v>
      </c>
      <c r="AF4623" s="5">
        <f>IF(SalesData[[#This Row],[Contracts Offered]]=0,0,SalesData[[#This Row],[Contracts Signed]]/SalesData[[#This Row],[Contracts Offered]])</f>
        <v>0.19</v>
      </c>
      <c r="AG4623" s="5">
        <f>IF(SalesData[[#This Row],[Customers Visited]]=0,0,SalesData[[#This Row],[Test Drives]]/SalesData[[#This Row],[Customers Visited]])</f>
        <v>0.46540880503144655</v>
      </c>
      <c r="AH4623" s="5">
        <f>IF(SalesData[[#This Row],[Customers Visited]]=0,0,SalesData[[#This Row],[Contracts Signed]]/SalesData[[#This Row],[Customers Visited]])</f>
        <v>5.9748427672955975E-2</v>
      </c>
      <c r="AI4623" s="6">
        <f>IF(SalesData[[#This Row],[Contracts Signed]]=0,0,SalesData[[#This Row],[Profit(€)]]/SalesData[[#This Row],[Contracts Signed]])</f>
        <v>3391</v>
      </c>
      <c r="AJ4623" s="5" t="str">
        <f>TRIM(CLEAN(SalesData[[#This Row],[Retailer]]))</f>
        <v>Elbe Drive</v>
      </c>
    </row>
    <row r="4624" spans="1:36" ht="14.25" x14ac:dyDescent="0.2">
      <c r="A4624" t="s">
        <v>5898</v>
      </c>
      <c r="B4624" s="1">
        <v>46072</v>
      </c>
      <c r="C4624" t="s">
        <v>62</v>
      </c>
      <c r="D4624" t="s">
        <v>100</v>
      </c>
      <c r="E4624" t="s">
        <v>26</v>
      </c>
      <c r="F4624" t="s">
        <v>27</v>
      </c>
      <c r="G4624" t="s">
        <v>28</v>
      </c>
      <c r="H4624" t="s">
        <v>29</v>
      </c>
      <c r="I4624" t="s">
        <v>30</v>
      </c>
      <c r="J4624" t="s">
        <v>7075</v>
      </c>
      <c r="K4624" t="s">
        <v>78</v>
      </c>
      <c r="L4624" t="s">
        <v>33</v>
      </c>
      <c r="M4624" t="s">
        <v>34</v>
      </c>
      <c r="N4624" t="s">
        <v>69</v>
      </c>
      <c r="O4624" t="s">
        <v>36</v>
      </c>
      <c r="P4624" t="s">
        <v>37</v>
      </c>
      <c r="Q4624" t="s">
        <v>50</v>
      </c>
      <c r="R4624">
        <v>240</v>
      </c>
      <c r="S4624">
        <v>147</v>
      </c>
      <c r="T4624">
        <v>109</v>
      </c>
      <c r="U4624">
        <v>40</v>
      </c>
      <c r="V4624" t="s">
        <v>6933</v>
      </c>
      <c r="W4624">
        <v>65522</v>
      </c>
      <c r="X4624" t="s">
        <v>7260</v>
      </c>
      <c r="Y4624">
        <v>47587</v>
      </c>
      <c r="Z4624">
        <v>2620880</v>
      </c>
      <c r="AA4624">
        <v>717400</v>
      </c>
      <c r="AB4624" t="str">
        <f>(VLOOKUP(SalesData[[#This Row],[Month Number]],Reference!C$5:E$16,2,FALSE))</f>
        <v>Feb</v>
      </c>
      <c r="AC4624">
        <f>MONTH(SalesData[[#This Row],[Date]])</f>
        <v>2</v>
      </c>
      <c r="AD4624">
        <f>Reference!F$4</f>
        <v>2026</v>
      </c>
      <c r="AE4624" t="str">
        <f>IF(OR(SalesData[[#This Row],[Day]]="Saturday",SalesData[[#This Row],[Day]]="Sunday"),"Weekend","Weekday")</f>
        <v>Weekday</v>
      </c>
      <c r="AF4624" s="5">
        <f>IF(SalesData[[#This Row],[Contracts Offered]]=0,0,SalesData[[#This Row],[Contracts Signed]]/SalesData[[#This Row],[Contracts Offered]])</f>
        <v>0.3669724770642202</v>
      </c>
      <c r="AG4624" s="5">
        <f>IF(SalesData[[#This Row],[Customers Visited]]=0,0,SalesData[[#This Row],[Test Drives]]/SalesData[[#This Row],[Customers Visited]])</f>
        <v>0.61250000000000004</v>
      </c>
      <c r="AH4624" s="5">
        <f>IF(SalesData[[#This Row],[Customers Visited]]=0,0,SalesData[[#This Row],[Contracts Signed]]/SalesData[[#This Row],[Customers Visited]])</f>
        <v>0.16666666666666666</v>
      </c>
      <c r="AI4624" s="6">
        <f>IF(SalesData[[#This Row],[Contracts Signed]]=0,0,SalesData[[#This Row],[Profit(€)]]/SalesData[[#This Row],[Contracts Signed]])</f>
        <v>17935</v>
      </c>
      <c r="AJ4624" s="5" t="str">
        <f>TRIM(CLEAN(SalesData[[#This Row],[Retailer]]))</f>
        <v>Main Auto Hub</v>
      </c>
    </row>
    <row r="4625" spans="1:36" ht="14.25" hidden="1" x14ac:dyDescent="0.2">
      <c r="A4625" t="s">
        <v>5899</v>
      </c>
      <c r="B4625" s="1">
        <v>46061</v>
      </c>
      <c r="C4625" t="s">
        <v>121</v>
      </c>
      <c r="D4625" t="s">
        <v>41</v>
      </c>
      <c r="E4625" t="s">
        <v>42</v>
      </c>
      <c r="F4625" t="s">
        <v>114</v>
      </c>
      <c r="G4625" t="s">
        <v>115</v>
      </c>
      <c r="H4625" t="s">
        <v>115</v>
      </c>
      <c r="I4625" t="s">
        <v>56</v>
      </c>
      <c r="J4625" t="s">
        <v>97</v>
      </c>
      <c r="K4625" t="s">
        <v>66</v>
      </c>
      <c r="L4625" t="s">
        <v>33</v>
      </c>
      <c r="M4625" t="s">
        <v>47</v>
      </c>
      <c r="N4625" t="s">
        <v>35</v>
      </c>
      <c r="O4625" t="s">
        <v>36</v>
      </c>
      <c r="P4625" t="s">
        <v>49</v>
      </c>
      <c r="Q4625" t="s">
        <v>144</v>
      </c>
      <c r="R4625">
        <v>236</v>
      </c>
      <c r="S4625">
        <v>147</v>
      </c>
      <c r="T4625">
        <v>103</v>
      </c>
      <c r="U4625">
        <v>30</v>
      </c>
      <c r="V4625" t="s">
        <v>6728</v>
      </c>
      <c r="W4625">
        <v>43313</v>
      </c>
      <c r="X4625" t="s">
        <v>1903</v>
      </c>
      <c r="Y4625">
        <v>34248</v>
      </c>
      <c r="Z4625">
        <v>1299390</v>
      </c>
      <c r="AA4625">
        <v>271950</v>
      </c>
      <c r="AB4625" t="str">
        <f>(VLOOKUP(SalesData[[#This Row],[Month Number]],Reference!C$5:E$16,2,FALSE))</f>
        <v>Feb</v>
      </c>
      <c r="AC4625">
        <f>MONTH(SalesData[[#This Row],[Date]])</f>
        <v>2</v>
      </c>
      <c r="AD4625">
        <f>Reference!F$4</f>
        <v>2026</v>
      </c>
      <c r="AE4625" t="str">
        <f>IF(OR(SalesData[[#This Row],[Day]]="Saturday",SalesData[[#This Row],[Day]]="Sunday"),"Weekend","Weekday")</f>
        <v>Weekend</v>
      </c>
      <c r="AF4625" s="5">
        <f>IF(SalesData[[#This Row],[Contracts Offered]]=0,0,SalesData[[#This Row],[Contracts Signed]]/SalesData[[#This Row],[Contracts Offered]])</f>
        <v>0.29126213592233008</v>
      </c>
      <c r="AG4625" s="5">
        <f>IF(SalesData[[#This Row],[Customers Visited]]=0,0,SalesData[[#This Row],[Test Drives]]/SalesData[[#This Row],[Customers Visited]])</f>
        <v>0.6228813559322034</v>
      </c>
      <c r="AH4625" s="5">
        <f>IF(SalesData[[#This Row],[Customers Visited]]=0,0,SalesData[[#This Row],[Contracts Signed]]/SalesData[[#This Row],[Customers Visited]])</f>
        <v>0.1271186440677966</v>
      </c>
      <c r="AI4625" s="6">
        <f>IF(SalesData[[#This Row],[Contracts Signed]]=0,0,SalesData[[#This Row],[Profit(€)]]/SalesData[[#This Row],[Contracts Signed]])</f>
        <v>9065</v>
      </c>
      <c r="AJ4625" s="5" t="str">
        <f>TRIM(CLEAN(SalesData[[#This Row],[Retailer]]))</f>
        <v>Elbe Drive</v>
      </c>
    </row>
    <row r="4626" spans="1:36" ht="14.25" hidden="1" x14ac:dyDescent="0.2">
      <c r="A4626" t="s">
        <v>5900</v>
      </c>
      <c r="B4626" s="1">
        <v>46070</v>
      </c>
      <c r="C4626" t="s">
        <v>62</v>
      </c>
      <c r="D4626" t="s">
        <v>63</v>
      </c>
      <c r="E4626" t="s">
        <v>26</v>
      </c>
      <c r="F4626" t="s">
        <v>27</v>
      </c>
      <c r="G4626" t="s">
        <v>28</v>
      </c>
      <c r="H4626" t="s">
        <v>29</v>
      </c>
      <c r="I4626" t="s">
        <v>104</v>
      </c>
      <c r="J4626" t="s">
        <v>105</v>
      </c>
      <c r="K4626" t="s">
        <v>91</v>
      </c>
      <c r="L4626" t="s">
        <v>33</v>
      </c>
      <c r="M4626" t="s">
        <v>47</v>
      </c>
      <c r="N4626" t="s">
        <v>69</v>
      </c>
      <c r="O4626" t="s">
        <v>70</v>
      </c>
      <c r="P4626" t="s">
        <v>37</v>
      </c>
      <c r="Q4626" t="s">
        <v>172</v>
      </c>
      <c r="R4626">
        <v>262</v>
      </c>
      <c r="S4626">
        <v>149</v>
      </c>
      <c r="T4626">
        <v>101</v>
      </c>
      <c r="U4626">
        <v>23</v>
      </c>
      <c r="V4626" t="s">
        <v>3272</v>
      </c>
      <c r="W4626">
        <v>33901</v>
      </c>
      <c r="X4626" t="s">
        <v>4603</v>
      </c>
      <c r="Y4626">
        <v>29925</v>
      </c>
      <c r="Z4626">
        <v>779723</v>
      </c>
      <c r="AA4626">
        <v>91448</v>
      </c>
      <c r="AB4626" t="str">
        <f>(VLOOKUP(SalesData[[#This Row],[Month Number]],Reference!C$5:E$16,2,FALSE))</f>
        <v>Feb</v>
      </c>
      <c r="AC4626">
        <f>MONTH(SalesData[[#This Row],[Date]])</f>
        <v>2</v>
      </c>
      <c r="AD4626">
        <f>Reference!F$4</f>
        <v>2026</v>
      </c>
      <c r="AE4626" t="str">
        <f>IF(OR(SalesData[[#This Row],[Day]]="Saturday",SalesData[[#This Row],[Day]]="Sunday"),"Weekend","Weekday")</f>
        <v>Weekday</v>
      </c>
      <c r="AF4626" s="5">
        <f>IF(SalesData[[#This Row],[Contracts Offered]]=0,0,SalesData[[#This Row],[Contracts Signed]]/SalesData[[#This Row],[Contracts Offered]])</f>
        <v>0.22772277227722773</v>
      </c>
      <c r="AG4626" s="5">
        <f>IF(SalesData[[#This Row],[Customers Visited]]=0,0,SalesData[[#This Row],[Test Drives]]/SalesData[[#This Row],[Customers Visited]])</f>
        <v>0.56870229007633588</v>
      </c>
      <c r="AH4626" s="5">
        <f>IF(SalesData[[#This Row],[Customers Visited]]=0,0,SalesData[[#This Row],[Contracts Signed]]/SalesData[[#This Row],[Customers Visited]])</f>
        <v>8.7786259541984726E-2</v>
      </c>
      <c r="AI4626" s="6">
        <f>IF(SalesData[[#This Row],[Contracts Signed]]=0,0,SalesData[[#This Row],[Profit(€)]]/SalesData[[#This Row],[Contracts Signed]])</f>
        <v>3976</v>
      </c>
      <c r="AJ4626" s="5" t="str">
        <f>TRIM(CLEAN(SalesData[[#This Row],[Retailer]]))</f>
        <v>Main Auto Hub</v>
      </c>
    </row>
    <row r="4627" spans="1:36" ht="14.25" x14ac:dyDescent="0.2">
      <c r="A4627" t="s">
        <v>5901</v>
      </c>
      <c r="B4627" s="1">
        <v>46063</v>
      </c>
      <c r="C4627" t="s">
        <v>121</v>
      </c>
      <c r="D4627" t="s">
        <v>63</v>
      </c>
      <c r="E4627" t="s">
        <v>26</v>
      </c>
      <c r="F4627" t="s">
        <v>74</v>
      </c>
      <c r="G4627" t="s">
        <v>75</v>
      </c>
      <c r="H4627" t="s">
        <v>76</v>
      </c>
      <c r="I4627" t="s">
        <v>30</v>
      </c>
      <c r="J4627" t="s">
        <v>166</v>
      </c>
      <c r="K4627" t="s">
        <v>32</v>
      </c>
      <c r="L4627" t="s">
        <v>46</v>
      </c>
      <c r="M4627" t="s">
        <v>34</v>
      </c>
      <c r="N4627" t="s">
        <v>69</v>
      </c>
      <c r="O4627" t="s">
        <v>70</v>
      </c>
      <c r="P4627" t="s">
        <v>71</v>
      </c>
      <c r="Q4627" t="s">
        <v>38</v>
      </c>
      <c r="R4627">
        <v>167</v>
      </c>
      <c r="S4627">
        <v>92</v>
      </c>
      <c r="T4627">
        <v>67</v>
      </c>
      <c r="U4627">
        <v>27</v>
      </c>
      <c r="V4627" t="s">
        <v>7024</v>
      </c>
      <c r="W4627">
        <v>50528</v>
      </c>
      <c r="X4627" t="s">
        <v>7054</v>
      </c>
      <c r="Y4627">
        <v>39180</v>
      </c>
      <c r="Z4627">
        <v>1364256</v>
      </c>
      <c r="AA4627">
        <v>306396</v>
      </c>
      <c r="AB4627" t="str">
        <f>(VLOOKUP(SalesData[[#This Row],[Month Number]],Reference!C$5:E$16,2,FALSE))</f>
        <v>Feb</v>
      </c>
      <c r="AC4627">
        <f>MONTH(SalesData[[#This Row],[Date]])</f>
        <v>2</v>
      </c>
      <c r="AD4627">
        <f>Reference!F$4</f>
        <v>2026</v>
      </c>
      <c r="AE4627" t="str">
        <f>IF(OR(SalesData[[#This Row],[Day]]="Saturday",SalesData[[#This Row],[Day]]="Sunday"),"Weekend","Weekday")</f>
        <v>Weekday</v>
      </c>
      <c r="AF4627" s="5">
        <f>IF(SalesData[[#This Row],[Contracts Offered]]=0,0,SalesData[[#This Row],[Contracts Signed]]/SalesData[[#This Row],[Contracts Offered]])</f>
        <v>0.40298507462686567</v>
      </c>
      <c r="AG4627" s="5">
        <f>IF(SalesData[[#This Row],[Customers Visited]]=0,0,SalesData[[#This Row],[Test Drives]]/SalesData[[#This Row],[Customers Visited]])</f>
        <v>0.55089820359281438</v>
      </c>
      <c r="AH4627" s="5">
        <f>IF(SalesData[[#This Row],[Customers Visited]]=0,0,SalesData[[#This Row],[Contracts Signed]]/SalesData[[#This Row],[Customers Visited]])</f>
        <v>0.16167664670658682</v>
      </c>
      <c r="AI4627" s="6">
        <f>IF(SalesData[[#This Row],[Contracts Signed]]=0,0,SalesData[[#This Row],[Profit(€)]]/SalesData[[#This Row],[Contracts Signed]])</f>
        <v>11348</v>
      </c>
      <c r="AJ4627" s="5" t="str">
        <f>TRIM(CLEAN(SalesData[[#This Row],[Retailer]]))</f>
        <v>Stuttgart Auto Center</v>
      </c>
    </row>
    <row r="4628" spans="1:36" ht="14.25" hidden="1" x14ac:dyDescent="0.2">
      <c r="A4628" t="s">
        <v>5902</v>
      </c>
      <c r="B4628" s="1">
        <v>46066</v>
      </c>
      <c r="C4628" t="s">
        <v>121</v>
      </c>
      <c r="D4628" t="s">
        <v>54</v>
      </c>
      <c r="E4628" t="s">
        <v>26</v>
      </c>
      <c r="F4628" t="s">
        <v>127</v>
      </c>
      <c r="G4628" t="s">
        <v>128</v>
      </c>
      <c r="H4628" t="s">
        <v>103</v>
      </c>
      <c r="I4628" t="s">
        <v>56</v>
      </c>
      <c r="J4628" t="s">
        <v>179</v>
      </c>
      <c r="K4628" t="s">
        <v>32</v>
      </c>
      <c r="L4628" t="s">
        <v>67</v>
      </c>
      <c r="M4628" t="s">
        <v>34</v>
      </c>
      <c r="N4628" t="s">
        <v>69</v>
      </c>
      <c r="O4628" t="s">
        <v>36</v>
      </c>
      <c r="P4628" t="s">
        <v>71</v>
      </c>
      <c r="Q4628" t="s">
        <v>79</v>
      </c>
      <c r="R4628">
        <v>168</v>
      </c>
      <c r="S4628">
        <v>98</v>
      </c>
      <c r="T4628">
        <v>76</v>
      </c>
      <c r="U4628">
        <v>24</v>
      </c>
      <c r="V4628" t="s">
        <v>6518</v>
      </c>
      <c r="W4628">
        <v>40830</v>
      </c>
      <c r="X4628" t="s">
        <v>3045</v>
      </c>
      <c r="Y4628">
        <v>30958</v>
      </c>
      <c r="Z4628">
        <v>979920</v>
      </c>
      <c r="AA4628">
        <v>236928</v>
      </c>
      <c r="AB4628" t="str">
        <f>(VLOOKUP(SalesData[[#This Row],[Month Number]],Reference!C$5:E$16,2,FALSE))</f>
        <v>Feb</v>
      </c>
      <c r="AC4628">
        <f>MONTH(SalesData[[#This Row],[Date]])</f>
        <v>2</v>
      </c>
      <c r="AD4628">
        <f>Reference!F$4</f>
        <v>2026</v>
      </c>
      <c r="AE4628" t="str">
        <f>IF(OR(SalesData[[#This Row],[Day]]="Saturday",SalesData[[#This Row],[Day]]="Sunday"),"Weekend","Weekday")</f>
        <v>Weekday</v>
      </c>
      <c r="AF4628" s="5">
        <f>IF(SalesData[[#This Row],[Contracts Offered]]=0,0,SalesData[[#This Row],[Contracts Signed]]/SalesData[[#This Row],[Contracts Offered]])</f>
        <v>0.31578947368421051</v>
      </c>
      <c r="AG4628" s="5">
        <f>IF(SalesData[[#This Row],[Customers Visited]]=0,0,SalesData[[#This Row],[Test Drives]]/SalesData[[#This Row],[Customers Visited]])</f>
        <v>0.58333333333333337</v>
      </c>
      <c r="AH4628" s="5">
        <f>IF(SalesData[[#This Row],[Customers Visited]]=0,0,SalesData[[#This Row],[Contracts Signed]]/SalesData[[#This Row],[Customers Visited]])</f>
        <v>0.14285714285714285</v>
      </c>
      <c r="AI4628" s="6">
        <f>IF(SalesData[[#This Row],[Contracts Signed]]=0,0,SalesData[[#This Row],[Profit(€)]]/SalesData[[#This Row],[Contracts Signed]])</f>
        <v>9872</v>
      </c>
      <c r="AJ4628" s="5" t="str">
        <f>TRIM(CLEAN(SalesData[[#This Row],[Retailer]]))</f>
        <v>Rhein Auto Group</v>
      </c>
    </row>
    <row r="4629" spans="1:36" ht="14.25" hidden="1" x14ac:dyDescent="0.2">
      <c r="A4629" t="s">
        <v>5903</v>
      </c>
      <c r="B4629" s="1">
        <v>46076</v>
      </c>
      <c r="C4629" t="s">
        <v>53</v>
      </c>
      <c r="D4629" t="s">
        <v>25</v>
      </c>
      <c r="E4629" t="s">
        <v>26</v>
      </c>
      <c r="F4629" t="s">
        <v>101</v>
      </c>
      <c r="G4629" t="s">
        <v>102</v>
      </c>
      <c r="H4629" t="s">
        <v>103</v>
      </c>
      <c r="I4629" t="s">
        <v>56</v>
      </c>
      <c r="J4629" t="s">
        <v>179</v>
      </c>
      <c r="K4629" t="s">
        <v>78</v>
      </c>
      <c r="L4629" t="s">
        <v>67</v>
      </c>
      <c r="M4629" t="s">
        <v>47</v>
      </c>
      <c r="N4629" t="s">
        <v>48</v>
      </c>
      <c r="O4629" t="s">
        <v>70</v>
      </c>
      <c r="P4629" t="s">
        <v>71</v>
      </c>
      <c r="Q4629" t="s">
        <v>152</v>
      </c>
      <c r="R4629">
        <v>167</v>
      </c>
      <c r="S4629">
        <v>81</v>
      </c>
      <c r="T4629">
        <v>53</v>
      </c>
      <c r="U4629">
        <v>18</v>
      </c>
      <c r="V4629" t="s">
        <v>6433</v>
      </c>
      <c r="W4629">
        <v>53472</v>
      </c>
      <c r="X4629" t="s">
        <v>2192</v>
      </c>
      <c r="Y4629">
        <v>40979</v>
      </c>
      <c r="Z4629">
        <v>962496</v>
      </c>
      <c r="AA4629">
        <v>224874</v>
      </c>
      <c r="AB4629" t="str">
        <f>(VLOOKUP(SalesData[[#This Row],[Month Number]],Reference!C$5:E$16,2,FALSE))</f>
        <v>Feb</v>
      </c>
      <c r="AC4629">
        <f>MONTH(SalesData[[#This Row],[Date]])</f>
        <v>2</v>
      </c>
      <c r="AD4629">
        <f>Reference!F$4</f>
        <v>2026</v>
      </c>
      <c r="AE4629" t="str">
        <f>IF(OR(SalesData[[#This Row],[Day]]="Saturday",SalesData[[#This Row],[Day]]="Sunday"),"Weekend","Weekday")</f>
        <v>Weekday</v>
      </c>
      <c r="AF4629" s="5">
        <f>IF(SalesData[[#This Row],[Contracts Offered]]=0,0,SalesData[[#This Row],[Contracts Signed]]/SalesData[[#This Row],[Contracts Offered]])</f>
        <v>0.33962264150943394</v>
      </c>
      <c r="AG4629" s="5">
        <f>IF(SalesData[[#This Row],[Customers Visited]]=0,0,SalesData[[#This Row],[Test Drives]]/SalesData[[#This Row],[Customers Visited]])</f>
        <v>0.48502994011976047</v>
      </c>
      <c r="AH4629" s="5">
        <f>IF(SalesData[[#This Row],[Customers Visited]]=0,0,SalesData[[#This Row],[Contracts Signed]]/SalesData[[#This Row],[Customers Visited]])</f>
        <v>0.10778443113772455</v>
      </c>
      <c r="AI4629" s="6">
        <f>IF(SalesData[[#This Row],[Contracts Signed]]=0,0,SalesData[[#This Row],[Profit(€)]]/SalesData[[#This Row],[Contracts Signed]])</f>
        <v>12493</v>
      </c>
      <c r="AJ4629" s="5" t="str">
        <f>TRIM(CLEAN(SalesData[[#This Row],[Retailer]]))</f>
        <v>Ruhr Auto Plaza</v>
      </c>
    </row>
    <row r="4630" spans="1:36" ht="14.25" hidden="1" x14ac:dyDescent="0.2">
      <c r="A4630" t="s">
        <v>5904</v>
      </c>
      <c r="B4630" s="1">
        <v>46079</v>
      </c>
      <c r="C4630" t="s">
        <v>53</v>
      </c>
      <c r="D4630" t="s">
        <v>100</v>
      </c>
      <c r="E4630" t="s">
        <v>26</v>
      </c>
      <c r="F4630" t="s">
        <v>27</v>
      </c>
      <c r="G4630" t="s">
        <v>28</v>
      </c>
      <c r="H4630" t="s">
        <v>29</v>
      </c>
      <c r="I4630" t="s">
        <v>104</v>
      </c>
      <c r="J4630" t="s">
        <v>7031</v>
      </c>
      <c r="K4630" t="s">
        <v>66</v>
      </c>
      <c r="L4630" t="s">
        <v>46</v>
      </c>
      <c r="M4630" t="s">
        <v>47</v>
      </c>
      <c r="N4630" t="s">
        <v>35</v>
      </c>
      <c r="O4630" t="s">
        <v>36</v>
      </c>
      <c r="P4630" t="s">
        <v>71</v>
      </c>
      <c r="Q4630" t="s">
        <v>118</v>
      </c>
      <c r="R4630">
        <v>439</v>
      </c>
      <c r="S4630">
        <v>193</v>
      </c>
      <c r="T4630">
        <v>138</v>
      </c>
      <c r="U4630">
        <v>29</v>
      </c>
      <c r="V4630" t="s">
        <v>960</v>
      </c>
      <c r="W4630">
        <v>29229</v>
      </c>
      <c r="X4630" t="s">
        <v>1701</v>
      </c>
      <c r="Y4630">
        <v>25404</v>
      </c>
      <c r="Z4630">
        <v>847641</v>
      </c>
      <c r="AA4630">
        <v>110925</v>
      </c>
      <c r="AB4630" t="str">
        <f>(VLOOKUP(SalesData[[#This Row],[Month Number]],Reference!C$5:E$16,2,FALSE))</f>
        <v>Feb</v>
      </c>
      <c r="AC4630">
        <f>MONTH(SalesData[[#This Row],[Date]])</f>
        <v>2</v>
      </c>
      <c r="AD4630">
        <f>Reference!F$4</f>
        <v>2026</v>
      </c>
      <c r="AE4630" t="str">
        <f>IF(OR(SalesData[[#This Row],[Day]]="Saturday",SalesData[[#This Row],[Day]]="Sunday"),"Weekend","Weekday")</f>
        <v>Weekday</v>
      </c>
      <c r="AF4630" s="5">
        <f>IF(SalesData[[#This Row],[Contracts Offered]]=0,0,SalesData[[#This Row],[Contracts Signed]]/SalesData[[#This Row],[Contracts Offered]])</f>
        <v>0.21014492753623187</v>
      </c>
      <c r="AG4630" s="5">
        <f>IF(SalesData[[#This Row],[Customers Visited]]=0,0,SalesData[[#This Row],[Test Drives]]/SalesData[[#This Row],[Customers Visited]])</f>
        <v>0.43963553530751709</v>
      </c>
      <c r="AH4630" s="5">
        <f>IF(SalesData[[#This Row],[Customers Visited]]=0,0,SalesData[[#This Row],[Contracts Signed]]/SalesData[[#This Row],[Customers Visited]])</f>
        <v>6.6059225512528477E-2</v>
      </c>
      <c r="AI4630" s="6">
        <f>IF(SalesData[[#This Row],[Contracts Signed]]=0,0,SalesData[[#This Row],[Profit(€)]]/SalesData[[#This Row],[Contracts Signed]])</f>
        <v>3825</v>
      </c>
      <c r="AJ4630" s="5" t="str">
        <f>TRIM(CLEAN(SalesData[[#This Row],[Retailer]]))</f>
        <v>Main Auto Hub</v>
      </c>
    </row>
    <row r="4631" spans="1:36" ht="14.25" hidden="1" x14ac:dyDescent="0.2">
      <c r="A4631" t="s">
        <v>5905</v>
      </c>
      <c r="B4631" s="1">
        <v>46077</v>
      </c>
      <c r="C4631" t="s">
        <v>53</v>
      </c>
      <c r="D4631" t="s">
        <v>63</v>
      </c>
      <c r="E4631" t="s">
        <v>26</v>
      </c>
      <c r="F4631" t="s">
        <v>127</v>
      </c>
      <c r="G4631" t="s">
        <v>128</v>
      </c>
      <c r="H4631" t="s">
        <v>103</v>
      </c>
      <c r="I4631" t="s">
        <v>64</v>
      </c>
      <c r="J4631" t="s">
        <v>65</v>
      </c>
      <c r="K4631" t="s">
        <v>32</v>
      </c>
      <c r="L4631" t="s">
        <v>33</v>
      </c>
      <c r="M4631" t="s">
        <v>87</v>
      </c>
      <c r="N4631" t="s">
        <v>35</v>
      </c>
      <c r="O4631" t="s">
        <v>70</v>
      </c>
      <c r="P4631" t="s">
        <v>37</v>
      </c>
      <c r="Q4631" t="s">
        <v>167</v>
      </c>
      <c r="R4631">
        <v>249</v>
      </c>
      <c r="S4631">
        <v>148</v>
      </c>
      <c r="T4631">
        <v>98</v>
      </c>
      <c r="U4631">
        <v>32</v>
      </c>
      <c r="V4631" t="s">
        <v>6633</v>
      </c>
      <c r="W4631">
        <v>54437</v>
      </c>
      <c r="X4631" t="s">
        <v>7456</v>
      </c>
      <c r="Y4631">
        <v>39164</v>
      </c>
      <c r="Z4631">
        <v>1741984</v>
      </c>
      <c r="AA4631">
        <v>488736</v>
      </c>
      <c r="AB4631" t="str">
        <f>(VLOOKUP(SalesData[[#This Row],[Month Number]],Reference!C$5:E$16,2,FALSE))</f>
        <v>Feb</v>
      </c>
      <c r="AC4631">
        <f>MONTH(SalesData[[#This Row],[Date]])</f>
        <v>2</v>
      </c>
      <c r="AD4631">
        <f>Reference!F$4</f>
        <v>2026</v>
      </c>
      <c r="AE4631" t="str">
        <f>IF(OR(SalesData[[#This Row],[Day]]="Saturday",SalesData[[#This Row],[Day]]="Sunday"),"Weekend","Weekday")</f>
        <v>Weekday</v>
      </c>
      <c r="AF4631" s="5">
        <f>IF(SalesData[[#This Row],[Contracts Offered]]=0,0,SalesData[[#This Row],[Contracts Signed]]/SalesData[[#This Row],[Contracts Offered]])</f>
        <v>0.32653061224489793</v>
      </c>
      <c r="AG4631" s="5">
        <f>IF(SalesData[[#This Row],[Customers Visited]]=0,0,SalesData[[#This Row],[Test Drives]]/SalesData[[#This Row],[Customers Visited]])</f>
        <v>0.59437751004016059</v>
      </c>
      <c r="AH4631" s="5">
        <f>IF(SalesData[[#This Row],[Customers Visited]]=0,0,SalesData[[#This Row],[Contracts Signed]]/SalesData[[#This Row],[Customers Visited]])</f>
        <v>0.12851405622489959</v>
      </c>
      <c r="AI4631" s="6">
        <f>IF(SalesData[[#This Row],[Contracts Signed]]=0,0,SalesData[[#This Row],[Profit(€)]]/SalesData[[#This Row],[Contracts Signed]])</f>
        <v>15273</v>
      </c>
      <c r="AJ4631" s="5" t="str">
        <f>TRIM(CLEAN(SalesData[[#This Row],[Retailer]]))</f>
        <v>Rhein Auto Group</v>
      </c>
    </row>
    <row r="4632" spans="1:36" ht="14.25" hidden="1" x14ac:dyDescent="0.2">
      <c r="A4632" t="s">
        <v>5906</v>
      </c>
      <c r="B4632" s="1">
        <v>46056</v>
      </c>
      <c r="C4632" t="s">
        <v>24</v>
      </c>
      <c r="D4632" t="s">
        <v>63</v>
      </c>
      <c r="E4632" t="s">
        <v>26</v>
      </c>
      <c r="F4632" t="s">
        <v>27</v>
      </c>
      <c r="G4632" t="s">
        <v>28</v>
      </c>
      <c r="H4632" t="s">
        <v>29</v>
      </c>
      <c r="I4632" t="s">
        <v>56</v>
      </c>
      <c r="J4632" t="s">
        <v>137</v>
      </c>
      <c r="K4632" t="s">
        <v>91</v>
      </c>
      <c r="L4632" t="s">
        <v>46</v>
      </c>
      <c r="M4632" t="s">
        <v>68</v>
      </c>
      <c r="N4632" t="s">
        <v>69</v>
      </c>
      <c r="O4632" t="s">
        <v>70</v>
      </c>
      <c r="P4632" t="s">
        <v>58</v>
      </c>
      <c r="Q4632" t="s">
        <v>347</v>
      </c>
      <c r="R4632">
        <v>250</v>
      </c>
      <c r="S4632">
        <v>131</v>
      </c>
      <c r="T4632">
        <v>90</v>
      </c>
      <c r="U4632">
        <v>33</v>
      </c>
      <c r="V4632" t="s">
        <v>6369</v>
      </c>
      <c r="W4632">
        <v>41133</v>
      </c>
      <c r="X4632" t="s">
        <v>331</v>
      </c>
      <c r="Y4632">
        <v>31051</v>
      </c>
      <c r="Z4632">
        <v>1357389</v>
      </c>
      <c r="AA4632">
        <v>332706</v>
      </c>
      <c r="AB4632" t="str">
        <f>(VLOOKUP(SalesData[[#This Row],[Month Number]],Reference!C$5:E$16,2,FALSE))</f>
        <v>Feb</v>
      </c>
      <c r="AC4632">
        <f>MONTH(SalesData[[#This Row],[Date]])</f>
        <v>2</v>
      </c>
      <c r="AD4632">
        <f>Reference!F$4</f>
        <v>2026</v>
      </c>
      <c r="AE4632" t="str">
        <f>IF(OR(SalesData[[#This Row],[Day]]="Saturday",SalesData[[#This Row],[Day]]="Sunday"),"Weekend","Weekday")</f>
        <v>Weekday</v>
      </c>
      <c r="AF4632" s="5">
        <f>IF(SalesData[[#This Row],[Contracts Offered]]=0,0,SalesData[[#This Row],[Contracts Signed]]/SalesData[[#This Row],[Contracts Offered]])</f>
        <v>0.36666666666666664</v>
      </c>
      <c r="AG4632" s="5">
        <f>IF(SalesData[[#This Row],[Customers Visited]]=0,0,SalesData[[#This Row],[Test Drives]]/SalesData[[#This Row],[Customers Visited]])</f>
        <v>0.52400000000000002</v>
      </c>
      <c r="AH4632" s="5">
        <f>IF(SalesData[[#This Row],[Customers Visited]]=0,0,SalesData[[#This Row],[Contracts Signed]]/SalesData[[#This Row],[Customers Visited]])</f>
        <v>0.13200000000000001</v>
      </c>
      <c r="AI4632" s="6">
        <f>IF(SalesData[[#This Row],[Contracts Signed]]=0,0,SalesData[[#This Row],[Profit(€)]]/SalesData[[#This Row],[Contracts Signed]])</f>
        <v>10082</v>
      </c>
      <c r="AJ4632" s="5" t="str">
        <f>TRIM(CLEAN(SalesData[[#This Row],[Retailer]]))</f>
        <v>Main Auto Hub</v>
      </c>
    </row>
    <row r="4633" spans="1:36" ht="14.25" hidden="1" x14ac:dyDescent="0.2">
      <c r="A4633" t="s">
        <v>5907</v>
      </c>
      <c r="B4633" s="1">
        <v>46059</v>
      </c>
      <c r="C4633" t="s">
        <v>24</v>
      </c>
      <c r="D4633" t="s">
        <v>54</v>
      </c>
      <c r="E4633" t="s">
        <v>26</v>
      </c>
      <c r="F4633" t="s">
        <v>127</v>
      </c>
      <c r="G4633" t="s">
        <v>128</v>
      </c>
      <c r="H4633" t="s">
        <v>103</v>
      </c>
      <c r="I4633" t="s">
        <v>116</v>
      </c>
      <c r="J4633" t="s">
        <v>117</v>
      </c>
      <c r="K4633" t="s">
        <v>91</v>
      </c>
      <c r="L4633" t="s">
        <v>67</v>
      </c>
      <c r="M4633" t="s">
        <v>87</v>
      </c>
      <c r="N4633" t="s">
        <v>48</v>
      </c>
      <c r="O4633" t="s">
        <v>36</v>
      </c>
      <c r="P4633" t="s">
        <v>58</v>
      </c>
      <c r="Q4633" t="s">
        <v>152</v>
      </c>
      <c r="R4633">
        <v>313</v>
      </c>
      <c r="S4633">
        <v>171</v>
      </c>
      <c r="T4633">
        <v>100</v>
      </c>
      <c r="U4633">
        <v>34</v>
      </c>
      <c r="V4633" t="s">
        <v>1865</v>
      </c>
      <c r="W4633">
        <v>24447</v>
      </c>
      <c r="X4633" t="s">
        <v>1089</v>
      </c>
      <c r="Y4633">
        <v>21894</v>
      </c>
      <c r="Z4633">
        <v>831198</v>
      </c>
      <c r="AA4633">
        <v>86802</v>
      </c>
      <c r="AB4633" t="str">
        <f>(VLOOKUP(SalesData[[#This Row],[Month Number]],Reference!C$5:E$16,2,FALSE))</f>
        <v>Feb</v>
      </c>
      <c r="AC4633">
        <f>MONTH(SalesData[[#This Row],[Date]])</f>
        <v>2</v>
      </c>
      <c r="AD4633">
        <f>Reference!F$4</f>
        <v>2026</v>
      </c>
      <c r="AE4633" t="str">
        <f>IF(OR(SalesData[[#This Row],[Day]]="Saturday",SalesData[[#This Row],[Day]]="Sunday"),"Weekend","Weekday")</f>
        <v>Weekday</v>
      </c>
      <c r="AF4633" s="5">
        <f>IF(SalesData[[#This Row],[Contracts Offered]]=0,0,SalesData[[#This Row],[Contracts Signed]]/SalesData[[#This Row],[Contracts Offered]])</f>
        <v>0.34</v>
      </c>
      <c r="AG4633" s="5">
        <f>IF(SalesData[[#This Row],[Customers Visited]]=0,0,SalesData[[#This Row],[Test Drives]]/SalesData[[#This Row],[Customers Visited]])</f>
        <v>0.54632587859424919</v>
      </c>
      <c r="AH4633" s="5">
        <f>IF(SalesData[[#This Row],[Customers Visited]]=0,0,SalesData[[#This Row],[Contracts Signed]]/SalesData[[#This Row],[Customers Visited]])</f>
        <v>0.10862619808306709</v>
      </c>
      <c r="AI4633" s="6">
        <f>IF(SalesData[[#This Row],[Contracts Signed]]=0,0,SalesData[[#This Row],[Profit(€)]]/SalesData[[#This Row],[Contracts Signed]])</f>
        <v>2553</v>
      </c>
      <c r="AJ4633" s="5" t="str">
        <f>TRIM(CLEAN(SalesData[[#This Row],[Retailer]]))</f>
        <v>Rhein Auto Group</v>
      </c>
    </row>
    <row r="4634" spans="1:36" ht="14.25" hidden="1" x14ac:dyDescent="0.2">
      <c r="A4634" t="s">
        <v>5908</v>
      </c>
      <c r="B4634" s="1">
        <v>46058</v>
      </c>
      <c r="C4634" t="s">
        <v>24</v>
      </c>
      <c r="D4634" t="s">
        <v>100</v>
      </c>
      <c r="E4634" t="s">
        <v>26</v>
      </c>
      <c r="F4634" t="s">
        <v>109</v>
      </c>
      <c r="G4634" t="s">
        <v>110</v>
      </c>
      <c r="H4634" t="s">
        <v>45</v>
      </c>
      <c r="I4634" t="s">
        <v>56</v>
      </c>
      <c r="J4634" t="s">
        <v>137</v>
      </c>
      <c r="K4634" t="s">
        <v>66</v>
      </c>
      <c r="L4634" t="s">
        <v>46</v>
      </c>
      <c r="M4634" t="s">
        <v>87</v>
      </c>
      <c r="N4634" t="s">
        <v>48</v>
      </c>
      <c r="O4634" t="s">
        <v>70</v>
      </c>
      <c r="P4634" t="s">
        <v>58</v>
      </c>
      <c r="Q4634" t="s">
        <v>347</v>
      </c>
      <c r="R4634">
        <v>182</v>
      </c>
      <c r="S4634">
        <v>104</v>
      </c>
      <c r="T4634">
        <v>70</v>
      </c>
      <c r="U4634">
        <v>26</v>
      </c>
      <c r="V4634" t="s">
        <v>6403</v>
      </c>
      <c r="W4634">
        <v>46562</v>
      </c>
      <c r="X4634" t="s">
        <v>3859</v>
      </c>
      <c r="Y4634">
        <v>37682</v>
      </c>
      <c r="Z4634">
        <v>1210612</v>
      </c>
      <c r="AA4634">
        <v>230880</v>
      </c>
      <c r="AB4634" t="str">
        <f>(VLOOKUP(SalesData[[#This Row],[Month Number]],Reference!C$5:E$16,2,FALSE))</f>
        <v>Feb</v>
      </c>
      <c r="AC4634">
        <f>MONTH(SalesData[[#This Row],[Date]])</f>
        <v>2</v>
      </c>
      <c r="AD4634">
        <f>Reference!F$4</f>
        <v>2026</v>
      </c>
      <c r="AE4634" t="str">
        <f>IF(OR(SalesData[[#This Row],[Day]]="Saturday",SalesData[[#This Row],[Day]]="Sunday"),"Weekend","Weekday")</f>
        <v>Weekday</v>
      </c>
      <c r="AF4634" s="5">
        <f>IF(SalesData[[#This Row],[Contracts Offered]]=0,0,SalesData[[#This Row],[Contracts Signed]]/SalesData[[#This Row],[Contracts Offered]])</f>
        <v>0.37142857142857144</v>
      </c>
      <c r="AG4634" s="5">
        <f>IF(SalesData[[#This Row],[Customers Visited]]=0,0,SalesData[[#This Row],[Test Drives]]/SalesData[[#This Row],[Customers Visited]])</f>
        <v>0.5714285714285714</v>
      </c>
      <c r="AH4634" s="5">
        <f>IF(SalesData[[#This Row],[Customers Visited]]=0,0,SalesData[[#This Row],[Contracts Signed]]/SalesData[[#This Row],[Customers Visited]])</f>
        <v>0.14285714285714285</v>
      </c>
      <c r="AI4634" s="6">
        <f>IF(SalesData[[#This Row],[Contracts Signed]]=0,0,SalesData[[#This Row],[Profit(€)]]/SalesData[[#This Row],[Contracts Signed]])</f>
        <v>8880</v>
      </c>
      <c r="AJ4634" s="5" t="str">
        <f>TRIM(CLEAN(SalesData[[#This Row],[Retailer]]))</f>
        <v>Leipzig Mobility</v>
      </c>
    </row>
    <row r="4635" spans="1:36" ht="14.25" hidden="1" x14ac:dyDescent="0.2">
      <c r="A4635" t="s">
        <v>5909</v>
      </c>
      <c r="B4635" s="1">
        <v>46066</v>
      </c>
      <c r="C4635" t="s">
        <v>121</v>
      </c>
      <c r="D4635" t="s">
        <v>54</v>
      </c>
      <c r="E4635" t="s">
        <v>26</v>
      </c>
      <c r="F4635" t="s">
        <v>114</v>
      </c>
      <c r="G4635" t="s">
        <v>115</v>
      </c>
      <c r="H4635" t="s">
        <v>115</v>
      </c>
      <c r="I4635" t="s">
        <v>64</v>
      </c>
      <c r="J4635" t="s">
        <v>157</v>
      </c>
      <c r="K4635" t="s">
        <v>78</v>
      </c>
      <c r="L4635" t="s">
        <v>33</v>
      </c>
      <c r="M4635" t="s">
        <v>87</v>
      </c>
      <c r="N4635" t="s">
        <v>35</v>
      </c>
      <c r="O4635" t="s">
        <v>36</v>
      </c>
      <c r="P4635" t="s">
        <v>49</v>
      </c>
      <c r="Q4635" t="s">
        <v>118</v>
      </c>
      <c r="R4635">
        <v>149</v>
      </c>
      <c r="S4635">
        <v>74</v>
      </c>
      <c r="T4635">
        <v>51</v>
      </c>
      <c r="U4635">
        <v>18</v>
      </c>
      <c r="V4635" t="s">
        <v>6378</v>
      </c>
      <c r="W4635">
        <v>49396</v>
      </c>
      <c r="X4635" t="s">
        <v>2861</v>
      </c>
      <c r="Y4635">
        <v>36387</v>
      </c>
      <c r="Z4635">
        <v>889128</v>
      </c>
      <c r="AA4635">
        <v>234162</v>
      </c>
      <c r="AB4635" t="str">
        <f>(VLOOKUP(SalesData[[#This Row],[Month Number]],Reference!C$5:E$16,2,FALSE))</f>
        <v>Feb</v>
      </c>
      <c r="AC4635">
        <f>MONTH(SalesData[[#This Row],[Date]])</f>
        <v>2</v>
      </c>
      <c r="AD4635">
        <f>Reference!F$4</f>
        <v>2026</v>
      </c>
      <c r="AE4635" t="str">
        <f>IF(OR(SalesData[[#This Row],[Day]]="Saturday",SalesData[[#This Row],[Day]]="Sunday"),"Weekend","Weekday")</f>
        <v>Weekday</v>
      </c>
      <c r="AF4635" s="5">
        <f>IF(SalesData[[#This Row],[Contracts Offered]]=0,0,SalesData[[#This Row],[Contracts Signed]]/SalesData[[#This Row],[Contracts Offered]])</f>
        <v>0.35294117647058826</v>
      </c>
      <c r="AG4635" s="5">
        <f>IF(SalesData[[#This Row],[Customers Visited]]=0,0,SalesData[[#This Row],[Test Drives]]/SalesData[[#This Row],[Customers Visited]])</f>
        <v>0.49664429530201343</v>
      </c>
      <c r="AH4635" s="5">
        <f>IF(SalesData[[#This Row],[Customers Visited]]=0,0,SalesData[[#This Row],[Contracts Signed]]/SalesData[[#This Row],[Customers Visited]])</f>
        <v>0.12080536912751678</v>
      </c>
      <c r="AI4635" s="6">
        <f>IF(SalesData[[#This Row],[Contracts Signed]]=0,0,SalesData[[#This Row],[Profit(€)]]/SalesData[[#This Row],[Contracts Signed]])</f>
        <v>13009</v>
      </c>
      <c r="AJ4635" s="5" t="str">
        <f>TRIM(CLEAN(SalesData[[#This Row],[Retailer]]))</f>
        <v>Elbe Drive</v>
      </c>
    </row>
    <row r="4636" spans="1:36" ht="14.25" hidden="1" x14ac:dyDescent="0.2">
      <c r="A4636" t="s">
        <v>5910</v>
      </c>
      <c r="B4636" s="1">
        <v>46054</v>
      </c>
      <c r="C4636" t="s">
        <v>24</v>
      </c>
      <c r="D4636" t="s">
        <v>41</v>
      </c>
      <c r="E4636" t="s">
        <v>42</v>
      </c>
      <c r="F4636" t="s">
        <v>43</v>
      </c>
      <c r="G4636" t="s">
        <v>44</v>
      </c>
      <c r="H4636" t="s">
        <v>45</v>
      </c>
      <c r="I4636" t="s">
        <v>64</v>
      </c>
      <c r="J4636" t="s">
        <v>65</v>
      </c>
      <c r="K4636" t="s">
        <v>66</v>
      </c>
      <c r="L4636" t="s">
        <v>33</v>
      </c>
      <c r="M4636" t="s">
        <v>87</v>
      </c>
      <c r="N4636" t="s">
        <v>69</v>
      </c>
      <c r="O4636" t="s">
        <v>36</v>
      </c>
      <c r="P4636" t="s">
        <v>58</v>
      </c>
      <c r="Q4636" t="s">
        <v>88</v>
      </c>
      <c r="R4636">
        <v>256</v>
      </c>
      <c r="S4636">
        <v>129</v>
      </c>
      <c r="T4636">
        <v>96</v>
      </c>
      <c r="U4636">
        <v>32</v>
      </c>
      <c r="V4636" t="s">
        <v>6394</v>
      </c>
      <c r="W4636">
        <v>63537</v>
      </c>
      <c r="X4636" t="s">
        <v>7366</v>
      </c>
      <c r="Y4636">
        <v>45364</v>
      </c>
      <c r="Z4636">
        <v>2033184</v>
      </c>
      <c r="AA4636">
        <v>581536</v>
      </c>
      <c r="AB4636" t="str">
        <f>(VLOOKUP(SalesData[[#This Row],[Month Number]],Reference!C$5:E$16,2,FALSE))</f>
        <v>Feb</v>
      </c>
      <c r="AC4636">
        <f>MONTH(SalesData[[#This Row],[Date]])</f>
        <v>2</v>
      </c>
      <c r="AD4636">
        <f>Reference!F$4</f>
        <v>2026</v>
      </c>
      <c r="AE4636" t="str">
        <f>IF(OR(SalesData[[#This Row],[Day]]="Saturday",SalesData[[#This Row],[Day]]="Sunday"),"Weekend","Weekday")</f>
        <v>Weekend</v>
      </c>
      <c r="AF4636" s="5">
        <f>IF(SalesData[[#This Row],[Contracts Offered]]=0,0,SalesData[[#This Row],[Contracts Signed]]/SalesData[[#This Row],[Contracts Offered]])</f>
        <v>0.33333333333333331</v>
      </c>
      <c r="AG4636" s="5">
        <f>IF(SalesData[[#This Row],[Customers Visited]]=0,0,SalesData[[#This Row],[Test Drives]]/SalesData[[#This Row],[Customers Visited]])</f>
        <v>0.50390625</v>
      </c>
      <c r="AH4636" s="5">
        <f>IF(SalesData[[#This Row],[Customers Visited]]=0,0,SalesData[[#This Row],[Contracts Signed]]/SalesData[[#This Row],[Customers Visited]])</f>
        <v>0.125</v>
      </c>
      <c r="AI4636" s="6">
        <f>IF(SalesData[[#This Row],[Contracts Signed]]=0,0,SalesData[[#This Row],[Profit(€)]]/SalesData[[#This Row],[Contracts Signed]])</f>
        <v>18173</v>
      </c>
      <c r="AJ4636" s="5" t="str">
        <f>TRIM(CLEAN(SalesData[[#This Row],[Retailer]]))</f>
        <v>Saxon Wheels</v>
      </c>
    </row>
    <row r="4637" spans="1:36" ht="14.25" hidden="1" x14ac:dyDescent="0.2">
      <c r="A4637" t="s">
        <v>5911</v>
      </c>
      <c r="B4637" s="1">
        <v>46073</v>
      </c>
      <c r="C4637" t="s">
        <v>62</v>
      </c>
      <c r="D4637" t="s">
        <v>54</v>
      </c>
      <c r="E4637" t="s">
        <v>26</v>
      </c>
      <c r="F4637" t="s">
        <v>109</v>
      </c>
      <c r="G4637" t="s">
        <v>110</v>
      </c>
      <c r="H4637" t="s">
        <v>45</v>
      </c>
      <c r="I4637" t="s">
        <v>116</v>
      </c>
      <c r="J4637" t="s">
        <v>7090</v>
      </c>
      <c r="K4637" t="s">
        <v>66</v>
      </c>
      <c r="L4637" t="s">
        <v>46</v>
      </c>
      <c r="M4637" t="s">
        <v>47</v>
      </c>
      <c r="N4637" t="s">
        <v>48</v>
      </c>
      <c r="O4637" t="s">
        <v>36</v>
      </c>
      <c r="P4637" t="s">
        <v>37</v>
      </c>
      <c r="Q4637" t="s">
        <v>129</v>
      </c>
      <c r="R4637">
        <v>418</v>
      </c>
      <c r="S4637">
        <v>222</v>
      </c>
      <c r="T4637">
        <v>129</v>
      </c>
      <c r="U4637">
        <v>30</v>
      </c>
      <c r="V4637" t="s">
        <v>437</v>
      </c>
      <c r="W4637">
        <v>26113</v>
      </c>
      <c r="X4637" t="s">
        <v>2630</v>
      </c>
      <c r="Y4637">
        <v>23254</v>
      </c>
      <c r="Z4637">
        <v>783390</v>
      </c>
      <c r="AA4637">
        <v>85770</v>
      </c>
      <c r="AB4637" t="str">
        <f>(VLOOKUP(SalesData[[#This Row],[Month Number]],Reference!C$5:E$16,2,FALSE))</f>
        <v>Feb</v>
      </c>
      <c r="AC4637">
        <f>MONTH(SalesData[[#This Row],[Date]])</f>
        <v>2</v>
      </c>
      <c r="AD4637">
        <f>Reference!F$4</f>
        <v>2026</v>
      </c>
      <c r="AE4637" t="str">
        <f>IF(OR(SalesData[[#This Row],[Day]]="Saturday",SalesData[[#This Row],[Day]]="Sunday"),"Weekend","Weekday")</f>
        <v>Weekday</v>
      </c>
      <c r="AF4637" s="5">
        <f>IF(SalesData[[#This Row],[Contracts Offered]]=0,0,SalesData[[#This Row],[Contracts Signed]]/SalesData[[#This Row],[Contracts Offered]])</f>
        <v>0.23255813953488372</v>
      </c>
      <c r="AG4637" s="5">
        <f>IF(SalesData[[#This Row],[Customers Visited]]=0,0,SalesData[[#This Row],[Test Drives]]/SalesData[[#This Row],[Customers Visited]])</f>
        <v>0.53110047846889952</v>
      </c>
      <c r="AH4637" s="5">
        <f>IF(SalesData[[#This Row],[Customers Visited]]=0,0,SalesData[[#This Row],[Contracts Signed]]/SalesData[[#This Row],[Customers Visited]])</f>
        <v>7.1770334928229665E-2</v>
      </c>
      <c r="AI4637" s="6">
        <f>IF(SalesData[[#This Row],[Contracts Signed]]=0,0,SalesData[[#This Row],[Profit(€)]]/SalesData[[#This Row],[Contracts Signed]])</f>
        <v>2859</v>
      </c>
      <c r="AJ4637" s="5" t="str">
        <f>TRIM(CLEAN(SalesData[[#This Row],[Retailer]]))</f>
        <v>Leipzig Mobility</v>
      </c>
    </row>
    <row r="4638" spans="1:36" ht="14.25" hidden="1" x14ac:dyDescent="0.2">
      <c r="A4638" t="s">
        <v>5912</v>
      </c>
      <c r="B4638" s="1">
        <v>46064</v>
      </c>
      <c r="C4638" t="s">
        <v>121</v>
      </c>
      <c r="D4638" t="s">
        <v>82</v>
      </c>
      <c r="E4638" t="s">
        <v>26</v>
      </c>
      <c r="F4638" t="s">
        <v>27</v>
      </c>
      <c r="G4638" t="s">
        <v>28</v>
      </c>
      <c r="H4638" t="s">
        <v>29</v>
      </c>
      <c r="I4638" t="s">
        <v>56</v>
      </c>
      <c r="J4638" t="s">
        <v>57</v>
      </c>
      <c r="K4638" t="s">
        <v>91</v>
      </c>
      <c r="L4638" t="s">
        <v>46</v>
      </c>
      <c r="M4638" t="s">
        <v>87</v>
      </c>
      <c r="N4638" t="s">
        <v>48</v>
      </c>
      <c r="O4638" t="s">
        <v>70</v>
      </c>
      <c r="P4638" t="s">
        <v>71</v>
      </c>
      <c r="Q4638" t="s">
        <v>144</v>
      </c>
      <c r="R4638">
        <v>221</v>
      </c>
      <c r="S4638">
        <v>130</v>
      </c>
      <c r="T4638">
        <v>85</v>
      </c>
      <c r="U4638">
        <v>32</v>
      </c>
      <c r="V4638" t="s">
        <v>6759</v>
      </c>
      <c r="W4638">
        <v>47751</v>
      </c>
      <c r="X4638" t="s">
        <v>2334</v>
      </c>
      <c r="Y4638">
        <v>38658</v>
      </c>
      <c r="Z4638">
        <v>1528032</v>
      </c>
      <c r="AA4638">
        <v>290976</v>
      </c>
      <c r="AB4638" t="str">
        <f>(VLOOKUP(SalesData[[#This Row],[Month Number]],Reference!C$5:E$16,2,FALSE))</f>
        <v>Feb</v>
      </c>
      <c r="AC4638">
        <f>MONTH(SalesData[[#This Row],[Date]])</f>
        <v>2</v>
      </c>
      <c r="AD4638">
        <f>Reference!F$4</f>
        <v>2026</v>
      </c>
      <c r="AE4638" t="str">
        <f>IF(OR(SalesData[[#This Row],[Day]]="Saturday",SalesData[[#This Row],[Day]]="Sunday"),"Weekend","Weekday")</f>
        <v>Weekday</v>
      </c>
      <c r="AF4638" s="5">
        <f>IF(SalesData[[#This Row],[Contracts Offered]]=0,0,SalesData[[#This Row],[Contracts Signed]]/SalesData[[#This Row],[Contracts Offered]])</f>
        <v>0.37647058823529411</v>
      </c>
      <c r="AG4638" s="5">
        <f>IF(SalesData[[#This Row],[Customers Visited]]=0,0,SalesData[[#This Row],[Test Drives]]/SalesData[[#This Row],[Customers Visited]])</f>
        <v>0.58823529411764708</v>
      </c>
      <c r="AH4638" s="5">
        <f>IF(SalesData[[#This Row],[Customers Visited]]=0,0,SalesData[[#This Row],[Contracts Signed]]/SalesData[[#This Row],[Customers Visited]])</f>
        <v>0.14479638009049775</v>
      </c>
      <c r="AI4638" s="6">
        <f>IF(SalesData[[#This Row],[Contracts Signed]]=0,0,SalesData[[#This Row],[Profit(€)]]/SalesData[[#This Row],[Contracts Signed]])</f>
        <v>9093</v>
      </c>
      <c r="AJ4638" s="5" t="str">
        <f>TRIM(CLEAN(SalesData[[#This Row],[Retailer]]))</f>
        <v>Main Auto Hub</v>
      </c>
    </row>
    <row r="4639" spans="1:36" ht="14.25" hidden="1" x14ac:dyDescent="0.2">
      <c r="A4639" t="s">
        <v>5913</v>
      </c>
      <c r="B4639" s="1">
        <v>46074</v>
      </c>
      <c r="C4639" t="s">
        <v>62</v>
      </c>
      <c r="D4639" t="s">
        <v>151</v>
      </c>
      <c r="E4639" t="s">
        <v>42</v>
      </c>
      <c r="F4639" t="s">
        <v>101</v>
      </c>
      <c r="G4639" t="s">
        <v>102</v>
      </c>
      <c r="H4639" t="s">
        <v>103</v>
      </c>
      <c r="I4639" t="s">
        <v>116</v>
      </c>
      <c r="J4639" t="s">
        <v>117</v>
      </c>
      <c r="K4639" t="s">
        <v>91</v>
      </c>
      <c r="L4639" t="s">
        <v>67</v>
      </c>
      <c r="M4639" t="s">
        <v>87</v>
      </c>
      <c r="N4639" t="s">
        <v>35</v>
      </c>
      <c r="O4639" t="s">
        <v>70</v>
      </c>
      <c r="P4639" t="s">
        <v>49</v>
      </c>
      <c r="Q4639" t="s">
        <v>204</v>
      </c>
      <c r="R4639">
        <v>257</v>
      </c>
      <c r="S4639">
        <v>111</v>
      </c>
      <c r="T4639">
        <v>71</v>
      </c>
      <c r="U4639">
        <v>13</v>
      </c>
      <c r="V4639" t="s">
        <v>7446</v>
      </c>
      <c r="W4639">
        <v>23018</v>
      </c>
      <c r="X4639" t="s">
        <v>1605</v>
      </c>
      <c r="Y4639">
        <v>21197</v>
      </c>
      <c r="Z4639">
        <v>299234</v>
      </c>
      <c r="AA4639">
        <v>23673</v>
      </c>
      <c r="AB4639" t="str">
        <f>(VLOOKUP(SalesData[[#This Row],[Month Number]],Reference!C$5:E$16,2,FALSE))</f>
        <v>Feb</v>
      </c>
      <c r="AC4639">
        <f>MONTH(SalesData[[#This Row],[Date]])</f>
        <v>2</v>
      </c>
      <c r="AD4639">
        <f>Reference!F$4</f>
        <v>2026</v>
      </c>
      <c r="AE4639" t="str">
        <f>IF(OR(SalesData[[#This Row],[Day]]="Saturday",SalesData[[#This Row],[Day]]="Sunday"),"Weekend","Weekday")</f>
        <v>Weekend</v>
      </c>
      <c r="AF4639" s="5">
        <f>IF(SalesData[[#This Row],[Contracts Offered]]=0,0,SalesData[[#This Row],[Contracts Signed]]/SalesData[[#This Row],[Contracts Offered]])</f>
        <v>0.18309859154929578</v>
      </c>
      <c r="AG4639" s="5">
        <f>IF(SalesData[[#This Row],[Customers Visited]]=0,0,SalesData[[#This Row],[Test Drives]]/SalesData[[#This Row],[Customers Visited]])</f>
        <v>0.43190661478599224</v>
      </c>
      <c r="AH4639" s="5">
        <f>IF(SalesData[[#This Row],[Customers Visited]]=0,0,SalesData[[#This Row],[Contracts Signed]]/SalesData[[#This Row],[Customers Visited]])</f>
        <v>5.0583657587548639E-2</v>
      </c>
      <c r="AI4639" s="6">
        <f>IF(SalesData[[#This Row],[Contracts Signed]]=0,0,SalesData[[#This Row],[Profit(€)]]/SalesData[[#This Row],[Contracts Signed]])</f>
        <v>1821</v>
      </c>
      <c r="AJ4639" s="5" t="str">
        <f>TRIM(CLEAN(SalesData[[#This Row],[Retailer]]))</f>
        <v>Ruhr Auto Plaza</v>
      </c>
    </row>
    <row r="4640" spans="1:36" ht="14.25" hidden="1" x14ac:dyDescent="0.2">
      <c r="A4640" t="s">
        <v>5914</v>
      </c>
      <c r="B4640" s="1">
        <v>46063</v>
      </c>
      <c r="C4640" t="s">
        <v>121</v>
      </c>
      <c r="D4640" t="s">
        <v>63</v>
      </c>
      <c r="E4640" t="s">
        <v>26</v>
      </c>
      <c r="F4640" t="s">
        <v>74</v>
      </c>
      <c r="G4640" t="s">
        <v>75</v>
      </c>
      <c r="H4640" t="s">
        <v>76</v>
      </c>
      <c r="I4640" t="s">
        <v>56</v>
      </c>
      <c r="J4640" t="s">
        <v>179</v>
      </c>
      <c r="K4640" t="s">
        <v>91</v>
      </c>
      <c r="L4640" t="s">
        <v>67</v>
      </c>
      <c r="M4640" t="s">
        <v>87</v>
      </c>
      <c r="N4640" t="s">
        <v>35</v>
      </c>
      <c r="O4640" t="s">
        <v>36</v>
      </c>
      <c r="P4640" t="s">
        <v>58</v>
      </c>
      <c r="Q4640" t="s">
        <v>144</v>
      </c>
      <c r="R4640">
        <v>277</v>
      </c>
      <c r="S4640">
        <v>139</v>
      </c>
      <c r="T4640">
        <v>106</v>
      </c>
      <c r="U4640">
        <v>41</v>
      </c>
      <c r="V4640" t="s">
        <v>6806</v>
      </c>
      <c r="W4640">
        <v>50205</v>
      </c>
      <c r="X4640" t="s">
        <v>7391</v>
      </c>
      <c r="Y4640">
        <v>40391</v>
      </c>
      <c r="Z4640">
        <v>2058405</v>
      </c>
      <c r="AA4640">
        <v>402374</v>
      </c>
      <c r="AB4640" t="str">
        <f>(VLOOKUP(SalesData[[#This Row],[Month Number]],Reference!C$5:E$16,2,FALSE))</f>
        <v>Feb</v>
      </c>
      <c r="AC4640">
        <f>MONTH(SalesData[[#This Row],[Date]])</f>
        <v>2</v>
      </c>
      <c r="AD4640">
        <f>Reference!F$4</f>
        <v>2026</v>
      </c>
      <c r="AE4640" t="str">
        <f>IF(OR(SalesData[[#This Row],[Day]]="Saturday",SalesData[[#This Row],[Day]]="Sunday"),"Weekend","Weekday")</f>
        <v>Weekday</v>
      </c>
      <c r="AF4640" s="5">
        <f>IF(SalesData[[#This Row],[Contracts Offered]]=0,0,SalesData[[#This Row],[Contracts Signed]]/SalesData[[#This Row],[Contracts Offered]])</f>
        <v>0.3867924528301887</v>
      </c>
      <c r="AG4640" s="5">
        <f>IF(SalesData[[#This Row],[Customers Visited]]=0,0,SalesData[[#This Row],[Test Drives]]/SalesData[[#This Row],[Customers Visited]])</f>
        <v>0.50180505415162457</v>
      </c>
      <c r="AH4640" s="5">
        <f>IF(SalesData[[#This Row],[Customers Visited]]=0,0,SalesData[[#This Row],[Contracts Signed]]/SalesData[[#This Row],[Customers Visited]])</f>
        <v>0.14801444043321299</v>
      </c>
      <c r="AI4640" s="6">
        <f>IF(SalesData[[#This Row],[Contracts Signed]]=0,0,SalesData[[#This Row],[Profit(€)]]/SalesData[[#This Row],[Contracts Signed]])</f>
        <v>9814</v>
      </c>
      <c r="AJ4640" s="5" t="str">
        <f>TRIM(CLEAN(SalesData[[#This Row],[Retailer]]))</f>
        <v>Stuttgart Auto Center</v>
      </c>
    </row>
    <row r="4641" spans="1:36" ht="14.25" hidden="1" x14ac:dyDescent="0.2">
      <c r="A4641" t="s">
        <v>5915</v>
      </c>
      <c r="B4641" s="1">
        <v>46055</v>
      </c>
      <c r="C4641" t="s">
        <v>24</v>
      </c>
      <c r="D4641" t="s">
        <v>25</v>
      </c>
      <c r="E4641" t="s">
        <v>26</v>
      </c>
      <c r="F4641" t="s">
        <v>83</v>
      </c>
      <c r="G4641" t="s">
        <v>84</v>
      </c>
      <c r="H4641" t="s">
        <v>85</v>
      </c>
      <c r="I4641" t="s">
        <v>116</v>
      </c>
      <c r="J4641" t="s">
        <v>132</v>
      </c>
      <c r="K4641" t="s">
        <v>32</v>
      </c>
      <c r="L4641" t="s">
        <v>46</v>
      </c>
      <c r="M4641" t="s">
        <v>47</v>
      </c>
      <c r="N4641" t="s">
        <v>48</v>
      </c>
      <c r="O4641" t="s">
        <v>70</v>
      </c>
      <c r="P4641" t="s">
        <v>49</v>
      </c>
      <c r="Q4641" t="s">
        <v>158</v>
      </c>
      <c r="R4641">
        <v>302</v>
      </c>
      <c r="S4641">
        <v>134</v>
      </c>
      <c r="T4641">
        <v>79</v>
      </c>
      <c r="U4641">
        <v>20</v>
      </c>
      <c r="V4641" t="s">
        <v>327</v>
      </c>
      <c r="W4641">
        <v>19356</v>
      </c>
      <c r="X4641" t="s">
        <v>3877</v>
      </c>
      <c r="Y4641">
        <v>17335</v>
      </c>
      <c r="Z4641">
        <v>387120</v>
      </c>
      <c r="AA4641">
        <v>40420</v>
      </c>
      <c r="AB4641" t="str">
        <f>(VLOOKUP(SalesData[[#This Row],[Month Number]],Reference!C$5:E$16,2,FALSE))</f>
        <v>Feb</v>
      </c>
      <c r="AC4641">
        <f>MONTH(SalesData[[#This Row],[Date]])</f>
        <v>2</v>
      </c>
      <c r="AD4641">
        <f>Reference!F$4</f>
        <v>2026</v>
      </c>
      <c r="AE4641" t="str">
        <f>IF(OR(SalesData[[#This Row],[Day]]="Saturday",SalesData[[#This Row],[Day]]="Sunday"),"Weekend","Weekday")</f>
        <v>Weekday</v>
      </c>
      <c r="AF4641" s="5">
        <f>IF(SalesData[[#This Row],[Contracts Offered]]=0,0,SalesData[[#This Row],[Contracts Signed]]/SalesData[[#This Row],[Contracts Offered]])</f>
        <v>0.25316455696202533</v>
      </c>
      <c r="AG4641" s="5">
        <f>IF(SalesData[[#This Row],[Customers Visited]]=0,0,SalesData[[#This Row],[Test Drives]]/SalesData[[#This Row],[Customers Visited]])</f>
        <v>0.44370860927152317</v>
      </c>
      <c r="AH4641" s="5">
        <f>IF(SalesData[[#This Row],[Customers Visited]]=0,0,SalesData[[#This Row],[Contracts Signed]]/SalesData[[#This Row],[Customers Visited]])</f>
        <v>6.6225165562913912E-2</v>
      </c>
      <c r="AI4641" s="6">
        <f>IF(SalesData[[#This Row],[Contracts Signed]]=0,0,SalesData[[#This Row],[Profit(€)]]/SalesData[[#This Row],[Contracts Signed]])</f>
        <v>2021</v>
      </c>
      <c r="AJ4641" s="5" t="str">
        <f>TRIM(CLEAN(SalesData[[#This Row],[Retailer]]))</f>
        <v>Hannover Cars</v>
      </c>
    </row>
    <row r="4642" spans="1:36" ht="14.25" hidden="1" x14ac:dyDescent="0.2">
      <c r="A4642" t="s">
        <v>5916</v>
      </c>
      <c r="B4642" s="1">
        <v>46070</v>
      </c>
      <c r="C4642" t="s">
        <v>62</v>
      </c>
      <c r="D4642" t="s">
        <v>63</v>
      </c>
      <c r="E4642" t="s">
        <v>26</v>
      </c>
      <c r="F4642" t="s">
        <v>7649</v>
      </c>
      <c r="G4642" t="s">
        <v>55</v>
      </c>
      <c r="H4642" t="s">
        <v>55</v>
      </c>
      <c r="I4642" t="s">
        <v>116</v>
      </c>
      <c r="J4642" t="s">
        <v>203</v>
      </c>
      <c r="K4642" t="s">
        <v>66</v>
      </c>
      <c r="L4642" t="s">
        <v>67</v>
      </c>
      <c r="M4642" t="s">
        <v>87</v>
      </c>
      <c r="N4642" t="s">
        <v>69</v>
      </c>
      <c r="O4642" t="s">
        <v>70</v>
      </c>
      <c r="P4642" t="s">
        <v>58</v>
      </c>
      <c r="Q4642" t="s">
        <v>158</v>
      </c>
      <c r="R4642">
        <v>226</v>
      </c>
      <c r="S4642">
        <v>108</v>
      </c>
      <c r="T4642">
        <v>65</v>
      </c>
      <c r="U4642">
        <v>23</v>
      </c>
      <c r="V4642" t="s">
        <v>6592</v>
      </c>
      <c r="W4642">
        <v>24415</v>
      </c>
      <c r="X4642" t="s">
        <v>1566</v>
      </c>
      <c r="Y4642">
        <v>22226</v>
      </c>
      <c r="Z4642">
        <v>561545</v>
      </c>
      <c r="AA4642">
        <v>50347</v>
      </c>
      <c r="AB4642" t="str">
        <f>(VLOOKUP(SalesData[[#This Row],[Month Number]],Reference!C$5:E$16,2,FALSE))</f>
        <v>Feb</v>
      </c>
      <c r="AC4642">
        <f>MONTH(SalesData[[#This Row],[Date]])</f>
        <v>2</v>
      </c>
      <c r="AD4642">
        <f>Reference!F$4</f>
        <v>2026</v>
      </c>
      <c r="AE4642" t="str">
        <f>IF(OR(SalesData[[#This Row],[Day]]="Saturday",SalesData[[#This Row],[Day]]="Sunday"),"Weekend","Weekday")</f>
        <v>Weekday</v>
      </c>
      <c r="AF4642" s="5">
        <f>IF(SalesData[[#This Row],[Contracts Offered]]=0,0,SalesData[[#This Row],[Contracts Signed]]/SalesData[[#This Row],[Contracts Offered]])</f>
        <v>0.35384615384615387</v>
      </c>
      <c r="AG4642" s="5">
        <f>IF(SalesData[[#This Row],[Customers Visited]]=0,0,SalesData[[#This Row],[Test Drives]]/SalesData[[#This Row],[Customers Visited]])</f>
        <v>0.47787610619469029</v>
      </c>
      <c r="AH4642" s="5">
        <f>IF(SalesData[[#This Row],[Customers Visited]]=0,0,SalesData[[#This Row],[Contracts Signed]]/SalesData[[#This Row],[Customers Visited]])</f>
        <v>0.10176991150442478</v>
      </c>
      <c r="AI4642" s="6">
        <f>IF(SalesData[[#This Row],[Contracts Signed]]=0,0,SalesData[[#This Row],[Profit(€)]]/SalesData[[#This Row],[Contracts Signed]])</f>
        <v>2189</v>
      </c>
      <c r="AJ4642" s="5" t="str">
        <f>TRIM(CLEAN(SalesData[[#This Row],[Retailer]]))</f>
        <v>Autohaus Berlin</v>
      </c>
    </row>
    <row r="4643" spans="1:36" ht="14.25" hidden="1" x14ac:dyDescent="0.2">
      <c r="A4643" t="s">
        <v>5917</v>
      </c>
      <c r="B4643" s="1">
        <v>46062</v>
      </c>
      <c r="C4643" t="s">
        <v>121</v>
      </c>
      <c r="D4643" t="s">
        <v>25</v>
      </c>
      <c r="E4643" t="s">
        <v>26</v>
      </c>
      <c r="F4643" t="s">
        <v>27</v>
      </c>
      <c r="G4643" t="s">
        <v>28</v>
      </c>
      <c r="H4643" t="s">
        <v>29</v>
      </c>
      <c r="I4643" t="s">
        <v>64</v>
      </c>
      <c r="J4643" t="s">
        <v>111</v>
      </c>
      <c r="K4643" t="s">
        <v>66</v>
      </c>
      <c r="L4643" t="s">
        <v>46</v>
      </c>
      <c r="M4643" t="s">
        <v>87</v>
      </c>
      <c r="N4643" t="s">
        <v>69</v>
      </c>
      <c r="O4643" t="s">
        <v>36</v>
      </c>
      <c r="P4643" t="s">
        <v>58</v>
      </c>
      <c r="Q4643" t="s">
        <v>129</v>
      </c>
      <c r="R4643">
        <v>274</v>
      </c>
      <c r="S4643">
        <v>141</v>
      </c>
      <c r="T4643">
        <v>111</v>
      </c>
      <c r="U4643">
        <v>42</v>
      </c>
      <c r="V4643" t="s">
        <v>6808</v>
      </c>
      <c r="W4643">
        <v>61813</v>
      </c>
      <c r="X4643" t="s">
        <v>2334</v>
      </c>
      <c r="Y4643">
        <v>47272</v>
      </c>
      <c r="Z4643">
        <v>2596146</v>
      </c>
      <c r="AA4643">
        <v>610722</v>
      </c>
      <c r="AB4643" t="str">
        <f>(VLOOKUP(SalesData[[#This Row],[Month Number]],Reference!C$5:E$16,2,FALSE))</f>
        <v>Feb</v>
      </c>
      <c r="AC4643">
        <f>MONTH(SalesData[[#This Row],[Date]])</f>
        <v>2</v>
      </c>
      <c r="AD4643">
        <f>Reference!F$4</f>
        <v>2026</v>
      </c>
      <c r="AE4643" t="str">
        <f>IF(OR(SalesData[[#This Row],[Day]]="Saturday",SalesData[[#This Row],[Day]]="Sunday"),"Weekend","Weekday")</f>
        <v>Weekday</v>
      </c>
      <c r="AF4643" s="5">
        <f>IF(SalesData[[#This Row],[Contracts Offered]]=0,0,SalesData[[#This Row],[Contracts Signed]]/SalesData[[#This Row],[Contracts Offered]])</f>
        <v>0.3783783783783784</v>
      </c>
      <c r="AG4643" s="5">
        <f>IF(SalesData[[#This Row],[Customers Visited]]=0,0,SalesData[[#This Row],[Test Drives]]/SalesData[[#This Row],[Customers Visited]])</f>
        <v>0.51459854014598538</v>
      </c>
      <c r="AH4643" s="5">
        <f>IF(SalesData[[#This Row],[Customers Visited]]=0,0,SalesData[[#This Row],[Contracts Signed]]/SalesData[[#This Row],[Customers Visited]])</f>
        <v>0.15328467153284672</v>
      </c>
      <c r="AI4643" s="6">
        <f>IF(SalesData[[#This Row],[Contracts Signed]]=0,0,SalesData[[#This Row],[Profit(€)]]/SalesData[[#This Row],[Contracts Signed]])</f>
        <v>14541</v>
      </c>
      <c r="AJ4643" s="5" t="str">
        <f>TRIM(CLEAN(SalesData[[#This Row],[Retailer]]))</f>
        <v>Main Auto Hub</v>
      </c>
    </row>
    <row r="4644" spans="1:36" ht="14.25" hidden="1" x14ac:dyDescent="0.2">
      <c r="A4644" t="s">
        <v>5918</v>
      </c>
      <c r="B4644" s="1">
        <v>46073</v>
      </c>
      <c r="C4644" t="s">
        <v>62</v>
      </c>
      <c r="D4644" t="s">
        <v>54</v>
      </c>
      <c r="E4644" t="s">
        <v>26</v>
      </c>
      <c r="F4644" t="s">
        <v>43</v>
      </c>
      <c r="G4644" t="s">
        <v>44</v>
      </c>
      <c r="H4644" t="s">
        <v>45</v>
      </c>
      <c r="I4644" t="s">
        <v>116</v>
      </c>
      <c r="J4644" t="s">
        <v>203</v>
      </c>
      <c r="K4644" t="s">
        <v>91</v>
      </c>
      <c r="L4644" t="s">
        <v>67</v>
      </c>
      <c r="M4644" t="s">
        <v>68</v>
      </c>
      <c r="N4644" t="s">
        <v>35</v>
      </c>
      <c r="O4644" t="s">
        <v>36</v>
      </c>
      <c r="P4644" t="s">
        <v>37</v>
      </c>
      <c r="Q4644" t="s">
        <v>106</v>
      </c>
      <c r="R4644">
        <v>403</v>
      </c>
      <c r="S4644">
        <v>155</v>
      </c>
      <c r="T4644">
        <v>90</v>
      </c>
      <c r="U4644">
        <v>23</v>
      </c>
      <c r="V4644" t="s">
        <v>1714</v>
      </c>
      <c r="W4644">
        <v>22640</v>
      </c>
      <c r="X4644" t="s">
        <v>529</v>
      </c>
      <c r="Y4644">
        <v>20545</v>
      </c>
      <c r="Z4644">
        <v>520720</v>
      </c>
      <c r="AA4644">
        <v>48185</v>
      </c>
      <c r="AB4644" t="str">
        <f>(VLOOKUP(SalesData[[#This Row],[Month Number]],Reference!C$5:E$16,2,FALSE))</f>
        <v>Feb</v>
      </c>
      <c r="AC4644">
        <f>MONTH(SalesData[[#This Row],[Date]])</f>
        <v>2</v>
      </c>
      <c r="AD4644">
        <f>Reference!F$4</f>
        <v>2026</v>
      </c>
      <c r="AE4644" t="str">
        <f>IF(OR(SalesData[[#This Row],[Day]]="Saturday",SalesData[[#This Row],[Day]]="Sunday"),"Weekend","Weekday")</f>
        <v>Weekday</v>
      </c>
      <c r="AF4644" s="5">
        <f>IF(SalesData[[#This Row],[Contracts Offered]]=0,0,SalesData[[#This Row],[Contracts Signed]]/SalesData[[#This Row],[Contracts Offered]])</f>
        <v>0.25555555555555554</v>
      </c>
      <c r="AG4644" s="5">
        <f>IF(SalesData[[#This Row],[Customers Visited]]=0,0,SalesData[[#This Row],[Test Drives]]/SalesData[[#This Row],[Customers Visited]])</f>
        <v>0.38461538461538464</v>
      </c>
      <c r="AH4644" s="5">
        <f>IF(SalesData[[#This Row],[Customers Visited]]=0,0,SalesData[[#This Row],[Contracts Signed]]/SalesData[[#This Row],[Customers Visited]])</f>
        <v>5.7071960297766747E-2</v>
      </c>
      <c r="AI4644" s="6">
        <f>IF(SalesData[[#This Row],[Contracts Signed]]=0,0,SalesData[[#This Row],[Profit(€)]]/SalesData[[#This Row],[Contracts Signed]])</f>
        <v>2095</v>
      </c>
      <c r="AJ4644" s="5" t="str">
        <f>TRIM(CLEAN(SalesData[[#This Row],[Retailer]]))</f>
        <v>Saxon Wheels</v>
      </c>
    </row>
    <row r="4645" spans="1:36" ht="14.25" hidden="1" x14ac:dyDescent="0.2">
      <c r="A4645" t="s">
        <v>5919</v>
      </c>
      <c r="B4645" s="1">
        <v>46057</v>
      </c>
      <c r="C4645" t="s">
        <v>24</v>
      </c>
      <c r="D4645" t="s">
        <v>82</v>
      </c>
      <c r="E4645" t="s">
        <v>26</v>
      </c>
      <c r="F4645" t="s">
        <v>114</v>
      </c>
      <c r="G4645" t="s">
        <v>115</v>
      </c>
      <c r="H4645" t="s">
        <v>115</v>
      </c>
      <c r="I4645" t="s">
        <v>56</v>
      </c>
      <c r="J4645" t="s">
        <v>57</v>
      </c>
      <c r="K4645" t="s">
        <v>32</v>
      </c>
      <c r="L4645" t="s">
        <v>46</v>
      </c>
      <c r="M4645" t="s">
        <v>34</v>
      </c>
      <c r="N4645" t="s">
        <v>35</v>
      </c>
      <c r="O4645" t="s">
        <v>36</v>
      </c>
      <c r="P4645" t="s">
        <v>37</v>
      </c>
      <c r="Q4645" t="s">
        <v>204</v>
      </c>
      <c r="R4645">
        <v>226</v>
      </c>
      <c r="S4645">
        <v>120</v>
      </c>
      <c r="T4645">
        <v>84</v>
      </c>
      <c r="U4645">
        <v>28</v>
      </c>
      <c r="V4645" t="s">
        <v>6365</v>
      </c>
      <c r="W4645">
        <v>49785</v>
      </c>
      <c r="X4645" t="s">
        <v>7353</v>
      </c>
      <c r="Y4645">
        <v>38135</v>
      </c>
      <c r="Z4645">
        <v>1393980</v>
      </c>
      <c r="AA4645">
        <v>326200</v>
      </c>
      <c r="AB4645" t="str">
        <f>(VLOOKUP(SalesData[[#This Row],[Month Number]],Reference!C$5:E$16,2,FALSE))</f>
        <v>Feb</v>
      </c>
      <c r="AC4645">
        <f>MONTH(SalesData[[#This Row],[Date]])</f>
        <v>2</v>
      </c>
      <c r="AD4645">
        <f>Reference!F$4</f>
        <v>2026</v>
      </c>
      <c r="AE4645" t="str">
        <f>IF(OR(SalesData[[#This Row],[Day]]="Saturday",SalesData[[#This Row],[Day]]="Sunday"),"Weekend","Weekday")</f>
        <v>Weekday</v>
      </c>
      <c r="AF4645" s="5">
        <f>IF(SalesData[[#This Row],[Contracts Offered]]=0,0,SalesData[[#This Row],[Contracts Signed]]/SalesData[[#This Row],[Contracts Offered]])</f>
        <v>0.33333333333333331</v>
      </c>
      <c r="AG4645" s="5">
        <f>IF(SalesData[[#This Row],[Customers Visited]]=0,0,SalesData[[#This Row],[Test Drives]]/SalesData[[#This Row],[Customers Visited]])</f>
        <v>0.53097345132743368</v>
      </c>
      <c r="AH4645" s="5">
        <f>IF(SalesData[[#This Row],[Customers Visited]]=0,0,SalesData[[#This Row],[Contracts Signed]]/SalesData[[#This Row],[Customers Visited]])</f>
        <v>0.12389380530973451</v>
      </c>
      <c r="AI4645" s="6">
        <f>IF(SalesData[[#This Row],[Contracts Signed]]=0,0,SalesData[[#This Row],[Profit(€)]]/SalesData[[#This Row],[Contracts Signed]])</f>
        <v>11650</v>
      </c>
      <c r="AJ4645" s="5" t="str">
        <f>TRIM(CLEAN(SalesData[[#This Row],[Retailer]]))</f>
        <v>Elbe Drive</v>
      </c>
    </row>
    <row r="4646" spans="1:36" ht="14.25" hidden="1" x14ac:dyDescent="0.2">
      <c r="A4646" t="s">
        <v>5920</v>
      </c>
      <c r="B4646" s="1">
        <v>46070</v>
      </c>
      <c r="C4646" t="s">
        <v>62</v>
      </c>
      <c r="D4646" t="s">
        <v>63</v>
      </c>
      <c r="E4646" t="s">
        <v>26</v>
      </c>
      <c r="F4646" t="s">
        <v>101</v>
      </c>
      <c r="G4646" t="s">
        <v>102</v>
      </c>
      <c r="H4646" t="s">
        <v>103</v>
      </c>
      <c r="I4646" t="s">
        <v>56</v>
      </c>
      <c r="J4646" t="s">
        <v>137</v>
      </c>
      <c r="K4646" t="s">
        <v>32</v>
      </c>
      <c r="L4646" t="s">
        <v>46</v>
      </c>
      <c r="M4646" t="s">
        <v>47</v>
      </c>
      <c r="N4646" t="s">
        <v>35</v>
      </c>
      <c r="O4646" t="s">
        <v>70</v>
      </c>
      <c r="P4646" t="s">
        <v>71</v>
      </c>
      <c r="Q4646" t="s">
        <v>347</v>
      </c>
      <c r="R4646">
        <v>163</v>
      </c>
      <c r="S4646">
        <v>82</v>
      </c>
      <c r="T4646">
        <v>54</v>
      </c>
      <c r="U4646">
        <v>19</v>
      </c>
      <c r="V4646" t="s">
        <v>6652</v>
      </c>
      <c r="W4646">
        <v>50515</v>
      </c>
      <c r="X4646" t="s">
        <v>7208</v>
      </c>
      <c r="Y4646">
        <v>39536</v>
      </c>
      <c r="Z4646">
        <v>959785</v>
      </c>
      <c r="AA4646">
        <v>208601</v>
      </c>
      <c r="AB4646" t="str">
        <f>(VLOOKUP(SalesData[[#This Row],[Month Number]],Reference!C$5:E$16,2,FALSE))</f>
        <v>Feb</v>
      </c>
      <c r="AC4646">
        <f>MONTH(SalesData[[#This Row],[Date]])</f>
        <v>2</v>
      </c>
      <c r="AD4646">
        <f>Reference!F$4</f>
        <v>2026</v>
      </c>
      <c r="AE4646" t="str">
        <f>IF(OR(SalesData[[#This Row],[Day]]="Saturday",SalesData[[#This Row],[Day]]="Sunday"),"Weekend","Weekday")</f>
        <v>Weekday</v>
      </c>
      <c r="AF4646" s="5">
        <f>IF(SalesData[[#This Row],[Contracts Offered]]=0,0,SalesData[[#This Row],[Contracts Signed]]/SalesData[[#This Row],[Contracts Offered]])</f>
        <v>0.35185185185185186</v>
      </c>
      <c r="AG4646" s="5">
        <f>IF(SalesData[[#This Row],[Customers Visited]]=0,0,SalesData[[#This Row],[Test Drives]]/SalesData[[#This Row],[Customers Visited]])</f>
        <v>0.50306748466257667</v>
      </c>
      <c r="AH4646" s="5">
        <f>IF(SalesData[[#This Row],[Customers Visited]]=0,0,SalesData[[#This Row],[Contracts Signed]]/SalesData[[#This Row],[Customers Visited]])</f>
        <v>0.1165644171779141</v>
      </c>
      <c r="AI4646" s="6">
        <f>IF(SalesData[[#This Row],[Contracts Signed]]=0,0,SalesData[[#This Row],[Profit(€)]]/SalesData[[#This Row],[Contracts Signed]])</f>
        <v>10979</v>
      </c>
      <c r="AJ4646" s="5" t="str">
        <f>TRIM(CLEAN(SalesData[[#This Row],[Retailer]]))</f>
        <v>Ruhr Auto Plaza</v>
      </c>
    </row>
    <row r="4647" spans="1:36" ht="14.25" x14ac:dyDescent="0.2">
      <c r="A4647" t="s">
        <v>5921</v>
      </c>
      <c r="B4647" s="1">
        <v>46056</v>
      </c>
      <c r="C4647" t="s">
        <v>24</v>
      </c>
      <c r="D4647" t="s">
        <v>63</v>
      </c>
      <c r="E4647" t="s">
        <v>26</v>
      </c>
      <c r="F4647" t="s">
        <v>101</v>
      </c>
      <c r="G4647" t="s">
        <v>102</v>
      </c>
      <c r="H4647" t="s">
        <v>103</v>
      </c>
      <c r="I4647" t="s">
        <v>30</v>
      </c>
      <c r="J4647" t="s">
        <v>7075</v>
      </c>
      <c r="K4647" t="s">
        <v>66</v>
      </c>
      <c r="L4647" t="s">
        <v>33</v>
      </c>
      <c r="M4647" t="s">
        <v>47</v>
      </c>
      <c r="N4647" t="s">
        <v>35</v>
      </c>
      <c r="O4647" t="s">
        <v>36</v>
      </c>
      <c r="P4647" t="s">
        <v>71</v>
      </c>
      <c r="Q4647" t="s">
        <v>152</v>
      </c>
      <c r="R4647">
        <v>212</v>
      </c>
      <c r="S4647">
        <v>106</v>
      </c>
      <c r="T4647">
        <v>82</v>
      </c>
      <c r="U4647">
        <v>30</v>
      </c>
      <c r="V4647" t="s">
        <v>6760</v>
      </c>
      <c r="W4647">
        <v>54920</v>
      </c>
      <c r="X4647" t="s">
        <v>7044</v>
      </c>
      <c r="Y4647">
        <v>42204</v>
      </c>
      <c r="Z4647">
        <v>1647600</v>
      </c>
      <c r="AA4647">
        <v>381480</v>
      </c>
      <c r="AB4647" t="str">
        <f>(VLOOKUP(SalesData[[#This Row],[Month Number]],Reference!C$5:E$16,2,FALSE))</f>
        <v>Feb</v>
      </c>
      <c r="AC4647">
        <f>MONTH(SalesData[[#This Row],[Date]])</f>
        <v>2</v>
      </c>
      <c r="AD4647">
        <f>Reference!F$4</f>
        <v>2026</v>
      </c>
      <c r="AE4647" t="str">
        <f>IF(OR(SalesData[[#This Row],[Day]]="Saturday",SalesData[[#This Row],[Day]]="Sunday"),"Weekend","Weekday")</f>
        <v>Weekday</v>
      </c>
      <c r="AF4647" s="5">
        <f>IF(SalesData[[#This Row],[Contracts Offered]]=0,0,SalesData[[#This Row],[Contracts Signed]]/SalesData[[#This Row],[Contracts Offered]])</f>
        <v>0.36585365853658536</v>
      </c>
      <c r="AG4647" s="5">
        <f>IF(SalesData[[#This Row],[Customers Visited]]=0,0,SalesData[[#This Row],[Test Drives]]/SalesData[[#This Row],[Customers Visited]])</f>
        <v>0.5</v>
      </c>
      <c r="AH4647" s="5">
        <f>IF(SalesData[[#This Row],[Customers Visited]]=0,0,SalesData[[#This Row],[Contracts Signed]]/SalesData[[#This Row],[Customers Visited]])</f>
        <v>0.14150943396226415</v>
      </c>
      <c r="AI4647" s="6">
        <f>IF(SalesData[[#This Row],[Contracts Signed]]=0,0,SalesData[[#This Row],[Profit(€)]]/SalesData[[#This Row],[Contracts Signed]])</f>
        <v>12716</v>
      </c>
      <c r="AJ4647" s="5" t="str">
        <f>TRIM(CLEAN(SalesData[[#This Row],[Retailer]]))</f>
        <v>Ruhr Auto Plaza</v>
      </c>
    </row>
    <row r="4648" spans="1:36" ht="14.25" x14ac:dyDescent="0.2">
      <c r="A4648" t="s">
        <v>5922</v>
      </c>
      <c r="B4648" s="1">
        <v>46071</v>
      </c>
      <c r="C4648" t="s">
        <v>62</v>
      </c>
      <c r="D4648" t="s">
        <v>82</v>
      </c>
      <c r="E4648" t="s">
        <v>26</v>
      </c>
      <c r="F4648" t="s">
        <v>127</v>
      </c>
      <c r="G4648" t="s">
        <v>128</v>
      </c>
      <c r="H4648" t="s">
        <v>103</v>
      </c>
      <c r="I4648" t="s">
        <v>30</v>
      </c>
      <c r="J4648" t="s">
        <v>7075</v>
      </c>
      <c r="K4648" t="s">
        <v>66</v>
      </c>
      <c r="L4648" t="s">
        <v>33</v>
      </c>
      <c r="M4648" t="s">
        <v>87</v>
      </c>
      <c r="N4648" t="s">
        <v>35</v>
      </c>
      <c r="O4648" t="s">
        <v>70</v>
      </c>
      <c r="P4648" t="s">
        <v>49</v>
      </c>
      <c r="Q4648" t="s">
        <v>129</v>
      </c>
      <c r="R4648">
        <v>178</v>
      </c>
      <c r="S4648">
        <v>99</v>
      </c>
      <c r="T4648">
        <v>80</v>
      </c>
      <c r="U4648">
        <v>26</v>
      </c>
      <c r="V4648" t="s">
        <v>6450</v>
      </c>
      <c r="W4648">
        <v>53729</v>
      </c>
      <c r="X4648" t="s">
        <v>7335</v>
      </c>
      <c r="Y4648">
        <v>39090</v>
      </c>
      <c r="Z4648">
        <v>1396954</v>
      </c>
      <c r="AA4648">
        <v>380614</v>
      </c>
      <c r="AB4648" t="str">
        <f>(VLOOKUP(SalesData[[#This Row],[Month Number]],Reference!C$5:E$16,2,FALSE))</f>
        <v>Feb</v>
      </c>
      <c r="AC4648">
        <f>MONTH(SalesData[[#This Row],[Date]])</f>
        <v>2</v>
      </c>
      <c r="AD4648">
        <f>Reference!F$4</f>
        <v>2026</v>
      </c>
      <c r="AE4648" t="str">
        <f>IF(OR(SalesData[[#This Row],[Day]]="Saturday",SalesData[[#This Row],[Day]]="Sunday"),"Weekend","Weekday")</f>
        <v>Weekday</v>
      </c>
      <c r="AF4648" s="5">
        <f>IF(SalesData[[#This Row],[Contracts Offered]]=0,0,SalesData[[#This Row],[Contracts Signed]]/SalesData[[#This Row],[Contracts Offered]])</f>
        <v>0.32500000000000001</v>
      </c>
      <c r="AG4648" s="5">
        <f>IF(SalesData[[#This Row],[Customers Visited]]=0,0,SalesData[[#This Row],[Test Drives]]/SalesData[[#This Row],[Customers Visited]])</f>
        <v>0.5561797752808989</v>
      </c>
      <c r="AH4648" s="5">
        <f>IF(SalesData[[#This Row],[Customers Visited]]=0,0,SalesData[[#This Row],[Contracts Signed]]/SalesData[[#This Row],[Customers Visited]])</f>
        <v>0.14606741573033707</v>
      </c>
      <c r="AI4648" s="6">
        <f>IF(SalesData[[#This Row],[Contracts Signed]]=0,0,SalesData[[#This Row],[Profit(€)]]/SalesData[[#This Row],[Contracts Signed]])</f>
        <v>14639</v>
      </c>
      <c r="AJ4648" s="5" t="str">
        <f>TRIM(CLEAN(SalesData[[#This Row],[Retailer]]))</f>
        <v>Rhein Auto Group</v>
      </c>
    </row>
    <row r="4649" spans="1:36" ht="14.25" hidden="1" x14ac:dyDescent="0.2">
      <c r="A4649" t="s">
        <v>5923</v>
      </c>
      <c r="B4649" s="1">
        <v>46077</v>
      </c>
      <c r="C4649" t="s">
        <v>53</v>
      </c>
      <c r="D4649" t="s">
        <v>63</v>
      </c>
      <c r="E4649" t="s">
        <v>26</v>
      </c>
      <c r="F4649" t="s">
        <v>114</v>
      </c>
      <c r="G4649" t="s">
        <v>115</v>
      </c>
      <c r="H4649" t="s">
        <v>115</v>
      </c>
      <c r="I4649" t="s">
        <v>116</v>
      </c>
      <c r="J4649" t="s">
        <v>203</v>
      </c>
      <c r="K4649" t="s">
        <v>91</v>
      </c>
      <c r="L4649" t="s">
        <v>67</v>
      </c>
      <c r="M4649" t="s">
        <v>68</v>
      </c>
      <c r="N4649" t="s">
        <v>48</v>
      </c>
      <c r="O4649" t="s">
        <v>70</v>
      </c>
      <c r="P4649" t="s">
        <v>49</v>
      </c>
      <c r="Q4649" t="s">
        <v>59</v>
      </c>
      <c r="R4649">
        <v>283</v>
      </c>
      <c r="S4649">
        <v>139</v>
      </c>
      <c r="T4649">
        <v>86</v>
      </c>
      <c r="U4649">
        <v>18</v>
      </c>
      <c r="V4649" t="s">
        <v>4532</v>
      </c>
      <c r="W4649">
        <v>23167</v>
      </c>
      <c r="X4649" t="s">
        <v>1405</v>
      </c>
      <c r="Y4649">
        <v>21171</v>
      </c>
      <c r="Z4649">
        <v>417006</v>
      </c>
      <c r="AA4649">
        <v>35928</v>
      </c>
      <c r="AB4649" t="str">
        <f>(VLOOKUP(SalesData[[#This Row],[Month Number]],Reference!C$5:E$16,2,FALSE))</f>
        <v>Feb</v>
      </c>
      <c r="AC4649">
        <f>MONTH(SalesData[[#This Row],[Date]])</f>
        <v>2</v>
      </c>
      <c r="AD4649">
        <f>Reference!F$4</f>
        <v>2026</v>
      </c>
      <c r="AE4649" t="str">
        <f>IF(OR(SalesData[[#This Row],[Day]]="Saturday",SalesData[[#This Row],[Day]]="Sunday"),"Weekend","Weekday")</f>
        <v>Weekday</v>
      </c>
      <c r="AF4649" s="5">
        <f>IF(SalesData[[#This Row],[Contracts Offered]]=0,0,SalesData[[#This Row],[Contracts Signed]]/SalesData[[#This Row],[Contracts Offered]])</f>
        <v>0.20930232558139536</v>
      </c>
      <c r="AG4649" s="5">
        <f>IF(SalesData[[#This Row],[Customers Visited]]=0,0,SalesData[[#This Row],[Test Drives]]/SalesData[[#This Row],[Customers Visited]])</f>
        <v>0.49116607773851589</v>
      </c>
      <c r="AH4649" s="5">
        <f>IF(SalesData[[#This Row],[Customers Visited]]=0,0,SalesData[[#This Row],[Contracts Signed]]/SalesData[[#This Row],[Customers Visited]])</f>
        <v>6.3604240282685506E-2</v>
      </c>
      <c r="AI4649" s="6">
        <f>IF(SalesData[[#This Row],[Contracts Signed]]=0,0,SalesData[[#This Row],[Profit(€)]]/SalesData[[#This Row],[Contracts Signed]])</f>
        <v>1996</v>
      </c>
      <c r="AJ4649" s="5" t="str">
        <f>TRIM(CLEAN(SalesData[[#This Row],[Retailer]]))</f>
        <v>Elbe Drive</v>
      </c>
    </row>
    <row r="4650" spans="1:36" ht="14.25" hidden="1" x14ac:dyDescent="0.2">
      <c r="A4650" t="s">
        <v>5924</v>
      </c>
      <c r="B4650" s="1">
        <v>46080</v>
      </c>
      <c r="C4650" t="s">
        <v>53</v>
      </c>
      <c r="D4650" t="s">
        <v>54</v>
      </c>
      <c r="E4650" t="s">
        <v>26</v>
      </c>
      <c r="F4650" t="s">
        <v>27</v>
      </c>
      <c r="G4650" t="s">
        <v>28</v>
      </c>
      <c r="H4650" t="s">
        <v>29</v>
      </c>
      <c r="I4650" t="s">
        <v>56</v>
      </c>
      <c r="J4650" t="s">
        <v>179</v>
      </c>
      <c r="K4650" t="s">
        <v>91</v>
      </c>
      <c r="L4650" t="s">
        <v>67</v>
      </c>
      <c r="M4650" t="s">
        <v>87</v>
      </c>
      <c r="N4650" t="s">
        <v>48</v>
      </c>
      <c r="O4650" t="s">
        <v>70</v>
      </c>
      <c r="P4650" t="s">
        <v>37</v>
      </c>
      <c r="Q4650" t="s">
        <v>118</v>
      </c>
      <c r="R4650">
        <v>161</v>
      </c>
      <c r="S4650">
        <v>82</v>
      </c>
      <c r="T4650">
        <v>55</v>
      </c>
      <c r="U4650">
        <v>19</v>
      </c>
      <c r="V4650" t="s">
        <v>6652</v>
      </c>
      <c r="W4650">
        <v>46017</v>
      </c>
      <c r="X4650" t="s">
        <v>1293</v>
      </c>
      <c r="Y4650">
        <v>35733</v>
      </c>
      <c r="Z4650">
        <v>874323</v>
      </c>
      <c r="AA4650">
        <v>195396</v>
      </c>
      <c r="AB4650" t="str">
        <f>(VLOOKUP(SalesData[[#This Row],[Month Number]],Reference!C$5:E$16,2,FALSE))</f>
        <v>Feb</v>
      </c>
      <c r="AC4650">
        <f>MONTH(SalesData[[#This Row],[Date]])</f>
        <v>2</v>
      </c>
      <c r="AD4650">
        <f>Reference!F$4</f>
        <v>2026</v>
      </c>
      <c r="AE4650" t="str">
        <f>IF(OR(SalesData[[#This Row],[Day]]="Saturday",SalesData[[#This Row],[Day]]="Sunday"),"Weekend","Weekday")</f>
        <v>Weekday</v>
      </c>
      <c r="AF4650" s="5">
        <f>IF(SalesData[[#This Row],[Contracts Offered]]=0,0,SalesData[[#This Row],[Contracts Signed]]/SalesData[[#This Row],[Contracts Offered]])</f>
        <v>0.34545454545454546</v>
      </c>
      <c r="AG4650" s="5">
        <f>IF(SalesData[[#This Row],[Customers Visited]]=0,0,SalesData[[#This Row],[Test Drives]]/SalesData[[#This Row],[Customers Visited]])</f>
        <v>0.50931677018633537</v>
      </c>
      <c r="AH4650" s="5">
        <f>IF(SalesData[[#This Row],[Customers Visited]]=0,0,SalesData[[#This Row],[Contracts Signed]]/SalesData[[#This Row],[Customers Visited]])</f>
        <v>0.11801242236024845</v>
      </c>
      <c r="AI4650" s="6">
        <f>IF(SalesData[[#This Row],[Contracts Signed]]=0,0,SalesData[[#This Row],[Profit(€)]]/SalesData[[#This Row],[Contracts Signed]])</f>
        <v>10284</v>
      </c>
      <c r="AJ4650" s="5" t="str">
        <f>TRIM(CLEAN(SalesData[[#This Row],[Retailer]]))</f>
        <v>Main Auto Hub</v>
      </c>
    </row>
    <row r="4651" spans="1:36" ht="14.25" hidden="1" x14ac:dyDescent="0.2">
      <c r="A4651" t="s">
        <v>5925</v>
      </c>
      <c r="B4651" s="1">
        <v>46059</v>
      </c>
      <c r="C4651" t="s">
        <v>24</v>
      </c>
      <c r="D4651" t="s">
        <v>54</v>
      </c>
      <c r="E4651" t="s">
        <v>26</v>
      </c>
      <c r="F4651" t="s">
        <v>83</v>
      </c>
      <c r="G4651" t="s">
        <v>84</v>
      </c>
      <c r="H4651" t="s">
        <v>85</v>
      </c>
      <c r="I4651" t="s">
        <v>104</v>
      </c>
      <c r="J4651" t="s">
        <v>140</v>
      </c>
      <c r="K4651" t="s">
        <v>66</v>
      </c>
      <c r="L4651" t="s">
        <v>46</v>
      </c>
      <c r="M4651" t="s">
        <v>47</v>
      </c>
      <c r="N4651" t="s">
        <v>35</v>
      </c>
      <c r="O4651" t="s">
        <v>70</v>
      </c>
      <c r="P4651" t="s">
        <v>58</v>
      </c>
      <c r="Q4651" t="s">
        <v>240</v>
      </c>
      <c r="R4651">
        <v>469</v>
      </c>
      <c r="S4651">
        <v>257</v>
      </c>
      <c r="T4651">
        <v>172</v>
      </c>
      <c r="U4651">
        <v>47</v>
      </c>
      <c r="V4651" t="s">
        <v>2473</v>
      </c>
      <c r="W4651">
        <v>31759</v>
      </c>
      <c r="X4651" t="s">
        <v>1480</v>
      </c>
      <c r="Y4651">
        <v>27837</v>
      </c>
      <c r="Z4651">
        <v>1492673</v>
      </c>
      <c r="AA4651">
        <v>184334</v>
      </c>
      <c r="AB4651" t="str">
        <f>(VLOOKUP(SalesData[[#This Row],[Month Number]],Reference!C$5:E$16,2,FALSE))</f>
        <v>Feb</v>
      </c>
      <c r="AC4651">
        <f>MONTH(SalesData[[#This Row],[Date]])</f>
        <v>2</v>
      </c>
      <c r="AD4651">
        <f>Reference!F$4</f>
        <v>2026</v>
      </c>
      <c r="AE4651" t="str">
        <f>IF(OR(SalesData[[#This Row],[Day]]="Saturday",SalesData[[#This Row],[Day]]="Sunday"),"Weekend","Weekday")</f>
        <v>Weekday</v>
      </c>
      <c r="AF4651" s="5">
        <f>IF(SalesData[[#This Row],[Contracts Offered]]=0,0,SalesData[[#This Row],[Contracts Signed]]/SalesData[[#This Row],[Contracts Offered]])</f>
        <v>0.27325581395348836</v>
      </c>
      <c r="AG4651" s="5">
        <f>IF(SalesData[[#This Row],[Customers Visited]]=0,0,SalesData[[#This Row],[Test Drives]]/SalesData[[#This Row],[Customers Visited]])</f>
        <v>0.54797441364605548</v>
      </c>
      <c r="AH4651" s="5">
        <f>IF(SalesData[[#This Row],[Customers Visited]]=0,0,SalesData[[#This Row],[Contracts Signed]]/SalesData[[#This Row],[Customers Visited]])</f>
        <v>0.10021321961620469</v>
      </c>
      <c r="AI4651" s="6">
        <f>IF(SalesData[[#This Row],[Contracts Signed]]=0,0,SalesData[[#This Row],[Profit(€)]]/SalesData[[#This Row],[Contracts Signed]])</f>
        <v>3922</v>
      </c>
      <c r="AJ4651" s="5" t="str">
        <f>TRIM(CLEAN(SalesData[[#This Row],[Retailer]]))</f>
        <v>Hannover Cars</v>
      </c>
    </row>
    <row r="4652" spans="1:36" ht="14.25" x14ac:dyDescent="0.2">
      <c r="A4652" t="s">
        <v>5926</v>
      </c>
      <c r="B4652" s="1">
        <v>46064</v>
      </c>
      <c r="C4652" t="s">
        <v>121</v>
      </c>
      <c r="D4652" t="s">
        <v>82</v>
      </c>
      <c r="E4652" t="s">
        <v>26</v>
      </c>
      <c r="F4652" t="s">
        <v>127</v>
      </c>
      <c r="G4652" t="s">
        <v>128</v>
      </c>
      <c r="H4652" t="s">
        <v>103</v>
      </c>
      <c r="I4652" t="s">
        <v>30</v>
      </c>
      <c r="J4652" t="s">
        <v>188</v>
      </c>
      <c r="K4652" t="s">
        <v>66</v>
      </c>
      <c r="L4652" t="s">
        <v>33</v>
      </c>
      <c r="M4652" t="s">
        <v>47</v>
      </c>
      <c r="N4652" t="s">
        <v>48</v>
      </c>
      <c r="O4652" t="s">
        <v>70</v>
      </c>
      <c r="P4652" t="s">
        <v>58</v>
      </c>
      <c r="Q4652" t="s">
        <v>152</v>
      </c>
      <c r="R4652">
        <v>276</v>
      </c>
      <c r="S4652">
        <v>126</v>
      </c>
      <c r="T4652">
        <v>93</v>
      </c>
      <c r="U4652">
        <v>36</v>
      </c>
      <c r="V4652" t="s">
        <v>6357</v>
      </c>
      <c r="W4652">
        <v>65982</v>
      </c>
      <c r="X4652" t="s">
        <v>7535</v>
      </c>
      <c r="Y4652">
        <v>47115</v>
      </c>
      <c r="Z4652">
        <v>2375352</v>
      </c>
      <c r="AA4652">
        <v>679212</v>
      </c>
      <c r="AB4652" t="str">
        <f>(VLOOKUP(SalesData[[#This Row],[Month Number]],Reference!C$5:E$16,2,FALSE))</f>
        <v>Feb</v>
      </c>
      <c r="AC4652">
        <f>MONTH(SalesData[[#This Row],[Date]])</f>
        <v>2</v>
      </c>
      <c r="AD4652">
        <f>Reference!F$4</f>
        <v>2026</v>
      </c>
      <c r="AE4652" t="str">
        <f>IF(OR(SalesData[[#This Row],[Day]]="Saturday",SalesData[[#This Row],[Day]]="Sunday"),"Weekend","Weekday")</f>
        <v>Weekday</v>
      </c>
      <c r="AF4652" s="5">
        <f>IF(SalesData[[#This Row],[Contracts Offered]]=0,0,SalesData[[#This Row],[Contracts Signed]]/SalesData[[#This Row],[Contracts Offered]])</f>
        <v>0.38709677419354838</v>
      </c>
      <c r="AG4652" s="5">
        <f>IF(SalesData[[#This Row],[Customers Visited]]=0,0,SalesData[[#This Row],[Test Drives]]/SalesData[[#This Row],[Customers Visited]])</f>
        <v>0.45652173913043476</v>
      </c>
      <c r="AH4652" s="5">
        <f>IF(SalesData[[#This Row],[Customers Visited]]=0,0,SalesData[[#This Row],[Contracts Signed]]/SalesData[[#This Row],[Customers Visited]])</f>
        <v>0.13043478260869565</v>
      </c>
      <c r="AI4652" s="6">
        <f>IF(SalesData[[#This Row],[Contracts Signed]]=0,0,SalesData[[#This Row],[Profit(€)]]/SalesData[[#This Row],[Contracts Signed]])</f>
        <v>18867</v>
      </c>
      <c r="AJ4652" s="5" t="str">
        <f>TRIM(CLEAN(SalesData[[#This Row],[Retailer]]))</f>
        <v>Rhein Auto Group</v>
      </c>
    </row>
    <row r="4653" spans="1:36" ht="14.25" hidden="1" x14ac:dyDescent="0.2">
      <c r="A4653" t="s">
        <v>5927</v>
      </c>
      <c r="B4653" s="1">
        <v>46074</v>
      </c>
      <c r="C4653" t="s">
        <v>62</v>
      </c>
      <c r="D4653" t="s">
        <v>151</v>
      </c>
      <c r="E4653" t="s">
        <v>42</v>
      </c>
      <c r="F4653" t="s">
        <v>101</v>
      </c>
      <c r="G4653" t="s">
        <v>102</v>
      </c>
      <c r="H4653" t="s">
        <v>103</v>
      </c>
      <c r="I4653" t="s">
        <v>64</v>
      </c>
      <c r="J4653" t="s">
        <v>111</v>
      </c>
      <c r="K4653" t="s">
        <v>66</v>
      </c>
      <c r="L4653" t="s">
        <v>46</v>
      </c>
      <c r="M4653" t="s">
        <v>87</v>
      </c>
      <c r="N4653" t="s">
        <v>48</v>
      </c>
      <c r="O4653" t="s">
        <v>36</v>
      </c>
      <c r="P4653" t="s">
        <v>37</v>
      </c>
      <c r="Q4653" t="s">
        <v>38</v>
      </c>
      <c r="R4653">
        <v>263</v>
      </c>
      <c r="S4653">
        <v>134</v>
      </c>
      <c r="T4653">
        <v>100</v>
      </c>
      <c r="U4653">
        <v>29</v>
      </c>
      <c r="V4653" t="s">
        <v>7011</v>
      </c>
      <c r="W4653">
        <v>59228</v>
      </c>
      <c r="X4653" t="s">
        <v>7496</v>
      </c>
      <c r="Y4653">
        <v>42861</v>
      </c>
      <c r="Z4653">
        <v>1717612</v>
      </c>
      <c r="AA4653">
        <v>474643</v>
      </c>
      <c r="AB4653" t="str">
        <f>(VLOOKUP(SalesData[[#This Row],[Month Number]],Reference!C$5:E$16,2,FALSE))</f>
        <v>Feb</v>
      </c>
      <c r="AC4653">
        <f>MONTH(SalesData[[#This Row],[Date]])</f>
        <v>2</v>
      </c>
      <c r="AD4653">
        <f>Reference!F$4</f>
        <v>2026</v>
      </c>
      <c r="AE4653" t="str">
        <f>IF(OR(SalesData[[#This Row],[Day]]="Saturday",SalesData[[#This Row],[Day]]="Sunday"),"Weekend","Weekday")</f>
        <v>Weekend</v>
      </c>
      <c r="AF4653" s="5">
        <f>IF(SalesData[[#This Row],[Contracts Offered]]=0,0,SalesData[[#This Row],[Contracts Signed]]/SalesData[[#This Row],[Contracts Offered]])</f>
        <v>0.28999999999999998</v>
      </c>
      <c r="AG4653" s="5">
        <f>IF(SalesData[[#This Row],[Customers Visited]]=0,0,SalesData[[#This Row],[Test Drives]]/SalesData[[#This Row],[Customers Visited]])</f>
        <v>0.50950570342205326</v>
      </c>
      <c r="AH4653" s="5">
        <f>IF(SalesData[[#This Row],[Customers Visited]]=0,0,SalesData[[#This Row],[Contracts Signed]]/SalesData[[#This Row],[Customers Visited]])</f>
        <v>0.11026615969581749</v>
      </c>
      <c r="AI4653" s="6">
        <f>IF(SalesData[[#This Row],[Contracts Signed]]=0,0,SalesData[[#This Row],[Profit(€)]]/SalesData[[#This Row],[Contracts Signed]])</f>
        <v>16367</v>
      </c>
      <c r="AJ4653" s="5" t="str">
        <f>TRIM(CLEAN(SalesData[[#This Row],[Retailer]]))</f>
        <v>Ruhr Auto Plaza</v>
      </c>
    </row>
    <row r="4654" spans="1:36" ht="14.25" hidden="1" x14ac:dyDescent="0.2">
      <c r="A4654" t="s">
        <v>5928</v>
      </c>
      <c r="B4654" s="1">
        <v>46058</v>
      </c>
      <c r="C4654" t="s">
        <v>24</v>
      </c>
      <c r="D4654" t="s">
        <v>100</v>
      </c>
      <c r="E4654" t="s">
        <v>26</v>
      </c>
      <c r="F4654" t="s">
        <v>101</v>
      </c>
      <c r="G4654" t="s">
        <v>102</v>
      </c>
      <c r="H4654" t="s">
        <v>103</v>
      </c>
      <c r="I4654" t="s">
        <v>116</v>
      </c>
      <c r="J4654" t="s">
        <v>203</v>
      </c>
      <c r="K4654" t="s">
        <v>66</v>
      </c>
      <c r="L4654" t="s">
        <v>67</v>
      </c>
      <c r="M4654" t="s">
        <v>34</v>
      </c>
      <c r="N4654" t="s">
        <v>35</v>
      </c>
      <c r="O4654" t="s">
        <v>70</v>
      </c>
      <c r="P4654" t="s">
        <v>49</v>
      </c>
      <c r="Q4654" t="s">
        <v>79</v>
      </c>
      <c r="R4654">
        <v>384</v>
      </c>
      <c r="S4654">
        <v>206</v>
      </c>
      <c r="T4654">
        <v>121</v>
      </c>
      <c r="U4654">
        <v>31</v>
      </c>
      <c r="V4654" t="s">
        <v>1268</v>
      </c>
      <c r="W4654">
        <v>26376</v>
      </c>
      <c r="X4654" t="s">
        <v>260</v>
      </c>
      <c r="Y4654">
        <v>24105</v>
      </c>
      <c r="Z4654">
        <v>817656</v>
      </c>
      <c r="AA4654">
        <v>70401</v>
      </c>
      <c r="AB4654" t="str">
        <f>(VLOOKUP(SalesData[[#This Row],[Month Number]],Reference!C$5:E$16,2,FALSE))</f>
        <v>Feb</v>
      </c>
      <c r="AC4654">
        <f>MONTH(SalesData[[#This Row],[Date]])</f>
        <v>2</v>
      </c>
      <c r="AD4654">
        <f>Reference!F$4</f>
        <v>2026</v>
      </c>
      <c r="AE4654" t="str">
        <f>IF(OR(SalesData[[#This Row],[Day]]="Saturday",SalesData[[#This Row],[Day]]="Sunday"),"Weekend","Weekday")</f>
        <v>Weekday</v>
      </c>
      <c r="AF4654" s="5">
        <f>IF(SalesData[[#This Row],[Contracts Offered]]=0,0,SalesData[[#This Row],[Contracts Signed]]/SalesData[[#This Row],[Contracts Offered]])</f>
        <v>0.256198347107438</v>
      </c>
      <c r="AG4654" s="5">
        <f>IF(SalesData[[#This Row],[Customers Visited]]=0,0,SalesData[[#This Row],[Test Drives]]/SalesData[[#This Row],[Customers Visited]])</f>
        <v>0.53645833333333337</v>
      </c>
      <c r="AH4654" s="5">
        <f>IF(SalesData[[#This Row],[Customers Visited]]=0,0,SalesData[[#This Row],[Contracts Signed]]/SalesData[[#This Row],[Customers Visited]])</f>
        <v>8.0729166666666671E-2</v>
      </c>
      <c r="AI4654" s="6">
        <f>IF(SalesData[[#This Row],[Contracts Signed]]=0,0,SalesData[[#This Row],[Profit(€)]]/SalesData[[#This Row],[Contracts Signed]])</f>
        <v>2271</v>
      </c>
      <c r="AJ4654" s="5" t="str">
        <f>TRIM(CLEAN(SalesData[[#This Row],[Retailer]]))</f>
        <v>Ruhr Auto Plaza</v>
      </c>
    </row>
    <row r="4655" spans="1:36" ht="14.25" hidden="1" x14ac:dyDescent="0.2">
      <c r="A4655" t="s">
        <v>5929</v>
      </c>
      <c r="B4655" s="1">
        <v>46071</v>
      </c>
      <c r="C4655" t="s">
        <v>62</v>
      </c>
      <c r="D4655" t="s">
        <v>82</v>
      </c>
      <c r="E4655" t="s">
        <v>26</v>
      </c>
      <c r="F4655" t="s">
        <v>94</v>
      </c>
      <c r="G4655" t="s">
        <v>95</v>
      </c>
      <c r="H4655" t="s">
        <v>96</v>
      </c>
      <c r="I4655" t="s">
        <v>56</v>
      </c>
      <c r="J4655" t="s">
        <v>179</v>
      </c>
      <c r="K4655" t="s">
        <v>66</v>
      </c>
      <c r="L4655" t="s">
        <v>67</v>
      </c>
      <c r="M4655" t="s">
        <v>87</v>
      </c>
      <c r="N4655" t="s">
        <v>48</v>
      </c>
      <c r="O4655" t="s">
        <v>36</v>
      </c>
      <c r="P4655" t="s">
        <v>71</v>
      </c>
      <c r="Q4655" t="s">
        <v>172</v>
      </c>
      <c r="R4655">
        <v>299</v>
      </c>
      <c r="S4655">
        <v>146</v>
      </c>
      <c r="T4655">
        <v>106</v>
      </c>
      <c r="U4655">
        <v>38</v>
      </c>
      <c r="V4655" t="s">
        <v>6411</v>
      </c>
      <c r="W4655">
        <v>45349</v>
      </c>
      <c r="X4655" t="s">
        <v>2251</v>
      </c>
      <c r="Y4655">
        <v>35518</v>
      </c>
      <c r="Z4655">
        <v>1723262</v>
      </c>
      <c r="AA4655">
        <v>373578</v>
      </c>
      <c r="AB4655" t="str">
        <f>(VLOOKUP(SalesData[[#This Row],[Month Number]],Reference!C$5:E$16,2,FALSE))</f>
        <v>Feb</v>
      </c>
      <c r="AC4655">
        <f>MONTH(SalesData[[#This Row],[Date]])</f>
        <v>2</v>
      </c>
      <c r="AD4655">
        <f>Reference!F$4</f>
        <v>2026</v>
      </c>
      <c r="AE4655" t="str">
        <f>IF(OR(SalesData[[#This Row],[Day]]="Saturday",SalesData[[#This Row],[Day]]="Sunday"),"Weekend","Weekday")</f>
        <v>Weekday</v>
      </c>
      <c r="AF4655" s="5">
        <f>IF(SalesData[[#This Row],[Contracts Offered]]=0,0,SalesData[[#This Row],[Contracts Signed]]/SalesData[[#This Row],[Contracts Offered]])</f>
        <v>0.35849056603773582</v>
      </c>
      <c r="AG4655" s="5">
        <f>IF(SalesData[[#This Row],[Customers Visited]]=0,0,SalesData[[#This Row],[Test Drives]]/SalesData[[#This Row],[Customers Visited]])</f>
        <v>0.48829431438127091</v>
      </c>
      <c r="AH4655" s="5">
        <f>IF(SalesData[[#This Row],[Customers Visited]]=0,0,SalesData[[#This Row],[Contracts Signed]]/SalesData[[#This Row],[Customers Visited]])</f>
        <v>0.12709030100334448</v>
      </c>
      <c r="AI4655" s="6">
        <f>IF(SalesData[[#This Row],[Contracts Signed]]=0,0,SalesData[[#This Row],[Profit(€)]]/SalesData[[#This Row],[Contracts Signed]])</f>
        <v>9831</v>
      </c>
      <c r="AJ4655" s="5" t="str">
        <f>TRIM(CLEAN(SalesData[[#This Row],[Retailer]]))</f>
        <v>Bavaria Motors</v>
      </c>
    </row>
    <row r="4656" spans="1:36" ht="14.25" hidden="1" x14ac:dyDescent="0.2">
      <c r="A4656" t="s">
        <v>5930</v>
      </c>
      <c r="B4656" s="1">
        <v>46081</v>
      </c>
      <c r="C4656" t="s">
        <v>53</v>
      </c>
      <c r="D4656" t="s">
        <v>151</v>
      </c>
      <c r="E4656" t="s">
        <v>42</v>
      </c>
      <c r="F4656" t="s">
        <v>83</v>
      </c>
      <c r="G4656" t="s">
        <v>84</v>
      </c>
      <c r="H4656" t="s">
        <v>85</v>
      </c>
      <c r="I4656" t="s">
        <v>116</v>
      </c>
      <c r="J4656" t="s">
        <v>132</v>
      </c>
      <c r="K4656" t="s">
        <v>32</v>
      </c>
      <c r="L4656" t="s">
        <v>46</v>
      </c>
      <c r="M4656" t="s">
        <v>68</v>
      </c>
      <c r="N4656" t="s">
        <v>69</v>
      </c>
      <c r="O4656" t="s">
        <v>36</v>
      </c>
      <c r="P4656" t="s">
        <v>37</v>
      </c>
      <c r="Q4656" t="s">
        <v>59</v>
      </c>
      <c r="R4656">
        <v>225</v>
      </c>
      <c r="S4656">
        <v>117</v>
      </c>
      <c r="T4656">
        <v>65</v>
      </c>
      <c r="U4656">
        <v>17</v>
      </c>
      <c r="V4656" t="s">
        <v>180</v>
      </c>
      <c r="W4656">
        <v>24906</v>
      </c>
      <c r="X4656" t="s">
        <v>4064</v>
      </c>
      <c r="Y4656">
        <v>22342</v>
      </c>
      <c r="Z4656">
        <v>423402</v>
      </c>
      <c r="AA4656">
        <v>43588</v>
      </c>
      <c r="AB4656" t="str">
        <f>(VLOOKUP(SalesData[[#This Row],[Month Number]],Reference!C$5:E$16,2,FALSE))</f>
        <v>Feb</v>
      </c>
      <c r="AC4656">
        <f>MONTH(SalesData[[#This Row],[Date]])</f>
        <v>2</v>
      </c>
      <c r="AD4656">
        <f>Reference!F$4</f>
        <v>2026</v>
      </c>
      <c r="AE4656" t="str">
        <f>IF(OR(SalesData[[#This Row],[Day]]="Saturday",SalesData[[#This Row],[Day]]="Sunday"),"Weekend","Weekday")</f>
        <v>Weekend</v>
      </c>
      <c r="AF4656" s="5">
        <f>IF(SalesData[[#This Row],[Contracts Offered]]=0,0,SalesData[[#This Row],[Contracts Signed]]/SalesData[[#This Row],[Contracts Offered]])</f>
        <v>0.26153846153846155</v>
      </c>
      <c r="AG4656" s="5">
        <f>IF(SalesData[[#This Row],[Customers Visited]]=0,0,SalesData[[#This Row],[Test Drives]]/SalesData[[#This Row],[Customers Visited]])</f>
        <v>0.52</v>
      </c>
      <c r="AH4656" s="5">
        <f>IF(SalesData[[#This Row],[Customers Visited]]=0,0,SalesData[[#This Row],[Contracts Signed]]/SalesData[[#This Row],[Customers Visited]])</f>
        <v>7.5555555555555556E-2</v>
      </c>
      <c r="AI4656" s="6">
        <f>IF(SalesData[[#This Row],[Contracts Signed]]=0,0,SalesData[[#This Row],[Profit(€)]]/SalesData[[#This Row],[Contracts Signed]])</f>
        <v>2564</v>
      </c>
      <c r="AJ4656" s="5" t="str">
        <f>TRIM(CLEAN(SalesData[[#This Row],[Retailer]]))</f>
        <v>Hannover Cars</v>
      </c>
    </row>
    <row r="4657" spans="1:36" ht="14.25" hidden="1" x14ac:dyDescent="0.2">
      <c r="A4657" t="s">
        <v>5931</v>
      </c>
      <c r="B4657" s="1">
        <v>46076</v>
      </c>
      <c r="C4657" t="s">
        <v>53</v>
      </c>
      <c r="D4657" t="s">
        <v>25</v>
      </c>
      <c r="E4657" t="s">
        <v>26</v>
      </c>
      <c r="F4657" t="s">
        <v>94</v>
      </c>
      <c r="G4657" t="s">
        <v>95</v>
      </c>
      <c r="H4657" t="s">
        <v>96</v>
      </c>
      <c r="I4657" t="s">
        <v>56</v>
      </c>
      <c r="J4657" t="s">
        <v>57</v>
      </c>
      <c r="K4657" t="s">
        <v>32</v>
      </c>
      <c r="L4657" t="s">
        <v>46</v>
      </c>
      <c r="M4657" t="s">
        <v>68</v>
      </c>
      <c r="N4657" t="s">
        <v>48</v>
      </c>
      <c r="O4657" t="s">
        <v>70</v>
      </c>
      <c r="P4657" t="s">
        <v>49</v>
      </c>
      <c r="Q4657" t="s">
        <v>152</v>
      </c>
      <c r="R4657">
        <v>285</v>
      </c>
      <c r="S4657">
        <v>163</v>
      </c>
      <c r="T4657">
        <v>120</v>
      </c>
      <c r="U4657">
        <v>36</v>
      </c>
      <c r="V4657" t="s">
        <v>6671</v>
      </c>
      <c r="W4657">
        <v>48199</v>
      </c>
      <c r="X4657" t="s">
        <v>1752</v>
      </c>
      <c r="Y4657">
        <v>39505</v>
      </c>
      <c r="Z4657">
        <v>1735164</v>
      </c>
      <c r="AA4657">
        <v>312984</v>
      </c>
      <c r="AB4657" t="str">
        <f>(VLOOKUP(SalesData[[#This Row],[Month Number]],Reference!C$5:E$16,2,FALSE))</f>
        <v>Feb</v>
      </c>
      <c r="AC4657">
        <f>MONTH(SalesData[[#This Row],[Date]])</f>
        <v>2</v>
      </c>
      <c r="AD4657">
        <f>Reference!F$4</f>
        <v>2026</v>
      </c>
      <c r="AE4657" t="str">
        <f>IF(OR(SalesData[[#This Row],[Day]]="Saturday",SalesData[[#This Row],[Day]]="Sunday"),"Weekend","Weekday")</f>
        <v>Weekday</v>
      </c>
      <c r="AF4657" s="5">
        <f>IF(SalesData[[#This Row],[Contracts Offered]]=0,0,SalesData[[#This Row],[Contracts Signed]]/SalesData[[#This Row],[Contracts Offered]])</f>
        <v>0.3</v>
      </c>
      <c r="AG4657" s="5">
        <f>IF(SalesData[[#This Row],[Customers Visited]]=0,0,SalesData[[#This Row],[Test Drives]]/SalesData[[#This Row],[Customers Visited]])</f>
        <v>0.57192982456140351</v>
      </c>
      <c r="AH4657" s="5">
        <f>IF(SalesData[[#This Row],[Customers Visited]]=0,0,SalesData[[#This Row],[Contracts Signed]]/SalesData[[#This Row],[Customers Visited]])</f>
        <v>0.12631578947368421</v>
      </c>
      <c r="AI4657" s="6">
        <f>IF(SalesData[[#This Row],[Contracts Signed]]=0,0,SalesData[[#This Row],[Profit(€)]]/SalesData[[#This Row],[Contracts Signed]])</f>
        <v>8694</v>
      </c>
      <c r="AJ4657" s="5" t="str">
        <f>TRIM(CLEAN(SalesData[[#This Row],[Retailer]]))</f>
        <v>Bavaria Motors</v>
      </c>
    </row>
    <row r="4658" spans="1:36" ht="14.25" hidden="1" x14ac:dyDescent="0.2">
      <c r="A4658" t="s">
        <v>5932</v>
      </c>
      <c r="B4658" s="1">
        <v>46060</v>
      </c>
      <c r="C4658" t="s">
        <v>24</v>
      </c>
      <c r="D4658" t="s">
        <v>151</v>
      </c>
      <c r="E4658" t="s">
        <v>42</v>
      </c>
      <c r="F4658" t="s">
        <v>127</v>
      </c>
      <c r="G4658" t="s">
        <v>128</v>
      </c>
      <c r="H4658" t="s">
        <v>103</v>
      </c>
      <c r="I4658" t="s">
        <v>56</v>
      </c>
      <c r="J4658" t="s">
        <v>179</v>
      </c>
      <c r="K4658" t="s">
        <v>66</v>
      </c>
      <c r="L4658" t="s">
        <v>67</v>
      </c>
      <c r="M4658" t="s">
        <v>87</v>
      </c>
      <c r="N4658" t="s">
        <v>48</v>
      </c>
      <c r="O4658" t="s">
        <v>36</v>
      </c>
      <c r="P4658" t="s">
        <v>58</v>
      </c>
      <c r="Q4658" t="s">
        <v>79</v>
      </c>
      <c r="R4658">
        <v>295</v>
      </c>
      <c r="S4658">
        <v>185</v>
      </c>
      <c r="T4658">
        <v>125</v>
      </c>
      <c r="U4658">
        <v>47</v>
      </c>
      <c r="V4658" t="s">
        <v>6951</v>
      </c>
      <c r="W4658">
        <v>51340</v>
      </c>
      <c r="X4658" t="s">
        <v>1347</v>
      </c>
      <c r="Y4658">
        <v>40956</v>
      </c>
      <c r="Z4658">
        <v>2412980</v>
      </c>
      <c r="AA4658">
        <v>488048</v>
      </c>
      <c r="AB4658" t="str">
        <f>(VLOOKUP(SalesData[[#This Row],[Month Number]],Reference!C$5:E$16,2,FALSE))</f>
        <v>Feb</v>
      </c>
      <c r="AC4658">
        <f>MONTH(SalesData[[#This Row],[Date]])</f>
        <v>2</v>
      </c>
      <c r="AD4658">
        <f>Reference!F$4</f>
        <v>2026</v>
      </c>
      <c r="AE4658" t="str">
        <f>IF(OR(SalesData[[#This Row],[Day]]="Saturday",SalesData[[#This Row],[Day]]="Sunday"),"Weekend","Weekday")</f>
        <v>Weekend</v>
      </c>
      <c r="AF4658" s="5">
        <f>IF(SalesData[[#This Row],[Contracts Offered]]=0,0,SalesData[[#This Row],[Contracts Signed]]/SalesData[[#This Row],[Contracts Offered]])</f>
        <v>0.376</v>
      </c>
      <c r="AG4658" s="5">
        <f>IF(SalesData[[#This Row],[Customers Visited]]=0,0,SalesData[[#This Row],[Test Drives]]/SalesData[[#This Row],[Customers Visited]])</f>
        <v>0.6271186440677966</v>
      </c>
      <c r="AH4658" s="5">
        <f>IF(SalesData[[#This Row],[Customers Visited]]=0,0,SalesData[[#This Row],[Contracts Signed]]/SalesData[[#This Row],[Customers Visited]])</f>
        <v>0.15932203389830507</v>
      </c>
      <c r="AI4658" s="6">
        <f>IF(SalesData[[#This Row],[Contracts Signed]]=0,0,SalesData[[#This Row],[Profit(€)]]/SalesData[[#This Row],[Contracts Signed]])</f>
        <v>10384</v>
      </c>
      <c r="AJ4658" s="5" t="str">
        <f>TRIM(CLEAN(SalesData[[#This Row],[Retailer]]))</f>
        <v>Rhein Auto Group</v>
      </c>
    </row>
    <row r="4659" spans="1:36" ht="14.25" x14ac:dyDescent="0.2">
      <c r="A4659" t="s">
        <v>5933</v>
      </c>
      <c r="B4659" s="1">
        <v>46061</v>
      </c>
      <c r="C4659" t="s">
        <v>121</v>
      </c>
      <c r="D4659" t="s">
        <v>41</v>
      </c>
      <c r="E4659" t="s">
        <v>42</v>
      </c>
      <c r="F4659" t="s">
        <v>7649</v>
      </c>
      <c r="G4659" t="s">
        <v>55</v>
      </c>
      <c r="H4659" t="s">
        <v>55</v>
      </c>
      <c r="I4659" t="s">
        <v>30</v>
      </c>
      <c r="J4659" t="s">
        <v>31</v>
      </c>
      <c r="K4659" t="s">
        <v>66</v>
      </c>
      <c r="L4659" t="s">
        <v>46</v>
      </c>
      <c r="M4659" t="s">
        <v>47</v>
      </c>
      <c r="N4659" t="s">
        <v>35</v>
      </c>
      <c r="O4659" t="s">
        <v>36</v>
      </c>
      <c r="P4659" t="s">
        <v>49</v>
      </c>
      <c r="Q4659" t="s">
        <v>135</v>
      </c>
      <c r="R4659">
        <v>194</v>
      </c>
      <c r="S4659">
        <v>93</v>
      </c>
      <c r="T4659">
        <v>64</v>
      </c>
      <c r="U4659">
        <v>26</v>
      </c>
      <c r="V4659" t="s">
        <v>6396</v>
      </c>
      <c r="W4659">
        <v>57581</v>
      </c>
      <c r="X4659" t="s">
        <v>7404</v>
      </c>
      <c r="Y4659">
        <v>42710</v>
      </c>
      <c r="Z4659">
        <v>1497106</v>
      </c>
      <c r="AA4659">
        <v>386646</v>
      </c>
      <c r="AB4659" t="str">
        <f>(VLOOKUP(SalesData[[#This Row],[Month Number]],Reference!C$5:E$16,2,FALSE))</f>
        <v>Feb</v>
      </c>
      <c r="AC4659">
        <f>MONTH(SalesData[[#This Row],[Date]])</f>
        <v>2</v>
      </c>
      <c r="AD4659">
        <f>Reference!F$4</f>
        <v>2026</v>
      </c>
      <c r="AE4659" t="str">
        <f>IF(OR(SalesData[[#This Row],[Day]]="Saturday",SalesData[[#This Row],[Day]]="Sunday"),"Weekend","Weekday")</f>
        <v>Weekend</v>
      </c>
      <c r="AF4659" s="5">
        <f>IF(SalesData[[#This Row],[Contracts Offered]]=0,0,SalesData[[#This Row],[Contracts Signed]]/SalesData[[#This Row],[Contracts Offered]])</f>
        <v>0.40625</v>
      </c>
      <c r="AG4659" s="5">
        <f>IF(SalesData[[#This Row],[Customers Visited]]=0,0,SalesData[[#This Row],[Test Drives]]/SalesData[[#This Row],[Customers Visited]])</f>
        <v>0.47938144329896909</v>
      </c>
      <c r="AH4659" s="5">
        <f>IF(SalesData[[#This Row],[Customers Visited]]=0,0,SalesData[[#This Row],[Contracts Signed]]/SalesData[[#This Row],[Customers Visited]])</f>
        <v>0.13402061855670103</v>
      </c>
      <c r="AI4659" s="6">
        <f>IF(SalesData[[#This Row],[Contracts Signed]]=0,0,SalesData[[#This Row],[Profit(€)]]/SalesData[[#This Row],[Contracts Signed]])</f>
        <v>14871</v>
      </c>
      <c r="AJ4659" s="5" t="str">
        <f>TRIM(CLEAN(SalesData[[#This Row],[Retailer]]))</f>
        <v>Autohaus Berlin</v>
      </c>
    </row>
    <row r="4660" spans="1:36" ht="14.25" hidden="1" x14ac:dyDescent="0.2">
      <c r="A4660" t="s">
        <v>5934</v>
      </c>
      <c r="B4660" s="1">
        <v>46054</v>
      </c>
      <c r="C4660" t="s">
        <v>24</v>
      </c>
      <c r="D4660" t="s">
        <v>41</v>
      </c>
      <c r="E4660" t="s">
        <v>42</v>
      </c>
      <c r="F4660" t="s">
        <v>101</v>
      </c>
      <c r="G4660" t="s">
        <v>102</v>
      </c>
      <c r="H4660" t="s">
        <v>103</v>
      </c>
      <c r="I4660" t="s">
        <v>116</v>
      </c>
      <c r="J4660" t="s">
        <v>132</v>
      </c>
      <c r="K4660" t="s">
        <v>78</v>
      </c>
      <c r="L4660" t="s">
        <v>46</v>
      </c>
      <c r="M4660" t="s">
        <v>68</v>
      </c>
      <c r="N4660" t="s">
        <v>48</v>
      </c>
      <c r="O4660" t="s">
        <v>36</v>
      </c>
      <c r="P4660" t="s">
        <v>37</v>
      </c>
      <c r="Q4660" t="s">
        <v>59</v>
      </c>
      <c r="R4660">
        <v>409</v>
      </c>
      <c r="S4660">
        <v>176</v>
      </c>
      <c r="T4660">
        <v>101</v>
      </c>
      <c r="U4660">
        <v>23</v>
      </c>
      <c r="V4660" t="s">
        <v>3035</v>
      </c>
      <c r="W4660">
        <v>20986</v>
      </c>
      <c r="X4660" t="s">
        <v>738</v>
      </c>
      <c r="Y4660">
        <v>18959</v>
      </c>
      <c r="Z4660">
        <v>482678</v>
      </c>
      <c r="AA4660">
        <v>46621</v>
      </c>
      <c r="AB4660" t="str">
        <f>(VLOOKUP(SalesData[[#This Row],[Month Number]],Reference!C$5:E$16,2,FALSE))</f>
        <v>Feb</v>
      </c>
      <c r="AC4660">
        <f>MONTH(SalesData[[#This Row],[Date]])</f>
        <v>2</v>
      </c>
      <c r="AD4660">
        <f>Reference!F$4</f>
        <v>2026</v>
      </c>
      <c r="AE4660" t="str">
        <f>IF(OR(SalesData[[#This Row],[Day]]="Saturday",SalesData[[#This Row],[Day]]="Sunday"),"Weekend","Weekday")</f>
        <v>Weekend</v>
      </c>
      <c r="AF4660" s="5">
        <f>IF(SalesData[[#This Row],[Contracts Offered]]=0,0,SalesData[[#This Row],[Contracts Signed]]/SalesData[[#This Row],[Contracts Offered]])</f>
        <v>0.22772277227722773</v>
      </c>
      <c r="AG4660" s="5">
        <f>IF(SalesData[[#This Row],[Customers Visited]]=0,0,SalesData[[#This Row],[Test Drives]]/SalesData[[#This Row],[Customers Visited]])</f>
        <v>0.43031784841075793</v>
      </c>
      <c r="AH4660" s="5">
        <f>IF(SalesData[[#This Row],[Customers Visited]]=0,0,SalesData[[#This Row],[Contracts Signed]]/SalesData[[#This Row],[Customers Visited]])</f>
        <v>5.623471882640587E-2</v>
      </c>
      <c r="AI4660" s="6">
        <f>IF(SalesData[[#This Row],[Contracts Signed]]=0,0,SalesData[[#This Row],[Profit(€)]]/SalesData[[#This Row],[Contracts Signed]])</f>
        <v>2027</v>
      </c>
      <c r="AJ4660" s="5" t="str">
        <f>TRIM(CLEAN(SalesData[[#This Row],[Retailer]]))</f>
        <v>Ruhr Auto Plaza</v>
      </c>
    </row>
    <row r="4661" spans="1:36" ht="14.25" x14ac:dyDescent="0.2">
      <c r="A4661" t="s">
        <v>5935</v>
      </c>
      <c r="B4661" s="1">
        <v>46078</v>
      </c>
      <c r="C4661" t="s">
        <v>53</v>
      </c>
      <c r="D4661" t="s">
        <v>82</v>
      </c>
      <c r="E4661" t="s">
        <v>26</v>
      </c>
      <c r="F4661" t="s">
        <v>83</v>
      </c>
      <c r="G4661" t="s">
        <v>84</v>
      </c>
      <c r="H4661" t="s">
        <v>85</v>
      </c>
      <c r="I4661" t="s">
        <v>30</v>
      </c>
      <c r="J4661" t="s">
        <v>166</v>
      </c>
      <c r="K4661" t="s">
        <v>91</v>
      </c>
      <c r="L4661" t="s">
        <v>46</v>
      </c>
      <c r="M4661" t="s">
        <v>34</v>
      </c>
      <c r="N4661" t="s">
        <v>69</v>
      </c>
      <c r="O4661" t="s">
        <v>70</v>
      </c>
      <c r="P4661" t="s">
        <v>37</v>
      </c>
      <c r="Q4661" t="s">
        <v>347</v>
      </c>
      <c r="R4661">
        <v>202</v>
      </c>
      <c r="S4661">
        <v>113</v>
      </c>
      <c r="T4661">
        <v>78</v>
      </c>
      <c r="U4661">
        <v>29</v>
      </c>
      <c r="V4661" t="s">
        <v>6668</v>
      </c>
      <c r="W4661">
        <v>55410</v>
      </c>
      <c r="X4661" t="s">
        <v>7193</v>
      </c>
      <c r="Y4661">
        <v>39791</v>
      </c>
      <c r="Z4661">
        <v>1606890</v>
      </c>
      <c r="AA4661">
        <v>452951</v>
      </c>
      <c r="AB4661" t="str">
        <f>(VLOOKUP(SalesData[[#This Row],[Month Number]],Reference!C$5:E$16,2,FALSE))</f>
        <v>Feb</v>
      </c>
      <c r="AC4661">
        <f>MONTH(SalesData[[#This Row],[Date]])</f>
        <v>2</v>
      </c>
      <c r="AD4661">
        <f>Reference!F$4</f>
        <v>2026</v>
      </c>
      <c r="AE4661" t="str">
        <f>IF(OR(SalesData[[#This Row],[Day]]="Saturday",SalesData[[#This Row],[Day]]="Sunday"),"Weekend","Weekday")</f>
        <v>Weekday</v>
      </c>
      <c r="AF4661" s="5">
        <f>IF(SalesData[[#This Row],[Contracts Offered]]=0,0,SalesData[[#This Row],[Contracts Signed]]/SalesData[[#This Row],[Contracts Offered]])</f>
        <v>0.37179487179487181</v>
      </c>
      <c r="AG4661" s="5">
        <f>IF(SalesData[[#This Row],[Customers Visited]]=0,0,SalesData[[#This Row],[Test Drives]]/SalesData[[#This Row],[Customers Visited]])</f>
        <v>0.55940594059405946</v>
      </c>
      <c r="AH4661" s="5">
        <f>IF(SalesData[[#This Row],[Customers Visited]]=0,0,SalesData[[#This Row],[Contracts Signed]]/SalesData[[#This Row],[Customers Visited]])</f>
        <v>0.14356435643564355</v>
      </c>
      <c r="AI4661" s="6">
        <f>IF(SalesData[[#This Row],[Contracts Signed]]=0,0,SalesData[[#This Row],[Profit(€)]]/SalesData[[#This Row],[Contracts Signed]])</f>
        <v>15619</v>
      </c>
      <c r="AJ4661" s="5" t="str">
        <f>TRIM(CLEAN(SalesData[[#This Row],[Retailer]]))</f>
        <v>Hannover Cars</v>
      </c>
    </row>
    <row r="4662" spans="1:36" ht="14.25" hidden="1" x14ac:dyDescent="0.2">
      <c r="A4662" t="s">
        <v>5936</v>
      </c>
      <c r="B4662" s="1">
        <v>46056</v>
      </c>
      <c r="C4662" t="s">
        <v>24</v>
      </c>
      <c r="D4662" t="s">
        <v>63</v>
      </c>
      <c r="E4662" t="s">
        <v>26</v>
      </c>
      <c r="F4662" t="s">
        <v>109</v>
      </c>
      <c r="G4662" t="s">
        <v>110</v>
      </c>
      <c r="H4662" t="s">
        <v>45</v>
      </c>
      <c r="I4662" t="s">
        <v>116</v>
      </c>
      <c r="J4662" t="s">
        <v>117</v>
      </c>
      <c r="K4662" t="s">
        <v>66</v>
      </c>
      <c r="L4662" t="s">
        <v>67</v>
      </c>
      <c r="M4662" t="s">
        <v>68</v>
      </c>
      <c r="N4662" t="s">
        <v>35</v>
      </c>
      <c r="O4662" t="s">
        <v>70</v>
      </c>
      <c r="P4662" t="s">
        <v>58</v>
      </c>
      <c r="Q4662" t="s">
        <v>347</v>
      </c>
      <c r="R4662">
        <v>271</v>
      </c>
      <c r="S4662">
        <v>143</v>
      </c>
      <c r="T4662">
        <v>87</v>
      </c>
      <c r="U4662">
        <v>26</v>
      </c>
      <c r="V4662" t="s">
        <v>752</v>
      </c>
      <c r="W4662">
        <v>24466</v>
      </c>
      <c r="X4662" t="s">
        <v>2447</v>
      </c>
      <c r="Y4662">
        <v>22399</v>
      </c>
      <c r="Z4662">
        <v>636116</v>
      </c>
      <c r="AA4662">
        <v>53742</v>
      </c>
      <c r="AB4662" t="str">
        <f>(VLOOKUP(SalesData[[#This Row],[Month Number]],Reference!C$5:E$16,2,FALSE))</f>
        <v>Feb</v>
      </c>
      <c r="AC4662">
        <f>MONTH(SalesData[[#This Row],[Date]])</f>
        <v>2</v>
      </c>
      <c r="AD4662">
        <f>Reference!F$4</f>
        <v>2026</v>
      </c>
      <c r="AE4662" t="str">
        <f>IF(OR(SalesData[[#This Row],[Day]]="Saturday",SalesData[[#This Row],[Day]]="Sunday"),"Weekend","Weekday")</f>
        <v>Weekday</v>
      </c>
      <c r="AF4662" s="5">
        <f>IF(SalesData[[#This Row],[Contracts Offered]]=0,0,SalesData[[#This Row],[Contracts Signed]]/SalesData[[#This Row],[Contracts Offered]])</f>
        <v>0.2988505747126437</v>
      </c>
      <c r="AG4662" s="5">
        <f>IF(SalesData[[#This Row],[Customers Visited]]=0,0,SalesData[[#This Row],[Test Drives]]/SalesData[[#This Row],[Customers Visited]])</f>
        <v>0.52767527675276749</v>
      </c>
      <c r="AH4662" s="5">
        <f>IF(SalesData[[#This Row],[Customers Visited]]=0,0,SalesData[[#This Row],[Contracts Signed]]/SalesData[[#This Row],[Customers Visited]])</f>
        <v>9.5940959409594101E-2</v>
      </c>
      <c r="AI4662" s="6">
        <f>IF(SalesData[[#This Row],[Contracts Signed]]=0,0,SalesData[[#This Row],[Profit(€)]]/SalesData[[#This Row],[Contracts Signed]])</f>
        <v>2067</v>
      </c>
      <c r="AJ4662" s="5" t="str">
        <f>TRIM(CLEAN(SalesData[[#This Row],[Retailer]]))</f>
        <v>Leipzig Mobility</v>
      </c>
    </row>
    <row r="4663" spans="1:36" ht="14.25" hidden="1" x14ac:dyDescent="0.2">
      <c r="A4663" t="s">
        <v>5937</v>
      </c>
      <c r="B4663" s="1">
        <v>46060</v>
      </c>
      <c r="C4663" t="s">
        <v>24</v>
      </c>
      <c r="D4663" t="s">
        <v>151</v>
      </c>
      <c r="E4663" t="s">
        <v>42</v>
      </c>
      <c r="F4663" t="s">
        <v>83</v>
      </c>
      <c r="G4663" t="s">
        <v>84</v>
      </c>
      <c r="H4663" t="s">
        <v>85</v>
      </c>
      <c r="I4663" t="s">
        <v>104</v>
      </c>
      <c r="J4663" t="s">
        <v>7061</v>
      </c>
      <c r="K4663" t="s">
        <v>32</v>
      </c>
      <c r="L4663" t="s">
        <v>46</v>
      </c>
      <c r="M4663" t="s">
        <v>87</v>
      </c>
      <c r="N4663" t="s">
        <v>69</v>
      </c>
      <c r="O4663" t="s">
        <v>70</v>
      </c>
      <c r="P4663" t="s">
        <v>58</v>
      </c>
      <c r="Q4663" t="s">
        <v>169</v>
      </c>
      <c r="R4663">
        <v>279</v>
      </c>
      <c r="S4663">
        <v>135</v>
      </c>
      <c r="T4663">
        <v>86</v>
      </c>
      <c r="U4663">
        <v>25</v>
      </c>
      <c r="V4663" t="s">
        <v>123</v>
      </c>
      <c r="W4663">
        <v>28927</v>
      </c>
      <c r="X4663" t="s">
        <v>230</v>
      </c>
      <c r="Y4663">
        <v>25837</v>
      </c>
      <c r="Z4663">
        <v>723175</v>
      </c>
      <c r="AA4663">
        <v>77250</v>
      </c>
      <c r="AB4663" t="str">
        <f>(VLOOKUP(SalesData[[#This Row],[Month Number]],Reference!C$5:E$16,2,FALSE))</f>
        <v>Feb</v>
      </c>
      <c r="AC4663">
        <f>MONTH(SalesData[[#This Row],[Date]])</f>
        <v>2</v>
      </c>
      <c r="AD4663">
        <f>Reference!F$4</f>
        <v>2026</v>
      </c>
      <c r="AE4663" t="str">
        <f>IF(OR(SalesData[[#This Row],[Day]]="Saturday",SalesData[[#This Row],[Day]]="Sunday"),"Weekend","Weekday")</f>
        <v>Weekend</v>
      </c>
      <c r="AF4663" s="5">
        <f>IF(SalesData[[#This Row],[Contracts Offered]]=0,0,SalesData[[#This Row],[Contracts Signed]]/SalesData[[#This Row],[Contracts Offered]])</f>
        <v>0.29069767441860467</v>
      </c>
      <c r="AG4663" s="5">
        <f>IF(SalesData[[#This Row],[Customers Visited]]=0,0,SalesData[[#This Row],[Test Drives]]/SalesData[[#This Row],[Customers Visited]])</f>
        <v>0.4838709677419355</v>
      </c>
      <c r="AH4663" s="5">
        <f>IF(SalesData[[#This Row],[Customers Visited]]=0,0,SalesData[[#This Row],[Contracts Signed]]/SalesData[[#This Row],[Customers Visited]])</f>
        <v>8.9605734767025089E-2</v>
      </c>
      <c r="AI4663" s="6">
        <f>IF(SalesData[[#This Row],[Contracts Signed]]=0,0,SalesData[[#This Row],[Profit(€)]]/SalesData[[#This Row],[Contracts Signed]])</f>
        <v>3090</v>
      </c>
      <c r="AJ4663" s="5" t="str">
        <f>TRIM(CLEAN(SalesData[[#This Row],[Retailer]]))</f>
        <v>Hannover Cars</v>
      </c>
    </row>
    <row r="4664" spans="1:36" ht="14.25" hidden="1" x14ac:dyDescent="0.2">
      <c r="A4664" t="s">
        <v>5938</v>
      </c>
      <c r="B4664" s="1">
        <v>46071</v>
      </c>
      <c r="C4664" t="s">
        <v>62</v>
      </c>
      <c r="D4664" t="s">
        <v>82</v>
      </c>
      <c r="E4664" t="s">
        <v>26</v>
      </c>
      <c r="F4664" t="s">
        <v>83</v>
      </c>
      <c r="G4664" t="s">
        <v>84</v>
      </c>
      <c r="H4664" t="s">
        <v>85</v>
      </c>
      <c r="I4664" t="s">
        <v>116</v>
      </c>
      <c r="J4664" t="s">
        <v>203</v>
      </c>
      <c r="K4664" t="s">
        <v>32</v>
      </c>
      <c r="L4664" t="s">
        <v>67</v>
      </c>
      <c r="M4664" t="s">
        <v>47</v>
      </c>
      <c r="N4664" t="s">
        <v>69</v>
      </c>
      <c r="O4664" t="s">
        <v>36</v>
      </c>
      <c r="P4664" t="s">
        <v>37</v>
      </c>
      <c r="Q4664" t="s">
        <v>129</v>
      </c>
      <c r="R4664">
        <v>359</v>
      </c>
      <c r="S4664">
        <v>173</v>
      </c>
      <c r="T4664">
        <v>98</v>
      </c>
      <c r="U4664">
        <v>26</v>
      </c>
      <c r="V4664" t="s">
        <v>960</v>
      </c>
      <c r="W4664">
        <v>23445</v>
      </c>
      <c r="X4664" t="s">
        <v>337</v>
      </c>
      <c r="Y4664">
        <v>21066</v>
      </c>
      <c r="Z4664">
        <v>609570</v>
      </c>
      <c r="AA4664">
        <v>61854</v>
      </c>
      <c r="AB4664" t="str">
        <f>(VLOOKUP(SalesData[[#This Row],[Month Number]],Reference!C$5:E$16,2,FALSE))</f>
        <v>Feb</v>
      </c>
      <c r="AC4664">
        <f>MONTH(SalesData[[#This Row],[Date]])</f>
        <v>2</v>
      </c>
      <c r="AD4664">
        <f>Reference!F$4</f>
        <v>2026</v>
      </c>
      <c r="AE4664" t="str">
        <f>IF(OR(SalesData[[#This Row],[Day]]="Saturday",SalesData[[#This Row],[Day]]="Sunday"),"Weekend","Weekday")</f>
        <v>Weekday</v>
      </c>
      <c r="AF4664" s="5">
        <f>IF(SalesData[[#This Row],[Contracts Offered]]=0,0,SalesData[[#This Row],[Contracts Signed]]/SalesData[[#This Row],[Contracts Offered]])</f>
        <v>0.26530612244897961</v>
      </c>
      <c r="AG4664" s="5">
        <f>IF(SalesData[[#This Row],[Customers Visited]]=0,0,SalesData[[#This Row],[Test Drives]]/SalesData[[#This Row],[Customers Visited]])</f>
        <v>0.48189415041782729</v>
      </c>
      <c r="AH4664" s="5">
        <f>IF(SalesData[[#This Row],[Customers Visited]]=0,0,SalesData[[#This Row],[Contracts Signed]]/SalesData[[#This Row],[Customers Visited]])</f>
        <v>7.2423398328690811E-2</v>
      </c>
      <c r="AI4664" s="6">
        <f>IF(SalesData[[#This Row],[Contracts Signed]]=0,0,SalesData[[#This Row],[Profit(€)]]/SalesData[[#This Row],[Contracts Signed]])</f>
        <v>2379</v>
      </c>
      <c r="AJ4664" s="5" t="str">
        <f>TRIM(CLEAN(SalesData[[#This Row],[Retailer]]))</f>
        <v>Hannover Cars</v>
      </c>
    </row>
    <row r="4665" spans="1:36" ht="14.25" x14ac:dyDescent="0.2">
      <c r="A4665" t="s">
        <v>5939</v>
      </c>
      <c r="B4665" s="1">
        <v>46057</v>
      </c>
      <c r="C4665" t="s">
        <v>24</v>
      </c>
      <c r="D4665" t="s">
        <v>82</v>
      </c>
      <c r="E4665" t="s">
        <v>26</v>
      </c>
      <c r="F4665" t="s">
        <v>127</v>
      </c>
      <c r="G4665" t="s">
        <v>128</v>
      </c>
      <c r="H4665" t="s">
        <v>103</v>
      </c>
      <c r="I4665" t="s">
        <v>30</v>
      </c>
      <c r="J4665" t="s">
        <v>31</v>
      </c>
      <c r="K4665" t="s">
        <v>91</v>
      </c>
      <c r="L4665" t="s">
        <v>46</v>
      </c>
      <c r="M4665" t="s">
        <v>47</v>
      </c>
      <c r="N4665" t="s">
        <v>69</v>
      </c>
      <c r="O4665" t="s">
        <v>70</v>
      </c>
      <c r="P4665" t="s">
        <v>49</v>
      </c>
      <c r="Q4665" t="s">
        <v>172</v>
      </c>
      <c r="R4665">
        <v>207</v>
      </c>
      <c r="S4665">
        <v>102</v>
      </c>
      <c r="T4665">
        <v>83</v>
      </c>
      <c r="U4665">
        <v>27</v>
      </c>
      <c r="V4665" t="s">
        <v>6486</v>
      </c>
      <c r="W4665">
        <v>57484</v>
      </c>
      <c r="X4665" t="s">
        <v>7216</v>
      </c>
      <c r="Y4665">
        <v>41889</v>
      </c>
      <c r="Z4665">
        <v>1552068</v>
      </c>
      <c r="AA4665">
        <v>421065</v>
      </c>
      <c r="AB4665" t="str">
        <f>(VLOOKUP(SalesData[[#This Row],[Month Number]],Reference!C$5:E$16,2,FALSE))</f>
        <v>Feb</v>
      </c>
      <c r="AC4665">
        <f>MONTH(SalesData[[#This Row],[Date]])</f>
        <v>2</v>
      </c>
      <c r="AD4665">
        <f>Reference!F$4</f>
        <v>2026</v>
      </c>
      <c r="AE4665" t="str">
        <f>IF(OR(SalesData[[#This Row],[Day]]="Saturday",SalesData[[#This Row],[Day]]="Sunday"),"Weekend","Weekday")</f>
        <v>Weekday</v>
      </c>
      <c r="AF4665" s="5">
        <f>IF(SalesData[[#This Row],[Contracts Offered]]=0,0,SalesData[[#This Row],[Contracts Signed]]/SalesData[[#This Row],[Contracts Offered]])</f>
        <v>0.3253012048192771</v>
      </c>
      <c r="AG4665" s="5">
        <f>IF(SalesData[[#This Row],[Customers Visited]]=0,0,SalesData[[#This Row],[Test Drives]]/SalesData[[#This Row],[Customers Visited]])</f>
        <v>0.49275362318840582</v>
      </c>
      <c r="AH4665" s="5">
        <f>IF(SalesData[[#This Row],[Customers Visited]]=0,0,SalesData[[#This Row],[Contracts Signed]]/SalesData[[#This Row],[Customers Visited]])</f>
        <v>0.13043478260869565</v>
      </c>
      <c r="AI4665" s="6">
        <f>IF(SalesData[[#This Row],[Contracts Signed]]=0,0,SalesData[[#This Row],[Profit(€)]]/SalesData[[#This Row],[Contracts Signed]])</f>
        <v>15595</v>
      </c>
      <c r="AJ4665" s="5" t="str">
        <f>TRIM(CLEAN(SalesData[[#This Row],[Retailer]]))</f>
        <v>Rhein Auto Group</v>
      </c>
    </row>
    <row r="4666" spans="1:36" ht="14.25" hidden="1" x14ac:dyDescent="0.2">
      <c r="A4666" t="s">
        <v>5940</v>
      </c>
      <c r="B4666" s="1">
        <v>46065</v>
      </c>
      <c r="C4666" t="s">
        <v>121</v>
      </c>
      <c r="D4666" t="s">
        <v>100</v>
      </c>
      <c r="E4666" t="s">
        <v>26</v>
      </c>
      <c r="F4666" t="s">
        <v>127</v>
      </c>
      <c r="G4666" t="s">
        <v>128</v>
      </c>
      <c r="H4666" t="s">
        <v>103</v>
      </c>
      <c r="I4666" t="s">
        <v>56</v>
      </c>
      <c r="J4666" t="s">
        <v>137</v>
      </c>
      <c r="K4666" t="s">
        <v>32</v>
      </c>
      <c r="L4666" t="s">
        <v>46</v>
      </c>
      <c r="M4666" t="s">
        <v>87</v>
      </c>
      <c r="N4666" t="s">
        <v>35</v>
      </c>
      <c r="O4666" t="s">
        <v>36</v>
      </c>
      <c r="P4666" t="s">
        <v>58</v>
      </c>
      <c r="Q4666" t="s">
        <v>152</v>
      </c>
      <c r="R4666">
        <v>278</v>
      </c>
      <c r="S4666">
        <v>153</v>
      </c>
      <c r="T4666">
        <v>107</v>
      </c>
      <c r="U4666">
        <v>38</v>
      </c>
      <c r="V4666" t="s">
        <v>6638</v>
      </c>
      <c r="W4666">
        <v>43450</v>
      </c>
      <c r="X4666" t="s">
        <v>7413</v>
      </c>
      <c r="Y4666">
        <v>34707</v>
      </c>
      <c r="Z4666">
        <v>1651100</v>
      </c>
      <c r="AA4666">
        <v>332234</v>
      </c>
      <c r="AB4666" t="str">
        <f>(VLOOKUP(SalesData[[#This Row],[Month Number]],Reference!C$5:E$16,2,FALSE))</f>
        <v>Feb</v>
      </c>
      <c r="AC4666">
        <f>MONTH(SalesData[[#This Row],[Date]])</f>
        <v>2</v>
      </c>
      <c r="AD4666">
        <f>Reference!F$4</f>
        <v>2026</v>
      </c>
      <c r="AE4666" t="str">
        <f>IF(OR(SalesData[[#This Row],[Day]]="Saturday",SalesData[[#This Row],[Day]]="Sunday"),"Weekend","Weekday")</f>
        <v>Weekday</v>
      </c>
      <c r="AF4666" s="5">
        <f>IF(SalesData[[#This Row],[Contracts Offered]]=0,0,SalesData[[#This Row],[Contracts Signed]]/SalesData[[#This Row],[Contracts Offered]])</f>
        <v>0.35514018691588783</v>
      </c>
      <c r="AG4666" s="5">
        <f>IF(SalesData[[#This Row],[Customers Visited]]=0,0,SalesData[[#This Row],[Test Drives]]/SalesData[[#This Row],[Customers Visited]])</f>
        <v>0.55035971223021585</v>
      </c>
      <c r="AH4666" s="5">
        <f>IF(SalesData[[#This Row],[Customers Visited]]=0,0,SalesData[[#This Row],[Contracts Signed]]/SalesData[[#This Row],[Customers Visited]])</f>
        <v>0.1366906474820144</v>
      </c>
      <c r="AI4666" s="6">
        <f>IF(SalesData[[#This Row],[Contracts Signed]]=0,0,SalesData[[#This Row],[Profit(€)]]/SalesData[[#This Row],[Contracts Signed]])</f>
        <v>8743</v>
      </c>
      <c r="AJ4666" s="5" t="str">
        <f>TRIM(CLEAN(SalesData[[#This Row],[Retailer]]))</f>
        <v>Rhein Auto Group</v>
      </c>
    </row>
    <row r="4667" spans="1:36" ht="14.25" hidden="1" x14ac:dyDescent="0.2">
      <c r="A4667" t="s">
        <v>5941</v>
      </c>
      <c r="B4667" s="1">
        <v>46074</v>
      </c>
      <c r="C4667" t="s">
        <v>62</v>
      </c>
      <c r="D4667" t="s">
        <v>151</v>
      </c>
      <c r="E4667" t="s">
        <v>42</v>
      </c>
      <c r="F4667" t="s">
        <v>83</v>
      </c>
      <c r="G4667" t="s">
        <v>84</v>
      </c>
      <c r="H4667" t="s">
        <v>85</v>
      </c>
      <c r="I4667" t="s">
        <v>56</v>
      </c>
      <c r="J4667" t="s">
        <v>97</v>
      </c>
      <c r="K4667" t="s">
        <v>78</v>
      </c>
      <c r="L4667" t="s">
        <v>33</v>
      </c>
      <c r="M4667" t="s">
        <v>47</v>
      </c>
      <c r="N4667" t="s">
        <v>69</v>
      </c>
      <c r="O4667" t="s">
        <v>70</v>
      </c>
      <c r="P4667" t="s">
        <v>37</v>
      </c>
      <c r="Q4667" t="s">
        <v>129</v>
      </c>
      <c r="R4667">
        <v>264</v>
      </c>
      <c r="S4667">
        <v>132</v>
      </c>
      <c r="T4667">
        <v>96</v>
      </c>
      <c r="U4667">
        <v>26</v>
      </c>
      <c r="V4667" t="s">
        <v>634</v>
      </c>
      <c r="W4667">
        <v>41137</v>
      </c>
      <c r="X4667" t="s">
        <v>7163</v>
      </c>
      <c r="Y4667">
        <v>30858</v>
      </c>
      <c r="Z4667">
        <v>1069562</v>
      </c>
      <c r="AA4667">
        <v>267254</v>
      </c>
      <c r="AB4667" t="str">
        <f>(VLOOKUP(SalesData[[#This Row],[Month Number]],Reference!C$5:E$16,2,FALSE))</f>
        <v>Feb</v>
      </c>
      <c r="AC4667">
        <f>MONTH(SalesData[[#This Row],[Date]])</f>
        <v>2</v>
      </c>
      <c r="AD4667">
        <f>Reference!F$4</f>
        <v>2026</v>
      </c>
      <c r="AE4667" t="str">
        <f>IF(OR(SalesData[[#This Row],[Day]]="Saturday",SalesData[[#This Row],[Day]]="Sunday"),"Weekend","Weekday")</f>
        <v>Weekend</v>
      </c>
      <c r="AF4667" s="5">
        <f>IF(SalesData[[#This Row],[Contracts Offered]]=0,0,SalesData[[#This Row],[Contracts Signed]]/SalesData[[#This Row],[Contracts Offered]])</f>
        <v>0.27083333333333331</v>
      </c>
      <c r="AG4667" s="5">
        <f>IF(SalesData[[#This Row],[Customers Visited]]=0,0,SalesData[[#This Row],[Test Drives]]/SalesData[[#This Row],[Customers Visited]])</f>
        <v>0.5</v>
      </c>
      <c r="AH4667" s="5">
        <f>IF(SalesData[[#This Row],[Customers Visited]]=0,0,SalesData[[#This Row],[Contracts Signed]]/SalesData[[#This Row],[Customers Visited]])</f>
        <v>9.8484848484848481E-2</v>
      </c>
      <c r="AI4667" s="6">
        <f>IF(SalesData[[#This Row],[Contracts Signed]]=0,0,SalesData[[#This Row],[Profit(€)]]/SalesData[[#This Row],[Contracts Signed]])</f>
        <v>10279</v>
      </c>
      <c r="AJ4667" s="5" t="str">
        <f>TRIM(CLEAN(SalesData[[#This Row],[Retailer]]))</f>
        <v>Hannover Cars</v>
      </c>
    </row>
    <row r="4668" spans="1:36" ht="14.25" hidden="1" x14ac:dyDescent="0.2">
      <c r="A4668" t="s">
        <v>5942</v>
      </c>
      <c r="B4668" s="1">
        <v>46064</v>
      </c>
      <c r="C4668" t="s">
        <v>121</v>
      </c>
      <c r="D4668" t="s">
        <v>82</v>
      </c>
      <c r="E4668" t="s">
        <v>26</v>
      </c>
      <c r="F4668" t="s">
        <v>94</v>
      </c>
      <c r="G4668" t="s">
        <v>95</v>
      </c>
      <c r="H4668" t="s">
        <v>96</v>
      </c>
      <c r="I4668" t="s">
        <v>104</v>
      </c>
      <c r="J4668" t="s">
        <v>105</v>
      </c>
      <c r="K4668" t="s">
        <v>78</v>
      </c>
      <c r="L4668" t="s">
        <v>33</v>
      </c>
      <c r="M4668" t="s">
        <v>87</v>
      </c>
      <c r="N4668" t="s">
        <v>35</v>
      </c>
      <c r="O4668" t="s">
        <v>36</v>
      </c>
      <c r="P4668" t="s">
        <v>71</v>
      </c>
      <c r="Q4668" t="s">
        <v>135</v>
      </c>
      <c r="R4668">
        <v>445</v>
      </c>
      <c r="S4668">
        <v>186</v>
      </c>
      <c r="T4668">
        <v>112</v>
      </c>
      <c r="U4668">
        <v>34</v>
      </c>
      <c r="V4668" t="s">
        <v>3484</v>
      </c>
      <c r="W4668">
        <v>26083</v>
      </c>
      <c r="X4668" t="s">
        <v>1070</v>
      </c>
      <c r="Y4668">
        <v>23663</v>
      </c>
      <c r="Z4668">
        <v>886822</v>
      </c>
      <c r="AA4668">
        <v>82280</v>
      </c>
      <c r="AB4668" t="str">
        <f>(VLOOKUP(SalesData[[#This Row],[Month Number]],Reference!C$5:E$16,2,FALSE))</f>
        <v>Feb</v>
      </c>
      <c r="AC4668">
        <f>MONTH(SalesData[[#This Row],[Date]])</f>
        <v>2</v>
      </c>
      <c r="AD4668">
        <f>Reference!F$4</f>
        <v>2026</v>
      </c>
      <c r="AE4668" t="str">
        <f>IF(OR(SalesData[[#This Row],[Day]]="Saturday",SalesData[[#This Row],[Day]]="Sunday"),"Weekend","Weekday")</f>
        <v>Weekday</v>
      </c>
      <c r="AF4668" s="5">
        <f>IF(SalesData[[#This Row],[Contracts Offered]]=0,0,SalesData[[#This Row],[Contracts Signed]]/SalesData[[#This Row],[Contracts Offered]])</f>
        <v>0.30357142857142855</v>
      </c>
      <c r="AG4668" s="5">
        <f>IF(SalesData[[#This Row],[Customers Visited]]=0,0,SalesData[[#This Row],[Test Drives]]/SalesData[[#This Row],[Customers Visited]])</f>
        <v>0.41797752808988764</v>
      </c>
      <c r="AH4668" s="5">
        <f>IF(SalesData[[#This Row],[Customers Visited]]=0,0,SalesData[[#This Row],[Contracts Signed]]/SalesData[[#This Row],[Customers Visited]])</f>
        <v>7.6404494382022473E-2</v>
      </c>
      <c r="AI4668" s="6">
        <f>IF(SalesData[[#This Row],[Contracts Signed]]=0,0,SalesData[[#This Row],[Profit(€)]]/SalesData[[#This Row],[Contracts Signed]])</f>
        <v>2420</v>
      </c>
      <c r="AJ4668" s="5" t="str">
        <f>TRIM(CLEAN(SalesData[[#This Row],[Retailer]]))</f>
        <v>Bavaria Motors</v>
      </c>
    </row>
    <row r="4669" spans="1:36" ht="14.25" hidden="1" x14ac:dyDescent="0.2">
      <c r="A4669" t="s">
        <v>5943</v>
      </c>
      <c r="B4669" s="1">
        <v>46074</v>
      </c>
      <c r="C4669" t="s">
        <v>62</v>
      </c>
      <c r="D4669" t="s">
        <v>151</v>
      </c>
      <c r="E4669" t="s">
        <v>42</v>
      </c>
      <c r="F4669" t="s">
        <v>114</v>
      </c>
      <c r="G4669" t="s">
        <v>115</v>
      </c>
      <c r="H4669" t="s">
        <v>115</v>
      </c>
      <c r="I4669" t="s">
        <v>56</v>
      </c>
      <c r="J4669" t="s">
        <v>57</v>
      </c>
      <c r="K4669" t="s">
        <v>66</v>
      </c>
      <c r="L4669" t="s">
        <v>46</v>
      </c>
      <c r="M4669" t="s">
        <v>34</v>
      </c>
      <c r="N4669" t="s">
        <v>69</v>
      </c>
      <c r="O4669" t="s">
        <v>70</v>
      </c>
      <c r="P4669" t="s">
        <v>37</v>
      </c>
      <c r="Q4669" t="s">
        <v>189</v>
      </c>
      <c r="R4669">
        <v>284</v>
      </c>
      <c r="S4669">
        <v>173</v>
      </c>
      <c r="T4669">
        <v>128</v>
      </c>
      <c r="U4669">
        <v>38</v>
      </c>
      <c r="V4669" t="s">
        <v>6540</v>
      </c>
      <c r="W4669">
        <v>42615</v>
      </c>
      <c r="X4669" t="s">
        <v>7624</v>
      </c>
      <c r="Y4669">
        <v>33608</v>
      </c>
      <c r="Z4669">
        <v>1619370</v>
      </c>
      <c r="AA4669">
        <v>342266</v>
      </c>
      <c r="AB4669" t="str">
        <f>(VLOOKUP(SalesData[[#This Row],[Month Number]],Reference!C$5:E$16,2,FALSE))</f>
        <v>Feb</v>
      </c>
      <c r="AC4669">
        <f>MONTH(SalesData[[#This Row],[Date]])</f>
        <v>2</v>
      </c>
      <c r="AD4669">
        <f>Reference!F$4</f>
        <v>2026</v>
      </c>
      <c r="AE4669" t="str">
        <f>IF(OR(SalesData[[#This Row],[Day]]="Saturday",SalesData[[#This Row],[Day]]="Sunday"),"Weekend","Weekday")</f>
        <v>Weekend</v>
      </c>
      <c r="AF4669" s="5">
        <f>IF(SalesData[[#This Row],[Contracts Offered]]=0,0,SalesData[[#This Row],[Contracts Signed]]/SalesData[[#This Row],[Contracts Offered]])</f>
        <v>0.296875</v>
      </c>
      <c r="AG4669" s="5">
        <f>IF(SalesData[[#This Row],[Customers Visited]]=0,0,SalesData[[#This Row],[Test Drives]]/SalesData[[#This Row],[Customers Visited]])</f>
        <v>0.60915492957746475</v>
      </c>
      <c r="AH4669" s="5">
        <f>IF(SalesData[[#This Row],[Customers Visited]]=0,0,SalesData[[#This Row],[Contracts Signed]]/SalesData[[#This Row],[Customers Visited]])</f>
        <v>0.13380281690140844</v>
      </c>
      <c r="AI4669" s="6">
        <f>IF(SalesData[[#This Row],[Contracts Signed]]=0,0,SalesData[[#This Row],[Profit(€)]]/SalesData[[#This Row],[Contracts Signed]])</f>
        <v>9007</v>
      </c>
      <c r="AJ4669" s="5" t="str">
        <f>TRIM(CLEAN(SalesData[[#This Row],[Retailer]]))</f>
        <v>Elbe Drive</v>
      </c>
    </row>
    <row r="4670" spans="1:36" ht="14.25" hidden="1" x14ac:dyDescent="0.2">
      <c r="A4670" t="s">
        <v>5944</v>
      </c>
      <c r="B4670" s="1">
        <v>46062</v>
      </c>
      <c r="C4670" t="s">
        <v>121</v>
      </c>
      <c r="D4670" t="s">
        <v>25</v>
      </c>
      <c r="E4670" t="s">
        <v>26</v>
      </c>
      <c r="F4670" t="s">
        <v>101</v>
      </c>
      <c r="G4670" t="s">
        <v>102</v>
      </c>
      <c r="H4670" t="s">
        <v>103</v>
      </c>
      <c r="I4670" t="s">
        <v>116</v>
      </c>
      <c r="J4670" t="s">
        <v>7090</v>
      </c>
      <c r="K4670" t="s">
        <v>91</v>
      </c>
      <c r="L4670" t="s">
        <v>46</v>
      </c>
      <c r="M4670" t="s">
        <v>47</v>
      </c>
      <c r="N4670" t="s">
        <v>69</v>
      </c>
      <c r="O4670" t="s">
        <v>36</v>
      </c>
      <c r="P4670" t="s">
        <v>49</v>
      </c>
      <c r="Q4670" t="s">
        <v>59</v>
      </c>
      <c r="R4670">
        <v>276</v>
      </c>
      <c r="S4670">
        <v>139</v>
      </c>
      <c r="T4670">
        <v>77</v>
      </c>
      <c r="U4670">
        <v>18</v>
      </c>
      <c r="V4670" t="s">
        <v>4532</v>
      </c>
      <c r="W4670">
        <v>24597</v>
      </c>
      <c r="X4670" t="s">
        <v>4753</v>
      </c>
      <c r="Y4670">
        <v>22608</v>
      </c>
      <c r="Z4670">
        <v>442746</v>
      </c>
      <c r="AA4670">
        <v>35802</v>
      </c>
      <c r="AB4670" t="str">
        <f>(VLOOKUP(SalesData[[#This Row],[Month Number]],Reference!C$5:E$16,2,FALSE))</f>
        <v>Feb</v>
      </c>
      <c r="AC4670">
        <f>MONTH(SalesData[[#This Row],[Date]])</f>
        <v>2</v>
      </c>
      <c r="AD4670">
        <f>Reference!F$4</f>
        <v>2026</v>
      </c>
      <c r="AE4670" t="str">
        <f>IF(OR(SalesData[[#This Row],[Day]]="Saturday",SalesData[[#This Row],[Day]]="Sunday"),"Weekend","Weekday")</f>
        <v>Weekday</v>
      </c>
      <c r="AF4670" s="5">
        <f>IF(SalesData[[#This Row],[Contracts Offered]]=0,0,SalesData[[#This Row],[Contracts Signed]]/SalesData[[#This Row],[Contracts Offered]])</f>
        <v>0.23376623376623376</v>
      </c>
      <c r="AG4670" s="5">
        <f>IF(SalesData[[#This Row],[Customers Visited]]=0,0,SalesData[[#This Row],[Test Drives]]/SalesData[[#This Row],[Customers Visited]])</f>
        <v>0.50362318840579712</v>
      </c>
      <c r="AH4670" s="5">
        <f>IF(SalesData[[#This Row],[Customers Visited]]=0,0,SalesData[[#This Row],[Contracts Signed]]/SalesData[[#This Row],[Customers Visited]])</f>
        <v>6.5217391304347824E-2</v>
      </c>
      <c r="AI4670" s="6">
        <f>IF(SalesData[[#This Row],[Contracts Signed]]=0,0,SalesData[[#This Row],[Profit(€)]]/SalesData[[#This Row],[Contracts Signed]])</f>
        <v>1989</v>
      </c>
      <c r="AJ4670" s="5" t="str">
        <f>TRIM(CLEAN(SalesData[[#This Row],[Retailer]]))</f>
        <v>Ruhr Auto Plaza</v>
      </c>
    </row>
    <row r="4671" spans="1:36" ht="14.25" hidden="1" x14ac:dyDescent="0.2">
      <c r="A4671" t="s">
        <v>5945</v>
      </c>
      <c r="B4671" s="1">
        <v>46062</v>
      </c>
      <c r="C4671" t="s">
        <v>121</v>
      </c>
      <c r="D4671" t="s">
        <v>25</v>
      </c>
      <c r="E4671" t="s">
        <v>26</v>
      </c>
      <c r="F4671" t="s">
        <v>7649</v>
      </c>
      <c r="G4671" t="s">
        <v>55</v>
      </c>
      <c r="H4671" t="s">
        <v>55</v>
      </c>
      <c r="I4671" t="s">
        <v>116</v>
      </c>
      <c r="J4671" t="s">
        <v>132</v>
      </c>
      <c r="K4671" t="s">
        <v>78</v>
      </c>
      <c r="L4671" t="s">
        <v>46</v>
      </c>
      <c r="M4671" t="s">
        <v>68</v>
      </c>
      <c r="N4671" t="s">
        <v>35</v>
      </c>
      <c r="O4671" t="s">
        <v>36</v>
      </c>
      <c r="P4671" t="s">
        <v>37</v>
      </c>
      <c r="Q4671" t="s">
        <v>50</v>
      </c>
      <c r="R4671">
        <v>410</v>
      </c>
      <c r="S4671">
        <v>222</v>
      </c>
      <c r="T4671">
        <v>133</v>
      </c>
      <c r="U4671">
        <v>41</v>
      </c>
      <c r="V4671" t="s">
        <v>2042</v>
      </c>
      <c r="W4671">
        <v>19556</v>
      </c>
      <c r="X4671" t="s">
        <v>2883</v>
      </c>
      <c r="Y4671">
        <v>17485</v>
      </c>
      <c r="Z4671">
        <v>801796</v>
      </c>
      <c r="AA4671">
        <v>84911</v>
      </c>
      <c r="AB4671" t="str">
        <f>(VLOOKUP(SalesData[[#This Row],[Month Number]],Reference!C$5:E$16,2,FALSE))</f>
        <v>Feb</v>
      </c>
      <c r="AC4671">
        <f>MONTH(SalesData[[#This Row],[Date]])</f>
        <v>2</v>
      </c>
      <c r="AD4671">
        <f>Reference!F$4</f>
        <v>2026</v>
      </c>
      <c r="AE4671" t="str">
        <f>IF(OR(SalesData[[#This Row],[Day]]="Saturday",SalesData[[#This Row],[Day]]="Sunday"),"Weekend","Weekday")</f>
        <v>Weekday</v>
      </c>
      <c r="AF4671" s="5">
        <f>IF(SalesData[[#This Row],[Contracts Offered]]=0,0,SalesData[[#This Row],[Contracts Signed]]/SalesData[[#This Row],[Contracts Offered]])</f>
        <v>0.30827067669172931</v>
      </c>
      <c r="AG4671" s="5">
        <f>IF(SalesData[[#This Row],[Customers Visited]]=0,0,SalesData[[#This Row],[Test Drives]]/SalesData[[#This Row],[Customers Visited]])</f>
        <v>0.54146341463414638</v>
      </c>
      <c r="AH4671" s="5">
        <f>IF(SalesData[[#This Row],[Customers Visited]]=0,0,SalesData[[#This Row],[Contracts Signed]]/SalesData[[#This Row],[Customers Visited]])</f>
        <v>0.1</v>
      </c>
      <c r="AI4671" s="6">
        <f>IF(SalesData[[#This Row],[Contracts Signed]]=0,0,SalesData[[#This Row],[Profit(€)]]/SalesData[[#This Row],[Contracts Signed]])</f>
        <v>2071</v>
      </c>
      <c r="AJ4671" s="5" t="str">
        <f>TRIM(CLEAN(SalesData[[#This Row],[Retailer]]))</f>
        <v>Autohaus Berlin</v>
      </c>
    </row>
    <row r="4672" spans="1:36" ht="14.25" hidden="1" x14ac:dyDescent="0.2">
      <c r="A4672" t="s">
        <v>5946</v>
      </c>
      <c r="B4672" s="1">
        <v>46074</v>
      </c>
      <c r="C4672" t="s">
        <v>62</v>
      </c>
      <c r="D4672" t="s">
        <v>151</v>
      </c>
      <c r="E4672" t="s">
        <v>42</v>
      </c>
      <c r="F4672" t="s">
        <v>27</v>
      </c>
      <c r="G4672" t="s">
        <v>28</v>
      </c>
      <c r="H4672" t="s">
        <v>29</v>
      </c>
      <c r="I4672" t="s">
        <v>64</v>
      </c>
      <c r="J4672" t="s">
        <v>111</v>
      </c>
      <c r="K4672" t="s">
        <v>91</v>
      </c>
      <c r="L4672" t="s">
        <v>46</v>
      </c>
      <c r="M4672" t="s">
        <v>34</v>
      </c>
      <c r="N4672" t="s">
        <v>48</v>
      </c>
      <c r="O4672" t="s">
        <v>36</v>
      </c>
      <c r="P4672" t="s">
        <v>49</v>
      </c>
      <c r="Q4672" t="s">
        <v>172</v>
      </c>
      <c r="R4672">
        <v>184</v>
      </c>
      <c r="S4672">
        <v>96</v>
      </c>
      <c r="T4672">
        <v>70</v>
      </c>
      <c r="U4672">
        <v>23</v>
      </c>
      <c r="V4672" t="s">
        <v>6842</v>
      </c>
      <c r="W4672">
        <v>50821</v>
      </c>
      <c r="X4672" t="s">
        <v>7528</v>
      </c>
      <c r="Y4672">
        <v>38104</v>
      </c>
      <c r="Z4672">
        <v>1168883</v>
      </c>
      <c r="AA4672">
        <v>292491</v>
      </c>
      <c r="AB4672" t="str">
        <f>(VLOOKUP(SalesData[[#This Row],[Month Number]],Reference!C$5:E$16,2,FALSE))</f>
        <v>Feb</v>
      </c>
      <c r="AC4672">
        <f>MONTH(SalesData[[#This Row],[Date]])</f>
        <v>2</v>
      </c>
      <c r="AD4672">
        <f>Reference!F$4</f>
        <v>2026</v>
      </c>
      <c r="AE4672" t="str">
        <f>IF(OR(SalesData[[#This Row],[Day]]="Saturday",SalesData[[#This Row],[Day]]="Sunday"),"Weekend","Weekday")</f>
        <v>Weekend</v>
      </c>
      <c r="AF4672" s="5">
        <f>IF(SalesData[[#This Row],[Contracts Offered]]=0,0,SalesData[[#This Row],[Contracts Signed]]/SalesData[[#This Row],[Contracts Offered]])</f>
        <v>0.32857142857142857</v>
      </c>
      <c r="AG4672" s="5">
        <f>IF(SalesData[[#This Row],[Customers Visited]]=0,0,SalesData[[#This Row],[Test Drives]]/SalesData[[#This Row],[Customers Visited]])</f>
        <v>0.52173913043478259</v>
      </c>
      <c r="AH4672" s="5">
        <f>IF(SalesData[[#This Row],[Customers Visited]]=0,0,SalesData[[#This Row],[Contracts Signed]]/SalesData[[#This Row],[Customers Visited]])</f>
        <v>0.125</v>
      </c>
      <c r="AI4672" s="6">
        <f>IF(SalesData[[#This Row],[Contracts Signed]]=0,0,SalesData[[#This Row],[Profit(€)]]/SalesData[[#This Row],[Contracts Signed]])</f>
        <v>12717</v>
      </c>
      <c r="AJ4672" s="5" t="str">
        <f>TRIM(CLEAN(SalesData[[#This Row],[Retailer]]))</f>
        <v>Main Auto Hub</v>
      </c>
    </row>
    <row r="4673" spans="1:36" ht="14.25" hidden="1" x14ac:dyDescent="0.2">
      <c r="A4673" t="s">
        <v>5947</v>
      </c>
      <c r="B4673" s="1">
        <v>46071</v>
      </c>
      <c r="C4673" t="s">
        <v>62</v>
      </c>
      <c r="D4673" t="s">
        <v>82</v>
      </c>
      <c r="E4673" t="s">
        <v>26</v>
      </c>
      <c r="F4673" t="s">
        <v>109</v>
      </c>
      <c r="G4673" t="s">
        <v>110</v>
      </c>
      <c r="H4673" t="s">
        <v>45</v>
      </c>
      <c r="I4673" t="s">
        <v>64</v>
      </c>
      <c r="J4673" t="s">
        <v>77</v>
      </c>
      <c r="K4673" t="s">
        <v>32</v>
      </c>
      <c r="L4673" t="s">
        <v>46</v>
      </c>
      <c r="M4673" t="s">
        <v>34</v>
      </c>
      <c r="N4673" t="s">
        <v>35</v>
      </c>
      <c r="O4673" t="s">
        <v>36</v>
      </c>
      <c r="P4673" t="s">
        <v>71</v>
      </c>
      <c r="Q4673" t="s">
        <v>204</v>
      </c>
      <c r="R4673">
        <v>215</v>
      </c>
      <c r="S4673">
        <v>122</v>
      </c>
      <c r="T4673">
        <v>81</v>
      </c>
      <c r="U4673">
        <v>32</v>
      </c>
      <c r="V4673" t="s">
        <v>6751</v>
      </c>
      <c r="W4673">
        <v>52602</v>
      </c>
      <c r="X4673" t="s">
        <v>7295</v>
      </c>
      <c r="Y4673">
        <v>37738</v>
      </c>
      <c r="Z4673">
        <v>1683264</v>
      </c>
      <c r="AA4673">
        <v>475648</v>
      </c>
      <c r="AB4673" t="str">
        <f>(VLOOKUP(SalesData[[#This Row],[Month Number]],Reference!C$5:E$16,2,FALSE))</f>
        <v>Feb</v>
      </c>
      <c r="AC4673">
        <f>MONTH(SalesData[[#This Row],[Date]])</f>
        <v>2</v>
      </c>
      <c r="AD4673">
        <f>Reference!F$4</f>
        <v>2026</v>
      </c>
      <c r="AE4673" t="str">
        <f>IF(OR(SalesData[[#This Row],[Day]]="Saturday",SalesData[[#This Row],[Day]]="Sunday"),"Weekend","Weekday")</f>
        <v>Weekday</v>
      </c>
      <c r="AF4673" s="5">
        <f>IF(SalesData[[#This Row],[Contracts Offered]]=0,0,SalesData[[#This Row],[Contracts Signed]]/SalesData[[#This Row],[Contracts Offered]])</f>
        <v>0.39506172839506171</v>
      </c>
      <c r="AG4673" s="5">
        <f>IF(SalesData[[#This Row],[Customers Visited]]=0,0,SalesData[[#This Row],[Test Drives]]/SalesData[[#This Row],[Customers Visited]])</f>
        <v>0.56744186046511624</v>
      </c>
      <c r="AH4673" s="5">
        <f>IF(SalesData[[#This Row],[Customers Visited]]=0,0,SalesData[[#This Row],[Contracts Signed]]/SalesData[[#This Row],[Customers Visited]])</f>
        <v>0.14883720930232558</v>
      </c>
      <c r="AI4673" s="6">
        <f>IF(SalesData[[#This Row],[Contracts Signed]]=0,0,SalesData[[#This Row],[Profit(€)]]/SalesData[[#This Row],[Contracts Signed]])</f>
        <v>14864</v>
      </c>
      <c r="AJ4673" s="5" t="str">
        <f>TRIM(CLEAN(SalesData[[#This Row],[Retailer]]))</f>
        <v>Leipzig Mobility</v>
      </c>
    </row>
    <row r="4674" spans="1:36" ht="14.25" hidden="1" x14ac:dyDescent="0.2">
      <c r="A4674" t="s">
        <v>5948</v>
      </c>
      <c r="B4674" s="1">
        <v>46073</v>
      </c>
      <c r="C4674" t="s">
        <v>62</v>
      </c>
      <c r="D4674" t="s">
        <v>54</v>
      </c>
      <c r="E4674" t="s">
        <v>26</v>
      </c>
      <c r="F4674" t="s">
        <v>74</v>
      </c>
      <c r="G4674" t="s">
        <v>75</v>
      </c>
      <c r="H4674" t="s">
        <v>76</v>
      </c>
      <c r="I4674" t="s">
        <v>104</v>
      </c>
      <c r="J4674" t="s">
        <v>143</v>
      </c>
      <c r="K4674" t="s">
        <v>78</v>
      </c>
      <c r="L4674" t="s">
        <v>67</v>
      </c>
      <c r="M4674" t="s">
        <v>47</v>
      </c>
      <c r="N4674" t="s">
        <v>69</v>
      </c>
      <c r="O4674" t="s">
        <v>70</v>
      </c>
      <c r="P4674" t="s">
        <v>58</v>
      </c>
      <c r="Q4674" t="s">
        <v>38</v>
      </c>
      <c r="R4674">
        <v>510</v>
      </c>
      <c r="S4674">
        <v>215</v>
      </c>
      <c r="T4674">
        <v>153</v>
      </c>
      <c r="U4674">
        <v>41</v>
      </c>
      <c r="V4674" t="s">
        <v>4589</v>
      </c>
      <c r="W4674">
        <v>33861</v>
      </c>
      <c r="X4674" t="s">
        <v>623</v>
      </c>
      <c r="Y4674">
        <v>29828</v>
      </c>
      <c r="Z4674">
        <v>1388301</v>
      </c>
      <c r="AA4674">
        <v>165353</v>
      </c>
      <c r="AB4674" t="str">
        <f>(VLOOKUP(SalesData[[#This Row],[Month Number]],Reference!C$5:E$16,2,FALSE))</f>
        <v>Feb</v>
      </c>
      <c r="AC4674">
        <f>MONTH(SalesData[[#This Row],[Date]])</f>
        <v>2</v>
      </c>
      <c r="AD4674">
        <f>Reference!F$4</f>
        <v>2026</v>
      </c>
      <c r="AE4674" t="str">
        <f>IF(OR(SalesData[[#This Row],[Day]]="Saturday",SalesData[[#This Row],[Day]]="Sunday"),"Weekend","Weekday")</f>
        <v>Weekday</v>
      </c>
      <c r="AF4674" s="5">
        <f>IF(SalesData[[#This Row],[Contracts Offered]]=0,0,SalesData[[#This Row],[Contracts Signed]]/SalesData[[#This Row],[Contracts Offered]])</f>
        <v>0.26797385620915032</v>
      </c>
      <c r="AG4674" s="5">
        <f>IF(SalesData[[#This Row],[Customers Visited]]=0,0,SalesData[[#This Row],[Test Drives]]/SalesData[[#This Row],[Customers Visited]])</f>
        <v>0.42156862745098039</v>
      </c>
      <c r="AH4674" s="5">
        <f>IF(SalesData[[#This Row],[Customers Visited]]=0,0,SalesData[[#This Row],[Contracts Signed]]/SalesData[[#This Row],[Customers Visited]])</f>
        <v>8.0392156862745104E-2</v>
      </c>
      <c r="AI4674" s="6">
        <f>IF(SalesData[[#This Row],[Contracts Signed]]=0,0,SalesData[[#This Row],[Profit(€)]]/SalesData[[#This Row],[Contracts Signed]])</f>
        <v>4033</v>
      </c>
      <c r="AJ4674" s="5" t="str">
        <f>TRIM(CLEAN(SalesData[[#This Row],[Retailer]]))</f>
        <v>Stuttgart Auto Center</v>
      </c>
    </row>
    <row r="4675" spans="1:36" ht="14.25" hidden="1" x14ac:dyDescent="0.2">
      <c r="A4675" t="s">
        <v>5949</v>
      </c>
      <c r="B4675" s="1">
        <v>46071</v>
      </c>
      <c r="C4675" t="s">
        <v>62</v>
      </c>
      <c r="D4675" t="s">
        <v>82</v>
      </c>
      <c r="E4675" t="s">
        <v>26</v>
      </c>
      <c r="F4675" t="s">
        <v>114</v>
      </c>
      <c r="G4675" t="s">
        <v>115</v>
      </c>
      <c r="H4675" t="s">
        <v>115</v>
      </c>
      <c r="I4675" t="s">
        <v>116</v>
      </c>
      <c r="J4675" t="s">
        <v>203</v>
      </c>
      <c r="K4675" t="s">
        <v>78</v>
      </c>
      <c r="L4675" t="s">
        <v>67</v>
      </c>
      <c r="M4675" t="s">
        <v>34</v>
      </c>
      <c r="N4675" t="s">
        <v>48</v>
      </c>
      <c r="O4675" t="s">
        <v>70</v>
      </c>
      <c r="P4675" t="s">
        <v>49</v>
      </c>
      <c r="Q4675" t="s">
        <v>158</v>
      </c>
      <c r="R4675">
        <v>309</v>
      </c>
      <c r="S4675">
        <v>162</v>
      </c>
      <c r="T4675">
        <v>101</v>
      </c>
      <c r="U4675">
        <v>25</v>
      </c>
      <c r="V4675" t="s">
        <v>4066</v>
      </c>
      <c r="W4675">
        <v>26493</v>
      </c>
      <c r="X4675" t="s">
        <v>3082</v>
      </c>
      <c r="Y4675">
        <v>23826</v>
      </c>
      <c r="Z4675">
        <v>662325</v>
      </c>
      <c r="AA4675">
        <v>66675</v>
      </c>
      <c r="AB4675" t="str">
        <f>(VLOOKUP(SalesData[[#This Row],[Month Number]],Reference!C$5:E$16,2,FALSE))</f>
        <v>Feb</v>
      </c>
      <c r="AC4675">
        <f>MONTH(SalesData[[#This Row],[Date]])</f>
        <v>2</v>
      </c>
      <c r="AD4675">
        <f>Reference!F$4</f>
        <v>2026</v>
      </c>
      <c r="AE4675" t="str">
        <f>IF(OR(SalesData[[#This Row],[Day]]="Saturday",SalesData[[#This Row],[Day]]="Sunday"),"Weekend","Weekday")</f>
        <v>Weekday</v>
      </c>
      <c r="AF4675" s="5">
        <f>IF(SalesData[[#This Row],[Contracts Offered]]=0,0,SalesData[[#This Row],[Contracts Signed]]/SalesData[[#This Row],[Contracts Offered]])</f>
        <v>0.24752475247524752</v>
      </c>
      <c r="AG4675" s="5">
        <f>IF(SalesData[[#This Row],[Customers Visited]]=0,0,SalesData[[#This Row],[Test Drives]]/SalesData[[#This Row],[Customers Visited]])</f>
        <v>0.52427184466019416</v>
      </c>
      <c r="AH4675" s="5">
        <f>IF(SalesData[[#This Row],[Customers Visited]]=0,0,SalesData[[#This Row],[Contracts Signed]]/SalesData[[#This Row],[Customers Visited]])</f>
        <v>8.0906148867313912E-2</v>
      </c>
      <c r="AI4675" s="6">
        <f>IF(SalesData[[#This Row],[Contracts Signed]]=0,0,SalesData[[#This Row],[Profit(€)]]/SalesData[[#This Row],[Contracts Signed]])</f>
        <v>2667</v>
      </c>
      <c r="AJ4675" s="5" t="str">
        <f>TRIM(CLEAN(SalesData[[#This Row],[Retailer]]))</f>
        <v>Elbe Drive</v>
      </c>
    </row>
    <row r="4676" spans="1:36" ht="14.25" hidden="1" x14ac:dyDescent="0.2">
      <c r="A4676" t="s">
        <v>5950</v>
      </c>
      <c r="B4676" s="1">
        <v>46080</v>
      </c>
      <c r="C4676" t="s">
        <v>53</v>
      </c>
      <c r="D4676" t="s">
        <v>54</v>
      </c>
      <c r="E4676" t="s">
        <v>26</v>
      </c>
      <c r="F4676" t="s">
        <v>114</v>
      </c>
      <c r="G4676" t="s">
        <v>115</v>
      </c>
      <c r="H4676" t="s">
        <v>115</v>
      </c>
      <c r="I4676" t="s">
        <v>104</v>
      </c>
      <c r="J4676" t="s">
        <v>140</v>
      </c>
      <c r="K4676" t="s">
        <v>91</v>
      </c>
      <c r="L4676" t="s">
        <v>46</v>
      </c>
      <c r="M4676" t="s">
        <v>87</v>
      </c>
      <c r="N4676" t="s">
        <v>69</v>
      </c>
      <c r="O4676" t="s">
        <v>36</v>
      </c>
      <c r="P4676" t="s">
        <v>58</v>
      </c>
      <c r="Q4676" t="s">
        <v>135</v>
      </c>
      <c r="R4676">
        <v>322</v>
      </c>
      <c r="S4676">
        <v>152</v>
      </c>
      <c r="T4676">
        <v>98</v>
      </c>
      <c r="U4676">
        <v>34</v>
      </c>
      <c r="V4676" t="s">
        <v>6477</v>
      </c>
      <c r="W4676">
        <v>34488</v>
      </c>
      <c r="X4676" t="s">
        <v>3163</v>
      </c>
      <c r="Y4676">
        <v>30122</v>
      </c>
      <c r="Z4676">
        <v>1172592</v>
      </c>
      <c r="AA4676">
        <v>148444</v>
      </c>
      <c r="AB4676" t="str">
        <f>(VLOOKUP(SalesData[[#This Row],[Month Number]],Reference!C$5:E$16,2,FALSE))</f>
        <v>Feb</v>
      </c>
      <c r="AC4676">
        <f>MONTH(SalesData[[#This Row],[Date]])</f>
        <v>2</v>
      </c>
      <c r="AD4676">
        <f>Reference!F$4</f>
        <v>2026</v>
      </c>
      <c r="AE4676" t="str">
        <f>IF(OR(SalesData[[#This Row],[Day]]="Saturday",SalesData[[#This Row],[Day]]="Sunday"),"Weekend","Weekday")</f>
        <v>Weekday</v>
      </c>
      <c r="AF4676" s="5">
        <f>IF(SalesData[[#This Row],[Contracts Offered]]=0,0,SalesData[[#This Row],[Contracts Signed]]/SalesData[[#This Row],[Contracts Offered]])</f>
        <v>0.34693877551020408</v>
      </c>
      <c r="AG4676" s="5">
        <f>IF(SalesData[[#This Row],[Customers Visited]]=0,0,SalesData[[#This Row],[Test Drives]]/SalesData[[#This Row],[Customers Visited]])</f>
        <v>0.47204968944099379</v>
      </c>
      <c r="AH4676" s="5">
        <f>IF(SalesData[[#This Row],[Customers Visited]]=0,0,SalesData[[#This Row],[Contracts Signed]]/SalesData[[#This Row],[Customers Visited]])</f>
        <v>0.10559006211180125</v>
      </c>
      <c r="AI4676" s="6">
        <f>IF(SalesData[[#This Row],[Contracts Signed]]=0,0,SalesData[[#This Row],[Profit(€)]]/SalesData[[#This Row],[Contracts Signed]])</f>
        <v>4366</v>
      </c>
      <c r="AJ4676" s="5" t="str">
        <f>TRIM(CLEAN(SalesData[[#This Row],[Retailer]]))</f>
        <v>Elbe Drive</v>
      </c>
    </row>
    <row r="4677" spans="1:36" ht="14.25" hidden="1" x14ac:dyDescent="0.2">
      <c r="A4677" t="s">
        <v>5951</v>
      </c>
      <c r="B4677" s="1">
        <v>46070</v>
      </c>
      <c r="C4677" t="s">
        <v>62</v>
      </c>
      <c r="D4677" t="s">
        <v>63</v>
      </c>
      <c r="E4677" t="s">
        <v>26</v>
      </c>
      <c r="F4677" t="s">
        <v>127</v>
      </c>
      <c r="G4677" t="s">
        <v>128</v>
      </c>
      <c r="H4677" t="s">
        <v>103</v>
      </c>
      <c r="I4677" t="s">
        <v>64</v>
      </c>
      <c r="J4677" t="s">
        <v>7029</v>
      </c>
      <c r="K4677" t="s">
        <v>78</v>
      </c>
      <c r="L4677" t="s">
        <v>33</v>
      </c>
      <c r="M4677" t="s">
        <v>68</v>
      </c>
      <c r="N4677" t="s">
        <v>35</v>
      </c>
      <c r="O4677" t="s">
        <v>36</v>
      </c>
      <c r="P4677" t="s">
        <v>49</v>
      </c>
      <c r="Q4677" t="s">
        <v>106</v>
      </c>
      <c r="R4677">
        <v>229</v>
      </c>
      <c r="S4677">
        <v>116</v>
      </c>
      <c r="T4677">
        <v>92</v>
      </c>
      <c r="U4677">
        <v>29</v>
      </c>
      <c r="V4677" t="s">
        <v>6403</v>
      </c>
      <c r="W4677">
        <v>55639</v>
      </c>
      <c r="X4677" t="s">
        <v>7132</v>
      </c>
      <c r="Y4677">
        <v>40047</v>
      </c>
      <c r="Z4677">
        <v>1613531</v>
      </c>
      <c r="AA4677">
        <v>452168</v>
      </c>
      <c r="AB4677" t="str">
        <f>(VLOOKUP(SalesData[[#This Row],[Month Number]],Reference!C$5:E$16,2,FALSE))</f>
        <v>Feb</v>
      </c>
      <c r="AC4677">
        <f>MONTH(SalesData[[#This Row],[Date]])</f>
        <v>2</v>
      </c>
      <c r="AD4677">
        <f>Reference!F$4</f>
        <v>2026</v>
      </c>
      <c r="AE4677" t="str">
        <f>IF(OR(SalesData[[#This Row],[Day]]="Saturday",SalesData[[#This Row],[Day]]="Sunday"),"Weekend","Weekday")</f>
        <v>Weekday</v>
      </c>
      <c r="AF4677" s="5">
        <f>IF(SalesData[[#This Row],[Contracts Offered]]=0,0,SalesData[[#This Row],[Contracts Signed]]/SalesData[[#This Row],[Contracts Offered]])</f>
        <v>0.31521739130434784</v>
      </c>
      <c r="AG4677" s="5">
        <f>IF(SalesData[[#This Row],[Customers Visited]]=0,0,SalesData[[#This Row],[Test Drives]]/SalesData[[#This Row],[Customers Visited]])</f>
        <v>0.50655021834061131</v>
      </c>
      <c r="AH4677" s="5">
        <f>IF(SalesData[[#This Row],[Customers Visited]]=0,0,SalesData[[#This Row],[Contracts Signed]]/SalesData[[#This Row],[Customers Visited]])</f>
        <v>0.12663755458515283</v>
      </c>
      <c r="AI4677" s="6">
        <f>IF(SalesData[[#This Row],[Contracts Signed]]=0,0,SalesData[[#This Row],[Profit(€)]]/SalesData[[#This Row],[Contracts Signed]])</f>
        <v>15592</v>
      </c>
      <c r="AJ4677" s="5" t="str">
        <f>TRIM(CLEAN(SalesData[[#This Row],[Retailer]]))</f>
        <v>Rhein Auto Group</v>
      </c>
    </row>
    <row r="4678" spans="1:36" ht="14.25" x14ac:dyDescent="0.2">
      <c r="A4678" t="s">
        <v>5952</v>
      </c>
      <c r="B4678" s="1">
        <v>46081</v>
      </c>
      <c r="C4678" t="s">
        <v>53</v>
      </c>
      <c r="D4678" t="s">
        <v>151</v>
      </c>
      <c r="E4678" t="s">
        <v>42</v>
      </c>
      <c r="F4678" t="s">
        <v>114</v>
      </c>
      <c r="G4678" t="s">
        <v>115</v>
      </c>
      <c r="H4678" t="s">
        <v>115</v>
      </c>
      <c r="I4678" t="s">
        <v>30</v>
      </c>
      <c r="J4678" t="s">
        <v>86</v>
      </c>
      <c r="K4678" t="s">
        <v>91</v>
      </c>
      <c r="L4678" t="s">
        <v>33</v>
      </c>
      <c r="M4678" t="s">
        <v>87</v>
      </c>
      <c r="N4678" t="s">
        <v>69</v>
      </c>
      <c r="O4678" t="s">
        <v>36</v>
      </c>
      <c r="P4678" t="s">
        <v>37</v>
      </c>
      <c r="Q4678" t="s">
        <v>189</v>
      </c>
      <c r="R4678">
        <v>200</v>
      </c>
      <c r="S4678">
        <v>94</v>
      </c>
      <c r="T4678">
        <v>71</v>
      </c>
      <c r="U4678">
        <v>27</v>
      </c>
      <c r="V4678" t="s">
        <v>6855</v>
      </c>
      <c r="W4678">
        <v>60535</v>
      </c>
      <c r="X4678" t="s">
        <v>7296</v>
      </c>
      <c r="Y4678">
        <v>43927</v>
      </c>
      <c r="Z4678">
        <v>1634445</v>
      </c>
      <c r="AA4678">
        <v>448416</v>
      </c>
      <c r="AB4678" t="str">
        <f>(VLOOKUP(SalesData[[#This Row],[Month Number]],Reference!C$5:E$16,2,FALSE))</f>
        <v>Feb</v>
      </c>
      <c r="AC4678">
        <f>MONTH(SalesData[[#This Row],[Date]])</f>
        <v>2</v>
      </c>
      <c r="AD4678">
        <f>Reference!F$4</f>
        <v>2026</v>
      </c>
      <c r="AE4678" t="str">
        <f>IF(OR(SalesData[[#This Row],[Day]]="Saturday",SalesData[[#This Row],[Day]]="Sunday"),"Weekend","Weekday")</f>
        <v>Weekend</v>
      </c>
      <c r="AF4678" s="5">
        <f>IF(SalesData[[#This Row],[Contracts Offered]]=0,0,SalesData[[#This Row],[Contracts Signed]]/SalesData[[#This Row],[Contracts Offered]])</f>
        <v>0.38028169014084506</v>
      </c>
      <c r="AG4678" s="5">
        <f>IF(SalesData[[#This Row],[Customers Visited]]=0,0,SalesData[[#This Row],[Test Drives]]/SalesData[[#This Row],[Customers Visited]])</f>
        <v>0.47</v>
      </c>
      <c r="AH4678" s="5">
        <f>IF(SalesData[[#This Row],[Customers Visited]]=0,0,SalesData[[#This Row],[Contracts Signed]]/SalesData[[#This Row],[Customers Visited]])</f>
        <v>0.13500000000000001</v>
      </c>
      <c r="AI4678" s="6">
        <f>IF(SalesData[[#This Row],[Contracts Signed]]=0,0,SalesData[[#This Row],[Profit(€)]]/SalesData[[#This Row],[Contracts Signed]])</f>
        <v>16608</v>
      </c>
      <c r="AJ4678" s="5" t="str">
        <f>TRIM(CLEAN(SalesData[[#This Row],[Retailer]]))</f>
        <v>Elbe Drive</v>
      </c>
    </row>
    <row r="4679" spans="1:36" ht="14.25" hidden="1" x14ac:dyDescent="0.2">
      <c r="A4679" t="s">
        <v>5953</v>
      </c>
      <c r="B4679" s="1">
        <v>46078</v>
      </c>
      <c r="C4679" t="s">
        <v>53</v>
      </c>
      <c r="D4679" t="s">
        <v>82</v>
      </c>
      <c r="E4679" t="s">
        <v>26</v>
      </c>
      <c r="F4679" t="s">
        <v>27</v>
      </c>
      <c r="G4679" t="s">
        <v>28</v>
      </c>
      <c r="H4679" t="s">
        <v>29</v>
      </c>
      <c r="I4679" t="s">
        <v>116</v>
      </c>
      <c r="J4679" t="s">
        <v>7090</v>
      </c>
      <c r="K4679" t="s">
        <v>32</v>
      </c>
      <c r="L4679" t="s">
        <v>46</v>
      </c>
      <c r="M4679" t="s">
        <v>34</v>
      </c>
      <c r="N4679" t="s">
        <v>69</v>
      </c>
      <c r="O4679" t="s">
        <v>36</v>
      </c>
      <c r="P4679" t="s">
        <v>71</v>
      </c>
      <c r="Q4679" t="s">
        <v>347</v>
      </c>
      <c r="R4679">
        <v>419</v>
      </c>
      <c r="S4679">
        <v>177</v>
      </c>
      <c r="T4679">
        <v>111</v>
      </c>
      <c r="U4679">
        <v>28</v>
      </c>
      <c r="V4679" t="s">
        <v>1470</v>
      </c>
      <c r="W4679">
        <v>27098</v>
      </c>
      <c r="X4679" t="s">
        <v>1089</v>
      </c>
      <c r="Y4679">
        <v>24496</v>
      </c>
      <c r="Z4679">
        <v>758744</v>
      </c>
      <c r="AA4679">
        <v>72856</v>
      </c>
      <c r="AB4679" t="str">
        <f>(VLOOKUP(SalesData[[#This Row],[Month Number]],Reference!C$5:E$16,2,FALSE))</f>
        <v>Feb</v>
      </c>
      <c r="AC4679">
        <f>MONTH(SalesData[[#This Row],[Date]])</f>
        <v>2</v>
      </c>
      <c r="AD4679">
        <f>Reference!F$4</f>
        <v>2026</v>
      </c>
      <c r="AE4679" t="str">
        <f>IF(OR(SalesData[[#This Row],[Day]]="Saturday",SalesData[[#This Row],[Day]]="Sunday"),"Weekend","Weekday")</f>
        <v>Weekday</v>
      </c>
      <c r="AF4679" s="5">
        <f>IF(SalesData[[#This Row],[Contracts Offered]]=0,0,SalesData[[#This Row],[Contracts Signed]]/SalesData[[#This Row],[Contracts Offered]])</f>
        <v>0.25225225225225223</v>
      </c>
      <c r="AG4679" s="5">
        <f>IF(SalesData[[#This Row],[Customers Visited]]=0,0,SalesData[[#This Row],[Test Drives]]/SalesData[[#This Row],[Customers Visited]])</f>
        <v>0.42243436754176611</v>
      </c>
      <c r="AH4679" s="5">
        <f>IF(SalesData[[#This Row],[Customers Visited]]=0,0,SalesData[[#This Row],[Contracts Signed]]/SalesData[[#This Row],[Customers Visited]])</f>
        <v>6.6825775656324582E-2</v>
      </c>
      <c r="AI4679" s="6">
        <f>IF(SalesData[[#This Row],[Contracts Signed]]=0,0,SalesData[[#This Row],[Profit(€)]]/SalesData[[#This Row],[Contracts Signed]])</f>
        <v>2602</v>
      </c>
      <c r="AJ4679" s="5" t="str">
        <f>TRIM(CLEAN(SalesData[[#This Row],[Retailer]]))</f>
        <v>Main Auto Hub</v>
      </c>
    </row>
    <row r="4680" spans="1:36" ht="14.25" hidden="1" x14ac:dyDescent="0.2">
      <c r="A4680" t="s">
        <v>5954</v>
      </c>
      <c r="B4680" s="1">
        <v>46061</v>
      </c>
      <c r="C4680" t="s">
        <v>121</v>
      </c>
      <c r="D4680" t="s">
        <v>41</v>
      </c>
      <c r="E4680" t="s">
        <v>42</v>
      </c>
      <c r="F4680" t="s">
        <v>7649</v>
      </c>
      <c r="G4680" t="s">
        <v>55</v>
      </c>
      <c r="H4680" t="s">
        <v>55</v>
      </c>
      <c r="I4680" t="s">
        <v>64</v>
      </c>
      <c r="J4680" t="s">
        <v>157</v>
      </c>
      <c r="K4680" t="s">
        <v>66</v>
      </c>
      <c r="L4680" t="s">
        <v>33</v>
      </c>
      <c r="M4680" t="s">
        <v>47</v>
      </c>
      <c r="N4680" t="s">
        <v>69</v>
      </c>
      <c r="O4680" t="s">
        <v>70</v>
      </c>
      <c r="P4680" t="s">
        <v>58</v>
      </c>
      <c r="Q4680" t="s">
        <v>158</v>
      </c>
      <c r="R4680">
        <v>220</v>
      </c>
      <c r="S4680">
        <v>108</v>
      </c>
      <c r="T4680">
        <v>77</v>
      </c>
      <c r="U4680">
        <v>33</v>
      </c>
      <c r="V4680" t="s">
        <v>7441</v>
      </c>
      <c r="W4680">
        <v>63458</v>
      </c>
      <c r="X4680" t="s">
        <v>7518</v>
      </c>
      <c r="Y4680">
        <v>46583</v>
      </c>
      <c r="Z4680">
        <v>2094114</v>
      </c>
      <c r="AA4680">
        <v>556875</v>
      </c>
      <c r="AB4680" t="str">
        <f>(VLOOKUP(SalesData[[#This Row],[Month Number]],Reference!C$5:E$16,2,FALSE))</f>
        <v>Feb</v>
      </c>
      <c r="AC4680">
        <f>MONTH(SalesData[[#This Row],[Date]])</f>
        <v>2</v>
      </c>
      <c r="AD4680">
        <f>Reference!F$4</f>
        <v>2026</v>
      </c>
      <c r="AE4680" t="str">
        <f>IF(OR(SalesData[[#This Row],[Day]]="Saturday",SalesData[[#This Row],[Day]]="Sunday"),"Weekend","Weekday")</f>
        <v>Weekend</v>
      </c>
      <c r="AF4680" s="5">
        <f>IF(SalesData[[#This Row],[Contracts Offered]]=0,0,SalesData[[#This Row],[Contracts Signed]]/SalesData[[#This Row],[Contracts Offered]])</f>
        <v>0.42857142857142855</v>
      </c>
      <c r="AG4680" s="5">
        <f>IF(SalesData[[#This Row],[Customers Visited]]=0,0,SalesData[[#This Row],[Test Drives]]/SalesData[[#This Row],[Customers Visited]])</f>
        <v>0.49090909090909091</v>
      </c>
      <c r="AH4680" s="5">
        <f>IF(SalesData[[#This Row],[Customers Visited]]=0,0,SalesData[[#This Row],[Contracts Signed]]/SalesData[[#This Row],[Customers Visited]])</f>
        <v>0.15</v>
      </c>
      <c r="AI4680" s="6">
        <f>IF(SalesData[[#This Row],[Contracts Signed]]=0,0,SalesData[[#This Row],[Profit(€)]]/SalesData[[#This Row],[Contracts Signed]])</f>
        <v>16875</v>
      </c>
      <c r="AJ4680" s="5" t="str">
        <f>TRIM(CLEAN(SalesData[[#This Row],[Retailer]]))</f>
        <v>Autohaus Berlin</v>
      </c>
    </row>
    <row r="4681" spans="1:36" ht="14.25" hidden="1" x14ac:dyDescent="0.2">
      <c r="A4681" t="s">
        <v>5955</v>
      </c>
      <c r="B4681" s="1">
        <v>46067</v>
      </c>
      <c r="C4681" t="s">
        <v>121</v>
      </c>
      <c r="D4681" t="s">
        <v>151</v>
      </c>
      <c r="E4681" t="s">
        <v>42</v>
      </c>
      <c r="F4681" t="s">
        <v>83</v>
      </c>
      <c r="G4681" t="s">
        <v>84</v>
      </c>
      <c r="H4681" t="s">
        <v>85</v>
      </c>
      <c r="I4681" t="s">
        <v>104</v>
      </c>
      <c r="J4681" t="s">
        <v>105</v>
      </c>
      <c r="K4681" t="s">
        <v>32</v>
      </c>
      <c r="L4681" t="s">
        <v>33</v>
      </c>
      <c r="M4681" t="s">
        <v>47</v>
      </c>
      <c r="N4681" t="s">
        <v>48</v>
      </c>
      <c r="O4681" t="s">
        <v>70</v>
      </c>
      <c r="P4681" t="s">
        <v>58</v>
      </c>
      <c r="Q4681" t="s">
        <v>158</v>
      </c>
      <c r="R4681">
        <v>482</v>
      </c>
      <c r="S4681">
        <v>218</v>
      </c>
      <c r="T4681">
        <v>136</v>
      </c>
      <c r="U4681">
        <v>42</v>
      </c>
      <c r="V4681" t="s">
        <v>358</v>
      </c>
      <c r="W4681">
        <v>33604</v>
      </c>
      <c r="X4681" t="s">
        <v>7526</v>
      </c>
      <c r="Y4681">
        <v>30497</v>
      </c>
      <c r="Z4681">
        <v>1411368</v>
      </c>
      <c r="AA4681">
        <v>130494</v>
      </c>
      <c r="AB4681" t="str">
        <f>(VLOOKUP(SalesData[[#This Row],[Month Number]],Reference!C$5:E$16,2,FALSE))</f>
        <v>Feb</v>
      </c>
      <c r="AC4681">
        <f>MONTH(SalesData[[#This Row],[Date]])</f>
        <v>2</v>
      </c>
      <c r="AD4681">
        <f>Reference!F$4</f>
        <v>2026</v>
      </c>
      <c r="AE4681" t="str">
        <f>IF(OR(SalesData[[#This Row],[Day]]="Saturday",SalesData[[#This Row],[Day]]="Sunday"),"Weekend","Weekday")</f>
        <v>Weekend</v>
      </c>
      <c r="AF4681" s="5">
        <f>IF(SalesData[[#This Row],[Contracts Offered]]=0,0,SalesData[[#This Row],[Contracts Signed]]/SalesData[[#This Row],[Contracts Offered]])</f>
        <v>0.30882352941176472</v>
      </c>
      <c r="AG4681" s="5">
        <f>IF(SalesData[[#This Row],[Customers Visited]]=0,0,SalesData[[#This Row],[Test Drives]]/SalesData[[#This Row],[Customers Visited]])</f>
        <v>0.45228215767634855</v>
      </c>
      <c r="AH4681" s="5">
        <f>IF(SalesData[[#This Row],[Customers Visited]]=0,0,SalesData[[#This Row],[Contracts Signed]]/SalesData[[#This Row],[Customers Visited]])</f>
        <v>8.7136929460580909E-2</v>
      </c>
      <c r="AI4681" s="6">
        <f>IF(SalesData[[#This Row],[Contracts Signed]]=0,0,SalesData[[#This Row],[Profit(€)]]/SalesData[[#This Row],[Contracts Signed]])</f>
        <v>3107</v>
      </c>
      <c r="AJ4681" s="5" t="str">
        <f>TRIM(CLEAN(SalesData[[#This Row],[Retailer]]))</f>
        <v>Hannover Cars</v>
      </c>
    </row>
    <row r="4682" spans="1:36" ht="14.25" hidden="1" x14ac:dyDescent="0.2">
      <c r="A4682" t="s">
        <v>5956</v>
      </c>
      <c r="B4682" s="1">
        <v>46062</v>
      </c>
      <c r="C4682" t="s">
        <v>121</v>
      </c>
      <c r="D4682" t="s">
        <v>25</v>
      </c>
      <c r="E4682" t="s">
        <v>26</v>
      </c>
      <c r="F4682" t="s">
        <v>101</v>
      </c>
      <c r="G4682" t="s">
        <v>102</v>
      </c>
      <c r="H4682" t="s">
        <v>103</v>
      </c>
      <c r="I4682" t="s">
        <v>116</v>
      </c>
      <c r="J4682" t="s">
        <v>7090</v>
      </c>
      <c r="K4682" t="s">
        <v>91</v>
      </c>
      <c r="L4682" t="s">
        <v>46</v>
      </c>
      <c r="M4682" t="s">
        <v>47</v>
      </c>
      <c r="N4682" t="s">
        <v>35</v>
      </c>
      <c r="O4682" t="s">
        <v>70</v>
      </c>
      <c r="P4682" t="s">
        <v>71</v>
      </c>
      <c r="Q4682" t="s">
        <v>204</v>
      </c>
      <c r="R4682">
        <v>249</v>
      </c>
      <c r="S4682">
        <v>115</v>
      </c>
      <c r="T4682">
        <v>72</v>
      </c>
      <c r="U4682">
        <v>15</v>
      </c>
      <c r="V4682" t="s">
        <v>1278</v>
      </c>
      <c r="W4682">
        <v>22458</v>
      </c>
      <c r="X4682" t="s">
        <v>830</v>
      </c>
      <c r="Y4682">
        <v>20119</v>
      </c>
      <c r="Z4682">
        <v>336870</v>
      </c>
      <c r="AA4682">
        <v>35085</v>
      </c>
      <c r="AB4682" t="str">
        <f>(VLOOKUP(SalesData[[#This Row],[Month Number]],Reference!C$5:E$16,2,FALSE))</f>
        <v>Feb</v>
      </c>
      <c r="AC4682">
        <f>MONTH(SalesData[[#This Row],[Date]])</f>
        <v>2</v>
      </c>
      <c r="AD4682">
        <f>Reference!F$4</f>
        <v>2026</v>
      </c>
      <c r="AE4682" t="str">
        <f>IF(OR(SalesData[[#This Row],[Day]]="Saturday",SalesData[[#This Row],[Day]]="Sunday"),"Weekend","Weekday")</f>
        <v>Weekday</v>
      </c>
      <c r="AF4682" s="5">
        <f>IF(SalesData[[#This Row],[Contracts Offered]]=0,0,SalesData[[#This Row],[Contracts Signed]]/SalesData[[#This Row],[Contracts Offered]])</f>
        <v>0.20833333333333334</v>
      </c>
      <c r="AG4682" s="5">
        <f>IF(SalesData[[#This Row],[Customers Visited]]=0,0,SalesData[[#This Row],[Test Drives]]/SalesData[[#This Row],[Customers Visited]])</f>
        <v>0.46184738955823296</v>
      </c>
      <c r="AH4682" s="5">
        <f>IF(SalesData[[#This Row],[Customers Visited]]=0,0,SalesData[[#This Row],[Contracts Signed]]/SalesData[[#This Row],[Customers Visited]])</f>
        <v>6.0240963855421686E-2</v>
      </c>
      <c r="AI4682" s="6">
        <f>IF(SalesData[[#This Row],[Contracts Signed]]=0,0,SalesData[[#This Row],[Profit(€)]]/SalesData[[#This Row],[Contracts Signed]])</f>
        <v>2339</v>
      </c>
      <c r="AJ4682" s="5" t="str">
        <f>TRIM(CLEAN(SalesData[[#This Row],[Retailer]]))</f>
        <v>Ruhr Auto Plaza</v>
      </c>
    </row>
    <row r="4683" spans="1:36" ht="14.25" hidden="1" x14ac:dyDescent="0.2">
      <c r="A4683" t="s">
        <v>5957</v>
      </c>
      <c r="B4683" s="1">
        <v>46078</v>
      </c>
      <c r="C4683" t="s">
        <v>53</v>
      </c>
      <c r="D4683" t="s">
        <v>82</v>
      </c>
      <c r="E4683" t="s">
        <v>26</v>
      </c>
      <c r="F4683" t="s">
        <v>7649</v>
      </c>
      <c r="G4683" t="s">
        <v>55</v>
      </c>
      <c r="H4683" t="s">
        <v>55</v>
      </c>
      <c r="I4683" t="s">
        <v>116</v>
      </c>
      <c r="J4683" t="s">
        <v>117</v>
      </c>
      <c r="K4683" t="s">
        <v>66</v>
      </c>
      <c r="L4683" t="s">
        <v>67</v>
      </c>
      <c r="M4683" t="s">
        <v>34</v>
      </c>
      <c r="N4683" t="s">
        <v>35</v>
      </c>
      <c r="O4683" t="s">
        <v>70</v>
      </c>
      <c r="P4683" t="s">
        <v>49</v>
      </c>
      <c r="Q4683" t="s">
        <v>122</v>
      </c>
      <c r="R4683">
        <v>273</v>
      </c>
      <c r="S4683">
        <v>126</v>
      </c>
      <c r="T4683">
        <v>83</v>
      </c>
      <c r="U4683">
        <v>19</v>
      </c>
      <c r="V4683" t="s">
        <v>3005</v>
      </c>
      <c r="W4683">
        <v>25171</v>
      </c>
      <c r="X4683" t="s">
        <v>1009</v>
      </c>
      <c r="Y4683">
        <v>23333</v>
      </c>
      <c r="Z4683">
        <v>478249</v>
      </c>
      <c r="AA4683">
        <v>34922</v>
      </c>
      <c r="AB4683" t="str">
        <f>(VLOOKUP(SalesData[[#This Row],[Month Number]],Reference!C$5:E$16,2,FALSE))</f>
        <v>Feb</v>
      </c>
      <c r="AC4683">
        <f>MONTH(SalesData[[#This Row],[Date]])</f>
        <v>2</v>
      </c>
      <c r="AD4683">
        <f>Reference!F$4</f>
        <v>2026</v>
      </c>
      <c r="AE4683" t="str">
        <f>IF(OR(SalesData[[#This Row],[Day]]="Saturday",SalesData[[#This Row],[Day]]="Sunday"),"Weekend","Weekday")</f>
        <v>Weekday</v>
      </c>
      <c r="AF4683" s="5">
        <f>IF(SalesData[[#This Row],[Contracts Offered]]=0,0,SalesData[[#This Row],[Contracts Signed]]/SalesData[[#This Row],[Contracts Offered]])</f>
        <v>0.2289156626506024</v>
      </c>
      <c r="AG4683" s="5">
        <f>IF(SalesData[[#This Row],[Customers Visited]]=0,0,SalesData[[#This Row],[Test Drives]]/SalesData[[#This Row],[Customers Visited]])</f>
        <v>0.46153846153846156</v>
      </c>
      <c r="AH4683" s="5">
        <f>IF(SalesData[[#This Row],[Customers Visited]]=0,0,SalesData[[#This Row],[Contracts Signed]]/SalesData[[#This Row],[Customers Visited]])</f>
        <v>6.95970695970696E-2</v>
      </c>
      <c r="AI4683" s="6">
        <f>IF(SalesData[[#This Row],[Contracts Signed]]=0,0,SalesData[[#This Row],[Profit(€)]]/SalesData[[#This Row],[Contracts Signed]])</f>
        <v>1838</v>
      </c>
      <c r="AJ4683" s="5" t="str">
        <f>TRIM(CLEAN(SalesData[[#This Row],[Retailer]]))</f>
        <v>Autohaus Berlin</v>
      </c>
    </row>
    <row r="4684" spans="1:36" ht="14.25" hidden="1" x14ac:dyDescent="0.2">
      <c r="A4684" t="s">
        <v>5958</v>
      </c>
      <c r="B4684" s="1">
        <v>46055</v>
      </c>
      <c r="C4684" t="s">
        <v>24</v>
      </c>
      <c r="D4684" t="s">
        <v>25</v>
      </c>
      <c r="E4684" t="s">
        <v>26</v>
      </c>
      <c r="F4684" t="s">
        <v>101</v>
      </c>
      <c r="G4684" t="s">
        <v>102</v>
      </c>
      <c r="H4684" t="s">
        <v>103</v>
      </c>
      <c r="I4684" t="s">
        <v>116</v>
      </c>
      <c r="J4684" t="s">
        <v>203</v>
      </c>
      <c r="K4684" t="s">
        <v>91</v>
      </c>
      <c r="L4684" t="s">
        <v>67</v>
      </c>
      <c r="M4684" t="s">
        <v>87</v>
      </c>
      <c r="N4684" t="s">
        <v>35</v>
      </c>
      <c r="O4684" t="s">
        <v>70</v>
      </c>
      <c r="P4684" t="s">
        <v>71</v>
      </c>
      <c r="Q4684" t="s">
        <v>38</v>
      </c>
      <c r="R4684">
        <v>285</v>
      </c>
      <c r="S4684">
        <v>151</v>
      </c>
      <c r="T4684">
        <v>91</v>
      </c>
      <c r="U4684">
        <v>20</v>
      </c>
      <c r="V4684" t="s">
        <v>3698</v>
      </c>
      <c r="W4684">
        <v>21764</v>
      </c>
      <c r="X4684" t="s">
        <v>2447</v>
      </c>
      <c r="Y4684">
        <v>19887</v>
      </c>
      <c r="Z4684">
        <v>435280</v>
      </c>
      <c r="AA4684">
        <v>37540</v>
      </c>
      <c r="AB4684" t="str">
        <f>(VLOOKUP(SalesData[[#This Row],[Month Number]],Reference!C$5:E$16,2,FALSE))</f>
        <v>Feb</v>
      </c>
      <c r="AC4684">
        <f>MONTH(SalesData[[#This Row],[Date]])</f>
        <v>2</v>
      </c>
      <c r="AD4684">
        <f>Reference!F$4</f>
        <v>2026</v>
      </c>
      <c r="AE4684" t="str">
        <f>IF(OR(SalesData[[#This Row],[Day]]="Saturday",SalesData[[#This Row],[Day]]="Sunday"),"Weekend","Weekday")</f>
        <v>Weekday</v>
      </c>
      <c r="AF4684" s="5">
        <f>IF(SalesData[[#This Row],[Contracts Offered]]=0,0,SalesData[[#This Row],[Contracts Signed]]/SalesData[[#This Row],[Contracts Offered]])</f>
        <v>0.21978021978021978</v>
      </c>
      <c r="AG4684" s="5">
        <f>IF(SalesData[[#This Row],[Customers Visited]]=0,0,SalesData[[#This Row],[Test Drives]]/SalesData[[#This Row],[Customers Visited]])</f>
        <v>0.52982456140350875</v>
      </c>
      <c r="AH4684" s="5">
        <f>IF(SalesData[[#This Row],[Customers Visited]]=0,0,SalesData[[#This Row],[Contracts Signed]]/SalesData[[#This Row],[Customers Visited]])</f>
        <v>7.0175438596491224E-2</v>
      </c>
      <c r="AI4684" s="6">
        <f>IF(SalesData[[#This Row],[Contracts Signed]]=0,0,SalesData[[#This Row],[Profit(€)]]/SalesData[[#This Row],[Contracts Signed]])</f>
        <v>1877</v>
      </c>
      <c r="AJ4684" s="5" t="str">
        <f>TRIM(CLEAN(SalesData[[#This Row],[Retailer]]))</f>
        <v>Ruhr Auto Plaza</v>
      </c>
    </row>
    <row r="4685" spans="1:36" ht="14.25" hidden="1" x14ac:dyDescent="0.2">
      <c r="A4685" t="s">
        <v>5959</v>
      </c>
      <c r="B4685" s="1">
        <v>46060</v>
      </c>
      <c r="C4685" t="s">
        <v>24</v>
      </c>
      <c r="D4685" t="s">
        <v>151</v>
      </c>
      <c r="E4685" t="s">
        <v>42</v>
      </c>
      <c r="F4685" t="s">
        <v>27</v>
      </c>
      <c r="G4685" t="s">
        <v>28</v>
      </c>
      <c r="H4685" t="s">
        <v>29</v>
      </c>
      <c r="I4685" t="s">
        <v>116</v>
      </c>
      <c r="J4685" t="s">
        <v>117</v>
      </c>
      <c r="K4685" t="s">
        <v>91</v>
      </c>
      <c r="L4685" t="s">
        <v>67</v>
      </c>
      <c r="M4685" t="s">
        <v>87</v>
      </c>
      <c r="N4685" t="s">
        <v>48</v>
      </c>
      <c r="O4685" t="s">
        <v>70</v>
      </c>
      <c r="P4685" t="s">
        <v>71</v>
      </c>
      <c r="Q4685" t="s">
        <v>167</v>
      </c>
      <c r="R4685">
        <v>322</v>
      </c>
      <c r="S4685">
        <v>125</v>
      </c>
      <c r="T4685">
        <v>79</v>
      </c>
      <c r="U4685">
        <v>16</v>
      </c>
      <c r="V4685" t="s">
        <v>2497</v>
      </c>
      <c r="W4685">
        <v>20784</v>
      </c>
      <c r="X4685" t="s">
        <v>1528</v>
      </c>
      <c r="Y4685">
        <v>19040</v>
      </c>
      <c r="Z4685">
        <v>332544</v>
      </c>
      <c r="AA4685">
        <v>27904</v>
      </c>
      <c r="AB4685" t="str">
        <f>(VLOOKUP(SalesData[[#This Row],[Month Number]],Reference!C$5:E$16,2,FALSE))</f>
        <v>Feb</v>
      </c>
      <c r="AC4685">
        <f>MONTH(SalesData[[#This Row],[Date]])</f>
        <v>2</v>
      </c>
      <c r="AD4685">
        <f>Reference!F$4</f>
        <v>2026</v>
      </c>
      <c r="AE4685" t="str">
        <f>IF(OR(SalesData[[#This Row],[Day]]="Saturday",SalesData[[#This Row],[Day]]="Sunday"),"Weekend","Weekday")</f>
        <v>Weekend</v>
      </c>
      <c r="AF4685" s="5">
        <f>IF(SalesData[[#This Row],[Contracts Offered]]=0,0,SalesData[[#This Row],[Contracts Signed]]/SalesData[[#This Row],[Contracts Offered]])</f>
        <v>0.20253164556962025</v>
      </c>
      <c r="AG4685" s="5">
        <f>IF(SalesData[[#This Row],[Customers Visited]]=0,0,SalesData[[#This Row],[Test Drives]]/SalesData[[#This Row],[Customers Visited]])</f>
        <v>0.38819875776397517</v>
      </c>
      <c r="AH4685" s="5">
        <f>IF(SalesData[[#This Row],[Customers Visited]]=0,0,SalesData[[#This Row],[Contracts Signed]]/SalesData[[#This Row],[Customers Visited]])</f>
        <v>4.9689440993788817E-2</v>
      </c>
      <c r="AI4685" s="6">
        <f>IF(SalesData[[#This Row],[Contracts Signed]]=0,0,SalesData[[#This Row],[Profit(€)]]/SalesData[[#This Row],[Contracts Signed]])</f>
        <v>1744</v>
      </c>
      <c r="AJ4685" s="5" t="str">
        <f>TRIM(CLEAN(SalesData[[#This Row],[Retailer]]))</f>
        <v>Main Auto Hub</v>
      </c>
    </row>
    <row r="4686" spans="1:36" ht="14.25" hidden="1" x14ac:dyDescent="0.2">
      <c r="A4686" t="s">
        <v>5960</v>
      </c>
      <c r="B4686" s="1">
        <v>46060</v>
      </c>
      <c r="C4686" t="s">
        <v>24</v>
      </c>
      <c r="D4686" t="s">
        <v>151</v>
      </c>
      <c r="E4686" t="s">
        <v>42</v>
      </c>
      <c r="F4686" t="s">
        <v>43</v>
      </c>
      <c r="G4686" t="s">
        <v>44</v>
      </c>
      <c r="H4686" t="s">
        <v>45</v>
      </c>
      <c r="I4686" t="s">
        <v>104</v>
      </c>
      <c r="J4686" t="s">
        <v>7061</v>
      </c>
      <c r="K4686" t="s">
        <v>66</v>
      </c>
      <c r="L4686" t="s">
        <v>46</v>
      </c>
      <c r="M4686" t="s">
        <v>87</v>
      </c>
      <c r="N4686" t="s">
        <v>35</v>
      </c>
      <c r="O4686" t="s">
        <v>36</v>
      </c>
      <c r="P4686" t="s">
        <v>58</v>
      </c>
      <c r="Q4686" t="s">
        <v>172</v>
      </c>
      <c r="R4686">
        <v>513</v>
      </c>
      <c r="S4686">
        <v>245</v>
      </c>
      <c r="T4686">
        <v>165</v>
      </c>
      <c r="U4686">
        <v>39</v>
      </c>
      <c r="V4686" t="s">
        <v>464</v>
      </c>
      <c r="W4686">
        <v>30670</v>
      </c>
      <c r="X4686" t="s">
        <v>1259</v>
      </c>
      <c r="Y4686">
        <v>26986</v>
      </c>
      <c r="Z4686">
        <v>1196130</v>
      </c>
      <c r="AA4686">
        <v>143676</v>
      </c>
      <c r="AB4686" t="str">
        <f>(VLOOKUP(SalesData[[#This Row],[Month Number]],Reference!C$5:E$16,2,FALSE))</f>
        <v>Feb</v>
      </c>
      <c r="AC4686">
        <f>MONTH(SalesData[[#This Row],[Date]])</f>
        <v>2</v>
      </c>
      <c r="AD4686">
        <f>Reference!F$4</f>
        <v>2026</v>
      </c>
      <c r="AE4686" t="str">
        <f>IF(OR(SalesData[[#This Row],[Day]]="Saturday",SalesData[[#This Row],[Day]]="Sunday"),"Weekend","Weekday")</f>
        <v>Weekend</v>
      </c>
      <c r="AF4686" s="5">
        <f>IF(SalesData[[#This Row],[Contracts Offered]]=0,0,SalesData[[#This Row],[Contracts Signed]]/SalesData[[#This Row],[Contracts Offered]])</f>
        <v>0.23636363636363636</v>
      </c>
      <c r="AG4686" s="5">
        <f>IF(SalesData[[#This Row],[Customers Visited]]=0,0,SalesData[[#This Row],[Test Drives]]/SalesData[[#This Row],[Customers Visited]])</f>
        <v>0.47758284600389861</v>
      </c>
      <c r="AH4686" s="5">
        <f>IF(SalesData[[#This Row],[Customers Visited]]=0,0,SalesData[[#This Row],[Contracts Signed]]/SalesData[[#This Row],[Customers Visited]])</f>
        <v>7.6023391812865493E-2</v>
      </c>
      <c r="AI4686" s="6">
        <f>IF(SalesData[[#This Row],[Contracts Signed]]=0,0,SalesData[[#This Row],[Profit(€)]]/SalesData[[#This Row],[Contracts Signed]])</f>
        <v>3684</v>
      </c>
      <c r="AJ4686" s="5" t="str">
        <f>TRIM(CLEAN(SalesData[[#This Row],[Retailer]]))</f>
        <v>Saxon Wheels</v>
      </c>
    </row>
    <row r="4687" spans="1:36" ht="14.25" x14ac:dyDescent="0.2">
      <c r="A4687" t="s">
        <v>5961</v>
      </c>
      <c r="B4687" s="1">
        <v>46071</v>
      </c>
      <c r="C4687" t="s">
        <v>62</v>
      </c>
      <c r="D4687" t="s">
        <v>82</v>
      </c>
      <c r="E4687" t="s">
        <v>26</v>
      </c>
      <c r="F4687" t="s">
        <v>94</v>
      </c>
      <c r="G4687" t="s">
        <v>95</v>
      </c>
      <c r="H4687" t="s">
        <v>96</v>
      </c>
      <c r="I4687" t="s">
        <v>30</v>
      </c>
      <c r="J4687" t="s">
        <v>188</v>
      </c>
      <c r="K4687" t="s">
        <v>91</v>
      </c>
      <c r="L4687" t="s">
        <v>33</v>
      </c>
      <c r="M4687" t="s">
        <v>68</v>
      </c>
      <c r="N4687" t="s">
        <v>48</v>
      </c>
      <c r="O4687" t="s">
        <v>70</v>
      </c>
      <c r="P4687" t="s">
        <v>37</v>
      </c>
      <c r="Q4687" t="s">
        <v>144</v>
      </c>
      <c r="R4687">
        <v>246</v>
      </c>
      <c r="S4687">
        <v>120</v>
      </c>
      <c r="T4687">
        <v>92</v>
      </c>
      <c r="U4687">
        <v>31</v>
      </c>
      <c r="V4687" t="s">
        <v>6350</v>
      </c>
      <c r="W4687">
        <v>57483</v>
      </c>
      <c r="X4687" t="s">
        <v>7207</v>
      </c>
      <c r="Y4687">
        <v>43455</v>
      </c>
      <c r="Z4687">
        <v>1781973</v>
      </c>
      <c r="AA4687">
        <v>434868</v>
      </c>
      <c r="AB4687" t="str">
        <f>(VLOOKUP(SalesData[[#This Row],[Month Number]],Reference!C$5:E$16,2,FALSE))</f>
        <v>Feb</v>
      </c>
      <c r="AC4687">
        <f>MONTH(SalesData[[#This Row],[Date]])</f>
        <v>2</v>
      </c>
      <c r="AD4687">
        <f>Reference!F$4</f>
        <v>2026</v>
      </c>
      <c r="AE4687" t="str">
        <f>IF(OR(SalesData[[#This Row],[Day]]="Saturday",SalesData[[#This Row],[Day]]="Sunday"),"Weekend","Weekday")</f>
        <v>Weekday</v>
      </c>
      <c r="AF4687" s="5">
        <f>IF(SalesData[[#This Row],[Contracts Offered]]=0,0,SalesData[[#This Row],[Contracts Signed]]/SalesData[[#This Row],[Contracts Offered]])</f>
        <v>0.33695652173913043</v>
      </c>
      <c r="AG4687" s="5">
        <f>IF(SalesData[[#This Row],[Customers Visited]]=0,0,SalesData[[#This Row],[Test Drives]]/SalesData[[#This Row],[Customers Visited]])</f>
        <v>0.48780487804878048</v>
      </c>
      <c r="AH4687" s="5">
        <f>IF(SalesData[[#This Row],[Customers Visited]]=0,0,SalesData[[#This Row],[Contracts Signed]]/SalesData[[#This Row],[Customers Visited]])</f>
        <v>0.12601626016260162</v>
      </c>
      <c r="AI4687" s="6">
        <f>IF(SalesData[[#This Row],[Contracts Signed]]=0,0,SalesData[[#This Row],[Profit(€)]]/SalesData[[#This Row],[Contracts Signed]])</f>
        <v>14028</v>
      </c>
      <c r="AJ4687" s="5" t="str">
        <f>TRIM(CLEAN(SalesData[[#This Row],[Retailer]]))</f>
        <v>Bavaria Motors</v>
      </c>
    </row>
    <row r="4688" spans="1:36" ht="14.25" hidden="1" x14ac:dyDescent="0.2">
      <c r="A4688" t="s">
        <v>5962</v>
      </c>
      <c r="B4688" s="1">
        <v>46067</v>
      </c>
      <c r="C4688" t="s">
        <v>121</v>
      </c>
      <c r="D4688" t="s">
        <v>151</v>
      </c>
      <c r="E4688" t="s">
        <v>42</v>
      </c>
      <c r="F4688" t="s">
        <v>83</v>
      </c>
      <c r="G4688" t="s">
        <v>84</v>
      </c>
      <c r="H4688" t="s">
        <v>85</v>
      </c>
      <c r="I4688" t="s">
        <v>56</v>
      </c>
      <c r="J4688" t="s">
        <v>7028</v>
      </c>
      <c r="K4688" t="s">
        <v>66</v>
      </c>
      <c r="L4688" t="s">
        <v>46</v>
      </c>
      <c r="M4688" t="s">
        <v>34</v>
      </c>
      <c r="N4688" t="s">
        <v>35</v>
      </c>
      <c r="O4688" t="s">
        <v>70</v>
      </c>
      <c r="P4688" t="s">
        <v>58</v>
      </c>
      <c r="Q4688" t="s">
        <v>38</v>
      </c>
      <c r="R4688">
        <v>241</v>
      </c>
      <c r="S4688">
        <v>134</v>
      </c>
      <c r="T4688">
        <v>93</v>
      </c>
      <c r="U4688">
        <v>34</v>
      </c>
      <c r="V4688" t="s">
        <v>6393</v>
      </c>
      <c r="W4688">
        <v>46889</v>
      </c>
      <c r="X4688" t="s">
        <v>7276</v>
      </c>
      <c r="Y4688">
        <v>35834</v>
      </c>
      <c r="Z4688">
        <v>1594226</v>
      </c>
      <c r="AA4688">
        <v>375870</v>
      </c>
      <c r="AB4688" t="str">
        <f>(VLOOKUP(SalesData[[#This Row],[Month Number]],Reference!C$5:E$16,2,FALSE))</f>
        <v>Feb</v>
      </c>
      <c r="AC4688">
        <f>MONTH(SalesData[[#This Row],[Date]])</f>
        <v>2</v>
      </c>
      <c r="AD4688">
        <f>Reference!F$4</f>
        <v>2026</v>
      </c>
      <c r="AE4688" t="str">
        <f>IF(OR(SalesData[[#This Row],[Day]]="Saturday",SalesData[[#This Row],[Day]]="Sunday"),"Weekend","Weekday")</f>
        <v>Weekend</v>
      </c>
      <c r="AF4688" s="5">
        <f>IF(SalesData[[#This Row],[Contracts Offered]]=0,0,SalesData[[#This Row],[Contracts Signed]]/SalesData[[#This Row],[Contracts Offered]])</f>
        <v>0.36559139784946237</v>
      </c>
      <c r="AG4688" s="5">
        <f>IF(SalesData[[#This Row],[Customers Visited]]=0,0,SalesData[[#This Row],[Test Drives]]/SalesData[[#This Row],[Customers Visited]])</f>
        <v>0.55601659751037347</v>
      </c>
      <c r="AH4688" s="5">
        <f>IF(SalesData[[#This Row],[Customers Visited]]=0,0,SalesData[[#This Row],[Contracts Signed]]/SalesData[[#This Row],[Customers Visited]])</f>
        <v>0.14107883817427386</v>
      </c>
      <c r="AI4688" s="6">
        <f>IF(SalesData[[#This Row],[Contracts Signed]]=0,0,SalesData[[#This Row],[Profit(€)]]/SalesData[[#This Row],[Contracts Signed]])</f>
        <v>11055</v>
      </c>
      <c r="AJ4688" s="5" t="str">
        <f>TRIM(CLEAN(SalesData[[#This Row],[Retailer]]))</f>
        <v>Hannover Cars</v>
      </c>
    </row>
    <row r="4689" spans="1:36" ht="14.25" hidden="1" x14ac:dyDescent="0.2">
      <c r="A4689" t="s">
        <v>5963</v>
      </c>
      <c r="B4689" s="1">
        <v>46081</v>
      </c>
      <c r="C4689" t="s">
        <v>53</v>
      </c>
      <c r="D4689" t="s">
        <v>151</v>
      </c>
      <c r="E4689" t="s">
        <v>42</v>
      </c>
      <c r="F4689" t="s">
        <v>101</v>
      </c>
      <c r="G4689" t="s">
        <v>102</v>
      </c>
      <c r="H4689" t="s">
        <v>103</v>
      </c>
      <c r="I4689" t="s">
        <v>56</v>
      </c>
      <c r="J4689" t="s">
        <v>97</v>
      </c>
      <c r="K4689" t="s">
        <v>91</v>
      </c>
      <c r="L4689" t="s">
        <v>33</v>
      </c>
      <c r="M4689" t="s">
        <v>68</v>
      </c>
      <c r="N4689" t="s">
        <v>35</v>
      </c>
      <c r="O4689" t="s">
        <v>36</v>
      </c>
      <c r="P4689" t="s">
        <v>49</v>
      </c>
      <c r="Q4689" t="s">
        <v>158</v>
      </c>
      <c r="R4689">
        <v>211</v>
      </c>
      <c r="S4689">
        <v>115</v>
      </c>
      <c r="T4689">
        <v>74</v>
      </c>
      <c r="U4689">
        <v>25</v>
      </c>
      <c r="V4689" t="s">
        <v>6379</v>
      </c>
      <c r="W4689">
        <v>53795</v>
      </c>
      <c r="X4689" t="s">
        <v>7494</v>
      </c>
      <c r="Y4689">
        <v>43689</v>
      </c>
      <c r="Z4689">
        <v>1344875</v>
      </c>
      <c r="AA4689">
        <v>252650</v>
      </c>
      <c r="AB4689" t="str">
        <f>(VLOOKUP(SalesData[[#This Row],[Month Number]],Reference!C$5:E$16,2,FALSE))</f>
        <v>Feb</v>
      </c>
      <c r="AC4689">
        <f>MONTH(SalesData[[#This Row],[Date]])</f>
        <v>2</v>
      </c>
      <c r="AD4689">
        <f>Reference!F$4</f>
        <v>2026</v>
      </c>
      <c r="AE4689" t="str">
        <f>IF(OR(SalesData[[#This Row],[Day]]="Saturday",SalesData[[#This Row],[Day]]="Sunday"),"Weekend","Weekday")</f>
        <v>Weekend</v>
      </c>
      <c r="AF4689" s="5">
        <f>IF(SalesData[[#This Row],[Contracts Offered]]=0,0,SalesData[[#This Row],[Contracts Signed]]/SalesData[[#This Row],[Contracts Offered]])</f>
        <v>0.33783783783783783</v>
      </c>
      <c r="AG4689" s="5">
        <f>IF(SalesData[[#This Row],[Customers Visited]]=0,0,SalesData[[#This Row],[Test Drives]]/SalesData[[#This Row],[Customers Visited]])</f>
        <v>0.54502369668246442</v>
      </c>
      <c r="AH4689" s="5">
        <f>IF(SalesData[[#This Row],[Customers Visited]]=0,0,SalesData[[#This Row],[Contracts Signed]]/SalesData[[#This Row],[Customers Visited]])</f>
        <v>0.11848341232227488</v>
      </c>
      <c r="AI4689" s="6">
        <f>IF(SalesData[[#This Row],[Contracts Signed]]=0,0,SalesData[[#This Row],[Profit(€)]]/SalesData[[#This Row],[Contracts Signed]])</f>
        <v>10106</v>
      </c>
      <c r="AJ4689" s="5" t="str">
        <f>TRIM(CLEAN(SalesData[[#This Row],[Retailer]]))</f>
        <v>Ruhr Auto Plaza</v>
      </c>
    </row>
    <row r="4690" spans="1:36" ht="14.25" x14ac:dyDescent="0.2">
      <c r="A4690" t="s">
        <v>5964</v>
      </c>
      <c r="B4690" s="1">
        <v>46066</v>
      </c>
      <c r="C4690" t="s">
        <v>121</v>
      </c>
      <c r="D4690" t="s">
        <v>54</v>
      </c>
      <c r="E4690" t="s">
        <v>26</v>
      </c>
      <c r="F4690" t="s">
        <v>94</v>
      </c>
      <c r="G4690" t="s">
        <v>95</v>
      </c>
      <c r="H4690" t="s">
        <v>96</v>
      </c>
      <c r="I4690" t="s">
        <v>30</v>
      </c>
      <c r="J4690" t="s">
        <v>166</v>
      </c>
      <c r="K4690" t="s">
        <v>66</v>
      </c>
      <c r="L4690" t="s">
        <v>46</v>
      </c>
      <c r="M4690" t="s">
        <v>47</v>
      </c>
      <c r="N4690" t="s">
        <v>48</v>
      </c>
      <c r="O4690" t="s">
        <v>36</v>
      </c>
      <c r="P4690" t="s">
        <v>58</v>
      </c>
      <c r="Q4690" t="s">
        <v>144</v>
      </c>
      <c r="R4690">
        <v>175</v>
      </c>
      <c r="S4690">
        <v>96</v>
      </c>
      <c r="T4690">
        <v>73</v>
      </c>
      <c r="U4690">
        <v>29</v>
      </c>
      <c r="V4690" t="s">
        <v>7562</v>
      </c>
      <c r="W4690">
        <v>61827</v>
      </c>
      <c r="X4690" t="s">
        <v>7633</v>
      </c>
      <c r="Y4690">
        <v>47588</v>
      </c>
      <c r="Z4690">
        <v>1792983</v>
      </c>
      <c r="AA4690">
        <v>412931</v>
      </c>
      <c r="AB4690" t="str">
        <f>(VLOOKUP(SalesData[[#This Row],[Month Number]],Reference!C$5:E$16,2,FALSE))</f>
        <v>Feb</v>
      </c>
      <c r="AC4690">
        <f>MONTH(SalesData[[#This Row],[Date]])</f>
        <v>2</v>
      </c>
      <c r="AD4690">
        <f>Reference!F$4</f>
        <v>2026</v>
      </c>
      <c r="AE4690" t="str">
        <f>IF(OR(SalesData[[#This Row],[Day]]="Saturday",SalesData[[#This Row],[Day]]="Sunday"),"Weekend","Weekday")</f>
        <v>Weekday</v>
      </c>
      <c r="AF4690" s="5">
        <f>IF(SalesData[[#This Row],[Contracts Offered]]=0,0,SalesData[[#This Row],[Contracts Signed]]/SalesData[[#This Row],[Contracts Offered]])</f>
        <v>0.39726027397260272</v>
      </c>
      <c r="AG4690" s="5">
        <f>IF(SalesData[[#This Row],[Customers Visited]]=0,0,SalesData[[#This Row],[Test Drives]]/SalesData[[#This Row],[Customers Visited]])</f>
        <v>0.5485714285714286</v>
      </c>
      <c r="AH4690" s="5">
        <f>IF(SalesData[[#This Row],[Customers Visited]]=0,0,SalesData[[#This Row],[Contracts Signed]]/SalesData[[#This Row],[Customers Visited]])</f>
        <v>0.1657142857142857</v>
      </c>
      <c r="AI4690" s="6">
        <f>IF(SalesData[[#This Row],[Contracts Signed]]=0,0,SalesData[[#This Row],[Profit(€)]]/SalesData[[#This Row],[Contracts Signed]])</f>
        <v>14239</v>
      </c>
      <c r="AJ4690" s="5" t="str">
        <f>TRIM(CLEAN(SalesData[[#This Row],[Retailer]]))</f>
        <v>Bavaria Motors</v>
      </c>
    </row>
    <row r="4691" spans="1:36" ht="14.25" hidden="1" x14ac:dyDescent="0.2">
      <c r="A4691" t="s">
        <v>5965</v>
      </c>
      <c r="B4691" s="1">
        <v>46064</v>
      </c>
      <c r="C4691" t="s">
        <v>121</v>
      </c>
      <c r="D4691" t="s">
        <v>82</v>
      </c>
      <c r="E4691" t="s">
        <v>26</v>
      </c>
      <c r="F4691" t="s">
        <v>43</v>
      </c>
      <c r="G4691" t="s">
        <v>44</v>
      </c>
      <c r="H4691" t="s">
        <v>45</v>
      </c>
      <c r="I4691" t="s">
        <v>104</v>
      </c>
      <c r="J4691" t="s">
        <v>143</v>
      </c>
      <c r="K4691" t="s">
        <v>66</v>
      </c>
      <c r="L4691" t="s">
        <v>67</v>
      </c>
      <c r="M4691" t="s">
        <v>68</v>
      </c>
      <c r="N4691" t="s">
        <v>69</v>
      </c>
      <c r="O4691" t="s">
        <v>36</v>
      </c>
      <c r="P4691" t="s">
        <v>71</v>
      </c>
      <c r="Q4691" t="s">
        <v>172</v>
      </c>
      <c r="R4691">
        <v>337</v>
      </c>
      <c r="S4691">
        <v>155</v>
      </c>
      <c r="T4691">
        <v>90</v>
      </c>
      <c r="U4691">
        <v>26</v>
      </c>
      <c r="V4691" t="s">
        <v>3685</v>
      </c>
      <c r="W4691">
        <v>28479</v>
      </c>
      <c r="X4691" t="s">
        <v>1122</v>
      </c>
      <c r="Y4691">
        <v>25200</v>
      </c>
      <c r="Z4691">
        <v>740454</v>
      </c>
      <c r="AA4691">
        <v>85254</v>
      </c>
      <c r="AB4691" t="str">
        <f>(VLOOKUP(SalesData[[#This Row],[Month Number]],Reference!C$5:E$16,2,FALSE))</f>
        <v>Feb</v>
      </c>
      <c r="AC4691">
        <f>MONTH(SalesData[[#This Row],[Date]])</f>
        <v>2</v>
      </c>
      <c r="AD4691">
        <f>Reference!F$4</f>
        <v>2026</v>
      </c>
      <c r="AE4691" t="str">
        <f>IF(OR(SalesData[[#This Row],[Day]]="Saturday",SalesData[[#This Row],[Day]]="Sunday"),"Weekend","Weekday")</f>
        <v>Weekday</v>
      </c>
      <c r="AF4691" s="5">
        <f>IF(SalesData[[#This Row],[Contracts Offered]]=0,0,SalesData[[#This Row],[Contracts Signed]]/SalesData[[#This Row],[Contracts Offered]])</f>
        <v>0.28888888888888886</v>
      </c>
      <c r="AG4691" s="5">
        <f>IF(SalesData[[#This Row],[Customers Visited]]=0,0,SalesData[[#This Row],[Test Drives]]/SalesData[[#This Row],[Customers Visited]])</f>
        <v>0.4599406528189911</v>
      </c>
      <c r="AH4691" s="5">
        <f>IF(SalesData[[#This Row],[Customers Visited]]=0,0,SalesData[[#This Row],[Contracts Signed]]/SalesData[[#This Row],[Customers Visited]])</f>
        <v>7.71513353115727E-2</v>
      </c>
      <c r="AI4691" s="6">
        <f>IF(SalesData[[#This Row],[Contracts Signed]]=0,0,SalesData[[#This Row],[Profit(€)]]/SalesData[[#This Row],[Contracts Signed]])</f>
        <v>3279</v>
      </c>
      <c r="AJ4691" s="5" t="str">
        <f>TRIM(CLEAN(SalesData[[#This Row],[Retailer]]))</f>
        <v>Saxon Wheels</v>
      </c>
    </row>
    <row r="4692" spans="1:36" ht="14.25" x14ac:dyDescent="0.2">
      <c r="A4692" t="s">
        <v>5966</v>
      </c>
      <c r="B4692" s="1">
        <v>46054</v>
      </c>
      <c r="C4692" t="s">
        <v>24</v>
      </c>
      <c r="D4692" t="s">
        <v>41</v>
      </c>
      <c r="E4692" t="s">
        <v>42</v>
      </c>
      <c r="F4692" t="s">
        <v>27</v>
      </c>
      <c r="G4692" t="s">
        <v>28</v>
      </c>
      <c r="H4692" t="s">
        <v>29</v>
      </c>
      <c r="I4692" t="s">
        <v>30</v>
      </c>
      <c r="J4692" t="s">
        <v>7075</v>
      </c>
      <c r="K4692" t="s">
        <v>78</v>
      </c>
      <c r="L4692" t="s">
        <v>33</v>
      </c>
      <c r="M4692" t="s">
        <v>87</v>
      </c>
      <c r="N4692" t="s">
        <v>48</v>
      </c>
      <c r="O4692" t="s">
        <v>70</v>
      </c>
      <c r="P4692" t="s">
        <v>58</v>
      </c>
      <c r="Q4692" t="s">
        <v>79</v>
      </c>
      <c r="R4692">
        <v>260</v>
      </c>
      <c r="S4692">
        <v>136</v>
      </c>
      <c r="T4692">
        <v>100</v>
      </c>
      <c r="U4692">
        <v>42</v>
      </c>
      <c r="V4692" t="s">
        <v>7607</v>
      </c>
      <c r="W4692">
        <v>52139</v>
      </c>
      <c r="X4692" t="s">
        <v>407</v>
      </c>
      <c r="Y4692">
        <v>40558</v>
      </c>
      <c r="Z4692">
        <v>2189838</v>
      </c>
      <c r="AA4692">
        <v>486402</v>
      </c>
      <c r="AB4692" t="str">
        <f>(VLOOKUP(SalesData[[#This Row],[Month Number]],Reference!C$5:E$16,2,FALSE))</f>
        <v>Feb</v>
      </c>
      <c r="AC4692">
        <f>MONTH(SalesData[[#This Row],[Date]])</f>
        <v>2</v>
      </c>
      <c r="AD4692">
        <f>Reference!F$4</f>
        <v>2026</v>
      </c>
      <c r="AE4692" t="str">
        <f>IF(OR(SalesData[[#This Row],[Day]]="Saturday",SalesData[[#This Row],[Day]]="Sunday"),"Weekend","Weekday")</f>
        <v>Weekend</v>
      </c>
      <c r="AF4692" s="5">
        <f>IF(SalesData[[#This Row],[Contracts Offered]]=0,0,SalesData[[#This Row],[Contracts Signed]]/SalesData[[#This Row],[Contracts Offered]])</f>
        <v>0.42</v>
      </c>
      <c r="AG4692" s="5">
        <f>IF(SalesData[[#This Row],[Customers Visited]]=0,0,SalesData[[#This Row],[Test Drives]]/SalesData[[#This Row],[Customers Visited]])</f>
        <v>0.52307692307692311</v>
      </c>
      <c r="AH4692" s="5">
        <f>IF(SalesData[[#This Row],[Customers Visited]]=0,0,SalesData[[#This Row],[Contracts Signed]]/SalesData[[#This Row],[Customers Visited]])</f>
        <v>0.16153846153846155</v>
      </c>
      <c r="AI4692" s="6">
        <f>IF(SalesData[[#This Row],[Contracts Signed]]=0,0,SalesData[[#This Row],[Profit(€)]]/SalesData[[#This Row],[Contracts Signed]])</f>
        <v>11581</v>
      </c>
      <c r="AJ4692" s="5" t="str">
        <f>TRIM(CLEAN(SalesData[[#This Row],[Retailer]]))</f>
        <v>Main Auto Hub</v>
      </c>
    </row>
    <row r="4693" spans="1:36" ht="14.25" hidden="1" x14ac:dyDescent="0.2">
      <c r="A4693" t="s">
        <v>5967</v>
      </c>
      <c r="B4693" s="1">
        <v>46074</v>
      </c>
      <c r="C4693" t="s">
        <v>62</v>
      </c>
      <c r="D4693" t="s">
        <v>151</v>
      </c>
      <c r="E4693" t="s">
        <v>42</v>
      </c>
      <c r="F4693" t="s">
        <v>74</v>
      </c>
      <c r="G4693" t="s">
        <v>75</v>
      </c>
      <c r="H4693" t="s">
        <v>76</v>
      </c>
      <c r="I4693" t="s">
        <v>64</v>
      </c>
      <c r="J4693" t="s">
        <v>157</v>
      </c>
      <c r="K4693" t="s">
        <v>91</v>
      </c>
      <c r="L4693" t="s">
        <v>33</v>
      </c>
      <c r="M4693" t="s">
        <v>34</v>
      </c>
      <c r="N4693" t="s">
        <v>35</v>
      </c>
      <c r="O4693" t="s">
        <v>70</v>
      </c>
      <c r="P4693" t="s">
        <v>71</v>
      </c>
      <c r="Q4693" t="s">
        <v>172</v>
      </c>
      <c r="R4693">
        <v>283</v>
      </c>
      <c r="S4693">
        <v>135</v>
      </c>
      <c r="T4693">
        <v>98</v>
      </c>
      <c r="U4693">
        <v>33</v>
      </c>
      <c r="V4693" t="s">
        <v>6705</v>
      </c>
      <c r="W4693">
        <v>68714</v>
      </c>
      <c r="X4693" t="s">
        <v>7227</v>
      </c>
      <c r="Y4693">
        <v>51147</v>
      </c>
      <c r="Z4693">
        <v>2267562</v>
      </c>
      <c r="AA4693">
        <v>579711</v>
      </c>
      <c r="AB4693" t="str">
        <f>(VLOOKUP(SalesData[[#This Row],[Month Number]],Reference!C$5:E$16,2,FALSE))</f>
        <v>Feb</v>
      </c>
      <c r="AC4693">
        <f>MONTH(SalesData[[#This Row],[Date]])</f>
        <v>2</v>
      </c>
      <c r="AD4693">
        <f>Reference!F$4</f>
        <v>2026</v>
      </c>
      <c r="AE4693" t="str">
        <f>IF(OR(SalesData[[#This Row],[Day]]="Saturday",SalesData[[#This Row],[Day]]="Sunday"),"Weekend","Weekday")</f>
        <v>Weekend</v>
      </c>
      <c r="AF4693" s="5">
        <f>IF(SalesData[[#This Row],[Contracts Offered]]=0,0,SalesData[[#This Row],[Contracts Signed]]/SalesData[[#This Row],[Contracts Offered]])</f>
        <v>0.33673469387755101</v>
      </c>
      <c r="AG4693" s="5">
        <f>IF(SalesData[[#This Row],[Customers Visited]]=0,0,SalesData[[#This Row],[Test Drives]]/SalesData[[#This Row],[Customers Visited]])</f>
        <v>0.47703180212014135</v>
      </c>
      <c r="AH4693" s="5">
        <f>IF(SalesData[[#This Row],[Customers Visited]]=0,0,SalesData[[#This Row],[Contracts Signed]]/SalesData[[#This Row],[Customers Visited]])</f>
        <v>0.1166077738515901</v>
      </c>
      <c r="AI4693" s="6">
        <f>IF(SalesData[[#This Row],[Contracts Signed]]=0,0,SalesData[[#This Row],[Profit(€)]]/SalesData[[#This Row],[Contracts Signed]])</f>
        <v>17567</v>
      </c>
      <c r="AJ4693" s="5" t="str">
        <f>TRIM(CLEAN(SalesData[[#This Row],[Retailer]]))</f>
        <v>Stuttgart Auto Center</v>
      </c>
    </row>
    <row r="4694" spans="1:36" ht="14.25" hidden="1" x14ac:dyDescent="0.2">
      <c r="A4694" t="s">
        <v>5968</v>
      </c>
      <c r="B4694" s="1">
        <v>46075</v>
      </c>
      <c r="C4694" t="s">
        <v>53</v>
      </c>
      <c r="D4694" t="s">
        <v>41</v>
      </c>
      <c r="E4694" t="s">
        <v>42</v>
      </c>
      <c r="F4694" t="s">
        <v>74</v>
      </c>
      <c r="G4694" t="s">
        <v>75</v>
      </c>
      <c r="H4694" t="s">
        <v>76</v>
      </c>
      <c r="I4694" t="s">
        <v>104</v>
      </c>
      <c r="J4694" t="s">
        <v>7061</v>
      </c>
      <c r="K4694" t="s">
        <v>32</v>
      </c>
      <c r="L4694" t="s">
        <v>46</v>
      </c>
      <c r="M4694" t="s">
        <v>34</v>
      </c>
      <c r="N4694" t="s">
        <v>35</v>
      </c>
      <c r="O4694" t="s">
        <v>36</v>
      </c>
      <c r="P4694" t="s">
        <v>49</v>
      </c>
      <c r="Q4694" t="s">
        <v>158</v>
      </c>
      <c r="R4694">
        <v>435</v>
      </c>
      <c r="S4694">
        <v>205</v>
      </c>
      <c r="T4694">
        <v>139</v>
      </c>
      <c r="U4694">
        <v>26</v>
      </c>
      <c r="V4694" t="s">
        <v>1503</v>
      </c>
      <c r="W4694">
        <v>30813</v>
      </c>
      <c r="X4694" t="s">
        <v>230</v>
      </c>
      <c r="Y4694">
        <v>27608</v>
      </c>
      <c r="Z4694">
        <v>801138</v>
      </c>
      <c r="AA4694">
        <v>83330</v>
      </c>
      <c r="AB4694" t="str">
        <f>(VLOOKUP(SalesData[[#This Row],[Month Number]],Reference!C$5:E$16,2,FALSE))</f>
        <v>Feb</v>
      </c>
      <c r="AC4694">
        <f>MONTH(SalesData[[#This Row],[Date]])</f>
        <v>2</v>
      </c>
      <c r="AD4694">
        <f>Reference!F$4</f>
        <v>2026</v>
      </c>
      <c r="AE4694" t="str">
        <f>IF(OR(SalesData[[#This Row],[Day]]="Saturday",SalesData[[#This Row],[Day]]="Sunday"),"Weekend","Weekday")</f>
        <v>Weekend</v>
      </c>
      <c r="AF4694" s="5">
        <f>IF(SalesData[[#This Row],[Contracts Offered]]=0,0,SalesData[[#This Row],[Contracts Signed]]/SalesData[[#This Row],[Contracts Offered]])</f>
        <v>0.18705035971223022</v>
      </c>
      <c r="AG4694" s="5">
        <f>IF(SalesData[[#This Row],[Customers Visited]]=0,0,SalesData[[#This Row],[Test Drives]]/SalesData[[#This Row],[Customers Visited]])</f>
        <v>0.47126436781609193</v>
      </c>
      <c r="AH4694" s="5">
        <f>IF(SalesData[[#This Row],[Customers Visited]]=0,0,SalesData[[#This Row],[Contracts Signed]]/SalesData[[#This Row],[Customers Visited]])</f>
        <v>5.9770114942528735E-2</v>
      </c>
      <c r="AI4694" s="6">
        <f>IF(SalesData[[#This Row],[Contracts Signed]]=0,0,SalesData[[#This Row],[Profit(€)]]/SalesData[[#This Row],[Contracts Signed]])</f>
        <v>3205</v>
      </c>
      <c r="AJ4694" s="5" t="str">
        <f>TRIM(CLEAN(SalesData[[#This Row],[Retailer]]))</f>
        <v>Stuttgart Auto Center</v>
      </c>
    </row>
    <row r="4695" spans="1:36" ht="14.25" hidden="1" x14ac:dyDescent="0.2">
      <c r="A4695" t="s">
        <v>5969</v>
      </c>
      <c r="B4695" s="1">
        <v>46058</v>
      </c>
      <c r="C4695" t="s">
        <v>24</v>
      </c>
      <c r="D4695" t="s">
        <v>100</v>
      </c>
      <c r="E4695" t="s">
        <v>26</v>
      </c>
      <c r="F4695" t="s">
        <v>74</v>
      </c>
      <c r="G4695" t="s">
        <v>75</v>
      </c>
      <c r="H4695" t="s">
        <v>76</v>
      </c>
      <c r="I4695" t="s">
        <v>116</v>
      </c>
      <c r="J4695" t="s">
        <v>132</v>
      </c>
      <c r="K4695" t="s">
        <v>78</v>
      </c>
      <c r="L4695" t="s">
        <v>46</v>
      </c>
      <c r="M4695" t="s">
        <v>68</v>
      </c>
      <c r="N4695" t="s">
        <v>48</v>
      </c>
      <c r="O4695" t="s">
        <v>36</v>
      </c>
      <c r="P4695" t="s">
        <v>37</v>
      </c>
      <c r="Q4695" t="s">
        <v>88</v>
      </c>
      <c r="R4695">
        <v>247</v>
      </c>
      <c r="S4695">
        <v>114</v>
      </c>
      <c r="T4695">
        <v>76</v>
      </c>
      <c r="U4695">
        <v>20</v>
      </c>
      <c r="V4695" t="s">
        <v>356</v>
      </c>
      <c r="W4695">
        <v>22110</v>
      </c>
      <c r="X4695" t="s">
        <v>1381</v>
      </c>
      <c r="Y4695">
        <v>19775</v>
      </c>
      <c r="Z4695">
        <v>442200</v>
      </c>
      <c r="AA4695">
        <v>46700</v>
      </c>
      <c r="AB4695" t="str">
        <f>(VLOOKUP(SalesData[[#This Row],[Month Number]],Reference!C$5:E$16,2,FALSE))</f>
        <v>Feb</v>
      </c>
      <c r="AC4695">
        <f>MONTH(SalesData[[#This Row],[Date]])</f>
        <v>2</v>
      </c>
      <c r="AD4695">
        <f>Reference!F$4</f>
        <v>2026</v>
      </c>
      <c r="AE4695" t="str">
        <f>IF(OR(SalesData[[#This Row],[Day]]="Saturday",SalesData[[#This Row],[Day]]="Sunday"),"Weekend","Weekday")</f>
        <v>Weekday</v>
      </c>
      <c r="AF4695" s="5">
        <f>IF(SalesData[[#This Row],[Contracts Offered]]=0,0,SalesData[[#This Row],[Contracts Signed]]/SalesData[[#This Row],[Contracts Offered]])</f>
        <v>0.26315789473684209</v>
      </c>
      <c r="AG4695" s="5">
        <f>IF(SalesData[[#This Row],[Customers Visited]]=0,0,SalesData[[#This Row],[Test Drives]]/SalesData[[#This Row],[Customers Visited]])</f>
        <v>0.46153846153846156</v>
      </c>
      <c r="AH4695" s="5">
        <f>IF(SalesData[[#This Row],[Customers Visited]]=0,0,SalesData[[#This Row],[Contracts Signed]]/SalesData[[#This Row],[Customers Visited]])</f>
        <v>8.0971659919028341E-2</v>
      </c>
      <c r="AI4695" s="6">
        <f>IF(SalesData[[#This Row],[Contracts Signed]]=0,0,SalesData[[#This Row],[Profit(€)]]/SalesData[[#This Row],[Contracts Signed]])</f>
        <v>2335</v>
      </c>
      <c r="AJ4695" s="5" t="str">
        <f>TRIM(CLEAN(SalesData[[#This Row],[Retailer]]))</f>
        <v>Stuttgart Auto Center</v>
      </c>
    </row>
    <row r="4696" spans="1:36" ht="14.25" hidden="1" x14ac:dyDescent="0.2">
      <c r="A4696" t="s">
        <v>5970</v>
      </c>
      <c r="B4696" s="1">
        <v>46081</v>
      </c>
      <c r="C4696" t="s">
        <v>53</v>
      </c>
      <c r="D4696" t="s">
        <v>151</v>
      </c>
      <c r="E4696" t="s">
        <v>42</v>
      </c>
      <c r="F4696" t="s">
        <v>7649</v>
      </c>
      <c r="G4696" t="s">
        <v>55</v>
      </c>
      <c r="H4696" t="s">
        <v>55</v>
      </c>
      <c r="I4696" t="s">
        <v>56</v>
      </c>
      <c r="J4696" t="s">
        <v>97</v>
      </c>
      <c r="K4696" t="s">
        <v>32</v>
      </c>
      <c r="L4696" t="s">
        <v>33</v>
      </c>
      <c r="M4696" t="s">
        <v>68</v>
      </c>
      <c r="N4696" t="s">
        <v>69</v>
      </c>
      <c r="O4696" t="s">
        <v>36</v>
      </c>
      <c r="P4696" t="s">
        <v>58</v>
      </c>
      <c r="Q4696" t="s">
        <v>38</v>
      </c>
      <c r="R4696">
        <v>289</v>
      </c>
      <c r="S4696">
        <v>143</v>
      </c>
      <c r="T4696">
        <v>103</v>
      </c>
      <c r="U4696">
        <v>40</v>
      </c>
      <c r="V4696" t="s">
        <v>6793</v>
      </c>
      <c r="W4696">
        <v>43358</v>
      </c>
      <c r="X4696" t="s">
        <v>7058</v>
      </c>
      <c r="Y4696">
        <v>35276</v>
      </c>
      <c r="Z4696">
        <v>1734320</v>
      </c>
      <c r="AA4696">
        <v>323280</v>
      </c>
      <c r="AB4696" t="str">
        <f>(VLOOKUP(SalesData[[#This Row],[Month Number]],Reference!C$5:E$16,2,FALSE))</f>
        <v>Feb</v>
      </c>
      <c r="AC4696">
        <f>MONTH(SalesData[[#This Row],[Date]])</f>
        <v>2</v>
      </c>
      <c r="AD4696">
        <f>Reference!F$4</f>
        <v>2026</v>
      </c>
      <c r="AE4696" t="str">
        <f>IF(OR(SalesData[[#This Row],[Day]]="Saturday",SalesData[[#This Row],[Day]]="Sunday"),"Weekend","Weekday")</f>
        <v>Weekend</v>
      </c>
      <c r="AF4696" s="5">
        <f>IF(SalesData[[#This Row],[Contracts Offered]]=0,0,SalesData[[#This Row],[Contracts Signed]]/SalesData[[#This Row],[Contracts Offered]])</f>
        <v>0.38834951456310679</v>
      </c>
      <c r="AG4696" s="5">
        <f>IF(SalesData[[#This Row],[Customers Visited]]=0,0,SalesData[[#This Row],[Test Drives]]/SalesData[[#This Row],[Customers Visited]])</f>
        <v>0.49480968858131485</v>
      </c>
      <c r="AH4696" s="5">
        <f>IF(SalesData[[#This Row],[Customers Visited]]=0,0,SalesData[[#This Row],[Contracts Signed]]/SalesData[[#This Row],[Customers Visited]])</f>
        <v>0.13840830449826991</v>
      </c>
      <c r="AI4696" s="6">
        <f>IF(SalesData[[#This Row],[Contracts Signed]]=0,0,SalesData[[#This Row],[Profit(€)]]/SalesData[[#This Row],[Contracts Signed]])</f>
        <v>8082</v>
      </c>
      <c r="AJ4696" s="5" t="str">
        <f>TRIM(CLEAN(SalesData[[#This Row],[Retailer]]))</f>
        <v>Autohaus Berlin</v>
      </c>
    </row>
    <row r="4697" spans="1:36" ht="14.25" hidden="1" x14ac:dyDescent="0.2">
      <c r="A4697" t="s">
        <v>5971</v>
      </c>
      <c r="B4697" s="1">
        <v>46060</v>
      </c>
      <c r="C4697" t="s">
        <v>24</v>
      </c>
      <c r="D4697" t="s">
        <v>151</v>
      </c>
      <c r="E4697" t="s">
        <v>42</v>
      </c>
      <c r="F4697" t="s">
        <v>43</v>
      </c>
      <c r="G4697" t="s">
        <v>44</v>
      </c>
      <c r="H4697" t="s">
        <v>45</v>
      </c>
      <c r="I4697" t="s">
        <v>56</v>
      </c>
      <c r="J4697" t="s">
        <v>137</v>
      </c>
      <c r="K4697" t="s">
        <v>66</v>
      </c>
      <c r="L4697" t="s">
        <v>46</v>
      </c>
      <c r="M4697" t="s">
        <v>34</v>
      </c>
      <c r="N4697" t="s">
        <v>69</v>
      </c>
      <c r="O4697" t="s">
        <v>70</v>
      </c>
      <c r="P4697" t="s">
        <v>58</v>
      </c>
      <c r="Q4697" t="s">
        <v>347</v>
      </c>
      <c r="R4697">
        <v>262</v>
      </c>
      <c r="S4697">
        <v>157</v>
      </c>
      <c r="T4697">
        <v>100</v>
      </c>
      <c r="U4697">
        <v>40</v>
      </c>
      <c r="V4697" t="s">
        <v>6613</v>
      </c>
      <c r="W4697">
        <v>46839</v>
      </c>
      <c r="X4697" t="s">
        <v>2261</v>
      </c>
      <c r="Y4697">
        <v>38130</v>
      </c>
      <c r="Z4697">
        <v>1873560</v>
      </c>
      <c r="AA4697">
        <v>348360</v>
      </c>
      <c r="AB4697" t="str">
        <f>(VLOOKUP(SalesData[[#This Row],[Month Number]],Reference!C$5:E$16,2,FALSE))</f>
        <v>Feb</v>
      </c>
      <c r="AC4697">
        <f>MONTH(SalesData[[#This Row],[Date]])</f>
        <v>2</v>
      </c>
      <c r="AD4697">
        <f>Reference!F$4</f>
        <v>2026</v>
      </c>
      <c r="AE4697" t="str">
        <f>IF(OR(SalesData[[#This Row],[Day]]="Saturday",SalesData[[#This Row],[Day]]="Sunday"),"Weekend","Weekday")</f>
        <v>Weekend</v>
      </c>
      <c r="AF4697" s="5">
        <f>IF(SalesData[[#This Row],[Contracts Offered]]=0,0,SalesData[[#This Row],[Contracts Signed]]/SalesData[[#This Row],[Contracts Offered]])</f>
        <v>0.4</v>
      </c>
      <c r="AG4697" s="5">
        <f>IF(SalesData[[#This Row],[Customers Visited]]=0,0,SalesData[[#This Row],[Test Drives]]/SalesData[[#This Row],[Customers Visited]])</f>
        <v>0.5992366412213741</v>
      </c>
      <c r="AH4697" s="5">
        <f>IF(SalesData[[#This Row],[Customers Visited]]=0,0,SalesData[[#This Row],[Contracts Signed]]/SalesData[[#This Row],[Customers Visited]])</f>
        <v>0.15267175572519084</v>
      </c>
      <c r="AI4697" s="6">
        <f>IF(SalesData[[#This Row],[Contracts Signed]]=0,0,SalesData[[#This Row],[Profit(€)]]/SalesData[[#This Row],[Contracts Signed]])</f>
        <v>8709</v>
      </c>
      <c r="AJ4697" s="5" t="str">
        <f>TRIM(CLEAN(SalesData[[#This Row],[Retailer]]))</f>
        <v>Saxon Wheels</v>
      </c>
    </row>
    <row r="4698" spans="1:36" ht="14.25" hidden="1" x14ac:dyDescent="0.2">
      <c r="A4698" t="s">
        <v>5972</v>
      </c>
      <c r="B4698" s="1">
        <v>46076</v>
      </c>
      <c r="C4698" t="s">
        <v>53</v>
      </c>
      <c r="D4698" t="s">
        <v>25</v>
      </c>
      <c r="E4698" t="s">
        <v>26</v>
      </c>
      <c r="F4698" t="s">
        <v>127</v>
      </c>
      <c r="G4698" t="s">
        <v>128</v>
      </c>
      <c r="H4698" t="s">
        <v>103</v>
      </c>
      <c r="I4698" t="s">
        <v>56</v>
      </c>
      <c r="J4698" t="s">
        <v>137</v>
      </c>
      <c r="K4698" t="s">
        <v>91</v>
      </c>
      <c r="L4698" t="s">
        <v>46</v>
      </c>
      <c r="M4698" t="s">
        <v>47</v>
      </c>
      <c r="N4698" t="s">
        <v>35</v>
      </c>
      <c r="O4698" t="s">
        <v>70</v>
      </c>
      <c r="P4698" t="s">
        <v>71</v>
      </c>
      <c r="Q4698" t="s">
        <v>240</v>
      </c>
      <c r="R4698">
        <v>279</v>
      </c>
      <c r="S4698">
        <v>147</v>
      </c>
      <c r="T4698">
        <v>112</v>
      </c>
      <c r="U4698">
        <v>36</v>
      </c>
      <c r="V4698" t="s">
        <v>6518</v>
      </c>
      <c r="W4698">
        <v>47528</v>
      </c>
      <c r="X4698" t="s">
        <v>5854</v>
      </c>
      <c r="Y4698">
        <v>37749</v>
      </c>
      <c r="Z4698">
        <v>1711008</v>
      </c>
      <c r="AA4698">
        <v>352044</v>
      </c>
      <c r="AB4698" t="str">
        <f>(VLOOKUP(SalesData[[#This Row],[Month Number]],Reference!C$5:E$16,2,FALSE))</f>
        <v>Feb</v>
      </c>
      <c r="AC4698">
        <f>MONTH(SalesData[[#This Row],[Date]])</f>
        <v>2</v>
      </c>
      <c r="AD4698">
        <f>Reference!F$4</f>
        <v>2026</v>
      </c>
      <c r="AE4698" t="str">
        <f>IF(OR(SalesData[[#This Row],[Day]]="Saturday",SalesData[[#This Row],[Day]]="Sunday"),"Weekend","Weekday")</f>
        <v>Weekday</v>
      </c>
      <c r="AF4698" s="5">
        <f>IF(SalesData[[#This Row],[Contracts Offered]]=0,0,SalesData[[#This Row],[Contracts Signed]]/SalesData[[#This Row],[Contracts Offered]])</f>
        <v>0.32142857142857145</v>
      </c>
      <c r="AG4698" s="5">
        <f>IF(SalesData[[#This Row],[Customers Visited]]=0,0,SalesData[[#This Row],[Test Drives]]/SalesData[[#This Row],[Customers Visited]])</f>
        <v>0.5268817204301075</v>
      </c>
      <c r="AH4698" s="5">
        <f>IF(SalesData[[#This Row],[Customers Visited]]=0,0,SalesData[[#This Row],[Contracts Signed]]/SalesData[[#This Row],[Customers Visited]])</f>
        <v>0.12903225806451613</v>
      </c>
      <c r="AI4698" s="6">
        <f>IF(SalesData[[#This Row],[Contracts Signed]]=0,0,SalesData[[#This Row],[Profit(€)]]/SalesData[[#This Row],[Contracts Signed]])</f>
        <v>9779</v>
      </c>
      <c r="AJ4698" s="5" t="str">
        <f>TRIM(CLEAN(SalesData[[#This Row],[Retailer]]))</f>
        <v>Rhein Auto Group</v>
      </c>
    </row>
    <row r="4699" spans="1:36" ht="14.25" x14ac:dyDescent="0.2">
      <c r="A4699" t="s">
        <v>5973</v>
      </c>
      <c r="B4699" s="1">
        <v>46078</v>
      </c>
      <c r="C4699" t="s">
        <v>53</v>
      </c>
      <c r="D4699" t="s">
        <v>82</v>
      </c>
      <c r="E4699" t="s">
        <v>26</v>
      </c>
      <c r="F4699" t="s">
        <v>114</v>
      </c>
      <c r="G4699" t="s">
        <v>115</v>
      </c>
      <c r="H4699" t="s">
        <v>115</v>
      </c>
      <c r="I4699" t="s">
        <v>30</v>
      </c>
      <c r="J4699" t="s">
        <v>86</v>
      </c>
      <c r="K4699" t="s">
        <v>91</v>
      </c>
      <c r="L4699" t="s">
        <v>33</v>
      </c>
      <c r="M4699" t="s">
        <v>68</v>
      </c>
      <c r="N4699" t="s">
        <v>35</v>
      </c>
      <c r="O4699" t="s">
        <v>36</v>
      </c>
      <c r="P4699" t="s">
        <v>37</v>
      </c>
      <c r="Q4699" t="s">
        <v>59</v>
      </c>
      <c r="R4699">
        <v>143</v>
      </c>
      <c r="S4699">
        <v>70</v>
      </c>
      <c r="T4699">
        <v>56</v>
      </c>
      <c r="U4699">
        <v>18</v>
      </c>
      <c r="V4699" t="s">
        <v>6889</v>
      </c>
      <c r="W4699">
        <v>61021</v>
      </c>
      <c r="X4699" t="s">
        <v>7033</v>
      </c>
      <c r="Y4699">
        <v>43362</v>
      </c>
      <c r="Z4699">
        <v>1098378</v>
      </c>
      <c r="AA4699">
        <v>317862</v>
      </c>
      <c r="AB4699" t="str">
        <f>(VLOOKUP(SalesData[[#This Row],[Month Number]],Reference!C$5:E$16,2,FALSE))</f>
        <v>Feb</v>
      </c>
      <c r="AC4699">
        <f>MONTH(SalesData[[#This Row],[Date]])</f>
        <v>2</v>
      </c>
      <c r="AD4699">
        <f>Reference!F$4</f>
        <v>2026</v>
      </c>
      <c r="AE4699" t="str">
        <f>IF(OR(SalesData[[#This Row],[Day]]="Saturday",SalesData[[#This Row],[Day]]="Sunday"),"Weekend","Weekday")</f>
        <v>Weekday</v>
      </c>
      <c r="AF4699" s="5">
        <f>IF(SalesData[[#This Row],[Contracts Offered]]=0,0,SalesData[[#This Row],[Contracts Signed]]/SalesData[[#This Row],[Contracts Offered]])</f>
        <v>0.32142857142857145</v>
      </c>
      <c r="AG4699" s="5">
        <f>IF(SalesData[[#This Row],[Customers Visited]]=0,0,SalesData[[#This Row],[Test Drives]]/SalesData[[#This Row],[Customers Visited]])</f>
        <v>0.48951048951048953</v>
      </c>
      <c r="AH4699" s="5">
        <f>IF(SalesData[[#This Row],[Customers Visited]]=0,0,SalesData[[#This Row],[Contracts Signed]]/SalesData[[#This Row],[Customers Visited]])</f>
        <v>0.12587412587412589</v>
      </c>
      <c r="AI4699" s="6">
        <f>IF(SalesData[[#This Row],[Contracts Signed]]=0,0,SalesData[[#This Row],[Profit(€)]]/SalesData[[#This Row],[Contracts Signed]])</f>
        <v>17659</v>
      </c>
      <c r="AJ4699" s="5" t="str">
        <f>TRIM(CLEAN(SalesData[[#This Row],[Retailer]]))</f>
        <v>Elbe Drive</v>
      </c>
    </row>
    <row r="4700" spans="1:36" ht="14.25" hidden="1" x14ac:dyDescent="0.2">
      <c r="A4700" t="s">
        <v>5975</v>
      </c>
      <c r="B4700" s="1">
        <v>46073</v>
      </c>
      <c r="C4700" t="s">
        <v>62</v>
      </c>
      <c r="D4700" t="s">
        <v>54</v>
      </c>
      <c r="E4700" t="s">
        <v>26</v>
      </c>
      <c r="F4700" t="s">
        <v>94</v>
      </c>
      <c r="G4700" t="s">
        <v>95</v>
      </c>
      <c r="H4700" t="s">
        <v>96</v>
      </c>
      <c r="I4700" t="s">
        <v>116</v>
      </c>
      <c r="J4700" t="s">
        <v>203</v>
      </c>
      <c r="K4700" t="s">
        <v>32</v>
      </c>
      <c r="L4700" t="s">
        <v>67</v>
      </c>
      <c r="M4700" t="s">
        <v>68</v>
      </c>
      <c r="N4700" t="s">
        <v>48</v>
      </c>
      <c r="O4700" t="s">
        <v>36</v>
      </c>
      <c r="P4700" t="s">
        <v>37</v>
      </c>
      <c r="Q4700" t="s">
        <v>135</v>
      </c>
      <c r="R4700">
        <v>279</v>
      </c>
      <c r="S4700">
        <v>115</v>
      </c>
      <c r="T4700">
        <v>74</v>
      </c>
      <c r="U4700">
        <v>18</v>
      </c>
      <c r="V4700" t="s">
        <v>1225</v>
      </c>
      <c r="W4700">
        <v>24242</v>
      </c>
      <c r="X4700" t="s">
        <v>6809</v>
      </c>
      <c r="Y4700">
        <v>21679</v>
      </c>
      <c r="Z4700">
        <v>436356</v>
      </c>
      <c r="AA4700">
        <v>46134</v>
      </c>
      <c r="AB4700" t="str">
        <f>(VLOOKUP(SalesData[[#This Row],[Month Number]],Reference!C$5:E$16,2,FALSE))</f>
        <v>Feb</v>
      </c>
      <c r="AC4700">
        <f>MONTH(SalesData[[#This Row],[Date]])</f>
        <v>2</v>
      </c>
      <c r="AD4700">
        <f>Reference!F$4</f>
        <v>2026</v>
      </c>
      <c r="AE4700" t="str">
        <f>IF(OR(SalesData[[#This Row],[Day]]="Saturday",SalesData[[#This Row],[Day]]="Sunday"),"Weekend","Weekday")</f>
        <v>Weekday</v>
      </c>
      <c r="AF4700" s="5">
        <f>IF(SalesData[[#This Row],[Contracts Offered]]=0,0,SalesData[[#This Row],[Contracts Signed]]/SalesData[[#This Row],[Contracts Offered]])</f>
        <v>0.24324324324324326</v>
      </c>
      <c r="AG4700" s="5">
        <f>IF(SalesData[[#This Row],[Customers Visited]]=0,0,SalesData[[#This Row],[Test Drives]]/SalesData[[#This Row],[Customers Visited]])</f>
        <v>0.41218637992831542</v>
      </c>
      <c r="AH4700" s="5">
        <f>IF(SalesData[[#This Row],[Customers Visited]]=0,0,SalesData[[#This Row],[Contracts Signed]]/SalesData[[#This Row],[Customers Visited]])</f>
        <v>6.4516129032258063E-2</v>
      </c>
      <c r="AI4700" s="6">
        <f>IF(SalesData[[#This Row],[Contracts Signed]]=0,0,SalesData[[#This Row],[Profit(€)]]/SalesData[[#This Row],[Contracts Signed]])</f>
        <v>2563</v>
      </c>
      <c r="AJ4700" s="5" t="str">
        <f>TRIM(CLEAN(SalesData[[#This Row],[Retailer]]))</f>
        <v>Bavaria Motors</v>
      </c>
    </row>
    <row r="4701" spans="1:36" ht="14.25" hidden="1" x14ac:dyDescent="0.2">
      <c r="A4701" t="s">
        <v>5976</v>
      </c>
      <c r="B4701" s="1">
        <v>46064</v>
      </c>
      <c r="C4701" t="s">
        <v>121</v>
      </c>
      <c r="D4701" t="s">
        <v>82</v>
      </c>
      <c r="E4701" t="s">
        <v>26</v>
      </c>
      <c r="F4701" t="s">
        <v>7649</v>
      </c>
      <c r="G4701" t="s">
        <v>55</v>
      </c>
      <c r="H4701" t="s">
        <v>55</v>
      </c>
      <c r="I4701" t="s">
        <v>116</v>
      </c>
      <c r="J4701" t="s">
        <v>7090</v>
      </c>
      <c r="K4701" t="s">
        <v>66</v>
      </c>
      <c r="L4701" t="s">
        <v>46</v>
      </c>
      <c r="M4701" t="s">
        <v>68</v>
      </c>
      <c r="N4701" t="s">
        <v>35</v>
      </c>
      <c r="O4701" t="s">
        <v>70</v>
      </c>
      <c r="P4701" t="s">
        <v>71</v>
      </c>
      <c r="Q4701" t="s">
        <v>38</v>
      </c>
      <c r="R4701">
        <v>263</v>
      </c>
      <c r="S4701">
        <v>116</v>
      </c>
      <c r="T4701">
        <v>77</v>
      </c>
      <c r="U4701">
        <v>18</v>
      </c>
      <c r="V4701" t="s">
        <v>480</v>
      </c>
      <c r="W4701">
        <v>23549</v>
      </c>
      <c r="X4701" t="s">
        <v>3439</v>
      </c>
      <c r="Y4701">
        <v>21347</v>
      </c>
      <c r="Z4701">
        <v>423882</v>
      </c>
      <c r="AA4701">
        <v>39636</v>
      </c>
      <c r="AB4701" t="str">
        <f>(VLOOKUP(SalesData[[#This Row],[Month Number]],Reference!C$5:E$16,2,FALSE))</f>
        <v>Feb</v>
      </c>
      <c r="AC4701">
        <f>MONTH(SalesData[[#This Row],[Date]])</f>
        <v>2</v>
      </c>
      <c r="AD4701">
        <f>Reference!F$4</f>
        <v>2026</v>
      </c>
      <c r="AE4701" t="str">
        <f>IF(OR(SalesData[[#This Row],[Day]]="Saturday",SalesData[[#This Row],[Day]]="Sunday"),"Weekend","Weekday")</f>
        <v>Weekday</v>
      </c>
      <c r="AF4701" s="5">
        <f>IF(SalesData[[#This Row],[Contracts Offered]]=0,0,SalesData[[#This Row],[Contracts Signed]]/SalesData[[#This Row],[Contracts Offered]])</f>
        <v>0.23376623376623376</v>
      </c>
      <c r="AG4701" s="5">
        <f>IF(SalesData[[#This Row],[Customers Visited]]=0,0,SalesData[[#This Row],[Test Drives]]/SalesData[[#This Row],[Customers Visited]])</f>
        <v>0.44106463878326996</v>
      </c>
      <c r="AH4701" s="5">
        <f>IF(SalesData[[#This Row],[Customers Visited]]=0,0,SalesData[[#This Row],[Contracts Signed]]/SalesData[[#This Row],[Customers Visited]])</f>
        <v>6.8441064638783272E-2</v>
      </c>
      <c r="AI4701" s="6">
        <f>IF(SalesData[[#This Row],[Contracts Signed]]=0,0,SalesData[[#This Row],[Profit(€)]]/SalesData[[#This Row],[Contracts Signed]])</f>
        <v>2202</v>
      </c>
      <c r="AJ4701" s="5" t="str">
        <f>TRIM(CLEAN(SalesData[[#This Row],[Retailer]]))</f>
        <v>Autohaus Berlin</v>
      </c>
    </row>
    <row r="4702" spans="1:36" ht="14.25" x14ac:dyDescent="0.2">
      <c r="A4702" t="s">
        <v>5977</v>
      </c>
      <c r="B4702" s="1">
        <v>46073</v>
      </c>
      <c r="C4702" t="s">
        <v>62</v>
      </c>
      <c r="D4702" t="s">
        <v>54</v>
      </c>
      <c r="E4702" t="s">
        <v>26</v>
      </c>
      <c r="F4702" t="s">
        <v>43</v>
      </c>
      <c r="G4702" t="s">
        <v>44</v>
      </c>
      <c r="H4702" t="s">
        <v>45</v>
      </c>
      <c r="I4702" t="s">
        <v>30</v>
      </c>
      <c r="J4702" t="s">
        <v>188</v>
      </c>
      <c r="K4702" t="s">
        <v>78</v>
      </c>
      <c r="L4702" t="s">
        <v>33</v>
      </c>
      <c r="M4702" t="s">
        <v>68</v>
      </c>
      <c r="N4702" t="s">
        <v>48</v>
      </c>
      <c r="O4702" t="s">
        <v>70</v>
      </c>
      <c r="P4702" t="s">
        <v>49</v>
      </c>
      <c r="Q4702" t="s">
        <v>50</v>
      </c>
      <c r="R4702">
        <v>146</v>
      </c>
      <c r="S4702">
        <v>86</v>
      </c>
      <c r="T4702">
        <v>64</v>
      </c>
      <c r="U4702">
        <v>20</v>
      </c>
      <c r="V4702" t="s">
        <v>6726</v>
      </c>
      <c r="W4702">
        <v>66537</v>
      </c>
      <c r="X4702" t="s">
        <v>7230</v>
      </c>
      <c r="Y4702">
        <v>48105</v>
      </c>
      <c r="Z4702">
        <v>1330740</v>
      </c>
      <c r="AA4702">
        <v>368640</v>
      </c>
      <c r="AB4702" t="str">
        <f>(VLOOKUP(SalesData[[#This Row],[Month Number]],Reference!C$5:E$16,2,FALSE))</f>
        <v>Feb</v>
      </c>
      <c r="AC4702">
        <f>MONTH(SalesData[[#This Row],[Date]])</f>
        <v>2</v>
      </c>
      <c r="AD4702">
        <f>Reference!F$4</f>
        <v>2026</v>
      </c>
      <c r="AE4702" t="str">
        <f>IF(OR(SalesData[[#This Row],[Day]]="Saturday",SalesData[[#This Row],[Day]]="Sunday"),"Weekend","Weekday")</f>
        <v>Weekday</v>
      </c>
      <c r="AF4702" s="5">
        <f>IF(SalesData[[#This Row],[Contracts Offered]]=0,0,SalesData[[#This Row],[Contracts Signed]]/SalesData[[#This Row],[Contracts Offered]])</f>
        <v>0.3125</v>
      </c>
      <c r="AG4702" s="5">
        <f>IF(SalesData[[#This Row],[Customers Visited]]=0,0,SalesData[[#This Row],[Test Drives]]/SalesData[[#This Row],[Customers Visited]])</f>
        <v>0.58904109589041098</v>
      </c>
      <c r="AH4702" s="5">
        <f>IF(SalesData[[#This Row],[Customers Visited]]=0,0,SalesData[[#This Row],[Contracts Signed]]/SalesData[[#This Row],[Customers Visited]])</f>
        <v>0.13698630136986301</v>
      </c>
      <c r="AI4702" s="6">
        <f>IF(SalesData[[#This Row],[Contracts Signed]]=0,0,SalesData[[#This Row],[Profit(€)]]/SalesData[[#This Row],[Contracts Signed]])</f>
        <v>18432</v>
      </c>
      <c r="AJ4702" s="5" t="str">
        <f>TRIM(CLEAN(SalesData[[#This Row],[Retailer]]))</f>
        <v>Saxon Wheels</v>
      </c>
    </row>
    <row r="4703" spans="1:36" ht="14.25" x14ac:dyDescent="0.2">
      <c r="A4703" t="s">
        <v>5978</v>
      </c>
      <c r="B4703" s="1">
        <v>46054</v>
      </c>
      <c r="C4703" t="s">
        <v>24</v>
      </c>
      <c r="D4703" t="s">
        <v>41</v>
      </c>
      <c r="E4703" t="s">
        <v>42</v>
      </c>
      <c r="F4703" t="s">
        <v>83</v>
      </c>
      <c r="G4703" t="s">
        <v>84</v>
      </c>
      <c r="H4703" t="s">
        <v>85</v>
      </c>
      <c r="I4703" t="s">
        <v>30</v>
      </c>
      <c r="J4703" t="s">
        <v>188</v>
      </c>
      <c r="K4703" t="s">
        <v>32</v>
      </c>
      <c r="L4703" t="s">
        <v>33</v>
      </c>
      <c r="M4703" t="s">
        <v>68</v>
      </c>
      <c r="N4703" t="s">
        <v>69</v>
      </c>
      <c r="O4703" t="s">
        <v>36</v>
      </c>
      <c r="P4703" t="s">
        <v>49</v>
      </c>
      <c r="Q4703" t="s">
        <v>59</v>
      </c>
      <c r="R4703">
        <v>248</v>
      </c>
      <c r="S4703">
        <v>135</v>
      </c>
      <c r="T4703">
        <v>109</v>
      </c>
      <c r="U4703">
        <v>36</v>
      </c>
      <c r="V4703" t="s">
        <v>6388</v>
      </c>
      <c r="W4703">
        <v>69026</v>
      </c>
      <c r="X4703" t="s">
        <v>7309</v>
      </c>
      <c r="Y4703">
        <v>48437</v>
      </c>
      <c r="Z4703">
        <v>2484936</v>
      </c>
      <c r="AA4703">
        <v>741204</v>
      </c>
      <c r="AB4703" t="str">
        <f>(VLOOKUP(SalesData[[#This Row],[Month Number]],Reference!C$5:E$16,2,FALSE))</f>
        <v>Feb</v>
      </c>
      <c r="AC4703">
        <f>MONTH(SalesData[[#This Row],[Date]])</f>
        <v>2</v>
      </c>
      <c r="AD4703">
        <f>Reference!F$4</f>
        <v>2026</v>
      </c>
      <c r="AE4703" t="str">
        <f>IF(OR(SalesData[[#This Row],[Day]]="Saturday",SalesData[[#This Row],[Day]]="Sunday"),"Weekend","Weekday")</f>
        <v>Weekend</v>
      </c>
      <c r="AF4703" s="5">
        <f>IF(SalesData[[#This Row],[Contracts Offered]]=0,0,SalesData[[#This Row],[Contracts Signed]]/SalesData[[#This Row],[Contracts Offered]])</f>
        <v>0.33027522935779818</v>
      </c>
      <c r="AG4703" s="5">
        <f>IF(SalesData[[#This Row],[Customers Visited]]=0,0,SalesData[[#This Row],[Test Drives]]/SalesData[[#This Row],[Customers Visited]])</f>
        <v>0.54435483870967738</v>
      </c>
      <c r="AH4703" s="5">
        <f>IF(SalesData[[#This Row],[Customers Visited]]=0,0,SalesData[[#This Row],[Contracts Signed]]/SalesData[[#This Row],[Customers Visited]])</f>
        <v>0.14516129032258066</v>
      </c>
      <c r="AI4703" s="6">
        <f>IF(SalesData[[#This Row],[Contracts Signed]]=0,0,SalesData[[#This Row],[Profit(€)]]/SalesData[[#This Row],[Contracts Signed]])</f>
        <v>20589</v>
      </c>
      <c r="AJ4703" s="5" t="str">
        <f>TRIM(CLEAN(SalesData[[#This Row],[Retailer]]))</f>
        <v>Hannover Cars</v>
      </c>
    </row>
    <row r="4704" spans="1:36" ht="14.25" hidden="1" x14ac:dyDescent="0.2">
      <c r="A4704" t="s">
        <v>5979</v>
      </c>
      <c r="B4704" s="1">
        <v>46055</v>
      </c>
      <c r="C4704" t="s">
        <v>24</v>
      </c>
      <c r="D4704" t="s">
        <v>25</v>
      </c>
      <c r="E4704" t="s">
        <v>26</v>
      </c>
      <c r="F4704" t="s">
        <v>27</v>
      </c>
      <c r="G4704" t="s">
        <v>28</v>
      </c>
      <c r="H4704" t="s">
        <v>29</v>
      </c>
      <c r="I4704" t="s">
        <v>104</v>
      </c>
      <c r="J4704" t="s">
        <v>7031</v>
      </c>
      <c r="K4704" t="s">
        <v>66</v>
      </c>
      <c r="L4704" t="s">
        <v>46</v>
      </c>
      <c r="M4704" t="s">
        <v>68</v>
      </c>
      <c r="N4704" t="s">
        <v>69</v>
      </c>
      <c r="O4704" t="s">
        <v>36</v>
      </c>
      <c r="P4704" t="s">
        <v>49</v>
      </c>
      <c r="Q4704" t="s">
        <v>240</v>
      </c>
      <c r="R4704">
        <v>496</v>
      </c>
      <c r="S4704">
        <v>244</v>
      </c>
      <c r="T4704">
        <v>151</v>
      </c>
      <c r="U4704">
        <v>35</v>
      </c>
      <c r="V4704" t="s">
        <v>6503</v>
      </c>
      <c r="W4704">
        <v>31985</v>
      </c>
      <c r="X4704" t="s">
        <v>1433</v>
      </c>
      <c r="Y4704">
        <v>27830</v>
      </c>
      <c r="Z4704">
        <v>1119475</v>
      </c>
      <c r="AA4704">
        <v>145425</v>
      </c>
      <c r="AB4704" t="str">
        <f>(VLOOKUP(SalesData[[#This Row],[Month Number]],Reference!C$5:E$16,2,FALSE))</f>
        <v>Feb</v>
      </c>
      <c r="AC4704">
        <f>MONTH(SalesData[[#This Row],[Date]])</f>
        <v>2</v>
      </c>
      <c r="AD4704">
        <f>Reference!F$4</f>
        <v>2026</v>
      </c>
      <c r="AE4704" t="str">
        <f>IF(OR(SalesData[[#This Row],[Day]]="Saturday",SalesData[[#This Row],[Day]]="Sunday"),"Weekend","Weekday")</f>
        <v>Weekday</v>
      </c>
      <c r="AF4704" s="5">
        <f>IF(SalesData[[#This Row],[Contracts Offered]]=0,0,SalesData[[#This Row],[Contracts Signed]]/SalesData[[#This Row],[Contracts Offered]])</f>
        <v>0.23178807947019867</v>
      </c>
      <c r="AG4704" s="5">
        <f>IF(SalesData[[#This Row],[Customers Visited]]=0,0,SalesData[[#This Row],[Test Drives]]/SalesData[[#This Row],[Customers Visited]])</f>
        <v>0.49193548387096775</v>
      </c>
      <c r="AH4704" s="5">
        <f>IF(SalesData[[#This Row],[Customers Visited]]=0,0,SalesData[[#This Row],[Contracts Signed]]/SalesData[[#This Row],[Customers Visited]])</f>
        <v>7.0564516129032265E-2</v>
      </c>
      <c r="AI4704" s="6">
        <f>IF(SalesData[[#This Row],[Contracts Signed]]=0,0,SalesData[[#This Row],[Profit(€)]]/SalesData[[#This Row],[Contracts Signed]])</f>
        <v>4155</v>
      </c>
      <c r="AJ4704" s="5" t="str">
        <f>TRIM(CLEAN(SalesData[[#This Row],[Retailer]]))</f>
        <v>Main Auto Hub</v>
      </c>
    </row>
    <row r="4705" spans="1:36" ht="14.25" x14ac:dyDescent="0.2">
      <c r="A4705" t="s">
        <v>5980</v>
      </c>
      <c r="B4705" s="1">
        <v>46055</v>
      </c>
      <c r="C4705" t="s">
        <v>24</v>
      </c>
      <c r="D4705" t="s">
        <v>25</v>
      </c>
      <c r="E4705" t="s">
        <v>26</v>
      </c>
      <c r="F4705" t="s">
        <v>101</v>
      </c>
      <c r="G4705" t="s">
        <v>102</v>
      </c>
      <c r="H4705" t="s">
        <v>103</v>
      </c>
      <c r="I4705" t="s">
        <v>30</v>
      </c>
      <c r="J4705" t="s">
        <v>31</v>
      </c>
      <c r="K4705" t="s">
        <v>78</v>
      </c>
      <c r="L4705" t="s">
        <v>46</v>
      </c>
      <c r="M4705" t="s">
        <v>47</v>
      </c>
      <c r="N4705" t="s">
        <v>69</v>
      </c>
      <c r="O4705" t="s">
        <v>36</v>
      </c>
      <c r="P4705" t="s">
        <v>71</v>
      </c>
      <c r="Q4705" t="s">
        <v>172</v>
      </c>
      <c r="R4705">
        <v>235</v>
      </c>
      <c r="S4705">
        <v>137</v>
      </c>
      <c r="T4705">
        <v>101</v>
      </c>
      <c r="U4705">
        <v>36</v>
      </c>
      <c r="V4705" t="s">
        <v>6619</v>
      </c>
      <c r="W4705">
        <v>65899</v>
      </c>
      <c r="X4705" t="s">
        <v>7154</v>
      </c>
      <c r="Y4705">
        <v>47846</v>
      </c>
      <c r="Z4705">
        <v>2372364</v>
      </c>
      <c r="AA4705">
        <v>649908</v>
      </c>
      <c r="AB4705" t="str">
        <f>(VLOOKUP(SalesData[[#This Row],[Month Number]],Reference!C$5:E$16,2,FALSE))</f>
        <v>Feb</v>
      </c>
      <c r="AC4705">
        <f>MONTH(SalesData[[#This Row],[Date]])</f>
        <v>2</v>
      </c>
      <c r="AD4705">
        <f>Reference!F$4</f>
        <v>2026</v>
      </c>
      <c r="AE4705" t="str">
        <f>IF(OR(SalesData[[#This Row],[Day]]="Saturday",SalesData[[#This Row],[Day]]="Sunday"),"Weekend","Weekday")</f>
        <v>Weekday</v>
      </c>
      <c r="AF4705" s="5">
        <f>IF(SalesData[[#This Row],[Contracts Offered]]=0,0,SalesData[[#This Row],[Contracts Signed]]/SalesData[[#This Row],[Contracts Offered]])</f>
        <v>0.35643564356435642</v>
      </c>
      <c r="AG4705" s="5">
        <f>IF(SalesData[[#This Row],[Customers Visited]]=0,0,SalesData[[#This Row],[Test Drives]]/SalesData[[#This Row],[Customers Visited]])</f>
        <v>0.58297872340425527</v>
      </c>
      <c r="AH4705" s="5">
        <f>IF(SalesData[[#This Row],[Customers Visited]]=0,0,SalesData[[#This Row],[Contracts Signed]]/SalesData[[#This Row],[Customers Visited]])</f>
        <v>0.15319148936170213</v>
      </c>
      <c r="AI4705" s="6">
        <f>IF(SalesData[[#This Row],[Contracts Signed]]=0,0,SalesData[[#This Row],[Profit(€)]]/SalesData[[#This Row],[Contracts Signed]])</f>
        <v>18053</v>
      </c>
      <c r="AJ4705" s="5" t="str">
        <f>TRIM(CLEAN(SalesData[[#This Row],[Retailer]]))</f>
        <v>Ruhr Auto Plaza</v>
      </c>
    </row>
    <row r="4706" spans="1:36" ht="14.25" hidden="1" x14ac:dyDescent="0.2">
      <c r="A4706" t="s">
        <v>5981</v>
      </c>
      <c r="B4706" s="1">
        <v>46070</v>
      </c>
      <c r="C4706" t="s">
        <v>62</v>
      </c>
      <c r="D4706" t="s">
        <v>63</v>
      </c>
      <c r="E4706" t="s">
        <v>26</v>
      </c>
      <c r="F4706" t="s">
        <v>27</v>
      </c>
      <c r="G4706" t="s">
        <v>28</v>
      </c>
      <c r="H4706" t="s">
        <v>29</v>
      </c>
      <c r="I4706" t="s">
        <v>64</v>
      </c>
      <c r="J4706" t="s">
        <v>7029</v>
      </c>
      <c r="K4706" t="s">
        <v>78</v>
      </c>
      <c r="L4706" t="s">
        <v>33</v>
      </c>
      <c r="M4706" t="s">
        <v>34</v>
      </c>
      <c r="N4706" t="s">
        <v>48</v>
      </c>
      <c r="O4706" t="s">
        <v>70</v>
      </c>
      <c r="P4706" t="s">
        <v>58</v>
      </c>
      <c r="Q4706" t="s">
        <v>169</v>
      </c>
      <c r="R4706">
        <v>188</v>
      </c>
      <c r="S4706">
        <v>98</v>
      </c>
      <c r="T4706">
        <v>75</v>
      </c>
      <c r="U4706">
        <v>26</v>
      </c>
      <c r="V4706" t="s">
        <v>6655</v>
      </c>
      <c r="W4706">
        <v>63987</v>
      </c>
      <c r="X4706" t="s">
        <v>7133</v>
      </c>
      <c r="Y4706">
        <v>50087</v>
      </c>
      <c r="Z4706">
        <v>1663662</v>
      </c>
      <c r="AA4706">
        <v>361400</v>
      </c>
      <c r="AB4706" t="str">
        <f>(VLOOKUP(SalesData[[#This Row],[Month Number]],Reference!C$5:E$16,2,FALSE))</f>
        <v>Feb</v>
      </c>
      <c r="AC4706">
        <f>MONTH(SalesData[[#This Row],[Date]])</f>
        <v>2</v>
      </c>
      <c r="AD4706">
        <f>Reference!F$4</f>
        <v>2026</v>
      </c>
      <c r="AE4706" t="str">
        <f>IF(OR(SalesData[[#This Row],[Day]]="Saturday",SalesData[[#This Row],[Day]]="Sunday"),"Weekend","Weekday")</f>
        <v>Weekday</v>
      </c>
      <c r="AF4706" s="5">
        <f>IF(SalesData[[#This Row],[Contracts Offered]]=0,0,SalesData[[#This Row],[Contracts Signed]]/SalesData[[#This Row],[Contracts Offered]])</f>
        <v>0.34666666666666668</v>
      </c>
      <c r="AG4706" s="5">
        <f>IF(SalesData[[#This Row],[Customers Visited]]=0,0,SalesData[[#This Row],[Test Drives]]/SalesData[[#This Row],[Customers Visited]])</f>
        <v>0.52127659574468088</v>
      </c>
      <c r="AH4706" s="5">
        <f>IF(SalesData[[#This Row],[Customers Visited]]=0,0,SalesData[[#This Row],[Contracts Signed]]/SalesData[[#This Row],[Customers Visited]])</f>
        <v>0.13829787234042554</v>
      </c>
      <c r="AI4706" s="6">
        <f>IF(SalesData[[#This Row],[Contracts Signed]]=0,0,SalesData[[#This Row],[Profit(€)]]/SalesData[[#This Row],[Contracts Signed]])</f>
        <v>13900</v>
      </c>
      <c r="AJ4706" s="5" t="str">
        <f>TRIM(CLEAN(SalesData[[#This Row],[Retailer]]))</f>
        <v>Main Auto Hub</v>
      </c>
    </row>
    <row r="4707" spans="1:36" ht="14.25" x14ac:dyDescent="0.2">
      <c r="A4707" t="s">
        <v>5982</v>
      </c>
      <c r="B4707" s="1">
        <v>46071</v>
      </c>
      <c r="C4707" t="s">
        <v>62</v>
      </c>
      <c r="D4707" t="s">
        <v>82</v>
      </c>
      <c r="E4707" t="s">
        <v>26</v>
      </c>
      <c r="F4707" t="s">
        <v>7649</v>
      </c>
      <c r="G4707" t="s">
        <v>55</v>
      </c>
      <c r="H4707" t="s">
        <v>55</v>
      </c>
      <c r="I4707" t="s">
        <v>30</v>
      </c>
      <c r="J4707" t="s">
        <v>188</v>
      </c>
      <c r="K4707" t="s">
        <v>91</v>
      </c>
      <c r="L4707" t="s">
        <v>33</v>
      </c>
      <c r="M4707" t="s">
        <v>68</v>
      </c>
      <c r="N4707" t="s">
        <v>48</v>
      </c>
      <c r="O4707" t="s">
        <v>70</v>
      </c>
      <c r="P4707" t="s">
        <v>37</v>
      </c>
      <c r="Q4707" t="s">
        <v>347</v>
      </c>
      <c r="R4707">
        <v>172</v>
      </c>
      <c r="S4707">
        <v>103</v>
      </c>
      <c r="T4707">
        <v>78</v>
      </c>
      <c r="U4707">
        <v>27</v>
      </c>
      <c r="V4707" t="s">
        <v>6993</v>
      </c>
      <c r="W4707">
        <v>53659</v>
      </c>
      <c r="X4707" t="s">
        <v>4696</v>
      </c>
      <c r="Y4707">
        <v>39360</v>
      </c>
      <c r="Z4707">
        <v>1448793</v>
      </c>
      <c r="AA4707">
        <v>386073</v>
      </c>
      <c r="AB4707" t="str">
        <f>(VLOOKUP(SalesData[[#This Row],[Month Number]],Reference!C$5:E$16,2,FALSE))</f>
        <v>Feb</v>
      </c>
      <c r="AC4707">
        <f>MONTH(SalesData[[#This Row],[Date]])</f>
        <v>2</v>
      </c>
      <c r="AD4707">
        <f>Reference!F$4</f>
        <v>2026</v>
      </c>
      <c r="AE4707" t="str">
        <f>IF(OR(SalesData[[#This Row],[Day]]="Saturday",SalesData[[#This Row],[Day]]="Sunday"),"Weekend","Weekday")</f>
        <v>Weekday</v>
      </c>
      <c r="AF4707" s="5">
        <f>IF(SalesData[[#This Row],[Contracts Offered]]=0,0,SalesData[[#This Row],[Contracts Signed]]/SalesData[[#This Row],[Contracts Offered]])</f>
        <v>0.34615384615384615</v>
      </c>
      <c r="AG4707" s="5">
        <f>IF(SalesData[[#This Row],[Customers Visited]]=0,0,SalesData[[#This Row],[Test Drives]]/SalesData[[#This Row],[Customers Visited]])</f>
        <v>0.59883720930232553</v>
      </c>
      <c r="AH4707" s="5">
        <f>IF(SalesData[[#This Row],[Customers Visited]]=0,0,SalesData[[#This Row],[Contracts Signed]]/SalesData[[#This Row],[Customers Visited]])</f>
        <v>0.15697674418604651</v>
      </c>
      <c r="AI4707" s="6">
        <f>IF(SalesData[[#This Row],[Contracts Signed]]=0,0,SalesData[[#This Row],[Profit(€)]]/SalesData[[#This Row],[Contracts Signed]])</f>
        <v>14299</v>
      </c>
      <c r="AJ4707" s="5" t="str">
        <f>TRIM(CLEAN(SalesData[[#This Row],[Retailer]]))</f>
        <v>Autohaus Berlin</v>
      </c>
    </row>
    <row r="4708" spans="1:36" ht="14.25" x14ac:dyDescent="0.2">
      <c r="A4708" t="s">
        <v>5983</v>
      </c>
      <c r="B4708" s="1">
        <v>46059</v>
      </c>
      <c r="C4708" t="s">
        <v>24</v>
      </c>
      <c r="D4708" t="s">
        <v>54</v>
      </c>
      <c r="E4708" t="s">
        <v>26</v>
      </c>
      <c r="F4708" t="s">
        <v>7649</v>
      </c>
      <c r="G4708" t="s">
        <v>55</v>
      </c>
      <c r="H4708" t="s">
        <v>55</v>
      </c>
      <c r="I4708" t="s">
        <v>30</v>
      </c>
      <c r="J4708" t="s">
        <v>7075</v>
      </c>
      <c r="K4708" t="s">
        <v>66</v>
      </c>
      <c r="L4708" t="s">
        <v>33</v>
      </c>
      <c r="M4708" t="s">
        <v>68</v>
      </c>
      <c r="N4708" t="s">
        <v>69</v>
      </c>
      <c r="O4708" t="s">
        <v>36</v>
      </c>
      <c r="P4708" t="s">
        <v>71</v>
      </c>
      <c r="Q4708" t="s">
        <v>122</v>
      </c>
      <c r="R4708">
        <v>146</v>
      </c>
      <c r="S4708">
        <v>66</v>
      </c>
      <c r="T4708">
        <v>51</v>
      </c>
      <c r="U4708">
        <v>21</v>
      </c>
      <c r="V4708" t="s">
        <v>7320</v>
      </c>
      <c r="W4708">
        <v>56743</v>
      </c>
      <c r="X4708" t="s">
        <v>7248</v>
      </c>
      <c r="Y4708">
        <v>42479</v>
      </c>
      <c r="Z4708">
        <v>1191603</v>
      </c>
      <c r="AA4708">
        <v>299544</v>
      </c>
      <c r="AB4708" t="str">
        <f>(VLOOKUP(SalesData[[#This Row],[Month Number]],Reference!C$5:E$16,2,FALSE))</f>
        <v>Feb</v>
      </c>
      <c r="AC4708">
        <f>MONTH(SalesData[[#This Row],[Date]])</f>
        <v>2</v>
      </c>
      <c r="AD4708">
        <f>Reference!F$4</f>
        <v>2026</v>
      </c>
      <c r="AE4708" t="str">
        <f>IF(OR(SalesData[[#This Row],[Day]]="Saturday",SalesData[[#This Row],[Day]]="Sunday"),"Weekend","Weekday")</f>
        <v>Weekday</v>
      </c>
      <c r="AF4708" s="5">
        <f>IF(SalesData[[#This Row],[Contracts Offered]]=0,0,SalesData[[#This Row],[Contracts Signed]]/SalesData[[#This Row],[Contracts Offered]])</f>
        <v>0.41176470588235292</v>
      </c>
      <c r="AG4708" s="5">
        <f>IF(SalesData[[#This Row],[Customers Visited]]=0,0,SalesData[[#This Row],[Test Drives]]/SalesData[[#This Row],[Customers Visited]])</f>
        <v>0.45205479452054792</v>
      </c>
      <c r="AH4708" s="5">
        <f>IF(SalesData[[#This Row],[Customers Visited]]=0,0,SalesData[[#This Row],[Contracts Signed]]/SalesData[[#This Row],[Customers Visited]])</f>
        <v>0.14383561643835616</v>
      </c>
      <c r="AI4708" s="6">
        <f>IF(SalesData[[#This Row],[Contracts Signed]]=0,0,SalesData[[#This Row],[Profit(€)]]/SalesData[[#This Row],[Contracts Signed]])</f>
        <v>14264</v>
      </c>
      <c r="AJ4708" s="5" t="str">
        <f>TRIM(CLEAN(SalesData[[#This Row],[Retailer]]))</f>
        <v>Autohaus Berlin</v>
      </c>
    </row>
    <row r="4709" spans="1:36" ht="14.25" hidden="1" x14ac:dyDescent="0.2">
      <c r="A4709" t="s">
        <v>5984</v>
      </c>
      <c r="B4709" s="1">
        <v>46058</v>
      </c>
      <c r="C4709" t="s">
        <v>24</v>
      </c>
      <c r="D4709" t="s">
        <v>100</v>
      </c>
      <c r="E4709" t="s">
        <v>26</v>
      </c>
      <c r="F4709" t="s">
        <v>94</v>
      </c>
      <c r="G4709" t="s">
        <v>95</v>
      </c>
      <c r="H4709" t="s">
        <v>96</v>
      </c>
      <c r="I4709" t="s">
        <v>56</v>
      </c>
      <c r="J4709" t="s">
        <v>97</v>
      </c>
      <c r="K4709" t="s">
        <v>32</v>
      </c>
      <c r="L4709" t="s">
        <v>33</v>
      </c>
      <c r="M4709" t="s">
        <v>34</v>
      </c>
      <c r="N4709" t="s">
        <v>69</v>
      </c>
      <c r="O4709" t="s">
        <v>36</v>
      </c>
      <c r="P4709" t="s">
        <v>58</v>
      </c>
      <c r="Q4709" t="s">
        <v>347</v>
      </c>
      <c r="R4709">
        <v>229</v>
      </c>
      <c r="S4709">
        <v>125</v>
      </c>
      <c r="T4709">
        <v>84</v>
      </c>
      <c r="U4709">
        <v>34</v>
      </c>
      <c r="V4709" t="s">
        <v>6982</v>
      </c>
      <c r="W4709">
        <v>44125</v>
      </c>
      <c r="X4709" t="s">
        <v>196</v>
      </c>
      <c r="Y4709">
        <v>34671</v>
      </c>
      <c r="Z4709">
        <v>1500250</v>
      </c>
      <c r="AA4709">
        <v>321436</v>
      </c>
      <c r="AB4709" t="str">
        <f>(VLOOKUP(SalesData[[#This Row],[Month Number]],Reference!C$5:E$16,2,FALSE))</f>
        <v>Feb</v>
      </c>
      <c r="AC4709">
        <f>MONTH(SalesData[[#This Row],[Date]])</f>
        <v>2</v>
      </c>
      <c r="AD4709">
        <f>Reference!F$4</f>
        <v>2026</v>
      </c>
      <c r="AE4709" t="str">
        <f>IF(OR(SalesData[[#This Row],[Day]]="Saturday",SalesData[[#This Row],[Day]]="Sunday"),"Weekend","Weekday")</f>
        <v>Weekday</v>
      </c>
      <c r="AF4709" s="5">
        <f>IF(SalesData[[#This Row],[Contracts Offered]]=0,0,SalesData[[#This Row],[Contracts Signed]]/SalesData[[#This Row],[Contracts Offered]])</f>
        <v>0.40476190476190477</v>
      </c>
      <c r="AG4709" s="5">
        <f>IF(SalesData[[#This Row],[Customers Visited]]=0,0,SalesData[[#This Row],[Test Drives]]/SalesData[[#This Row],[Customers Visited]])</f>
        <v>0.54585152838427953</v>
      </c>
      <c r="AH4709" s="5">
        <f>IF(SalesData[[#This Row],[Customers Visited]]=0,0,SalesData[[#This Row],[Contracts Signed]]/SalesData[[#This Row],[Customers Visited]])</f>
        <v>0.14847161572052403</v>
      </c>
      <c r="AI4709" s="6">
        <f>IF(SalesData[[#This Row],[Contracts Signed]]=0,0,SalesData[[#This Row],[Profit(€)]]/SalesData[[#This Row],[Contracts Signed]])</f>
        <v>9454</v>
      </c>
      <c r="AJ4709" s="5" t="str">
        <f>TRIM(CLEAN(SalesData[[#This Row],[Retailer]]))</f>
        <v>Bavaria Motors</v>
      </c>
    </row>
    <row r="4710" spans="1:36" ht="14.25" x14ac:dyDescent="0.2">
      <c r="A4710" t="s">
        <v>5985</v>
      </c>
      <c r="B4710" s="1">
        <v>46058</v>
      </c>
      <c r="C4710" t="s">
        <v>24</v>
      </c>
      <c r="D4710" t="s">
        <v>100</v>
      </c>
      <c r="E4710" t="s">
        <v>26</v>
      </c>
      <c r="F4710" t="s">
        <v>74</v>
      </c>
      <c r="G4710" t="s">
        <v>75</v>
      </c>
      <c r="H4710" t="s">
        <v>76</v>
      </c>
      <c r="I4710" t="s">
        <v>30</v>
      </c>
      <c r="J4710" t="s">
        <v>7075</v>
      </c>
      <c r="K4710" t="s">
        <v>78</v>
      </c>
      <c r="L4710" t="s">
        <v>33</v>
      </c>
      <c r="M4710" t="s">
        <v>68</v>
      </c>
      <c r="N4710" t="s">
        <v>48</v>
      </c>
      <c r="O4710" t="s">
        <v>70</v>
      </c>
      <c r="P4710" t="s">
        <v>71</v>
      </c>
      <c r="Q4710" t="s">
        <v>144</v>
      </c>
      <c r="R4710">
        <v>176</v>
      </c>
      <c r="S4710">
        <v>97</v>
      </c>
      <c r="T4710">
        <v>78</v>
      </c>
      <c r="U4710">
        <v>27</v>
      </c>
      <c r="V4710" t="s">
        <v>6566</v>
      </c>
      <c r="W4710">
        <v>63448</v>
      </c>
      <c r="X4710" t="s">
        <v>7528</v>
      </c>
      <c r="Y4710">
        <v>46378</v>
      </c>
      <c r="Z4710">
        <v>1713096</v>
      </c>
      <c r="AA4710">
        <v>460890</v>
      </c>
      <c r="AB4710" t="str">
        <f>(VLOOKUP(SalesData[[#This Row],[Month Number]],Reference!C$5:E$16,2,FALSE))</f>
        <v>Feb</v>
      </c>
      <c r="AC4710">
        <f>MONTH(SalesData[[#This Row],[Date]])</f>
        <v>2</v>
      </c>
      <c r="AD4710">
        <f>Reference!F$4</f>
        <v>2026</v>
      </c>
      <c r="AE4710" t="str">
        <f>IF(OR(SalesData[[#This Row],[Day]]="Saturday",SalesData[[#This Row],[Day]]="Sunday"),"Weekend","Weekday")</f>
        <v>Weekday</v>
      </c>
      <c r="AF4710" s="5">
        <f>IF(SalesData[[#This Row],[Contracts Offered]]=0,0,SalesData[[#This Row],[Contracts Signed]]/SalesData[[#This Row],[Contracts Offered]])</f>
        <v>0.34615384615384615</v>
      </c>
      <c r="AG4710" s="5">
        <f>IF(SalesData[[#This Row],[Customers Visited]]=0,0,SalesData[[#This Row],[Test Drives]]/SalesData[[#This Row],[Customers Visited]])</f>
        <v>0.55113636363636365</v>
      </c>
      <c r="AH4710" s="5">
        <f>IF(SalesData[[#This Row],[Customers Visited]]=0,0,SalesData[[#This Row],[Contracts Signed]]/SalesData[[#This Row],[Customers Visited]])</f>
        <v>0.15340909090909091</v>
      </c>
      <c r="AI4710" s="6">
        <f>IF(SalesData[[#This Row],[Contracts Signed]]=0,0,SalesData[[#This Row],[Profit(€)]]/SalesData[[#This Row],[Contracts Signed]])</f>
        <v>17070</v>
      </c>
      <c r="AJ4710" s="5" t="str">
        <f>TRIM(CLEAN(SalesData[[#This Row],[Retailer]]))</f>
        <v>Stuttgart Auto Center</v>
      </c>
    </row>
    <row r="4711" spans="1:36" ht="14.25" hidden="1" x14ac:dyDescent="0.2">
      <c r="A4711" t="s">
        <v>5986</v>
      </c>
      <c r="B4711" s="1">
        <v>46072</v>
      </c>
      <c r="C4711" t="s">
        <v>62</v>
      </c>
      <c r="D4711" t="s">
        <v>100</v>
      </c>
      <c r="E4711" t="s">
        <v>26</v>
      </c>
      <c r="F4711" t="s">
        <v>101</v>
      </c>
      <c r="G4711" t="s">
        <v>102</v>
      </c>
      <c r="H4711" t="s">
        <v>103</v>
      </c>
      <c r="I4711" t="s">
        <v>64</v>
      </c>
      <c r="J4711" t="s">
        <v>157</v>
      </c>
      <c r="K4711" t="s">
        <v>66</v>
      </c>
      <c r="L4711" t="s">
        <v>33</v>
      </c>
      <c r="M4711" t="s">
        <v>34</v>
      </c>
      <c r="N4711" t="s">
        <v>48</v>
      </c>
      <c r="O4711" t="s">
        <v>36</v>
      </c>
      <c r="P4711" t="s">
        <v>58</v>
      </c>
      <c r="Q4711" t="s">
        <v>189</v>
      </c>
      <c r="R4711">
        <v>280</v>
      </c>
      <c r="S4711">
        <v>124</v>
      </c>
      <c r="T4711">
        <v>94</v>
      </c>
      <c r="U4711">
        <v>35</v>
      </c>
      <c r="V4711" t="s">
        <v>6860</v>
      </c>
      <c r="W4711">
        <v>67408</v>
      </c>
      <c r="X4711" t="s">
        <v>552</v>
      </c>
      <c r="Y4711">
        <v>52988</v>
      </c>
      <c r="Z4711">
        <v>2359280</v>
      </c>
      <c r="AA4711">
        <v>504700</v>
      </c>
      <c r="AB4711" t="str">
        <f>(VLOOKUP(SalesData[[#This Row],[Month Number]],Reference!C$5:E$16,2,FALSE))</f>
        <v>Feb</v>
      </c>
      <c r="AC4711">
        <f>MONTH(SalesData[[#This Row],[Date]])</f>
        <v>2</v>
      </c>
      <c r="AD4711">
        <f>Reference!F$4</f>
        <v>2026</v>
      </c>
      <c r="AE4711" t="str">
        <f>IF(OR(SalesData[[#This Row],[Day]]="Saturday",SalesData[[#This Row],[Day]]="Sunday"),"Weekend","Weekday")</f>
        <v>Weekday</v>
      </c>
      <c r="AF4711" s="5">
        <f>IF(SalesData[[#This Row],[Contracts Offered]]=0,0,SalesData[[#This Row],[Contracts Signed]]/SalesData[[#This Row],[Contracts Offered]])</f>
        <v>0.37234042553191488</v>
      </c>
      <c r="AG4711" s="5">
        <f>IF(SalesData[[#This Row],[Customers Visited]]=0,0,SalesData[[#This Row],[Test Drives]]/SalesData[[#This Row],[Customers Visited]])</f>
        <v>0.44285714285714284</v>
      </c>
      <c r="AH4711" s="5">
        <f>IF(SalesData[[#This Row],[Customers Visited]]=0,0,SalesData[[#This Row],[Contracts Signed]]/SalesData[[#This Row],[Customers Visited]])</f>
        <v>0.125</v>
      </c>
      <c r="AI4711" s="6">
        <f>IF(SalesData[[#This Row],[Contracts Signed]]=0,0,SalesData[[#This Row],[Profit(€)]]/SalesData[[#This Row],[Contracts Signed]])</f>
        <v>14420</v>
      </c>
      <c r="AJ4711" s="5" t="str">
        <f>TRIM(CLEAN(SalesData[[#This Row],[Retailer]]))</f>
        <v>Ruhr Auto Plaza</v>
      </c>
    </row>
    <row r="4712" spans="1:36" ht="14.25" hidden="1" x14ac:dyDescent="0.2">
      <c r="A4712" t="s">
        <v>5987</v>
      </c>
      <c r="B4712" s="1">
        <v>46079</v>
      </c>
      <c r="C4712" t="s">
        <v>53</v>
      </c>
      <c r="D4712" t="s">
        <v>100</v>
      </c>
      <c r="E4712" t="s">
        <v>26</v>
      </c>
      <c r="F4712" t="s">
        <v>43</v>
      </c>
      <c r="G4712" t="s">
        <v>44</v>
      </c>
      <c r="H4712" t="s">
        <v>45</v>
      </c>
      <c r="I4712" t="s">
        <v>64</v>
      </c>
      <c r="J4712" t="s">
        <v>77</v>
      </c>
      <c r="K4712" t="s">
        <v>66</v>
      </c>
      <c r="L4712" t="s">
        <v>46</v>
      </c>
      <c r="M4712" t="s">
        <v>47</v>
      </c>
      <c r="N4712" t="s">
        <v>69</v>
      </c>
      <c r="O4712" t="s">
        <v>70</v>
      </c>
      <c r="P4712" t="s">
        <v>37</v>
      </c>
      <c r="Q4712" t="s">
        <v>152</v>
      </c>
      <c r="R4712">
        <v>245</v>
      </c>
      <c r="S4712">
        <v>124</v>
      </c>
      <c r="T4712">
        <v>93</v>
      </c>
      <c r="U4712">
        <v>26</v>
      </c>
      <c r="V4712" t="s">
        <v>6579</v>
      </c>
      <c r="W4712">
        <v>56940</v>
      </c>
      <c r="X4712" t="s">
        <v>1215</v>
      </c>
      <c r="Y4712">
        <v>41208</v>
      </c>
      <c r="Z4712">
        <v>1480440</v>
      </c>
      <c r="AA4712">
        <v>409032</v>
      </c>
      <c r="AB4712" t="str">
        <f>(VLOOKUP(SalesData[[#This Row],[Month Number]],Reference!C$5:E$16,2,FALSE))</f>
        <v>Feb</v>
      </c>
      <c r="AC4712">
        <f>MONTH(SalesData[[#This Row],[Date]])</f>
        <v>2</v>
      </c>
      <c r="AD4712">
        <f>Reference!F$4</f>
        <v>2026</v>
      </c>
      <c r="AE4712" t="str">
        <f>IF(OR(SalesData[[#This Row],[Day]]="Saturday",SalesData[[#This Row],[Day]]="Sunday"),"Weekend","Weekday")</f>
        <v>Weekday</v>
      </c>
      <c r="AF4712" s="5">
        <f>IF(SalesData[[#This Row],[Contracts Offered]]=0,0,SalesData[[#This Row],[Contracts Signed]]/SalesData[[#This Row],[Contracts Offered]])</f>
        <v>0.27956989247311825</v>
      </c>
      <c r="AG4712" s="5">
        <f>IF(SalesData[[#This Row],[Customers Visited]]=0,0,SalesData[[#This Row],[Test Drives]]/SalesData[[#This Row],[Customers Visited]])</f>
        <v>0.5061224489795918</v>
      </c>
      <c r="AH4712" s="5">
        <f>IF(SalesData[[#This Row],[Customers Visited]]=0,0,SalesData[[#This Row],[Contracts Signed]]/SalesData[[#This Row],[Customers Visited]])</f>
        <v>0.10612244897959183</v>
      </c>
      <c r="AI4712" s="6">
        <f>IF(SalesData[[#This Row],[Contracts Signed]]=0,0,SalesData[[#This Row],[Profit(€)]]/SalesData[[#This Row],[Contracts Signed]])</f>
        <v>15732</v>
      </c>
      <c r="AJ4712" s="5" t="str">
        <f>TRIM(CLEAN(SalesData[[#This Row],[Retailer]]))</f>
        <v>Saxon Wheels</v>
      </c>
    </row>
    <row r="4713" spans="1:36" ht="14.25" hidden="1" x14ac:dyDescent="0.2">
      <c r="A4713" t="s">
        <v>5988</v>
      </c>
      <c r="B4713" s="1">
        <v>46063</v>
      </c>
      <c r="C4713" t="s">
        <v>121</v>
      </c>
      <c r="D4713" t="s">
        <v>63</v>
      </c>
      <c r="E4713" t="s">
        <v>26</v>
      </c>
      <c r="F4713" t="s">
        <v>74</v>
      </c>
      <c r="G4713" t="s">
        <v>75</v>
      </c>
      <c r="H4713" t="s">
        <v>76</v>
      </c>
      <c r="I4713" t="s">
        <v>56</v>
      </c>
      <c r="J4713" t="s">
        <v>57</v>
      </c>
      <c r="K4713" t="s">
        <v>91</v>
      </c>
      <c r="L4713" t="s">
        <v>46</v>
      </c>
      <c r="M4713" t="s">
        <v>87</v>
      </c>
      <c r="N4713" t="s">
        <v>69</v>
      </c>
      <c r="O4713" t="s">
        <v>70</v>
      </c>
      <c r="P4713" t="s">
        <v>71</v>
      </c>
      <c r="Q4713" t="s">
        <v>88</v>
      </c>
      <c r="R4713">
        <v>257</v>
      </c>
      <c r="S4713">
        <v>129</v>
      </c>
      <c r="T4713">
        <v>86</v>
      </c>
      <c r="U4713">
        <v>34</v>
      </c>
      <c r="V4713" t="s">
        <v>6522</v>
      </c>
      <c r="W4713">
        <v>51925</v>
      </c>
      <c r="X4713" t="s">
        <v>3042</v>
      </c>
      <c r="Y4713">
        <v>41080</v>
      </c>
      <c r="Z4713">
        <v>1765450</v>
      </c>
      <c r="AA4713">
        <v>368730</v>
      </c>
      <c r="AB4713" t="str">
        <f>(VLOOKUP(SalesData[[#This Row],[Month Number]],Reference!C$5:E$16,2,FALSE))</f>
        <v>Feb</v>
      </c>
      <c r="AC4713">
        <f>MONTH(SalesData[[#This Row],[Date]])</f>
        <v>2</v>
      </c>
      <c r="AD4713">
        <f>Reference!F$4</f>
        <v>2026</v>
      </c>
      <c r="AE4713" t="str">
        <f>IF(OR(SalesData[[#This Row],[Day]]="Saturday",SalesData[[#This Row],[Day]]="Sunday"),"Weekend","Weekday")</f>
        <v>Weekday</v>
      </c>
      <c r="AF4713" s="5">
        <f>IF(SalesData[[#This Row],[Contracts Offered]]=0,0,SalesData[[#This Row],[Contracts Signed]]/SalesData[[#This Row],[Contracts Offered]])</f>
        <v>0.39534883720930231</v>
      </c>
      <c r="AG4713" s="5">
        <f>IF(SalesData[[#This Row],[Customers Visited]]=0,0,SalesData[[#This Row],[Test Drives]]/SalesData[[#This Row],[Customers Visited]])</f>
        <v>0.50194552529182879</v>
      </c>
      <c r="AH4713" s="5">
        <f>IF(SalesData[[#This Row],[Customers Visited]]=0,0,SalesData[[#This Row],[Contracts Signed]]/SalesData[[#This Row],[Customers Visited]])</f>
        <v>0.13229571984435798</v>
      </c>
      <c r="AI4713" s="6">
        <f>IF(SalesData[[#This Row],[Contracts Signed]]=0,0,SalesData[[#This Row],[Profit(€)]]/SalesData[[#This Row],[Contracts Signed]])</f>
        <v>10845</v>
      </c>
      <c r="AJ4713" s="5" t="str">
        <f>TRIM(CLEAN(SalesData[[#This Row],[Retailer]]))</f>
        <v>Stuttgart Auto Center</v>
      </c>
    </row>
    <row r="4714" spans="1:36" ht="14.25" hidden="1" x14ac:dyDescent="0.2">
      <c r="A4714" t="s">
        <v>5989</v>
      </c>
      <c r="B4714" s="1">
        <v>46080</v>
      </c>
      <c r="C4714" t="s">
        <v>53</v>
      </c>
      <c r="D4714" t="s">
        <v>54</v>
      </c>
      <c r="E4714" t="s">
        <v>26</v>
      </c>
      <c r="F4714" t="s">
        <v>114</v>
      </c>
      <c r="G4714" t="s">
        <v>115</v>
      </c>
      <c r="H4714" t="s">
        <v>115</v>
      </c>
      <c r="I4714" t="s">
        <v>64</v>
      </c>
      <c r="J4714" t="s">
        <v>65</v>
      </c>
      <c r="K4714" t="s">
        <v>66</v>
      </c>
      <c r="L4714" t="s">
        <v>33</v>
      </c>
      <c r="M4714" t="s">
        <v>47</v>
      </c>
      <c r="N4714" t="s">
        <v>69</v>
      </c>
      <c r="O4714" t="s">
        <v>70</v>
      </c>
      <c r="P4714" t="s">
        <v>71</v>
      </c>
      <c r="Q4714" t="s">
        <v>79</v>
      </c>
      <c r="R4714">
        <v>272</v>
      </c>
      <c r="S4714">
        <v>120</v>
      </c>
      <c r="T4714">
        <v>86</v>
      </c>
      <c r="U4714">
        <v>34</v>
      </c>
      <c r="V4714" t="s">
        <v>6949</v>
      </c>
      <c r="W4714">
        <v>52575</v>
      </c>
      <c r="X4714" t="s">
        <v>7472</v>
      </c>
      <c r="Y4714">
        <v>40278</v>
      </c>
      <c r="Z4714">
        <v>1787550</v>
      </c>
      <c r="AA4714">
        <v>418098</v>
      </c>
      <c r="AB4714" t="str">
        <f>(VLOOKUP(SalesData[[#This Row],[Month Number]],Reference!C$5:E$16,2,FALSE))</f>
        <v>Feb</v>
      </c>
      <c r="AC4714">
        <f>MONTH(SalesData[[#This Row],[Date]])</f>
        <v>2</v>
      </c>
      <c r="AD4714">
        <f>Reference!F$4</f>
        <v>2026</v>
      </c>
      <c r="AE4714" t="str">
        <f>IF(OR(SalesData[[#This Row],[Day]]="Saturday",SalesData[[#This Row],[Day]]="Sunday"),"Weekend","Weekday")</f>
        <v>Weekday</v>
      </c>
      <c r="AF4714" s="5">
        <f>IF(SalesData[[#This Row],[Contracts Offered]]=0,0,SalesData[[#This Row],[Contracts Signed]]/SalesData[[#This Row],[Contracts Offered]])</f>
        <v>0.39534883720930231</v>
      </c>
      <c r="AG4714" s="5">
        <f>IF(SalesData[[#This Row],[Customers Visited]]=0,0,SalesData[[#This Row],[Test Drives]]/SalesData[[#This Row],[Customers Visited]])</f>
        <v>0.44117647058823528</v>
      </c>
      <c r="AH4714" s="5">
        <f>IF(SalesData[[#This Row],[Customers Visited]]=0,0,SalesData[[#This Row],[Contracts Signed]]/SalesData[[#This Row],[Customers Visited]])</f>
        <v>0.125</v>
      </c>
      <c r="AI4714" s="6">
        <f>IF(SalesData[[#This Row],[Contracts Signed]]=0,0,SalesData[[#This Row],[Profit(€)]]/SalesData[[#This Row],[Contracts Signed]])</f>
        <v>12297</v>
      </c>
      <c r="AJ4714" s="5" t="str">
        <f>TRIM(CLEAN(SalesData[[#This Row],[Retailer]]))</f>
        <v>Elbe Drive</v>
      </c>
    </row>
    <row r="4715" spans="1:36" ht="14.25" hidden="1" x14ac:dyDescent="0.2">
      <c r="A4715" t="s">
        <v>5990</v>
      </c>
      <c r="B4715" s="1">
        <v>46059</v>
      </c>
      <c r="C4715" t="s">
        <v>24</v>
      </c>
      <c r="D4715" t="s">
        <v>54</v>
      </c>
      <c r="E4715" t="s">
        <v>26</v>
      </c>
      <c r="F4715" t="s">
        <v>127</v>
      </c>
      <c r="G4715" t="s">
        <v>128</v>
      </c>
      <c r="H4715" t="s">
        <v>103</v>
      </c>
      <c r="I4715" t="s">
        <v>104</v>
      </c>
      <c r="J4715" t="s">
        <v>7031</v>
      </c>
      <c r="K4715" t="s">
        <v>91</v>
      </c>
      <c r="L4715" t="s">
        <v>46</v>
      </c>
      <c r="M4715" t="s">
        <v>34</v>
      </c>
      <c r="N4715" t="s">
        <v>48</v>
      </c>
      <c r="O4715" t="s">
        <v>36</v>
      </c>
      <c r="P4715" t="s">
        <v>37</v>
      </c>
      <c r="Q4715" t="s">
        <v>167</v>
      </c>
      <c r="R4715">
        <v>494</v>
      </c>
      <c r="S4715">
        <v>241</v>
      </c>
      <c r="T4715">
        <v>163</v>
      </c>
      <c r="U4715">
        <v>32</v>
      </c>
      <c r="V4715" t="s">
        <v>490</v>
      </c>
      <c r="W4715">
        <v>30670</v>
      </c>
      <c r="X4715" t="s">
        <v>7211</v>
      </c>
      <c r="Y4715">
        <v>27445</v>
      </c>
      <c r="Z4715">
        <v>981440</v>
      </c>
      <c r="AA4715">
        <v>103200</v>
      </c>
      <c r="AB4715" t="str">
        <f>(VLOOKUP(SalesData[[#This Row],[Month Number]],Reference!C$5:E$16,2,FALSE))</f>
        <v>Feb</v>
      </c>
      <c r="AC4715">
        <f>MONTH(SalesData[[#This Row],[Date]])</f>
        <v>2</v>
      </c>
      <c r="AD4715">
        <f>Reference!F$4</f>
        <v>2026</v>
      </c>
      <c r="AE4715" t="str">
        <f>IF(OR(SalesData[[#This Row],[Day]]="Saturday",SalesData[[#This Row],[Day]]="Sunday"),"Weekend","Weekday")</f>
        <v>Weekday</v>
      </c>
      <c r="AF4715" s="5">
        <f>IF(SalesData[[#This Row],[Contracts Offered]]=0,0,SalesData[[#This Row],[Contracts Signed]]/SalesData[[#This Row],[Contracts Offered]])</f>
        <v>0.19631901840490798</v>
      </c>
      <c r="AG4715" s="5">
        <f>IF(SalesData[[#This Row],[Customers Visited]]=0,0,SalesData[[#This Row],[Test Drives]]/SalesData[[#This Row],[Customers Visited]])</f>
        <v>0.48785425101214575</v>
      </c>
      <c r="AH4715" s="5">
        <f>IF(SalesData[[#This Row],[Customers Visited]]=0,0,SalesData[[#This Row],[Contracts Signed]]/SalesData[[#This Row],[Customers Visited]])</f>
        <v>6.4777327935222673E-2</v>
      </c>
      <c r="AI4715" s="6">
        <f>IF(SalesData[[#This Row],[Contracts Signed]]=0,0,SalesData[[#This Row],[Profit(€)]]/SalesData[[#This Row],[Contracts Signed]])</f>
        <v>3225</v>
      </c>
      <c r="AJ4715" s="5" t="str">
        <f>TRIM(CLEAN(SalesData[[#This Row],[Retailer]]))</f>
        <v>Rhein Auto Group</v>
      </c>
    </row>
    <row r="4716" spans="1:36" ht="14.25" hidden="1" x14ac:dyDescent="0.2">
      <c r="A4716" t="s">
        <v>5991</v>
      </c>
      <c r="B4716" s="1">
        <v>46062</v>
      </c>
      <c r="C4716" t="s">
        <v>121</v>
      </c>
      <c r="D4716" t="s">
        <v>25</v>
      </c>
      <c r="E4716" t="s">
        <v>26</v>
      </c>
      <c r="F4716" t="s">
        <v>109</v>
      </c>
      <c r="G4716" t="s">
        <v>110</v>
      </c>
      <c r="H4716" t="s">
        <v>45</v>
      </c>
      <c r="I4716" t="s">
        <v>64</v>
      </c>
      <c r="J4716" t="s">
        <v>77</v>
      </c>
      <c r="K4716" t="s">
        <v>32</v>
      </c>
      <c r="L4716" t="s">
        <v>46</v>
      </c>
      <c r="M4716" t="s">
        <v>34</v>
      </c>
      <c r="N4716" t="s">
        <v>69</v>
      </c>
      <c r="O4716" t="s">
        <v>70</v>
      </c>
      <c r="P4716" t="s">
        <v>37</v>
      </c>
      <c r="Q4716" t="s">
        <v>79</v>
      </c>
      <c r="R4716">
        <v>269</v>
      </c>
      <c r="S4716">
        <v>119</v>
      </c>
      <c r="T4716">
        <v>78</v>
      </c>
      <c r="U4716">
        <v>29</v>
      </c>
      <c r="V4716" t="s">
        <v>6756</v>
      </c>
      <c r="W4716">
        <v>49687</v>
      </c>
      <c r="X4716" t="s">
        <v>2040</v>
      </c>
      <c r="Y4716">
        <v>38337</v>
      </c>
      <c r="Z4716">
        <v>1440923</v>
      </c>
      <c r="AA4716">
        <v>329150</v>
      </c>
      <c r="AB4716" t="str">
        <f>(VLOOKUP(SalesData[[#This Row],[Month Number]],Reference!C$5:E$16,2,FALSE))</f>
        <v>Feb</v>
      </c>
      <c r="AC4716">
        <f>MONTH(SalesData[[#This Row],[Date]])</f>
        <v>2</v>
      </c>
      <c r="AD4716">
        <f>Reference!F$4</f>
        <v>2026</v>
      </c>
      <c r="AE4716" t="str">
        <f>IF(OR(SalesData[[#This Row],[Day]]="Saturday",SalesData[[#This Row],[Day]]="Sunday"),"Weekend","Weekday")</f>
        <v>Weekday</v>
      </c>
      <c r="AF4716" s="5">
        <f>IF(SalesData[[#This Row],[Contracts Offered]]=0,0,SalesData[[#This Row],[Contracts Signed]]/SalesData[[#This Row],[Contracts Offered]])</f>
        <v>0.37179487179487181</v>
      </c>
      <c r="AG4716" s="5">
        <f>IF(SalesData[[#This Row],[Customers Visited]]=0,0,SalesData[[#This Row],[Test Drives]]/SalesData[[#This Row],[Customers Visited]])</f>
        <v>0.44237918215613381</v>
      </c>
      <c r="AH4716" s="5">
        <f>IF(SalesData[[#This Row],[Customers Visited]]=0,0,SalesData[[#This Row],[Contracts Signed]]/SalesData[[#This Row],[Customers Visited]])</f>
        <v>0.10780669144981413</v>
      </c>
      <c r="AI4716" s="6">
        <f>IF(SalesData[[#This Row],[Contracts Signed]]=0,0,SalesData[[#This Row],[Profit(€)]]/SalesData[[#This Row],[Contracts Signed]])</f>
        <v>11350</v>
      </c>
      <c r="AJ4716" s="5" t="str">
        <f>TRIM(CLEAN(SalesData[[#This Row],[Retailer]]))</f>
        <v>Leipzig Mobility</v>
      </c>
    </row>
    <row r="4717" spans="1:36" ht="14.25" hidden="1" x14ac:dyDescent="0.2">
      <c r="A4717" t="s">
        <v>5992</v>
      </c>
      <c r="B4717" s="1">
        <v>46056</v>
      </c>
      <c r="C4717" t="s">
        <v>24</v>
      </c>
      <c r="D4717" t="s">
        <v>63</v>
      </c>
      <c r="E4717" t="s">
        <v>26</v>
      </c>
      <c r="F4717" t="s">
        <v>101</v>
      </c>
      <c r="G4717" t="s">
        <v>102</v>
      </c>
      <c r="H4717" t="s">
        <v>103</v>
      </c>
      <c r="I4717" t="s">
        <v>116</v>
      </c>
      <c r="J4717" t="s">
        <v>132</v>
      </c>
      <c r="K4717" t="s">
        <v>32</v>
      </c>
      <c r="L4717" t="s">
        <v>46</v>
      </c>
      <c r="M4717" t="s">
        <v>47</v>
      </c>
      <c r="N4717" t="s">
        <v>69</v>
      </c>
      <c r="O4717" t="s">
        <v>70</v>
      </c>
      <c r="P4717" t="s">
        <v>49</v>
      </c>
      <c r="Q4717" t="s">
        <v>169</v>
      </c>
      <c r="R4717">
        <v>284</v>
      </c>
      <c r="S4717">
        <v>151</v>
      </c>
      <c r="T4717">
        <v>91</v>
      </c>
      <c r="U4717">
        <v>15</v>
      </c>
      <c r="V4717" t="s">
        <v>435</v>
      </c>
      <c r="W4717">
        <v>25790</v>
      </c>
      <c r="X4717" t="s">
        <v>1608</v>
      </c>
      <c r="Y4717">
        <v>23621</v>
      </c>
      <c r="Z4717">
        <v>386850</v>
      </c>
      <c r="AA4717">
        <v>32535</v>
      </c>
      <c r="AB4717" t="str">
        <f>(VLOOKUP(SalesData[[#This Row],[Month Number]],Reference!C$5:E$16,2,FALSE))</f>
        <v>Feb</v>
      </c>
      <c r="AC4717">
        <f>MONTH(SalesData[[#This Row],[Date]])</f>
        <v>2</v>
      </c>
      <c r="AD4717">
        <f>Reference!F$4</f>
        <v>2026</v>
      </c>
      <c r="AE4717" t="str">
        <f>IF(OR(SalesData[[#This Row],[Day]]="Saturday",SalesData[[#This Row],[Day]]="Sunday"),"Weekend","Weekday")</f>
        <v>Weekday</v>
      </c>
      <c r="AF4717" s="5">
        <f>IF(SalesData[[#This Row],[Contracts Offered]]=0,0,SalesData[[#This Row],[Contracts Signed]]/SalesData[[#This Row],[Contracts Offered]])</f>
        <v>0.16483516483516483</v>
      </c>
      <c r="AG4717" s="5">
        <f>IF(SalesData[[#This Row],[Customers Visited]]=0,0,SalesData[[#This Row],[Test Drives]]/SalesData[[#This Row],[Customers Visited]])</f>
        <v>0.53169014084507038</v>
      </c>
      <c r="AH4717" s="5">
        <f>IF(SalesData[[#This Row],[Customers Visited]]=0,0,SalesData[[#This Row],[Contracts Signed]]/SalesData[[#This Row],[Customers Visited]])</f>
        <v>5.2816901408450703E-2</v>
      </c>
      <c r="AI4717" s="6">
        <f>IF(SalesData[[#This Row],[Contracts Signed]]=0,0,SalesData[[#This Row],[Profit(€)]]/SalesData[[#This Row],[Contracts Signed]])</f>
        <v>2169</v>
      </c>
      <c r="AJ4717" s="5" t="str">
        <f>TRIM(CLEAN(SalesData[[#This Row],[Retailer]]))</f>
        <v>Ruhr Auto Plaza</v>
      </c>
    </row>
    <row r="4718" spans="1:36" ht="14.25" hidden="1" x14ac:dyDescent="0.2">
      <c r="A4718" t="s">
        <v>5993</v>
      </c>
      <c r="B4718" s="1">
        <v>46054</v>
      </c>
      <c r="C4718" t="s">
        <v>24</v>
      </c>
      <c r="D4718" t="s">
        <v>41</v>
      </c>
      <c r="E4718" t="s">
        <v>42</v>
      </c>
      <c r="F4718" t="s">
        <v>109</v>
      </c>
      <c r="G4718" t="s">
        <v>110</v>
      </c>
      <c r="H4718" t="s">
        <v>45</v>
      </c>
      <c r="I4718" t="s">
        <v>56</v>
      </c>
      <c r="J4718" t="s">
        <v>7028</v>
      </c>
      <c r="K4718" t="s">
        <v>32</v>
      </c>
      <c r="L4718" t="s">
        <v>46</v>
      </c>
      <c r="M4718" t="s">
        <v>47</v>
      </c>
      <c r="N4718" t="s">
        <v>35</v>
      </c>
      <c r="O4718" t="s">
        <v>36</v>
      </c>
      <c r="P4718" t="s">
        <v>49</v>
      </c>
      <c r="Q4718" t="s">
        <v>167</v>
      </c>
      <c r="R4718">
        <v>306</v>
      </c>
      <c r="S4718">
        <v>156</v>
      </c>
      <c r="T4718">
        <v>114</v>
      </c>
      <c r="U4718">
        <v>29</v>
      </c>
      <c r="V4718" t="s">
        <v>2719</v>
      </c>
      <c r="W4718">
        <v>47985</v>
      </c>
      <c r="X4718" t="s">
        <v>443</v>
      </c>
      <c r="Y4718">
        <v>38715</v>
      </c>
      <c r="Z4718">
        <v>1391565</v>
      </c>
      <c r="AA4718">
        <v>268830</v>
      </c>
      <c r="AB4718" t="str">
        <f>(VLOOKUP(SalesData[[#This Row],[Month Number]],Reference!C$5:E$16,2,FALSE))</f>
        <v>Feb</v>
      </c>
      <c r="AC4718">
        <f>MONTH(SalesData[[#This Row],[Date]])</f>
        <v>2</v>
      </c>
      <c r="AD4718">
        <f>Reference!F$4</f>
        <v>2026</v>
      </c>
      <c r="AE4718" t="str">
        <f>IF(OR(SalesData[[#This Row],[Day]]="Saturday",SalesData[[#This Row],[Day]]="Sunday"),"Weekend","Weekday")</f>
        <v>Weekend</v>
      </c>
      <c r="AF4718" s="5">
        <f>IF(SalesData[[#This Row],[Contracts Offered]]=0,0,SalesData[[#This Row],[Contracts Signed]]/SalesData[[#This Row],[Contracts Offered]])</f>
        <v>0.25438596491228072</v>
      </c>
      <c r="AG4718" s="5">
        <f>IF(SalesData[[#This Row],[Customers Visited]]=0,0,SalesData[[#This Row],[Test Drives]]/SalesData[[#This Row],[Customers Visited]])</f>
        <v>0.50980392156862742</v>
      </c>
      <c r="AH4718" s="5">
        <f>IF(SalesData[[#This Row],[Customers Visited]]=0,0,SalesData[[#This Row],[Contracts Signed]]/SalesData[[#This Row],[Customers Visited]])</f>
        <v>9.4771241830065356E-2</v>
      </c>
      <c r="AI4718" s="6">
        <f>IF(SalesData[[#This Row],[Contracts Signed]]=0,0,SalesData[[#This Row],[Profit(€)]]/SalesData[[#This Row],[Contracts Signed]])</f>
        <v>9270</v>
      </c>
      <c r="AJ4718" s="5" t="str">
        <f>TRIM(CLEAN(SalesData[[#This Row],[Retailer]]))</f>
        <v>Leipzig Mobility</v>
      </c>
    </row>
    <row r="4719" spans="1:36" ht="14.25" hidden="1" x14ac:dyDescent="0.2">
      <c r="A4719" t="s">
        <v>5995</v>
      </c>
      <c r="B4719" s="1">
        <v>46056</v>
      </c>
      <c r="C4719" t="s">
        <v>24</v>
      </c>
      <c r="D4719" t="s">
        <v>63</v>
      </c>
      <c r="E4719" t="s">
        <v>26</v>
      </c>
      <c r="F4719" t="s">
        <v>101</v>
      </c>
      <c r="G4719" t="s">
        <v>102</v>
      </c>
      <c r="H4719" t="s">
        <v>103</v>
      </c>
      <c r="I4719" t="s">
        <v>64</v>
      </c>
      <c r="J4719" t="s">
        <v>111</v>
      </c>
      <c r="K4719" t="s">
        <v>32</v>
      </c>
      <c r="L4719" t="s">
        <v>46</v>
      </c>
      <c r="M4719" t="s">
        <v>47</v>
      </c>
      <c r="N4719" t="s">
        <v>35</v>
      </c>
      <c r="O4719" t="s">
        <v>70</v>
      </c>
      <c r="P4719" t="s">
        <v>37</v>
      </c>
      <c r="Q4719" t="s">
        <v>158</v>
      </c>
      <c r="R4719">
        <v>267</v>
      </c>
      <c r="S4719">
        <v>127</v>
      </c>
      <c r="T4719">
        <v>86</v>
      </c>
      <c r="U4719">
        <v>26</v>
      </c>
      <c r="V4719" t="s">
        <v>6913</v>
      </c>
      <c r="W4719">
        <v>57710</v>
      </c>
      <c r="X4719" t="s">
        <v>7287</v>
      </c>
      <c r="Y4719">
        <v>42088</v>
      </c>
      <c r="Z4719">
        <v>1500460</v>
      </c>
      <c r="AA4719">
        <v>406172</v>
      </c>
      <c r="AB4719" t="str">
        <f>(VLOOKUP(SalesData[[#This Row],[Month Number]],Reference!C$5:E$16,2,FALSE))</f>
        <v>Feb</v>
      </c>
      <c r="AC4719">
        <f>MONTH(SalesData[[#This Row],[Date]])</f>
        <v>2</v>
      </c>
      <c r="AD4719">
        <f>Reference!F$4</f>
        <v>2026</v>
      </c>
      <c r="AE4719" t="str">
        <f>IF(OR(SalesData[[#This Row],[Day]]="Saturday",SalesData[[#This Row],[Day]]="Sunday"),"Weekend","Weekday")</f>
        <v>Weekday</v>
      </c>
      <c r="AF4719" s="5">
        <f>IF(SalesData[[#This Row],[Contracts Offered]]=0,0,SalesData[[#This Row],[Contracts Signed]]/SalesData[[#This Row],[Contracts Offered]])</f>
        <v>0.30232558139534882</v>
      </c>
      <c r="AG4719" s="5">
        <f>IF(SalesData[[#This Row],[Customers Visited]]=0,0,SalesData[[#This Row],[Test Drives]]/SalesData[[#This Row],[Customers Visited]])</f>
        <v>0.47565543071161048</v>
      </c>
      <c r="AH4719" s="5">
        <f>IF(SalesData[[#This Row],[Customers Visited]]=0,0,SalesData[[#This Row],[Contracts Signed]]/SalesData[[#This Row],[Customers Visited]])</f>
        <v>9.7378277153558054E-2</v>
      </c>
      <c r="AI4719" s="6">
        <f>IF(SalesData[[#This Row],[Contracts Signed]]=0,0,SalesData[[#This Row],[Profit(€)]]/SalesData[[#This Row],[Contracts Signed]])</f>
        <v>15622</v>
      </c>
      <c r="AJ4719" s="5" t="str">
        <f>TRIM(CLEAN(SalesData[[#This Row],[Retailer]]))</f>
        <v>Ruhr Auto Plaza</v>
      </c>
    </row>
    <row r="4720" spans="1:36" ht="14.25" hidden="1" x14ac:dyDescent="0.2">
      <c r="A4720" t="s">
        <v>5996</v>
      </c>
      <c r="B4720" s="1">
        <v>46064</v>
      </c>
      <c r="C4720" t="s">
        <v>121</v>
      </c>
      <c r="D4720" t="s">
        <v>82</v>
      </c>
      <c r="E4720" t="s">
        <v>26</v>
      </c>
      <c r="F4720" t="s">
        <v>127</v>
      </c>
      <c r="G4720" t="s">
        <v>128</v>
      </c>
      <c r="H4720" t="s">
        <v>103</v>
      </c>
      <c r="I4720" t="s">
        <v>64</v>
      </c>
      <c r="J4720" t="s">
        <v>157</v>
      </c>
      <c r="K4720" t="s">
        <v>66</v>
      </c>
      <c r="L4720" t="s">
        <v>33</v>
      </c>
      <c r="M4720" t="s">
        <v>47</v>
      </c>
      <c r="N4720" t="s">
        <v>69</v>
      </c>
      <c r="O4720" t="s">
        <v>36</v>
      </c>
      <c r="P4720" t="s">
        <v>58</v>
      </c>
      <c r="Q4720" t="s">
        <v>88</v>
      </c>
      <c r="R4720">
        <v>163</v>
      </c>
      <c r="S4720">
        <v>78</v>
      </c>
      <c r="T4720">
        <v>54</v>
      </c>
      <c r="U4720">
        <v>23</v>
      </c>
      <c r="V4720" t="s">
        <v>6963</v>
      </c>
      <c r="W4720">
        <v>66059</v>
      </c>
      <c r="X4720" t="s">
        <v>7593</v>
      </c>
      <c r="Y4720">
        <v>51049</v>
      </c>
      <c r="Z4720">
        <v>1519357</v>
      </c>
      <c r="AA4720">
        <v>345230</v>
      </c>
      <c r="AB4720" t="str">
        <f>(VLOOKUP(SalesData[[#This Row],[Month Number]],Reference!C$5:E$16,2,FALSE))</f>
        <v>Feb</v>
      </c>
      <c r="AC4720">
        <f>MONTH(SalesData[[#This Row],[Date]])</f>
        <v>2</v>
      </c>
      <c r="AD4720">
        <f>Reference!F$4</f>
        <v>2026</v>
      </c>
      <c r="AE4720" t="str">
        <f>IF(OR(SalesData[[#This Row],[Day]]="Saturday",SalesData[[#This Row],[Day]]="Sunday"),"Weekend","Weekday")</f>
        <v>Weekday</v>
      </c>
      <c r="AF4720" s="5">
        <f>IF(SalesData[[#This Row],[Contracts Offered]]=0,0,SalesData[[#This Row],[Contracts Signed]]/SalesData[[#This Row],[Contracts Offered]])</f>
        <v>0.42592592592592593</v>
      </c>
      <c r="AG4720" s="5">
        <f>IF(SalesData[[#This Row],[Customers Visited]]=0,0,SalesData[[#This Row],[Test Drives]]/SalesData[[#This Row],[Customers Visited]])</f>
        <v>0.4785276073619632</v>
      </c>
      <c r="AH4720" s="5">
        <f>IF(SalesData[[#This Row],[Customers Visited]]=0,0,SalesData[[#This Row],[Contracts Signed]]/SalesData[[#This Row],[Customers Visited]])</f>
        <v>0.1411042944785276</v>
      </c>
      <c r="AI4720" s="6">
        <f>IF(SalesData[[#This Row],[Contracts Signed]]=0,0,SalesData[[#This Row],[Profit(€)]]/SalesData[[#This Row],[Contracts Signed]])</f>
        <v>15010</v>
      </c>
      <c r="AJ4720" s="5" t="str">
        <f>TRIM(CLEAN(SalesData[[#This Row],[Retailer]]))</f>
        <v>Rhein Auto Group</v>
      </c>
    </row>
    <row r="4721" spans="1:36" ht="14.25" hidden="1" x14ac:dyDescent="0.2">
      <c r="A4721" t="s">
        <v>5997</v>
      </c>
      <c r="B4721" s="1">
        <v>46060</v>
      </c>
      <c r="C4721" t="s">
        <v>24</v>
      </c>
      <c r="D4721" t="s">
        <v>151</v>
      </c>
      <c r="E4721" t="s">
        <v>42</v>
      </c>
      <c r="F4721" t="s">
        <v>74</v>
      </c>
      <c r="G4721" t="s">
        <v>75</v>
      </c>
      <c r="H4721" t="s">
        <v>76</v>
      </c>
      <c r="I4721" t="s">
        <v>64</v>
      </c>
      <c r="J4721" t="s">
        <v>65</v>
      </c>
      <c r="K4721" t="s">
        <v>91</v>
      </c>
      <c r="L4721" t="s">
        <v>33</v>
      </c>
      <c r="M4721" t="s">
        <v>34</v>
      </c>
      <c r="N4721" t="s">
        <v>69</v>
      </c>
      <c r="O4721" t="s">
        <v>36</v>
      </c>
      <c r="P4721" t="s">
        <v>37</v>
      </c>
      <c r="Q4721" t="s">
        <v>189</v>
      </c>
      <c r="R4721">
        <v>153</v>
      </c>
      <c r="S4721">
        <v>85</v>
      </c>
      <c r="T4721">
        <v>59</v>
      </c>
      <c r="U4721">
        <v>21</v>
      </c>
      <c r="V4721" t="s">
        <v>6827</v>
      </c>
      <c r="W4721">
        <v>50902</v>
      </c>
      <c r="X4721" t="s">
        <v>7339</v>
      </c>
      <c r="Y4721">
        <v>37903</v>
      </c>
      <c r="Z4721">
        <v>1068942</v>
      </c>
      <c r="AA4721">
        <v>272979</v>
      </c>
      <c r="AB4721" t="str">
        <f>(VLOOKUP(SalesData[[#This Row],[Month Number]],Reference!C$5:E$16,2,FALSE))</f>
        <v>Feb</v>
      </c>
      <c r="AC4721">
        <f>MONTH(SalesData[[#This Row],[Date]])</f>
        <v>2</v>
      </c>
      <c r="AD4721">
        <f>Reference!F$4</f>
        <v>2026</v>
      </c>
      <c r="AE4721" t="str">
        <f>IF(OR(SalesData[[#This Row],[Day]]="Saturday",SalesData[[#This Row],[Day]]="Sunday"),"Weekend","Weekday")</f>
        <v>Weekend</v>
      </c>
      <c r="AF4721" s="5">
        <f>IF(SalesData[[#This Row],[Contracts Offered]]=0,0,SalesData[[#This Row],[Contracts Signed]]/SalesData[[#This Row],[Contracts Offered]])</f>
        <v>0.3559322033898305</v>
      </c>
      <c r="AG4721" s="5">
        <f>IF(SalesData[[#This Row],[Customers Visited]]=0,0,SalesData[[#This Row],[Test Drives]]/SalesData[[#This Row],[Customers Visited]])</f>
        <v>0.55555555555555558</v>
      </c>
      <c r="AH4721" s="5">
        <f>IF(SalesData[[#This Row],[Customers Visited]]=0,0,SalesData[[#This Row],[Contracts Signed]]/SalesData[[#This Row],[Customers Visited]])</f>
        <v>0.13725490196078433</v>
      </c>
      <c r="AI4721" s="6">
        <f>IF(SalesData[[#This Row],[Contracts Signed]]=0,0,SalesData[[#This Row],[Profit(€)]]/SalesData[[#This Row],[Contracts Signed]])</f>
        <v>12999</v>
      </c>
      <c r="AJ4721" s="5" t="str">
        <f>TRIM(CLEAN(SalesData[[#This Row],[Retailer]]))</f>
        <v>Stuttgart Auto Center</v>
      </c>
    </row>
    <row r="4722" spans="1:36" ht="14.25" hidden="1" x14ac:dyDescent="0.2">
      <c r="A4722" t="s">
        <v>5998</v>
      </c>
      <c r="B4722" s="1">
        <v>46055</v>
      </c>
      <c r="C4722" t="s">
        <v>24</v>
      </c>
      <c r="D4722" t="s">
        <v>25</v>
      </c>
      <c r="E4722" t="s">
        <v>26</v>
      </c>
      <c r="F4722" t="s">
        <v>7649</v>
      </c>
      <c r="G4722" t="s">
        <v>55</v>
      </c>
      <c r="H4722" t="s">
        <v>55</v>
      </c>
      <c r="I4722" t="s">
        <v>64</v>
      </c>
      <c r="J4722" t="s">
        <v>157</v>
      </c>
      <c r="K4722" t="s">
        <v>66</v>
      </c>
      <c r="L4722" t="s">
        <v>33</v>
      </c>
      <c r="M4722" t="s">
        <v>34</v>
      </c>
      <c r="N4722" t="s">
        <v>35</v>
      </c>
      <c r="O4722" t="s">
        <v>36</v>
      </c>
      <c r="P4722" t="s">
        <v>49</v>
      </c>
      <c r="Q4722" t="s">
        <v>122</v>
      </c>
      <c r="R4722">
        <v>249</v>
      </c>
      <c r="S4722">
        <v>121</v>
      </c>
      <c r="T4722">
        <v>94</v>
      </c>
      <c r="U4722">
        <v>29</v>
      </c>
      <c r="V4722" t="s">
        <v>6682</v>
      </c>
      <c r="W4722">
        <v>66329</v>
      </c>
      <c r="X4722" t="s">
        <v>7030</v>
      </c>
      <c r="Y4722">
        <v>51183</v>
      </c>
      <c r="Z4722">
        <v>1923541</v>
      </c>
      <c r="AA4722">
        <v>439234</v>
      </c>
      <c r="AB4722" t="str">
        <f>(VLOOKUP(SalesData[[#This Row],[Month Number]],Reference!C$5:E$16,2,FALSE))</f>
        <v>Feb</v>
      </c>
      <c r="AC4722">
        <f>MONTH(SalesData[[#This Row],[Date]])</f>
        <v>2</v>
      </c>
      <c r="AD4722">
        <f>Reference!F$4</f>
        <v>2026</v>
      </c>
      <c r="AE4722" t="str">
        <f>IF(OR(SalesData[[#This Row],[Day]]="Saturday",SalesData[[#This Row],[Day]]="Sunday"),"Weekend","Weekday")</f>
        <v>Weekday</v>
      </c>
      <c r="AF4722" s="5">
        <f>IF(SalesData[[#This Row],[Contracts Offered]]=0,0,SalesData[[#This Row],[Contracts Signed]]/SalesData[[#This Row],[Contracts Offered]])</f>
        <v>0.30851063829787234</v>
      </c>
      <c r="AG4722" s="5">
        <f>IF(SalesData[[#This Row],[Customers Visited]]=0,0,SalesData[[#This Row],[Test Drives]]/SalesData[[#This Row],[Customers Visited]])</f>
        <v>0.4859437751004016</v>
      </c>
      <c r="AH4722" s="5">
        <f>IF(SalesData[[#This Row],[Customers Visited]]=0,0,SalesData[[#This Row],[Contracts Signed]]/SalesData[[#This Row],[Customers Visited]])</f>
        <v>0.11646586345381527</v>
      </c>
      <c r="AI4722" s="6">
        <f>IF(SalesData[[#This Row],[Contracts Signed]]=0,0,SalesData[[#This Row],[Profit(€)]]/SalesData[[#This Row],[Contracts Signed]])</f>
        <v>15146</v>
      </c>
      <c r="AJ4722" s="5" t="str">
        <f>TRIM(CLEAN(SalesData[[#This Row],[Retailer]]))</f>
        <v>Autohaus Berlin</v>
      </c>
    </row>
    <row r="4723" spans="1:36" ht="14.25" x14ac:dyDescent="0.2">
      <c r="A4723" t="s">
        <v>5999</v>
      </c>
      <c r="B4723" s="1">
        <v>46076</v>
      </c>
      <c r="C4723" t="s">
        <v>53</v>
      </c>
      <c r="D4723" t="s">
        <v>25</v>
      </c>
      <c r="E4723" t="s">
        <v>26</v>
      </c>
      <c r="F4723" t="s">
        <v>94</v>
      </c>
      <c r="G4723" t="s">
        <v>95</v>
      </c>
      <c r="H4723" t="s">
        <v>96</v>
      </c>
      <c r="I4723" t="s">
        <v>30</v>
      </c>
      <c r="J4723" t="s">
        <v>31</v>
      </c>
      <c r="K4723" t="s">
        <v>66</v>
      </c>
      <c r="L4723" t="s">
        <v>46</v>
      </c>
      <c r="M4723" t="s">
        <v>87</v>
      </c>
      <c r="N4723" t="s">
        <v>69</v>
      </c>
      <c r="O4723" t="s">
        <v>36</v>
      </c>
      <c r="P4723" t="s">
        <v>71</v>
      </c>
      <c r="Q4723" t="s">
        <v>118</v>
      </c>
      <c r="R4723">
        <v>165</v>
      </c>
      <c r="S4723">
        <v>85</v>
      </c>
      <c r="T4723">
        <v>64</v>
      </c>
      <c r="U4723">
        <v>28</v>
      </c>
      <c r="V4723" t="s">
        <v>7640</v>
      </c>
      <c r="W4723">
        <v>64036</v>
      </c>
      <c r="X4723" t="s">
        <v>2852</v>
      </c>
      <c r="Y4723">
        <v>49383</v>
      </c>
      <c r="Z4723">
        <v>1793008</v>
      </c>
      <c r="AA4723">
        <v>410284</v>
      </c>
      <c r="AB4723" t="str">
        <f>(VLOOKUP(SalesData[[#This Row],[Month Number]],Reference!C$5:E$16,2,FALSE))</f>
        <v>Feb</v>
      </c>
      <c r="AC4723">
        <f>MONTH(SalesData[[#This Row],[Date]])</f>
        <v>2</v>
      </c>
      <c r="AD4723">
        <f>Reference!F$4</f>
        <v>2026</v>
      </c>
      <c r="AE4723" t="str">
        <f>IF(OR(SalesData[[#This Row],[Day]]="Saturday",SalesData[[#This Row],[Day]]="Sunday"),"Weekend","Weekday")</f>
        <v>Weekday</v>
      </c>
      <c r="AF4723" s="5">
        <f>IF(SalesData[[#This Row],[Contracts Offered]]=0,0,SalesData[[#This Row],[Contracts Signed]]/SalesData[[#This Row],[Contracts Offered]])</f>
        <v>0.4375</v>
      </c>
      <c r="AG4723" s="5">
        <f>IF(SalesData[[#This Row],[Customers Visited]]=0,0,SalesData[[#This Row],[Test Drives]]/SalesData[[#This Row],[Customers Visited]])</f>
        <v>0.51515151515151514</v>
      </c>
      <c r="AH4723" s="5">
        <f>IF(SalesData[[#This Row],[Customers Visited]]=0,0,SalesData[[#This Row],[Contracts Signed]]/SalesData[[#This Row],[Customers Visited]])</f>
        <v>0.16969696969696971</v>
      </c>
      <c r="AI4723" s="6">
        <f>IF(SalesData[[#This Row],[Contracts Signed]]=0,0,SalesData[[#This Row],[Profit(€)]]/SalesData[[#This Row],[Contracts Signed]])</f>
        <v>14653</v>
      </c>
      <c r="AJ4723" s="5" t="str">
        <f>TRIM(CLEAN(SalesData[[#This Row],[Retailer]]))</f>
        <v>Bavaria Motors</v>
      </c>
    </row>
    <row r="4724" spans="1:36" ht="14.25" hidden="1" x14ac:dyDescent="0.2">
      <c r="A4724" t="s">
        <v>6000</v>
      </c>
      <c r="B4724" s="1">
        <v>46060</v>
      </c>
      <c r="C4724" t="s">
        <v>24</v>
      </c>
      <c r="D4724" t="s">
        <v>151</v>
      </c>
      <c r="E4724" t="s">
        <v>42</v>
      </c>
      <c r="F4724" t="s">
        <v>109</v>
      </c>
      <c r="G4724" t="s">
        <v>110</v>
      </c>
      <c r="H4724" t="s">
        <v>45</v>
      </c>
      <c r="I4724" t="s">
        <v>116</v>
      </c>
      <c r="J4724" t="s">
        <v>117</v>
      </c>
      <c r="K4724" t="s">
        <v>66</v>
      </c>
      <c r="L4724" t="s">
        <v>67</v>
      </c>
      <c r="M4724" t="s">
        <v>47</v>
      </c>
      <c r="N4724" t="s">
        <v>69</v>
      </c>
      <c r="O4724" t="s">
        <v>36</v>
      </c>
      <c r="P4724" t="s">
        <v>49</v>
      </c>
      <c r="Q4724" t="s">
        <v>169</v>
      </c>
      <c r="R4724">
        <v>361</v>
      </c>
      <c r="S4724">
        <v>201</v>
      </c>
      <c r="T4724">
        <v>124</v>
      </c>
      <c r="U4724">
        <v>22</v>
      </c>
      <c r="V4724" t="s">
        <v>4732</v>
      </c>
      <c r="W4724">
        <v>22642</v>
      </c>
      <c r="X4724" t="s">
        <v>7550</v>
      </c>
      <c r="Y4724">
        <v>20502</v>
      </c>
      <c r="Z4724">
        <v>498124</v>
      </c>
      <c r="AA4724">
        <v>47080</v>
      </c>
      <c r="AB4724" t="str">
        <f>(VLOOKUP(SalesData[[#This Row],[Month Number]],Reference!C$5:E$16,2,FALSE))</f>
        <v>Feb</v>
      </c>
      <c r="AC4724">
        <f>MONTH(SalesData[[#This Row],[Date]])</f>
        <v>2</v>
      </c>
      <c r="AD4724">
        <f>Reference!F$4</f>
        <v>2026</v>
      </c>
      <c r="AE4724" t="str">
        <f>IF(OR(SalesData[[#This Row],[Day]]="Saturday",SalesData[[#This Row],[Day]]="Sunday"),"Weekend","Weekday")</f>
        <v>Weekend</v>
      </c>
      <c r="AF4724" s="5">
        <f>IF(SalesData[[#This Row],[Contracts Offered]]=0,0,SalesData[[#This Row],[Contracts Signed]]/SalesData[[#This Row],[Contracts Offered]])</f>
        <v>0.17741935483870969</v>
      </c>
      <c r="AG4724" s="5">
        <f>IF(SalesData[[#This Row],[Customers Visited]]=0,0,SalesData[[#This Row],[Test Drives]]/SalesData[[#This Row],[Customers Visited]])</f>
        <v>0.55678670360110805</v>
      </c>
      <c r="AH4724" s="5">
        <f>IF(SalesData[[#This Row],[Customers Visited]]=0,0,SalesData[[#This Row],[Contracts Signed]]/SalesData[[#This Row],[Customers Visited]])</f>
        <v>6.0941828254847646E-2</v>
      </c>
      <c r="AI4724" s="6">
        <f>IF(SalesData[[#This Row],[Contracts Signed]]=0,0,SalesData[[#This Row],[Profit(€)]]/SalesData[[#This Row],[Contracts Signed]])</f>
        <v>2140</v>
      </c>
      <c r="AJ4724" s="5" t="str">
        <f>TRIM(CLEAN(SalesData[[#This Row],[Retailer]]))</f>
        <v>Leipzig Mobility</v>
      </c>
    </row>
    <row r="4725" spans="1:36" ht="14.25" hidden="1" x14ac:dyDescent="0.2">
      <c r="A4725" t="s">
        <v>6001</v>
      </c>
      <c r="B4725" s="1">
        <v>46059</v>
      </c>
      <c r="C4725" t="s">
        <v>24</v>
      </c>
      <c r="D4725" t="s">
        <v>54</v>
      </c>
      <c r="E4725" t="s">
        <v>26</v>
      </c>
      <c r="F4725" t="s">
        <v>27</v>
      </c>
      <c r="G4725" t="s">
        <v>28</v>
      </c>
      <c r="H4725" t="s">
        <v>29</v>
      </c>
      <c r="I4725" t="s">
        <v>104</v>
      </c>
      <c r="J4725" t="s">
        <v>140</v>
      </c>
      <c r="K4725" t="s">
        <v>66</v>
      </c>
      <c r="L4725" t="s">
        <v>46</v>
      </c>
      <c r="M4725" t="s">
        <v>68</v>
      </c>
      <c r="N4725" t="s">
        <v>35</v>
      </c>
      <c r="O4725" t="s">
        <v>70</v>
      </c>
      <c r="P4725" t="s">
        <v>49</v>
      </c>
      <c r="Q4725" t="s">
        <v>88</v>
      </c>
      <c r="R4725">
        <v>514</v>
      </c>
      <c r="S4725">
        <v>278</v>
      </c>
      <c r="T4725">
        <v>181</v>
      </c>
      <c r="U4725">
        <v>37</v>
      </c>
      <c r="V4725" t="s">
        <v>6936</v>
      </c>
      <c r="W4725">
        <v>34299</v>
      </c>
      <c r="X4725" t="s">
        <v>7533</v>
      </c>
      <c r="Y4725">
        <v>31100</v>
      </c>
      <c r="Z4725">
        <v>1269063</v>
      </c>
      <c r="AA4725">
        <v>118363</v>
      </c>
      <c r="AB4725" t="str">
        <f>(VLOOKUP(SalesData[[#This Row],[Month Number]],Reference!C$5:E$16,2,FALSE))</f>
        <v>Feb</v>
      </c>
      <c r="AC4725">
        <f>MONTH(SalesData[[#This Row],[Date]])</f>
        <v>2</v>
      </c>
      <c r="AD4725">
        <f>Reference!F$4</f>
        <v>2026</v>
      </c>
      <c r="AE4725" t="str">
        <f>IF(OR(SalesData[[#This Row],[Day]]="Saturday",SalesData[[#This Row],[Day]]="Sunday"),"Weekend","Weekday")</f>
        <v>Weekday</v>
      </c>
      <c r="AF4725" s="5">
        <f>IF(SalesData[[#This Row],[Contracts Offered]]=0,0,SalesData[[#This Row],[Contracts Signed]]/SalesData[[#This Row],[Contracts Offered]])</f>
        <v>0.20441988950276244</v>
      </c>
      <c r="AG4725" s="5">
        <f>IF(SalesData[[#This Row],[Customers Visited]]=0,0,SalesData[[#This Row],[Test Drives]]/SalesData[[#This Row],[Customers Visited]])</f>
        <v>0.54085603112840464</v>
      </c>
      <c r="AH4725" s="5">
        <f>IF(SalesData[[#This Row],[Customers Visited]]=0,0,SalesData[[#This Row],[Contracts Signed]]/SalesData[[#This Row],[Customers Visited]])</f>
        <v>7.1984435797665364E-2</v>
      </c>
      <c r="AI4725" s="6">
        <f>IF(SalesData[[#This Row],[Contracts Signed]]=0,0,SalesData[[#This Row],[Profit(€)]]/SalesData[[#This Row],[Contracts Signed]])</f>
        <v>3199</v>
      </c>
      <c r="AJ4725" s="5" t="str">
        <f>TRIM(CLEAN(SalesData[[#This Row],[Retailer]]))</f>
        <v>Main Auto Hub</v>
      </c>
    </row>
    <row r="4726" spans="1:36" ht="14.25" hidden="1" x14ac:dyDescent="0.2">
      <c r="A4726" t="s">
        <v>6002</v>
      </c>
      <c r="B4726" s="1">
        <v>46065</v>
      </c>
      <c r="C4726" t="s">
        <v>121</v>
      </c>
      <c r="D4726" t="s">
        <v>100</v>
      </c>
      <c r="E4726" t="s">
        <v>26</v>
      </c>
      <c r="F4726" t="s">
        <v>43</v>
      </c>
      <c r="G4726" t="s">
        <v>44</v>
      </c>
      <c r="H4726" t="s">
        <v>45</v>
      </c>
      <c r="I4726" t="s">
        <v>104</v>
      </c>
      <c r="J4726" t="s">
        <v>7061</v>
      </c>
      <c r="K4726" t="s">
        <v>32</v>
      </c>
      <c r="L4726" t="s">
        <v>46</v>
      </c>
      <c r="M4726" t="s">
        <v>47</v>
      </c>
      <c r="N4726" t="s">
        <v>48</v>
      </c>
      <c r="O4726" t="s">
        <v>70</v>
      </c>
      <c r="P4726" t="s">
        <v>37</v>
      </c>
      <c r="Q4726" t="s">
        <v>50</v>
      </c>
      <c r="R4726">
        <v>518</v>
      </c>
      <c r="S4726">
        <v>257</v>
      </c>
      <c r="T4726">
        <v>154</v>
      </c>
      <c r="U4726">
        <v>34</v>
      </c>
      <c r="V4726" t="s">
        <v>7310</v>
      </c>
      <c r="W4726">
        <v>30441</v>
      </c>
      <c r="X4726" t="s">
        <v>7525</v>
      </c>
      <c r="Y4726">
        <v>26687</v>
      </c>
      <c r="Z4726">
        <v>1034994</v>
      </c>
      <c r="AA4726">
        <v>127636</v>
      </c>
      <c r="AB4726" t="str">
        <f>(VLOOKUP(SalesData[[#This Row],[Month Number]],Reference!C$5:E$16,2,FALSE))</f>
        <v>Feb</v>
      </c>
      <c r="AC4726">
        <f>MONTH(SalesData[[#This Row],[Date]])</f>
        <v>2</v>
      </c>
      <c r="AD4726">
        <f>Reference!F$4</f>
        <v>2026</v>
      </c>
      <c r="AE4726" t="str">
        <f>IF(OR(SalesData[[#This Row],[Day]]="Saturday",SalesData[[#This Row],[Day]]="Sunday"),"Weekend","Weekday")</f>
        <v>Weekday</v>
      </c>
      <c r="AF4726" s="5">
        <f>IF(SalesData[[#This Row],[Contracts Offered]]=0,0,SalesData[[#This Row],[Contracts Signed]]/SalesData[[#This Row],[Contracts Offered]])</f>
        <v>0.22077922077922077</v>
      </c>
      <c r="AG4726" s="5">
        <f>IF(SalesData[[#This Row],[Customers Visited]]=0,0,SalesData[[#This Row],[Test Drives]]/SalesData[[#This Row],[Customers Visited]])</f>
        <v>0.49613899613899615</v>
      </c>
      <c r="AH4726" s="5">
        <f>IF(SalesData[[#This Row],[Customers Visited]]=0,0,SalesData[[#This Row],[Contracts Signed]]/SalesData[[#This Row],[Customers Visited]])</f>
        <v>6.5637065637065631E-2</v>
      </c>
      <c r="AI4726" s="6">
        <f>IF(SalesData[[#This Row],[Contracts Signed]]=0,0,SalesData[[#This Row],[Profit(€)]]/SalesData[[#This Row],[Contracts Signed]])</f>
        <v>3754</v>
      </c>
      <c r="AJ4726" s="5" t="str">
        <f>TRIM(CLEAN(SalesData[[#This Row],[Retailer]]))</f>
        <v>Saxon Wheels</v>
      </c>
    </row>
    <row r="4727" spans="1:36" ht="14.25" x14ac:dyDescent="0.2">
      <c r="A4727" t="s">
        <v>6003</v>
      </c>
      <c r="B4727" s="1">
        <v>46055</v>
      </c>
      <c r="C4727" t="s">
        <v>24</v>
      </c>
      <c r="D4727" t="s">
        <v>25</v>
      </c>
      <c r="E4727" t="s">
        <v>26</v>
      </c>
      <c r="F4727" t="s">
        <v>101</v>
      </c>
      <c r="G4727" t="s">
        <v>102</v>
      </c>
      <c r="H4727" t="s">
        <v>103</v>
      </c>
      <c r="I4727" t="s">
        <v>30</v>
      </c>
      <c r="J4727" t="s">
        <v>166</v>
      </c>
      <c r="K4727" t="s">
        <v>32</v>
      </c>
      <c r="L4727" t="s">
        <v>46</v>
      </c>
      <c r="M4727" t="s">
        <v>87</v>
      </c>
      <c r="N4727" t="s">
        <v>48</v>
      </c>
      <c r="O4727" t="s">
        <v>36</v>
      </c>
      <c r="P4727" t="s">
        <v>49</v>
      </c>
      <c r="Q4727" t="s">
        <v>189</v>
      </c>
      <c r="R4727">
        <v>186</v>
      </c>
      <c r="S4727">
        <v>102</v>
      </c>
      <c r="T4727">
        <v>76</v>
      </c>
      <c r="U4727">
        <v>27</v>
      </c>
      <c r="V4727" t="s">
        <v>6486</v>
      </c>
      <c r="W4727">
        <v>61067</v>
      </c>
      <c r="X4727" t="s">
        <v>7434</v>
      </c>
      <c r="Y4727">
        <v>42898</v>
      </c>
      <c r="Z4727">
        <v>1648809</v>
      </c>
      <c r="AA4727">
        <v>490563</v>
      </c>
      <c r="AB4727" t="str">
        <f>(VLOOKUP(SalesData[[#This Row],[Month Number]],Reference!C$5:E$16,2,FALSE))</f>
        <v>Feb</v>
      </c>
      <c r="AC4727">
        <f>MONTH(SalesData[[#This Row],[Date]])</f>
        <v>2</v>
      </c>
      <c r="AD4727">
        <f>Reference!F$4</f>
        <v>2026</v>
      </c>
      <c r="AE4727" t="str">
        <f>IF(OR(SalesData[[#This Row],[Day]]="Saturday",SalesData[[#This Row],[Day]]="Sunday"),"Weekend","Weekday")</f>
        <v>Weekday</v>
      </c>
      <c r="AF4727" s="5">
        <f>IF(SalesData[[#This Row],[Contracts Offered]]=0,0,SalesData[[#This Row],[Contracts Signed]]/SalesData[[#This Row],[Contracts Offered]])</f>
        <v>0.35526315789473684</v>
      </c>
      <c r="AG4727" s="5">
        <f>IF(SalesData[[#This Row],[Customers Visited]]=0,0,SalesData[[#This Row],[Test Drives]]/SalesData[[#This Row],[Customers Visited]])</f>
        <v>0.54838709677419351</v>
      </c>
      <c r="AH4727" s="5">
        <f>IF(SalesData[[#This Row],[Customers Visited]]=0,0,SalesData[[#This Row],[Contracts Signed]]/SalesData[[#This Row],[Customers Visited]])</f>
        <v>0.14516129032258066</v>
      </c>
      <c r="AI4727" s="6">
        <f>IF(SalesData[[#This Row],[Contracts Signed]]=0,0,SalesData[[#This Row],[Profit(€)]]/SalesData[[#This Row],[Contracts Signed]])</f>
        <v>18169</v>
      </c>
      <c r="AJ4727" s="5" t="str">
        <f>TRIM(CLEAN(SalesData[[#This Row],[Retailer]]))</f>
        <v>Ruhr Auto Plaza</v>
      </c>
    </row>
    <row r="4728" spans="1:36" ht="14.25" hidden="1" x14ac:dyDescent="0.2">
      <c r="A4728" t="s">
        <v>6004</v>
      </c>
      <c r="B4728" s="1">
        <v>46075</v>
      </c>
      <c r="C4728" t="s">
        <v>53</v>
      </c>
      <c r="D4728" t="s">
        <v>41</v>
      </c>
      <c r="E4728" t="s">
        <v>42</v>
      </c>
      <c r="F4728" t="s">
        <v>127</v>
      </c>
      <c r="G4728" t="s">
        <v>128</v>
      </c>
      <c r="H4728" t="s">
        <v>103</v>
      </c>
      <c r="I4728" t="s">
        <v>64</v>
      </c>
      <c r="J4728" t="s">
        <v>7029</v>
      </c>
      <c r="K4728" t="s">
        <v>32</v>
      </c>
      <c r="L4728" t="s">
        <v>33</v>
      </c>
      <c r="M4728" t="s">
        <v>47</v>
      </c>
      <c r="N4728" t="s">
        <v>48</v>
      </c>
      <c r="O4728" t="s">
        <v>70</v>
      </c>
      <c r="P4728" t="s">
        <v>37</v>
      </c>
      <c r="Q4728" t="s">
        <v>50</v>
      </c>
      <c r="R4728">
        <v>179</v>
      </c>
      <c r="S4728">
        <v>81</v>
      </c>
      <c r="T4728">
        <v>62</v>
      </c>
      <c r="U4728">
        <v>18</v>
      </c>
      <c r="V4728" t="s">
        <v>6433</v>
      </c>
      <c r="W4728">
        <v>63894</v>
      </c>
      <c r="X4728" t="s">
        <v>7122</v>
      </c>
      <c r="Y4728">
        <v>49457</v>
      </c>
      <c r="Z4728">
        <v>1150092</v>
      </c>
      <c r="AA4728">
        <v>259866</v>
      </c>
      <c r="AB4728" t="str">
        <f>(VLOOKUP(SalesData[[#This Row],[Month Number]],Reference!C$5:E$16,2,FALSE))</f>
        <v>Feb</v>
      </c>
      <c r="AC4728">
        <f>MONTH(SalesData[[#This Row],[Date]])</f>
        <v>2</v>
      </c>
      <c r="AD4728">
        <f>Reference!F$4</f>
        <v>2026</v>
      </c>
      <c r="AE4728" t="str">
        <f>IF(OR(SalesData[[#This Row],[Day]]="Saturday",SalesData[[#This Row],[Day]]="Sunday"),"Weekend","Weekday")</f>
        <v>Weekend</v>
      </c>
      <c r="AF4728" s="5">
        <f>IF(SalesData[[#This Row],[Contracts Offered]]=0,0,SalesData[[#This Row],[Contracts Signed]]/SalesData[[#This Row],[Contracts Offered]])</f>
        <v>0.29032258064516131</v>
      </c>
      <c r="AG4728" s="5">
        <f>IF(SalesData[[#This Row],[Customers Visited]]=0,0,SalesData[[#This Row],[Test Drives]]/SalesData[[#This Row],[Customers Visited]])</f>
        <v>0.45251396648044695</v>
      </c>
      <c r="AH4728" s="5">
        <f>IF(SalesData[[#This Row],[Customers Visited]]=0,0,SalesData[[#This Row],[Contracts Signed]]/SalesData[[#This Row],[Customers Visited]])</f>
        <v>0.1005586592178771</v>
      </c>
      <c r="AI4728" s="6">
        <f>IF(SalesData[[#This Row],[Contracts Signed]]=0,0,SalesData[[#This Row],[Profit(€)]]/SalesData[[#This Row],[Contracts Signed]])</f>
        <v>14437</v>
      </c>
      <c r="AJ4728" s="5" t="str">
        <f>TRIM(CLEAN(SalesData[[#This Row],[Retailer]]))</f>
        <v>Rhein Auto Group</v>
      </c>
    </row>
    <row r="4729" spans="1:36" ht="14.25" hidden="1" x14ac:dyDescent="0.2">
      <c r="A4729" t="s">
        <v>6005</v>
      </c>
      <c r="B4729" s="1">
        <v>46071</v>
      </c>
      <c r="C4729" t="s">
        <v>62</v>
      </c>
      <c r="D4729" t="s">
        <v>82</v>
      </c>
      <c r="E4729" t="s">
        <v>26</v>
      </c>
      <c r="F4729" t="s">
        <v>7649</v>
      </c>
      <c r="G4729" t="s">
        <v>55</v>
      </c>
      <c r="H4729" t="s">
        <v>55</v>
      </c>
      <c r="I4729" t="s">
        <v>56</v>
      </c>
      <c r="J4729" t="s">
        <v>179</v>
      </c>
      <c r="K4729" t="s">
        <v>66</v>
      </c>
      <c r="L4729" t="s">
        <v>67</v>
      </c>
      <c r="M4729" t="s">
        <v>47</v>
      </c>
      <c r="N4729" t="s">
        <v>69</v>
      </c>
      <c r="O4729" t="s">
        <v>36</v>
      </c>
      <c r="P4729" t="s">
        <v>49</v>
      </c>
      <c r="Q4729" t="s">
        <v>50</v>
      </c>
      <c r="R4729">
        <v>278</v>
      </c>
      <c r="S4729">
        <v>162</v>
      </c>
      <c r="T4729">
        <v>111</v>
      </c>
      <c r="U4729">
        <v>38</v>
      </c>
      <c r="V4729" t="s">
        <v>6743</v>
      </c>
      <c r="W4729">
        <v>45129</v>
      </c>
      <c r="X4729" t="s">
        <v>92</v>
      </c>
      <c r="Y4729">
        <v>33904</v>
      </c>
      <c r="Z4729">
        <v>1714902</v>
      </c>
      <c r="AA4729">
        <v>426550</v>
      </c>
      <c r="AB4729" t="str">
        <f>(VLOOKUP(SalesData[[#This Row],[Month Number]],Reference!C$5:E$16,2,FALSE))</f>
        <v>Feb</v>
      </c>
      <c r="AC4729">
        <f>MONTH(SalesData[[#This Row],[Date]])</f>
        <v>2</v>
      </c>
      <c r="AD4729">
        <f>Reference!F$4</f>
        <v>2026</v>
      </c>
      <c r="AE4729" t="str">
        <f>IF(OR(SalesData[[#This Row],[Day]]="Saturday",SalesData[[#This Row],[Day]]="Sunday"),"Weekend","Weekday")</f>
        <v>Weekday</v>
      </c>
      <c r="AF4729" s="5">
        <f>IF(SalesData[[#This Row],[Contracts Offered]]=0,0,SalesData[[#This Row],[Contracts Signed]]/SalesData[[#This Row],[Contracts Offered]])</f>
        <v>0.34234234234234234</v>
      </c>
      <c r="AG4729" s="5">
        <f>IF(SalesData[[#This Row],[Customers Visited]]=0,0,SalesData[[#This Row],[Test Drives]]/SalesData[[#This Row],[Customers Visited]])</f>
        <v>0.58273381294964033</v>
      </c>
      <c r="AH4729" s="5">
        <f>IF(SalesData[[#This Row],[Customers Visited]]=0,0,SalesData[[#This Row],[Contracts Signed]]/SalesData[[#This Row],[Customers Visited]])</f>
        <v>0.1366906474820144</v>
      </c>
      <c r="AI4729" s="6">
        <f>IF(SalesData[[#This Row],[Contracts Signed]]=0,0,SalesData[[#This Row],[Profit(€)]]/SalesData[[#This Row],[Contracts Signed]])</f>
        <v>11225</v>
      </c>
      <c r="AJ4729" s="5" t="str">
        <f>TRIM(CLEAN(SalesData[[#This Row],[Retailer]]))</f>
        <v>Autohaus Berlin</v>
      </c>
    </row>
    <row r="4730" spans="1:36" ht="14.25" hidden="1" x14ac:dyDescent="0.2">
      <c r="A4730" t="s">
        <v>6006</v>
      </c>
      <c r="B4730" s="1">
        <v>46079</v>
      </c>
      <c r="C4730" t="s">
        <v>53</v>
      </c>
      <c r="D4730" t="s">
        <v>100</v>
      </c>
      <c r="E4730" t="s">
        <v>26</v>
      </c>
      <c r="F4730" t="s">
        <v>109</v>
      </c>
      <c r="G4730" t="s">
        <v>110</v>
      </c>
      <c r="H4730" t="s">
        <v>45</v>
      </c>
      <c r="I4730" t="s">
        <v>116</v>
      </c>
      <c r="J4730" t="s">
        <v>132</v>
      </c>
      <c r="K4730" t="s">
        <v>91</v>
      </c>
      <c r="L4730" t="s">
        <v>46</v>
      </c>
      <c r="M4730" t="s">
        <v>68</v>
      </c>
      <c r="N4730" t="s">
        <v>35</v>
      </c>
      <c r="O4730" t="s">
        <v>36</v>
      </c>
      <c r="P4730" t="s">
        <v>58</v>
      </c>
      <c r="Q4730" t="s">
        <v>240</v>
      </c>
      <c r="R4730">
        <v>378</v>
      </c>
      <c r="S4730">
        <v>148</v>
      </c>
      <c r="T4730">
        <v>99</v>
      </c>
      <c r="U4730">
        <v>28</v>
      </c>
      <c r="V4730" t="s">
        <v>375</v>
      </c>
      <c r="W4730">
        <v>21935</v>
      </c>
      <c r="X4730" t="s">
        <v>199</v>
      </c>
      <c r="Y4730">
        <v>19702</v>
      </c>
      <c r="Z4730">
        <v>614180</v>
      </c>
      <c r="AA4730">
        <v>62524</v>
      </c>
      <c r="AB4730" t="str">
        <f>(VLOOKUP(SalesData[[#This Row],[Month Number]],Reference!C$5:E$16,2,FALSE))</f>
        <v>Feb</v>
      </c>
      <c r="AC4730">
        <f>MONTH(SalesData[[#This Row],[Date]])</f>
        <v>2</v>
      </c>
      <c r="AD4730">
        <f>Reference!F$4</f>
        <v>2026</v>
      </c>
      <c r="AE4730" t="str">
        <f>IF(OR(SalesData[[#This Row],[Day]]="Saturday",SalesData[[#This Row],[Day]]="Sunday"),"Weekend","Weekday")</f>
        <v>Weekday</v>
      </c>
      <c r="AF4730" s="5">
        <f>IF(SalesData[[#This Row],[Contracts Offered]]=0,0,SalesData[[#This Row],[Contracts Signed]]/SalesData[[#This Row],[Contracts Offered]])</f>
        <v>0.28282828282828282</v>
      </c>
      <c r="AG4730" s="5">
        <f>IF(SalesData[[#This Row],[Customers Visited]]=0,0,SalesData[[#This Row],[Test Drives]]/SalesData[[#This Row],[Customers Visited]])</f>
        <v>0.39153439153439151</v>
      </c>
      <c r="AH4730" s="5">
        <f>IF(SalesData[[#This Row],[Customers Visited]]=0,0,SalesData[[#This Row],[Contracts Signed]]/SalesData[[#This Row],[Customers Visited]])</f>
        <v>7.407407407407407E-2</v>
      </c>
      <c r="AI4730" s="6">
        <f>IF(SalesData[[#This Row],[Contracts Signed]]=0,0,SalesData[[#This Row],[Profit(€)]]/SalesData[[#This Row],[Contracts Signed]])</f>
        <v>2233</v>
      </c>
      <c r="AJ4730" s="5" t="str">
        <f>TRIM(CLEAN(SalesData[[#This Row],[Retailer]]))</f>
        <v>Leipzig Mobility</v>
      </c>
    </row>
    <row r="4731" spans="1:36" ht="14.25" hidden="1" x14ac:dyDescent="0.2">
      <c r="A4731" t="s">
        <v>6007</v>
      </c>
      <c r="B4731" s="1">
        <v>46072</v>
      </c>
      <c r="C4731" t="s">
        <v>62</v>
      </c>
      <c r="D4731" t="s">
        <v>100</v>
      </c>
      <c r="E4731" t="s">
        <v>26</v>
      </c>
      <c r="F4731" t="s">
        <v>109</v>
      </c>
      <c r="G4731" t="s">
        <v>110</v>
      </c>
      <c r="H4731" t="s">
        <v>45</v>
      </c>
      <c r="I4731" t="s">
        <v>116</v>
      </c>
      <c r="J4731" t="s">
        <v>132</v>
      </c>
      <c r="K4731" t="s">
        <v>32</v>
      </c>
      <c r="L4731" t="s">
        <v>46</v>
      </c>
      <c r="M4731" t="s">
        <v>47</v>
      </c>
      <c r="N4731" t="s">
        <v>35</v>
      </c>
      <c r="O4731" t="s">
        <v>70</v>
      </c>
      <c r="P4731" t="s">
        <v>37</v>
      </c>
      <c r="Q4731" t="s">
        <v>152</v>
      </c>
      <c r="R4731">
        <v>261</v>
      </c>
      <c r="S4731">
        <v>106</v>
      </c>
      <c r="T4731">
        <v>67</v>
      </c>
      <c r="U4731">
        <v>11</v>
      </c>
      <c r="V4731" t="s">
        <v>1084</v>
      </c>
      <c r="W4731">
        <v>25748</v>
      </c>
      <c r="X4731" t="s">
        <v>1237</v>
      </c>
      <c r="Y4731">
        <v>23223</v>
      </c>
      <c r="Z4731">
        <v>283228</v>
      </c>
      <c r="AA4731">
        <v>27775</v>
      </c>
      <c r="AB4731" t="str">
        <f>(VLOOKUP(SalesData[[#This Row],[Month Number]],Reference!C$5:E$16,2,FALSE))</f>
        <v>Feb</v>
      </c>
      <c r="AC4731">
        <f>MONTH(SalesData[[#This Row],[Date]])</f>
        <v>2</v>
      </c>
      <c r="AD4731">
        <f>Reference!F$4</f>
        <v>2026</v>
      </c>
      <c r="AE4731" t="str">
        <f>IF(OR(SalesData[[#This Row],[Day]]="Saturday",SalesData[[#This Row],[Day]]="Sunday"),"Weekend","Weekday")</f>
        <v>Weekday</v>
      </c>
      <c r="AF4731" s="5">
        <f>IF(SalesData[[#This Row],[Contracts Offered]]=0,0,SalesData[[#This Row],[Contracts Signed]]/SalesData[[#This Row],[Contracts Offered]])</f>
        <v>0.16417910447761194</v>
      </c>
      <c r="AG4731" s="5">
        <f>IF(SalesData[[#This Row],[Customers Visited]]=0,0,SalesData[[#This Row],[Test Drives]]/SalesData[[#This Row],[Customers Visited]])</f>
        <v>0.4061302681992337</v>
      </c>
      <c r="AH4731" s="5">
        <f>IF(SalesData[[#This Row],[Customers Visited]]=0,0,SalesData[[#This Row],[Contracts Signed]]/SalesData[[#This Row],[Customers Visited]])</f>
        <v>4.2145593869731802E-2</v>
      </c>
      <c r="AI4731" s="6">
        <f>IF(SalesData[[#This Row],[Contracts Signed]]=0,0,SalesData[[#This Row],[Profit(€)]]/SalesData[[#This Row],[Contracts Signed]])</f>
        <v>2525</v>
      </c>
      <c r="AJ4731" s="5" t="str">
        <f>TRIM(CLEAN(SalesData[[#This Row],[Retailer]]))</f>
        <v>Leipzig Mobility</v>
      </c>
    </row>
    <row r="4732" spans="1:36" ht="14.25" x14ac:dyDescent="0.2">
      <c r="A4732" t="s">
        <v>6008</v>
      </c>
      <c r="B4732" s="1">
        <v>46056</v>
      </c>
      <c r="C4732" t="s">
        <v>24</v>
      </c>
      <c r="D4732" t="s">
        <v>63</v>
      </c>
      <c r="E4732" t="s">
        <v>26</v>
      </c>
      <c r="F4732" t="s">
        <v>83</v>
      </c>
      <c r="G4732" t="s">
        <v>84</v>
      </c>
      <c r="H4732" t="s">
        <v>85</v>
      </c>
      <c r="I4732" t="s">
        <v>30</v>
      </c>
      <c r="J4732" t="s">
        <v>166</v>
      </c>
      <c r="K4732" t="s">
        <v>32</v>
      </c>
      <c r="L4732" t="s">
        <v>46</v>
      </c>
      <c r="M4732" t="s">
        <v>34</v>
      </c>
      <c r="N4732" t="s">
        <v>48</v>
      </c>
      <c r="O4732" t="s">
        <v>36</v>
      </c>
      <c r="P4732" t="s">
        <v>37</v>
      </c>
      <c r="Q4732" t="s">
        <v>50</v>
      </c>
      <c r="R4732">
        <v>238</v>
      </c>
      <c r="S4732">
        <v>141</v>
      </c>
      <c r="T4732">
        <v>104</v>
      </c>
      <c r="U4732">
        <v>40</v>
      </c>
      <c r="V4732" t="s">
        <v>6679</v>
      </c>
      <c r="W4732">
        <v>58972</v>
      </c>
      <c r="X4732" t="s">
        <v>3288</v>
      </c>
      <c r="Y4732">
        <v>45944</v>
      </c>
      <c r="Z4732">
        <v>2358880</v>
      </c>
      <c r="AA4732">
        <v>521120</v>
      </c>
      <c r="AB4732" t="str">
        <f>(VLOOKUP(SalesData[[#This Row],[Month Number]],Reference!C$5:E$16,2,FALSE))</f>
        <v>Feb</v>
      </c>
      <c r="AC4732">
        <f>MONTH(SalesData[[#This Row],[Date]])</f>
        <v>2</v>
      </c>
      <c r="AD4732">
        <f>Reference!F$4</f>
        <v>2026</v>
      </c>
      <c r="AE4732" t="str">
        <f>IF(OR(SalesData[[#This Row],[Day]]="Saturday",SalesData[[#This Row],[Day]]="Sunday"),"Weekend","Weekday")</f>
        <v>Weekday</v>
      </c>
      <c r="AF4732" s="5">
        <f>IF(SalesData[[#This Row],[Contracts Offered]]=0,0,SalesData[[#This Row],[Contracts Signed]]/SalesData[[#This Row],[Contracts Offered]])</f>
        <v>0.38461538461538464</v>
      </c>
      <c r="AG4732" s="5">
        <f>IF(SalesData[[#This Row],[Customers Visited]]=0,0,SalesData[[#This Row],[Test Drives]]/SalesData[[#This Row],[Customers Visited]])</f>
        <v>0.59243697478991597</v>
      </c>
      <c r="AH4732" s="5">
        <f>IF(SalesData[[#This Row],[Customers Visited]]=0,0,SalesData[[#This Row],[Contracts Signed]]/SalesData[[#This Row],[Customers Visited]])</f>
        <v>0.16806722689075632</v>
      </c>
      <c r="AI4732" s="6">
        <f>IF(SalesData[[#This Row],[Contracts Signed]]=0,0,SalesData[[#This Row],[Profit(€)]]/SalesData[[#This Row],[Contracts Signed]])</f>
        <v>13028</v>
      </c>
      <c r="AJ4732" s="5" t="str">
        <f>TRIM(CLEAN(SalesData[[#This Row],[Retailer]]))</f>
        <v>Hannover Cars</v>
      </c>
    </row>
    <row r="4733" spans="1:36" ht="14.25" hidden="1" x14ac:dyDescent="0.2">
      <c r="A4733" t="s">
        <v>6009</v>
      </c>
      <c r="B4733" s="1">
        <v>46066</v>
      </c>
      <c r="C4733" t="s">
        <v>121</v>
      </c>
      <c r="D4733" t="s">
        <v>54</v>
      </c>
      <c r="E4733" t="s">
        <v>26</v>
      </c>
      <c r="F4733" t="s">
        <v>74</v>
      </c>
      <c r="G4733" t="s">
        <v>75</v>
      </c>
      <c r="H4733" t="s">
        <v>76</v>
      </c>
      <c r="I4733" t="s">
        <v>116</v>
      </c>
      <c r="J4733" t="s">
        <v>203</v>
      </c>
      <c r="K4733" t="s">
        <v>66</v>
      </c>
      <c r="L4733" t="s">
        <v>67</v>
      </c>
      <c r="M4733" t="s">
        <v>87</v>
      </c>
      <c r="N4733" t="s">
        <v>35</v>
      </c>
      <c r="O4733" t="s">
        <v>70</v>
      </c>
      <c r="P4733" t="s">
        <v>58</v>
      </c>
      <c r="Q4733" t="s">
        <v>169</v>
      </c>
      <c r="R4733">
        <v>235</v>
      </c>
      <c r="S4733">
        <v>112</v>
      </c>
      <c r="T4733">
        <v>74</v>
      </c>
      <c r="U4733">
        <v>21</v>
      </c>
      <c r="V4733" t="s">
        <v>729</v>
      </c>
      <c r="W4733">
        <v>25017</v>
      </c>
      <c r="X4733" t="s">
        <v>7545</v>
      </c>
      <c r="Y4733">
        <v>22545</v>
      </c>
      <c r="Z4733">
        <v>525357</v>
      </c>
      <c r="AA4733">
        <v>51912</v>
      </c>
      <c r="AB4733" t="str">
        <f>(VLOOKUP(SalesData[[#This Row],[Month Number]],Reference!C$5:E$16,2,FALSE))</f>
        <v>Feb</v>
      </c>
      <c r="AC4733">
        <f>MONTH(SalesData[[#This Row],[Date]])</f>
        <v>2</v>
      </c>
      <c r="AD4733">
        <f>Reference!F$4</f>
        <v>2026</v>
      </c>
      <c r="AE4733" t="str">
        <f>IF(OR(SalesData[[#This Row],[Day]]="Saturday",SalesData[[#This Row],[Day]]="Sunday"),"Weekend","Weekday")</f>
        <v>Weekday</v>
      </c>
      <c r="AF4733" s="5">
        <f>IF(SalesData[[#This Row],[Contracts Offered]]=0,0,SalesData[[#This Row],[Contracts Signed]]/SalesData[[#This Row],[Contracts Offered]])</f>
        <v>0.28378378378378377</v>
      </c>
      <c r="AG4733" s="5">
        <f>IF(SalesData[[#This Row],[Customers Visited]]=0,0,SalesData[[#This Row],[Test Drives]]/SalesData[[#This Row],[Customers Visited]])</f>
        <v>0.47659574468085109</v>
      </c>
      <c r="AH4733" s="5">
        <f>IF(SalesData[[#This Row],[Customers Visited]]=0,0,SalesData[[#This Row],[Contracts Signed]]/SalesData[[#This Row],[Customers Visited]])</f>
        <v>8.9361702127659579E-2</v>
      </c>
      <c r="AI4733" s="6">
        <f>IF(SalesData[[#This Row],[Contracts Signed]]=0,0,SalesData[[#This Row],[Profit(€)]]/SalesData[[#This Row],[Contracts Signed]])</f>
        <v>2472</v>
      </c>
      <c r="AJ4733" s="5" t="str">
        <f>TRIM(CLEAN(SalesData[[#This Row],[Retailer]]))</f>
        <v>Stuttgart Auto Center</v>
      </c>
    </row>
    <row r="4734" spans="1:36" ht="14.25" hidden="1" x14ac:dyDescent="0.2">
      <c r="A4734" t="s">
        <v>6010</v>
      </c>
      <c r="B4734" s="1">
        <v>46056</v>
      </c>
      <c r="C4734" t="s">
        <v>24</v>
      </c>
      <c r="D4734" t="s">
        <v>63</v>
      </c>
      <c r="E4734" t="s">
        <v>26</v>
      </c>
      <c r="F4734" t="s">
        <v>101</v>
      </c>
      <c r="G4734" t="s">
        <v>102</v>
      </c>
      <c r="H4734" t="s">
        <v>103</v>
      </c>
      <c r="I4734" t="s">
        <v>64</v>
      </c>
      <c r="J4734" t="s">
        <v>77</v>
      </c>
      <c r="K4734" t="s">
        <v>32</v>
      </c>
      <c r="L4734" t="s">
        <v>46</v>
      </c>
      <c r="M4734" t="s">
        <v>34</v>
      </c>
      <c r="N4734" t="s">
        <v>48</v>
      </c>
      <c r="O4734" t="s">
        <v>70</v>
      </c>
      <c r="P4734" t="s">
        <v>71</v>
      </c>
      <c r="Q4734" t="s">
        <v>135</v>
      </c>
      <c r="R4734">
        <v>274</v>
      </c>
      <c r="S4734">
        <v>144</v>
      </c>
      <c r="T4734">
        <v>97</v>
      </c>
      <c r="U4734">
        <v>35</v>
      </c>
      <c r="V4734" t="s">
        <v>6495</v>
      </c>
      <c r="W4734">
        <v>49969</v>
      </c>
      <c r="X4734" t="s">
        <v>7544</v>
      </c>
      <c r="Y4734">
        <v>37227</v>
      </c>
      <c r="Z4734">
        <v>1748915</v>
      </c>
      <c r="AA4734">
        <v>445970</v>
      </c>
      <c r="AB4734" t="str">
        <f>(VLOOKUP(SalesData[[#This Row],[Month Number]],Reference!C$5:E$16,2,FALSE))</f>
        <v>Feb</v>
      </c>
      <c r="AC4734">
        <f>MONTH(SalesData[[#This Row],[Date]])</f>
        <v>2</v>
      </c>
      <c r="AD4734">
        <f>Reference!F$4</f>
        <v>2026</v>
      </c>
      <c r="AE4734" t="str">
        <f>IF(OR(SalesData[[#This Row],[Day]]="Saturday",SalesData[[#This Row],[Day]]="Sunday"),"Weekend","Weekday")</f>
        <v>Weekday</v>
      </c>
      <c r="AF4734" s="5">
        <f>IF(SalesData[[#This Row],[Contracts Offered]]=0,0,SalesData[[#This Row],[Contracts Signed]]/SalesData[[#This Row],[Contracts Offered]])</f>
        <v>0.36082474226804123</v>
      </c>
      <c r="AG4734" s="5">
        <f>IF(SalesData[[#This Row],[Customers Visited]]=0,0,SalesData[[#This Row],[Test Drives]]/SalesData[[#This Row],[Customers Visited]])</f>
        <v>0.52554744525547448</v>
      </c>
      <c r="AH4734" s="5">
        <f>IF(SalesData[[#This Row],[Customers Visited]]=0,0,SalesData[[#This Row],[Contracts Signed]]/SalesData[[#This Row],[Customers Visited]])</f>
        <v>0.12773722627737227</v>
      </c>
      <c r="AI4734" s="6">
        <f>IF(SalesData[[#This Row],[Contracts Signed]]=0,0,SalesData[[#This Row],[Profit(€)]]/SalesData[[#This Row],[Contracts Signed]])</f>
        <v>12742</v>
      </c>
      <c r="AJ4734" s="5" t="str">
        <f>TRIM(CLEAN(SalesData[[#This Row],[Retailer]]))</f>
        <v>Ruhr Auto Plaza</v>
      </c>
    </row>
    <row r="4735" spans="1:36" ht="14.25" hidden="1" x14ac:dyDescent="0.2">
      <c r="A4735" t="s">
        <v>6011</v>
      </c>
      <c r="B4735" s="1">
        <v>46054</v>
      </c>
      <c r="C4735" t="s">
        <v>24</v>
      </c>
      <c r="D4735" t="s">
        <v>41</v>
      </c>
      <c r="E4735" t="s">
        <v>42</v>
      </c>
      <c r="F4735" t="s">
        <v>114</v>
      </c>
      <c r="G4735" t="s">
        <v>115</v>
      </c>
      <c r="H4735" t="s">
        <v>115</v>
      </c>
      <c r="I4735" t="s">
        <v>56</v>
      </c>
      <c r="J4735" t="s">
        <v>7028</v>
      </c>
      <c r="K4735" t="s">
        <v>91</v>
      </c>
      <c r="L4735" t="s">
        <v>46</v>
      </c>
      <c r="M4735" t="s">
        <v>68</v>
      </c>
      <c r="N4735" t="s">
        <v>69</v>
      </c>
      <c r="O4735" t="s">
        <v>36</v>
      </c>
      <c r="P4735" t="s">
        <v>49</v>
      </c>
      <c r="Q4735" t="s">
        <v>347</v>
      </c>
      <c r="R4735">
        <v>192</v>
      </c>
      <c r="S4735">
        <v>110</v>
      </c>
      <c r="T4735">
        <v>75</v>
      </c>
      <c r="U4735">
        <v>24</v>
      </c>
      <c r="V4735" t="s">
        <v>6872</v>
      </c>
      <c r="W4735">
        <v>46586</v>
      </c>
      <c r="X4735" t="s">
        <v>92</v>
      </c>
      <c r="Y4735">
        <v>36012</v>
      </c>
      <c r="Z4735">
        <v>1118064</v>
      </c>
      <c r="AA4735">
        <v>253776</v>
      </c>
      <c r="AB4735" t="str">
        <f>(VLOOKUP(SalesData[[#This Row],[Month Number]],Reference!C$5:E$16,2,FALSE))</f>
        <v>Feb</v>
      </c>
      <c r="AC4735">
        <f>MONTH(SalesData[[#This Row],[Date]])</f>
        <v>2</v>
      </c>
      <c r="AD4735">
        <f>Reference!F$4</f>
        <v>2026</v>
      </c>
      <c r="AE4735" t="str">
        <f>IF(OR(SalesData[[#This Row],[Day]]="Saturday",SalesData[[#This Row],[Day]]="Sunday"),"Weekend","Weekday")</f>
        <v>Weekend</v>
      </c>
      <c r="AF4735" s="5">
        <f>IF(SalesData[[#This Row],[Contracts Offered]]=0,0,SalesData[[#This Row],[Contracts Signed]]/SalesData[[#This Row],[Contracts Offered]])</f>
        <v>0.32</v>
      </c>
      <c r="AG4735" s="5">
        <f>IF(SalesData[[#This Row],[Customers Visited]]=0,0,SalesData[[#This Row],[Test Drives]]/SalesData[[#This Row],[Customers Visited]])</f>
        <v>0.57291666666666663</v>
      </c>
      <c r="AH4735" s="5">
        <f>IF(SalesData[[#This Row],[Customers Visited]]=0,0,SalesData[[#This Row],[Contracts Signed]]/SalesData[[#This Row],[Customers Visited]])</f>
        <v>0.125</v>
      </c>
      <c r="AI4735" s="6">
        <f>IF(SalesData[[#This Row],[Contracts Signed]]=0,0,SalesData[[#This Row],[Profit(€)]]/SalesData[[#This Row],[Contracts Signed]])</f>
        <v>10574</v>
      </c>
      <c r="AJ4735" s="5" t="str">
        <f>TRIM(CLEAN(SalesData[[#This Row],[Retailer]]))</f>
        <v>Elbe Drive</v>
      </c>
    </row>
    <row r="4736" spans="1:36" ht="14.25" hidden="1" x14ac:dyDescent="0.2">
      <c r="A4736" t="s">
        <v>6012</v>
      </c>
      <c r="B4736" s="1">
        <v>46072</v>
      </c>
      <c r="C4736" t="s">
        <v>62</v>
      </c>
      <c r="D4736" t="s">
        <v>100</v>
      </c>
      <c r="E4736" t="s">
        <v>26</v>
      </c>
      <c r="F4736" t="s">
        <v>83</v>
      </c>
      <c r="G4736" t="s">
        <v>84</v>
      </c>
      <c r="H4736" t="s">
        <v>85</v>
      </c>
      <c r="I4736" t="s">
        <v>64</v>
      </c>
      <c r="J4736" t="s">
        <v>7029</v>
      </c>
      <c r="K4736" t="s">
        <v>78</v>
      </c>
      <c r="L4736" t="s">
        <v>33</v>
      </c>
      <c r="M4736" t="s">
        <v>34</v>
      </c>
      <c r="N4736" t="s">
        <v>35</v>
      </c>
      <c r="O4736" t="s">
        <v>36</v>
      </c>
      <c r="P4736" t="s">
        <v>37</v>
      </c>
      <c r="Q4736" t="s">
        <v>167</v>
      </c>
      <c r="R4736">
        <v>286</v>
      </c>
      <c r="S4736">
        <v>136</v>
      </c>
      <c r="T4736">
        <v>92</v>
      </c>
      <c r="U4736">
        <v>34</v>
      </c>
      <c r="V4736" t="s">
        <v>6403</v>
      </c>
      <c r="W4736">
        <v>71175</v>
      </c>
      <c r="X4736" t="s">
        <v>7169</v>
      </c>
      <c r="Y4736">
        <v>54177</v>
      </c>
      <c r="Z4736">
        <v>2419950</v>
      </c>
      <c r="AA4736">
        <v>577932</v>
      </c>
      <c r="AB4736" t="str">
        <f>(VLOOKUP(SalesData[[#This Row],[Month Number]],Reference!C$5:E$16,2,FALSE))</f>
        <v>Feb</v>
      </c>
      <c r="AC4736">
        <f>MONTH(SalesData[[#This Row],[Date]])</f>
        <v>2</v>
      </c>
      <c r="AD4736">
        <f>Reference!F$4</f>
        <v>2026</v>
      </c>
      <c r="AE4736" t="str">
        <f>IF(OR(SalesData[[#This Row],[Day]]="Saturday",SalesData[[#This Row],[Day]]="Sunday"),"Weekend","Weekday")</f>
        <v>Weekday</v>
      </c>
      <c r="AF4736" s="5">
        <f>IF(SalesData[[#This Row],[Contracts Offered]]=0,0,SalesData[[#This Row],[Contracts Signed]]/SalesData[[#This Row],[Contracts Offered]])</f>
        <v>0.36956521739130432</v>
      </c>
      <c r="AG4736" s="5">
        <f>IF(SalesData[[#This Row],[Customers Visited]]=0,0,SalesData[[#This Row],[Test Drives]]/SalesData[[#This Row],[Customers Visited]])</f>
        <v>0.47552447552447552</v>
      </c>
      <c r="AH4736" s="5">
        <f>IF(SalesData[[#This Row],[Customers Visited]]=0,0,SalesData[[#This Row],[Contracts Signed]]/SalesData[[#This Row],[Customers Visited]])</f>
        <v>0.11888111888111888</v>
      </c>
      <c r="AI4736" s="6">
        <f>IF(SalesData[[#This Row],[Contracts Signed]]=0,0,SalesData[[#This Row],[Profit(€)]]/SalesData[[#This Row],[Contracts Signed]])</f>
        <v>16998</v>
      </c>
      <c r="AJ4736" s="5" t="str">
        <f>TRIM(CLEAN(SalesData[[#This Row],[Retailer]]))</f>
        <v>Hannover Cars</v>
      </c>
    </row>
    <row r="4737" spans="1:36" ht="14.25" x14ac:dyDescent="0.2">
      <c r="A4737" t="s">
        <v>6013</v>
      </c>
      <c r="B4737" s="1">
        <v>46066</v>
      </c>
      <c r="C4737" t="s">
        <v>121</v>
      </c>
      <c r="D4737" t="s">
        <v>54</v>
      </c>
      <c r="E4737" t="s">
        <v>26</v>
      </c>
      <c r="F4737" t="s">
        <v>43</v>
      </c>
      <c r="G4737" t="s">
        <v>44</v>
      </c>
      <c r="H4737" t="s">
        <v>45</v>
      </c>
      <c r="I4737" t="s">
        <v>30</v>
      </c>
      <c r="J4737" t="s">
        <v>86</v>
      </c>
      <c r="K4737" t="s">
        <v>32</v>
      </c>
      <c r="L4737" t="s">
        <v>33</v>
      </c>
      <c r="M4737" t="s">
        <v>47</v>
      </c>
      <c r="N4737" t="s">
        <v>69</v>
      </c>
      <c r="O4737" t="s">
        <v>70</v>
      </c>
      <c r="P4737" t="s">
        <v>58</v>
      </c>
      <c r="Q4737" t="s">
        <v>240</v>
      </c>
      <c r="R4737">
        <v>202</v>
      </c>
      <c r="S4737">
        <v>99</v>
      </c>
      <c r="T4737">
        <v>69</v>
      </c>
      <c r="U4737">
        <v>29</v>
      </c>
      <c r="V4737" t="s">
        <v>6582</v>
      </c>
      <c r="W4737">
        <v>56450</v>
      </c>
      <c r="X4737" t="s">
        <v>7483</v>
      </c>
      <c r="Y4737">
        <v>39932</v>
      </c>
      <c r="Z4737">
        <v>1637050</v>
      </c>
      <c r="AA4737">
        <v>479022</v>
      </c>
      <c r="AB4737" t="str">
        <f>(VLOOKUP(SalesData[[#This Row],[Month Number]],Reference!C$5:E$16,2,FALSE))</f>
        <v>Feb</v>
      </c>
      <c r="AC4737">
        <f>MONTH(SalesData[[#This Row],[Date]])</f>
        <v>2</v>
      </c>
      <c r="AD4737">
        <f>Reference!F$4</f>
        <v>2026</v>
      </c>
      <c r="AE4737" t="str">
        <f>IF(OR(SalesData[[#This Row],[Day]]="Saturday",SalesData[[#This Row],[Day]]="Sunday"),"Weekend","Weekday")</f>
        <v>Weekday</v>
      </c>
      <c r="AF4737" s="5">
        <f>IF(SalesData[[#This Row],[Contracts Offered]]=0,0,SalesData[[#This Row],[Contracts Signed]]/SalesData[[#This Row],[Contracts Offered]])</f>
        <v>0.42028985507246375</v>
      </c>
      <c r="AG4737" s="5">
        <f>IF(SalesData[[#This Row],[Customers Visited]]=0,0,SalesData[[#This Row],[Test Drives]]/SalesData[[#This Row],[Customers Visited]])</f>
        <v>0.49009900990099009</v>
      </c>
      <c r="AH4737" s="5">
        <f>IF(SalesData[[#This Row],[Customers Visited]]=0,0,SalesData[[#This Row],[Contracts Signed]]/SalesData[[#This Row],[Customers Visited]])</f>
        <v>0.14356435643564355</v>
      </c>
      <c r="AI4737" s="6">
        <f>IF(SalesData[[#This Row],[Contracts Signed]]=0,0,SalesData[[#This Row],[Profit(€)]]/SalesData[[#This Row],[Contracts Signed]])</f>
        <v>16518</v>
      </c>
      <c r="AJ4737" s="5" t="str">
        <f>TRIM(CLEAN(SalesData[[#This Row],[Retailer]]))</f>
        <v>Saxon Wheels</v>
      </c>
    </row>
    <row r="4738" spans="1:36" ht="14.25" hidden="1" x14ac:dyDescent="0.2">
      <c r="A4738" t="s">
        <v>6014</v>
      </c>
      <c r="B4738" s="1">
        <v>46079</v>
      </c>
      <c r="C4738" t="s">
        <v>53</v>
      </c>
      <c r="D4738" t="s">
        <v>100</v>
      </c>
      <c r="E4738" t="s">
        <v>26</v>
      </c>
      <c r="F4738" t="s">
        <v>7649</v>
      </c>
      <c r="G4738" t="s">
        <v>55</v>
      </c>
      <c r="H4738" t="s">
        <v>55</v>
      </c>
      <c r="I4738" t="s">
        <v>104</v>
      </c>
      <c r="J4738" t="s">
        <v>7031</v>
      </c>
      <c r="K4738" t="s">
        <v>66</v>
      </c>
      <c r="L4738" t="s">
        <v>46</v>
      </c>
      <c r="M4738" t="s">
        <v>68</v>
      </c>
      <c r="N4738" t="s">
        <v>35</v>
      </c>
      <c r="O4738" t="s">
        <v>36</v>
      </c>
      <c r="P4738" t="s">
        <v>71</v>
      </c>
      <c r="Q4738" t="s">
        <v>135</v>
      </c>
      <c r="R4738">
        <v>403</v>
      </c>
      <c r="S4738">
        <v>227</v>
      </c>
      <c r="T4738">
        <v>157</v>
      </c>
      <c r="U4738">
        <v>41</v>
      </c>
      <c r="V4738" t="s">
        <v>1783</v>
      </c>
      <c r="W4738">
        <v>33867</v>
      </c>
      <c r="X4738" t="s">
        <v>7079</v>
      </c>
      <c r="Y4738">
        <v>30293</v>
      </c>
      <c r="Z4738">
        <v>1388547</v>
      </c>
      <c r="AA4738">
        <v>146534</v>
      </c>
      <c r="AB4738" t="str">
        <f>(VLOOKUP(SalesData[[#This Row],[Month Number]],Reference!C$5:E$16,2,FALSE))</f>
        <v>Feb</v>
      </c>
      <c r="AC4738">
        <f>MONTH(SalesData[[#This Row],[Date]])</f>
        <v>2</v>
      </c>
      <c r="AD4738">
        <f>Reference!F$4</f>
        <v>2026</v>
      </c>
      <c r="AE4738" t="str">
        <f>IF(OR(SalesData[[#This Row],[Day]]="Saturday",SalesData[[#This Row],[Day]]="Sunday"),"Weekend","Weekday")</f>
        <v>Weekday</v>
      </c>
      <c r="AF4738" s="5">
        <f>IF(SalesData[[#This Row],[Contracts Offered]]=0,0,SalesData[[#This Row],[Contracts Signed]]/SalesData[[#This Row],[Contracts Offered]])</f>
        <v>0.26114649681528662</v>
      </c>
      <c r="AG4738" s="5">
        <f>IF(SalesData[[#This Row],[Customers Visited]]=0,0,SalesData[[#This Row],[Test Drives]]/SalesData[[#This Row],[Customers Visited]])</f>
        <v>0.56327543424317617</v>
      </c>
      <c r="AH4738" s="5">
        <f>IF(SalesData[[#This Row],[Customers Visited]]=0,0,SalesData[[#This Row],[Contracts Signed]]/SalesData[[#This Row],[Customers Visited]])</f>
        <v>0.10173697270471464</v>
      </c>
      <c r="AI4738" s="6">
        <f>IF(SalesData[[#This Row],[Contracts Signed]]=0,0,SalesData[[#This Row],[Profit(€)]]/SalesData[[#This Row],[Contracts Signed]])</f>
        <v>3574</v>
      </c>
      <c r="AJ4738" s="5" t="str">
        <f>TRIM(CLEAN(SalesData[[#This Row],[Retailer]]))</f>
        <v>Autohaus Berlin</v>
      </c>
    </row>
    <row r="4739" spans="1:36" ht="14.25" hidden="1" x14ac:dyDescent="0.2">
      <c r="A4739" t="s">
        <v>6015</v>
      </c>
      <c r="B4739" s="1">
        <v>46060</v>
      </c>
      <c r="C4739" t="s">
        <v>24</v>
      </c>
      <c r="D4739" t="s">
        <v>151</v>
      </c>
      <c r="E4739" t="s">
        <v>42</v>
      </c>
      <c r="F4739" t="s">
        <v>94</v>
      </c>
      <c r="G4739" t="s">
        <v>95</v>
      </c>
      <c r="H4739" t="s">
        <v>96</v>
      </c>
      <c r="I4739" t="s">
        <v>104</v>
      </c>
      <c r="J4739" t="s">
        <v>7031</v>
      </c>
      <c r="K4739" t="s">
        <v>78</v>
      </c>
      <c r="L4739" t="s">
        <v>46</v>
      </c>
      <c r="M4739" t="s">
        <v>34</v>
      </c>
      <c r="N4739" t="s">
        <v>35</v>
      </c>
      <c r="O4739" t="s">
        <v>36</v>
      </c>
      <c r="P4739" t="s">
        <v>58</v>
      </c>
      <c r="Q4739" t="s">
        <v>347</v>
      </c>
      <c r="R4739">
        <v>511</v>
      </c>
      <c r="S4739">
        <v>270</v>
      </c>
      <c r="T4739">
        <v>160</v>
      </c>
      <c r="U4739">
        <v>50</v>
      </c>
      <c r="V4739" t="s">
        <v>123</v>
      </c>
      <c r="W4739">
        <v>32278</v>
      </c>
      <c r="X4739" t="s">
        <v>7271</v>
      </c>
      <c r="Y4739">
        <v>28569</v>
      </c>
      <c r="Z4739">
        <v>1613900</v>
      </c>
      <c r="AA4739">
        <v>185450</v>
      </c>
      <c r="AB4739" t="str">
        <f>(VLOOKUP(SalesData[[#This Row],[Month Number]],Reference!C$5:E$16,2,FALSE))</f>
        <v>Feb</v>
      </c>
      <c r="AC4739">
        <f>MONTH(SalesData[[#This Row],[Date]])</f>
        <v>2</v>
      </c>
      <c r="AD4739">
        <f>Reference!F$4</f>
        <v>2026</v>
      </c>
      <c r="AE4739" t="str">
        <f>IF(OR(SalesData[[#This Row],[Day]]="Saturday",SalesData[[#This Row],[Day]]="Sunday"),"Weekend","Weekday")</f>
        <v>Weekend</v>
      </c>
      <c r="AF4739" s="5">
        <f>IF(SalesData[[#This Row],[Contracts Offered]]=0,0,SalesData[[#This Row],[Contracts Signed]]/SalesData[[#This Row],[Contracts Offered]])</f>
        <v>0.3125</v>
      </c>
      <c r="AG4739" s="5">
        <f>IF(SalesData[[#This Row],[Customers Visited]]=0,0,SalesData[[#This Row],[Test Drives]]/SalesData[[#This Row],[Customers Visited]])</f>
        <v>0.52837573385518588</v>
      </c>
      <c r="AH4739" s="5">
        <f>IF(SalesData[[#This Row],[Customers Visited]]=0,0,SalesData[[#This Row],[Contracts Signed]]/SalesData[[#This Row],[Customers Visited]])</f>
        <v>9.7847358121330719E-2</v>
      </c>
      <c r="AI4739" s="6">
        <f>IF(SalesData[[#This Row],[Contracts Signed]]=0,0,SalesData[[#This Row],[Profit(€)]]/SalesData[[#This Row],[Contracts Signed]])</f>
        <v>3709</v>
      </c>
      <c r="AJ4739" s="5" t="str">
        <f>TRIM(CLEAN(SalesData[[#This Row],[Retailer]]))</f>
        <v>Bavaria Motors</v>
      </c>
    </row>
    <row r="4740" spans="1:36" ht="14.25" x14ac:dyDescent="0.2">
      <c r="A4740" t="s">
        <v>6016</v>
      </c>
      <c r="B4740" s="1">
        <v>46078</v>
      </c>
      <c r="C4740" t="s">
        <v>53</v>
      </c>
      <c r="D4740" t="s">
        <v>82</v>
      </c>
      <c r="E4740" t="s">
        <v>26</v>
      </c>
      <c r="F4740" t="s">
        <v>94</v>
      </c>
      <c r="G4740" t="s">
        <v>95</v>
      </c>
      <c r="H4740" t="s">
        <v>96</v>
      </c>
      <c r="I4740" t="s">
        <v>30</v>
      </c>
      <c r="J4740" t="s">
        <v>86</v>
      </c>
      <c r="K4740" t="s">
        <v>91</v>
      </c>
      <c r="L4740" t="s">
        <v>33</v>
      </c>
      <c r="M4740" t="s">
        <v>87</v>
      </c>
      <c r="N4740" t="s">
        <v>35</v>
      </c>
      <c r="O4740" t="s">
        <v>36</v>
      </c>
      <c r="P4740" t="s">
        <v>71</v>
      </c>
      <c r="Q4740" t="s">
        <v>88</v>
      </c>
      <c r="R4740">
        <v>219</v>
      </c>
      <c r="S4740">
        <v>131</v>
      </c>
      <c r="T4740">
        <v>98</v>
      </c>
      <c r="U4740">
        <v>42</v>
      </c>
      <c r="V4740" t="s">
        <v>7641</v>
      </c>
      <c r="W4740">
        <v>51235</v>
      </c>
      <c r="X4740" t="s">
        <v>7199</v>
      </c>
      <c r="Y4740">
        <v>36047</v>
      </c>
      <c r="Z4740">
        <v>2151870</v>
      </c>
      <c r="AA4740">
        <v>637896</v>
      </c>
      <c r="AB4740" t="str">
        <f>(VLOOKUP(SalesData[[#This Row],[Month Number]],Reference!C$5:E$16,2,FALSE))</f>
        <v>Feb</v>
      </c>
      <c r="AC4740">
        <f>MONTH(SalesData[[#This Row],[Date]])</f>
        <v>2</v>
      </c>
      <c r="AD4740">
        <f>Reference!F$4</f>
        <v>2026</v>
      </c>
      <c r="AE4740" t="str">
        <f>IF(OR(SalesData[[#This Row],[Day]]="Saturday",SalesData[[#This Row],[Day]]="Sunday"),"Weekend","Weekday")</f>
        <v>Weekday</v>
      </c>
      <c r="AF4740" s="5">
        <f>IF(SalesData[[#This Row],[Contracts Offered]]=0,0,SalesData[[#This Row],[Contracts Signed]]/SalesData[[#This Row],[Contracts Offered]])</f>
        <v>0.42857142857142855</v>
      </c>
      <c r="AG4740" s="5">
        <f>IF(SalesData[[#This Row],[Customers Visited]]=0,0,SalesData[[#This Row],[Test Drives]]/SalesData[[#This Row],[Customers Visited]])</f>
        <v>0.59817351598173518</v>
      </c>
      <c r="AH4740" s="5">
        <f>IF(SalesData[[#This Row],[Customers Visited]]=0,0,SalesData[[#This Row],[Contracts Signed]]/SalesData[[#This Row],[Customers Visited]])</f>
        <v>0.19178082191780821</v>
      </c>
      <c r="AI4740" s="6">
        <f>IF(SalesData[[#This Row],[Contracts Signed]]=0,0,SalesData[[#This Row],[Profit(€)]]/SalesData[[#This Row],[Contracts Signed]])</f>
        <v>15188</v>
      </c>
      <c r="AJ4740" s="5" t="str">
        <f>TRIM(CLEAN(SalesData[[#This Row],[Retailer]]))</f>
        <v>Bavaria Motors</v>
      </c>
    </row>
    <row r="4741" spans="1:36" ht="14.25" hidden="1" x14ac:dyDescent="0.2">
      <c r="A4741" t="s">
        <v>6017</v>
      </c>
      <c r="B4741" s="1">
        <v>46077</v>
      </c>
      <c r="C4741" t="s">
        <v>53</v>
      </c>
      <c r="D4741" t="s">
        <v>63</v>
      </c>
      <c r="E4741" t="s">
        <v>26</v>
      </c>
      <c r="F4741" t="s">
        <v>127</v>
      </c>
      <c r="G4741" t="s">
        <v>128</v>
      </c>
      <c r="H4741" t="s">
        <v>103</v>
      </c>
      <c r="I4741" t="s">
        <v>56</v>
      </c>
      <c r="J4741" t="s">
        <v>97</v>
      </c>
      <c r="K4741" t="s">
        <v>78</v>
      </c>
      <c r="L4741" t="s">
        <v>33</v>
      </c>
      <c r="M4741" t="s">
        <v>34</v>
      </c>
      <c r="N4741" t="s">
        <v>48</v>
      </c>
      <c r="O4741" t="s">
        <v>36</v>
      </c>
      <c r="P4741" t="s">
        <v>71</v>
      </c>
      <c r="Q4741" t="s">
        <v>204</v>
      </c>
      <c r="R4741">
        <v>245</v>
      </c>
      <c r="S4741">
        <v>126</v>
      </c>
      <c r="T4741">
        <v>96</v>
      </c>
      <c r="U4741">
        <v>31</v>
      </c>
      <c r="V4741" t="s">
        <v>6897</v>
      </c>
      <c r="W4741">
        <v>49160</v>
      </c>
      <c r="X4741" t="s">
        <v>7275</v>
      </c>
      <c r="Y4741">
        <v>37170</v>
      </c>
      <c r="Z4741">
        <v>1523960</v>
      </c>
      <c r="AA4741">
        <v>371690</v>
      </c>
      <c r="AB4741" t="str">
        <f>(VLOOKUP(SalesData[[#This Row],[Month Number]],Reference!C$5:E$16,2,FALSE))</f>
        <v>Feb</v>
      </c>
      <c r="AC4741">
        <f>MONTH(SalesData[[#This Row],[Date]])</f>
        <v>2</v>
      </c>
      <c r="AD4741">
        <f>Reference!F$4</f>
        <v>2026</v>
      </c>
      <c r="AE4741" t="str">
        <f>IF(OR(SalesData[[#This Row],[Day]]="Saturday",SalesData[[#This Row],[Day]]="Sunday"),"Weekend","Weekday")</f>
        <v>Weekday</v>
      </c>
      <c r="AF4741" s="5">
        <f>IF(SalesData[[#This Row],[Contracts Offered]]=0,0,SalesData[[#This Row],[Contracts Signed]]/SalesData[[#This Row],[Contracts Offered]])</f>
        <v>0.32291666666666669</v>
      </c>
      <c r="AG4741" s="5">
        <f>IF(SalesData[[#This Row],[Customers Visited]]=0,0,SalesData[[#This Row],[Test Drives]]/SalesData[[#This Row],[Customers Visited]])</f>
        <v>0.51428571428571423</v>
      </c>
      <c r="AH4741" s="5">
        <f>IF(SalesData[[#This Row],[Customers Visited]]=0,0,SalesData[[#This Row],[Contracts Signed]]/SalesData[[#This Row],[Customers Visited]])</f>
        <v>0.12653061224489795</v>
      </c>
      <c r="AI4741" s="6">
        <f>IF(SalesData[[#This Row],[Contracts Signed]]=0,0,SalesData[[#This Row],[Profit(€)]]/SalesData[[#This Row],[Contracts Signed]])</f>
        <v>11990</v>
      </c>
      <c r="AJ4741" s="5" t="str">
        <f>TRIM(CLEAN(SalesData[[#This Row],[Retailer]]))</f>
        <v>Rhein Auto Group</v>
      </c>
    </row>
    <row r="4742" spans="1:36" ht="14.25" hidden="1" x14ac:dyDescent="0.2">
      <c r="A4742" t="s">
        <v>6018</v>
      </c>
      <c r="B4742" s="1">
        <v>46075</v>
      </c>
      <c r="C4742" t="s">
        <v>53</v>
      </c>
      <c r="D4742" t="s">
        <v>41</v>
      </c>
      <c r="E4742" t="s">
        <v>42</v>
      </c>
      <c r="F4742" t="s">
        <v>109</v>
      </c>
      <c r="G4742" t="s">
        <v>110</v>
      </c>
      <c r="H4742" t="s">
        <v>45</v>
      </c>
      <c r="I4742" t="s">
        <v>116</v>
      </c>
      <c r="J4742" t="s">
        <v>7090</v>
      </c>
      <c r="K4742" t="s">
        <v>66</v>
      </c>
      <c r="L4742" t="s">
        <v>46</v>
      </c>
      <c r="M4742" t="s">
        <v>87</v>
      </c>
      <c r="N4742" t="s">
        <v>48</v>
      </c>
      <c r="O4742" t="s">
        <v>70</v>
      </c>
      <c r="P4742" t="s">
        <v>49</v>
      </c>
      <c r="Q4742" t="s">
        <v>59</v>
      </c>
      <c r="R4742">
        <v>300</v>
      </c>
      <c r="S4742">
        <v>136</v>
      </c>
      <c r="T4742">
        <v>77</v>
      </c>
      <c r="U4742">
        <v>20</v>
      </c>
      <c r="V4742" t="s">
        <v>415</v>
      </c>
      <c r="W4742">
        <v>25088</v>
      </c>
      <c r="X4742" t="s">
        <v>7543</v>
      </c>
      <c r="Y4742">
        <v>22578</v>
      </c>
      <c r="Z4742">
        <v>501760</v>
      </c>
      <c r="AA4742">
        <v>50200</v>
      </c>
      <c r="AB4742" t="str">
        <f>(VLOOKUP(SalesData[[#This Row],[Month Number]],Reference!C$5:E$16,2,FALSE))</f>
        <v>Feb</v>
      </c>
      <c r="AC4742">
        <f>MONTH(SalesData[[#This Row],[Date]])</f>
        <v>2</v>
      </c>
      <c r="AD4742">
        <f>Reference!F$4</f>
        <v>2026</v>
      </c>
      <c r="AE4742" t="str">
        <f>IF(OR(SalesData[[#This Row],[Day]]="Saturday",SalesData[[#This Row],[Day]]="Sunday"),"Weekend","Weekday")</f>
        <v>Weekend</v>
      </c>
      <c r="AF4742" s="5">
        <f>IF(SalesData[[#This Row],[Contracts Offered]]=0,0,SalesData[[#This Row],[Contracts Signed]]/SalesData[[#This Row],[Contracts Offered]])</f>
        <v>0.25974025974025972</v>
      </c>
      <c r="AG4742" s="5">
        <f>IF(SalesData[[#This Row],[Customers Visited]]=0,0,SalesData[[#This Row],[Test Drives]]/SalesData[[#This Row],[Customers Visited]])</f>
        <v>0.45333333333333331</v>
      </c>
      <c r="AH4742" s="5">
        <f>IF(SalesData[[#This Row],[Customers Visited]]=0,0,SalesData[[#This Row],[Contracts Signed]]/SalesData[[#This Row],[Customers Visited]])</f>
        <v>6.6666666666666666E-2</v>
      </c>
      <c r="AI4742" s="6">
        <f>IF(SalesData[[#This Row],[Contracts Signed]]=0,0,SalesData[[#This Row],[Profit(€)]]/SalesData[[#This Row],[Contracts Signed]])</f>
        <v>2510</v>
      </c>
      <c r="AJ4742" s="5" t="str">
        <f>TRIM(CLEAN(SalesData[[#This Row],[Retailer]]))</f>
        <v>Leipzig Mobility</v>
      </c>
    </row>
    <row r="4743" spans="1:36" ht="14.25" hidden="1" x14ac:dyDescent="0.2">
      <c r="A4743" t="s">
        <v>6019</v>
      </c>
      <c r="B4743" s="1">
        <v>46076</v>
      </c>
      <c r="C4743" t="s">
        <v>53</v>
      </c>
      <c r="D4743" t="s">
        <v>25</v>
      </c>
      <c r="E4743" t="s">
        <v>26</v>
      </c>
      <c r="F4743" t="s">
        <v>27</v>
      </c>
      <c r="G4743" t="s">
        <v>28</v>
      </c>
      <c r="H4743" t="s">
        <v>29</v>
      </c>
      <c r="I4743" t="s">
        <v>64</v>
      </c>
      <c r="J4743" t="s">
        <v>157</v>
      </c>
      <c r="K4743" t="s">
        <v>91</v>
      </c>
      <c r="L4743" t="s">
        <v>33</v>
      </c>
      <c r="M4743" t="s">
        <v>68</v>
      </c>
      <c r="N4743" t="s">
        <v>48</v>
      </c>
      <c r="O4743" t="s">
        <v>70</v>
      </c>
      <c r="P4743" t="s">
        <v>49</v>
      </c>
      <c r="Q4743" t="s">
        <v>79</v>
      </c>
      <c r="R4743">
        <v>276</v>
      </c>
      <c r="S4743">
        <v>132</v>
      </c>
      <c r="T4743">
        <v>100</v>
      </c>
      <c r="U4743">
        <v>32</v>
      </c>
      <c r="V4743" t="s">
        <v>6429</v>
      </c>
      <c r="W4743">
        <v>64688</v>
      </c>
      <c r="X4743" t="s">
        <v>5878</v>
      </c>
      <c r="Y4743">
        <v>46601</v>
      </c>
      <c r="Z4743">
        <v>2070016</v>
      </c>
      <c r="AA4743">
        <v>578784</v>
      </c>
      <c r="AB4743" t="str">
        <f>(VLOOKUP(SalesData[[#This Row],[Month Number]],Reference!C$5:E$16,2,FALSE))</f>
        <v>Feb</v>
      </c>
      <c r="AC4743">
        <f>MONTH(SalesData[[#This Row],[Date]])</f>
        <v>2</v>
      </c>
      <c r="AD4743">
        <f>Reference!F$4</f>
        <v>2026</v>
      </c>
      <c r="AE4743" t="str">
        <f>IF(OR(SalesData[[#This Row],[Day]]="Saturday",SalesData[[#This Row],[Day]]="Sunday"),"Weekend","Weekday")</f>
        <v>Weekday</v>
      </c>
      <c r="AF4743" s="5">
        <f>IF(SalesData[[#This Row],[Contracts Offered]]=0,0,SalesData[[#This Row],[Contracts Signed]]/SalesData[[#This Row],[Contracts Offered]])</f>
        <v>0.32</v>
      </c>
      <c r="AG4743" s="5">
        <f>IF(SalesData[[#This Row],[Customers Visited]]=0,0,SalesData[[#This Row],[Test Drives]]/SalesData[[#This Row],[Customers Visited]])</f>
        <v>0.47826086956521741</v>
      </c>
      <c r="AH4743" s="5">
        <f>IF(SalesData[[#This Row],[Customers Visited]]=0,0,SalesData[[#This Row],[Contracts Signed]]/SalesData[[#This Row],[Customers Visited]])</f>
        <v>0.11594202898550725</v>
      </c>
      <c r="AI4743" s="6">
        <f>IF(SalesData[[#This Row],[Contracts Signed]]=0,0,SalesData[[#This Row],[Profit(€)]]/SalesData[[#This Row],[Contracts Signed]])</f>
        <v>18087</v>
      </c>
      <c r="AJ4743" s="5" t="str">
        <f>TRIM(CLEAN(SalesData[[#This Row],[Retailer]]))</f>
        <v>Main Auto Hub</v>
      </c>
    </row>
    <row r="4744" spans="1:36" ht="14.25" hidden="1" x14ac:dyDescent="0.2">
      <c r="A4744" t="s">
        <v>6020</v>
      </c>
      <c r="B4744" s="1">
        <v>46078</v>
      </c>
      <c r="C4744" t="s">
        <v>53</v>
      </c>
      <c r="D4744" t="s">
        <v>82</v>
      </c>
      <c r="E4744" t="s">
        <v>26</v>
      </c>
      <c r="F4744" t="s">
        <v>94</v>
      </c>
      <c r="G4744" t="s">
        <v>95</v>
      </c>
      <c r="H4744" t="s">
        <v>96</v>
      </c>
      <c r="I4744" t="s">
        <v>116</v>
      </c>
      <c r="J4744" t="s">
        <v>117</v>
      </c>
      <c r="K4744" t="s">
        <v>66</v>
      </c>
      <c r="L4744" t="s">
        <v>67</v>
      </c>
      <c r="M4744" t="s">
        <v>68</v>
      </c>
      <c r="N4744" t="s">
        <v>69</v>
      </c>
      <c r="O4744" t="s">
        <v>36</v>
      </c>
      <c r="P4744" t="s">
        <v>49</v>
      </c>
      <c r="Q4744" t="s">
        <v>135</v>
      </c>
      <c r="R4744">
        <v>423</v>
      </c>
      <c r="S4744">
        <v>211</v>
      </c>
      <c r="T4744">
        <v>139</v>
      </c>
      <c r="U4744">
        <v>34</v>
      </c>
      <c r="V4744" t="s">
        <v>4155</v>
      </c>
      <c r="W4744">
        <v>23490</v>
      </c>
      <c r="X4744" t="s">
        <v>7534</v>
      </c>
      <c r="Y4744">
        <v>21772</v>
      </c>
      <c r="Z4744">
        <v>798660</v>
      </c>
      <c r="AA4744">
        <v>58412</v>
      </c>
      <c r="AB4744" t="str">
        <f>(VLOOKUP(SalesData[[#This Row],[Month Number]],Reference!C$5:E$16,2,FALSE))</f>
        <v>Feb</v>
      </c>
      <c r="AC4744">
        <f>MONTH(SalesData[[#This Row],[Date]])</f>
        <v>2</v>
      </c>
      <c r="AD4744">
        <f>Reference!F$4</f>
        <v>2026</v>
      </c>
      <c r="AE4744" t="str">
        <f>IF(OR(SalesData[[#This Row],[Day]]="Saturday",SalesData[[#This Row],[Day]]="Sunday"),"Weekend","Weekday")</f>
        <v>Weekday</v>
      </c>
      <c r="AF4744" s="5">
        <f>IF(SalesData[[#This Row],[Contracts Offered]]=0,0,SalesData[[#This Row],[Contracts Signed]]/SalesData[[#This Row],[Contracts Offered]])</f>
        <v>0.2446043165467626</v>
      </c>
      <c r="AG4744" s="5">
        <f>IF(SalesData[[#This Row],[Customers Visited]]=0,0,SalesData[[#This Row],[Test Drives]]/SalesData[[#This Row],[Customers Visited]])</f>
        <v>0.49881796690307328</v>
      </c>
      <c r="AH4744" s="5">
        <f>IF(SalesData[[#This Row],[Customers Visited]]=0,0,SalesData[[#This Row],[Contracts Signed]]/SalesData[[#This Row],[Customers Visited]])</f>
        <v>8.0378250591016553E-2</v>
      </c>
      <c r="AI4744" s="6">
        <f>IF(SalesData[[#This Row],[Contracts Signed]]=0,0,SalesData[[#This Row],[Profit(€)]]/SalesData[[#This Row],[Contracts Signed]])</f>
        <v>1718</v>
      </c>
      <c r="AJ4744" s="5" t="str">
        <f>TRIM(CLEAN(SalesData[[#This Row],[Retailer]]))</f>
        <v>Bavaria Motors</v>
      </c>
    </row>
    <row r="4745" spans="1:36" ht="14.25" hidden="1" x14ac:dyDescent="0.2">
      <c r="A4745" t="s">
        <v>6021</v>
      </c>
      <c r="B4745" s="1">
        <v>46078</v>
      </c>
      <c r="C4745" t="s">
        <v>53</v>
      </c>
      <c r="D4745" t="s">
        <v>82</v>
      </c>
      <c r="E4745" t="s">
        <v>26</v>
      </c>
      <c r="F4745" t="s">
        <v>83</v>
      </c>
      <c r="G4745" t="s">
        <v>84</v>
      </c>
      <c r="H4745" t="s">
        <v>85</v>
      </c>
      <c r="I4745" t="s">
        <v>64</v>
      </c>
      <c r="J4745" t="s">
        <v>111</v>
      </c>
      <c r="K4745" t="s">
        <v>78</v>
      </c>
      <c r="L4745" t="s">
        <v>46</v>
      </c>
      <c r="M4745" t="s">
        <v>87</v>
      </c>
      <c r="N4745" t="s">
        <v>48</v>
      </c>
      <c r="O4745" t="s">
        <v>36</v>
      </c>
      <c r="P4745" t="s">
        <v>58</v>
      </c>
      <c r="Q4745" t="s">
        <v>59</v>
      </c>
      <c r="R4745">
        <v>201</v>
      </c>
      <c r="S4745">
        <v>107</v>
      </c>
      <c r="T4745">
        <v>80</v>
      </c>
      <c r="U4745">
        <v>27</v>
      </c>
      <c r="V4745" t="s">
        <v>6674</v>
      </c>
      <c r="W4745">
        <v>57991</v>
      </c>
      <c r="X4745" t="s">
        <v>2155</v>
      </c>
      <c r="Y4745">
        <v>41590</v>
      </c>
      <c r="Z4745">
        <v>1565757</v>
      </c>
      <c r="AA4745">
        <v>442827</v>
      </c>
      <c r="AB4745" t="str">
        <f>(VLOOKUP(SalesData[[#This Row],[Month Number]],Reference!C$5:E$16,2,FALSE))</f>
        <v>Feb</v>
      </c>
      <c r="AC4745">
        <f>MONTH(SalesData[[#This Row],[Date]])</f>
        <v>2</v>
      </c>
      <c r="AD4745">
        <f>Reference!F$4</f>
        <v>2026</v>
      </c>
      <c r="AE4745" t="str">
        <f>IF(OR(SalesData[[#This Row],[Day]]="Saturday",SalesData[[#This Row],[Day]]="Sunday"),"Weekend","Weekday")</f>
        <v>Weekday</v>
      </c>
      <c r="AF4745" s="5">
        <f>IF(SalesData[[#This Row],[Contracts Offered]]=0,0,SalesData[[#This Row],[Contracts Signed]]/SalesData[[#This Row],[Contracts Offered]])</f>
        <v>0.33750000000000002</v>
      </c>
      <c r="AG4745" s="5">
        <f>IF(SalesData[[#This Row],[Customers Visited]]=0,0,SalesData[[#This Row],[Test Drives]]/SalesData[[#This Row],[Customers Visited]])</f>
        <v>0.53233830845771146</v>
      </c>
      <c r="AH4745" s="5">
        <f>IF(SalesData[[#This Row],[Customers Visited]]=0,0,SalesData[[#This Row],[Contracts Signed]]/SalesData[[#This Row],[Customers Visited]])</f>
        <v>0.13432835820895522</v>
      </c>
      <c r="AI4745" s="6">
        <f>IF(SalesData[[#This Row],[Contracts Signed]]=0,0,SalesData[[#This Row],[Profit(€)]]/SalesData[[#This Row],[Contracts Signed]])</f>
        <v>16401</v>
      </c>
      <c r="AJ4745" s="5" t="str">
        <f>TRIM(CLEAN(SalesData[[#This Row],[Retailer]]))</f>
        <v>Hannover Cars</v>
      </c>
    </row>
    <row r="4746" spans="1:36" ht="14.25" hidden="1" x14ac:dyDescent="0.2">
      <c r="A4746" t="s">
        <v>6022</v>
      </c>
      <c r="B4746" s="1">
        <v>46057</v>
      </c>
      <c r="C4746" t="s">
        <v>24</v>
      </c>
      <c r="D4746" t="s">
        <v>82</v>
      </c>
      <c r="E4746" t="s">
        <v>26</v>
      </c>
      <c r="F4746" t="s">
        <v>27</v>
      </c>
      <c r="G4746" t="s">
        <v>28</v>
      </c>
      <c r="H4746" t="s">
        <v>29</v>
      </c>
      <c r="I4746" t="s">
        <v>56</v>
      </c>
      <c r="J4746" t="s">
        <v>137</v>
      </c>
      <c r="K4746" t="s">
        <v>66</v>
      </c>
      <c r="L4746" t="s">
        <v>46</v>
      </c>
      <c r="M4746" t="s">
        <v>68</v>
      </c>
      <c r="N4746" t="s">
        <v>48</v>
      </c>
      <c r="O4746" t="s">
        <v>36</v>
      </c>
      <c r="P4746" t="s">
        <v>71</v>
      </c>
      <c r="Q4746" t="s">
        <v>204</v>
      </c>
      <c r="R4746">
        <v>310</v>
      </c>
      <c r="S4746">
        <v>170</v>
      </c>
      <c r="T4746">
        <v>131</v>
      </c>
      <c r="U4746">
        <v>41</v>
      </c>
      <c r="V4746" t="s">
        <v>6795</v>
      </c>
      <c r="W4746">
        <v>48516</v>
      </c>
      <c r="X4746" t="s">
        <v>712</v>
      </c>
      <c r="Y4746">
        <v>38358</v>
      </c>
      <c r="Z4746">
        <v>1989156</v>
      </c>
      <c r="AA4746">
        <v>416478</v>
      </c>
      <c r="AB4746" t="str">
        <f>(VLOOKUP(SalesData[[#This Row],[Month Number]],Reference!C$5:E$16,2,FALSE))</f>
        <v>Feb</v>
      </c>
      <c r="AC4746">
        <f>MONTH(SalesData[[#This Row],[Date]])</f>
        <v>2</v>
      </c>
      <c r="AD4746">
        <f>Reference!F$4</f>
        <v>2026</v>
      </c>
      <c r="AE4746" t="str">
        <f>IF(OR(SalesData[[#This Row],[Day]]="Saturday",SalesData[[#This Row],[Day]]="Sunday"),"Weekend","Weekday")</f>
        <v>Weekday</v>
      </c>
      <c r="AF4746" s="5">
        <f>IF(SalesData[[#This Row],[Contracts Offered]]=0,0,SalesData[[#This Row],[Contracts Signed]]/SalesData[[#This Row],[Contracts Offered]])</f>
        <v>0.31297709923664124</v>
      </c>
      <c r="AG4746" s="5">
        <f>IF(SalesData[[#This Row],[Customers Visited]]=0,0,SalesData[[#This Row],[Test Drives]]/SalesData[[#This Row],[Customers Visited]])</f>
        <v>0.54838709677419351</v>
      </c>
      <c r="AH4746" s="5">
        <f>IF(SalesData[[#This Row],[Customers Visited]]=0,0,SalesData[[#This Row],[Contracts Signed]]/SalesData[[#This Row],[Customers Visited]])</f>
        <v>0.13225806451612904</v>
      </c>
      <c r="AI4746" s="6">
        <f>IF(SalesData[[#This Row],[Contracts Signed]]=0,0,SalesData[[#This Row],[Profit(€)]]/SalesData[[#This Row],[Contracts Signed]])</f>
        <v>10158</v>
      </c>
      <c r="AJ4746" s="5" t="str">
        <f>TRIM(CLEAN(SalesData[[#This Row],[Retailer]]))</f>
        <v>Main Auto Hub</v>
      </c>
    </row>
    <row r="4747" spans="1:36" ht="14.25" hidden="1" x14ac:dyDescent="0.2">
      <c r="A4747" t="s">
        <v>6023</v>
      </c>
      <c r="B4747" s="1">
        <v>46077</v>
      </c>
      <c r="C4747" t="s">
        <v>53</v>
      </c>
      <c r="D4747" t="s">
        <v>63</v>
      </c>
      <c r="E4747" t="s">
        <v>26</v>
      </c>
      <c r="F4747" t="s">
        <v>109</v>
      </c>
      <c r="G4747" t="s">
        <v>110</v>
      </c>
      <c r="H4747" t="s">
        <v>45</v>
      </c>
      <c r="I4747" t="s">
        <v>116</v>
      </c>
      <c r="J4747" t="s">
        <v>7026</v>
      </c>
      <c r="K4747" t="s">
        <v>78</v>
      </c>
      <c r="L4747" t="s">
        <v>46</v>
      </c>
      <c r="M4747" t="s">
        <v>68</v>
      </c>
      <c r="N4747" t="s">
        <v>48</v>
      </c>
      <c r="O4747" t="s">
        <v>70</v>
      </c>
      <c r="P4747" t="s">
        <v>37</v>
      </c>
      <c r="Q4747" t="s">
        <v>38</v>
      </c>
      <c r="R4747">
        <v>411</v>
      </c>
      <c r="S4747">
        <v>182</v>
      </c>
      <c r="T4747">
        <v>118</v>
      </c>
      <c r="U4747">
        <v>26</v>
      </c>
      <c r="V4747" t="s">
        <v>527</v>
      </c>
      <c r="W4747">
        <v>22584</v>
      </c>
      <c r="X4747" t="s">
        <v>1919</v>
      </c>
      <c r="Y4747">
        <v>20920</v>
      </c>
      <c r="Z4747">
        <v>587184</v>
      </c>
      <c r="AA4747">
        <v>43264</v>
      </c>
      <c r="AB4747" t="str">
        <f>(VLOOKUP(SalesData[[#This Row],[Month Number]],Reference!C$5:E$16,2,FALSE))</f>
        <v>Feb</v>
      </c>
      <c r="AC4747">
        <f>MONTH(SalesData[[#This Row],[Date]])</f>
        <v>2</v>
      </c>
      <c r="AD4747">
        <f>Reference!F$4</f>
        <v>2026</v>
      </c>
      <c r="AE4747" t="str">
        <f>IF(OR(SalesData[[#This Row],[Day]]="Saturday",SalesData[[#This Row],[Day]]="Sunday"),"Weekend","Weekday")</f>
        <v>Weekday</v>
      </c>
      <c r="AF4747" s="5">
        <f>IF(SalesData[[#This Row],[Contracts Offered]]=0,0,SalesData[[#This Row],[Contracts Signed]]/SalesData[[#This Row],[Contracts Offered]])</f>
        <v>0.22033898305084745</v>
      </c>
      <c r="AG4747" s="5">
        <f>IF(SalesData[[#This Row],[Customers Visited]]=0,0,SalesData[[#This Row],[Test Drives]]/SalesData[[#This Row],[Customers Visited]])</f>
        <v>0.44282238442822386</v>
      </c>
      <c r="AH4747" s="5">
        <f>IF(SalesData[[#This Row],[Customers Visited]]=0,0,SalesData[[#This Row],[Contracts Signed]]/SalesData[[#This Row],[Customers Visited]])</f>
        <v>6.3260340632603412E-2</v>
      </c>
      <c r="AI4747" s="6">
        <f>IF(SalesData[[#This Row],[Contracts Signed]]=0,0,SalesData[[#This Row],[Profit(€)]]/SalesData[[#This Row],[Contracts Signed]])</f>
        <v>1664</v>
      </c>
      <c r="AJ4747" s="5" t="str">
        <f>TRIM(CLEAN(SalesData[[#This Row],[Retailer]]))</f>
        <v>Leipzig Mobility</v>
      </c>
    </row>
    <row r="4748" spans="1:36" ht="14.25" hidden="1" x14ac:dyDescent="0.2">
      <c r="A4748" t="s">
        <v>6024</v>
      </c>
      <c r="B4748" s="1">
        <v>46058</v>
      </c>
      <c r="C4748" t="s">
        <v>24</v>
      </c>
      <c r="D4748" t="s">
        <v>100</v>
      </c>
      <c r="E4748" t="s">
        <v>26</v>
      </c>
      <c r="F4748" t="s">
        <v>74</v>
      </c>
      <c r="G4748" t="s">
        <v>75</v>
      </c>
      <c r="H4748" t="s">
        <v>76</v>
      </c>
      <c r="I4748" t="s">
        <v>64</v>
      </c>
      <c r="J4748" t="s">
        <v>65</v>
      </c>
      <c r="K4748" t="s">
        <v>78</v>
      </c>
      <c r="L4748" t="s">
        <v>33</v>
      </c>
      <c r="M4748" t="s">
        <v>87</v>
      </c>
      <c r="N4748" t="s">
        <v>69</v>
      </c>
      <c r="O4748" t="s">
        <v>36</v>
      </c>
      <c r="P4748" t="s">
        <v>49</v>
      </c>
      <c r="Q4748" t="s">
        <v>59</v>
      </c>
      <c r="R4748">
        <v>207</v>
      </c>
      <c r="S4748">
        <v>94</v>
      </c>
      <c r="T4748">
        <v>68</v>
      </c>
      <c r="U4748">
        <v>22</v>
      </c>
      <c r="V4748" t="s">
        <v>6801</v>
      </c>
      <c r="W4748">
        <v>64587</v>
      </c>
      <c r="X4748" t="s">
        <v>7373</v>
      </c>
      <c r="Y4748">
        <v>48512</v>
      </c>
      <c r="Z4748">
        <v>1420914</v>
      </c>
      <c r="AA4748">
        <v>353650</v>
      </c>
      <c r="AB4748" t="str">
        <f>(VLOOKUP(SalesData[[#This Row],[Month Number]],Reference!C$5:E$16,2,FALSE))</f>
        <v>Feb</v>
      </c>
      <c r="AC4748">
        <f>MONTH(SalesData[[#This Row],[Date]])</f>
        <v>2</v>
      </c>
      <c r="AD4748">
        <f>Reference!F$4</f>
        <v>2026</v>
      </c>
      <c r="AE4748" t="str">
        <f>IF(OR(SalesData[[#This Row],[Day]]="Saturday",SalesData[[#This Row],[Day]]="Sunday"),"Weekend","Weekday")</f>
        <v>Weekday</v>
      </c>
      <c r="AF4748" s="5">
        <f>IF(SalesData[[#This Row],[Contracts Offered]]=0,0,SalesData[[#This Row],[Contracts Signed]]/SalesData[[#This Row],[Contracts Offered]])</f>
        <v>0.3235294117647059</v>
      </c>
      <c r="AG4748" s="5">
        <f>IF(SalesData[[#This Row],[Customers Visited]]=0,0,SalesData[[#This Row],[Test Drives]]/SalesData[[#This Row],[Customers Visited]])</f>
        <v>0.45410628019323673</v>
      </c>
      <c r="AH4748" s="5">
        <f>IF(SalesData[[#This Row],[Customers Visited]]=0,0,SalesData[[#This Row],[Contracts Signed]]/SalesData[[#This Row],[Customers Visited]])</f>
        <v>0.10628019323671498</v>
      </c>
      <c r="AI4748" s="6">
        <f>IF(SalesData[[#This Row],[Contracts Signed]]=0,0,SalesData[[#This Row],[Profit(€)]]/SalesData[[#This Row],[Contracts Signed]])</f>
        <v>16075</v>
      </c>
      <c r="AJ4748" s="5" t="str">
        <f>TRIM(CLEAN(SalesData[[#This Row],[Retailer]]))</f>
        <v>Stuttgart Auto Center</v>
      </c>
    </row>
    <row r="4749" spans="1:36" ht="14.25" hidden="1" x14ac:dyDescent="0.2">
      <c r="A4749" t="s">
        <v>6025</v>
      </c>
      <c r="B4749" s="1">
        <v>46061</v>
      </c>
      <c r="C4749" t="s">
        <v>121</v>
      </c>
      <c r="D4749" t="s">
        <v>41</v>
      </c>
      <c r="E4749" t="s">
        <v>42</v>
      </c>
      <c r="F4749" t="s">
        <v>27</v>
      </c>
      <c r="G4749" t="s">
        <v>28</v>
      </c>
      <c r="H4749" t="s">
        <v>29</v>
      </c>
      <c r="I4749" t="s">
        <v>56</v>
      </c>
      <c r="J4749" t="s">
        <v>137</v>
      </c>
      <c r="K4749" t="s">
        <v>32</v>
      </c>
      <c r="L4749" t="s">
        <v>46</v>
      </c>
      <c r="M4749" t="s">
        <v>87</v>
      </c>
      <c r="N4749" t="s">
        <v>35</v>
      </c>
      <c r="O4749" t="s">
        <v>36</v>
      </c>
      <c r="P4749" t="s">
        <v>58</v>
      </c>
      <c r="Q4749" t="s">
        <v>240</v>
      </c>
      <c r="R4749">
        <v>314</v>
      </c>
      <c r="S4749">
        <v>199</v>
      </c>
      <c r="T4749">
        <v>144</v>
      </c>
      <c r="U4749">
        <v>54</v>
      </c>
      <c r="V4749" t="s">
        <v>6520</v>
      </c>
      <c r="W4749">
        <v>42289</v>
      </c>
      <c r="X4749" t="s">
        <v>1263</v>
      </c>
      <c r="Y4749">
        <v>33111</v>
      </c>
      <c r="Z4749">
        <v>2283606</v>
      </c>
      <c r="AA4749">
        <v>495612</v>
      </c>
      <c r="AB4749" t="str">
        <f>(VLOOKUP(SalesData[[#This Row],[Month Number]],Reference!C$5:E$16,2,FALSE))</f>
        <v>Feb</v>
      </c>
      <c r="AC4749">
        <f>MONTH(SalesData[[#This Row],[Date]])</f>
        <v>2</v>
      </c>
      <c r="AD4749">
        <f>Reference!F$4</f>
        <v>2026</v>
      </c>
      <c r="AE4749" t="str">
        <f>IF(OR(SalesData[[#This Row],[Day]]="Saturday",SalesData[[#This Row],[Day]]="Sunday"),"Weekend","Weekday")</f>
        <v>Weekend</v>
      </c>
      <c r="AF4749" s="5">
        <f>IF(SalesData[[#This Row],[Contracts Offered]]=0,0,SalesData[[#This Row],[Contracts Signed]]/SalesData[[#This Row],[Contracts Offered]])</f>
        <v>0.375</v>
      </c>
      <c r="AG4749" s="5">
        <f>IF(SalesData[[#This Row],[Customers Visited]]=0,0,SalesData[[#This Row],[Test Drives]]/SalesData[[#This Row],[Customers Visited]])</f>
        <v>0.63375796178343946</v>
      </c>
      <c r="AH4749" s="5">
        <f>IF(SalesData[[#This Row],[Customers Visited]]=0,0,SalesData[[#This Row],[Contracts Signed]]/SalesData[[#This Row],[Customers Visited]])</f>
        <v>0.17197452229299362</v>
      </c>
      <c r="AI4749" s="6">
        <f>IF(SalesData[[#This Row],[Contracts Signed]]=0,0,SalesData[[#This Row],[Profit(€)]]/SalesData[[#This Row],[Contracts Signed]])</f>
        <v>9178</v>
      </c>
      <c r="AJ4749" s="5" t="str">
        <f>TRIM(CLEAN(SalesData[[#This Row],[Retailer]]))</f>
        <v>Main Auto Hub</v>
      </c>
    </row>
    <row r="4750" spans="1:36" ht="14.25" x14ac:dyDescent="0.2">
      <c r="A4750" t="s">
        <v>6026</v>
      </c>
      <c r="B4750" s="1">
        <v>46067</v>
      </c>
      <c r="C4750" t="s">
        <v>121</v>
      </c>
      <c r="D4750" t="s">
        <v>151</v>
      </c>
      <c r="E4750" t="s">
        <v>42</v>
      </c>
      <c r="F4750" t="s">
        <v>83</v>
      </c>
      <c r="G4750" t="s">
        <v>84</v>
      </c>
      <c r="H4750" t="s">
        <v>85</v>
      </c>
      <c r="I4750" t="s">
        <v>30</v>
      </c>
      <c r="J4750" t="s">
        <v>31</v>
      </c>
      <c r="K4750" t="s">
        <v>32</v>
      </c>
      <c r="L4750" t="s">
        <v>46</v>
      </c>
      <c r="M4750" t="s">
        <v>68</v>
      </c>
      <c r="N4750" t="s">
        <v>35</v>
      </c>
      <c r="O4750" t="s">
        <v>70</v>
      </c>
      <c r="P4750" t="s">
        <v>37</v>
      </c>
      <c r="Q4750" t="s">
        <v>158</v>
      </c>
      <c r="R4750">
        <v>272</v>
      </c>
      <c r="S4750">
        <v>134</v>
      </c>
      <c r="T4750">
        <v>99</v>
      </c>
      <c r="U4750">
        <v>35</v>
      </c>
      <c r="V4750" t="s">
        <v>6974</v>
      </c>
      <c r="W4750">
        <v>62813</v>
      </c>
      <c r="X4750" t="s">
        <v>826</v>
      </c>
      <c r="Y4750">
        <v>48608</v>
      </c>
      <c r="Z4750">
        <v>2198455</v>
      </c>
      <c r="AA4750">
        <v>497175</v>
      </c>
      <c r="AB4750" t="str">
        <f>(VLOOKUP(SalesData[[#This Row],[Month Number]],Reference!C$5:E$16,2,FALSE))</f>
        <v>Feb</v>
      </c>
      <c r="AC4750">
        <f>MONTH(SalesData[[#This Row],[Date]])</f>
        <v>2</v>
      </c>
      <c r="AD4750">
        <f>Reference!F$4</f>
        <v>2026</v>
      </c>
      <c r="AE4750" t="str">
        <f>IF(OR(SalesData[[#This Row],[Day]]="Saturday",SalesData[[#This Row],[Day]]="Sunday"),"Weekend","Weekday")</f>
        <v>Weekend</v>
      </c>
      <c r="AF4750" s="5">
        <f>IF(SalesData[[#This Row],[Contracts Offered]]=0,0,SalesData[[#This Row],[Contracts Signed]]/SalesData[[#This Row],[Contracts Offered]])</f>
        <v>0.35353535353535354</v>
      </c>
      <c r="AG4750" s="5">
        <f>IF(SalesData[[#This Row],[Customers Visited]]=0,0,SalesData[[#This Row],[Test Drives]]/SalesData[[#This Row],[Customers Visited]])</f>
        <v>0.49264705882352944</v>
      </c>
      <c r="AH4750" s="5">
        <f>IF(SalesData[[#This Row],[Customers Visited]]=0,0,SalesData[[#This Row],[Contracts Signed]]/SalesData[[#This Row],[Customers Visited]])</f>
        <v>0.12867647058823528</v>
      </c>
      <c r="AI4750" s="6">
        <f>IF(SalesData[[#This Row],[Contracts Signed]]=0,0,SalesData[[#This Row],[Profit(€)]]/SalesData[[#This Row],[Contracts Signed]])</f>
        <v>14205</v>
      </c>
      <c r="AJ4750" s="5" t="str">
        <f>TRIM(CLEAN(SalesData[[#This Row],[Retailer]]))</f>
        <v>Hannover Cars</v>
      </c>
    </row>
    <row r="4751" spans="1:36" ht="14.25" hidden="1" x14ac:dyDescent="0.2">
      <c r="A4751" t="s">
        <v>6027</v>
      </c>
      <c r="B4751" s="1">
        <v>46063</v>
      </c>
      <c r="C4751" t="s">
        <v>121</v>
      </c>
      <c r="D4751" t="s">
        <v>63</v>
      </c>
      <c r="E4751" t="s">
        <v>26</v>
      </c>
      <c r="F4751" t="s">
        <v>43</v>
      </c>
      <c r="G4751" t="s">
        <v>44</v>
      </c>
      <c r="H4751" t="s">
        <v>45</v>
      </c>
      <c r="I4751" t="s">
        <v>116</v>
      </c>
      <c r="J4751" t="s">
        <v>132</v>
      </c>
      <c r="K4751" t="s">
        <v>66</v>
      </c>
      <c r="L4751" t="s">
        <v>46</v>
      </c>
      <c r="M4751" t="s">
        <v>68</v>
      </c>
      <c r="N4751" t="s">
        <v>69</v>
      </c>
      <c r="O4751" t="s">
        <v>70</v>
      </c>
      <c r="P4751" t="s">
        <v>71</v>
      </c>
      <c r="Q4751" t="s">
        <v>144</v>
      </c>
      <c r="R4751">
        <v>411</v>
      </c>
      <c r="S4751">
        <v>161</v>
      </c>
      <c r="T4751">
        <v>92</v>
      </c>
      <c r="U4751">
        <v>22</v>
      </c>
      <c r="V4751" t="s">
        <v>1385</v>
      </c>
      <c r="W4751">
        <v>24428</v>
      </c>
      <c r="X4751" t="s">
        <v>2398</v>
      </c>
      <c r="Y4751">
        <v>22556</v>
      </c>
      <c r="Z4751">
        <v>537416</v>
      </c>
      <c r="AA4751">
        <v>41184</v>
      </c>
      <c r="AB4751" t="str">
        <f>(VLOOKUP(SalesData[[#This Row],[Month Number]],Reference!C$5:E$16,2,FALSE))</f>
        <v>Feb</v>
      </c>
      <c r="AC4751">
        <f>MONTH(SalesData[[#This Row],[Date]])</f>
        <v>2</v>
      </c>
      <c r="AD4751">
        <f>Reference!F$4</f>
        <v>2026</v>
      </c>
      <c r="AE4751" t="str">
        <f>IF(OR(SalesData[[#This Row],[Day]]="Saturday",SalesData[[#This Row],[Day]]="Sunday"),"Weekend","Weekday")</f>
        <v>Weekday</v>
      </c>
      <c r="AF4751" s="5">
        <f>IF(SalesData[[#This Row],[Contracts Offered]]=0,0,SalesData[[#This Row],[Contracts Signed]]/SalesData[[#This Row],[Contracts Offered]])</f>
        <v>0.2391304347826087</v>
      </c>
      <c r="AG4751" s="5">
        <f>IF(SalesData[[#This Row],[Customers Visited]]=0,0,SalesData[[#This Row],[Test Drives]]/SalesData[[#This Row],[Customers Visited]])</f>
        <v>0.39172749391727496</v>
      </c>
      <c r="AH4751" s="5">
        <f>IF(SalesData[[#This Row],[Customers Visited]]=0,0,SalesData[[#This Row],[Contracts Signed]]/SalesData[[#This Row],[Customers Visited]])</f>
        <v>5.3527980535279802E-2</v>
      </c>
      <c r="AI4751" s="6">
        <f>IF(SalesData[[#This Row],[Contracts Signed]]=0,0,SalesData[[#This Row],[Profit(€)]]/SalesData[[#This Row],[Contracts Signed]])</f>
        <v>1872</v>
      </c>
      <c r="AJ4751" s="5" t="str">
        <f>TRIM(CLEAN(SalesData[[#This Row],[Retailer]]))</f>
        <v>Saxon Wheels</v>
      </c>
    </row>
    <row r="4752" spans="1:36" ht="14.25" x14ac:dyDescent="0.2">
      <c r="A4752" t="s">
        <v>6028</v>
      </c>
      <c r="B4752" s="1">
        <v>46058</v>
      </c>
      <c r="C4752" t="s">
        <v>24</v>
      </c>
      <c r="D4752" t="s">
        <v>100</v>
      </c>
      <c r="E4752" t="s">
        <v>26</v>
      </c>
      <c r="F4752" t="s">
        <v>43</v>
      </c>
      <c r="G4752" t="s">
        <v>44</v>
      </c>
      <c r="H4752" t="s">
        <v>45</v>
      </c>
      <c r="I4752" t="s">
        <v>30</v>
      </c>
      <c r="J4752" t="s">
        <v>166</v>
      </c>
      <c r="K4752" t="s">
        <v>32</v>
      </c>
      <c r="L4752" t="s">
        <v>46</v>
      </c>
      <c r="M4752" t="s">
        <v>34</v>
      </c>
      <c r="N4752" t="s">
        <v>48</v>
      </c>
      <c r="O4752" t="s">
        <v>70</v>
      </c>
      <c r="P4752" t="s">
        <v>37</v>
      </c>
      <c r="Q4752" t="s">
        <v>169</v>
      </c>
      <c r="R4752">
        <v>168</v>
      </c>
      <c r="S4752">
        <v>91</v>
      </c>
      <c r="T4752">
        <v>73</v>
      </c>
      <c r="U4752">
        <v>25</v>
      </c>
      <c r="V4752" t="s">
        <v>7162</v>
      </c>
      <c r="W4752">
        <v>51637</v>
      </c>
      <c r="X4752" t="s">
        <v>1489</v>
      </c>
      <c r="Y4752">
        <v>37381</v>
      </c>
      <c r="Z4752">
        <v>1290925</v>
      </c>
      <c r="AA4752">
        <v>356400</v>
      </c>
      <c r="AB4752" t="str">
        <f>(VLOOKUP(SalesData[[#This Row],[Month Number]],Reference!C$5:E$16,2,FALSE))</f>
        <v>Feb</v>
      </c>
      <c r="AC4752">
        <f>MONTH(SalesData[[#This Row],[Date]])</f>
        <v>2</v>
      </c>
      <c r="AD4752">
        <f>Reference!F$4</f>
        <v>2026</v>
      </c>
      <c r="AE4752" t="str">
        <f>IF(OR(SalesData[[#This Row],[Day]]="Saturday",SalesData[[#This Row],[Day]]="Sunday"),"Weekend","Weekday")</f>
        <v>Weekday</v>
      </c>
      <c r="AF4752" s="5">
        <f>IF(SalesData[[#This Row],[Contracts Offered]]=0,0,SalesData[[#This Row],[Contracts Signed]]/SalesData[[#This Row],[Contracts Offered]])</f>
        <v>0.34246575342465752</v>
      </c>
      <c r="AG4752" s="5">
        <f>IF(SalesData[[#This Row],[Customers Visited]]=0,0,SalesData[[#This Row],[Test Drives]]/SalesData[[#This Row],[Customers Visited]])</f>
        <v>0.54166666666666663</v>
      </c>
      <c r="AH4752" s="5">
        <f>IF(SalesData[[#This Row],[Customers Visited]]=0,0,SalesData[[#This Row],[Contracts Signed]]/SalesData[[#This Row],[Customers Visited]])</f>
        <v>0.14880952380952381</v>
      </c>
      <c r="AI4752" s="6">
        <f>IF(SalesData[[#This Row],[Contracts Signed]]=0,0,SalesData[[#This Row],[Profit(€)]]/SalesData[[#This Row],[Contracts Signed]])</f>
        <v>14256</v>
      </c>
      <c r="AJ4752" s="5" t="str">
        <f>TRIM(CLEAN(SalesData[[#This Row],[Retailer]]))</f>
        <v>Saxon Wheels</v>
      </c>
    </row>
    <row r="4753" spans="1:36" ht="14.25" hidden="1" x14ac:dyDescent="0.2">
      <c r="A4753" t="s">
        <v>6029</v>
      </c>
      <c r="B4753" s="1">
        <v>46062</v>
      </c>
      <c r="C4753" t="s">
        <v>121</v>
      </c>
      <c r="D4753" t="s">
        <v>25</v>
      </c>
      <c r="E4753" t="s">
        <v>26</v>
      </c>
      <c r="F4753" t="s">
        <v>74</v>
      </c>
      <c r="G4753" t="s">
        <v>75</v>
      </c>
      <c r="H4753" t="s">
        <v>76</v>
      </c>
      <c r="I4753" t="s">
        <v>104</v>
      </c>
      <c r="J4753" t="s">
        <v>140</v>
      </c>
      <c r="K4753" t="s">
        <v>91</v>
      </c>
      <c r="L4753" t="s">
        <v>46</v>
      </c>
      <c r="M4753" t="s">
        <v>34</v>
      </c>
      <c r="N4753" t="s">
        <v>69</v>
      </c>
      <c r="O4753" t="s">
        <v>36</v>
      </c>
      <c r="P4753" t="s">
        <v>37</v>
      </c>
      <c r="Q4753" t="s">
        <v>204</v>
      </c>
      <c r="R4753">
        <v>478</v>
      </c>
      <c r="S4753">
        <v>211</v>
      </c>
      <c r="T4753">
        <v>145</v>
      </c>
      <c r="U4753">
        <v>37</v>
      </c>
      <c r="V4753" t="s">
        <v>356</v>
      </c>
      <c r="W4753">
        <v>32960</v>
      </c>
      <c r="X4753" t="s">
        <v>3596</v>
      </c>
      <c r="Y4753">
        <v>29698</v>
      </c>
      <c r="Z4753">
        <v>1219520</v>
      </c>
      <c r="AA4753">
        <v>120694</v>
      </c>
      <c r="AB4753" t="str">
        <f>(VLOOKUP(SalesData[[#This Row],[Month Number]],Reference!C$5:E$16,2,FALSE))</f>
        <v>Feb</v>
      </c>
      <c r="AC4753">
        <f>MONTH(SalesData[[#This Row],[Date]])</f>
        <v>2</v>
      </c>
      <c r="AD4753">
        <f>Reference!F$4</f>
        <v>2026</v>
      </c>
      <c r="AE4753" t="str">
        <f>IF(OR(SalesData[[#This Row],[Day]]="Saturday",SalesData[[#This Row],[Day]]="Sunday"),"Weekend","Weekday")</f>
        <v>Weekday</v>
      </c>
      <c r="AF4753" s="5">
        <f>IF(SalesData[[#This Row],[Contracts Offered]]=0,0,SalesData[[#This Row],[Contracts Signed]]/SalesData[[#This Row],[Contracts Offered]])</f>
        <v>0.25517241379310346</v>
      </c>
      <c r="AG4753" s="5">
        <f>IF(SalesData[[#This Row],[Customers Visited]]=0,0,SalesData[[#This Row],[Test Drives]]/SalesData[[#This Row],[Customers Visited]])</f>
        <v>0.44142259414225943</v>
      </c>
      <c r="AH4753" s="5">
        <f>IF(SalesData[[#This Row],[Customers Visited]]=0,0,SalesData[[#This Row],[Contracts Signed]]/SalesData[[#This Row],[Customers Visited]])</f>
        <v>7.7405857740585768E-2</v>
      </c>
      <c r="AI4753" s="6">
        <f>IF(SalesData[[#This Row],[Contracts Signed]]=0,0,SalesData[[#This Row],[Profit(€)]]/SalesData[[#This Row],[Contracts Signed]])</f>
        <v>3262</v>
      </c>
      <c r="AJ4753" s="5" t="str">
        <f>TRIM(CLEAN(SalesData[[#This Row],[Retailer]]))</f>
        <v>Stuttgart Auto Center</v>
      </c>
    </row>
    <row r="4754" spans="1:36" ht="14.25" hidden="1" x14ac:dyDescent="0.2">
      <c r="A4754" t="s">
        <v>6030</v>
      </c>
      <c r="B4754" s="1">
        <v>46081</v>
      </c>
      <c r="C4754" t="s">
        <v>53</v>
      </c>
      <c r="D4754" t="s">
        <v>151</v>
      </c>
      <c r="E4754" t="s">
        <v>42</v>
      </c>
      <c r="F4754" t="s">
        <v>94</v>
      </c>
      <c r="G4754" t="s">
        <v>95</v>
      </c>
      <c r="H4754" t="s">
        <v>96</v>
      </c>
      <c r="I4754" t="s">
        <v>64</v>
      </c>
      <c r="J4754" t="s">
        <v>77</v>
      </c>
      <c r="K4754" t="s">
        <v>91</v>
      </c>
      <c r="L4754" t="s">
        <v>46</v>
      </c>
      <c r="M4754" t="s">
        <v>87</v>
      </c>
      <c r="N4754" t="s">
        <v>48</v>
      </c>
      <c r="O4754" t="s">
        <v>36</v>
      </c>
      <c r="P4754" t="s">
        <v>58</v>
      </c>
      <c r="Q4754" t="s">
        <v>106</v>
      </c>
      <c r="R4754">
        <v>270</v>
      </c>
      <c r="S4754">
        <v>124</v>
      </c>
      <c r="T4754">
        <v>92</v>
      </c>
      <c r="U4754">
        <v>40</v>
      </c>
      <c r="V4754" t="s">
        <v>7037</v>
      </c>
      <c r="W4754">
        <v>70131</v>
      </c>
      <c r="X4754" t="s">
        <v>2278</v>
      </c>
      <c r="Y4754">
        <v>53723</v>
      </c>
      <c r="Z4754">
        <v>2805240</v>
      </c>
      <c r="AA4754">
        <v>656320</v>
      </c>
      <c r="AB4754" t="str">
        <f>(VLOOKUP(SalesData[[#This Row],[Month Number]],Reference!C$5:E$16,2,FALSE))</f>
        <v>Feb</v>
      </c>
      <c r="AC4754">
        <f>MONTH(SalesData[[#This Row],[Date]])</f>
        <v>2</v>
      </c>
      <c r="AD4754">
        <f>Reference!F$4</f>
        <v>2026</v>
      </c>
      <c r="AE4754" t="str">
        <f>IF(OR(SalesData[[#This Row],[Day]]="Saturday",SalesData[[#This Row],[Day]]="Sunday"),"Weekend","Weekday")</f>
        <v>Weekend</v>
      </c>
      <c r="AF4754" s="5">
        <f>IF(SalesData[[#This Row],[Contracts Offered]]=0,0,SalesData[[#This Row],[Contracts Signed]]/SalesData[[#This Row],[Contracts Offered]])</f>
        <v>0.43478260869565216</v>
      </c>
      <c r="AG4754" s="5">
        <f>IF(SalesData[[#This Row],[Customers Visited]]=0,0,SalesData[[#This Row],[Test Drives]]/SalesData[[#This Row],[Customers Visited]])</f>
        <v>0.45925925925925926</v>
      </c>
      <c r="AH4754" s="5">
        <f>IF(SalesData[[#This Row],[Customers Visited]]=0,0,SalesData[[#This Row],[Contracts Signed]]/SalesData[[#This Row],[Customers Visited]])</f>
        <v>0.14814814814814814</v>
      </c>
      <c r="AI4754" s="6">
        <f>IF(SalesData[[#This Row],[Contracts Signed]]=0,0,SalesData[[#This Row],[Profit(€)]]/SalesData[[#This Row],[Contracts Signed]])</f>
        <v>16408</v>
      </c>
      <c r="AJ4754" s="5" t="str">
        <f>TRIM(CLEAN(SalesData[[#This Row],[Retailer]]))</f>
        <v>Bavaria Motors</v>
      </c>
    </row>
    <row r="4755" spans="1:36" ht="14.25" hidden="1" x14ac:dyDescent="0.2">
      <c r="A4755" t="s">
        <v>6031</v>
      </c>
      <c r="B4755" s="1">
        <v>46072</v>
      </c>
      <c r="C4755" t="s">
        <v>62</v>
      </c>
      <c r="D4755" t="s">
        <v>100</v>
      </c>
      <c r="E4755" t="s">
        <v>26</v>
      </c>
      <c r="F4755" t="s">
        <v>114</v>
      </c>
      <c r="G4755" t="s">
        <v>115</v>
      </c>
      <c r="H4755" t="s">
        <v>115</v>
      </c>
      <c r="I4755" t="s">
        <v>104</v>
      </c>
      <c r="J4755" t="s">
        <v>7061</v>
      </c>
      <c r="K4755" t="s">
        <v>91</v>
      </c>
      <c r="L4755" t="s">
        <v>46</v>
      </c>
      <c r="M4755" t="s">
        <v>34</v>
      </c>
      <c r="N4755" t="s">
        <v>69</v>
      </c>
      <c r="O4755" t="s">
        <v>70</v>
      </c>
      <c r="P4755" t="s">
        <v>49</v>
      </c>
      <c r="Q4755" t="s">
        <v>59</v>
      </c>
      <c r="R4755">
        <v>279</v>
      </c>
      <c r="S4755">
        <v>116</v>
      </c>
      <c r="T4755">
        <v>74</v>
      </c>
      <c r="U4755">
        <v>16</v>
      </c>
      <c r="V4755" t="s">
        <v>301</v>
      </c>
      <c r="W4755">
        <v>32531</v>
      </c>
      <c r="X4755" t="s">
        <v>5601</v>
      </c>
      <c r="Y4755">
        <v>28925</v>
      </c>
      <c r="Z4755">
        <v>520496</v>
      </c>
      <c r="AA4755">
        <v>57696</v>
      </c>
      <c r="AB4755" t="str">
        <f>(VLOOKUP(SalesData[[#This Row],[Month Number]],Reference!C$5:E$16,2,FALSE))</f>
        <v>Feb</v>
      </c>
      <c r="AC4755">
        <f>MONTH(SalesData[[#This Row],[Date]])</f>
        <v>2</v>
      </c>
      <c r="AD4755">
        <f>Reference!F$4</f>
        <v>2026</v>
      </c>
      <c r="AE4755" t="str">
        <f>IF(OR(SalesData[[#This Row],[Day]]="Saturday",SalesData[[#This Row],[Day]]="Sunday"),"Weekend","Weekday")</f>
        <v>Weekday</v>
      </c>
      <c r="AF4755" s="5">
        <f>IF(SalesData[[#This Row],[Contracts Offered]]=0,0,SalesData[[#This Row],[Contracts Signed]]/SalesData[[#This Row],[Contracts Offered]])</f>
        <v>0.21621621621621623</v>
      </c>
      <c r="AG4755" s="5">
        <f>IF(SalesData[[#This Row],[Customers Visited]]=0,0,SalesData[[#This Row],[Test Drives]]/SalesData[[#This Row],[Customers Visited]])</f>
        <v>0.4157706093189964</v>
      </c>
      <c r="AH4755" s="5">
        <f>IF(SalesData[[#This Row],[Customers Visited]]=0,0,SalesData[[#This Row],[Contracts Signed]]/SalesData[[#This Row],[Customers Visited]])</f>
        <v>5.7347670250896057E-2</v>
      </c>
      <c r="AI4755" s="6">
        <f>IF(SalesData[[#This Row],[Contracts Signed]]=0,0,SalesData[[#This Row],[Profit(€)]]/SalesData[[#This Row],[Contracts Signed]])</f>
        <v>3606</v>
      </c>
      <c r="AJ4755" s="5" t="str">
        <f>TRIM(CLEAN(SalesData[[#This Row],[Retailer]]))</f>
        <v>Elbe Drive</v>
      </c>
    </row>
    <row r="4756" spans="1:36" ht="14.25" x14ac:dyDescent="0.2">
      <c r="A4756" t="s">
        <v>6032</v>
      </c>
      <c r="B4756" s="1">
        <v>46055</v>
      </c>
      <c r="C4756" t="s">
        <v>24</v>
      </c>
      <c r="D4756" t="s">
        <v>25</v>
      </c>
      <c r="E4756" t="s">
        <v>26</v>
      </c>
      <c r="F4756" t="s">
        <v>83</v>
      </c>
      <c r="G4756" t="s">
        <v>84</v>
      </c>
      <c r="H4756" t="s">
        <v>85</v>
      </c>
      <c r="I4756" t="s">
        <v>30</v>
      </c>
      <c r="J4756" t="s">
        <v>7075</v>
      </c>
      <c r="K4756" t="s">
        <v>78</v>
      </c>
      <c r="L4756" t="s">
        <v>33</v>
      </c>
      <c r="M4756" t="s">
        <v>87</v>
      </c>
      <c r="N4756" t="s">
        <v>48</v>
      </c>
      <c r="O4756" t="s">
        <v>70</v>
      </c>
      <c r="P4756" t="s">
        <v>58</v>
      </c>
      <c r="Q4756" t="s">
        <v>144</v>
      </c>
      <c r="R4756">
        <v>262</v>
      </c>
      <c r="S4756">
        <v>127</v>
      </c>
      <c r="T4756">
        <v>87</v>
      </c>
      <c r="U4756">
        <v>38</v>
      </c>
      <c r="V4756" t="s">
        <v>7253</v>
      </c>
      <c r="W4756">
        <v>66690</v>
      </c>
      <c r="X4756" t="s">
        <v>7103</v>
      </c>
      <c r="Y4756">
        <v>49063</v>
      </c>
      <c r="Z4756">
        <v>2534220</v>
      </c>
      <c r="AA4756">
        <v>669826</v>
      </c>
      <c r="AB4756" t="str">
        <f>(VLOOKUP(SalesData[[#This Row],[Month Number]],Reference!C$5:E$16,2,FALSE))</f>
        <v>Feb</v>
      </c>
      <c r="AC4756">
        <f>MONTH(SalesData[[#This Row],[Date]])</f>
        <v>2</v>
      </c>
      <c r="AD4756">
        <f>Reference!F$4</f>
        <v>2026</v>
      </c>
      <c r="AE4756" t="str">
        <f>IF(OR(SalesData[[#This Row],[Day]]="Saturday",SalesData[[#This Row],[Day]]="Sunday"),"Weekend","Weekday")</f>
        <v>Weekday</v>
      </c>
      <c r="AF4756" s="5">
        <f>IF(SalesData[[#This Row],[Contracts Offered]]=0,0,SalesData[[#This Row],[Contracts Signed]]/SalesData[[#This Row],[Contracts Offered]])</f>
        <v>0.43678160919540232</v>
      </c>
      <c r="AG4756" s="5">
        <f>IF(SalesData[[#This Row],[Customers Visited]]=0,0,SalesData[[#This Row],[Test Drives]]/SalesData[[#This Row],[Customers Visited]])</f>
        <v>0.48473282442748089</v>
      </c>
      <c r="AH4756" s="5">
        <f>IF(SalesData[[#This Row],[Customers Visited]]=0,0,SalesData[[#This Row],[Contracts Signed]]/SalesData[[#This Row],[Customers Visited]])</f>
        <v>0.14503816793893129</v>
      </c>
      <c r="AI4756" s="6">
        <f>IF(SalesData[[#This Row],[Contracts Signed]]=0,0,SalesData[[#This Row],[Profit(€)]]/SalesData[[#This Row],[Contracts Signed]])</f>
        <v>17627</v>
      </c>
      <c r="AJ4756" s="5" t="str">
        <f>TRIM(CLEAN(SalesData[[#This Row],[Retailer]]))</f>
        <v>Hannover Cars</v>
      </c>
    </row>
    <row r="4757" spans="1:36" ht="14.25" hidden="1" x14ac:dyDescent="0.2">
      <c r="A4757" t="s">
        <v>6033</v>
      </c>
      <c r="B4757" s="1">
        <v>46054</v>
      </c>
      <c r="C4757" t="s">
        <v>24</v>
      </c>
      <c r="D4757" t="s">
        <v>41</v>
      </c>
      <c r="E4757" t="s">
        <v>42</v>
      </c>
      <c r="F4757" t="s">
        <v>109</v>
      </c>
      <c r="G4757" t="s">
        <v>110</v>
      </c>
      <c r="H4757" t="s">
        <v>45</v>
      </c>
      <c r="I4757" t="s">
        <v>116</v>
      </c>
      <c r="J4757" t="s">
        <v>203</v>
      </c>
      <c r="K4757" t="s">
        <v>66</v>
      </c>
      <c r="L4757" t="s">
        <v>67</v>
      </c>
      <c r="M4757" t="s">
        <v>87</v>
      </c>
      <c r="N4757" t="s">
        <v>35</v>
      </c>
      <c r="O4757" t="s">
        <v>36</v>
      </c>
      <c r="P4757" t="s">
        <v>49</v>
      </c>
      <c r="Q4757" t="s">
        <v>169</v>
      </c>
      <c r="R4757">
        <v>306</v>
      </c>
      <c r="S4757">
        <v>127</v>
      </c>
      <c r="T4757">
        <v>81</v>
      </c>
      <c r="U4757">
        <v>17</v>
      </c>
      <c r="V4757" t="s">
        <v>567</v>
      </c>
      <c r="W4757">
        <v>19622</v>
      </c>
      <c r="X4757" t="s">
        <v>1045</v>
      </c>
      <c r="Y4757">
        <v>17746</v>
      </c>
      <c r="Z4757">
        <v>333574</v>
      </c>
      <c r="AA4757">
        <v>31892</v>
      </c>
      <c r="AB4757" t="str">
        <f>(VLOOKUP(SalesData[[#This Row],[Month Number]],Reference!C$5:E$16,2,FALSE))</f>
        <v>Feb</v>
      </c>
      <c r="AC4757">
        <f>MONTH(SalesData[[#This Row],[Date]])</f>
        <v>2</v>
      </c>
      <c r="AD4757">
        <f>Reference!F$4</f>
        <v>2026</v>
      </c>
      <c r="AE4757" t="str">
        <f>IF(OR(SalesData[[#This Row],[Day]]="Saturday",SalesData[[#This Row],[Day]]="Sunday"),"Weekend","Weekday")</f>
        <v>Weekend</v>
      </c>
      <c r="AF4757" s="5">
        <f>IF(SalesData[[#This Row],[Contracts Offered]]=0,0,SalesData[[#This Row],[Contracts Signed]]/SalesData[[#This Row],[Contracts Offered]])</f>
        <v>0.20987654320987653</v>
      </c>
      <c r="AG4757" s="5">
        <f>IF(SalesData[[#This Row],[Customers Visited]]=0,0,SalesData[[#This Row],[Test Drives]]/SalesData[[#This Row],[Customers Visited]])</f>
        <v>0.41503267973856212</v>
      </c>
      <c r="AH4757" s="5">
        <f>IF(SalesData[[#This Row],[Customers Visited]]=0,0,SalesData[[#This Row],[Contracts Signed]]/SalesData[[#This Row],[Customers Visited]])</f>
        <v>5.5555555555555552E-2</v>
      </c>
      <c r="AI4757" s="6">
        <f>IF(SalesData[[#This Row],[Contracts Signed]]=0,0,SalesData[[#This Row],[Profit(€)]]/SalesData[[#This Row],[Contracts Signed]])</f>
        <v>1876</v>
      </c>
      <c r="AJ4757" s="5" t="str">
        <f>TRIM(CLEAN(SalesData[[#This Row],[Retailer]]))</f>
        <v>Leipzig Mobility</v>
      </c>
    </row>
    <row r="4758" spans="1:36" ht="14.25" hidden="1" x14ac:dyDescent="0.2">
      <c r="A4758" t="s">
        <v>6034</v>
      </c>
      <c r="B4758" s="1">
        <v>46073</v>
      </c>
      <c r="C4758" t="s">
        <v>62</v>
      </c>
      <c r="D4758" t="s">
        <v>54</v>
      </c>
      <c r="E4758" t="s">
        <v>26</v>
      </c>
      <c r="F4758" t="s">
        <v>43</v>
      </c>
      <c r="G4758" t="s">
        <v>44</v>
      </c>
      <c r="H4758" t="s">
        <v>45</v>
      </c>
      <c r="I4758" t="s">
        <v>116</v>
      </c>
      <c r="J4758" t="s">
        <v>7090</v>
      </c>
      <c r="K4758" t="s">
        <v>66</v>
      </c>
      <c r="L4758" t="s">
        <v>46</v>
      </c>
      <c r="M4758" t="s">
        <v>68</v>
      </c>
      <c r="N4758" t="s">
        <v>48</v>
      </c>
      <c r="O4758" t="s">
        <v>36</v>
      </c>
      <c r="P4758" t="s">
        <v>37</v>
      </c>
      <c r="Q4758" t="s">
        <v>135</v>
      </c>
      <c r="R4758">
        <v>222</v>
      </c>
      <c r="S4758">
        <v>119</v>
      </c>
      <c r="T4758">
        <v>79</v>
      </c>
      <c r="U4758">
        <v>17</v>
      </c>
      <c r="V4758" t="s">
        <v>527</v>
      </c>
      <c r="W4758">
        <v>21267</v>
      </c>
      <c r="X4758" t="s">
        <v>7587</v>
      </c>
      <c r="Y4758">
        <v>19135</v>
      </c>
      <c r="Z4758">
        <v>361539</v>
      </c>
      <c r="AA4758">
        <v>36244</v>
      </c>
      <c r="AB4758" t="str">
        <f>(VLOOKUP(SalesData[[#This Row],[Month Number]],Reference!C$5:E$16,2,FALSE))</f>
        <v>Feb</v>
      </c>
      <c r="AC4758">
        <f>MONTH(SalesData[[#This Row],[Date]])</f>
        <v>2</v>
      </c>
      <c r="AD4758">
        <f>Reference!F$4</f>
        <v>2026</v>
      </c>
      <c r="AE4758" t="str">
        <f>IF(OR(SalesData[[#This Row],[Day]]="Saturday",SalesData[[#This Row],[Day]]="Sunday"),"Weekend","Weekday")</f>
        <v>Weekday</v>
      </c>
      <c r="AF4758" s="5">
        <f>IF(SalesData[[#This Row],[Contracts Offered]]=0,0,SalesData[[#This Row],[Contracts Signed]]/SalesData[[#This Row],[Contracts Offered]])</f>
        <v>0.21518987341772153</v>
      </c>
      <c r="AG4758" s="5">
        <f>IF(SalesData[[#This Row],[Customers Visited]]=0,0,SalesData[[#This Row],[Test Drives]]/SalesData[[#This Row],[Customers Visited]])</f>
        <v>0.536036036036036</v>
      </c>
      <c r="AH4758" s="5">
        <f>IF(SalesData[[#This Row],[Customers Visited]]=0,0,SalesData[[#This Row],[Contracts Signed]]/SalesData[[#This Row],[Customers Visited]])</f>
        <v>7.6576576576576572E-2</v>
      </c>
      <c r="AI4758" s="6">
        <f>IF(SalesData[[#This Row],[Contracts Signed]]=0,0,SalesData[[#This Row],[Profit(€)]]/SalesData[[#This Row],[Contracts Signed]])</f>
        <v>2132</v>
      </c>
      <c r="AJ4758" s="5" t="str">
        <f>TRIM(CLEAN(SalesData[[#This Row],[Retailer]]))</f>
        <v>Saxon Wheels</v>
      </c>
    </row>
    <row r="4759" spans="1:36" ht="14.25" hidden="1" x14ac:dyDescent="0.2">
      <c r="A4759" t="s">
        <v>6035</v>
      </c>
      <c r="B4759" s="1">
        <v>46066</v>
      </c>
      <c r="C4759" t="s">
        <v>121</v>
      </c>
      <c r="D4759" t="s">
        <v>54</v>
      </c>
      <c r="E4759" t="s">
        <v>26</v>
      </c>
      <c r="F4759" t="s">
        <v>27</v>
      </c>
      <c r="G4759" t="s">
        <v>28</v>
      </c>
      <c r="H4759" t="s">
        <v>29</v>
      </c>
      <c r="I4759" t="s">
        <v>64</v>
      </c>
      <c r="J4759" t="s">
        <v>157</v>
      </c>
      <c r="K4759" t="s">
        <v>66</v>
      </c>
      <c r="L4759" t="s">
        <v>33</v>
      </c>
      <c r="M4759" t="s">
        <v>47</v>
      </c>
      <c r="N4759" t="s">
        <v>69</v>
      </c>
      <c r="O4759" t="s">
        <v>70</v>
      </c>
      <c r="P4759" t="s">
        <v>71</v>
      </c>
      <c r="Q4759" t="s">
        <v>204</v>
      </c>
      <c r="R4759">
        <v>225</v>
      </c>
      <c r="S4759">
        <v>114</v>
      </c>
      <c r="T4759">
        <v>83</v>
      </c>
      <c r="U4759">
        <v>29</v>
      </c>
      <c r="V4759" t="s">
        <v>6596</v>
      </c>
      <c r="W4759">
        <v>53844</v>
      </c>
      <c r="X4759" t="s">
        <v>7346</v>
      </c>
      <c r="Y4759">
        <v>38422</v>
      </c>
      <c r="Z4759">
        <v>1561476</v>
      </c>
      <c r="AA4759">
        <v>447238</v>
      </c>
      <c r="AB4759" t="str">
        <f>(VLOOKUP(SalesData[[#This Row],[Month Number]],Reference!C$5:E$16,2,FALSE))</f>
        <v>Feb</v>
      </c>
      <c r="AC4759">
        <f>MONTH(SalesData[[#This Row],[Date]])</f>
        <v>2</v>
      </c>
      <c r="AD4759">
        <f>Reference!F$4</f>
        <v>2026</v>
      </c>
      <c r="AE4759" t="str">
        <f>IF(OR(SalesData[[#This Row],[Day]]="Saturday",SalesData[[#This Row],[Day]]="Sunday"),"Weekend","Weekday")</f>
        <v>Weekday</v>
      </c>
      <c r="AF4759" s="5">
        <f>IF(SalesData[[#This Row],[Contracts Offered]]=0,0,SalesData[[#This Row],[Contracts Signed]]/SalesData[[#This Row],[Contracts Offered]])</f>
        <v>0.3493975903614458</v>
      </c>
      <c r="AG4759" s="5">
        <f>IF(SalesData[[#This Row],[Customers Visited]]=0,0,SalesData[[#This Row],[Test Drives]]/SalesData[[#This Row],[Customers Visited]])</f>
        <v>0.50666666666666671</v>
      </c>
      <c r="AH4759" s="5">
        <f>IF(SalesData[[#This Row],[Customers Visited]]=0,0,SalesData[[#This Row],[Contracts Signed]]/SalesData[[#This Row],[Customers Visited]])</f>
        <v>0.12888888888888889</v>
      </c>
      <c r="AI4759" s="6">
        <f>IF(SalesData[[#This Row],[Contracts Signed]]=0,0,SalesData[[#This Row],[Profit(€)]]/SalesData[[#This Row],[Contracts Signed]])</f>
        <v>15422</v>
      </c>
      <c r="AJ4759" s="5" t="str">
        <f>TRIM(CLEAN(SalesData[[#This Row],[Retailer]]))</f>
        <v>Main Auto Hub</v>
      </c>
    </row>
    <row r="4760" spans="1:36" ht="14.25" x14ac:dyDescent="0.2">
      <c r="A4760" t="s">
        <v>6036</v>
      </c>
      <c r="B4760" s="1">
        <v>46068</v>
      </c>
      <c r="C4760" t="s">
        <v>62</v>
      </c>
      <c r="D4760" t="s">
        <v>41</v>
      </c>
      <c r="E4760" t="s">
        <v>42</v>
      </c>
      <c r="F4760" t="s">
        <v>114</v>
      </c>
      <c r="G4760" t="s">
        <v>115</v>
      </c>
      <c r="H4760" t="s">
        <v>115</v>
      </c>
      <c r="I4760" t="s">
        <v>30</v>
      </c>
      <c r="J4760" t="s">
        <v>166</v>
      </c>
      <c r="K4760" t="s">
        <v>32</v>
      </c>
      <c r="L4760" t="s">
        <v>46</v>
      </c>
      <c r="M4760" t="s">
        <v>87</v>
      </c>
      <c r="N4760" t="s">
        <v>69</v>
      </c>
      <c r="O4760" t="s">
        <v>70</v>
      </c>
      <c r="P4760" t="s">
        <v>58</v>
      </c>
      <c r="Q4760" t="s">
        <v>169</v>
      </c>
      <c r="R4760">
        <v>269</v>
      </c>
      <c r="S4760">
        <v>121</v>
      </c>
      <c r="T4760">
        <v>84</v>
      </c>
      <c r="U4760">
        <v>39</v>
      </c>
      <c r="V4760" t="s">
        <v>7642</v>
      </c>
      <c r="W4760">
        <v>54530</v>
      </c>
      <c r="X4760" t="s">
        <v>7210</v>
      </c>
      <c r="Y4760">
        <v>40107</v>
      </c>
      <c r="Z4760">
        <v>2126670</v>
      </c>
      <c r="AA4760">
        <v>562497</v>
      </c>
      <c r="AB4760" t="str">
        <f>(VLOOKUP(SalesData[[#This Row],[Month Number]],Reference!C$5:E$16,2,FALSE))</f>
        <v>Feb</v>
      </c>
      <c r="AC4760">
        <f>MONTH(SalesData[[#This Row],[Date]])</f>
        <v>2</v>
      </c>
      <c r="AD4760">
        <f>Reference!F$4</f>
        <v>2026</v>
      </c>
      <c r="AE4760" t="str">
        <f>IF(OR(SalesData[[#This Row],[Day]]="Saturday",SalesData[[#This Row],[Day]]="Sunday"),"Weekend","Weekday")</f>
        <v>Weekend</v>
      </c>
      <c r="AF4760" s="5">
        <f>IF(SalesData[[#This Row],[Contracts Offered]]=0,0,SalesData[[#This Row],[Contracts Signed]]/SalesData[[#This Row],[Contracts Offered]])</f>
        <v>0.4642857142857143</v>
      </c>
      <c r="AG4760" s="5">
        <f>IF(SalesData[[#This Row],[Customers Visited]]=0,0,SalesData[[#This Row],[Test Drives]]/SalesData[[#This Row],[Customers Visited]])</f>
        <v>0.44981412639405205</v>
      </c>
      <c r="AH4760" s="5">
        <f>IF(SalesData[[#This Row],[Customers Visited]]=0,0,SalesData[[#This Row],[Contracts Signed]]/SalesData[[#This Row],[Customers Visited]])</f>
        <v>0.1449814126394052</v>
      </c>
      <c r="AI4760" s="6">
        <f>IF(SalesData[[#This Row],[Contracts Signed]]=0,0,SalesData[[#This Row],[Profit(€)]]/SalesData[[#This Row],[Contracts Signed]])</f>
        <v>14423</v>
      </c>
      <c r="AJ4760" s="5" t="str">
        <f>TRIM(CLEAN(SalesData[[#This Row],[Retailer]]))</f>
        <v>Elbe Drive</v>
      </c>
    </row>
    <row r="4761" spans="1:36" ht="14.25" hidden="1" x14ac:dyDescent="0.2">
      <c r="A4761" t="s">
        <v>6037</v>
      </c>
      <c r="B4761" s="1">
        <v>46059</v>
      </c>
      <c r="C4761" t="s">
        <v>24</v>
      </c>
      <c r="D4761" t="s">
        <v>54</v>
      </c>
      <c r="E4761" t="s">
        <v>26</v>
      </c>
      <c r="F4761" t="s">
        <v>94</v>
      </c>
      <c r="G4761" t="s">
        <v>95</v>
      </c>
      <c r="H4761" t="s">
        <v>96</v>
      </c>
      <c r="I4761" t="s">
        <v>104</v>
      </c>
      <c r="J4761" t="s">
        <v>143</v>
      </c>
      <c r="K4761" t="s">
        <v>32</v>
      </c>
      <c r="L4761" t="s">
        <v>67</v>
      </c>
      <c r="M4761" t="s">
        <v>87</v>
      </c>
      <c r="N4761" t="s">
        <v>35</v>
      </c>
      <c r="O4761" t="s">
        <v>70</v>
      </c>
      <c r="P4761" t="s">
        <v>37</v>
      </c>
      <c r="Q4761" t="s">
        <v>240</v>
      </c>
      <c r="R4761">
        <v>280</v>
      </c>
      <c r="S4761">
        <v>124</v>
      </c>
      <c r="T4761">
        <v>81</v>
      </c>
      <c r="U4761">
        <v>17</v>
      </c>
      <c r="V4761" t="s">
        <v>636</v>
      </c>
      <c r="W4761">
        <v>32681</v>
      </c>
      <c r="X4761" t="s">
        <v>838</v>
      </c>
      <c r="Y4761">
        <v>28834</v>
      </c>
      <c r="Z4761">
        <v>555577</v>
      </c>
      <c r="AA4761">
        <v>65399</v>
      </c>
      <c r="AB4761" t="str">
        <f>(VLOOKUP(SalesData[[#This Row],[Month Number]],Reference!C$5:E$16,2,FALSE))</f>
        <v>Feb</v>
      </c>
      <c r="AC4761">
        <f>MONTH(SalesData[[#This Row],[Date]])</f>
        <v>2</v>
      </c>
      <c r="AD4761">
        <f>Reference!F$4</f>
        <v>2026</v>
      </c>
      <c r="AE4761" t="str">
        <f>IF(OR(SalesData[[#This Row],[Day]]="Saturday",SalesData[[#This Row],[Day]]="Sunday"),"Weekend","Weekday")</f>
        <v>Weekday</v>
      </c>
      <c r="AF4761" s="5">
        <f>IF(SalesData[[#This Row],[Contracts Offered]]=0,0,SalesData[[#This Row],[Contracts Signed]]/SalesData[[#This Row],[Contracts Offered]])</f>
        <v>0.20987654320987653</v>
      </c>
      <c r="AG4761" s="5">
        <f>IF(SalesData[[#This Row],[Customers Visited]]=0,0,SalesData[[#This Row],[Test Drives]]/SalesData[[#This Row],[Customers Visited]])</f>
        <v>0.44285714285714284</v>
      </c>
      <c r="AH4761" s="5">
        <f>IF(SalesData[[#This Row],[Customers Visited]]=0,0,SalesData[[#This Row],[Contracts Signed]]/SalesData[[#This Row],[Customers Visited]])</f>
        <v>6.0714285714285714E-2</v>
      </c>
      <c r="AI4761" s="6">
        <f>IF(SalesData[[#This Row],[Contracts Signed]]=0,0,SalesData[[#This Row],[Profit(€)]]/SalesData[[#This Row],[Contracts Signed]])</f>
        <v>3847</v>
      </c>
      <c r="AJ4761" s="5" t="str">
        <f>TRIM(CLEAN(SalesData[[#This Row],[Retailer]]))</f>
        <v>Bavaria Motors</v>
      </c>
    </row>
    <row r="4762" spans="1:36" ht="14.25" hidden="1" x14ac:dyDescent="0.2">
      <c r="A4762" t="s">
        <v>6038</v>
      </c>
      <c r="B4762" s="1">
        <v>46056</v>
      </c>
      <c r="C4762" t="s">
        <v>24</v>
      </c>
      <c r="D4762" t="s">
        <v>63</v>
      </c>
      <c r="E4762" t="s">
        <v>26</v>
      </c>
      <c r="F4762" t="s">
        <v>127</v>
      </c>
      <c r="G4762" t="s">
        <v>128</v>
      </c>
      <c r="H4762" t="s">
        <v>103</v>
      </c>
      <c r="I4762" t="s">
        <v>116</v>
      </c>
      <c r="J4762" t="s">
        <v>132</v>
      </c>
      <c r="K4762" t="s">
        <v>91</v>
      </c>
      <c r="L4762" t="s">
        <v>46</v>
      </c>
      <c r="M4762" t="s">
        <v>47</v>
      </c>
      <c r="N4762" t="s">
        <v>35</v>
      </c>
      <c r="O4762" t="s">
        <v>70</v>
      </c>
      <c r="P4762" t="s">
        <v>37</v>
      </c>
      <c r="Q4762" t="s">
        <v>79</v>
      </c>
      <c r="R4762">
        <v>330</v>
      </c>
      <c r="S4762">
        <v>182</v>
      </c>
      <c r="T4762">
        <v>125</v>
      </c>
      <c r="U4762">
        <v>25</v>
      </c>
      <c r="V4762" t="s">
        <v>3072</v>
      </c>
      <c r="W4762">
        <v>24193</v>
      </c>
      <c r="X4762" t="s">
        <v>7048</v>
      </c>
      <c r="Y4762">
        <v>21946</v>
      </c>
      <c r="Z4762">
        <v>604825</v>
      </c>
      <c r="AA4762">
        <v>56175</v>
      </c>
      <c r="AB4762" t="str">
        <f>(VLOOKUP(SalesData[[#This Row],[Month Number]],Reference!C$5:E$16,2,FALSE))</f>
        <v>Feb</v>
      </c>
      <c r="AC4762">
        <f>MONTH(SalesData[[#This Row],[Date]])</f>
        <v>2</v>
      </c>
      <c r="AD4762">
        <f>Reference!F$4</f>
        <v>2026</v>
      </c>
      <c r="AE4762" t="str">
        <f>IF(OR(SalesData[[#This Row],[Day]]="Saturday",SalesData[[#This Row],[Day]]="Sunday"),"Weekend","Weekday")</f>
        <v>Weekday</v>
      </c>
      <c r="AF4762" s="5">
        <f>IF(SalesData[[#This Row],[Contracts Offered]]=0,0,SalesData[[#This Row],[Contracts Signed]]/SalesData[[#This Row],[Contracts Offered]])</f>
        <v>0.2</v>
      </c>
      <c r="AG4762" s="5">
        <f>IF(SalesData[[#This Row],[Customers Visited]]=0,0,SalesData[[#This Row],[Test Drives]]/SalesData[[#This Row],[Customers Visited]])</f>
        <v>0.55151515151515151</v>
      </c>
      <c r="AH4762" s="5">
        <f>IF(SalesData[[#This Row],[Customers Visited]]=0,0,SalesData[[#This Row],[Contracts Signed]]/SalesData[[#This Row],[Customers Visited]])</f>
        <v>7.575757575757576E-2</v>
      </c>
      <c r="AI4762" s="6">
        <f>IF(SalesData[[#This Row],[Contracts Signed]]=0,0,SalesData[[#This Row],[Profit(€)]]/SalesData[[#This Row],[Contracts Signed]])</f>
        <v>2247</v>
      </c>
      <c r="AJ4762" s="5" t="str">
        <f>TRIM(CLEAN(SalesData[[#This Row],[Retailer]]))</f>
        <v>Rhein Auto Group</v>
      </c>
    </row>
    <row r="4763" spans="1:36" ht="14.25" hidden="1" x14ac:dyDescent="0.2">
      <c r="A4763" t="s">
        <v>6039</v>
      </c>
      <c r="B4763" s="1">
        <v>46075</v>
      </c>
      <c r="C4763" t="s">
        <v>53</v>
      </c>
      <c r="D4763" t="s">
        <v>41</v>
      </c>
      <c r="E4763" t="s">
        <v>42</v>
      </c>
      <c r="F4763" t="s">
        <v>7649</v>
      </c>
      <c r="G4763" t="s">
        <v>55</v>
      </c>
      <c r="H4763" t="s">
        <v>55</v>
      </c>
      <c r="I4763" t="s">
        <v>64</v>
      </c>
      <c r="J4763" t="s">
        <v>111</v>
      </c>
      <c r="K4763" t="s">
        <v>32</v>
      </c>
      <c r="L4763" t="s">
        <v>46</v>
      </c>
      <c r="M4763" t="s">
        <v>47</v>
      </c>
      <c r="N4763" t="s">
        <v>35</v>
      </c>
      <c r="O4763" t="s">
        <v>70</v>
      </c>
      <c r="P4763" t="s">
        <v>37</v>
      </c>
      <c r="Q4763" t="s">
        <v>144</v>
      </c>
      <c r="R4763">
        <v>175</v>
      </c>
      <c r="S4763">
        <v>100</v>
      </c>
      <c r="T4763">
        <v>72</v>
      </c>
      <c r="U4763">
        <v>25</v>
      </c>
      <c r="V4763" t="s">
        <v>6403</v>
      </c>
      <c r="W4763">
        <v>54965</v>
      </c>
      <c r="X4763" t="s">
        <v>4006</v>
      </c>
      <c r="Y4763">
        <v>42513</v>
      </c>
      <c r="Z4763">
        <v>1374125</v>
      </c>
      <c r="AA4763">
        <v>311300</v>
      </c>
      <c r="AB4763" t="str">
        <f>(VLOOKUP(SalesData[[#This Row],[Month Number]],Reference!C$5:E$16,2,FALSE))</f>
        <v>Feb</v>
      </c>
      <c r="AC4763">
        <f>MONTH(SalesData[[#This Row],[Date]])</f>
        <v>2</v>
      </c>
      <c r="AD4763">
        <f>Reference!F$4</f>
        <v>2026</v>
      </c>
      <c r="AE4763" t="str">
        <f>IF(OR(SalesData[[#This Row],[Day]]="Saturday",SalesData[[#This Row],[Day]]="Sunday"),"Weekend","Weekday")</f>
        <v>Weekend</v>
      </c>
      <c r="AF4763" s="5">
        <f>IF(SalesData[[#This Row],[Contracts Offered]]=0,0,SalesData[[#This Row],[Contracts Signed]]/SalesData[[#This Row],[Contracts Offered]])</f>
        <v>0.34722222222222221</v>
      </c>
      <c r="AG4763" s="5">
        <f>IF(SalesData[[#This Row],[Customers Visited]]=0,0,SalesData[[#This Row],[Test Drives]]/SalesData[[#This Row],[Customers Visited]])</f>
        <v>0.5714285714285714</v>
      </c>
      <c r="AH4763" s="5">
        <f>IF(SalesData[[#This Row],[Customers Visited]]=0,0,SalesData[[#This Row],[Contracts Signed]]/SalesData[[#This Row],[Customers Visited]])</f>
        <v>0.14285714285714285</v>
      </c>
      <c r="AI4763" s="6">
        <f>IF(SalesData[[#This Row],[Contracts Signed]]=0,0,SalesData[[#This Row],[Profit(€)]]/SalesData[[#This Row],[Contracts Signed]])</f>
        <v>12452</v>
      </c>
      <c r="AJ4763" s="5" t="str">
        <f>TRIM(CLEAN(SalesData[[#This Row],[Retailer]]))</f>
        <v>Autohaus Berlin</v>
      </c>
    </row>
    <row r="4764" spans="1:36" ht="14.25" x14ac:dyDescent="0.2">
      <c r="A4764" t="s">
        <v>6040</v>
      </c>
      <c r="B4764" s="1">
        <v>46059</v>
      </c>
      <c r="C4764" t="s">
        <v>24</v>
      </c>
      <c r="D4764" t="s">
        <v>54</v>
      </c>
      <c r="E4764" t="s">
        <v>26</v>
      </c>
      <c r="F4764" t="s">
        <v>114</v>
      </c>
      <c r="G4764" t="s">
        <v>115</v>
      </c>
      <c r="H4764" t="s">
        <v>115</v>
      </c>
      <c r="I4764" t="s">
        <v>30</v>
      </c>
      <c r="J4764" t="s">
        <v>166</v>
      </c>
      <c r="K4764" t="s">
        <v>91</v>
      </c>
      <c r="L4764" t="s">
        <v>46</v>
      </c>
      <c r="M4764" t="s">
        <v>68</v>
      </c>
      <c r="N4764" t="s">
        <v>69</v>
      </c>
      <c r="O4764" t="s">
        <v>70</v>
      </c>
      <c r="P4764" t="s">
        <v>49</v>
      </c>
      <c r="Q4764" t="s">
        <v>189</v>
      </c>
      <c r="R4764">
        <v>191</v>
      </c>
      <c r="S4764">
        <v>100</v>
      </c>
      <c r="T4764">
        <v>70</v>
      </c>
      <c r="U4764">
        <v>26</v>
      </c>
      <c r="V4764" t="s">
        <v>6519</v>
      </c>
      <c r="W4764">
        <v>63920</v>
      </c>
      <c r="X4764" t="s">
        <v>2787</v>
      </c>
      <c r="Y4764">
        <v>44766</v>
      </c>
      <c r="Z4764">
        <v>1661920</v>
      </c>
      <c r="AA4764">
        <v>498004</v>
      </c>
      <c r="AB4764" t="str">
        <f>(VLOOKUP(SalesData[[#This Row],[Month Number]],Reference!C$5:E$16,2,FALSE))</f>
        <v>Feb</v>
      </c>
      <c r="AC4764">
        <f>MONTH(SalesData[[#This Row],[Date]])</f>
        <v>2</v>
      </c>
      <c r="AD4764">
        <f>Reference!F$4</f>
        <v>2026</v>
      </c>
      <c r="AE4764" t="str">
        <f>IF(OR(SalesData[[#This Row],[Day]]="Saturday",SalesData[[#This Row],[Day]]="Sunday"),"Weekend","Weekday")</f>
        <v>Weekday</v>
      </c>
      <c r="AF4764" s="5">
        <f>IF(SalesData[[#This Row],[Contracts Offered]]=0,0,SalesData[[#This Row],[Contracts Signed]]/SalesData[[#This Row],[Contracts Offered]])</f>
        <v>0.37142857142857144</v>
      </c>
      <c r="AG4764" s="5">
        <f>IF(SalesData[[#This Row],[Customers Visited]]=0,0,SalesData[[#This Row],[Test Drives]]/SalesData[[#This Row],[Customers Visited]])</f>
        <v>0.52356020942408377</v>
      </c>
      <c r="AH4764" s="5">
        <f>IF(SalesData[[#This Row],[Customers Visited]]=0,0,SalesData[[#This Row],[Contracts Signed]]/SalesData[[#This Row],[Customers Visited]])</f>
        <v>0.13612565445026178</v>
      </c>
      <c r="AI4764" s="6">
        <f>IF(SalesData[[#This Row],[Contracts Signed]]=0,0,SalesData[[#This Row],[Profit(€)]]/SalesData[[#This Row],[Contracts Signed]])</f>
        <v>19154</v>
      </c>
      <c r="AJ4764" s="5" t="str">
        <f>TRIM(CLEAN(SalesData[[#This Row],[Retailer]]))</f>
        <v>Elbe Drive</v>
      </c>
    </row>
    <row r="4765" spans="1:36" ht="14.25" hidden="1" x14ac:dyDescent="0.2">
      <c r="A4765" t="s">
        <v>6041</v>
      </c>
      <c r="B4765" s="1">
        <v>46070</v>
      </c>
      <c r="C4765" t="s">
        <v>62</v>
      </c>
      <c r="D4765" t="s">
        <v>63</v>
      </c>
      <c r="E4765" t="s">
        <v>26</v>
      </c>
      <c r="F4765" t="s">
        <v>114</v>
      </c>
      <c r="G4765" t="s">
        <v>115</v>
      </c>
      <c r="H4765" t="s">
        <v>115</v>
      </c>
      <c r="I4765" t="s">
        <v>64</v>
      </c>
      <c r="J4765" t="s">
        <v>77</v>
      </c>
      <c r="K4765" t="s">
        <v>91</v>
      </c>
      <c r="L4765" t="s">
        <v>46</v>
      </c>
      <c r="M4765" t="s">
        <v>34</v>
      </c>
      <c r="N4765" t="s">
        <v>48</v>
      </c>
      <c r="O4765" t="s">
        <v>70</v>
      </c>
      <c r="P4765" t="s">
        <v>58</v>
      </c>
      <c r="Q4765" t="s">
        <v>167</v>
      </c>
      <c r="R4765">
        <v>190</v>
      </c>
      <c r="S4765">
        <v>100</v>
      </c>
      <c r="T4765">
        <v>66</v>
      </c>
      <c r="U4765">
        <v>27</v>
      </c>
      <c r="V4765" t="s">
        <v>6648</v>
      </c>
      <c r="W4765">
        <v>51193</v>
      </c>
      <c r="X4765" t="s">
        <v>7485</v>
      </c>
      <c r="Y4765">
        <v>37266</v>
      </c>
      <c r="Z4765">
        <v>1382211</v>
      </c>
      <c r="AA4765">
        <v>376029</v>
      </c>
      <c r="AB4765" t="str">
        <f>(VLOOKUP(SalesData[[#This Row],[Month Number]],Reference!C$5:E$16,2,FALSE))</f>
        <v>Feb</v>
      </c>
      <c r="AC4765">
        <f>MONTH(SalesData[[#This Row],[Date]])</f>
        <v>2</v>
      </c>
      <c r="AD4765">
        <f>Reference!F$4</f>
        <v>2026</v>
      </c>
      <c r="AE4765" t="str">
        <f>IF(OR(SalesData[[#This Row],[Day]]="Saturday",SalesData[[#This Row],[Day]]="Sunday"),"Weekend","Weekday")</f>
        <v>Weekday</v>
      </c>
      <c r="AF4765" s="5">
        <f>IF(SalesData[[#This Row],[Contracts Offered]]=0,0,SalesData[[#This Row],[Contracts Signed]]/SalesData[[#This Row],[Contracts Offered]])</f>
        <v>0.40909090909090912</v>
      </c>
      <c r="AG4765" s="5">
        <f>IF(SalesData[[#This Row],[Customers Visited]]=0,0,SalesData[[#This Row],[Test Drives]]/SalesData[[#This Row],[Customers Visited]])</f>
        <v>0.52631578947368418</v>
      </c>
      <c r="AH4765" s="5">
        <f>IF(SalesData[[#This Row],[Customers Visited]]=0,0,SalesData[[#This Row],[Contracts Signed]]/SalesData[[#This Row],[Customers Visited]])</f>
        <v>0.14210526315789473</v>
      </c>
      <c r="AI4765" s="6">
        <f>IF(SalesData[[#This Row],[Contracts Signed]]=0,0,SalesData[[#This Row],[Profit(€)]]/SalesData[[#This Row],[Contracts Signed]])</f>
        <v>13927</v>
      </c>
      <c r="AJ4765" s="5" t="str">
        <f>TRIM(CLEAN(SalesData[[#This Row],[Retailer]]))</f>
        <v>Elbe Drive</v>
      </c>
    </row>
    <row r="4766" spans="1:36" ht="14.25" hidden="1" x14ac:dyDescent="0.2">
      <c r="A4766" t="s">
        <v>6042</v>
      </c>
      <c r="B4766" s="1">
        <v>46063</v>
      </c>
      <c r="C4766" t="s">
        <v>121</v>
      </c>
      <c r="D4766" t="s">
        <v>63</v>
      </c>
      <c r="E4766" t="s">
        <v>26</v>
      </c>
      <c r="F4766" t="s">
        <v>127</v>
      </c>
      <c r="G4766" t="s">
        <v>128</v>
      </c>
      <c r="H4766" t="s">
        <v>103</v>
      </c>
      <c r="I4766" t="s">
        <v>116</v>
      </c>
      <c r="J4766" t="s">
        <v>7026</v>
      </c>
      <c r="K4766" t="s">
        <v>78</v>
      </c>
      <c r="L4766" t="s">
        <v>46</v>
      </c>
      <c r="M4766" t="s">
        <v>47</v>
      </c>
      <c r="N4766" t="s">
        <v>35</v>
      </c>
      <c r="O4766" t="s">
        <v>70</v>
      </c>
      <c r="P4766" t="s">
        <v>71</v>
      </c>
      <c r="Q4766" t="s">
        <v>169</v>
      </c>
      <c r="R4766">
        <v>342</v>
      </c>
      <c r="S4766">
        <v>152</v>
      </c>
      <c r="T4766">
        <v>98</v>
      </c>
      <c r="U4766">
        <v>24</v>
      </c>
      <c r="V4766" t="s">
        <v>456</v>
      </c>
      <c r="W4766">
        <v>21260</v>
      </c>
      <c r="X4766" t="s">
        <v>2971</v>
      </c>
      <c r="Y4766">
        <v>19528</v>
      </c>
      <c r="Z4766">
        <v>510240</v>
      </c>
      <c r="AA4766">
        <v>41568</v>
      </c>
      <c r="AB4766" t="str">
        <f>(VLOOKUP(SalesData[[#This Row],[Month Number]],Reference!C$5:E$16,2,FALSE))</f>
        <v>Feb</v>
      </c>
      <c r="AC4766">
        <f>MONTH(SalesData[[#This Row],[Date]])</f>
        <v>2</v>
      </c>
      <c r="AD4766">
        <f>Reference!F$4</f>
        <v>2026</v>
      </c>
      <c r="AE4766" t="str">
        <f>IF(OR(SalesData[[#This Row],[Day]]="Saturday",SalesData[[#This Row],[Day]]="Sunday"),"Weekend","Weekday")</f>
        <v>Weekday</v>
      </c>
      <c r="AF4766" s="5">
        <f>IF(SalesData[[#This Row],[Contracts Offered]]=0,0,SalesData[[#This Row],[Contracts Signed]]/SalesData[[#This Row],[Contracts Offered]])</f>
        <v>0.24489795918367346</v>
      </c>
      <c r="AG4766" s="5">
        <f>IF(SalesData[[#This Row],[Customers Visited]]=0,0,SalesData[[#This Row],[Test Drives]]/SalesData[[#This Row],[Customers Visited]])</f>
        <v>0.44444444444444442</v>
      </c>
      <c r="AH4766" s="5">
        <f>IF(SalesData[[#This Row],[Customers Visited]]=0,0,SalesData[[#This Row],[Contracts Signed]]/SalesData[[#This Row],[Customers Visited]])</f>
        <v>7.0175438596491224E-2</v>
      </c>
      <c r="AI4766" s="6">
        <f>IF(SalesData[[#This Row],[Contracts Signed]]=0,0,SalesData[[#This Row],[Profit(€)]]/SalesData[[#This Row],[Contracts Signed]])</f>
        <v>1732</v>
      </c>
      <c r="AJ4766" s="5" t="str">
        <f>TRIM(CLEAN(SalesData[[#This Row],[Retailer]]))</f>
        <v>Rhein Auto Group</v>
      </c>
    </row>
    <row r="4767" spans="1:36" ht="14.25" hidden="1" x14ac:dyDescent="0.2">
      <c r="A4767" t="s">
        <v>6043</v>
      </c>
      <c r="B4767" s="1">
        <v>46068</v>
      </c>
      <c r="C4767" t="s">
        <v>62</v>
      </c>
      <c r="D4767" t="s">
        <v>41</v>
      </c>
      <c r="E4767" t="s">
        <v>42</v>
      </c>
      <c r="F4767" t="s">
        <v>7649</v>
      </c>
      <c r="G4767" t="s">
        <v>55</v>
      </c>
      <c r="H4767" t="s">
        <v>55</v>
      </c>
      <c r="I4767" t="s">
        <v>64</v>
      </c>
      <c r="J4767" t="s">
        <v>65</v>
      </c>
      <c r="K4767" t="s">
        <v>32</v>
      </c>
      <c r="L4767" t="s">
        <v>33</v>
      </c>
      <c r="M4767" t="s">
        <v>47</v>
      </c>
      <c r="N4767" t="s">
        <v>35</v>
      </c>
      <c r="O4767" t="s">
        <v>70</v>
      </c>
      <c r="P4767" t="s">
        <v>58</v>
      </c>
      <c r="Q4767" t="s">
        <v>106</v>
      </c>
      <c r="R4767">
        <v>186</v>
      </c>
      <c r="S4767">
        <v>105</v>
      </c>
      <c r="T4767">
        <v>80</v>
      </c>
      <c r="U4767">
        <v>29</v>
      </c>
      <c r="V4767" t="s">
        <v>6528</v>
      </c>
      <c r="W4767">
        <v>69583</v>
      </c>
      <c r="X4767" t="s">
        <v>1764</v>
      </c>
      <c r="Y4767">
        <v>49867</v>
      </c>
      <c r="Z4767">
        <v>2017907</v>
      </c>
      <c r="AA4767">
        <v>571764</v>
      </c>
      <c r="AB4767" t="str">
        <f>(VLOOKUP(SalesData[[#This Row],[Month Number]],Reference!C$5:E$16,2,FALSE))</f>
        <v>Feb</v>
      </c>
      <c r="AC4767">
        <f>MONTH(SalesData[[#This Row],[Date]])</f>
        <v>2</v>
      </c>
      <c r="AD4767">
        <f>Reference!F$4</f>
        <v>2026</v>
      </c>
      <c r="AE4767" t="str">
        <f>IF(OR(SalesData[[#This Row],[Day]]="Saturday",SalesData[[#This Row],[Day]]="Sunday"),"Weekend","Weekday")</f>
        <v>Weekend</v>
      </c>
      <c r="AF4767" s="5">
        <f>IF(SalesData[[#This Row],[Contracts Offered]]=0,0,SalesData[[#This Row],[Contracts Signed]]/SalesData[[#This Row],[Contracts Offered]])</f>
        <v>0.36249999999999999</v>
      </c>
      <c r="AG4767" s="5">
        <f>IF(SalesData[[#This Row],[Customers Visited]]=0,0,SalesData[[#This Row],[Test Drives]]/SalesData[[#This Row],[Customers Visited]])</f>
        <v>0.56451612903225812</v>
      </c>
      <c r="AH4767" s="5">
        <f>IF(SalesData[[#This Row],[Customers Visited]]=0,0,SalesData[[#This Row],[Contracts Signed]]/SalesData[[#This Row],[Customers Visited]])</f>
        <v>0.15591397849462366</v>
      </c>
      <c r="AI4767" s="6">
        <f>IF(SalesData[[#This Row],[Contracts Signed]]=0,0,SalesData[[#This Row],[Profit(€)]]/SalesData[[#This Row],[Contracts Signed]])</f>
        <v>19716</v>
      </c>
      <c r="AJ4767" s="5" t="str">
        <f>TRIM(CLEAN(SalesData[[#This Row],[Retailer]]))</f>
        <v>Autohaus Berlin</v>
      </c>
    </row>
    <row r="4768" spans="1:36" ht="14.25" hidden="1" x14ac:dyDescent="0.2">
      <c r="A4768" t="s">
        <v>6044</v>
      </c>
      <c r="B4768" s="1">
        <v>46054</v>
      </c>
      <c r="C4768" t="s">
        <v>24</v>
      </c>
      <c r="D4768" t="s">
        <v>41</v>
      </c>
      <c r="E4768" t="s">
        <v>42</v>
      </c>
      <c r="F4768" t="s">
        <v>94</v>
      </c>
      <c r="G4768" t="s">
        <v>95</v>
      </c>
      <c r="H4768" t="s">
        <v>96</v>
      </c>
      <c r="I4768" t="s">
        <v>104</v>
      </c>
      <c r="J4768" t="s">
        <v>105</v>
      </c>
      <c r="K4768" t="s">
        <v>32</v>
      </c>
      <c r="L4768" t="s">
        <v>33</v>
      </c>
      <c r="M4768" t="s">
        <v>87</v>
      </c>
      <c r="N4768" t="s">
        <v>69</v>
      </c>
      <c r="O4768" t="s">
        <v>70</v>
      </c>
      <c r="P4768" t="s">
        <v>49</v>
      </c>
      <c r="Q4768" t="s">
        <v>144</v>
      </c>
      <c r="R4768">
        <v>397</v>
      </c>
      <c r="S4768">
        <v>181</v>
      </c>
      <c r="T4768">
        <v>116</v>
      </c>
      <c r="U4768">
        <v>32</v>
      </c>
      <c r="V4768" t="s">
        <v>968</v>
      </c>
      <c r="W4768">
        <v>31339</v>
      </c>
      <c r="X4768" t="s">
        <v>866</v>
      </c>
      <c r="Y4768">
        <v>27987</v>
      </c>
      <c r="Z4768">
        <v>1002848</v>
      </c>
      <c r="AA4768">
        <v>107264</v>
      </c>
      <c r="AB4768" t="str">
        <f>(VLOOKUP(SalesData[[#This Row],[Month Number]],Reference!C$5:E$16,2,FALSE))</f>
        <v>Feb</v>
      </c>
      <c r="AC4768">
        <f>MONTH(SalesData[[#This Row],[Date]])</f>
        <v>2</v>
      </c>
      <c r="AD4768">
        <f>Reference!F$4</f>
        <v>2026</v>
      </c>
      <c r="AE4768" t="str">
        <f>IF(OR(SalesData[[#This Row],[Day]]="Saturday",SalesData[[#This Row],[Day]]="Sunday"),"Weekend","Weekday")</f>
        <v>Weekend</v>
      </c>
      <c r="AF4768" s="5">
        <f>IF(SalesData[[#This Row],[Contracts Offered]]=0,0,SalesData[[#This Row],[Contracts Signed]]/SalesData[[#This Row],[Contracts Offered]])</f>
        <v>0.27586206896551724</v>
      </c>
      <c r="AG4768" s="5">
        <f>IF(SalesData[[#This Row],[Customers Visited]]=0,0,SalesData[[#This Row],[Test Drives]]/SalesData[[#This Row],[Customers Visited]])</f>
        <v>0.45591939546599497</v>
      </c>
      <c r="AH4768" s="5">
        <f>IF(SalesData[[#This Row],[Customers Visited]]=0,0,SalesData[[#This Row],[Contracts Signed]]/SalesData[[#This Row],[Customers Visited]])</f>
        <v>8.0604534005037781E-2</v>
      </c>
      <c r="AI4768" s="6">
        <f>IF(SalesData[[#This Row],[Contracts Signed]]=0,0,SalesData[[#This Row],[Profit(€)]]/SalesData[[#This Row],[Contracts Signed]])</f>
        <v>3352</v>
      </c>
      <c r="AJ4768" s="5" t="str">
        <f>TRIM(CLEAN(SalesData[[#This Row],[Retailer]]))</f>
        <v>Bavaria Motors</v>
      </c>
    </row>
    <row r="4769" spans="1:36" ht="14.25" hidden="1" x14ac:dyDescent="0.2">
      <c r="A4769" t="s">
        <v>6045</v>
      </c>
      <c r="B4769" s="1">
        <v>46062</v>
      </c>
      <c r="C4769" t="s">
        <v>121</v>
      </c>
      <c r="D4769" t="s">
        <v>25</v>
      </c>
      <c r="E4769" t="s">
        <v>26</v>
      </c>
      <c r="F4769" t="s">
        <v>114</v>
      </c>
      <c r="G4769" t="s">
        <v>115</v>
      </c>
      <c r="H4769" t="s">
        <v>115</v>
      </c>
      <c r="I4769" t="s">
        <v>64</v>
      </c>
      <c r="J4769" t="s">
        <v>157</v>
      </c>
      <c r="K4769" t="s">
        <v>78</v>
      </c>
      <c r="L4769" t="s">
        <v>33</v>
      </c>
      <c r="M4769" t="s">
        <v>34</v>
      </c>
      <c r="N4769" t="s">
        <v>69</v>
      </c>
      <c r="O4769" t="s">
        <v>70</v>
      </c>
      <c r="P4769" t="s">
        <v>71</v>
      </c>
      <c r="Q4769" t="s">
        <v>167</v>
      </c>
      <c r="R4769">
        <v>230</v>
      </c>
      <c r="S4769">
        <v>121</v>
      </c>
      <c r="T4769">
        <v>94</v>
      </c>
      <c r="U4769">
        <v>29</v>
      </c>
      <c r="V4769" t="s">
        <v>6682</v>
      </c>
      <c r="W4769">
        <v>66502</v>
      </c>
      <c r="X4769" t="s">
        <v>7425</v>
      </c>
      <c r="Y4769">
        <v>50953</v>
      </c>
      <c r="Z4769">
        <v>1928558</v>
      </c>
      <c r="AA4769">
        <v>450921</v>
      </c>
      <c r="AB4769" t="str">
        <f>(VLOOKUP(SalesData[[#This Row],[Month Number]],Reference!C$5:E$16,2,FALSE))</f>
        <v>Feb</v>
      </c>
      <c r="AC4769">
        <f>MONTH(SalesData[[#This Row],[Date]])</f>
        <v>2</v>
      </c>
      <c r="AD4769">
        <f>Reference!F$4</f>
        <v>2026</v>
      </c>
      <c r="AE4769" t="str">
        <f>IF(OR(SalesData[[#This Row],[Day]]="Saturday",SalesData[[#This Row],[Day]]="Sunday"),"Weekend","Weekday")</f>
        <v>Weekday</v>
      </c>
      <c r="AF4769" s="5">
        <f>IF(SalesData[[#This Row],[Contracts Offered]]=0,0,SalesData[[#This Row],[Contracts Signed]]/SalesData[[#This Row],[Contracts Offered]])</f>
        <v>0.30851063829787234</v>
      </c>
      <c r="AG4769" s="5">
        <f>IF(SalesData[[#This Row],[Customers Visited]]=0,0,SalesData[[#This Row],[Test Drives]]/SalesData[[#This Row],[Customers Visited]])</f>
        <v>0.52608695652173909</v>
      </c>
      <c r="AH4769" s="5">
        <f>IF(SalesData[[#This Row],[Customers Visited]]=0,0,SalesData[[#This Row],[Contracts Signed]]/SalesData[[#This Row],[Customers Visited]])</f>
        <v>0.12608695652173912</v>
      </c>
      <c r="AI4769" s="6">
        <f>IF(SalesData[[#This Row],[Contracts Signed]]=0,0,SalesData[[#This Row],[Profit(€)]]/SalesData[[#This Row],[Contracts Signed]])</f>
        <v>15549</v>
      </c>
      <c r="AJ4769" s="5" t="str">
        <f>TRIM(CLEAN(SalesData[[#This Row],[Retailer]]))</f>
        <v>Elbe Drive</v>
      </c>
    </row>
    <row r="4770" spans="1:36" ht="14.25" hidden="1" x14ac:dyDescent="0.2">
      <c r="A4770" t="s">
        <v>6046</v>
      </c>
      <c r="B4770" s="1">
        <v>46071</v>
      </c>
      <c r="C4770" t="s">
        <v>62</v>
      </c>
      <c r="D4770" t="s">
        <v>82</v>
      </c>
      <c r="E4770" t="s">
        <v>26</v>
      </c>
      <c r="F4770" t="s">
        <v>101</v>
      </c>
      <c r="G4770" t="s">
        <v>102</v>
      </c>
      <c r="H4770" t="s">
        <v>103</v>
      </c>
      <c r="I4770" t="s">
        <v>64</v>
      </c>
      <c r="J4770" t="s">
        <v>7029</v>
      </c>
      <c r="K4770" t="s">
        <v>66</v>
      </c>
      <c r="L4770" t="s">
        <v>33</v>
      </c>
      <c r="M4770" t="s">
        <v>47</v>
      </c>
      <c r="N4770" t="s">
        <v>69</v>
      </c>
      <c r="O4770" t="s">
        <v>70</v>
      </c>
      <c r="P4770" t="s">
        <v>37</v>
      </c>
      <c r="Q4770" t="s">
        <v>59</v>
      </c>
      <c r="R4770">
        <v>223</v>
      </c>
      <c r="S4770">
        <v>102</v>
      </c>
      <c r="T4770">
        <v>76</v>
      </c>
      <c r="U4770">
        <v>22</v>
      </c>
      <c r="V4770" t="s">
        <v>6457</v>
      </c>
      <c r="W4770">
        <v>65651</v>
      </c>
      <c r="X4770" t="s">
        <v>7254</v>
      </c>
      <c r="Y4770">
        <v>49097</v>
      </c>
      <c r="Z4770">
        <v>1444322</v>
      </c>
      <c r="AA4770">
        <v>364188</v>
      </c>
      <c r="AB4770" t="str">
        <f>(VLOOKUP(SalesData[[#This Row],[Month Number]],Reference!C$5:E$16,2,FALSE))</f>
        <v>Feb</v>
      </c>
      <c r="AC4770">
        <f>MONTH(SalesData[[#This Row],[Date]])</f>
        <v>2</v>
      </c>
      <c r="AD4770">
        <f>Reference!F$4</f>
        <v>2026</v>
      </c>
      <c r="AE4770" t="str">
        <f>IF(OR(SalesData[[#This Row],[Day]]="Saturday",SalesData[[#This Row],[Day]]="Sunday"),"Weekend","Weekday")</f>
        <v>Weekday</v>
      </c>
      <c r="AF4770" s="5">
        <f>IF(SalesData[[#This Row],[Contracts Offered]]=0,0,SalesData[[#This Row],[Contracts Signed]]/SalesData[[#This Row],[Contracts Offered]])</f>
        <v>0.28947368421052633</v>
      </c>
      <c r="AG4770" s="5">
        <f>IF(SalesData[[#This Row],[Customers Visited]]=0,0,SalesData[[#This Row],[Test Drives]]/SalesData[[#This Row],[Customers Visited]])</f>
        <v>0.45739910313901344</v>
      </c>
      <c r="AH4770" s="5">
        <f>IF(SalesData[[#This Row],[Customers Visited]]=0,0,SalesData[[#This Row],[Contracts Signed]]/SalesData[[#This Row],[Customers Visited]])</f>
        <v>9.8654708520179366E-2</v>
      </c>
      <c r="AI4770" s="6">
        <f>IF(SalesData[[#This Row],[Contracts Signed]]=0,0,SalesData[[#This Row],[Profit(€)]]/SalesData[[#This Row],[Contracts Signed]])</f>
        <v>16554</v>
      </c>
      <c r="AJ4770" s="5" t="str">
        <f>TRIM(CLEAN(SalesData[[#This Row],[Retailer]]))</f>
        <v>Ruhr Auto Plaza</v>
      </c>
    </row>
    <row r="4771" spans="1:36" ht="14.25" hidden="1" x14ac:dyDescent="0.2">
      <c r="A4771" t="s">
        <v>6047</v>
      </c>
      <c r="B4771" s="1">
        <v>46060</v>
      </c>
      <c r="C4771" t="s">
        <v>24</v>
      </c>
      <c r="D4771" t="s">
        <v>151</v>
      </c>
      <c r="E4771" t="s">
        <v>42</v>
      </c>
      <c r="F4771" t="s">
        <v>109</v>
      </c>
      <c r="G4771" t="s">
        <v>110</v>
      </c>
      <c r="H4771" t="s">
        <v>45</v>
      </c>
      <c r="I4771" t="s">
        <v>56</v>
      </c>
      <c r="J4771" t="s">
        <v>137</v>
      </c>
      <c r="K4771" t="s">
        <v>66</v>
      </c>
      <c r="L4771" t="s">
        <v>46</v>
      </c>
      <c r="M4771" t="s">
        <v>68</v>
      </c>
      <c r="N4771" t="s">
        <v>48</v>
      </c>
      <c r="O4771" t="s">
        <v>36</v>
      </c>
      <c r="P4771" t="s">
        <v>58</v>
      </c>
      <c r="Q4771" t="s">
        <v>172</v>
      </c>
      <c r="R4771">
        <v>194</v>
      </c>
      <c r="S4771">
        <v>117</v>
      </c>
      <c r="T4771">
        <v>76</v>
      </c>
      <c r="U4771">
        <v>29</v>
      </c>
      <c r="V4771" t="s">
        <v>6927</v>
      </c>
      <c r="W4771">
        <v>43856</v>
      </c>
      <c r="X4771" t="s">
        <v>7420</v>
      </c>
      <c r="Y4771">
        <v>34087</v>
      </c>
      <c r="Z4771">
        <v>1271824</v>
      </c>
      <c r="AA4771">
        <v>283301</v>
      </c>
      <c r="AB4771" t="str">
        <f>(VLOOKUP(SalesData[[#This Row],[Month Number]],Reference!C$5:E$16,2,FALSE))</f>
        <v>Feb</v>
      </c>
      <c r="AC4771">
        <f>MONTH(SalesData[[#This Row],[Date]])</f>
        <v>2</v>
      </c>
      <c r="AD4771">
        <f>Reference!F$4</f>
        <v>2026</v>
      </c>
      <c r="AE4771" t="str">
        <f>IF(OR(SalesData[[#This Row],[Day]]="Saturday",SalesData[[#This Row],[Day]]="Sunday"),"Weekend","Weekday")</f>
        <v>Weekend</v>
      </c>
      <c r="AF4771" s="5">
        <f>IF(SalesData[[#This Row],[Contracts Offered]]=0,0,SalesData[[#This Row],[Contracts Signed]]/SalesData[[#This Row],[Contracts Offered]])</f>
        <v>0.38157894736842107</v>
      </c>
      <c r="AG4771" s="5">
        <f>IF(SalesData[[#This Row],[Customers Visited]]=0,0,SalesData[[#This Row],[Test Drives]]/SalesData[[#This Row],[Customers Visited]])</f>
        <v>0.60309278350515461</v>
      </c>
      <c r="AH4771" s="5">
        <f>IF(SalesData[[#This Row],[Customers Visited]]=0,0,SalesData[[#This Row],[Contracts Signed]]/SalesData[[#This Row],[Customers Visited]])</f>
        <v>0.14948453608247422</v>
      </c>
      <c r="AI4771" s="6">
        <f>IF(SalesData[[#This Row],[Contracts Signed]]=0,0,SalesData[[#This Row],[Profit(€)]]/SalesData[[#This Row],[Contracts Signed]])</f>
        <v>9769</v>
      </c>
      <c r="AJ4771" s="5" t="str">
        <f>TRIM(CLEAN(SalesData[[#This Row],[Retailer]]))</f>
        <v>Leipzig Mobility</v>
      </c>
    </row>
    <row r="4772" spans="1:36" ht="14.25" hidden="1" x14ac:dyDescent="0.2">
      <c r="A4772" t="s">
        <v>6048</v>
      </c>
      <c r="B4772" s="1">
        <v>46067</v>
      </c>
      <c r="C4772" t="s">
        <v>121</v>
      </c>
      <c r="D4772" t="s">
        <v>151</v>
      </c>
      <c r="E4772" t="s">
        <v>42</v>
      </c>
      <c r="F4772" t="s">
        <v>114</v>
      </c>
      <c r="G4772" t="s">
        <v>115</v>
      </c>
      <c r="H4772" t="s">
        <v>115</v>
      </c>
      <c r="I4772" t="s">
        <v>104</v>
      </c>
      <c r="J4772" t="s">
        <v>140</v>
      </c>
      <c r="K4772" t="s">
        <v>78</v>
      </c>
      <c r="L4772" t="s">
        <v>46</v>
      </c>
      <c r="M4772" t="s">
        <v>34</v>
      </c>
      <c r="N4772" t="s">
        <v>35</v>
      </c>
      <c r="O4772" t="s">
        <v>36</v>
      </c>
      <c r="P4772" t="s">
        <v>58</v>
      </c>
      <c r="Q4772" t="s">
        <v>50</v>
      </c>
      <c r="R4772">
        <v>486</v>
      </c>
      <c r="S4772">
        <v>224</v>
      </c>
      <c r="T4772">
        <v>130</v>
      </c>
      <c r="U4772">
        <v>41</v>
      </c>
      <c r="V4772" t="s">
        <v>998</v>
      </c>
      <c r="W4772">
        <v>25512</v>
      </c>
      <c r="X4772" t="s">
        <v>741</v>
      </c>
      <c r="Y4772">
        <v>22976</v>
      </c>
      <c r="Z4772">
        <v>1045992</v>
      </c>
      <c r="AA4772">
        <v>103976</v>
      </c>
      <c r="AB4772" t="str">
        <f>(VLOOKUP(SalesData[[#This Row],[Month Number]],Reference!C$5:E$16,2,FALSE))</f>
        <v>Feb</v>
      </c>
      <c r="AC4772">
        <f>MONTH(SalesData[[#This Row],[Date]])</f>
        <v>2</v>
      </c>
      <c r="AD4772">
        <f>Reference!F$4</f>
        <v>2026</v>
      </c>
      <c r="AE4772" t="str">
        <f>IF(OR(SalesData[[#This Row],[Day]]="Saturday",SalesData[[#This Row],[Day]]="Sunday"),"Weekend","Weekday")</f>
        <v>Weekend</v>
      </c>
      <c r="AF4772" s="5">
        <f>IF(SalesData[[#This Row],[Contracts Offered]]=0,0,SalesData[[#This Row],[Contracts Signed]]/SalesData[[#This Row],[Contracts Offered]])</f>
        <v>0.31538461538461537</v>
      </c>
      <c r="AG4772" s="5">
        <f>IF(SalesData[[#This Row],[Customers Visited]]=0,0,SalesData[[#This Row],[Test Drives]]/SalesData[[#This Row],[Customers Visited]])</f>
        <v>0.46090534979423869</v>
      </c>
      <c r="AH4772" s="5">
        <f>IF(SalesData[[#This Row],[Customers Visited]]=0,0,SalesData[[#This Row],[Contracts Signed]]/SalesData[[#This Row],[Customers Visited]])</f>
        <v>8.4362139917695478E-2</v>
      </c>
      <c r="AI4772" s="6">
        <f>IF(SalesData[[#This Row],[Contracts Signed]]=0,0,SalesData[[#This Row],[Profit(€)]]/SalesData[[#This Row],[Contracts Signed]])</f>
        <v>2536</v>
      </c>
      <c r="AJ4772" s="5" t="str">
        <f>TRIM(CLEAN(SalesData[[#This Row],[Retailer]]))</f>
        <v>Elbe Drive</v>
      </c>
    </row>
    <row r="4773" spans="1:36" ht="14.25" hidden="1" x14ac:dyDescent="0.2">
      <c r="A4773" t="s">
        <v>6049</v>
      </c>
      <c r="B4773" s="1">
        <v>46056</v>
      </c>
      <c r="C4773" t="s">
        <v>24</v>
      </c>
      <c r="D4773" t="s">
        <v>63</v>
      </c>
      <c r="E4773" t="s">
        <v>26</v>
      </c>
      <c r="F4773" t="s">
        <v>83</v>
      </c>
      <c r="G4773" t="s">
        <v>84</v>
      </c>
      <c r="H4773" t="s">
        <v>85</v>
      </c>
      <c r="I4773" t="s">
        <v>56</v>
      </c>
      <c r="J4773" t="s">
        <v>137</v>
      </c>
      <c r="K4773" t="s">
        <v>91</v>
      </c>
      <c r="L4773" t="s">
        <v>46</v>
      </c>
      <c r="M4773" t="s">
        <v>34</v>
      </c>
      <c r="N4773" t="s">
        <v>48</v>
      </c>
      <c r="O4773" t="s">
        <v>70</v>
      </c>
      <c r="P4773" t="s">
        <v>71</v>
      </c>
      <c r="Q4773" t="s">
        <v>79</v>
      </c>
      <c r="R4773">
        <v>288</v>
      </c>
      <c r="S4773">
        <v>140</v>
      </c>
      <c r="T4773">
        <v>91</v>
      </c>
      <c r="U4773">
        <v>34</v>
      </c>
      <c r="V4773" t="s">
        <v>6572</v>
      </c>
      <c r="W4773">
        <v>46349</v>
      </c>
      <c r="X4773" t="s">
        <v>7577</v>
      </c>
      <c r="Y4773">
        <v>35979</v>
      </c>
      <c r="Z4773">
        <v>1575866</v>
      </c>
      <c r="AA4773">
        <v>352580</v>
      </c>
      <c r="AB4773" t="str">
        <f>(VLOOKUP(SalesData[[#This Row],[Month Number]],Reference!C$5:E$16,2,FALSE))</f>
        <v>Feb</v>
      </c>
      <c r="AC4773">
        <f>MONTH(SalesData[[#This Row],[Date]])</f>
        <v>2</v>
      </c>
      <c r="AD4773">
        <f>Reference!F$4</f>
        <v>2026</v>
      </c>
      <c r="AE4773" t="str">
        <f>IF(OR(SalesData[[#This Row],[Day]]="Saturday",SalesData[[#This Row],[Day]]="Sunday"),"Weekend","Weekday")</f>
        <v>Weekday</v>
      </c>
      <c r="AF4773" s="5">
        <f>IF(SalesData[[#This Row],[Contracts Offered]]=0,0,SalesData[[#This Row],[Contracts Signed]]/SalesData[[#This Row],[Contracts Offered]])</f>
        <v>0.37362637362637363</v>
      </c>
      <c r="AG4773" s="5">
        <f>IF(SalesData[[#This Row],[Customers Visited]]=0,0,SalesData[[#This Row],[Test Drives]]/SalesData[[#This Row],[Customers Visited]])</f>
        <v>0.4861111111111111</v>
      </c>
      <c r="AH4773" s="5">
        <f>IF(SalesData[[#This Row],[Customers Visited]]=0,0,SalesData[[#This Row],[Contracts Signed]]/SalesData[[#This Row],[Customers Visited]])</f>
        <v>0.11805555555555555</v>
      </c>
      <c r="AI4773" s="6">
        <f>IF(SalesData[[#This Row],[Contracts Signed]]=0,0,SalesData[[#This Row],[Profit(€)]]/SalesData[[#This Row],[Contracts Signed]])</f>
        <v>10370</v>
      </c>
      <c r="AJ4773" s="5" t="str">
        <f>TRIM(CLEAN(SalesData[[#This Row],[Retailer]]))</f>
        <v>Hannover Cars</v>
      </c>
    </row>
    <row r="4774" spans="1:36" ht="14.25" x14ac:dyDescent="0.2">
      <c r="A4774" t="s">
        <v>6050</v>
      </c>
      <c r="B4774" s="1">
        <v>46079</v>
      </c>
      <c r="C4774" t="s">
        <v>53</v>
      </c>
      <c r="D4774" t="s">
        <v>100</v>
      </c>
      <c r="E4774" t="s">
        <v>26</v>
      </c>
      <c r="F4774" t="s">
        <v>114</v>
      </c>
      <c r="G4774" t="s">
        <v>115</v>
      </c>
      <c r="H4774" t="s">
        <v>115</v>
      </c>
      <c r="I4774" t="s">
        <v>30</v>
      </c>
      <c r="J4774" t="s">
        <v>86</v>
      </c>
      <c r="K4774" t="s">
        <v>66</v>
      </c>
      <c r="L4774" t="s">
        <v>33</v>
      </c>
      <c r="M4774" t="s">
        <v>87</v>
      </c>
      <c r="N4774" t="s">
        <v>48</v>
      </c>
      <c r="O4774" t="s">
        <v>36</v>
      </c>
      <c r="P4774" t="s">
        <v>37</v>
      </c>
      <c r="Q4774" t="s">
        <v>204</v>
      </c>
      <c r="R4774">
        <v>152</v>
      </c>
      <c r="S4774">
        <v>77</v>
      </c>
      <c r="T4774">
        <v>57</v>
      </c>
      <c r="U4774">
        <v>20</v>
      </c>
      <c r="V4774" t="s">
        <v>6398</v>
      </c>
      <c r="W4774">
        <v>64162</v>
      </c>
      <c r="X4774" t="s">
        <v>7122</v>
      </c>
      <c r="Y4774">
        <v>46919</v>
      </c>
      <c r="Z4774">
        <v>1283240</v>
      </c>
      <c r="AA4774">
        <v>344860</v>
      </c>
      <c r="AB4774" t="str">
        <f>(VLOOKUP(SalesData[[#This Row],[Month Number]],Reference!C$5:E$16,2,FALSE))</f>
        <v>Feb</v>
      </c>
      <c r="AC4774">
        <f>MONTH(SalesData[[#This Row],[Date]])</f>
        <v>2</v>
      </c>
      <c r="AD4774">
        <f>Reference!F$4</f>
        <v>2026</v>
      </c>
      <c r="AE4774" t="str">
        <f>IF(OR(SalesData[[#This Row],[Day]]="Saturday",SalesData[[#This Row],[Day]]="Sunday"),"Weekend","Weekday")</f>
        <v>Weekday</v>
      </c>
      <c r="AF4774" s="5">
        <f>IF(SalesData[[#This Row],[Contracts Offered]]=0,0,SalesData[[#This Row],[Contracts Signed]]/SalesData[[#This Row],[Contracts Offered]])</f>
        <v>0.35087719298245612</v>
      </c>
      <c r="AG4774" s="5">
        <f>IF(SalesData[[#This Row],[Customers Visited]]=0,0,SalesData[[#This Row],[Test Drives]]/SalesData[[#This Row],[Customers Visited]])</f>
        <v>0.50657894736842102</v>
      </c>
      <c r="AH4774" s="5">
        <f>IF(SalesData[[#This Row],[Customers Visited]]=0,0,SalesData[[#This Row],[Contracts Signed]]/SalesData[[#This Row],[Customers Visited]])</f>
        <v>0.13157894736842105</v>
      </c>
      <c r="AI4774" s="6">
        <f>IF(SalesData[[#This Row],[Contracts Signed]]=0,0,SalesData[[#This Row],[Profit(€)]]/SalesData[[#This Row],[Contracts Signed]])</f>
        <v>17243</v>
      </c>
      <c r="AJ4774" s="5" t="str">
        <f>TRIM(CLEAN(SalesData[[#This Row],[Retailer]]))</f>
        <v>Elbe Drive</v>
      </c>
    </row>
    <row r="4775" spans="1:36" ht="14.25" hidden="1" x14ac:dyDescent="0.2">
      <c r="A4775" t="s">
        <v>6051</v>
      </c>
      <c r="B4775" s="1">
        <v>46059</v>
      </c>
      <c r="C4775" t="s">
        <v>24</v>
      </c>
      <c r="D4775" t="s">
        <v>54</v>
      </c>
      <c r="E4775" t="s">
        <v>26</v>
      </c>
      <c r="F4775" t="s">
        <v>83</v>
      </c>
      <c r="G4775" t="s">
        <v>84</v>
      </c>
      <c r="H4775" t="s">
        <v>85</v>
      </c>
      <c r="I4775" t="s">
        <v>64</v>
      </c>
      <c r="J4775" t="s">
        <v>65</v>
      </c>
      <c r="K4775" t="s">
        <v>66</v>
      </c>
      <c r="L4775" t="s">
        <v>33</v>
      </c>
      <c r="M4775" t="s">
        <v>47</v>
      </c>
      <c r="N4775" t="s">
        <v>69</v>
      </c>
      <c r="O4775" t="s">
        <v>70</v>
      </c>
      <c r="P4775" t="s">
        <v>49</v>
      </c>
      <c r="Q4775" t="s">
        <v>129</v>
      </c>
      <c r="R4775">
        <v>215</v>
      </c>
      <c r="S4775">
        <v>125</v>
      </c>
      <c r="T4775">
        <v>86</v>
      </c>
      <c r="U4775">
        <v>27</v>
      </c>
      <c r="V4775" t="s">
        <v>6929</v>
      </c>
      <c r="W4775">
        <v>67616</v>
      </c>
      <c r="X4775" t="s">
        <v>7032</v>
      </c>
      <c r="Y4775">
        <v>48805</v>
      </c>
      <c r="Z4775">
        <v>1825632</v>
      </c>
      <c r="AA4775">
        <v>507897</v>
      </c>
      <c r="AB4775" t="str">
        <f>(VLOOKUP(SalesData[[#This Row],[Month Number]],Reference!C$5:E$16,2,FALSE))</f>
        <v>Feb</v>
      </c>
      <c r="AC4775">
        <f>MONTH(SalesData[[#This Row],[Date]])</f>
        <v>2</v>
      </c>
      <c r="AD4775">
        <f>Reference!F$4</f>
        <v>2026</v>
      </c>
      <c r="AE4775" t="str">
        <f>IF(OR(SalesData[[#This Row],[Day]]="Saturday",SalesData[[#This Row],[Day]]="Sunday"),"Weekend","Weekday")</f>
        <v>Weekday</v>
      </c>
      <c r="AF4775" s="5">
        <f>IF(SalesData[[#This Row],[Contracts Offered]]=0,0,SalesData[[#This Row],[Contracts Signed]]/SalesData[[#This Row],[Contracts Offered]])</f>
        <v>0.31395348837209303</v>
      </c>
      <c r="AG4775" s="5">
        <f>IF(SalesData[[#This Row],[Customers Visited]]=0,0,SalesData[[#This Row],[Test Drives]]/SalesData[[#This Row],[Customers Visited]])</f>
        <v>0.58139534883720934</v>
      </c>
      <c r="AH4775" s="5">
        <f>IF(SalesData[[#This Row],[Customers Visited]]=0,0,SalesData[[#This Row],[Contracts Signed]]/SalesData[[#This Row],[Customers Visited]])</f>
        <v>0.12558139534883722</v>
      </c>
      <c r="AI4775" s="6">
        <f>IF(SalesData[[#This Row],[Contracts Signed]]=0,0,SalesData[[#This Row],[Profit(€)]]/SalesData[[#This Row],[Contracts Signed]])</f>
        <v>18811</v>
      </c>
      <c r="AJ4775" s="5" t="str">
        <f>TRIM(CLEAN(SalesData[[#This Row],[Retailer]]))</f>
        <v>Hannover Cars</v>
      </c>
    </row>
    <row r="4776" spans="1:36" ht="14.25" hidden="1" x14ac:dyDescent="0.2">
      <c r="A4776" t="s">
        <v>6052</v>
      </c>
      <c r="B4776" s="1">
        <v>46065</v>
      </c>
      <c r="C4776" t="s">
        <v>121</v>
      </c>
      <c r="D4776" t="s">
        <v>100</v>
      </c>
      <c r="E4776" t="s">
        <v>26</v>
      </c>
      <c r="F4776" t="s">
        <v>83</v>
      </c>
      <c r="G4776" t="s">
        <v>84</v>
      </c>
      <c r="H4776" t="s">
        <v>85</v>
      </c>
      <c r="I4776" t="s">
        <v>56</v>
      </c>
      <c r="J4776" t="s">
        <v>179</v>
      </c>
      <c r="K4776" t="s">
        <v>32</v>
      </c>
      <c r="L4776" t="s">
        <v>67</v>
      </c>
      <c r="M4776" t="s">
        <v>87</v>
      </c>
      <c r="N4776" t="s">
        <v>69</v>
      </c>
      <c r="O4776" t="s">
        <v>70</v>
      </c>
      <c r="P4776" t="s">
        <v>37</v>
      </c>
      <c r="Q4776" t="s">
        <v>122</v>
      </c>
      <c r="R4776">
        <v>227</v>
      </c>
      <c r="S4776">
        <v>111</v>
      </c>
      <c r="T4776">
        <v>86</v>
      </c>
      <c r="U4776">
        <v>25</v>
      </c>
      <c r="V4776" t="s">
        <v>6729</v>
      </c>
      <c r="W4776">
        <v>43707</v>
      </c>
      <c r="X4776" t="s">
        <v>7343</v>
      </c>
      <c r="Y4776">
        <v>33793</v>
      </c>
      <c r="Z4776">
        <v>1092675</v>
      </c>
      <c r="AA4776">
        <v>247850</v>
      </c>
      <c r="AB4776" t="str">
        <f>(VLOOKUP(SalesData[[#This Row],[Month Number]],Reference!C$5:E$16,2,FALSE))</f>
        <v>Feb</v>
      </c>
      <c r="AC4776">
        <f>MONTH(SalesData[[#This Row],[Date]])</f>
        <v>2</v>
      </c>
      <c r="AD4776">
        <f>Reference!F$4</f>
        <v>2026</v>
      </c>
      <c r="AE4776" t="str">
        <f>IF(OR(SalesData[[#This Row],[Day]]="Saturday",SalesData[[#This Row],[Day]]="Sunday"),"Weekend","Weekday")</f>
        <v>Weekday</v>
      </c>
      <c r="AF4776" s="5">
        <f>IF(SalesData[[#This Row],[Contracts Offered]]=0,0,SalesData[[#This Row],[Contracts Signed]]/SalesData[[#This Row],[Contracts Offered]])</f>
        <v>0.29069767441860467</v>
      </c>
      <c r="AG4776" s="5">
        <f>IF(SalesData[[#This Row],[Customers Visited]]=0,0,SalesData[[#This Row],[Test Drives]]/SalesData[[#This Row],[Customers Visited]])</f>
        <v>0.48898678414096919</v>
      </c>
      <c r="AH4776" s="5">
        <f>IF(SalesData[[#This Row],[Customers Visited]]=0,0,SalesData[[#This Row],[Contracts Signed]]/SalesData[[#This Row],[Customers Visited]])</f>
        <v>0.11013215859030837</v>
      </c>
      <c r="AI4776" s="6">
        <f>IF(SalesData[[#This Row],[Contracts Signed]]=0,0,SalesData[[#This Row],[Profit(€)]]/SalesData[[#This Row],[Contracts Signed]])</f>
        <v>9914</v>
      </c>
      <c r="AJ4776" s="5" t="str">
        <f>TRIM(CLEAN(SalesData[[#This Row],[Retailer]]))</f>
        <v>Hannover Cars</v>
      </c>
    </row>
    <row r="4777" spans="1:36" ht="14.25" x14ac:dyDescent="0.2">
      <c r="A4777" t="s">
        <v>6053</v>
      </c>
      <c r="B4777" s="1">
        <v>46066</v>
      </c>
      <c r="C4777" t="s">
        <v>121</v>
      </c>
      <c r="D4777" t="s">
        <v>54</v>
      </c>
      <c r="E4777" t="s">
        <v>26</v>
      </c>
      <c r="F4777" t="s">
        <v>83</v>
      </c>
      <c r="G4777" t="s">
        <v>84</v>
      </c>
      <c r="H4777" t="s">
        <v>85</v>
      </c>
      <c r="I4777" t="s">
        <v>30</v>
      </c>
      <c r="J4777" t="s">
        <v>86</v>
      </c>
      <c r="K4777" t="s">
        <v>32</v>
      </c>
      <c r="L4777" t="s">
        <v>33</v>
      </c>
      <c r="M4777" t="s">
        <v>47</v>
      </c>
      <c r="N4777" t="s">
        <v>69</v>
      </c>
      <c r="O4777" t="s">
        <v>70</v>
      </c>
      <c r="P4777" t="s">
        <v>71</v>
      </c>
      <c r="Q4777" t="s">
        <v>88</v>
      </c>
      <c r="R4777">
        <v>145</v>
      </c>
      <c r="S4777">
        <v>85</v>
      </c>
      <c r="T4777">
        <v>63</v>
      </c>
      <c r="U4777">
        <v>24</v>
      </c>
      <c r="V4777" t="s">
        <v>6836</v>
      </c>
      <c r="W4777">
        <v>50798</v>
      </c>
      <c r="X4777" t="s">
        <v>7269</v>
      </c>
      <c r="Y4777">
        <v>36523</v>
      </c>
      <c r="Z4777">
        <v>1219152</v>
      </c>
      <c r="AA4777">
        <v>342600</v>
      </c>
      <c r="AB4777" t="str">
        <f>(VLOOKUP(SalesData[[#This Row],[Month Number]],Reference!C$5:E$16,2,FALSE))</f>
        <v>Feb</v>
      </c>
      <c r="AC4777">
        <f>MONTH(SalesData[[#This Row],[Date]])</f>
        <v>2</v>
      </c>
      <c r="AD4777">
        <f>Reference!F$4</f>
        <v>2026</v>
      </c>
      <c r="AE4777" t="str">
        <f>IF(OR(SalesData[[#This Row],[Day]]="Saturday",SalesData[[#This Row],[Day]]="Sunday"),"Weekend","Weekday")</f>
        <v>Weekday</v>
      </c>
      <c r="AF4777" s="5">
        <f>IF(SalesData[[#This Row],[Contracts Offered]]=0,0,SalesData[[#This Row],[Contracts Signed]]/SalesData[[#This Row],[Contracts Offered]])</f>
        <v>0.38095238095238093</v>
      </c>
      <c r="AG4777" s="5">
        <f>IF(SalesData[[#This Row],[Customers Visited]]=0,0,SalesData[[#This Row],[Test Drives]]/SalesData[[#This Row],[Customers Visited]])</f>
        <v>0.58620689655172409</v>
      </c>
      <c r="AH4777" s="5">
        <f>IF(SalesData[[#This Row],[Customers Visited]]=0,0,SalesData[[#This Row],[Contracts Signed]]/SalesData[[#This Row],[Customers Visited]])</f>
        <v>0.16551724137931034</v>
      </c>
      <c r="AI4777" s="6">
        <f>IF(SalesData[[#This Row],[Contracts Signed]]=0,0,SalesData[[#This Row],[Profit(€)]]/SalesData[[#This Row],[Contracts Signed]])</f>
        <v>14275</v>
      </c>
      <c r="AJ4777" s="5" t="str">
        <f>TRIM(CLEAN(SalesData[[#This Row],[Retailer]]))</f>
        <v>Hannover Cars</v>
      </c>
    </row>
    <row r="4778" spans="1:36" ht="14.25" hidden="1" x14ac:dyDescent="0.2">
      <c r="A4778" t="s">
        <v>6054</v>
      </c>
      <c r="B4778" s="1">
        <v>46058</v>
      </c>
      <c r="C4778" t="s">
        <v>24</v>
      </c>
      <c r="D4778" t="s">
        <v>100</v>
      </c>
      <c r="E4778" t="s">
        <v>26</v>
      </c>
      <c r="F4778" t="s">
        <v>74</v>
      </c>
      <c r="G4778" t="s">
        <v>75</v>
      </c>
      <c r="H4778" t="s">
        <v>76</v>
      </c>
      <c r="I4778" t="s">
        <v>64</v>
      </c>
      <c r="J4778" t="s">
        <v>7029</v>
      </c>
      <c r="K4778" t="s">
        <v>32</v>
      </c>
      <c r="L4778" t="s">
        <v>33</v>
      </c>
      <c r="M4778" t="s">
        <v>87</v>
      </c>
      <c r="N4778" t="s">
        <v>48</v>
      </c>
      <c r="O4778" t="s">
        <v>70</v>
      </c>
      <c r="P4778" t="s">
        <v>58</v>
      </c>
      <c r="Q4778" t="s">
        <v>240</v>
      </c>
      <c r="R4778">
        <v>149</v>
      </c>
      <c r="S4778">
        <v>87</v>
      </c>
      <c r="T4778">
        <v>60</v>
      </c>
      <c r="U4778">
        <v>23</v>
      </c>
      <c r="V4778" t="s">
        <v>6601</v>
      </c>
      <c r="W4778">
        <v>58282</v>
      </c>
      <c r="X4778" t="s">
        <v>323</v>
      </c>
      <c r="Y4778">
        <v>45750</v>
      </c>
      <c r="Z4778">
        <v>1340486</v>
      </c>
      <c r="AA4778">
        <v>288236</v>
      </c>
      <c r="AB4778" t="str">
        <f>(VLOOKUP(SalesData[[#This Row],[Month Number]],Reference!C$5:E$16,2,FALSE))</f>
        <v>Feb</v>
      </c>
      <c r="AC4778">
        <f>MONTH(SalesData[[#This Row],[Date]])</f>
        <v>2</v>
      </c>
      <c r="AD4778">
        <f>Reference!F$4</f>
        <v>2026</v>
      </c>
      <c r="AE4778" t="str">
        <f>IF(OR(SalesData[[#This Row],[Day]]="Saturday",SalesData[[#This Row],[Day]]="Sunday"),"Weekend","Weekday")</f>
        <v>Weekday</v>
      </c>
      <c r="AF4778" s="5">
        <f>IF(SalesData[[#This Row],[Contracts Offered]]=0,0,SalesData[[#This Row],[Contracts Signed]]/SalesData[[#This Row],[Contracts Offered]])</f>
        <v>0.38333333333333336</v>
      </c>
      <c r="AG4778" s="5">
        <f>IF(SalesData[[#This Row],[Customers Visited]]=0,0,SalesData[[#This Row],[Test Drives]]/SalesData[[#This Row],[Customers Visited]])</f>
        <v>0.58389261744966447</v>
      </c>
      <c r="AH4778" s="5">
        <f>IF(SalesData[[#This Row],[Customers Visited]]=0,0,SalesData[[#This Row],[Contracts Signed]]/SalesData[[#This Row],[Customers Visited]])</f>
        <v>0.15436241610738255</v>
      </c>
      <c r="AI4778" s="6">
        <f>IF(SalesData[[#This Row],[Contracts Signed]]=0,0,SalesData[[#This Row],[Profit(€)]]/SalesData[[#This Row],[Contracts Signed]])</f>
        <v>12532</v>
      </c>
      <c r="AJ4778" s="5" t="str">
        <f>TRIM(CLEAN(SalesData[[#This Row],[Retailer]]))</f>
        <v>Stuttgart Auto Center</v>
      </c>
    </row>
    <row r="4779" spans="1:36" ht="14.25" hidden="1" x14ac:dyDescent="0.2">
      <c r="A4779" t="s">
        <v>6055</v>
      </c>
      <c r="B4779" s="1">
        <v>46076</v>
      </c>
      <c r="C4779" t="s">
        <v>53</v>
      </c>
      <c r="D4779" t="s">
        <v>25</v>
      </c>
      <c r="E4779" t="s">
        <v>26</v>
      </c>
      <c r="F4779" t="s">
        <v>101</v>
      </c>
      <c r="G4779" t="s">
        <v>102</v>
      </c>
      <c r="H4779" t="s">
        <v>103</v>
      </c>
      <c r="I4779" t="s">
        <v>116</v>
      </c>
      <c r="J4779" t="s">
        <v>117</v>
      </c>
      <c r="K4779" t="s">
        <v>78</v>
      </c>
      <c r="L4779" t="s">
        <v>67</v>
      </c>
      <c r="M4779" t="s">
        <v>34</v>
      </c>
      <c r="N4779" t="s">
        <v>35</v>
      </c>
      <c r="O4779" t="s">
        <v>36</v>
      </c>
      <c r="P4779" t="s">
        <v>58</v>
      </c>
      <c r="Q4779" t="s">
        <v>204</v>
      </c>
      <c r="R4779">
        <v>354</v>
      </c>
      <c r="S4779">
        <v>158</v>
      </c>
      <c r="T4779">
        <v>100</v>
      </c>
      <c r="U4779">
        <v>30</v>
      </c>
      <c r="V4779" t="s">
        <v>1040</v>
      </c>
      <c r="W4779">
        <v>21339</v>
      </c>
      <c r="X4779" t="s">
        <v>5273</v>
      </c>
      <c r="Y4779">
        <v>19570</v>
      </c>
      <c r="Z4779">
        <v>640170</v>
      </c>
      <c r="AA4779">
        <v>53070</v>
      </c>
      <c r="AB4779" t="str">
        <f>(VLOOKUP(SalesData[[#This Row],[Month Number]],Reference!C$5:E$16,2,FALSE))</f>
        <v>Feb</v>
      </c>
      <c r="AC4779">
        <f>MONTH(SalesData[[#This Row],[Date]])</f>
        <v>2</v>
      </c>
      <c r="AD4779">
        <f>Reference!F$4</f>
        <v>2026</v>
      </c>
      <c r="AE4779" t="str">
        <f>IF(OR(SalesData[[#This Row],[Day]]="Saturday",SalesData[[#This Row],[Day]]="Sunday"),"Weekend","Weekday")</f>
        <v>Weekday</v>
      </c>
      <c r="AF4779" s="5">
        <f>IF(SalesData[[#This Row],[Contracts Offered]]=0,0,SalesData[[#This Row],[Contracts Signed]]/SalesData[[#This Row],[Contracts Offered]])</f>
        <v>0.3</v>
      </c>
      <c r="AG4779" s="5">
        <f>IF(SalesData[[#This Row],[Customers Visited]]=0,0,SalesData[[#This Row],[Test Drives]]/SalesData[[#This Row],[Customers Visited]])</f>
        <v>0.4463276836158192</v>
      </c>
      <c r="AH4779" s="5">
        <f>IF(SalesData[[#This Row],[Customers Visited]]=0,0,SalesData[[#This Row],[Contracts Signed]]/SalesData[[#This Row],[Customers Visited]])</f>
        <v>8.4745762711864403E-2</v>
      </c>
      <c r="AI4779" s="6">
        <f>IF(SalesData[[#This Row],[Contracts Signed]]=0,0,SalesData[[#This Row],[Profit(€)]]/SalesData[[#This Row],[Contracts Signed]])</f>
        <v>1769</v>
      </c>
      <c r="AJ4779" s="5" t="str">
        <f>TRIM(CLEAN(SalesData[[#This Row],[Retailer]]))</f>
        <v>Ruhr Auto Plaza</v>
      </c>
    </row>
    <row r="4780" spans="1:36" ht="14.25" hidden="1" x14ac:dyDescent="0.2">
      <c r="A4780" t="s">
        <v>6056</v>
      </c>
      <c r="B4780" s="1">
        <v>46063</v>
      </c>
      <c r="C4780" t="s">
        <v>121</v>
      </c>
      <c r="D4780" t="s">
        <v>63</v>
      </c>
      <c r="E4780" t="s">
        <v>26</v>
      </c>
      <c r="F4780" t="s">
        <v>7649</v>
      </c>
      <c r="G4780" t="s">
        <v>55</v>
      </c>
      <c r="H4780" t="s">
        <v>55</v>
      </c>
      <c r="I4780" t="s">
        <v>104</v>
      </c>
      <c r="J4780" t="s">
        <v>7061</v>
      </c>
      <c r="K4780" t="s">
        <v>66</v>
      </c>
      <c r="L4780" t="s">
        <v>46</v>
      </c>
      <c r="M4780" t="s">
        <v>34</v>
      </c>
      <c r="N4780" t="s">
        <v>69</v>
      </c>
      <c r="O4780" t="s">
        <v>36</v>
      </c>
      <c r="P4780" t="s">
        <v>71</v>
      </c>
      <c r="Q4780" t="s">
        <v>118</v>
      </c>
      <c r="R4780">
        <v>465</v>
      </c>
      <c r="S4780">
        <v>264</v>
      </c>
      <c r="T4780">
        <v>166</v>
      </c>
      <c r="U4780">
        <v>52</v>
      </c>
      <c r="V4780" t="s">
        <v>634</v>
      </c>
      <c r="W4780">
        <v>32178</v>
      </c>
      <c r="X4780" t="s">
        <v>1992</v>
      </c>
      <c r="Y4780">
        <v>28787</v>
      </c>
      <c r="Z4780">
        <v>1673256</v>
      </c>
      <c r="AA4780">
        <v>176332</v>
      </c>
      <c r="AB4780" t="str">
        <f>(VLOOKUP(SalesData[[#This Row],[Month Number]],Reference!C$5:E$16,2,FALSE))</f>
        <v>Feb</v>
      </c>
      <c r="AC4780">
        <f>MONTH(SalesData[[#This Row],[Date]])</f>
        <v>2</v>
      </c>
      <c r="AD4780">
        <f>Reference!F$4</f>
        <v>2026</v>
      </c>
      <c r="AE4780" t="str">
        <f>IF(OR(SalesData[[#This Row],[Day]]="Saturday",SalesData[[#This Row],[Day]]="Sunday"),"Weekend","Weekday")</f>
        <v>Weekday</v>
      </c>
      <c r="AF4780" s="5">
        <f>IF(SalesData[[#This Row],[Contracts Offered]]=0,0,SalesData[[#This Row],[Contracts Signed]]/SalesData[[#This Row],[Contracts Offered]])</f>
        <v>0.31325301204819278</v>
      </c>
      <c r="AG4780" s="5">
        <f>IF(SalesData[[#This Row],[Customers Visited]]=0,0,SalesData[[#This Row],[Test Drives]]/SalesData[[#This Row],[Customers Visited]])</f>
        <v>0.56774193548387097</v>
      </c>
      <c r="AH4780" s="5">
        <f>IF(SalesData[[#This Row],[Customers Visited]]=0,0,SalesData[[#This Row],[Contracts Signed]]/SalesData[[#This Row],[Customers Visited]])</f>
        <v>0.11182795698924732</v>
      </c>
      <c r="AI4780" s="6">
        <f>IF(SalesData[[#This Row],[Contracts Signed]]=0,0,SalesData[[#This Row],[Profit(€)]]/SalesData[[#This Row],[Contracts Signed]])</f>
        <v>3391</v>
      </c>
      <c r="AJ4780" s="5" t="str">
        <f>TRIM(CLEAN(SalesData[[#This Row],[Retailer]]))</f>
        <v>Autohaus Berlin</v>
      </c>
    </row>
    <row r="4781" spans="1:36" ht="14.25" hidden="1" x14ac:dyDescent="0.2">
      <c r="A4781" t="s">
        <v>6057</v>
      </c>
      <c r="B4781" s="1">
        <v>46072</v>
      </c>
      <c r="C4781" t="s">
        <v>62</v>
      </c>
      <c r="D4781" t="s">
        <v>100</v>
      </c>
      <c r="E4781" t="s">
        <v>26</v>
      </c>
      <c r="F4781" t="s">
        <v>83</v>
      </c>
      <c r="G4781" t="s">
        <v>84</v>
      </c>
      <c r="H4781" t="s">
        <v>85</v>
      </c>
      <c r="I4781" t="s">
        <v>64</v>
      </c>
      <c r="J4781" t="s">
        <v>7029</v>
      </c>
      <c r="K4781" t="s">
        <v>78</v>
      </c>
      <c r="L4781" t="s">
        <v>33</v>
      </c>
      <c r="M4781" t="s">
        <v>87</v>
      </c>
      <c r="N4781" t="s">
        <v>69</v>
      </c>
      <c r="O4781" t="s">
        <v>70</v>
      </c>
      <c r="P4781" t="s">
        <v>37</v>
      </c>
      <c r="Q4781" t="s">
        <v>158</v>
      </c>
      <c r="R4781">
        <v>240</v>
      </c>
      <c r="S4781">
        <v>109</v>
      </c>
      <c r="T4781">
        <v>85</v>
      </c>
      <c r="U4781">
        <v>24</v>
      </c>
      <c r="V4781" t="s">
        <v>6702</v>
      </c>
      <c r="W4781">
        <v>66368</v>
      </c>
      <c r="X4781" t="s">
        <v>1101</v>
      </c>
      <c r="Y4781">
        <v>47571</v>
      </c>
      <c r="Z4781">
        <v>1592832</v>
      </c>
      <c r="AA4781">
        <v>451128</v>
      </c>
      <c r="AB4781" t="str">
        <f>(VLOOKUP(SalesData[[#This Row],[Month Number]],Reference!C$5:E$16,2,FALSE))</f>
        <v>Feb</v>
      </c>
      <c r="AC4781">
        <f>MONTH(SalesData[[#This Row],[Date]])</f>
        <v>2</v>
      </c>
      <c r="AD4781">
        <f>Reference!F$4</f>
        <v>2026</v>
      </c>
      <c r="AE4781" t="str">
        <f>IF(OR(SalesData[[#This Row],[Day]]="Saturday",SalesData[[#This Row],[Day]]="Sunday"),"Weekend","Weekday")</f>
        <v>Weekday</v>
      </c>
      <c r="AF4781" s="5">
        <f>IF(SalesData[[#This Row],[Contracts Offered]]=0,0,SalesData[[#This Row],[Contracts Signed]]/SalesData[[#This Row],[Contracts Offered]])</f>
        <v>0.28235294117647058</v>
      </c>
      <c r="AG4781" s="5">
        <f>IF(SalesData[[#This Row],[Customers Visited]]=0,0,SalesData[[#This Row],[Test Drives]]/SalesData[[#This Row],[Customers Visited]])</f>
        <v>0.45416666666666666</v>
      </c>
      <c r="AH4781" s="5">
        <f>IF(SalesData[[#This Row],[Customers Visited]]=0,0,SalesData[[#This Row],[Contracts Signed]]/SalesData[[#This Row],[Customers Visited]])</f>
        <v>0.1</v>
      </c>
      <c r="AI4781" s="6">
        <f>IF(SalesData[[#This Row],[Contracts Signed]]=0,0,SalesData[[#This Row],[Profit(€)]]/SalesData[[#This Row],[Contracts Signed]])</f>
        <v>18797</v>
      </c>
      <c r="AJ4781" s="5" t="str">
        <f>TRIM(CLEAN(SalesData[[#This Row],[Retailer]]))</f>
        <v>Hannover Cars</v>
      </c>
    </row>
    <row r="4782" spans="1:36" ht="14.25" hidden="1" x14ac:dyDescent="0.2">
      <c r="A4782" t="s">
        <v>6058</v>
      </c>
      <c r="B4782" s="1">
        <v>46054</v>
      </c>
      <c r="C4782" t="s">
        <v>24</v>
      </c>
      <c r="D4782" t="s">
        <v>41</v>
      </c>
      <c r="E4782" t="s">
        <v>42</v>
      </c>
      <c r="F4782" t="s">
        <v>127</v>
      </c>
      <c r="G4782" t="s">
        <v>128</v>
      </c>
      <c r="H4782" t="s">
        <v>103</v>
      </c>
      <c r="I4782" t="s">
        <v>104</v>
      </c>
      <c r="J4782" t="s">
        <v>143</v>
      </c>
      <c r="K4782" t="s">
        <v>32</v>
      </c>
      <c r="L4782" t="s">
        <v>67</v>
      </c>
      <c r="M4782" t="s">
        <v>47</v>
      </c>
      <c r="N4782" t="s">
        <v>35</v>
      </c>
      <c r="O4782" t="s">
        <v>36</v>
      </c>
      <c r="P4782" t="s">
        <v>58</v>
      </c>
      <c r="Q4782" t="s">
        <v>240</v>
      </c>
      <c r="R4782">
        <v>315</v>
      </c>
      <c r="S4782">
        <v>132</v>
      </c>
      <c r="T4782">
        <v>82</v>
      </c>
      <c r="U4782">
        <v>28</v>
      </c>
      <c r="V4782" t="s">
        <v>6802</v>
      </c>
      <c r="W4782">
        <v>33452</v>
      </c>
      <c r="X4782" t="s">
        <v>2157</v>
      </c>
      <c r="Y4782">
        <v>29505</v>
      </c>
      <c r="Z4782">
        <v>936656</v>
      </c>
      <c r="AA4782">
        <v>110516</v>
      </c>
      <c r="AB4782" t="str">
        <f>(VLOOKUP(SalesData[[#This Row],[Month Number]],Reference!C$5:E$16,2,FALSE))</f>
        <v>Feb</v>
      </c>
      <c r="AC4782">
        <f>MONTH(SalesData[[#This Row],[Date]])</f>
        <v>2</v>
      </c>
      <c r="AD4782">
        <f>Reference!F$4</f>
        <v>2026</v>
      </c>
      <c r="AE4782" t="str">
        <f>IF(OR(SalesData[[#This Row],[Day]]="Saturday",SalesData[[#This Row],[Day]]="Sunday"),"Weekend","Weekday")</f>
        <v>Weekend</v>
      </c>
      <c r="AF4782" s="5">
        <f>IF(SalesData[[#This Row],[Contracts Offered]]=0,0,SalesData[[#This Row],[Contracts Signed]]/SalesData[[#This Row],[Contracts Offered]])</f>
        <v>0.34146341463414637</v>
      </c>
      <c r="AG4782" s="5">
        <f>IF(SalesData[[#This Row],[Customers Visited]]=0,0,SalesData[[#This Row],[Test Drives]]/SalesData[[#This Row],[Customers Visited]])</f>
        <v>0.41904761904761906</v>
      </c>
      <c r="AH4782" s="5">
        <f>IF(SalesData[[#This Row],[Customers Visited]]=0,0,SalesData[[#This Row],[Contracts Signed]]/SalesData[[#This Row],[Customers Visited]])</f>
        <v>8.8888888888888892E-2</v>
      </c>
      <c r="AI4782" s="6">
        <f>IF(SalesData[[#This Row],[Contracts Signed]]=0,0,SalesData[[#This Row],[Profit(€)]]/SalesData[[#This Row],[Contracts Signed]])</f>
        <v>3947</v>
      </c>
      <c r="AJ4782" s="5" t="str">
        <f>TRIM(CLEAN(SalesData[[#This Row],[Retailer]]))</f>
        <v>Rhein Auto Group</v>
      </c>
    </row>
    <row r="4783" spans="1:36" ht="14.25" hidden="1" x14ac:dyDescent="0.2">
      <c r="A4783" t="s">
        <v>6059</v>
      </c>
      <c r="B4783" s="1">
        <v>46073</v>
      </c>
      <c r="C4783" t="s">
        <v>62</v>
      </c>
      <c r="D4783" t="s">
        <v>54</v>
      </c>
      <c r="E4783" t="s">
        <v>26</v>
      </c>
      <c r="F4783" t="s">
        <v>83</v>
      </c>
      <c r="G4783" t="s">
        <v>84</v>
      </c>
      <c r="H4783" t="s">
        <v>85</v>
      </c>
      <c r="I4783" t="s">
        <v>64</v>
      </c>
      <c r="J4783" t="s">
        <v>65</v>
      </c>
      <c r="K4783" t="s">
        <v>32</v>
      </c>
      <c r="L4783" t="s">
        <v>33</v>
      </c>
      <c r="M4783" t="s">
        <v>47</v>
      </c>
      <c r="N4783" t="s">
        <v>69</v>
      </c>
      <c r="O4783" t="s">
        <v>36</v>
      </c>
      <c r="P4783" t="s">
        <v>58</v>
      </c>
      <c r="Q4783" t="s">
        <v>106</v>
      </c>
      <c r="R4783">
        <v>208</v>
      </c>
      <c r="S4783">
        <v>107</v>
      </c>
      <c r="T4783">
        <v>77</v>
      </c>
      <c r="U4783">
        <v>30</v>
      </c>
      <c r="V4783" t="s">
        <v>6853</v>
      </c>
      <c r="W4783">
        <v>54748</v>
      </c>
      <c r="X4783" t="s">
        <v>2155</v>
      </c>
      <c r="Y4783">
        <v>39047</v>
      </c>
      <c r="Z4783">
        <v>1642440</v>
      </c>
      <c r="AA4783">
        <v>471030</v>
      </c>
      <c r="AB4783" t="str">
        <f>(VLOOKUP(SalesData[[#This Row],[Month Number]],Reference!C$5:E$16,2,FALSE))</f>
        <v>Feb</v>
      </c>
      <c r="AC4783">
        <f>MONTH(SalesData[[#This Row],[Date]])</f>
        <v>2</v>
      </c>
      <c r="AD4783">
        <f>Reference!F$4</f>
        <v>2026</v>
      </c>
      <c r="AE4783" t="str">
        <f>IF(OR(SalesData[[#This Row],[Day]]="Saturday",SalesData[[#This Row],[Day]]="Sunday"),"Weekend","Weekday")</f>
        <v>Weekday</v>
      </c>
      <c r="AF4783" s="5">
        <f>IF(SalesData[[#This Row],[Contracts Offered]]=0,0,SalesData[[#This Row],[Contracts Signed]]/SalesData[[#This Row],[Contracts Offered]])</f>
        <v>0.38961038961038963</v>
      </c>
      <c r="AG4783" s="5">
        <f>IF(SalesData[[#This Row],[Customers Visited]]=0,0,SalesData[[#This Row],[Test Drives]]/SalesData[[#This Row],[Customers Visited]])</f>
        <v>0.51442307692307687</v>
      </c>
      <c r="AH4783" s="5">
        <f>IF(SalesData[[#This Row],[Customers Visited]]=0,0,SalesData[[#This Row],[Contracts Signed]]/SalesData[[#This Row],[Customers Visited]])</f>
        <v>0.14423076923076922</v>
      </c>
      <c r="AI4783" s="6">
        <f>IF(SalesData[[#This Row],[Contracts Signed]]=0,0,SalesData[[#This Row],[Profit(€)]]/SalesData[[#This Row],[Contracts Signed]])</f>
        <v>15701</v>
      </c>
      <c r="AJ4783" s="5" t="str">
        <f>TRIM(CLEAN(SalesData[[#This Row],[Retailer]]))</f>
        <v>Hannover Cars</v>
      </c>
    </row>
    <row r="4784" spans="1:36" ht="14.25" x14ac:dyDescent="0.2">
      <c r="A4784" t="s">
        <v>6060</v>
      </c>
      <c r="B4784" s="1">
        <v>46078</v>
      </c>
      <c r="C4784" t="s">
        <v>53</v>
      </c>
      <c r="D4784" t="s">
        <v>82</v>
      </c>
      <c r="E4784" t="s">
        <v>26</v>
      </c>
      <c r="F4784" t="s">
        <v>101</v>
      </c>
      <c r="G4784" t="s">
        <v>102</v>
      </c>
      <c r="H4784" t="s">
        <v>103</v>
      </c>
      <c r="I4784" t="s">
        <v>30</v>
      </c>
      <c r="J4784" t="s">
        <v>31</v>
      </c>
      <c r="K4784" t="s">
        <v>91</v>
      </c>
      <c r="L4784" t="s">
        <v>46</v>
      </c>
      <c r="M4784" t="s">
        <v>68</v>
      </c>
      <c r="N4784" t="s">
        <v>69</v>
      </c>
      <c r="O4784" t="s">
        <v>70</v>
      </c>
      <c r="P4784" t="s">
        <v>58</v>
      </c>
      <c r="Q4784" t="s">
        <v>79</v>
      </c>
      <c r="R4784">
        <v>184</v>
      </c>
      <c r="S4784">
        <v>85</v>
      </c>
      <c r="T4784">
        <v>60</v>
      </c>
      <c r="U4784">
        <v>26</v>
      </c>
      <c r="V4784" t="s">
        <v>7159</v>
      </c>
      <c r="W4784">
        <v>57483</v>
      </c>
      <c r="X4784" t="s">
        <v>7450</v>
      </c>
      <c r="Y4784">
        <v>43850</v>
      </c>
      <c r="Z4784">
        <v>1494558</v>
      </c>
      <c r="AA4784">
        <v>354458</v>
      </c>
      <c r="AB4784" t="str">
        <f>(VLOOKUP(SalesData[[#This Row],[Month Number]],Reference!C$5:E$16,2,FALSE))</f>
        <v>Feb</v>
      </c>
      <c r="AC4784">
        <f>MONTH(SalesData[[#This Row],[Date]])</f>
        <v>2</v>
      </c>
      <c r="AD4784">
        <f>Reference!F$4</f>
        <v>2026</v>
      </c>
      <c r="AE4784" t="str">
        <f>IF(OR(SalesData[[#This Row],[Day]]="Saturday",SalesData[[#This Row],[Day]]="Sunday"),"Weekend","Weekday")</f>
        <v>Weekday</v>
      </c>
      <c r="AF4784" s="5">
        <f>IF(SalesData[[#This Row],[Contracts Offered]]=0,0,SalesData[[#This Row],[Contracts Signed]]/SalesData[[#This Row],[Contracts Offered]])</f>
        <v>0.43333333333333335</v>
      </c>
      <c r="AG4784" s="5">
        <f>IF(SalesData[[#This Row],[Customers Visited]]=0,0,SalesData[[#This Row],[Test Drives]]/SalesData[[#This Row],[Customers Visited]])</f>
        <v>0.46195652173913043</v>
      </c>
      <c r="AH4784" s="5">
        <f>IF(SalesData[[#This Row],[Customers Visited]]=0,0,SalesData[[#This Row],[Contracts Signed]]/SalesData[[#This Row],[Customers Visited]])</f>
        <v>0.14130434782608695</v>
      </c>
      <c r="AI4784" s="6">
        <f>IF(SalesData[[#This Row],[Contracts Signed]]=0,0,SalesData[[#This Row],[Profit(€)]]/SalesData[[#This Row],[Contracts Signed]])</f>
        <v>13633</v>
      </c>
      <c r="AJ4784" s="5" t="str">
        <f>TRIM(CLEAN(SalesData[[#This Row],[Retailer]]))</f>
        <v>Ruhr Auto Plaza</v>
      </c>
    </row>
    <row r="4785" spans="1:36" ht="14.25" hidden="1" x14ac:dyDescent="0.2">
      <c r="A4785" t="s">
        <v>6061</v>
      </c>
      <c r="B4785" s="1">
        <v>46057</v>
      </c>
      <c r="C4785" t="s">
        <v>24</v>
      </c>
      <c r="D4785" t="s">
        <v>82</v>
      </c>
      <c r="E4785" t="s">
        <v>26</v>
      </c>
      <c r="F4785" t="s">
        <v>43</v>
      </c>
      <c r="G4785" t="s">
        <v>44</v>
      </c>
      <c r="H4785" t="s">
        <v>45</v>
      </c>
      <c r="I4785" t="s">
        <v>56</v>
      </c>
      <c r="J4785" t="s">
        <v>97</v>
      </c>
      <c r="K4785" t="s">
        <v>91</v>
      </c>
      <c r="L4785" t="s">
        <v>33</v>
      </c>
      <c r="M4785" t="s">
        <v>47</v>
      </c>
      <c r="N4785" t="s">
        <v>48</v>
      </c>
      <c r="O4785" t="s">
        <v>36</v>
      </c>
      <c r="P4785" t="s">
        <v>58</v>
      </c>
      <c r="Q4785" t="s">
        <v>129</v>
      </c>
      <c r="R4785">
        <v>242</v>
      </c>
      <c r="S4785">
        <v>131</v>
      </c>
      <c r="T4785">
        <v>86</v>
      </c>
      <c r="U4785">
        <v>32</v>
      </c>
      <c r="V4785" t="s">
        <v>6380</v>
      </c>
      <c r="W4785">
        <v>51845</v>
      </c>
      <c r="X4785" t="s">
        <v>7307</v>
      </c>
      <c r="Y4785">
        <v>41263</v>
      </c>
      <c r="Z4785">
        <v>1659040</v>
      </c>
      <c r="AA4785">
        <v>338624</v>
      </c>
      <c r="AB4785" t="str">
        <f>(VLOOKUP(SalesData[[#This Row],[Month Number]],Reference!C$5:E$16,2,FALSE))</f>
        <v>Feb</v>
      </c>
      <c r="AC4785">
        <f>MONTH(SalesData[[#This Row],[Date]])</f>
        <v>2</v>
      </c>
      <c r="AD4785">
        <f>Reference!F$4</f>
        <v>2026</v>
      </c>
      <c r="AE4785" t="str">
        <f>IF(OR(SalesData[[#This Row],[Day]]="Saturday",SalesData[[#This Row],[Day]]="Sunday"),"Weekend","Weekday")</f>
        <v>Weekday</v>
      </c>
      <c r="AF4785" s="5">
        <f>IF(SalesData[[#This Row],[Contracts Offered]]=0,0,SalesData[[#This Row],[Contracts Signed]]/SalesData[[#This Row],[Contracts Offered]])</f>
        <v>0.37209302325581395</v>
      </c>
      <c r="AG4785" s="5">
        <f>IF(SalesData[[#This Row],[Customers Visited]]=0,0,SalesData[[#This Row],[Test Drives]]/SalesData[[#This Row],[Customers Visited]])</f>
        <v>0.54132231404958675</v>
      </c>
      <c r="AH4785" s="5">
        <f>IF(SalesData[[#This Row],[Customers Visited]]=0,0,SalesData[[#This Row],[Contracts Signed]]/SalesData[[#This Row],[Customers Visited]])</f>
        <v>0.13223140495867769</v>
      </c>
      <c r="AI4785" s="6">
        <f>IF(SalesData[[#This Row],[Contracts Signed]]=0,0,SalesData[[#This Row],[Profit(€)]]/SalesData[[#This Row],[Contracts Signed]])</f>
        <v>10582</v>
      </c>
      <c r="AJ4785" s="5" t="str">
        <f>TRIM(CLEAN(SalesData[[#This Row],[Retailer]]))</f>
        <v>Saxon Wheels</v>
      </c>
    </row>
    <row r="4786" spans="1:36" ht="14.25" x14ac:dyDescent="0.2">
      <c r="A4786" t="s">
        <v>6062</v>
      </c>
      <c r="B4786" s="1">
        <v>46071</v>
      </c>
      <c r="C4786" t="s">
        <v>62</v>
      </c>
      <c r="D4786" t="s">
        <v>82</v>
      </c>
      <c r="E4786" t="s">
        <v>26</v>
      </c>
      <c r="F4786" t="s">
        <v>27</v>
      </c>
      <c r="G4786" t="s">
        <v>28</v>
      </c>
      <c r="H4786" t="s">
        <v>29</v>
      </c>
      <c r="I4786" t="s">
        <v>30</v>
      </c>
      <c r="J4786" t="s">
        <v>166</v>
      </c>
      <c r="K4786" t="s">
        <v>78</v>
      </c>
      <c r="L4786" t="s">
        <v>46</v>
      </c>
      <c r="M4786" t="s">
        <v>34</v>
      </c>
      <c r="N4786" t="s">
        <v>35</v>
      </c>
      <c r="O4786" t="s">
        <v>36</v>
      </c>
      <c r="P4786" t="s">
        <v>71</v>
      </c>
      <c r="Q4786" t="s">
        <v>144</v>
      </c>
      <c r="R4786">
        <v>236</v>
      </c>
      <c r="S4786">
        <v>129</v>
      </c>
      <c r="T4786">
        <v>104</v>
      </c>
      <c r="U4786">
        <v>37</v>
      </c>
      <c r="V4786" t="s">
        <v>6866</v>
      </c>
      <c r="W4786">
        <v>67516</v>
      </c>
      <c r="X4786" t="s">
        <v>7222</v>
      </c>
      <c r="Y4786">
        <v>51885</v>
      </c>
      <c r="Z4786">
        <v>2498092</v>
      </c>
      <c r="AA4786">
        <v>578347</v>
      </c>
      <c r="AB4786" t="str">
        <f>(VLOOKUP(SalesData[[#This Row],[Month Number]],Reference!C$5:E$16,2,FALSE))</f>
        <v>Feb</v>
      </c>
      <c r="AC4786">
        <f>MONTH(SalesData[[#This Row],[Date]])</f>
        <v>2</v>
      </c>
      <c r="AD4786">
        <f>Reference!F$4</f>
        <v>2026</v>
      </c>
      <c r="AE4786" t="str">
        <f>IF(OR(SalesData[[#This Row],[Day]]="Saturday",SalesData[[#This Row],[Day]]="Sunday"),"Weekend","Weekday")</f>
        <v>Weekday</v>
      </c>
      <c r="AF4786" s="5">
        <f>IF(SalesData[[#This Row],[Contracts Offered]]=0,0,SalesData[[#This Row],[Contracts Signed]]/SalesData[[#This Row],[Contracts Offered]])</f>
        <v>0.35576923076923078</v>
      </c>
      <c r="AG4786" s="5">
        <f>IF(SalesData[[#This Row],[Customers Visited]]=0,0,SalesData[[#This Row],[Test Drives]]/SalesData[[#This Row],[Customers Visited]])</f>
        <v>0.54661016949152541</v>
      </c>
      <c r="AH4786" s="5">
        <f>IF(SalesData[[#This Row],[Customers Visited]]=0,0,SalesData[[#This Row],[Contracts Signed]]/SalesData[[#This Row],[Customers Visited]])</f>
        <v>0.15677966101694915</v>
      </c>
      <c r="AI4786" s="6">
        <f>IF(SalesData[[#This Row],[Contracts Signed]]=0,0,SalesData[[#This Row],[Profit(€)]]/SalesData[[#This Row],[Contracts Signed]])</f>
        <v>15631</v>
      </c>
      <c r="AJ4786" s="5" t="str">
        <f>TRIM(CLEAN(SalesData[[#This Row],[Retailer]]))</f>
        <v>Main Auto Hub</v>
      </c>
    </row>
    <row r="4787" spans="1:36" ht="14.25" x14ac:dyDescent="0.2">
      <c r="A4787" t="s">
        <v>6063</v>
      </c>
      <c r="B4787" s="1">
        <v>46080</v>
      </c>
      <c r="C4787" t="s">
        <v>53</v>
      </c>
      <c r="D4787" t="s">
        <v>54</v>
      </c>
      <c r="E4787" t="s">
        <v>26</v>
      </c>
      <c r="F4787" t="s">
        <v>83</v>
      </c>
      <c r="G4787" t="s">
        <v>84</v>
      </c>
      <c r="H4787" t="s">
        <v>85</v>
      </c>
      <c r="I4787" t="s">
        <v>30</v>
      </c>
      <c r="J4787" t="s">
        <v>7075</v>
      </c>
      <c r="K4787" t="s">
        <v>32</v>
      </c>
      <c r="L4787" t="s">
        <v>33</v>
      </c>
      <c r="M4787" t="s">
        <v>34</v>
      </c>
      <c r="N4787" t="s">
        <v>48</v>
      </c>
      <c r="O4787" t="s">
        <v>36</v>
      </c>
      <c r="P4787" t="s">
        <v>49</v>
      </c>
      <c r="Q4787" t="s">
        <v>167</v>
      </c>
      <c r="R4787">
        <v>261</v>
      </c>
      <c r="S4787">
        <v>124</v>
      </c>
      <c r="T4787">
        <v>86</v>
      </c>
      <c r="U4787">
        <v>33</v>
      </c>
      <c r="V4787" t="s">
        <v>6687</v>
      </c>
      <c r="W4787">
        <v>62944</v>
      </c>
      <c r="X4787" t="s">
        <v>1764</v>
      </c>
      <c r="Y4787">
        <v>44771</v>
      </c>
      <c r="Z4787">
        <v>2077152</v>
      </c>
      <c r="AA4787">
        <v>599709</v>
      </c>
      <c r="AB4787" t="str">
        <f>(VLOOKUP(SalesData[[#This Row],[Month Number]],Reference!C$5:E$16,2,FALSE))</f>
        <v>Feb</v>
      </c>
      <c r="AC4787">
        <f>MONTH(SalesData[[#This Row],[Date]])</f>
        <v>2</v>
      </c>
      <c r="AD4787">
        <f>Reference!F$4</f>
        <v>2026</v>
      </c>
      <c r="AE4787" t="str">
        <f>IF(OR(SalesData[[#This Row],[Day]]="Saturday",SalesData[[#This Row],[Day]]="Sunday"),"Weekend","Weekday")</f>
        <v>Weekday</v>
      </c>
      <c r="AF4787" s="5">
        <f>IF(SalesData[[#This Row],[Contracts Offered]]=0,0,SalesData[[#This Row],[Contracts Signed]]/SalesData[[#This Row],[Contracts Offered]])</f>
        <v>0.38372093023255816</v>
      </c>
      <c r="AG4787" s="5">
        <f>IF(SalesData[[#This Row],[Customers Visited]]=0,0,SalesData[[#This Row],[Test Drives]]/SalesData[[#This Row],[Customers Visited]])</f>
        <v>0.47509578544061304</v>
      </c>
      <c r="AH4787" s="5">
        <f>IF(SalesData[[#This Row],[Customers Visited]]=0,0,SalesData[[#This Row],[Contracts Signed]]/SalesData[[#This Row],[Customers Visited]])</f>
        <v>0.12643678160919541</v>
      </c>
      <c r="AI4787" s="6">
        <f>IF(SalesData[[#This Row],[Contracts Signed]]=0,0,SalesData[[#This Row],[Profit(€)]]/SalesData[[#This Row],[Contracts Signed]])</f>
        <v>18173</v>
      </c>
      <c r="AJ4787" s="5" t="str">
        <f>TRIM(CLEAN(SalesData[[#This Row],[Retailer]]))</f>
        <v>Hannover Cars</v>
      </c>
    </row>
    <row r="4788" spans="1:36" ht="14.25" hidden="1" x14ac:dyDescent="0.2">
      <c r="A4788" t="s">
        <v>6064</v>
      </c>
      <c r="B4788" s="1">
        <v>46059</v>
      </c>
      <c r="C4788" t="s">
        <v>24</v>
      </c>
      <c r="D4788" t="s">
        <v>54</v>
      </c>
      <c r="E4788" t="s">
        <v>26</v>
      </c>
      <c r="F4788" t="s">
        <v>94</v>
      </c>
      <c r="G4788" t="s">
        <v>95</v>
      </c>
      <c r="H4788" t="s">
        <v>96</v>
      </c>
      <c r="I4788" t="s">
        <v>64</v>
      </c>
      <c r="J4788" t="s">
        <v>157</v>
      </c>
      <c r="K4788" t="s">
        <v>66</v>
      </c>
      <c r="L4788" t="s">
        <v>33</v>
      </c>
      <c r="M4788" t="s">
        <v>47</v>
      </c>
      <c r="N4788" t="s">
        <v>69</v>
      </c>
      <c r="O4788" t="s">
        <v>36</v>
      </c>
      <c r="P4788" t="s">
        <v>71</v>
      </c>
      <c r="Q4788" t="s">
        <v>169</v>
      </c>
      <c r="R4788">
        <v>214</v>
      </c>
      <c r="S4788">
        <v>126</v>
      </c>
      <c r="T4788">
        <v>98</v>
      </c>
      <c r="U4788">
        <v>36</v>
      </c>
      <c r="V4788" t="s">
        <v>6357</v>
      </c>
      <c r="W4788">
        <v>55899</v>
      </c>
      <c r="X4788" t="s">
        <v>7127</v>
      </c>
      <c r="Y4788">
        <v>43381</v>
      </c>
      <c r="Z4788">
        <v>2012364</v>
      </c>
      <c r="AA4788">
        <v>450648</v>
      </c>
      <c r="AB4788" t="str">
        <f>(VLOOKUP(SalesData[[#This Row],[Month Number]],Reference!C$5:E$16,2,FALSE))</f>
        <v>Feb</v>
      </c>
      <c r="AC4788">
        <f>MONTH(SalesData[[#This Row],[Date]])</f>
        <v>2</v>
      </c>
      <c r="AD4788">
        <f>Reference!F$4</f>
        <v>2026</v>
      </c>
      <c r="AE4788" t="str">
        <f>IF(OR(SalesData[[#This Row],[Day]]="Saturday",SalesData[[#This Row],[Day]]="Sunday"),"Weekend","Weekday")</f>
        <v>Weekday</v>
      </c>
      <c r="AF4788" s="5">
        <f>IF(SalesData[[#This Row],[Contracts Offered]]=0,0,SalesData[[#This Row],[Contracts Signed]]/SalesData[[#This Row],[Contracts Offered]])</f>
        <v>0.36734693877551022</v>
      </c>
      <c r="AG4788" s="5">
        <f>IF(SalesData[[#This Row],[Customers Visited]]=0,0,SalesData[[#This Row],[Test Drives]]/SalesData[[#This Row],[Customers Visited]])</f>
        <v>0.58878504672897192</v>
      </c>
      <c r="AH4788" s="5">
        <f>IF(SalesData[[#This Row],[Customers Visited]]=0,0,SalesData[[#This Row],[Contracts Signed]]/SalesData[[#This Row],[Customers Visited]])</f>
        <v>0.16822429906542055</v>
      </c>
      <c r="AI4788" s="6">
        <f>IF(SalesData[[#This Row],[Contracts Signed]]=0,0,SalesData[[#This Row],[Profit(€)]]/SalesData[[#This Row],[Contracts Signed]])</f>
        <v>12518</v>
      </c>
      <c r="AJ4788" s="5" t="str">
        <f>TRIM(CLEAN(SalesData[[#This Row],[Retailer]]))</f>
        <v>Bavaria Motors</v>
      </c>
    </row>
    <row r="4789" spans="1:36" ht="14.25" x14ac:dyDescent="0.2">
      <c r="A4789" t="s">
        <v>6065</v>
      </c>
      <c r="B4789" s="1">
        <v>46065</v>
      </c>
      <c r="C4789" t="s">
        <v>121</v>
      </c>
      <c r="D4789" t="s">
        <v>100</v>
      </c>
      <c r="E4789" t="s">
        <v>26</v>
      </c>
      <c r="F4789" t="s">
        <v>43</v>
      </c>
      <c r="G4789" t="s">
        <v>44</v>
      </c>
      <c r="H4789" t="s">
        <v>45</v>
      </c>
      <c r="I4789" t="s">
        <v>30</v>
      </c>
      <c r="J4789" t="s">
        <v>188</v>
      </c>
      <c r="K4789" t="s">
        <v>91</v>
      </c>
      <c r="L4789" t="s">
        <v>33</v>
      </c>
      <c r="M4789" t="s">
        <v>68</v>
      </c>
      <c r="N4789" t="s">
        <v>35</v>
      </c>
      <c r="O4789" t="s">
        <v>36</v>
      </c>
      <c r="P4789" t="s">
        <v>58</v>
      </c>
      <c r="Q4789" t="s">
        <v>122</v>
      </c>
      <c r="R4789">
        <v>185</v>
      </c>
      <c r="S4789">
        <v>97</v>
      </c>
      <c r="T4789">
        <v>76</v>
      </c>
      <c r="U4789">
        <v>29</v>
      </c>
      <c r="V4789" t="s">
        <v>7594</v>
      </c>
      <c r="W4789">
        <v>55404</v>
      </c>
      <c r="X4789" t="s">
        <v>5878</v>
      </c>
      <c r="Y4789">
        <v>41867</v>
      </c>
      <c r="Z4789">
        <v>1606716</v>
      </c>
      <c r="AA4789">
        <v>392573</v>
      </c>
      <c r="AB4789" t="str">
        <f>(VLOOKUP(SalesData[[#This Row],[Month Number]],Reference!C$5:E$16,2,FALSE))</f>
        <v>Feb</v>
      </c>
      <c r="AC4789">
        <f>MONTH(SalesData[[#This Row],[Date]])</f>
        <v>2</v>
      </c>
      <c r="AD4789">
        <f>Reference!F$4</f>
        <v>2026</v>
      </c>
      <c r="AE4789" t="str">
        <f>IF(OR(SalesData[[#This Row],[Day]]="Saturday",SalesData[[#This Row],[Day]]="Sunday"),"Weekend","Weekday")</f>
        <v>Weekday</v>
      </c>
      <c r="AF4789" s="5">
        <f>IF(SalesData[[#This Row],[Contracts Offered]]=0,0,SalesData[[#This Row],[Contracts Signed]]/SalesData[[#This Row],[Contracts Offered]])</f>
        <v>0.38157894736842107</v>
      </c>
      <c r="AG4789" s="5">
        <f>IF(SalesData[[#This Row],[Customers Visited]]=0,0,SalesData[[#This Row],[Test Drives]]/SalesData[[#This Row],[Customers Visited]])</f>
        <v>0.5243243243243243</v>
      </c>
      <c r="AH4789" s="5">
        <f>IF(SalesData[[#This Row],[Customers Visited]]=0,0,SalesData[[#This Row],[Contracts Signed]]/SalesData[[#This Row],[Customers Visited]])</f>
        <v>0.15675675675675677</v>
      </c>
      <c r="AI4789" s="6">
        <f>IF(SalesData[[#This Row],[Contracts Signed]]=0,0,SalesData[[#This Row],[Profit(€)]]/SalesData[[#This Row],[Contracts Signed]])</f>
        <v>13537</v>
      </c>
      <c r="AJ4789" s="5" t="str">
        <f>TRIM(CLEAN(SalesData[[#This Row],[Retailer]]))</f>
        <v>Saxon Wheels</v>
      </c>
    </row>
    <row r="4790" spans="1:36" ht="14.25" hidden="1" x14ac:dyDescent="0.2">
      <c r="A4790" t="s">
        <v>6066</v>
      </c>
      <c r="B4790" s="1">
        <v>46059</v>
      </c>
      <c r="C4790" t="s">
        <v>24</v>
      </c>
      <c r="D4790" t="s">
        <v>54</v>
      </c>
      <c r="E4790" t="s">
        <v>26</v>
      </c>
      <c r="F4790" t="s">
        <v>83</v>
      </c>
      <c r="G4790" t="s">
        <v>84</v>
      </c>
      <c r="H4790" t="s">
        <v>85</v>
      </c>
      <c r="I4790" t="s">
        <v>116</v>
      </c>
      <c r="J4790" t="s">
        <v>7026</v>
      </c>
      <c r="K4790" t="s">
        <v>91</v>
      </c>
      <c r="L4790" t="s">
        <v>46</v>
      </c>
      <c r="M4790" t="s">
        <v>87</v>
      </c>
      <c r="N4790" t="s">
        <v>35</v>
      </c>
      <c r="O4790" t="s">
        <v>70</v>
      </c>
      <c r="P4790" t="s">
        <v>58</v>
      </c>
      <c r="Q4790" t="s">
        <v>38</v>
      </c>
      <c r="R4790">
        <v>414</v>
      </c>
      <c r="S4790">
        <v>228</v>
      </c>
      <c r="T4790">
        <v>127</v>
      </c>
      <c r="U4790">
        <v>40</v>
      </c>
      <c r="V4790" t="s">
        <v>356</v>
      </c>
      <c r="W4790">
        <v>24912</v>
      </c>
      <c r="X4790" t="s">
        <v>1776</v>
      </c>
      <c r="Y4790">
        <v>22899</v>
      </c>
      <c r="Z4790">
        <v>996480</v>
      </c>
      <c r="AA4790">
        <v>80520</v>
      </c>
      <c r="AB4790" t="str">
        <f>(VLOOKUP(SalesData[[#This Row],[Month Number]],Reference!C$5:E$16,2,FALSE))</f>
        <v>Feb</v>
      </c>
      <c r="AC4790">
        <f>MONTH(SalesData[[#This Row],[Date]])</f>
        <v>2</v>
      </c>
      <c r="AD4790">
        <f>Reference!F$4</f>
        <v>2026</v>
      </c>
      <c r="AE4790" t="str">
        <f>IF(OR(SalesData[[#This Row],[Day]]="Saturday",SalesData[[#This Row],[Day]]="Sunday"),"Weekend","Weekday")</f>
        <v>Weekday</v>
      </c>
      <c r="AF4790" s="5">
        <f>IF(SalesData[[#This Row],[Contracts Offered]]=0,0,SalesData[[#This Row],[Contracts Signed]]/SalesData[[#This Row],[Contracts Offered]])</f>
        <v>0.31496062992125984</v>
      </c>
      <c r="AG4790" s="5">
        <f>IF(SalesData[[#This Row],[Customers Visited]]=0,0,SalesData[[#This Row],[Test Drives]]/SalesData[[#This Row],[Customers Visited]])</f>
        <v>0.55072463768115942</v>
      </c>
      <c r="AH4790" s="5">
        <f>IF(SalesData[[#This Row],[Customers Visited]]=0,0,SalesData[[#This Row],[Contracts Signed]]/SalesData[[#This Row],[Customers Visited]])</f>
        <v>9.6618357487922704E-2</v>
      </c>
      <c r="AI4790" s="6">
        <f>IF(SalesData[[#This Row],[Contracts Signed]]=0,0,SalesData[[#This Row],[Profit(€)]]/SalesData[[#This Row],[Contracts Signed]])</f>
        <v>2013</v>
      </c>
      <c r="AJ4790" s="5" t="str">
        <f>TRIM(CLEAN(SalesData[[#This Row],[Retailer]]))</f>
        <v>Hannover Cars</v>
      </c>
    </row>
    <row r="4791" spans="1:36" ht="14.25" hidden="1" x14ac:dyDescent="0.2">
      <c r="A4791" t="s">
        <v>6067</v>
      </c>
      <c r="B4791" s="1">
        <v>46068</v>
      </c>
      <c r="C4791" t="s">
        <v>62</v>
      </c>
      <c r="D4791" t="s">
        <v>41</v>
      </c>
      <c r="E4791" t="s">
        <v>42</v>
      </c>
      <c r="F4791" t="s">
        <v>114</v>
      </c>
      <c r="G4791" t="s">
        <v>115</v>
      </c>
      <c r="H4791" t="s">
        <v>115</v>
      </c>
      <c r="I4791" t="s">
        <v>116</v>
      </c>
      <c r="J4791" t="s">
        <v>7026</v>
      </c>
      <c r="K4791" t="s">
        <v>78</v>
      </c>
      <c r="L4791" t="s">
        <v>46</v>
      </c>
      <c r="M4791" t="s">
        <v>68</v>
      </c>
      <c r="N4791" t="s">
        <v>35</v>
      </c>
      <c r="O4791" t="s">
        <v>36</v>
      </c>
      <c r="P4791" t="s">
        <v>58</v>
      </c>
      <c r="Q4791" t="s">
        <v>204</v>
      </c>
      <c r="R4791">
        <v>393</v>
      </c>
      <c r="S4791">
        <v>188</v>
      </c>
      <c r="T4791">
        <v>131</v>
      </c>
      <c r="U4791">
        <v>35</v>
      </c>
      <c r="V4791" t="s">
        <v>2213</v>
      </c>
      <c r="W4791">
        <v>19391</v>
      </c>
      <c r="X4791" t="s">
        <v>1919</v>
      </c>
      <c r="Y4791">
        <v>17972</v>
      </c>
      <c r="Z4791">
        <v>678685</v>
      </c>
      <c r="AA4791">
        <v>49665</v>
      </c>
      <c r="AB4791" t="str">
        <f>(VLOOKUP(SalesData[[#This Row],[Month Number]],Reference!C$5:E$16,2,FALSE))</f>
        <v>Feb</v>
      </c>
      <c r="AC4791">
        <f>MONTH(SalesData[[#This Row],[Date]])</f>
        <v>2</v>
      </c>
      <c r="AD4791">
        <f>Reference!F$4</f>
        <v>2026</v>
      </c>
      <c r="AE4791" t="str">
        <f>IF(OR(SalesData[[#This Row],[Day]]="Saturday",SalesData[[#This Row],[Day]]="Sunday"),"Weekend","Weekday")</f>
        <v>Weekend</v>
      </c>
      <c r="AF4791" s="5">
        <f>IF(SalesData[[#This Row],[Contracts Offered]]=0,0,SalesData[[#This Row],[Contracts Signed]]/SalesData[[#This Row],[Contracts Offered]])</f>
        <v>0.26717557251908397</v>
      </c>
      <c r="AG4791" s="5">
        <f>IF(SalesData[[#This Row],[Customers Visited]]=0,0,SalesData[[#This Row],[Test Drives]]/SalesData[[#This Row],[Customers Visited]])</f>
        <v>0.47837150127226463</v>
      </c>
      <c r="AH4791" s="5">
        <f>IF(SalesData[[#This Row],[Customers Visited]]=0,0,SalesData[[#This Row],[Contracts Signed]]/SalesData[[#This Row],[Customers Visited]])</f>
        <v>8.9058524173027995E-2</v>
      </c>
      <c r="AI4791" s="6">
        <f>IF(SalesData[[#This Row],[Contracts Signed]]=0,0,SalesData[[#This Row],[Profit(€)]]/SalesData[[#This Row],[Contracts Signed]])</f>
        <v>1419</v>
      </c>
      <c r="AJ4791" s="5" t="str">
        <f>TRIM(CLEAN(SalesData[[#This Row],[Retailer]]))</f>
        <v>Elbe Drive</v>
      </c>
    </row>
    <row r="4792" spans="1:36" ht="14.25" hidden="1" x14ac:dyDescent="0.2">
      <c r="A4792" t="s">
        <v>6068</v>
      </c>
      <c r="B4792" s="1">
        <v>46067</v>
      </c>
      <c r="C4792" t="s">
        <v>121</v>
      </c>
      <c r="D4792" t="s">
        <v>151</v>
      </c>
      <c r="E4792" t="s">
        <v>42</v>
      </c>
      <c r="F4792" t="s">
        <v>7649</v>
      </c>
      <c r="G4792" t="s">
        <v>55</v>
      </c>
      <c r="H4792" t="s">
        <v>55</v>
      </c>
      <c r="I4792" t="s">
        <v>104</v>
      </c>
      <c r="J4792" t="s">
        <v>140</v>
      </c>
      <c r="K4792" t="s">
        <v>32</v>
      </c>
      <c r="L4792" t="s">
        <v>46</v>
      </c>
      <c r="M4792" t="s">
        <v>68</v>
      </c>
      <c r="N4792" t="s">
        <v>69</v>
      </c>
      <c r="O4792" t="s">
        <v>36</v>
      </c>
      <c r="P4792" t="s">
        <v>37</v>
      </c>
      <c r="Q4792" t="s">
        <v>204</v>
      </c>
      <c r="R4792">
        <v>423</v>
      </c>
      <c r="S4792">
        <v>235</v>
      </c>
      <c r="T4792">
        <v>137</v>
      </c>
      <c r="U4792">
        <v>40</v>
      </c>
      <c r="V4792" t="s">
        <v>2328</v>
      </c>
      <c r="W4792">
        <v>26351</v>
      </c>
      <c r="X4792" t="s">
        <v>6194</v>
      </c>
      <c r="Y4792">
        <v>23779</v>
      </c>
      <c r="Z4792">
        <v>1054040</v>
      </c>
      <c r="AA4792">
        <v>102880</v>
      </c>
      <c r="AB4792" t="str">
        <f>(VLOOKUP(SalesData[[#This Row],[Month Number]],Reference!C$5:E$16,2,FALSE))</f>
        <v>Feb</v>
      </c>
      <c r="AC4792">
        <f>MONTH(SalesData[[#This Row],[Date]])</f>
        <v>2</v>
      </c>
      <c r="AD4792">
        <f>Reference!F$4</f>
        <v>2026</v>
      </c>
      <c r="AE4792" t="str">
        <f>IF(OR(SalesData[[#This Row],[Day]]="Saturday",SalesData[[#This Row],[Day]]="Sunday"),"Weekend","Weekday")</f>
        <v>Weekend</v>
      </c>
      <c r="AF4792" s="5">
        <f>IF(SalesData[[#This Row],[Contracts Offered]]=0,0,SalesData[[#This Row],[Contracts Signed]]/SalesData[[#This Row],[Contracts Offered]])</f>
        <v>0.29197080291970801</v>
      </c>
      <c r="AG4792" s="5">
        <f>IF(SalesData[[#This Row],[Customers Visited]]=0,0,SalesData[[#This Row],[Test Drives]]/SalesData[[#This Row],[Customers Visited]])</f>
        <v>0.55555555555555558</v>
      </c>
      <c r="AH4792" s="5">
        <f>IF(SalesData[[#This Row],[Customers Visited]]=0,0,SalesData[[#This Row],[Contracts Signed]]/SalesData[[#This Row],[Customers Visited]])</f>
        <v>9.4562647754137114E-2</v>
      </c>
      <c r="AI4792" s="6">
        <f>IF(SalesData[[#This Row],[Contracts Signed]]=0,0,SalesData[[#This Row],[Profit(€)]]/SalesData[[#This Row],[Contracts Signed]])</f>
        <v>2572</v>
      </c>
      <c r="AJ4792" s="5" t="str">
        <f>TRIM(CLEAN(SalesData[[#This Row],[Retailer]]))</f>
        <v>Autohaus Berlin</v>
      </c>
    </row>
    <row r="4793" spans="1:36" ht="14.25" hidden="1" x14ac:dyDescent="0.2">
      <c r="A4793" t="s">
        <v>6069</v>
      </c>
      <c r="B4793" s="1">
        <v>46077</v>
      </c>
      <c r="C4793" t="s">
        <v>53</v>
      </c>
      <c r="D4793" t="s">
        <v>63</v>
      </c>
      <c r="E4793" t="s">
        <v>26</v>
      </c>
      <c r="F4793" t="s">
        <v>94</v>
      </c>
      <c r="G4793" t="s">
        <v>95</v>
      </c>
      <c r="H4793" t="s">
        <v>96</v>
      </c>
      <c r="I4793" t="s">
        <v>56</v>
      </c>
      <c r="J4793" t="s">
        <v>179</v>
      </c>
      <c r="K4793" t="s">
        <v>78</v>
      </c>
      <c r="L4793" t="s">
        <v>67</v>
      </c>
      <c r="M4793" t="s">
        <v>87</v>
      </c>
      <c r="N4793" t="s">
        <v>69</v>
      </c>
      <c r="O4793" t="s">
        <v>36</v>
      </c>
      <c r="P4793" t="s">
        <v>71</v>
      </c>
      <c r="Q4793" t="s">
        <v>135</v>
      </c>
      <c r="R4793">
        <v>263</v>
      </c>
      <c r="S4793">
        <v>153</v>
      </c>
      <c r="T4793">
        <v>104</v>
      </c>
      <c r="U4793">
        <v>41</v>
      </c>
      <c r="V4793" t="s">
        <v>6440</v>
      </c>
      <c r="W4793">
        <v>45990</v>
      </c>
      <c r="X4793" t="s">
        <v>119</v>
      </c>
      <c r="Y4793">
        <v>35936</v>
      </c>
      <c r="Z4793">
        <v>1885590</v>
      </c>
      <c r="AA4793">
        <v>412214</v>
      </c>
      <c r="AB4793" t="str">
        <f>(VLOOKUP(SalesData[[#This Row],[Month Number]],Reference!C$5:E$16,2,FALSE))</f>
        <v>Feb</v>
      </c>
      <c r="AC4793">
        <f>MONTH(SalesData[[#This Row],[Date]])</f>
        <v>2</v>
      </c>
      <c r="AD4793">
        <f>Reference!F$4</f>
        <v>2026</v>
      </c>
      <c r="AE4793" t="str">
        <f>IF(OR(SalesData[[#This Row],[Day]]="Saturday",SalesData[[#This Row],[Day]]="Sunday"),"Weekend","Weekday")</f>
        <v>Weekday</v>
      </c>
      <c r="AF4793" s="5">
        <f>IF(SalesData[[#This Row],[Contracts Offered]]=0,0,SalesData[[#This Row],[Contracts Signed]]/SalesData[[#This Row],[Contracts Offered]])</f>
        <v>0.39423076923076922</v>
      </c>
      <c r="AG4793" s="5">
        <f>IF(SalesData[[#This Row],[Customers Visited]]=0,0,SalesData[[#This Row],[Test Drives]]/SalesData[[#This Row],[Customers Visited]])</f>
        <v>0.58174904942965777</v>
      </c>
      <c r="AH4793" s="5">
        <f>IF(SalesData[[#This Row],[Customers Visited]]=0,0,SalesData[[#This Row],[Contracts Signed]]/SalesData[[#This Row],[Customers Visited]])</f>
        <v>0.155893536121673</v>
      </c>
      <c r="AI4793" s="6">
        <f>IF(SalesData[[#This Row],[Contracts Signed]]=0,0,SalesData[[#This Row],[Profit(€)]]/SalesData[[#This Row],[Contracts Signed]])</f>
        <v>10054</v>
      </c>
      <c r="AJ4793" s="5" t="str">
        <f>TRIM(CLEAN(SalesData[[#This Row],[Retailer]]))</f>
        <v>Bavaria Motors</v>
      </c>
    </row>
    <row r="4794" spans="1:36" ht="14.25" x14ac:dyDescent="0.2">
      <c r="A4794" t="s">
        <v>6071</v>
      </c>
      <c r="B4794" s="1">
        <v>46078</v>
      </c>
      <c r="C4794" t="s">
        <v>53</v>
      </c>
      <c r="D4794" t="s">
        <v>82</v>
      </c>
      <c r="E4794" t="s">
        <v>26</v>
      </c>
      <c r="F4794" t="s">
        <v>74</v>
      </c>
      <c r="G4794" t="s">
        <v>75</v>
      </c>
      <c r="H4794" t="s">
        <v>76</v>
      </c>
      <c r="I4794" t="s">
        <v>30</v>
      </c>
      <c r="J4794" t="s">
        <v>31</v>
      </c>
      <c r="K4794" t="s">
        <v>78</v>
      </c>
      <c r="L4794" t="s">
        <v>46</v>
      </c>
      <c r="M4794" t="s">
        <v>87</v>
      </c>
      <c r="N4794" t="s">
        <v>69</v>
      </c>
      <c r="O4794" t="s">
        <v>36</v>
      </c>
      <c r="P4794" t="s">
        <v>71</v>
      </c>
      <c r="Q4794" t="s">
        <v>172</v>
      </c>
      <c r="R4794">
        <v>228</v>
      </c>
      <c r="S4794">
        <v>124</v>
      </c>
      <c r="T4794">
        <v>87</v>
      </c>
      <c r="U4794">
        <v>39</v>
      </c>
      <c r="V4794" t="s">
        <v>7469</v>
      </c>
      <c r="W4794">
        <v>57467</v>
      </c>
      <c r="X4794" t="s">
        <v>323</v>
      </c>
      <c r="Y4794">
        <v>41966</v>
      </c>
      <c r="Z4794">
        <v>2241213</v>
      </c>
      <c r="AA4794">
        <v>604539</v>
      </c>
      <c r="AB4794" t="str">
        <f>(VLOOKUP(SalesData[[#This Row],[Month Number]],Reference!C$5:E$16,2,FALSE))</f>
        <v>Feb</v>
      </c>
      <c r="AC4794">
        <f>MONTH(SalesData[[#This Row],[Date]])</f>
        <v>2</v>
      </c>
      <c r="AD4794">
        <f>Reference!F$4</f>
        <v>2026</v>
      </c>
      <c r="AE4794" t="str">
        <f>IF(OR(SalesData[[#This Row],[Day]]="Saturday",SalesData[[#This Row],[Day]]="Sunday"),"Weekend","Weekday")</f>
        <v>Weekday</v>
      </c>
      <c r="AF4794" s="5">
        <f>IF(SalesData[[#This Row],[Contracts Offered]]=0,0,SalesData[[#This Row],[Contracts Signed]]/SalesData[[#This Row],[Contracts Offered]])</f>
        <v>0.44827586206896552</v>
      </c>
      <c r="AG4794" s="5">
        <f>IF(SalesData[[#This Row],[Customers Visited]]=0,0,SalesData[[#This Row],[Test Drives]]/SalesData[[#This Row],[Customers Visited]])</f>
        <v>0.54385964912280704</v>
      </c>
      <c r="AH4794" s="5">
        <f>IF(SalesData[[#This Row],[Customers Visited]]=0,0,SalesData[[#This Row],[Contracts Signed]]/SalesData[[#This Row],[Customers Visited]])</f>
        <v>0.17105263157894737</v>
      </c>
      <c r="AI4794" s="6">
        <f>IF(SalesData[[#This Row],[Contracts Signed]]=0,0,SalesData[[#This Row],[Profit(€)]]/SalesData[[#This Row],[Contracts Signed]])</f>
        <v>15501</v>
      </c>
      <c r="AJ4794" s="5" t="str">
        <f>TRIM(CLEAN(SalesData[[#This Row],[Retailer]]))</f>
        <v>Stuttgart Auto Center</v>
      </c>
    </row>
    <row r="4795" spans="1:36" ht="14.25" hidden="1" x14ac:dyDescent="0.2">
      <c r="A4795" t="s">
        <v>6072</v>
      </c>
      <c r="B4795" s="1">
        <v>46062</v>
      </c>
      <c r="C4795" t="s">
        <v>121</v>
      </c>
      <c r="D4795" t="s">
        <v>25</v>
      </c>
      <c r="E4795" t="s">
        <v>26</v>
      </c>
      <c r="F4795" t="s">
        <v>114</v>
      </c>
      <c r="G4795" t="s">
        <v>115</v>
      </c>
      <c r="H4795" t="s">
        <v>115</v>
      </c>
      <c r="I4795" t="s">
        <v>56</v>
      </c>
      <c r="J4795" t="s">
        <v>97</v>
      </c>
      <c r="K4795" t="s">
        <v>66</v>
      </c>
      <c r="L4795" t="s">
        <v>33</v>
      </c>
      <c r="M4795" t="s">
        <v>47</v>
      </c>
      <c r="N4795" t="s">
        <v>35</v>
      </c>
      <c r="O4795" t="s">
        <v>70</v>
      </c>
      <c r="P4795" t="s">
        <v>37</v>
      </c>
      <c r="Q4795" t="s">
        <v>144</v>
      </c>
      <c r="R4795">
        <v>209</v>
      </c>
      <c r="S4795">
        <v>115</v>
      </c>
      <c r="T4795">
        <v>82</v>
      </c>
      <c r="U4795">
        <v>27</v>
      </c>
      <c r="V4795" t="s">
        <v>6683</v>
      </c>
      <c r="W4795">
        <v>41228</v>
      </c>
      <c r="X4795" t="s">
        <v>504</v>
      </c>
      <c r="Y4795">
        <v>31427</v>
      </c>
      <c r="Z4795">
        <v>1113156</v>
      </c>
      <c r="AA4795">
        <v>264627</v>
      </c>
      <c r="AB4795" t="str">
        <f>(VLOOKUP(SalesData[[#This Row],[Month Number]],Reference!C$5:E$16,2,FALSE))</f>
        <v>Feb</v>
      </c>
      <c r="AC4795">
        <f>MONTH(SalesData[[#This Row],[Date]])</f>
        <v>2</v>
      </c>
      <c r="AD4795">
        <f>Reference!F$4</f>
        <v>2026</v>
      </c>
      <c r="AE4795" t="str">
        <f>IF(OR(SalesData[[#This Row],[Day]]="Saturday",SalesData[[#This Row],[Day]]="Sunday"),"Weekend","Weekday")</f>
        <v>Weekday</v>
      </c>
      <c r="AF4795" s="5">
        <f>IF(SalesData[[#This Row],[Contracts Offered]]=0,0,SalesData[[#This Row],[Contracts Signed]]/SalesData[[#This Row],[Contracts Offered]])</f>
        <v>0.32926829268292684</v>
      </c>
      <c r="AG4795" s="5">
        <f>IF(SalesData[[#This Row],[Customers Visited]]=0,0,SalesData[[#This Row],[Test Drives]]/SalesData[[#This Row],[Customers Visited]])</f>
        <v>0.55023923444976075</v>
      </c>
      <c r="AH4795" s="5">
        <f>IF(SalesData[[#This Row],[Customers Visited]]=0,0,SalesData[[#This Row],[Contracts Signed]]/SalesData[[#This Row],[Customers Visited]])</f>
        <v>0.12918660287081341</v>
      </c>
      <c r="AI4795" s="6">
        <f>IF(SalesData[[#This Row],[Contracts Signed]]=0,0,SalesData[[#This Row],[Profit(€)]]/SalesData[[#This Row],[Contracts Signed]])</f>
        <v>9801</v>
      </c>
      <c r="AJ4795" s="5" t="str">
        <f>TRIM(CLEAN(SalesData[[#This Row],[Retailer]]))</f>
        <v>Elbe Drive</v>
      </c>
    </row>
    <row r="4796" spans="1:36" ht="14.25" hidden="1" x14ac:dyDescent="0.2">
      <c r="A4796" t="s">
        <v>6073</v>
      </c>
      <c r="B4796" s="1">
        <v>46078</v>
      </c>
      <c r="C4796" t="s">
        <v>53</v>
      </c>
      <c r="D4796" t="s">
        <v>82</v>
      </c>
      <c r="E4796" t="s">
        <v>26</v>
      </c>
      <c r="F4796" t="s">
        <v>83</v>
      </c>
      <c r="G4796" t="s">
        <v>84</v>
      </c>
      <c r="H4796" t="s">
        <v>85</v>
      </c>
      <c r="I4796" t="s">
        <v>116</v>
      </c>
      <c r="J4796" t="s">
        <v>203</v>
      </c>
      <c r="K4796" t="s">
        <v>32</v>
      </c>
      <c r="L4796" t="s">
        <v>67</v>
      </c>
      <c r="M4796" t="s">
        <v>47</v>
      </c>
      <c r="N4796" t="s">
        <v>69</v>
      </c>
      <c r="O4796" t="s">
        <v>36</v>
      </c>
      <c r="P4796" t="s">
        <v>49</v>
      </c>
      <c r="Q4796" t="s">
        <v>144</v>
      </c>
      <c r="R4796">
        <v>315</v>
      </c>
      <c r="S4796">
        <v>149</v>
      </c>
      <c r="T4796">
        <v>94</v>
      </c>
      <c r="U4796">
        <v>25</v>
      </c>
      <c r="V4796" t="s">
        <v>5143</v>
      </c>
      <c r="W4796">
        <v>25648</v>
      </c>
      <c r="X4796" t="s">
        <v>7057</v>
      </c>
      <c r="Y4796">
        <v>23471</v>
      </c>
      <c r="Z4796">
        <v>641200</v>
      </c>
      <c r="AA4796">
        <v>54425</v>
      </c>
      <c r="AB4796" t="str">
        <f>(VLOOKUP(SalesData[[#This Row],[Month Number]],Reference!C$5:E$16,2,FALSE))</f>
        <v>Feb</v>
      </c>
      <c r="AC4796">
        <f>MONTH(SalesData[[#This Row],[Date]])</f>
        <v>2</v>
      </c>
      <c r="AD4796">
        <f>Reference!F$4</f>
        <v>2026</v>
      </c>
      <c r="AE4796" t="str">
        <f>IF(OR(SalesData[[#This Row],[Day]]="Saturday",SalesData[[#This Row],[Day]]="Sunday"),"Weekend","Weekday")</f>
        <v>Weekday</v>
      </c>
      <c r="AF4796" s="5">
        <f>IF(SalesData[[#This Row],[Contracts Offered]]=0,0,SalesData[[#This Row],[Contracts Signed]]/SalesData[[#This Row],[Contracts Offered]])</f>
        <v>0.26595744680851063</v>
      </c>
      <c r="AG4796" s="5">
        <f>IF(SalesData[[#This Row],[Customers Visited]]=0,0,SalesData[[#This Row],[Test Drives]]/SalesData[[#This Row],[Customers Visited]])</f>
        <v>0.473015873015873</v>
      </c>
      <c r="AH4796" s="5">
        <f>IF(SalesData[[#This Row],[Customers Visited]]=0,0,SalesData[[#This Row],[Contracts Signed]]/SalesData[[#This Row],[Customers Visited]])</f>
        <v>7.9365079365079361E-2</v>
      </c>
      <c r="AI4796" s="6">
        <f>IF(SalesData[[#This Row],[Contracts Signed]]=0,0,SalesData[[#This Row],[Profit(€)]]/SalesData[[#This Row],[Contracts Signed]])</f>
        <v>2177</v>
      </c>
      <c r="AJ4796" s="5" t="str">
        <f>TRIM(CLEAN(SalesData[[#This Row],[Retailer]]))</f>
        <v>Hannover Cars</v>
      </c>
    </row>
    <row r="4797" spans="1:36" ht="14.25" hidden="1" x14ac:dyDescent="0.2">
      <c r="A4797" t="s">
        <v>6074</v>
      </c>
      <c r="B4797" s="1">
        <v>46065</v>
      </c>
      <c r="C4797" t="s">
        <v>121</v>
      </c>
      <c r="D4797" t="s">
        <v>100</v>
      </c>
      <c r="E4797" t="s">
        <v>26</v>
      </c>
      <c r="F4797" t="s">
        <v>109</v>
      </c>
      <c r="G4797" t="s">
        <v>110</v>
      </c>
      <c r="H4797" t="s">
        <v>45</v>
      </c>
      <c r="I4797" t="s">
        <v>64</v>
      </c>
      <c r="J4797" t="s">
        <v>157</v>
      </c>
      <c r="K4797" t="s">
        <v>91</v>
      </c>
      <c r="L4797" t="s">
        <v>33</v>
      </c>
      <c r="M4797" t="s">
        <v>68</v>
      </c>
      <c r="N4797" t="s">
        <v>35</v>
      </c>
      <c r="O4797" t="s">
        <v>36</v>
      </c>
      <c r="P4797" t="s">
        <v>37</v>
      </c>
      <c r="Q4797" t="s">
        <v>172</v>
      </c>
      <c r="R4797">
        <v>169</v>
      </c>
      <c r="S4797">
        <v>95</v>
      </c>
      <c r="T4797">
        <v>63</v>
      </c>
      <c r="U4797">
        <v>20</v>
      </c>
      <c r="V4797" t="s">
        <v>6421</v>
      </c>
      <c r="W4797">
        <v>66364</v>
      </c>
      <c r="X4797" t="s">
        <v>51</v>
      </c>
      <c r="Y4797">
        <v>51018</v>
      </c>
      <c r="Z4797">
        <v>1327280</v>
      </c>
      <c r="AA4797">
        <v>306920</v>
      </c>
      <c r="AB4797" t="str">
        <f>(VLOOKUP(SalesData[[#This Row],[Month Number]],Reference!C$5:E$16,2,FALSE))</f>
        <v>Feb</v>
      </c>
      <c r="AC4797">
        <f>MONTH(SalesData[[#This Row],[Date]])</f>
        <v>2</v>
      </c>
      <c r="AD4797">
        <f>Reference!F$4</f>
        <v>2026</v>
      </c>
      <c r="AE4797" t="str">
        <f>IF(OR(SalesData[[#This Row],[Day]]="Saturday",SalesData[[#This Row],[Day]]="Sunday"),"Weekend","Weekday")</f>
        <v>Weekday</v>
      </c>
      <c r="AF4797" s="5">
        <f>IF(SalesData[[#This Row],[Contracts Offered]]=0,0,SalesData[[#This Row],[Contracts Signed]]/SalesData[[#This Row],[Contracts Offered]])</f>
        <v>0.31746031746031744</v>
      </c>
      <c r="AG4797" s="5">
        <f>IF(SalesData[[#This Row],[Customers Visited]]=0,0,SalesData[[#This Row],[Test Drives]]/SalesData[[#This Row],[Customers Visited]])</f>
        <v>0.56213017751479288</v>
      </c>
      <c r="AH4797" s="5">
        <f>IF(SalesData[[#This Row],[Customers Visited]]=0,0,SalesData[[#This Row],[Contracts Signed]]/SalesData[[#This Row],[Customers Visited]])</f>
        <v>0.11834319526627218</v>
      </c>
      <c r="AI4797" s="6">
        <f>IF(SalesData[[#This Row],[Contracts Signed]]=0,0,SalesData[[#This Row],[Profit(€)]]/SalesData[[#This Row],[Contracts Signed]])</f>
        <v>15346</v>
      </c>
      <c r="AJ4797" s="5" t="str">
        <f>TRIM(CLEAN(SalesData[[#This Row],[Retailer]]))</f>
        <v>Leipzig Mobility</v>
      </c>
    </row>
    <row r="4798" spans="1:36" ht="14.25" hidden="1" x14ac:dyDescent="0.2">
      <c r="A4798" t="s">
        <v>6075</v>
      </c>
      <c r="B4798" s="1">
        <v>46058</v>
      </c>
      <c r="C4798" t="s">
        <v>24</v>
      </c>
      <c r="D4798" t="s">
        <v>100</v>
      </c>
      <c r="E4798" t="s">
        <v>26</v>
      </c>
      <c r="F4798" t="s">
        <v>43</v>
      </c>
      <c r="G4798" t="s">
        <v>44</v>
      </c>
      <c r="H4798" t="s">
        <v>45</v>
      </c>
      <c r="I4798" t="s">
        <v>56</v>
      </c>
      <c r="J4798" t="s">
        <v>179</v>
      </c>
      <c r="K4798" t="s">
        <v>78</v>
      </c>
      <c r="L4798" t="s">
        <v>67</v>
      </c>
      <c r="M4798" t="s">
        <v>87</v>
      </c>
      <c r="N4798" t="s">
        <v>35</v>
      </c>
      <c r="O4798" t="s">
        <v>70</v>
      </c>
      <c r="P4798" t="s">
        <v>49</v>
      </c>
      <c r="Q4798" t="s">
        <v>129</v>
      </c>
      <c r="R4798">
        <v>251</v>
      </c>
      <c r="S4798">
        <v>138</v>
      </c>
      <c r="T4798">
        <v>88</v>
      </c>
      <c r="U4798">
        <v>28</v>
      </c>
      <c r="V4798" t="s">
        <v>6999</v>
      </c>
      <c r="W4798">
        <v>48827</v>
      </c>
      <c r="X4798" t="s">
        <v>7065</v>
      </c>
      <c r="Y4798">
        <v>37762</v>
      </c>
      <c r="Z4798">
        <v>1367156</v>
      </c>
      <c r="AA4798">
        <v>309820</v>
      </c>
      <c r="AB4798" t="str">
        <f>(VLOOKUP(SalesData[[#This Row],[Month Number]],Reference!C$5:E$16,2,FALSE))</f>
        <v>Feb</v>
      </c>
      <c r="AC4798">
        <f>MONTH(SalesData[[#This Row],[Date]])</f>
        <v>2</v>
      </c>
      <c r="AD4798">
        <f>Reference!F$4</f>
        <v>2026</v>
      </c>
      <c r="AE4798" t="str">
        <f>IF(OR(SalesData[[#This Row],[Day]]="Saturday",SalesData[[#This Row],[Day]]="Sunday"),"Weekend","Weekday")</f>
        <v>Weekday</v>
      </c>
      <c r="AF4798" s="5">
        <f>IF(SalesData[[#This Row],[Contracts Offered]]=0,0,SalesData[[#This Row],[Contracts Signed]]/SalesData[[#This Row],[Contracts Offered]])</f>
        <v>0.31818181818181818</v>
      </c>
      <c r="AG4798" s="5">
        <f>IF(SalesData[[#This Row],[Customers Visited]]=0,0,SalesData[[#This Row],[Test Drives]]/SalesData[[#This Row],[Customers Visited]])</f>
        <v>0.54980079681274896</v>
      </c>
      <c r="AH4798" s="5">
        <f>IF(SalesData[[#This Row],[Customers Visited]]=0,0,SalesData[[#This Row],[Contracts Signed]]/SalesData[[#This Row],[Customers Visited]])</f>
        <v>0.11155378486055777</v>
      </c>
      <c r="AI4798" s="6">
        <f>IF(SalesData[[#This Row],[Contracts Signed]]=0,0,SalesData[[#This Row],[Profit(€)]]/SalesData[[#This Row],[Contracts Signed]])</f>
        <v>11065</v>
      </c>
      <c r="AJ4798" s="5" t="str">
        <f>TRIM(CLEAN(SalesData[[#This Row],[Retailer]]))</f>
        <v>Saxon Wheels</v>
      </c>
    </row>
    <row r="4799" spans="1:36" ht="14.25" x14ac:dyDescent="0.2">
      <c r="A4799" t="s">
        <v>6076</v>
      </c>
      <c r="B4799" s="1">
        <v>46077</v>
      </c>
      <c r="C4799" t="s">
        <v>53</v>
      </c>
      <c r="D4799" t="s">
        <v>63</v>
      </c>
      <c r="E4799" t="s">
        <v>26</v>
      </c>
      <c r="F4799" t="s">
        <v>27</v>
      </c>
      <c r="G4799" t="s">
        <v>28</v>
      </c>
      <c r="H4799" t="s">
        <v>29</v>
      </c>
      <c r="I4799" t="s">
        <v>30</v>
      </c>
      <c r="J4799" t="s">
        <v>31</v>
      </c>
      <c r="K4799" t="s">
        <v>32</v>
      </c>
      <c r="L4799" t="s">
        <v>46</v>
      </c>
      <c r="M4799" t="s">
        <v>47</v>
      </c>
      <c r="N4799" t="s">
        <v>35</v>
      </c>
      <c r="O4799" t="s">
        <v>36</v>
      </c>
      <c r="P4799" t="s">
        <v>37</v>
      </c>
      <c r="Q4799" t="s">
        <v>347</v>
      </c>
      <c r="R4799">
        <v>189</v>
      </c>
      <c r="S4799">
        <v>87</v>
      </c>
      <c r="T4799">
        <v>69</v>
      </c>
      <c r="U4799">
        <v>23</v>
      </c>
      <c r="V4799" t="s">
        <v>6601</v>
      </c>
      <c r="W4799">
        <v>54954</v>
      </c>
      <c r="X4799" t="s">
        <v>3859</v>
      </c>
      <c r="Y4799">
        <v>41845</v>
      </c>
      <c r="Z4799">
        <v>1263942</v>
      </c>
      <c r="AA4799">
        <v>301507</v>
      </c>
      <c r="AB4799" t="str">
        <f>(VLOOKUP(SalesData[[#This Row],[Month Number]],Reference!C$5:E$16,2,FALSE))</f>
        <v>Feb</v>
      </c>
      <c r="AC4799">
        <f>MONTH(SalesData[[#This Row],[Date]])</f>
        <v>2</v>
      </c>
      <c r="AD4799">
        <f>Reference!F$4</f>
        <v>2026</v>
      </c>
      <c r="AE4799" t="str">
        <f>IF(OR(SalesData[[#This Row],[Day]]="Saturday",SalesData[[#This Row],[Day]]="Sunday"),"Weekend","Weekday")</f>
        <v>Weekday</v>
      </c>
      <c r="AF4799" s="5">
        <f>IF(SalesData[[#This Row],[Contracts Offered]]=0,0,SalesData[[#This Row],[Contracts Signed]]/SalesData[[#This Row],[Contracts Offered]])</f>
        <v>0.33333333333333331</v>
      </c>
      <c r="AG4799" s="5">
        <f>IF(SalesData[[#This Row],[Customers Visited]]=0,0,SalesData[[#This Row],[Test Drives]]/SalesData[[#This Row],[Customers Visited]])</f>
        <v>0.46031746031746029</v>
      </c>
      <c r="AH4799" s="5">
        <f>IF(SalesData[[#This Row],[Customers Visited]]=0,0,SalesData[[#This Row],[Contracts Signed]]/SalesData[[#This Row],[Customers Visited]])</f>
        <v>0.12169312169312169</v>
      </c>
      <c r="AI4799" s="6">
        <f>IF(SalesData[[#This Row],[Contracts Signed]]=0,0,SalesData[[#This Row],[Profit(€)]]/SalesData[[#This Row],[Contracts Signed]])</f>
        <v>13109</v>
      </c>
      <c r="AJ4799" s="5" t="str">
        <f>TRIM(CLEAN(SalesData[[#This Row],[Retailer]]))</f>
        <v>Main Auto Hub</v>
      </c>
    </row>
    <row r="4800" spans="1:36" ht="14.25" hidden="1" x14ac:dyDescent="0.2">
      <c r="A4800" t="s">
        <v>6077</v>
      </c>
      <c r="B4800" s="1">
        <v>46064</v>
      </c>
      <c r="C4800" t="s">
        <v>121</v>
      </c>
      <c r="D4800" t="s">
        <v>82</v>
      </c>
      <c r="E4800" t="s">
        <v>26</v>
      </c>
      <c r="F4800" t="s">
        <v>74</v>
      </c>
      <c r="G4800" t="s">
        <v>75</v>
      </c>
      <c r="H4800" t="s">
        <v>76</v>
      </c>
      <c r="I4800" t="s">
        <v>56</v>
      </c>
      <c r="J4800" t="s">
        <v>137</v>
      </c>
      <c r="K4800" t="s">
        <v>66</v>
      </c>
      <c r="L4800" t="s">
        <v>46</v>
      </c>
      <c r="M4800" t="s">
        <v>87</v>
      </c>
      <c r="N4800" t="s">
        <v>35</v>
      </c>
      <c r="O4800" t="s">
        <v>36</v>
      </c>
      <c r="P4800" t="s">
        <v>49</v>
      </c>
      <c r="Q4800" t="s">
        <v>59</v>
      </c>
      <c r="R4800">
        <v>187</v>
      </c>
      <c r="S4800">
        <v>90</v>
      </c>
      <c r="T4800">
        <v>62</v>
      </c>
      <c r="U4800">
        <v>19</v>
      </c>
      <c r="V4800" t="s">
        <v>6430</v>
      </c>
      <c r="W4800">
        <v>51714</v>
      </c>
      <c r="X4800" t="s">
        <v>7053</v>
      </c>
      <c r="Y4800">
        <v>38953</v>
      </c>
      <c r="Z4800">
        <v>982566</v>
      </c>
      <c r="AA4800">
        <v>242459</v>
      </c>
      <c r="AB4800" t="str">
        <f>(VLOOKUP(SalesData[[#This Row],[Month Number]],Reference!C$5:E$16,2,FALSE))</f>
        <v>Feb</v>
      </c>
      <c r="AC4800">
        <f>MONTH(SalesData[[#This Row],[Date]])</f>
        <v>2</v>
      </c>
      <c r="AD4800">
        <f>Reference!F$4</f>
        <v>2026</v>
      </c>
      <c r="AE4800" t="str">
        <f>IF(OR(SalesData[[#This Row],[Day]]="Saturday",SalesData[[#This Row],[Day]]="Sunday"),"Weekend","Weekday")</f>
        <v>Weekday</v>
      </c>
      <c r="AF4800" s="5">
        <f>IF(SalesData[[#This Row],[Contracts Offered]]=0,0,SalesData[[#This Row],[Contracts Signed]]/SalesData[[#This Row],[Contracts Offered]])</f>
        <v>0.30645161290322581</v>
      </c>
      <c r="AG4800" s="5">
        <f>IF(SalesData[[#This Row],[Customers Visited]]=0,0,SalesData[[#This Row],[Test Drives]]/SalesData[[#This Row],[Customers Visited]])</f>
        <v>0.48128342245989303</v>
      </c>
      <c r="AH4800" s="5">
        <f>IF(SalesData[[#This Row],[Customers Visited]]=0,0,SalesData[[#This Row],[Contracts Signed]]/SalesData[[#This Row],[Customers Visited]])</f>
        <v>0.10160427807486631</v>
      </c>
      <c r="AI4800" s="6">
        <f>IF(SalesData[[#This Row],[Contracts Signed]]=0,0,SalesData[[#This Row],[Profit(€)]]/SalesData[[#This Row],[Contracts Signed]])</f>
        <v>12761</v>
      </c>
      <c r="AJ4800" s="5" t="str">
        <f>TRIM(CLEAN(SalesData[[#This Row],[Retailer]]))</f>
        <v>Stuttgart Auto Center</v>
      </c>
    </row>
    <row r="4801" spans="1:36" ht="14.25" hidden="1" x14ac:dyDescent="0.2">
      <c r="A4801" t="s">
        <v>6078</v>
      </c>
      <c r="B4801" s="1">
        <v>46059</v>
      </c>
      <c r="C4801" t="s">
        <v>24</v>
      </c>
      <c r="D4801" t="s">
        <v>54</v>
      </c>
      <c r="E4801" t="s">
        <v>26</v>
      </c>
      <c r="F4801" t="s">
        <v>74</v>
      </c>
      <c r="G4801" t="s">
        <v>75</v>
      </c>
      <c r="H4801" t="s">
        <v>76</v>
      </c>
      <c r="I4801" t="s">
        <v>116</v>
      </c>
      <c r="J4801" t="s">
        <v>7026</v>
      </c>
      <c r="K4801" t="s">
        <v>91</v>
      </c>
      <c r="L4801" t="s">
        <v>46</v>
      </c>
      <c r="M4801" t="s">
        <v>47</v>
      </c>
      <c r="N4801" t="s">
        <v>35</v>
      </c>
      <c r="O4801" t="s">
        <v>70</v>
      </c>
      <c r="P4801" t="s">
        <v>37</v>
      </c>
      <c r="Q4801" t="s">
        <v>122</v>
      </c>
      <c r="R4801">
        <v>346</v>
      </c>
      <c r="S4801">
        <v>188</v>
      </c>
      <c r="T4801">
        <v>125</v>
      </c>
      <c r="U4801">
        <v>27</v>
      </c>
      <c r="V4801" t="s">
        <v>4912</v>
      </c>
      <c r="W4801">
        <v>26325</v>
      </c>
      <c r="X4801" t="s">
        <v>392</v>
      </c>
      <c r="Y4801">
        <v>24342</v>
      </c>
      <c r="Z4801">
        <v>710775</v>
      </c>
      <c r="AA4801">
        <v>53541</v>
      </c>
      <c r="AB4801" t="str">
        <f>(VLOOKUP(SalesData[[#This Row],[Month Number]],Reference!C$5:E$16,2,FALSE))</f>
        <v>Feb</v>
      </c>
      <c r="AC4801">
        <f>MONTH(SalesData[[#This Row],[Date]])</f>
        <v>2</v>
      </c>
      <c r="AD4801">
        <f>Reference!F$4</f>
        <v>2026</v>
      </c>
      <c r="AE4801" t="str">
        <f>IF(OR(SalesData[[#This Row],[Day]]="Saturday",SalesData[[#This Row],[Day]]="Sunday"),"Weekend","Weekday")</f>
        <v>Weekday</v>
      </c>
      <c r="AF4801" s="5">
        <f>IF(SalesData[[#This Row],[Contracts Offered]]=0,0,SalesData[[#This Row],[Contracts Signed]]/SalesData[[#This Row],[Contracts Offered]])</f>
        <v>0.216</v>
      </c>
      <c r="AG4801" s="5">
        <f>IF(SalesData[[#This Row],[Customers Visited]]=0,0,SalesData[[#This Row],[Test Drives]]/SalesData[[#This Row],[Customers Visited]])</f>
        <v>0.54335260115606931</v>
      </c>
      <c r="AH4801" s="5">
        <f>IF(SalesData[[#This Row],[Customers Visited]]=0,0,SalesData[[#This Row],[Contracts Signed]]/SalesData[[#This Row],[Customers Visited]])</f>
        <v>7.8034682080924858E-2</v>
      </c>
      <c r="AI4801" s="6">
        <f>IF(SalesData[[#This Row],[Contracts Signed]]=0,0,SalesData[[#This Row],[Profit(€)]]/SalesData[[#This Row],[Contracts Signed]])</f>
        <v>1983</v>
      </c>
      <c r="AJ4801" s="5" t="str">
        <f>TRIM(CLEAN(SalesData[[#This Row],[Retailer]]))</f>
        <v>Stuttgart Auto Center</v>
      </c>
    </row>
    <row r="4802" spans="1:36" ht="14.25" hidden="1" x14ac:dyDescent="0.2">
      <c r="A4802" t="s">
        <v>6079</v>
      </c>
      <c r="B4802" s="1">
        <v>46079</v>
      </c>
      <c r="C4802" t="s">
        <v>53</v>
      </c>
      <c r="D4802" t="s">
        <v>100</v>
      </c>
      <c r="E4802" t="s">
        <v>26</v>
      </c>
      <c r="F4802" t="s">
        <v>127</v>
      </c>
      <c r="G4802" t="s">
        <v>128</v>
      </c>
      <c r="H4802" t="s">
        <v>103</v>
      </c>
      <c r="I4802" t="s">
        <v>64</v>
      </c>
      <c r="J4802" t="s">
        <v>77</v>
      </c>
      <c r="K4802" t="s">
        <v>32</v>
      </c>
      <c r="L4802" t="s">
        <v>46</v>
      </c>
      <c r="M4802" t="s">
        <v>47</v>
      </c>
      <c r="N4802" t="s">
        <v>48</v>
      </c>
      <c r="O4802" t="s">
        <v>36</v>
      </c>
      <c r="P4802" t="s">
        <v>71</v>
      </c>
      <c r="Q4802" t="s">
        <v>172</v>
      </c>
      <c r="R4802">
        <v>207</v>
      </c>
      <c r="S4802">
        <v>96</v>
      </c>
      <c r="T4802">
        <v>65</v>
      </c>
      <c r="U4802">
        <v>25</v>
      </c>
      <c r="V4802" t="s">
        <v>6831</v>
      </c>
      <c r="W4802">
        <v>63359</v>
      </c>
      <c r="X4802" t="s">
        <v>7126</v>
      </c>
      <c r="Y4802">
        <v>47822</v>
      </c>
      <c r="Z4802">
        <v>1583975</v>
      </c>
      <c r="AA4802">
        <v>388425</v>
      </c>
      <c r="AB4802" t="str">
        <f>(VLOOKUP(SalesData[[#This Row],[Month Number]],Reference!C$5:E$16,2,FALSE))</f>
        <v>Feb</v>
      </c>
      <c r="AC4802">
        <f>MONTH(SalesData[[#This Row],[Date]])</f>
        <v>2</v>
      </c>
      <c r="AD4802">
        <f>Reference!F$4</f>
        <v>2026</v>
      </c>
      <c r="AE4802" t="str">
        <f>IF(OR(SalesData[[#This Row],[Day]]="Saturday",SalesData[[#This Row],[Day]]="Sunday"),"Weekend","Weekday")</f>
        <v>Weekday</v>
      </c>
      <c r="AF4802" s="5">
        <f>IF(SalesData[[#This Row],[Contracts Offered]]=0,0,SalesData[[#This Row],[Contracts Signed]]/SalesData[[#This Row],[Contracts Offered]])</f>
        <v>0.38461538461538464</v>
      </c>
      <c r="AG4802" s="5">
        <f>IF(SalesData[[#This Row],[Customers Visited]]=0,0,SalesData[[#This Row],[Test Drives]]/SalesData[[#This Row],[Customers Visited]])</f>
        <v>0.46376811594202899</v>
      </c>
      <c r="AH4802" s="5">
        <f>IF(SalesData[[#This Row],[Customers Visited]]=0,0,SalesData[[#This Row],[Contracts Signed]]/SalesData[[#This Row],[Customers Visited]])</f>
        <v>0.12077294685990338</v>
      </c>
      <c r="AI4802" s="6">
        <f>IF(SalesData[[#This Row],[Contracts Signed]]=0,0,SalesData[[#This Row],[Profit(€)]]/SalesData[[#This Row],[Contracts Signed]])</f>
        <v>15537</v>
      </c>
      <c r="AJ4802" s="5" t="str">
        <f>TRIM(CLEAN(SalesData[[#This Row],[Retailer]]))</f>
        <v>Rhein Auto Group</v>
      </c>
    </row>
    <row r="4803" spans="1:36" ht="14.25" hidden="1" x14ac:dyDescent="0.2">
      <c r="A4803" t="s">
        <v>6080</v>
      </c>
      <c r="B4803" s="1">
        <v>46072</v>
      </c>
      <c r="C4803" t="s">
        <v>62</v>
      </c>
      <c r="D4803" t="s">
        <v>100</v>
      </c>
      <c r="E4803" t="s">
        <v>26</v>
      </c>
      <c r="F4803" t="s">
        <v>27</v>
      </c>
      <c r="G4803" t="s">
        <v>28</v>
      </c>
      <c r="H4803" t="s">
        <v>29</v>
      </c>
      <c r="I4803" t="s">
        <v>64</v>
      </c>
      <c r="J4803" t="s">
        <v>111</v>
      </c>
      <c r="K4803" t="s">
        <v>91</v>
      </c>
      <c r="L4803" t="s">
        <v>46</v>
      </c>
      <c r="M4803" t="s">
        <v>68</v>
      </c>
      <c r="N4803" t="s">
        <v>69</v>
      </c>
      <c r="O4803" t="s">
        <v>70</v>
      </c>
      <c r="P4803" t="s">
        <v>58</v>
      </c>
      <c r="Q4803" t="s">
        <v>240</v>
      </c>
      <c r="R4803">
        <v>216</v>
      </c>
      <c r="S4803">
        <v>107</v>
      </c>
      <c r="T4803">
        <v>72</v>
      </c>
      <c r="U4803">
        <v>30</v>
      </c>
      <c r="V4803" t="s">
        <v>6853</v>
      </c>
      <c r="W4803">
        <v>60770</v>
      </c>
      <c r="X4803" t="s">
        <v>7437</v>
      </c>
      <c r="Y4803">
        <v>43718</v>
      </c>
      <c r="Z4803">
        <v>1823100</v>
      </c>
      <c r="AA4803">
        <v>511560</v>
      </c>
      <c r="AB4803" t="str">
        <f>(VLOOKUP(SalesData[[#This Row],[Month Number]],Reference!C$5:E$16,2,FALSE))</f>
        <v>Feb</v>
      </c>
      <c r="AC4803">
        <f>MONTH(SalesData[[#This Row],[Date]])</f>
        <v>2</v>
      </c>
      <c r="AD4803">
        <f>Reference!F$4</f>
        <v>2026</v>
      </c>
      <c r="AE4803" t="str">
        <f>IF(OR(SalesData[[#This Row],[Day]]="Saturday",SalesData[[#This Row],[Day]]="Sunday"),"Weekend","Weekday")</f>
        <v>Weekday</v>
      </c>
      <c r="AF4803" s="5">
        <f>IF(SalesData[[#This Row],[Contracts Offered]]=0,0,SalesData[[#This Row],[Contracts Signed]]/SalesData[[#This Row],[Contracts Offered]])</f>
        <v>0.41666666666666669</v>
      </c>
      <c r="AG4803" s="5">
        <f>IF(SalesData[[#This Row],[Customers Visited]]=0,0,SalesData[[#This Row],[Test Drives]]/SalesData[[#This Row],[Customers Visited]])</f>
        <v>0.49537037037037035</v>
      </c>
      <c r="AH4803" s="5">
        <f>IF(SalesData[[#This Row],[Customers Visited]]=0,0,SalesData[[#This Row],[Contracts Signed]]/SalesData[[#This Row],[Customers Visited]])</f>
        <v>0.1388888888888889</v>
      </c>
      <c r="AI4803" s="6">
        <f>IF(SalesData[[#This Row],[Contracts Signed]]=0,0,SalesData[[#This Row],[Profit(€)]]/SalesData[[#This Row],[Contracts Signed]])</f>
        <v>17052</v>
      </c>
      <c r="AJ4803" s="5" t="str">
        <f>TRIM(CLEAN(SalesData[[#This Row],[Retailer]]))</f>
        <v>Main Auto Hub</v>
      </c>
    </row>
    <row r="4804" spans="1:36" ht="14.25" hidden="1" x14ac:dyDescent="0.2">
      <c r="A4804" t="s">
        <v>6081</v>
      </c>
      <c r="B4804" s="1">
        <v>46077</v>
      </c>
      <c r="C4804" t="s">
        <v>53</v>
      </c>
      <c r="D4804" t="s">
        <v>63</v>
      </c>
      <c r="E4804" t="s">
        <v>26</v>
      </c>
      <c r="F4804" t="s">
        <v>7649</v>
      </c>
      <c r="G4804" t="s">
        <v>55</v>
      </c>
      <c r="H4804" t="s">
        <v>55</v>
      </c>
      <c r="I4804" t="s">
        <v>64</v>
      </c>
      <c r="J4804" t="s">
        <v>157</v>
      </c>
      <c r="K4804" t="s">
        <v>78</v>
      </c>
      <c r="L4804" t="s">
        <v>33</v>
      </c>
      <c r="M4804" t="s">
        <v>47</v>
      </c>
      <c r="N4804" t="s">
        <v>69</v>
      </c>
      <c r="O4804" t="s">
        <v>36</v>
      </c>
      <c r="P4804" t="s">
        <v>58</v>
      </c>
      <c r="Q4804" t="s">
        <v>204</v>
      </c>
      <c r="R4804">
        <v>246</v>
      </c>
      <c r="S4804">
        <v>124</v>
      </c>
      <c r="T4804">
        <v>90</v>
      </c>
      <c r="U4804">
        <v>34</v>
      </c>
      <c r="V4804" t="s">
        <v>6458</v>
      </c>
      <c r="W4804">
        <v>50679</v>
      </c>
      <c r="X4804" t="s">
        <v>3288</v>
      </c>
      <c r="Y4804">
        <v>38753</v>
      </c>
      <c r="Z4804">
        <v>1723086</v>
      </c>
      <c r="AA4804">
        <v>405484</v>
      </c>
      <c r="AB4804" t="str">
        <f>(VLOOKUP(SalesData[[#This Row],[Month Number]],Reference!C$5:E$16,2,FALSE))</f>
        <v>Feb</v>
      </c>
      <c r="AC4804">
        <f>MONTH(SalesData[[#This Row],[Date]])</f>
        <v>2</v>
      </c>
      <c r="AD4804">
        <f>Reference!F$4</f>
        <v>2026</v>
      </c>
      <c r="AE4804" t="str">
        <f>IF(OR(SalesData[[#This Row],[Day]]="Saturday",SalesData[[#This Row],[Day]]="Sunday"),"Weekend","Weekday")</f>
        <v>Weekday</v>
      </c>
      <c r="AF4804" s="5">
        <f>IF(SalesData[[#This Row],[Contracts Offered]]=0,0,SalesData[[#This Row],[Contracts Signed]]/SalesData[[#This Row],[Contracts Offered]])</f>
        <v>0.37777777777777777</v>
      </c>
      <c r="AG4804" s="5">
        <f>IF(SalesData[[#This Row],[Customers Visited]]=0,0,SalesData[[#This Row],[Test Drives]]/SalesData[[#This Row],[Customers Visited]])</f>
        <v>0.50406504065040647</v>
      </c>
      <c r="AH4804" s="5">
        <f>IF(SalesData[[#This Row],[Customers Visited]]=0,0,SalesData[[#This Row],[Contracts Signed]]/SalesData[[#This Row],[Customers Visited]])</f>
        <v>0.13821138211382114</v>
      </c>
      <c r="AI4804" s="6">
        <f>IF(SalesData[[#This Row],[Contracts Signed]]=0,0,SalesData[[#This Row],[Profit(€)]]/SalesData[[#This Row],[Contracts Signed]])</f>
        <v>11926</v>
      </c>
      <c r="AJ4804" s="5" t="str">
        <f>TRIM(CLEAN(SalesData[[#This Row],[Retailer]]))</f>
        <v>Autohaus Berlin</v>
      </c>
    </row>
    <row r="4805" spans="1:36" ht="14.25" hidden="1" x14ac:dyDescent="0.2">
      <c r="A4805" t="s">
        <v>6082</v>
      </c>
      <c r="B4805" s="1">
        <v>46080</v>
      </c>
      <c r="C4805" t="s">
        <v>53</v>
      </c>
      <c r="D4805" t="s">
        <v>54</v>
      </c>
      <c r="E4805" t="s">
        <v>26</v>
      </c>
      <c r="F4805" t="s">
        <v>94</v>
      </c>
      <c r="G4805" t="s">
        <v>95</v>
      </c>
      <c r="H4805" t="s">
        <v>96</v>
      </c>
      <c r="I4805" t="s">
        <v>116</v>
      </c>
      <c r="J4805" t="s">
        <v>117</v>
      </c>
      <c r="K4805" t="s">
        <v>91</v>
      </c>
      <c r="L4805" t="s">
        <v>67</v>
      </c>
      <c r="M4805" t="s">
        <v>68</v>
      </c>
      <c r="N4805" t="s">
        <v>35</v>
      </c>
      <c r="O4805" t="s">
        <v>70</v>
      </c>
      <c r="P4805" t="s">
        <v>49</v>
      </c>
      <c r="Q4805" t="s">
        <v>144</v>
      </c>
      <c r="R4805">
        <v>270</v>
      </c>
      <c r="S4805">
        <v>145</v>
      </c>
      <c r="T4805">
        <v>97</v>
      </c>
      <c r="U4805">
        <v>21</v>
      </c>
      <c r="V4805" t="s">
        <v>186</v>
      </c>
      <c r="W4805">
        <v>22822</v>
      </c>
      <c r="X4805" t="s">
        <v>5738</v>
      </c>
      <c r="Y4805">
        <v>20655</v>
      </c>
      <c r="Z4805">
        <v>479262</v>
      </c>
      <c r="AA4805">
        <v>45507</v>
      </c>
      <c r="AB4805" t="str">
        <f>(VLOOKUP(SalesData[[#This Row],[Month Number]],Reference!C$5:E$16,2,FALSE))</f>
        <v>Feb</v>
      </c>
      <c r="AC4805">
        <f>MONTH(SalesData[[#This Row],[Date]])</f>
        <v>2</v>
      </c>
      <c r="AD4805">
        <f>Reference!F$4</f>
        <v>2026</v>
      </c>
      <c r="AE4805" t="str">
        <f>IF(OR(SalesData[[#This Row],[Day]]="Saturday",SalesData[[#This Row],[Day]]="Sunday"),"Weekend","Weekday")</f>
        <v>Weekday</v>
      </c>
      <c r="AF4805" s="5">
        <f>IF(SalesData[[#This Row],[Contracts Offered]]=0,0,SalesData[[#This Row],[Contracts Signed]]/SalesData[[#This Row],[Contracts Offered]])</f>
        <v>0.21649484536082475</v>
      </c>
      <c r="AG4805" s="5">
        <f>IF(SalesData[[#This Row],[Customers Visited]]=0,0,SalesData[[#This Row],[Test Drives]]/SalesData[[#This Row],[Customers Visited]])</f>
        <v>0.53703703703703709</v>
      </c>
      <c r="AH4805" s="5">
        <f>IF(SalesData[[#This Row],[Customers Visited]]=0,0,SalesData[[#This Row],[Contracts Signed]]/SalesData[[#This Row],[Customers Visited]])</f>
        <v>7.7777777777777779E-2</v>
      </c>
      <c r="AI4805" s="6">
        <f>IF(SalesData[[#This Row],[Contracts Signed]]=0,0,SalesData[[#This Row],[Profit(€)]]/SalesData[[#This Row],[Contracts Signed]])</f>
        <v>2167</v>
      </c>
      <c r="AJ4805" s="5" t="str">
        <f>TRIM(CLEAN(SalesData[[#This Row],[Retailer]]))</f>
        <v>Bavaria Motors</v>
      </c>
    </row>
    <row r="4806" spans="1:36" ht="14.25" hidden="1" x14ac:dyDescent="0.2">
      <c r="A4806" t="s">
        <v>6083</v>
      </c>
      <c r="B4806" s="1">
        <v>46077</v>
      </c>
      <c r="C4806" t="s">
        <v>53</v>
      </c>
      <c r="D4806" t="s">
        <v>63</v>
      </c>
      <c r="E4806" t="s">
        <v>26</v>
      </c>
      <c r="F4806" t="s">
        <v>109</v>
      </c>
      <c r="G4806" t="s">
        <v>110</v>
      </c>
      <c r="H4806" t="s">
        <v>45</v>
      </c>
      <c r="I4806" t="s">
        <v>56</v>
      </c>
      <c r="J4806" t="s">
        <v>7028</v>
      </c>
      <c r="K4806" t="s">
        <v>91</v>
      </c>
      <c r="L4806" t="s">
        <v>46</v>
      </c>
      <c r="M4806" t="s">
        <v>68</v>
      </c>
      <c r="N4806" t="s">
        <v>69</v>
      </c>
      <c r="O4806" t="s">
        <v>36</v>
      </c>
      <c r="P4806" t="s">
        <v>37</v>
      </c>
      <c r="Q4806" t="s">
        <v>118</v>
      </c>
      <c r="R4806">
        <v>191</v>
      </c>
      <c r="S4806">
        <v>97</v>
      </c>
      <c r="T4806">
        <v>74</v>
      </c>
      <c r="U4806">
        <v>23</v>
      </c>
      <c r="V4806" t="s">
        <v>6863</v>
      </c>
      <c r="W4806">
        <v>39777</v>
      </c>
      <c r="X4806" t="s">
        <v>7036</v>
      </c>
      <c r="Y4806">
        <v>30250</v>
      </c>
      <c r="Z4806">
        <v>914871</v>
      </c>
      <c r="AA4806">
        <v>219121</v>
      </c>
      <c r="AB4806" t="str">
        <f>(VLOOKUP(SalesData[[#This Row],[Month Number]],Reference!C$5:E$16,2,FALSE))</f>
        <v>Feb</v>
      </c>
      <c r="AC4806">
        <f>MONTH(SalesData[[#This Row],[Date]])</f>
        <v>2</v>
      </c>
      <c r="AD4806">
        <f>Reference!F$4</f>
        <v>2026</v>
      </c>
      <c r="AE4806" t="str">
        <f>IF(OR(SalesData[[#This Row],[Day]]="Saturday",SalesData[[#This Row],[Day]]="Sunday"),"Weekend","Weekday")</f>
        <v>Weekday</v>
      </c>
      <c r="AF4806" s="5">
        <f>IF(SalesData[[#This Row],[Contracts Offered]]=0,0,SalesData[[#This Row],[Contracts Signed]]/SalesData[[#This Row],[Contracts Offered]])</f>
        <v>0.3108108108108108</v>
      </c>
      <c r="AG4806" s="5">
        <f>IF(SalesData[[#This Row],[Customers Visited]]=0,0,SalesData[[#This Row],[Test Drives]]/SalesData[[#This Row],[Customers Visited]])</f>
        <v>0.50785340314136129</v>
      </c>
      <c r="AH4806" s="5">
        <f>IF(SalesData[[#This Row],[Customers Visited]]=0,0,SalesData[[#This Row],[Contracts Signed]]/SalesData[[#This Row],[Customers Visited]])</f>
        <v>0.12041884816753927</v>
      </c>
      <c r="AI4806" s="6">
        <f>IF(SalesData[[#This Row],[Contracts Signed]]=0,0,SalesData[[#This Row],[Profit(€)]]/SalesData[[#This Row],[Contracts Signed]])</f>
        <v>9527</v>
      </c>
      <c r="AJ4806" s="5" t="str">
        <f>TRIM(CLEAN(SalesData[[#This Row],[Retailer]]))</f>
        <v>Leipzig Mobility</v>
      </c>
    </row>
    <row r="4807" spans="1:36" ht="14.25" hidden="1" x14ac:dyDescent="0.2">
      <c r="A4807" t="s">
        <v>6084</v>
      </c>
      <c r="B4807" s="1">
        <v>46080</v>
      </c>
      <c r="C4807" t="s">
        <v>53</v>
      </c>
      <c r="D4807" t="s">
        <v>54</v>
      </c>
      <c r="E4807" t="s">
        <v>26</v>
      </c>
      <c r="F4807" t="s">
        <v>109</v>
      </c>
      <c r="G4807" t="s">
        <v>110</v>
      </c>
      <c r="H4807" t="s">
        <v>45</v>
      </c>
      <c r="I4807" t="s">
        <v>56</v>
      </c>
      <c r="J4807" t="s">
        <v>97</v>
      </c>
      <c r="K4807" t="s">
        <v>66</v>
      </c>
      <c r="L4807" t="s">
        <v>33</v>
      </c>
      <c r="M4807" t="s">
        <v>68</v>
      </c>
      <c r="N4807" t="s">
        <v>48</v>
      </c>
      <c r="O4807" t="s">
        <v>70</v>
      </c>
      <c r="P4807" t="s">
        <v>49</v>
      </c>
      <c r="Q4807" t="s">
        <v>88</v>
      </c>
      <c r="R4807">
        <v>277</v>
      </c>
      <c r="S4807">
        <v>147</v>
      </c>
      <c r="T4807">
        <v>103</v>
      </c>
      <c r="U4807">
        <v>29</v>
      </c>
      <c r="V4807" t="s">
        <v>3493</v>
      </c>
      <c r="W4807">
        <v>46229</v>
      </c>
      <c r="X4807" t="s">
        <v>7329</v>
      </c>
      <c r="Y4807">
        <v>37425</v>
      </c>
      <c r="Z4807">
        <v>1340641</v>
      </c>
      <c r="AA4807">
        <v>255316</v>
      </c>
      <c r="AB4807" t="str">
        <f>(VLOOKUP(SalesData[[#This Row],[Month Number]],Reference!C$5:E$16,2,FALSE))</f>
        <v>Feb</v>
      </c>
      <c r="AC4807">
        <f>MONTH(SalesData[[#This Row],[Date]])</f>
        <v>2</v>
      </c>
      <c r="AD4807">
        <f>Reference!F$4</f>
        <v>2026</v>
      </c>
      <c r="AE4807" t="str">
        <f>IF(OR(SalesData[[#This Row],[Day]]="Saturday",SalesData[[#This Row],[Day]]="Sunday"),"Weekend","Weekday")</f>
        <v>Weekday</v>
      </c>
      <c r="AF4807" s="5">
        <f>IF(SalesData[[#This Row],[Contracts Offered]]=0,0,SalesData[[#This Row],[Contracts Signed]]/SalesData[[#This Row],[Contracts Offered]])</f>
        <v>0.28155339805825241</v>
      </c>
      <c r="AG4807" s="5">
        <f>IF(SalesData[[#This Row],[Customers Visited]]=0,0,SalesData[[#This Row],[Test Drives]]/SalesData[[#This Row],[Customers Visited]])</f>
        <v>0.53068592057761732</v>
      </c>
      <c r="AH4807" s="5">
        <f>IF(SalesData[[#This Row],[Customers Visited]]=0,0,SalesData[[#This Row],[Contracts Signed]]/SalesData[[#This Row],[Customers Visited]])</f>
        <v>0.10469314079422383</v>
      </c>
      <c r="AI4807" s="6">
        <f>IF(SalesData[[#This Row],[Contracts Signed]]=0,0,SalesData[[#This Row],[Profit(€)]]/SalesData[[#This Row],[Contracts Signed]])</f>
        <v>8804</v>
      </c>
      <c r="AJ4807" s="5" t="str">
        <f>TRIM(CLEAN(SalesData[[#This Row],[Retailer]]))</f>
        <v>Leipzig Mobility</v>
      </c>
    </row>
    <row r="4808" spans="1:36" ht="14.25" hidden="1" x14ac:dyDescent="0.2">
      <c r="A4808" t="s">
        <v>6085</v>
      </c>
      <c r="B4808" s="1">
        <v>46077</v>
      </c>
      <c r="C4808" t="s">
        <v>53</v>
      </c>
      <c r="D4808" t="s">
        <v>63</v>
      </c>
      <c r="E4808" t="s">
        <v>26</v>
      </c>
      <c r="F4808" t="s">
        <v>94</v>
      </c>
      <c r="G4808" t="s">
        <v>95</v>
      </c>
      <c r="H4808" t="s">
        <v>96</v>
      </c>
      <c r="I4808" t="s">
        <v>56</v>
      </c>
      <c r="J4808" t="s">
        <v>179</v>
      </c>
      <c r="K4808" t="s">
        <v>66</v>
      </c>
      <c r="L4808" t="s">
        <v>67</v>
      </c>
      <c r="M4808" t="s">
        <v>34</v>
      </c>
      <c r="N4808" t="s">
        <v>35</v>
      </c>
      <c r="O4808" t="s">
        <v>70</v>
      </c>
      <c r="P4808" t="s">
        <v>71</v>
      </c>
      <c r="Q4808" t="s">
        <v>152</v>
      </c>
      <c r="R4808">
        <v>249</v>
      </c>
      <c r="S4808">
        <v>134</v>
      </c>
      <c r="T4808">
        <v>95</v>
      </c>
      <c r="U4808">
        <v>32</v>
      </c>
      <c r="V4808" t="s">
        <v>6531</v>
      </c>
      <c r="W4808">
        <v>43764</v>
      </c>
      <c r="X4808" t="s">
        <v>439</v>
      </c>
      <c r="Y4808">
        <v>34514</v>
      </c>
      <c r="Z4808">
        <v>1400448</v>
      </c>
      <c r="AA4808">
        <v>296000</v>
      </c>
      <c r="AB4808" t="str">
        <f>(VLOOKUP(SalesData[[#This Row],[Month Number]],Reference!C$5:E$16,2,FALSE))</f>
        <v>Feb</v>
      </c>
      <c r="AC4808">
        <f>MONTH(SalesData[[#This Row],[Date]])</f>
        <v>2</v>
      </c>
      <c r="AD4808">
        <f>Reference!F$4</f>
        <v>2026</v>
      </c>
      <c r="AE4808" t="str">
        <f>IF(OR(SalesData[[#This Row],[Day]]="Saturday",SalesData[[#This Row],[Day]]="Sunday"),"Weekend","Weekday")</f>
        <v>Weekday</v>
      </c>
      <c r="AF4808" s="5">
        <f>IF(SalesData[[#This Row],[Contracts Offered]]=0,0,SalesData[[#This Row],[Contracts Signed]]/SalesData[[#This Row],[Contracts Offered]])</f>
        <v>0.33684210526315789</v>
      </c>
      <c r="AG4808" s="5">
        <f>IF(SalesData[[#This Row],[Customers Visited]]=0,0,SalesData[[#This Row],[Test Drives]]/SalesData[[#This Row],[Customers Visited]])</f>
        <v>0.5381526104417671</v>
      </c>
      <c r="AH4808" s="5">
        <f>IF(SalesData[[#This Row],[Customers Visited]]=0,0,SalesData[[#This Row],[Contracts Signed]]/SalesData[[#This Row],[Customers Visited]])</f>
        <v>0.12851405622489959</v>
      </c>
      <c r="AI4808" s="6">
        <f>IF(SalesData[[#This Row],[Contracts Signed]]=0,0,SalesData[[#This Row],[Profit(€)]]/SalesData[[#This Row],[Contracts Signed]])</f>
        <v>9250</v>
      </c>
      <c r="AJ4808" s="5" t="str">
        <f>TRIM(CLEAN(SalesData[[#This Row],[Retailer]]))</f>
        <v>Bavaria Motors</v>
      </c>
    </row>
    <row r="4809" spans="1:36" ht="14.25" hidden="1" x14ac:dyDescent="0.2">
      <c r="A4809" t="s">
        <v>6086</v>
      </c>
      <c r="B4809" s="1">
        <v>46060</v>
      </c>
      <c r="C4809" t="s">
        <v>24</v>
      </c>
      <c r="D4809" t="s">
        <v>151</v>
      </c>
      <c r="E4809" t="s">
        <v>42</v>
      </c>
      <c r="F4809" t="s">
        <v>74</v>
      </c>
      <c r="G4809" t="s">
        <v>75</v>
      </c>
      <c r="H4809" t="s">
        <v>76</v>
      </c>
      <c r="I4809" t="s">
        <v>116</v>
      </c>
      <c r="J4809" t="s">
        <v>203</v>
      </c>
      <c r="K4809" t="s">
        <v>78</v>
      </c>
      <c r="L4809" t="s">
        <v>67</v>
      </c>
      <c r="M4809" t="s">
        <v>34</v>
      </c>
      <c r="N4809" t="s">
        <v>35</v>
      </c>
      <c r="O4809" t="s">
        <v>36</v>
      </c>
      <c r="P4809" t="s">
        <v>71</v>
      </c>
      <c r="Q4809" t="s">
        <v>50</v>
      </c>
      <c r="R4809">
        <v>324</v>
      </c>
      <c r="S4809">
        <v>139</v>
      </c>
      <c r="T4809">
        <v>96</v>
      </c>
      <c r="U4809">
        <v>26</v>
      </c>
      <c r="V4809" t="s">
        <v>1361</v>
      </c>
      <c r="W4809">
        <v>26426</v>
      </c>
      <c r="X4809" t="s">
        <v>7145</v>
      </c>
      <c r="Y4809">
        <v>23795</v>
      </c>
      <c r="Z4809">
        <v>687076</v>
      </c>
      <c r="AA4809">
        <v>68406</v>
      </c>
      <c r="AB4809" t="str">
        <f>(VLOOKUP(SalesData[[#This Row],[Month Number]],Reference!C$5:E$16,2,FALSE))</f>
        <v>Feb</v>
      </c>
      <c r="AC4809">
        <f>MONTH(SalesData[[#This Row],[Date]])</f>
        <v>2</v>
      </c>
      <c r="AD4809">
        <f>Reference!F$4</f>
        <v>2026</v>
      </c>
      <c r="AE4809" t="str">
        <f>IF(OR(SalesData[[#This Row],[Day]]="Saturday",SalesData[[#This Row],[Day]]="Sunday"),"Weekend","Weekday")</f>
        <v>Weekend</v>
      </c>
      <c r="AF4809" s="5">
        <f>IF(SalesData[[#This Row],[Contracts Offered]]=0,0,SalesData[[#This Row],[Contracts Signed]]/SalesData[[#This Row],[Contracts Offered]])</f>
        <v>0.27083333333333331</v>
      </c>
      <c r="AG4809" s="5">
        <f>IF(SalesData[[#This Row],[Customers Visited]]=0,0,SalesData[[#This Row],[Test Drives]]/SalesData[[#This Row],[Customers Visited]])</f>
        <v>0.42901234567901236</v>
      </c>
      <c r="AH4809" s="5">
        <f>IF(SalesData[[#This Row],[Customers Visited]]=0,0,SalesData[[#This Row],[Contracts Signed]]/SalesData[[#This Row],[Customers Visited]])</f>
        <v>8.0246913580246909E-2</v>
      </c>
      <c r="AI4809" s="6">
        <f>IF(SalesData[[#This Row],[Contracts Signed]]=0,0,SalesData[[#This Row],[Profit(€)]]/SalesData[[#This Row],[Contracts Signed]])</f>
        <v>2631</v>
      </c>
      <c r="AJ4809" s="5" t="str">
        <f>TRIM(CLEAN(SalesData[[#This Row],[Retailer]]))</f>
        <v>Stuttgart Auto Center</v>
      </c>
    </row>
    <row r="4810" spans="1:36" ht="14.25" hidden="1" x14ac:dyDescent="0.2">
      <c r="A4810" t="s">
        <v>6087</v>
      </c>
      <c r="B4810" s="1">
        <v>46071</v>
      </c>
      <c r="C4810" t="s">
        <v>62</v>
      </c>
      <c r="D4810" t="s">
        <v>82</v>
      </c>
      <c r="E4810" t="s">
        <v>26</v>
      </c>
      <c r="F4810" t="s">
        <v>127</v>
      </c>
      <c r="G4810" t="s">
        <v>128</v>
      </c>
      <c r="H4810" t="s">
        <v>103</v>
      </c>
      <c r="I4810" t="s">
        <v>104</v>
      </c>
      <c r="J4810" t="s">
        <v>143</v>
      </c>
      <c r="K4810" t="s">
        <v>78</v>
      </c>
      <c r="L4810" t="s">
        <v>67</v>
      </c>
      <c r="M4810" t="s">
        <v>68</v>
      </c>
      <c r="N4810" t="s">
        <v>48</v>
      </c>
      <c r="O4810" t="s">
        <v>36</v>
      </c>
      <c r="P4810" t="s">
        <v>49</v>
      </c>
      <c r="Q4810" t="s">
        <v>167</v>
      </c>
      <c r="R4810">
        <v>288</v>
      </c>
      <c r="S4810">
        <v>124</v>
      </c>
      <c r="T4810">
        <v>85</v>
      </c>
      <c r="U4810">
        <v>19</v>
      </c>
      <c r="V4810" t="s">
        <v>2114</v>
      </c>
      <c r="W4810">
        <v>26929</v>
      </c>
      <c r="X4810" t="s">
        <v>1052</v>
      </c>
      <c r="Y4810">
        <v>23981</v>
      </c>
      <c r="Z4810">
        <v>511651</v>
      </c>
      <c r="AA4810">
        <v>56012</v>
      </c>
      <c r="AB4810" t="str">
        <f>(VLOOKUP(SalesData[[#This Row],[Month Number]],Reference!C$5:E$16,2,FALSE))</f>
        <v>Feb</v>
      </c>
      <c r="AC4810">
        <f>MONTH(SalesData[[#This Row],[Date]])</f>
        <v>2</v>
      </c>
      <c r="AD4810">
        <f>Reference!F$4</f>
        <v>2026</v>
      </c>
      <c r="AE4810" t="str">
        <f>IF(OR(SalesData[[#This Row],[Day]]="Saturday",SalesData[[#This Row],[Day]]="Sunday"),"Weekend","Weekday")</f>
        <v>Weekday</v>
      </c>
      <c r="AF4810" s="5">
        <f>IF(SalesData[[#This Row],[Contracts Offered]]=0,0,SalesData[[#This Row],[Contracts Signed]]/SalesData[[#This Row],[Contracts Offered]])</f>
        <v>0.22352941176470589</v>
      </c>
      <c r="AG4810" s="5">
        <f>IF(SalesData[[#This Row],[Customers Visited]]=0,0,SalesData[[#This Row],[Test Drives]]/SalesData[[#This Row],[Customers Visited]])</f>
        <v>0.43055555555555558</v>
      </c>
      <c r="AH4810" s="5">
        <f>IF(SalesData[[#This Row],[Customers Visited]]=0,0,SalesData[[#This Row],[Contracts Signed]]/SalesData[[#This Row],[Customers Visited]])</f>
        <v>6.5972222222222224E-2</v>
      </c>
      <c r="AI4810" s="6">
        <f>IF(SalesData[[#This Row],[Contracts Signed]]=0,0,SalesData[[#This Row],[Profit(€)]]/SalesData[[#This Row],[Contracts Signed]])</f>
        <v>2948</v>
      </c>
      <c r="AJ4810" s="5" t="str">
        <f>TRIM(CLEAN(SalesData[[#This Row],[Retailer]]))</f>
        <v>Rhein Auto Group</v>
      </c>
    </row>
    <row r="4811" spans="1:36" ht="14.25" hidden="1" x14ac:dyDescent="0.2">
      <c r="A4811" t="s">
        <v>6088</v>
      </c>
      <c r="B4811" s="1">
        <v>46072</v>
      </c>
      <c r="C4811" t="s">
        <v>62</v>
      </c>
      <c r="D4811" t="s">
        <v>100</v>
      </c>
      <c r="E4811" t="s">
        <v>26</v>
      </c>
      <c r="F4811" t="s">
        <v>114</v>
      </c>
      <c r="G4811" t="s">
        <v>115</v>
      </c>
      <c r="H4811" t="s">
        <v>115</v>
      </c>
      <c r="I4811" t="s">
        <v>104</v>
      </c>
      <c r="J4811" t="s">
        <v>105</v>
      </c>
      <c r="K4811" t="s">
        <v>91</v>
      </c>
      <c r="L4811" t="s">
        <v>33</v>
      </c>
      <c r="M4811" t="s">
        <v>87</v>
      </c>
      <c r="N4811" t="s">
        <v>48</v>
      </c>
      <c r="O4811" t="s">
        <v>36</v>
      </c>
      <c r="P4811" t="s">
        <v>58</v>
      </c>
      <c r="Q4811" t="s">
        <v>50</v>
      </c>
      <c r="R4811">
        <v>401</v>
      </c>
      <c r="S4811">
        <v>214</v>
      </c>
      <c r="T4811">
        <v>151</v>
      </c>
      <c r="U4811">
        <v>39</v>
      </c>
      <c r="V4811" t="s">
        <v>3110</v>
      </c>
      <c r="W4811">
        <v>33124</v>
      </c>
      <c r="X4811" t="s">
        <v>3542</v>
      </c>
      <c r="Y4811">
        <v>28882</v>
      </c>
      <c r="Z4811">
        <v>1291836</v>
      </c>
      <c r="AA4811">
        <v>165438</v>
      </c>
      <c r="AB4811" t="str">
        <f>(VLOOKUP(SalesData[[#This Row],[Month Number]],Reference!C$5:E$16,2,FALSE))</f>
        <v>Feb</v>
      </c>
      <c r="AC4811">
        <f>MONTH(SalesData[[#This Row],[Date]])</f>
        <v>2</v>
      </c>
      <c r="AD4811">
        <f>Reference!F$4</f>
        <v>2026</v>
      </c>
      <c r="AE4811" t="str">
        <f>IF(OR(SalesData[[#This Row],[Day]]="Saturday",SalesData[[#This Row],[Day]]="Sunday"),"Weekend","Weekday")</f>
        <v>Weekday</v>
      </c>
      <c r="AF4811" s="5">
        <f>IF(SalesData[[#This Row],[Contracts Offered]]=0,0,SalesData[[#This Row],[Contracts Signed]]/SalesData[[#This Row],[Contracts Offered]])</f>
        <v>0.25827814569536423</v>
      </c>
      <c r="AG4811" s="5">
        <f>IF(SalesData[[#This Row],[Customers Visited]]=0,0,SalesData[[#This Row],[Test Drives]]/SalesData[[#This Row],[Customers Visited]])</f>
        <v>0.53366583541147128</v>
      </c>
      <c r="AH4811" s="5">
        <f>IF(SalesData[[#This Row],[Customers Visited]]=0,0,SalesData[[#This Row],[Contracts Signed]]/SalesData[[#This Row],[Customers Visited]])</f>
        <v>9.7256857855361589E-2</v>
      </c>
      <c r="AI4811" s="6">
        <f>IF(SalesData[[#This Row],[Contracts Signed]]=0,0,SalesData[[#This Row],[Profit(€)]]/SalesData[[#This Row],[Contracts Signed]])</f>
        <v>4242</v>
      </c>
      <c r="AJ4811" s="5" t="str">
        <f>TRIM(CLEAN(SalesData[[#This Row],[Retailer]]))</f>
        <v>Elbe Drive</v>
      </c>
    </row>
    <row r="4812" spans="1:36" ht="14.25" hidden="1" x14ac:dyDescent="0.2">
      <c r="A4812" t="s">
        <v>6089</v>
      </c>
      <c r="B4812" s="1">
        <v>46070</v>
      </c>
      <c r="C4812" t="s">
        <v>62</v>
      </c>
      <c r="D4812" t="s">
        <v>63</v>
      </c>
      <c r="E4812" t="s">
        <v>26</v>
      </c>
      <c r="F4812" t="s">
        <v>27</v>
      </c>
      <c r="G4812" t="s">
        <v>28</v>
      </c>
      <c r="H4812" t="s">
        <v>29</v>
      </c>
      <c r="I4812" t="s">
        <v>116</v>
      </c>
      <c r="J4812" t="s">
        <v>117</v>
      </c>
      <c r="K4812" t="s">
        <v>78</v>
      </c>
      <c r="L4812" t="s">
        <v>67</v>
      </c>
      <c r="M4812" t="s">
        <v>34</v>
      </c>
      <c r="N4812" t="s">
        <v>48</v>
      </c>
      <c r="O4812" t="s">
        <v>70</v>
      </c>
      <c r="P4812" t="s">
        <v>37</v>
      </c>
      <c r="Q4812" t="s">
        <v>59</v>
      </c>
      <c r="R4812">
        <v>362</v>
      </c>
      <c r="S4812">
        <v>141</v>
      </c>
      <c r="T4812">
        <v>83</v>
      </c>
      <c r="U4812">
        <v>19</v>
      </c>
      <c r="V4812" t="s">
        <v>2831</v>
      </c>
      <c r="W4812">
        <v>25061</v>
      </c>
      <c r="X4812" t="s">
        <v>4934</v>
      </c>
      <c r="Y4812">
        <v>22556</v>
      </c>
      <c r="Z4812">
        <v>476159</v>
      </c>
      <c r="AA4812">
        <v>47595</v>
      </c>
      <c r="AB4812" t="str">
        <f>(VLOOKUP(SalesData[[#This Row],[Month Number]],Reference!C$5:E$16,2,FALSE))</f>
        <v>Feb</v>
      </c>
      <c r="AC4812">
        <f>MONTH(SalesData[[#This Row],[Date]])</f>
        <v>2</v>
      </c>
      <c r="AD4812">
        <f>Reference!F$4</f>
        <v>2026</v>
      </c>
      <c r="AE4812" t="str">
        <f>IF(OR(SalesData[[#This Row],[Day]]="Saturday",SalesData[[#This Row],[Day]]="Sunday"),"Weekend","Weekday")</f>
        <v>Weekday</v>
      </c>
      <c r="AF4812" s="5">
        <f>IF(SalesData[[#This Row],[Contracts Offered]]=0,0,SalesData[[#This Row],[Contracts Signed]]/SalesData[[#This Row],[Contracts Offered]])</f>
        <v>0.2289156626506024</v>
      </c>
      <c r="AG4812" s="5">
        <f>IF(SalesData[[#This Row],[Customers Visited]]=0,0,SalesData[[#This Row],[Test Drives]]/SalesData[[#This Row],[Customers Visited]])</f>
        <v>0.38950276243093923</v>
      </c>
      <c r="AH4812" s="5">
        <f>IF(SalesData[[#This Row],[Customers Visited]]=0,0,SalesData[[#This Row],[Contracts Signed]]/SalesData[[#This Row],[Customers Visited]])</f>
        <v>5.2486187845303865E-2</v>
      </c>
      <c r="AI4812" s="6">
        <f>IF(SalesData[[#This Row],[Contracts Signed]]=0,0,SalesData[[#This Row],[Profit(€)]]/SalesData[[#This Row],[Contracts Signed]])</f>
        <v>2505</v>
      </c>
      <c r="AJ4812" s="5" t="str">
        <f>TRIM(CLEAN(SalesData[[#This Row],[Retailer]]))</f>
        <v>Main Auto Hub</v>
      </c>
    </row>
    <row r="4813" spans="1:36" ht="14.25" hidden="1" x14ac:dyDescent="0.2">
      <c r="A4813" t="s">
        <v>6090</v>
      </c>
      <c r="B4813" s="1">
        <v>46077</v>
      </c>
      <c r="C4813" t="s">
        <v>53</v>
      </c>
      <c r="D4813" t="s">
        <v>63</v>
      </c>
      <c r="E4813" t="s">
        <v>26</v>
      </c>
      <c r="F4813" t="s">
        <v>127</v>
      </c>
      <c r="G4813" t="s">
        <v>128</v>
      </c>
      <c r="H4813" t="s">
        <v>103</v>
      </c>
      <c r="I4813" t="s">
        <v>64</v>
      </c>
      <c r="J4813" t="s">
        <v>111</v>
      </c>
      <c r="K4813" t="s">
        <v>78</v>
      </c>
      <c r="L4813" t="s">
        <v>46</v>
      </c>
      <c r="M4813" t="s">
        <v>68</v>
      </c>
      <c r="N4813" t="s">
        <v>69</v>
      </c>
      <c r="O4813" t="s">
        <v>36</v>
      </c>
      <c r="P4813" t="s">
        <v>49</v>
      </c>
      <c r="Q4813" t="s">
        <v>122</v>
      </c>
      <c r="R4813">
        <v>281</v>
      </c>
      <c r="S4813">
        <v>133</v>
      </c>
      <c r="T4813">
        <v>103</v>
      </c>
      <c r="U4813">
        <v>34</v>
      </c>
      <c r="V4813" t="s">
        <v>6344</v>
      </c>
      <c r="W4813">
        <v>50584</v>
      </c>
      <c r="X4813" t="s">
        <v>7402</v>
      </c>
      <c r="Y4813">
        <v>36842</v>
      </c>
      <c r="Z4813">
        <v>1719856</v>
      </c>
      <c r="AA4813">
        <v>467228</v>
      </c>
      <c r="AB4813" t="str">
        <f>(VLOOKUP(SalesData[[#This Row],[Month Number]],Reference!C$5:E$16,2,FALSE))</f>
        <v>Feb</v>
      </c>
      <c r="AC4813">
        <f>MONTH(SalesData[[#This Row],[Date]])</f>
        <v>2</v>
      </c>
      <c r="AD4813">
        <f>Reference!F$4</f>
        <v>2026</v>
      </c>
      <c r="AE4813" t="str">
        <f>IF(OR(SalesData[[#This Row],[Day]]="Saturday",SalesData[[#This Row],[Day]]="Sunday"),"Weekend","Weekday")</f>
        <v>Weekday</v>
      </c>
      <c r="AF4813" s="5">
        <f>IF(SalesData[[#This Row],[Contracts Offered]]=0,0,SalesData[[#This Row],[Contracts Signed]]/SalesData[[#This Row],[Contracts Offered]])</f>
        <v>0.3300970873786408</v>
      </c>
      <c r="AG4813" s="5">
        <f>IF(SalesData[[#This Row],[Customers Visited]]=0,0,SalesData[[#This Row],[Test Drives]]/SalesData[[#This Row],[Customers Visited]])</f>
        <v>0.47330960854092524</v>
      </c>
      <c r="AH4813" s="5">
        <f>IF(SalesData[[#This Row],[Customers Visited]]=0,0,SalesData[[#This Row],[Contracts Signed]]/SalesData[[#This Row],[Customers Visited]])</f>
        <v>0.12099644128113879</v>
      </c>
      <c r="AI4813" s="6">
        <f>IF(SalesData[[#This Row],[Contracts Signed]]=0,0,SalesData[[#This Row],[Profit(€)]]/SalesData[[#This Row],[Contracts Signed]])</f>
        <v>13742</v>
      </c>
      <c r="AJ4813" s="5" t="str">
        <f>TRIM(CLEAN(SalesData[[#This Row],[Retailer]]))</f>
        <v>Rhein Auto Group</v>
      </c>
    </row>
    <row r="4814" spans="1:36" ht="14.25" hidden="1" x14ac:dyDescent="0.2">
      <c r="A4814" t="s">
        <v>6091</v>
      </c>
      <c r="B4814" s="1">
        <v>46064</v>
      </c>
      <c r="C4814" t="s">
        <v>121</v>
      </c>
      <c r="D4814" t="s">
        <v>82</v>
      </c>
      <c r="E4814" t="s">
        <v>26</v>
      </c>
      <c r="F4814" t="s">
        <v>7649</v>
      </c>
      <c r="G4814" t="s">
        <v>55</v>
      </c>
      <c r="H4814" t="s">
        <v>55</v>
      </c>
      <c r="I4814" t="s">
        <v>104</v>
      </c>
      <c r="J4814" t="s">
        <v>143</v>
      </c>
      <c r="K4814" t="s">
        <v>32</v>
      </c>
      <c r="L4814" t="s">
        <v>67</v>
      </c>
      <c r="M4814" t="s">
        <v>34</v>
      </c>
      <c r="N4814" t="s">
        <v>35</v>
      </c>
      <c r="O4814" t="s">
        <v>70</v>
      </c>
      <c r="P4814" t="s">
        <v>37</v>
      </c>
      <c r="Q4814" t="s">
        <v>106</v>
      </c>
      <c r="R4814">
        <v>277</v>
      </c>
      <c r="S4814">
        <v>128</v>
      </c>
      <c r="T4814">
        <v>88</v>
      </c>
      <c r="U4814">
        <v>18</v>
      </c>
      <c r="V4814" t="s">
        <v>182</v>
      </c>
      <c r="W4814">
        <v>27119</v>
      </c>
      <c r="X4814" t="s">
        <v>754</v>
      </c>
      <c r="Y4814">
        <v>24192</v>
      </c>
      <c r="Z4814">
        <v>488142</v>
      </c>
      <c r="AA4814">
        <v>52686</v>
      </c>
      <c r="AB4814" t="str">
        <f>(VLOOKUP(SalesData[[#This Row],[Month Number]],Reference!C$5:E$16,2,FALSE))</f>
        <v>Feb</v>
      </c>
      <c r="AC4814">
        <f>MONTH(SalesData[[#This Row],[Date]])</f>
        <v>2</v>
      </c>
      <c r="AD4814">
        <f>Reference!F$4</f>
        <v>2026</v>
      </c>
      <c r="AE4814" t="str">
        <f>IF(OR(SalesData[[#This Row],[Day]]="Saturday",SalesData[[#This Row],[Day]]="Sunday"),"Weekend","Weekday")</f>
        <v>Weekday</v>
      </c>
      <c r="AF4814" s="5">
        <f>IF(SalesData[[#This Row],[Contracts Offered]]=0,0,SalesData[[#This Row],[Contracts Signed]]/SalesData[[#This Row],[Contracts Offered]])</f>
        <v>0.20454545454545456</v>
      </c>
      <c r="AG4814" s="5">
        <f>IF(SalesData[[#This Row],[Customers Visited]]=0,0,SalesData[[#This Row],[Test Drives]]/SalesData[[#This Row],[Customers Visited]])</f>
        <v>0.46209386281588449</v>
      </c>
      <c r="AH4814" s="5">
        <f>IF(SalesData[[#This Row],[Customers Visited]]=0,0,SalesData[[#This Row],[Contracts Signed]]/SalesData[[#This Row],[Customers Visited]])</f>
        <v>6.4981949458483748E-2</v>
      </c>
      <c r="AI4814" s="6">
        <f>IF(SalesData[[#This Row],[Contracts Signed]]=0,0,SalesData[[#This Row],[Profit(€)]]/SalesData[[#This Row],[Contracts Signed]])</f>
        <v>2927</v>
      </c>
      <c r="AJ4814" s="5" t="str">
        <f>TRIM(CLEAN(SalesData[[#This Row],[Retailer]]))</f>
        <v>Autohaus Berlin</v>
      </c>
    </row>
    <row r="4815" spans="1:36" ht="14.25" x14ac:dyDescent="0.2">
      <c r="A4815" t="s">
        <v>6092</v>
      </c>
      <c r="B4815" s="1">
        <v>46060</v>
      </c>
      <c r="C4815" t="s">
        <v>24</v>
      </c>
      <c r="D4815" t="s">
        <v>151</v>
      </c>
      <c r="E4815" t="s">
        <v>42</v>
      </c>
      <c r="F4815" t="s">
        <v>109</v>
      </c>
      <c r="G4815" t="s">
        <v>110</v>
      </c>
      <c r="H4815" t="s">
        <v>45</v>
      </c>
      <c r="I4815" t="s">
        <v>30</v>
      </c>
      <c r="J4815" t="s">
        <v>166</v>
      </c>
      <c r="K4815" t="s">
        <v>78</v>
      </c>
      <c r="L4815" t="s">
        <v>46</v>
      </c>
      <c r="M4815" t="s">
        <v>34</v>
      </c>
      <c r="N4815" t="s">
        <v>35</v>
      </c>
      <c r="O4815" t="s">
        <v>70</v>
      </c>
      <c r="P4815" t="s">
        <v>37</v>
      </c>
      <c r="Q4815" t="s">
        <v>189</v>
      </c>
      <c r="R4815">
        <v>212</v>
      </c>
      <c r="S4815">
        <v>120</v>
      </c>
      <c r="T4815">
        <v>96</v>
      </c>
      <c r="U4815">
        <v>32</v>
      </c>
      <c r="V4815" t="s">
        <v>6388</v>
      </c>
      <c r="W4815">
        <v>50825</v>
      </c>
      <c r="X4815" t="s">
        <v>876</v>
      </c>
      <c r="Y4815">
        <v>39066</v>
      </c>
      <c r="Z4815">
        <v>1626400</v>
      </c>
      <c r="AA4815">
        <v>376288</v>
      </c>
      <c r="AB4815" t="str">
        <f>(VLOOKUP(SalesData[[#This Row],[Month Number]],Reference!C$5:E$16,2,FALSE))</f>
        <v>Feb</v>
      </c>
      <c r="AC4815">
        <f>MONTH(SalesData[[#This Row],[Date]])</f>
        <v>2</v>
      </c>
      <c r="AD4815">
        <f>Reference!F$4</f>
        <v>2026</v>
      </c>
      <c r="AE4815" t="str">
        <f>IF(OR(SalesData[[#This Row],[Day]]="Saturday",SalesData[[#This Row],[Day]]="Sunday"),"Weekend","Weekday")</f>
        <v>Weekend</v>
      </c>
      <c r="AF4815" s="5">
        <f>IF(SalesData[[#This Row],[Contracts Offered]]=0,0,SalesData[[#This Row],[Contracts Signed]]/SalesData[[#This Row],[Contracts Offered]])</f>
        <v>0.33333333333333331</v>
      </c>
      <c r="AG4815" s="5">
        <f>IF(SalesData[[#This Row],[Customers Visited]]=0,0,SalesData[[#This Row],[Test Drives]]/SalesData[[#This Row],[Customers Visited]])</f>
        <v>0.56603773584905659</v>
      </c>
      <c r="AH4815" s="5">
        <f>IF(SalesData[[#This Row],[Customers Visited]]=0,0,SalesData[[#This Row],[Contracts Signed]]/SalesData[[#This Row],[Customers Visited]])</f>
        <v>0.15094339622641509</v>
      </c>
      <c r="AI4815" s="6">
        <f>IF(SalesData[[#This Row],[Contracts Signed]]=0,0,SalesData[[#This Row],[Profit(€)]]/SalesData[[#This Row],[Contracts Signed]])</f>
        <v>11759</v>
      </c>
      <c r="AJ4815" s="5" t="str">
        <f>TRIM(CLEAN(SalesData[[#This Row],[Retailer]]))</f>
        <v>Leipzig Mobility</v>
      </c>
    </row>
    <row r="4816" spans="1:36" ht="14.25" hidden="1" x14ac:dyDescent="0.2">
      <c r="A4816" t="s">
        <v>6093</v>
      </c>
      <c r="B4816" s="1">
        <v>46057</v>
      </c>
      <c r="C4816" t="s">
        <v>24</v>
      </c>
      <c r="D4816" t="s">
        <v>82</v>
      </c>
      <c r="E4816" t="s">
        <v>26</v>
      </c>
      <c r="F4816" t="s">
        <v>43</v>
      </c>
      <c r="G4816" t="s">
        <v>44</v>
      </c>
      <c r="H4816" t="s">
        <v>45</v>
      </c>
      <c r="I4816" t="s">
        <v>104</v>
      </c>
      <c r="J4816" t="s">
        <v>7061</v>
      </c>
      <c r="K4816" t="s">
        <v>91</v>
      </c>
      <c r="L4816" t="s">
        <v>46</v>
      </c>
      <c r="M4816" t="s">
        <v>34</v>
      </c>
      <c r="N4816" t="s">
        <v>48</v>
      </c>
      <c r="O4816" t="s">
        <v>70</v>
      </c>
      <c r="P4816" t="s">
        <v>71</v>
      </c>
      <c r="Q4816" t="s">
        <v>189</v>
      </c>
      <c r="R4816">
        <v>496</v>
      </c>
      <c r="S4816">
        <v>200</v>
      </c>
      <c r="T4816">
        <v>130</v>
      </c>
      <c r="U4816">
        <v>26</v>
      </c>
      <c r="V4816" t="s">
        <v>1706</v>
      </c>
      <c r="W4816">
        <v>30664</v>
      </c>
      <c r="X4816" t="s">
        <v>2956</v>
      </c>
      <c r="Y4816">
        <v>27587</v>
      </c>
      <c r="Z4816">
        <v>797264</v>
      </c>
      <c r="AA4816">
        <v>80002</v>
      </c>
      <c r="AB4816" t="str">
        <f>(VLOOKUP(SalesData[[#This Row],[Month Number]],Reference!C$5:E$16,2,FALSE))</f>
        <v>Feb</v>
      </c>
      <c r="AC4816">
        <f>MONTH(SalesData[[#This Row],[Date]])</f>
        <v>2</v>
      </c>
      <c r="AD4816">
        <f>Reference!F$4</f>
        <v>2026</v>
      </c>
      <c r="AE4816" t="str">
        <f>IF(OR(SalesData[[#This Row],[Day]]="Saturday",SalesData[[#This Row],[Day]]="Sunday"),"Weekend","Weekday")</f>
        <v>Weekday</v>
      </c>
      <c r="AF4816" s="5">
        <f>IF(SalesData[[#This Row],[Contracts Offered]]=0,0,SalesData[[#This Row],[Contracts Signed]]/SalesData[[#This Row],[Contracts Offered]])</f>
        <v>0.2</v>
      </c>
      <c r="AG4816" s="5">
        <f>IF(SalesData[[#This Row],[Customers Visited]]=0,0,SalesData[[#This Row],[Test Drives]]/SalesData[[#This Row],[Customers Visited]])</f>
        <v>0.40322580645161288</v>
      </c>
      <c r="AH4816" s="5">
        <f>IF(SalesData[[#This Row],[Customers Visited]]=0,0,SalesData[[#This Row],[Contracts Signed]]/SalesData[[#This Row],[Customers Visited]])</f>
        <v>5.2419354838709679E-2</v>
      </c>
      <c r="AI4816" s="6">
        <f>IF(SalesData[[#This Row],[Contracts Signed]]=0,0,SalesData[[#This Row],[Profit(€)]]/SalesData[[#This Row],[Contracts Signed]])</f>
        <v>3077</v>
      </c>
      <c r="AJ4816" s="5" t="str">
        <f>TRIM(CLEAN(SalesData[[#This Row],[Retailer]]))</f>
        <v>Saxon Wheels</v>
      </c>
    </row>
    <row r="4817" spans="1:36" ht="14.25" hidden="1" x14ac:dyDescent="0.2">
      <c r="A4817" t="s">
        <v>6094</v>
      </c>
      <c r="B4817" s="1">
        <v>46054</v>
      </c>
      <c r="C4817" t="s">
        <v>24</v>
      </c>
      <c r="D4817" t="s">
        <v>41</v>
      </c>
      <c r="E4817" t="s">
        <v>42</v>
      </c>
      <c r="F4817" t="s">
        <v>27</v>
      </c>
      <c r="G4817" t="s">
        <v>28</v>
      </c>
      <c r="H4817" t="s">
        <v>29</v>
      </c>
      <c r="I4817" t="s">
        <v>116</v>
      </c>
      <c r="J4817" t="s">
        <v>132</v>
      </c>
      <c r="K4817" t="s">
        <v>32</v>
      </c>
      <c r="L4817" t="s">
        <v>46</v>
      </c>
      <c r="M4817" t="s">
        <v>87</v>
      </c>
      <c r="N4817" t="s">
        <v>69</v>
      </c>
      <c r="O4817" t="s">
        <v>36</v>
      </c>
      <c r="P4817" t="s">
        <v>49</v>
      </c>
      <c r="Q4817" t="s">
        <v>79</v>
      </c>
      <c r="R4817">
        <v>419</v>
      </c>
      <c r="S4817">
        <v>201</v>
      </c>
      <c r="T4817">
        <v>128</v>
      </c>
      <c r="U4817">
        <v>26</v>
      </c>
      <c r="V4817" t="s">
        <v>3455</v>
      </c>
      <c r="W4817">
        <v>22251</v>
      </c>
      <c r="X4817" t="s">
        <v>5332</v>
      </c>
      <c r="Y4817">
        <v>19942</v>
      </c>
      <c r="Z4817">
        <v>578526</v>
      </c>
      <c r="AA4817">
        <v>60034</v>
      </c>
      <c r="AB4817" t="str">
        <f>(VLOOKUP(SalesData[[#This Row],[Month Number]],Reference!C$5:E$16,2,FALSE))</f>
        <v>Feb</v>
      </c>
      <c r="AC4817">
        <f>MONTH(SalesData[[#This Row],[Date]])</f>
        <v>2</v>
      </c>
      <c r="AD4817">
        <f>Reference!F$4</f>
        <v>2026</v>
      </c>
      <c r="AE4817" t="str">
        <f>IF(OR(SalesData[[#This Row],[Day]]="Saturday",SalesData[[#This Row],[Day]]="Sunday"),"Weekend","Weekday")</f>
        <v>Weekend</v>
      </c>
      <c r="AF4817" s="5">
        <f>IF(SalesData[[#This Row],[Contracts Offered]]=0,0,SalesData[[#This Row],[Contracts Signed]]/SalesData[[#This Row],[Contracts Offered]])</f>
        <v>0.203125</v>
      </c>
      <c r="AG4817" s="5">
        <f>IF(SalesData[[#This Row],[Customers Visited]]=0,0,SalesData[[#This Row],[Test Drives]]/SalesData[[#This Row],[Customers Visited]])</f>
        <v>0.47971360381861577</v>
      </c>
      <c r="AH4817" s="5">
        <f>IF(SalesData[[#This Row],[Customers Visited]]=0,0,SalesData[[#This Row],[Contracts Signed]]/SalesData[[#This Row],[Customers Visited]])</f>
        <v>6.205250596658711E-2</v>
      </c>
      <c r="AI4817" s="6">
        <f>IF(SalesData[[#This Row],[Contracts Signed]]=0,0,SalesData[[#This Row],[Profit(€)]]/SalesData[[#This Row],[Contracts Signed]])</f>
        <v>2309</v>
      </c>
      <c r="AJ4817" s="5" t="str">
        <f>TRIM(CLEAN(SalesData[[#This Row],[Retailer]]))</f>
        <v>Main Auto Hub</v>
      </c>
    </row>
    <row r="4818" spans="1:36" ht="14.25" hidden="1" x14ac:dyDescent="0.2">
      <c r="A4818" t="s">
        <v>6095</v>
      </c>
      <c r="B4818" s="1">
        <v>46063</v>
      </c>
      <c r="C4818" t="s">
        <v>121</v>
      </c>
      <c r="D4818" t="s">
        <v>63</v>
      </c>
      <c r="E4818" t="s">
        <v>26</v>
      </c>
      <c r="F4818" t="s">
        <v>43</v>
      </c>
      <c r="G4818" t="s">
        <v>44</v>
      </c>
      <c r="H4818" t="s">
        <v>45</v>
      </c>
      <c r="I4818" t="s">
        <v>56</v>
      </c>
      <c r="J4818" t="s">
        <v>7028</v>
      </c>
      <c r="K4818" t="s">
        <v>32</v>
      </c>
      <c r="L4818" t="s">
        <v>46</v>
      </c>
      <c r="M4818" t="s">
        <v>87</v>
      </c>
      <c r="N4818" t="s">
        <v>48</v>
      </c>
      <c r="O4818" t="s">
        <v>36</v>
      </c>
      <c r="P4818" t="s">
        <v>37</v>
      </c>
      <c r="Q4818" t="s">
        <v>59</v>
      </c>
      <c r="R4818">
        <v>277</v>
      </c>
      <c r="S4818">
        <v>176</v>
      </c>
      <c r="T4818">
        <v>135</v>
      </c>
      <c r="U4818">
        <v>37</v>
      </c>
      <c r="V4818" t="s">
        <v>7209</v>
      </c>
      <c r="W4818">
        <v>52154</v>
      </c>
      <c r="X4818" t="s">
        <v>267</v>
      </c>
      <c r="Y4818">
        <v>42374</v>
      </c>
      <c r="Z4818">
        <v>1929698</v>
      </c>
      <c r="AA4818">
        <v>361860</v>
      </c>
      <c r="AB4818" t="str">
        <f>(VLOOKUP(SalesData[[#This Row],[Month Number]],Reference!C$5:E$16,2,FALSE))</f>
        <v>Feb</v>
      </c>
      <c r="AC4818">
        <f>MONTH(SalesData[[#This Row],[Date]])</f>
        <v>2</v>
      </c>
      <c r="AD4818">
        <f>Reference!F$4</f>
        <v>2026</v>
      </c>
      <c r="AE4818" t="str">
        <f>IF(OR(SalesData[[#This Row],[Day]]="Saturday",SalesData[[#This Row],[Day]]="Sunday"),"Weekend","Weekday")</f>
        <v>Weekday</v>
      </c>
      <c r="AF4818" s="5">
        <f>IF(SalesData[[#This Row],[Contracts Offered]]=0,0,SalesData[[#This Row],[Contracts Signed]]/SalesData[[#This Row],[Contracts Offered]])</f>
        <v>0.27407407407407408</v>
      </c>
      <c r="AG4818" s="5">
        <f>IF(SalesData[[#This Row],[Customers Visited]]=0,0,SalesData[[#This Row],[Test Drives]]/SalesData[[#This Row],[Customers Visited]])</f>
        <v>0.63537906137184119</v>
      </c>
      <c r="AH4818" s="5">
        <f>IF(SalesData[[#This Row],[Customers Visited]]=0,0,SalesData[[#This Row],[Contracts Signed]]/SalesData[[#This Row],[Customers Visited]])</f>
        <v>0.13357400722021662</v>
      </c>
      <c r="AI4818" s="6">
        <f>IF(SalesData[[#This Row],[Contracts Signed]]=0,0,SalesData[[#This Row],[Profit(€)]]/SalesData[[#This Row],[Contracts Signed]])</f>
        <v>9780</v>
      </c>
      <c r="AJ4818" s="5" t="str">
        <f>TRIM(CLEAN(SalesData[[#This Row],[Retailer]]))</f>
        <v>Saxon Wheels</v>
      </c>
    </row>
    <row r="4819" spans="1:36" ht="14.25" hidden="1" x14ac:dyDescent="0.2">
      <c r="A4819" t="s">
        <v>6096</v>
      </c>
      <c r="B4819" s="1">
        <v>46065</v>
      </c>
      <c r="C4819" t="s">
        <v>121</v>
      </c>
      <c r="D4819" t="s">
        <v>100</v>
      </c>
      <c r="E4819" t="s">
        <v>26</v>
      </c>
      <c r="F4819" t="s">
        <v>43</v>
      </c>
      <c r="G4819" t="s">
        <v>44</v>
      </c>
      <c r="H4819" t="s">
        <v>45</v>
      </c>
      <c r="I4819" t="s">
        <v>116</v>
      </c>
      <c r="J4819" t="s">
        <v>7090</v>
      </c>
      <c r="K4819" t="s">
        <v>66</v>
      </c>
      <c r="L4819" t="s">
        <v>46</v>
      </c>
      <c r="M4819" t="s">
        <v>34</v>
      </c>
      <c r="N4819" t="s">
        <v>48</v>
      </c>
      <c r="O4819" t="s">
        <v>36</v>
      </c>
      <c r="P4819" t="s">
        <v>37</v>
      </c>
      <c r="Q4819" t="s">
        <v>79</v>
      </c>
      <c r="R4819">
        <v>411</v>
      </c>
      <c r="S4819">
        <v>218</v>
      </c>
      <c r="T4819">
        <v>140</v>
      </c>
      <c r="U4819">
        <v>34</v>
      </c>
      <c r="V4819" t="s">
        <v>2368</v>
      </c>
      <c r="W4819">
        <v>21092</v>
      </c>
      <c r="X4819" t="s">
        <v>1084</v>
      </c>
      <c r="Y4819">
        <v>19136</v>
      </c>
      <c r="Z4819">
        <v>717128</v>
      </c>
      <c r="AA4819">
        <v>66504</v>
      </c>
      <c r="AB4819" t="str">
        <f>(VLOOKUP(SalesData[[#This Row],[Month Number]],Reference!C$5:E$16,2,FALSE))</f>
        <v>Feb</v>
      </c>
      <c r="AC4819">
        <f>MONTH(SalesData[[#This Row],[Date]])</f>
        <v>2</v>
      </c>
      <c r="AD4819">
        <f>Reference!F$4</f>
        <v>2026</v>
      </c>
      <c r="AE4819" t="str">
        <f>IF(OR(SalesData[[#This Row],[Day]]="Saturday",SalesData[[#This Row],[Day]]="Sunday"),"Weekend","Weekday")</f>
        <v>Weekday</v>
      </c>
      <c r="AF4819" s="5">
        <f>IF(SalesData[[#This Row],[Contracts Offered]]=0,0,SalesData[[#This Row],[Contracts Signed]]/SalesData[[#This Row],[Contracts Offered]])</f>
        <v>0.24285714285714285</v>
      </c>
      <c r="AG4819" s="5">
        <f>IF(SalesData[[#This Row],[Customers Visited]]=0,0,SalesData[[#This Row],[Test Drives]]/SalesData[[#This Row],[Customers Visited]])</f>
        <v>0.53041362530413627</v>
      </c>
      <c r="AH4819" s="5">
        <f>IF(SalesData[[#This Row],[Customers Visited]]=0,0,SalesData[[#This Row],[Contracts Signed]]/SalesData[[#This Row],[Customers Visited]])</f>
        <v>8.2725060827250604E-2</v>
      </c>
      <c r="AI4819" s="6">
        <f>IF(SalesData[[#This Row],[Contracts Signed]]=0,0,SalesData[[#This Row],[Profit(€)]]/SalesData[[#This Row],[Contracts Signed]])</f>
        <v>1956</v>
      </c>
      <c r="AJ4819" s="5" t="str">
        <f>TRIM(CLEAN(SalesData[[#This Row],[Retailer]]))</f>
        <v>Saxon Wheels</v>
      </c>
    </row>
    <row r="4820" spans="1:36" ht="14.25" hidden="1" x14ac:dyDescent="0.2">
      <c r="A4820" t="s">
        <v>6097</v>
      </c>
      <c r="B4820" s="1">
        <v>46058</v>
      </c>
      <c r="C4820" t="s">
        <v>24</v>
      </c>
      <c r="D4820" t="s">
        <v>100</v>
      </c>
      <c r="E4820" t="s">
        <v>26</v>
      </c>
      <c r="F4820" t="s">
        <v>74</v>
      </c>
      <c r="G4820" t="s">
        <v>75</v>
      </c>
      <c r="H4820" t="s">
        <v>76</v>
      </c>
      <c r="I4820" t="s">
        <v>56</v>
      </c>
      <c r="J4820" t="s">
        <v>137</v>
      </c>
      <c r="K4820" t="s">
        <v>32</v>
      </c>
      <c r="L4820" t="s">
        <v>46</v>
      </c>
      <c r="M4820" t="s">
        <v>47</v>
      </c>
      <c r="N4820" t="s">
        <v>48</v>
      </c>
      <c r="O4820" t="s">
        <v>36</v>
      </c>
      <c r="P4820" t="s">
        <v>58</v>
      </c>
      <c r="Q4820" t="s">
        <v>144</v>
      </c>
      <c r="R4820">
        <v>304</v>
      </c>
      <c r="S4820">
        <v>140</v>
      </c>
      <c r="T4820">
        <v>106</v>
      </c>
      <c r="U4820">
        <v>36</v>
      </c>
      <c r="V4820" t="s">
        <v>6889</v>
      </c>
      <c r="W4820">
        <v>52063</v>
      </c>
      <c r="X4820" t="s">
        <v>4223</v>
      </c>
      <c r="Y4820">
        <v>40814</v>
      </c>
      <c r="Z4820">
        <v>1874268</v>
      </c>
      <c r="AA4820">
        <v>404964</v>
      </c>
      <c r="AB4820" t="str">
        <f>(VLOOKUP(SalesData[[#This Row],[Month Number]],Reference!C$5:E$16,2,FALSE))</f>
        <v>Feb</v>
      </c>
      <c r="AC4820">
        <f>MONTH(SalesData[[#This Row],[Date]])</f>
        <v>2</v>
      </c>
      <c r="AD4820">
        <f>Reference!F$4</f>
        <v>2026</v>
      </c>
      <c r="AE4820" t="str">
        <f>IF(OR(SalesData[[#This Row],[Day]]="Saturday",SalesData[[#This Row],[Day]]="Sunday"),"Weekend","Weekday")</f>
        <v>Weekday</v>
      </c>
      <c r="AF4820" s="5">
        <f>IF(SalesData[[#This Row],[Contracts Offered]]=0,0,SalesData[[#This Row],[Contracts Signed]]/SalesData[[#This Row],[Contracts Offered]])</f>
        <v>0.33962264150943394</v>
      </c>
      <c r="AG4820" s="5">
        <f>IF(SalesData[[#This Row],[Customers Visited]]=0,0,SalesData[[#This Row],[Test Drives]]/SalesData[[#This Row],[Customers Visited]])</f>
        <v>0.46052631578947367</v>
      </c>
      <c r="AH4820" s="5">
        <f>IF(SalesData[[#This Row],[Customers Visited]]=0,0,SalesData[[#This Row],[Contracts Signed]]/SalesData[[#This Row],[Customers Visited]])</f>
        <v>0.11842105263157894</v>
      </c>
      <c r="AI4820" s="6">
        <f>IF(SalesData[[#This Row],[Contracts Signed]]=0,0,SalesData[[#This Row],[Profit(€)]]/SalesData[[#This Row],[Contracts Signed]])</f>
        <v>11249</v>
      </c>
      <c r="AJ4820" s="5" t="str">
        <f>TRIM(CLEAN(SalesData[[#This Row],[Retailer]]))</f>
        <v>Stuttgart Auto Center</v>
      </c>
    </row>
    <row r="4821" spans="1:36" ht="14.25" hidden="1" x14ac:dyDescent="0.2">
      <c r="A4821" t="s">
        <v>6098</v>
      </c>
      <c r="B4821" s="1">
        <v>46069</v>
      </c>
      <c r="C4821" t="s">
        <v>62</v>
      </c>
      <c r="D4821" t="s">
        <v>25</v>
      </c>
      <c r="E4821" t="s">
        <v>26</v>
      </c>
      <c r="F4821" t="s">
        <v>109</v>
      </c>
      <c r="G4821" t="s">
        <v>110</v>
      </c>
      <c r="H4821" t="s">
        <v>45</v>
      </c>
      <c r="I4821" t="s">
        <v>56</v>
      </c>
      <c r="J4821" t="s">
        <v>137</v>
      </c>
      <c r="K4821" t="s">
        <v>32</v>
      </c>
      <c r="L4821" t="s">
        <v>46</v>
      </c>
      <c r="M4821" t="s">
        <v>47</v>
      </c>
      <c r="N4821" t="s">
        <v>48</v>
      </c>
      <c r="O4821" t="s">
        <v>70</v>
      </c>
      <c r="P4821" t="s">
        <v>49</v>
      </c>
      <c r="Q4821" t="s">
        <v>38</v>
      </c>
      <c r="R4821">
        <v>254</v>
      </c>
      <c r="S4821">
        <v>158</v>
      </c>
      <c r="T4821">
        <v>121</v>
      </c>
      <c r="U4821">
        <v>30</v>
      </c>
      <c r="V4821" t="s">
        <v>1040</v>
      </c>
      <c r="W4821">
        <v>48544</v>
      </c>
      <c r="X4821" t="s">
        <v>929</v>
      </c>
      <c r="Y4821">
        <v>38334</v>
      </c>
      <c r="Z4821">
        <v>1456320</v>
      </c>
      <c r="AA4821">
        <v>306300</v>
      </c>
      <c r="AB4821" t="str">
        <f>(VLOOKUP(SalesData[[#This Row],[Month Number]],Reference!C$5:E$16,2,FALSE))</f>
        <v>Feb</v>
      </c>
      <c r="AC4821">
        <f>MONTH(SalesData[[#This Row],[Date]])</f>
        <v>2</v>
      </c>
      <c r="AD4821">
        <f>Reference!F$4</f>
        <v>2026</v>
      </c>
      <c r="AE4821" t="str">
        <f>IF(OR(SalesData[[#This Row],[Day]]="Saturday",SalesData[[#This Row],[Day]]="Sunday"),"Weekend","Weekday")</f>
        <v>Weekday</v>
      </c>
      <c r="AF4821" s="5">
        <f>IF(SalesData[[#This Row],[Contracts Offered]]=0,0,SalesData[[#This Row],[Contracts Signed]]/SalesData[[#This Row],[Contracts Offered]])</f>
        <v>0.24793388429752067</v>
      </c>
      <c r="AG4821" s="5">
        <f>IF(SalesData[[#This Row],[Customers Visited]]=0,0,SalesData[[#This Row],[Test Drives]]/SalesData[[#This Row],[Customers Visited]])</f>
        <v>0.62204724409448819</v>
      </c>
      <c r="AH4821" s="5">
        <f>IF(SalesData[[#This Row],[Customers Visited]]=0,0,SalesData[[#This Row],[Contracts Signed]]/SalesData[[#This Row],[Customers Visited]])</f>
        <v>0.11811023622047244</v>
      </c>
      <c r="AI4821" s="6">
        <f>IF(SalesData[[#This Row],[Contracts Signed]]=0,0,SalesData[[#This Row],[Profit(€)]]/SalesData[[#This Row],[Contracts Signed]])</f>
        <v>10210</v>
      </c>
      <c r="AJ4821" s="5" t="str">
        <f>TRIM(CLEAN(SalesData[[#This Row],[Retailer]]))</f>
        <v>Leipzig Mobility</v>
      </c>
    </row>
    <row r="4822" spans="1:36" ht="14.25" hidden="1" x14ac:dyDescent="0.2">
      <c r="A4822" t="s">
        <v>6099</v>
      </c>
      <c r="B4822" s="1">
        <v>46070</v>
      </c>
      <c r="C4822" t="s">
        <v>62</v>
      </c>
      <c r="D4822" t="s">
        <v>63</v>
      </c>
      <c r="E4822" t="s">
        <v>26</v>
      </c>
      <c r="F4822" t="s">
        <v>83</v>
      </c>
      <c r="G4822" t="s">
        <v>84</v>
      </c>
      <c r="H4822" t="s">
        <v>85</v>
      </c>
      <c r="I4822" t="s">
        <v>116</v>
      </c>
      <c r="J4822" t="s">
        <v>132</v>
      </c>
      <c r="K4822" t="s">
        <v>91</v>
      </c>
      <c r="L4822" t="s">
        <v>46</v>
      </c>
      <c r="M4822" t="s">
        <v>47</v>
      </c>
      <c r="N4822" t="s">
        <v>69</v>
      </c>
      <c r="O4822" t="s">
        <v>36</v>
      </c>
      <c r="P4822" t="s">
        <v>71</v>
      </c>
      <c r="Q4822" t="s">
        <v>59</v>
      </c>
      <c r="R4822">
        <v>283</v>
      </c>
      <c r="S4822">
        <v>136</v>
      </c>
      <c r="T4822">
        <v>78</v>
      </c>
      <c r="U4822">
        <v>25</v>
      </c>
      <c r="V4822" t="s">
        <v>2168</v>
      </c>
      <c r="W4822">
        <v>22295</v>
      </c>
      <c r="X4822" t="s">
        <v>4276</v>
      </c>
      <c r="Y4822">
        <v>20396</v>
      </c>
      <c r="Z4822">
        <v>557375</v>
      </c>
      <c r="AA4822">
        <v>47475</v>
      </c>
      <c r="AB4822" t="str">
        <f>(VLOOKUP(SalesData[[#This Row],[Month Number]],Reference!C$5:E$16,2,FALSE))</f>
        <v>Feb</v>
      </c>
      <c r="AC4822">
        <f>MONTH(SalesData[[#This Row],[Date]])</f>
        <v>2</v>
      </c>
      <c r="AD4822">
        <f>Reference!F$4</f>
        <v>2026</v>
      </c>
      <c r="AE4822" t="str">
        <f>IF(OR(SalesData[[#This Row],[Day]]="Saturday",SalesData[[#This Row],[Day]]="Sunday"),"Weekend","Weekday")</f>
        <v>Weekday</v>
      </c>
      <c r="AF4822" s="5">
        <f>IF(SalesData[[#This Row],[Contracts Offered]]=0,0,SalesData[[#This Row],[Contracts Signed]]/SalesData[[#This Row],[Contracts Offered]])</f>
        <v>0.32051282051282054</v>
      </c>
      <c r="AG4822" s="5">
        <f>IF(SalesData[[#This Row],[Customers Visited]]=0,0,SalesData[[#This Row],[Test Drives]]/SalesData[[#This Row],[Customers Visited]])</f>
        <v>0.48056537102473496</v>
      </c>
      <c r="AH4822" s="5">
        <f>IF(SalesData[[#This Row],[Customers Visited]]=0,0,SalesData[[#This Row],[Contracts Signed]]/SalesData[[#This Row],[Customers Visited]])</f>
        <v>8.8339222614840993E-2</v>
      </c>
      <c r="AI4822" s="6">
        <f>IF(SalesData[[#This Row],[Contracts Signed]]=0,0,SalesData[[#This Row],[Profit(€)]]/SalesData[[#This Row],[Contracts Signed]])</f>
        <v>1899</v>
      </c>
      <c r="AJ4822" s="5" t="str">
        <f>TRIM(CLEAN(SalesData[[#This Row],[Retailer]]))</f>
        <v>Hannover Cars</v>
      </c>
    </row>
    <row r="4823" spans="1:36" ht="14.25" hidden="1" x14ac:dyDescent="0.2">
      <c r="A4823" t="s">
        <v>6100</v>
      </c>
      <c r="B4823" s="1">
        <v>46078</v>
      </c>
      <c r="C4823" t="s">
        <v>53</v>
      </c>
      <c r="D4823" t="s">
        <v>82</v>
      </c>
      <c r="E4823" t="s">
        <v>26</v>
      </c>
      <c r="F4823" t="s">
        <v>7649</v>
      </c>
      <c r="G4823" t="s">
        <v>55</v>
      </c>
      <c r="H4823" t="s">
        <v>55</v>
      </c>
      <c r="I4823" t="s">
        <v>116</v>
      </c>
      <c r="J4823" t="s">
        <v>132</v>
      </c>
      <c r="K4823" t="s">
        <v>32</v>
      </c>
      <c r="L4823" t="s">
        <v>46</v>
      </c>
      <c r="M4823" t="s">
        <v>87</v>
      </c>
      <c r="N4823" t="s">
        <v>35</v>
      </c>
      <c r="O4823" t="s">
        <v>36</v>
      </c>
      <c r="P4823" t="s">
        <v>58</v>
      </c>
      <c r="Q4823" t="s">
        <v>189</v>
      </c>
      <c r="R4823">
        <v>333</v>
      </c>
      <c r="S4823">
        <v>150</v>
      </c>
      <c r="T4823">
        <v>87</v>
      </c>
      <c r="U4823">
        <v>33</v>
      </c>
      <c r="V4823" t="s">
        <v>6346</v>
      </c>
      <c r="W4823">
        <v>21977</v>
      </c>
      <c r="X4823" t="s">
        <v>1911</v>
      </c>
      <c r="Y4823">
        <v>20179</v>
      </c>
      <c r="Z4823">
        <v>725241</v>
      </c>
      <c r="AA4823">
        <v>59334</v>
      </c>
      <c r="AB4823" t="str">
        <f>(VLOOKUP(SalesData[[#This Row],[Month Number]],Reference!C$5:E$16,2,FALSE))</f>
        <v>Feb</v>
      </c>
      <c r="AC4823">
        <f>MONTH(SalesData[[#This Row],[Date]])</f>
        <v>2</v>
      </c>
      <c r="AD4823">
        <f>Reference!F$4</f>
        <v>2026</v>
      </c>
      <c r="AE4823" t="str">
        <f>IF(OR(SalesData[[#This Row],[Day]]="Saturday",SalesData[[#This Row],[Day]]="Sunday"),"Weekend","Weekday")</f>
        <v>Weekday</v>
      </c>
      <c r="AF4823" s="5">
        <f>IF(SalesData[[#This Row],[Contracts Offered]]=0,0,SalesData[[#This Row],[Contracts Signed]]/SalesData[[#This Row],[Contracts Offered]])</f>
        <v>0.37931034482758619</v>
      </c>
      <c r="AG4823" s="5">
        <f>IF(SalesData[[#This Row],[Customers Visited]]=0,0,SalesData[[#This Row],[Test Drives]]/SalesData[[#This Row],[Customers Visited]])</f>
        <v>0.45045045045045046</v>
      </c>
      <c r="AH4823" s="5">
        <f>IF(SalesData[[#This Row],[Customers Visited]]=0,0,SalesData[[#This Row],[Contracts Signed]]/SalesData[[#This Row],[Customers Visited]])</f>
        <v>9.90990990990991E-2</v>
      </c>
      <c r="AI4823" s="6">
        <f>IF(SalesData[[#This Row],[Contracts Signed]]=0,0,SalesData[[#This Row],[Profit(€)]]/SalesData[[#This Row],[Contracts Signed]])</f>
        <v>1798</v>
      </c>
      <c r="AJ4823" s="5" t="str">
        <f>TRIM(CLEAN(SalesData[[#This Row],[Retailer]]))</f>
        <v>Autohaus Berlin</v>
      </c>
    </row>
    <row r="4824" spans="1:36" ht="14.25" hidden="1" x14ac:dyDescent="0.2">
      <c r="A4824" t="s">
        <v>6101</v>
      </c>
      <c r="B4824" s="1">
        <v>46057</v>
      </c>
      <c r="C4824" t="s">
        <v>24</v>
      </c>
      <c r="D4824" t="s">
        <v>82</v>
      </c>
      <c r="E4824" t="s">
        <v>26</v>
      </c>
      <c r="F4824" t="s">
        <v>94</v>
      </c>
      <c r="G4824" t="s">
        <v>95</v>
      </c>
      <c r="H4824" t="s">
        <v>96</v>
      </c>
      <c r="I4824" t="s">
        <v>104</v>
      </c>
      <c r="J4824" t="s">
        <v>7061</v>
      </c>
      <c r="K4824" t="s">
        <v>66</v>
      </c>
      <c r="L4824" t="s">
        <v>46</v>
      </c>
      <c r="M4824" t="s">
        <v>87</v>
      </c>
      <c r="N4824" t="s">
        <v>48</v>
      </c>
      <c r="O4824" t="s">
        <v>36</v>
      </c>
      <c r="P4824" t="s">
        <v>37</v>
      </c>
      <c r="Q4824" t="s">
        <v>106</v>
      </c>
      <c r="R4824">
        <v>333</v>
      </c>
      <c r="S4824">
        <v>174</v>
      </c>
      <c r="T4824">
        <v>111</v>
      </c>
      <c r="U4824">
        <v>31</v>
      </c>
      <c r="V4824" t="s">
        <v>2717</v>
      </c>
      <c r="W4824">
        <v>30058</v>
      </c>
      <c r="X4824" t="s">
        <v>7140</v>
      </c>
      <c r="Y4824">
        <v>27148</v>
      </c>
      <c r="Z4824">
        <v>931798</v>
      </c>
      <c r="AA4824">
        <v>90210</v>
      </c>
      <c r="AB4824" t="str">
        <f>(VLOOKUP(SalesData[[#This Row],[Month Number]],Reference!C$5:E$16,2,FALSE))</f>
        <v>Feb</v>
      </c>
      <c r="AC4824">
        <f>MONTH(SalesData[[#This Row],[Date]])</f>
        <v>2</v>
      </c>
      <c r="AD4824">
        <f>Reference!F$4</f>
        <v>2026</v>
      </c>
      <c r="AE4824" t="str">
        <f>IF(OR(SalesData[[#This Row],[Day]]="Saturday",SalesData[[#This Row],[Day]]="Sunday"),"Weekend","Weekday")</f>
        <v>Weekday</v>
      </c>
      <c r="AF4824" s="5">
        <f>IF(SalesData[[#This Row],[Contracts Offered]]=0,0,SalesData[[#This Row],[Contracts Signed]]/SalesData[[#This Row],[Contracts Offered]])</f>
        <v>0.27927927927927926</v>
      </c>
      <c r="AG4824" s="5">
        <f>IF(SalesData[[#This Row],[Customers Visited]]=0,0,SalesData[[#This Row],[Test Drives]]/SalesData[[#This Row],[Customers Visited]])</f>
        <v>0.52252252252252251</v>
      </c>
      <c r="AH4824" s="5">
        <f>IF(SalesData[[#This Row],[Customers Visited]]=0,0,SalesData[[#This Row],[Contracts Signed]]/SalesData[[#This Row],[Customers Visited]])</f>
        <v>9.3093093093093091E-2</v>
      </c>
      <c r="AI4824" s="6">
        <f>IF(SalesData[[#This Row],[Contracts Signed]]=0,0,SalesData[[#This Row],[Profit(€)]]/SalesData[[#This Row],[Contracts Signed]])</f>
        <v>2910</v>
      </c>
      <c r="AJ4824" s="5" t="str">
        <f>TRIM(CLEAN(SalesData[[#This Row],[Retailer]]))</f>
        <v>Bavaria Motors</v>
      </c>
    </row>
    <row r="4825" spans="1:36" ht="14.25" hidden="1" x14ac:dyDescent="0.2">
      <c r="A4825" t="s">
        <v>6102</v>
      </c>
      <c r="B4825" s="1">
        <v>46056</v>
      </c>
      <c r="C4825" t="s">
        <v>24</v>
      </c>
      <c r="D4825" t="s">
        <v>63</v>
      </c>
      <c r="E4825" t="s">
        <v>26</v>
      </c>
      <c r="F4825" t="s">
        <v>127</v>
      </c>
      <c r="G4825" t="s">
        <v>128</v>
      </c>
      <c r="H4825" t="s">
        <v>103</v>
      </c>
      <c r="I4825" t="s">
        <v>116</v>
      </c>
      <c r="J4825" t="s">
        <v>117</v>
      </c>
      <c r="K4825" t="s">
        <v>32</v>
      </c>
      <c r="L4825" t="s">
        <v>67</v>
      </c>
      <c r="M4825" t="s">
        <v>34</v>
      </c>
      <c r="N4825" t="s">
        <v>69</v>
      </c>
      <c r="O4825" t="s">
        <v>70</v>
      </c>
      <c r="P4825" t="s">
        <v>49</v>
      </c>
      <c r="Q4825" t="s">
        <v>347</v>
      </c>
      <c r="R4825">
        <v>318</v>
      </c>
      <c r="S4825">
        <v>134</v>
      </c>
      <c r="T4825">
        <v>78</v>
      </c>
      <c r="U4825">
        <v>20</v>
      </c>
      <c r="V4825" t="s">
        <v>327</v>
      </c>
      <c r="W4825">
        <v>21763</v>
      </c>
      <c r="X4825" t="s">
        <v>3698</v>
      </c>
      <c r="Y4825">
        <v>19789</v>
      </c>
      <c r="Z4825">
        <v>435260</v>
      </c>
      <c r="AA4825">
        <v>39480</v>
      </c>
      <c r="AB4825" t="str">
        <f>(VLOOKUP(SalesData[[#This Row],[Month Number]],Reference!C$5:E$16,2,FALSE))</f>
        <v>Feb</v>
      </c>
      <c r="AC4825">
        <f>MONTH(SalesData[[#This Row],[Date]])</f>
        <v>2</v>
      </c>
      <c r="AD4825">
        <f>Reference!F$4</f>
        <v>2026</v>
      </c>
      <c r="AE4825" t="str">
        <f>IF(OR(SalesData[[#This Row],[Day]]="Saturday",SalesData[[#This Row],[Day]]="Sunday"),"Weekend","Weekday")</f>
        <v>Weekday</v>
      </c>
      <c r="AF4825" s="5">
        <f>IF(SalesData[[#This Row],[Contracts Offered]]=0,0,SalesData[[#This Row],[Contracts Signed]]/SalesData[[#This Row],[Contracts Offered]])</f>
        <v>0.25641025641025639</v>
      </c>
      <c r="AG4825" s="5">
        <f>IF(SalesData[[#This Row],[Customers Visited]]=0,0,SalesData[[#This Row],[Test Drives]]/SalesData[[#This Row],[Customers Visited]])</f>
        <v>0.42138364779874216</v>
      </c>
      <c r="AH4825" s="5">
        <f>IF(SalesData[[#This Row],[Customers Visited]]=0,0,SalesData[[#This Row],[Contracts Signed]]/SalesData[[#This Row],[Customers Visited]])</f>
        <v>6.2893081761006289E-2</v>
      </c>
      <c r="AI4825" s="6">
        <f>IF(SalesData[[#This Row],[Contracts Signed]]=0,0,SalesData[[#This Row],[Profit(€)]]/SalesData[[#This Row],[Contracts Signed]])</f>
        <v>1974</v>
      </c>
      <c r="AJ4825" s="5" t="str">
        <f>TRIM(CLEAN(SalesData[[#This Row],[Retailer]]))</f>
        <v>Rhein Auto Group</v>
      </c>
    </row>
    <row r="4826" spans="1:36" ht="14.25" hidden="1" x14ac:dyDescent="0.2">
      <c r="A4826" t="s">
        <v>6103</v>
      </c>
      <c r="B4826" s="1">
        <v>46055</v>
      </c>
      <c r="C4826" t="s">
        <v>24</v>
      </c>
      <c r="D4826" t="s">
        <v>25</v>
      </c>
      <c r="E4826" t="s">
        <v>26</v>
      </c>
      <c r="F4826" t="s">
        <v>74</v>
      </c>
      <c r="G4826" t="s">
        <v>75</v>
      </c>
      <c r="H4826" t="s">
        <v>76</v>
      </c>
      <c r="I4826" t="s">
        <v>104</v>
      </c>
      <c r="J4826" t="s">
        <v>140</v>
      </c>
      <c r="K4826" t="s">
        <v>66</v>
      </c>
      <c r="L4826" t="s">
        <v>46</v>
      </c>
      <c r="M4826" t="s">
        <v>34</v>
      </c>
      <c r="N4826" t="s">
        <v>35</v>
      </c>
      <c r="O4826" t="s">
        <v>36</v>
      </c>
      <c r="P4826" t="s">
        <v>71</v>
      </c>
      <c r="Q4826" t="s">
        <v>79</v>
      </c>
      <c r="R4826">
        <v>414</v>
      </c>
      <c r="S4826">
        <v>198</v>
      </c>
      <c r="T4826">
        <v>129</v>
      </c>
      <c r="U4826">
        <v>36</v>
      </c>
      <c r="V4826" t="s">
        <v>752</v>
      </c>
      <c r="W4826">
        <v>30529</v>
      </c>
      <c r="X4826" t="s">
        <v>435</v>
      </c>
      <c r="Y4826">
        <v>27759</v>
      </c>
      <c r="Z4826">
        <v>1099044</v>
      </c>
      <c r="AA4826">
        <v>99720</v>
      </c>
      <c r="AB4826" t="str">
        <f>(VLOOKUP(SalesData[[#This Row],[Month Number]],Reference!C$5:E$16,2,FALSE))</f>
        <v>Feb</v>
      </c>
      <c r="AC4826">
        <f>MONTH(SalesData[[#This Row],[Date]])</f>
        <v>2</v>
      </c>
      <c r="AD4826">
        <f>Reference!F$4</f>
        <v>2026</v>
      </c>
      <c r="AE4826" t="str">
        <f>IF(OR(SalesData[[#This Row],[Day]]="Saturday",SalesData[[#This Row],[Day]]="Sunday"),"Weekend","Weekday")</f>
        <v>Weekday</v>
      </c>
      <c r="AF4826" s="5">
        <f>IF(SalesData[[#This Row],[Contracts Offered]]=0,0,SalesData[[#This Row],[Contracts Signed]]/SalesData[[#This Row],[Contracts Offered]])</f>
        <v>0.27906976744186046</v>
      </c>
      <c r="AG4826" s="5">
        <f>IF(SalesData[[#This Row],[Customers Visited]]=0,0,SalesData[[#This Row],[Test Drives]]/SalesData[[#This Row],[Customers Visited]])</f>
        <v>0.47826086956521741</v>
      </c>
      <c r="AH4826" s="5">
        <f>IF(SalesData[[#This Row],[Customers Visited]]=0,0,SalesData[[#This Row],[Contracts Signed]]/SalesData[[#This Row],[Customers Visited]])</f>
        <v>8.6956521739130432E-2</v>
      </c>
      <c r="AI4826" s="6">
        <f>IF(SalesData[[#This Row],[Contracts Signed]]=0,0,SalesData[[#This Row],[Profit(€)]]/SalesData[[#This Row],[Contracts Signed]])</f>
        <v>2770</v>
      </c>
      <c r="AJ4826" s="5" t="str">
        <f>TRIM(CLEAN(SalesData[[#This Row],[Retailer]]))</f>
        <v>Stuttgart Auto Center</v>
      </c>
    </row>
    <row r="4827" spans="1:36" ht="14.25" hidden="1" x14ac:dyDescent="0.2">
      <c r="A4827" t="s">
        <v>6104</v>
      </c>
      <c r="B4827" s="1">
        <v>46067</v>
      </c>
      <c r="C4827" t="s">
        <v>121</v>
      </c>
      <c r="D4827" t="s">
        <v>151</v>
      </c>
      <c r="E4827" t="s">
        <v>42</v>
      </c>
      <c r="F4827" t="s">
        <v>7649</v>
      </c>
      <c r="G4827" t="s">
        <v>55</v>
      </c>
      <c r="H4827" t="s">
        <v>55</v>
      </c>
      <c r="I4827" t="s">
        <v>104</v>
      </c>
      <c r="J4827" t="s">
        <v>140</v>
      </c>
      <c r="K4827" t="s">
        <v>32</v>
      </c>
      <c r="L4827" t="s">
        <v>46</v>
      </c>
      <c r="M4827" t="s">
        <v>47</v>
      </c>
      <c r="N4827" t="s">
        <v>48</v>
      </c>
      <c r="O4827" t="s">
        <v>70</v>
      </c>
      <c r="P4827" t="s">
        <v>71</v>
      </c>
      <c r="Q4827" t="s">
        <v>347</v>
      </c>
      <c r="R4827">
        <v>323</v>
      </c>
      <c r="S4827">
        <v>145</v>
      </c>
      <c r="T4827">
        <v>90</v>
      </c>
      <c r="U4827">
        <v>22</v>
      </c>
      <c r="V4827" t="s">
        <v>1235</v>
      </c>
      <c r="W4827">
        <v>28064</v>
      </c>
      <c r="X4827" t="s">
        <v>658</v>
      </c>
      <c r="Y4827">
        <v>24448</v>
      </c>
      <c r="Z4827">
        <v>617408</v>
      </c>
      <c r="AA4827">
        <v>79552</v>
      </c>
      <c r="AB4827" t="str">
        <f>(VLOOKUP(SalesData[[#This Row],[Month Number]],Reference!C$5:E$16,2,FALSE))</f>
        <v>Feb</v>
      </c>
      <c r="AC4827">
        <f>MONTH(SalesData[[#This Row],[Date]])</f>
        <v>2</v>
      </c>
      <c r="AD4827">
        <f>Reference!F$4</f>
        <v>2026</v>
      </c>
      <c r="AE4827" t="str">
        <f>IF(OR(SalesData[[#This Row],[Day]]="Saturday",SalesData[[#This Row],[Day]]="Sunday"),"Weekend","Weekday")</f>
        <v>Weekend</v>
      </c>
      <c r="AF4827" s="5">
        <f>IF(SalesData[[#This Row],[Contracts Offered]]=0,0,SalesData[[#This Row],[Contracts Signed]]/SalesData[[#This Row],[Contracts Offered]])</f>
        <v>0.24444444444444444</v>
      </c>
      <c r="AG4827" s="5">
        <f>IF(SalesData[[#This Row],[Customers Visited]]=0,0,SalesData[[#This Row],[Test Drives]]/SalesData[[#This Row],[Customers Visited]])</f>
        <v>0.44891640866873067</v>
      </c>
      <c r="AH4827" s="5">
        <f>IF(SalesData[[#This Row],[Customers Visited]]=0,0,SalesData[[#This Row],[Contracts Signed]]/SalesData[[#This Row],[Customers Visited]])</f>
        <v>6.8111455108359129E-2</v>
      </c>
      <c r="AI4827" s="6">
        <f>IF(SalesData[[#This Row],[Contracts Signed]]=0,0,SalesData[[#This Row],[Profit(€)]]/SalesData[[#This Row],[Contracts Signed]])</f>
        <v>3616</v>
      </c>
      <c r="AJ4827" s="5" t="str">
        <f>TRIM(CLEAN(SalesData[[#This Row],[Retailer]]))</f>
        <v>Autohaus Berlin</v>
      </c>
    </row>
    <row r="4828" spans="1:36" ht="14.25" hidden="1" x14ac:dyDescent="0.2">
      <c r="A4828" t="s">
        <v>6105</v>
      </c>
      <c r="B4828" s="1">
        <v>46054</v>
      </c>
      <c r="C4828" t="s">
        <v>24</v>
      </c>
      <c r="D4828" t="s">
        <v>41</v>
      </c>
      <c r="E4828" t="s">
        <v>42</v>
      </c>
      <c r="F4828" t="s">
        <v>101</v>
      </c>
      <c r="G4828" t="s">
        <v>102</v>
      </c>
      <c r="H4828" t="s">
        <v>103</v>
      </c>
      <c r="I4828" t="s">
        <v>104</v>
      </c>
      <c r="J4828" t="s">
        <v>105</v>
      </c>
      <c r="K4828" t="s">
        <v>66</v>
      </c>
      <c r="L4828" t="s">
        <v>33</v>
      </c>
      <c r="M4828" t="s">
        <v>34</v>
      </c>
      <c r="N4828" t="s">
        <v>69</v>
      </c>
      <c r="O4828" t="s">
        <v>70</v>
      </c>
      <c r="P4828" t="s">
        <v>49</v>
      </c>
      <c r="Q4828" t="s">
        <v>144</v>
      </c>
      <c r="R4828">
        <v>481</v>
      </c>
      <c r="S4828">
        <v>226</v>
      </c>
      <c r="T4828">
        <v>131</v>
      </c>
      <c r="U4828">
        <v>22</v>
      </c>
      <c r="V4828" t="s">
        <v>1943</v>
      </c>
      <c r="W4828">
        <v>30637</v>
      </c>
      <c r="X4828" t="s">
        <v>7484</v>
      </c>
      <c r="Y4828">
        <v>27328</v>
      </c>
      <c r="Z4828">
        <v>674014</v>
      </c>
      <c r="AA4828">
        <v>72798</v>
      </c>
      <c r="AB4828" t="str">
        <f>(VLOOKUP(SalesData[[#This Row],[Month Number]],Reference!C$5:E$16,2,FALSE))</f>
        <v>Feb</v>
      </c>
      <c r="AC4828">
        <f>MONTH(SalesData[[#This Row],[Date]])</f>
        <v>2</v>
      </c>
      <c r="AD4828">
        <f>Reference!F$4</f>
        <v>2026</v>
      </c>
      <c r="AE4828" t="str">
        <f>IF(OR(SalesData[[#This Row],[Day]]="Saturday",SalesData[[#This Row],[Day]]="Sunday"),"Weekend","Weekday")</f>
        <v>Weekend</v>
      </c>
      <c r="AF4828" s="5">
        <f>IF(SalesData[[#This Row],[Contracts Offered]]=0,0,SalesData[[#This Row],[Contracts Signed]]/SalesData[[#This Row],[Contracts Offered]])</f>
        <v>0.16793893129770993</v>
      </c>
      <c r="AG4828" s="5">
        <f>IF(SalesData[[#This Row],[Customers Visited]]=0,0,SalesData[[#This Row],[Test Drives]]/SalesData[[#This Row],[Customers Visited]])</f>
        <v>0.46985446985446988</v>
      </c>
      <c r="AH4828" s="5">
        <f>IF(SalesData[[#This Row],[Customers Visited]]=0,0,SalesData[[#This Row],[Contracts Signed]]/SalesData[[#This Row],[Customers Visited]])</f>
        <v>4.5738045738045741E-2</v>
      </c>
      <c r="AI4828" s="6">
        <f>IF(SalesData[[#This Row],[Contracts Signed]]=0,0,SalesData[[#This Row],[Profit(€)]]/SalesData[[#This Row],[Contracts Signed]])</f>
        <v>3309</v>
      </c>
      <c r="AJ4828" s="5" t="str">
        <f>TRIM(CLEAN(SalesData[[#This Row],[Retailer]]))</f>
        <v>Ruhr Auto Plaza</v>
      </c>
    </row>
    <row r="4829" spans="1:36" ht="14.25" hidden="1" x14ac:dyDescent="0.2">
      <c r="A4829" t="s">
        <v>6106</v>
      </c>
      <c r="B4829" s="1">
        <v>46074</v>
      </c>
      <c r="C4829" t="s">
        <v>62</v>
      </c>
      <c r="D4829" t="s">
        <v>151</v>
      </c>
      <c r="E4829" t="s">
        <v>42</v>
      </c>
      <c r="F4829" t="s">
        <v>109</v>
      </c>
      <c r="G4829" t="s">
        <v>110</v>
      </c>
      <c r="H4829" t="s">
        <v>45</v>
      </c>
      <c r="I4829" t="s">
        <v>116</v>
      </c>
      <c r="J4829" t="s">
        <v>203</v>
      </c>
      <c r="K4829" t="s">
        <v>78</v>
      </c>
      <c r="L4829" t="s">
        <v>67</v>
      </c>
      <c r="M4829" t="s">
        <v>34</v>
      </c>
      <c r="N4829" t="s">
        <v>48</v>
      </c>
      <c r="O4829" t="s">
        <v>70</v>
      </c>
      <c r="P4829" t="s">
        <v>49</v>
      </c>
      <c r="Q4829" t="s">
        <v>240</v>
      </c>
      <c r="R4829">
        <v>373</v>
      </c>
      <c r="S4829">
        <v>195</v>
      </c>
      <c r="T4829">
        <v>121</v>
      </c>
      <c r="U4829">
        <v>25</v>
      </c>
      <c r="V4829" t="s">
        <v>889</v>
      </c>
      <c r="W4829">
        <v>22831</v>
      </c>
      <c r="X4829" t="s">
        <v>2447</v>
      </c>
      <c r="Y4829">
        <v>20902</v>
      </c>
      <c r="Z4829">
        <v>570775</v>
      </c>
      <c r="AA4829">
        <v>48225</v>
      </c>
      <c r="AB4829" t="str">
        <f>(VLOOKUP(SalesData[[#This Row],[Month Number]],Reference!C$5:E$16,2,FALSE))</f>
        <v>Feb</v>
      </c>
      <c r="AC4829">
        <f>MONTH(SalesData[[#This Row],[Date]])</f>
        <v>2</v>
      </c>
      <c r="AD4829">
        <f>Reference!F$4</f>
        <v>2026</v>
      </c>
      <c r="AE4829" t="str">
        <f>IF(OR(SalesData[[#This Row],[Day]]="Saturday",SalesData[[#This Row],[Day]]="Sunday"),"Weekend","Weekday")</f>
        <v>Weekend</v>
      </c>
      <c r="AF4829" s="5">
        <f>IF(SalesData[[#This Row],[Contracts Offered]]=0,0,SalesData[[#This Row],[Contracts Signed]]/SalesData[[#This Row],[Contracts Offered]])</f>
        <v>0.20661157024793389</v>
      </c>
      <c r="AG4829" s="5">
        <f>IF(SalesData[[#This Row],[Customers Visited]]=0,0,SalesData[[#This Row],[Test Drives]]/SalesData[[#This Row],[Customers Visited]])</f>
        <v>0.52278820375335122</v>
      </c>
      <c r="AH4829" s="5">
        <f>IF(SalesData[[#This Row],[Customers Visited]]=0,0,SalesData[[#This Row],[Contracts Signed]]/SalesData[[#This Row],[Customers Visited]])</f>
        <v>6.7024128686327081E-2</v>
      </c>
      <c r="AI4829" s="6">
        <f>IF(SalesData[[#This Row],[Contracts Signed]]=0,0,SalesData[[#This Row],[Profit(€)]]/SalesData[[#This Row],[Contracts Signed]])</f>
        <v>1929</v>
      </c>
      <c r="AJ4829" s="5" t="str">
        <f>TRIM(CLEAN(SalesData[[#This Row],[Retailer]]))</f>
        <v>Leipzig Mobility</v>
      </c>
    </row>
    <row r="4830" spans="1:36" ht="14.25" hidden="1" x14ac:dyDescent="0.2">
      <c r="A4830" t="s">
        <v>6107</v>
      </c>
      <c r="B4830" s="1">
        <v>46080</v>
      </c>
      <c r="C4830" t="s">
        <v>53</v>
      </c>
      <c r="D4830" t="s">
        <v>54</v>
      </c>
      <c r="E4830" t="s">
        <v>26</v>
      </c>
      <c r="F4830" t="s">
        <v>109</v>
      </c>
      <c r="G4830" t="s">
        <v>110</v>
      </c>
      <c r="H4830" t="s">
        <v>45</v>
      </c>
      <c r="I4830" t="s">
        <v>56</v>
      </c>
      <c r="J4830" t="s">
        <v>7028</v>
      </c>
      <c r="K4830" t="s">
        <v>66</v>
      </c>
      <c r="L4830" t="s">
        <v>46</v>
      </c>
      <c r="M4830" t="s">
        <v>34</v>
      </c>
      <c r="N4830" t="s">
        <v>48</v>
      </c>
      <c r="O4830" t="s">
        <v>70</v>
      </c>
      <c r="P4830" t="s">
        <v>37</v>
      </c>
      <c r="Q4830" t="s">
        <v>88</v>
      </c>
      <c r="R4830">
        <v>316</v>
      </c>
      <c r="S4830">
        <v>200</v>
      </c>
      <c r="T4830">
        <v>142</v>
      </c>
      <c r="U4830">
        <v>45</v>
      </c>
      <c r="V4830" t="s">
        <v>6870</v>
      </c>
      <c r="W4830">
        <v>43684</v>
      </c>
      <c r="X4830" t="s">
        <v>7185</v>
      </c>
      <c r="Y4830">
        <v>34371</v>
      </c>
      <c r="Z4830">
        <v>1965780</v>
      </c>
      <c r="AA4830">
        <v>419085</v>
      </c>
      <c r="AB4830" t="str">
        <f>(VLOOKUP(SalesData[[#This Row],[Month Number]],Reference!C$5:E$16,2,FALSE))</f>
        <v>Feb</v>
      </c>
      <c r="AC4830">
        <f>MONTH(SalesData[[#This Row],[Date]])</f>
        <v>2</v>
      </c>
      <c r="AD4830">
        <f>Reference!F$4</f>
        <v>2026</v>
      </c>
      <c r="AE4830" t="str">
        <f>IF(OR(SalesData[[#This Row],[Day]]="Saturday",SalesData[[#This Row],[Day]]="Sunday"),"Weekend","Weekday")</f>
        <v>Weekday</v>
      </c>
      <c r="AF4830" s="5">
        <f>IF(SalesData[[#This Row],[Contracts Offered]]=0,0,SalesData[[#This Row],[Contracts Signed]]/SalesData[[#This Row],[Contracts Offered]])</f>
        <v>0.31690140845070425</v>
      </c>
      <c r="AG4830" s="5">
        <f>IF(SalesData[[#This Row],[Customers Visited]]=0,0,SalesData[[#This Row],[Test Drives]]/SalesData[[#This Row],[Customers Visited]])</f>
        <v>0.63291139240506333</v>
      </c>
      <c r="AH4830" s="5">
        <f>IF(SalesData[[#This Row],[Customers Visited]]=0,0,SalesData[[#This Row],[Contracts Signed]]/SalesData[[#This Row],[Customers Visited]])</f>
        <v>0.14240506329113925</v>
      </c>
      <c r="AI4830" s="6">
        <f>IF(SalesData[[#This Row],[Contracts Signed]]=0,0,SalesData[[#This Row],[Profit(€)]]/SalesData[[#This Row],[Contracts Signed]])</f>
        <v>9313</v>
      </c>
      <c r="AJ4830" s="5" t="str">
        <f>TRIM(CLEAN(SalesData[[#This Row],[Retailer]]))</f>
        <v>Leipzig Mobility</v>
      </c>
    </row>
    <row r="4831" spans="1:36" ht="14.25" hidden="1" x14ac:dyDescent="0.2">
      <c r="A4831" t="s">
        <v>6108</v>
      </c>
      <c r="B4831" s="1">
        <v>46061</v>
      </c>
      <c r="C4831" t="s">
        <v>121</v>
      </c>
      <c r="D4831" t="s">
        <v>41</v>
      </c>
      <c r="E4831" t="s">
        <v>42</v>
      </c>
      <c r="F4831" t="s">
        <v>27</v>
      </c>
      <c r="G4831" t="s">
        <v>28</v>
      </c>
      <c r="H4831" t="s">
        <v>29</v>
      </c>
      <c r="I4831" t="s">
        <v>56</v>
      </c>
      <c r="J4831" t="s">
        <v>57</v>
      </c>
      <c r="K4831" t="s">
        <v>78</v>
      </c>
      <c r="L4831" t="s">
        <v>46</v>
      </c>
      <c r="M4831" t="s">
        <v>34</v>
      </c>
      <c r="N4831" t="s">
        <v>48</v>
      </c>
      <c r="O4831" t="s">
        <v>70</v>
      </c>
      <c r="P4831" t="s">
        <v>58</v>
      </c>
      <c r="Q4831" t="s">
        <v>122</v>
      </c>
      <c r="R4831">
        <v>269</v>
      </c>
      <c r="S4831">
        <v>170</v>
      </c>
      <c r="T4831">
        <v>117</v>
      </c>
      <c r="U4831">
        <v>42</v>
      </c>
      <c r="V4831" t="s">
        <v>6827</v>
      </c>
      <c r="W4831">
        <v>43326</v>
      </c>
      <c r="X4831" t="s">
        <v>7476</v>
      </c>
      <c r="Y4831">
        <v>33344</v>
      </c>
      <c r="Z4831">
        <v>1819692</v>
      </c>
      <c r="AA4831">
        <v>419244</v>
      </c>
      <c r="AB4831" t="str">
        <f>(VLOOKUP(SalesData[[#This Row],[Month Number]],Reference!C$5:E$16,2,FALSE))</f>
        <v>Feb</v>
      </c>
      <c r="AC4831">
        <f>MONTH(SalesData[[#This Row],[Date]])</f>
        <v>2</v>
      </c>
      <c r="AD4831">
        <f>Reference!F$4</f>
        <v>2026</v>
      </c>
      <c r="AE4831" t="str">
        <f>IF(OR(SalesData[[#This Row],[Day]]="Saturday",SalesData[[#This Row],[Day]]="Sunday"),"Weekend","Weekday")</f>
        <v>Weekend</v>
      </c>
      <c r="AF4831" s="5">
        <f>IF(SalesData[[#This Row],[Contracts Offered]]=0,0,SalesData[[#This Row],[Contracts Signed]]/SalesData[[#This Row],[Contracts Offered]])</f>
        <v>0.35897435897435898</v>
      </c>
      <c r="AG4831" s="5">
        <f>IF(SalesData[[#This Row],[Customers Visited]]=0,0,SalesData[[#This Row],[Test Drives]]/SalesData[[#This Row],[Customers Visited]])</f>
        <v>0.63197026022304836</v>
      </c>
      <c r="AH4831" s="5">
        <f>IF(SalesData[[#This Row],[Customers Visited]]=0,0,SalesData[[#This Row],[Contracts Signed]]/SalesData[[#This Row],[Customers Visited]])</f>
        <v>0.15613382899628253</v>
      </c>
      <c r="AI4831" s="6">
        <f>IF(SalesData[[#This Row],[Contracts Signed]]=0,0,SalesData[[#This Row],[Profit(€)]]/SalesData[[#This Row],[Contracts Signed]])</f>
        <v>9982</v>
      </c>
      <c r="AJ4831" s="5" t="str">
        <f>TRIM(CLEAN(SalesData[[#This Row],[Retailer]]))</f>
        <v>Main Auto Hub</v>
      </c>
    </row>
    <row r="4832" spans="1:36" ht="14.25" hidden="1" x14ac:dyDescent="0.2">
      <c r="A4832" t="s">
        <v>6109</v>
      </c>
      <c r="B4832" s="1">
        <v>46080</v>
      </c>
      <c r="C4832" t="s">
        <v>53</v>
      </c>
      <c r="D4832" t="s">
        <v>54</v>
      </c>
      <c r="E4832" t="s">
        <v>26</v>
      </c>
      <c r="F4832" t="s">
        <v>127</v>
      </c>
      <c r="G4832" t="s">
        <v>128</v>
      </c>
      <c r="H4832" t="s">
        <v>103</v>
      </c>
      <c r="I4832" t="s">
        <v>104</v>
      </c>
      <c r="J4832" t="s">
        <v>7031</v>
      </c>
      <c r="K4832" t="s">
        <v>91</v>
      </c>
      <c r="L4832" t="s">
        <v>46</v>
      </c>
      <c r="M4832" t="s">
        <v>87</v>
      </c>
      <c r="N4832" t="s">
        <v>69</v>
      </c>
      <c r="O4832" t="s">
        <v>70</v>
      </c>
      <c r="P4832" t="s">
        <v>71</v>
      </c>
      <c r="Q4832" t="s">
        <v>172</v>
      </c>
      <c r="R4832">
        <v>383</v>
      </c>
      <c r="S4832">
        <v>172</v>
      </c>
      <c r="T4832">
        <v>111</v>
      </c>
      <c r="U4832">
        <v>27</v>
      </c>
      <c r="V4832" t="s">
        <v>2453</v>
      </c>
      <c r="W4832">
        <v>27552</v>
      </c>
      <c r="X4832" t="s">
        <v>3629</v>
      </c>
      <c r="Y4832">
        <v>24031</v>
      </c>
      <c r="Z4832">
        <v>743904</v>
      </c>
      <c r="AA4832">
        <v>95067</v>
      </c>
      <c r="AB4832" t="str">
        <f>(VLOOKUP(SalesData[[#This Row],[Month Number]],Reference!C$5:E$16,2,FALSE))</f>
        <v>Feb</v>
      </c>
      <c r="AC4832">
        <f>MONTH(SalesData[[#This Row],[Date]])</f>
        <v>2</v>
      </c>
      <c r="AD4832">
        <f>Reference!F$4</f>
        <v>2026</v>
      </c>
      <c r="AE4832" t="str">
        <f>IF(OR(SalesData[[#This Row],[Day]]="Saturday",SalesData[[#This Row],[Day]]="Sunday"),"Weekend","Weekday")</f>
        <v>Weekday</v>
      </c>
      <c r="AF4832" s="5">
        <f>IF(SalesData[[#This Row],[Contracts Offered]]=0,0,SalesData[[#This Row],[Contracts Signed]]/SalesData[[#This Row],[Contracts Offered]])</f>
        <v>0.24324324324324326</v>
      </c>
      <c r="AG4832" s="5">
        <f>IF(SalesData[[#This Row],[Customers Visited]]=0,0,SalesData[[#This Row],[Test Drives]]/SalesData[[#This Row],[Customers Visited]])</f>
        <v>0.44908616187989558</v>
      </c>
      <c r="AH4832" s="5">
        <f>IF(SalesData[[#This Row],[Customers Visited]]=0,0,SalesData[[#This Row],[Contracts Signed]]/SalesData[[#This Row],[Customers Visited]])</f>
        <v>7.0496083550913843E-2</v>
      </c>
      <c r="AI4832" s="6">
        <f>IF(SalesData[[#This Row],[Contracts Signed]]=0,0,SalesData[[#This Row],[Profit(€)]]/SalesData[[#This Row],[Contracts Signed]])</f>
        <v>3521</v>
      </c>
      <c r="AJ4832" s="5" t="str">
        <f>TRIM(CLEAN(SalesData[[#This Row],[Retailer]]))</f>
        <v>Rhein Auto Group</v>
      </c>
    </row>
    <row r="4833" spans="1:36" ht="14.25" hidden="1" x14ac:dyDescent="0.2">
      <c r="A4833" t="s">
        <v>6111</v>
      </c>
      <c r="B4833" s="1">
        <v>46067</v>
      </c>
      <c r="C4833" t="s">
        <v>121</v>
      </c>
      <c r="D4833" t="s">
        <v>151</v>
      </c>
      <c r="E4833" t="s">
        <v>42</v>
      </c>
      <c r="F4833" t="s">
        <v>83</v>
      </c>
      <c r="G4833" t="s">
        <v>84</v>
      </c>
      <c r="H4833" t="s">
        <v>85</v>
      </c>
      <c r="I4833" t="s">
        <v>116</v>
      </c>
      <c r="J4833" t="s">
        <v>117</v>
      </c>
      <c r="K4833" t="s">
        <v>32</v>
      </c>
      <c r="L4833" t="s">
        <v>67</v>
      </c>
      <c r="M4833" t="s">
        <v>68</v>
      </c>
      <c r="N4833" t="s">
        <v>48</v>
      </c>
      <c r="O4833" t="s">
        <v>36</v>
      </c>
      <c r="P4833" t="s">
        <v>49</v>
      </c>
      <c r="Q4833" t="s">
        <v>189</v>
      </c>
      <c r="R4833">
        <v>266</v>
      </c>
      <c r="S4833">
        <v>141</v>
      </c>
      <c r="T4833">
        <v>84</v>
      </c>
      <c r="U4833">
        <v>19</v>
      </c>
      <c r="V4833" t="s">
        <v>2831</v>
      </c>
      <c r="W4833">
        <v>22116</v>
      </c>
      <c r="X4833" t="s">
        <v>2604</v>
      </c>
      <c r="Y4833">
        <v>19842</v>
      </c>
      <c r="Z4833">
        <v>420204</v>
      </c>
      <c r="AA4833">
        <v>43206</v>
      </c>
      <c r="AB4833" t="str">
        <f>(VLOOKUP(SalesData[[#This Row],[Month Number]],Reference!C$5:E$16,2,FALSE))</f>
        <v>Feb</v>
      </c>
      <c r="AC4833">
        <f>MONTH(SalesData[[#This Row],[Date]])</f>
        <v>2</v>
      </c>
      <c r="AD4833">
        <f>Reference!F$4</f>
        <v>2026</v>
      </c>
      <c r="AE4833" t="str">
        <f>IF(OR(SalesData[[#This Row],[Day]]="Saturday",SalesData[[#This Row],[Day]]="Sunday"),"Weekend","Weekday")</f>
        <v>Weekend</v>
      </c>
      <c r="AF4833" s="5">
        <f>IF(SalesData[[#This Row],[Contracts Offered]]=0,0,SalesData[[#This Row],[Contracts Signed]]/SalesData[[#This Row],[Contracts Offered]])</f>
        <v>0.22619047619047619</v>
      </c>
      <c r="AG4833" s="5">
        <f>IF(SalesData[[#This Row],[Customers Visited]]=0,0,SalesData[[#This Row],[Test Drives]]/SalesData[[#This Row],[Customers Visited]])</f>
        <v>0.53007518796992481</v>
      </c>
      <c r="AH4833" s="5">
        <f>IF(SalesData[[#This Row],[Customers Visited]]=0,0,SalesData[[#This Row],[Contracts Signed]]/SalesData[[#This Row],[Customers Visited]])</f>
        <v>7.1428571428571425E-2</v>
      </c>
      <c r="AI4833" s="6">
        <f>IF(SalesData[[#This Row],[Contracts Signed]]=0,0,SalesData[[#This Row],[Profit(€)]]/SalesData[[#This Row],[Contracts Signed]])</f>
        <v>2274</v>
      </c>
      <c r="AJ4833" s="5" t="str">
        <f>TRIM(CLEAN(SalesData[[#This Row],[Retailer]]))</f>
        <v>Hannover Cars</v>
      </c>
    </row>
    <row r="4834" spans="1:36" ht="14.25" hidden="1" x14ac:dyDescent="0.2">
      <c r="A4834" t="s">
        <v>6113</v>
      </c>
      <c r="B4834" s="1">
        <v>46068</v>
      </c>
      <c r="C4834" t="s">
        <v>62</v>
      </c>
      <c r="D4834" t="s">
        <v>41</v>
      </c>
      <c r="E4834" t="s">
        <v>42</v>
      </c>
      <c r="F4834" t="s">
        <v>94</v>
      </c>
      <c r="G4834" t="s">
        <v>95</v>
      </c>
      <c r="H4834" t="s">
        <v>96</v>
      </c>
      <c r="I4834" t="s">
        <v>116</v>
      </c>
      <c r="J4834" t="s">
        <v>7090</v>
      </c>
      <c r="K4834" t="s">
        <v>91</v>
      </c>
      <c r="L4834" t="s">
        <v>46</v>
      </c>
      <c r="M4834" t="s">
        <v>47</v>
      </c>
      <c r="N4834" t="s">
        <v>69</v>
      </c>
      <c r="O4834" t="s">
        <v>70</v>
      </c>
      <c r="P4834" t="s">
        <v>71</v>
      </c>
      <c r="Q4834" t="s">
        <v>240</v>
      </c>
      <c r="R4834">
        <v>367</v>
      </c>
      <c r="S4834">
        <v>179</v>
      </c>
      <c r="T4834">
        <v>114</v>
      </c>
      <c r="U4834">
        <v>34</v>
      </c>
      <c r="V4834" t="s">
        <v>1040</v>
      </c>
      <c r="W4834">
        <v>20694</v>
      </c>
      <c r="X4834" t="s">
        <v>1272</v>
      </c>
      <c r="Y4834">
        <v>18490</v>
      </c>
      <c r="Z4834">
        <v>703596</v>
      </c>
      <c r="AA4834">
        <v>74936</v>
      </c>
      <c r="AB4834" t="str">
        <f>(VLOOKUP(SalesData[[#This Row],[Month Number]],Reference!C$5:E$16,2,FALSE))</f>
        <v>Feb</v>
      </c>
      <c r="AC4834">
        <f>MONTH(SalesData[[#This Row],[Date]])</f>
        <v>2</v>
      </c>
      <c r="AD4834">
        <f>Reference!F$4</f>
        <v>2026</v>
      </c>
      <c r="AE4834" t="str">
        <f>IF(OR(SalesData[[#This Row],[Day]]="Saturday",SalesData[[#This Row],[Day]]="Sunday"),"Weekend","Weekday")</f>
        <v>Weekend</v>
      </c>
      <c r="AF4834" s="5">
        <f>IF(SalesData[[#This Row],[Contracts Offered]]=0,0,SalesData[[#This Row],[Contracts Signed]]/SalesData[[#This Row],[Contracts Offered]])</f>
        <v>0.2982456140350877</v>
      </c>
      <c r="AG4834" s="5">
        <f>IF(SalesData[[#This Row],[Customers Visited]]=0,0,SalesData[[#This Row],[Test Drives]]/SalesData[[#This Row],[Customers Visited]])</f>
        <v>0.4877384196185286</v>
      </c>
      <c r="AH4834" s="5">
        <f>IF(SalesData[[#This Row],[Customers Visited]]=0,0,SalesData[[#This Row],[Contracts Signed]]/SalesData[[#This Row],[Customers Visited]])</f>
        <v>9.264305177111716E-2</v>
      </c>
      <c r="AI4834" s="6">
        <f>IF(SalesData[[#This Row],[Contracts Signed]]=0,0,SalesData[[#This Row],[Profit(€)]]/SalesData[[#This Row],[Contracts Signed]])</f>
        <v>2204</v>
      </c>
      <c r="AJ4834" s="5" t="str">
        <f>TRIM(CLEAN(SalesData[[#This Row],[Retailer]]))</f>
        <v>Bavaria Motors</v>
      </c>
    </row>
    <row r="4835" spans="1:36" ht="14.25" hidden="1" x14ac:dyDescent="0.2">
      <c r="A4835" t="s">
        <v>6114</v>
      </c>
      <c r="B4835" s="1">
        <v>46066</v>
      </c>
      <c r="C4835" t="s">
        <v>121</v>
      </c>
      <c r="D4835" t="s">
        <v>54</v>
      </c>
      <c r="E4835" t="s">
        <v>26</v>
      </c>
      <c r="F4835" t="s">
        <v>83</v>
      </c>
      <c r="G4835" t="s">
        <v>84</v>
      </c>
      <c r="H4835" t="s">
        <v>85</v>
      </c>
      <c r="I4835" t="s">
        <v>104</v>
      </c>
      <c r="J4835" t="s">
        <v>105</v>
      </c>
      <c r="K4835" t="s">
        <v>91</v>
      </c>
      <c r="L4835" t="s">
        <v>33</v>
      </c>
      <c r="M4835" t="s">
        <v>47</v>
      </c>
      <c r="N4835" t="s">
        <v>69</v>
      </c>
      <c r="O4835" t="s">
        <v>70</v>
      </c>
      <c r="P4835" t="s">
        <v>58</v>
      </c>
      <c r="Q4835" t="s">
        <v>122</v>
      </c>
      <c r="R4835">
        <v>476</v>
      </c>
      <c r="S4835">
        <v>258</v>
      </c>
      <c r="T4835">
        <v>161</v>
      </c>
      <c r="U4835">
        <v>45</v>
      </c>
      <c r="V4835" t="s">
        <v>652</v>
      </c>
      <c r="W4835">
        <v>31698</v>
      </c>
      <c r="X4835" t="s">
        <v>2159</v>
      </c>
      <c r="Y4835">
        <v>28438</v>
      </c>
      <c r="Z4835">
        <v>1426410</v>
      </c>
      <c r="AA4835">
        <v>146700</v>
      </c>
      <c r="AB4835" t="str">
        <f>(VLOOKUP(SalesData[[#This Row],[Month Number]],Reference!C$5:E$16,2,FALSE))</f>
        <v>Feb</v>
      </c>
      <c r="AC4835">
        <f>MONTH(SalesData[[#This Row],[Date]])</f>
        <v>2</v>
      </c>
      <c r="AD4835">
        <f>Reference!F$4</f>
        <v>2026</v>
      </c>
      <c r="AE4835" t="str">
        <f>IF(OR(SalesData[[#This Row],[Day]]="Saturday",SalesData[[#This Row],[Day]]="Sunday"),"Weekend","Weekday")</f>
        <v>Weekday</v>
      </c>
      <c r="AF4835" s="5">
        <f>IF(SalesData[[#This Row],[Contracts Offered]]=0,0,SalesData[[#This Row],[Contracts Signed]]/SalesData[[#This Row],[Contracts Offered]])</f>
        <v>0.27950310559006208</v>
      </c>
      <c r="AG4835" s="5">
        <f>IF(SalesData[[#This Row],[Customers Visited]]=0,0,SalesData[[#This Row],[Test Drives]]/SalesData[[#This Row],[Customers Visited]])</f>
        <v>0.54201680672268904</v>
      </c>
      <c r="AH4835" s="5">
        <f>IF(SalesData[[#This Row],[Customers Visited]]=0,0,SalesData[[#This Row],[Contracts Signed]]/SalesData[[#This Row],[Customers Visited]])</f>
        <v>9.4537815126050417E-2</v>
      </c>
      <c r="AI4835" s="6">
        <f>IF(SalesData[[#This Row],[Contracts Signed]]=0,0,SalesData[[#This Row],[Profit(€)]]/SalesData[[#This Row],[Contracts Signed]])</f>
        <v>3260</v>
      </c>
      <c r="AJ4835" s="5" t="str">
        <f>TRIM(CLEAN(SalesData[[#This Row],[Retailer]]))</f>
        <v>Hannover Cars</v>
      </c>
    </row>
    <row r="4836" spans="1:36" ht="14.25" hidden="1" x14ac:dyDescent="0.2">
      <c r="A4836" t="s">
        <v>6115</v>
      </c>
      <c r="B4836" s="1">
        <v>46060</v>
      </c>
      <c r="C4836" t="s">
        <v>24</v>
      </c>
      <c r="D4836" t="s">
        <v>151</v>
      </c>
      <c r="E4836" t="s">
        <v>42</v>
      </c>
      <c r="F4836" t="s">
        <v>27</v>
      </c>
      <c r="G4836" t="s">
        <v>28</v>
      </c>
      <c r="H4836" t="s">
        <v>29</v>
      </c>
      <c r="I4836" t="s">
        <v>116</v>
      </c>
      <c r="J4836" t="s">
        <v>117</v>
      </c>
      <c r="K4836" t="s">
        <v>66</v>
      </c>
      <c r="L4836" t="s">
        <v>67</v>
      </c>
      <c r="M4836" t="s">
        <v>34</v>
      </c>
      <c r="N4836" t="s">
        <v>48</v>
      </c>
      <c r="O4836" t="s">
        <v>70</v>
      </c>
      <c r="P4836" t="s">
        <v>49</v>
      </c>
      <c r="Q4836" t="s">
        <v>38</v>
      </c>
      <c r="R4836">
        <v>268</v>
      </c>
      <c r="S4836">
        <v>105</v>
      </c>
      <c r="T4836">
        <v>62</v>
      </c>
      <c r="U4836">
        <v>11</v>
      </c>
      <c r="V4836" t="s">
        <v>2056</v>
      </c>
      <c r="W4836">
        <v>20141</v>
      </c>
      <c r="X4836" t="s">
        <v>613</v>
      </c>
      <c r="Y4836">
        <v>18070</v>
      </c>
      <c r="Z4836">
        <v>221551</v>
      </c>
      <c r="AA4836">
        <v>22781</v>
      </c>
      <c r="AB4836" t="str">
        <f>(VLOOKUP(SalesData[[#This Row],[Month Number]],Reference!C$5:E$16,2,FALSE))</f>
        <v>Feb</v>
      </c>
      <c r="AC4836">
        <f>MONTH(SalesData[[#This Row],[Date]])</f>
        <v>2</v>
      </c>
      <c r="AD4836">
        <f>Reference!F$4</f>
        <v>2026</v>
      </c>
      <c r="AE4836" t="str">
        <f>IF(OR(SalesData[[#This Row],[Day]]="Saturday",SalesData[[#This Row],[Day]]="Sunday"),"Weekend","Weekday")</f>
        <v>Weekend</v>
      </c>
      <c r="AF4836" s="5">
        <f>IF(SalesData[[#This Row],[Contracts Offered]]=0,0,SalesData[[#This Row],[Contracts Signed]]/SalesData[[#This Row],[Contracts Offered]])</f>
        <v>0.17741935483870969</v>
      </c>
      <c r="AG4836" s="5">
        <f>IF(SalesData[[#This Row],[Customers Visited]]=0,0,SalesData[[#This Row],[Test Drives]]/SalesData[[#This Row],[Customers Visited]])</f>
        <v>0.39179104477611942</v>
      </c>
      <c r="AH4836" s="5">
        <f>IF(SalesData[[#This Row],[Customers Visited]]=0,0,SalesData[[#This Row],[Contracts Signed]]/SalesData[[#This Row],[Customers Visited]])</f>
        <v>4.1044776119402986E-2</v>
      </c>
      <c r="AI4836" s="6">
        <f>IF(SalesData[[#This Row],[Contracts Signed]]=0,0,SalesData[[#This Row],[Profit(€)]]/SalesData[[#This Row],[Contracts Signed]])</f>
        <v>2071</v>
      </c>
      <c r="AJ4836" s="5" t="str">
        <f>TRIM(CLEAN(SalesData[[#This Row],[Retailer]]))</f>
        <v>Main Auto Hub</v>
      </c>
    </row>
    <row r="4837" spans="1:36" ht="14.25" hidden="1" x14ac:dyDescent="0.2">
      <c r="A4837" t="s">
        <v>6116</v>
      </c>
      <c r="B4837" s="1">
        <v>46065</v>
      </c>
      <c r="C4837" t="s">
        <v>121</v>
      </c>
      <c r="D4837" t="s">
        <v>100</v>
      </c>
      <c r="E4837" t="s">
        <v>26</v>
      </c>
      <c r="F4837" t="s">
        <v>43</v>
      </c>
      <c r="G4837" t="s">
        <v>44</v>
      </c>
      <c r="H4837" t="s">
        <v>45</v>
      </c>
      <c r="I4837" t="s">
        <v>104</v>
      </c>
      <c r="J4837" t="s">
        <v>105</v>
      </c>
      <c r="K4837" t="s">
        <v>78</v>
      </c>
      <c r="L4837" t="s">
        <v>33</v>
      </c>
      <c r="M4837" t="s">
        <v>34</v>
      </c>
      <c r="N4837" t="s">
        <v>69</v>
      </c>
      <c r="O4837" t="s">
        <v>36</v>
      </c>
      <c r="P4837" t="s">
        <v>58</v>
      </c>
      <c r="Q4837" t="s">
        <v>59</v>
      </c>
      <c r="R4837">
        <v>350</v>
      </c>
      <c r="S4837">
        <v>192</v>
      </c>
      <c r="T4837">
        <v>123</v>
      </c>
      <c r="U4837">
        <v>33</v>
      </c>
      <c r="V4837" t="s">
        <v>2987</v>
      </c>
      <c r="W4837">
        <v>26562</v>
      </c>
      <c r="X4837" t="s">
        <v>1483</v>
      </c>
      <c r="Y4837">
        <v>23557</v>
      </c>
      <c r="Z4837">
        <v>876546</v>
      </c>
      <c r="AA4837">
        <v>99165</v>
      </c>
      <c r="AB4837" t="str">
        <f>(VLOOKUP(SalesData[[#This Row],[Month Number]],Reference!C$5:E$16,2,FALSE))</f>
        <v>Feb</v>
      </c>
      <c r="AC4837">
        <f>MONTH(SalesData[[#This Row],[Date]])</f>
        <v>2</v>
      </c>
      <c r="AD4837">
        <f>Reference!F$4</f>
        <v>2026</v>
      </c>
      <c r="AE4837" t="str">
        <f>IF(OR(SalesData[[#This Row],[Day]]="Saturday",SalesData[[#This Row],[Day]]="Sunday"),"Weekend","Weekday")</f>
        <v>Weekday</v>
      </c>
      <c r="AF4837" s="5">
        <f>IF(SalesData[[#This Row],[Contracts Offered]]=0,0,SalesData[[#This Row],[Contracts Signed]]/SalesData[[#This Row],[Contracts Offered]])</f>
        <v>0.26829268292682928</v>
      </c>
      <c r="AG4837" s="5">
        <f>IF(SalesData[[#This Row],[Customers Visited]]=0,0,SalesData[[#This Row],[Test Drives]]/SalesData[[#This Row],[Customers Visited]])</f>
        <v>0.5485714285714286</v>
      </c>
      <c r="AH4837" s="5">
        <f>IF(SalesData[[#This Row],[Customers Visited]]=0,0,SalesData[[#This Row],[Contracts Signed]]/SalesData[[#This Row],[Customers Visited]])</f>
        <v>9.4285714285714292E-2</v>
      </c>
      <c r="AI4837" s="6">
        <f>IF(SalesData[[#This Row],[Contracts Signed]]=0,0,SalesData[[#This Row],[Profit(€)]]/SalesData[[#This Row],[Contracts Signed]])</f>
        <v>3005</v>
      </c>
      <c r="AJ4837" s="5" t="str">
        <f>TRIM(CLEAN(SalesData[[#This Row],[Retailer]]))</f>
        <v>Saxon Wheels</v>
      </c>
    </row>
    <row r="4838" spans="1:36" ht="14.25" hidden="1" x14ac:dyDescent="0.2">
      <c r="A4838" t="s">
        <v>6117</v>
      </c>
      <c r="B4838" s="1">
        <v>46068</v>
      </c>
      <c r="C4838" t="s">
        <v>62</v>
      </c>
      <c r="D4838" t="s">
        <v>41</v>
      </c>
      <c r="E4838" t="s">
        <v>42</v>
      </c>
      <c r="F4838" t="s">
        <v>7649</v>
      </c>
      <c r="G4838" t="s">
        <v>55</v>
      </c>
      <c r="H4838" t="s">
        <v>55</v>
      </c>
      <c r="I4838" t="s">
        <v>56</v>
      </c>
      <c r="J4838" t="s">
        <v>137</v>
      </c>
      <c r="K4838" t="s">
        <v>78</v>
      </c>
      <c r="L4838" t="s">
        <v>46</v>
      </c>
      <c r="M4838" t="s">
        <v>34</v>
      </c>
      <c r="N4838" t="s">
        <v>35</v>
      </c>
      <c r="O4838" t="s">
        <v>36</v>
      </c>
      <c r="P4838" t="s">
        <v>58</v>
      </c>
      <c r="Q4838" t="s">
        <v>167</v>
      </c>
      <c r="R4838">
        <v>255</v>
      </c>
      <c r="S4838">
        <v>130</v>
      </c>
      <c r="T4838">
        <v>99</v>
      </c>
      <c r="U4838">
        <v>33</v>
      </c>
      <c r="V4838" t="s">
        <v>6967</v>
      </c>
      <c r="W4838">
        <v>51510</v>
      </c>
      <c r="X4838" t="s">
        <v>2155</v>
      </c>
      <c r="Y4838">
        <v>40107</v>
      </c>
      <c r="Z4838">
        <v>1699830</v>
      </c>
      <c r="AA4838">
        <v>376299</v>
      </c>
      <c r="AB4838" t="str">
        <f>(VLOOKUP(SalesData[[#This Row],[Month Number]],Reference!C$5:E$16,2,FALSE))</f>
        <v>Feb</v>
      </c>
      <c r="AC4838">
        <f>MONTH(SalesData[[#This Row],[Date]])</f>
        <v>2</v>
      </c>
      <c r="AD4838">
        <f>Reference!F$4</f>
        <v>2026</v>
      </c>
      <c r="AE4838" t="str">
        <f>IF(OR(SalesData[[#This Row],[Day]]="Saturday",SalesData[[#This Row],[Day]]="Sunday"),"Weekend","Weekday")</f>
        <v>Weekend</v>
      </c>
      <c r="AF4838" s="5">
        <f>IF(SalesData[[#This Row],[Contracts Offered]]=0,0,SalesData[[#This Row],[Contracts Signed]]/SalesData[[#This Row],[Contracts Offered]])</f>
        <v>0.33333333333333331</v>
      </c>
      <c r="AG4838" s="5">
        <f>IF(SalesData[[#This Row],[Customers Visited]]=0,0,SalesData[[#This Row],[Test Drives]]/SalesData[[#This Row],[Customers Visited]])</f>
        <v>0.50980392156862742</v>
      </c>
      <c r="AH4838" s="5">
        <f>IF(SalesData[[#This Row],[Customers Visited]]=0,0,SalesData[[#This Row],[Contracts Signed]]/SalesData[[#This Row],[Customers Visited]])</f>
        <v>0.12941176470588237</v>
      </c>
      <c r="AI4838" s="6">
        <f>IF(SalesData[[#This Row],[Contracts Signed]]=0,0,SalesData[[#This Row],[Profit(€)]]/SalesData[[#This Row],[Contracts Signed]])</f>
        <v>11403</v>
      </c>
      <c r="AJ4838" s="5" t="str">
        <f>TRIM(CLEAN(SalesData[[#This Row],[Retailer]]))</f>
        <v>Autohaus Berlin</v>
      </c>
    </row>
    <row r="4839" spans="1:36" ht="14.25" x14ac:dyDescent="0.2">
      <c r="A4839" t="s">
        <v>6118</v>
      </c>
      <c r="B4839" s="1">
        <v>46076</v>
      </c>
      <c r="C4839" t="s">
        <v>53</v>
      </c>
      <c r="D4839" t="s">
        <v>25</v>
      </c>
      <c r="E4839" t="s">
        <v>26</v>
      </c>
      <c r="F4839" t="s">
        <v>83</v>
      </c>
      <c r="G4839" t="s">
        <v>84</v>
      </c>
      <c r="H4839" t="s">
        <v>85</v>
      </c>
      <c r="I4839" t="s">
        <v>30</v>
      </c>
      <c r="J4839" t="s">
        <v>31</v>
      </c>
      <c r="K4839" t="s">
        <v>66</v>
      </c>
      <c r="L4839" t="s">
        <v>46</v>
      </c>
      <c r="M4839" t="s">
        <v>47</v>
      </c>
      <c r="N4839" t="s">
        <v>35</v>
      </c>
      <c r="O4839" t="s">
        <v>70</v>
      </c>
      <c r="P4839" t="s">
        <v>71</v>
      </c>
      <c r="Q4839" t="s">
        <v>118</v>
      </c>
      <c r="R4839">
        <v>239</v>
      </c>
      <c r="S4839">
        <v>127</v>
      </c>
      <c r="T4839">
        <v>102</v>
      </c>
      <c r="U4839">
        <v>35</v>
      </c>
      <c r="V4839" t="s">
        <v>6385</v>
      </c>
      <c r="W4839">
        <v>59662</v>
      </c>
      <c r="X4839" t="s">
        <v>7053</v>
      </c>
      <c r="Y4839">
        <v>46231</v>
      </c>
      <c r="Z4839">
        <v>2088170</v>
      </c>
      <c r="AA4839">
        <v>470085</v>
      </c>
      <c r="AB4839" t="str">
        <f>(VLOOKUP(SalesData[[#This Row],[Month Number]],Reference!C$5:E$16,2,FALSE))</f>
        <v>Feb</v>
      </c>
      <c r="AC4839">
        <f>MONTH(SalesData[[#This Row],[Date]])</f>
        <v>2</v>
      </c>
      <c r="AD4839">
        <f>Reference!F$4</f>
        <v>2026</v>
      </c>
      <c r="AE4839" t="str">
        <f>IF(OR(SalesData[[#This Row],[Day]]="Saturday",SalesData[[#This Row],[Day]]="Sunday"),"Weekend","Weekday")</f>
        <v>Weekday</v>
      </c>
      <c r="AF4839" s="5">
        <f>IF(SalesData[[#This Row],[Contracts Offered]]=0,0,SalesData[[#This Row],[Contracts Signed]]/SalesData[[#This Row],[Contracts Offered]])</f>
        <v>0.34313725490196079</v>
      </c>
      <c r="AG4839" s="5">
        <f>IF(SalesData[[#This Row],[Customers Visited]]=0,0,SalesData[[#This Row],[Test Drives]]/SalesData[[#This Row],[Customers Visited]])</f>
        <v>0.53138075313807531</v>
      </c>
      <c r="AH4839" s="5">
        <f>IF(SalesData[[#This Row],[Customers Visited]]=0,0,SalesData[[#This Row],[Contracts Signed]]/SalesData[[#This Row],[Customers Visited]])</f>
        <v>0.14644351464435146</v>
      </c>
      <c r="AI4839" s="6">
        <f>IF(SalesData[[#This Row],[Contracts Signed]]=0,0,SalesData[[#This Row],[Profit(€)]]/SalesData[[#This Row],[Contracts Signed]])</f>
        <v>13431</v>
      </c>
      <c r="AJ4839" s="5" t="str">
        <f>TRIM(CLEAN(SalesData[[#This Row],[Retailer]]))</f>
        <v>Hannover Cars</v>
      </c>
    </row>
    <row r="4840" spans="1:36" ht="14.25" hidden="1" x14ac:dyDescent="0.2">
      <c r="A4840" t="s">
        <v>6119</v>
      </c>
      <c r="B4840" s="1">
        <v>46065</v>
      </c>
      <c r="C4840" t="s">
        <v>121</v>
      </c>
      <c r="D4840" t="s">
        <v>100</v>
      </c>
      <c r="E4840" t="s">
        <v>26</v>
      </c>
      <c r="F4840" t="s">
        <v>7649</v>
      </c>
      <c r="G4840" t="s">
        <v>55</v>
      </c>
      <c r="H4840" t="s">
        <v>55</v>
      </c>
      <c r="I4840" t="s">
        <v>116</v>
      </c>
      <c r="J4840" t="s">
        <v>7090</v>
      </c>
      <c r="K4840" t="s">
        <v>32</v>
      </c>
      <c r="L4840" t="s">
        <v>46</v>
      </c>
      <c r="M4840" t="s">
        <v>47</v>
      </c>
      <c r="N4840" t="s">
        <v>48</v>
      </c>
      <c r="O4840" t="s">
        <v>36</v>
      </c>
      <c r="P4840" t="s">
        <v>58</v>
      </c>
      <c r="Q4840" t="s">
        <v>204</v>
      </c>
      <c r="R4840">
        <v>430</v>
      </c>
      <c r="S4840">
        <v>209</v>
      </c>
      <c r="T4840">
        <v>142</v>
      </c>
      <c r="U4840">
        <v>48</v>
      </c>
      <c r="V4840" t="s">
        <v>6650</v>
      </c>
      <c r="W4840">
        <v>25424</v>
      </c>
      <c r="X4840" t="s">
        <v>7466</v>
      </c>
      <c r="Y4840">
        <v>23541</v>
      </c>
      <c r="Z4840">
        <v>1220352</v>
      </c>
      <c r="AA4840">
        <v>90384</v>
      </c>
      <c r="AB4840" t="str">
        <f>(VLOOKUP(SalesData[[#This Row],[Month Number]],Reference!C$5:E$16,2,FALSE))</f>
        <v>Feb</v>
      </c>
      <c r="AC4840">
        <f>MONTH(SalesData[[#This Row],[Date]])</f>
        <v>2</v>
      </c>
      <c r="AD4840">
        <f>Reference!F$4</f>
        <v>2026</v>
      </c>
      <c r="AE4840" t="str">
        <f>IF(OR(SalesData[[#This Row],[Day]]="Saturday",SalesData[[#This Row],[Day]]="Sunday"),"Weekend","Weekday")</f>
        <v>Weekday</v>
      </c>
      <c r="AF4840" s="5">
        <f>IF(SalesData[[#This Row],[Contracts Offered]]=0,0,SalesData[[#This Row],[Contracts Signed]]/SalesData[[#This Row],[Contracts Offered]])</f>
        <v>0.3380281690140845</v>
      </c>
      <c r="AG4840" s="5">
        <f>IF(SalesData[[#This Row],[Customers Visited]]=0,0,SalesData[[#This Row],[Test Drives]]/SalesData[[#This Row],[Customers Visited]])</f>
        <v>0.48604651162790696</v>
      </c>
      <c r="AH4840" s="5">
        <f>IF(SalesData[[#This Row],[Customers Visited]]=0,0,SalesData[[#This Row],[Contracts Signed]]/SalesData[[#This Row],[Customers Visited]])</f>
        <v>0.11162790697674418</v>
      </c>
      <c r="AI4840" s="6">
        <f>IF(SalesData[[#This Row],[Contracts Signed]]=0,0,SalesData[[#This Row],[Profit(€)]]/SalesData[[#This Row],[Contracts Signed]])</f>
        <v>1883</v>
      </c>
      <c r="AJ4840" s="5" t="str">
        <f>TRIM(CLEAN(SalesData[[#This Row],[Retailer]]))</f>
        <v>Autohaus Berlin</v>
      </c>
    </row>
    <row r="4841" spans="1:36" ht="14.25" hidden="1" x14ac:dyDescent="0.2">
      <c r="A4841" t="s">
        <v>6120</v>
      </c>
      <c r="B4841" s="1">
        <v>46068</v>
      </c>
      <c r="C4841" t="s">
        <v>62</v>
      </c>
      <c r="D4841" t="s">
        <v>41</v>
      </c>
      <c r="E4841" t="s">
        <v>42</v>
      </c>
      <c r="F4841" t="s">
        <v>94</v>
      </c>
      <c r="G4841" t="s">
        <v>95</v>
      </c>
      <c r="H4841" t="s">
        <v>96</v>
      </c>
      <c r="I4841" t="s">
        <v>116</v>
      </c>
      <c r="J4841" t="s">
        <v>203</v>
      </c>
      <c r="K4841" t="s">
        <v>91</v>
      </c>
      <c r="L4841" t="s">
        <v>67</v>
      </c>
      <c r="M4841" t="s">
        <v>87</v>
      </c>
      <c r="N4841" t="s">
        <v>35</v>
      </c>
      <c r="O4841" t="s">
        <v>70</v>
      </c>
      <c r="P4841" t="s">
        <v>71</v>
      </c>
      <c r="Q4841" t="s">
        <v>169</v>
      </c>
      <c r="R4841">
        <v>353</v>
      </c>
      <c r="S4841">
        <v>166</v>
      </c>
      <c r="T4841">
        <v>113</v>
      </c>
      <c r="U4841">
        <v>29</v>
      </c>
      <c r="V4841" t="s">
        <v>4840</v>
      </c>
      <c r="W4841">
        <v>26096</v>
      </c>
      <c r="X4841" t="s">
        <v>1124</v>
      </c>
      <c r="Y4841">
        <v>24242</v>
      </c>
      <c r="Z4841">
        <v>756784</v>
      </c>
      <c r="AA4841">
        <v>53766</v>
      </c>
      <c r="AB4841" t="str">
        <f>(VLOOKUP(SalesData[[#This Row],[Month Number]],Reference!C$5:E$16,2,FALSE))</f>
        <v>Feb</v>
      </c>
      <c r="AC4841">
        <f>MONTH(SalesData[[#This Row],[Date]])</f>
        <v>2</v>
      </c>
      <c r="AD4841">
        <f>Reference!F$4</f>
        <v>2026</v>
      </c>
      <c r="AE4841" t="str">
        <f>IF(OR(SalesData[[#This Row],[Day]]="Saturday",SalesData[[#This Row],[Day]]="Sunday"),"Weekend","Weekday")</f>
        <v>Weekend</v>
      </c>
      <c r="AF4841" s="5">
        <f>IF(SalesData[[#This Row],[Contracts Offered]]=0,0,SalesData[[#This Row],[Contracts Signed]]/SalesData[[#This Row],[Contracts Offered]])</f>
        <v>0.25663716814159293</v>
      </c>
      <c r="AG4841" s="5">
        <f>IF(SalesData[[#This Row],[Customers Visited]]=0,0,SalesData[[#This Row],[Test Drives]]/SalesData[[#This Row],[Customers Visited]])</f>
        <v>0.47025495750708213</v>
      </c>
      <c r="AH4841" s="5">
        <f>IF(SalesData[[#This Row],[Customers Visited]]=0,0,SalesData[[#This Row],[Contracts Signed]]/SalesData[[#This Row],[Customers Visited]])</f>
        <v>8.2152974504249299E-2</v>
      </c>
      <c r="AI4841" s="6">
        <f>IF(SalesData[[#This Row],[Contracts Signed]]=0,0,SalesData[[#This Row],[Profit(€)]]/SalesData[[#This Row],[Contracts Signed]])</f>
        <v>1854</v>
      </c>
      <c r="AJ4841" s="5" t="str">
        <f>TRIM(CLEAN(SalesData[[#This Row],[Retailer]]))</f>
        <v>Bavaria Motors</v>
      </c>
    </row>
    <row r="4842" spans="1:36" ht="14.25" x14ac:dyDescent="0.2">
      <c r="A4842" t="s">
        <v>6121</v>
      </c>
      <c r="B4842" s="1">
        <v>46079</v>
      </c>
      <c r="C4842" t="s">
        <v>53</v>
      </c>
      <c r="D4842" t="s">
        <v>100</v>
      </c>
      <c r="E4842" t="s">
        <v>26</v>
      </c>
      <c r="F4842" t="s">
        <v>7649</v>
      </c>
      <c r="G4842" t="s">
        <v>55</v>
      </c>
      <c r="H4842" t="s">
        <v>55</v>
      </c>
      <c r="I4842" t="s">
        <v>30</v>
      </c>
      <c r="J4842" t="s">
        <v>7075</v>
      </c>
      <c r="K4842" t="s">
        <v>32</v>
      </c>
      <c r="L4842" t="s">
        <v>33</v>
      </c>
      <c r="M4842" t="s">
        <v>68</v>
      </c>
      <c r="N4842" t="s">
        <v>48</v>
      </c>
      <c r="O4842" t="s">
        <v>36</v>
      </c>
      <c r="P4842" t="s">
        <v>58</v>
      </c>
      <c r="Q4842" t="s">
        <v>106</v>
      </c>
      <c r="R4842">
        <v>278</v>
      </c>
      <c r="S4842">
        <v>131</v>
      </c>
      <c r="T4842">
        <v>92</v>
      </c>
      <c r="U4842">
        <v>43</v>
      </c>
      <c r="V4842" t="s">
        <v>7590</v>
      </c>
      <c r="W4842">
        <v>68191</v>
      </c>
      <c r="X4842" t="s">
        <v>2524</v>
      </c>
      <c r="Y4842">
        <v>52189</v>
      </c>
      <c r="Z4842">
        <v>2932213</v>
      </c>
      <c r="AA4842">
        <v>688086</v>
      </c>
      <c r="AB4842" t="str">
        <f>(VLOOKUP(SalesData[[#This Row],[Month Number]],Reference!C$5:E$16,2,FALSE))</f>
        <v>Feb</v>
      </c>
      <c r="AC4842">
        <f>MONTH(SalesData[[#This Row],[Date]])</f>
        <v>2</v>
      </c>
      <c r="AD4842">
        <f>Reference!F$4</f>
        <v>2026</v>
      </c>
      <c r="AE4842" t="str">
        <f>IF(OR(SalesData[[#This Row],[Day]]="Saturday",SalesData[[#This Row],[Day]]="Sunday"),"Weekend","Weekday")</f>
        <v>Weekday</v>
      </c>
      <c r="AF4842" s="5">
        <f>IF(SalesData[[#This Row],[Contracts Offered]]=0,0,SalesData[[#This Row],[Contracts Signed]]/SalesData[[#This Row],[Contracts Offered]])</f>
        <v>0.46739130434782611</v>
      </c>
      <c r="AG4842" s="5">
        <f>IF(SalesData[[#This Row],[Customers Visited]]=0,0,SalesData[[#This Row],[Test Drives]]/SalesData[[#This Row],[Customers Visited]])</f>
        <v>0.47122302158273383</v>
      </c>
      <c r="AH4842" s="5">
        <f>IF(SalesData[[#This Row],[Customers Visited]]=0,0,SalesData[[#This Row],[Contracts Signed]]/SalesData[[#This Row],[Customers Visited]])</f>
        <v>0.15467625899280577</v>
      </c>
      <c r="AI4842" s="6">
        <f>IF(SalesData[[#This Row],[Contracts Signed]]=0,0,SalesData[[#This Row],[Profit(€)]]/SalesData[[#This Row],[Contracts Signed]])</f>
        <v>16002</v>
      </c>
      <c r="AJ4842" s="5" t="str">
        <f>TRIM(CLEAN(SalesData[[#This Row],[Retailer]]))</f>
        <v>Autohaus Berlin</v>
      </c>
    </row>
    <row r="4843" spans="1:36" ht="14.25" hidden="1" x14ac:dyDescent="0.2">
      <c r="A4843" t="s">
        <v>6122</v>
      </c>
      <c r="B4843" s="1">
        <v>46060</v>
      </c>
      <c r="C4843" t="s">
        <v>24</v>
      </c>
      <c r="D4843" t="s">
        <v>151</v>
      </c>
      <c r="E4843" t="s">
        <v>42</v>
      </c>
      <c r="F4843" t="s">
        <v>43</v>
      </c>
      <c r="G4843" t="s">
        <v>44</v>
      </c>
      <c r="H4843" t="s">
        <v>45</v>
      </c>
      <c r="I4843" t="s">
        <v>116</v>
      </c>
      <c r="J4843" t="s">
        <v>117</v>
      </c>
      <c r="K4843" t="s">
        <v>78</v>
      </c>
      <c r="L4843" t="s">
        <v>67</v>
      </c>
      <c r="M4843" t="s">
        <v>47</v>
      </c>
      <c r="N4843" t="s">
        <v>35</v>
      </c>
      <c r="O4843" t="s">
        <v>36</v>
      </c>
      <c r="P4843" t="s">
        <v>37</v>
      </c>
      <c r="Q4843" t="s">
        <v>38</v>
      </c>
      <c r="R4843">
        <v>356</v>
      </c>
      <c r="S4843">
        <v>188</v>
      </c>
      <c r="T4843">
        <v>130</v>
      </c>
      <c r="U4843">
        <v>26</v>
      </c>
      <c r="V4843" t="s">
        <v>311</v>
      </c>
      <c r="W4843">
        <v>25014</v>
      </c>
      <c r="X4843" t="s">
        <v>791</v>
      </c>
      <c r="Y4843">
        <v>23230</v>
      </c>
      <c r="Z4843">
        <v>650364</v>
      </c>
      <c r="AA4843">
        <v>46384</v>
      </c>
      <c r="AB4843" t="str">
        <f>(VLOOKUP(SalesData[[#This Row],[Month Number]],Reference!C$5:E$16,2,FALSE))</f>
        <v>Feb</v>
      </c>
      <c r="AC4843">
        <f>MONTH(SalesData[[#This Row],[Date]])</f>
        <v>2</v>
      </c>
      <c r="AD4843">
        <f>Reference!F$4</f>
        <v>2026</v>
      </c>
      <c r="AE4843" t="str">
        <f>IF(OR(SalesData[[#This Row],[Day]]="Saturday",SalesData[[#This Row],[Day]]="Sunday"),"Weekend","Weekday")</f>
        <v>Weekend</v>
      </c>
      <c r="AF4843" s="5">
        <f>IF(SalesData[[#This Row],[Contracts Offered]]=0,0,SalesData[[#This Row],[Contracts Signed]]/SalesData[[#This Row],[Contracts Offered]])</f>
        <v>0.2</v>
      </c>
      <c r="AG4843" s="5">
        <f>IF(SalesData[[#This Row],[Customers Visited]]=0,0,SalesData[[#This Row],[Test Drives]]/SalesData[[#This Row],[Customers Visited]])</f>
        <v>0.5280898876404494</v>
      </c>
      <c r="AH4843" s="5">
        <f>IF(SalesData[[#This Row],[Customers Visited]]=0,0,SalesData[[#This Row],[Contracts Signed]]/SalesData[[#This Row],[Customers Visited]])</f>
        <v>7.3033707865168537E-2</v>
      </c>
      <c r="AI4843" s="6">
        <f>IF(SalesData[[#This Row],[Contracts Signed]]=0,0,SalesData[[#This Row],[Profit(€)]]/SalesData[[#This Row],[Contracts Signed]])</f>
        <v>1784</v>
      </c>
      <c r="AJ4843" s="5" t="str">
        <f>TRIM(CLEAN(SalesData[[#This Row],[Retailer]]))</f>
        <v>Saxon Wheels</v>
      </c>
    </row>
    <row r="4844" spans="1:36" ht="14.25" hidden="1" x14ac:dyDescent="0.2">
      <c r="A4844" t="s">
        <v>6123</v>
      </c>
      <c r="B4844" s="1">
        <v>46058</v>
      </c>
      <c r="C4844" t="s">
        <v>24</v>
      </c>
      <c r="D4844" t="s">
        <v>100</v>
      </c>
      <c r="E4844" t="s">
        <v>26</v>
      </c>
      <c r="F4844" t="s">
        <v>114</v>
      </c>
      <c r="G4844" t="s">
        <v>115</v>
      </c>
      <c r="H4844" t="s">
        <v>115</v>
      </c>
      <c r="I4844" t="s">
        <v>116</v>
      </c>
      <c r="J4844" t="s">
        <v>117</v>
      </c>
      <c r="K4844" t="s">
        <v>78</v>
      </c>
      <c r="L4844" t="s">
        <v>67</v>
      </c>
      <c r="M4844" t="s">
        <v>87</v>
      </c>
      <c r="N4844" t="s">
        <v>48</v>
      </c>
      <c r="O4844" t="s">
        <v>36</v>
      </c>
      <c r="P4844" t="s">
        <v>37</v>
      </c>
      <c r="Q4844" t="s">
        <v>144</v>
      </c>
      <c r="R4844">
        <v>287</v>
      </c>
      <c r="S4844">
        <v>153</v>
      </c>
      <c r="T4844">
        <v>100</v>
      </c>
      <c r="U4844">
        <v>28</v>
      </c>
      <c r="V4844" t="s">
        <v>998</v>
      </c>
      <c r="W4844">
        <v>21227</v>
      </c>
      <c r="X4844" t="s">
        <v>153</v>
      </c>
      <c r="Y4844">
        <v>19294</v>
      </c>
      <c r="Z4844">
        <v>594356</v>
      </c>
      <c r="AA4844">
        <v>54124</v>
      </c>
      <c r="AB4844" t="str">
        <f>(VLOOKUP(SalesData[[#This Row],[Month Number]],Reference!C$5:E$16,2,FALSE))</f>
        <v>Feb</v>
      </c>
      <c r="AC4844">
        <f>MONTH(SalesData[[#This Row],[Date]])</f>
        <v>2</v>
      </c>
      <c r="AD4844">
        <f>Reference!F$4</f>
        <v>2026</v>
      </c>
      <c r="AE4844" t="str">
        <f>IF(OR(SalesData[[#This Row],[Day]]="Saturday",SalesData[[#This Row],[Day]]="Sunday"),"Weekend","Weekday")</f>
        <v>Weekday</v>
      </c>
      <c r="AF4844" s="5">
        <f>IF(SalesData[[#This Row],[Contracts Offered]]=0,0,SalesData[[#This Row],[Contracts Signed]]/SalesData[[#This Row],[Contracts Offered]])</f>
        <v>0.28000000000000003</v>
      </c>
      <c r="AG4844" s="5">
        <f>IF(SalesData[[#This Row],[Customers Visited]]=0,0,SalesData[[#This Row],[Test Drives]]/SalesData[[#This Row],[Customers Visited]])</f>
        <v>0.5331010452961672</v>
      </c>
      <c r="AH4844" s="5">
        <f>IF(SalesData[[#This Row],[Customers Visited]]=0,0,SalesData[[#This Row],[Contracts Signed]]/SalesData[[#This Row],[Customers Visited]])</f>
        <v>9.7560975609756101E-2</v>
      </c>
      <c r="AI4844" s="6">
        <f>IF(SalesData[[#This Row],[Contracts Signed]]=0,0,SalesData[[#This Row],[Profit(€)]]/SalesData[[#This Row],[Contracts Signed]])</f>
        <v>1933</v>
      </c>
      <c r="AJ4844" s="5" t="str">
        <f>TRIM(CLEAN(SalesData[[#This Row],[Retailer]]))</f>
        <v>Elbe Drive</v>
      </c>
    </row>
    <row r="4845" spans="1:36" ht="14.25" x14ac:dyDescent="0.2">
      <c r="A4845" t="s">
        <v>6124</v>
      </c>
      <c r="B4845" s="1">
        <v>46058</v>
      </c>
      <c r="C4845" t="s">
        <v>24</v>
      </c>
      <c r="D4845" t="s">
        <v>100</v>
      </c>
      <c r="E4845" t="s">
        <v>26</v>
      </c>
      <c r="F4845" t="s">
        <v>74</v>
      </c>
      <c r="G4845" t="s">
        <v>75</v>
      </c>
      <c r="H4845" t="s">
        <v>76</v>
      </c>
      <c r="I4845" t="s">
        <v>30</v>
      </c>
      <c r="J4845" t="s">
        <v>86</v>
      </c>
      <c r="K4845" t="s">
        <v>66</v>
      </c>
      <c r="L4845" t="s">
        <v>33</v>
      </c>
      <c r="M4845" t="s">
        <v>34</v>
      </c>
      <c r="N4845" t="s">
        <v>48</v>
      </c>
      <c r="O4845" t="s">
        <v>36</v>
      </c>
      <c r="P4845" t="s">
        <v>49</v>
      </c>
      <c r="Q4845" t="s">
        <v>79</v>
      </c>
      <c r="R4845">
        <v>213</v>
      </c>
      <c r="S4845">
        <v>123</v>
      </c>
      <c r="T4845">
        <v>97</v>
      </c>
      <c r="U4845">
        <v>35</v>
      </c>
      <c r="V4845" t="s">
        <v>6691</v>
      </c>
      <c r="W4845">
        <v>61957</v>
      </c>
      <c r="X4845" t="s">
        <v>7384</v>
      </c>
      <c r="Y4845">
        <v>47416</v>
      </c>
      <c r="Z4845">
        <v>2168495</v>
      </c>
      <c r="AA4845">
        <v>508935</v>
      </c>
      <c r="AB4845" t="str">
        <f>(VLOOKUP(SalesData[[#This Row],[Month Number]],Reference!C$5:E$16,2,FALSE))</f>
        <v>Feb</v>
      </c>
      <c r="AC4845">
        <f>MONTH(SalesData[[#This Row],[Date]])</f>
        <v>2</v>
      </c>
      <c r="AD4845">
        <f>Reference!F$4</f>
        <v>2026</v>
      </c>
      <c r="AE4845" t="str">
        <f>IF(OR(SalesData[[#This Row],[Day]]="Saturday",SalesData[[#This Row],[Day]]="Sunday"),"Weekend","Weekday")</f>
        <v>Weekday</v>
      </c>
      <c r="AF4845" s="5">
        <f>IF(SalesData[[#This Row],[Contracts Offered]]=0,0,SalesData[[#This Row],[Contracts Signed]]/SalesData[[#This Row],[Contracts Offered]])</f>
        <v>0.36082474226804123</v>
      </c>
      <c r="AG4845" s="5">
        <f>IF(SalesData[[#This Row],[Customers Visited]]=0,0,SalesData[[#This Row],[Test Drives]]/SalesData[[#This Row],[Customers Visited]])</f>
        <v>0.57746478873239437</v>
      </c>
      <c r="AH4845" s="5">
        <f>IF(SalesData[[#This Row],[Customers Visited]]=0,0,SalesData[[#This Row],[Contracts Signed]]/SalesData[[#This Row],[Customers Visited]])</f>
        <v>0.16431924882629109</v>
      </c>
      <c r="AI4845" s="6">
        <f>IF(SalesData[[#This Row],[Contracts Signed]]=0,0,SalesData[[#This Row],[Profit(€)]]/SalesData[[#This Row],[Contracts Signed]])</f>
        <v>14541</v>
      </c>
      <c r="AJ4845" s="5" t="str">
        <f>TRIM(CLEAN(SalesData[[#This Row],[Retailer]]))</f>
        <v>Stuttgart Auto Center</v>
      </c>
    </row>
    <row r="4846" spans="1:36" ht="14.25" hidden="1" x14ac:dyDescent="0.2">
      <c r="A4846" t="s">
        <v>6125</v>
      </c>
      <c r="B4846" s="1">
        <v>46068</v>
      </c>
      <c r="C4846" t="s">
        <v>62</v>
      </c>
      <c r="D4846" t="s">
        <v>41</v>
      </c>
      <c r="E4846" t="s">
        <v>42</v>
      </c>
      <c r="F4846" t="s">
        <v>109</v>
      </c>
      <c r="G4846" t="s">
        <v>110</v>
      </c>
      <c r="H4846" t="s">
        <v>45</v>
      </c>
      <c r="I4846" t="s">
        <v>64</v>
      </c>
      <c r="J4846" t="s">
        <v>7029</v>
      </c>
      <c r="K4846" t="s">
        <v>91</v>
      </c>
      <c r="L4846" t="s">
        <v>33</v>
      </c>
      <c r="M4846" t="s">
        <v>47</v>
      </c>
      <c r="N4846" t="s">
        <v>69</v>
      </c>
      <c r="O4846" t="s">
        <v>70</v>
      </c>
      <c r="P4846" t="s">
        <v>71</v>
      </c>
      <c r="Q4846" t="s">
        <v>240</v>
      </c>
      <c r="R4846">
        <v>190</v>
      </c>
      <c r="S4846">
        <v>103</v>
      </c>
      <c r="T4846">
        <v>80</v>
      </c>
      <c r="U4846">
        <v>23</v>
      </c>
      <c r="V4846" t="s">
        <v>6642</v>
      </c>
      <c r="W4846">
        <v>69689</v>
      </c>
      <c r="X4846" t="s">
        <v>1830</v>
      </c>
      <c r="Y4846">
        <v>49693</v>
      </c>
      <c r="Z4846">
        <v>1602847</v>
      </c>
      <c r="AA4846">
        <v>459908</v>
      </c>
      <c r="AB4846" t="str">
        <f>(VLOOKUP(SalesData[[#This Row],[Month Number]],Reference!C$5:E$16,2,FALSE))</f>
        <v>Feb</v>
      </c>
      <c r="AC4846">
        <f>MONTH(SalesData[[#This Row],[Date]])</f>
        <v>2</v>
      </c>
      <c r="AD4846">
        <f>Reference!F$4</f>
        <v>2026</v>
      </c>
      <c r="AE4846" t="str">
        <f>IF(OR(SalesData[[#This Row],[Day]]="Saturday",SalesData[[#This Row],[Day]]="Sunday"),"Weekend","Weekday")</f>
        <v>Weekend</v>
      </c>
      <c r="AF4846" s="5">
        <f>IF(SalesData[[#This Row],[Contracts Offered]]=0,0,SalesData[[#This Row],[Contracts Signed]]/SalesData[[#This Row],[Contracts Offered]])</f>
        <v>0.28749999999999998</v>
      </c>
      <c r="AG4846" s="5">
        <f>IF(SalesData[[#This Row],[Customers Visited]]=0,0,SalesData[[#This Row],[Test Drives]]/SalesData[[#This Row],[Customers Visited]])</f>
        <v>0.54210526315789476</v>
      </c>
      <c r="AH4846" s="5">
        <f>IF(SalesData[[#This Row],[Customers Visited]]=0,0,SalesData[[#This Row],[Contracts Signed]]/SalesData[[#This Row],[Customers Visited]])</f>
        <v>0.12105263157894737</v>
      </c>
      <c r="AI4846" s="6">
        <f>IF(SalesData[[#This Row],[Contracts Signed]]=0,0,SalesData[[#This Row],[Profit(€)]]/SalesData[[#This Row],[Contracts Signed]])</f>
        <v>19996</v>
      </c>
      <c r="AJ4846" s="5" t="str">
        <f>TRIM(CLEAN(SalesData[[#This Row],[Retailer]]))</f>
        <v>Leipzig Mobility</v>
      </c>
    </row>
    <row r="4847" spans="1:36" ht="14.25" hidden="1" x14ac:dyDescent="0.2">
      <c r="A4847" t="s">
        <v>6126</v>
      </c>
      <c r="B4847" s="1">
        <v>46075</v>
      </c>
      <c r="C4847" t="s">
        <v>53</v>
      </c>
      <c r="D4847" t="s">
        <v>41</v>
      </c>
      <c r="E4847" t="s">
        <v>42</v>
      </c>
      <c r="F4847" t="s">
        <v>101</v>
      </c>
      <c r="G4847" t="s">
        <v>102</v>
      </c>
      <c r="H4847" t="s">
        <v>103</v>
      </c>
      <c r="I4847" t="s">
        <v>104</v>
      </c>
      <c r="J4847" t="s">
        <v>7061</v>
      </c>
      <c r="K4847" t="s">
        <v>32</v>
      </c>
      <c r="L4847" t="s">
        <v>46</v>
      </c>
      <c r="M4847" t="s">
        <v>47</v>
      </c>
      <c r="N4847" t="s">
        <v>35</v>
      </c>
      <c r="O4847" t="s">
        <v>36</v>
      </c>
      <c r="P4847" t="s">
        <v>58</v>
      </c>
      <c r="Q4847" t="s">
        <v>122</v>
      </c>
      <c r="R4847">
        <v>456</v>
      </c>
      <c r="S4847">
        <v>190</v>
      </c>
      <c r="T4847">
        <v>121</v>
      </c>
      <c r="U4847">
        <v>35</v>
      </c>
      <c r="V4847" t="s">
        <v>247</v>
      </c>
      <c r="W4847">
        <v>30254</v>
      </c>
      <c r="X4847" t="s">
        <v>750</v>
      </c>
      <c r="Y4847">
        <v>26910</v>
      </c>
      <c r="Z4847">
        <v>1058890</v>
      </c>
      <c r="AA4847">
        <v>117040</v>
      </c>
      <c r="AB4847" t="str">
        <f>(VLOOKUP(SalesData[[#This Row],[Month Number]],Reference!C$5:E$16,2,FALSE))</f>
        <v>Feb</v>
      </c>
      <c r="AC4847">
        <f>MONTH(SalesData[[#This Row],[Date]])</f>
        <v>2</v>
      </c>
      <c r="AD4847">
        <f>Reference!F$4</f>
        <v>2026</v>
      </c>
      <c r="AE4847" t="str">
        <f>IF(OR(SalesData[[#This Row],[Day]]="Saturday",SalesData[[#This Row],[Day]]="Sunday"),"Weekend","Weekday")</f>
        <v>Weekend</v>
      </c>
      <c r="AF4847" s="5">
        <f>IF(SalesData[[#This Row],[Contracts Offered]]=0,0,SalesData[[#This Row],[Contracts Signed]]/SalesData[[#This Row],[Contracts Offered]])</f>
        <v>0.28925619834710742</v>
      </c>
      <c r="AG4847" s="5">
        <f>IF(SalesData[[#This Row],[Customers Visited]]=0,0,SalesData[[#This Row],[Test Drives]]/SalesData[[#This Row],[Customers Visited]])</f>
        <v>0.41666666666666669</v>
      </c>
      <c r="AH4847" s="5">
        <f>IF(SalesData[[#This Row],[Customers Visited]]=0,0,SalesData[[#This Row],[Contracts Signed]]/SalesData[[#This Row],[Customers Visited]])</f>
        <v>7.6754385964912283E-2</v>
      </c>
      <c r="AI4847" s="6">
        <f>IF(SalesData[[#This Row],[Contracts Signed]]=0,0,SalesData[[#This Row],[Profit(€)]]/SalesData[[#This Row],[Contracts Signed]])</f>
        <v>3344</v>
      </c>
      <c r="AJ4847" s="5" t="str">
        <f>TRIM(CLEAN(SalesData[[#This Row],[Retailer]]))</f>
        <v>Ruhr Auto Plaza</v>
      </c>
    </row>
    <row r="4848" spans="1:36" ht="14.25" hidden="1" x14ac:dyDescent="0.2">
      <c r="A4848" t="s">
        <v>6127</v>
      </c>
      <c r="B4848" s="1">
        <v>46076</v>
      </c>
      <c r="C4848" t="s">
        <v>53</v>
      </c>
      <c r="D4848" t="s">
        <v>25</v>
      </c>
      <c r="E4848" t="s">
        <v>26</v>
      </c>
      <c r="F4848" t="s">
        <v>43</v>
      </c>
      <c r="G4848" t="s">
        <v>44</v>
      </c>
      <c r="H4848" t="s">
        <v>45</v>
      </c>
      <c r="I4848" t="s">
        <v>116</v>
      </c>
      <c r="J4848" t="s">
        <v>203</v>
      </c>
      <c r="K4848" t="s">
        <v>32</v>
      </c>
      <c r="L4848" t="s">
        <v>67</v>
      </c>
      <c r="M4848" t="s">
        <v>87</v>
      </c>
      <c r="N4848" t="s">
        <v>35</v>
      </c>
      <c r="O4848" t="s">
        <v>70</v>
      </c>
      <c r="P4848" t="s">
        <v>58</v>
      </c>
      <c r="Q4848" t="s">
        <v>79</v>
      </c>
      <c r="R4848">
        <v>424</v>
      </c>
      <c r="S4848">
        <v>221</v>
      </c>
      <c r="T4848">
        <v>138</v>
      </c>
      <c r="U4848">
        <v>35</v>
      </c>
      <c r="V4848" t="s">
        <v>1746</v>
      </c>
      <c r="W4848">
        <v>21263</v>
      </c>
      <c r="X4848" t="s">
        <v>256</v>
      </c>
      <c r="Y4848">
        <v>19252</v>
      </c>
      <c r="Z4848">
        <v>744205</v>
      </c>
      <c r="AA4848">
        <v>70385</v>
      </c>
      <c r="AB4848" t="str">
        <f>(VLOOKUP(SalesData[[#This Row],[Month Number]],Reference!C$5:E$16,2,FALSE))</f>
        <v>Feb</v>
      </c>
      <c r="AC4848">
        <f>MONTH(SalesData[[#This Row],[Date]])</f>
        <v>2</v>
      </c>
      <c r="AD4848">
        <f>Reference!F$4</f>
        <v>2026</v>
      </c>
      <c r="AE4848" t="str">
        <f>IF(OR(SalesData[[#This Row],[Day]]="Saturday",SalesData[[#This Row],[Day]]="Sunday"),"Weekend","Weekday")</f>
        <v>Weekday</v>
      </c>
      <c r="AF4848" s="5">
        <f>IF(SalesData[[#This Row],[Contracts Offered]]=0,0,SalesData[[#This Row],[Contracts Signed]]/SalesData[[#This Row],[Contracts Offered]])</f>
        <v>0.25362318840579712</v>
      </c>
      <c r="AG4848" s="5">
        <f>IF(SalesData[[#This Row],[Customers Visited]]=0,0,SalesData[[#This Row],[Test Drives]]/SalesData[[#This Row],[Customers Visited]])</f>
        <v>0.52122641509433965</v>
      </c>
      <c r="AH4848" s="5">
        <f>IF(SalesData[[#This Row],[Customers Visited]]=0,0,SalesData[[#This Row],[Contracts Signed]]/SalesData[[#This Row],[Customers Visited]])</f>
        <v>8.254716981132075E-2</v>
      </c>
      <c r="AI4848" s="6">
        <f>IF(SalesData[[#This Row],[Contracts Signed]]=0,0,SalesData[[#This Row],[Profit(€)]]/SalesData[[#This Row],[Contracts Signed]])</f>
        <v>2011</v>
      </c>
      <c r="AJ4848" s="5" t="str">
        <f>TRIM(CLEAN(SalesData[[#This Row],[Retailer]]))</f>
        <v>Saxon Wheels</v>
      </c>
    </row>
    <row r="4849" spans="1:36" ht="14.25" hidden="1" x14ac:dyDescent="0.2">
      <c r="A4849" t="s">
        <v>6128</v>
      </c>
      <c r="B4849" s="1">
        <v>46065</v>
      </c>
      <c r="C4849" t="s">
        <v>121</v>
      </c>
      <c r="D4849" t="s">
        <v>100</v>
      </c>
      <c r="E4849" t="s">
        <v>26</v>
      </c>
      <c r="F4849" t="s">
        <v>101</v>
      </c>
      <c r="G4849" t="s">
        <v>102</v>
      </c>
      <c r="H4849" t="s">
        <v>103</v>
      </c>
      <c r="I4849" t="s">
        <v>64</v>
      </c>
      <c r="J4849" t="s">
        <v>111</v>
      </c>
      <c r="K4849" t="s">
        <v>66</v>
      </c>
      <c r="L4849" t="s">
        <v>46</v>
      </c>
      <c r="M4849" t="s">
        <v>87</v>
      </c>
      <c r="N4849" t="s">
        <v>35</v>
      </c>
      <c r="O4849" t="s">
        <v>36</v>
      </c>
      <c r="P4849" t="s">
        <v>71</v>
      </c>
      <c r="Q4849" t="s">
        <v>167</v>
      </c>
      <c r="R4849">
        <v>174</v>
      </c>
      <c r="S4849">
        <v>94</v>
      </c>
      <c r="T4849">
        <v>67</v>
      </c>
      <c r="U4849">
        <v>24</v>
      </c>
      <c r="V4849" t="s">
        <v>6461</v>
      </c>
      <c r="W4849">
        <v>58632</v>
      </c>
      <c r="X4849" t="s">
        <v>7343</v>
      </c>
      <c r="Y4849">
        <v>45431</v>
      </c>
      <c r="Z4849">
        <v>1407168</v>
      </c>
      <c r="AA4849">
        <v>316824</v>
      </c>
      <c r="AB4849" t="str">
        <f>(VLOOKUP(SalesData[[#This Row],[Month Number]],Reference!C$5:E$16,2,FALSE))</f>
        <v>Feb</v>
      </c>
      <c r="AC4849">
        <f>MONTH(SalesData[[#This Row],[Date]])</f>
        <v>2</v>
      </c>
      <c r="AD4849">
        <f>Reference!F$4</f>
        <v>2026</v>
      </c>
      <c r="AE4849" t="str">
        <f>IF(OR(SalesData[[#This Row],[Day]]="Saturday",SalesData[[#This Row],[Day]]="Sunday"),"Weekend","Weekday")</f>
        <v>Weekday</v>
      </c>
      <c r="AF4849" s="5">
        <f>IF(SalesData[[#This Row],[Contracts Offered]]=0,0,SalesData[[#This Row],[Contracts Signed]]/SalesData[[#This Row],[Contracts Offered]])</f>
        <v>0.35820895522388058</v>
      </c>
      <c r="AG4849" s="5">
        <f>IF(SalesData[[#This Row],[Customers Visited]]=0,0,SalesData[[#This Row],[Test Drives]]/SalesData[[#This Row],[Customers Visited]])</f>
        <v>0.54022988505747127</v>
      </c>
      <c r="AH4849" s="5">
        <f>IF(SalesData[[#This Row],[Customers Visited]]=0,0,SalesData[[#This Row],[Contracts Signed]]/SalesData[[#This Row],[Customers Visited]])</f>
        <v>0.13793103448275862</v>
      </c>
      <c r="AI4849" s="6">
        <f>IF(SalesData[[#This Row],[Contracts Signed]]=0,0,SalesData[[#This Row],[Profit(€)]]/SalesData[[#This Row],[Contracts Signed]])</f>
        <v>13201</v>
      </c>
      <c r="AJ4849" s="5" t="str">
        <f>TRIM(CLEAN(SalesData[[#This Row],[Retailer]]))</f>
        <v>Ruhr Auto Plaza</v>
      </c>
    </row>
    <row r="4850" spans="1:36" ht="14.25" hidden="1" x14ac:dyDescent="0.2">
      <c r="A4850" t="s">
        <v>6129</v>
      </c>
      <c r="B4850" s="1">
        <v>46071</v>
      </c>
      <c r="C4850" t="s">
        <v>62</v>
      </c>
      <c r="D4850" t="s">
        <v>82</v>
      </c>
      <c r="E4850" t="s">
        <v>26</v>
      </c>
      <c r="F4850" t="s">
        <v>74</v>
      </c>
      <c r="G4850" t="s">
        <v>75</v>
      </c>
      <c r="H4850" t="s">
        <v>76</v>
      </c>
      <c r="I4850" t="s">
        <v>116</v>
      </c>
      <c r="J4850" t="s">
        <v>7026</v>
      </c>
      <c r="K4850" t="s">
        <v>66</v>
      </c>
      <c r="L4850" t="s">
        <v>46</v>
      </c>
      <c r="M4850" t="s">
        <v>47</v>
      </c>
      <c r="N4850" t="s">
        <v>69</v>
      </c>
      <c r="O4850" t="s">
        <v>70</v>
      </c>
      <c r="P4850" t="s">
        <v>71</v>
      </c>
      <c r="Q4850" t="s">
        <v>240</v>
      </c>
      <c r="R4850">
        <v>318</v>
      </c>
      <c r="S4850">
        <v>153</v>
      </c>
      <c r="T4850">
        <v>93</v>
      </c>
      <c r="U4850">
        <v>26</v>
      </c>
      <c r="V4850" t="s">
        <v>1924</v>
      </c>
      <c r="W4850">
        <v>21110</v>
      </c>
      <c r="X4850" t="s">
        <v>2132</v>
      </c>
      <c r="Y4850">
        <v>19445</v>
      </c>
      <c r="Z4850">
        <v>548860</v>
      </c>
      <c r="AA4850">
        <v>43290</v>
      </c>
      <c r="AB4850" t="str">
        <f>(VLOOKUP(SalesData[[#This Row],[Month Number]],Reference!C$5:E$16,2,FALSE))</f>
        <v>Feb</v>
      </c>
      <c r="AC4850">
        <f>MONTH(SalesData[[#This Row],[Date]])</f>
        <v>2</v>
      </c>
      <c r="AD4850">
        <f>Reference!F$4</f>
        <v>2026</v>
      </c>
      <c r="AE4850" t="str">
        <f>IF(OR(SalesData[[#This Row],[Day]]="Saturday",SalesData[[#This Row],[Day]]="Sunday"),"Weekend","Weekday")</f>
        <v>Weekday</v>
      </c>
      <c r="AF4850" s="5">
        <f>IF(SalesData[[#This Row],[Contracts Offered]]=0,0,SalesData[[#This Row],[Contracts Signed]]/SalesData[[#This Row],[Contracts Offered]])</f>
        <v>0.27956989247311825</v>
      </c>
      <c r="AG4850" s="5">
        <f>IF(SalesData[[#This Row],[Customers Visited]]=0,0,SalesData[[#This Row],[Test Drives]]/SalesData[[#This Row],[Customers Visited]])</f>
        <v>0.48113207547169812</v>
      </c>
      <c r="AH4850" s="5">
        <f>IF(SalesData[[#This Row],[Customers Visited]]=0,0,SalesData[[#This Row],[Contracts Signed]]/SalesData[[#This Row],[Customers Visited]])</f>
        <v>8.1761006289308172E-2</v>
      </c>
      <c r="AI4850" s="6">
        <f>IF(SalesData[[#This Row],[Contracts Signed]]=0,0,SalesData[[#This Row],[Profit(€)]]/SalesData[[#This Row],[Contracts Signed]])</f>
        <v>1665</v>
      </c>
      <c r="AJ4850" s="5" t="str">
        <f>TRIM(CLEAN(SalesData[[#This Row],[Retailer]]))</f>
        <v>Stuttgart Auto Center</v>
      </c>
    </row>
    <row r="4851" spans="1:36" ht="14.25" hidden="1" x14ac:dyDescent="0.2">
      <c r="A4851" t="s">
        <v>6130</v>
      </c>
      <c r="B4851" s="1">
        <v>46060</v>
      </c>
      <c r="C4851" t="s">
        <v>24</v>
      </c>
      <c r="D4851" t="s">
        <v>151</v>
      </c>
      <c r="E4851" t="s">
        <v>42</v>
      </c>
      <c r="F4851" t="s">
        <v>7649</v>
      </c>
      <c r="G4851" t="s">
        <v>55</v>
      </c>
      <c r="H4851" t="s">
        <v>55</v>
      </c>
      <c r="I4851" t="s">
        <v>56</v>
      </c>
      <c r="J4851" t="s">
        <v>137</v>
      </c>
      <c r="K4851" t="s">
        <v>32</v>
      </c>
      <c r="L4851" t="s">
        <v>46</v>
      </c>
      <c r="M4851" t="s">
        <v>87</v>
      </c>
      <c r="N4851" t="s">
        <v>35</v>
      </c>
      <c r="O4851" t="s">
        <v>36</v>
      </c>
      <c r="P4851" t="s">
        <v>49</v>
      </c>
      <c r="Q4851" t="s">
        <v>240</v>
      </c>
      <c r="R4851">
        <v>268</v>
      </c>
      <c r="S4851">
        <v>162</v>
      </c>
      <c r="T4851">
        <v>106</v>
      </c>
      <c r="U4851">
        <v>35</v>
      </c>
      <c r="V4851" t="s">
        <v>6929</v>
      </c>
      <c r="W4851">
        <v>53798</v>
      </c>
      <c r="X4851" t="s">
        <v>7032</v>
      </c>
      <c r="Y4851">
        <v>42612</v>
      </c>
      <c r="Z4851">
        <v>1882930</v>
      </c>
      <c r="AA4851">
        <v>391510</v>
      </c>
      <c r="AB4851" t="str">
        <f>(VLOOKUP(SalesData[[#This Row],[Month Number]],Reference!C$5:E$16,2,FALSE))</f>
        <v>Feb</v>
      </c>
      <c r="AC4851">
        <f>MONTH(SalesData[[#This Row],[Date]])</f>
        <v>2</v>
      </c>
      <c r="AD4851">
        <f>Reference!F$4</f>
        <v>2026</v>
      </c>
      <c r="AE4851" t="str">
        <f>IF(OR(SalesData[[#This Row],[Day]]="Saturday",SalesData[[#This Row],[Day]]="Sunday"),"Weekend","Weekday")</f>
        <v>Weekend</v>
      </c>
      <c r="AF4851" s="5">
        <f>IF(SalesData[[#This Row],[Contracts Offered]]=0,0,SalesData[[#This Row],[Contracts Signed]]/SalesData[[#This Row],[Contracts Offered]])</f>
        <v>0.330188679245283</v>
      </c>
      <c r="AG4851" s="5">
        <f>IF(SalesData[[#This Row],[Customers Visited]]=0,0,SalesData[[#This Row],[Test Drives]]/SalesData[[#This Row],[Customers Visited]])</f>
        <v>0.60447761194029848</v>
      </c>
      <c r="AH4851" s="5">
        <f>IF(SalesData[[#This Row],[Customers Visited]]=0,0,SalesData[[#This Row],[Contracts Signed]]/SalesData[[#This Row],[Customers Visited]])</f>
        <v>0.13059701492537312</v>
      </c>
      <c r="AI4851" s="6">
        <f>IF(SalesData[[#This Row],[Contracts Signed]]=0,0,SalesData[[#This Row],[Profit(€)]]/SalesData[[#This Row],[Contracts Signed]])</f>
        <v>11186</v>
      </c>
      <c r="AJ4851" s="5" t="str">
        <f>TRIM(CLEAN(SalesData[[#This Row],[Retailer]]))</f>
        <v>Autohaus Berlin</v>
      </c>
    </row>
    <row r="4852" spans="1:36" ht="14.25" hidden="1" x14ac:dyDescent="0.2">
      <c r="A4852" t="s">
        <v>6131</v>
      </c>
      <c r="B4852" s="1">
        <v>46064</v>
      </c>
      <c r="C4852" t="s">
        <v>121</v>
      </c>
      <c r="D4852" t="s">
        <v>82</v>
      </c>
      <c r="E4852" t="s">
        <v>26</v>
      </c>
      <c r="F4852" t="s">
        <v>74</v>
      </c>
      <c r="G4852" t="s">
        <v>75</v>
      </c>
      <c r="H4852" t="s">
        <v>76</v>
      </c>
      <c r="I4852" t="s">
        <v>104</v>
      </c>
      <c r="J4852" t="s">
        <v>7031</v>
      </c>
      <c r="K4852" t="s">
        <v>66</v>
      </c>
      <c r="L4852" t="s">
        <v>46</v>
      </c>
      <c r="M4852" t="s">
        <v>47</v>
      </c>
      <c r="N4852" t="s">
        <v>48</v>
      </c>
      <c r="O4852" t="s">
        <v>36</v>
      </c>
      <c r="P4852" t="s">
        <v>71</v>
      </c>
      <c r="Q4852" t="s">
        <v>172</v>
      </c>
      <c r="R4852">
        <v>520</v>
      </c>
      <c r="S4852">
        <v>241</v>
      </c>
      <c r="T4852">
        <v>145</v>
      </c>
      <c r="U4852">
        <v>48</v>
      </c>
      <c r="V4852" t="s">
        <v>7507</v>
      </c>
      <c r="W4852">
        <v>28384</v>
      </c>
      <c r="X4852" t="s">
        <v>1263</v>
      </c>
      <c r="Y4852">
        <v>24735</v>
      </c>
      <c r="Z4852">
        <v>1362432</v>
      </c>
      <c r="AA4852">
        <v>175152</v>
      </c>
      <c r="AB4852" t="str">
        <f>(VLOOKUP(SalesData[[#This Row],[Month Number]],Reference!C$5:E$16,2,FALSE))</f>
        <v>Feb</v>
      </c>
      <c r="AC4852">
        <f>MONTH(SalesData[[#This Row],[Date]])</f>
        <v>2</v>
      </c>
      <c r="AD4852">
        <f>Reference!F$4</f>
        <v>2026</v>
      </c>
      <c r="AE4852" t="str">
        <f>IF(OR(SalesData[[#This Row],[Day]]="Saturday",SalesData[[#This Row],[Day]]="Sunday"),"Weekend","Weekday")</f>
        <v>Weekday</v>
      </c>
      <c r="AF4852" s="5">
        <f>IF(SalesData[[#This Row],[Contracts Offered]]=0,0,SalesData[[#This Row],[Contracts Signed]]/SalesData[[#This Row],[Contracts Offered]])</f>
        <v>0.33103448275862069</v>
      </c>
      <c r="AG4852" s="5">
        <f>IF(SalesData[[#This Row],[Customers Visited]]=0,0,SalesData[[#This Row],[Test Drives]]/SalesData[[#This Row],[Customers Visited]])</f>
        <v>0.46346153846153848</v>
      </c>
      <c r="AH4852" s="5">
        <f>IF(SalesData[[#This Row],[Customers Visited]]=0,0,SalesData[[#This Row],[Contracts Signed]]/SalesData[[#This Row],[Customers Visited]])</f>
        <v>9.2307692307692313E-2</v>
      </c>
      <c r="AI4852" s="6">
        <f>IF(SalesData[[#This Row],[Contracts Signed]]=0,0,SalesData[[#This Row],[Profit(€)]]/SalesData[[#This Row],[Contracts Signed]])</f>
        <v>3649</v>
      </c>
      <c r="AJ4852" s="5" t="str">
        <f>TRIM(CLEAN(SalesData[[#This Row],[Retailer]]))</f>
        <v>Stuttgart Auto Center</v>
      </c>
    </row>
    <row r="4853" spans="1:36" ht="14.25" x14ac:dyDescent="0.2">
      <c r="A4853" t="s">
        <v>6132</v>
      </c>
      <c r="B4853" s="1">
        <v>46066</v>
      </c>
      <c r="C4853" t="s">
        <v>121</v>
      </c>
      <c r="D4853" t="s">
        <v>54</v>
      </c>
      <c r="E4853" t="s">
        <v>26</v>
      </c>
      <c r="F4853" t="s">
        <v>83</v>
      </c>
      <c r="G4853" t="s">
        <v>84</v>
      </c>
      <c r="H4853" t="s">
        <v>85</v>
      </c>
      <c r="I4853" t="s">
        <v>30</v>
      </c>
      <c r="J4853" t="s">
        <v>86</v>
      </c>
      <c r="K4853" t="s">
        <v>78</v>
      </c>
      <c r="L4853" t="s">
        <v>33</v>
      </c>
      <c r="M4853" t="s">
        <v>68</v>
      </c>
      <c r="N4853" t="s">
        <v>35</v>
      </c>
      <c r="O4853" t="s">
        <v>36</v>
      </c>
      <c r="P4853" t="s">
        <v>37</v>
      </c>
      <c r="Q4853" t="s">
        <v>59</v>
      </c>
      <c r="R4853">
        <v>184</v>
      </c>
      <c r="S4853">
        <v>106</v>
      </c>
      <c r="T4853">
        <v>74</v>
      </c>
      <c r="U4853">
        <v>27</v>
      </c>
      <c r="V4853" t="s">
        <v>6799</v>
      </c>
      <c r="W4853">
        <v>67655</v>
      </c>
      <c r="X4853" t="s">
        <v>7402</v>
      </c>
      <c r="Y4853">
        <v>50402</v>
      </c>
      <c r="Z4853">
        <v>1826685</v>
      </c>
      <c r="AA4853">
        <v>465831</v>
      </c>
      <c r="AB4853" t="str">
        <f>(VLOOKUP(SalesData[[#This Row],[Month Number]],Reference!C$5:E$16,2,FALSE))</f>
        <v>Feb</v>
      </c>
      <c r="AC4853">
        <f>MONTH(SalesData[[#This Row],[Date]])</f>
        <v>2</v>
      </c>
      <c r="AD4853">
        <f>Reference!F$4</f>
        <v>2026</v>
      </c>
      <c r="AE4853" t="str">
        <f>IF(OR(SalesData[[#This Row],[Day]]="Saturday",SalesData[[#This Row],[Day]]="Sunday"),"Weekend","Weekday")</f>
        <v>Weekday</v>
      </c>
      <c r="AF4853" s="5">
        <f>IF(SalesData[[#This Row],[Contracts Offered]]=0,0,SalesData[[#This Row],[Contracts Signed]]/SalesData[[#This Row],[Contracts Offered]])</f>
        <v>0.36486486486486486</v>
      </c>
      <c r="AG4853" s="5">
        <f>IF(SalesData[[#This Row],[Customers Visited]]=0,0,SalesData[[#This Row],[Test Drives]]/SalesData[[#This Row],[Customers Visited]])</f>
        <v>0.57608695652173914</v>
      </c>
      <c r="AH4853" s="5">
        <f>IF(SalesData[[#This Row],[Customers Visited]]=0,0,SalesData[[#This Row],[Contracts Signed]]/SalesData[[#This Row],[Customers Visited]])</f>
        <v>0.14673913043478262</v>
      </c>
      <c r="AI4853" s="6">
        <f>IF(SalesData[[#This Row],[Contracts Signed]]=0,0,SalesData[[#This Row],[Profit(€)]]/SalesData[[#This Row],[Contracts Signed]])</f>
        <v>17253</v>
      </c>
      <c r="AJ4853" s="5" t="str">
        <f>TRIM(CLEAN(SalesData[[#This Row],[Retailer]]))</f>
        <v>Hannover Cars</v>
      </c>
    </row>
    <row r="4854" spans="1:36" ht="14.25" hidden="1" x14ac:dyDescent="0.2">
      <c r="A4854" t="s">
        <v>6133</v>
      </c>
      <c r="B4854" s="1">
        <v>46065</v>
      </c>
      <c r="C4854" t="s">
        <v>121</v>
      </c>
      <c r="D4854" t="s">
        <v>100</v>
      </c>
      <c r="E4854" t="s">
        <v>26</v>
      </c>
      <c r="F4854" t="s">
        <v>74</v>
      </c>
      <c r="G4854" t="s">
        <v>75</v>
      </c>
      <c r="H4854" t="s">
        <v>76</v>
      </c>
      <c r="I4854" t="s">
        <v>104</v>
      </c>
      <c r="J4854" t="s">
        <v>143</v>
      </c>
      <c r="K4854" t="s">
        <v>32</v>
      </c>
      <c r="L4854" t="s">
        <v>67</v>
      </c>
      <c r="M4854" t="s">
        <v>68</v>
      </c>
      <c r="N4854" t="s">
        <v>35</v>
      </c>
      <c r="O4854" t="s">
        <v>70</v>
      </c>
      <c r="P4854" t="s">
        <v>49</v>
      </c>
      <c r="Q4854" t="s">
        <v>189</v>
      </c>
      <c r="R4854">
        <v>334</v>
      </c>
      <c r="S4854">
        <v>141</v>
      </c>
      <c r="T4854">
        <v>85</v>
      </c>
      <c r="U4854">
        <v>22</v>
      </c>
      <c r="V4854" t="s">
        <v>2368</v>
      </c>
      <c r="W4854">
        <v>29019</v>
      </c>
      <c r="X4854" t="s">
        <v>674</v>
      </c>
      <c r="Y4854">
        <v>25302</v>
      </c>
      <c r="Z4854">
        <v>638418</v>
      </c>
      <c r="AA4854">
        <v>81774</v>
      </c>
      <c r="AB4854" t="str">
        <f>(VLOOKUP(SalesData[[#This Row],[Month Number]],Reference!C$5:E$16,2,FALSE))</f>
        <v>Feb</v>
      </c>
      <c r="AC4854">
        <f>MONTH(SalesData[[#This Row],[Date]])</f>
        <v>2</v>
      </c>
      <c r="AD4854">
        <f>Reference!F$4</f>
        <v>2026</v>
      </c>
      <c r="AE4854" t="str">
        <f>IF(OR(SalesData[[#This Row],[Day]]="Saturday",SalesData[[#This Row],[Day]]="Sunday"),"Weekend","Weekday")</f>
        <v>Weekday</v>
      </c>
      <c r="AF4854" s="5">
        <f>IF(SalesData[[#This Row],[Contracts Offered]]=0,0,SalesData[[#This Row],[Contracts Signed]]/SalesData[[#This Row],[Contracts Offered]])</f>
        <v>0.25882352941176473</v>
      </c>
      <c r="AG4854" s="5">
        <f>IF(SalesData[[#This Row],[Customers Visited]]=0,0,SalesData[[#This Row],[Test Drives]]/SalesData[[#This Row],[Customers Visited]])</f>
        <v>0.42215568862275449</v>
      </c>
      <c r="AH4854" s="5">
        <f>IF(SalesData[[#This Row],[Customers Visited]]=0,0,SalesData[[#This Row],[Contracts Signed]]/SalesData[[#This Row],[Customers Visited]])</f>
        <v>6.5868263473053898E-2</v>
      </c>
      <c r="AI4854" s="6">
        <f>IF(SalesData[[#This Row],[Contracts Signed]]=0,0,SalesData[[#This Row],[Profit(€)]]/SalesData[[#This Row],[Contracts Signed]])</f>
        <v>3717</v>
      </c>
      <c r="AJ4854" s="5" t="str">
        <f>TRIM(CLEAN(SalesData[[#This Row],[Retailer]]))</f>
        <v>Stuttgart Auto Center</v>
      </c>
    </row>
    <row r="4855" spans="1:36" ht="14.25" hidden="1" x14ac:dyDescent="0.2">
      <c r="A4855" t="s">
        <v>6134</v>
      </c>
      <c r="B4855" s="1">
        <v>46074</v>
      </c>
      <c r="C4855" t="s">
        <v>62</v>
      </c>
      <c r="D4855" t="s">
        <v>151</v>
      </c>
      <c r="E4855" t="s">
        <v>42</v>
      </c>
      <c r="F4855" t="s">
        <v>83</v>
      </c>
      <c r="G4855" t="s">
        <v>84</v>
      </c>
      <c r="H4855" t="s">
        <v>85</v>
      </c>
      <c r="I4855" t="s">
        <v>104</v>
      </c>
      <c r="J4855" t="s">
        <v>143</v>
      </c>
      <c r="K4855" t="s">
        <v>32</v>
      </c>
      <c r="L4855" t="s">
        <v>67</v>
      </c>
      <c r="M4855" t="s">
        <v>68</v>
      </c>
      <c r="N4855" t="s">
        <v>69</v>
      </c>
      <c r="O4855" t="s">
        <v>70</v>
      </c>
      <c r="P4855" t="s">
        <v>58</v>
      </c>
      <c r="Q4855" t="s">
        <v>106</v>
      </c>
      <c r="R4855">
        <v>324</v>
      </c>
      <c r="S4855">
        <v>144</v>
      </c>
      <c r="T4855">
        <v>89</v>
      </c>
      <c r="U4855">
        <v>25</v>
      </c>
      <c r="V4855" t="s">
        <v>2646</v>
      </c>
      <c r="W4855">
        <v>29810</v>
      </c>
      <c r="X4855" t="s">
        <v>498</v>
      </c>
      <c r="Y4855">
        <v>25682</v>
      </c>
      <c r="Z4855">
        <v>745250</v>
      </c>
      <c r="AA4855">
        <v>103200</v>
      </c>
      <c r="AB4855" t="str">
        <f>(VLOOKUP(SalesData[[#This Row],[Month Number]],Reference!C$5:E$16,2,FALSE))</f>
        <v>Feb</v>
      </c>
      <c r="AC4855">
        <f>MONTH(SalesData[[#This Row],[Date]])</f>
        <v>2</v>
      </c>
      <c r="AD4855">
        <f>Reference!F$4</f>
        <v>2026</v>
      </c>
      <c r="AE4855" t="str">
        <f>IF(OR(SalesData[[#This Row],[Day]]="Saturday",SalesData[[#This Row],[Day]]="Sunday"),"Weekend","Weekday")</f>
        <v>Weekend</v>
      </c>
      <c r="AF4855" s="5">
        <f>IF(SalesData[[#This Row],[Contracts Offered]]=0,0,SalesData[[#This Row],[Contracts Signed]]/SalesData[[#This Row],[Contracts Offered]])</f>
        <v>0.2808988764044944</v>
      </c>
      <c r="AG4855" s="5">
        <f>IF(SalesData[[#This Row],[Customers Visited]]=0,0,SalesData[[#This Row],[Test Drives]]/SalesData[[#This Row],[Customers Visited]])</f>
        <v>0.44444444444444442</v>
      </c>
      <c r="AH4855" s="5">
        <f>IF(SalesData[[#This Row],[Customers Visited]]=0,0,SalesData[[#This Row],[Contracts Signed]]/SalesData[[#This Row],[Customers Visited]])</f>
        <v>7.716049382716049E-2</v>
      </c>
      <c r="AI4855" s="6">
        <f>IF(SalesData[[#This Row],[Contracts Signed]]=0,0,SalesData[[#This Row],[Profit(€)]]/SalesData[[#This Row],[Contracts Signed]])</f>
        <v>4128</v>
      </c>
      <c r="AJ4855" s="5" t="str">
        <f>TRIM(CLEAN(SalesData[[#This Row],[Retailer]]))</f>
        <v>Hannover Cars</v>
      </c>
    </row>
    <row r="4856" spans="1:36" ht="14.25" hidden="1" x14ac:dyDescent="0.2">
      <c r="A4856" t="s">
        <v>6135</v>
      </c>
      <c r="B4856" s="1">
        <v>46077</v>
      </c>
      <c r="C4856" t="s">
        <v>53</v>
      </c>
      <c r="D4856" t="s">
        <v>63</v>
      </c>
      <c r="E4856" t="s">
        <v>26</v>
      </c>
      <c r="F4856" t="s">
        <v>43</v>
      </c>
      <c r="G4856" t="s">
        <v>44</v>
      </c>
      <c r="H4856" t="s">
        <v>45</v>
      </c>
      <c r="I4856" t="s">
        <v>56</v>
      </c>
      <c r="J4856" t="s">
        <v>137</v>
      </c>
      <c r="K4856" t="s">
        <v>78</v>
      </c>
      <c r="L4856" t="s">
        <v>46</v>
      </c>
      <c r="M4856" t="s">
        <v>47</v>
      </c>
      <c r="N4856" t="s">
        <v>69</v>
      </c>
      <c r="O4856" t="s">
        <v>70</v>
      </c>
      <c r="P4856" t="s">
        <v>58</v>
      </c>
      <c r="Q4856" t="s">
        <v>38</v>
      </c>
      <c r="R4856">
        <v>311</v>
      </c>
      <c r="S4856">
        <v>169</v>
      </c>
      <c r="T4856">
        <v>119</v>
      </c>
      <c r="U4856">
        <v>43</v>
      </c>
      <c r="V4856" t="s">
        <v>6596</v>
      </c>
      <c r="W4856">
        <v>49508</v>
      </c>
      <c r="X4856" t="s">
        <v>2861</v>
      </c>
      <c r="Y4856">
        <v>38741</v>
      </c>
      <c r="Z4856">
        <v>2128844</v>
      </c>
      <c r="AA4856">
        <v>462981</v>
      </c>
      <c r="AB4856" t="str">
        <f>(VLOOKUP(SalesData[[#This Row],[Month Number]],Reference!C$5:E$16,2,FALSE))</f>
        <v>Feb</v>
      </c>
      <c r="AC4856">
        <f>MONTH(SalesData[[#This Row],[Date]])</f>
        <v>2</v>
      </c>
      <c r="AD4856">
        <f>Reference!F$4</f>
        <v>2026</v>
      </c>
      <c r="AE4856" t="str">
        <f>IF(OR(SalesData[[#This Row],[Day]]="Saturday",SalesData[[#This Row],[Day]]="Sunday"),"Weekend","Weekday")</f>
        <v>Weekday</v>
      </c>
      <c r="AF4856" s="5">
        <f>IF(SalesData[[#This Row],[Contracts Offered]]=0,0,SalesData[[#This Row],[Contracts Signed]]/SalesData[[#This Row],[Contracts Offered]])</f>
        <v>0.36134453781512604</v>
      </c>
      <c r="AG4856" s="5">
        <f>IF(SalesData[[#This Row],[Customers Visited]]=0,0,SalesData[[#This Row],[Test Drives]]/SalesData[[#This Row],[Customers Visited]])</f>
        <v>0.54340836012861737</v>
      </c>
      <c r="AH4856" s="5">
        <f>IF(SalesData[[#This Row],[Customers Visited]]=0,0,SalesData[[#This Row],[Contracts Signed]]/SalesData[[#This Row],[Customers Visited]])</f>
        <v>0.13826366559485531</v>
      </c>
      <c r="AI4856" s="6">
        <f>IF(SalesData[[#This Row],[Contracts Signed]]=0,0,SalesData[[#This Row],[Profit(€)]]/SalesData[[#This Row],[Contracts Signed]])</f>
        <v>10767</v>
      </c>
      <c r="AJ4856" s="5" t="str">
        <f>TRIM(CLEAN(SalesData[[#This Row],[Retailer]]))</f>
        <v>Saxon Wheels</v>
      </c>
    </row>
    <row r="4857" spans="1:36" ht="14.25" hidden="1" x14ac:dyDescent="0.2">
      <c r="A4857" t="s">
        <v>6137</v>
      </c>
      <c r="B4857" s="1">
        <v>46066</v>
      </c>
      <c r="C4857" t="s">
        <v>121</v>
      </c>
      <c r="D4857" t="s">
        <v>54</v>
      </c>
      <c r="E4857" t="s">
        <v>26</v>
      </c>
      <c r="F4857" t="s">
        <v>127</v>
      </c>
      <c r="G4857" t="s">
        <v>128</v>
      </c>
      <c r="H4857" t="s">
        <v>103</v>
      </c>
      <c r="I4857" t="s">
        <v>64</v>
      </c>
      <c r="J4857" t="s">
        <v>77</v>
      </c>
      <c r="K4857" t="s">
        <v>91</v>
      </c>
      <c r="L4857" t="s">
        <v>46</v>
      </c>
      <c r="M4857" t="s">
        <v>47</v>
      </c>
      <c r="N4857" t="s">
        <v>69</v>
      </c>
      <c r="O4857" t="s">
        <v>70</v>
      </c>
      <c r="P4857" t="s">
        <v>71</v>
      </c>
      <c r="Q4857" t="s">
        <v>135</v>
      </c>
      <c r="R4857">
        <v>249</v>
      </c>
      <c r="S4857">
        <v>144</v>
      </c>
      <c r="T4857">
        <v>104</v>
      </c>
      <c r="U4857">
        <v>35</v>
      </c>
      <c r="V4857" t="s">
        <v>6495</v>
      </c>
      <c r="W4857">
        <v>54270</v>
      </c>
      <c r="X4857" t="s">
        <v>7517</v>
      </c>
      <c r="Y4857">
        <v>40233</v>
      </c>
      <c r="Z4857">
        <v>1899450</v>
      </c>
      <c r="AA4857">
        <v>491295</v>
      </c>
      <c r="AB4857" t="str">
        <f>(VLOOKUP(SalesData[[#This Row],[Month Number]],Reference!C$5:E$16,2,FALSE))</f>
        <v>Feb</v>
      </c>
      <c r="AC4857">
        <f>MONTH(SalesData[[#This Row],[Date]])</f>
        <v>2</v>
      </c>
      <c r="AD4857">
        <f>Reference!F$4</f>
        <v>2026</v>
      </c>
      <c r="AE4857" t="str">
        <f>IF(OR(SalesData[[#This Row],[Day]]="Saturday",SalesData[[#This Row],[Day]]="Sunday"),"Weekend","Weekday")</f>
        <v>Weekday</v>
      </c>
      <c r="AF4857" s="5">
        <f>IF(SalesData[[#This Row],[Contracts Offered]]=0,0,SalesData[[#This Row],[Contracts Signed]]/SalesData[[#This Row],[Contracts Offered]])</f>
        <v>0.33653846153846156</v>
      </c>
      <c r="AG4857" s="5">
        <f>IF(SalesData[[#This Row],[Customers Visited]]=0,0,SalesData[[#This Row],[Test Drives]]/SalesData[[#This Row],[Customers Visited]])</f>
        <v>0.57831325301204817</v>
      </c>
      <c r="AH4857" s="5">
        <f>IF(SalesData[[#This Row],[Customers Visited]]=0,0,SalesData[[#This Row],[Contracts Signed]]/SalesData[[#This Row],[Customers Visited]])</f>
        <v>0.14056224899598393</v>
      </c>
      <c r="AI4857" s="6">
        <f>IF(SalesData[[#This Row],[Contracts Signed]]=0,0,SalesData[[#This Row],[Profit(€)]]/SalesData[[#This Row],[Contracts Signed]])</f>
        <v>14037</v>
      </c>
      <c r="AJ4857" s="5" t="str">
        <f>TRIM(CLEAN(SalesData[[#This Row],[Retailer]]))</f>
        <v>Rhein Auto Group</v>
      </c>
    </row>
    <row r="4858" spans="1:36" ht="14.25" hidden="1" x14ac:dyDescent="0.2">
      <c r="A4858" t="s">
        <v>6138</v>
      </c>
      <c r="B4858" s="1">
        <v>46066</v>
      </c>
      <c r="C4858" t="s">
        <v>121</v>
      </c>
      <c r="D4858" t="s">
        <v>54</v>
      </c>
      <c r="E4858" t="s">
        <v>26</v>
      </c>
      <c r="F4858" t="s">
        <v>7649</v>
      </c>
      <c r="G4858" t="s">
        <v>55</v>
      </c>
      <c r="H4858" t="s">
        <v>55</v>
      </c>
      <c r="I4858" t="s">
        <v>104</v>
      </c>
      <c r="J4858" t="s">
        <v>7061</v>
      </c>
      <c r="K4858" t="s">
        <v>91</v>
      </c>
      <c r="L4858" t="s">
        <v>46</v>
      </c>
      <c r="M4858" t="s">
        <v>68</v>
      </c>
      <c r="N4858" t="s">
        <v>35</v>
      </c>
      <c r="O4858" t="s">
        <v>70</v>
      </c>
      <c r="P4858" t="s">
        <v>49</v>
      </c>
      <c r="Q4858" t="s">
        <v>144</v>
      </c>
      <c r="R4858">
        <v>305</v>
      </c>
      <c r="S4858">
        <v>124</v>
      </c>
      <c r="T4858">
        <v>82</v>
      </c>
      <c r="U4858">
        <v>21</v>
      </c>
      <c r="V4858" t="s">
        <v>413</v>
      </c>
      <c r="W4858">
        <v>28120</v>
      </c>
      <c r="X4858" t="s">
        <v>2259</v>
      </c>
      <c r="Y4858">
        <v>24681</v>
      </c>
      <c r="Z4858">
        <v>590520</v>
      </c>
      <c r="AA4858">
        <v>72219</v>
      </c>
      <c r="AB4858" t="str">
        <f>(VLOOKUP(SalesData[[#This Row],[Month Number]],Reference!C$5:E$16,2,FALSE))</f>
        <v>Feb</v>
      </c>
      <c r="AC4858">
        <f>MONTH(SalesData[[#This Row],[Date]])</f>
        <v>2</v>
      </c>
      <c r="AD4858">
        <f>Reference!F$4</f>
        <v>2026</v>
      </c>
      <c r="AE4858" t="str">
        <f>IF(OR(SalesData[[#This Row],[Day]]="Saturday",SalesData[[#This Row],[Day]]="Sunday"),"Weekend","Weekday")</f>
        <v>Weekday</v>
      </c>
      <c r="AF4858" s="5">
        <f>IF(SalesData[[#This Row],[Contracts Offered]]=0,0,SalesData[[#This Row],[Contracts Signed]]/SalesData[[#This Row],[Contracts Offered]])</f>
        <v>0.25609756097560976</v>
      </c>
      <c r="AG4858" s="5">
        <f>IF(SalesData[[#This Row],[Customers Visited]]=0,0,SalesData[[#This Row],[Test Drives]]/SalesData[[#This Row],[Customers Visited]])</f>
        <v>0.40655737704918032</v>
      </c>
      <c r="AH4858" s="5">
        <f>IF(SalesData[[#This Row],[Customers Visited]]=0,0,SalesData[[#This Row],[Contracts Signed]]/SalesData[[#This Row],[Customers Visited]])</f>
        <v>6.8852459016393447E-2</v>
      </c>
      <c r="AI4858" s="6">
        <f>IF(SalesData[[#This Row],[Contracts Signed]]=0,0,SalesData[[#This Row],[Profit(€)]]/SalesData[[#This Row],[Contracts Signed]])</f>
        <v>3439</v>
      </c>
      <c r="AJ4858" s="5" t="str">
        <f>TRIM(CLEAN(SalesData[[#This Row],[Retailer]]))</f>
        <v>Autohaus Berlin</v>
      </c>
    </row>
    <row r="4859" spans="1:36" ht="14.25" hidden="1" x14ac:dyDescent="0.2">
      <c r="A4859" t="s">
        <v>6139</v>
      </c>
      <c r="B4859" s="1">
        <v>46074</v>
      </c>
      <c r="C4859" t="s">
        <v>62</v>
      </c>
      <c r="D4859" t="s">
        <v>151</v>
      </c>
      <c r="E4859" t="s">
        <v>42</v>
      </c>
      <c r="F4859" t="s">
        <v>127</v>
      </c>
      <c r="G4859" t="s">
        <v>128</v>
      </c>
      <c r="H4859" t="s">
        <v>103</v>
      </c>
      <c r="I4859" t="s">
        <v>116</v>
      </c>
      <c r="J4859" t="s">
        <v>132</v>
      </c>
      <c r="K4859" t="s">
        <v>32</v>
      </c>
      <c r="L4859" t="s">
        <v>46</v>
      </c>
      <c r="M4859" t="s">
        <v>34</v>
      </c>
      <c r="N4859" t="s">
        <v>69</v>
      </c>
      <c r="O4859" t="s">
        <v>70</v>
      </c>
      <c r="P4859" t="s">
        <v>71</v>
      </c>
      <c r="Q4859" t="s">
        <v>169</v>
      </c>
      <c r="R4859">
        <v>321</v>
      </c>
      <c r="S4859">
        <v>142</v>
      </c>
      <c r="T4859">
        <v>94</v>
      </c>
      <c r="U4859">
        <v>23</v>
      </c>
      <c r="V4859" t="s">
        <v>1990</v>
      </c>
      <c r="W4859">
        <v>21191</v>
      </c>
      <c r="X4859" t="s">
        <v>581</v>
      </c>
      <c r="Y4859">
        <v>19349</v>
      </c>
      <c r="Z4859">
        <v>487393</v>
      </c>
      <c r="AA4859">
        <v>42366</v>
      </c>
      <c r="AB4859" t="str">
        <f>(VLOOKUP(SalesData[[#This Row],[Month Number]],Reference!C$5:E$16,2,FALSE))</f>
        <v>Feb</v>
      </c>
      <c r="AC4859">
        <f>MONTH(SalesData[[#This Row],[Date]])</f>
        <v>2</v>
      </c>
      <c r="AD4859">
        <f>Reference!F$4</f>
        <v>2026</v>
      </c>
      <c r="AE4859" t="str">
        <f>IF(OR(SalesData[[#This Row],[Day]]="Saturday",SalesData[[#This Row],[Day]]="Sunday"),"Weekend","Weekday")</f>
        <v>Weekend</v>
      </c>
      <c r="AF4859" s="5">
        <f>IF(SalesData[[#This Row],[Contracts Offered]]=0,0,SalesData[[#This Row],[Contracts Signed]]/SalesData[[#This Row],[Contracts Offered]])</f>
        <v>0.24468085106382978</v>
      </c>
      <c r="AG4859" s="5">
        <f>IF(SalesData[[#This Row],[Customers Visited]]=0,0,SalesData[[#This Row],[Test Drives]]/SalesData[[#This Row],[Customers Visited]])</f>
        <v>0.44236760124610591</v>
      </c>
      <c r="AH4859" s="5">
        <f>IF(SalesData[[#This Row],[Customers Visited]]=0,0,SalesData[[#This Row],[Contracts Signed]]/SalesData[[#This Row],[Customers Visited]])</f>
        <v>7.1651090342679122E-2</v>
      </c>
      <c r="AI4859" s="6">
        <f>IF(SalesData[[#This Row],[Contracts Signed]]=0,0,SalesData[[#This Row],[Profit(€)]]/SalesData[[#This Row],[Contracts Signed]])</f>
        <v>1842</v>
      </c>
      <c r="AJ4859" s="5" t="str">
        <f>TRIM(CLEAN(SalesData[[#This Row],[Retailer]]))</f>
        <v>Rhein Auto Group</v>
      </c>
    </row>
    <row r="4860" spans="1:36" ht="14.25" hidden="1" x14ac:dyDescent="0.2">
      <c r="A4860" t="s">
        <v>6140</v>
      </c>
      <c r="B4860" s="1">
        <v>46067</v>
      </c>
      <c r="C4860" t="s">
        <v>121</v>
      </c>
      <c r="D4860" t="s">
        <v>151</v>
      </c>
      <c r="E4860" t="s">
        <v>42</v>
      </c>
      <c r="F4860" t="s">
        <v>43</v>
      </c>
      <c r="G4860" t="s">
        <v>44</v>
      </c>
      <c r="H4860" t="s">
        <v>45</v>
      </c>
      <c r="I4860" t="s">
        <v>56</v>
      </c>
      <c r="J4860" t="s">
        <v>57</v>
      </c>
      <c r="K4860" t="s">
        <v>78</v>
      </c>
      <c r="L4860" t="s">
        <v>46</v>
      </c>
      <c r="M4860" t="s">
        <v>87</v>
      </c>
      <c r="N4860" t="s">
        <v>69</v>
      </c>
      <c r="O4860" t="s">
        <v>70</v>
      </c>
      <c r="P4860" t="s">
        <v>71</v>
      </c>
      <c r="Q4860" t="s">
        <v>135</v>
      </c>
      <c r="R4860">
        <v>206</v>
      </c>
      <c r="S4860">
        <v>96</v>
      </c>
      <c r="T4860">
        <v>69</v>
      </c>
      <c r="U4860">
        <v>21</v>
      </c>
      <c r="V4860" t="s">
        <v>6542</v>
      </c>
      <c r="W4860">
        <v>48351</v>
      </c>
      <c r="X4860" t="s">
        <v>3904</v>
      </c>
      <c r="Y4860">
        <v>37364</v>
      </c>
      <c r="Z4860">
        <v>1015371</v>
      </c>
      <c r="AA4860">
        <v>230727</v>
      </c>
      <c r="AB4860" t="str">
        <f>(VLOOKUP(SalesData[[#This Row],[Month Number]],Reference!C$5:E$16,2,FALSE))</f>
        <v>Feb</v>
      </c>
      <c r="AC4860">
        <f>MONTH(SalesData[[#This Row],[Date]])</f>
        <v>2</v>
      </c>
      <c r="AD4860">
        <f>Reference!F$4</f>
        <v>2026</v>
      </c>
      <c r="AE4860" t="str">
        <f>IF(OR(SalesData[[#This Row],[Day]]="Saturday",SalesData[[#This Row],[Day]]="Sunday"),"Weekend","Weekday")</f>
        <v>Weekend</v>
      </c>
      <c r="AF4860" s="5">
        <f>IF(SalesData[[#This Row],[Contracts Offered]]=0,0,SalesData[[#This Row],[Contracts Signed]]/SalesData[[#This Row],[Contracts Offered]])</f>
        <v>0.30434782608695654</v>
      </c>
      <c r="AG4860" s="5">
        <f>IF(SalesData[[#This Row],[Customers Visited]]=0,0,SalesData[[#This Row],[Test Drives]]/SalesData[[#This Row],[Customers Visited]])</f>
        <v>0.46601941747572817</v>
      </c>
      <c r="AH4860" s="5">
        <f>IF(SalesData[[#This Row],[Customers Visited]]=0,0,SalesData[[#This Row],[Contracts Signed]]/SalesData[[#This Row],[Customers Visited]])</f>
        <v>0.10194174757281553</v>
      </c>
      <c r="AI4860" s="6">
        <f>IF(SalesData[[#This Row],[Contracts Signed]]=0,0,SalesData[[#This Row],[Profit(€)]]/SalesData[[#This Row],[Contracts Signed]])</f>
        <v>10987</v>
      </c>
      <c r="AJ4860" s="5" t="str">
        <f>TRIM(CLEAN(SalesData[[#This Row],[Retailer]]))</f>
        <v>Saxon Wheels</v>
      </c>
    </row>
    <row r="4861" spans="1:36" ht="14.25" hidden="1" x14ac:dyDescent="0.2">
      <c r="A4861" t="s">
        <v>6141</v>
      </c>
      <c r="B4861" s="1">
        <v>46074</v>
      </c>
      <c r="C4861" t="s">
        <v>62</v>
      </c>
      <c r="D4861" t="s">
        <v>151</v>
      </c>
      <c r="E4861" t="s">
        <v>42</v>
      </c>
      <c r="F4861" t="s">
        <v>94</v>
      </c>
      <c r="G4861" t="s">
        <v>95</v>
      </c>
      <c r="H4861" t="s">
        <v>96</v>
      </c>
      <c r="I4861" t="s">
        <v>56</v>
      </c>
      <c r="J4861" t="s">
        <v>97</v>
      </c>
      <c r="K4861" t="s">
        <v>32</v>
      </c>
      <c r="L4861" t="s">
        <v>33</v>
      </c>
      <c r="M4861" t="s">
        <v>47</v>
      </c>
      <c r="N4861" t="s">
        <v>69</v>
      </c>
      <c r="O4861" t="s">
        <v>70</v>
      </c>
      <c r="P4861" t="s">
        <v>58</v>
      </c>
      <c r="Q4861" t="s">
        <v>167</v>
      </c>
      <c r="R4861">
        <v>281</v>
      </c>
      <c r="S4861">
        <v>144</v>
      </c>
      <c r="T4861">
        <v>103</v>
      </c>
      <c r="U4861">
        <v>37</v>
      </c>
      <c r="V4861" t="s">
        <v>6593</v>
      </c>
      <c r="W4861">
        <v>54425</v>
      </c>
      <c r="X4861" t="s">
        <v>7117</v>
      </c>
      <c r="Y4861">
        <v>42121</v>
      </c>
      <c r="Z4861">
        <v>2013725</v>
      </c>
      <c r="AA4861">
        <v>455248</v>
      </c>
      <c r="AB4861" t="str">
        <f>(VLOOKUP(SalesData[[#This Row],[Month Number]],Reference!C$5:E$16,2,FALSE))</f>
        <v>Feb</v>
      </c>
      <c r="AC4861">
        <f>MONTH(SalesData[[#This Row],[Date]])</f>
        <v>2</v>
      </c>
      <c r="AD4861">
        <f>Reference!F$4</f>
        <v>2026</v>
      </c>
      <c r="AE4861" t="str">
        <f>IF(OR(SalesData[[#This Row],[Day]]="Saturday",SalesData[[#This Row],[Day]]="Sunday"),"Weekend","Weekday")</f>
        <v>Weekend</v>
      </c>
      <c r="AF4861" s="5">
        <f>IF(SalesData[[#This Row],[Contracts Offered]]=0,0,SalesData[[#This Row],[Contracts Signed]]/SalesData[[#This Row],[Contracts Offered]])</f>
        <v>0.35922330097087379</v>
      </c>
      <c r="AG4861" s="5">
        <f>IF(SalesData[[#This Row],[Customers Visited]]=0,0,SalesData[[#This Row],[Test Drives]]/SalesData[[#This Row],[Customers Visited]])</f>
        <v>0.51245551601423489</v>
      </c>
      <c r="AH4861" s="5">
        <f>IF(SalesData[[#This Row],[Customers Visited]]=0,0,SalesData[[#This Row],[Contracts Signed]]/SalesData[[#This Row],[Customers Visited]])</f>
        <v>0.13167259786476868</v>
      </c>
      <c r="AI4861" s="6">
        <f>IF(SalesData[[#This Row],[Contracts Signed]]=0,0,SalesData[[#This Row],[Profit(€)]]/SalesData[[#This Row],[Contracts Signed]])</f>
        <v>12304</v>
      </c>
      <c r="AJ4861" s="5" t="str">
        <f>TRIM(CLEAN(SalesData[[#This Row],[Retailer]]))</f>
        <v>Bavaria Motors</v>
      </c>
    </row>
    <row r="4862" spans="1:36" ht="14.25" x14ac:dyDescent="0.2">
      <c r="A4862" t="s">
        <v>6142</v>
      </c>
      <c r="B4862" s="1">
        <v>46069</v>
      </c>
      <c r="C4862" t="s">
        <v>62</v>
      </c>
      <c r="D4862" t="s">
        <v>25</v>
      </c>
      <c r="E4862" t="s">
        <v>26</v>
      </c>
      <c r="F4862" t="s">
        <v>43</v>
      </c>
      <c r="G4862" t="s">
        <v>44</v>
      </c>
      <c r="H4862" t="s">
        <v>45</v>
      </c>
      <c r="I4862" t="s">
        <v>30</v>
      </c>
      <c r="J4862" t="s">
        <v>86</v>
      </c>
      <c r="K4862" t="s">
        <v>91</v>
      </c>
      <c r="L4862" t="s">
        <v>33</v>
      </c>
      <c r="M4862" t="s">
        <v>47</v>
      </c>
      <c r="N4862" t="s">
        <v>48</v>
      </c>
      <c r="O4862" t="s">
        <v>70</v>
      </c>
      <c r="P4862" t="s">
        <v>49</v>
      </c>
      <c r="Q4862" t="s">
        <v>118</v>
      </c>
      <c r="R4862">
        <v>264</v>
      </c>
      <c r="S4862">
        <v>148</v>
      </c>
      <c r="T4862">
        <v>111</v>
      </c>
      <c r="U4862">
        <v>39</v>
      </c>
      <c r="V4862" t="s">
        <v>6370</v>
      </c>
      <c r="W4862">
        <v>67345</v>
      </c>
      <c r="X4862" t="s">
        <v>2576</v>
      </c>
      <c r="Y4862">
        <v>47328</v>
      </c>
      <c r="Z4862">
        <v>2626455</v>
      </c>
      <c r="AA4862">
        <v>780663</v>
      </c>
      <c r="AB4862" t="str">
        <f>(VLOOKUP(SalesData[[#This Row],[Month Number]],Reference!C$5:E$16,2,FALSE))</f>
        <v>Feb</v>
      </c>
      <c r="AC4862">
        <f>MONTH(SalesData[[#This Row],[Date]])</f>
        <v>2</v>
      </c>
      <c r="AD4862">
        <f>Reference!F$4</f>
        <v>2026</v>
      </c>
      <c r="AE4862" t="str">
        <f>IF(OR(SalesData[[#This Row],[Day]]="Saturday",SalesData[[#This Row],[Day]]="Sunday"),"Weekend","Weekday")</f>
        <v>Weekday</v>
      </c>
      <c r="AF4862" s="5">
        <f>IF(SalesData[[#This Row],[Contracts Offered]]=0,0,SalesData[[#This Row],[Contracts Signed]]/SalesData[[#This Row],[Contracts Offered]])</f>
        <v>0.35135135135135137</v>
      </c>
      <c r="AG4862" s="5">
        <f>IF(SalesData[[#This Row],[Customers Visited]]=0,0,SalesData[[#This Row],[Test Drives]]/SalesData[[#This Row],[Customers Visited]])</f>
        <v>0.56060606060606055</v>
      </c>
      <c r="AH4862" s="5">
        <f>IF(SalesData[[#This Row],[Customers Visited]]=0,0,SalesData[[#This Row],[Contracts Signed]]/SalesData[[#This Row],[Customers Visited]])</f>
        <v>0.14772727272727273</v>
      </c>
      <c r="AI4862" s="6">
        <f>IF(SalesData[[#This Row],[Contracts Signed]]=0,0,SalesData[[#This Row],[Profit(€)]]/SalesData[[#This Row],[Contracts Signed]])</f>
        <v>20017</v>
      </c>
      <c r="AJ4862" s="5" t="str">
        <f>TRIM(CLEAN(SalesData[[#This Row],[Retailer]]))</f>
        <v>Saxon Wheels</v>
      </c>
    </row>
    <row r="4863" spans="1:36" ht="14.25" hidden="1" x14ac:dyDescent="0.2">
      <c r="A4863" t="s">
        <v>6143</v>
      </c>
      <c r="B4863" s="1">
        <v>46076</v>
      </c>
      <c r="C4863" t="s">
        <v>53</v>
      </c>
      <c r="D4863" t="s">
        <v>25</v>
      </c>
      <c r="E4863" t="s">
        <v>26</v>
      </c>
      <c r="F4863" t="s">
        <v>7649</v>
      </c>
      <c r="G4863" t="s">
        <v>55</v>
      </c>
      <c r="H4863" t="s">
        <v>55</v>
      </c>
      <c r="I4863" t="s">
        <v>104</v>
      </c>
      <c r="J4863" t="s">
        <v>7061</v>
      </c>
      <c r="K4863" t="s">
        <v>91</v>
      </c>
      <c r="L4863" t="s">
        <v>46</v>
      </c>
      <c r="M4863" t="s">
        <v>68</v>
      </c>
      <c r="N4863" t="s">
        <v>69</v>
      </c>
      <c r="O4863" t="s">
        <v>70</v>
      </c>
      <c r="P4863" t="s">
        <v>37</v>
      </c>
      <c r="Q4863" t="s">
        <v>50</v>
      </c>
      <c r="R4863">
        <v>404</v>
      </c>
      <c r="S4863">
        <v>175</v>
      </c>
      <c r="T4863">
        <v>123</v>
      </c>
      <c r="U4863">
        <v>31</v>
      </c>
      <c r="V4863" t="s">
        <v>4445</v>
      </c>
      <c r="W4863">
        <v>32276</v>
      </c>
      <c r="X4863" t="s">
        <v>1017</v>
      </c>
      <c r="Y4863">
        <v>28315</v>
      </c>
      <c r="Z4863">
        <v>1000556</v>
      </c>
      <c r="AA4863">
        <v>122791</v>
      </c>
      <c r="AB4863" t="str">
        <f>(VLOOKUP(SalesData[[#This Row],[Month Number]],Reference!C$5:E$16,2,FALSE))</f>
        <v>Feb</v>
      </c>
      <c r="AC4863">
        <f>MONTH(SalesData[[#This Row],[Date]])</f>
        <v>2</v>
      </c>
      <c r="AD4863">
        <f>Reference!F$4</f>
        <v>2026</v>
      </c>
      <c r="AE4863" t="str">
        <f>IF(OR(SalesData[[#This Row],[Day]]="Saturday",SalesData[[#This Row],[Day]]="Sunday"),"Weekend","Weekday")</f>
        <v>Weekday</v>
      </c>
      <c r="AF4863" s="5">
        <f>IF(SalesData[[#This Row],[Contracts Offered]]=0,0,SalesData[[#This Row],[Contracts Signed]]/SalesData[[#This Row],[Contracts Offered]])</f>
        <v>0.25203252032520324</v>
      </c>
      <c r="AG4863" s="5">
        <f>IF(SalesData[[#This Row],[Customers Visited]]=0,0,SalesData[[#This Row],[Test Drives]]/SalesData[[#This Row],[Customers Visited]])</f>
        <v>0.43316831683168316</v>
      </c>
      <c r="AH4863" s="5">
        <f>IF(SalesData[[#This Row],[Customers Visited]]=0,0,SalesData[[#This Row],[Contracts Signed]]/SalesData[[#This Row],[Customers Visited]])</f>
        <v>7.6732673267326731E-2</v>
      </c>
      <c r="AI4863" s="6">
        <f>IF(SalesData[[#This Row],[Contracts Signed]]=0,0,SalesData[[#This Row],[Profit(€)]]/SalesData[[#This Row],[Contracts Signed]])</f>
        <v>3961</v>
      </c>
      <c r="AJ4863" s="5" t="str">
        <f>TRIM(CLEAN(SalesData[[#This Row],[Retailer]]))</f>
        <v>Autohaus Berlin</v>
      </c>
    </row>
    <row r="4864" spans="1:36" ht="14.25" hidden="1" x14ac:dyDescent="0.2">
      <c r="A4864" t="s">
        <v>6144</v>
      </c>
      <c r="B4864" s="1">
        <v>46069</v>
      </c>
      <c r="C4864" t="s">
        <v>62</v>
      </c>
      <c r="D4864" t="s">
        <v>25</v>
      </c>
      <c r="E4864" t="s">
        <v>26</v>
      </c>
      <c r="F4864" t="s">
        <v>94</v>
      </c>
      <c r="G4864" t="s">
        <v>95</v>
      </c>
      <c r="H4864" t="s">
        <v>96</v>
      </c>
      <c r="I4864" t="s">
        <v>64</v>
      </c>
      <c r="J4864" t="s">
        <v>111</v>
      </c>
      <c r="K4864" t="s">
        <v>78</v>
      </c>
      <c r="L4864" t="s">
        <v>46</v>
      </c>
      <c r="M4864" t="s">
        <v>68</v>
      </c>
      <c r="N4864" t="s">
        <v>35</v>
      </c>
      <c r="O4864" t="s">
        <v>36</v>
      </c>
      <c r="P4864" t="s">
        <v>58</v>
      </c>
      <c r="Q4864" t="s">
        <v>152</v>
      </c>
      <c r="R4864">
        <v>164</v>
      </c>
      <c r="S4864">
        <v>72</v>
      </c>
      <c r="T4864">
        <v>48</v>
      </c>
      <c r="U4864">
        <v>23</v>
      </c>
      <c r="V4864" t="s">
        <v>7612</v>
      </c>
      <c r="W4864">
        <v>63096</v>
      </c>
      <c r="X4864" t="s">
        <v>7511</v>
      </c>
      <c r="Y4864">
        <v>45879</v>
      </c>
      <c r="Z4864">
        <v>1451208</v>
      </c>
      <c r="AA4864">
        <v>395991</v>
      </c>
      <c r="AB4864" t="str">
        <f>(VLOOKUP(SalesData[[#This Row],[Month Number]],Reference!C$5:E$16,2,FALSE))</f>
        <v>Feb</v>
      </c>
      <c r="AC4864">
        <f>MONTH(SalesData[[#This Row],[Date]])</f>
        <v>2</v>
      </c>
      <c r="AD4864">
        <f>Reference!F$4</f>
        <v>2026</v>
      </c>
      <c r="AE4864" t="str">
        <f>IF(OR(SalesData[[#This Row],[Day]]="Saturday",SalesData[[#This Row],[Day]]="Sunday"),"Weekend","Weekday")</f>
        <v>Weekday</v>
      </c>
      <c r="AF4864" s="5">
        <f>IF(SalesData[[#This Row],[Contracts Offered]]=0,0,SalesData[[#This Row],[Contracts Signed]]/SalesData[[#This Row],[Contracts Offered]])</f>
        <v>0.47916666666666669</v>
      </c>
      <c r="AG4864" s="5">
        <f>IF(SalesData[[#This Row],[Customers Visited]]=0,0,SalesData[[#This Row],[Test Drives]]/SalesData[[#This Row],[Customers Visited]])</f>
        <v>0.43902439024390244</v>
      </c>
      <c r="AH4864" s="5">
        <f>IF(SalesData[[#This Row],[Customers Visited]]=0,0,SalesData[[#This Row],[Contracts Signed]]/SalesData[[#This Row],[Customers Visited]])</f>
        <v>0.1402439024390244</v>
      </c>
      <c r="AI4864" s="6">
        <f>IF(SalesData[[#This Row],[Contracts Signed]]=0,0,SalesData[[#This Row],[Profit(€)]]/SalesData[[#This Row],[Contracts Signed]])</f>
        <v>17217</v>
      </c>
      <c r="AJ4864" s="5" t="str">
        <f>TRIM(CLEAN(SalesData[[#This Row],[Retailer]]))</f>
        <v>Bavaria Motors</v>
      </c>
    </row>
    <row r="4865" spans="1:36" ht="14.25" hidden="1" x14ac:dyDescent="0.2">
      <c r="A4865" t="s">
        <v>6145</v>
      </c>
      <c r="B4865" s="1">
        <v>46062</v>
      </c>
      <c r="C4865" t="s">
        <v>121</v>
      </c>
      <c r="D4865" t="s">
        <v>25</v>
      </c>
      <c r="E4865" t="s">
        <v>26</v>
      </c>
      <c r="F4865" t="s">
        <v>83</v>
      </c>
      <c r="G4865" t="s">
        <v>84</v>
      </c>
      <c r="H4865" t="s">
        <v>85</v>
      </c>
      <c r="I4865" t="s">
        <v>116</v>
      </c>
      <c r="J4865" t="s">
        <v>203</v>
      </c>
      <c r="K4865" t="s">
        <v>66</v>
      </c>
      <c r="L4865" t="s">
        <v>67</v>
      </c>
      <c r="M4865" t="s">
        <v>47</v>
      </c>
      <c r="N4865" t="s">
        <v>48</v>
      </c>
      <c r="O4865" t="s">
        <v>36</v>
      </c>
      <c r="P4865" t="s">
        <v>71</v>
      </c>
      <c r="Q4865" t="s">
        <v>88</v>
      </c>
      <c r="R4865">
        <v>388</v>
      </c>
      <c r="S4865">
        <v>183</v>
      </c>
      <c r="T4865">
        <v>107</v>
      </c>
      <c r="U4865">
        <v>33</v>
      </c>
      <c r="V4865" t="s">
        <v>335</v>
      </c>
      <c r="W4865">
        <v>23953</v>
      </c>
      <c r="X4865" t="s">
        <v>804</v>
      </c>
      <c r="Y4865">
        <v>22061</v>
      </c>
      <c r="Z4865">
        <v>790449</v>
      </c>
      <c r="AA4865">
        <v>62436</v>
      </c>
      <c r="AB4865" t="str">
        <f>(VLOOKUP(SalesData[[#This Row],[Month Number]],Reference!C$5:E$16,2,FALSE))</f>
        <v>Feb</v>
      </c>
      <c r="AC4865">
        <f>MONTH(SalesData[[#This Row],[Date]])</f>
        <v>2</v>
      </c>
      <c r="AD4865">
        <f>Reference!F$4</f>
        <v>2026</v>
      </c>
      <c r="AE4865" t="str">
        <f>IF(OR(SalesData[[#This Row],[Day]]="Saturday",SalesData[[#This Row],[Day]]="Sunday"),"Weekend","Weekday")</f>
        <v>Weekday</v>
      </c>
      <c r="AF4865" s="5">
        <f>IF(SalesData[[#This Row],[Contracts Offered]]=0,0,SalesData[[#This Row],[Contracts Signed]]/SalesData[[#This Row],[Contracts Offered]])</f>
        <v>0.30841121495327101</v>
      </c>
      <c r="AG4865" s="5">
        <f>IF(SalesData[[#This Row],[Customers Visited]]=0,0,SalesData[[#This Row],[Test Drives]]/SalesData[[#This Row],[Customers Visited]])</f>
        <v>0.47164948453608246</v>
      </c>
      <c r="AH4865" s="5">
        <f>IF(SalesData[[#This Row],[Customers Visited]]=0,0,SalesData[[#This Row],[Contracts Signed]]/SalesData[[#This Row],[Customers Visited]])</f>
        <v>8.505154639175258E-2</v>
      </c>
      <c r="AI4865" s="6">
        <f>IF(SalesData[[#This Row],[Contracts Signed]]=0,0,SalesData[[#This Row],[Profit(€)]]/SalesData[[#This Row],[Contracts Signed]])</f>
        <v>1892</v>
      </c>
      <c r="AJ4865" s="5" t="str">
        <f>TRIM(CLEAN(SalesData[[#This Row],[Retailer]]))</f>
        <v>Hannover Cars</v>
      </c>
    </row>
    <row r="4866" spans="1:36" ht="14.25" hidden="1" x14ac:dyDescent="0.2">
      <c r="A4866" t="s">
        <v>6146</v>
      </c>
      <c r="B4866" s="1">
        <v>46078</v>
      </c>
      <c r="C4866" t="s">
        <v>53</v>
      </c>
      <c r="D4866" t="s">
        <v>82</v>
      </c>
      <c r="E4866" t="s">
        <v>26</v>
      </c>
      <c r="F4866" t="s">
        <v>27</v>
      </c>
      <c r="G4866" t="s">
        <v>28</v>
      </c>
      <c r="H4866" t="s">
        <v>29</v>
      </c>
      <c r="I4866" t="s">
        <v>116</v>
      </c>
      <c r="J4866" t="s">
        <v>7026</v>
      </c>
      <c r="K4866" t="s">
        <v>78</v>
      </c>
      <c r="L4866" t="s">
        <v>46</v>
      </c>
      <c r="M4866" t="s">
        <v>68</v>
      </c>
      <c r="N4866" t="s">
        <v>69</v>
      </c>
      <c r="O4866" t="s">
        <v>36</v>
      </c>
      <c r="P4866" t="s">
        <v>71</v>
      </c>
      <c r="Q4866" t="s">
        <v>135</v>
      </c>
      <c r="R4866">
        <v>273</v>
      </c>
      <c r="S4866">
        <v>115</v>
      </c>
      <c r="T4866">
        <v>75</v>
      </c>
      <c r="U4866">
        <v>21</v>
      </c>
      <c r="V4866" t="s">
        <v>990</v>
      </c>
      <c r="W4866">
        <v>21677</v>
      </c>
      <c r="X4866" t="s">
        <v>2518</v>
      </c>
      <c r="Y4866">
        <v>19694</v>
      </c>
      <c r="Z4866">
        <v>455217</v>
      </c>
      <c r="AA4866">
        <v>41643</v>
      </c>
      <c r="AB4866" t="str">
        <f>(VLOOKUP(SalesData[[#This Row],[Month Number]],Reference!C$5:E$16,2,FALSE))</f>
        <v>Feb</v>
      </c>
      <c r="AC4866">
        <f>MONTH(SalesData[[#This Row],[Date]])</f>
        <v>2</v>
      </c>
      <c r="AD4866">
        <f>Reference!F$4</f>
        <v>2026</v>
      </c>
      <c r="AE4866" t="str">
        <f>IF(OR(SalesData[[#This Row],[Day]]="Saturday",SalesData[[#This Row],[Day]]="Sunday"),"Weekend","Weekday")</f>
        <v>Weekday</v>
      </c>
      <c r="AF4866" s="5">
        <f>IF(SalesData[[#This Row],[Contracts Offered]]=0,0,SalesData[[#This Row],[Contracts Signed]]/SalesData[[#This Row],[Contracts Offered]])</f>
        <v>0.28000000000000003</v>
      </c>
      <c r="AG4866" s="5">
        <f>IF(SalesData[[#This Row],[Customers Visited]]=0,0,SalesData[[#This Row],[Test Drives]]/SalesData[[#This Row],[Customers Visited]])</f>
        <v>0.42124542124542125</v>
      </c>
      <c r="AH4866" s="5">
        <f>IF(SalesData[[#This Row],[Customers Visited]]=0,0,SalesData[[#This Row],[Contracts Signed]]/SalesData[[#This Row],[Customers Visited]])</f>
        <v>7.6923076923076927E-2</v>
      </c>
      <c r="AI4866" s="6">
        <f>IF(SalesData[[#This Row],[Contracts Signed]]=0,0,SalesData[[#This Row],[Profit(€)]]/SalesData[[#This Row],[Contracts Signed]])</f>
        <v>1983</v>
      </c>
      <c r="AJ4866" s="5" t="str">
        <f>TRIM(CLEAN(SalesData[[#This Row],[Retailer]]))</f>
        <v>Main Auto Hub</v>
      </c>
    </row>
    <row r="4867" spans="1:36" ht="14.25" x14ac:dyDescent="0.2">
      <c r="A4867" t="s">
        <v>6147</v>
      </c>
      <c r="B4867" s="1">
        <v>46056</v>
      </c>
      <c r="C4867" t="s">
        <v>24</v>
      </c>
      <c r="D4867" t="s">
        <v>63</v>
      </c>
      <c r="E4867" t="s">
        <v>26</v>
      </c>
      <c r="F4867" t="s">
        <v>27</v>
      </c>
      <c r="G4867" t="s">
        <v>28</v>
      </c>
      <c r="H4867" t="s">
        <v>29</v>
      </c>
      <c r="I4867" t="s">
        <v>30</v>
      </c>
      <c r="J4867" t="s">
        <v>86</v>
      </c>
      <c r="K4867" t="s">
        <v>66</v>
      </c>
      <c r="L4867" t="s">
        <v>33</v>
      </c>
      <c r="M4867" t="s">
        <v>87</v>
      </c>
      <c r="N4867" t="s">
        <v>48</v>
      </c>
      <c r="O4867" t="s">
        <v>70</v>
      </c>
      <c r="P4867" t="s">
        <v>37</v>
      </c>
      <c r="Q4867" t="s">
        <v>158</v>
      </c>
      <c r="R4867">
        <v>174</v>
      </c>
      <c r="S4867">
        <v>102</v>
      </c>
      <c r="T4867">
        <v>82</v>
      </c>
      <c r="U4867">
        <v>25</v>
      </c>
      <c r="V4867" t="s">
        <v>6516</v>
      </c>
      <c r="W4867">
        <v>52755</v>
      </c>
      <c r="X4867" t="s">
        <v>826</v>
      </c>
      <c r="Y4867">
        <v>38465</v>
      </c>
      <c r="Z4867">
        <v>1318875</v>
      </c>
      <c r="AA4867">
        <v>357250</v>
      </c>
      <c r="AB4867" t="str">
        <f>(VLOOKUP(SalesData[[#This Row],[Month Number]],Reference!C$5:E$16,2,FALSE))</f>
        <v>Feb</v>
      </c>
      <c r="AC4867">
        <f>MONTH(SalesData[[#This Row],[Date]])</f>
        <v>2</v>
      </c>
      <c r="AD4867">
        <f>Reference!F$4</f>
        <v>2026</v>
      </c>
      <c r="AE4867" t="str">
        <f>IF(OR(SalesData[[#This Row],[Day]]="Saturday",SalesData[[#This Row],[Day]]="Sunday"),"Weekend","Weekday")</f>
        <v>Weekday</v>
      </c>
      <c r="AF4867" s="5">
        <f>IF(SalesData[[#This Row],[Contracts Offered]]=0,0,SalesData[[#This Row],[Contracts Signed]]/SalesData[[#This Row],[Contracts Offered]])</f>
        <v>0.3048780487804878</v>
      </c>
      <c r="AG4867" s="5">
        <f>IF(SalesData[[#This Row],[Customers Visited]]=0,0,SalesData[[#This Row],[Test Drives]]/SalesData[[#This Row],[Customers Visited]])</f>
        <v>0.58620689655172409</v>
      </c>
      <c r="AH4867" s="5">
        <f>IF(SalesData[[#This Row],[Customers Visited]]=0,0,SalesData[[#This Row],[Contracts Signed]]/SalesData[[#This Row],[Customers Visited]])</f>
        <v>0.14367816091954022</v>
      </c>
      <c r="AI4867" s="6">
        <f>IF(SalesData[[#This Row],[Contracts Signed]]=0,0,SalesData[[#This Row],[Profit(€)]]/SalesData[[#This Row],[Contracts Signed]])</f>
        <v>14290</v>
      </c>
      <c r="AJ4867" s="5" t="str">
        <f>TRIM(CLEAN(SalesData[[#This Row],[Retailer]]))</f>
        <v>Main Auto Hub</v>
      </c>
    </row>
    <row r="4868" spans="1:36" ht="14.25" hidden="1" x14ac:dyDescent="0.2">
      <c r="A4868" t="s">
        <v>6148</v>
      </c>
      <c r="B4868" s="1">
        <v>46070</v>
      </c>
      <c r="C4868" t="s">
        <v>62</v>
      </c>
      <c r="D4868" t="s">
        <v>63</v>
      </c>
      <c r="E4868" t="s">
        <v>26</v>
      </c>
      <c r="F4868" t="s">
        <v>101</v>
      </c>
      <c r="G4868" t="s">
        <v>102</v>
      </c>
      <c r="H4868" t="s">
        <v>103</v>
      </c>
      <c r="I4868" t="s">
        <v>64</v>
      </c>
      <c r="J4868" t="s">
        <v>65</v>
      </c>
      <c r="K4868" t="s">
        <v>78</v>
      </c>
      <c r="L4868" t="s">
        <v>33</v>
      </c>
      <c r="M4868" t="s">
        <v>68</v>
      </c>
      <c r="N4868" t="s">
        <v>35</v>
      </c>
      <c r="O4868" t="s">
        <v>36</v>
      </c>
      <c r="P4868" t="s">
        <v>58</v>
      </c>
      <c r="Q4868" t="s">
        <v>38</v>
      </c>
      <c r="R4868">
        <v>281</v>
      </c>
      <c r="S4868">
        <v>143</v>
      </c>
      <c r="T4868">
        <v>108</v>
      </c>
      <c r="U4868">
        <v>37</v>
      </c>
      <c r="V4868" t="s">
        <v>6485</v>
      </c>
      <c r="W4868">
        <v>59240</v>
      </c>
      <c r="X4868" t="s">
        <v>7633</v>
      </c>
      <c r="Y4868">
        <v>43922</v>
      </c>
      <c r="Z4868">
        <v>2191880</v>
      </c>
      <c r="AA4868">
        <v>566766</v>
      </c>
      <c r="AB4868" t="str">
        <f>(VLOOKUP(SalesData[[#This Row],[Month Number]],Reference!C$5:E$16,2,FALSE))</f>
        <v>Feb</v>
      </c>
      <c r="AC4868">
        <f>MONTH(SalesData[[#This Row],[Date]])</f>
        <v>2</v>
      </c>
      <c r="AD4868">
        <f>Reference!F$4</f>
        <v>2026</v>
      </c>
      <c r="AE4868" t="str">
        <f>IF(OR(SalesData[[#This Row],[Day]]="Saturday",SalesData[[#This Row],[Day]]="Sunday"),"Weekend","Weekday")</f>
        <v>Weekday</v>
      </c>
      <c r="AF4868" s="5">
        <f>IF(SalesData[[#This Row],[Contracts Offered]]=0,0,SalesData[[#This Row],[Contracts Signed]]/SalesData[[#This Row],[Contracts Offered]])</f>
        <v>0.34259259259259262</v>
      </c>
      <c r="AG4868" s="5">
        <f>IF(SalesData[[#This Row],[Customers Visited]]=0,0,SalesData[[#This Row],[Test Drives]]/SalesData[[#This Row],[Customers Visited]])</f>
        <v>0.50889679715302494</v>
      </c>
      <c r="AH4868" s="5">
        <f>IF(SalesData[[#This Row],[Customers Visited]]=0,0,SalesData[[#This Row],[Contracts Signed]]/SalesData[[#This Row],[Customers Visited]])</f>
        <v>0.13167259786476868</v>
      </c>
      <c r="AI4868" s="6">
        <f>IF(SalesData[[#This Row],[Contracts Signed]]=0,0,SalesData[[#This Row],[Profit(€)]]/SalesData[[#This Row],[Contracts Signed]])</f>
        <v>15318</v>
      </c>
      <c r="AJ4868" s="5" t="str">
        <f>TRIM(CLEAN(SalesData[[#This Row],[Retailer]]))</f>
        <v>Ruhr Auto Plaza</v>
      </c>
    </row>
    <row r="4869" spans="1:36" ht="14.25" hidden="1" x14ac:dyDescent="0.2">
      <c r="A4869" t="s">
        <v>6149</v>
      </c>
      <c r="B4869" s="1">
        <v>46070</v>
      </c>
      <c r="C4869" t="s">
        <v>62</v>
      </c>
      <c r="D4869" t="s">
        <v>63</v>
      </c>
      <c r="E4869" t="s">
        <v>26</v>
      </c>
      <c r="F4869" t="s">
        <v>127</v>
      </c>
      <c r="G4869" t="s">
        <v>128</v>
      </c>
      <c r="H4869" t="s">
        <v>103</v>
      </c>
      <c r="I4869" t="s">
        <v>116</v>
      </c>
      <c r="J4869" t="s">
        <v>117</v>
      </c>
      <c r="K4869" t="s">
        <v>66</v>
      </c>
      <c r="L4869" t="s">
        <v>67</v>
      </c>
      <c r="M4869" t="s">
        <v>47</v>
      </c>
      <c r="N4869" t="s">
        <v>35</v>
      </c>
      <c r="O4869" t="s">
        <v>70</v>
      </c>
      <c r="P4869" t="s">
        <v>58</v>
      </c>
      <c r="Q4869" t="s">
        <v>169</v>
      </c>
      <c r="R4869">
        <v>427</v>
      </c>
      <c r="S4869">
        <v>162</v>
      </c>
      <c r="T4869">
        <v>104</v>
      </c>
      <c r="U4869">
        <v>31</v>
      </c>
      <c r="V4869" t="s">
        <v>164</v>
      </c>
      <c r="W4869">
        <v>23217</v>
      </c>
      <c r="X4869" t="s">
        <v>1670</v>
      </c>
      <c r="Y4869">
        <v>21170</v>
      </c>
      <c r="Z4869">
        <v>719727</v>
      </c>
      <c r="AA4869">
        <v>63457</v>
      </c>
      <c r="AB4869" t="str">
        <f>(VLOOKUP(SalesData[[#This Row],[Month Number]],Reference!C$5:E$16,2,FALSE))</f>
        <v>Feb</v>
      </c>
      <c r="AC4869">
        <f>MONTH(SalesData[[#This Row],[Date]])</f>
        <v>2</v>
      </c>
      <c r="AD4869">
        <f>Reference!F$4</f>
        <v>2026</v>
      </c>
      <c r="AE4869" t="str">
        <f>IF(OR(SalesData[[#This Row],[Day]]="Saturday",SalesData[[#This Row],[Day]]="Sunday"),"Weekend","Weekday")</f>
        <v>Weekday</v>
      </c>
      <c r="AF4869" s="5">
        <f>IF(SalesData[[#This Row],[Contracts Offered]]=0,0,SalesData[[#This Row],[Contracts Signed]]/SalesData[[#This Row],[Contracts Offered]])</f>
        <v>0.29807692307692307</v>
      </c>
      <c r="AG4869" s="5">
        <f>IF(SalesData[[#This Row],[Customers Visited]]=0,0,SalesData[[#This Row],[Test Drives]]/SalesData[[#This Row],[Customers Visited]])</f>
        <v>0.37939110070257609</v>
      </c>
      <c r="AH4869" s="5">
        <f>IF(SalesData[[#This Row],[Customers Visited]]=0,0,SalesData[[#This Row],[Contracts Signed]]/SalesData[[#This Row],[Customers Visited]])</f>
        <v>7.2599531615925056E-2</v>
      </c>
      <c r="AI4869" s="6">
        <f>IF(SalesData[[#This Row],[Contracts Signed]]=0,0,SalesData[[#This Row],[Profit(€)]]/SalesData[[#This Row],[Contracts Signed]])</f>
        <v>2047</v>
      </c>
      <c r="AJ4869" s="5" t="str">
        <f>TRIM(CLEAN(SalesData[[#This Row],[Retailer]]))</f>
        <v>Rhein Auto Group</v>
      </c>
    </row>
    <row r="4870" spans="1:36" ht="14.25" x14ac:dyDescent="0.2">
      <c r="A4870" t="s">
        <v>6150</v>
      </c>
      <c r="B4870" s="1">
        <v>46073</v>
      </c>
      <c r="C4870" t="s">
        <v>62</v>
      </c>
      <c r="D4870" t="s">
        <v>54</v>
      </c>
      <c r="E4870" t="s">
        <v>26</v>
      </c>
      <c r="F4870" t="s">
        <v>114</v>
      </c>
      <c r="G4870" t="s">
        <v>115</v>
      </c>
      <c r="H4870" t="s">
        <v>115</v>
      </c>
      <c r="I4870" t="s">
        <v>30</v>
      </c>
      <c r="J4870" t="s">
        <v>31</v>
      </c>
      <c r="K4870" t="s">
        <v>66</v>
      </c>
      <c r="L4870" t="s">
        <v>46</v>
      </c>
      <c r="M4870" t="s">
        <v>87</v>
      </c>
      <c r="N4870" t="s">
        <v>69</v>
      </c>
      <c r="O4870" t="s">
        <v>70</v>
      </c>
      <c r="P4870" t="s">
        <v>71</v>
      </c>
      <c r="Q4870" t="s">
        <v>106</v>
      </c>
      <c r="R4870">
        <v>150</v>
      </c>
      <c r="S4870">
        <v>76</v>
      </c>
      <c r="T4870">
        <v>51</v>
      </c>
      <c r="U4870">
        <v>22</v>
      </c>
      <c r="V4870" t="s">
        <v>6649</v>
      </c>
      <c r="W4870">
        <v>59856</v>
      </c>
      <c r="X4870" t="s">
        <v>2887</v>
      </c>
      <c r="Y4870">
        <v>46067</v>
      </c>
      <c r="Z4870">
        <v>1316832</v>
      </c>
      <c r="AA4870">
        <v>303358</v>
      </c>
      <c r="AB4870" t="str">
        <f>(VLOOKUP(SalesData[[#This Row],[Month Number]],Reference!C$5:E$16,2,FALSE))</f>
        <v>Feb</v>
      </c>
      <c r="AC4870">
        <f>MONTH(SalesData[[#This Row],[Date]])</f>
        <v>2</v>
      </c>
      <c r="AD4870">
        <f>Reference!F$4</f>
        <v>2026</v>
      </c>
      <c r="AE4870" t="str">
        <f>IF(OR(SalesData[[#This Row],[Day]]="Saturday",SalesData[[#This Row],[Day]]="Sunday"),"Weekend","Weekday")</f>
        <v>Weekday</v>
      </c>
      <c r="AF4870" s="5">
        <f>IF(SalesData[[#This Row],[Contracts Offered]]=0,0,SalesData[[#This Row],[Contracts Signed]]/SalesData[[#This Row],[Contracts Offered]])</f>
        <v>0.43137254901960786</v>
      </c>
      <c r="AG4870" s="5">
        <f>IF(SalesData[[#This Row],[Customers Visited]]=0,0,SalesData[[#This Row],[Test Drives]]/SalesData[[#This Row],[Customers Visited]])</f>
        <v>0.50666666666666671</v>
      </c>
      <c r="AH4870" s="5">
        <f>IF(SalesData[[#This Row],[Customers Visited]]=0,0,SalesData[[#This Row],[Contracts Signed]]/SalesData[[#This Row],[Customers Visited]])</f>
        <v>0.14666666666666667</v>
      </c>
      <c r="AI4870" s="6">
        <f>IF(SalesData[[#This Row],[Contracts Signed]]=0,0,SalesData[[#This Row],[Profit(€)]]/SalesData[[#This Row],[Contracts Signed]])</f>
        <v>13789</v>
      </c>
      <c r="AJ4870" s="5" t="str">
        <f>TRIM(CLEAN(SalesData[[#This Row],[Retailer]]))</f>
        <v>Elbe Drive</v>
      </c>
    </row>
    <row r="4871" spans="1:36" ht="14.25" hidden="1" x14ac:dyDescent="0.2">
      <c r="A4871" t="s">
        <v>6151</v>
      </c>
      <c r="B4871" s="1">
        <v>46078</v>
      </c>
      <c r="C4871" t="s">
        <v>53</v>
      </c>
      <c r="D4871" t="s">
        <v>82</v>
      </c>
      <c r="E4871" t="s">
        <v>26</v>
      </c>
      <c r="F4871" t="s">
        <v>114</v>
      </c>
      <c r="G4871" t="s">
        <v>115</v>
      </c>
      <c r="H4871" t="s">
        <v>115</v>
      </c>
      <c r="I4871" t="s">
        <v>56</v>
      </c>
      <c r="J4871" t="s">
        <v>57</v>
      </c>
      <c r="K4871" t="s">
        <v>32</v>
      </c>
      <c r="L4871" t="s">
        <v>46</v>
      </c>
      <c r="M4871" t="s">
        <v>68</v>
      </c>
      <c r="N4871" t="s">
        <v>69</v>
      </c>
      <c r="O4871" t="s">
        <v>36</v>
      </c>
      <c r="P4871" t="s">
        <v>49</v>
      </c>
      <c r="Q4871" t="s">
        <v>129</v>
      </c>
      <c r="R4871">
        <v>196</v>
      </c>
      <c r="S4871">
        <v>108</v>
      </c>
      <c r="T4871">
        <v>82</v>
      </c>
      <c r="U4871">
        <v>25</v>
      </c>
      <c r="V4871" t="s">
        <v>6773</v>
      </c>
      <c r="W4871">
        <v>52744</v>
      </c>
      <c r="X4871" t="s">
        <v>710</v>
      </c>
      <c r="Y4871">
        <v>41618</v>
      </c>
      <c r="Z4871">
        <v>1318600</v>
      </c>
      <c r="AA4871">
        <v>278150</v>
      </c>
      <c r="AB4871" t="str">
        <f>(VLOOKUP(SalesData[[#This Row],[Month Number]],Reference!C$5:E$16,2,FALSE))</f>
        <v>Feb</v>
      </c>
      <c r="AC4871">
        <f>MONTH(SalesData[[#This Row],[Date]])</f>
        <v>2</v>
      </c>
      <c r="AD4871">
        <f>Reference!F$4</f>
        <v>2026</v>
      </c>
      <c r="AE4871" t="str">
        <f>IF(OR(SalesData[[#This Row],[Day]]="Saturday",SalesData[[#This Row],[Day]]="Sunday"),"Weekend","Weekday")</f>
        <v>Weekday</v>
      </c>
      <c r="AF4871" s="5">
        <f>IF(SalesData[[#This Row],[Contracts Offered]]=0,0,SalesData[[#This Row],[Contracts Signed]]/SalesData[[#This Row],[Contracts Offered]])</f>
        <v>0.3048780487804878</v>
      </c>
      <c r="AG4871" s="5">
        <f>IF(SalesData[[#This Row],[Customers Visited]]=0,0,SalesData[[#This Row],[Test Drives]]/SalesData[[#This Row],[Customers Visited]])</f>
        <v>0.55102040816326525</v>
      </c>
      <c r="AH4871" s="5">
        <f>IF(SalesData[[#This Row],[Customers Visited]]=0,0,SalesData[[#This Row],[Contracts Signed]]/SalesData[[#This Row],[Customers Visited]])</f>
        <v>0.12755102040816327</v>
      </c>
      <c r="AI4871" s="6">
        <f>IF(SalesData[[#This Row],[Contracts Signed]]=0,0,SalesData[[#This Row],[Profit(€)]]/SalesData[[#This Row],[Contracts Signed]])</f>
        <v>11126</v>
      </c>
      <c r="AJ4871" s="5" t="str">
        <f>TRIM(CLEAN(SalesData[[#This Row],[Retailer]]))</f>
        <v>Elbe Drive</v>
      </c>
    </row>
    <row r="4872" spans="1:36" ht="14.25" x14ac:dyDescent="0.2">
      <c r="A4872" t="s">
        <v>6152</v>
      </c>
      <c r="B4872" s="1">
        <v>46058</v>
      </c>
      <c r="C4872" t="s">
        <v>24</v>
      </c>
      <c r="D4872" t="s">
        <v>100</v>
      </c>
      <c r="E4872" t="s">
        <v>26</v>
      </c>
      <c r="F4872" t="s">
        <v>7649</v>
      </c>
      <c r="G4872" t="s">
        <v>55</v>
      </c>
      <c r="H4872" t="s">
        <v>55</v>
      </c>
      <c r="I4872" t="s">
        <v>30</v>
      </c>
      <c r="J4872" t="s">
        <v>166</v>
      </c>
      <c r="K4872" t="s">
        <v>66</v>
      </c>
      <c r="L4872" t="s">
        <v>46</v>
      </c>
      <c r="M4872" t="s">
        <v>87</v>
      </c>
      <c r="N4872" t="s">
        <v>48</v>
      </c>
      <c r="O4872" t="s">
        <v>36</v>
      </c>
      <c r="P4872" t="s">
        <v>58</v>
      </c>
      <c r="Q4872" t="s">
        <v>106</v>
      </c>
      <c r="R4872">
        <v>231</v>
      </c>
      <c r="S4872">
        <v>118</v>
      </c>
      <c r="T4872">
        <v>91</v>
      </c>
      <c r="U4872">
        <v>40</v>
      </c>
      <c r="V4872" t="s">
        <v>7490</v>
      </c>
      <c r="W4872">
        <v>63694</v>
      </c>
      <c r="X4872" t="s">
        <v>7085</v>
      </c>
      <c r="Y4872">
        <v>48946</v>
      </c>
      <c r="Z4872">
        <v>2547760</v>
      </c>
      <c r="AA4872">
        <v>589920</v>
      </c>
      <c r="AB4872" t="str">
        <f>(VLOOKUP(SalesData[[#This Row],[Month Number]],Reference!C$5:E$16,2,FALSE))</f>
        <v>Feb</v>
      </c>
      <c r="AC4872">
        <f>MONTH(SalesData[[#This Row],[Date]])</f>
        <v>2</v>
      </c>
      <c r="AD4872">
        <f>Reference!F$4</f>
        <v>2026</v>
      </c>
      <c r="AE4872" t="str">
        <f>IF(OR(SalesData[[#This Row],[Day]]="Saturday",SalesData[[#This Row],[Day]]="Sunday"),"Weekend","Weekday")</f>
        <v>Weekday</v>
      </c>
      <c r="AF4872" s="5">
        <f>IF(SalesData[[#This Row],[Contracts Offered]]=0,0,SalesData[[#This Row],[Contracts Signed]]/SalesData[[#This Row],[Contracts Offered]])</f>
        <v>0.43956043956043955</v>
      </c>
      <c r="AG4872" s="5">
        <f>IF(SalesData[[#This Row],[Customers Visited]]=0,0,SalesData[[#This Row],[Test Drives]]/SalesData[[#This Row],[Customers Visited]])</f>
        <v>0.51082251082251084</v>
      </c>
      <c r="AH4872" s="5">
        <f>IF(SalesData[[#This Row],[Customers Visited]]=0,0,SalesData[[#This Row],[Contracts Signed]]/SalesData[[#This Row],[Customers Visited]])</f>
        <v>0.17316017316017315</v>
      </c>
      <c r="AI4872" s="6">
        <f>IF(SalesData[[#This Row],[Contracts Signed]]=0,0,SalesData[[#This Row],[Profit(€)]]/SalesData[[#This Row],[Contracts Signed]])</f>
        <v>14748</v>
      </c>
      <c r="AJ4872" s="5" t="str">
        <f>TRIM(CLEAN(SalesData[[#This Row],[Retailer]]))</f>
        <v>Autohaus Berlin</v>
      </c>
    </row>
    <row r="4873" spans="1:36" ht="14.25" hidden="1" x14ac:dyDescent="0.2">
      <c r="A4873" t="s">
        <v>6153</v>
      </c>
      <c r="B4873" s="1">
        <v>46060</v>
      </c>
      <c r="C4873" t="s">
        <v>24</v>
      </c>
      <c r="D4873" t="s">
        <v>151</v>
      </c>
      <c r="E4873" t="s">
        <v>42</v>
      </c>
      <c r="F4873" t="s">
        <v>43</v>
      </c>
      <c r="G4873" t="s">
        <v>44</v>
      </c>
      <c r="H4873" t="s">
        <v>45</v>
      </c>
      <c r="I4873" t="s">
        <v>116</v>
      </c>
      <c r="J4873" t="s">
        <v>7026</v>
      </c>
      <c r="K4873" t="s">
        <v>66</v>
      </c>
      <c r="L4873" t="s">
        <v>46</v>
      </c>
      <c r="M4873" t="s">
        <v>87</v>
      </c>
      <c r="N4873" t="s">
        <v>69</v>
      </c>
      <c r="O4873" t="s">
        <v>36</v>
      </c>
      <c r="P4873" t="s">
        <v>49</v>
      </c>
      <c r="Q4873" t="s">
        <v>50</v>
      </c>
      <c r="R4873">
        <v>328</v>
      </c>
      <c r="S4873">
        <v>183</v>
      </c>
      <c r="T4873">
        <v>103</v>
      </c>
      <c r="U4873">
        <v>20</v>
      </c>
      <c r="V4873" t="s">
        <v>880</v>
      </c>
      <c r="W4873">
        <v>22869</v>
      </c>
      <c r="X4873" t="s">
        <v>1209</v>
      </c>
      <c r="Y4873">
        <v>20631</v>
      </c>
      <c r="Z4873">
        <v>457380</v>
      </c>
      <c r="AA4873">
        <v>44760</v>
      </c>
      <c r="AB4873" t="str">
        <f>(VLOOKUP(SalesData[[#This Row],[Month Number]],Reference!C$5:E$16,2,FALSE))</f>
        <v>Feb</v>
      </c>
      <c r="AC4873">
        <f>MONTH(SalesData[[#This Row],[Date]])</f>
        <v>2</v>
      </c>
      <c r="AD4873">
        <f>Reference!F$4</f>
        <v>2026</v>
      </c>
      <c r="AE4873" t="str">
        <f>IF(OR(SalesData[[#This Row],[Day]]="Saturday",SalesData[[#This Row],[Day]]="Sunday"),"Weekend","Weekday")</f>
        <v>Weekend</v>
      </c>
      <c r="AF4873" s="5">
        <f>IF(SalesData[[#This Row],[Contracts Offered]]=0,0,SalesData[[#This Row],[Contracts Signed]]/SalesData[[#This Row],[Contracts Offered]])</f>
        <v>0.1941747572815534</v>
      </c>
      <c r="AG4873" s="5">
        <f>IF(SalesData[[#This Row],[Customers Visited]]=0,0,SalesData[[#This Row],[Test Drives]]/SalesData[[#This Row],[Customers Visited]])</f>
        <v>0.55792682926829273</v>
      </c>
      <c r="AH4873" s="5">
        <f>IF(SalesData[[#This Row],[Customers Visited]]=0,0,SalesData[[#This Row],[Contracts Signed]]/SalesData[[#This Row],[Customers Visited]])</f>
        <v>6.097560975609756E-2</v>
      </c>
      <c r="AI4873" s="6">
        <f>IF(SalesData[[#This Row],[Contracts Signed]]=0,0,SalesData[[#This Row],[Profit(€)]]/SalesData[[#This Row],[Contracts Signed]])</f>
        <v>2238</v>
      </c>
      <c r="AJ4873" s="5" t="str">
        <f>TRIM(CLEAN(SalesData[[#This Row],[Retailer]]))</f>
        <v>Saxon Wheels</v>
      </c>
    </row>
    <row r="4874" spans="1:36" ht="14.25" hidden="1" x14ac:dyDescent="0.2">
      <c r="A4874" t="s">
        <v>6154</v>
      </c>
      <c r="B4874" s="1">
        <v>46057</v>
      </c>
      <c r="C4874" t="s">
        <v>24</v>
      </c>
      <c r="D4874" t="s">
        <v>82</v>
      </c>
      <c r="E4874" t="s">
        <v>26</v>
      </c>
      <c r="F4874" t="s">
        <v>127</v>
      </c>
      <c r="G4874" t="s">
        <v>128</v>
      </c>
      <c r="H4874" t="s">
        <v>103</v>
      </c>
      <c r="I4874" t="s">
        <v>56</v>
      </c>
      <c r="J4874" t="s">
        <v>57</v>
      </c>
      <c r="K4874" t="s">
        <v>32</v>
      </c>
      <c r="L4874" t="s">
        <v>46</v>
      </c>
      <c r="M4874" t="s">
        <v>34</v>
      </c>
      <c r="N4874" t="s">
        <v>48</v>
      </c>
      <c r="O4874" t="s">
        <v>36</v>
      </c>
      <c r="P4874" t="s">
        <v>58</v>
      </c>
      <c r="Q4874" t="s">
        <v>240</v>
      </c>
      <c r="R4874">
        <v>308</v>
      </c>
      <c r="S4874">
        <v>185</v>
      </c>
      <c r="T4874">
        <v>140</v>
      </c>
      <c r="U4874">
        <v>49</v>
      </c>
      <c r="V4874" t="s">
        <v>7018</v>
      </c>
      <c r="W4874">
        <v>50094</v>
      </c>
      <c r="X4874" t="s">
        <v>7059</v>
      </c>
      <c r="Y4874">
        <v>38579</v>
      </c>
      <c r="Z4874">
        <v>2454606</v>
      </c>
      <c r="AA4874">
        <v>564235</v>
      </c>
      <c r="AB4874" t="str">
        <f>(VLOOKUP(SalesData[[#This Row],[Month Number]],Reference!C$5:E$16,2,FALSE))</f>
        <v>Feb</v>
      </c>
      <c r="AC4874">
        <f>MONTH(SalesData[[#This Row],[Date]])</f>
        <v>2</v>
      </c>
      <c r="AD4874">
        <f>Reference!F$4</f>
        <v>2026</v>
      </c>
      <c r="AE4874" t="str">
        <f>IF(OR(SalesData[[#This Row],[Day]]="Saturday",SalesData[[#This Row],[Day]]="Sunday"),"Weekend","Weekday")</f>
        <v>Weekday</v>
      </c>
      <c r="AF4874" s="5">
        <f>IF(SalesData[[#This Row],[Contracts Offered]]=0,0,SalesData[[#This Row],[Contracts Signed]]/SalesData[[#This Row],[Contracts Offered]])</f>
        <v>0.35</v>
      </c>
      <c r="AG4874" s="5">
        <f>IF(SalesData[[#This Row],[Customers Visited]]=0,0,SalesData[[#This Row],[Test Drives]]/SalesData[[#This Row],[Customers Visited]])</f>
        <v>0.60064935064935066</v>
      </c>
      <c r="AH4874" s="5">
        <f>IF(SalesData[[#This Row],[Customers Visited]]=0,0,SalesData[[#This Row],[Contracts Signed]]/SalesData[[#This Row],[Customers Visited]])</f>
        <v>0.15909090909090909</v>
      </c>
      <c r="AI4874" s="6">
        <f>IF(SalesData[[#This Row],[Contracts Signed]]=0,0,SalesData[[#This Row],[Profit(€)]]/SalesData[[#This Row],[Contracts Signed]])</f>
        <v>11515</v>
      </c>
      <c r="AJ4874" s="5" t="str">
        <f>TRIM(CLEAN(SalesData[[#This Row],[Retailer]]))</f>
        <v>Rhein Auto Group</v>
      </c>
    </row>
    <row r="4875" spans="1:36" ht="14.25" hidden="1" x14ac:dyDescent="0.2">
      <c r="A4875" t="s">
        <v>6155</v>
      </c>
      <c r="B4875" s="1">
        <v>46063</v>
      </c>
      <c r="C4875" t="s">
        <v>121</v>
      </c>
      <c r="D4875" t="s">
        <v>63</v>
      </c>
      <c r="E4875" t="s">
        <v>26</v>
      </c>
      <c r="F4875" t="s">
        <v>83</v>
      </c>
      <c r="G4875" t="s">
        <v>84</v>
      </c>
      <c r="H4875" t="s">
        <v>85</v>
      </c>
      <c r="I4875" t="s">
        <v>104</v>
      </c>
      <c r="J4875" t="s">
        <v>105</v>
      </c>
      <c r="K4875" t="s">
        <v>66</v>
      </c>
      <c r="L4875" t="s">
        <v>33</v>
      </c>
      <c r="M4875" t="s">
        <v>68</v>
      </c>
      <c r="N4875" t="s">
        <v>48</v>
      </c>
      <c r="O4875" t="s">
        <v>36</v>
      </c>
      <c r="P4875" t="s">
        <v>49</v>
      </c>
      <c r="Q4875" t="s">
        <v>167</v>
      </c>
      <c r="R4875">
        <v>395</v>
      </c>
      <c r="S4875">
        <v>211</v>
      </c>
      <c r="T4875">
        <v>139</v>
      </c>
      <c r="U4875">
        <v>36</v>
      </c>
      <c r="V4875" t="s">
        <v>4908</v>
      </c>
      <c r="W4875">
        <v>27765</v>
      </c>
      <c r="X4875" t="s">
        <v>2090</v>
      </c>
      <c r="Y4875">
        <v>24974</v>
      </c>
      <c r="Z4875">
        <v>999540</v>
      </c>
      <c r="AA4875">
        <v>100476</v>
      </c>
      <c r="AB4875" t="str">
        <f>(VLOOKUP(SalesData[[#This Row],[Month Number]],Reference!C$5:E$16,2,FALSE))</f>
        <v>Feb</v>
      </c>
      <c r="AC4875">
        <f>MONTH(SalesData[[#This Row],[Date]])</f>
        <v>2</v>
      </c>
      <c r="AD4875">
        <f>Reference!F$4</f>
        <v>2026</v>
      </c>
      <c r="AE4875" t="str">
        <f>IF(OR(SalesData[[#This Row],[Day]]="Saturday",SalesData[[#This Row],[Day]]="Sunday"),"Weekend","Weekday")</f>
        <v>Weekday</v>
      </c>
      <c r="AF4875" s="5">
        <f>IF(SalesData[[#This Row],[Contracts Offered]]=0,0,SalesData[[#This Row],[Contracts Signed]]/SalesData[[#This Row],[Contracts Offered]])</f>
        <v>0.25899280575539568</v>
      </c>
      <c r="AG4875" s="5">
        <f>IF(SalesData[[#This Row],[Customers Visited]]=0,0,SalesData[[#This Row],[Test Drives]]/SalesData[[#This Row],[Customers Visited]])</f>
        <v>0.53417721518987338</v>
      </c>
      <c r="AH4875" s="5">
        <f>IF(SalesData[[#This Row],[Customers Visited]]=0,0,SalesData[[#This Row],[Contracts Signed]]/SalesData[[#This Row],[Customers Visited]])</f>
        <v>9.1139240506329114E-2</v>
      </c>
      <c r="AI4875" s="6">
        <f>IF(SalesData[[#This Row],[Contracts Signed]]=0,0,SalesData[[#This Row],[Profit(€)]]/SalesData[[#This Row],[Contracts Signed]])</f>
        <v>2791</v>
      </c>
      <c r="AJ4875" s="5" t="str">
        <f>TRIM(CLEAN(SalesData[[#This Row],[Retailer]]))</f>
        <v>Hannover Cars</v>
      </c>
    </row>
    <row r="4876" spans="1:36" ht="14.25" hidden="1" x14ac:dyDescent="0.2">
      <c r="A4876" t="s">
        <v>6156</v>
      </c>
      <c r="B4876" s="1">
        <v>46054</v>
      </c>
      <c r="C4876" t="s">
        <v>24</v>
      </c>
      <c r="D4876" t="s">
        <v>41</v>
      </c>
      <c r="E4876" t="s">
        <v>42</v>
      </c>
      <c r="F4876" t="s">
        <v>27</v>
      </c>
      <c r="G4876" t="s">
        <v>28</v>
      </c>
      <c r="H4876" t="s">
        <v>29</v>
      </c>
      <c r="I4876" t="s">
        <v>104</v>
      </c>
      <c r="J4876" t="s">
        <v>7061</v>
      </c>
      <c r="K4876" t="s">
        <v>91</v>
      </c>
      <c r="L4876" t="s">
        <v>46</v>
      </c>
      <c r="M4876" t="s">
        <v>47</v>
      </c>
      <c r="N4876" t="s">
        <v>48</v>
      </c>
      <c r="O4876" t="s">
        <v>36</v>
      </c>
      <c r="P4876" t="s">
        <v>71</v>
      </c>
      <c r="Q4876" t="s">
        <v>135</v>
      </c>
      <c r="R4876">
        <v>418</v>
      </c>
      <c r="S4876">
        <v>204</v>
      </c>
      <c r="T4876">
        <v>137</v>
      </c>
      <c r="U4876">
        <v>35</v>
      </c>
      <c r="V4876" t="s">
        <v>833</v>
      </c>
      <c r="W4876">
        <v>32709</v>
      </c>
      <c r="X4876" t="s">
        <v>902</v>
      </c>
      <c r="Y4876">
        <v>29356</v>
      </c>
      <c r="Z4876">
        <v>1144815</v>
      </c>
      <c r="AA4876">
        <v>117355</v>
      </c>
      <c r="AB4876" t="str">
        <f>(VLOOKUP(SalesData[[#This Row],[Month Number]],Reference!C$5:E$16,2,FALSE))</f>
        <v>Feb</v>
      </c>
      <c r="AC4876">
        <f>MONTH(SalesData[[#This Row],[Date]])</f>
        <v>2</v>
      </c>
      <c r="AD4876">
        <f>Reference!F$4</f>
        <v>2026</v>
      </c>
      <c r="AE4876" t="str">
        <f>IF(OR(SalesData[[#This Row],[Day]]="Saturday",SalesData[[#This Row],[Day]]="Sunday"),"Weekend","Weekday")</f>
        <v>Weekend</v>
      </c>
      <c r="AF4876" s="5">
        <f>IF(SalesData[[#This Row],[Contracts Offered]]=0,0,SalesData[[#This Row],[Contracts Signed]]/SalesData[[#This Row],[Contracts Offered]])</f>
        <v>0.25547445255474455</v>
      </c>
      <c r="AG4876" s="5">
        <f>IF(SalesData[[#This Row],[Customers Visited]]=0,0,SalesData[[#This Row],[Test Drives]]/SalesData[[#This Row],[Customers Visited]])</f>
        <v>0.48803827751196172</v>
      </c>
      <c r="AH4876" s="5">
        <f>IF(SalesData[[#This Row],[Customers Visited]]=0,0,SalesData[[#This Row],[Contracts Signed]]/SalesData[[#This Row],[Customers Visited]])</f>
        <v>8.3732057416267949E-2</v>
      </c>
      <c r="AI4876" s="6">
        <f>IF(SalesData[[#This Row],[Contracts Signed]]=0,0,SalesData[[#This Row],[Profit(€)]]/SalesData[[#This Row],[Contracts Signed]])</f>
        <v>3353</v>
      </c>
      <c r="AJ4876" s="5" t="str">
        <f>TRIM(CLEAN(SalesData[[#This Row],[Retailer]]))</f>
        <v>Main Auto Hub</v>
      </c>
    </row>
    <row r="4877" spans="1:36" ht="14.25" hidden="1" x14ac:dyDescent="0.2">
      <c r="A4877" t="s">
        <v>6157</v>
      </c>
      <c r="B4877" s="1">
        <v>46067</v>
      </c>
      <c r="C4877" t="s">
        <v>121</v>
      </c>
      <c r="D4877" t="s">
        <v>151</v>
      </c>
      <c r="E4877" t="s">
        <v>42</v>
      </c>
      <c r="F4877" t="s">
        <v>114</v>
      </c>
      <c r="G4877" t="s">
        <v>115</v>
      </c>
      <c r="H4877" t="s">
        <v>115</v>
      </c>
      <c r="I4877" t="s">
        <v>116</v>
      </c>
      <c r="J4877" t="s">
        <v>7090</v>
      </c>
      <c r="K4877" t="s">
        <v>66</v>
      </c>
      <c r="L4877" t="s">
        <v>46</v>
      </c>
      <c r="M4877" t="s">
        <v>34</v>
      </c>
      <c r="N4877" t="s">
        <v>69</v>
      </c>
      <c r="O4877" t="s">
        <v>36</v>
      </c>
      <c r="P4877" t="s">
        <v>49</v>
      </c>
      <c r="Q4877" t="s">
        <v>172</v>
      </c>
      <c r="R4877">
        <v>257</v>
      </c>
      <c r="S4877">
        <v>143</v>
      </c>
      <c r="T4877">
        <v>81</v>
      </c>
      <c r="U4877">
        <v>25</v>
      </c>
      <c r="V4877" t="s">
        <v>599</v>
      </c>
      <c r="W4877">
        <v>20796</v>
      </c>
      <c r="X4877" t="s">
        <v>1052</v>
      </c>
      <c r="Y4877">
        <v>19030</v>
      </c>
      <c r="Z4877">
        <v>519900</v>
      </c>
      <c r="AA4877">
        <v>44150</v>
      </c>
      <c r="AB4877" t="str">
        <f>(VLOOKUP(SalesData[[#This Row],[Month Number]],Reference!C$5:E$16,2,FALSE))</f>
        <v>Feb</v>
      </c>
      <c r="AC4877">
        <f>MONTH(SalesData[[#This Row],[Date]])</f>
        <v>2</v>
      </c>
      <c r="AD4877">
        <f>Reference!F$4</f>
        <v>2026</v>
      </c>
      <c r="AE4877" t="str">
        <f>IF(OR(SalesData[[#This Row],[Day]]="Saturday",SalesData[[#This Row],[Day]]="Sunday"),"Weekend","Weekday")</f>
        <v>Weekend</v>
      </c>
      <c r="AF4877" s="5">
        <f>IF(SalesData[[#This Row],[Contracts Offered]]=0,0,SalesData[[#This Row],[Contracts Signed]]/SalesData[[#This Row],[Contracts Offered]])</f>
        <v>0.30864197530864196</v>
      </c>
      <c r="AG4877" s="5">
        <f>IF(SalesData[[#This Row],[Customers Visited]]=0,0,SalesData[[#This Row],[Test Drives]]/SalesData[[#This Row],[Customers Visited]])</f>
        <v>0.55642023346303504</v>
      </c>
      <c r="AH4877" s="5">
        <f>IF(SalesData[[#This Row],[Customers Visited]]=0,0,SalesData[[#This Row],[Contracts Signed]]/SalesData[[#This Row],[Customers Visited]])</f>
        <v>9.727626459143969E-2</v>
      </c>
      <c r="AI4877" s="6">
        <f>IF(SalesData[[#This Row],[Contracts Signed]]=0,0,SalesData[[#This Row],[Profit(€)]]/SalesData[[#This Row],[Contracts Signed]])</f>
        <v>1766</v>
      </c>
      <c r="AJ4877" s="5" t="str">
        <f>TRIM(CLEAN(SalesData[[#This Row],[Retailer]]))</f>
        <v>Elbe Drive</v>
      </c>
    </row>
    <row r="4878" spans="1:36" ht="14.25" hidden="1" x14ac:dyDescent="0.2">
      <c r="A4878" t="s">
        <v>6158</v>
      </c>
      <c r="B4878" s="1">
        <v>46074</v>
      </c>
      <c r="C4878" t="s">
        <v>62</v>
      </c>
      <c r="D4878" t="s">
        <v>151</v>
      </c>
      <c r="E4878" t="s">
        <v>42</v>
      </c>
      <c r="F4878" t="s">
        <v>114</v>
      </c>
      <c r="G4878" t="s">
        <v>115</v>
      </c>
      <c r="H4878" t="s">
        <v>115</v>
      </c>
      <c r="I4878" t="s">
        <v>116</v>
      </c>
      <c r="J4878" t="s">
        <v>7090</v>
      </c>
      <c r="K4878" t="s">
        <v>32</v>
      </c>
      <c r="L4878" t="s">
        <v>46</v>
      </c>
      <c r="M4878" t="s">
        <v>87</v>
      </c>
      <c r="N4878" t="s">
        <v>48</v>
      </c>
      <c r="O4878" t="s">
        <v>70</v>
      </c>
      <c r="P4878" t="s">
        <v>58</v>
      </c>
      <c r="Q4878" t="s">
        <v>50</v>
      </c>
      <c r="R4878">
        <v>288</v>
      </c>
      <c r="S4878">
        <v>160</v>
      </c>
      <c r="T4878">
        <v>109</v>
      </c>
      <c r="U4878">
        <v>33</v>
      </c>
      <c r="V4878" t="s">
        <v>7643</v>
      </c>
      <c r="W4878">
        <v>24125</v>
      </c>
      <c r="X4878" t="s">
        <v>7595</v>
      </c>
      <c r="Y4878">
        <v>22420</v>
      </c>
      <c r="Z4878">
        <v>796125</v>
      </c>
      <c r="AA4878">
        <v>56265</v>
      </c>
      <c r="AB4878" t="str">
        <f>(VLOOKUP(SalesData[[#This Row],[Month Number]],Reference!C$5:E$16,2,FALSE))</f>
        <v>Feb</v>
      </c>
      <c r="AC4878">
        <f>MONTH(SalesData[[#This Row],[Date]])</f>
        <v>2</v>
      </c>
      <c r="AD4878">
        <f>Reference!F$4</f>
        <v>2026</v>
      </c>
      <c r="AE4878" t="str">
        <f>IF(OR(SalesData[[#This Row],[Day]]="Saturday",SalesData[[#This Row],[Day]]="Sunday"),"Weekend","Weekday")</f>
        <v>Weekend</v>
      </c>
      <c r="AF4878" s="5">
        <f>IF(SalesData[[#This Row],[Contracts Offered]]=0,0,SalesData[[#This Row],[Contracts Signed]]/SalesData[[#This Row],[Contracts Offered]])</f>
        <v>0.30275229357798167</v>
      </c>
      <c r="AG4878" s="5">
        <f>IF(SalesData[[#This Row],[Customers Visited]]=0,0,SalesData[[#This Row],[Test Drives]]/SalesData[[#This Row],[Customers Visited]])</f>
        <v>0.55555555555555558</v>
      </c>
      <c r="AH4878" s="5">
        <f>IF(SalesData[[#This Row],[Customers Visited]]=0,0,SalesData[[#This Row],[Contracts Signed]]/SalesData[[#This Row],[Customers Visited]])</f>
        <v>0.11458333333333333</v>
      </c>
      <c r="AI4878" s="6">
        <f>IF(SalesData[[#This Row],[Contracts Signed]]=0,0,SalesData[[#This Row],[Profit(€)]]/SalesData[[#This Row],[Contracts Signed]])</f>
        <v>1705</v>
      </c>
      <c r="AJ4878" s="5" t="str">
        <f>TRIM(CLEAN(SalesData[[#This Row],[Retailer]]))</f>
        <v>Elbe Drive</v>
      </c>
    </row>
    <row r="4879" spans="1:36" ht="14.25" hidden="1" x14ac:dyDescent="0.2">
      <c r="A4879" t="s">
        <v>6159</v>
      </c>
      <c r="B4879" s="1">
        <v>46067</v>
      </c>
      <c r="C4879" t="s">
        <v>121</v>
      </c>
      <c r="D4879" t="s">
        <v>151</v>
      </c>
      <c r="E4879" t="s">
        <v>42</v>
      </c>
      <c r="F4879" t="s">
        <v>27</v>
      </c>
      <c r="G4879" t="s">
        <v>28</v>
      </c>
      <c r="H4879" t="s">
        <v>29</v>
      </c>
      <c r="I4879" t="s">
        <v>56</v>
      </c>
      <c r="J4879" t="s">
        <v>7028</v>
      </c>
      <c r="K4879" t="s">
        <v>78</v>
      </c>
      <c r="L4879" t="s">
        <v>46</v>
      </c>
      <c r="M4879" t="s">
        <v>87</v>
      </c>
      <c r="N4879" t="s">
        <v>35</v>
      </c>
      <c r="O4879" t="s">
        <v>36</v>
      </c>
      <c r="P4879" t="s">
        <v>37</v>
      </c>
      <c r="Q4879" t="s">
        <v>158</v>
      </c>
      <c r="R4879">
        <v>197</v>
      </c>
      <c r="S4879">
        <v>92</v>
      </c>
      <c r="T4879">
        <v>60</v>
      </c>
      <c r="U4879">
        <v>18</v>
      </c>
      <c r="V4879" t="s">
        <v>2567</v>
      </c>
      <c r="W4879">
        <v>51141</v>
      </c>
      <c r="X4879" t="s">
        <v>702</v>
      </c>
      <c r="Y4879">
        <v>41869</v>
      </c>
      <c r="Z4879">
        <v>920538</v>
      </c>
      <c r="AA4879">
        <v>166896</v>
      </c>
      <c r="AB4879" t="str">
        <f>(VLOOKUP(SalesData[[#This Row],[Month Number]],Reference!C$5:E$16,2,FALSE))</f>
        <v>Feb</v>
      </c>
      <c r="AC4879">
        <f>MONTH(SalesData[[#This Row],[Date]])</f>
        <v>2</v>
      </c>
      <c r="AD4879">
        <f>Reference!F$4</f>
        <v>2026</v>
      </c>
      <c r="AE4879" t="str">
        <f>IF(OR(SalesData[[#This Row],[Day]]="Saturday",SalesData[[#This Row],[Day]]="Sunday"),"Weekend","Weekday")</f>
        <v>Weekend</v>
      </c>
      <c r="AF4879" s="5">
        <f>IF(SalesData[[#This Row],[Contracts Offered]]=0,0,SalesData[[#This Row],[Contracts Signed]]/SalesData[[#This Row],[Contracts Offered]])</f>
        <v>0.3</v>
      </c>
      <c r="AG4879" s="5">
        <f>IF(SalesData[[#This Row],[Customers Visited]]=0,0,SalesData[[#This Row],[Test Drives]]/SalesData[[#This Row],[Customers Visited]])</f>
        <v>0.46700507614213199</v>
      </c>
      <c r="AH4879" s="5">
        <f>IF(SalesData[[#This Row],[Customers Visited]]=0,0,SalesData[[#This Row],[Contracts Signed]]/SalesData[[#This Row],[Customers Visited]])</f>
        <v>9.1370558375634514E-2</v>
      </c>
      <c r="AI4879" s="6">
        <f>IF(SalesData[[#This Row],[Contracts Signed]]=0,0,SalesData[[#This Row],[Profit(€)]]/SalesData[[#This Row],[Contracts Signed]])</f>
        <v>9272</v>
      </c>
      <c r="AJ4879" s="5" t="str">
        <f>TRIM(CLEAN(SalesData[[#This Row],[Retailer]]))</f>
        <v>Main Auto Hub</v>
      </c>
    </row>
    <row r="4880" spans="1:36" ht="14.25" hidden="1" x14ac:dyDescent="0.2">
      <c r="A4880" t="s">
        <v>6160</v>
      </c>
      <c r="B4880" s="1">
        <v>46074</v>
      </c>
      <c r="C4880" t="s">
        <v>62</v>
      </c>
      <c r="D4880" t="s">
        <v>151</v>
      </c>
      <c r="E4880" t="s">
        <v>42</v>
      </c>
      <c r="F4880" t="s">
        <v>74</v>
      </c>
      <c r="G4880" t="s">
        <v>75</v>
      </c>
      <c r="H4880" t="s">
        <v>76</v>
      </c>
      <c r="I4880" t="s">
        <v>116</v>
      </c>
      <c r="J4880" t="s">
        <v>117</v>
      </c>
      <c r="K4880" t="s">
        <v>66</v>
      </c>
      <c r="L4880" t="s">
        <v>67</v>
      </c>
      <c r="M4880" t="s">
        <v>87</v>
      </c>
      <c r="N4880" t="s">
        <v>35</v>
      </c>
      <c r="O4880" t="s">
        <v>36</v>
      </c>
      <c r="P4880" t="s">
        <v>71</v>
      </c>
      <c r="Q4880" t="s">
        <v>50</v>
      </c>
      <c r="R4880">
        <v>398</v>
      </c>
      <c r="S4880">
        <v>185</v>
      </c>
      <c r="T4880">
        <v>107</v>
      </c>
      <c r="U4880">
        <v>36</v>
      </c>
      <c r="V4880" t="s">
        <v>1867</v>
      </c>
      <c r="W4880">
        <v>27291</v>
      </c>
      <c r="X4880" t="s">
        <v>1028</v>
      </c>
      <c r="Y4880">
        <v>24682</v>
      </c>
      <c r="Z4880">
        <v>982476</v>
      </c>
      <c r="AA4880">
        <v>93924</v>
      </c>
      <c r="AB4880" t="str">
        <f>(VLOOKUP(SalesData[[#This Row],[Month Number]],Reference!C$5:E$16,2,FALSE))</f>
        <v>Feb</v>
      </c>
      <c r="AC4880">
        <f>MONTH(SalesData[[#This Row],[Date]])</f>
        <v>2</v>
      </c>
      <c r="AD4880">
        <f>Reference!F$4</f>
        <v>2026</v>
      </c>
      <c r="AE4880" t="str">
        <f>IF(OR(SalesData[[#This Row],[Day]]="Saturday",SalesData[[#This Row],[Day]]="Sunday"),"Weekend","Weekday")</f>
        <v>Weekend</v>
      </c>
      <c r="AF4880" s="5">
        <f>IF(SalesData[[#This Row],[Contracts Offered]]=0,0,SalesData[[#This Row],[Contracts Signed]]/SalesData[[#This Row],[Contracts Offered]])</f>
        <v>0.3364485981308411</v>
      </c>
      <c r="AG4880" s="5">
        <f>IF(SalesData[[#This Row],[Customers Visited]]=0,0,SalesData[[#This Row],[Test Drives]]/SalesData[[#This Row],[Customers Visited]])</f>
        <v>0.46482412060301509</v>
      </c>
      <c r="AH4880" s="5">
        <f>IF(SalesData[[#This Row],[Customers Visited]]=0,0,SalesData[[#This Row],[Contracts Signed]]/SalesData[[#This Row],[Customers Visited]])</f>
        <v>9.0452261306532666E-2</v>
      </c>
      <c r="AI4880" s="6">
        <f>IF(SalesData[[#This Row],[Contracts Signed]]=0,0,SalesData[[#This Row],[Profit(€)]]/SalesData[[#This Row],[Contracts Signed]])</f>
        <v>2609</v>
      </c>
      <c r="AJ4880" s="5" t="str">
        <f>TRIM(CLEAN(SalesData[[#This Row],[Retailer]]))</f>
        <v>Stuttgart Auto Center</v>
      </c>
    </row>
    <row r="4881" spans="1:36" ht="14.25" hidden="1" x14ac:dyDescent="0.2">
      <c r="A4881" t="s">
        <v>6161</v>
      </c>
      <c r="B4881" s="1">
        <v>46057</v>
      </c>
      <c r="C4881" t="s">
        <v>24</v>
      </c>
      <c r="D4881" t="s">
        <v>82</v>
      </c>
      <c r="E4881" t="s">
        <v>26</v>
      </c>
      <c r="F4881" t="s">
        <v>127</v>
      </c>
      <c r="G4881" t="s">
        <v>128</v>
      </c>
      <c r="H4881" t="s">
        <v>103</v>
      </c>
      <c r="I4881" t="s">
        <v>64</v>
      </c>
      <c r="J4881" t="s">
        <v>157</v>
      </c>
      <c r="K4881" t="s">
        <v>78</v>
      </c>
      <c r="L4881" t="s">
        <v>33</v>
      </c>
      <c r="M4881" t="s">
        <v>87</v>
      </c>
      <c r="N4881" t="s">
        <v>35</v>
      </c>
      <c r="O4881" t="s">
        <v>36</v>
      </c>
      <c r="P4881" t="s">
        <v>71</v>
      </c>
      <c r="Q4881" t="s">
        <v>50</v>
      </c>
      <c r="R4881">
        <v>214</v>
      </c>
      <c r="S4881">
        <v>116</v>
      </c>
      <c r="T4881">
        <v>86</v>
      </c>
      <c r="U4881">
        <v>34</v>
      </c>
      <c r="V4881" t="s">
        <v>6915</v>
      </c>
      <c r="W4881">
        <v>60513</v>
      </c>
      <c r="X4881" t="s">
        <v>7461</v>
      </c>
      <c r="Y4881">
        <v>47534</v>
      </c>
      <c r="Z4881">
        <v>2057442</v>
      </c>
      <c r="AA4881">
        <v>441286</v>
      </c>
      <c r="AB4881" t="str">
        <f>(VLOOKUP(SalesData[[#This Row],[Month Number]],Reference!C$5:E$16,2,FALSE))</f>
        <v>Feb</v>
      </c>
      <c r="AC4881">
        <f>MONTH(SalesData[[#This Row],[Date]])</f>
        <v>2</v>
      </c>
      <c r="AD4881">
        <f>Reference!F$4</f>
        <v>2026</v>
      </c>
      <c r="AE4881" t="str">
        <f>IF(OR(SalesData[[#This Row],[Day]]="Saturday",SalesData[[#This Row],[Day]]="Sunday"),"Weekend","Weekday")</f>
        <v>Weekday</v>
      </c>
      <c r="AF4881" s="5">
        <f>IF(SalesData[[#This Row],[Contracts Offered]]=0,0,SalesData[[#This Row],[Contracts Signed]]/SalesData[[#This Row],[Contracts Offered]])</f>
        <v>0.39534883720930231</v>
      </c>
      <c r="AG4881" s="5">
        <f>IF(SalesData[[#This Row],[Customers Visited]]=0,0,SalesData[[#This Row],[Test Drives]]/SalesData[[#This Row],[Customers Visited]])</f>
        <v>0.54205607476635509</v>
      </c>
      <c r="AH4881" s="5">
        <f>IF(SalesData[[#This Row],[Customers Visited]]=0,0,SalesData[[#This Row],[Contracts Signed]]/SalesData[[#This Row],[Customers Visited]])</f>
        <v>0.15887850467289719</v>
      </c>
      <c r="AI4881" s="6">
        <f>IF(SalesData[[#This Row],[Contracts Signed]]=0,0,SalesData[[#This Row],[Profit(€)]]/SalesData[[#This Row],[Contracts Signed]])</f>
        <v>12979</v>
      </c>
      <c r="AJ4881" s="5" t="str">
        <f>TRIM(CLEAN(SalesData[[#This Row],[Retailer]]))</f>
        <v>Rhein Auto Group</v>
      </c>
    </row>
    <row r="4882" spans="1:36" ht="14.25" hidden="1" x14ac:dyDescent="0.2">
      <c r="A4882" t="s">
        <v>6162</v>
      </c>
      <c r="B4882" s="1">
        <v>46076</v>
      </c>
      <c r="C4882" t="s">
        <v>53</v>
      </c>
      <c r="D4882" t="s">
        <v>25</v>
      </c>
      <c r="E4882" t="s">
        <v>26</v>
      </c>
      <c r="F4882" t="s">
        <v>83</v>
      </c>
      <c r="G4882" t="s">
        <v>84</v>
      </c>
      <c r="H4882" t="s">
        <v>85</v>
      </c>
      <c r="I4882" t="s">
        <v>104</v>
      </c>
      <c r="J4882" t="s">
        <v>7061</v>
      </c>
      <c r="K4882" t="s">
        <v>78</v>
      </c>
      <c r="L4882" t="s">
        <v>46</v>
      </c>
      <c r="M4882" t="s">
        <v>68</v>
      </c>
      <c r="N4882" t="s">
        <v>69</v>
      </c>
      <c r="O4882" t="s">
        <v>70</v>
      </c>
      <c r="P4882" t="s">
        <v>49</v>
      </c>
      <c r="Q4882" t="s">
        <v>189</v>
      </c>
      <c r="R4882">
        <v>462</v>
      </c>
      <c r="S4882">
        <v>192</v>
      </c>
      <c r="T4882">
        <v>135</v>
      </c>
      <c r="U4882">
        <v>27</v>
      </c>
      <c r="V4882" t="s">
        <v>182</v>
      </c>
      <c r="W4882">
        <v>29026</v>
      </c>
      <c r="X4882" t="s">
        <v>1211</v>
      </c>
      <c r="Y4882">
        <v>26115</v>
      </c>
      <c r="Z4882">
        <v>783702</v>
      </c>
      <c r="AA4882">
        <v>78597</v>
      </c>
      <c r="AB4882" t="str">
        <f>(VLOOKUP(SalesData[[#This Row],[Month Number]],Reference!C$5:E$16,2,FALSE))</f>
        <v>Feb</v>
      </c>
      <c r="AC4882">
        <f>MONTH(SalesData[[#This Row],[Date]])</f>
        <v>2</v>
      </c>
      <c r="AD4882">
        <f>Reference!F$4</f>
        <v>2026</v>
      </c>
      <c r="AE4882" t="str">
        <f>IF(OR(SalesData[[#This Row],[Day]]="Saturday",SalesData[[#This Row],[Day]]="Sunday"),"Weekend","Weekday")</f>
        <v>Weekday</v>
      </c>
      <c r="AF4882" s="5">
        <f>IF(SalesData[[#This Row],[Contracts Offered]]=0,0,SalesData[[#This Row],[Contracts Signed]]/SalesData[[#This Row],[Contracts Offered]])</f>
        <v>0.2</v>
      </c>
      <c r="AG4882" s="5">
        <f>IF(SalesData[[#This Row],[Customers Visited]]=0,0,SalesData[[#This Row],[Test Drives]]/SalesData[[#This Row],[Customers Visited]])</f>
        <v>0.41558441558441561</v>
      </c>
      <c r="AH4882" s="5">
        <f>IF(SalesData[[#This Row],[Customers Visited]]=0,0,SalesData[[#This Row],[Contracts Signed]]/SalesData[[#This Row],[Customers Visited]])</f>
        <v>5.844155844155844E-2</v>
      </c>
      <c r="AI4882" s="6">
        <f>IF(SalesData[[#This Row],[Contracts Signed]]=0,0,SalesData[[#This Row],[Profit(€)]]/SalesData[[#This Row],[Contracts Signed]])</f>
        <v>2911</v>
      </c>
      <c r="AJ4882" s="5" t="str">
        <f>TRIM(CLEAN(SalesData[[#This Row],[Retailer]]))</f>
        <v>Hannover Cars</v>
      </c>
    </row>
    <row r="4883" spans="1:36" ht="14.25" hidden="1" x14ac:dyDescent="0.2">
      <c r="A4883" t="s">
        <v>6163</v>
      </c>
      <c r="B4883" s="1">
        <v>46068</v>
      </c>
      <c r="C4883" t="s">
        <v>62</v>
      </c>
      <c r="D4883" t="s">
        <v>41</v>
      </c>
      <c r="E4883" t="s">
        <v>42</v>
      </c>
      <c r="F4883" t="s">
        <v>101</v>
      </c>
      <c r="G4883" t="s">
        <v>102</v>
      </c>
      <c r="H4883" t="s">
        <v>103</v>
      </c>
      <c r="I4883" t="s">
        <v>116</v>
      </c>
      <c r="J4883" t="s">
        <v>132</v>
      </c>
      <c r="K4883" t="s">
        <v>91</v>
      </c>
      <c r="L4883" t="s">
        <v>46</v>
      </c>
      <c r="M4883" t="s">
        <v>87</v>
      </c>
      <c r="N4883" t="s">
        <v>48</v>
      </c>
      <c r="O4883" t="s">
        <v>36</v>
      </c>
      <c r="P4883" t="s">
        <v>58</v>
      </c>
      <c r="Q4883" t="s">
        <v>347</v>
      </c>
      <c r="R4883">
        <v>326</v>
      </c>
      <c r="S4883">
        <v>125</v>
      </c>
      <c r="T4883">
        <v>86</v>
      </c>
      <c r="U4883">
        <v>19</v>
      </c>
      <c r="V4883" t="s">
        <v>2827</v>
      </c>
      <c r="W4883">
        <v>21602</v>
      </c>
      <c r="X4883" t="s">
        <v>804</v>
      </c>
      <c r="Y4883">
        <v>19949</v>
      </c>
      <c r="Z4883">
        <v>410438</v>
      </c>
      <c r="AA4883">
        <v>31407</v>
      </c>
      <c r="AB4883" t="str">
        <f>(VLOOKUP(SalesData[[#This Row],[Month Number]],Reference!C$5:E$16,2,FALSE))</f>
        <v>Feb</v>
      </c>
      <c r="AC4883">
        <f>MONTH(SalesData[[#This Row],[Date]])</f>
        <v>2</v>
      </c>
      <c r="AD4883">
        <f>Reference!F$4</f>
        <v>2026</v>
      </c>
      <c r="AE4883" t="str">
        <f>IF(OR(SalesData[[#This Row],[Day]]="Saturday",SalesData[[#This Row],[Day]]="Sunday"),"Weekend","Weekday")</f>
        <v>Weekend</v>
      </c>
      <c r="AF4883" s="5">
        <f>IF(SalesData[[#This Row],[Contracts Offered]]=0,0,SalesData[[#This Row],[Contracts Signed]]/SalesData[[#This Row],[Contracts Offered]])</f>
        <v>0.22093023255813954</v>
      </c>
      <c r="AG4883" s="5">
        <f>IF(SalesData[[#This Row],[Customers Visited]]=0,0,SalesData[[#This Row],[Test Drives]]/SalesData[[#This Row],[Customers Visited]])</f>
        <v>0.3834355828220859</v>
      </c>
      <c r="AH4883" s="5">
        <f>IF(SalesData[[#This Row],[Customers Visited]]=0,0,SalesData[[#This Row],[Contracts Signed]]/SalesData[[#This Row],[Customers Visited]])</f>
        <v>5.8282208588957052E-2</v>
      </c>
      <c r="AI4883" s="6">
        <f>IF(SalesData[[#This Row],[Contracts Signed]]=0,0,SalesData[[#This Row],[Profit(€)]]/SalesData[[#This Row],[Contracts Signed]])</f>
        <v>1653</v>
      </c>
      <c r="AJ4883" s="5" t="str">
        <f>TRIM(CLEAN(SalesData[[#This Row],[Retailer]]))</f>
        <v>Ruhr Auto Plaza</v>
      </c>
    </row>
    <row r="4884" spans="1:36" ht="14.25" hidden="1" x14ac:dyDescent="0.2">
      <c r="A4884" t="s">
        <v>6164</v>
      </c>
      <c r="B4884" s="1">
        <v>46062</v>
      </c>
      <c r="C4884" t="s">
        <v>121</v>
      </c>
      <c r="D4884" t="s">
        <v>25</v>
      </c>
      <c r="E4884" t="s">
        <v>26</v>
      </c>
      <c r="F4884" t="s">
        <v>74</v>
      </c>
      <c r="G4884" t="s">
        <v>75</v>
      </c>
      <c r="H4884" t="s">
        <v>76</v>
      </c>
      <c r="I4884" t="s">
        <v>104</v>
      </c>
      <c r="J4884" t="s">
        <v>7061</v>
      </c>
      <c r="K4884" t="s">
        <v>66</v>
      </c>
      <c r="L4884" t="s">
        <v>46</v>
      </c>
      <c r="M4884" t="s">
        <v>87</v>
      </c>
      <c r="N4884" t="s">
        <v>48</v>
      </c>
      <c r="O4884" t="s">
        <v>36</v>
      </c>
      <c r="P4884" t="s">
        <v>49</v>
      </c>
      <c r="Q4884" t="s">
        <v>118</v>
      </c>
      <c r="R4884">
        <v>294</v>
      </c>
      <c r="S4884">
        <v>121</v>
      </c>
      <c r="T4884">
        <v>87</v>
      </c>
      <c r="U4884">
        <v>16</v>
      </c>
      <c r="V4884" t="s">
        <v>1612</v>
      </c>
      <c r="W4884">
        <v>28724</v>
      </c>
      <c r="X4884" t="s">
        <v>7583</v>
      </c>
      <c r="Y4884">
        <v>26134</v>
      </c>
      <c r="Z4884">
        <v>459584</v>
      </c>
      <c r="AA4884">
        <v>41440</v>
      </c>
      <c r="AB4884" t="str">
        <f>(VLOOKUP(SalesData[[#This Row],[Month Number]],Reference!C$5:E$16,2,FALSE))</f>
        <v>Feb</v>
      </c>
      <c r="AC4884">
        <f>MONTH(SalesData[[#This Row],[Date]])</f>
        <v>2</v>
      </c>
      <c r="AD4884">
        <f>Reference!F$4</f>
        <v>2026</v>
      </c>
      <c r="AE4884" t="str">
        <f>IF(OR(SalesData[[#This Row],[Day]]="Saturday",SalesData[[#This Row],[Day]]="Sunday"),"Weekend","Weekday")</f>
        <v>Weekday</v>
      </c>
      <c r="AF4884" s="5">
        <f>IF(SalesData[[#This Row],[Contracts Offered]]=0,0,SalesData[[#This Row],[Contracts Signed]]/SalesData[[#This Row],[Contracts Offered]])</f>
        <v>0.18390804597701149</v>
      </c>
      <c r="AG4884" s="5">
        <f>IF(SalesData[[#This Row],[Customers Visited]]=0,0,SalesData[[#This Row],[Test Drives]]/SalesData[[#This Row],[Customers Visited]])</f>
        <v>0.41156462585034015</v>
      </c>
      <c r="AH4884" s="5">
        <f>IF(SalesData[[#This Row],[Customers Visited]]=0,0,SalesData[[#This Row],[Contracts Signed]]/SalesData[[#This Row],[Customers Visited]])</f>
        <v>5.4421768707482991E-2</v>
      </c>
      <c r="AI4884" s="6">
        <f>IF(SalesData[[#This Row],[Contracts Signed]]=0,0,SalesData[[#This Row],[Profit(€)]]/SalesData[[#This Row],[Contracts Signed]])</f>
        <v>2590</v>
      </c>
      <c r="AJ4884" s="5" t="str">
        <f>TRIM(CLEAN(SalesData[[#This Row],[Retailer]]))</f>
        <v>Stuttgart Auto Center</v>
      </c>
    </row>
    <row r="4885" spans="1:36" ht="14.25" x14ac:dyDescent="0.2">
      <c r="A4885" t="s">
        <v>6165</v>
      </c>
      <c r="B4885" s="1">
        <v>46062</v>
      </c>
      <c r="C4885" t="s">
        <v>121</v>
      </c>
      <c r="D4885" t="s">
        <v>25</v>
      </c>
      <c r="E4885" t="s">
        <v>26</v>
      </c>
      <c r="F4885" t="s">
        <v>83</v>
      </c>
      <c r="G4885" t="s">
        <v>84</v>
      </c>
      <c r="H4885" t="s">
        <v>85</v>
      </c>
      <c r="I4885" t="s">
        <v>30</v>
      </c>
      <c r="J4885" t="s">
        <v>188</v>
      </c>
      <c r="K4885" t="s">
        <v>78</v>
      </c>
      <c r="L4885" t="s">
        <v>33</v>
      </c>
      <c r="M4885" t="s">
        <v>34</v>
      </c>
      <c r="N4885" t="s">
        <v>69</v>
      </c>
      <c r="O4885" t="s">
        <v>70</v>
      </c>
      <c r="P4885" t="s">
        <v>37</v>
      </c>
      <c r="Q4885" t="s">
        <v>59</v>
      </c>
      <c r="R4885">
        <v>147</v>
      </c>
      <c r="S4885">
        <v>68</v>
      </c>
      <c r="T4885">
        <v>53</v>
      </c>
      <c r="U4885">
        <v>17</v>
      </c>
      <c r="V4885" t="s">
        <v>6403</v>
      </c>
      <c r="W4885">
        <v>55194</v>
      </c>
      <c r="X4885" t="s">
        <v>7058</v>
      </c>
      <c r="Y4885">
        <v>39174</v>
      </c>
      <c r="Z4885">
        <v>938298</v>
      </c>
      <c r="AA4885">
        <v>272340</v>
      </c>
      <c r="AB4885" t="str">
        <f>(VLOOKUP(SalesData[[#This Row],[Month Number]],Reference!C$5:E$16,2,FALSE))</f>
        <v>Feb</v>
      </c>
      <c r="AC4885">
        <f>MONTH(SalesData[[#This Row],[Date]])</f>
        <v>2</v>
      </c>
      <c r="AD4885">
        <f>Reference!F$4</f>
        <v>2026</v>
      </c>
      <c r="AE4885" t="str">
        <f>IF(OR(SalesData[[#This Row],[Day]]="Saturday",SalesData[[#This Row],[Day]]="Sunday"),"Weekend","Weekday")</f>
        <v>Weekday</v>
      </c>
      <c r="AF4885" s="5">
        <f>IF(SalesData[[#This Row],[Contracts Offered]]=0,0,SalesData[[#This Row],[Contracts Signed]]/SalesData[[#This Row],[Contracts Offered]])</f>
        <v>0.32075471698113206</v>
      </c>
      <c r="AG4885" s="5">
        <f>IF(SalesData[[#This Row],[Customers Visited]]=0,0,SalesData[[#This Row],[Test Drives]]/SalesData[[#This Row],[Customers Visited]])</f>
        <v>0.46258503401360546</v>
      </c>
      <c r="AH4885" s="5">
        <f>IF(SalesData[[#This Row],[Customers Visited]]=0,0,SalesData[[#This Row],[Contracts Signed]]/SalesData[[#This Row],[Customers Visited]])</f>
        <v>0.11564625850340136</v>
      </c>
      <c r="AI4885" s="6">
        <f>IF(SalesData[[#This Row],[Contracts Signed]]=0,0,SalesData[[#This Row],[Profit(€)]]/SalesData[[#This Row],[Contracts Signed]])</f>
        <v>16020</v>
      </c>
      <c r="AJ4885" s="5" t="str">
        <f>TRIM(CLEAN(SalesData[[#This Row],[Retailer]]))</f>
        <v>Hannover Cars</v>
      </c>
    </row>
    <row r="4886" spans="1:36" ht="14.25" hidden="1" x14ac:dyDescent="0.2">
      <c r="A4886" t="s">
        <v>6166</v>
      </c>
      <c r="B4886" s="1">
        <v>46057</v>
      </c>
      <c r="C4886" t="s">
        <v>24</v>
      </c>
      <c r="D4886" t="s">
        <v>82</v>
      </c>
      <c r="E4886" t="s">
        <v>26</v>
      </c>
      <c r="F4886" t="s">
        <v>74</v>
      </c>
      <c r="G4886" t="s">
        <v>75</v>
      </c>
      <c r="H4886" t="s">
        <v>76</v>
      </c>
      <c r="I4886" t="s">
        <v>104</v>
      </c>
      <c r="J4886" t="s">
        <v>143</v>
      </c>
      <c r="K4886" t="s">
        <v>32</v>
      </c>
      <c r="L4886" t="s">
        <v>67</v>
      </c>
      <c r="M4886" t="s">
        <v>87</v>
      </c>
      <c r="N4886" t="s">
        <v>35</v>
      </c>
      <c r="O4886" t="s">
        <v>36</v>
      </c>
      <c r="P4886" t="s">
        <v>37</v>
      </c>
      <c r="Q4886" t="s">
        <v>59</v>
      </c>
      <c r="R4886">
        <v>371</v>
      </c>
      <c r="S4886">
        <v>199</v>
      </c>
      <c r="T4886">
        <v>128</v>
      </c>
      <c r="U4886">
        <v>33</v>
      </c>
      <c r="V4886" t="s">
        <v>882</v>
      </c>
      <c r="W4886">
        <v>26732</v>
      </c>
      <c r="X4886" t="s">
        <v>7171</v>
      </c>
      <c r="Y4886">
        <v>23415</v>
      </c>
      <c r="Z4886">
        <v>882156</v>
      </c>
      <c r="AA4886">
        <v>109461</v>
      </c>
      <c r="AB4886" t="str">
        <f>(VLOOKUP(SalesData[[#This Row],[Month Number]],Reference!C$5:E$16,2,FALSE))</f>
        <v>Feb</v>
      </c>
      <c r="AC4886">
        <f>MONTH(SalesData[[#This Row],[Date]])</f>
        <v>2</v>
      </c>
      <c r="AD4886">
        <f>Reference!F$4</f>
        <v>2026</v>
      </c>
      <c r="AE4886" t="str">
        <f>IF(OR(SalesData[[#This Row],[Day]]="Saturday",SalesData[[#This Row],[Day]]="Sunday"),"Weekend","Weekday")</f>
        <v>Weekday</v>
      </c>
      <c r="AF4886" s="5">
        <f>IF(SalesData[[#This Row],[Contracts Offered]]=0,0,SalesData[[#This Row],[Contracts Signed]]/SalesData[[#This Row],[Contracts Offered]])</f>
        <v>0.2578125</v>
      </c>
      <c r="AG4886" s="5">
        <f>IF(SalesData[[#This Row],[Customers Visited]]=0,0,SalesData[[#This Row],[Test Drives]]/SalesData[[#This Row],[Customers Visited]])</f>
        <v>0.53638814016172509</v>
      </c>
      <c r="AH4886" s="5">
        <f>IF(SalesData[[#This Row],[Customers Visited]]=0,0,SalesData[[#This Row],[Contracts Signed]]/SalesData[[#This Row],[Customers Visited]])</f>
        <v>8.8948787061994605E-2</v>
      </c>
      <c r="AI4886" s="6">
        <f>IF(SalesData[[#This Row],[Contracts Signed]]=0,0,SalesData[[#This Row],[Profit(€)]]/SalesData[[#This Row],[Contracts Signed]])</f>
        <v>3317</v>
      </c>
      <c r="AJ4886" s="5" t="str">
        <f>TRIM(CLEAN(SalesData[[#This Row],[Retailer]]))</f>
        <v>Stuttgart Auto Center</v>
      </c>
    </row>
    <row r="4887" spans="1:36" ht="14.25" hidden="1" x14ac:dyDescent="0.2">
      <c r="A4887" t="s">
        <v>6167</v>
      </c>
      <c r="B4887" s="1">
        <v>46067</v>
      </c>
      <c r="C4887" t="s">
        <v>121</v>
      </c>
      <c r="D4887" t="s">
        <v>151</v>
      </c>
      <c r="E4887" t="s">
        <v>42</v>
      </c>
      <c r="F4887" t="s">
        <v>7649</v>
      </c>
      <c r="G4887" t="s">
        <v>55</v>
      </c>
      <c r="H4887" t="s">
        <v>55</v>
      </c>
      <c r="I4887" t="s">
        <v>104</v>
      </c>
      <c r="J4887" t="s">
        <v>143</v>
      </c>
      <c r="K4887" t="s">
        <v>91</v>
      </c>
      <c r="L4887" t="s">
        <v>67</v>
      </c>
      <c r="M4887" t="s">
        <v>68</v>
      </c>
      <c r="N4887" t="s">
        <v>48</v>
      </c>
      <c r="O4887" t="s">
        <v>36</v>
      </c>
      <c r="P4887" t="s">
        <v>37</v>
      </c>
      <c r="Q4887" t="s">
        <v>88</v>
      </c>
      <c r="R4887">
        <v>511</v>
      </c>
      <c r="S4887">
        <v>212</v>
      </c>
      <c r="T4887">
        <v>126</v>
      </c>
      <c r="U4887">
        <v>31</v>
      </c>
      <c r="V4887" t="s">
        <v>1773</v>
      </c>
      <c r="W4887">
        <v>28021</v>
      </c>
      <c r="X4887" t="s">
        <v>2878</v>
      </c>
      <c r="Y4887">
        <v>24954</v>
      </c>
      <c r="Z4887">
        <v>868651</v>
      </c>
      <c r="AA4887">
        <v>95077</v>
      </c>
      <c r="AB4887" t="str">
        <f>(VLOOKUP(SalesData[[#This Row],[Month Number]],Reference!C$5:E$16,2,FALSE))</f>
        <v>Feb</v>
      </c>
      <c r="AC4887">
        <f>MONTH(SalesData[[#This Row],[Date]])</f>
        <v>2</v>
      </c>
      <c r="AD4887">
        <f>Reference!F$4</f>
        <v>2026</v>
      </c>
      <c r="AE4887" t="str">
        <f>IF(OR(SalesData[[#This Row],[Day]]="Saturday",SalesData[[#This Row],[Day]]="Sunday"),"Weekend","Weekday")</f>
        <v>Weekend</v>
      </c>
      <c r="AF4887" s="5">
        <f>IF(SalesData[[#This Row],[Contracts Offered]]=0,0,SalesData[[#This Row],[Contracts Signed]]/SalesData[[#This Row],[Contracts Offered]])</f>
        <v>0.24603174603174602</v>
      </c>
      <c r="AG4887" s="5">
        <f>IF(SalesData[[#This Row],[Customers Visited]]=0,0,SalesData[[#This Row],[Test Drives]]/SalesData[[#This Row],[Customers Visited]])</f>
        <v>0.41487279843444225</v>
      </c>
      <c r="AH4887" s="5">
        <f>IF(SalesData[[#This Row],[Customers Visited]]=0,0,SalesData[[#This Row],[Contracts Signed]]/SalesData[[#This Row],[Customers Visited]])</f>
        <v>6.0665362035225046E-2</v>
      </c>
      <c r="AI4887" s="6">
        <f>IF(SalesData[[#This Row],[Contracts Signed]]=0,0,SalesData[[#This Row],[Profit(€)]]/SalesData[[#This Row],[Contracts Signed]])</f>
        <v>3067</v>
      </c>
      <c r="AJ4887" s="5" t="str">
        <f>TRIM(CLEAN(SalesData[[#This Row],[Retailer]]))</f>
        <v>Autohaus Berlin</v>
      </c>
    </row>
    <row r="4888" spans="1:36" ht="14.25" hidden="1" x14ac:dyDescent="0.2">
      <c r="A4888" t="s">
        <v>6168</v>
      </c>
      <c r="B4888" s="1">
        <v>46076</v>
      </c>
      <c r="C4888" t="s">
        <v>53</v>
      </c>
      <c r="D4888" t="s">
        <v>25</v>
      </c>
      <c r="E4888" t="s">
        <v>26</v>
      </c>
      <c r="F4888" t="s">
        <v>7649</v>
      </c>
      <c r="G4888" t="s">
        <v>55</v>
      </c>
      <c r="H4888" t="s">
        <v>55</v>
      </c>
      <c r="I4888" t="s">
        <v>104</v>
      </c>
      <c r="J4888" t="s">
        <v>140</v>
      </c>
      <c r="K4888" t="s">
        <v>66</v>
      </c>
      <c r="L4888" t="s">
        <v>46</v>
      </c>
      <c r="M4888" t="s">
        <v>34</v>
      </c>
      <c r="N4888" t="s">
        <v>48</v>
      </c>
      <c r="O4888" t="s">
        <v>70</v>
      </c>
      <c r="P4888" t="s">
        <v>58</v>
      </c>
      <c r="Q4888" t="s">
        <v>158</v>
      </c>
      <c r="R4888">
        <v>411</v>
      </c>
      <c r="S4888">
        <v>211</v>
      </c>
      <c r="T4888">
        <v>143</v>
      </c>
      <c r="U4888">
        <v>43</v>
      </c>
      <c r="V4888" t="s">
        <v>7396</v>
      </c>
      <c r="W4888">
        <v>28793</v>
      </c>
      <c r="X4888" t="s">
        <v>4556</v>
      </c>
      <c r="Y4888">
        <v>25977</v>
      </c>
      <c r="Z4888">
        <v>1238099</v>
      </c>
      <c r="AA4888">
        <v>121088</v>
      </c>
      <c r="AB4888" t="str">
        <f>(VLOOKUP(SalesData[[#This Row],[Month Number]],Reference!C$5:E$16,2,FALSE))</f>
        <v>Feb</v>
      </c>
      <c r="AC4888">
        <f>MONTH(SalesData[[#This Row],[Date]])</f>
        <v>2</v>
      </c>
      <c r="AD4888">
        <f>Reference!F$4</f>
        <v>2026</v>
      </c>
      <c r="AE4888" t="str">
        <f>IF(OR(SalesData[[#This Row],[Day]]="Saturday",SalesData[[#This Row],[Day]]="Sunday"),"Weekend","Weekday")</f>
        <v>Weekday</v>
      </c>
      <c r="AF4888" s="5">
        <f>IF(SalesData[[#This Row],[Contracts Offered]]=0,0,SalesData[[#This Row],[Contracts Signed]]/SalesData[[#This Row],[Contracts Offered]])</f>
        <v>0.30069930069930068</v>
      </c>
      <c r="AG4888" s="5">
        <f>IF(SalesData[[#This Row],[Customers Visited]]=0,0,SalesData[[#This Row],[Test Drives]]/SalesData[[#This Row],[Customers Visited]])</f>
        <v>0.51338199513381999</v>
      </c>
      <c r="AH4888" s="5">
        <f>IF(SalesData[[#This Row],[Customers Visited]]=0,0,SalesData[[#This Row],[Contracts Signed]]/SalesData[[#This Row],[Customers Visited]])</f>
        <v>0.10462287104622871</v>
      </c>
      <c r="AI4888" s="6">
        <f>IF(SalesData[[#This Row],[Contracts Signed]]=0,0,SalesData[[#This Row],[Profit(€)]]/SalesData[[#This Row],[Contracts Signed]])</f>
        <v>2816</v>
      </c>
      <c r="AJ4888" s="5" t="str">
        <f>TRIM(CLEAN(SalesData[[#This Row],[Retailer]]))</f>
        <v>Autohaus Berlin</v>
      </c>
    </row>
    <row r="4889" spans="1:36" ht="14.25" hidden="1" x14ac:dyDescent="0.2">
      <c r="A4889" t="s">
        <v>6169</v>
      </c>
      <c r="B4889" s="1">
        <v>46071</v>
      </c>
      <c r="C4889" t="s">
        <v>62</v>
      </c>
      <c r="D4889" t="s">
        <v>82</v>
      </c>
      <c r="E4889" t="s">
        <v>26</v>
      </c>
      <c r="F4889" t="s">
        <v>74</v>
      </c>
      <c r="G4889" t="s">
        <v>75</v>
      </c>
      <c r="H4889" t="s">
        <v>76</v>
      </c>
      <c r="I4889" t="s">
        <v>116</v>
      </c>
      <c r="J4889" t="s">
        <v>132</v>
      </c>
      <c r="K4889" t="s">
        <v>91</v>
      </c>
      <c r="L4889" t="s">
        <v>46</v>
      </c>
      <c r="M4889" t="s">
        <v>68</v>
      </c>
      <c r="N4889" t="s">
        <v>48</v>
      </c>
      <c r="O4889" t="s">
        <v>36</v>
      </c>
      <c r="P4889" t="s">
        <v>58</v>
      </c>
      <c r="Q4889" t="s">
        <v>79</v>
      </c>
      <c r="R4889">
        <v>374</v>
      </c>
      <c r="S4889">
        <v>164</v>
      </c>
      <c r="T4889">
        <v>94</v>
      </c>
      <c r="U4889">
        <v>36</v>
      </c>
      <c r="V4889" t="s">
        <v>6382</v>
      </c>
      <c r="W4889">
        <v>20555</v>
      </c>
      <c r="X4889" t="s">
        <v>7480</v>
      </c>
      <c r="Y4889">
        <v>18764</v>
      </c>
      <c r="Z4889">
        <v>739980</v>
      </c>
      <c r="AA4889">
        <v>64476</v>
      </c>
      <c r="AB4889" t="str">
        <f>(VLOOKUP(SalesData[[#This Row],[Month Number]],Reference!C$5:E$16,2,FALSE))</f>
        <v>Feb</v>
      </c>
      <c r="AC4889">
        <f>MONTH(SalesData[[#This Row],[Date]])</f>
        <v>2</v>
      </c>
      <c r="AD4889">
        <f>Reference!F$4</f>
        <v>2026</v>
      </c>
      <c r="AE4889" t="str">
        <f>IF(OR(SalesData[[#This Row],[Day]]="Saturday",SalesData[[#This Row],[Day]]="Sunday"),"Weekend","Weekday")</f>
        <v>Weekday</v>
      </c>
      <c r="AF4889" s="5">
        <f>IF(SalesData[[#This Row],[Contracts Offered]]=0,0,SalesData[[#This Row],[Contracts Signed]]/SalesData[[#This Row],[Contracts Offered]])</f>
        <v>0.38297872340425532</v>
      </c>
      <c r="AG4889" s="5">
        <f>IF(SalesData[[#This Row],[Customers Visited]]=0,0,SalesData[[#This Row],[Test Drives]]/SalesData[[#This Row],[Customers Visited]])</f>
        <v>0.43850267379679142</v>
      </c>
      <c r="AH4889" s="5">
        <f>IF(SalesData[[#This Row],[Customers Visited]]=0,0,SalesData[[#This Row],[Contracts Signed]]/SalesData[[#This Row],[Customers Visited]])</f>
        <v>9.6256684491978606E-2</v>
      </c>
      <c r="AI4889" s="6">
        <f>IF(SalesData[[#This Row],[Contracts Signed]]=0,0,SalesData[[#This Row],[Profit(€)]]/SalesData[[#This Row],[Contracts Signed]])</f>
        <v>1791</v>
      </c>
      <c r="AJ4889" s="5" t="str">
        <f>TRIM(CLEAN(SalesData[[#This Row],[Retailer]]))</f>
        <v>Stuttgart Auto Center</v>
      </c>
    </row>
    <row r="4890" spans="1:36" ht="14.25" x14ac:dyDescent="0.2">
      <c r="A4890" t="s">
        <v>6170</v>
      </c>
      <c r="B4890" s="1">
        <v>46074</v>
      </c>
      <c r="C4890" t="s">
        <v>62</v>
      </c>
      <c r="D4890" t="s">
        <v>151</v>
      </c>
      <c r="E4890" t="s">
        <v>42</v>
      </c>
      <c r="F4890" t="s">
        <v>114</v>
      </c>
      <c r="G4890" t="s">
        <v>115</v>
      </c>
      <c r="H4890" t="s">
        <v>115</v>
      </c>
      <c r="I4890" t="s">
        <v>30</v>
      </c>
      <c r="J4890" t="s">
        <v>188</v>
      </c>
      <c r="K4890" t="s">
        <v>78</v>
      </c>
      <c r="L4890" t="s">
        <v>33</v>
      </c>
      <c r="M4890" t="s">
        <v>47</v>
      </c>
      <c r="N4890" t="s">
        <v>35</v>
      </c>
      <c r="O4890" t="s">
        <v>70</v>
      </c>
      <c r="P4890" t="s">
        <v>49</v>
      </c>
      <c r="Q4890" t="s">
        <v>240</v>
      </c>
      <c r="R4890">
        <v>222</v>
      </c>
      <c r="S4890">
        <v>110</v>
      </c>
      <c r="T4890">
        <v>81</v>
      </c>
      <c r="U4890">
        <v>29</v>
      </c>
      <c r="V4890" t="s">
        <v>6522</v>
      </c>
      <c r="W4890">
        <v>51067</v>
      </c>
      <c r="X4890" t="s">
        <v>7214</v>
      </c>
      <c r="Y4890">
        <v>35842</v>
      </c>
      <c r="Z4890">
        <v>1480943</v>
      </c>
      <c r="AA4890">
        <v>441525</v>
      </c>
      <c r="AB4890" t="str">
        <f>(VLOOKUP(SalesData[[#This Row],[Month Number]],Reference!C$5:E$16,2,FALSE))</f>
        <v>Feb</v>
      </c>
      <c r="AC4890">
        <f>MONTH(SalesData[[#This Row],[Date]])</f>
        <v>2</v>
      </c>
      <c r="AD4890">
        <f>Reference!F$4</f>
        <v>2026</v>
      </c>
      <c r="AE4890" t="str">
        <f>IF(OR(SalesData[[#This Row],[Day]]="Saturday",SalesData[[#This Row],[Day]]="Sunday"),"Weekend","Weekday")</f>
        <v>Weekend</v>
      </c>
      <c r="AF4890" s="5">
        <f>IF(SalesData[[#This Row],[Contracts Offered]]=0,0,SalesData[[#This Row],[Contracts Signed]]/SalesData[[#This Row],[Contracts Offered]])</f>
        <v>0.35802469135802467</v>
      </c>
      <c r="AG4890" s="5">
        <f>IF(SalesData[[#This Row],[Customers Visited]]=0,0,SalesData[[#This Row],[Test Drives]]/SalesData[[#This Row],[Customers Visited]])</f>
        <v>0.49549549549549549</v>
      </c>
      <c r="AH4890" s="5">
        <f>IF(SalesData[[#This Row],[Customers Visited]]=0,0,SalesData[[#This Row],[Contracts Signed]]/SalesData[[#This Row],[Customers Visited]])</f>
        <v>0.13063063063063063</v>
      </c>
      <c r="AI4890" s="6">
        <f>IF(SalesData[[#This Row],[Contracts Signed]]=0,0,SalesData[[#This Row],[Profit(€)]]/SalesData[[#This Row],[Contracts Signed]])</f>
        <v>15225</v>
      </c>
      <c r="AJ4890" s="5" t="str">
        <f>TRIM(CLEAN(SalesData[[#This Row],[Retailer]]))</f>
        <v>Elbe Drive</v>
      </c>
    </row>
    <row r="4891" spans="1:36" ht="14.25" x14ac:dyDescent="0.2">
      <c r="A4891" t="s">
        <v>6171</v>
      </c>
      <c r="B4891" s="1">
        <v>46071</v>
      </c>
      <c r="C4891" t="s">
        <v>62</v>
      </c>
      <c r="D4891" t="s">
        <v>82</v>
      </c>
      <c r="E4891" t="s">
        <v>26</v>
      </c>
      <c r="F4891" t="s">
        <v>43</v>
      </c>
      <c r="G4891" t="s">
        <v>44</v>
      </c>
      <c r="H4891" t="s">
        <v>45</v>
      </c>
      <c r="I4891" t="s">
        <v>30</v>
      </c>
      <c r="J4891" t="s">
        <v>188</v>
      </c>
      <c r="K4891" t="s">
        <v>78</v>
      </c>
      <c r="L4891" t="s">
        <v>33</v>
      </c>
      <c r="M4891" t="s">
        <v>87</v>
      </c>
      <c r="N4891" t="s">
        <v>48</v>
      </c>
      <c r="O4891" t="s">
        <v>70</v>
      </c>
      <c r="P4891" t="s">
        <v>37</v>
      </c>
      <c r="Q4891" t="s">
        <v>135</v>
      </c>
      <c r="R4891">
        <v>227</v>
      </c>
      <c r="S4891">
        <v>111</v>
      </c>
      <c r="T4891">
        <v>79</v>
      </c>
      <c r="U4891">
        <v>30</v>
      </c>
      <c r="V4891" t="s">
        <v>6509</v>
      </c>
      <c r="W4891">
        <v>69429</v>
      </c>
      <c r="X4891" t="s">
        <v>7312</v>
      </c>
      <c r="Y4891">
        <v>52889</v>
      </c>
      <c r="Z4891">
        <v>2082870</v>
      </c>
      <c r="AA4891">
        <v>496200</v>
      </c>
      <c r="AB4891" t="str">
        <f>(VLOOKUP(SalesData[[#This Row],[Month Number]],Reference!C$5:E$16,2,FALSE))</f>
        <v>Feb</v>
      </c>
      <c r="AC4891">
        <f>MONTH(SalesData[[#This Row],[Date]])</f>
        <v>2</v>
      </c>
      <c r="AD4891">
        <f>Reference!F$4</f>
        <v>2026</v>
      </c>
      <c r="AE4891" t="str">
        <f>IF(OR(SalesData[[#This Row],[Day]]="Saturday",SalesData[[#This Row],[Day]]="Sunday"),"Weekend","Weekday")</f>
        <v>Weekday</v>
      </c>
      <c r="AF4891" s="5">
        <f>IF(SalesData[[#This Row],[Contracts Offered]]=0,0,SalesData[[#This Row],[Contracts Signed]]/SalesData[[#This Row],[Contracts Offered]])</f>
        <v>0.379746835443038</v>
      </c>
      <c r="AG4891" s="5">
        <f>IF(SalesData[[#This Row],[Customers Visited]]=0,0,SalesData[[#This Row],[Test Drives]]/SalesData[[#This Row],[Customers Visited]])</f>
        <v>0.48898678414096919</v>
      </c>
      <c r="AH4891" s="5">
        <f>IF(SalesData[[#This Row],[Customers Visited]]=0,0,SalesData[[#This Row],[Contracts Signed]]/SalesData[[#This Row],[Customers Visited]])</f>
        <v>0.13215859030837004</v>
      </c>
      <c r="AI4891" s="6">
        <f>IF(SalesData[[#This Row],[Contracts Signed]]=0,0,SalesData[[#This Row],[Profit(€)]]/SalesData[[#This Row],[Contracts Signed]])</f>
        <v>16540</v>
      </c>
      <c r="AJ4891" s="5" t="str">
        <f>TRIM(CLEAN(SalesData[[#This Row],[Retailer]]))</f>
        <v>Saxon Wheels</v>
      </c>
    </row>
    <row r="4892" spans="1:36" ht="14.25" hidden="1" x14ac:dyDescent="0.2">
      <c r="A4892" t="s">
        <v>6172</v>
      </c>
      <c r="B4892" s="1">
        <v>46074</v>
      </c>
      <c r="C4892" t="s">
        <v>62</v>
      </c>
      <c r="D4892" t="s">
        <v>151</v>
      </c>
      <c r="E4892" t="s">
        <v>42</v>
      </c>
      <c r="F4892" t="s">
        <v>7649</v>
      </c>
      <c r="G4892" t="s">
        <v>55</v>
      </c>
      <c r="H4892" t="s">
        <v>55</v>
      </c>
      <c r="I4892" t="s">
        <v>116</v>
      </c>
      <c r="J4892" t="s">
        <v>203</v>
      </c>
      <c r="K4892" t="s">
        <v>78</v>
      </c>
      <c r="L4892" t="s">
        <v>67</v>
      </c>
      <c r="M4892" t="s">
        <v>87</v>
      </c>
      <c r="N4892" t="s">
        <v>35</v>
      </c>
      <c r="O4892" t="s">
        <v>36</v>
      </c>
      <c r="P4892" t="s">
        <v>37</v>
      </c>
      <c r="Q4892" t="s">
        <v>59</v>
      </c>
      <c r="R4892">
        <v>264</v>
      </c>
      <c r="S4892">
        <v>101</v>
      </c>
      <c r="T4892">
        <v>65</v>
      </c>
      <c r="U4892">
        <v>14</v>
      </c>
      <c r="V4892" t="s">
        <v>4265</v>
      </c>
      <c r="W4892">
        <v>25634</v>
      </c>
      <c r="X4892" t="s">
        <v>490</v>
      </c>
      <c r="Y4892">
        <v>23477</v>
      </c>
      <c r="Z4892">
        <v>358876</v>
      </c>
      <c r="AA4892">
        <v>30198</v>
      </c>
      <c r="AB4892" t="str">
        <f>(VLOOKUP(SalesData[[#This Row],[Month Number]],Reference!C$5:E$16,2,FALSE))</f>
        <v>Feb</v>
      </c>
      <c r="AC4892">
        <f>MONTH(SalesData[[#This Row],[Date]])</f>
        <v>2</v>
      </c>
      <c r="AD4892">
        <f>Reference!F$4</f>
        <v>2026</v>
      </c>
      <c r="AE4892" t="str">
        <f>IF(OR(SalesData[[#This Row],[Day]]="Saturday",SalesData[[#This Row],[Day]]="Sunday"),"Weekend","Weekday")</f>
        <v>Weekend</v>
      </c>
      <c r="AF4892" s="5">
        <f>IF(SalesData[[#This Row],[Contracts Offered]]=0,0,SalesData[[#This Row],[Contracts Signed]]/SalesData[[#This Row],[Contracts Offered]])</f>
        <v>0.2153846153846154</v>
      </c>
      <c r="AG4892" s="5">
        <f>IF(SalesData[[#This Row],[Customers Visited]]=0,0,SalesData[[#This Row],[Test Drives]]/SalesData[[#This Row],[Customers Visited]])</f>
        <v>0.38257575757575757</v>
      </c>
      <c r="AH4892" s="5">
        <f>IF(SalesData[[#This Row],[Customers Visited]]=0,0,SalesData[[#This Row],[Contracts Signed]]/SalesData[[#This Row],[Customers Visited]])</f>
        <v>5.3030303030303032E-2</v>
      </c>
      <c r="AI4892" s="6">
        <f>IF(SalesData[[#This Row],[Contracts Signed]]=0,0,SalesData[[#This Row],[Profit(€)]]/SalesData[[#This Row],[Contracts Signed]])</f>
        <v>2157</v>
      </c>
      <c r="AJ4892" s="5" t="str">
        <f>TRIM(CLEAN(SalesData[[#This Row],[Retailer]]))</f>
        <v>Autohaus Berlin</v>
      </c>
    </row>
    <row r="4893" spans="1:36" ht="14.25" hidden="1" x14ac:dyDescent="0.2">
      <c r="A4893" t="s">
        <v>6173</v>
      </c>
      <c r="B4893" s="1">
        <v>46068</v>
      </c>
      <c r="C4893" t="s">
        <v>62</v>
      </c>
      <c r="D4893" t="s">
        <v>41</v>
      </c>
      <c r="E4893" t="s">
        <v>42</v>
      </c>
      <c r="F4893" t="s">
        <v>127</v>
      </c>
      <c r="G4893" t="s">
        <v>128</v>
      </c>
      <c r="H4893" t="s">
        <v>103</v>
      </c>
      <c r="I4893" t="s">
        <v>116</v>
      </c>
      <c r="J4893" t="s">
        <v>117</v>
      </c>
      <c r="K4893" t="s">
        <v>78</v>
      </c>
      <c r="L4893" t="s">
        <v>67</v>
      </c>
      <c r="M4893" t="s">
        <v>34</v>
      </c>
      <c r="N4893" t="s">
        <v>69</v>
      </c>
      <c r="O4893" t="s">
        <v>36</v>
      </c>
      <c r="P4893" t="s">
        <v>49</v>
      </c>
      <c r="Q4893" t="s">
        <v>50</v>
      </c>
      <c r="R4893">
        <v>324</v>
      </c>
      <c r="S4893">
        <v>136</v>
      </c>
      <c r="T4893">
        <v>93</v>
      </c>
      <c r="U4893">
        <v>17</v>
      </c>
      <c r="V4893" t="s">
        <v>265</v>
      </c>
      <c r="W4893">
        <v>21300</v>
      </c>
      <c r="X4893" t="s">
        <v>1515</v>
      </c>
      <c r="Y4893">
        <v>19652</v>
      </c>
      <c r="Z4893">
        <v>362100</v>
      </c>
      <c r="AA4893">
        <v>28016</v>
      </c>
      <c r="AB4893" t="str">
        <f>(VLOOKUP(SalesData[[#This Row],[Month Number]],Reference!C$5:E$16,2,FALSE))</f>
        <v>Feb</v>
      </c>
      <c r="AC4893">
        <f>MONTH(SalesData[[#This Row],[Date]])</f>
        <v>2</v>
      </c>
      <c r="AD4893">
        <f>Reference!F$4</f>
        <v>2026</v>
      </c>
      <c r="AE4893" t="str">
        <f>IF(OR(SalesData[[#This Row],[Day]]="Saturday",SalesData[[#This Row],[Day]]="Sunday"),"Weekend","Weekday")</f>
        <v>Weekend</v>
      </c>
      <c r="AF4893" s="5">
        <f>IF(SalesData[[#This Row],[Contracts Offered]]=0,0,SalesData[[#This Row],[Contracts Signed]]/SalesData[[#This Row],[Contracts Offered]])</f>
        <v>0.18279569892473119</v>
      </c>
      <c r="AG4893" s="5">
        <f>IF(SalesData[[#This Row],[Customers Visited]]=0,0,SalesData[[#This Row],[Test Drives]]/SalesData[[#This Row],[Customers Visited]])</f>
        <v>0.41975308641975306</v>
      </c>
      <c r="AH4893" s="5">
        <f>IF(SalesData[[#This Row],[Customers Visited]]=0,0,SalesData[[#This Row],[Contracts Signed]]/SalesData[[#This Row],[Customers Visited]])</f>
        <v>5.2469135802469133E-2</v>
      </c>
      <c r="AI4893" s="6">
        <f>IF(SalesData[[#This Row],[Contracts Signed]]=0,0,SalesData[[#This Row],[Profit(€)]]/SalesData[[#This Row],[Contracts Signed]])</f>
        <v>1648</v>
      </c>
      <c r="AJ4893" s="5" t="str">
        <f>TRIM(CLEAN(SalesData[[#This Row],[Retailer]]))</f>
        <v>Rhein Auto Group</v>
      </c>
    </row>
    <row r="4894" spans="1:36" ht="14.25" hidden="1" x14ac:dyDescent="0.2">
      <c r="A4894" t="s">
        <v>6174</v>
      </c>
      <c r="B4894" s="1">
        <v>46065</v>
      </c>
      <c r="C4894" t="s">
        <v>121</v>
      </c>
      <c r="D4894" t="s">
        <v>100</v>
      </c>
      <c r="E4894" t="s">
        <v>26</v>
      </c>
      <c r="F4894" t="s">
        <v>83</v>
      </c>
      <c r="G4894" t="s">
        <v>84</v>
      </c>
      <c r="H4894" t="s">
        <v>85</v>
      </c>
      <c r="I4894" t="s">
        <v>104</v>
      </c>
      <c r="J4894" t="s">
        <v>143</v>
      </c>
      <c r="K4894" t="s">
        <v>32</v>
      </c>
      <c r="L4894" t="s">
        <v>67</v>
      </c>
      <c r="M4894" t="s">
        <v>68</v>
      </c>
      <c r="N4894" t="s">
        <v>69</v>
      </c>
      <c r="O4894" t="s">
        <v>36</v>
      </c>
      <c r="P4894" t="s">
        <v>58</v>
      </c>
      <c r="Q4894" t="s">
        <v>144</v>
      </c>
      <c r="R4894">
        <v>279</v>
      </c>
      <c r="S4894">
        <v>157</v>
      </c>
      <c r="T4894">
        <v>100</v>
      </c>
      <c r="U4894">
        <v>31</v>
      </c>
      <c r="V4894" t="s">
        <v>2805</v>
      </c>
      <c r="W4894">
        <v>29476</v>
      </c>
      <c r="X4894" t="s">
        <v>1330</v>
      </c>
      <c r="Y4894">
        <v>26324</v>
      </c>
      <c r="Z4894">
        <v>913756</v>
      </c>
      <c r="AA4894">
        <v>97712</v>
      </c>
      <c r="AB4894" t="str">
        <f>(VLOOKUP(SalesData[[#This Row],[Month Number]],Reference!C$5:E$16,2,FALSE))</f>
        <v>Feb</v>
      </c>
      <c r="AC4894">
        <f>MONTH(SalesData[[#This Row],[Date]])</f>
        <v>2</v>
      </c>
      <c r="AD4894">
        <f>Reference!F$4</f>
        <v>2026</v>
      </c>
      <c r="AE4894" t="str">
        <f>IF(OR(SalesData[[#This Row],[Day]]="Saturday",SalesData[[#This Row],[Day]]="Sunday"),"Weekend","Weekday")</f>
        <v>Weekday</v>
      </c>
      <c r="AF4894" s="5">
        <f>IF(SalesData[[#This Row],[Contracts Offered]]=0,0,SalesData[[#This Row],[Contracts Signed]]/SalesData[[#This Row],[Contracts Offered]])</f>
        <v>0.31</v>
      </c>
      <c r="AG4894" s="5">
        <f>IF(SalesData[[#This Row],[Customers Visited]]=0,0,SalesData[[#This Row],[Test Drives]]/SalesData[[#This Row],[Customers Visited]])</f>
        <v>0.56272401433691754</v>
      </c>
      <c r="AH4894" s="5">
        <f>IF(SalesData[[#This Row],[Customers Visited]]=0,0,SalesData[[#This Row],[Contracts Signed]]/SalesData[[#This Row],[Customers Visited]])</f>
        <v>0.1111111111111111</v>
      </c>
      <c r="AI4894" s="6">
        <f>IF(SalesData[[#This Row],[Contracts Signed]]=0,0,SalesData[[#This Row],[Profit(€)]]/SalesData[[#This Row],[Contracts Signed]])</f>
        <v>3152</v>
      </c>
      <c r="AJ4894" s="5" t="str">
        <f>TRIM(CLEAN(SalesData[[#This Row],[Retailer]]))</f>
        <v>Hannover Cars</v>
      </c>
    </row>
    <row r="4895" spans="1:36" ht="14.25" hidden="1" x14ac:dyDescent="0.2">
      <c r="A4895" t="s">
        <v>6175</v>
      </c>
      <c r="B4895" s="1">
        <v>46067</v>
      </c>
      <c r="C4895" t="s">
        <v>121</v>
      </c>
      <c r="D4895" t="s">
        <v>151</v>
      </c>
      <c r="E4895" t="s">
        <v>42</v>
      </c>
      <c r="F4895" t="s">
        <v>94</v>
      </c>
      <c r="G4895" t="s">
        <v>95</v>
      </c>
      <c r="H4895" t="s">
        <v>96</v>
      </c>
      <c r="I4895" t="s">
        <v>64</v>
      </c>
      <c r="J4895" t="s">
        <v>111</v>
      </c>
      <c r="K4895" t="s">
        <v>32</v>
      </c>
      <c r="L4895" t="s">
        <v>46</v>
      </c>
      <c r="M4895" t="s">
        <v>34</v>
      </c>
      <c r="N4895" t="s">
        <v>69</v>
      </c>
      <c r="O4895" t="s">
        <v>36</v>
      </c>
      <c r="P4895" t="s">
        <v>49</v>
      </c>
      <c r="Q4895" t="s">
        <v>118</v>
      </c>
      <c r="R4895">
        <v>209</v>
      </c>
      <c r="S4895">
        <v>97</v>
      </c>
      <c r="T4895">
        <v>71</v>
      </c>
      <c r="U4895">
        <v>22</v>
      </c>
      <c r="V4895" t="s">
        <v>6479</v>
      </c>
      <c r="W4895">
        <v>52813</v>
      </c>
      <c r="X4895" t="s">
        <v>7544</v>
      </c>
      <c r="Y4895">
        <v>37700</v>
      </c>
      <c r="Z4895">
        <v>1161886</v>
      </c>
      <c r="AA4895">
        <v>332486</v>
      </c>
      <c r="AB4895" t="str">
        <f>(VLOOKUP(SalesData[[#This Row],[Month Number]],Reference!C$5:E$16,2,FALSE))</f>
        <v>Feb</v>
      </c>
      <c r="AC4895">
        <f>MONTH(SalesData[[#This Row],[Date]])</f>
        <v>2</v>
      </c>
      <c r="AD4895">
        <f>Reference!F$4</f>
        <v>2026</v>
      </c>
      <c r="AE4895" t="str">
        <f>IF(OR(SalesData[[#This Row],[Day]]="Saturday",SalesData[[#This Row],[Day]]="Sunday"),"Weekend","Weekday")</f>
        <v>Weekend</v>
      </c>
      <c r="AF4895" s="5">
        <f>IF(SalesData[[#This Row],[Contracts Offered]]=0,0,SalesData[[#This Row],[Contracts Signed]]/SalesData[[#This Row],[Contracts Offered]])</f>
        <v>0.30985915492957744</v>
      </c>
      <c r="AG4895" s="5">
        <f>IF(SalesData[[#This Row],[Customers Visited]]=0,0,SalesData[[#This Row],[Test Drives]]/SalesData[[#This Row],[Customers Visited]])</f>
        <v>0.46411483253588515</v>
      </c>
      <c r="AH4895" s="5">
        <f>IF(SalesData[[#This Row],[Customers Visited]]=0,0,SalesData[[#This Row],[Contracts Signed]]/SalesData[[#This Row],[Customers Visited]])</f>
        <v>0.10526315789473684</v>
      </c>
      <c r="AI4895" s="6">
        <f>IF(SalesData[[#This Row],[Contracts Signed]]=0,0,SalesData[[#This Row],[Profit(€)]]/SalesData[[#This Row],[Contracts Signed]])</f>
        <v>15113</v>
      </c>
      <c r="AJ4895" s="5" t="str">
        <f>TRIM(CLEAN(SalesData[[#This Row],[Retailer]]))</f>
        <v>Bavaria Motors</v>
      </c>
    </row>
    <row r="4896" spans="1:36" ht="14.25" hidden="1" x14ac:dyDescent="0.2">
      <c r="A4896" t="s">
        <v>6176</v>
      </c>
      <c r="B4896" s="1">
        <v>46056</v>
      </c>
      <c r="C4896" t="s">
        <v>24</v>
      </c>
      <c r="D4896" t="s">
        <v>63</v>
      </c>
      <c r="E4896" t="s">
        <v>26</v>
      </c>
      <c r="F4896" t="s">
        <v>127</v>
      </c>
      <c r="G4896" t="s">
        <v>128</v>
      </c>
      <c r="H4896" t="s">
        <v>103</v>
      </c>
      <c r="I4896" t="s">
        <v>104</v>
      </c>
      <c r="J4896" t="s">
        <v>105</v>
      </c>
      <c r="K4896" t="s">
        <v>78</v>
      </c>
      <c r="L4896" t="s">
        <v>33</v>
      </c>
      <c r="M4896" t="s">
        <v>87</v>
      </c>
      <c r="N4896" t="s">
        <v>35</v>
      </c>
      <c r="O4896" t="s">
        <v>70</v>
      </c>
      <c r="P4896" t="s">
        <v>49</v>
      </c>
      <c r="Q4896" t="s">
        <v>347</v>
      </c>
      <c r="R4896">
        <v>426</v>
      </c>
      <c r="S4896">
        <v>206</v>
      </c>
      <c r="T4896">
        <v>144</v>
      </c>
      <c r="U4896">
        <v>28</v>
      </c>
      <c r="V4896" t="s">
        <v>348</v>
      </c>
      <c r="W4896">
        <v>31466</v>
      </c>
      <c r="X4896" t="s">
        <v>7311</v>
      </c>
      <c r="Y4896">
        <v>27686</v>
      </c>
      <c r="Z4896">
        <v>881048</v>
      </c>
      <c r="AA4896">
        <v>105840</v>
      </c>
      <c r="AB4896" t="str">
        <f>(VLOOKUP(SalesData[[#This Row],[Month Number]],Reference!C$5:E$16,2,FALSE))</f>
        <v>Feb</v>
      </c>
      <c r="AC4896">
        <f>MONTH(SalesData[[#This Row],[Date]])</f>
        <v>2</v>
      </c>
      <c r="AD4896">
        <f>Reference!F$4</f>
        <v>2026</v>
      </c>
      <c r="AE4896" t="str">
        <f>IF(OR(SalesData[[#This Row],[Day]]="Saturday",SalesData[[#This Row],[Day]]="Sunday"),"Weekend","Weekday")</f>
        <v>Weekday</v>
      </c>
      <c r="AF4896" s="5">
        <f>IF(SalesData[[#This Row],[Contracts Offered]]=0,0,SalesData[[#This Row],[Contracts Signed]]/SalesData[[#This Row],[Contracts Offered]])</f>
        <v>0.19444444444444445</v>
      </c>
      <c r="AG4896" s="5">
        <f>IF(SalesData[[#This Row],[Customers Visited]]=0,0,SalesData[[#This Row],[Test Drives]]/SalesData[[#This Row],[Customers Visited]])</f>
        <v>0.48356807511737088</v>
      </c>
      <c r="AH4896" s="5">
        <f>IF(SalesData[[#This Row],[Customers Visited]]=0,0,SalesData[[#This Row],[Contracts Signed]]/SalesData[[#This Row],[Customers Visited]])</f>
        <v>6.5727699530516437E-2</v>
      </c>
      <c r="AI4896" s="6">
        <f>IF(SalesData[[#This Row],[Contracts Signed]]=0,0,SalesData[[#This Row],[Profit(€)]]/SalesData[[#This Row],[Contracts Signed]])</f>
        <v>3780</v>
      </c>
      <c r="AJ4896" s="5" t="str">
        <f>TRIM(CLEAN(SalesData[[#This Row],[Retailer]]))</f>
        <v>Rhein Auto Group</v>
      </c>
    </row>
    <row r="4897" spans="1:36" ht="14.25" hidden="1" x14ac:dyDescent="0.2">
      <c r="A4897" t="s">
        <v>6177</v>
      </c>
      <c r="B4897" s="1">
        <v>46057</v>
      </c>
      <c r="C4897" t="s">
        <v>24</v>
      </c>
      <c r="D4897" t="s">
        <v>82</v>
      </c>
      <c r="E4897" t="s">
        <v>26</v>
      </c>
      <c r="F4897" t="s">
        <v>7649</v>
      </c>
      <c r="G4897" t="s">
        <v>55</v>
      </c>
      <c r="H4897" t="s">
        <v>55</v>
      </c>
      <c r="I4897" t="s">
        <v>64</v>
      </c>
      <c r="J4897" t="s">
        <v>157</v>
      </c>
      <c r="K4897" t="s">
        <v>78</v>
      </c>
      <c r="L4897" t="s">
        <v>33</v>
      </c>
      <c r="M4897" t="s">
        <v>47</v>
      </c>
      <c r="N4897" t="s">
        <v>48</v>
      </c>
      <c r="O4897" t="s">
        <v>70</v>
      </c>
      <c r="P4897" t="s">
        <v>37</v>
      </c>
      <c r="Q4897" t="s">
        <v>167</v>
      </c>
      <c r="R4897">
        <v>258</v>
      </c>
      <c r="S4897">
        <v>114</v>
      </c>
      <c r="T4897">
        <v>86</v>
      </c>
      <c r="U4897">
        <v>27</v>
      </c>
      <c r="V4897" t="s">
        <v>6441</v>
      </c>
      <c r="W4897">
        <v>54424</v>
      </c>
      <c r="X4897" t="s">
        <v>569</v>
      </c>
      <c r="Y4897">
        <v>39888</v>
      </c>
      <c r="Z4897">
        <v>1469448</v>
      </c>
      <c r="AA4897">
        <v>392472</v>
      </c>
      <c r="AB4897" t="str">
        <f>(VLOOKUP(SalesData[[#This Row],[Month Number]],Reference!C$5:E$16,2,FALSE))</f>
        <v>Feb</v>
      </c>
      <c r="AC4897">
        <f>MONTH(SalesData[[#This Row],[Date]])</f>
        <v>2</v>
      </c>
      <c r="AD4897">
        <f>Reference!F$4</f>
        <v>2026</v>
      </c>
      <c r="AE4897" t="str">
        <f>IF(OR(SalesData[[#This Row],[Day]]="Saturday",SalesData[[#This Row],[Day]]="Sunday"),"Weekend","Weekday")</f>
        <v>Weekday</v>
      </c>
      <c r="AF4897" s="5">
        <f>IF(SalesData[[#This Row],[Contracts Offered]]=0,0,SalesData[[#This Row],[Contracts Signed]]/SalesData[[#This Row],[Contracts Offered]])</f>
        <v>0.31395348837209303</v>
      </c>
      <c r="AG4897" s="5">
        <f>IF(SalesData[[#This Row],[Customers Visited]]=0,0,SalesData[[#This Row],[Test Drives]]/SalesData[[#This Row],[Customers Visited]])</f>
        <v>0.44186046511627908</v>
      </c>
      <c r="AH4897" s="5">
        <f>IF(SalesData[[#This Row],[Customers Visited]]=0,0,SalesData[[#This Row],[Contracts Signed]]/SalesData[[#This Row],[Customers Visited]])</f>
        <v>0.10465116279069768</v>
      </c>
      <c r="AI4897" s="6">
        <f>IF(SalesData[[#This Row],[Contracts Signed]]=0,0,SalesData[[#This Row],[Profit(€)]]/SalesData[[#This Row],[Contracts Signed]])</f>
        <v>14536</v>
      </c>
      <c r="AJ4897" s="5" t="str">
        <f>TRIM(CLEAN(SalesData[[#This Row],[Retailer]]))</f>
        <v>Autohaus Berlin</v>
      </c>
    </row>
    <row r="4898" spans="1:36" ht="14.25" hidden="1" x14ac:dyDescent="0.2">
      <c r="A4898" t="s">
        <v>6178</v>
      </c>
      <c r="B4898" s="1">
        <v>46067</v>
      </c>
      <c r="C4898" t="s">
        <v>121</v>
      </c>
      <c r="D4898" t="s">
        <v>151</v>
      </c>
      <c r="E4898" t="s">
        <v>42</v>
      </c>
      <c r="F4898" t="s">
        <v>101</v>
      </c>
      <c r="G4898" t="s">
        <v>102</v>
      </c>
      <c r="H4898" t="s">
        <v>103</v>
      </c>
      <c r="I4898" t="s">
        <v>104</v>
      </c>
      <c r="J4898" t="s">
        <v>143</v>
      </c>
      <c r="K4898" t="s">
        <v>32</v>
      </c>
      <c r="L4898" t="s">
        <v>67</v>
      </c>
      <c r="M4898" t="s">
        <v>34</v>
      </c>
      <c r="N4898" t="s">
        <v>48</v>
      </c>
      <c r="O4898" t="s">
        <v>70</v>
      </c>
      <c r="P4898" t="s">
        <v>49</v>
      </c>
      <c r="Q4898" t="s">
        <v>204</v>
      </c>
      <c r="R4898">
        <v>367</v>
      </c>
      <c r="S4898">
        <v>152</v>
      </c>
      <c r="T4898">
        <v>90</v>
      </c>
      <c r="U4898">
        <v>22</v>
      </c>
      <c r="V4898" t="s">
        <v>211</v>
      </c>
      <c r="W4898">
        <v>29829</v>
      </c>
      <c r="X4898" t="s">
        <v>692</v>
      </c>
      <c r="Y4898">
        <v>26738</v>
      </c>
      <c r="Z4898">
        <v>656238</v>
      </c>
      <c r="AA4898">
        <v>68002</v>
      </c>
      <c r="AB4898" t="str">
        <f>(VLOOKUP(SalesData[[#This Row],[Month Number]],Reference!C$5:E$16,2,FALSE))</f>
        <v>Feb</v>
      </c>
      <c r="AC4898">
        <f>MONTH(SalesData[[#This Row],[Date]])</f>
        <v>2</v>
      </c>
      <c r="AD4898">
        <f>Reference!F$4</f>
        <v>2026</v>
      </c>
      <c r="AE4898" t="str">
        <f>IF(OR(SalesData[[#This Row],[Day]]="Saturday",SalesData[[#This Row],[Day]]="Sunday"),"Weekend","Weekday")</f>
        <v>Weekend</v>
      </c>
      <c r="AF4898" s="5">
        <f>IF(SalesData[[#This Row],[Contracts Offered]]=0,0,SalesData[[#This Row],[Contracts Signed]]/SalesData[[#This Row],[Contracts Offered]])</f>
        <v>0.24444444444444444</v>
      </c>
      <c r="AG4898" s="5">
        <f>IF(SalesData[[#This Row],[Customers Visited]]=0,0,SalesData[[#This Row],[Test Drives]]/SalesData[[#This Row],[Customers Visited]])</f>
        <v>0.41416893732970028</v>
      </c>
      <c r="AH4898" s="5">
        <f>IF(SalesData[[#This Row],[Customers Visited]]=0,0,SalesData[[#This Row],[Contracts Signed]]/SalesData[[#This Row],[Customers Visited]])</f>
        <v>5.9945504087193457E-2</v>
      </c>
      <c r="AI4898" s="6">
        <f>IF(SalesData[[#This Row],[Contracts Signed]]=0,0,SalesData[[#This Row],[Profit(€)]]/SalesData[[#This Row],[Contracts Signed]])</f>
        <v>3091</v>
      </c>
      <c r="AJ4898" s="5" t="str">
        <f>TRIM(CLEAN(SalesData[[#This Row],[Retailer]]))</f>
        <v>Ruhr Auto Plaza</v>
      </c>
    </row>
    <row r="4899" spans="1:36" ht="14.25" hidden="1" x14ac:dyDescent="0.2">
      <c r="A4899" t="s">
        <v>6179</v>
      </c>
      <c r="B4899" s="1">
        <v>46080</v>
      </c>
      <c r="C4899" t="s">
        <v>53</v>
      </c>
      <c r="D4899" t="s">
        <v>54</v>
      </c>
      <c r="E4899" t="s">
        <v>26</v>
      </c>
      <c r="F4899" t="s">
        <v>27</v>
      </c>
      <c r="G4899" t="s">
        <v>28</v>
      </c>
      <c r="H4899" t="s">
        <v>29</v>
      </c>
      <c r="I4899" t="s">
        <v>64</v>
      </c>
      <c r="J4899" t="s">
        <v>7029</v>
      </c>
      <c r="K4899" t="s">
        <v>78</v>
      </c>
      <c r="L4899" t="s">
        <v>33</v>
      </c>
      <c r="M4899" t="s">
        <v>34</v>
      </c>
      <c r="N4899" t="s">
        <v>69</v>
      </c>
      <c r="O4899" t="s">
        <v>70</v>
      </c>
      <c r="P4899" t="s">
        <v>71</v>
      </c>
      <c r="Q4899" t="s">
        <v>204</v>
      </c>
      <c r="R4899">
        <v>180</v>
      </c>
      <c r="S4899">
        <v>90</v>
      </c>
      <c r="T4899">
        <v>64</v>
      </c>
      <c r="U4899">
        <v>24</v>
      </c>
      <c r="V4899" t="s">
        <v>6388</v>
      </c>
      <c r="W4899">
        <v>60915</v>
      </c>
      <c r="X4899" t="s">
        <v>7391</v>
      </c>
      <c r="Y4899">
        <v>45758</v>
      </c>
      <c r="Z4899">
        <v>1461960</v>
      </c>
      <c r="AA4899">
        <v>363768</v>
      </c>
      <c r="AB4899" t="str">
        <f>(VLOOKUP(SalesData[[#This Row],[Month Number]],Reference!C$5:E$16,2,FALSE))</f>
        <v>Feb</v>
      </c>
      <c r="AC4899">
        <f>MONTH(SalesData[[#This Row],[Date]])</f>
        <v>2</v>
      </c>
      <c r="AD4899">
        <f>Reference!F$4</f>
        <v>2026</v>
      </c>
      <c r="AE4899" t="str">
        <f>IF(OR(SalesData[[#This Row],[Day]]="Saturday",SalesData[[#This Row],[Day]]="Sunday"),"Weekend","Weekday")</f>
        <v>Weekday</v>
      </c>
      <c r="AF4899" s="5">
        <f>IF(SalesData[[#This Row],[Contracts Offered]]=0,0,SalesData[[#This Row],[Contracts Signed]]/SalesData[[#This Row],[Contracts Offered]])</f>
        <v>0.375</v>
      </c>
      <c r="AG4899" s="5">
        <f>IF(SalesData[[#This Row],[Customers Visited]]=0,0,SalesData[[#This Row],[Test Drives]]/SalesData[[#This Row],[Customers Visited]])</f>
        <v>0.5</v>
      </c>
      <c r="AH4899" s="5">
        <f>IF(SalesData[[#This Row],[Customers Visited]]=0,0,SalesData[[#This Row],[Contracts Signed]]/SalesData[[#This Row],[Customers Visited]])</f>
        <v>0.13333333333333333</v>
      </c>
      <c r="AI4899" s="6">
        <f>IF(SalesData[[#This Row],[Contracts Signed]]=0,0,SalesData[[#This Row],[Profit(€)]]/SalesData[[#This Row],[Contracts Signed]])</f>
        <v>15157</v>
      </c>
      <c r="AJ4899" s="5" t="str">
        <f>TRIM(CLEAN(SalesData[[#This Row],[Retailer]]))</f>
        <v>Main Auto Hub</v>
      </c>
    </row>
    <row r="4900" spans="1:36" ht="14.25" hidden="1" x14ac:dyDescent="0.2">
      <c r="A4900" t="s">
        <v>6180</v>
      </c>
      <c r="B4900" s="1">
        <v>46068</v>
      </c>
      <c r="C4900" t="s">
        <v>62</v>
      </c>
      <c r="D4900" t="s">
        <v>41</v>
      </c>
      <c r="E4900" t="s">
        <v>42</v>
      </c>
      <c r="F4900" t="s">
        <v>7649</v>
      </c>
      <c r="G4900" t="s">
        <v>55</v>
      </c>
      <c r="H4900" t="s">
        <v>55</v>
      </c>
      <c r="I4900" t="s">
        <v>116</v>
      </c>
      <c r="J4900" t="s">
        <v>117</v>
      </c>
      <c r="K4900" t="s">
        <v>91</v>
      </c>
      <c r="L4900" t="s">
        <v>67</v>
      </c>
      <c r="M4900" t="s">
        <v>87</v>
      </c>
      <c r="N4900" t="s">
        <v>48</v>
      </c>
      <c r="O4900" t="s">
        <v>70</v>
      </c>
      <c r="P4900" t="s">
        <v>49</v>
      </c>
      <c r="Q4900" t="s">
        <v>50</v>
      </c>
      <c r="R4900">
        <v>265</v>
      </c>
      <c r="S4900">
        <v>102</v>
      </c>
      <c r="T4900">
        <v>58</v>
      </c>
      <c r="U4900">
        <v>17</v>
      </c>
      <c r="V4900" t="s">
        <v>508</v>
      </c>
      <c r="W4900">
        <v>26514</v>
      </c>
      <c r="X4900" t="s">
        <v>3997</v>
      </c>
      <c r="Y4900">
        <v>24148</v>
      </c>
      <c r="Z4900">
        <v>450738</v>
      </c>
      <c r="AA4900">
        <v>40222</v>
      </c>
      <c r="AB4900" t="str">
        <f>(VLOOKUP(SalesData[[#This Row],[Month Number]],Reference!C$5:E$16,2,FALSE))</f>
        <v>Feb</v>
      </c>
      <c r="AC4900">
        <f>MONTH(SalesData[[#This Row],[Date]])</f>
        <v>2</v>
      </c>
      <c r="AD4900">
        <f>Reference!F$4</f>
        <v>2026</v>
      </c>
      <c r="AE4900" t="str">
        <f>IF(OR(SalesData[[#This Row],[Day]]="Saturday",SalesData[[#This Row],[Day]]="Sunday"),"Weekend","Weekday")</f>
        <v>Weekend</v>
      </c>
      <c r="AF4900" s="5">
        <f>IF(SalesData[[#This Row],[Contracts Offered]]=0,0,SalesData[[#This Row],[Contracts Signed]]/SalesData[[#This Row],[Contracts Offered]])</f>
        <v>0.29310344827586204</v>
      </c>
      <c r="AG4900" s="5">
        <f>IF(SalesData[[#This Row],[Customers Visited]]=0,0,SalesData[[#This Row],[Test Drives]]/SalesData[[#This Row],[Customers Visited]])</f>
        <v>0.38490566037735852</v>
      </c>
      <c r="AH4900" s="5">
        <f>IF(SalesData[[#This Row],[Customers Visited]]=0,0,SalesData[[#This Row],[Contracts Signed]]/SalesData[[#This Row],[Customers Visited]])</f>
        <v>6.4150943396226415E-2</v>
      </c>
      <c r="AI4900" s="6">
        <f>IF(SalesData[[#This Row],[Contracts Signed]]=0,0,SalesData[[#This Row],[Profit(€)]]/SalesData[[#This Row],[Contracts Signed]])</f>
        <v>2366</v>
      </c>
      <c r="AJ4900" s="5" t="str">
        <f>TRIM(CLEAN(SalesData[[#This Row],[Retailer]]))</f>
        <v>Autohaus Berlin</v>
      </c>
    </row>
    <row r="4901" spans="1:36" ht="14.25" x14ac:dyDescent="0.2">
      <c r="A4901" t="s">
        <v>6181</v>
      </c>
      <c r="B4901" s="1">
        <v>46073</v>
      </c>
      <c r="C4901" t="s">
        <v>62</v>
      </c>
      <c r="D4901" t="s">
        <v>54</v>
      </c>
      <c r="E4901" t="s">
        <v>26</v>
      </c>
      <c r="F4901" t="s">
        <v>27</v>
      </c>
      <c r="G4901" t="s">
        <v>28</v>
      </c>
      <c r="H4901" t="s">
        <v>29</v>
      </c>
      <c r="I4901" t="s">
        <v>30</v>
      </c>
      <c r="J4901" t="s">
        <v>7075</v>
      </c>
      <c r="K4901" t="s">
        <v>91</v>
      </c>
      <c r="L4901" t="s">
        <v>33</v>
      </c>
      <c r="M4901" t="s">
        <v>34</v>
      </c>
      <c r="N4901" t="s">
        <v>69</v>
      </c>
      <c r="O4901" t="s">
        <v>70</v>
      </c>
      <c r="P4901" t="s">
        <v>49</v>
      </c>
      <c r="Q4901" t="s">
        <v>79</v>
      </c>
      <c r="R4901">
        <v>277</v>
      </c>
      <c r="S4901">
        <v>164</v>
      </c>
      <c r="T4901">
        <v>123</v>
      </c>
      <c r="U4901">
        <v>40</v>
      </c>
      <c r="V4901" t="s">
        <v>6903</v>
      </c>
      <c r="W4901">
        <v>59897</v>
      </c>
      <c r="X4901" t="s">
        <v>3288</v>
      </c>
      <c r="Y4901">
        <v>43836</v>
      </c>
      <c r="Z4901">
        <v>2395880</v>
      </c>
      <c r="AA4901">
        <v>642440</v>
      </c>
      <c r="AB4901" t="str">
        <f>(VLOOKUP(SalesData[[#This Row],[Month Number]],Reference!C$5:E$16,2,FALSE))</f>
        <v>Feb</v>
      </c>
      <c r="AC4901">
        <f>MONTH(SalesData[[#This Row],[Date]])</f>
        <v>2</v>
      </c>
      <c r="AD4901">
        <f>Reference!F$4</f>
        <v>2026</v>
      </c>
      <c r="AE4901" t="str">
        <f>IF(OR(SalesData[[#This Row],[Day]]="Saturday",SalesData[[#This Row],[Day]]="Sunday"),"Weekend","Weekday")</f>
        <v>Weekday</v>
      </c>
      <c r="AF4901" s="5">
        <f>IF(SalesData[[#This Row],[Contracts Offered]]=0,0,SalesData[[#This Row],[Contracts Signed]]/SalesData[[#This Row],[Contracts Offered]])</f>
        <v>0.32520325203252032</v>
      </c>
      <c r="AG4901" s="5">
        <f>IF(SalesData[[#This Row],[Customers Visited]]=0,0,SalesData[[#This Row],[Test Drives]]/SalesData[[#This Row],[Customers Visited]])</f>
        <v>0.59205776173285196</v>
      </c>
      <c r="AH4901" s="5">
        <f>IF(SalesData[[#This Row],[Customers Visited]]=0,0,SalesData[[#This Row],[Contracts Signed]]/SalesData[[#This Row],[Customers Visited]])</f>
        <v>0.1444043321299639</v>
      </c>
      <c r="AI4901" s="6">
        <f>IF(SalesData[[#This Row],[Contracts Signed]]=0,0,SalesData[[#This Row],[Profit(€)]]/SalesData[[#This Row],[Contracts Signed]])</f>
        <v>16061</v>
      </c>
      <c r="AJ4901" s="5" t="str">
        <f>TRIM(CLEAN(SalesData[[#This Row],[Retailer]]))</f>
        <v>Main Auto Hub</v>
      </c>
    </row>
    <row r="4902" spans="1:36" ht="14.25" hidden="1" x14ac:dyDescent="0.2">
      <c r="A4902" t="s">
        <v>6182</v>
      </c>
      <c r="B4902" s="1">
        <v>46075</v>
      </c>
      <c r="C4902" t="s">
        <v>53</v>
      </c>
      <c r="D4902" t="s">
        <v>41</v>
      </c>
      <c r="E4902" t="s">
        <v>42</v>
      </c>
      <c r="F4902" t="s">
        <v>109</v>
      </c>
      <c r="G4902" t="s">
        <v>110</v>
      </c>
      <c r="H4902" t="s">
        <v>45</v>
      </c>
      <c r="I4902" t="s">
        <v>64</v>
      </c>
      <c r="J4902" t="s">
        <v>7029</v>
      </c>
      <c r="K4902" t="s">
        <v>66</v>
      </c>
      <c r="L4902" t="s">
        <v>33</v>
      </c>
      <c r="M4902" t="s">
        <v>87</v>
      </c>
      <c r="N4902" t="s">
        <v>35</v>
      </c>
      <c r="O4902" t="s">
        <v>36</v>
      </c>
      <c r="P4902" t="s">
        <v>71</v>
      </c>
      <c r="Q4902" t="s">
        <v>59</v>
      </c>
      <c r="R4902">
        <v>227</v>
      </c>
      <c r="S4902">
        <v>128</v>
      </c>
      <c r="T4902">
        <v>98</v>
      </c>
      <c r="U4902">
        <v>30</v>
      </c>
      <c r="V4902" t="s">
        <v>6584</v>
      </c>
      <c r="W4902">
        <v>70842</v>
      </c>
      <c r="X4902" t="s">
        <v>7280</v>
      </c>
      <c r="Y4902">
        <v>52954</v>
      </c>
      <c r="Z4902">
        <v>2125260</v>
      </c>
      <c r="AA4902">
        <v>536640</v>
      </c>
      <c r="AB4902" t="str">
        <f>(VLOOKUP(SalesData[[#This Row],[Month Number]],Reference!C$5:E$16,2,FALSE))</f>
        <v>Feb</v>
      </c>
      <c r="AC4902">
        <f>MONTH(SalesData[[#This Row],[Date]])</f>
        <v>2</v>
      </c>
      <c r="AD4902">
        <f>Reference!F$4</f>
        <v>2026</v>
      </c>
      <c r="AE4902" t="str">
        <f>IF(OR(SalesData[[#This Row],[Day]]="Saturday",SalesData[[#This Row],[Day]]="Sunday"),"Weekend","Weekday")</f>
        <v>Weekend</v>
      </c>
      <c r="AF4902" s="5">
        <f>IF(SalesData[[#This Row],[Contracts Offered]]=0,0,SalesData[[#This Row],[Contracts Signed]]/SalesData[[#This Row],[Contracts Offered]])</f>
        <v>0.30612244897959184</v>
      </c>
      <c r="AG4902" s="5">
        <f>IF(SalesData[[#This Row],[Customers Visited]]=0,0,SalesData[[#This Row],[Test Drives]]/SalesData[[#This Row],[Customers Visited]])</f>
        <v>0.56387665198237891</v>
      </c>
      <c r="AH4902" s="5">
        <f>IF(SalesData[[#This Row],[Customers Visited]]=0,0,SalesData[[#This Row],[Contracts Signed]]/SalesData[[#This Row],[Customers Visited]])</f>
        <v>0.13215859030837004</v>
      </c>
      <c r="AI4902" s="6">
        <f>IF(SalesData[[#This Row],[Contracts Signed]]=0,0,SalesData[[#This Row],[Profit(€)]]/SalesData[[#This Row],[Contracts Signed]])</f>
        <v>17888</v>
      </c>
      <c r="AJ4902" s="5" t="str">
        <f>TRIM(CLEAN(SalesData[[#This Row],[Retailer]]))</f>
        <v>Leipzig Mobility</v>
      </c>
    </row>
    <row r="4903" spans="1:36" ht="14.25" hidden="1" x14ac:dyDescent="0.2">
      <c r="A4903" t="s">
        <v>6183</v>
      </c>
      <c r="B4903" s="1">
        <v>46078</v>
      </c>
      <c r="C4903" t="s">
        <v>53</v>
      </c>
      <c r="D4903" t="s">
        <v>82</v>
      </c>
      <c r="E4903" t="s">
        <v>26</v>
      </c>
      <c r="F4903" t="s">
        <v>74</v>
      </c>
      <c r="G4903" t="s">
        <v>75</v>
      </c>
      <c r="H4903" t="s">
        <v>76</v>
      </c>
      <c r="I4903" t="s">
        <v>64</v>
      </c>
      <c r="J4903" t="s">
        <v>111</v>
      </c>
      <c r="K4903" t="s">
        <v>91</v>
      </c>
      <c r="L4903" t="s">
        <v>46</v>
      </c>
      <c r="M4903" t="s">
        <v>34</v>
      </c>
      <c r="N4903" t="s">
        <v>69</v>
      </c>
      <c r="O4903" t="s">
        <v>70</v>
      </c>
      <c r="P4903" t="s">
        <v>49</v>
      </c>
      <c r="Q4903" t="s">
        <v>106</v>
      </c>
      <c r="R4903">
        <v>177</v>
      </c>
      <c r="S4903">
        <v>94</v>
      </c>
      <c r="T4903">
        <v>63</v>
      </c>
      <c r="U4903">
        <v>21</v>
      </c>
      <c r="V4903" t="s">
        <v>6826</v>
      </c>
      <c r="W4903">
        <v>71024</v>
      </c>
      <c r="X4903" t="s">
        <v>7302</v>
      </c>
      <c r="Y4903">
        <v>53867</v>
      </c>
      <c r="Z4903">
        <v>1491504</v>
      </c>
      <c r="AA4903">
        <v>360297</v>
      </c>
      <c r="AB4903" t="str">
        <f>(VLOOKUP(SalesData[[#This Row],[Month Number]],Reference!C$5:E$16,2,FALSE))</f>
        <v>Feb</v>
      </c>
      <c r="AC4903">
        <f>MONTH(SalesData[[#This Row],[Date]])</f>
        <v>2</v>
      </c>
      <c r="AD4903">
        <f>Reference!F$4</f>
        <v>2026</v>
      </c>
      <c r="AE4903" t="str">
        <f>IF(OR(SalesData[[#This Row],[Day]]="Saturday",SalesData[[#This Row],[Day]]="Sunday"),"Weekend","Weekday")</f>
        <v>Weekday</v>
      </c>
      <c r="AF4903" s="5">
        <f>IF(SalesData[[#This Row],[Contracts Offered]]=0,0,SalesData[[#This Row],[Contracts Signed]]/SalesData[[#This Row],[Contracts Offered]])</f>
        <v>0.33333333333333331</v>
      </c>
      <c r="AG4903" s="5">
        <f>IF(SalesData[[#This Row],[Customers Visited]]=0,0,SalesData[[#This Row],[Test Drives]]/SalesData[[#This Row],[Customers Visited]])</f>
        <v>0.53107344632768361</v>
      </c>
      <c r="AH4903" s="5">
        <f>IF(SalesData[[#This Row],[Customers Visited]]=0,0,SalesData[[#This Row],[Contracts Signed]]/SalesData[[#This Row],[Customers Visited]])</f>
        <v>0.11864406779661017</v>
      </c>
      <c r="AI4903" s="6">
        <f>IF(SalesData[[#This Row],[Contracts Signed]]=0,0,SalesData[[#This Row],[Profit(€)]]/SalesData[[#This Row],[Contracts Signed]])</f>
        <v>17157</v>
      </c>
      <c r="AJ4903" s="5" t="str">
        <f>TRIM(CLEAN(SalesData[[#This Row],[Retailer]]))</f>
        <v>Stuttgart Auto Center</v>
      </c>
    </row>
    <row r="4904" spans="1:36" ht="14.25" hidden="1" x14ac:dyDescent="0.2">
      <c r="A4904" t="s">
        <v>6184</v>
      </c>
      <c r="B4904" s="1">
        <v>46080</v>
      </c>
      <c r="C4904" t="s">
        <v>53</v>
      </c>
      <c r="D4904" t="s">
        <v>54</v>
      </c>
      <c r="E4904" t="s">
        <v>26</v>
      </c>
      <c r="F4904" t="s">
        <v>43</v>
      </c>
      <c r="G4904" t="s">
        <v>44</v>
      </c>
      <c r="H4904" t="s">
        <v>45</v>
      </c>
      <c r="I4904" t="s">
        <v>56</v>
      </c>
      <c r="J4904" t="s">
        <v>97</v>
      </c>
      <c r="K4904" t="s">
        <v>91</v>
      </c>
      <c r="L4904" t="s">
        <v>33</v>
      </c>
      <c r="M4904" t="s">
        <v>47</v>
      </c>
      <c r="N4904" t="s">
        <v>48</v>
      </c>
      <c r="O4904" t="s">
        <v>70</v>
      </c>
      <c r="P4904" t="s">
        <v>37</v>
      </c>
      <c r="Q4904" t="s">
        <v>204</v>
      </c>
      <c r="R4904">
        <v>262</v>
      </c>
      <c r="S4904">
        <v>160</v>
      </c>
      <c r="T4904">
        <v>123</v>
      </c>
      <c r="U4904">
        <v>29</v>
      </c>
      <c r="V4904" t="s">
        <v>785</v>
      </c>
      <c r="W4904">
        <v>43882</v>
      </c>
      <c r="X4904" t="s">
        <v>7163</v>
      </c>
      <c r="Y4904">
        <v>34390</v>
      </c>
      <c r="Z4904">
        <v>1272578</v>
      </c>
      <c r="AA4904">
        <v>275268</v>
      </c>
      <c r="AB4904" t="str">
        <f>(VLOOKUP(SalesData[[#This Row],[Month Number]],Reference!C$5:E$16,2,FALSE))</f>
        <v>Feb</v>
      </c>
      <c r="AC4904">
        <f>MONTH(SalesData[[#This Row],[Date]])</f>
        <v>2</v>
      </c>
      <c r="AD4904">
        <f>Reference!F$4</f>
        <v>2026</v>
      </c>
      <c r="AE4904" t="str">
        <f>IF(OR(SalesData[[#This Row],[Day]]="Saturday",SalesData[[#This Row],[Day]]="Sunday"),"Weekend","Weekday")</f>
        <v>Weekday</v>
      </c>
      <c r="AF4904" s="5">
        <f>IF(SalesData[[#This Row],[Contracts Offered]]=0,0,SalesData[[#This Row],[Contracts Signed]]/SalesData[[#This Row],[Contracts Offered]])</f>
        <v>0.23577235772357724</v>
      </c>
      <c r="AG4904" s="5">
        <f>IF(SalesData[[#This Row],[Customers Visited]]=0,0,SalesData[[#This Row],[Test Drives]]/SalesData[[#This Row],[Customers Visited]])</f>
        <v>0.61068702290076338</v>
      </c>
      <c r="AH4904" s="5">
        <f>IF(SalesData[[#This Row],[Customers Visited]]=0,0,SalesData[[#This Row],[Contracts Signed]]/SalesData[[#This Row],[Customers Visited]])</f>
        <v>0.11068702290076336</v>
      </c>
      <c r="AI4904" s="6">
        <f>IF(SalesData[[#This Row],[Contracts Signed]]=0,0,SalesData[[#This Row],[Profit(€)]]/SalesData[[#This Row],[Contracts Signed]])</f>
        <v>9492</v>
      </c>
      <c r="AJ4904" s="5" t="str">
        <f>TRIM(CLEAN(SalesData[[#This Row],[Retailer]]))</f>
        <v>Saxon Wheels</v>
      </c>
    </row>
    <row r="4905" spans="1:36" ht="14.25" hidden="1" x14ac:dyDescent="0.2">
      <c r="A4905" t="s">
        <v>6185</v>
      </c>
      <c r="B4905" s="1">
        <v>46078</v>
      </c>
      <c r="C4905" t="s">
        <v>53</v>
      </c>
      <c r="D4905" t="s">
        <v>82</v>
      </c>
      <c r="E4905" t="s">
        <v>26</v>
      </c>
      <c r="F4905" t="s">
        <v>101</v>
      </c>
      <c r="G4905" t="s">
        <v>102</v>
      </c>
      <c r="H4905" t="s">
        <v>103</v>
      </c>
      <c r="I4905" t="s">
        <v>56</v>
      </c>
      <c r="J4905" t="s">
        <v>97</v>
      </c>
      <c r="K4905" t="s">
        <v>66</v>
      </c>
      <c r="L4905" t="s">
        <v>33</v>
      </c>
      <c r="M4905" t="s">
        <v>34</v>
      </c>
      <c r="N4905" t="s">
        <v>48</v>
      </c>
      <c r="O4905" t="s">
        <v>36</v>
      </c>
      <c r="P4905" t="s">
        <v>49</v>
      </c>
      <c r="Q4905" t="s">
        <v>38</v>
      </c>
      <c r="R4905">
        <v>263</v>
      </c>
      <c r="S4905">
        <v>126</v>
      </c>
      <c r="T4905">
        <v>84</v>
      </c>
      <c r="U4905">
        <v>26</v>
      </c>
      <c r="V4905" t="s">
        <v>6965</v>
      </c>
      <c r="W4905">
        <v>44440</v>
      </c>
      <c r="X4905" t="s">
        <v>4556</v>
      </c>
      <c r="Y4905">
        <v>36255</v>
      </c>
      <c r="Z4905">
        <v>1155440</v>
      </c>
      <c r="AA4905">
        <v>212810</v>
      </c>
      <c r="AB4905" t="str">
        <f>(VLOOKUP(SalesData[[#This Row],[Month Number]],Reference!C$5:E$16,2,FALSE))</f>
        <v>Feb</v>
      </c>
      <c r="AC4905">
        <f>MONTH(SalesData[[#This Row],[Date]])</f>
        <v>2</v>
      </c>
      <c r="AD4905">
        <f>Reference!F$4</f>
        <v>2026</v>
      </c>
      <c r="AE4905" t="str">
        <f>IF(OR(SalesData[[#This Row],[Day]]="Saturday",SalesData[[#This Row],[Day]]="Sunday"),"Weekend","Weekday")</f>
        <v>Weekday</v>
      </c>
      <c r="AF4905" s="5">
        <f>IF(SalesData[[#This Row],[Contracts Offered]]=0,0,SalesData[[#This Row],[Contracts Signed]]/SalesData[[#This Row],[Contracts Offered]])</f>
        <v>0.30952380952380953</v>
      </c>
      <c r="AG4905" s="5">
        <f>IF(SalesData[[#This Row],[Customers Visited]]=0,0,SalesData[[#This Row],[Test Drives]]/SalesData[[#This Row],[Customers Visited]])</f>
        <v>0.47908745247148288</v>
      </c>
      <c r="AH4905" s="5">
        <f>IF(SalesData[[#This Row],[Customers Visited]]=0,0,SalesData[[#This Row],[Contracts Signed]]/SalesData[[#This Row],[Customers Visited]])</f>
        <v>9.8859315589353611E-2</v>
      </c>
      <c r="AI4905" s="6">
        <f>IF(SalesData[[#This Row],[Contracts Signed]]=0,0,SalesData[[#This Row],[Profit(€)]]/SalesData[[#This Row],[Contracts Signed]])</f>
        <v>8185</v>
      </c>
      <c r="AJ4905" s="5" t="str">
        <f>TRIM(CLEAN(SalesData[[#This Row],[Retailer]]))</f>
        <v>Ruhr Auto Plaza</v>
      </c>
    </row>
    <row r="4906" spans="1:36" ht="14.25" x14ac:dyDescent="0.2">
      <c r="A4906" t="s">
        <v>6186</v>
      </c>
      <c r="B4906" s="1">
        <v>46070</v>
      </c>
      <c r="C4906" t="s">
        <v>62</v>
      </c>
      <c r="D4906" t="s">
        <v>63</v>
      </c>
      <c r="E4906" t="s">
        <v>26</v>
      </c>
      <c r="F4906" t="s">
        <v>7649</v>
      </c>
      <c r="G4906" t="s">
        <v>55</v>
      </c>
      <c r="H4906" t="s">
        <v>55</v>
      </c>
      <c r="I4906" t="s">
        <v>30</v>
      </c>
      <c r="J4906" t="s">
        <v>166</v>
      </c>
      <c r="K4906" t="s">
        <v>78</v>
      </c>
      <c r="L4906" t="s">
        <v>46</v>
      </c>
      <c r="M4906" t="s">
        <v>87</v>
      </c>
      <c r="N4906" t="s">
        <v>69</v>
      </c>
      <c r="O4906" t="s">
        <v>70</v>
      </c>
      <c r="P4906" t="s">
        <v>37</v>
      </c>
      <c r="Q4906" t="s">
        <v>347</v>
      </c>
      <c r="R4906">
        <v>167</v>
      </c>
      <c r="S4906">
        <v>79</v>
      </c>
      <c r="T4906">
        <v>61</v>
      </c>
      <c r="U4906">
        <v>21</v>
      </c>
      <c r="V4906" t="s">
        <v>6770</v>
      </c>
      <c r="W4906">
        <v>68595</v>
      </c>
      <c r="X4906" t="s">
        <v>7497</v>
      </c>
      <c r="Y4906">
        <v>48269</v>
      </c>
      <c r="Z4906">
        <v>1440495</v>
      </c>
      <c r="AA4906">
        <v>426846</v>
      </c>
      <c r="AB4906" t="str">
        <f>(VLOOKUP(SalesData[[#This Row],[Month Number]],Reference!C$5:E$16,2,FALSE))</f>
        <v>Feb</v>
      </c>
      <c r="AC4906">
        <f>MONTH(SalesData[[#This Row],[Date]])</f>
        <v>2</v>
      </c>
      <c r="AD4906">
        <f>Reference!F$4</f>
        <v>2026</v>
      </c>
      <c r="AE4906" t="str">
        <f>IF(OR(SalesData[[#This Row],[Day]]="Saturday",SalesData[[#This Row],[Day]]="Sunday"),"Weekend","Weekday")</f>
        <v>Weekday</v>
      </c>
      <c r="AF4906" s="5">
        <f>IF(SalesData[[#This Row],[Contracts Offered]]=0,0,SalesData[[#This Row],[Contracts Signed]]/SalesData[[#This Row],[Contracts Offered]])</f>
        <v>0.34426229508196721</v>
      </c>
      <c r="AG4906" s="5">
        <f>IF(SalesData[[#This Row],[Customers Visited]]=0,0,SalesData[[#This Row],[Test Drives]]/SalesData[[#This Row],[Customers Visited]])</f>
        <v>0.47305389221556887</v>
      </c>
      <c r="AH4906" s="5">
        <f>IF(SalesData[[#This Row],[Customers Visited]]=0,0,SalesData[[#This Row],[Contracts Signed]]/SalesData[[#This Row],[Customers Visited]])</f>
        <v>0.12574850299401197</v>
      </c>
      <c r="AI4906" s="6">
        <f>IF(SalesData[[#This Row],[Contracts Signed]]=0,0,SalesData[[#This Row],[Profit(€)]]/SalesData[[#This Row],[Contracts Signed]])</f>
        <v>20326</v>
      </c>
      <c r="AJ4906" s="5" t="str">
        <f>TRIM(CLEAN(SalesData[[#This Row],[Retailer]]))</f>
        <v>Autohaus Berlin</v>
      </c>
    </row>
    <row r="4907" spans="1:36" ht="14.25" hidden="1" x14ac:dyDescent="0.2">
      <c r="A4907" t="s">
        <v>6187</v>
      </c>
      <c r="B4907" s="1">
        <v>46070</v>
      </c>
      <c r="C4907" t="s">
        <v>62</v>
      </c>
      <c r="D4907" t="s">
        <v>63</v>
      </c>
      <c r="E4907" t="s">
        <v>26</v>
      </c>
      <c r="F4907" t="s">
        <v>43</v>
      </c>
      <c r="G4907" t="s">
        <v>44</v>
      </c>
      <c r="H4907" t="s">
        <v>45</v>
      </c>
      <c r="I4907" t="s">
        <v>56</v>
      </c>
      <c r="J4907" t="s">
        <v>137</v>
      </c>
      <c r="K4907" t="s">
        <v>91</v>
      </c>
      <c r="L4907" t="s">
        <v>46</v>
      </c>
      <c r="M4907" t="s">
        <v>68</v>
      </c>
      <c r="N4907" t="s">
        <v>48</v>
      </c>
      <c r="O4907" t="s">
        <v>36</v>
      </c>
      <c r="P4907" t="s">
        <v>71</v>
      </c>
      <c r="Q4907" t="s">
        <v>122</v>
      </c>
      <c r="R4907">
        <v>297</v>
      </c>
      <c r="S4907">
        <v>186</v>
      </c>
      <c r="T4907">
        <v>122</v>
      </c>
      <c r="U4907">
        <v>40</v>
      </c>
      <c r="V4907" t="s">
        <v>6885</v>
      </c>
      <c r="W4907">
        <v>49283</v>
      </c>
      <c r="X4907" t="s">
        <v>1199</v>
      </c>
      <c r="Y4907">
        <v>37738</v>
      </c>
      <c r="Z4907">
        <v>1971320</v>
      </c>
      <c r="AA4907">
        <v>461800</v>
      </c>
      <c r="AB4907" t="str">
        <f>(VLOOKUP(SalesData[[#This Row],[Month Number]],Reference!C$5:E$16,2,FALSE))</f>
        <v>Feb</v>
      </c>
      <c r="AC4907">
        <f>MONTH(SalesData[[#This Row],[Date]])</f>
        <v>2</v>
      </c>
      <c r="AD4907">
        <f>Reference!F$4</f>
        <v>2026</v>
      </c>
      <c r="AE4907" t="str">
        <f>IF(OR(SalesData[[#This Row],[Day]]="Saturday",SalesData[[#This Row],[Day]]="Sunday"),"Weekend","Weekday")</f>
        <v>Weekday</v>
      </c>
      <c r="AF4907" s="5">
        <f>IF(SalesData[[#This Row],[Contracts Offered]]=0,0,SalesData[[#This Row],[Contracts Signed]]/SalesData[[#This Row],[Contracts Offered]])</f>
        <v>0.32786885245901637</v>
      </c>
      <c r="AG4907" s="5">
        <f>IF(SalesData[[#This Row],[Customers Visited]]=0,0,SalesData[[#This Row],[Test Drives]]/SalesData[[#This Row],[Customers Visited]])</f>
        <v>0.6262626262626263</v>
      </c>
      <c r="AH4907" s="5">
        <f>IF(SalesData[[#This Row],[Customers Visited]]=0,0,SalesData[[#This Row],[Contracts Signed]]/SalesData[[#This Row],[Customers Visited]])</f>
        <v>0.13468013468013468</v>
      </c>
      <c r="AI4907" s="6">
        <f>IF(SalesData[[#This Row],[Contracts Signed]]=0,0,SalesData[[#This Row],[Profit(€)]]/SalesData[[#This Row],[Contracts Signed]])</f>
        <v>11545</v>
      </c>
      <c r="AJ4907" s="5" t="str">
        <f>TRIM(CLEAN(SalesData[[#This Row],[Retailer]]))</f>
        <v>Saxon Wheels</v>
      </c>
    </row>
    <row r="4908" spans="1:36" ht="14.25" hidden="1" x14ac:dyDescent="0.2">
      <c r="A4908" t="s">
        <v>6188</v>
      </c>
      <c r="B4908" s="1">
        <v>46076</v>
      </c>
      <c r="C4908" t="s">
        <v>53</v>
      </c>
      <c r="D4908" t="s">
        <v>25</v>
      </c>
      <c r="E4908" t="s">
        <v>26</v>
      </c>
      <c r="F4908" t="s">
        <v>94</v>
      </c>
      <c r="G4908" t="s">
        <v>95</v>
      </c>
      <c r="H4908" t="s">
        <v>96</v>
      </c>
      <c r="I4908" t="s">
        <v>116</v>
      </c>
      <c r="J4908" t="s">
        <v>132</v>
      </c>
      <c r="K4908" t="s">
        <v>32</v>
      </c>
      <c r="L4908" t="s">
        <v>46</v>
      </c>
      <c r="M4908" t="s">
        <v>87</v>
      </c>
      <c r="N4908" t="s">
        <v>69</v>
      </c>
      <c r="O4908" t="s">
        <v>36</v>
      </c>
      <c r="P4908" t="s">
        <v>71</v>
      </c>
      <c r="Q4908" t="s">
        <v>158</v>
      </c>
      <c r="R4908">
        <v>286</v>
      </c>
      <c r="S4908">
        <v>152</v>
      </c>
      <c r="T4908">
        <v>90</v>
      </c>
      <c r="U4908">
        <v>29</v>
      </c>
      <c r="V4908" t="s">
        <v>4318</v>
      </c>
      <c r="W4908">
        <v>23675</v>
      </c>
      <c r="X4908" t="s">
        <v>519</v>
      </c>
      <c r="Y4908">
        <v>21528</v>
      </c>
      <c r="Z4908">
        <v>686575</v>
      </c>
      <c r="AA4908">
        <v>62263</v>
      </c>
      <c r="AB4908" t="str">
        <f>(VLOOKUP(SalesData[[#This Row],[Month Number]],Reference!C$5:E$16,2,FALSE))</f>
        <v>Feb</v>
      </c>
      <c r="AC4908">
        <f>MONTH(SalesData[[#This Row],[Date]])</f>
        <v>2</v>
      </c>
      <c r="AD4908">
        <f>Reference!F$4</f>
        <v>2026</v>
      </c>
      <c r="AE4908" t="str">
        <f>IF(OR(SalesData[[#This Row],[Day]]="Saturday",SalesData[[#This Row],[Day]]="Sunday"),"Weekend","Weekday")</f>
        <v>Weekday</v>
      </c>
      <c r="AF4908" s="5">
        <f>IF(SalesData[[#This Row],[Contracts Offered]]=0,0,SalesData[[#This Row],[Contracts Signed]]/SalesData[[#This Row],[Contracts Offered]])</f>
        <v>0.32222222222222224</v>
      </c>
      <c r="AG4908" s="5">
        <f>IF(SalesData[[#This Row],[Customers Visited]]=0,0,SalesData[[#This Row],[Test Drives]]/SalesData[[#This Row],[Customers Visited]])</f>
        <v>0.53146853146853146</v>
      </c>
      <c r="AH4908" s="5">
        <f>IF(SalesData[[#This Row],[Customers Visited]]=0,0,SalesData[[#This Row],[Contracts Signed]]/SalesData[[#This Row],[Customers Visited]])</f>
        <v>0.10139860139860139</v>
      </c>
      <c r="AI4908" s="6">
        <f>IF(SalesData[[#This Row],[Contracts Signed]]=0,0,SalesData[[#This Row],[Profit(€)]]/SalesData[[#This Row],[Contracts Signed]])</f>
        <v>2147</v>
      </c>
      <c r="AJ4908" s="5" t="str">
        <f>TRIM(CLEAN(SalesData[[#This Row],[Retailer]]))</f>
        <v>Bavaria Motors</v>
      </c>
    </row>
    <row r="4909" spans="1:36" ht="14.25" x14ac:dyDescent="0.2">
      <c r="A4909" t="s">
        <v>6189</v>
      </c>
      <c r="B4909" s="1">
        <v>46054</v>
      </c>
      <c r="C4909" t="s">
        <v>24</v>
      </c>
      <c r="D4909" t="s">
        <v>41</v>
      </c>
      <c r="E4909" t="s">
        <v>42</v>
      </c>
      <c r="F4909" t="s">
        <v>101</v>
      </c>
      <c r="G4909" t="s">
        <v>102</v>
      </c>
      <c r="H4909" t="s">
        <v>103</v>
      </c>
      <c r="I4909" t="s">
        <v>30</v>
      </c>
      <c r="J4909" t="s">
        <v>188</v>
      </c>
      <c r="K4909" t="s">
        <v>66</v>
      </c>
      <c r="L4909" t="s">
        <v>33</v>
      </c>
      <c r="M4909" t="s">
        <v>87</v>
      </c>
      <c r="N4909" t="s">
        <v>69</v>
      </c>
      <c r="O4909" t="s">
        <v>70</v>
      </c>
      <c r="P4909" t="s">
        <v>49</v>
      </c>
      <c r="Q4909" t="s">
        <v>158</v>
      </c>
      <c r="R4909">
        <v>175</v>
      </c>
      <c r="S4909">
        <v>88</v>
      </c>
      <c r="T4909">
        <v>61</v>
      </c>
      <c r="U4909">
        <v>22</v>
      </c>
      <c r="V4909" t="s">
        <v>6403</v>
      </c>
      <c r="W4909">
        <v>61483</v>
      </c>
      <c r="X4909" t="s">
        <v>443</v>
      </c>
      <c r="Y4909">
        <v>47575</v>
      </c>
      <c r="Z4909">
        <v>1352626</v>
      </c>
      <c r="AA4909">
        <v>305976</v>
      </c>
      <c r="AB4909" t="str">
        <f>(VLOOKUP(SalesData[[#This Row],[Month Number]],Reference!C$5:E$16,2,FALSE))</f>
        <v>Feb</v>
      </c>
      <c r="AC4909">
        <f>MONTH(SalesData[[#This Row],[Date]])</f>
        <v>2</v>
      </c>
      <c r="AD4909">
        <f>Reference!F$4</f>
        <v>2026</v>
      </c>
      <c r="AE4909" t="str">
        <f>IF(OR(SalesData[[#This Row],[Day]]="Saturday",SalesData[[#This Row],[Day]]="Sunday"),"Weekend","Weekday")</f>
        <v>Weekend</v>
      </c>
      <c r="AF4909" s="5">
        <f>IF(SalesData[[#This Row],[Contracts Offered]]=0,0,SalesData[[#This Row],[Contracts Signed]]/SalesData[[#This Row],[Contracts Offered]])</f>
        <v>0.36065573770491804</v>
      </c>
      <c r="AG4909" s="5">
        <f>IF(SalesData[[#This Row],[Customers Visited]]=0,0,SalesData[[#This Row],[Test Drives]]/SalesData[[#This Row],[Customers Visited]])</f>
        <v>0.50285714285714289</v>
      </c>
      <c r="AH4909" s="5">
        <f>IF(SalesData[[#This Row],[Customers Visited]]=0,0,SalesData[[#This Row],[Contracts Signed]]/SalesData[[#This Row],[Customers Visited]])</f>
        <v>0.12571428571428572</v>
      </c>
      <c r="AI4909" s="6">
        <f>IF(SalesData[[#This Row],[Contracts Signed]]=0,0,SalesData[[#This Row],[Profit(€)]]/SalesData[[#This Row],[Contracts Signed]])</f>
        <v>13908</v>
      </c>
      <c r="AJ4909" s="5" t="str">
        <f>TRIM(CLEAN(SalesData[[#This Row],[Retailer]]))</f>
        <v>Ruhr Auto Plaza</v>
      </c>
    </row>
    <row r="4910" spans="1:36" ht="14.25" hidden="1" x14ac:dyDescent="0.2">
      <c r="A4910" t="s">
        <v>6190</v>
      </c>
      <c r="B4910" s="1">
        <v>46061</v>
      </c>
      <c r="C4910" t="s">
        <v>121</v>
      </c>
      <c r="D4910" t="s">
        <v>41</v>
      </c>
      <c r="E4910" t="s">
        <v>42</v>
      </c>
      <c r="F4910" t="s">
        <v>7649</v>
      </c>
      <c r="G4910" t="s">
        <v>55</v>
      </c>
      <c r="H4910" t="s">
        <v>55</v>
      </c>
      <c r="I4910" t="s">
        <v>116</v>
      </c>
      <c r="J4910" t="s">
        <v>117</v>
      </c>
      <c r="K4910" t="s">
        <v>32</v>
      </c>
      <c r="L4910" t="s">
        <v>67</v>
      </c>
      <c r="M4910" t="s">
        <v>47</v>
      </c>
      <c r="N4910" t="s">
        <v>48</v>
      </c>
      <c r="O4910" t="s">
        <v>70</v>
      </c>
      <c r="P4910" t="s">
        <v>71</v>
      </c>
      <c r="Q4910" t="s">
        <v>204</v>
      </c>
      <c r="R4910">
        <v>416</v>
      </c>
      <c r="S4910">
        <v>231</v>
      </c>
      <c r="T4910">
        <v>161</v>
      </c>
      <c r="U4910">
        <v>36</v>
      </c>
      <c r="V4910" t="s">
        <v>4134</v>
      </c>
      <c r="W4910">
        <v>20562</v>
      </c>
      <c r="X4910" t="s">
        <v>7644</v>
      </c>
      <c r="Y4910">
        <v>18771</v>
      </c>
      <c r="Z4910">
        <v>740232</v>
      </c>
      <c r="AA4910">
        <v>64476</v>
      </c>
      <c r="AB4910" t="str">
        <f>(VLOOKUP(SalesData[[#This Row],[Month Number]],Reference!C$5:E$16,2,FALSE))</f>
        <v>Feb</v>
      </c>
      <c r="AC4910">
        <f>MONTH(SalesData[[#This Row],[Date]])</f>
        <v>2</v>
      </c>
      <c r="AD4910">
        <f>Reference!F$4</f>
        <v>2026</v>
      </c>
      <c r="AE4910" t="str">
        <f>IF(OR(SalesData[[#This Row],[Day]]="Saturday",SalesData[[#This Row],[Day]]="Sunday"),"Weekend","Weekday")</f>
        <v>Weekend</v>
      </c>
      <c r="AF4910" s="5">
        <f>IF(SalesData[[#This Row],[Contracts Offered]]=0,0,SalesData[[#This Row],[Contracts Signed]]/SalesData[[#This Row],[Contracts Offered]])</f>
        <v>0.2236024844720497</v>
      </c>
      <c r="AG4910" s="5">
        <f>IF(SalesData[[#This Row],[Customers Visited]]=0,0,SalesData[[#This Row],[Test Drives]]/SalesData[[#This Row],[Customers Visited]])</f>
        <v>0.55528846153846156</v>
      </c>
      <c r="AH4910" s="5">
        <f>IF(SalesData[[#This Row],[Customers Visited]]=0,0,SalesData[[#This Row],[Contracts Signed]]/SalesData[[#This Row],[Customers Visited]])</f>
        <v>8.6538461538461536E-2</v>
      </c>
      <c r="AI4910" s="6">
        <f>IF(SalesData[[#This Row],[Contracts Signed]]=0,0,SalesData[[#This Row],[Profit(€)]]/SalesData[[#This Row],[Contracts Signed]])</f>
        <v>1791</v>
      </c>
      <c r="AJ4910" s="5" t="str">
        <f>TRIM(CLEAN(SalesData[[#This Row],[Retailer]]))</f>
        <v>Autohaus Berlin</v>
      </c>
    </row>
    <row r="4911" spans="1:36" ht="14.25" hidden="1" x14ac:dyDescent="0.2">
      <c r="A4911" t="s">
        <v>6191</v>
      </c>
      <c r="B4911" s="1">
        <v>46075</v>
      </c>
      <c r="C4911" t="s">
        <v>53</v>
      </c>
      <c r="D4911" t="s">
        <v>41</v>
      </c>
      <c r="E4911" t="s">
        <v>42</v>
      </c>
      <c r="F4911" t="s">
        <v>7649</v>
      </c>
      <c r="G4911" t="s">
        <v>55</v>
      </c>
      <c r="H4911" t="s">
        <v>55</v>
      </c>
      <c r="I4911" t="s">
        <v>104</v>
      </c>
      <c r="J4911" t="s">
        <v>105</v>
      </c>
      <c r="K4911" t="s">
        <v>32</v>
      </c>
      <c r="L4911" t="s">
        <v>33</v>
      </c>
      <c r="M4911" t="s">
        <v>68</v>
      </c>
      <c r="N4911" t="s">
        <v>35</v>
      </c>
      <c r="O4911" t="s">
        <v>36</v>
      </c>
      <c r="P4911" t="s">
        <v>58</v>
      </c>
      <c r="Q4911" t="s">
        <v>172</v>
      </c>
      <c r="R4911">
        <v>464</v>
      </c>
      <c r="S4911">
        <v>235</v>
      </c>
      <c r="T4911">
        <v>140</v>
      </c>
      <c r="U4911">
        <v>52</v>
      </c>
      <c r="V4911" t="s">
        <v>6631</v>
      </c>
      <c r="W4911">
        <v>28202</v>
      </c>
      <c r="X4911" t="s">
        <v>7377</v>
      </c>
      <c r="Y4911">
        <v>25172</v>
      </c>
      <c r="Z4911">
        <v>1466504</v>
      </c>
      <c r="AA4911">
        <v>157560</v>
      </c>
      <c r="AB4911" t="str">
        <f>(VLOOKUP(SalesData[[#This Row],[Month Number]],Reference!C$5:E$16,2,FALSE))</f>
        <v>Feb</v>
      </c>
      <c r="AC4911">
        <f>MONTH(SalesData[[#This Row],[Date]])</f>
        <v>2</v>
      </c>
      <c r="AD4911">
        <f>Reference!F$4</f>
        <v>2026</v>
      </c>
      <c r="AE4911" t="str">
        <f>IF(OR(SalesData[[#This Row],[Day]]="Saturday",SalesData[[#This Row],[Day]]="Sunday"),"Weekend","Weekday")</f>
        <v>Weekend</v>
      </c>
      <c r="AF4911" s="5">
        <f>IF(SalesData[[#This Row],[Contracts Offered]]=0,0,SalesData[[#This Row],[Contracts Signed]]/SalesData[[#This Row],[Contracts Offered]])</f>
        <v>0.37142857142857144</v>
      </c>
      <c r="AG4911" s="5">
        <f>IF(SalesData[[#This Row],[Customers Visited]]=0,0,SalesData[[#This Row],[Test Drives]]/SalesData[[#This Row],[Customers Visited]])</f>
        <v>0.50646551724137934</v>
      </c>
      <c r="AH4911" s="5">
        <f>IF(SalesData[[#This Row],[Customers Visited]]=0,0,SalesData[[#This Row],[Contracts Signed]]/SalesData[[#This Row],[Customers Visited]])</f>
        <v>0.11206896551724138</v>
      </c>
      <c r="AI4911" s="6">
        <f>IF(SalesData[[#This Row],[Contracts Signed]]=0,0,SalesData[[#This Row],[Profit(€)]]/SalesData[[#This Row],[Contracts Signed]])</f>
        <v>3030</v>
      </c>
      <c r="AJ4911" s="5" t="str">
        <f>TRIM(CLEAN(SalesData[[#This Row],[Retailer]]))</f>
        <v>Autohaus Berlin</v>
      </c>
    </row>
    <row r="4912" spans="1:36" ht="14.25" hidden="1" x14ac:dyDescent="0.2">
      <c r="A4912" t="s">
        <v>6192</v>
      </c>
      <c r="B4912" s="1">
        <v>46067</v>
      </c>
      <c r="C4912" t="s">
        <v>121</v>
      </c>
      <c r="D4912" t="s">
        <v>151</v>
      </c>
      <c r="E4912" t="s">
        <v>42</v>
      </c>
      <c r="F4912" t="s">
        <v>74</v>
      </c>
      <c r="G4912" t="s">
        <v>75</v>
      </c>
      <c r="H4912" t="s">
        <v>76</v>
      </c>
      <c r="I4912" t="s">
        <v>116</v>
      </c>
      <c r="J4912" t="s">
        <v>203</v>
      </c>
      <c r="K4912" t="s">
        <v>78</v>
      </c>
      <c r="L4912" t="s">
        <v>67</v>
      </c>
      <c r="M4912" t="s">
        <v>87</v>
      </c>
      <c r="N4912" t="s">
        <v>69</v>
      </c>
      <c r="O4912" t="s">
        <v>36</v>
      </c>
      <c r="P4912" t="s">
        <v>37</v>
      </c>
      <c r="Q4912" t="s">
        <v>172</v>
      </c>
      <c r="R4912">
        <v>422</v>
      </c>
      <c r="S4912">
        <v>205</v>
      </c>
      <c r="T4912">
        <v>115</v>
      </c>
      <c r="U4912">
        <v>29</v>
      </c>
      <c r="V4912" t="s">
        <v>3362</v>
      </c>
      <c r="W4912">
        <v>23419</v>
      </c>
      <c r="X4912" t="s">
        <v>6615</v>
      </c>
      <c r="Y4912">
        <v>21485</v>
      </c>
      <c r="Z4912">
        <v>679151</v>
      </c>
      <c r="AA4912">
        <v>56086</v>
      </c>
      <c r="AB4912" t="str">
        <f>(VLOOKUP(SalesData[[#This Row],[Month Number]],Reference!C$5:E$16,2,FALSE))</f>
        <v>Feb</v>
      </c>
      <c r="AC4912">
        <f>MONTH(SalesData[[#This Row],[Date]])</f>
        <v>2</v>
      </c>
      <c r="AD4912">
        <f>Reference!F$4</f>
        <v>2026</v>
      </c>
      <c r="AE4912" t="str">
        <f>IF(OR(SalesData[[#This Row],[Day]]="Saturday",SalesData[[#This Row],[Day]]="Sunday"),"Weekend","Weekday")</f>
        <v>Weekend</v>
      </c>
      <c r="AF4912" s="5">
        <f>IF(SalesData[[#This Row],[Contracts Offered]]=0,0,SalesData[[#This Row],[Contracts Signed]]/SalesData[[#This Row],[Contracts Offered]])</f>
        <v>0.25217391304347825</v>
      </c>
      <c r="AG4912" s="5">
        <f>IF(SalesData[[#This Row],[Customers Visited]]=0,0,SalesData[[#This Row],[Test Drives]]/SalesData[[#This Row],[Customers Visited]])</f>
        <v>0.48578199052132703</v>
      </c>
      <c r="AH4912" s="5">
        <f>IF(SalesData[[#This Row],[Customers Visited]]=0,0,SalesData[[#This Row],[Contracts Signed]]/SalesData[[#This Row],[Customers Visited]])</f>
        <v>6.8720379146919433E-2</v>
      </c>
      <c r="AI4912" s="6">
        <f>IF(SalesData[[#This Row],[Contracts Signed]]=0,0,SalesData[[#This Row],[Profit(€)]]/SalesData[[#This Row],[Contracts Signed]])</f>
        <v>1934</v>
      </c>
      <c r="AJ4912" s="5" t="str">
        <f>TRIM(CLEAN(SalesData[[#This Row],[Retailer]]))</f>
        <v>Stuttgart Auto Center</v>
      </c>
    </row>
    <row r="4913" spans="1:36" ht="14.25" x14ac:dyDescent="0.2">
      <c r="A4913" t="s">
        <v>6193</v>
      </c>
      <c r="B4913" s="1">
        <v>46077</v>
      </c>
      <c r="C4913" t="s">
        <v>53</v>
      </c>
      <c r="D4913" t="s">
        <v>63</v>
      </c>
      <c r="E4913" t="s">
        <v>26</v>
      </c>
      <c r="F4913" t="s">
        <v>114</v>
      </c>
      <c r="G4913" t="s">
        <v>115</v>
      </c>
      <c r="H4913" t="s">
        <v>115</v>
      </c>
      <c r="I4913" t="s">
        <v>30</v>
      </c>
      <c r="J4913" t="s">
        <v>7075</v>
      </c>
      <c r="K4913" t="s">
        <v>66</v>
      </c>
      <c r="L4913" t="s">
        <v>33</v>
      </c>
      <c r="M4913" t="s">
        <v>68</v>
      </c>
      <c r="N4913" t="s">
        <v>48</v>
      </c>
      <c r="O4913" t="s">
        <v>36</v>
      </c>
      <c r="P4913" t="s">
        <v>37</v>
      </c>
      <c r="Q4913" t="s">
        <v>122</v>
      </c>
      <c r="R4913">
        <v>261</v>
      </c>
      <c r="S4913">
        <v>148</v>
      </c>
      <c r="T4913">
        <v>109</v>
      </c>
      <c r="U4913">
        <v>41</v>
      </c>
      <c r="V4913" t="s">
        <v>6899</v>
      </c>
      <c r="W4913">
        <v>59778</v>
      </c>
      <c r="X4913" t="s">
        <v>7332</v>
      </c>
      <c r="Y4913">
        <v>45348</v>
      </c>
      <c r="Z4913">
        <v>2450898</v>
      </c>
      <c r="AA4913">
        <v>591630</v>
      </c>
      <c r="AB4913" t="str">
        <f>(VLOOKUP(SalesData[[#This Row],[Month Number]],Reference!C$5:E$16,2,FALSE))</f>
        <v>Feb</v>
      </c>
      <c r="AC4913">
        <f>MONTH(SalesData[[#This Row],[Date]])</f>
        <v>2</v>
      </c>
      <c r="AD4913">
        <f>Reference!F$4</f>
        <v>2026</v>
      </c>
      <c r="AE4913" t="str">
        <f>IF(OR(SalesData[[#This Row],[Day]]="Saturday",SalesData[[#This Row],[Day]]="Sunday"),"Weekend","Weekday")</f>
        <v>Weekday</v>
      </c>
      <c r="AF4913" s="5">
        <f>IF(SalesData[[#This Row],[Contracts Offered]]=0,0,SalesData[[#This Row],[Contracts Signed]]/SalesData[[#This Row],[Contracts Offered]])</f>
        <v>0.37614678899082571</v>
      </c>
      <c r="AG4913" s="5">
        <f>IF(SalesData[[#This Row],[Customers Visited]]=0,0,SalesData[[#This Row],[Test Drives]]/SalesData[[#This Row],[Customers Visited]])</f>
        <v>0.56704980842911878</v>
      </c>
      <c r="AH4913" s="5">
        <f>IF(SalesData[[#This Row],[Customers Visited]]=0,0,SalesData[[#This Row],[Contracts Signed]]/SalesData[[#This Row],[Customers Visited]])</f>
        <v>0.15708812260536398</v>
      </c>
      <c r="AI4913" s="6">
        <f>IF(SalesData[[#This Row],[Contracts Signed]]=0,0,SalesData[[#This Row],[Profit(€)]]/SalesData[[#This Row],[Contracts Signed]])</f>
        <v>14430</v>
      </c>
      <c r="AJ4913" s="5" t="str">
        <f>TRIM(CLEAN(SalesData[[#This Row],[Retailer]]))</f>
        <v>Elbe Drive</v>
      </c>
    </row>
    <row r="4914" spans="1:36" ht="14.25" hidden="1" x14ac:dyDescent="0.2">
      <c r="A4914" t="s">
        <v>6195</v>
      </c>
      <c r="B4914" s="1">
        <v>46064</v>
      </c>
      <c r="C4914" t="s">
        <v>121</v>
      </c>
      <c r="D4914" t="s">
        <v>82</v>
      </c>
      <c r="E4914" t="s">
        <v>26</v>
      </c>
      <c r="F4914" t="s">
        <v>114</v>
      </c>
      <c r="G4914" t="s">
        <v>115</v>
      </c>
      <c r="H4914" t="s">
        <v>115</v>
      </c>
      <c r="I4914" t="s">
        <v>116</v>
      </c>
      <c r="J4914" t="s">
        <v>7026</v>
      </c>
      <c r="K4914" t="s">
        <v>78</v>
      </c>
      <c r="L4914" t="s">
        <v>46</v>
      </c>
      <c r="M4914" t="s">
        <v>47</v>
      </c>
      <c r="N4914" t="s">
        <v>48</v>
      </c>
      <c r="O4914" t="s">
        <v>36</v>
      </c>
      <c r="P4914" t="s">
        <v>37</v>
      </c>
      <c r="Q4914" t="s">
        <v>240</v>
      </c>
      <c r="R4914">
        <v>322</v>
      </c>
      <c r="S4914">
        <v>154</v>
      </c>
      <c r="T4914">
        <v>100</v>
      </c>
      <c r="U4914">
        <v>23</v>
      </c>
      <c r="V4914" t="s">
        <v>1804</v>
      </c>
      <c r="W4914">
        <v>25097</v>
      </c>
      <c r="X4914" t="s">
        <v>4421</v>
      </c>
      <c r="Y4914">
        <v>22523</v>
      </c>
      <c r="Z4914">
        <v>577231</v>
      </c>
      <c r="AA4914">
        <v>59202</v>
      </c>
      <c r="AB4914" t="str">
        <f>(VLOOKUP(SalesData[[#This Row],[Month Number]],Reference!C$5:E$16,2,FALSE))</f>
        <v>Feb</v>
      </c>
      <c r="AC4914">
        <f>MONTH(SalesData[[#This Row],[Date]])</f>
        <v>2</v>
      </c>
      <c r="AD4914">
        <f>Reference!F$4</f>
        <v>2026</v>
      </c>
      <c r="AE4914" t="str">
        <f>IF(OR(SalesData[[#This Row],[Day]]="Saturday",SalesData[[#This Row],[Day]]="Sunday"),"Weekend","Weekday")</f>
        <v>Weekday</v>
      </c>
      <c r="AF4914" s="5">
        <f>IF(SalesData[[#This Row],[Contracts Offered]]=0,0,SalesData[[#This Row],[Contracts Signed]]/SalesData[[#This Row],[Contracts Offered]])</f>
        <v>0.23</v>
      </c>
      <c r="AG4914" s="5">
        <f>IF(SalesData[[#This Row],[Customers Visited]]=0,0,SalesData[[#This Row],[Test Drives]]/SalesData[[#This Row],[Customers Visited]])</f>
        <v>0.47826086956521741</v>
      </c>
      <c r="AH4914" s="5">
        <f>IF(SalesData[[#This Row],[Customers Visited]]=0,0,SalesData[[#This Row],[Contracts Signed]]/SalesData[[#This Row],[Customers Visited]])</f>
        <v>7.1428571428571425E-2</v>
      </c>
      <c r="AI4914" s="6">
        <f>IF(SalesData[[#This Row],[Contracts Signed]]=0,0,SalesData[[#This Row],[Profit(€)]]/SalesData[[#This Row],[Contracts Signed]])</f>
        <v>2574</v>
      </c>
      <c r="AJ4914" s="5" t="str">
        <f>TRIM(CLEAN(SalesData[[#This Row],[Retailer]]))</f>
        <v>Elbe Drive</v>
      </c>
    </row>
    <row r="4915" spans="1:36" ht="14.25" hidden="1" x14ac:dyDescent="0.2">
      <c r="A4915" t="s">
        <v>6196</v>
      </c>
      <c r="B4915" s="1">
        <v>46073</v>
      </c>
      <c r="C4915" t="s">
        <v>62</v>
      </c>
      <c r="D4915" t="s">
        <v>54</v>
      </c>
      <c r="E4915" t="s">
        <v>26</v>
      </c>
      <c r="F4915" t="s">
        <v>109</v>
      </c>
      <c r="G4915" t="s">
        <v>110</v>
      </c>
      <c r="H4915" t="s">
        <v>45</v>
      </c>
      <c r="I4915" t="s">
        <v>64</v>
      </c>
      <c r="J4915" t="s">
        <v>77</v>
      </c>
      <c r="K4915" t="s">
        <v>32</v>
      </c>
      <c r="L4915" t="s">
        <v>46</v>
      </c>
      <c r="M4915" t="s">
        <v>47</v>
      </c>
      <c r="N4915" t="s">
        <v>35</v>
      </c>
      <c r="O4915" t="s">
        <v>36</v>
      </c>
      <c r="P4915" t="s">
        <v>37</v>
      </c>
      <c r="Q4915" t="s">
        <v>59</v>
      </c>
      <c r="R4915">
        <v>270</v>
      </c>
      <c r="S4915">
        <v>140</v>
      </c>
      <c r="T4915">
        <v>101</v>
      </c>
      <c r="U4915">
        <v>31</v>
      </c>
      <c r="V4915" t="s">
        <v>6962</v>
      </c>
      <c r="W4915">
        <v>52777</v>
      </c>
      <c r="X4915" t="s">
        <v>7402</v>
      </c>
      <c r="Y4915">
        <v>39788</v>
      </c>
      <c r="Z4915">
        <v>1636087</v>
      </c>
      <c r="AA4915">
        <v>402659</v>
      </c>
      <c r="AB4915" t="str">
        <f>(VLOOKUP(SalesData[[#This Row],[Month Number]],Reference!C$5:E$16,2,FALSE))</f>
        <v>Feb</v>
      </c>
      <c r="AC4915">
        <f>MONTH(SalesData[[#This Row],[Date]])</f>
        <v>2</v>
      </c>
      <c r="AD4915">
        <f>Reference!F$4</f>
        <v>2026</v>
      </c>
      <c r="AE4915" t="str">
        <f>IF(OR(SalesData[[#This Row],[Day]]="Saturday",SalesData[[#This Row],[Day]]="Sunday"),"Weekend","Weekday")</f>
        <v>Weekday</v>
      </c>
      <c r="AF4915" s="5">
        <f>IF(SalesData[[#This Row],[Contracts Offered]]=0,0,SalesData[[#This Row],[Contracts Signed]]/SalesData[[#This Row],[Contracts Offered]])</f>
        <v>0.30693069306930693</v>
      </c>
      <c r="AG4915" s="5">
        <f>IF(SalesData[[#This Row],[Customers Visited]]=0,0,SalesData[[#This Row],[Test Drives]]/SalesData[[#This Row],[Customers Visited]])</f>
        <v>0.51851851851851849</v>
      </c>
      <c r="AH4915" s="5">
        <f>IF(SalesData[[#This Row],[Customers Visited]]=0,0,SalesData[[#This Row],[Contracts Signed]]/SalesData[[#This Row],[Customers Visited]])</f>
        <v>0.11481481481481481</v>
      </c>
      <c r="AI4915" s="6">
        <f>IF(SalesData[[#This Row],[Contracts Signed]]=0,0,SalesData[[#This Row],[Profit(€)]]/SalesData[[#This Row],[Contracts Signed]])</f>
        <v>12989</v>
      </c>
      <c r="AJ4915" s="5" t="str">
        <f>TRIM(CLEAN(SalesData[[#This Row],[Retailer]]))</f>
        <v>Leipzig Mobility</v>
      </c>
    </row>
    <row r="4916" spans="1:36" ht="14.25" x14ac:dyDescent="0.2">
      <c r="A4916" t="s">
        <v>6197</v>
      </c>
      <c r="B4916" s="1">
        <v>46063</v>
      </c>
      <c r="C4916" t="s">
        <v>121</v>
      </c>
      <c r="D4916" t="s">
        <v>63</v>
      </c>
      <c r="E4916" t="s">
        <v>26</v>
      </c>
      <c r="F4916" t="s">
        <v>27</v>
      </c>
      <c r="G4916" t="s">
        <v>28</v>
      </c>
      <c r="H4916" t="s">
        <v>29</v>
      </c>
      <c r="I4916" t="s">
        <v>30</v>
      </c>
      <c r="J4916" t="s">
        <v>188</v>
      </c>
      <c r="K4916" t="s">
        <v>78</v>
      </c>
      <c r="L4916" t="s">
        <v>33</v>
      </c>
      <c r="M4916" t="s">
        <v>34</v>
      </c>
      <c r="N4916" t="s">
        <v>48</v>
      </c>
      <c r="O4916" t="s">
        <v>36</v>
      </c>
      <c r="P4916" t="s">
        <v>49</v>
      </c>
      <c r="Q4916" t="s">
        <v>129</v>
      </c>
      <c r="R4916">
        <v>249</v>
      </c>
      <c r="S4916">
        <v>136</v>
      </c>
      <c r="T4916">
        <v>99</v>
      </c>
      <c r="U4916">
        <v>35</v>
      </c>
      <c r="V4916" t="s">
        <v>6599</v>
      </c>
      <c r="W4916">
        <v>60553</v>
      </c>
      <c r="X4916" t="s">
        <v>7228</v>
      </c>
      <c r="Y4916">
        <v>44876</v>
      </c>
      <c r="Z4916">
        <v>2119355</v>
      </c>
      <c r="AA4916">
        <v>548695</v>
      </c>
      <c r="AB4916" t="str">
        <f>(VLOOKUP(SalesData[[#This Row],[Month Number]],Reference!C$5:E$16,2,FALSE))</f>
        <v>Feb</v>
      </c>
      <c r="AC4916">
        <f>MONTH(SalesData[[#This Row],[Date]])</f>
        <v>2</v>
      </c>
      <c r="AD4916">
        <f>Reference!F$4</f>
        <v>2026</v>
      </c>
      <c r="AE4916" t="str">
        <f>IF(OR(SalesData[[#This Row],[Day]]="Saturday",SalesData[[#This Row],[Day]]="Sunday"),"Weekend","Weekday")</f>
        <v>Weekday</v>
      </c>
      <c r="AF4916" s="5">
        <f>IF(SalesData[[#This Row],[Contracts Offered]]=0,0,SalesData[[#This Row],[Contracts Signed]]/SalesData[[#This Row],[Contracts Offered]])</f>
        <v>0.35353535353535354</v>
      </c>
      <c r="AG4916" s="5">
        <f>IF(SalesData[[#This Row],[Customers Visited]]=0,0,SalesData[[#This Row],[Test Drives]]/SalesData[[#This Row],[Customers Visited]])</f>
        <v>0.54618473895582331</v>
      </c>
      <c r="AH4916" s="5">
        <f>IF(SalesData[[#This Row],[Customers Visited]]=0,0,SalesData[[#This Row],[Contracts Signed]]/SalesData[[#This Row],[Customers Visited]])</f>
        <v>0.14056224899598393</v>
      </c>
      <c r="AI4916" s="6">
        <f>IF(SalesData[[#This Row],[Contracts Signed]]=0,0,SalesData[[#This Row],[Profit(€)]]/SalesData[[#This Row],[Contracts Signed]])</f>
        <v>15677</v>
      </c>
      <c r="AJ4916" s="5" t="str">
        <f>TRIM(CLEAN(SalesData[[#This Row],[Retailer]]))</f>
        <v>Main Auto Hub</v>
      </c>
    </row>
    <row r="4917" spans="1:36" ht="14.25" hidden="1" x14ac:dyDescent="0.2">
      <c r="A4917" t="s">
        <v>6199</v>
      </c>
      <c r="B4917" s="1">
        <v>46068</v>
      </c>
      <c r="C4917" t="s">
        <v>62</v>
      </c>
      <c r="D4917" t="s">
        <v>41</v>
      </c>
      <c r="E4917" t="s">
        <v>42</v>
      </c>
      <c r="F4917" t="s">
        <v>127</v>
      </c>
      <c r="G4917" t="s">
        <v>128</v>
      </c>
      <c r="H4917" t="s">
        <v>103</v>
      </c>
      <c r="I4917" t="s">
        <v>104</v>
      </c>
      <c r="J4917" t="s">
        <v>140</v>
      </c>
      <c r="K4917" t="s">
        <v>66</v>
      </c>
      <c r="L4917" t="s">
        <v>46</v>
      </c>
      <c r="M4917" t="s">
        <v>68</v>
      </c>
      <c r="N4917" t="s">
        <v>48</v>
      </c>
      <c r="O4917" t="s">
        <v>70</v>
      </c>
      <c r="P4917" t="s">
        <v>58</v>
      </c>
      <c r="Q4917" t="s">
        <v>122</v>
      </c>
      <c r="R4917">
        <v>451</v>
      </c>
      <c r="S4917">
        <v>191</v>
      </c>
      <c r="T4917">
        <v>130</v>
      </c>
      <c r="U4917">
        <v>38</v>
      </c>
      <c r="V4917" t="s">
        <v>6608</v>
      </c>
      <c r="W4917">
        <v>27262</v>
      </c>
      <c r="X4917" t="s">
        <v>7645</v>
      </c>
      <c r="Y4917">
        <v>23470</v>
      </c>
      <c r="Z4917">
        <v>1035956</v>
      </c>
      <c r="AA4917">
        <v>144096</v>
      </c>
      <c r="AB4917" t="str">
        <f>(VLOOKUP(SalesData[[#This Row],[Month Number]],Reference!C$5:E$16,2,FALSE))</f>
        <v>Feb</v>
      </c>
      <c r="AC4917">
        <f>MONTH(SalesData[[#This Row],[Date]])</f>
        <v>2</v>
      </c>
      <c r="AD4917">
        <f>Reference!F$4</f>
        <v>2026</v>
      </c>
      <c r="AE4917" t="str">
        <f>IF(OR(SalesData[[#This Row],[Day]]="Saturday",SalesData[[#This Row],[Day]]="Sunday"),"Weekend","Weekday")</f>
        <v>Weekend</v>
      </c>
      <c r="AF4917" s="5">
        <f>IF(SalesData[[#This Row],[Contracts Offered]]=0,0,SalesData[[#This Row],[Contracts Signed]]/SalesData[[#This Row],[Contracts Offered]])</f>
        <v>0.29230769230769232</v>
      </c>
      <c r="AG4917" s="5">
        <f>IF(SalesData[[#This Row],[Customers Visited]]=0,0,SalesData[[#This Row],[Test Drives]]/SalesData[[#This Row],[Customers Visited]])</f>
        <v>0.42350332594235035</v>
      </c>
      <c r="AH4917" s="5">
        <f>IF(SalesData[[#This Row],[Customers Visited]]=0,0,SalesData[[#This Row],[Contracts Signed]]/SalesData[[#This Row],[Customers Visited]])</f>
        <v>8.4257206208425722E-2</v>
      </c>
      <c r="AI4917" s="6">
        <f>IF(SalesData[[#This Row],[Contracts Signed]]=0,0,SalesData[[#This Row],[Profit(€)]]/SalesData[[#This Row],[Contracts Signed]])</f>
        <v>3792</v>
      </c>
      <c r="AJ4917" s="5" t="str">
        <f>TRIM(CLEAN(SalesData[[#This Row],[Retailer]]))</f>
        <v>Rhein Auto Group</v>
      </c>
    </row>
    <row r="4918" spans="1:36" ht="14.25" x14ac:dyDescent="0.2">
      <c r="A4918" t="s">
        <v>6200</v>
      </c>
      <c r="B4918" s="1">
        <v>46078</v>
      </c>
      <c r="C4918" t="s">
        <v>53</v>
      </c>
      <c r="D4918" t="s">
        <v>82</v>
      </c>
      <c r="E4918" t="s">
        <v>26</v>
      </c>
      <c r="F4918" t="s">
        <v>114</v>
      </c>
      <c r="G4918" t="s">
        <v>115</v>
      </c>
      <c r="H4918" t="s">
        <v>115</v>
      </c>
      <c r="I4918" t="s">
        <v>30</v>
      </c>
      <c r="J4918" t="s">
        <v>166</v>
      </c>
      <c r="K4918" t="s">
        <v>32</v>
      </c>
      <c r="L4918" t="s">
        <v>46</v>
      </c>
      <c r="M4918" t="s">
        <v>34</v>
      </c>
      <c r="N4918" t="s">
        <v>48</v>
      </c>
      <c r="O4918" t="s">
        <v>36</v>
      </c>
      <c r="P4918" t="s">
        <v>58</v>
      </c>
      <c r="Q4918" t="s">
        <v>135</v>
      </c>
      <c r="R4918">
        <v>186</v>
      </c>
      <c r="S4918">
        <v>95</v>
      </c>
      <c r="T4918">
        <v>65</v>
      </c>
      <c r="U4918">
        <v>30</v>
      </c>
      <c r="V4918" t="s">
        <v>7457</v>
      </c>
      <c r="W4918">
        <v>58706</v>
      </c>
      <c r="X4918" t="s">
        <v>7437</v>
      </c>
      <c r="Y4918">
        <v>42761</v>
      </c>
      <c r="Z4918">
        <v>1761180</v>
      </c>
      <c r="AA4918">
        <v>478350</v>
      </c>
      <c r="AB4918" t="str">
        <f>(VLOOKUP(SalesData[[#This Row],[Month Number]],Reference!C$5:E$16,2,FALSE))</f>
        <v>Feb</v>
      </c>
      <c r="AC4918">
        <f>MONTH(SalesData[[#This Row],[Date]])</f>
        <v>2</v>
      </c>
      <c r="AD4918">
        <f>Reference!F$4</f>
        <v>2026</v>
      </c>
      <c r="AE4918" t="str">
        <f>IF(OR(SalesData[[#This Row],[Day]]="Saturday",SalesData[[#This Row],[Day]]="Sunday"),"Weekend","Weekday")</f>
        <v>Weekday</v>
      </c>
      <c r="AF4918" s="5">
        <f>IF(SalesData[[#This Row],[Contracts Offered]]=0,0,SalesData[[#This Row],[Contracts Signed]]/SalesData[[#This Row],[Contracts Offered]])</f>
        <v>0.46153846153846156</v>
      </c>
      <c r="AG4918" s="5">
        <f>IF(SalesData[[#This Row],[Customers Visited]]=0,0,SalesData[[#This Row],[Test Drives]]/SalesData[[#This Row],[Customers Visited]])</f>
        <v>0.510752688172043</v>
      </c>
      <c r="AH4918" s="5">
        <f>IF(SalesData[[#This Row],[Customers Visited]]=0,0,SalesData[[#This Row],[Contracts Signed]]/SalesData[[#This Row],[Customers Visited]])</f>
        <v>0.16129032258064516</v>
      </c>
      <c r="AI4918" s="6">
        <f>IF(SalesData[[#This Row],[Contracts Signed]]=0,0,SalesData[[#This Row],[Profit(€)]]/SalesData[[#This Row],[Contracts Signed]])</f>
        <v>15945</v>
      </c>
      <c r="AJ4918" s="5" t="str">
        <f>TRIM(CLEAN(SalesData[[#This Row],[Retailer]]))</f>
        <v>Elbe Drive</v>
      </c>
    </row>
    <row r="4919" spans="1:36" ht="14.25" hidden="1" x14ac:dyDescent="0.2">
      <c r="A4919" t="s">
        <v>6201</v>
      </c>
      <c r="B4919" s="1">
        <v>46064</v>
      </c>
      <c r="C4919" t="s">
        <v>121</v>
      </c>
      <c r="D4919" t="s">
        <v>82</v>
      </c>
      <c r="E4919" t="s">
        <v>26</v>
      </c>
      <c r="F4919" t="s">
        <v>74</v>
      </c>
      <c r="G4919" t="s">
        <v>75</v>
      </c>
      <c r="H4919" t="s">
        <v>76</v>
      </c>
      <c r="I4919" t="s">
        <v>64</v>
      </c>
      <c r="J4919" t="s">
        <v>77</v>
      </c>
      <c r="K4919" t="s">
        <v>32</v>
      </c>
      <c r="L4919" t="s">
        <v>46</v>
      </c>
      <c r="M4919" t="s">
        <v>34</v>
      </c>
      <c r="N4919" t="s">
        <v>48</v>
      </c>
      <c r="O4919" t="s">
        <v>70</v>
      </c>
      <c r="P4919" t="s">
        <v>49</v>
      </c>
      <c r="Q4919" t="s">
        <v>158</v>
      </c>
      <c r="R4919">
        <v>197</v>
      </c>
      <c r="S4919">
        <v>116</v>
      </c>
      <c r="T4919">
        <v>83</v>
      </c>
      <c r="U4919">
        <v>26</v>
      </c>
      <c r="V4919" t="s">
        <v>6508</v>
      </c>
      <c r="W4919">
        <v>49691</v>
      </c>
      <c r="X4919" t="s">
        <v>1739</v>
      </c>
      <c r="Y4919">
        <v>38663</v>
      </c>
      <c r="Z4919">
        <v>1291966</v>
      </c>
      <c r="AA4919">
        <v>286728</v>
      </c>
      <c r="AB4919" t="str">
        <f>(VLOOKUP(SalesData[[#This Row],[Month Number]],Reference!C$5:E$16,2,FALSE))</f>
        <v>Feb</v>
      </c>
      <c r="AC4919">
        <f>MONTH(SalesData[[#This Row],[Date]])</f>
        <v>2</v>
      </c>
      <c r="AD4919">
        <f>Reference!F$4</f>
        <v>2026</v>
      </c>
      <c r="AE4919" t="str">
        <f>IF(OR(SalesData[[#This Row],[Day]]="Saturday",SalesData[[#This Row],[Day]]="Sunday"),"Weekend","Weekday")</f>
        <v>Weekday</v>
      </c>
      <c r="AF4919" s="5">
        <f>IF(SalesData[[#This Row],[Contracts Offered]]=0,0,SalesData[[#This Row],[Contracts Signed]]/SalesData[[#This Row],[Contracts Offered]])</f>
        <v>0.31325301204819278</v>
      </c>
      <c r="AG4919" s="5">
        <f>IF(SalesData[[#This Row],[Customers Visited]]=0,0,SalesData[[#This Row],[Test Drives]]/SalesData[[#This Row],[Customers Visited]])</f>
        <v>0.58883248730964466</v>
      </c>
      <c r="AH4919" s="5">
        <f>IF(SalesData[[#This Row],[Customers Visited]]=0,0,SalesData[[#This Row],[Contracts Signed]]/SalesData[[#This Row],[Customers Visited]])</f>
        <v>0.13197969543147209</v>
      </c>
      <c r="AI4919" s="6">
        <f>IF(SalesData[[#This Row],[Contracts Signed]]=0,0,SalesData[[#This Row],[Profit(€)]]/SalesData[[#This Row],[Contracts Signed]])</f>
        <v>11028</v>
      </c>
      <c r="AJ4919" s="5" t="str">
        <f>TRIM(CLEAN(SalesData[[#This Row],[Retailer]]))</f>
        <v>Stuttgart Auto Center</v>
      </c>
    </row>
    <row r="4920" spans="1:36" ht="14.25" hidden="1" x14ac:dyDescent="0.2">
      <c r="A4920" t="s">
        <v>6202</v>
      </c>
      <c r="B4920" s="1">
        <v>46081</v>
      </c>
      <c r="C4920" t="s">
        <v>53</v>
      </c>
      <c r="D4920" t="s">
        <v>151</v>
      </c>
      <c r="E4920" t="s">
        <v>42</v>
      </c>
      <c r="F4920" t="s">
        <v>127</v>
      </c>
      <c r="G4920" t="s">
        <v>128</v>
      </c>
      <c r="H4920" t="s">
        <v>103</v>
      </c>
      <c r="I4920" t="s">
        <v>116</v>
      </c>
      <c r="J4920" t="s">
        <v>7026</v>
      </c>
      <c r="K4920" t="s">
        <v>91</v>
      </c>
      <c r="L4920" t="s">
        <v>46</v>
      </c>
      <c r="M4920" t="s">
        <v>34</v>
      </c>
      <c r="N4920" t="s">
        <v>48</v>
      </c>
      <c r="O4920" t="s">
        <v>36</v>
      </c>
      <c r="P4920" t="s">
        <v>37</v>
      </c>
      <c r="Q4920" t="s">
        <v>152</v>
      </c>
      <c r="R4920">
        <v>327</v>
      </c>
      <c r="S4920">
        <v>168</v>
      </c>
      <c r="T4920">
        <v>110</v>
      </c>
      <c r="U4920">
        <v>25</v>
      </c>
      <c r="V4920" t="s">
        <v>2480</v>
      </c>
      <c r="W4920">
        <v>20939</v>
      </c>
      <c r="X4920" t="s">
        <v>5738</v>
      </c>
      <c r="Y4920">
        <v>19325</v>
      </c>
      <c r="Z4920">
        <v>523475</v>
      </c>
      <c r="AA4920">
        <v>40350</v>
      </c>
      <c r="AB4920" t="str">
        <f>(VLOOKUP(SalesData[[#This Row],[Month Number]],Reference!C$5:E$16,2,FALSE))</f>
        <v>Feb</v>
      </c>
      <c r="AC4920">
        <f>MONTH(SalesData[[#This Row],[Date]])</f>
        <v>2</v>
      </c>
      <c r="AD4920">
        <f>Reference!F$4</f>
        <v>2026</v>
      </c>
      <c r="AE4920" t="str">
        <f>IF(OR(SalesData[[#This Row],[Day]]="Saturday",SalesData[[#This Row],[Day]]="Sunday"),"Weekend","Weekday")</f>
        <v>Weekend</v>
      </c>
      <c r="AF4920" s="5">
        <f>IF(SalesData[[#This Row],[Contracts Offered]]=0,0,SalesData[[#This Row],[Contracts Signed]]/SalesData[[#This Row],[Contracts Offered]])</f>
        <v>0.22727272727272727</v>
      </c>
      <c r="AG4920" s="5">
        <f>IF(SalesData[[#This Row],[Customers Visited]]=0,0,SalesData[[#This Row],[Test Drives]]/SalesData[[#This Row],[Customers Visited]])</f>
        <v>0.51376146788990829</v>
      </c>
      <c r="AH4920" s="5">
        <f>IF(SalesData[[#This Row],[Customers Visited]]=0,0,SalesData[[#This Row],[Contracts Signed]]/SalesData[[#This Row],[Customers Visited]])</f>
        <v>7.64525993883792E-2</v>
      </c>
      <c r="AI4920" s="6">
        <f>IF(SalesData[[#This Row],[Contracts Signed]]=0,0,SalesData[[#This Row],[Profit(€)]]/SalesData[[#This Row],[Contracts Signed]])</f>
        <v>1614</v>
      </c>
      <c r="AJ4920" s="5" t="str">
        <f>TRIM(CLEAN(SalesData[[#This Row],[Retailer]]))</f>
        <v>Rhein Auto Group</v>
      </c>
    </row>
    <row r="4921" spans="1:36" ht="14.25" hidden="1" x14ac:dyDescent="0.2">
      <c r="A4921" t="s">
        <v>6203</v>
      </c>
      <c r="B4921" s="1">
        <v>46072</v>
      </c>
      <c r="C4921" t="s">
        <v>62</v>
      </c>
      <c r="D4921" t="s">
        <v>100</v>
      </c>
      <c r="E4921" t="s">
        <v>26</v>
      </c>
      <c r="F4921" t="s">
        <v>114</v>
      </c>
      <c r="G4921" t="s">
        <v>115</v>
      </c>
      <c r="H4921" t="s">
        <v>115</v>
      </c>
      <c r="I4921" t="s">
        <v>116</v>
      </c>
      <c r="J4921" t="s">
        <v>132</v>
      </c>
      <c r="K4921" t="s">
        <v>91</v>
      </c>
      <c r="L4921" t="s">
        <v>46</v>
      </c>
      <c r="M4921" t="s">
        <v>87</v>
      </c>
      <c r="N4921" t="s">
        <v>69</v>
      </c>
      <c r="O4921" t="s">
        <v>70</v>
      </c>
      <c r="P4921" t="s">
        <v>58</v>
      </c>
      <c r="Q4921" t="s">
        <v>158</v>
      </c>
      <c r="R4921">
        <v>347</v>
      </c>
      <c r="S4921">
        <v>181</v>
      </c>
      <c r="T4921">
        <v>120</v>
      </c>
      <c r="U4921">
        <v>33</v>
      </c>
      <c r="V4921" t="s">
        <v>1158</v>
      </c>
      <c r="W4921">
        <v>24289</v>
      </c>
      <c r="X4921" t="s">
        <v>1717</v>
      </c>
      <c r="Y4921">
        <v>22205</v>
      </c>
      <c r="Z4921">
        <v>801537</v>
      </c>
      <c r="AA4921">
        <v>68772</v>
      </c>
      <c r="AB4921" t="str">
        <f>(VLOOKUP(SalesData[[#This Row],[Month Number]],Reference!C$5:E$16,2,FALSE))</f>
        <v>Feb</v>
      </c>
      <c r="AC4921">
        <f>MONTH(SalesData[[#This Row],[Date]])</f>
        <v>2</v>
      </c>
      <c r="AD4921">
        <f>Reference!F$4</f>
        <v>2026</v>
      </c>
      <c r="AE4921" t="str">
        <f>IF(OR(SalesData[[#This Row],[Day]]="Saturday",SalesData[[#This Row],[Day]]="Sunday"),"Weekend","Weekday")</f>
        <v>Weekday</v>
      </c>
      <c r="AF4921" s="5">
        <f>IF(SalesData[[#This Row],[Contracts Offered]]=0,0,SalesData[[#This Row],[Contracts Signed]]/SalesData[[#This Row],[Contracts Offered]])</f>
        <v>0.27500000000000002</v>
      </c>
      <c r="AG4921" s="5">
        <f>IF(SalesData[[#This Row],[Customers Visited]]=0,0,SalesData[[#This Row],[Test Drives]]/SalesData[[#This Row],[Customers Visited]])</f>
        <v>0.52161383285302598</v>
      </c>
      <c r="AH4921" s="5">
        <f>IF(SalesData[[#This Row],[Customers Visited]]=0,0,SalesData[[#This Row],[Contracts Signed]]/SalesData[[#This Row],[Customers Visited]])</f>
        <v>9.5100864553314124E-2</v>
      </c>
      <c r="AI4921" s="6">
        <f>IF(SalesData[[#This Row],[Contracts Signed]]=0,0,SalesData[[#This Row],[Profit(€)]]/SalesData[[#This Row],[Contracts Signed]])</f>
        <v>2084</v>
      </c>
      <c r="AJ4921" s="5" t="str">
        <f>TRIM(CLEAN(SalesData[[#This Row],[Retailer]]))</f>
        <v>Elbe Drive</v>
      </c>
    </row>
    <row r="4922" spans="1:36" ht="14.25" x14ac:dyDescent="0.2">
      <c r="A4922" t="s">
        <v>6204</v>
      </c>
      <c r="B4922" s="1">
        <v>46066</v>
      </c>
      <c r="C4922" t="s">
        <v>121</v>
      </c>
      <c r="D4922" t="s">
        <v>54</v>
      </c>
      <c r="E4922" t="s">
        <v>26</v>
      </c>
      <c r="F4922" t="s">
        <v>74</v>
      </c>
      <c r="G4922" t="s">
        <v>75</v>
      </c>
      <c r="H4922" t="s">
        <v>76</v>
      </c>
      <c r="I4922" t="s">
        <v>30</v>
      </c>
      <c r="J4922" t="s">
        <v>7075</v>
      </c>
      <c r="K4922" t="s">
        <v>91</v>
      </c>
      <c r="L4922" t="s">
        <v>33</v>
      </c>
      <c r="M4922" t="s">
        <v>47</v>
      </c>
      <c r="N4922" t="s">
        <v>48</v>
      </c>
      <c r="O4922" t="s">
        <v>36</v>
      </c>
      <c r="P4922" t="s">
        <v>71</v>
      </c>
      <c r="Q4922" t="s">
        <v>240</v>
      </c>
      <c r="R4922">
        <v>272</v>
      </c>
      <c r="S4922">
        <v>151</v>
      </c>
      <c r="T4922">
        <v>123</v>
      </c>
      <c r="U4922">
        <v>42</v>
      </c>
      <c r="V4922" t="s">
        <v>6814</v>
      </c>
      <c r="W4922">
        <v>50445</v>
      </c>
      <c r="X4922" t="s">
        <v>2261</v>
      </c>
      <c r="Y4922">
        <v>38773</v>
      </c>
      <c r="Z4922">
        <v>2118690</v>
      </c>
      <c r="AA4922">
        <v>490224</v>
      </c>
      <c r="AB4922" t="str">
        <f>(VLOOKUP(SalesData[[#This Row],[Month Number]],Reference!C$5:E$16,2,FALSE))</f>
        <v>Feb</v>
      </c>
      <c r="AC4922">
        <f>MONTH(SalesData[[#This Row],[Date]])</f>
        <v>2</v>
      </c>
      <c r="AD4922">
        <f>Reference!F$4</f>
        <v>2026</v>
      </c>
      <c r="AE4922" t="str">
        <f>IF(OR(SalesData[[#This Row],[Day]]="Saturday",SalesData[[#This Row],[Day]]="Sunday"),"Weekend","Weekday")</f>
        <v>Weekday</v>
      </c>
      <c r="AF4922" s="5">
        <f>IF(SalesData[[#This Row],[Contracts Offered]]=0,0,SalesData[[#This Row],[Contracts Signed]]/SalesData[[#This Row],[Contracts Offered]])</f>
        <v>0.34146341463414637</v>
      </c>
      <c r="AG4922" s="5">
        <f>IF(SalesData[[#This Row],[Customers Visited]]=0,0,SalesData[[#This Row],[Test Drives]]/SalesData[[#This Row],[Customers Visited]])</f>
        <v>0.55514705882352944</v>
      </c>
      <c r="AH4922" s="5">
        <f>IF(SalesData[[#This Row],[Customers Visited]]=0,0,SalesData[[#This Row],[Contracts Signed]]/SalesData[[#This Row],[Customers Visited]])</f>
        <v>0.15441176470588236</v>
      </c>
      <c r="AI4922" s="6">
        <f>IF(SalesData[[#This Row],[Contracts Signed]]=0,0,SalesData[[#This Row],[Profit(€)]]/SalesData[[#This Row],[Contracts Signed]])</f>
        <v>11672</v>
      </c>
      <c r="AJ4922" s="5" t="str">
        <f>TRIM(CLEAN(SalesData[[#This Row],[Retailer]]))</f>
        <v>Stuttgart Auto Center</v>
      </c>
    </row>
    <row r="4923" spans="1:36" ht="14.25" x14ac:dyDescent="0.2">
      <c r="A4923" t="s">
        <v>6205</v>
      </c>
      <c r="B4923" s="1">
        <v>46054</v>
      </c>
      <c r="C4923" t="s">
        <v>24</v>
      </c>
      <c r="D4923" t="s">
        <v>41</v>
      </c>
      <c r="E4923" t="s">
        <v>42</v>
      </c>
      <c r="F4923" t="s">
        <v>109</v>
      </c>
      <c r="G4923" t="s">
        <v>110</v>
      </c>
      <c r="H4923" t="s">
        <v>45</v>
      </c>
      <c r="I4923" t="s">
        <v>30</v>
      </c>
      <c r="J4923" t="s">
        <v>7075</v>
      </c>
      <c r="K4923" t="s">
        <v>78</v>
      </c>
      <c r="L4923" t="s">
        <v>33</v>
      </c>
      <c r="M4923" t="s">
        <v>68</v>
      </c>
      <c r="N4923" t="s">
        <v>35</v>
      </c>
      <c r="O4923" t="s">
        <v>36</v>
      </c>
      <c r="P4923" t="s">
        <v>71</v>
      </c>
      <c r="Q4923" t="s">
        <v>152</v>
      </c>
      <c r="R4923">
        <v>167</v>
      </c>
      <c r="S4923">
        <v>97</v>
      </c>
      <c r="T4923">
        <v>66</v>
      </c>
      <c r="U4923">
        <v>26</v>
      </c>
      <c r="V4923" t="s">
        <v>6440</v>
      </c>
      <c r="W4923">
        <v>50739</v>
      </c>
      <c r="X4923" t="s">
        <v>7353</v>
      </c>
      <c r="Y4923">
        <v>38351</v>
      </c>
      <c r="Z4923">
        <v>1319214</v>
      </c>
      <c r="AA4923">
        <v>322088</v>
      </c>
      <c r="AB4923" t="str">
        <f>(VLOOKUP(SalesData[[#This Row],[Month Number]],Reference!C$5:E$16,2,FALSE))</f>
        <v>Feb</v>
      </c>
      <c r="AC4923">
        <f>MONTH(SalesData[[#This Row],[Date]])</f>
        <v>2</v>
      </c>
      <c r="AD4923">
        <f>Reference!F$4</f>
        <v>2026</v>
      </c>
      <c r="AE4923" t="str">
        <f>IF(OR(SalesData[[#This Row],[Day]]="Saturday",SalesData[[#This Row],[Day]]="Sunday"),"Weekend","Weekday")</f>
        <v>Weekend</v>
      </c>
      <c r="AF4923" s="5">
        <f>IF(SalesData[[#This Row],[Contracts Offered]]=0,0,SalesData[[#This Row],[Contracts Signed]]/SalesData[[#This Row],[Contracts Offered]])</f>
        <v>0.39393939393939392</v>
      </c>
      <c r="AG4923" s="5">
        <f>IF(SalesData[[#This Row],[Customers Visited]]=0,0,SalesData[[#This Row],[Test Drives]]/SalesData[[#This Row],[Customers Visited]])</f>
        <v>0.58083832335329344</v>
      </c>
      <c r="AH4923" s="5">
        <f>IF(SalesData[[#This Row],[Customers Visited]]=0,0,SalesData[[#This Row],[Contracts Signed]]/SalesData[[#This Row],[Customers Visited]])</f>
        <v>0.15568862275449102</v>
      </c>
      <c r="AI4923" s="6">
        <f>IF(SalesData[[#This Row],[Contracts Signed]]=0,0,SalesData[[#This Row],[Profit(€)]]/SalesData[[#This Row],[Contracts Signed]])</f>
        <v>12388</v>
      </c>
      <c r="AJ4923" s="5" t="str">
        <f>TRIM(CLEAN(SalesData[[#This Row],[Retailer]]))</f>
        <v>Leipzig Mobility</v>
      </c>
    </row>
    <row r="4924" spans="1:36" ht="14.25" x14ac:dyDescent="0.2">
      <c r="A4924" t="s">
        <v>6206</v>
      </c>
      <c r="B4924" s="1">
        <v>46078</v>
      </c>
      <c r="C4924" t="s">
        <v>53</v>
      </c>
      <c r="D4924" t="s">
        <v>82</v>
      </c>
      <c r="E4924" t="s">
        <v>26</v>
      </c>
      <c r="F4924" t="s">
        <v>94</v>
      </c>
      <c r="G4924" t="s">
        <v>95</v>
      </c>
      <c r="H4924" t="s">
        <v>96</v>
      </c>
      <c r="I4924" t="s">
        <v>30</v>
      </c>
      <c r="J4924" t="s">
        <v>7075</v>
      </c>
      <c r="K4924" t="s">
        <v>66</v>
      </c>
      <c r="L4924" t="s">
        <v>33</v>
      </c>
      <c r="M4924" t="s">
        <v>68</v>
      </c>
      <c r="N4924" t="s">
        <v>69</v>
      </c>
      <c r="O4924" t="s">
        <v>36</v>
      </c>
      <c r="P4924" t="s">
        <v>58</v>
      </c>
      <c r="Q4924" t="s">
        <v>88</v>
      </c>
      <c r="R4924">
        <v>156</v>
      </c>
      <c r="S4924">
        <v>70</v>
      </c>
      <c r="T4924">
        <v>57</v>
      </c>
      <c r="U4924">
        <v>23</v>
      </c>
      <c r="V4924" t="s">
        <v>7131</v>
      </c>
      <c r="W4924">
        <v>57994</v>
      </c>
      <c r="X4924" t="s">
        <v>2023</v>
      </c>
      <c r="Y4924">
        <v>43103</v>
      </c>
      <c r="Z4924">
        <v>1333862</v>
      </c>
      <c r="AA4924">
        <v>342493</v>
      </c>
      <c r="AB4924" t="str">
        <f>(VLOOKUP(SalesData[[#This Row],[Month Number]],Reference!C$5:E$16,2,FALSE))</f>
        <v>Feb</v>
      </c>
      <c r="AC4924">
        <f>MONTH(SalesData[[#This Row],[Date]])</f>
        <v>2</v>
      </c>
      <c r="AD4924">
        <f>Reference!F$4</f>
        <v>2026</v>
      </c>
      <c r="AE4924" t="str">
        <f>IF(OR(SalesData[[#This Row],[Day]]="Saturday",SalesData[[#This Row],[Day]]="Sunday"),"Weekend","Weekday")</f>
        <v>Weekday</v>
      </c>
      <c r="AF4924" s="5">
        <f>IF(SalesData[[#This Row],[Contracts Offered]]=0,0,SalesData[[#This Row],[Contracts Signed]]/SalesData[[#This Row],[Contracts Offered]])</f>
        <v>0.40350877192982454</v>
      </c>
      <c r="AG4924" s="5">
        <f>IF(SalesData[[#This Row],[Customers Visited]]=0,0,SalesData[[#This Row],[Test Drives]]/SalesData[[#This Row],[Customers Visited]])</f>
        <v>0.44871794871794873</v>
      </c>
      <c r="AH4924" s="5">
        <f>IF(SalesData[[#This Row],[Customers Visited]]=0,0,SalesData[[#This Row],[Contracts Signed]]/SalesData[[#This Row],[Customers Visited]])</f>
        <v>0.14743589743589744</v>
      </c>
      <c r="AI4924" s="6">
        <f>IF(SalesData[[#This Row],[Contracts Signed]]=0,0,SalesData[[#This Row],[Profit(€)]]/SalesData[[#This Row],[Contracts Signed]])</f>
        <v>14891</v>
      </c>
      <c r="AJ4924" s="5" t="str">
        <f>TRIM(CLEAN(SalesData[[#This Row],[Retailer]]))</f>
        <v>Bavaria Motors</v>
      </c>
    </row>
    <row r="4925" spans="1:36" ht="14.25" hidden="1" x14ac:dyDescent="0.2">
      <c r="A4925" t="s">
        <v>6207</v>
      </c>
      <c r="B4925" s="1">
        <v>46056</v>
      </c>
      <c r="C4925" t="s">
        <v>24</v>
      </c>
      <c r="D4925" t="s">
        <v>63</v>
      </c>
      <c r="E4925" t="s">
        <v>26</v>
      </c>
      <c r="F4925" t="s">
        <v>127</v>
      </c>
      <c r="G4925" t="s">
        <v>128</v>
      </c>
      <c r="H4925" t="s">
        <v>103</v>
      </c>
      <c r="I4925" t="s">
        <v>104</v>
      </c>
      <c r="J4925" t="s">
        <v>140</v>
      </c>
      <c r="K4925" t="s">
        <v>32</v>
      </c>
      <c r="L4925" t="s">
        <v>46</v>
      </c>
      <c r="M4925" t="s">
        <v>87</v>
      </c>
      <c r="N4925" t="s">
        <v>35</v>
      </c>
      <c r="O4925" t="s">
        <v>36</v>
      </c>
      <c r="P4925" t="s">
        <v>49</v>
      </c>
      <c r="Q4925" t="s">
        <v>106</v>
      </c>
      <c r="R4925">
        <v>344</v>
      </c>
      <c r="S4925">
        <v>172</v>
      </c>
      <c r="T4925">
        <v>111</v>
      </c>
      <c r="U4925">
        <v>22</v>
      </c>
      <c r="V4925" t="s">
        <v>1282</v>
      </c>
      <c r="W4925">
        <v>33622</v>
      </c>
      <c r="X4925" t="s">
        <v>7601</v>
      </c>
      <c r="Y4925">
        <v>29360</v>
      </c>
      <c r="Z4925">
        <v>739684</v>
      </c>
      <c r="AA4925">
        <v>93764</v>
      </c>
      <c r="AB4925" t="str">
        <f>(VLOOKUP(SalesData[[#This Row],[Month Number]],Reference!C$5:E$16,2,FALSE))</f>
        <v>Feb</v>
      </c>
      <c r="AC4925">
        <f>MONTH(SalesData[[#This Row],[Date]])</f>
        <v>2</v>
      </c>
      <c r="AD4925">
        <f>Reference!F$4</f>
        <v>2026</v>
      </c>
      <c r="AE4925" t="str">
        <f>IF(OR(SalesData[[#This Row],[Day]]="Saturday",SalesData[[#This Row],[Day]]="Sunday"),"Weekend","Weekday")</f>
        <v>Weekday</v>
      </c>
      <c r="AF4925" s="5">
        <f>IF(SalesData[[#This Row],[Contracts Offered]]=0,0,SalesData[[#This Row],[Contracts Signed]]/SalesData[[#This Row],[Contracts Offered]])</f>
        <v>0.1981981981981982</v>
      </c>
      <c r="AG4925" s="5">
        <f>IF(SalesData[[#This Row],[Customers Visited]]=0,0,SalesData[[#This Row],[Test Drives]]/SalesData[[#This Row],[Customers Visited]])</f>
        <v>0.5</v>
      </c>
      <c r="AH4925" s="5">
        <f>IF(SalesData[[#This Row],[Customers Visited]]=0,0,SalesData[[#This Row],[Contracts Signed]]/SalesData[[#This Row],[Customers Visited]])</f>
        <v>6.3953488372093026E-2</v>
      </c>
      <c r="AI4925" s="6">
        <f>IF(SalesData[[#This Row],[Contracts Signed]]=0,0,SalesData[[#This Row],[Profit(€)]]/SalesData[[#This Row],[Contracts Signed]])</f>
        <v>4262</v>
      </c>
      <c r="AJ4925" s="5" t="str">
        <f>TRIM(CLEAN(SalesData[[#This Row],[Retailer]]))</f>
        <v>Rhein Auto Group</v>
      </c>
    </row>
    <row r="4926" spans="1:36" ht="14.25" hidden="1" x14ac:dyDescent="0.2">
      <c r="A4926" t="s">
        <v>6208</v>
      </c>
      <c r="B4926" s="1">
        <v>46075</v>
      </c>
      <c r="C4926" t="s">
        <v>53</v>
      </c>
      <c r="D4926" t="s">
        <v>41</v>
      </c>
      <c r="E4926" t="s">
        <v>42</v>
      </c>
      <c r="F4926" t="s">
        <v>7649</v>
      </c>
      <c r="G4926" t="s">
        <v>55</v>
      </c>
      <c r="H4926" t="s">
        <v>55</v>
      </c>
      <c r="I4926" t="s">
        <v>104</v>
      </c>
      <c r="J4926" t="s">
        <v>143</v>
      </c>
      <c r="K4926" t="s">
        <v>32</v>
      </c>
      <c r="L4926" t="s">
        <v>67</v>
      </c>
      <c r="M4926" t="s">
        <v>47</v>
      </c>
      <c r="N4926" t="s">
        <v>48</v>
      </c>
      <c r="O4926" t="s">
        <v>70</v>
      </c>
      <c r="P4926" t="s">
        <v>71</v>
      </c>
      <c r="Q4926" t="s">
        <v>129</v>
      </c>
      <c r="R4926">
        <v>329</v>
      </c>
      <c r="S4926">
        <v>161</v>
      </c>
      <c r="T4926">
        <v>94</v>
      </c>
      <c r="U4926">
        <v>27</v>
      </c>
      <c r="V4926" t="s">
        <v>3685</v>
      </c>
      <c r="W4926">
        <v>34999</v>
      </c>
      <c r="X4926" t="s">
        <v>3634</v>
      </c>
      <c r="Y4926">
        <v>30265</v>
      </c>
      <c r="Z4926">
        <v>944973</v>
      </c>
      <c r="AA4926">
        <v>127818</v>
      </c>
      <c r="AB4926" t="str">
        <f>(VLOOKUP(SalesData[[#This Row],[Month Number]],Reference!C$5:E$16,2,FALSE))</f>
        <v>Feb</v>
      </c>
      <c r="AC4926">
        <f>MONTH(SalesData[[#This Row],[Date]])</f>
        <v>2</v>
      </c>
      <c r="AD4926">
        <f>Reference!F$4</f>
        <v>2026</v>
      </c>
      <c r="AE4926" t="str">
        <f>IF(OR(SalesData[[#This Row],[Day]]="Saturday",SalesData[[#This Row],[Day]]="Sunday"),"Weekend","Weekday")</f>
        <v>Weekend</v>
      </c>
      <c r="AF4926" s="5">
        <f>IF(SalesData[[#This Row],[Contracts Offered]]=0,0,SalesData[[#This Row],[Contracts Signed]]/SalesData[[#This Row],[Contracts Offered]])</f>
        <v>0.28723404255319152</v>
      </c>
      <c r="AG4926" s="5">
        <f>IF(SalesData[[#This Row],[Customers Visited]]=0,0,SalesData[[#This Row],[Test Drives]]/SalesData[[#This Row],[Customers Visited]])</f>
        <v>0.48936170212765956</v>
      </c>
      <c r="AH4926" s="5">
        <f>IF(SalesData[[#This Row],[Customers Visited]]=0,0,SalesData[[#This Row],[Contracts Signed]]/SalesData[[#This Row],[Customers Visited]])</f>
        <v>8.2066869300911852E-2</v>
      </c>
      <c r="AI4926" s="6">
        <f>IF(SalesData[[#This Row],[Contracts Signed]]=0,0,SalesData[[#This Row],[Profit(€)]]/SalesData[[#This Row],[Contracts Signed]])</f>
        <v>4734</v>
      </c>
      <c r="AJ4926" s="5" t="str">
        <f>TRIM(CLEAN(SalesData[[#This Row],[Retailer]]))</f>
        <v>Autohaus Berlin</v>
      </c>
    </row>
    <row r="4927" spans="1:36" ht="14.25" hidden="1" x14ac:dyDescent="0.2">
      <c r="A4927" t="s">
        <v>6209</v>
      </c>
      <c r="B4927" s="1">
        <v>46067</v>
      </c>
      <c r="C4927" t="s">
        <v>121</v>
      </c>
      <c r="D4927" t="s">
        <v>151</v>
      </c>
      <c r="E4927" t="s">
        <v>42</v>
      </c>
      <c r="F4927" t="s">
        <v>109</v>
      </c>
      <c r="G4927" t="s">
        <v>110</v>
      </c>
      <c r="H4927" t="s">
        <v>45</v>
      </c>
      <c r="I4927" t="s">
        <v>64</v>
      </c>
      <c r="J4927" t="s">
        <v>77</v>
      </c>
      <c r="K4927" t="s">
        <v>66</v>
      </c>
      <c r="L4927" t="s">
        <v>46</v>
      </c>
      <c r="M4927" t="s">
        <v>47</v>
      </c>
      <c r="N4927" t="s">
        <v>35</v>
      </c>
      <c r="O4927" t="s">
        <v>36</v>
      </c>
      <c r="P4927" t="s">
        <v>58</v>
      </c>
      <c r="Q4927" t="s">
        <v>204</v>
      </c>
      <c r="R4927">
        <v>149</v>
      </c>
      <c r="S4927">
        <v>68</v>
      </c>
      <c r="T4927">
        <v>50</v>
      </c>
      <c r="U4927">
        <v>19</v>
      </c>
      <c r="V4927" t="s">
        <v>6589</v>
      </c>
      <c r="W4927">
        <v>60801</v>
      </c>
      <c r="X4927" t="s">
        <v>7036</v>
      </c>
      <c r="Y4927">
        <v>44147</v>
      </c>
      <c r="Z4927">
        <v>1155219</v>
      </c>
      <c r="AA4927">
        <v>316426</v>
      </c>
      <c r="AB4927" t="str">
        <f>(VLOOKUP(SalesData[[#This Row],[Month Number]],Reference!C$5:E$16,2,FALSE))</f>
        <v>Feb</v>
      </c>
      <c r="AC4927">
        <f>MONTH(SalesData[[#This Row],[Date]])</f>
        <v>2</v>
      </c>
      <c r="AD4927">
        <f>Reference!F$4</f>
        <v>2026</v>
      </c>
      <c r="AE4927" t="str">
        <f>IF(OR(SalesData[[#This Row],[Day]]="Saturday",SalesData[[#This Row],[Day]]="Sunday"),"Weekend","Weekday")</f>
        <v>Weekend</v>
      </c>
      <c r="AF4927" s="5">
        <f>IF(SalesData[[#This Row],[Contracts Offered]]=0,0,SalesData[[#This Row],[Contracts Signed]]/SalesData[[#This Row],[Contracts Offered]])</f>
        <v>0.38</v>
      </c>
      <c r="AG4927" s="5">
        <f>IF(SalesData[[#This Row],[Customers Visited]]=0,0,SalesData[[#This Row],[Test Drives]]/SalesData[[#This Row],[Customers Visited]])</f>
        <v>0.4563758389261745</v>
      </c>
      <c r="AH4927" s="5">
        <f>IF(SalesData[[#This Row],[Customers Visited]]=0,0,SalesData[[#This Row],[Contracts Signed]]/SalesData[[#This Row],[Customers Visited]])</f>
        <v>0.12751677852348994</v>
      </c>
      <c r="AI4927" s="6">
        <f>IF(SalesData[[#This Row],[Contracts Signed]]=0,0,SalesData[[#This Row],[Profit(€)]]/SalesData[[#This Row],[Contracts Signed]])</f>
        <v>16654</v>
      </c>
      <c r="AJ4927" s="5" t="str">
        <f>TRIM(CLEAN(SalesData[[#This Row],[Retailer]]))</f>
        <v>Leipzig Mobility</v>
      </c>
    </row>
    <row r="4928" spans="1:36" ht="14.25" hidden="1" x14ac:dyDescent="0.2">
      <c r="A4928" t="s">
        <v>6210</v>
      </c>
      <c r="B4928" s="1">
        <v>46068</v>
      </c>
      <c r="C4928" t="s">
        <v>62</v>
      </c>
      <c r="D4928" t="s">
        <v>41</v>
      </c>
      <c r="E4928" t="s">
        <v>42</v>
      </c>
      <c r="F4928" t="s">
        <v>109</v>
      </c>
      <c r="G4928" t="s">
        <v>110</v>
      </c>
      <c r="H4928" t="s">
        <v>45</v>
      </c>
      <c r="I4928" t="s">
        <v>64</v>
      </c>
      <c r="J4928" t="s">
        <v>157</v>
      </c>
      <c r="K4928" t="s">
        <v>32</v>
      </c>
      <c r="L4928" t="s">
        <v>33</v>
      </c>
      <c r="M4928" t="s">
        <v>47</v>
      </c>
      <c r="N4928" t="s">
        <v>69</v>
      </c>
      <c r="O4928" t="s">
        <v>70</v>
      </c>
      <c r="P4928" t="s">
        <v>58</v>
      </c>
      <c r="Q4928" t="s">
        <v>144</v>
      </c>
      <c r="R4928">
        <v>272</v>
      </c>
      <c r="S4928">
        <v>143</v>
      </c>
      <c r="T4928">
        <v>104</v>
      </c>
      <c r="U4928">
        <v>39</v>
      </c>
      <c r="V4928" t="s">
        <v>6483</v>
      </c>
      <c r="W4928">
        <v>53331</v>
      </c>
      <c r="X4928" t="s">
        <v>2192</v>
      </c>
      <c r="Y4928">
        <v>39750</v>
      </c>
      <c r="Z4928">
        <v>2079909</v>
      </c>
      <c r="AA4928">
        <v>529659</v>
      </c>
      <c r="AB4928" t="str">
        <f>(VLOOKUP(SalesData[[#This Row],[Month Number]],Reference!C$5:E$16,2,FALSE))</f>
        <v>Feb</v>
      </c>
      <c r="AC4928">
        <f>MONTH(SalesData[[#This Row],[Date]])</f>
        <v>2</v>
      </c>
      <c r="AD4928">
        <f>Reference!F$4</f>
        <v>2026</v>
      </c>
      <c r="AE4928" t="str">
        <f>IF(OR(SalesData[[#This Row],[Day]]="Saturday",SalesData[[#This Row],[Day]]="Sunday"),"Weekend","Weekday")</f>
        <v>Weekend</v>
      </c>
      <c r="AF4928" s="5">
        <f>IF(SalesData[[#This Row],[Contracts Offered]]=0,0,SalesData[[#This Row],[Contracts Signed]]/SalesData[[#This Row],[Contracts Offered]])</f>
        <v>0.375</v>
      </c>
      <c r="AG4928" s="5">
        <f>IF(SalesData[[#This Row],[Customers Visited]]=0,0,SalesData[[#This Row],[Test Drives]]/SalesData[[#This Row],[Customers Visited]])</f>
        <v>0.52573529411764708</v>
      </c>
      <c r="AH4928" s="5">
        <f>IF(SalesData[[#This Row],[Customers Visited]]=0,0,SalesData[[#This Row],[Contracts Signed]]/SalesData[[#This Row],[Customers Visited]])</f>
        <v>0.14338235294117646</v>
      </c>
      <c r="AI4928" s="6">
        <f>IF(SalesData[[#This Row],[Contracts Signed]]=0,0,SalesData[[#This Row],[Profit(€)]]/SalesData[[#This Row],[Contracts Signed]])</f>
        <v>13581</v>
      </c>
      <c r="AJ4928" s="5" t="str">
        <f>TRIM(CLEAN(SalesData[[#This Row],[Retailer]]))</f>
        <v>Leipzig Mobility</v>
      </c>
    </row>
    <row r="4929" spans="1:36" ht="14.25" hidden="1" x14ac:dyDescent="0.2">
      <c r="A4929" t="s">
        <v>6211</v>
      </c>
      <c r="B4929" s="1">
        <v>46070</v>
      </c>
      <c r="C4929" t="s">
        <v>62</v>
      </c>
      <c r="D4929" t="s">
        <v>63</v>
      </c>
      <c r="E4929" t="s">
        <v>26</v>
      </c>
      <c r="F4929" t="s">
        <v>101</v>
      </c>
      <c r="G4929" t="s">
        <v>102</v>
      </c>
      <c r="H4929" t="s">
        <v>103</v>
      </c>
      <c r="I4929" t="s">
        <v>64</v>
      </c>
      <c r="J4929" t="s">
        <v>77</v>
      </c>
      <c r="K4929" t="s">
        <v>91</v>
      </c>
      <c r="L4929" t="s">
        <v>46</v>
      </c>
      <c r="M4929" t="s">
        <v>47</v>
      </c>
      <c r="N4929" t="s">
        <v>35</v>
      </c>
      <c r="O4929" t="s">
        <v>70</v>
      </c>
      <c r="P4929" t="s">
        <v>37</v>
      </c>
      <c r="Q4929" t="s">
        <v>169</v>
      </c>
      <c r="R4929">
        <v>233</v>
      </c>
      <c r="S4929">
        <v>117</v>
      </c>
      <c r="T4929">
        <v>91</v>
      </c>
      <c r="U4929">
        <v>26</v>
      </c>
      <c r="V4929" t="s">
        <v>6433</v>
      </c>
      <c r="W4929">
        <v>60962</v>
      </c>
      <c r="X4929" t="s">
        <v>7108</v>
      </c>
      <c r="Y4929">
        <v>43413</v>
      </c>
      <c r="Z4929">
        <v>1585012</v>
      </c>
      <c r="AA4929">
        <v>456274</v>
      </c>
      <c r="AB4929" t="str">
        <f>(VLOOKUP(SalesData[[#This Row],[Month Number]],Reference!C$5:E$16,2,FALSE))</f>
        <v>Feb</v>
      </c>
      <c r="AC4929">
        <f>MONTH(SalesData[[#This Row],[Date]])</f>
        <v>2</v>
      </c>
      <c r="AD4929">
        <f>Reference!F$4</f>
        <v>2026</v>
      </c>
      <c r="AE4929" t="str">
        <f>IF(OR(SalesData[[#This Row],[Day]]="Saturday",SalesData[[#This Row],[Day]]="Sunday"),"Weekend","Weekday")</f>
        <v>Weekday</v>
      </c>
      <c r="AF4929" s="5">
        <f>IF(SalesData[[#This Row],[Contracts Offered]]=0,0,SalesData[[#This Row],[Contracts Signed]]/SalesData[[#This Row],[Contracts Offered]])</f>
        <v>0.2857142857142857</v>
      </c>
      <c r="AG4929" s="5">
        <f>IF(SalesData[[#This Row],[Customers Visited]]=0,0,SalesData[[#This Row],[Test Drives]]/SalesData[[#This Row],[Customers Visited]])</f>
        <v>0.50214592274678116</v>
      </c>
      <c r="AH4929" s="5">
        <f>IF(SalesData[[#This Row],[Customers Visited]]=0,0,SalesData[[#This Row],[Contracts Signed]]/SalesData[[#This Row],[Customers Visited]])</f>
        <v>0.11158798283261803</v>
      </c>
      <c r="AI4929" s="6">
        <f>IF(SalesData[[#This Row],[Contracts Signed]]=0,0,SalesData[[#This Row],[Profit(€)]]/SalesData[[#This Row],[Contracts Signed]])</f>
        <v>17549</v>
      </c>
      <c r="AJ4929" s="5" t="str">
        <f>TRIM(CLEAN(SalesData[[#This Row],[Retailer]]))</f>
        <v>Ruhr Auto Plaza</v>
      </c>
    </row>
    <row r="4930" spans="1:36" ht="14.25" hidden="1" x14ac:dyDescent="0.2">
      <c r="A4930" t="s">
        <v>6212</v>
      </c>
      <c r="B4930" s="1">
        <v>46057</v>
      </c>
      <c r="C4930" t="s">
        <v>24</v>
      </c>
      <c r="D4930" t="s">
        <v>82</v>
      </c>
      <c r="E4930" t="s">
        <v>26</v>
      </c>
      <c r="F4930" t="s">
        <v>83</v>
      </c>
      <c r="G4930" t="s">
        <v>84</v>
      </c>
      <c r="H4930" t="s">
        <v>85</v>
      </c>
      <c r="I4930" t="s">
        <v>56</v>
      </c>
      <c r="J4930" t="s">
        <v>179</v>
      </c>
      <c r="K4930" t="s">
        <v>66</v>
      </c>
      <c r="L4930" t="s">
        <v>67</v>
      </c>
      <c r="M4930" t="s">
        <v>47</v>
      </c>
      <c r="N4930" t="s">
        <v>48</v>
      </c>
      <c r="O4930" t="s">
        <v>36</v>
      </c>
      <c r="P4930" t="s">
        <v>58</v>
      </c>
      <c r="Q4930" t="s">
        <v>79</v>
      </c>
      <c r="R4930">
        <v>296</v>
      </c>
      <c r="S4930">
        <v>163</v>
      </c>
      <c r="T4930">
        <v>112</v>
      </c>
      <c r="U4930">
        <v>43</v>
      </c>
      <c r="V4930" t="s">
        <v>7512</v>
      </c>
      <c r="W4930">
        <v>49665</v>
      </c>
      <c r="X4930" t="s">
        <v>4556</v>
      </c>
      <c r="Y4930">
        <v>39495</v>
      </c>
      <c r="Z4930">
        <v>2135595</v>
      </c>
      <c r="AA4930">
        <v>437310</v>
      </c>
      <c r="AB4930" t="str">
        <f>(VLOOKUP(SalesData[[#This Row],[Month Number]],Reference!C$5:E$16,2,FALSE))</f>
        <v>Feb</v>
      </c>
      <c r="AC4930">
        <f>MONTH(SalesData[[#This Row],[Date]])</f>
        <v>2</v>
      </c>
      <c r="AD4930">
        <f>Reference!F$4</f>
        <v>2026</v>
      </c>
      <c r="AE4930" t="str">
        <f>IF(OR(SalesData[[#This Row],[Day]]="Saturday",SalesData[[#This Row],[Day]]="Sunday"),"Weekend","Weekday")</f>
        <v>Weekday</v>
      </c>
      <c r="AF4930" s="5">
        <f>IF(SalesData[[#This Row],[Contracts Offered]]=0,0,SalesData[[#This Row],[Contracts Signed]]/SalesData[[#This Row],[Contracts Offered]])</f>
        <v>0.38392857142857145</v>
      </c>
      <c r="AG4930" s="5">
        <f>IF(SalesData[[#This Row],[Customers Visited]]=0,0,SalesData[[#This Row],[Test Drives]]/SalesData[[#This Row],[Customers Visited]])</f>
        <v>0.55067567567567566</v>
      </c>
      <c r="AH4930" s="5">
        <f>IF(SalesData[[#This Row],[Customers Visited]]=0,0,SalesData[[#This Row],[Contracts Signed]]/SalesData[[#This Row],[Customers Visited]])</f>
        <v>0.14527027027027026</v>
      </c>
      <c r="AI4930" s="6">
        <f>IF(SalesData[[#This Row],[Contracts Signed]]=0,0,SalesData[[#This Row],[Profit(€)]]/SalesData[[#This Row],[Contracts Signed]])</f>
        <v>10170</v>
      </c>
      <c r="AJ4930" s="5" t="str">
        <f>TRIM(CLEAN(SalesData[[#This Row],[Retailer]]))</f>
        <v>Hannover Cars</v>
      </c>
    </row>
    <row r="4931" spans="1:36" ht="14.25" hidden="1" x14ac:dyDescent="0.2">
      <c r="A4931" t="s">
        <v>6213</v>
      </c>
      <c r="B4931" s="1">
        <v>46072</v>
      </c>
      <c r="C4931" t="s">
        <v>62</v>
      </c>
      <c r="D4931" t="s">
        <v>100</v>
      </c>
      <c r="E4931" t="s">
        <v>26</v>
      </c>
      <c r="F4931" t="s">
        <v>101</v>
      </c>
      <c r="G4931" t="s">
        <v>102</v>
      </c>
      <c r="H4931" t="s">
        <v>103</v>
      </c>
      <c r="I4931" t="s">
        <v>56</v>
      </c>
      <c r="J4931" t="s">
        <v>179</v>
      </c>
      <c r="K4931" t="s">
        <v>91</v>
      </c>
      <c r="L4931" t="s">
        <v>67</v>
      </c>
      <c r="M4931" t="s">
        <v>68</v>
      </c>
      <c r="N4931" t="s">
        <v>48</v>
      </c>
      <c r="O4931" t="s">
        <v>70</v>
      </c>
      <c r="P4931" t="s">
        <v>37</v>
      </c>
      <c r="Q4931" t="s">
        <v>169</v>
      </c>
      <c r="R4931">
        <v>253</v>
      </c>
      <c r="S4931">
        <v>161</v>
      </c>
      <c r="T4931">
        <v>121</v>
      </c>
      <c r="U4931">
        <v>35</v>
      </c>
      <c r="V4931" t="s">
        <v>6379</v>
      </c>
      <c r="W4931">
        <v>52692</v>
      </c>
      <c r="X4931" t="s">
        <v>4802</v>
      </c>
      <c r="Y4931">
        <v>39553</v>
      </c>
      <c r="Z4931">
        <v>1844220</v>
      </c>
      <c r="AA4931">
        <v>459865</v>
      </c>
      <c r="AB4931" t="str">
        <f>(VLOOKUP(SalesData[[#This Row],[Month Number]],Reference!C$5:E$16,2,FALSE))</f>
        <v>Feb</v>
      </c>
      <c r="AC4931">
        <f>MONTH(SalesData[[#This Row],[Date]])</f>
        <v>2</v>
      </c>
      <c r="AD4931">
        <f>Reference!F$4</f>
        <v>2026</v>
      </c>
      <c r="AE4931" t="str">
        <f>IF(OR(SalesData[[#This Row],[Day]]="Saturday",SalesData[[#This Row],[Day]]="Sunday"),"Weekend","Weekday")</f>
        <v>Weekday</v>
      </c>
      <c r="AF4931" s="5">
        <f>IF(SalesData[[#This Row],[Contracts Offered]]=0,0,SalesData[[#This Row],[Contracts Signed]]/SalesData[[#This Row],[Contracts Offered]])</f>
        <v>0.28925619834710742</v>
      </c>
      <c r="AG4931" s="5">
        <f>IF(SalesData[[#This Row],[Customers Visited]]=0,0,SalesData[[#This Row],[Test Drives]]/SalesData[[#This Row],[Customers Visited]])</f>
        <v>0.63636363636363635</v>
      </c>
      <c r="AH4931" s="5">
        <f>IF(SalesData[[#This Row],[Customers Visited]]=0,0,SalesData[[#This Row],[Contracts Signed]]/SalesData[[#This Row],[Customers Visited]])</f>
        <v>0.13833992094861661</v>
      </c>
      <c r="AI4931" s="6">
        <f>IF(SalesData[[#This Row],[Contracts Signed]]=0,0,SalesData[[#This Row],[Profit(€)]]/SalesData[[#This Row],[Contracts Signed]])</f>
        <v>13139</v>
      </c>
      <c r="AJ4931" s="5" t="str">
        <f>TRIM(CLEAN(SalesData[[#This Row],[Retailer]]))</f>
        <v>Ruhr Auto Plaza</v>
      </c>
    </row>
    <row r="4932" spans="1:36" ht="14.25" hidden="1" x14ac:dyDescent="0.2">
      <c r="A4932" t="s">
        <v>6214</v>
      </c>
      <c r="B4932" s="1">
        <v>46058</v>
      </c>
      <c r="C4932" t="s">
        <v>24</v>
      </c>
      <c r="D4932" t="s">
        <v>100</v>
      </c>
      <c r="E4932" t="s">
        <v>26</v>
      </c>
      <c r="F4932" t="s">
        <v>101</v>
      </c>
      <c r="G4932" t="s">
        <v>102</v>
      </c>
      <c r="H4932" t="s">
        <v>103</v>
      </c>
      <c r="I4932" t="s">
        <v>64</v>
      </c>
      <c r="J4932" t="s">
        <v>157</v>
      </c>
      <c r="K4932" t="s">
        <v>78</v>
      </c>
      <c r="L4932" t="s">
        <v>33</v>
      </c>
      <c r="M4932" t="s">
        <v>87</v>
      </c>
      <c r="N4932" t="s">
        <v>69</v>
      </c>
      <c r="O4932" t="s">
        <v>36</v>
      </c>
      <c r="P4932" t="s">
        <v>37</v>
      </c>
      <c r="Q4932" t="s">
        <v>172</v>
      </c>
      <c r="R4932">
        <v>194</v>
      </c>
      <c r="S4932">
        <v>95</v>
      </c>
      <c r="T4932">
        <v>69</v>
      </c>
      <c r="U4932">
        <v>23</v>
      </c>
      <c r="V4932" t="s">
        <v>6644</v>
      </c>
      <c r="W4932">
        <v>71460</v>
      </c>
      <c r="X4932" t="s">
        <v>7344</v>
      </c>
      <c r="Y4932">
        <v>51448</v>
      </c>
      <c r="Z4932">
        <v>1643580</v>
      </c>
      <c r="AA4932">
        <v>460276</v>
      </c>
      <c r="AB4932" t="str">
        <f>(VLOOKUP(SalesData[[#This Row],[Month Number]],Reference!C$5:E$16,2,FALSE))</f>
        <v>Feb</v>
      </c>
      <c r="AC4932">
        <f>MONTH(SalesData[[#This Row],[Date]])</f>
        <v>2</v>
      </c>
      <c r="AD4932">
        <f>Reference!F$4</f>
        <v>2026</v>
      </c>
      <c r="AE4932" t="str">
        <f>IF(OR(SalesData[[#This Row],[Day]]="Saturday",SalesData[[#This Row],[Day]]="Sunday"),"Weekend","Weekday")</f>
        <v>Weekday</v>
      </c>
      <c r="AF4932" s="5">
        <f>IF(SalesData[[#This Row],[Contracts Offered]]=0,0,SalesData[[#This Row],[Contracts Signed]]/SalesData[[#This Row],[Contracts Offered]])</f>
        <v>0.33333333333333331</v>
      </c>
      <c r="AG4932" s="5">
        <f>IF(SalesData[[#This Row],[Customers Visited]]=0,0,SalesData[[#This Row],[Test Drives]]/SalesData[[#This Row],[Customers Visited]])</f>
        <v>0.48969072164948452</v>
      </c>
      <c r="AH4932" s="5">
        <f>IF(SalesData[[#This Row],[Customers Visited]]=0,0,SalesData[[#This Row],[Contracts Signed]]/SalesData[[#This Row],[Customers Visited]])</f>
        <v>0.11855670103092783</v>
      </c>
      <c r="AI4932" s="6">
        <f>IF(SalesData[[#This Row],[Contracts Signed]]=0,0,SalesData[[#This Row],[Profit(€)]]/SalesData[[#This Row],[Contracts Signed]])</f>
        <v>20012</v>
      </c>
      <c r="AJ4932" s="5" t="str">
        <f>TRIM(CLEAN(SalesData[[#This Row],[Retailer]]))</f>
        <v>Ruhr Auto Plaza</v>
      </c>
    </row>
    <row r="4933" spans="1:36" ht="14.25" x14ac:dyDescent="0.2">
      <c r="A4933" t="s">
        <v>6215</v>
      </c>
      <c r="B4933" s="1">
        <v>46065</v>
      </c>
      <c r="C4933" t="s">
        <v>121</v>
      </c>
      <c r="D4933" t="s">
        <v>100</v>
      </c>
      <c r="E4933" t="s">
        <v>26</v>
      </c>
      <c r="F4933" t="s">
        <v>94</v>
      </c>
      <c r="G4933" t="s">
        <v>95</v>
      </c>
      <c r="H4933" t="s">
        <v>96</v>
      </c>
      <c r="I4933" t="s">
        <v>30</v>
      </c>
      <c r="J4933" t="s">
        <v>166</v>
      </c>
      <c r="K4933" t="s">
        <v>91</v>
      </c>
      <c r="L4933" t="s">
        <v>46</v>
      </c>
      <c r="M4933" t="s">
        <v>68</v>
      </c>
      <c r="N4933" t="s">
        <v>69</v>
      </c>
      <c r="O4933" t="s">
        <v>36</v>
      </c>
      <c r="P4933" t="s">
        <v>49</v>
      </c>
      <c r="Q4933" t="s">
        <v>158</v>
      </c>
      <c r="R4933">
        <v>219</v>
      </c>
      <c r="S4933">
        <v>135</v>
      </c>
      <c r="T4933">
        <v>103</v>
      </c>
      <c r="U4933">
        <v>42</v>
      </c>
      <c r="V4933" t="s">
        <v>7105</v>
      </c>
      <c r="W4933">
        <v>57031</v>
      </c>
      <c r="X4933" t="s">
        <v>7326</v>
      </c>
      <c r="Y4933">
        <v>43226</v>
      </c>
      <c r="Z4933">
        <v>2395302</v>
      </c>
      <c r="AA4933">
        <v>579810</v>
      </c>
      <c r="AB4933" t="str">
        <f>(VLOOKUP(SalesData[[#This Row],[Month Number]],Reference!C$5:E$16,2,FALSE))</f>
        <v>Feb</v>
      </c>
      <c r="AC4933">
        <f>MONTH(SalesData[[#This Row],[Date]])</f>
        <v>2</v>
      </c>
      <c r="AD4933">
        <f>Reference!F$4</f>
        <v>2026</v>
      </c>
      <c r="AE4933" t="str">
        <f>IF(OR(SalesData[[#This Row],[Day]]="Saturday",SalesData[[#This Row],[Day]]="Sunday"),"Weekend","Weekday")</f>
        <v>Weekday</v>
      </c>
      <c r="AF4933" s="5">
        <f>IF(SalesData[[#This Row],[Contracts Offered]]=0,0,SalesData[[#This Row],[Contracts Signed]]/SalesData[[#This Row],[Contracts Offered]])</f>
        <v>0.40776699029126212</v>
      </c>
      <c r="AG4933" s="5">
        <f>IF(SalesData[[#This Row],[Customers Visited]]=0,0,SalesData[[#This Row],[Test Drives]]/SalesData[[#This Row],[Customers Visited]])</f>
        <v>0.61643835616438358</v>
      </c>
      <c r="AH4933" s="5">
        <f>IF(SalesData[[#This Row],[Customers Visited]]=0,0,SalesData[[#This Row],[Contracts Signed]]/SalesData[[#This Row],[Customers Visited]])</f>
        <v>0.19178082191780821</v>
      </c>
      <c r="AI4933" s="6">
        <f>IF(SalesData[[#This Row],[Contracts Signed]]=0,0,SalesData[[#This Row],[Profit(€)]]/SalesData[[#This Row],[Contracts Signed]])</f>
        <v>13805</v>
      </c>
      <c r="AJ4933" s="5" t="str">
        <f>TRIM(CLEAN(SalesData[[#This Row],[Retailer]]))</f>
        <v>Bavaria Motors</v>
      </c>
    </row>
    <row r="4934" spans="1:36" ht="14.25" hidden="1" x14ac:dyDescent="0.2">
      <c r="A4934" t="s">
        <v>6216</v>
      </c>
      <c r="B4934" s="1">
        <v>46054</v>
      </c>
      <c r="C4934" t="s">
        <v>24</v>
      </c>
      <c r="D4934" t="s">
        <v>41</v>
      </c>
      <c r="E4934" t="s">
        <v>42</v>
      </c>
      <c r="F4934" t="s">
        <v>74</v>
      </c>
      <c r="G4934" t="s">
        <v>75</v>
      </c>
      <c r="H4934" t="s">
        <v>76</v>
      </c>
      <c r="I4934" t="s">
        <v>64</v>
      </c>
      <c r="J4934" t="s">
        <v>77</v>
      </c>
      <c r="K4934" t="s">
        <v>66</v>
      </c>
      <c r="L4934" t="s">
        <v>46</v>
      </c>
      <c r="M4934" t="s">
        <v>34</v>
      </c>
      <c r="N4934" t="s">
        <v>35</v>
      </c>
      <c r="O4934" t="s">
        <v>70</v>
      </c>
      <c r="P4934" t="s">
        <v>71</v>
      </c>
      <c r="Q4934" t="s">
        <v>122</v>
      </c>
      <c r="R4934">
        <v>181</v>
      </c>
      <c r="S4934">
        <v>102</v>
      </c>
      <c r="T4934">
        <v>80</v>
      </c>
      <c r="U4934">
        <v>25</v>
      </c>
      <c r="V4934" t="s">
        <v>6516</v>
      </c>
      <c r="W4934">
        <v>65613</v>
      </c>
      <c r="X4934" t="s">
        <v>3045</v>
      </c>
      <c r="Y4934">
        <v>50471</v>
      </c>
      <c r="Z4934">
        <v>1640325</v>
      </c>
      <c r="AA4934">
        <v>378550</v>
      </c>
      <c r="AB4934" t="str">
        <f>(VLOOKUP(SalesData[[#This Row],[Month Number]],Reference!C$5:E$16,2,FALSE))</f>
        <v>Feb</v>
      </c>
      <c r="AC4934">
        <f>MONTH(SalesData[[#This Row],[Date]])</f>
        <v>2</v>
      </c>
      <c r="AD4934">
        <f>Reference!F$4</f>
        <v>2026</v>
      </c>
      <c r="AE4934" t="str">
        <f>IF(OR(SalesData[[#This Row],[Day]]="Saturday",SalesData[[#This Row],[Day]]="Sunday"),"Weekend","Weekday")</f>
        <v>Weekend</v>
      </c>
      <c r="AF4934" s="5">
        <f>IF(SalesData[[#This Row],[Contracts Offered]]=0,0,SalesData[[#This Row],[Contracts Signed]]/SalesData[[#This Row],[Contracts Offered]])</f>
        <v>0.3125</v>
      </c>
      <c r="AG4934" s="5">
        <f>IF(SalesData[[#This Row],[Customers Visited]]=0,0,SalesData[[#This Row],[Test Drives]]/SalesData[[#This Row],[Customers Visited]])</f>
        <v>0.56353591160220995</v>
      </c>
      <c r="AH4934" s="5">
        <f>IF(SalesData[[#This Row],[Customers Visited]]=0,0,SalesData[[#This Row],[Contracts Signed]]/SalesData[[#This Row],[Customers Visited]])</f>
        <v>0.13812154696132597</v>
      </c>
      <c r="AI4934" s="6">
        <f>IF(SalesData[[#This Row],[Contracts Signed]]=0,0,SalesData[[#This Row],[Profit(€)]]/SalesData[[#This Row],[Contracts Signed]])</f>
        <v>15142</v>
      </c>
      <c r="AJ4934" s="5" t="str">
        <f>TRIM(CLEAN(SalesData[[#This Row],[Retailer]]))</f>
        <v>Stuttgart Auto Center</v>
      </c>
    </row>
    <row r="4935" spans="1:36" ht="14.25" x14ac:dyDescent="0.2">
      <c r="A4935" t="s">
        <v>6217</v>
      </c>
      <c r="B4935" s="1">
        <v>46058</v>
      </c>
      <c r="C4935" t="s">
        <v>24</v>
      </c>
      <c r="D4935" t="s">
        <v>100</v>
      </c>
      <c r="E4935" t="s">
        <v>26</v>
      </c>
      <c r="F4935" t="s">
        <v>94</v>
      </c>
      <c r="G4935" t="s">
        <v>95</v>
      </c>
      <c r="H4935" t="s">
        <v>96</v>
      </c>
      <c r="I4935" t="s">
        <v>30</v>
      </c>
      <c r="J4935" t="s">
        <v>86</v>
      </c>
      <c r="K4935" t="s">
        <v>78</v>
      </c>
      <c r="L4935" t="s">
        <v>33</v>
      </c>
      <c r="M4935" t="s">
        <v>68</v>
      </c>
      <c r="N4935" t="s">
        <v>48</v>
      </c>
      <c r="O4935" t="s">
        <v>70</v>
      </c>
      <c r="P4935" t="s">
        <v>71</v>
      </c>
      <c r="Q4935" t="s">
        <v>158</v>
      </c>
      <c r="R4935">
        <v>266</v>
      </c>
      <c r="S4935">
        <v>141</v>
      </c>
      <c r="T4935">
        <v>106</v>
      </c>
      <c r="U4935">
        <v>44</v>
      </c>
      <c r="V4935" t="s">
        <v>7646</v>
      </c>
      <c r="W4935">
        <v>62774</v>
      </c>
      <c r="X4935" t="s">
        <v>7275</v>
      </c>
      <c r="Y4935">
        <v>48873</v>
      </c>
      <c r="Z4935">
        <v>2762056</v>
      </c>
      <c r="AA4935">
        <v>611644</v>
      </c>
      <c r="AB4935" t="str">
        <f>(VLOOKUP(SalesData[[#This Row],[Month Number]],Reference!C$5:E$16,2,FALSE))</f>
        <v>Feb</v>
      </c>
      <c r="AC4935">
        <f>MONTH(SalesData[[#This Row],[Date]])</f>
        <v>2</v>
      </c>
      <c r="AD4935">
        <f>Reference!F$4</f>
        <v>2026</v>
      </c>
      <c r="AE4935" t="str">
        <f>IF(OR(SalesData[[#This Row],[Day]]="Saturday",SalesData[[#This Row],[Day]]="Sunday"),"Weekend","Weekday")</f>
        <v>Weekday</v>
      </c>
      <c r="AF4935" s="5">
        <f>IF(SalesData[[#This Row],[Contracts Offered]]=0,0,SalesData[[#This Row],[Contracts Signed]]/SalesData[[#This Row],[Contracts Offered]])</f>
        <v>0.41509433962264153</v>
      </c>
      <c r="AG4935" s="5">
        <f>IF(SalesData[[#This Row],[Customers Visited]]=0,0,SalesData[[#This Row],[Test Drives]]/SalesData[[#This Row],[Customers Visited]])</f>
        <v>0.53007518796992481</v>
      </c>
      <c r="AH4935" s="5">
        <f>IF(SalesData[[#This Row],[Customers Visited]]=0,0,SalesData[[#This Row],[Contracts Signed]]/SalesData[[#This Row],[Customers Visited]])</f>
        <v>0.16541353383458646</v>
      </c>
      <c r="AI4935" s="6">
        <f>IF(SalesData[[#This Row],[Contracts Signed]]=0,0,SalesData[[#This Row],[Profit(€)]]/SalesData[[#This Row],[Contracts Signed]])</f>
        <v>13901</v>
      </c>
      <c r="AJ4935" s="5" t="str">
        <f>TRIM(CLEAN(SalesData[[#This Row],[Retailer]]))</f>
        <v>Bavaria Motors</v>
      </c>
    </row>
    <row r="4936" spans="1:36" ht="14.25" hidden="1" x14ac:dyDescent="0.2">
      <c r="A4936" t="s">
        <v>6218</v>
      </c>
      <c r="B4936" s="1">
        <v>46077</v>
      </c>
      <c r="C4936" t="s">
        <v>53</v>
      </c>
      <c r="D4936" t="s">
        <v>63</v>
      </c>
      <c r="E4936" t="s">
        <v>26</v>
      </c>
      <c r="F4936" t="s">
        <v>109</v>
      </c>
      <c r="G4936" t="s">
        <v>110</v>
      </c>
      <c r="H4936" t="s">
        <v>45</v>
      </c>
      <c r="I4936" t="s">
        <v>116</v>
      </c>
      <c r="J4936" t="s">
        <v>132</v>
      </c>
      <c r="K4936" t="s">
        <v>78</v>
      </c>
      <c r="L4936" t="s">
        <v>46</v>
      </c>
      <c r="M4936" t="s">
        <v>68</v>
      </c>
      <c r="N4936" t="s">
        <v>35</v>
      </c>
      <c r="O4936" t="s">
        <v>70</v>
      </c>
      <c r="P4936" t="s">
        <v>37</v>
      </c>
      <c r="Q4936" t="s">
        <v>152</v>
      </c>
      <c r="R4936">
        <v>322</v>
      </c>
      <c r="S4936">
        <v>153</v>
      </c>
      <c r="T4936">
        <v>102</v>
      </c>
      <c r="U4936">
        <v>22</v>
      </c>
      <c r="V4936" t="s">
        <v>3735</v>
      </c>
      <c r="W4936">
        <v>22933</v>
      </c>
      <c r="X4936" t="s">
        <v>606</v>
      </c>
      <c r="Y4936">
        <v>20819</v>
      </c>
      <c r="Z4936">
        <v>504526</v>
      </c>
      <c r="AA4936">
        <v>46508</v>
      </c>
      <c r="AB4936" t="str">
        <f>(VLOOKUP(SalesData[[#This Row],[Month Number]],Reference!C$5:E$16,2,FALSE))</f>
        <v>Feb</v>
      </c>
      <c r="AC4936">
        <f>MONTH(SalesData[[#This Row],[Date]])</f>
        <v>2</v>
      </c>
      <c r="AD4936">
        <f>Reference!F$4</f>
        <v>2026</v>
      </c>
      <c r="AE4936" t="str">
        <f>IF(OR(SalesData[[#This Row],[Day]]="Saturday",SalesData[[#This Row],[Day]]="Sunday"),"Weekend","Weekday")</f>
        <v>Weekday</v>
      </c>
      <c r="AF4936" s="5">
        <f>IF(SalesData[[#This Row],[Contracts Offered]]=0,0,SalesData[[#This Row],[Contracts Signed]]/SalesData[[#This Row],[Contracts Offered]])</f>
        <v>0.21568627450980393</v>
      </c>
      <c r="AG4936" s="5">
        <f>IF(SalesData[[#This Row],[Customers Visited]]=0,0,SalesData[[#This Row],[Test Drives]]/SalesData[[#This Row],[Customers Visited]])</f>
        <v>0.4751552795031056</v>
      </c>
      <c r="AH4936" s="5">
        <f>IF(SalesData[[#This Row],[Customers Visited]]=0,0,SalesData[[#This Row],[Contracts Signed]]/SalesData[[#This Row],[Customers Visited]])</f>
        <v>6.8322981366459631E-2</v>
      </c>
      <c r="AI4936" s="6">
        <f>IF(SalesData[[#This Row],[Contracts Signed]]=0,0,SalesData[[#This Row],[Profit(€)]]/SalesData[[#This Row],[Contracts Signed]])</f>
        <v>2114</v>
      </c>
      <c r="AJ4936" s="5" t="str">
        <f>TRIM(CLEAN(SalesData[[#This Row],[Retailer]]))</f>
        <v>Leipzig Mobility</v>
      </c>
    </row>
    <row r="4937" spans="1:36" ht="14.25" x14ac:dyDescent="0.2">
      <c r="A4937" t="s">
        <v>6219</v>
      </c>
      <c r="B4937" s="1">
        <v>46079</v>
      </c>
      <c r="C4937" t="s">
        <v>53</v>
      </c>
      <c r="D4937" t="s">
        <v>100</v>
      </c>
      <c r="E4937" t="s">
        <v>26</v>
      </c>
      <c r="F4937" t="s">
        <v>7649</v>
      </c>
      <c r="G4937" t="s">
        <v>55</v>
      </c>
      <c r="H4937" t="s">
        <v>55</v>
      </c>
      <c r="I4937" t="s">
        <v>30</v>
      </c>
      <c r="J4937" t="s">
        <v>31</v>
      </c>
      <c r="K4937" t="s">
        <v>66</v>
      </c>
      <c r="L4937" t="s">
        <v>46</v>
      </c>
      <c r="M4937" t="s">
        <v>34</v>
      </c>
      <c r="N4937" t="s">
        <v>48</v>
      </c>
      <c r="O4937" t="s">
        <v>36</v>
      </c>
      <c r="P4937" t="s">
        <v>37</v>
      </c>
      <c r="Q4937" t="s">
        <v>118</v>
      </c>
      <c r="R4937">
        <v>164</v>
      </c>
      <c r="S4937">
        <v>90</v>
      </c>
      <c r="T4937">
        <v>73</v>
      </c>
      <c r="U4937">
        <v>26</v>
      </c>
      <c r="V4937" t="s">
        <v>6688</v>
      </c>
      <c r="W4937">
        <v>59945</v>
      </c>
      <c r="X4937" t="s">
        <v>7082</v>
      </c>
      <c r="Y4937">
        <v>45751</v>
      </c>
      <c r="Z4937">
        <v>1558570</v>
      </c>
      <c r="AA4937">
        <v>369044</v>
      </c>
      <c r="AB4937" t="str">
        <f>(VLOOKUP(SalesData[[#This Row],[Month Number]],Reference!C$5:E$16,2,FALSE))</f>
        <v>Feb</v>
      </c>
      <c r="AC4937">
        <f>MONTH(SalesData[[#This Row],[Date]])</f>
        <v>2</v>
      </c>
      <c r="AD4937">
        <f>Reference!F$4</f>
        <v>2026</v>
      </c>
      <c r="AE4937" t="str">
        <f>IF(OR(SalesData[[#This Row],[Day]]="Saturday",SalesData[[#This Row],[Day]]="Sunday"),"Weekend","Weekday")</f>
        <v>Weekday</v>
      </c>
      <c r="AF4937" s="5">
        <f>IF(SalesData[[#This Row],[Contracts Offered]]=0,0,SalesData[[#This Row],[Contracts Signed]]/SalesData[[#This Row],[Contracts Offered]])</f>
        <v>0.35616438356164382</v>
      </c>
      <c r="AG4937" s="5">
        <f>IF(SalesData[[#This Row],[Customers Visited]]=0,0,SalesData[[#This Row],[Test Drives]]/SalesData[[#This Row],[Customers Visited]])</f>
        <v>0.54878048780487809</v>
      </c>
      <c r="AH4937" s="5">
        <f>IF(SalesData[[#This Row],[Customers Visited]]=0,0,SalesData[[#This Row],[Contracts Signed]]/SalesData[[#This Row],[Customers Visited]])</f>
        <v>0.15853658536585366</v>
      </c>
      <c r="AI4937" s="6">
        <f>IF(SalesData[[#This Row],[Contracts Signed]]=0,0,SalesData[[#This Row],[Profit(€)]]/SalesData[[#This Row],[Contracts Signed]])</f>
        <v>14194</v>
      </c>
      <c r="AJ4937" s="5" t="str">
        <f>TRIM(CLEAN(SalesData[[#This Row],[Retailer]]))</f>
        <v>Autohaus Berlin</v>
      </c>
    </row>
    <row r="4938" spans="1:36" ht="14.25" hidden="1" x14ac:dyDescent="0.2">
      <c r="A4938" t="s">
        <v>6220</v>
      </c>
      <c r="B4938" s="1">
        <v>46061</v>
      </c>
      <c r="C4938" t="s">
        <v>121</v>
      </c>
      <c r="D4938" t="s">
        <v>41</v>
      </c>
      <c r="E4938" t="s">
        <v>42</v>
      </c>
      <c r="F4938" t="s">
        <v>27</v>
      </c>
      <c r="G4938" t="s">
        <v>28</v>
      </c>
      <c r="H4938" t="s">
        <v>29</v>
      </c>
      <c r="I4938" t="s">
        <v>104</v>
      </c>
      <c r="J4938" t="s">
        <v>140</v>
      </c>
      <c r="K4938" t="s">
        <v>91</v>
      </c>
      <c r="L4938" t="s">
        <v>46</v>
      </c>
      <c r="M4938" t="s">
        <v>47</v>
      </c>
      <c r="N4938" t="s">
        <v>48</v>
      </c>
      <c r="O4938" t="s">
        <v>36</v>
      </c>
      <c r="P4938" t="s">
        <v>37</v>
      </c>
      <c r="Q4938" t="s">
        <v>152</v>
      </c>
      <c r="R4938">
        <v>434</v>
      </c>
      <c r="S4938">
        <v>175</v>
      </c>
      <c r="T4938">
        <v>121</v>
      </c>
      <c r="U4938">
        <v>23</v>
      </c>
      <c r="V4938" t="s">
        <v>1058</v>
      </c>
      <c r="W4938">
        <v>31503</v>
      </c>
      <c r="X4938" t="s">
        <v>1217</v>
      </c>
      <c r="Y4938">
        <v>27653</v>
      </c>
      <c r="Z4938">
        <v>724569</v>
      </c>
      <c r="AA4938">
        <v>88550</v>
      </c>
      <c r="AB4938" t="str">
        <f>(VLOOKUP(SalesData[[#This Row],[Month Number]],Reference!C$5:E$16,2,FALSE))</f>
        <v>Feb</v>
      </c>
      <c r="AC4938">
        <f>MONTH(SalesData[[#This Row],[Date]])</f>
        <v>2</v>
      </c>
      <c r="AD4938">
        <f>Reference!F$4</f>
        <v>2026</v>
      </c>
      <c r="AE4938" t="str">
        <f>IF(OR(SalesData[[#This Row],[Day]]="Saturday",SalesData[[#This Row],[Day]]="Sunday"),"Weekend","Weekday")</f>
        <v>Weekend</v>
      </c>
      <c r="AF4938" s="5">
        <f>IF(SalesData[[#This Row],[Contracts Offered]]=0,0,SalesData[[#This Row],[Contracts Signed]]/SalesData[[#This Row],[Contracts Offered]])</f>
        <v>0.19008264462809918</v>
      </c>
      <c r="AG4938" s="5">
        <f>IF(SalesData[[#This Row],[Customers Visited]]=0,0,SalesData[[#This Row],[Test Drives]]/SalesData[[#This Row],[Customers Visited]])</f>
        <v>0.40322580645161288</v>
      </c>
      <c r="AH4938" s="5">
        <f>IF(SalesData[[#This Row],[Customers Visited]]=0,0,SalesData[[#This Row],[Contracts Signed]]/SalesData[[#This Row],[Customers Visited]])</f>
        <v>5.2995391705069124E-2</v>
      </c>
      <c r="AI4938" s="6">
        <f>IF(SalesData[[#This Row],[Contracts Signed]]=0,0,SalesData[[#This Row],[Profit(€)]]/SalesData[[#This Row],[Contracts Signed]])</f>
        <v>3850</v>
      </c>
      <c r="AJ4938" s="5" t="str">
        <f>TRIM(CLEAN(SalesData[[#This Row],[Retailer]]))</f>
        <v>Main Auto Hub</v>
      </c>
    </row>
    <row r="4939" spans="1:36" ht="14.25" x14ac:dyDescent="0.2">
      <c r="A4939" t="s">
        <v>6221</v>
      </c>
      <c r="B4939" s="1">
        <v>46069</v>
      </c>
      <c r="C4939" t="s">
        <v>62</v>
      </c>
      <c r="D4939" t="s">
        <v>25</v>
      </c>
      <c r="E4939" t="s">
        <v>26</v>
      </c>
      <c r="F4939" t="s">
        <v>114</v>
      </c>
      <c r="G4939" t="s">
        <v>115</v>
      </c>
      <c r="H4939" t="s">
        <v>115</v>
      </c>
      <c r="I4939" t="s">
        <v>30</v>
      </c>
      <c r="J4939" t="s">
        <v>188</v>
      </c>
      <c r="K4939" t="s">
        <v>32</v>
      </c>
      <c r="L4939" t="s">
        <v>33</v>
      </c>
      <c r="M4939" t="s">
        <v>34</v>
      </c>
      <c r="N4939" t="s">
        <v>69</v>
      </c>
      <c r="O4939" t="s">
        <v>70</v>
      </c>
      <c r="P4939" t="s">
        <v>49</v>
      </c>
      <c r="Q4939" t="s">
        <v>122</v>
      </c>
      <c r="R4939">
        <v>276</v>
      </c>
      <c r="S4939">
        <v>147</v>
      </c>
      <c r="T4939">
        <v>105</v>
      </c>
      <c r="U4939">
        <v>38</v>
      </c>
      <c r="V4939" t="s">
        <v>6563</v>
      </c>
      <c r="W4939">
        <v>53884</v>
      </c>
      <c r="X4939" t="s">
        <v>7535</v>
      </c>
      <c r="Y4939">
        <v>37886</v>
      </c>
      <c r="Z4939">
        <v>2047592</v>
      </c>
      <c r="AA4939">
        <v>607924</v>
      </c>
      <c r="AB4939" t="str">
        <f>(VLOOKUP(SalesData[[#This Row],[Month Number]],Reference!C$5:E$16,2,FALSE))</f>
        <v>Feb</v>
      </c>
      <c r="AC4939">
        <f>MONTH(SalesData[[#This Row],[Date]])</f>
        <v>2</v>
      </c>
      <c r="AD4939">
        <f>Reference!F$4</f>
        <v>2026</v>
      </c>
      <c r="AE4939" t="str">
        <f>IF(OR(SalesData[[#This Row],[Day]]="Saturday",SalesData[[#This Row],[Day]]="Sunday"),"Weekend","Weekday")</f>
        <v>Weekday</v>
      </c>
      <c r="AF4939" s="5">
        <f>IF(SalesData[[#This Row],[Contracts Offered]]=0,0,SalesData[[#This Row],[Contracts Signed]]/SalesData[[#This Row],[Contracts Offered]])</f>
        <v>0.3619047619047619</v>
      </c>
      <c r="AG4939" s="5">
        <f>IF(SalesData[[#This Row],[Customers Visited]]=0,0,SalesData[[#This Row],[Test Drives]]/SalesData[[#This Row],[Customers Visited]])</f>
        <v>0.53260869565217395</v>
      </c>
      <c r="AH4939" s="5">
        <f>IF(SalesData[[#This Row],[Customers Visited]]=0,0,SalesData[[#This Row],[Contracts Signed]]/SalesData[[#This Row],[Customers Visited]])</f>
        <v>0.13768115942028986</v>
      </c>
      <c r="AI4939" s="6">
        <f>IF(SalesData[[#This Row],[Contracts Signed]]=0,0,SalesData[[#This Row],[Profit(€)]]/SalesData[[#This Row],[Contracts Signed]])</f>
        <v>15998</v>
      </c>
      <c r="AJ4939" s="5" t="str">
        <f>TRIM(CLEAN(SalesData[[#This Row],[Retailer]]))</f>
        <v>Elbe Drive</v>
      </c>
    </row>
    <row r="4940" spans="1:36" ht="14.25" x14ac:dyDescent="0.2">
      <c r="A4940" t="s">
        <v>6222</v>
      </c>
      <c r="B4940" s="1">
        <v>46062</v>
      </c>
      <c r="C4940" t="s">
        <v>121</v>
      </c>
      <c r="D4940" t="s">
        <v>25</v>
      </c>
      <c r="E4940" t="s">
        <v>26</v>
      </c>
      <c r="F4940" t="s">
        <v>109</v>
      </c>
      <c r="G4940" t="s">
        <v>110</v>
      </c>
      <c r="H4940" t="s">
        <v>45</v>
      </c>
      <c r="I4940" t="s">
        <v>30</v>
      </c>
      <c r="J4940" t="s">
        <v>7075</v>
      </c>
      <c r="K4940" t="s">
        <v>78</v>
      </c>
      <c r="L4940" t="s">
        <v>33</v>
      </c>
      <c r="M4940" t="s">
        <v>68</v>
      </c>
      <c r="N4940" t="s">
        <v>48</v>
      </c>
      <c r="O4940" t="s">
        <v>70</v>
      </c>
      <c r="P4940" t="s">
        <v>58</v>
      </c>
      <c r="Q4940" t="s">
        <v>158</v>
      </c>
      <c r="R4940">
        <v>224</v>
      </c>
      <c r="S4940">
        <v>134</v>
      </c>
      <c r="T4940">
        <v>93</v>
      </c>
      <c r="U4940">
        <v>38</v>
      </c>
      <c r="V4940" t="s">
        <v>6436</v>
      </c>
      <c r="W4940">
        <v>50900</v>
      </c>
      <c r="X4940" t="s">
        <v>7285</v>
      </c>
      <c r="Y4940">
        <v>38305</v>
      </c>
      <c r="Z4940">
        <v>1934200</v>
      </c>
      <c r="AA4940">
        <v>478610</v>
      </c>
      <c r="AB4940" t="str">
        <f>(VLOOKUP(SalesData[[#This Row],[Month Number]],Reference!C$5:E$16,2,FALSE))</f>
        <v>Feb</v>
      </c>
      <c r="AC4940">
        <f>MONTH(SalesData[[#This Row],[Date]])</f>
        <v>2</v>
      </c>
      <c r="AD4940">
        <f>Reference!F$4</f>
        <v>2026</v>
      </c>
      <c r="AE4940" t="str">
        <f>IF(OR(SalesData[[#This Row],[Day]]="Saturday",SalesData[[#This Row],[Day]]="Sunday"),"Weekend","Weekday")</f>
        <v>Weekday</v>
      </c>
      <c r="AF4940" s="5">
        <f>IF(SalesData[[#This Row],[Contracts Offered]]=0,0,SalesData[[#This Row],[Contracts Signed]]/SalesData[[#This Row],[Contracts Offered]])</f>
        <v>0.40860215053763443</v>
      </c>
      <c r="AG4940" s="5">
        <f>IF(SalesData[[#This Row],[Customers Visited]]=0,0,SalesData[[#This Row],[Test Drives]]/SalesData[[#This Row],[Customers Visited]])</f>
        <v>0.5982142857142857</v>
      </c>
      <c r="AH4940" s="5">
        <f>IF(SalesData[[#This Row],[Customers Visited]]=0,0,SalesData[[#This Row],[Contracts Signed]]/SalesData[[#This Row],[Customers Visited]])</f>
        <v>0.16964285714285715</v>
      </c>
      <c r="AI4940" s="6">
        <f>IF(SalesData[[#This Row],[Contracts Signed]]=0,0,SalesData[[#This Row],[Profit(€)]]/SalesData[[#This Row],[Contracts Signed]])</f>
        <v>12595</v>
      </c>
      <c r="AJ4940" s="5" t="str">
        <f>TRIM(CLEAN(SalesData[[#This Row],[Retailer]]))</f>
        <v>Leipzig Mobility</v>
      </c>
    </row>
    <row r="4941" spans="1:36" ht="14.25" hidden="1" x14ac:dyDescent="0.2">
      <c r="A4941" t="s">
        <v>6223</v>
      </c>
      <c r="B4941" s="1">
        <v>46063</v>
      </c>
      <c r="C4941" t="s">
        <v>121</v>
      </c>
      <c r="D4941" t="s">
        <v>63</v>
      </c>
      <c r="E4941" t="s">
        <v>26</v>
      </c>
      <c r="F4941" t="s">
        <v>114</v>
      </c>
      <c r="G4941" t="s">
        <v>115</v>
      </c>
      <c r="H4941" t="s">
        <v>115</v>
      </c>
      <c r="I4941" t="s">
        <v>116</v>
      </c>
      <c r="J4941" t="s">
        <v>203</v>
      </c>
      <c r="K4941" t="s">
        <v>91</v>
      </c>
      <c r="L4941" t="s">
        <v>67</v>
      </c>
      <c r="M4941" t="s">
        <v>68</v>
      </c>
      <c r="N4941" t="s">
        <v>48</v>
      </c>
      <c r="O4941" t="s">
        <v>70</v>
      </c>
      <c r="P4941" t="s">
        <v>71</v>
      </c>
      <c r="Q4941" t="s">
        <v>167</v>
      </c>
      <c r="R4941">
        <v>260</v>
      </c>
      <c r="S4941">
        <v>137</v>
      </c>
      <c r="T4941">
        <v>78</v>
      </c>
      <c r="U4941">
        <v>27</v>
      </c>
      <c r="V4941" t="s">
        <v>1213</v>
      </c>
      <c r="W4941">
        <v>21266</v>
      </c>
      <c r="X4941" t="s">
        <v>3283</v>
      </c>
      <c r="Y4941">
        <v>19318</v>
      </c>
      <c r="Z4941">
        <v>574182</v>
      </c>
      <c r="AA4941">
        <v>52596</v>
      </c>
      <c r="AB4941" t="str">
        <f>(VLOOKUP(SalesData[[#This Row],[Month Number]],Reference!C$5:E$16,2,FALSE))</f>
        <v>Feb</v>
      </c>
      <c r="AC4941">
        <f>MONTH(SalesData[[#This Row],[Date]])</f>
        <v>2</v>
      </c>
      <c r="AD4941">
        <f>Reference!F$4</f>
        <v>2026</v>
      </c>
      <c r="AE4941" t="str">
        <f>IF(OR(SalesData[[#This Row],[Day]]="Saturday",SalesData[[#This Row],[Day]]="Sunday"),"Weekend","Weekday")</f>
        <v>Weekday</v>
      </c>
      <c r="AF4941" s="5">
        <f>IF(SalesData[[#This Row],[Contracts Offered]]=0,0,SalesData[[#This Row],[Contracts Signed]]/SalesData[[#This Row],[Contracts Offered]])</f>
        <v>0.34615384615384615</v>
      </c>
      <c r="AG4941" s="5">
        <f>IF(SalesData[[#This Row],[Customers Visited]]=0,0,SalesData[[#This Row],[Test Drives]]/SalesData[[#This Row],[Customers Visited]])</f>
        <v>0.52692307692307694</v>
      </c>
      <c r="AH4941" s="5">
        <f>IF(SalesData[[#This Row],[Customers Visited]]=0,0,SalesData[[#This Row],[Contracts Signed]]/SalesData[[#This Row],[Customers Visited]])</f>
        <v>0.10384615384615385</v>
      </c>
      <c r="AI4941" s="6">
        <f>IF(SalesData[[#This Row],[Contracts Signed]]=0,0,SalesData[[#This Row],[Profit(€)]]/SalesData[[#This Row],[Contracts Signed]])</f>
        <v>1948</v>
      </c>
      <c r="AJ4941" s="5" t="str">
        <f>TRIM(CLEAN(SalesData[[#This Row],[Retailer]]))</f>
        <v>Elbe Drive</v>
      </c>
    </row>
    <row r="4942" spans="1:36" ht="14.25" x14ac:dyDescent="0.2">
      <c r="A4942" t="s">
        <v>6224</v>
      </c>
      <c r="B4942" s="1">
        <v>46054</v>
      </c>
      <c r="C4942" t="s">
        <v>24</v>
      </c>
      <c r="D4942" t="s">
        <v>41</v>
      </c>
      <c r="E4942" t="s">
        <v>42</v>
      </c>
      <c r="F4942" t="s">
        <v>109</v>
      </c>
      <c r="G4942" t="s">
        <v>110</v>
      </c>
      <c r="H4942" t="s">
        <v>45</v>
      </c>
      <c r="I4942" t="s">
        <v>30</v>
      </c>
      <c r="J4942" t="s">
        <v>166</v>
      </c>
      <c r="K4942" t="s">
        <v>66</v>
      </c>
      <c r="L4942" t="s">
        <v>46</v>
      </c>
      <c r="M4942" t="s">
        <v>47</v>
      </c>
      <c r="N4942" t="s">
        <v>35</v>
      </c>
      <c r="O4942" t="s">
        <v>70</v>
      </c>
      <c r="P4942" t="s">
        <v>37</v>
      </c>
      <c r="Q4942" t="s">
        <v>122</v>
      </c>
      <c r="R4942">
        <v>186</v>
      </c>
      <c r="S4942">
        <v>84</v>
      </c>
      <c r="T4942">
        <v>68</v>
      </c>
      <c r="U4942">
        <v>20</v>
      </c>
      <c r="V4942" t="s">
        <v>6383</v>
      </c>
      <c r="W4942">
        <v>53454</v>
      </c>
      <c r="X4942" t="s">
        <v>828</v>
      </c>
      <c r="Y4942">
        <v>40690</v>
      </c>
      <c r="Z4942">
        <v>1069080</v>
      </c>
      <c r="AA4942">
        <v>255280</v>
      </c>
      <c r="AB4942" t="str">
        <f>(VLOOKUP(SalesData[[#This Row],[Month Number]],Reference!C$5:E$16,2,FALSE))</f>
        <v>Feb</v>
      </c>
      <c r="AC4942">
        <f>MONTH(SalesData[[#This Row],[Date]])</f>
        <v>2</v>
      </c>
      <c r="AD4942">
        <f>Reference!F$4</f>
        <v>2026</v>
      </c>
      <c r="AE4942" t="str">
        <f>IF(OR(SalesData[[#This Row],[Day]]="Saturday",SalesData[[#This Row],[Day]]="Sunday"),"Weekend","Weekday")</f>
        <v>Weekend</v>
      </c>
      <c r="AF4942" s="5">
        <f>IF(SalesData[[#This Row],[Contracts Offered]]=0,0,SalesData[[#This Row],[Contracts Signed]]/SalesData[[#This Row],[Contracts Offered]])</f>
        <v>0.29411764705882354</v>
      </c>
      <c r="AG4942" s="5">
        <f>IF(SalesData[[#This Row],[Customers Visited]]=0,0,SalesData[[#This Row],[Test Drives]]/SalesData[[#This Row],[Customers Visited]])</f>
        <v>0.45161290322580644</v>
      </c>
      <c r="AH4942" s="5">
        <f>IF(SalesData[[#This Row],[Customers Visited]]=0,0,SalesData[[#This Row],[Contracts Signed]]/SalesData[[#This Row],[Customers Visited]])</f>
        <v>0.10752688172043011</v>
      </c>
      <c r="AI4942" s="6">
        <f>IF(SalesData[[#This Row],[Contracts Signed]]=0,0,SalesData[[#This Row],[Profit(€)]]/SalesData[[#This Row],[Contracts Signed]])</f>
        <v>12764</v>
      </c>
      <c r="AJ4942" s="5" t="str">
        <f>TRIM(CLEAN(SalesData[[#This Row],[Retailer]]))</f>
        <v>Leipzig Mobility</v>
      </c>
    </row>
    <row r="4943" spans="1:36" ht="14.25" hidden="1" x14ac:dyDescent="0.2">
      <c r="A4943" t="s">
        <v>6225</v>
      </c>
      <c r="B4943" s="1">
        <v>46054</v>
      </c>
      <c r="C4943" t="s">
        <v>24</v>
      </c>
      <c r="D4943" t="s">
        <v>41</v>
      </c>
      <c r="E4943" t="s">
        <v>42</v>
      </c>
      <c r="F4943" t="s">
        <v>83</v>
      </c>
      <c r="G4943" t="s">
        <v>84</v>
      </c>
      <c r="H4943" t="s">
        <v>85</v>
      </c>
      <c r="I4943" t="s">
        <v>56</v>
      </c>
      <c r="J4943" t="s">
        <v>7028</v>
      </c>
      <c r="K4943" t="s">
        <v>78</v>
      </c>
      <c r="L4943" t="s">
        <v>46</v>
      </c>
      <c r="M4943" t="s">
        <v>68</v>
      </c>
      <c r="N4943" t="s">
        <v>35</v>
      </c>
      <c r="O4943" t="s">
        <v>36</v>
      </c>
      <c r="P4943" t="s">
        <v>49</v>
      </c>
      <c r="Q4943" t="s">
        <v>50</v>
      </c>
      <c r="R4943">
        <v>276</v>
      </c>
      <c r="S4943">
        <v>170</v>
      </c>
      <c r="T4943">
        <v>111</v>
      </c>
      <c r="U4943">
        <v>37</v>
      </c>
      <c r="V4943" t="s">
        <v>6920</v>
      </c>
      <c r="W4943">
        <v>44937</v>
      </c>
      <c r="X4943" t="s">
        <v>5727</v>
      </c>
      <c r="Y4943">
        <v>34058</v>
      </c>
      <c r="Z4943">
        <v>1662669</v>
      </c>
      <c r="AA4943">
        <v>402523</v>
      </c>
      <c r="AB4943" t="str">
        <f>(VLOOKUP(SalesData[[#This Row],[Month Number]],Reference!C$5:E$16,2,FALSE))</f>
        <v>Feb</v>
      </c>
      <c r="AC4943">
        <f>MONTH(SalesData[[#This Row],[Date]])</f>
        <v>2</v>
      </c>
      <c r="AD4943">
        <f>Reference!F$4</f>
        <v>2026</v>
      </c>
      <c r="AE4943" t="str">
        <f>IF(OR(SalesData[[#This Row],[Day]]="Saturday",SalesData[[#This Row],[Day]]="Sunday"),"Weekend","Weekday")</f>
        <v>Weekend</v>
      </c>
      <c r="AF4943" s="5">
        <f>IF(SalesData[[#This Row],[Contracts Offered]]=0,0,SalesData[[#This Row],[Contracts Signed]]/SalesData[[#This Row],[Contracts Offered]])</f>
        <v>0.33333333333333331</v>
      </c>
      <c r="AG4943" s="5">
        <f>IF(SalesData[[#This Row],[Customers Visited]]=0,0,SalesData[[#This Row],[Test Drives]]/SalesData[[#This Row],[Customers Visited]])</f>
        <v>0.61594202898550721</v>
      </c>
      <c r="AH4943" s="5">
        <f>IF(SalesData[[#This Row],[Customers Visited]]=0,0,SalesData[[#This Row],[Contracts Signed]]/SalesData[[#This Row],[Customers Visited]])</f>
        <v>0.13405797101449277</v>
      </c>
      <c r="AI4943" s="6">
        <f>IF(SalesData[[#This Row],[Contracts Signed]]=0,0,SalesData[[#This Row],[Profit(€)]]/SalesData[[#This Row],[Contracts Signed]])</f>
        <v>10879</v>
      </c>
      <c r="AJ4943" s="5" t="str">
        <f>TRIM(CLEAN(SalesData[[#This Row],[Retailer]]))</f>
        <v>Hannover Cars</v>
      </c>
    </row>
    <row r="4944" spans="1:36" ht="14.25" hidden="1" x14ac:dyDescent="0.2">
      <c r="A4944" t="s">
        <v>6226</v>
      </c>
      <c r="B4944" s="1">
        <v>46060</v>
      </c>
      <c r="C4944" t="s">
        <v>24</v>
      </c>
      <c r="D4944" t="s">
        <v>151</v>
      </c>
      <c r="E4944" t="s">
        <v>42</v>
      </c>
      <c r="F4944" t="s">
        <v>94</v>
      </c>
      <c r="G4944" t="s">
        <v>95</v>
      </c>
      <c r="H4944" t="s">
        <v>96</v>
      </c>
      <c r="I4944" t="s">
        <v>104</v>
      </c>
      <c r="J4944" t="s">
        <v>140</v>
      </c>
      <c r="K4944" t="s">
        <v>78</v>
      </c>
      <c r="L4944" t="s">
        <v>46</v>
      </c>
      <c r="M4944" t="s">
        <v>68</v>
      </c>
      <c r="N4944" t="s">
        <v>35</v>
      </c>
      <c r="O4944" t="s">
        <v>36</v>
      </c>
      <c r="P4944" t="s">
        <v>58</v>
      </c>
      <c r="Q4944" t="s">
        <v>240</v>
      </c>
      <c r="R4944">
        <v>364</v>
      </c>
      <c r="S4944">
        <v>206</v>
      </c>
      <c r="T4944">
        <v>127</v>
      </c>
      <c r="U4944">
        <v>43</v>
      </c>
      <c r="V4944" t="s">
        <v>6807</v>
      </c>
      <c r="W4944">
        <v>30815</v>
      </c>
      <c r="X4944" t="s">
        <v>1577</v>
      </c>
      <c r="Y4944">
        <v>26565</v>
      </c>
      <c r="Z4944">
        <v>1325045</v>
      </c>
      <c r="AA4944">
        <v>182750</v>
      </c>
      <c r="AB4944" t="str">
        <f>(VLOOKUP(SalesData[[#This Row],[Month Number]],Reference!C$5:E$16,2,FALSE))</f>
        <v>Feb</v>
      </c>
      <c r="AC4944">
        <f>MONTH(SalesData[[#This Row],[Date]])</f>
        <v>2</v>
      </c>
      <c r="AD4944">
        <f>Reference!F$4</f>
        <v>2026</v>
      </c>
      <c r="AE4944" t="str">
        <f>IF(OR(SalesData[[#This Row],[Day]]="Saturday",SalesData[[#This Row],[Day]]="Sunday"),"Weekend","Weekday")</f>
        <v>Weekend</v>
      </c>
      <c r="AF4944" s="5">
        <f>IF(SalesData[[#This Row],[Contracts Offered]]=0,0,SalesData[[#This Row],[Contracts Signed]]/SalesData[[#This Row],[Contracts Offered]])</f>
        <v>0.33858267716535434</v>
      </c>
      <c r="AG4944" s="5">
        <f>IF(SalesData[[#This Row],[Customers Visited]]=0,0,SalesData[[#This Row],[Test Drives]]/SalesData[[#This Row],[Customers Visited]])</f>
        <v>0.56593406593406592</v>
      </c>
      <c r="AH4944" s="5">
        <f>IF(SalesData[[#This Row],[Customers Visited]]=0,0,SalesData[[#This Row],[Contracts Signed]]/SalesData[[#This Row],[Customers Visited]])</f>
        <v>0.11813186813186813</v>
      </c>
      <c r="AI4944" s="6">
        <f>IF(SalesData[[#This Row],[Contracts Signed]]=0,0,SalesData[[#This Row],[Profit(€)]]/SalesData[[#This Row],[Contracts Signed]])</f>
        <v>4250</v>
      </c>
      <c r="AJ4944" s="5" t="str">
        <f>TRIM(CLEAN(SalesData[[#This Row],[Retailer]]))</f>
        <v>Bavaria Motors</v>
      </c>
    </row>
    <row r="4945" spans="1:36" ht="14.25" hidden="1" x14ac:dyDescent="0.2">
      <c r="A4945" t="s">
        <v>6227</v>
      </c>
      <c r="B4945" s="1">
        <v>46055</v>
      </c>
      <c r="C4945" t="s">
        <v>24</v>
      </c>
      <c r="D4945" t="s">
        <v>25</v>
      </c>
      <c r="E4945" t="s">
        <v>26</v>
      </c>
      <c r="F4945" t="s">
        <v>101</v>
      </c>
      <c r="G4945" t="s">
        <v>102</v>
      </c>
      <c r="H4945" t="s">
        <v>103</v>
      </c>
      <c r="I4945" t="s">
        <v>64</v>
      </c>
      <c r="J4945" t="s">
        <v>77</v>
      </c>
      <c r="K4945" t="s">
        <v>32</v>
      </c>
      <c r="L4945" t="s">
        <v>46</v>
      </c>
      <c r="M4945" t="s">
        <v>68</v>
      </c>
      <c r="N4945" t="s">
        <v>35</v>
      </c>
      <c r="O4945" t="s">
        <v>36</v>
      </c>
      <c r="P4945" t="s">
        <v>58</v>
      </c>
      <c r="Q4945" t="s">
        <v>59</v>
      </c>
      <c r="R4945">
        <v>260</v>
      </c>
      <c r="S4945">
        <v>155</v>
      </c>
      <c r="T4945">
        <v>108</v>
      </c>
      <c r="U4945">
        <v>45</v>
      </c>
      <c r="V4945" t="s">
        <v>6953</v>
      </c>
      <c r="W4945">
        <v>68626</v>
      </c>
      <c r="X4945" t="s">
        <v>7257</v>
      </c>
      <c r="Y4945">
        <v>53024</v>
      </c>
      <c r="Z4945">
        <v>3088170</v>
      </c>
      <c r="AA4945">
        <v>702090</v>
      </c>
      <c r="AB4945" t="str">
        <f>(VLOOKUP(SalesData[[#This Row],[Month Number]],Reference!C$5:E$16,2,FALSE))</f>
        <v>Feb</v>
      </c>
      <c r="AC4945">
        <f>MONTH(SalesData[[#This Row],[Date]])</f>
        <v>2</v>
      </c>
      <c r="AD4945">
        <f>Reference!F$4</f>
        <v>2026</v>
      </c>
      <c r="AE4945" t="str">
        <f>IF(OR(SalesData[[#This Row],[Day]]="Saturday",SalesData[[#This Row],[Day]]="Sunday"),"Weekend","Weekday")</f>
        <v>Weekday</v>
      </c>
      <c r="AF4945" s="5">
        <f>IF(SalesData[[#This Row],[Contracts Offered]]=0,0,SalesData[[#This Row],[Contracts Signed]]/SalesData[[#This Row],[Contracts Offered]])</f>
        <v>0.41666666666666669</v>
      </c>
      <c r="AG4945" s="5">
        <f>IF(SalesData[[#This Row],[Customers Visited]]=0,0,SalesData[[#This Row],[Test Drives]]/SalesData[[#This Row],[Customers Visited]])</f>
        <v>0.59615384615384615</v>
      </c>
      <c r="AH4945" s="5">
        <f>IF(SalesData[[#This Row],[Customers Visited]]=0,0,SalesData[[#This Row],[Contracts Signed]]/SalesData[[#This Row],[Customers Visited]])</f>
        <v>0.17307692307692307</v>
      </c>
      <c r="AI4945" s="6">
        <f>IF(SalesData[[#This Row],[Contracts Signed]]=0,0,SalesData[[#This Row],[Profit(€)]]/SalesData[[#This Row],[Contracts Signed]])</f>
        <v>15602</v>
      </c>
      <c r="AJ4945" s="5" t="str">
        <f>TRIM(CLEAN(SalesData[[#This Row],[Retailer]]))</f>
        <v>Ruhr Auto Plaza</v>
      </c>
    </row>
    <row r="4946" spans="1:36" ht="14.25" x14ac:dyDescent="0.2">
      <c r="A4946" t="s">
        <v>6228</v>
      </c>
      <c r="B4946" s="1">
        <v>46059</v>
      </c>
      <c r="C4946" t="s">
        <v>24</v>
      </c>
      <c r="D4946" t="s">
        <v>54</v>
      </c>
      <c r="E4946" t="s">
        <v>26</v>
      </c>
      <c r="F4946" t="s">
        <v>43</v>
      </c>
      <c r="G4946" t="s">
        <v>44</v>
      </c>
      <c r="H4946" t="s">
        <v>45</v>
      </c>
      <c r="I4946" t="s">
        <v>30</v>
      </c>
      <c r="J4946" t="s">
        <v>188</v>
      </c>
      <c r="K4946" t="s">
        <v>78</v>
      </c>
      <c r="L4946" t="s">
        <v>33</v>
      </c>
      <c r="M4946" t="s">
        <v>34</v>
      </c>
      <c r="N4946" t="s">
        <v>69</v>
      </c>
      <c r="O4946" t="s">
        <v>70</v>
      </c>
      <c r="P4946" t="s">
        <v>71</v>
      </c>
      <c r="Q4946" t="s">
        <v>189</v>
      </c>
      <c r="R4946">
        <v>143</v>
      </c>
      <c r="S4946">
        <v>79</v>
      </c>
      <c r="T4946">
        <v>64</v>
      </c>
      <c r="U4946">
        <v>21</v>
      </c>
      <c r="V4946" t="s">
        <v>6770</v>
      </c>
      <c r="W4946">
        <v>67411</v>
      </c>
      <c r="X4946" t="s">
        <v>7337</v>
      </c>
      <c r="Y4946">
        <v>52169</v>
      </c>
      <c r="Z4946">
        <v>1415631</v>
      </c>
      <c r="AA4946">
        <v>320082</v>
      </c>
      <c r="AB4946" t="str">
        <f>(VLOOKUP(SalesData[[#This Row],[Month Number]],Reference!C$5:E$16,2,FALSE))</f>
        <v>Feb</v>
      </c>
      <c r="AC4946">
        <f>MONTH(SalesData[[#This Row],[Date]])</f>
        <v>2</v>
      </c>
      <c r="AD4946">
        <f>Reference!F$4</f>
        <v>2026</v>
      </c>
      <c r="AE4946" t="str">
        <f>IF(OR(SalesData[[#This Row],[Day]]="Saturday",SalesData[[#This Row],[Day]]="Sunday"),"Weekend","Weekday")</f>
        <v>Weekday</v>
      </c>
      <c r="AF4946" s="5">
        <f>IF(SalesData[[#This Row],[Contracts Offered]]=0,0,SalesData[[#This Row],[Contracts Signed]]/SalesData[[#This Row],[Contracts Offered]])</f>
        <v>0.328125</v>
      </c>
      <c r="AG4946" s="5">
        <f>IF(SalesData[[#This Row],[Customers Visited]]=0,0,SalesData[[#This Row],[Test Drives]]/SalesData[[#This Row],[Customers Visited]])</f>
        <v>0.55244755244755239</v>
      </c>
      <c r="AH4946" s="5">
        <f>IF(SalesData[[#This Row],[Customers Visited]]=0,0,SalesData[[#This Row],[Contracts Signed]]/SalesData[[#This Row],[Customers Visited]])</f>
        <v>0.14685314685314685</v>
      </c>
      <c r="AI4946" s="6">
        <f>IF(SalesData[[#This Row],[Contracts Signed]]=0,0,SalesData[[#This Row],[Profit(€)]]/SalesData[[#This Row],[Contracts Signed]])</f>
        <v>15242</v>
      </c>
      <c r="AJ4946" s="5" t="str">
        <f>TRIM(CLEAN(SalesData[[#This Row],[Retailer]]))</f>
        <v>Saxon Wheels</v>
      </c>
    </row>
    <row r="4947" spans="1:36" ht="14.25" hidden="1" x14ac:dyDescent="0.2">
      <c r="A4947" t="s">
        <v>6229</v>
      </c>
      <c r="B4947" s="1">
        <v>46074</v>
      </c>
      <c r="C4947" t="s">
        <v>62</v>
      </c>
      <c r="D4947" t="s">
        <v>151</v>
      </c>
      <c r="E4947" t="s">
        <v>42</v>
      </c>
      <c r="F4947" t="s">
        <v>83</v>
      </c>
      <c r="G4947" t="s">
        <v>84</v>
      </c>
      <c r="H4947" t="s">
        <v>85</v>
      </c>
      <c r="I4947" t="s">
        <v>104</v>
      </c>
      <c r="J4947" t="s">
        <v>7061</v>
      </c>
      <c r="K4947" t="s">
        <v>78</v>
      </c>
      <c r="L4947" t="s">
        <v>46</v>
      </c>
      <c r="M4947" t="s">
        <v>68</v>
      </c>
      <c r="N4947" t="s">
        <v>69</v>
      </c>
      <c r="O4947" t="s">
        <v>70</v>
      </c>
      <c r="P4947" t="s">
        <v>49</v>
      </c>
      <c r="Q4947" t="s">
        <v>240</v>
      </c>
      <c r="R4947">
        <v>322</v>
      </c>
      <c r="S4947">
        <v>150</v>
      </c>
      <c r="T4947">
        <v>89</v>
      </c>
      <c r="U4947">
        <v>20</v>
      </c>
      <c r="V4947" t="s">
        <v>1366</v>
      </c>
      <c r="W4947">
        <v>31300</v>
      </c>
      <c r="X4947" t="s">
        <v>7614</v>
      </c>
      <c r="Y4947">
        <v>28006</v>
      </c>
      <c r="Z4947">
        <v>626000</v>
      </c>
      <c r="AA4947">
        <v>65880</v>
      </c>
      <c r="AB4947" t="str">
        <f>(VLOOKUP(SalesData[[#This Row],[Month Number]],Reference!C$5:E$16,2,FALSE))</f>
        <v>Feb</v>
      </c>
      <c r="AC4947">
        <f>MONTH(SalesData[[#This Row],[Date]])</f>
        <v>2</v>
      </c>
      <c r="AD4947">
        <f>Reference!F$4</f>
        <v>2026</v>
      </c>
      <c r="AE4947" t="str">
        <f>IF(OR(SalesData[[#This Row],[Day]]="Saturday",SalesData[[#This Row],[Day]]="Sunday"),"Weekend","Weekday")</f>
        <v>Weekend</v>
      </c>
      <c r="AF4947" s="5">
        <f>IF(SalesData[[#This Row],[Contracts Offered]]=0,0,SalesData[[#This Row],[Contracts Signed]]/SalesData[[#This Row],[Contracts Offered]])</f>
        <v>0.2247191011235955</v>
      </c>
      <c r="AG4947" s="5">
        <f>IF(SalesData[[#This Row],[Customers Visited]]=0,0,SalesData[[#This Row],[Test Drives]]/SalesData[[#This Row],[Customers Visited]])</f>
        <v>0.46583850931677018</v>
      </c>
      <c r="AH4947" s="5">
        <f>IF(SalesData[[#This Row],[Customers Visited]]=0,0,SalesData[[#This Row],[Contracts Signed]]/SalesData[[#This Row],[Customers Visited]])</f>
        <v>6.2111801242236024E-2</v>
      </c>
      <c r="AI4947" s="6">
        <f>IF(SalesData[[#This Row],[Contracts Signed]]=0,0,SalesData[[#This Row],[Profit(€)]]/SalesData[[#This Row],[Contracts Signed]])</f>
        <v>3294</v>
      </c>
      <c r="AJ4947" s="5" t="str">
        <f>TRIM(CLEAN(SalesData[[#This Row],[Retailer]]))</f>
        <v>Hannover Cars</v>
      </c>
    </row>
    <row r="4948" spans="1:36" ht="14.25" hidden="1" x14ac:dyDescent="0.2">
      <c r="A4948" t="s">
        <v>6230</v>
      </c>
      <c r="B4948" s="1">
        <v>46077</v>
      </c>
      <c r="C4948" t="s">
        <v>53</v>
      </c>
      <c r="D4948" t="s">
        <v>63</v>
      </c>
      <c r="E4948" t="s">
        <v>26</v>
      </c>
      <c r="F4948" t="s">
        <v>94</v>
      </c>
      <c r="G4948" t="s">
        <v>95</v>
      </c>
      <c r="H4948" t="s">
        <v>96</v>
      </c>
      <c r="I4948" t="s">
        <v>116</v>
      </c>
      <c r="J4948" t="s">
        <v>117</v>
      </c>
      <c r="K4948" t="s">
        <v>32</v>
      </c>
      <c r="L4948" t="s">
        <v>67</v>
      </c>
      <c r="M4948" t="s">
        <v>47</v>
      </c>
      <c r="N4948" t="s">
        <v>69</v>
      </c>
      <c r="O4948" t="s">
        <v>36</v>
      </c>
      <c r="P4948" t="s">
        <v>71</v>
      </c>
      <c r="Q4948" t="s">
        <v>240</v>
      </c>
      <c r="R4948">
        <v>301</v>
      </c>
      <c r="S4948">
        <v>154</v>
      </c>
      <c r="T4948">
        <v>90</v>
      </c>
      <c r="U4948">
        <v>30</v>
      </c>
      <c r="V4948" t="s">
        <v>2484</v>
      </c>
      <c r="W4948">
        <v>25396</v>
      </c>
      <c r="X4948" t="s">
        <v>1500</v>
      </c>
      <c r="Y4948">
        <v>23538</v>
      </c>
      <c r="Z4948">
        <v>761880</v>
      </c>
      <c r="AA4948">
        <v>55740</v>
      </c>
      <c r="AB4948" t="str">
        <f>(VLOOKUP(SalesData[[#This Row],[Month Number]],Reference!C$5:E$16,2,FALSE))</f>
        <v>Feb</v>
      </c>
      <c r="AC4948">
        <f>MONTH(SalesData[[#This Row],[Date]])</f>
        <v>2</v>
      </c>
      <c r="AD4948">
        <f>Reference!F$4</f>
        <v>2026</v>
      </c>
      <c r="AE4948" t="str">
        <f>IF(OR(SalesData[[#This Row],[Day]]="Saturday",SalesData[[#This Row],[Day]]="Sunday"),"Weekend","Weekday")</f>
        <v>Weekday</v>
      </c>
      <c r="AF4948" s="5">
        <f>IF(SalesData[[#This Row],[Contracts Offered]]=0,0,SalesData[[#This Row],[Contracts Signed]]/SalesData[[#This Row],[Contracts Offered]])</f>
        <v>0.33333333333333331</v>
      </c>
      <c r="AG4948" s="5">
        <f>IF(SalesData[[#This Row],[Customers Visited]]=0,0,SalesData[[#This Row],[Test Drives]]/SalesData[[#This Row],[Customers Visited]])</f>
        <v>0.51162790697674421</v>
      </c>
      <c r="AH4948" s="5">
        <f>IF(SalesData[[#This Row],[Customers Visited]]=0,0,SalesData[[#This Row],[Contracts Signed]]/SalesData[[#This Row],[Customers Visited]])</f>
        <v>9.9667774086378738E-2</v>
      </c>
      <c r="AI4948" s="6">
        <f>IF(SalesData[[#This Row],[Contracts Signed]]=0,0,SalesData[[#This Row],[Profit(€)]]/SalesData[[#This Row],[Contracts Signed]])</f>
        <v>1858</v>
      </c>
      <c r="AJ4948" s="5" t="str">
        <f>TRIM(CLEAN(SalesData[[#This Row],[Retailer]]))</f>
        <v>Bavaria Motors</v>
      </c>
    </row>
    <row r="4949" spans="1:36" ht="14.25" hidden="1" x14ac:dyDescent="0.2">
      <c r="A4949" t="s">
        <v>6231</v>
      </c>
      <c r="B4949" s="1">
        <v>46056</v>
      </c>
      <c r="C4949" t="s">
        <v>24</v>
      </c>
      <c r="D4949" t="s">
        <v>63</v>
      </c>
      <c r="E4949" t="s">
        <v>26</v>
      </c>
      <c r="F4949" t="s">
        <v>127</v>
      </c>
      <c r="G4949" t="s">
        <v>128</v>
      </c>
      <c r="H4949" t="s">
        <v>103</v>
      </c>
      <c r="I4949" t="s">
        <v>116</v>
      </c>
      <c r="J4949" t="s">
        <v>117</v>
      </c>
      <c r="K4949" t="s">
        <v>78</v>
      </c>
      <c r="L4949" t="s">
        <v>67</v>
      </c>
      <c r="M4949" t="s">
        <v>34</v>
      </c>
      <c r="N4949" t="s">
        <v>69</v>
      </c>
      <c r="O4949" t="s">
        <v>36</v>
      </c>
      <c r="P4949" t="s">
        <v>37</v>
      </c>
      <c r="Q4949" t="s">
        <v>50</v>
      </c>
      <c r="R4949">
        <v>254</v>
      </c>
      <c r="S4949">
        <v>119</v>
      </c>
      <c r="T4949">
        <v>75</v>
      </c>
      <c r="U4949">
        <v>20</v>
      </c>
      <c r="V4949" t="s">
        <v>632</v>
      </c>
      <c r="W4949">
        <v>20778</v>
      </c>
      <c r="X4949" t="s">
        <v>680</v>
      </c>
      <c r="Y4949">
        <v>18944</v>
      </c>
      <c r="Z4949">
        <v>415560</v>
      </c>
      <c r="AA4949">
        <v>36680</v>
      </c>
      <c r="AB4949" t="str">
        <f>(VLOOKUP(SalesData[[#This Row],[Month Number]],Reference!C$5:E$16,2,FALSE))</f>
        <v>Feb</v>
      </c>
      <c r="AC4949">
        <f>MONTH(SalesData[[#This Row],[Date]])</f>
        <v>2</v>
      </c>
      <c r="AD4949">
        <f>Reference!F$4</f>
        <v>2026</v>
      </c>
      <c r="AE4949" t="str">
        <f>IF(OR(SalesData[[#This Row],[Day]]="Saturday",SalesData[[#This Row],[Day]]="Sunday"),"Weekend","Weekday")</f>
        <v>Weekday</v>
      </c>
      <c r="AF4949" s="5">
        <f>IF(SalesData[[#This Row],[Contracts Offered]]=0,0,SalesData[[#This Row],[Contracts Signed]]/SalesData[[#This Row],[Contracts Offered]])</f>
        <v>0.26666666666666666</v>
      </c>
      <c r="AG4949" s="5">
        <f>IF(SalesData[[#This Row],[Customers Visited]]=0,0,SalesData[[#This Row],[Test Drives]]/SalesData[[#This Row],[Customers Visited]])</f>
        <v>0.46850393700787402</v>
      </c>
      <c r="AH4949" s="5">
        <f>IF(SalesData[[#This Row],[Customers Visited]]=0,0,SalesData[[#This Row],[Contracts Signed]]/SalesData[[#This Row],[Customers Visited]])</f>
        <v>7.874015748031496E-2</v>
      </c>
      <c r="AI4949" s="6">
        <f>IF(SalesData[[#This Row],[Contracts Signed]]=0,0,SalesData[[#This Row],[Profit(€)]]/SalesData[[#This Row],[Contracts Signed]])</f>
        <v>1834</v>
      </c>
      <c r="AJ4949" s="5" t="str">
        <f>TRIM(CLEAN(SalesData[[#This Row],[Retailer]]))</f>
        <v>Rhein Auto Group</v>
      </c>
    </row>
    <row r="4950" spans="1:36" ht="14.25" hidden="1" x14ac:dyDescent="0.2">
      <c r="A4950" t="s">
        <v>6232</v>
      </c>
      <c r="B4950" s="1">
        <v>46059</v>
      </c>
      <c r="C4950" t="s">
        <v>24</v>
      </c>
      <c r="D4950" t="s">
        <v>54</v>
      </c>
      <c r="E4950" t="s">
        <v>26</v>
      </c>
      <c r="F4950" t="s">
        <v>127</v>
      </c>
      <c r="G4950" t="s">
        <v>128</v>
      </c>
      <c r="H4950" t="s">
        <v>103</v>
      </c>
      <c r="I4950" t="s">
        <v>104</v>
      </c>
      <c r="J4950" t="s">
        <v>143</v>
      </c>
      <c r="K4950" t="s">
        <v>78</v>
      </c>
      <c r="L4950" t="s">
        <v>67</v>
      </c>
      <c r="M4950" t="s">
        <v>87</v>
      </c>
      <c r="N4950" t="s">
        <v>35</v>
      </c>
      <c r="O4950" t="s">
        <v>36</v>
      </c>
      <c r="P4950" t="s">
        <v>37</v>
      </c>
      <c r="Q4950" t="s">
        <v>204</v>
      </c>
      <c r="R4950">
        <v>386</v>
      </c>
      <c r="S4950">
        <v>192</v>
      </c>
      <c r="T4950">
        <v>129</v>
      </c>
      <c r="U4950">
        <v>27</v>
      </c>
      <c r="V4950" t="s">
        <v>182</v>
      </c>
      <c r="W4950">
        <v>29159</v>
      </c>
      <c r="X4950" t="s">
        <v>7575</v>
      </c>
      <c r="Y4950">
        <v>25387</v>
      </c>
      <c r="Z4950">
        <v>787293</v>
      </c>
      <c r="AA4950">
        <v>101844</v>
      </c>
      <c r="AB4950" t="str">
        <f>(VLOOKUP(SalesData[[#This Row],[Month Number]],Reference!C$5:E$16,2,FALSE))</f>
        <v>Feb</v>
      </c>
      <c r="AC4950">
        <f>MONTH(SalesData[[#This Row],[Date]])</f>
        <v>2</v>
      </c>
      <c r="AD4950">
        <f>Reference!F$4</f>
        <v>2026</v>
      </c>
      <c r="AE4950" t="str">
        <f>IF(OR(SalesData[[#This Row],[Day]]="Saturday",SalesData[[#This Row],[Day]]="Sunday"),"Weekend","Weekday")</f>
        <v>Weekday</v>
      </c>
      <c r="AF4950" s="5">
        <f>IF(SalesData[[#This Row],[Contracts Offered]]=0,0,SalesData[[#This Row],[Contracts Signed]]/SalesData[[#This Row],[Contracts Offered]])</f>
        <v>0.20930232558139536</v>
      </c>
      <c r="AG4950" s="5">
        <f>IF(SalesData[[#This Row],[Customers Visited]]=0,0,SalesData[[#This Row],[Test Drives]]/SalesData[[#This Row],[Customers Visited]])</f>
        <v>0.49740932642487046</v>
      </c>
      <c r="AH4950" s="5">
        <f>IF(SalesData[[#This Row],[Customers Visited]]=0,0,SalesData[[#This Row],[Contracts Signed]]/SalesData[[#This Row],[Customers Visited]])</f>
        <v>6.9948186528497408E-2</v>
      </c>
      <c r="AI4950" s="6">
        <f>IF(SalesData[[#This Row],[Contracts Signed]]=0,0,SalesData[[#This Row],[Profit(€)]]/SalesData[[#This Row],[Contracts Signed]])</f>
        <v>3772</v>
      </c>
      <c r="AJ4950" s="5" t="str">
        <f>TRIM(CLEAN(SalesData[[#This Row],[Retailer]]))</f>
        <v>Rhein Auto Group</v>
      </c>
    </row>
    <row r="4951" spans="1:36" ht="14.25" hidden="1" x14ac:dyDescent="0.2">
      <c r="A4951" t="s">
        <v>6233</v>
      </c>
      <c r="B4951" s="1">
        <v>46058</v>
      </c>
      <c r="C4951" t="s">
        <v>24</v>
      </c>
      <c r="D4951" t="s">
        <v>100</v>
      </c>
      <c r="E4951" t="s">
        <v>26</v>
      </c>
      <c r="F4951" t="s">
        <v>83</v>
      </c>
      <c r="G4951" t="s">
        <v>84</v>
      </c>
      <c r="H4951" t="s">
        <v>85</v>
      </c>
      <c r="I4951" t="s">
        <v>56</v>
      </c>
      <c r="J4951" t="s">
        <v>57</v>
      </c>
      <c r="K4951" t="s">
        <v>91</v>
      </c>
      <c r="L4951" t="s">
        <v>46</v>
      </c>
      <c r="M4951" t="s">
        <v>34</v>
      </c>
      <c r="N4951" t="s">
        <v>48</v>
      </c>
      <c r="O4951" t="s">
        <v>70</v>
      </c>
      <c r="P4951" t="s">
        <v>49</v>
      </c>
      <c r="Q4951" t="s">
        <v>135</v>
      </c>
      <c r="R4951">
        <v>178</v>
      </c>
      <c r="S4951">
        <v>82</v>
      </c>
      <c r="T4951">
        <v>56</v>
      </c>
      <c r="U4951">
        <v>17</v>
      </c>
      <c r="V4951" t="s">
        <v>7498</v>
      </c>
      <c r="W4951">
        <v>42992</v>
      </c>
      <c r="X4951" t="s">
        <v>307</v>
      </c>
      <c r="Y4951">
        <v>34169</v>
      </c>
      <c r="Z4951">
        <v>730864</v>
      </c>
      <c r="AA4951">
        <v>149991</v>
      </c>
      <c r="AB4951" t="str">
        <f>(VLOOKUP(SalesData[[#This Row],[Month Number]],Reference!C$5:E$16,2,FALSE))</f>
        <v>Feb</v>
      </c>
      <c r="AC4951">
        <f>MONTH(SalesData[[#This Row],[Date]])</f>
        <v>2</v>
      </c>
      <c r="AD4951">
        <f>Reference!F$4</f>
        <v>2026</v>
      </c>
      <c r="AE4951" t="str">
        <f>IF(OR(SalesData[[#This Row],[Day]]="Saturday",SalesData[[#This Row],[Day]]="Sunday"),"Weekend","Weekday")</f>
        <v>Weekday</v>
      </c>
      <c r="AF4951" s="5">
        <f>IF(SalesData[[#This Row],[Contracts Offered]]=0,0,SalesData[[#This Row],[Contracts Signed]]/SalesData[[#This Row],[Contracts Offered]])</f>
        <v>0.30357142857142855</v>
      </c>
      <c r="AG4951" s="5">
        <f>IF(SalesData[[#This Row],[Customers Visited]]=0,0,SalesData[[#This Row],[Test Drives]]/SalesData[[#This Row],[Customers Visited]])</f>
        <v>0.4606741573033708</v>
      </c>
      <c r="AH4951" s="5">
        <f>IF(SalesData[[#This Row],[Customers Visited]]=0,0,SalesData[[#This Row],[Contracts Signed]]/SalesData[[#This Row],[Customers Visited]])</f>
        <v>9.5505617977528087E-2</v>
      </c>
      <c r="AI4951" s="6">
        <f>IF(SalesData[[#This Row],[Contracts Signed]]=0,0,SalesData[[#This Row],[Profit(€)]]/SalesData[[#This Row],[Contracts Signed]])</f>
        <v>8823</v>
      </c>
      <c r="AJ4951" s="5" t="str">
        <f>TRIM(CLEAN(SalesData[[#This Row],[Retailer]]))</f>
        <v>Hannover Cars</v>
      </c>
    </row>
    <row r="4952" spans="1:36" ht="14.25" hidden="1" x14ac:dyDescent="0.2">
      <c r="A4952" t="s">
        <v>6234</v>
      </c>
      <c r="B4952" s="1">
        <v>46064</v>
      </c>
      <c r="C4952" t="s">
        <v>121</v>
      </c>
      <c r="D4952" t="s">
        <v>82</v>
      </c>
      <c r="E4952" t="s">
        <v>26</v>
      </c>
      <c r="F4952" t="s">
        <v>7649</v>
      </c>
      <c r="G4952" t="s">
        <v>55</v>
      </c>
      <c r="H4952" t="s">
        <v>55</v>
      </c>
      <c r="I4952" t="s">
        <v>64</v>
      </c>
      <c r="J4952" t="s">
        <v>77</v>
      </c>
      <c r="K4952" t="s">
        <v>91</v>
      </c>
      <c r="L4952" t="s">
        <v>46</v>
      </c>
      <c r="M4952" t="s">
        <v>34</v>
      </c>
      <c r="N4952" t="s">
        <v>35</v>
      </c>
      <c r="O4952" t="s">
        <v>70</v>
      </c>
      <c r="P4952" t="s">
        <v>37</v>
      </c>
      <c r="Q4952" t="s">
        <v>118</v>
      </c>
      <c r="R4952">
        <v>186</v>
      </c>
      <c r="S4952">
        <v>99</v>
      </c>
      <c r="T4952">
        <v>76</v>
      </c>
      <c r="U4952">
        <v>23</v>
      </c>
      <c r="V4952" t="s">
        <v>6733</v>
      </c>
      <c r="W4952">
        <v>66426</v>
      </c>
      <c r="X4952" t="s">
        <v>7212</v>
      </c>
      <c r="Y4952">
        <v>50526</v>
      </c>
      <c r="Z4952">
        <v>1527798</v>
      </c>
      <c r="AA4952">
        <v>365700</v>
      </c>
      <c r="AB4952" t="str">
        <f>(VLOOKUP(SalesData[[#This Row],[Month Number]],Reference!C$5:E$16,2,FALSE))</f>
        <v>Feb</v>
      </c>
      <c r="AC4952">
        <f>MONTH(SalesData[[#This Row],[Date]])</f>
        <v>2</v>
      </c>
      <c r="AD4952">
        <f>Reference!F$4</f>
        <v>2026</v>
      </c>
      <c r="AE4952" t="str">
        <f>IF(OR(SalesData[[#This Row],[Day]]="Saturday",SalesData[[#This Row],[Day]]="Sunday"),"Weekend","Weekday")</f>
        <v>Weekday</v>
      </c>
      <c r="AF4952" s="5">
        <f>IF(SalesData[[#This Row],[Contracts Offered]]=0,0,SalesData[[#This Row],[Contracts Signed]]/SalesData[[#This Row],[Contracts Offered]])</f>
        <v>0.30263157894736842</v>
      </c>
      <c r="AG4952" s="5">
        <f>IF(SalesData[[#This Row],[Customers Visited]]=0,0,SalesData[[#This Row],[Test Drives]]/SalesData[[#This Row],[Customers Visited]])</f>
        <v>0.532258064516129</v>
      </c>
      <c r="AH4952" s="5">
        <f>IF(SalesData[[#This Row],[Customers Visited]]=0,0,SalesData[[#This Row],[Contracts Signed]]/SalesData[[#This Row],[Customers Visited]])</f>
        <v>0.12365591397849462</v>
      </c>
      <c r="AI4952" s="6">
        <f>IF(SalesData[[#This Row],[Contracts Signed]]=0,0,SalesData[[#This Row],[Profit(€)]]/SalesData[[#This Row],[Contracts Signed]])</f>
        <v>15900</v>
      </c>
      <c r="AJ4952" s="5" t="str">
        <f>TRIM(CLEAN(SalesData[[#This Row],[Retailer]]))</f>
        <v>Autohaus Berlin</v>
      </c>
    </row>
    <row r="4953" spans="1:36" ht="14.25" x14ac:dyDescent="0.2">
      <c r="A4953" t="s">
        <v>6235</v>
      </c>
      <c r="B4953" s="1">
        <v>46062</v>
      </c>
      <c r="C4953" t="s">
        <v>121</v>
      </c>
      <c r="D4953" t="s">
        <v>25</v>
      </c>
      <c r="E4953" t="s">
        <v>26</v>
      </c>
      <c r="F4953" t="s">
        <v>127</v>
      </c>
      <c r="G4953" t="s">
        <v>128</v>
      </c>
      <c r="H4953" t="s">
        <v>103</v>
      </c>
      <c r="I4953" t="s">
        <v>30</v>
      </c>
      <c r="J4953" t="s">
        <v>31</v>
      </c>
      <c r="K4953" t="s">
        <v>66</v>
      </c>
      <c r="L4953" t="s">
        <v>46</v>
      </c>
      <c r="M4953" t="s">
        <v>87</v>
      </c>
      <c r="N4953" t="s">
        <v>48</v>
      </c>
      <c r="O4953" t="s">
        <v>36</v>
      </c>
      <c r="P4953" t="s">
        <v>49</v>
      </c>
      <c r="Q4953" t="s">
        <v>172</v>
      </c>
      <c r="R4953">
        <v>201</v>
      </c>
      <c r="S4953">
        <v>92</v>
      </c>
      <c r="T4953">
        <v>73</v>
      </c>
      <c r="U4953">
        <v>23</v>
      </c>
      <c r="V4953" t="s">
        <v>6403</v>
      </c>
      <c r="W4953">
        <v>57783</v>
      </c>
      <c r="X4953" t="s">
        <v>7117</v>
      </c>
      <c r="Y4953">
        <v>43445</v>
      </c>
      <c r="Z4953">
        <v>1329009</v>
      </c>
      <c r="AA4953">
        <v>329774</v>
      </c>
      <c r="AB4953" t="str">
        <f>(VLOOKUP(SalesData[[#This Row],[Month Number]],Reference!C$5:E$16,2,FALSE))</f>
        <v>Feb</v>
      </c>
      <c r="AC4953">
        <f>MONTH(SalesData[[#This Row],[Date]])</f>
        <v>2</v>
      </c>
      <c r="AD4953">
        <f>Reference!F$4</f>
        <v>2026</v>
      </c>
      <c r="AE4953" t="str">
        <f>IF(OR(SalesData[[#This Row],[Day]]="Saturday",SalesData[[#This Row],[Day]]="Sunday"),"Weekend","Weekday")</f>
        <v>Weekday</v>
      </c>
      <c r="AF4953" s="5">
        <f>IF(SalesData[[#This Row],[Contracts Offered]]=0,0,SalesData[[#This Row],[Contracts Signed]]/SalesData[[#This Row],[Contracts Offered]])</f>
        <v>0.31506849315068491</v>
      </c>
      <c r="AG4953" s="5">
        <f>IF(SalesData[[#This Row],[Customers Visited]]=0,0,SalesData[[#This Row],[Test Drives]]/SalesData[[#This Row],[Customers Visited]])</f>
        <v>0.45771144278606968</v>
      </c>
      <c r="AH4953" s="5">
        <f>IF(SalesData[[#This Row],[Customers Visited]]=0,0,SalesData[[#This Row],[Contracts Signed]]/SalesData[[#This Row],[Customers Visited]])</f>
        <v>0.11442786069651742</v>
      </c>
      <c r="AI4953" s="6">
        <f>IF(SalesData[[#This Row],[Contracts Signed]]=0,0,SalesData[[#This Row],[Profit(€)]]/SalesData[[#This Row],[Contracts Signed]])</f>
        <v>14338</v>
      </c>
      <c r="AJ4953" s="5" t="str">
        <f>TRIM(CLEAN(SalesData[[#This Row],[Retailer]]))</f>
        <v>Rhein Auto Group</v>
      </c>
    </row>
    <row r="4954" spans="1:36" ht="14.25" x14ac:dyDescent="0.2">
      <c r="A4954" t="s">
        <v>6236</v>
      </c>
      <c r="B4954" s="1">
        <v>46057</v>
      </c>
      <c r="C4954" t="s">
        <v>24</v>
      </c>
      <c r="D4954" t="s">
        <v>82</v>
      </c>
      <c r="E4954" t="s">
        <v>26</v>
      </c>
      <c r="F4954" t="s">
        <v>114</v>
      </c>
      <c r="G4954" t="s">
        <v>115</v>
      </c>
      <c r="H4954" t="s">
        <v>115</v>
      </c>
      <c r="I4954" t="s">
        <v>30</v>
      </c>
      <c r="J4954" t="s">
        <v>166</v>
      </c>
      <c r="K4954" t="s">
        <v>91</v>
      </c>
      <c r="L4954" t="s">
        <v>46</v>
      </c>
      <c r="M4954" t="s">
        <v>87</v>
      </c>
      <c r="N4954" t="s">
        <v>35</v>
      </c>
      <c r="O4954" t="s">
        <v>36</v>
      </c>
      <c r="P4954" t="s">
        <v>49</v>
      </c>
      <c r="Q4954" t="s">
        <v>158</v>
      </c>
      <c r="R4954">
        <v>183</v>
      </c>
      <c r="S4954">
        <v>88</v>
      </c>
      <c r="T4954">
        <v>67</v>
      </c>
      <c r="U4954">
        <v>24</v>
      </c>
      <c r="V4954" t="s">
        <v>6483</v>
      </c>
      <c r="W4954">
        <v>66147</v>
      </c>
      <c r="X4954" t="s">
        <v>3642</v>
      </c>
      <c r="Y4954">
        <v>47887</v>
      </c>
      <c r="Z4954">
        <v>1587528</v>
      </c>
      <c r="AA4954">
        <v>438240</v>
      </c>
      <c r="AB4954" t="str">
        <f>(VLOOKUP(SalesData[[#This Row],[Month Number]],Reference!C$5:E$16,2,FALSE))</f>
        <v>Feb</v>
      </c>
      <c r="AC4954">
        <f>MONTH(SalesData[[#This Row],[Date]])</f>
        <v>2</v>
      </c>
      <c r="AD4954">
        <f>Reference!F$4</f>
        <v>2026</v>
      </c>
      <c r="AE4954" t="str">
        <f>IF(OR(SalesData[[#This Row],[Day]]="Saturday",SalesData[[#This Row],[Day]]="Sunday"),"Weekend","Weekday")</f>
        <v>Weekday</v>
      </c>
      <c r="AF4954" s="5">
        <f>IF(SalesData[[#This Row],[Contracts Offered]]=0,0,SalesData[[#This Row],[Contracts Signed]]/SalesData[[#This Row],[Contracts Offered]])</f>
        <v>0.35820895522388058</v>
      </c>
      <c r="AG4954" s="5">
        <f>IF(SalesData[[#This Row],[Customers Visited]]=0,0,SalesData[[#This Row],[Test Drives]]/SalesData[[#This Row],[Customers Visited]])</f>
        <v>0.48087431693989069</v>
      </c>
      <c r="AH4954" s="5">
        <f>IF(SalesData[[#This Row],[Customers Visited]]=0,0,SalesData[[#This Row],[Contracts Signed]]/SalesData[[#This Row],[Customers Visited]])</f>
        <v>0.13114754098360656</v>
      </c>
      <c r="AI4954" s="6">
        <f>IF(SalesData[[#This Row],[Contracts Signed]]=0,0,SalesData[[#This Row],[Profit(€)]]/SalesData[[#This Row],[Contracts Signed]])</f>
        <v>18260</v>
      </c>
      <c r="AJ4954" s="5" t="str">
        <f>TRIM(CLEAN(SalesData[[#This Row],[Retailer]]))</f>
        <v>Elbe Drive</v>
      </c>
    </row>
    <row r="4955" spans="1:36" ht="14.25" x14ac:dyDescent="0.2">
      <c r="A4955" t="s">
        <v>6237</v>
      </c>
      <c r="B4955" s="1">
        <v>46062</v>
      </c>
      <c r="C4955" t="s">
        <v>121</v>
      </c>
      <c r="D4955" t="s">
        <v>25</v>
      </c>
      <c r="E4955" t="s">
        <v>26</v>
      </c>
      <c r="F4955" t="s">
        <v>127</v>
      </c>
      <c r="G4955" t="s">
        <v>128</v>
      </c>
      <c r="H4955" t="s">
        <v>103</v>
      </c>
      <c r="I4955" t="s">
        <v>30</v>
      </c>
      <c r="J4955" t="s">
        <v>31</v>
      </c>
      <c r="K4955" t="s">
        <v>78</v>
      </c>
      <c r="L4955" t="s">
        <v>46</v>
      </c>
      <c r="M4955" t="s">
        <v>34</v>
      </c>
      <c r="N4955" t="s">
        <v>69</v>
      </c>
      <c r="O4955" t="s">
        <v>70</v>
      </c>
      <c r="P4955" t="s">
        <v>37</v>
      </c>
      <c r="Q4955" t="s">
        <v>118</v>
      </c>
      <c r="R4955">
        <v>163</v>
      </c>
      <c r="S4955">
        <v>86</v>
      </c>
      <c r="T4955">
        <v>59</v>
      </c>
      <c r="U4955">
        <v>24</v>
      </c>
      <c r="V4955" t="s">
        <v>6513</v>
      </c>
      <c r="W4955">
        <v>53979</v>
      </c>
      <c r="X4955" t="s">
        <v>7216</v>
      </c>
      <c r="Y4955">
        <v>41976</v>
      </c>
      <c r="Z4955">
        <v>1295496</v>
      </c>
      <c r="AA4955">
        <v>288072</v>
      </c>
      <c r="AB4955" t="str">
        <f>(VLOOKUP(SalesData[[#This Row],[Month Number]],Reference!C$5:E$16,2,FALSE))</f>
        <v>Feb</v>
      </c>
      <c r="AC4955">
        <f>MONTH(SalesData[[#This Row],[Date]])</f>
        <v>2</v>
      </c>
      <c r="AD4955">
        <f>Reference!F$4</f>
        <v>2026</v>
      </c>
      <c r="AE4955" t="str">
        <f>IF(OR(SalesData[[#This Row],[Day]]="Saturday",SalesData[[#This Row],[Day]]="Sunday"),"Weekend","Weekday")</f>
        <v>Weekday</v>
      </c>
      <c r="AF4955" s="5">
        <f>IF(SalesData[[#This Row],[Contracts Offered]]=0,0,SalesData[[#This Row],[Contracts Signed]]/SalesData[[#This Row],[Contracts Offered]])</f>
        <v>0.40677966101694918</v>
      </c>
      <c r="AG4955" s="5">
        <f>IF(SalesData[[#This Row],[Customers Visited]]=0,0,SalesData[[#This Row],[Test Drives]]/SalesData[[#This Row],[Customers Visited]])</f>
        <v>0.52760736196319014</v>
      </c>
      <c r="AH4955" s="5">
        <f>IF(SalesData[[#This Row],[Customers Visited]]=0,0,SalesData[[#This Row],[Contracts Signed]]/SalesData[[#This Row],[Customers Visited]])</f>
        <v>0.14723926380368099</v>
      </c>
      <c r="AI4955" s="6">
        <f>IF(SalesData[[#This Row],[Contracts Signed]]=0,0,SalesData[[#This Row],[Profit(€)]]/SalesData[[#This Row],[Contracts Signed]])</f>
        <v>12003</v>
      </c>
      <c r="AJ4955" s="5" t="str">
        <f>TRIM(CLEAN(SalesData[[#This Row],[Retailer]]))</f>
        <v>Rhein Auto Group</v>
      </c>
    </row>
    <row r="4956" spans="1:36" ht="14.25" hidden="1" x14ac:dyDescent="0.2">
      <c r="A4956" t="s">
        <v>6238</v>
      </c>
      <c r="B4956" s="1">
        <v>46055</v>
      </c>
      <c r="C4956" t="s">
        <v>24</v>
      </c>
      <c r="D4956" t="s">
        <v>25</v>
      </c>
      <c r="E4956" t="s">
        <v>26</v>
      </c>
      <c r="F4956" t="s">
        <v>74</v>
      </c>
      <c r="G4956" t="s">
        <v>75</v>
      </c>
      <c r="H4956" t="s">
        <v>76</v>
      </c>
      <c r="I4956" t="s">
        <v>104</v>
      </c>
      <c r="J4956" t="s">
        <v>140</v>
      </c>
      <c r="K4956" t="s">
        <v>32</v>
      </c>
      <c r="L4956" t="s">
        <v>46</v>
      </c>
      <c r="M4956" t="s">
        <v>34</v>
      </c>
      <c r="N4956" t="s">
        <v>35</v>
      </c>
      <c r="O4956" t="s">
        <v>70</v>
      </c>
      <c r="P4956" t="s">
        <v>71</v>
      </c>
      <c r="Q4956" t="s">
        <v>169</v>
      </c>
      <c r="R4956">
        <v>469</v>
      </c>
      <c r="S4956">
        <v>204</v>
      </c>
      <c r="T4956">
        <v>140</v>
      </c>
      <c r="U4956">
        <v>35</v>
      </c>
      <c r="V4956" t="s">
        <v>833</v>
      </c>
      <c r="W4956">
        <v>35500</v>
      </c>
      <c r="X4956" t="s">
        <v>7325</v>
      </c>
      <c r="Y4956">
        <v>32199</v>
      </c>
      <c r="Z4956">
        <v>1242500</v>
      </c>
      <c r="AA4956">
        <v>115535</v>
      </c>
      <c r="AB4956" t="str">
        <f>(VLOOKUP(SalesData[[#This Row],[Month Number]],Reference!C$5:E$16,2,FALSE))</f>
        <v>Feb</v>
      </c>
      <c r="AC4956">
        <f>MONTH(SalesData[[#This Row],[Date]])</f>
        <v>2</v>
      </c>
      <c r="AD4956">
        <f>Reference!F$4</f>
        <v>2026</v>
      </c>
      <c r="AE4956" t="str">
        <f>IF(OR(SalesData[[#This Row],[Day]]="Saturday",SalesData[[#This Row],[Day]]="Sunday"),"Weekend","Weekday")</f>
        <v>Weekday</v>
      </c>
      <c r="AF4956" s="5">
        <f>IF(SalesData[[#This Row],[Contracts Offered]]=0,0,SalesData[[#This Row],[Contracts Signed]]/SalesData[[#This Row],[Contracts Offered]])</f>
        <v>0.25</v>
      </c>
      <c r="AG4956" s="5">
        <f>IF(SalesData[[#This Row],[Customers Visited]]=0,0,SalesData[[#This Row],[Test Drives]]/SalesData[[#This Row],[Customers Visited]])</f>
        <v>0.43496801705756932</v>
      </c>
      <c r="AH4956" s="5">
        <f>IF(SalesData[[#This Row],[Customers Visited]]=0,0,SalesData[[#This Row],[Contracts Signed]]/SalesData[[#This Row],[Customers Visited]])</f>
        <v>7.4626865671641784E-2</v>
      </c>
      <c r="AI4956" s="6">
        <f>IF(SalesData[[#This Row],[Contracts Signed]]=0,0,SalesData[[#This Row],[Profit(€)]]/SalesData[[#This Row],[Contracts Signed]])</f>
        <v>3301</v>
      </c>
      <c r="AJ4956" s="5" t="str">
        <f>TRIM(CLEAN(SalesData[[#This Row],[Retailer]]))</f>
        <v>Stuttgart Auto Center</v>
      </c>
    </row>
    <row r="4957" spans="1:36" ht="14.25" hidden="1" x14ac:dyDescent="0.2">
      <c r="A4957" t="s">
        <v>6239</v>
      </c>
      <c r="B4957" s="1">
        <v>46075</v>
      </c>
      <c r="C4957" t="s">
        <v>53</v>
      </c>
      <c r="D4957" t="s">
        <v>41</v>
      </c>
      <c r="E4957" t="s">
        <v>42</v>
      </c>
      <c r="F4957" t="s">
        <v>127</v>
      </c>
      <c r="G4957" t="s">
        <v>128</v>
      </c>
      <c r="H4957" t="s">
        <v>103</v>
      </c>
      <c r="I4957" t="s">
        <v>56</v>
      </c>
      <c r="J4957" t="s">
        <v>179</v>
      </c>
      <c r="K4957" t="s">
        <v>32</v>
      </c>
      <c r="L4957" t="s">
        <v>67</v>
      </c>
      <c r="M4957" t="s">
        <v>68</v>
      </c>
      <c r="N4957" t="s">
        <v>35</v>
      </c>
      <c r="O4957" t="s">
        <v>36</v>
      </c>
      <c r="P4957" t="s">
        <v>37</v>
      </c>
      <c r="Q4957" t="s">
        <v>189</v>
      </c>
      <c r="R4957">
        <v>268</v>
      </c>
      <c r="S4957">
        <v>126</v>
      </c>
      <c r="T4957">
        <v>94</v>
      </c>
      <c r="U4957">
        <v>26</v>
      </c>
      <c r="V4957" t="s">
        <v>6965</v>
      </c>
      <c r="W4957">
        <v>51626</v>
      </c>
      <c r="X4957" t="s">
        <v>5350</v>
      </c>
      <c r="Y4957">
        <v>39179</v>
      </c>
      <c r="Z4957">
        <v>1342276</v>
      </c>
      <c r="AA4957">
        <v>323622</v>
      </c>
      <c r="AB4957" t="str">
        <f>(VLOOKUP(SalesData[[#This Row],[Month Number]],Reference!C$5:E$16,2,FALSE))</f>
        <v>Feb</v>
      </c>
      <c r="AC4957">
        <f>MONTH(SalesData[[#This Row],[Date]])</f>
        <v>2</v>
      </c>
      <c r="AD4957">
        <f>Reference!F$4</f>
        <v>2026</v>
      </c>
      <c r="AE4957" t="str">
        <f>IF(OR(SalesData[[#This Row],[Day]]="Saturday",SalesData[[#This Row],[Day]]="Sunday"),"Weekend","Weekday")</f>
        <v>Weekend</v>
      </c>
      <c r="AF4957" s="5">
        <f>IF(SalesData[[#This Row],[Contracts Offered]]=0,0,SalesData[[#This Row],[Contracts Signed]]/SalesData[[#This Row],[Contracts Offered]])</f>
        <v>0.27659574468085107</v>
      </c>
      <c r="AG4957" s="5">
        <f>IF(SalesData[[#This Row],[Customers Visited]]=0,0,SalesData[[#This Row],[Test Drives]]/SalesData[[#This Row],[Customers Visited]])</f>
        <v>0.47014925373134331</v>
      </c>
      <c r="AH4957" s="5">
        <f>IF(SalesData[[#This Row],[Customers Visited]]=0,0,SalesData[[#This Row],[Contracts Signed]]/SalesData[[#This Row],[Customers Visited]])</f>
        <v>9.7014925373134331E-2</v>
      </c>
      <c r="AI4957" s="6">
        <f>IF(SalesData[[#This Row],[Contracts Signed]]=0,0,SalesData[[#This Row],[Profit(€)]]/SalesData[[#This Row],[Contracts Signed]])</f>
        <v>12447</v>
      </c>
      <c r="AJ4957" s="5" t="str">
        <f>TRIM(CLEAN(SalesData[[#This Row],[Retailer]]))</f>
        <v>Rhein Auto Group</v>
      </c>
    </row>
    <row r="4958" spans="1:36" ht="14.25" hidden="1" x14ac:dyDescent="0.2">
      <c r="A4958" t="s">
        <v>6240</v>
      </c>
      <c r="B4958" s="1">
        <v>46075</v>
      </c>
      <c r="C4958" t="s">
        <v>53</v>
      </c>
      <c r="D4958" t="s">
        <v>41</v>
      </c>
      <c r="E4958" t="s">
        <v>42</v>
      </c>
      <c r="F4958" t="s">
        <v>94</v>
      </c>
      <c r="G4958" t="s">
        <v>95</v>
      </c>
      <c r="H4958" t="s">
        <v>96</v>
      </c>
      <c r="I4958" t="s">
        <v>116</v>
      </c>
      <c r="J4958" t="s">
        <v>117</v>
      </c>
      <c r="K4958" t="s">
        <v>78</v>
      </c>
      <c r="L4958" t="s">
        <v>67</v>
      </c>
      <c r="M4958" t="s">
        <v>47</v>
      </c>
      <c r="N4958" t="s">
        <v>69</v>
      </c>
      <c r="O4958" t="s">
        <v>70</v>
      </c>
      <c r="P4958" t="s">
        <v>49</v>
      </c>
      <c r="Q4958" t="s">
        <v>152</v>
      </c>
      <c r="R4958">
        <v>342</v>
      </c>
      <c r="S4958">
        <v>155</v>
      </c>
      <c r="T4958">
        <v>106</v>
      </c>
      <c r="U4958">
        <v>21</v>
      </c>
      <c r="V4958" t="s">
        <v>5077</v>
      </c>
      <c r="W4958">
        <v>25920</v>
      </c>
      <c r="X4958" t="s">
        <v>2084</v>
      </c>
      <c r="Y4958">
        <v>23078</v>
      </c>
      <c r="Z4958">
        <v>544320</v>
      </c>
      <c r="AA4958">
        <v>59682</v>
      </c>
      <c r="AB4958" t="str">
        <f>(VLOOKUP(SalesData[[#This Row],[Month Number]],Reference!C$5:E$16,2,FALSE))</f>
        <v>Feb</v>
      </c>
      <c r="AC4958">
        <f>MONTH(SalesData[[#This Row],[Date]])</f>
        <v>2</v>
      </c>
      <c r="AD4958">
        <f>Reference!F$4</f>
        <v>2026</v>
      </c>
      <c r="AE4958" t="str">
        <f>IF(OR(SalesData[[#This Row],[Day]]="Saturday",SalesData[[#This Row],[Day]]="Sunday"),"Weekend","Weekday")</f>
        <v>Weekend</v>
      </c>
      <c r="AF4958" s="5">
        <f>IF(SalesData[[#This Row],[Contracts Offered]]=0,0,SalesData[[#This Row],[Contracts Signed]]/SalesData[[#This Row],[Contracts Offered]])</f>
        <v>0.19811320754716982</v>
      </c>
      <c r="AG4958" s="5">
        <f>IF(SalesData[[#This Row],[Customers Visited]]=0,0,SalesData[[#This Row],[Test Drives]]/SalesData[[#This Row],[Customers Visited]])</f>
        <v>0.45321637426900585</v>
      </c>
      <c r="AH4958" s="5">
        <f>IF(SalesData[[#This Row],[Customers Visited]]=0,0,SalesData[[#This Row],[Contracts Signed]]/SalesData[[#This Row],[Customers Visited]])</f>
        <v>6.1403508771929821E-2</v>
      </c>
      <c r="AI4958" s="6">
        <f>IF(SalesData[[#This Row],[Contracts Signed]]=0,0,SalesData[[#This Row],[Profit(€)]]/SalesData[[#This Row],[Contracts Signed]])</f>
        <v>2842</v>
      </c>
      <c r="AJ4958" s="5" t="str">
        <f>TRIM(CLEAN(SalesData[[#This Row],[Retailer]]))</f>
        <v>Bavaria Motors</v>
      </c>
    </row>
    <row r="4959" spans="1:36" ht="14.25" hidden="1" x14ac:dyDescent="0.2">
      <c r="A4959" t="s">
        <v>6241</v>
      </c>
      <c r="B4959" s="1">
        <v>46072</v>
      </c>
      <c r="C4959" t="s">
        <v>62</v>
      </c>
      <c r="D4959" t="s">
        <v>100</v>
      </c>
      <c r="E4959" t="s">
        <v>26</v>
      </c>
      <c r="F4959" t="s">
        <v>94</v>
      </c>
      <c r="G4959" t="s">
        <v>95</v>
      </c>
      <c r="H4959" t="s">
        <v>96</v>
      </c>
      <c r="I4959" t="s">
        <v>56</v>
      </c>
      <c r="J4959" t="s">
        <v>137</v>
      </c>
      <c r="K4959" t="s">
        <v>91</v>
      </c>
      <c r="L4959" t="s">
        <v>46</v>
      </c>
      <c r="M4959" t="s">
        <v>68</v>
      </c>
      <c r="N4959" t="s">
        <v>69</v>
      </c>
      <c r="O4959" t="s">
        <v>70</v>
      </c>
      <c r="P4959" t="s">
        <v>71</v>
      </c>
      <c r="Q4959" t="s">
        <v>59</v>
      </c>
      <c r="R4959">
        <v>239</v>
      </c>
      <c r="S4959">
        <v>149</v>
      </c>
      <c r="T4959">
        <v>110</v>
      </c>
      <c r="U4959">
        <v>36</v>
      </c>
      <c r="V4959" t="s">
        <v>7010</v>
      </c>
      <c r="W4959">
        <v>46448</v>
      </c>
      <c r="X4959" t="s">
        <v>7175</v>
      </c>
      <c r="Y4959">
        <v>36165</v>
      </c>
      <c r="Z4959">
        <v>1672128</v>
      </c>
      <c r="AA4959">
        <v>370188</v>
      </c>
      <c r="AB4959" t="str">
        <f>(VLOOKUP(SalesData[[#This Row],[Month Number]],Reference!C$5:E$16,2,FALSE))</f>
        <v>Feb</v>
      </c>
      <c r="AC4959">
        <f>MONTH(SalesData[[#This Row],[Date]])</f>
        <v>2</v>
      </c>
      <c r="AD4959">
        <f>Reference!F$4</f>
        <v>2026</v>
      </c>
      <c r="AE4959" t="str">
        <f>IF(OR(SalesData[[#This Row],[Day]]="Saturday",SalesData[[#This Row],[Day]]="Sunday"),"Weekend","Weekday")</f>
        <v>Weekday</v>
      </c>
      <c r="AF4959" s="5">
        <f>IF(SalesData[[#This Row],[Contracts Offered]]=0,0,SalesData[[#This Row],[Contracts Signed]]/SalesData[[#This Row],[Contracts Offered]])</f>
        <v>0.32727272727272727</v>
      </c>
      <c r="AG4959" s="5">
        <f>IF(SalesData[[#This Row],[Customers Visited]]=0,0,SalesData[[#This Row],[Test Drives]]/SalesData[[#This Row],[Customers Visited]])</f>
        <v>0.62343096234309625</v>
      </c>
      <c r="AH4959" s="5">
        <f>IF(SalesData[[#This Row],[Customers Visited]]=0,0,SalesData[[#This Row],[Contracts Signed]]/SalesData[[#This Row],[Customers Visited]])</f>
        <v>0.15062761506276151</v>
      </c>
      <c r="AI4959" s="6">
        <f>IF(SalesData[[#This Row],[Contracts Signed]]=0,0,SalesData[[#This Row],[Profit(€)]]/SalesData[[#This Row],[Contracts Signed]])</f>
        <v>10283</v>
      </c>
      <c r="AJ4959" s="5" t="str">
        <f>TRIM(CLEAN(SalesData[[#This Row],[Retailer]]))</f>
        <v>Bavaria Motors</v>
      </c>
    </row>
    <row r="4960" spans="1:36" ht="14.25" hidden="1" x14ac:dyDescent="0.2">
      <c r="A4960" t="s">
        <v>6242</v>
      </c>
      <c r="B4960" s="1">
        <v>46080</v>
      </c>
      <c r="C4960" t="s">
        <v>53</v>
      </c>
      <c r="D4960" t="s">
        <v>54</v>
      </c>
      <c r="E4960" t="s">
        <v>26</v>
      </c>
      <c r="F4960" t="s">
        <v>127</v>
      </c>
      <c r="G4960" t="s">
        <v>128</v>
      </c>
      <c r="H4960" t="s">
        <v>103</v>
      </c>
      <c r="I4960" t="s">
        <v>64</v>
      </c>
      <c r="J4960" t="s">
        <v>111</v>
      </c>
      <c r="K4960" t="s">
        <v>78</v>
      </c>
      <c r="L4960" t="s">
        <v>46</v>
      </c>
      <c r="M4960" t="s">
        <v>47</v>
      </c>
      <c r="N4960" t="s">
        <v>35</v>
      </c>
      <c r="O4960" t="s">
        <v>36</v>
      </c>
      <c r="P4960" t="s">
        <v>49</v>
      </c>
      <c r="Q4960" t="s">
        <v>59</v>
      </c>
      <c r="R4960">
        <v>252</v>
      </c>
      <c r="S4960">
        <v>114</v>
      </c>
      <c r="T4960">
        <v>78</v>
      </c>
      <c r="U4960">
        <v>28</v>
      </c>
      <c r="V4960" t="s">
        <v>6590</v>
      </c>
      <c r="W4960">
        <v>72460</v>
      </c>
      <c r="X4960" t="s">
        <v>7296</v>
      </c>
      <c r="Y4960">
        <v>53018</v>
      </c>
      <c r="Z4960">
        <v>2028880</v>
      </c>
      <c r="AA4960">
        <v>544376</v>
      </c>
      <c r="AB4960" t="str">
        <f>(VLOOKUP(SalesData[[#This Row],[Month Number]],Reference!C$5:E$16,2,FALSE))</f>
        <v>Feb</v>
      </c>
      <c r="AC4960">
        <f>MONTH(SalesData[[#This Row],[Date]])</f>
        <v>2</v>
      </c>
      <c r="AD4960">
        <f>Reference!F$4</f>
        <v>2026</v>
      </c>
      <c r="AE4960" t="str">
        <f>IF(OR(SalesData[[#This Row],[Day]]="Saturday",SalesData[[#This Row],[Day]]="Sunday"),"Weekend","Weekday")</f>
        <v>Weekday</v>
      </c>
      <c r="AF4960" s="5">
        <f>IF(SalesData[[#This Row],[Contracts Offered]]=0,0,SalesData[[#This Row],[Contracts Signed]]/SalesData[[#This Row],[Contracts Offered]])</f>
        <v>0.35897435897435898</v>
      </c>
      <c r="AG4960" s="5">
        <f>IF(SalesData[[#This Row],[Customers Visited]]=0,0,SalesData[[#This Row],[Test Drives]]/SalesData[[#This Row],[Customers Visited]])</f>
        <v>0.45238095238095238</v>
      </c>
      <c r="AH4960" s="5">
        <f>IF(SalesData[[#This Row],[Customers Visited]]=0,0,SalesData[[#This Row],[Contracts Signed]]/SalesData[[#This Row],[Customers Visited]])</f>
        <v>0.1111111111111111</v>
      </c>
      <c r="AI4960" s="6">
        <f>IF(SalesData[[#This Row],[Contracts Signed]]=0,0,SalesData[[#This Row],[Profit(€)]]/SalesData[[#This Row],[Contracts Signed]])</f>
        <v>19442</v>
      </c>
      <c r="AJ4960" s="5" t="str">
        <f>TRIM(CLEAN(SalesData[[#This Row],[Retailer]]))</f>
        <v>Rhein Auto Group</v>
      </c>
    </row>
    <row r="4961" spans="1:36" ht="14.25" hidden="1" x14ac:dyDescent="0.2">
      <c r="A4961" t="s">
        <v>6243</v>
      </c>
      <c r="B4961" s="1">
        <v>46054</v>
      </c>
      <c r="C4961" t="s">
        <v>24</v>
      </c>
      <c r="D4961" t="s">
        <v>41</v>
      </c>
      <c r="E4961" t="s">
        <v>42</v>
      </c>
      <c r="F4961" t="s">
        <v>7649</v>
      </c>
      <c r="G4961" t="s">
        <v>55</v>
      </c>
      <c r="H4961" t="s">
        <v>55</v>
      </c>
      <c r="I4961" t="s">
        <v>116</v>
      </c>
      <c r="J4961" t="s">
        <v>132</v>
      </c>
      <c r="K4961" t="s">
        <v>78</v>
      </c>
      <c r="L4961" t="s">
        <v>46</v>
      </c>
      <c r="M4961" t="s">
        <v>87</v>
      </c>
      <c r="N4961" t="s">
        <v>48</v>
      </c>
      <c r="O4961" t="s">
        <v>36</v>
      </c>
      <c r="P4961" t="s">
        <v>37</v>
      </c>
      <c r="Q4961" t="s">
        <v>106</v>
      </c>
      <c r="R4961">
        <v>357</v>
      </c>
      <c r="S4961">
        <v>173</v>
      </c>
      <c r="T4961">
        <v>98</v>
      </c>
      <c r="U4961">
        <v>27</v>
      </c>
      <c r="V4961" t="s">
        <v>6861</v>
      </c>
      <c r="W4961">
        <v>21350</v>
      </c>
      <c r="X4961" t="s">
        <v>4997</v>
      </c>
      <c r="Y4961">
        <v>19289</v>
      </c>
      <c r="Z4961">
        <v>576450</v>
      </c>
      <c r="AA4961">
        <v>55647</v>
      </c>
      <c r="AB4961" t="str">
        <f>(VLOOKUP(SalesData[[#This Row],[Month Number]],Reference!C$5:E$16,2,FALSE))</f>
        <v>Feb</v>
      </c>
      <c r="AC4961">
        <f>MONTH(SalesData[[#This Row],[Date]])</f>
        <v>2</v>
      </c>
      <c r="AD4961">
        <f>Reference!F$4</f>
        <v>2026</v>
      </c>
      <c r="AE4961" t="str">
        <f>IF(OR(SalesData[[#This Row],[Day]]="Saturday",SalesData[[#This Row],[Day]]="Sunday"),"Weekend","Weekday")</f>
        <v>Weekend</v>
      </c>
      <c r="AF4961" s="5">
        <f>IF(SalesData[[#This Row],[Contracts Offered]]=0,0,SalesData[[#This Row],[Contracts Signed]]/SalesData[[#This Row],[Contracts Offered]])</f>
        <v>0.27551020408163263</v>
      </c>
      <c r="AG4961" s="5">
        <f>IF(SalesData[[#This Row],[Customers Visited]]=0,0,SalesData[[#This Row],[Test Drives]]/SalesData[[#This Row],[Customers Visited]])</f>
        <v>0.484593837535014</v>
      </c>
      <c r="AH4961" s="5">
        <f>IF(SalesData[[#This Row],[Customers Visited]]=0,0,SalesData[[#This Row],[Contracts Signed]]/SalesData[[#This Row],[Customers Visited]])</f>
        <v>7.5630252100840331E-2</v>
      </c>
      <c r="AI4961" s="6">
        <f>IF(SalesData[[#This Row],[Contracts Signed]]=0,0,SalesData[[#This Row],[Profit(€)]]/SalesData[[#This Row],[Contracts Signed]])</f>
        <v>2061</v>
      </c>
      <c r="AJ4961" s="5" t="str">
        <f>TRIM(CLEAN(SalesData[[#This Row],[Retailer]]))</f>
        <v>Autohaus Berlin</v>
      </c>
    </row>
    <row r="4962" spans="1:36" ht="14.25" hidden="1" x14ac:dyDescent="0.2">
      <c r="A4962" t="s">
        <v>6244</v>
      </c>
      <c r="B4962" s="1">
        <v>46070</v>
      </c>
      <c r="C4962" t="s">
        <v>62</v>
      </c>
      <c r="D4962" t="s">
        <v>63</v>
      </c>
      <c r="E4962" t="s">
        <v>26</v>
      </c>
      <c r="F4962" t="s">
        <v>94</v>
      </c>
      <c r="G4962" t="s">
        <v>95</v>
      </c>
      <c r="H4962" t="s">
        <v>96</v>
      </c>
      <c r="I4962" t="s">
        <v>116</v>
      </c>
      <c r="J4962" t="s">
        <v>117</v>
      </c>
      <c r="K4962" t="s">
        <v>32</v>
      </c>
      <c r="L4962" t="s">
        <v>67</v>
      </c>
      <c r="M4962" t="s">
        <v>34</v>
      </c>
      <c r="N4962" t="s">
        <v>69</v>
      </c>
      <c r="O4962" t="s">
        <v>36</v>
      </c>
      <c r="P4962" t="s">
        <v>49</v>
      </c>
      <c r="Q4962" t="s">
        <v>347</v>
      </c>
      <c r="R4962">
        <v>345</v>
      </c>
      <c r="S4962">
        <v>180</v>
      </c>
      <c r="T4962">
        <v>117</v>
      </c>
      <c r="U4962">
        <v>30</v>
      </c>
      <c r="V4962" t="s">
        <v>508</v>
      </c>
      <c r="W4962">
        <v>21372</v>
      </c>
      <c r="X4962" t="s">
        <v>5545</v>
      </c>
      <c r="Y4962">
        <v>19148</v>
      </c>
      <c r="Z4962">
        <v>641160</v>
      </c>
      <c r="AA4962">
        <v>66720</v>
      </c>
      <c r="AB4962" t="str">
        <f>(VLOOKUP(SalesData[[#This Row],[Month Number]],Reference!C$5:E$16,2,FALSE))</f>
        <v>Feb</v>
      </c>
      <c r="AC4962">
        <f>MONTH(SalesData[[#This Row],[Date]])</f>
        <v>2</v>
      </c>
      <c r="AD4962">
        <f>Reference!F$4</f>
        <v>2026</v>
      </c>
      <c r="AE4962" t="str">
        <f>IF(OR(SalesData[[#This Row],[Day]]="Saturday",SalesData[[#This Row],[Day]]="Sunday"),"Weekend","Weekday")</f>
        <v>Weekday</v>
      </c>
      <c r="AF4962" s="5">
        <f>IF(SalesData[[#This Row],[Contracts Offered]]=0,0,SalesData[[#This Row],[Contracts Signed]]/SalesData[[#This Row],[Contracts Offered]])</f>
        <v>0.25641025641025639</v>
      </c>
      <c r="AG4962" s="5">
        <f>IF(SalesData[[#This Row],[Customers Visited]]=0,0,SalesData[[#This Row],[Test Drives]]/SalesData[[#This Row],[Customers Visited]])</f>
        <v>0.52173913043478259</v>
      </c>
      <c r="AH4962" s="5">
        <f>IF(SalesData[[#This Row],[Customers Visited]]=0,0,SalesData[[#This Row],[Contracts Signed]]/SalesData[[#This Row],[Customers Visited]])</f>
        <v>8.6956521739130432E-2</v>
      </c>
      <c r="AI4962" s="6">
        <f>IF(SalesData[[#This Row],[Contracts Signed]]=0,0,SalesData[[#This Row],[Profit(€)]]/SalesData[[#This Row],[Contracts Signed]])</f>
        <v>2224</v>
      </c>
      <c r="AJ4962" s="5" t="str">
        <f>TRIM(CLEAN(SalesData[[#This Row],[Retailer]]))</f>
        <v>Bavaria Motors</v>
      </c>
    </row>
    <row r="4963" spans="1:36" ht="14.25" x14ac:dyDescent="0.2">
      <c r="A4963" t="s">
        <v>6245</v>
      </c>
      <c r="B4963" s="1">
        <v>46073</v>
      </c>
      <c r="C4963" t="s">
        <v>62</v>
      </c>
      <c r="D4963" t="s">
        <v>54</v>
      </c>
      <c r="E4963" t="s">
        <v>26</v>
      </c>
      <c r="F4963" t="s">
        <v>83</v>
      </c>
      <c r="G4963" t="s">
        <v>84</v>
      </c>
      <c r="H4963" t="s">
        <v>85</v>
      </c>
      <c r="I4963" t="s">
        <v>30</v>
      </c>
      <c r="J4963" t="s">
        <v>86</v>
      </c>
      <c r="K4963" t="s">
        <v>32</v>
      </c>
      <c r="L4963" t="s">
        <v>33</v>
      </c>
      <c r="M4963" t="s">
        <v>87</v>
      </c>
      <c r="N4963" t="s">
        <v>35</v>
      </c>
      <c r="O4963" t="s">
        <v>36</v>
      </c>
      <c r="P4963" t="s">
        <v>58</v>
      </c>
      <c r="Q4963" t="s">
        <v>240</v>
      </c>
      <c r="R4963">
        <v>199</v>
      </c>
      <c r="S4963">
        <v>108</v>
      </c>
      <c r="T4963">
        <v>87</v>
      </c>
      <c r="U4963">
        <v>31</v>
      </c>
      <c r="V4963" t="s">
        <v>6511</v>
      </c>
      <c r="W4963">
        <v>60319</v>
      </c>
      <c r="X4963" t="s">
        <v>7327</v>
      </c>
      <c r="Y4963">
        <v>45366</v>
      </c>
      <c r="Z4963">
        <v>1869889</v>
      </c>
      <c r="AA4963">
        <v>463543</v>
      </c>
      <c r="AB4963" t="str">
        <f>(VLOOKUP(SalesData[[#This Row],[Month Number]],Reference!C$5:E$16,2,FALSE))</f>
        <v>Feb</v>
      </c>
      <c r="AC4963">
        <f>MONTH(SalesData[[#This Row],[Date]])</f>
        <v>2</v>
      </c>
      <c r="AD4963">
        <f>Reference!F$4</f>
        <v>2026</v>
      </c>
      <c r="AE4963" t="str">
        <f>IF(OR(SalesData[[#This Row],[Day]]="Saturday",SalesData[[#This Row],[Day]]="Sunday"),"Weekend","Weekday")</f>
        <v>Weekday</v>
      </c>
      <c r="AF4963" s="5">
        <f>IF(SalesData[[#This Row],[Contracts Offered]]=0,0,SalesData[[#This Row],[Contracts Signed]]/SalesData[[#This Row],[Contracts Offered]])</f>
        <v>0.35632183908045978</v>
      </c>
      <c r="AG4963" s="5">
        <f>IF(SalesData[[#This Row],[Customers Visited]]=0,0,SalesData[[#This Row],[Test Drives]]/SalesData[[#This Row],[Customers Visited]])</f>
        <v>0.542713567839196</v>
      </c>
      <c r="AH4963" s="5">
        <f>IF(SalesData[[#This Row],[Customers Visited]]=0,0,SalesData[[#This Row],[Contracts Signed]]/SalesData[[#This Row],[Customers Visited]])</f>
        <v>0.15577889447236182</v>
      </c>
      <c r="AI4963" s="6">
        <f>IF(SalesData[[#This Row],[Contracts Signed]]=0,0,SalesData[[#This Row],[Profit(€)]]/SalesData[[#This Row],[Contracts Signed]])</f>
        <v>14953</v>
      </c>
      <c r="AJ4963" s="5" t="str">
        <f>TRIM(CLEAN(SalesData[[#This Row],[Retailer]]))</f>
        <v>Hannover Cars</v>
      </c>
    </row>
    <row r="4964" spans="1:36" ht="14.25" hidden="1" x14ac:dyDescent="0.2">
      <c r="A4964" t="s">
        <v>6246</v>
      </c>
      <c r="B4964" s="1">
        <v>46081</v>
      </c>
      <c r="C4964" t="s">
        <v>53</v>
      </c>
      <c r="D4964" t="s">
        <v>151</v>
      </c>
      <c r="E4964" t="s">
        <v>42</v>
      </c>
      <c r="F4964" t="s">
        <v>74</v>
      </c>
      <c r="G4964" t="s">
        <v>75</v>
      </c>
      <c r="H4964" t="s">
        <v>76</v>
      </c>
      <c r="I4964" t="s">
        <v>64</v>
      </c>
      <c r="J4964" t="s">
        <v>7029</v>
      </c>
      <c r="K4964" t="s">
        <v>91</v>
      </c>
      <c r="L4964" t="s">
        <v>33</v>
      </c>
      <c r="M4964" t="s">
        <v>47</v>
      </c>
      <c r="N4964" t="s">
        <v>35</v>
      </c>
      <c r="O4964" t="s">
        <v>36</v>
      </c>
      <c r="P4964" t="s">
        <v>49</v>
      </c>
      <c r="Q4964" t="s">
        <v>106</v>
      </c>
      <c r="R4964">
        <v>281</v>
      </c>
      <c r="S4964">
        <v>144</v>
      </c>
      <c r="T4964">
        <v>97</v>
      </c>
      <c r="U4964">
        <v>35</v>
      </c>
      <c r="V4964" t="s">
        <v>6495</v>
      </c>
      <c r="W4964">
        <v>63590</v>
      </c>
      <c r="X4964" t="s">
        <v>7410</v>
      </c>
      <c r="Y4964">
        <v>49464</v>
      </c>
      <c r="Z4964">
        <v>2225650</v>
      </c>
      <c r="AA4964">
        <v>494410</v>
      </c>
      <c r="AB4964" t="str">
        <f>(VLOOKUP(SalesData[[#This Row],[Month Number]],Reference!C$5:E$16,2,FALSE))</f>
        <v>Feb</v>
      </c>
      <c r="AC4964">
        <f>MONTH(SalesData[[#This Row],[Date]])</f>
        <v>2</v>
      </c>
      <c r="AD4964">
        <f>Reference!F$4</f>
        <v>2026</v>
      </c>
      <c r="AE4964" t="str">
        <f>IF(OR(SalesData[[#This Row],[Day]]="Saturday",SalesData[[#This Row],[Day]]="Sunday"),"Weekend","Weekday")</f>
        <v>Weekend</v>
      </c>
      <c r="AF4964" s="5">
        <f>IF(SalesData[[#This Row],[Contracts Offered]]=0,0,SalesData[[#This Row],[Contracts Signed]]/SalesData[[#This Row],[Contracts Offered]])</f>
        <v>0.36082474226804123</v>
      </c>
      <c r="AG4964" s="5">
        <f>IF(SalesData[[#This Row],[Customers Visited]]=0,0,SalesData[[#This Row],[Test Drives]]/SalesData[[#This Row],[Customers Visited]])</f>
        <v>0.51245551601423489</v>
      </c>
      <c r="AH4964" s="5">
        <f>IF(SalesData[[#This Row],[Customers Visited]]=0,0,SalesData[[#This Row],[Contracts Signed]]/SalesData[[#This Row],[Customers Visited]])</f>
        <v>0.12455516014234876</v>
      </c>
      <c r="AI4964" s="6">
        <f>IF(SalesData[[#This Row],[Contracts Signed]]=0,0,SalesData[[#This Row],[Profit(€)]]/SalesData[[#This Row],[Contracts Signed]])</f>
        <v>14126</v>
      </c>
      <c r="AJ4964" s="5" t="str">
        <f>TRIM(CLEAN(SalesData[[#This Row],[Retailer]]))</f>
        <v>Stuttgart Auto Center</v>
      </c>
    </row>
    <row r="4965" spans="1:36" ht="14.25" hidden="1" x14ac:dyDescent="0.2">
      <c r="A4965" t="s">
        <v>6247</v>
      </c>
      <c r="B4965" s="1">
        <v>46073</v>
      </c>
      <c r="C4965" t="s">
        <v>62</v>
      </c>
      <c r="D4965" t="s">
        <v>54</v>
      </c>
      <c r="E4965" t="s">
        <v>26</v>
      </c>
      <c r="F4965" t="s">
        <v>114</v>
      </c>
      <c r="G4965" t="s">
        <v>115</v>
      </c>
      <c r="H4965" t="s">
        <v>115</v>
      </c>
      <c r="I4965" t="s">
        <v>64</v>
      </c>
      <c r="J4965" t="s">
        <v>7029</v>
      </c>
      <c r="K4965" t="s">
        <v>32</v>
      </c>
      <c r="L4965" t="s">
        <v>33</v>
      </c>
      <c r="M4965" t="s">
        <v>34</v>
      </c>
      <c r="N4965" t="s">
        <v>69</v>
      </c>
      <c r="O4965" t="s">
        <v>70</v>
      </c>
      <c r="P4965" t="s">
        <v>37</v>
      </c>
      <c r="Q4965" t="s">
        <v>204</v>
      </c>
      <c r="R4965">
        <v>268</v>
      </c>
      <c r="S4965">
        <v>146</v>
      </c>
      <c r="T4965">
        <v>100</v>
      </c>
      <c r="U4965">
        <v>33</v>
      </c>
      <c r="V4965" t="s">
        <v>6750</v>
      </c>
      <c r="W4965">
        <v>65752</v>
      </c>
      <c r="X4965" t="s">
        <v>1906</v>
      </c>
      <c r="Y4965">
        <v>51487</v>
      </c>
      <c r="Z4965">
        <v>2169816</v>
      </c>
      <c r="AA4965">
        <v>470745</v>
      </c>
      <c r="AB4965" t="str">
        <f>(VLOOKUP(SalesData[[#This Row],[Month Number]],Reference!C$5:E$16,2,FALSE))</f>
        <v>Feb</v>
      </c>
      <c r="AC4965">
        <f>MONTH(SalesData[[#This Row],[Date]])</f>
        <v>2</v>
      </c>
      <c r="AD4965">
        <f>Reference!F$4</f>
        <v>2026</v>
      </c>
      <c r="AE4965" t="str">
        <f>IF(OR(SalesData[[#This Row],[Day]]="Saturday",SalesData[[#This Row],[Day]]="Sunday"),"Weekend","Weekday")</f>
        <v>Weekday</v>
      </c>
      <c r="AF4965" s="5">
        <f>IF(SalesData[[#This Row],[Contracts Offered]]=0,0,SalesData[[#This Row],[Contracts Signed]]/SalesData[[#This Row],[Contracts Offered]])</f>
        <v>0.33</v>
      </c>
      <c r="AG4965" s="5">
        <f>IF(SalesData[[#This Row],[Customers Visited]]=0,0,SalesData[[#This Row],[Test Drives]]/SalesData[[#This Row],[Customers Visited]])</f>
        <v>0.54477611940298509</v>
      </c>
      <c r="AH4965" s="5">
        <f>IF(SalesData[[#This Row],[Customers Visited]]=0,0,SalesData[[#This Row],[Contracts Signed]]/SalesData[[#This Row],[Customers Visited]])</f>
        <v>0.12313432835820895</v>
      </c>
      <c r="AI4965" s="6">
        <f>IF(SalesData[[#This Row],[Contracts Signed]]=0,0,SalesData[[#This Row],[Profit(€)]]/SalesData[[#This Row],[Contracts Signed]])</f>
        <v>14265</v>
      </c>
      <c r="AJ4965" s="5" t="str">
        <f>TRIM(CLEAN(SalesData[[#This Row],[Retailer]]))</f>
        <v>Elbe Drive</v>
      </c>
    </row>
    <row r="4966" spans="1:36" ht="14.25" hidden="1" x14ac:dyDescent="0.2">
      <c r="A4966" t="s">
        <v>6248</v>
      </c>
      <c r="B4966" s="1">
        <v>46071</v>
      </c>
      <c r="C4966" t="s">
        <v>62</v>
      </c>
      <c r="D4966" t="s">
        <v>82</v>
      </c>
      <c r="E4966" t="s">
        <v>26</v>
      </c>
      <c r="F4966" t="s">
        <v>127</v>
      </c>
      <c r="G4966" t="s">
        <v>128</v>
      </c>
      <c r="H4966" t="s">
        <v>103</v>
      </c>
      <c r="I4966" t="s">
        <v>64</v>
      </c>
      <c r="J4966" t="s">
        <v>111</v>
      </c>
      <c r="K4966" t="s">
        <v>91</v>
      </c>
      <c r="L4966" t="s">
        <v>46</v>
      </c>
      <c r="M4966" t="s">
        <v>87</v>
      </c>
      <c r="N4966" t="s">
        <v>35</v>
      </c>
      <c r="O4966" t="s">
        <v>70</v>
      </c>
      <c r="P4966" t="s">
        <v>58</v>
      </c>
      <c r="Q4966" t="s">
        <v>79</v>
      </c>
      <c r="R4966">
        <v>231</v>
      </c>
      <c r="S4966">
        <v>127</v>
      </c>
      <c r="T4966">
        <v>91</v>
      </c>
      <c r="U4966">
        <v>37</v>
      </c>
      <c r="V4966" t="s">
        <v>6636</v>
      </c>
      <c r="W4966">
        <v>52258</v>
      </c>
      <c r="X4966" t="s">
        <v>7063</v>
      </c>
      <c r="Y4966">
        <v>40604</v>
      </c>
      <c r="Z4966">
        <v>1933546</v>
      </c>
      <c r="AA4966">
        <v>431198</v>
      </c>
      <c r="AB4966" t="str">
        <f>(VLOOKUP(SalesData[[#This Row],[Month Number]],Reference!C$5:E$16,2,FALSE))</f>
        <v>Feb</v>
      </c>
      <c r="AC4966">
        <f>MONTH(SalesData[[#This Row],[Date]])</f>
        <v>2</v>
      </c>
      <c r="AD4966">
        <f>Reference!F$4</f>
        <v>2026</v>
      </c>
      <c r="AE4966" t="str">
        <f>IF(OR(SalesData[[#This Row],[Day]]="Saturday",SalesData[[#This Row],[Day]]="Sunday"),"Weekend","Weekday")</f>
        <v>Weekday</v>
      </c>
      <c r="AF4966" s="5">
        <f>IF(SalesData[[#This Row],[Contracts Offered]]=0,0,SalesData[[#This Row],[Contracts Signed]]/SalesData[[#This Row],[Contracts Offered]])</f>
        <v>0.40659340659340659</v>
      </c>
      <c r="AG4966" s="5">
        <f>IF(SalesData[[#This Row],[Customers Visited]]=0,0,SalesData[[#This Row],[Test Drives]]/SalesData[[#This Row],[Customers Visited]])</f>
        <v>0.54978354978354982</v>
      </c>
      <c r="AH4966" s="5">
        <f>IF(SalesData[[#This Row],[Customers Visited]]=0,0,SalesData[[#This Row],[Contracts Signed]]/SalesData[[#This Row],[Customers Visited]])</f>
        <v>0.16017316017316016</v>
      </c>
      <c r="AI4966" s="6">
        <f>IF(SalesData[[#This Row],[Contracts Signed]]=0,0,SalesData[[#This Row],[Profit(€)]]/SalesData[[#This Row],[Contracts Signed]])</f>
        <v>11654</v>
      </c>
      <c r="AJ4966" s="5" t="str">
        <f>TRIM(CLEAN(SalesData[[#This Row],[Retailer]]))</f>
        <v>Rhein Auto Group</v>
      </c>
    </row>
    <row r="4967" spans="1:36" ht="14.25" hidden="1" x14ac:dyDescent="0.2">
      <c r="A4967" t="s">
        <v>6249</v>
      </c>
      <c r="B4967" s="1">
        <v>46074</v>
      </c>
      <c r="C4967" t="s">
        <v>62</v>
      </c>
      <c r="D4967" t="s">
        <v>151</v>
      </c>
      <c r="E4967" t="s">
        <v>42</v>
      </c>
      <c r="F4967" t="s">
        <v>7649</v>
      </c>
      <c r="G4967" t="s">
        <v>55</v>
      </c>
      <c r="H4967" t="s">
        <v>55</v>
      </c>
      <c r="I4967" t="s">
        <v>64</v>
      </c>
      <c r="J4967" t="s">
        <v>157</v>
      </c>
      <c r="K4967" t="s">
        <v>32</v>
      </c>
      <c r="L4967" t="s">
        <v>33</v>
      </c>
      <c r="M4967" t="s">
        <v>87</v>
      </c>
      <c r="N4967" t="s">
        <v>69</v>
      </c>
      <c r="O4967" t="s">
        <v>36</v>
      </c>
      <c r="P4967" t="s">
        <v>58</v>
      </c>
      <c r="Q4967" t="s">
        <v>158</v>
      </c>
      <c r="R4967">
        <v>248</v>
      </c>
      <c r="S4967">
        <v>124</v>
      </c>
      <c r="T4967">
        <v>81</v>
      </c>
      <c r="U4967">
        <v>33</v>
      </c>
      <c r="V4967" t="s">
        <v>6687</v>
      </c>
      <c r="W4967">
        <v>62287</v>
      </c>
      <c r="X4967" t="s">
        <v>7115</v>
      </c>
      <c r="Y4967">
        <v>48681</v>
      </c>
      <c r="Z4967">
        <v>2055471</v>
      </c>
      <c r="AA4967">
        <v>448998</v>
      </c>
      <c r="AB4967" t="str">
        <f>(VLOOKUP(SalesData[[#This Row],[Month Number]],Reference!C$5:E$16,2,FALSE))</f>
        <v>Feb</v>
      </c>
      <c r="AC4967">
        <f>MONTH(SalesData[[#This Row],[Date]])</f>
        <v>2</v>
      </c>
      <c r="AD4967">
        <f>Reference!F$4</f>
        <v>2026</v>
      </c>
      <c r="AE4967" t="str">
        <f>IF(OR(SalesData[[#This Row],[Day]]="Saturday",SalesData[[#This Row],[Day]]="Sunday"),"Weekend","Weekday")</f>
        <v>Weekend</v>
      </c>
      <c r="AF4967" s="5">
        <f>IF(SalesData[[#This Row],[Contracts Offered]]=0,0,SalesData[[#This Row],[Contracts Signed]]/SalesData[[#This Row],[Contracts Offered]])</f>
        <v>0.40740740740740738</v>
      </c>
      <c r="AG4967" s="5">
        <f>IF(SalesData[[#This Row],[Customers Visited]]=0,0,SalesData[[#This Row],[Test Drives]]/SalesData[[#This Row],[Customers Visited]])</f>
        <v>0.5</v>
      </c>
      <c r="AH4967" s="5">
        <f>IF(SalesData[[#This Row],[Customers Visited]]=0,0,SalesData[[#This Row],[Contracts Signed]]/SalesData[[#This Row],[Customers Visited]])</f>
        <v>0.13306451612903225</v>
      </c>
      <c r="AI4967" s="6">
        <f>IF(SalesData[[#This Row],[Contracts Signed]]=0,0,SalesData[[#This Row],[Profit(€)]]/SalesData[[#This Row],[Contracts Signed]])</f>
        <v>13606</v>
      </c>
      <c r="AJ4967" s="5" t="str">
        <f>TRIM(CLEAN(SalesData[[#This Row],[Retailer]]))</f>
        <v>Autohaus Berlin</v>
      </c>
    </row>
    <row r="4968" spans="1:36" ht="14.25" x14ac:dyDescent="0.2">
      <c r="A4968" t="s">
        <v>6250</v>
      </c>
      <c r="B4968" s="1">
        <v>46068</v>
      </c>
      <c r="C4968" t="s">
        <v>62</v>
      </c>
      <c r="D4968" t="s">
        <v>41</v>
      </c>
      <c r="E4968" t="s">
        <v>42</v>
      </c>
      <c r="F4968" t="s">
        <v>74</v>
      </c>
      <c r="G4968" t="s">
        <v>75</v>
      </c>
      <c r="H4968" t="s">
        <v>76</v>
      </c>
      <c r="I4968" t="s">
        <v>30</v>
      </c>
      <c r="J4968" t="s">
        <v>31</v>
      </c>
      <c r="K4968" t="s">
        <v>91</v>
      </c>
      <c r="L4968" t="s">
        <v>46</v>
      </c>
      <c r="M4968" t="s">
        <v>47</v>
      </c>
      <c r="N4968" t="s">
        <v>69</v>
      </c>
      <c r="O4968" t="s">
        <v>70</v>
      </c>
      <c r="P4968" t="s">
        <v>58</v>
      </c>
      <c r="Q4968" t="s">
        <v>189</v>
      </c>
      <c r="R4968">
        <v>161</v>
      </c>
      <c r="S4968">
        <v>82</v>
      </c>
      <c r="T4968">
        <v>66</v>
      </c>
      <c r="U4968">
        <v>24</v>
      </c>
      <c r="V4968" t="s">
        <v>6419</v>
      </c>
      <c r="W4968">
        <v>62883</v>
      </c>
      <c r="X4968" t="s">
        <v>7517</v>
      </c>
      <c r="Y4968">
        <v>45884</v>
      </c>
      <c r="Z4968">
        <v>1509192</v>
      </c>
      <c r="AA4968">
        <v>407976</v>
      </c>
      <c r="AB4968" t="str">
        <f>(VLOOKUP(SalesData[[#This Row],[Month Number]],Reference!C$5:E$16,2,FALSE))</f>
        <v>Feb</v>
      </c>
      <c r="AC4968">
        <f>MONTH(SalesData[[#This Row],[Date]])</f>
        <v>2</v>
      </c>
      <c r="AD4968">
        <f>Reference!F$4</f>
        <v>2026</v>
      </c>
      <c r="AE4968" t="str">
        <f>IF(OR(SalesData[[#This Row],[Day]]="Saturday",SalesData[[#This Row],[Day]]="Sunday"),"Weekend","Weekday")</f>
        <v>Weekend</v>
      </c>
      <c r="AF4968" s="5">
        <f>IF(SalesData[[#This Row],[Contracts Offered]]=0,0,SalesData[[#This Row],[Contracts Signed]]/SalesData[[#This Row],[Contracts Offered]])</f>
        <v>0.36363636363636365</v>
      </c>
      <c r="AG4968" s="5">
        <f>IF(SalesData[[#This Row],[Customers Visited]]=0,0,SalesData[[#This Row],[Test Drives]]/SalesData[[#This Row],[Customers Visited]])</f>
        <v>0.50931677018633537</v>
      </c>
      <c r="AH4968" s="5">
        <f>IF(SalesData[[#This Row],[Customers Visited]]=0,0,SalesData[[#This Row],[Contracts Signed]]/SalesData[[#This Row],[Customers Visited]])</f>
        <v>0.14906832298136646</v>
      </c>
      <c r="AI4968" s="6">
        <f>IF(SalesData[[#This Row],[Contracts Signed]]=0,0,SalesData[[#This Row],[Profit(€)]]/SalesData[[#This Row],[Contracts Signed]])</f>
        <v>16999</v>
      </c>
      <c r="AJ4968" s="5" t="str">
        <f>TRIM(CLEAN(SalesData[[#This Row],[Retailer]]))</f>
        <v>Stuttgart Auto Center</v>
      </c>
    </row>
    <row r="4969" spans="1:36" ht="14.25" hidden="1" x14ac:dyDescent="0.2">
      <c r="A4969" t="s">
        <v>6251</v>
      </c>
      <c r="B4969" s="1">
        <v>46078</v>
      </c>
      <c r="C4969" t="s">
        <v>53</v>
      </c>
      <c r="D4969" t="s">
        <v>82</v>
      </c>
      <c r="E4969" t="s">
        <v>26</v>
      </c>
      <c r="F4969" t="s">
        <v>94</v>
      </c>
      <c r="G4969" t="s">
        <v>95</v>
      </c>
      <c r="H4969" t="s">
        <v>96</v>
      </c>
      <c r="I4969" t="s">
        <v>104</v>
      </c>
      <c r="J4969" t="s">
        <v>143</v>
      </c>
      <c r="K4969" t="s">
        <v>66</v>
      </c>
      <c r="L4969" t="s">
        <v>67</v>
      </c>
      <c r="M4969" t="s">
        <v>87</v>
      </c>
      <c r="N4969" t="s">
        <v>35</v>
      </c>
      <c r="O4969" t="s">
        <v>70</v>
      </c>
      <c r="P4969" t="s">
        <v>71</v>
      </c>
      <c r="Q4969" t="s">
        <v>88</v>
      </c>
      <c r="R4969">
        <v>383</v>
      </c>
      <c r="S4969">
        <v>219</v>
      </c>
      <c r="T4969">
        <v>131</v>
      </c>
      <c r="U4969">
        <v>36</v>
      </c>
      <c r="V4969" t="s">
        <v>2856</v>
      </c>
      <c r="W4969">
        <v>27596</v>
      </c>
      <c r="X4969" t="s">
        <v>919</v>
      </c>
      <c r="Y4969">
        <v>23871</v>
      </c>
      <c r="Z4969">
        <v>993456</v>
      </c>
      <c r="AA4969">
        <v>134100</v>
      </c>
      <c r="AB4969" t="str">
        <f>(VLOOKUP(SalesData[[#This Row],[Month Number]],Reference!C$5:E$16,2,FALSE))</f>
        <v>Feb</v>
      </c>
      <c r="AC4969">
        <f>MONTH(SalesData[[#This Row],[Date]])</f>
        <v>2</v>
      </c>
      <c r="AD4969">
        <f>Reference!F$4</f>
        <v>2026</v>
      </c>
      <c r="AE4969" t="str">
        <f>IF(OR(SalesData[[#This Row],[Day]]="Saturday",SalesData[[#This Row],[Day]]="Sunday"),"Weekend","Weekday")</f>
        <v>Weekday</v>
      </c>
      <c r="AF4969" s="5">
        <f>IF(SalesData[[#This Row],[Contracts Offered]]=0,0,SalesData[[#This Row],[Contracts Signed]]/SalesData[[#This Row],[Contracts Offered]])</f>
        <v>0.27480916030534353</v>
      </c>
      <c r="AG4969" s="5">
        <f>IF(SalesData[[#This Row],[Customers Visited]]=0,0,SalesData[[#This Row],[Test Drives]]/SalesData[[#This Row],[Customers Visited]])</f>
        <v>0.57180156657963443</v>
      </c>
      <c r="AH4969" s="5">
        <f>IF(SalesData[[#This Row],[Customers Visited]]=0,0,SalesData[[#This Row],[Contracts Signed]]/SalesData[[#This Row],[Customers Visited]])</f>
        <v>9.3994778067885115E-2</v>
      </c>
      <c r="AI4969" s="6">
        <f>IF(SalesData[[#This Row],[Contracts Signed]]=0,0,SalesData[[#This Row],[Profit(€)]]/SalesData[[#This Row],[Contracts Signed]])</f>
        <v>3725</v>
      </c>
      <c r="AJ4969" s="5" t="str">
        <f>TRIM(CLEAN(SalesData[[#This Row],[Retailer]]))</f>
        <v>Bavaria Motors</v>
      </c>
    </row>
    <row r="4970" spans="1:36" ht="14.25" hidden="1" x14ac:dyDescent="0.2">
      <c r="A4970" t="s">
        <v>6252</v>
      </c>
      <c r="B4970" s="1">
        <v>46072</v>
      </c>
      <c r="C4970" t="s">
        <v>62</v>
      </c>
      <c r="D4970" t="s">
        <v>100</v>
      </c>
      <c r="E4970" t="s">
        <v>26</v>
      </c>
      <c r="F4970" t="s">
        <v>94</v>
      </c>
      <c r="G4970" t="s">
        <v>95</v>
      </c>
      <c r="H4970" t="s">
        <v>96</v>
      </c>
      <c r="I4970" t="s">
        <v>64</v>
      </c>
      <c r="J4970" t="s">
        <v>7029</v>
      </c>
      <c r="K4970" t="s">
        <v>32</v>
      </c>
      <c r="L4970" t="s">
        <v>33</v>
      </c>
      <c r="M4970" t="s">
        <v>34</v>
      </c>
      <c r="N4970" t="s">
        <v>69</v>
      </c>
      <c r="O4970" t="s">
        <v>36</v>
      </c>
      <c r="P4970" t="s">
        <v>49</v>
      </c>
      <c r="Q4970" t="s">
        <v>204</v>
      </c>
      <c r="R4970">
        <v>267</v>
      </c>
      <c r="S4970">
        <v>147</v>
      </c>
      <c r="T4970">
        <v>106</v>
      </c>
      <c r="U4970">
        <v>41</v>
      </c>
      <c r="V4970" t="s">
        <v>6924</v>
      </c>
      <c r="W4970">
        <v>69252</v>
      </c>
      <c r="X4970" t="s">
        <v>7544</v>
      </c>
      <c r="Y4970">
        <v>50562</v>
      </c>
      <c r="Z4970">
        <v>2839332</v>
      </c>
      <c r="AA4970">
        <v>766290</v>
      </c>
      <c r="AB4970" t="str">
        <f>(VLOOKUP(SalesData[[#This Row],[Month Number]],Reference!C$5:E$16,2,FALSE))</f>
        <v>Feb</v>
      </c>
      <c r="AC4970">
        <f>MONTH(SalesData[[#This Row],[Date]])</f>
        <v>2</v>
      </c>
      <c r="AD4970">
        <f>Reference!F$4</f>
        <v>2026</v>
      </c>
      <c r="AE4970" t="str">
        <f>IF(OR(SalesData[[#This Row],[Day]]="Saturday",SalesData[[#This Row],[Day]]="Sunday"),"Weekend","Weekday")</f>
        <v>Weekday</v>
      </c>
      <c r="AF4970" s="5">
        <f>IF(SalesData[[#This Row],[Contracts Offered]]=0,0,SalesData[[#This Row],[Contracts Signed]]/SalesData[[#This Row],[Contracts Offered]])</f>
        <v>0.3867924528301887</v>
      </c>
      <c r="AG4970" s="5">
        <f>IF(SalesData[[#This Row],[Customers Visited]]=0,0,SalesData[[#This Row],[Test Drives]]/SalesData[[#This Row],[Customers Visited]])</f>
        <v>0.550561797752809</v>
      </c>
      <c r="AH4970" s="5">
        <f>IF(SalesData[[#This Row],[Customers Visited]]=0,0,SalesData[[#This Row],[Contracts Signed]]/SalesData[[#This Row],[Customers Visited]])</f>
        <v>0.15355805243445692</v>
      </c>
      <c r="AI4970" s="6">
        <f>IF(SalesData[[#This Row],[Contracts Signed]]=0,0,SalesData[[#This Row],[Profit(€)]]/SalesData[[#This Row],[Contracts Signed]])</f>
        <v>18690</v>
      </c>
      <c r="AJ4970" s="5" t="str">
        <f>TRIM(CLEAN(SalesData[[#This Row],[Retailer]]))</f>
        <v>Bavaria Motors</v>
      </c>
    </row>
    <row r="4971" spans="1:36" ht="14.25" x14ac:dyDescent="0.2">
      <c r="A4971" t="s">
        <v>6253</v>
      </c>
      <c r="B4971" s="1">
        <v>46074</v>
      </c>
      <c r="C4971" t="s">
        <v>62</v>
      </c>
      <c r="D4971" t="s">
        <v>151</v>
      </c>
      <c r="E4971" t="s">
        <v>42</v>
      </c>
      <c r="F4971" t="s">
        <v>127</v>
      </c>
      <c r="G4971" t="s">
        <v>128</v>
      </c>
      <c r="H4971" t="s">
        <v>103</v>
      </c>
      <c r="I4971" t="s">
        <v>30</v>
      </c>
      <c r="J4971" t="s">
        <v>86</v>
      </c>
      <c r="K4971" t="s">
        <v>78</v>
      </c>
      <c r="L4971" t="s">
        <v>33</v>
      </c>
      <c r="M4971" t="s">
        <v>87</v>
      </c>
      <c r="N4971" t="s">
        <v>35</v>
      </c>
      <c r="O4971" t="s">
        <v>70</v>
      </c>
      <c r="P4971" t="s">
        <v>71</v>
      </c>
      <c r="Q4971" t="s">
        <v>347</v>
      </c>
      <c r="R4971">
        <v>263</v>
      </c>
      <c r="S4971">
        <v>151</v>
      </c>
      <c r="T4971">
        <v>117</v>
      </c>
      <c r="U4971">
        <v>41</v>
      </c>
      <c r="V4971" t="s">
        <v>6637</v>
      </c>
      <c r="W4971">
        <v>54553</v>
      </c>
      <c r="X4971" t="s">
        <v>3045</v>
      </c>
      <c r="Y4971">
        <v>38397</v>
      </c>
      <c r="Z4971">
        <v>2236673</v>
      </c>
      <c r="AA4971">
        <v>662396</v>
      </c>
      <c r="AB4971" t="str">
        <f>(VLOOKUP(SalesData[[#This Row],[Month Number]],Reference!C$5:E$16,2,FALSE))</f>
        <v>Feb</v>
      </c>
      <c r="AC4971">
        <f>MONTH(SalesData[[#This Row],[Date]])</f>
        <v>2</v>
      </c>
      <c r="AD4971">
        <f>Reference!F$4</f>
        <v>2026</v>
      </c>
      <c r="AE4971" t="str">
        <f>IF(OR(SalesData[[#This Row],[Day]]="Saturday",SalesData[[#This Row],[Day]]="Sunday"),"Weekend","Weekday")</f>
        <v>Weekend</v>
      </c>
      <c r="AF4971" s="5">
        <f>IF(SalesData[[#This Row],[Contracts Offered]]=0,0,SalesData[[#This Row],[Contracts Signed]]/SalesData[[#This Row],[Contracts Offered]])</f>
        <v>0.3504273504273504</v>
      </c>
      <c r="AG4971" s="5">
        <f>IF(SalesData[[#This Row],[Customers Visited]]=0,0,SalesData[[#This Row],[Test Drives]]/SalesData[[#This Row],[Customers Visited]])</f>
        <v>0.57414448669201523</v>
      </c>
      <c r="AH4971" s="5">
        <f>IF(SalesData[[#This Row],[Customers Visited]]=0,0,SalesData[[#This Row],[Contracts Signed]]/SalesData[[#This Row],[Customers Visited]])</f>
        <v>0.155893536121673</v>
      </c>
      <c r="AI4971" s="6">
        <f>IF(SalesData[[#This Row],[Contracts Signed]]=0,0,SalesData[[#This Row],[Profit(€)]]/SalesData[[#This Row],[Contracts Signed]])</f>
        <v>16156</v>
      </c>
      <c r="AJ4971" s="5" t="str">
        <f>TRIM(CLEAN(SalesData[[#This Row],[Retailer]]))</f>
        <v>Rhein Auto Group</v>
      </c>
    </row>
    <row r="4972" spans="1:36" ht="14.25" hidden="1" x14ac:dyDescent="0.2">
      <c r="A4972" t="s">
        <v>6254</v>
      </c>
      <c r="B4972" s="1">
        <v>46079</v>
      </c>
      <c r="C4972" t="s">
        <v>53</v>
      </c>
      <c r="D4972" t="s">
        <v>100</v>
      </c>
      <c r="E4972" t="s">
        <v>26</v>
      </c>
      <c r="F4972" t="s">
        <v>109</v>
      </c>
      <c r="G4972" t="s">
        <v>110</v>
      </c>
      <c r="H4972" t="s">
        <v>45</v>
      </c>
      <c r="I4972" t="s">
        <v>104</v>
      </c>
      <c r="J4972" t="s">
        <v>7061</v>
      </c>
      <c r="K4972" t="s">
        <v>91</v>
      </c>
      <c r="L4972" t="s">
        <v>46</v>
      </c>
      <c r="M4972" t="s">
        <v>34</v>
      </c>
      <c r="N4972" t="s">
        <v>69</v>
      </c>
      <c r="O4972" t="s">
        <v>36</v>
      </c>
      <c r="P4972" t="s">
        <v>71</v>
      </c>
      <c r="Q4972" t="s">
        <v>88</v>
      </c>
      <c r="R4972">
        <v>516</v>
      </c>
      <c r="S4972">
        <v>231</v>
      </c>
      <c r="T4972">
        <v>135</v>
      </c>
      <c r="U4972">
        <v>41</v>
      </c>
      <c r="V4972" t="s">
        <v>3667</v>
      </c>
      <c r="W4972">
        <v>27488</v>
      </c>
      <c r="X4972" t="s">
        <v>1038</v>
      </c>
      <c r="Y4972">
        <v>24175</v>
      </c>
      <c r="Z4972">
        <v>1127008</v>
      </c>
      <c r="AA4972">
        <v>135833</v>
      </c>
      <c r="AB4972" t="str">
        <f>(VLOOKUP(SalesData[[#This Row],[Month Number]],Reference!C$5:E$16,2,FALSE))</f>
        <v>Feb</v>
      </c>
      <c r="AC4972">
        <f>MONTH(SalesData[[#This Row],[Date]])</f>
        <v>2</v>
      </c>
      <c r="AD4972">
        <f>Reference!F$4</f>
        <v>2026</v>
      </c>
      <c r="AE4972" t="str">
        <f>IF(OR(SalesData[[#This Row],[Day]]="Saturday",SalesData[[#This Row],[Day]]="Sunday"),"Weekend","Weekday")</f>
        <v>Weekday</v>
      </c>
      <c r="AF4972" s="5">
        <f>IF(SalesData[[#This Row],[Contracts Offered]]=0,0,SalesData[[#This Row],[Contracts Signed]]/SalesData[[#This Row],[Contracts Offered]])</f>
        <v>0.3037037037037037</v>
      </c>
      <c r="AG4972" s="5">
        <f>IF(SalesData[[#This Row],[Customers Visited]]=0,0,SalesData[[#This Row],[Test Drives]]/SalesData[[#This Row],[Customers Visited]])</f>
        <v>0.44767441860465118</v>
      </c>
      <c r="AH4972" s="5">
        <f>IF(SalesData[[#This Row],[Customers Visited]]=0,0,SalesData[[#This Row],[Contracts Signed]]/SalesData[[#This Row],[Customers Visited]])</f>
        <v>7.9457364341085274E-2</v>
      </c>
      <c r="AI4972" s="6">
        <f>IF(SalesData[[#This Row],[Contracts Signed]]=0,0,SalesData[[#This Row],[Profit(€)]]/SalesData[[#This Row],[Contracts Signed]])</f>
        <v>3313</v>
      </c>
      <c r="AJ4972" s="5" t="str">
        <f>TRIM(CLEAN(SalesData[[#This Row],[Retailer]]))</f>
        <v>Leipzig Mobility</v>
      </c>
    </row>
    <row r="4973" spans="1:36" ht="14.25" hidden="1" x14ac:dyDescent="0.2">
      <c r="A4973" t="s">
        <v>6255</v>
      </c>
      <c r="B4973" s="1">
        <v>46068</v>
      </c>
      <c r="C4973" t="s">
        <v>62</v>
      </c>
      <c r="D4973" t="s">
        <v>41</v>
      </c>
      <c r="E4973" t="s">
        <v>42</v>
      </c>
      <c r="F4973" t="s">
        <v>43</v>
      </c>
      <c r="G4973" t="s">
        <v>44</v>
      </c>
      <c r="H4973" t="s">
        <v>45</v>
      </c>
      <c r="I4973" t="s">
        <v>104</v>
      </c>
      <c r="J4973" t="s">
        <v>105</v>
      </c>
      <c r="K4973" t="s">
        <v>66</v>
      </c>
      <c r="L4973" t="s">
        <v>33</v>
      </c>
      <c r="M4973" t="s">
        <v>68</v>
      </c>
      <c r="N4973" t="s">
        <v>48</v>
      </c>
      <c r="O4973" t="s">
        <v>70</v>
      </c>
      <c r="P4973" t="s">
        <v>58</v>
      </c>
      <c r="Q4973" t="s">
        <v>189</v>
      </c>
      <c r="R4973">
        <v>481</v>
      </c>
      <c r="S4973">
        <v>248</v>
      </c>
      <c r="T4973">
        <v>150</v>
      </c>
      <c r="U4973">
        <v>48</v>
      </c>
      <c r="V4973" t="s">
        <v>1142</v>
      </c>
      <c r="W4973">
        <v>31297</v>
      </c>
      <c r="X4973" t="s">
        <v>676</v>
      </c>
      <c r="Y4973">
        <v>28033</v>
      </c>
      <c r="Z4973">
        <v>1502256</v>
      </c>
      <c r="AA4973">
        <v>156672</v>
      </c>
      <c r="AB4973" t="str">
        <f>(VLOOKUP(SalesData[[#This Row],[Month Number]],Reference!C$5:E$16,2,FALSE))</f>
        <v>Feb</v>
      </c>
      <c r="AC4973">
        <f>MONTH(SalesData[[#This Row],[Date]])</f>
        <v>2</v>
      </c>
      <c r="AD4973">
        <f>Reference!F$4</f>
        <v>2026</v>
      </c>
      <c r="AE4973" t="str">
        <f>IF(OR(SalesData[[#This Row],[Day]]="Saturday",SalesData[[#This Row],[Day]]="Sunday"),"Weekend","Weekday")</f>
        <v>Weekend</v>
      </c>
      <c r="AF4973" s="5">
        <f>IF(SalesData[[#This Row],[Contracts Offered]]=0,0,SalesData[[#This Row],[Contracts Signed]]/SalesData[[#This Row],[Contracts Offered]])</f>
        <v>0.32</v>
      </c>
      <c r="AG4973" s="5">
        <f>IF(SalesData[[#This Row],[Customers Visited]]=0,0,SalesData[[#This Row],[Test Drives]]/SalesData[[#This Row],[Customers Visited]])</f>
        <v>0.51559251559251562</v>
      </c>
      <c r="AH4973" s="5">
        <f>IF(SalesData[[#This Row],[Customers Visited]]=0,0,SalesData[[#This Row],[Contracts Signed]]/SalesData[[#This Row],[Customers Visited]])</f>
        <v>9.9792099792099798E-2</v>
      </c>
      <c r="AI4973" s="6">
        <f>IF(SalesData[[#This Row],[Contracts Signed]]=0,0,SalesData[[#This Row],[Profit(€)]]/SalesData[[#This Row],[Contracts Signed]])</f>
        <v>3264</v>
      </c>
      <c r="AJ4973" s="5" t="str">
        <f>TRIM(CLEAN(SalesData[[#This Row],[Retailer]]))</f>
        <v>Saxon Wheels</v>
      </c>
    </row>
    <row r="4974" spans="1:36" ht="14.25" hidden="1" x14ac:dyDescent="0.2">
      <c r="A4974" t="s">
        <v>6256</v>
      </c>
      <c r="B4974" s="1">
        <v>46077</v>
      </c>
      <c r="C4974" t="s">
        <v>53</v>
      </c>
      <c r="D4974" t="s">
        <v>63</v>
      </c>
      <c r="E4974" t="s">
        <v>26</v>
      </c>
      <c r="F4974" t="s">
        <v>109</v>
      </c>
      <c r="G4974" t="s">
        <v>110</v>
      </c>
      <c r="H4974" t="s">
        <v>45</v>
      </c>
      <c r="I4974" t="s">
        <v>56</v>
      </c>
      <c r="J4974" t="s">
        <v>137</v>
      </c>
      <c r="K4974" t="s">
        <v>78</v>
      </c>
      <c r="L4974" t="s">
        <v>46</v>
      </c>
      <c r="M4974" t="s">
        <v>68</v>
      </c>
      <c r="N4974" t="s">
        <v>35</v>
      </c>
      <c r="O4974" t="s">
        <v>70</v>
      </c>
      <c r="P4974" t="s">
        <v>37</v>
      </c>
      <c r="Q4974" t="s">
        <v>135</v>
      </c>
      <c r="R4974">
        <v>272</v>
      </c>
      <c r="S4974">
        <v>139</v>
      </c>
      <c r="T4974">
        <v>104</v>
      </c>
      <c r="U4974">
        <v>29</v>
      </c>
      <c r="V4974" t="s">
        <v>6735</v>
      </c>
      <c r="W4974">
        <v>43587</v>
      </c>
      <c r="X4974" t="s">
        <v>7437</v>
      </c>
      <c r="Y4974">
        <v>34071</v>
      </c>
      <c r="Z4974">
        <v>1264023</v>
      </c>
      <c r="AA4974">
        <v>275964</v>
      </c>
      <c r="AB4974" t="str">
        <f>(VLOOKUP(SalesData[[#This Row],[Month Number]],Reference!C$5:E$16,2,FALSE))</f>
        <v>Feb</v>
      </c>
      <c r="AC4974">
        <f>MONTH(SalesData[[#This Row],[Date]])</f>
        <v>2</v>
      </c>
      <c r="AD4974">
        <f>Reference!F$4</f>
        <v>2026</v>
      </c>
      <c r="AE4974" t="str">
        <f>IF(OR(SalesData[[#This Row],[Day]]="Saturday",SalesData[[#This Row],[Day]]="Sunday"),"Weekend","Weekday")</f>
        <v>Weekday</v>
      </c>
      <c r="AF4974" s="5">
        <f>IF(SalesData[[#This Row],[Contracts Offered]]=0,0,SalesData[[#This Row],[Contracts Signed]]/SalesData[[#This Row],[Contracts Offered]])</f>
        <v>0.27884615384615385</v>
      </c>
      <c r="AG4974" s="5">
        <f>IF(SalesData[[#This Row],[Customers Visited]]=0,0,SalesData[[#This Row],[Test Drives]]/SalesData[[#This Row],[Customers Visited]])</f>
        <v>0.51102941176470584</v>
      </c>
      <c r="AH4974" s="5">
        <f>IF(SalesData[[#This Row],[Customers Visited]]=0,0,SalesData[[#This Row],[Contracts Signed]]/SalesData[[#This Row],[Customers Visited]])</f>
        <v>0.10661764705882353</v>
      </c>
      <c r="AI4974" s="6">
        <f>IF(SalesData[[#This Row],[Contracts Signed]]=0,0,SalesData[[#This Row],[Profit(€)]]/SalesData[[#This Row],[Contracts Signed]])</f>
        <v>9516</v>
      </c>
      <c r="AJ4974" s="5" t="str">
        <f>TRIM(CLEAN(SalesData[[#This Row],[Retailer]]))</f>
        <v>Leipzig Mobility</v>
      </c>
    </row>
    <row r="4975" spans="1:36" ht="14.25" hidden="1" x14ac:dyDescent="0.2">
      <c r="A4975" t="s">
        <v>6257</v>
      </c>
      <c r="B4975" s="1">
        <v>46070</v>
      </c>
      <c r="C4975" t="s">
        <v>62</v>
      </c>
      <c r="D4975" t="s">
        <v>63</v>
      </c>
      <c r="E4975" t="s">
        <v>26</v>
      </c>
      <c r="F4975" t="s">
        <v>7649</v>
      </c>
      <c r="G4975" t="s">
        <v>55</v>
      </c>
      <c r="H4975" t="s">
        <v>55</v>
      </c>
      <c r="I4975" t="s">
        <v>116</v>
      </c>
      <c r="J4975" t="s">
        <v>7090</v>
      </c>
      <c r="K4975" t="s">
        <v>78</v>
      </c>
      <c r="L4975" t="s">
        <v>46</v>
      </c>
      <c r="M4975" t="s">
        <v>34</v>
      </c>
      <c r="N4975" t="s">
        <v>48</v>
      </c>
      <c r="O4975" t="s">
        <v>36</v>
      </c>
      <c r="P4975" t="s">
        <v>37</v>
      </c>
      <c r="Q4975" t="s">
        <v>129</v>
      </c>
      <c r="R4975">
        <v>318</v>
      </c>
      <c r="S4975">
        <v>163</v>
      </c>
      <c r="T4975">
        <v>93</v>
      </c>
      <c r="U4975">
        <v>28</v>
      </c>
      <c r="V4975" t="s">
        <v>271</v>
      </c>
      <c r="W4975">
        <v>20639</v>
      </c>
      <c r="X4975" t="s">
        <v>2445</v>
      </c>
      <c r="Y4975">
        <v>18675</v>
      </c>
      <c r="Z4975">
        <v>577892</v>
      </c>
      <c r="AA4975">
        <v>54992</v>
      </c>
      <c r="AB4975" t="str">
        <f>(VLOOKUP(SalesData[[#This Row],[Month Number]],Reference!C$5:E$16,2,FALSE))</f>
        <v>Feb</v>
      </c>
      <c r="AC4975">
        <f>MONTH(SalesData[[#This Row],[Date]])</f>
        <v>2</v>
      </c>
      <c r="AD4975">
        <f>Reference!F$4</f>
        <v>2026</v>
      </c>
      <c r="AE4975" t="str">
        <f>IF(OR(SalesData[[#This Row],[Day]]="Saturday",SalesData[[#This Row],[Day]]="Sunday"),"Weekend","Weekday")</f>
        <v>Weekday</v>
      </c>
      <c r="AF4975" s="5">
        <f>IF(SalesData[[#This Row],[Contracts Offered]]=0,0,SalesData[[#This Row],[Contracts Signed]]/SalesData[[#This Row],[Contracts Offered]])</f>
        <v>0.30107526881720431</v>
      </c>
      <c r="AG4975" s="5">
        <f>IF(SalesData[[#This Row],[Customers Visited]]=0,0,SalesData[[#This Row],[Test Drives]]/SalesData[[#This Row],[Customers Visited]])</f>
        <v>0.51257861635220126</v>
      </c>
      <c r="AH4975" s="5">
        <f>IF(SalesData[[#This Row],[Customers Visited]]=0,0,SalesData[[#This Row],[Contracts Signed]]/SalesData[[#This Row],[Customers Visited]])</f>
        <v>8.8050314465408799E-2</v>
      </c>
      <c r="AI4975" s="6">
        <f>IF(SalesData[[#This Row],[Contracts Signed]]=0,0,SalesData[[#This Row],[Profit(€)]]/SalesData[[#This Row],[Contracts Signed]])</f>
        <v>1964</v>
      </c>
      <c r="AJ4975" s="5" t="str">
        <f>TRIM(CLEAN(SalesData[[#This Row],[Retailer]]))</f>
        <v>Autohaus Berlin</v>
      </c>
    </row>
    <row r="4976" spans="1:36" ht="14.25" hidden="1" x14ac:dyDescent="0.2">
      <c r="A4976" t="s">
        <v>6258</v>
      </c>
      <c r="B4976" s="1">
        <v>46067</v>
      </c>
      <c r="C4976" t="s">
        <v>121</v>
      </c>
      <c r="D4976" t="s">
        <v>151</v>
      </c>
      <c r="E4976" t="s">
        <v>42</v>
      </c>
      <c r="F4976" t="s">
        <v>27</v>
      </c>
      <c r="G4976" t="s">
        <v>28</v>
      </c>
      <c r="H4976" t="s">
        <v>29</v>
      </c>
      <c r="I4976" t="s">
        <v>116</v>
      </c>
      <c r="J4976" t="s">
        <v>7026</v>
      </c>
      <c r="K4976" t="s">
        <v>91</v>
      </c>
      <c r="L4976" t="s">
        <v>46</v>
      </c>
      <c r="M4976" t="s">
        <v>47</v>
      </c>
      <c r="N4976" t="s">
        <v>69</v>
      </c>
      <c r="O4976" t="s">
        <v>36</v>
      </c>
      <c r="P4976" t="s">
        <v>49</v>
      </c>
      <c r="Q4976" t="s">
        <v>122</v>
      </c>
      <c r="R4976">
        <v>271</v>
      </c>
      <c r="S4976">
        <v>117</v>
      </c>
      <c r="T4976">
        <v>73</v>
      </c>
      <c r="U4976">
        <v>18</v>
      </c>
      <c r="V4976" t="s">
        <v>1109</v>
      </c>
      <c r="W4976">
        <v>26184</v>
      </c>
      <c r="X4976" t="s">
        <v>898</v>
      </c>
      <c r="Y4976">
        <v>23389</v>
      </c>
      <c r="Z4976">
        <v>471312</v>
      </c>
      <c r="AA4976">
        <v>50310</v>
      </c>
      <c r="AB4976" t="str">
        <f>(VLOOKUP(SalesData[[#This Row],[Month Number]],Reference!C$5:E$16,2,FALSE))</f>
        <v>Feb</v>
      </c>
      <c r="AC4976">
        <f>MONTH(SalesData[[#This Row],[Date]])</f>
        <v>2</v>
      </c>
      <c r="AD4976">
        <f>Reference!F$4</f>
        <v>2026</v>
      </c>
      <c r="AE4976" t="str">
        <f>IF(OR(SalesData[[#This Row],[Day]]="Saturday",SalesData[[#This Row],[Day]]="Sunday"),"Weekend","Weekday")</f>
        <v>Weekend</v>
      </c>
      <c r="AF4976" s="5">
        <f>IF(SalesData[[#This Row],[Contracts Offered]]=0,0,SalesData[[#This Row],[Contracts Signed]]/SalesData[[#This Row],[Contracts Offered]])</f>
        <v>0.24657534246575341</v>
      </c>
      <c r="AG4976" s="5">
        <f>IF(SalesData[[#This Row],[Customers Visited]]=0,0,SalesData[[#This Row],[Test Drives]]/SalesData[[#This Row],[Customers Visited]])</f>
        <v>0.43173431734317341</v>
      </c>
      <c r="AH4976" s="5">
        <f>IF(SalesData[[#This Row],[Customers Visited]]=0,0,SalesData[[#This Row],[Contracts Signed]]/SalesData[[#This Row],[Customers Visited]])</f>
        <v>6.6420664206642069E-2</v>
      </c>
      <c r="AI4976" s="6">
        <f>IF(SalesData[[#This Row],[Contracts Signed]]=0,0,SalesData[[#This Row],[Profit(€)]]/SalesData[[#This Row],[Contracts Signed]])</f>
        <v>2795</v>
      </c>
      <c r="AJ4976" s="5" t="str">
        <f>TRIM(CLEAN(SalesData[[#This Row],[Retailer]]))</f>
        <v>Main Auto Hub</v>
      </c>
    </row>
    <row r="4977" spans="1:36" ht="14.25" hidden="1" x14ac:dyDescent="0.2">
      <c r="A4977" t="s">
        <v>6259</v>
      </c>
      <c r="B4977" s="1">
        <v>46065</v>
      </c>
      <c r="C4977" t="s">
        <v>121</v>
      </c>
      <c r="D4977" t="s">
        <v>100</v>
      </c>
      <c r="E4977" t="s">
        <v>26</v>
      </c>
      <c r="F4977" t="s">
        <v>94</v>
      </c>
      <c r="G4977" t="s">
        <v>95</v>
      </c>
      <c r="H4977" t="s">
        <v>96</v>
      </c>
      <c r="I4977" t="s">
        <v>64</v>
      </c>
      <c r="J4977" t="s">
        <v>157</v>
      </c>
      <c r="K4977" t="s">
        <v>78</v>
      </c>
      <c r="L4977" t="s">
        <v>33</v>
      </c>
      <c r="M4977" t="s">
        <v>47</v>
      </c>
      <c r="N4977" t="s">
        <v>35</v>
      </c>
      <c r="O4977" t="s">
        <v>36</v>
      </c>
      <c r="P4977" t="s">
        <v>37</v>
      </c>
      <c r="Q4977" t="s">
        <v>169</v>
      </c>
      <c r="R4977">
        <v>170</v>
      </c>
      <c r="S4977">
        <v>87</v>
      </c>
      <c r="T4977">
        <v>61</v>
      </c>
      <c r="U4977">
        <v>24</v>
      </c>
      <c r="V4977" t="s">
        <v>6612</v>
      </c>
      <c r="W4977">
        <v>57954</v>
      </c>
      <c r="X4977" t="s">
        <v>7178</v>
      </c>
      <c r="Y4977">
        <v>42028</v>
      </c>
      <c r="Z4977">
        <v>1390896</v>
      </c>
      <c r="AA4977">
        <v>382224</v>
      </c>
      <c r="AB4977" t="str">
        <f>(VLOOKUP(SalesData[[#This Row],[Month Number]],Reference!C$5:E$16,2,FALSE))</f>
        <v>Feb</v>
      </c>
      <c r="AC4977">
        <f>MONTH(SalesData[[#This Row],[Date]])</f>
        <v>2</v>
      </c>
      <c r="AD4977">
        <f>Reference!F$4</f>
        <v>2026</v>
      </c>
      <c r="AE4977" t="str">
        <f>IF(OR(SalesData[[#This Row],[Day]]="Saturday",SalesData[[#This Row],[Day]]="Sunday"),"Weekend","Weekday")</f>
        <v>Weekday</v>
      </c>
      <c r="AF4977" s="5">
        <f>IF(SalesData[[#This Row],[Contracts Offered]]=0,0,SalesData[[#This Row],[Contracts Signed]]/SalesData[[#This Row],[Contracts Offered]])</f>
        <v>0.39344262295081966</v>
      </c>
      <c r="AG4977" s="5">
        <f>IF(SalesData[[#This Row],[Customers Visited]]=0,0,SalesData[[#This Row],[Test Drives]]/SalesData[[#This Row],[Customers Visited]])</f>
        <v>0.5117647058823529</v>
      </c>
      <c r="AH4977" s="5">
        <f>IF(SalesData[[#This Row],[Customers Visited]]=0,0,SalesData[[#This Row],[Contracts Signed]]/SalesData[[#This Row],[Customers Visited]])</f>
        <v>0.14117647058823529</v>
      </c>
      <c r="AI4977" s="6">
        <f>IF(SalesData[[#This Row],[Contracts Signed]]=0,0,SalesData[[#This Row],[Profit(€)]]/SalesData[[#This Row],[Contracts Signed]])</f>
        <v>15926</v>
      </c>
      <c r="AJ4977" s="5" t="str">
        <f>TRIM(CLEAN(SalesData[[#This Row],[Retailer]]))</f>
        <v>Bavaria Motors</v>
      </c>
    </row>
    <row r="4978" spans="1:36" ht="14.25" x14ac:dyDescent="0.2">
      <c r="A4978" t="s">
        <v>6260</v>
      </c>
      <c r="B4978" s="1">
        <v>46072</v>
      </c>
      <c r="C4978" t="s">
        <v>62</v>
      </c>
      <c r="D4978" t="s">
        <v>100</v>
      </c>
      <c r="E4978" t="s">
        <v>26</v>
      </c>
      <c r="F4978" t="s">
        <v>114</v>
      </c>
      <c r="G4978" t="s">
        <v>115</v>
      </c>
      <c r="H4978" t="s">
        <v>115</v>
      </c>
      <c r="I4978" t="s">
        <v>30</v>
      </c>
      <c r="J4978" t="s">
        <v>86</v>
      </c>
      <c r="K4978" t="s">
        <v>66</v>
      </c>
      <c r="L4978" t="s">
        <v>33</v>
      </c>
      <c r="M4978" t="s">
        <v>87</v>
      </c>
      <c r="N4978" t="s">
        <v>69</v>
      </c>
      <c r="O4978" t="s">
        <v>36</v>
      </c>
      <c r="P4978" t="s">
        <v>71</v>
      </c>
      <c r="Q4978" t="s">
        <v>158</v>
      </c>
      <c r="R4978">
        <v>208</v>
      </c>
      <c r="S4978">
        <v>102</v>
      </c>
      <c r="T4978">
        <v>76</v>
      </c>
      <c r="U4978">
        <v>29</v>
      </c>
      <c r="V4978" t="s">
        <v>6614</v>
      </c>
      <c r="W4978">
        <v>50002</v>
      </c>
      <c r="X4978" t="s">
        <v>569</v>
      </c>
      <c r="Y4978">
        <v>37472</v>
      </c>
      <c r="Z4978">
        <v>1450058</v>
      </c>
      <c r="AA4978">
        <v>363370</v>
      </c>
      <c r="AB4978" t="str">
        <f>(VLOOKUP(SalesData[[#This Row],[Month Number]],Reference!C$5:E$16,2,FALSE))</f>
        <v>Feb</v>
      </c>
      <c r="AC4978">
        <f>MONTH(SalesData[[#This Row],[Date]])</f>
        <v>2</v>
      </c>
      <c r="AD4978">
        <f>Reference!F$4</f>
        <v>2026</v>
      </c>
      <c r="AE4978" t="str">
        <f>IF(OR(SalesData[[#This Row],[Day]]="Saturday",SalesData[[#This Row],[Day]]="Sunday"),"Weekend","Weekday")</f>
        <v>Weekday</v>
      </c>
      <c r="AF4978" s="5">
        <f>IF(SalesData[[#This Row],[Contracts Offered]]=0,0,SalesData[[#This Row],[Contracts Signed]]/SalesData[[#This Row],[Contracts Offered]])</f>
        <v>0.38157894736842107</v>
      </c>
      <c r="AG4978" s="5">
        <f>IF(SalesData[[#This Row],[Customers Visited]]=0,0,SalesData[[#This Row],[Test Drives]]/SalesData[[#This Row],[Customers Visited]])</f>
        <v>0.49038461538461536</v>
      </c>
      <c r="AH4978" s="5">
        <f>IF(SalesData[[#This Row],[Customers Visited]]=0,0,SalesData[[#This Row],[Contracts Signed]]/SalesData[[#This Row],[Customers Visited]])</f>
        <v>0.13942307692307693</v>
      </c>
      <c r="AI4978" s="6">
        <f>IF(SalesData[[#This Row],[Contracts Signed]]=0,0,SalesData[[#This Row],[Profit(€)]]/SalesData[[#This Row],[Contracts Signed]])</f>
        <v>12530</v>
      </c>
      <c r="AJ4978" s="5" t="str">
        <f>TRIM(CLEAN(SalesData[[#This Row],[Retailer]]))</f>
        <v>Elbe Drive</v>
      </c>
    </row>
    <row r="4979" spans="1:36" ht="14.25" hidden="1" x14ac:dyDescent="0.2">
      <c r="A4979" t="s">
        <v>6261</v>
      </c>
      <c r="B4979" s="1">
        <v>46068</v>
      </c>
      <c r="C4979" t="s">
        <v>62</v>
      </c>
      <c r="D4979" t="s">
        <v>41</v>
      </c>
      <c r="E4979" t="s">
        <v>42</v>
      </c>
      <c r="F4979" t="s">
        <v>94</v>
      </c>
      <c r="G4979" t="s">
        <v>95</v>
      </c>
      <c r="H4979" t="s">
        <v>96</v>
      </c>
      <c r="I4979" t="s">
        <v>104</v>
      </c>
      <c r="J4979" t="s">
        <v>7061</v>
      </c>
      <c r="K4979" t="s">
        <v>32</v>
      </c>
      <c r="L4979" t="s">
        <v>46</v>
      </c>
      <c r="M4979" t="s">
        <v>47</v>
      </c>
      <c r="N4979" t="s">
        <v>35</v>
      </c>
      <c r="O4979" t="s">
        <v>70</v>
      </c>
      <c r="P4979" t="s">
        <v>71</v>
      </c>
      <c r="Q4979" t="s">
        <v>158</v>
      </c>
      <c r="R4979">
        <v>438</v>
      </c>
      <c r="S4979">
        <v>203</v>
      </c>
      <c r="T4979">
        <v>129</v>
      </c>
      <c r="U4979">
        <v>33</v>
      </c>
      <c r="V4979" t="s">
        <v>664</v>
      </c>
      <c r="W4979">
        <v>34774</v>
      </c>
      <c r="X4979" t="s">
        <v>3480</v>
      </c>
      <c r="Y4979">
        <v>30395</v>
      </c>
      <c r="Z4979">
        <v>1147542</v>
      </c>
      <c r="AA4979">
        <v>144507</v>
      </c>
      <c r="AB4979" t="str">
        <f>(VLOOKUP(SalesData[[#This Row],[Month Number]],Reference!C$5:E$16,2,FALSE))</f>
        <v>Feb</v>
      </c>
      <c r="AC4979">
        <f>MONTH(SalesData[[#This Row],[Date]])</f>
        <v>2</v>
      </c>
      <c r="AD4979">
        <f>Reference!F$4</f>
        <v>2026</v>
      </c>
      <c r="AE4979" t="str">
        <f>IF(OR(SalesData[[#This Row],[Day]]="Saturday",SalesData[[#This Row],[Day]]="Sunday"),"Weekend","Weekday")</f>
        <v>Weekend</v>
      </c>
      <c r="AF4979" s="5">
        <f>IF(SalesData[[#This Row],[Contracts Offered]]=0,0,SalesData[[#This Row],[Contracts Signed]]/SalesData[[#This Row],[Contracts Offered]])</f>
        <v>0.2558139534883721</v>
      </c>
      <c r="AG4979" s="5">
        <f>IF(SalesData[[#This Row],[Customers Visited]]=0,0,SalesData[[#This Row],[Test Drives]]/SalesData[[#This Row],[Customers Visited]])</f>
        <v>0.4634703196347032</v>
      </c>
      <c r="AH4979" s="5">
        <f>IF(SalesData[[#This Row],[Customers Visited]]=0,0,SalesData[[#This Row],[Contracts Signed]]/SalesData[[#This Row],[Customers Visited]])</f>
        <v>7.5342465753424653E-2</v>
      </c>
      <c r="AI4979" s="6">
        <f>IF(SalesData[[#This Row],[Contracts Signed]]=0,0,SalesData[[#This Row],[Profit(€)]]/SalesData[[#This Row],[Contracts Signed]])</f>
        <v>4379</v>
      </c>
      <c r="AJ4979" s="5" t="str">
        <f>TRIM(CLEAN(SalesData[[#This Row],[Retailer]]))</f>
        <v>Bavaria Motors</v>
      </c>
    </row>
    <row r="4980" spans="1:36" ht="14.25" hidden="1" x14ac:dyDescent="0.2">
      <c r="A4980" t="s">
        <v>6262</v>
      </c>
      <c r="B4980" s="1">
        <v>46062</v>
      </c>
      <c r="C4980" t="s">
        <v>121</v>
      </c>
      <c r="D4980" t="s">
        <v>25</v>
      </c>
      <c r="E4980" t="s">
        <v>26</v>
      </c>
      <c r="F4980" t="s">
        <v>43</v>
      </c>
      <c r="G4980" t="s">
        <v>44</v>
      </c>
      <c r="H4980" t="s">
        <v>45</v>
      </c>
      <c r="I4980" t="s">
        <v>64</v>
      </c>
      <c r="J4980" t="s">
        <v>65</v>
      </c>
      <c r="K4980" t="s">
        <v>91</v>
      </c>
      <c r="L4980" t="s">
        <v>33</v>
      </c>
      <c r="M4980" t="s">
        <v>47</v>
      </c>
      <c r="N4980" t="s">
        <v>48</v>
      </c>
      <c r="O4980" t="s">
        <v>70</v>
      </c>
      <c r="P4980" t="s">
        <v>37</v>
      </c>
      <c r="Q4980" t="s">
        <v>144</v>
      </c>
      <c r="R4980">
        <v>244</v>
      </c>
      <c r="S4980">
        <v>115</v>
      </c>
      <c r="T4980">
        <v>91</v>
      </c>
      <c r="U4980">
        <v>27</v>
      </c>
      <c r="V4980" t="s">
        <v>6683</v>
      </c>
      <c r="W4980">
        <v>51573</v>
      </c>
      <c r="X4980" t="s">
        <v>3025</v>
      </c>
      <c r="Y4980">
        <v>38760</v>
      </c>
      <c r="Z4980">
        <v>1392471</v>
      </c>
      <c r="AA4980">
        <v>345951</v>
      </c>
      <c r="AB4980" t="str">
        <f>(VLOOKUP(SalesData[[#This Row],[Month Number]],Reference!C$5:E$16,2,FALSE))</f>
        <v>Feb</v>
      </c>
      <c r="AC4980">
        <f>MONTH(SalesData[[#This Row],[Date]])</f>
        <v>2</v>
      </c>
      <c r="AD4980">
        <f>Reference!F$4</f>
        <v>2026</v>
      </c>
      <c r="AE4980" t="str">
        <f>IF(OR(SalesData[[#This Row],[Day]]="Saturday",SalesData[[#This Row],[Day]]="Sunday"),"Weekend","Weekday")</f>
        <v>Weekday</v>
      </c>
      <c r="AF4980" s="5">
        <f>IF(SalesData[[#This Row],[Contracts Offered]]=0,0,SalesData[[#This Row],[Contracts Signed]]/SalesData[[#This Row],[Contracts Offered]])</f>
        <v>0.2967032967032967</v>
      </c>
      <c r="AG4980" s="5">
        <f>IF(SalesData[[#This Row],[Customers Visited]]=0,0,SalesData[[#This Row],[Test Drives]]/SalesData[[#This Row],[Customers Visited]])</f>
        <v>0.47131147540983609</v>
      </c>
      <c r="AH4980" s="5">
        <f>IF(SalesData[[#This Row],[Customers Visited]]=0,0,SalesData[[#This Row],[Contracts Signed]]/SalesData[[#This Row],[Customers Visited]])</f>
        <v>0.11065573770491803</v>
      </c>
      <c r="AI4980" s="6">
        <f>IF(SalesData[[#This Row],[Contracts Signed]]=0,0,SalesData[[#This Row],[Profit(€)]]/SalesData[[#This Row],[Contracts Signed]])</f>
        <v>12813</v>
      </c>
      <c r="AJ4980" s="5" t="str">
        <f>TRIM(CLEAN(SalesData[[#This Row],[Retailer]]))</f>
        <v>Saxon Wheels</v>
      </c>
    </row>
    <row r="4981" spans="1:36" ht="14.25" hidden="1" x14ac:dyDescent="0.2">
      <c r="A4981" t="s">
        <v>6263</v>
      </c>
      <c r="B4981" s="1">
        <v>46063</v>
      </c>
      <c r="C4981" t="s">
        <v>121</v>
      </c>
      <c r="D4981" t="s">
        <v>63</v>
      </c>
      <c r="E4981" t="s">
        <v>26</v>
      </c>
      <c r="F4981" t="s">
        <v>109</v>
      </c>
      <c r="G4981" t="s">
        <v>110</v>
      </c>
      <c r="H4981" t="s">
        <v>45</v>
      </c>
      <c r="I4981" t="s">
        <v>116</v>
      </c>
      <c r="J4981" t="s">
        <v>117</v>
      </c>
      <c r="K4981" t="s">
        <v>32</v>
      </c>
      <c r="L4981" t="s">
        <v>67</v>
      </c>
      <c r="M4981" t="s">
        <v>47</v>
      </c>
      <c r="N4981" t="s">
        <v>69</v>
      </c>
      <c r="O4981" t="s">
        <v>70</v>
      </c>
      <c r="P4981" t="s">
        <v>37</v>
      </c>
      <c r="Q4981" t="s">
        <v>189</v>
      </c>
      <c r="R4981">
        <v>264</v>
      </c>
      <c r="S4981">
        <v>143</v>
      </c>
      <c r="T4981">
        <v>87</v>
      </c>
      <c r="U4981">
        <v>21</v>
      </c>
      <c r="V4981" t="s">
        <v>1013</v>
      </c>
      <c r="W4981">
        <v>20077</v>
      </c>
      <c r="X4981" t="s">
        <v>5077</v>
      </c>
      <c r="Y4981">
        <v>18283</v>
      </c>
      <c r="Z4981">
        <v>421617</v>
      </c>
      <c r="AA4981">
        <v>37674</v>
      </c>
      <c r="AB4981" t="str">
        <f>(VLOOKUP(SalesData[[#This Row],[Month Number]],Reference!C$5:E$16,2,FALSE))</f>
        <v>Feb</v>
      </c>
      <c r="AC4981">
        <f>MONTH(SalesData[[#This Row],[Date]])</f>
        <v>2</v>
      </c>
      <c r="AD4981">
        <f>Reference!F$4</f>
        <v>2026</v>
      </c>
      <c r="AE4981" t="str">
        <f>IF(OR(SalesData[[#This Row],[Day]]="Saturday",SalesData[[#This Row],[Day]]="Sunday"),"Weekend","Weekday")</f>
        <v>Weekday</v>
      </c>
      <c r="AF4981" s="5">
        <f>IF(SalesData[[#This Row],[Contracts Offered]]=0,0,SalesData[[#This Row],[Contracts Signed]]/SalesData[[#This Row],[Contracts Offered]])</f>
        <v>0.2413793103448276</v>
      </c>
      <c r="AG4981" s="5">
        <f>IF(SalesData[[#This Row],[Customers Visited]]=0,0,SalesData[[#This Row],[Test Drives]]/SalesData[[#This Row],[Customers Visited]])</f>
        <v>0.54166666666666663</v>
      </c>
      <c r="AH4981" s="5">
        <f>IF(SalesData[[#This Row],[Customers Visited]]=0,0,SalesData[[#This Row],[Contracts Signed]]/SalesData[[#This Row],[Customers Visited]])</f>
        <v>7.9545454545454544E-2</v>
      </c>
      <c r="AI4981" s="6">
        <f>IF(SalesData[[#This Row],[Contracts Signed]]=0,0,SalesData[[#This Row],[Profit(€)]]/SalesData[[#This Row],[Contracts Signed]])</f>
        <v>1794</v>
      </c>
      <c r="AJ4981" s="5" t="str">
        <f>TRIM(CLEAN(SalesData[[#This Row],[Retailer]]))</f>
        <v>Leipzig Mobility</v>
      </c>
    </row>
    <row r="4982" spans="1:36" ht="14.25" hidden="1" x14ac:dyDescent="0.2">
      <c r="A4982" t="s">
        <v>6264</v>
      </c>
      <c r="B4982" s="1">
        <v>46069</v>
      </c>
      <c r="C4982" t="s">
        <v>62</v>
      </c>
      <c r="D4982" t="s">
        <v>25</v>
      </c>
      <c r="E4982" t="s">
        <v>26</v>
      </c>
      <c r="F4982" t="s">
        <v>109</v>
      </c>
      <c r="G4982" t="s">
        <v>110</v>
      </c>
      <c r="H4982" t="s">
        <v>45</v>
      </c>
      <c r="I4982" t="s">
        <v>104</v>
      </c>
      <c r="J4982" t="s">
        <v>7031</v>
      </c>
      <c r="K4982" t="s">
        <v>32</v>
      </c>
      <c r="L4982" t="s">
        <v>46</v>
      </c>
      <c r="M4982" t="s">
        <v>34</v>
      </c>
      <c r="N4982" t="s">
        <v>48</v>
      </c>
      <c r="O4982" t="s">
        <v>36</v>
      </c>
      <c r="P4982" t="s">
        <v>37</v>
      </c>
      <c r="Q4982" t="s">
        <v>59</v>
      </c>
      <c r="R4982">
        <v>420</v>
      </c>
      <c r="S4982">
        <v>197</v>
      </c>
      <c r="T4982">
        <v>130</v>
      </c>
      <c r="U4982">
        <v>27</v>
      </c>
      <c r="V4982" t="s">
        <v>636</v>
      </c>
      <c r="W4982">
        <v>34305</v>
      </c>
      <c r="X4982" t="s">
        <v>7171</v>
      </c>
      <c r="Y4982">
        <v>30400</v>
      </c>
      <c r="Z4982">
        <v>926235</v>
      </c>
      <c r="AA4982">
        <v>105435</v>
      </c>
      <c r="AB4982" t="str">
        <f>(VLOOKUP(SalesData[[#This Row],[Month Number]],Reference!C$5:E$16,2,FALSE))</f>
        <v>Feb</v>
      </c>
      <c r="AC4982">
        <f>MONTH(SalesData[[#This Row],[Date]])</f>
        <v>2</v>
      </c>
      <c r="AD4982">
        <f>Reference!F$4</f>
        <v>2026</v>
      </c>
      <c r="AE4982" t="str">
        <f>IF(OR(SalesData[[#This Row],[Day]]="Saturday",SalesData[[#This Row],[Day]]="Sunday"),"Weekend","Weekday")</f>
        <v>Weekday</v>
      </c>
      <c r="AF4982" s="5">
        <f>IF(SalesData[[#This Row],[Contracts Offered]]=0,0,SalesData[[#This Row],[Contracts Signed]]/SalesData[[#This Row],[Contracts Offered]])</f>
        <v>0.2076923076923077</v>
      </c>
      <c r="AG4982" s="5">
        <f>IF(SalesData[[#This Row],[Customers Visited]]=0,0,SalesData[[#This Row],[Test Drives]]/SalesData[[#This Row],[Customers Visited]])</f>
        <v>0.46904761904761905</v>
      </c>
      <c r="AH4982" s="5">
        <f>IF(SalesData[[#This Row],[Customers Visited]]=0,0,SalesData[[#This Row],[Contracts Signed]]/SalesData[[#This Row],[Customers Visited]])</f>
        <v>6.4285714285714279E-2</v>
      </c>
      <c r="AI4982" s="6">
        <f>IF(SalesData[[#This Row],[Contracts Signed]]=0,0,SalesData[[#This Row],[Profit(€)]]/SalesData[[#This Row],[Contracts Signed]])</f>
        <v>3905</v>
      </c>
      <c r="AJ4982" s="5" t="str">
        <f>TRIM(CLEAN(SalesData[[#This Row],[Retailer]]))</f>
        <v>Leipzig Mobility</v>
      </c>
    </row>
    <row r="4983" spans="1:36" ht="14.25" hidden="1" x14ac:dyDescent="0.2">
      <c r="A4983" t="s">
        <v>6265</v>
      </c>
      <c r="B4983" s="1">
        <v>46058</v>
      </c>
      <c r="C4983" t="s">
        <v>24</v>
      </c>
      <c r="D4983" t="s">
        <v>100</v>
      </c>
      <c r="E4983" t="s">
        <v>26</v>
      </c>
      <c r="F4983" t="s">
        <v>83</v>
      </c>
      <c r="G4983" t="s">
        <v>84</v>
      </c>
      <c r="H4983" t="s">
        <v>85</v>
      </c>
      <c r="I4983" t="s">
        <v>104</v>
      </c>
      <c r="J4983" t="s">
        <v>105</v>
      </c>
      <c r="K4983" t="s">
        <v>32</v>
      </c>
      <c r="L4983" t="s">
        <v>33</v>
      </c>
      <c r="M4983" t="s">
        <v>34</v>
      </c>
      <c r="N4983" t="s">
        <v>35</v>
      </c>
      <c r="O4983" t="s">
        <v>36</v>
      </c>
      <c r="P4983" t="s">
        <v>49</v>
      </c>
      <c r="Q4983" t="s">
        <v>38</v>
      </c>
      <c r="R4983">
        <v>445</v>
      </c>
      <c r="S4983">
        <v>225</v>
      </c>
      <c r="T4983">
        <v>143</v>
      </c>
      <c r="U4983">
        <v>27</v>
      </c>
      <c r="V4983" t="s">
        <v>329</v>
      </c>
      <c r="W4983">
        <v>29340</v>
      </c>
      <c r="X4983" t="s">
        <v>5693</v>
      </c>
      <c r="Y4983">
        <v>26675</v>
      </c>
      <c r="Z4983">
        <v>792180</v>
      </c>
      <c r="AA4983">
        <v>71955</v>
      </c>
      <c r="AB4983" t="str">
        <f>(VLOOKUP(SalesData[[#This Row],[Month Number]],Reference!C$5:E$16,2,FALSE))</f>
        <v>Feb</v>
      </c>
      <c r="AC4983">
        <f>MONTH(SalesData[[#This Row],[Date]])</f>
        <v>2</v>
      </c>
      <c r="AD4983">
        <f>Reference!F$4</f>
        <v>2026</v>
      </c>
      <c r="AE4983" t="str">
        <f>IF(OR(SalesData[[#This Row],[Day]]="Saturday",SalesData[[#This Row],[Day]]="Sunday"),"Weekend","Weekday")</f>
        <v>Weekday</v>
      </c>
      <c r="AF4983" s="5">
        <f>IF(SalesData[[#This Row],[Contracts Offered]]=0,0,SalesData[[#This Row],[Contracts Signed]]/SalesData[[#This Row],[Contracts Offered]])</f>
        <v>0.1888111888111888</v>
      </c>
      <c r="AG4983" s="5">
        <f>IF(SalesData[[#This Row],[Customers Visited]]=0,0,SalesData[[#This Row],[Test Drives]]/SalesData[[#This Row],[Customers Visited]])</f>
        <v>0.5056179775280899</v>
      </c>
      <c r="AH4983" s="5">
        <f>IF(SalesData[[#This Row],[Customers Visited]]=0,0,SalesData[[#This Row],[Contracts Signed]]/SalesData[[#This Row],[Customers Visited]])</f>
        <v>6.0674157303370786E-2</v>
      </c>
      <c r="AI4983" s="6">
        <f>IF(SalesData[[#This Row],[Contracts Signed]]=0,0,SalesData[[#This Row],[Profit(€)]]/SalesData[[#This Row],[Contracts Signed]])</f>
        <v>2665</v>
      </c>
      <c r="AJ4983" s="5" t="str">
        <f>TRIM(CLEAN(SalesData[[#This Row],[Retailer]]))</f>
        <v>Hannover Cars</v>
      </c>
    </row>
    <row r="4984" spans="1:36" ht="14.25" hidden="1" x14ac:dyDescent="0.2">
      <c r="A4984" t="s">
        <v>6266</v>
      </c>
      <c r="B4984" s="1">
        <v>46077</v>
      </c>
      <c r="C4984" t="s">
        <v>53</v>
      </c>
      <c r="D4984" t="s">
        <v>63</v>
      </c>
      <c r="E4984" t="s">
        <v>26</v>
      </c>
      <c r="F4984" t="s">
        <v>101</v>
      </c>
      <c r="G4984" t="s">
        <v>102</v>
      </c>
      <c r="H4984" t="s">
        <v>103</v>
      </c>
      <c r="I4984" t="s">
        <v>64</v>
      </c>
      <c r="J4984" t="s">
        <v>7029</v>
      </c>
      <c r="K4984" t="s">
        <v>91</v>
      </c>
      <c r="L4984" t="s">
        <v>33</v>
      </c>
      <c r="M4984" t="s">
        <v>34</v>
      </c>
      <c r="N4984" t="s">
        <v>35</v>
      </c>
      <c r="O4984" t="s">
        <v>70</v>
      </c>
      <c r="P4984" t="s">
        <v>58</v>
      </c>
      <c r="Q4984" t="s">
        <v>38</v>
      </c>
      <c r="R4984">
        <v>238</v>
      </c>
      <c r="S4984">
        <v>126</v>
      </c>
      <c r="T4984">
        <v>84</v>
      </c>
      <c r="U4984">
        <v>30</v>
      </c>
      <c r="V4984" t="s">
        <v>6383</v>
      </c>
      <c r="W4984">
        <v>59209</v>
      </c>
      <c r="X4984" t="s">
        <v>7420</v>
      </c>
      <c r="Y4984">
        <v>45749</v>
      </c>
      <c r="Z4984">
        <v>1776270</v>
      </c>
      <c r="AA4984">
        <v>403800</v>
      </c>
      <c r="AB4984" t="str">
        <f>(VLOOKUP(SalesData[[#This Row],[Month Number]],Reference!C$5:E$16,2,FALSE))</f>
        <v>Feb</v>
      </c>
      <c r="AC4984">
        <f>MONTH(SalesData[[#This Row],[Date]])</f>
        <v>2</v>
      </c>
      <c r="AD4984">
        <f>Reference!F$4</f>
        <v>2026</v>
      </c>
      <c r="AE4984" t="str">
        <f>IF(OR(SalesData[[#This Row],[Day]]="Saturday",SalesData[[#This Row],[Day]]="Sunday"),"Weekend","Weekday")</f>
        <v>Weekday</v>
      </c>
      <c r="AF4984" s="5">
        <f>IF(SalesData[[#This Row],[Contracts Offered]]=0,0,SalesData[[#This Row],[Contracts Signed]]/SalesData[[#This Row],[Contracts Offered]])</f>
        <v>0.35714285714285715</v>
      </c>
      <c r="AG4984" s="5">
        <f>IF(SalesData[[#This Row],[Customers Visited]]=0,0,SalesData[[#This Row],[Test Drives]]/SalesData[[#This Row],[Customers Visited]])</f>
        <v>0.52941176470588236</v>
      </c>
      <c r="AH4984" s="5">
        <f>IF(SalesData[[#This Row],[Customers Visited]]=0,0,SalesData[[#This Row],[Contracts Signed]]/SalesData[[#This Row],[Customers Visited]])</f>
        <v>0.12605042016806722</v>
      </c>
      <c r="AI4984" s="6">
        <f>IF(SalesData[[#This Row],[Contracts Signed]]=0,0,SalesData[[#This Row],[Profit(€)]]/SalesData[[#This Row],[Contracts Signed]])</f>
        <v>13460</v>
      </c>
      <c r="AJ4984" s="5" t="str">
        <f>TRIM(CLEAN(SalesData[[#This Row],[Retailer]]))</f>
        <v>Ruhr Auto Plaza</v>
      </c>
    </row>
    <row r="4985" spans="1:36" ht="14.25" hidden="1" x14ac:dyDescent="0.2">
      <c r="A4985" t="s">
        <v>6267</v>
      </c>
      <c r="B4985" s="1">
        <v>46079</v>
      </c>
      <c r="C4985" t="s">
        <v>53</v>
      </c>
      <c r="D4985" t="s">
        <v>100</v>
      </c>
      <c r="E4985" t="s">
        <v>26</v>
      </c>
      <c r="F4985" t="s">
        <v>94</v>
      </c>
      <c r="G4985" t="s">
        <v>95</v>
      </c>
      <c r="H4985" t="s">
        <v>96</v>
      </c>
      <c r="I4985" t="s">
        <v>104</v>
      </c>
      <c r="J4985" t="s">
        <v>7061</v>
      </c>
      <c r="K4985" t="s">
        <v>66</v>
      </c>
      <c r="L4985" t="s">
        <v>46</v>
      </c>
      <c r="M4985" t="s">
        <v>68</v>
      </c>
      <c r="N4985" t="s">
        <v>35</v>
      </c>
      <c r="O4985" t="s">
        <v>70</v>
      </c>
      <c r="P4985" t="s">
        <v>71</v>
      </c>
      <c r="Q4985" t="s">
        <v>135</v>
      </c>
      <c r="R4985">
        <v>510</v>
      </c>
      <c r="S4985">
        <v>293</v>
      </c>
      <c r="T4985">
        <v>196</v>
      </c>
      <c r="U4985">
        <v>49</v>
      </c>
      <c r="V4985" t="s">
        <v>7647</v>
      </c>
      <c r="W4985">
        <v>30780</v>
      </c>
      <c r="X4985" t="s">
        <v>1017</v>
      </c>
      <c r="Y4985">
        <v>28009</v>
      </c>
      <c r="Z4985">
        <v>1508220</v>
      </c>
      <c r="AA4985">
        <v>135779</v>
      </c>
      <c r="AB4985" t="str">
        <f>(VLOOKUP(SalesData[[#This Row],[Month Number]],Reference!C$5:E$16,2,FALSE))</f>
        <v>Feb</v>
      </c>
      <c r="AC4985">
        <f>MONTH(SalesData[[#This Row],[Date]])</f>
        <v>2</v>
      </c>
      <c r="AD4985">
        <f>Reference!F$4</f>
        <v>2026</v>
      </c>
      <c r="AE4985" t="str">
        <f>IF(OR(SalesData[[#This Row],[Day]]="Saturday",SalesData[[#This Row],[Day]]="Sunday"),"Weekend","Weekday")</f>
        <v>Weekday</v>
      </c>
      <c r="AF4985" s="5">
        <f>IF(SalesData[[#This Row],[Contracts Offered]]=0,0,SalesData[[#This Row],[Contracts Signed]]/SalesData[[#This Row],[Contracts Offered]])</f>
        <v>0.25</v>
      </c>
      <c r="AG4985" s="5">
        <f>IF(SalesData[[#This Row],[Customers Visited]]=0,0,SalesData[[#This Row],[Test Drives]]/SalesData[[#This Row],[Customers Visited]])</f>
        <v>0.57450980392156858</v>
      </c>
      <c r="AH4985" s="5">
        <f>IF(SalesData[[#This Row],[Customers Visited]]=0,0,SalesData[[#This Row],[Contracts Signed]]/SalesData[[#This Row],[Customers Visited]])</f>
        <v>9.6078431372549025E-2</v>
      </c>
      <c r="AI4985" s="6">
        <f>IF(SalesData[[#This Row],[Contracts Signed]]=0,0,SalesData[[#This Row],[Profit(€)]]/SalesData[[#This Row],[Contracts Signed]])</f>
        <v>2771</v>
      </c>
      <c r="AJ4985" s="5" t="str">
        <f>TRIM(CLEAN(SalesData[[#This Row],[Retailer]]))</f>
        <v>Bavaria Motors</v>
      </c>
    </row>
    <row r="4986" spans="1:36" ht="14.25" hidden="1" x14ac:dyDescent="0.2">
      <c r="A4986" t="s">
        <v>6268</v>
      </c>
      <c r="B4986" s="1">
        <v>46059</v>
      </c>
      <c r="C4986" t="s">
        <v>24</v>
      </c>
      <c r="D4986" t="s">
        <v>54</v>
      </c>
      <c r="E4986" t="s">
        <v>26</v>
      </c>
      <c r="F4986" t="s">
        <v>94</v>
      </c>
      <c r="G4986" t="s">
        <v>95</v>
      </c>
      <c r="H4986" t="s">
        <v>96</v>
      </c>
      <c r="I4986" t="s">
        <v>64</v>
      </c>
      <c r="J4986" t="s">
        <v>111</v>
      </c>
      <c r="K4986" t="s">
        <v>78</v>
      </c>
      <c r="L4986" t="s">
        <v>46</v>
      </c>
      <c r="M4986" t="s">
        <v>87</v>
      </c>
      <c r="N4986" t="s">
        <v>48</v>
      </c>
      <c r="O4986" t="s">
        <v>36</v>
      </c>
      <c r="P4986" t="s">
        <v>49</v>
      </c>
      <c r="Q4986" t="s">
        <v>189</v>
      </c>
      <c r="R4986">
        <v>286</v>
      </c>
      <c r="S4986">
        <v>161</v>
      </c>
      <c r="T4986">
        <v>119</v>
      </c>
      <c r="U4986">
        <v>39</v>
      </c>
      <c r="V4986" t="s">
        <v>6536</v>
      </c>
      <c r="W4986">
        <v>59682</v>
      </c>
      <c r="X4986" t="s">
        <v>7083</v>
      </c>
      <c r="Y4986">
        <v>42767</v>
      </c>
      <c r="Z4986">
        <v>2327598</v>
      </c>
      <c r="AA4986">
        <v>659685</v>
      </c>
      <c r="AB4986" t="str">
        <f>(VLOOKUP(SalesData[[#This Row],[Month Number]],Reference!C$5:E$16,2,FALSE))</f>
        <v>Feb</v>
      </c>
      <c r="AC4986">
        <f>MONTH(SalesData[[#This Row],[Date]])</f>
        <v>2</v>
      </c>
      <c r="AD4986">
        <f>Reference!F$4</f>
        <v>2026</v>
      </c>
      <c r="AE4986" t="str">
        <f>IF(OR(SalesData[[#This Row],[Day]]="Saturday",SalesData[[#This Row],[Day]]="Sunday"),"Weekend","Weekday")</f>
        <v>Weekday</v>
      </c>
      <c r="AF4986" s="5">
        <f>IF(SalesData[[#This Row],[Contracts Offered]]=0,0,SalesData[[#This Row],[Contracts Signed]]/SalesData[[#This Row],[Contracts Offered]])</f>
        <v>0.32773109243697479</v>
      </c>
      <c r="AG4986" s="5">
        <f>IF(SalesData[[#This Row],[Customers Visited]]=0,0,SalesData[[#This Row],[Test Drives]]/SalesData[[#This Row],[Customers Visited]])</f>
        <v>0.56293706293706292</v>
      </c>
      <c r="AH4986" s="5">
        <f>IF(SalesData[[#This Row],[Customers Visited]]=0,0,SalesData[[#This Row],[Contracts Signed]]/SalesData[[#This Row],[Customers Visited]])</f>
        <v>0.13636363636363635</v>
      </c>
      <c r="AI4986" s="6">
        <f>IF(SalesData[[#This Row],[Contracts Signed]]=0,0,SalesData[[#This Row],[Profit(€)]]/SalesData[[#This Row],[Contracts Signed]])</f>
        <v>16915</v>
      </c>
      <c r="AJ4986" s="5" t="str">
        <f>TRIM(CLEAN(SalesData[[#This Row],[Retailer]]))</f>
        <v>Bavaria Motors</v>
      </c>
    </row>
    <row r="4987" spans="1:36" ht="14.25" hidden="1" x14ac:dyDescent="0.2">
      <c r="A4987" t="s">
        <v>6269</v>
      </c>
      <c r="B4987" s="1">
        <v>46069</v>
      </c>
      <c r="C4987" t="s">
        <v>62</v>
      </c>
      <c r="D4987" t="s">
        <v>25</v>
      </c>
      <c r="E4987" t="s">
        <v>26</v>
      </c>
      <c r="F4987" t="s">
        <v>74</v>
      </c>
      <c r="G4987" t="s">
        <v>75</v>
      </c>
      <c r="H4987" t="s">
        <v>76</v>
      </c>
      <c r="I4987" t="s">
        <v>116</v>
      </c>
      <c r="J4987" t="s">
        <v>203</v>
      </c>
      <c r="K4987" t="s">
        <v>78</v>
      </c>
      <c r="L4987" t="s">
        <v>67</v>
      </c>
      <c r="M4987" t="s">
        <v>68</v>
      </c>
      <c r="N4987" t="s">
        <v>35</v>
      </c>
      <c r="O4987" t="s">
        <v>36</v>
      </c>
      <c r="P4987" t="s">
        <v>58</v>
      </c>
      <c r="Q4987" t="s">
        <v>122</v>
      </c>
      <c r="R4987">
        <v>418</v>
      </c>
      <c r="S4987">
        <v>226</v>
      </c>
      <c r="T4987">
        <v>132</v>
      </c>
      <c r="U4987">
        <v>43</v>
      </c>
      <c r="V4987" t="s">
        <v>7648</v>
      </c>
      <c r="W4987">
        <v>21945</v>
      </c>
      <c r="X4987" t="s">
        <v>2587</v>
      </c>
      <c r="Y4987">
        <v>20147</v>
      </c>
      <c r="Z4987">
        <v>943635</v>
      </c>
      <c r="AA4987">
        <v>77314</v>
      </c>
      <c r="AB4987" t="str">
        <f>(VLOOKUP(SalesData[[#This Row],[Month Number]],Reference!C$5:E$16,2,FALSE))</f>
        <v>Feb</v>
      </c>
      <c r="AC4987">
        <f>MONTH(SalesData[[#This Row],[Date]])</f>
        <v>2</v>
      </c>
      <c r="AD4987">
        <f>Reference!F$4</f>
        <v>2026</v>
      </c>
      <c r="AE4987" t="str">
        <f>IF(OR(SalesData[[#This Row],[Day]]="Saturday",SalesData[[#This Row],[Day]]="Sunday"),"Weekend","Weekday")</f>
        <v>Weekday</v>
      </c>
      <c r="AF4987" s="5">
        <f>IF(SalesData[[#This Row],[Contracts Offered]]=0,0,SalesData[[#This Row],[Contracts Signed]]/SalesData[[#This Row],[Contracts Offered]])</f>
        <v>0.32575757575757575</v>
      </c>
      <c r="AG4987" s="5">
        <f>IF(SalesData[[#This Row],[Customers Visited]]=0,0,SalesData[[#This Row],[Test Drives]]/SalesData[[#This Row],[Customers Visited]])</f>
        <v>0.54066985645933019</v>
      </c>
      <c r="AH4987" s="5">
        <f>IF(SalesData[[#This Row],[Customers Visited]]=0,0,SalesData[[#This Row],[Contracts Signed]]/SalesData[[#This Row],[Customers Visited]])</f>
        <v>0.10287081339712918</v>
      </c>
      <c r="AI4987" s="6">
        <f>IF(SalesData[[#This Row],[Contracts Signed]]=0,0,SalesData[[#This Row],[Profit(€)]]/SalesData[[#This Row],[Contracts Signed]])</f>
        <v>1798</v>
      </c>
      <c r="AJ4987" s="5" t="str">
        <f>TRIM(CLEAN(SalesData[[#This Row],[Retailer]]))</f>
        <v>Stuttgart Auto Center</v>
      </c>
    </row>
    <row r="4988" spans="1:36" ht="14.25" x14ac:dyDescent="0.2">
      <c r="A4988" t="s">
        <v>6270</v>
      </c>
      <c r="B4988" s="1">
        <v>46060</v>
      </c>
      <c r="C4988" t="s">
        <v>24</v>
      </c>
      <c r="D4988" t="s">
        <v>151</v>
      </c>
      <c r="E4988" t="s">
        <v>42</v>
      </c>
      <c r="F4988" t="s">
        <v>109</v>
      </c>
      <c r="G4988" t="s">
        <v>110</v>
      </c>
      <c r="H4988" t="s">
        <v>45</v>
      </c>
      <c r="I4988" t="s">
        <v>30</v>
      </c>
      <c r="J4988" t="s">
        <v>86</v>
      </c>
      <c r="K4988" t="s">
        <v>78</v>
      </c>
      <c r="L4988" t="s">
        <v>33</v>
      </c>
      <c r="M4988" t="s">
        <v>87</v>
      </c>
      <c r="N4988" t="s">
        <v>35</v>
      </c>
      <c r="O4988" t="s">
        <v>70</v>
      </c>
      <c r="P4988" t="s">
        <v>37</v>
      </c>
      <c r="Q4988" t="s">
        <v>135</v>
      </c>
      <c r="R4988">
        <v>195</v>
      </c>
      <c r="S4988">
        <v>116</v>
      </c>
      <c r="T4988">
        <v>86</v>
      </c>
      <c r="U4988">
        <v>30</v>
      </c>
      <c r="V4988" t="s">
        <v>6787</v>
      </c>
      <c r="W4988">
        <v>51015</v>
      </c>
      <c r="X4988" t="s">
        <v>3496</v>
      </c>
      <c r="Y4988">
        <v>39083</v>
      </c>
      <c r="Z4988">
        <v>1530450</v>
      </c>
      <c r="AA4988">
        <v>357960</v>
      </c>
      <c r="AB4988" t="str">
        <f>(VLOOKUP(SalesData[[#This Row],[Month Number]],Reference!C$5:E$16,2,FALSE))</f>
        <v>Feb</v>
      </c>
      <c r="AC4988">
        <f>MONTH(SalesData[[#This Row],[Date]])</f>
        <v>2</v>
      </c>
      <c r="AD4988">
        <f>Reference!F$4</f>
        <v>2026</v>
      </c>
      <c r="AE4988" t="str">
        <f>IF(OR(SalesData[[#This Row],[Day]]="Saturday",SalesData[[#This Row],[Day]]="Sunday"),"Weekend","Weekday")</f>
        <v>Weekend</v>
      </c>
      <c r="AF4988" s="5">
        <f>IF(SalesData[[#This Row],[Contracts Offered]]=0,0,SalesData[[#This Row],[Contracts Signed]]/SalesData[[#This Row],[Contracts Offered]])</f>
        <v>0.34883720930232559</v>
      </c>
      <c r="AG4988" s="5">
        <f>IF(SalesData[[#This Row],[Customers Visited]]=0,0,SalesData[[#This Row],[Test Drives]]/SalesData[[#This Row],[Customers Visited]])</f>
        <v>0.59487179487179487</v>
      </c>
      <c r="AH4988" s="5">
        <f>IF(SalesData[[#This Row],[Customers Visited]]=0,0,SalesData[[#This Row],[Contracts Signed]]/SalesData[[#This Row],[Customers Visited]])</f>
        <v>0.15384615384615385</v>
      </c>
      <c r="AI4988" s="6">
        <f>IF(SalesData[[#This Row],[Contracts Signed]]=0,0,SalesData[[#This Row],[Profit(€)]]/SalesData[[#This Row],[Contracts Signed]])</f>
        <v>11932</v>
      </c>
      <c r="AJ4988" s="5" t="str">
        <f>TRIM(CLEAN(SalesData[[#This Row],[Retailer]]))</f>
        <v>Leipzig Mobility</v>
      </c>
    </row>
    <row r="4989" spans="1:36" ht="14.25" hidden="1" x14ac:dyDescent="0.2">
      <c r="A4989" t="s">
        <v>6271</v>
      </c>
      <c r="B4989" s="1">
        <v>46072</v>
      </c>
      <c r="C4989" t="s">
        <v>62</v>
      </c>
      <c r="D4989" t="s">
        <v>100</v>
      </c>
      <c r="E4989" t="s">
        <v>26</v>
      </c>
      <c r="F4989" t="s">
        <v>109</v>
      </c>
      <c r="G4989" t="s">
        <v>110</v>
      </c>
      <c r="H4989" t="s">
        <v>45</v>
      </c>
      <c r="I4989" t="s">
        <v>56</v>
      </c>
      <c r="J4989" t="s">
        <v>7028</v>
      </c>
      <c r="K4989" t="s">
        <v>78</v>
      </c>
      <c r="L4989" t="s">
        <v>46</v>
      </c>
      <c r="M4989" t="s">
        <v>34</v>
      </c>
      <c r="N4989" t="s">
        <v>69</v>
      </c>
      <c r="O4989" t="s">
        <v>70</v>
      </c>
      <c r="P4989" t="s">
        <v>37</v>
      </c>
      <c r="Q4989" t="s">
        <v>152</v>
      </c>
      <c r="R4989">
        <v>214</v>
      </c>
      <c r="S4989">
        <v>123</v>
      </c>
      <c r="T4989">
        <v>80</v>
      </c>
      <c r="U4989">
        <v>22</v>
      </c>
      <c r="V4989" t="s">
        <v>812</v>
      </c>
      <c r="W4989">
        <v>52398</v>
      </c>
      <c r="X4989" t="s">
        <v>3042</v>
      </c>
      <c r="Y4989">
        <v>42591</v>
      </c>
      <c r="Z4989">
        <v>1152756</v>
      </c>
      <c r="AA4989">
        <v>215754</v>
      </c>
      <c r="AB4989" t="str">
        <f>(VLOOKUP(SalesData[[#This Row],[Month Number]],Reference!C$5:E$16,2,FALSE))</f>
        <v>Feb</v>
      </c>
      <c r="AC4989">
        <f>MONTH(SalesData[[#This Row],[Date]])</f>
        <v>2</v>
      </c>
      <c r="AD4989">
        <f>Reference!F$4</f>
        <v>2026</v>
      </c>
      <c r="AE4989" t="str">
        <f>IF(OR(SalesData[[#This Row],[Day]]="Saturday",SalesData[[#This Row],[Day]]="Sunday"),"Weekend","Weekday")</f>
        <v>Weekday</v>
      </c>
      <c r="AF4989" s="5">
        <f>IF(SalesData[[#This Row],[Contracts Offered]]=0,0,SalesData[[#This Row],[Contracts Signed]]/SalesData[[#This Row],[Contracts Offered]])</f>
        <v>0.27500000000000002</v>
      </c>
      <c r="AG4989" s="5">
        <f>IF(SalesData[[#This Row],[Customers Visited]]=0,0,SalesData[[#This Row],[Test Drives]]/SalesData[[#This Row],[Customers Visited]])</f>
        <v>0.57476635514018692</v>
      </c>
      <c r="AH4989" s="5">
        <f>IF(SalesData[[#This Row],[Customers Visited]]=0,0,SalesData[[#This Row],[Contracts Signed]]/SalesData[[#This Row],[Customers Visited]])</f>
        <v>0.10280373831775701</v>
      </c>
      <c r="AI4989" s="6">
        <f>IF(SalesData[[#This Row],[Contracts Signed]]=0,0,SalesData[[#This Row],[Profit(€)]]/SalesData[[#This Row],[Contracts Signed]])</f>
        <v>9807</v>
      </c>
      <c r="AJ4989" s="5" t="str">
        <f>TRIM(CLEAN(SalesData[[#This Row],[Retailer]]))</f>
        <v>Leipzig Mobility</v>
      </c>
    </row>
    <row r="4990" spans="1:36" ht="14.25" hidden="1" x14ac:dyDescent="0.2">
      <c r="A4990" t="s">
        <v>6272</v>
      </c>
      <c r="B4990" s="1">
        <v>46063</v>
      </c>
      <c r="C4990" t="s">
        <v>121</v>
      </c>
      <c r="D4990" t="s">
        <v>63</v>
      </c>
      <c r="E4990" t="s">
        <v>26</v>
      </c>
      <c r="F4990" t="s">
        <v>114</v>
      </c>
      <c r="G4990" t="s">
        <v>115</v>
      </c>
      <c r="H4990" t="s">
        <v>115</v>
      </c>
      <c r="I4990" t="s">
        <v>56</v>
      </c>
      <c r="J4990" t="s">
        <v>7028</v>
      </c>
      <c r="K4990" t="s">
        <v>78</v>
      </c>
      <c r="L4990" t="s">
        <v>46</v>
      </c>
      <c r="M4990" t="s">
        <v>68</v>
      </c>
      <c r="N4990" t="s">
        <v>48</v>
      </c>
      <c r="O4990" t="s">
        <v>36</v>
      </c>
      <c r="P4990" t="s">
        <v>37</v>
      </c>
      <c r="Q4990" t="s">
        <v>88</v>
      </c>
      <c r="R4990">
        <v>276</v>
      </c>
      <c r="S4990">
        <v>172</v>
      </c>
      <c r="T4990">
        <v>111</v>
      </c>
      <c r="U4990">
        <v>37</v>
      </c>
      <c r="V4990" t="s">
        <v>6885</v>
      </c>
      <c r="W4990">
        <v>47556</v>
      </c>
      <c r="X4990" t="s">
        <v>7056</v>
      </c>
      <c r="Y4990">
        <v>38564</v>
      </c>
      <c r="Z4990">
        <v>1759572</v>
      </c>
      <c r="AA4990">
        <v>332704</v>
      </c>
      <c r="AB4990" t="str">
        <f>(VLOOKUP(SalesData[[#This Row],[Month Number]],Reference!C$5:E$16,2,FALSE))</f>
        <v>Feb</v>
      </c>
      <c r="AC4990">
        <f>MONTH(SalesData[[#This Row],[Date]])</f>
        <v>2</v>
      </c>
      <c r="AD4990">
        <f>Reference!F$4</f>
        <v>2026</v>
      </c>
      <c r="AE4990" t="str">
        <f>IF(OR(SalesData[[#This Row],[Day]]="Saturday",SalesData[[#This Row],[Day]]="Sunday"),"Weekend","Weekday")</f>
        <v>Weekday</v>
      </c>
      <c r="AF4990" s="5">
        <f>IF(SalesData[[#This Row],[Contracts Offered]]=0,0,SalesData[[#This Row],[Contracts Signed]]/SalesData[[#This Row],[Contracts Offered]])</f>
        <v>0.33333333333333331</v>
      </c>
      <c r="AG4990" s="5">
        <f>IF(SalesData[[#This Row],[Customers Visited]]=0,0,SalesData[[#This Row],[Test Drives]]/SalesData[[#This Row],[Customers Visited]])</f>
        <v>0.62318840579710144</v>
      </c>
      <c r="AH4990" s="5">
        <f>IF(SalesData[[#This Row],[Customers Visited]]=0,0,SalesData[[#This Row],[Contracts Signed]]/SalesData[[#This Row],[Customers Visited]])</f>
        <v>0.13405797101449277</v>
      </c>
      <c r="AI4990" s="6">
        <f>IF(SalesData[[#This Row],[Contracts Signed]]=0,0,SalesData[[#This Row],[Profit(€)]]/SalesData[[#This Row],[Contracts Signed]])</f>
        <v>8992</v>
      </c>
      <c r="AJ4990" s="5" t="str">
        <f>TRIM(CLEAN(SalesData[[#This Row],[Retailer]]))</f>
        <v>Elbe Drive</v>
      </c>
    </row>
    <row r="4991" spans="1:36" ht="14.25" hidden="1" x14ac:dyDescent="0.2">
      <c r="A4991" t="s">
        <v>6273</v>
      </c>
      <c r="B4991" s="1">
        <v>46071</v>
      </c>
      <c r="C4991" t="s">
        <v>62</v>
      </c>
      <c r="D4991" t="s">
        <v>82</v>
      </c>
      <c r="E4991" t="s">
        <v>26</v>
      </c>
      <c r="F4991" t="s">
        <v>7649</v>
      </c>
      <c r="G4991" t="s">
        <v>55</v>
      </c>
      <c r="H4991" t="s">
        <v>55</v>
      </c>
      <c r="I4991" t="s">
        <v>116</v>
      </c>
      <c r="J4991" t="s">
        <v>132</v>
      </c>
      <c r="K4991" t="s">
        <v>66</v>
      </c>
      <c r="L4991" t="s">
        <v>46</v>
      </c>
      <c r="M4991" t="s">
        <v>68</v>
      </c>
      <c r="N4991" t="s">
        <v>69</v>
      </c>
      <c r="O4991" t="s">
        <v>70</v>
      </c>
      <c r="P4991" t="s">
        <v>49</v>
      </c>
      <c r="Q4991" t="s">
        <v>122</v>
      </c>
      <c r="R4991">
        <v>334</v>
      </c>
      <c r="S4991">
        <v>139</v>
      </c>
      <c r="T4991">
        <v>85</v>
      </c>
      <c r="U4991">
        <v>23</v>
      </c>
      <c r="V4991" t="s">
        <v>725</v>
      </c>
      <c r="W4991">
        <v>26726</v>
      </c>
      <c r="X4991" t="s">
        <v>5113</v>
      </c>
      <c r="Y4991">
        <v>24822</v>
      </c>
      <c r="Z4991">
        <v>614698</v>
      </c>
      <c r="AA4991">
        <v>43792</v>
      </c>
      <c r="AB4991" t="str">
        <f>(VLOOKUP(SalesData[[#This Row],[Month Number]],Reference!C$5:E$16,2,FALSE))</f>
        <v>Feb</v>
      </c>
      <c r="AC4991">
        <f>MONTH(SalesData[[#This Row],[Date]])</f>
        <v>2</v>
      </c>
      <c r="AD4991">
        <f>Reference!F$4</f>
        <v>2026</v>
      </c>
      <c r="AE4991" t="str">
        <f>IF(OR(SalesData[[#This Row],[Day]]="Saturday",SalesData[[#This Row],[Day]]="Sunday"),"Weekend","Weekday")</f>
        <v>Weekday</v>
      </c>
      <c r="AF4991" s="5">
        <f>IF(SalesData[[#This Row],[Contracts Offered]]=0,0,SalesData[[#This Row],[Contracts Signed]]/SalesData[[#This Row],[Contracts Offered]])</f>
        <v>0.27058823529411763</v>
      </c>
      <c r="AG4991" s="5">
        <f>IF(SalesData[[#This Row],[Customers Visited]]=0,0,SalesData[[#This Row],[Test Drives]]/SalesData[[#This Row],[Customers Visited]])</f>
        <v>0.41616766467065869</v>
      </c>
      <c r="AH4991" s="5">
        <f>IF(SalesData[[#This Row],[Customers Visited]]=0,0,SalesData[[#This Row],[Contracts Signed]]/SalesData[[#This Row],[Customers Visited]])</f>
        <v>6.8862275449101798E-2</v>
      </c>
      <c r="AI4991" s="6">
        <f>IF(SalesData[[#This Row],[Contracts Signed]]=0,0,SalesData[[#This Row],[Profit(€)]]/SalesData[[#This Row],[Contracts Signed]])</f>
        <v>1904</v>
      </c>
      <c r="AJ4991" s="5" t="str">
        <f>TRIM(CLEAN(SalesData[[#This Row],[Retailer]]))</f>
        <v>Autohaus Berlin</v>
      </c>
    </row>
    <row r="4992" spans="1:36" ht="14.25" hidden="1" x14ac:dyDescent="0.2">
      <c r="A4992" t="s">
        <v>6274</v>
      </c>
      <c r="B4992" s="1">
        <v>46065</v>
      </c>
      <c r="C4992" t="s">
        <v>121</v>
      </c>
      <c r="D4992" t="s">
        <v>100</v>
      </c>
      <c r="E4992" t="s">
        <v>26</v>
      </c>
      <c r="F4992" t="s">
        <v>74</v>
      </c>
      <c r="G4992" t="s">
        <v>75</v>
      </c>
      <c r="H4992" t="s">
        <v>76</v>
      </c>
      <c r="I4992" t="s">
        <v>104</v>
      </c>
      <c r="J4992" t="s">
        <v>105</v>
      </c>
      <c r="K4992" t="s">
        <v>66</v>
      </c>
      <c r="L4992" t="s">
        <v>33</v>
      </c>
      <c r="M4992" t="s">
        <v>47</v>
      </c>
      <c r="N4992" t="s">
        <v>48</v>
      </c>
      <c r="O4992" t="s">
        <v>36</v>
      </c>
      <c r="P4992" t="s">
        <v>58</v>
      </c>
      <c r="Q4992" t="s">
        <v>59</v>
      </c>
      <c r="R4992">
        <v>272</v>
      </c>
      <c r="S4992">
        <v>110</v>
      </c>
      <c r="T4992">
        <v>77</v>
      </c>
      <c r="U4992">
        <v>21</v>
      </c>
      <c r="V4992" t="s">
        <v>494</v>
      </c>
      <c r="W4992">
        <v>29052</v>
      </c>
      <c r="X4992" t="s">
        <v>3629</v>
      </c>
      <c r="Y4992">
        <v>25845</v>
      </c>
      <c r="Z4992">
        <v>610092</v>
      </c>
      <c r="AA4992">
        <v>67347</v>
      </c>
      <c r="AB4992" t="str">
        <f>(VLOOKUP(SalesData[[#This Row],[Month Number]],Reference!C$5:E$16,2,FALSE))</f>
        <v>Feb</v>
      </c>
      <c r="AC4992">
        <f>MONTH(SalesData[[#This Row],[Date]])</f>
        <v>2</v>
      </c>
      <c r="AD4992">
        <f>Reference!F$4</f>
        <v>2026</v>
      </c>
      <c r="AE4992" t="str">
        <f>IF(OR(SalesData[[#This Row],[Day]]="Saturday",SalesData[[#This Row],[Day]]="Sunday"),"Weekend","Weekday")</f>
        <v>Weekday</v>
      </c>
      <c r="AF4992" s="5">
        <f>IF(SalesData[[#This Row],[Contracts Offered]]=0,0,SalesData[[#This Row],[Contracts Signed]]/SalesData[[#This Row],[Contracts Offered]])</f>
        <v>0.27272727272727271</v>
      </c>
      <c r="AG4992" s="5">
        <f>IF(SalesData[[#This Row],[Customers Visited]]=0,0,SalesData[[#This Row],[Test Drives]]/SalesData[[#This Row],[Customers Visited]])</f>
        <v>0.40441176470588236</v>
      </c>
      <c r="AH4992" s="5">
        <f>IF(SalesData[[#This Row],[Customers Visited]]=0,0,SalesData[[#This Row],[Contracts Signed]]/SalesData[[#This Row],[Customers Visited]])</f>
        <v>7.720588235294118E-2</v>
      </c>
      <c r="AI4992" s="6">
        <f>IF(SalesData[[#This Row],[Contracts Signed]]=0,0,SalesData[[#This Row],[Profit(€)]]/SalesData[[#This Row],[Contracts Signed]])</f>
        <v>3207</v>
      </c>
      <c r="AJ4992" s="5" t="str">
        <f>TRIM(CLEAN(SalesData[[#This Row],[Retailer]]))</f>
        <v>Stuttgart Auto Center</v>
      </c>
    </row>
    <row r="4993" spans="1:36" ht="14.25" hidden="1" x14ac:dyDescent="0.2">
      <c r="A4993" t="s">
        <v>6275</v>
      </c>
      <c r="B4993" s="1">
        <v>46056</v>
      </c>
      <c r="C4993" t="s">
        <v>24</v>
      </c>
      <c r="D4993" t="s">
        <v>63</v>
      </c>
      <c r="E4993" t="s">
        <v>26</v>
      </c>
      <c r="F4993" t="s">
        <v>109</v>
      </c>
      <c r="G4993" t="s">
        <v>110</v>
      </c>
      <c r="H4993" t="s">
        <v>45</v>
      </c>
      <c r="I4993" t="s">
        <v>116</v>
      </c>
      <c r="J4993" t="s">
        <v>132</v>
      </c>
      <c r="K4993" t="s">
        <v>78</v>
      </c>
      <c r="L4993" t="s">
        <v>46</v>
      </c>
      <c r="M4993" t="s">
        <v>87</v>
      </c>
      <c r="N4993" t="s">
        <v>48</v>
      </c>
      <c r="O4993" t="s">
        <v>70</v>
      </c>
      <c r="P4993" t="s">
        <v>37</v>
      </c>
      <c r="Q4993" t="s">
        <v>204</v>
      </c>
      <c r="R4993">
        <v>354</v>
      </c>
      <c r="S4993">
        <v>161</v>
      </c>
      <c r="T4993">
        <v>108</v>
      </c>
      <c r="U4993">
        <v>22</v>
      </c>
      <c r="V4993" t="s">
        <v>1385</v>
      </c>
      <c r="W4993">
        <v>22718</v>
      </c>
      <c r="X4993" t="s">
        <v>1575</v>
      </c>
      <c r="Y4993">
        <v>20975</v>
      </c>
      <c r="Z4993">
        <v>499796</v>
      </c>
      <c r="AA4993">
        <v>38346</v>
      </c>
      <c r="AB4993" t="str">
        <f>(VLOOKUP(SalesData[[#This Row],[Month Number]],Reference!C$5:E$16,2,FALSE))</f>
        <v>Feb</v>
      </c>
      <c r="AC4993">
        <f>MONTH(SalesData[[#This Row],[Date]])</f>
        <v>2</v>
      </c>
      <c r="AD4993">
        <f>Reference!F$4</f>
        <v>2026</v>
      </c>
      <c r="AE4993" t="str">
        <f>IF(OR(SalesData[[#This Row],[Day]]="Saturday",SalesData[[#This Row],[Day]]="Sunday"),"Weekend","Weekday")</f>
        <v>Weekday</v>
      </c>
      <c r="AF4993" s="5">
        <f>IF(SalesData[[#This Row],[Contracts Offered]]=0,0,SalesData[[#This Row],[Contracts Signed]]/SalesData[[#This Row],[Contracts Offered]])</f>
        <v>0.20370370370370369</v>
      </c>
      <c r="AG4993" s="5">
        <f>IF(SalesData[[#This Row],[Customers Visited]]=0,0,SalesData[[#This Row],[Test Drives]]/SalesData[[#This Row],[Customers Visited]])</f>
        <v>0.45480225988700562</v>
      </c>
      <c r="AH4993" s="5">
        <f>IF(SalesData[[#This Row],[Customers Visited]]=0,0,SalesData[[#This Row],[Contracts Signed]]/SalesData[[#This Row],[Customers Visited]])</f>
        <v>6.2146892655367235E-2</v>
      </c>
      <c r="AI4993" s="6">
        <f>IF(SalesData[[#This Row],[Contracts Signed]]=0,0,SalesData[[#This Row],[Profit(€)]]/SalesData[[#This Row],[Contracts Signed]])</f>
        <v>1743</v>
      </c>
      <c r="AJ4993" s="5" t="str">
        <f>TRIM(CLEAN(SalesData[[#This Row],[Retailer]]))</f>
        <v>Leipzig Mobility</v>
      </c>
    </row>
    <row r="4994" spans="1:36" ht="14.25" hidden="1" x14ac:dyDescent="0.2">
      <c r="A4994" t="s">
        <v>6276</v>
      </c>
      <c r="B4994" s="1">
        <v>46056</v>
      </c>
      <c r="C4994" t="s">
        <v>24</v>
      </c>
      <c r="D4994" t="s">
        <v>63</v>
      </c>
      <c r="E4994" t="s">
        <v>26</v>
      </c>
      <c r="F4994" t="s">
        <v>101</v>
      </c>
      <c r="G4994" t="s">
        <v>102</v>
      </c>
      <c r="H4994" t="s">
        <v>103</v>
      </c>
      <c r="I4994" t="s">
        <v>64</v>
      </c>
      <c r="J4994" t="s">
        <v>77</v>
      </c>
      <c r="K4994" t="s">
        <v>32</v>
      </c>
      <c r="L4994" t="s">
        <v>46</v>
      </c>
      <c r="M4994" t="s">
        <v>34</v>
      </c>
      <c r="N4994" t="s">
        <v>35</v>
      </c>
      <c r="O4994" t="s">
        <v>36</v>
      </c>
      <c r="P4994" t="s">
        <v>71</v>
      </c>
      <c r="Q4994" t="s">
        <v>189</v>
      </c>
      <c r="R4994">
        <v>152</v>
      </c>
      <c r="S4994">
        <v>74</v>
      </c>
      <c r="T4994">
        <v>52</v>
      </c>
      <c r="U4994">
        <v>17</v>
      </c>
      <c r="V4994" t="s">
        <v>6650</v>
      </c>
      <c r="W4994">
        <v>61830</v>
      </c>
      <c r="X4994" t="s">
        <v>7114</v>
      </c>
      <c r="Y4994">
        <v>44965</v>
      </c>
      <c r="Z4994">
        <v>1051110</v>
      </c>
      <c r="AA4994">
        <v>286705</v>
      </c>
      <c r="AB4994" t="str">
        <f>(VLOOKUP(SalesData[[#This Row],[Month Number]],Reference!C$5:E$16,2,FALSE))</f>
        <v>Feb</v>
      </c>
      <c r="AC4994">
        <f>MONTH(SalesData[[#This Row],[Date]])</f>
        <v>2</v>
      </c>
      <c r="AD4994">
        <f>Reference!F$4</f>
        <v>2026</v>
      </c>
      <c r="AE4994" t="str">
        <f>IF(OR(SalesData[[#This Row],[Day]]="Saturday",SalesData[[#This Row],[Day]]="Sunday"),"Weekend","Weekday")</f>
        <v>Weekday</v>
      </c>
      <c r="AF4994" s="5">
        <f>IF(SalesData[[#This Row],[Contracts Offered]]=0,0,SalesData[[#This Row],[Contracts Signed]]/SalesData[[#This Row],[Contracts Offered]])</f>
        <v>0.32692307692307693</v>
      </c>
      <c r="AG4994" s="5">
        <f>IF(SalesData[[#This Row],[Customers Visited]]=0,0,SalesData[[#This Row],[Test Drives]]/SalesData[[#This Row],[Customers Visited]])</f>
        <v>0.48684210526315791</v>
      </c>
      <c r="AH4994" s="5">
        <f>IF(SalesData[[#This Row],[Customers Visited]]=0,0,SalesData[[#This Row],[Contracts Signed]]/SalesData[[#This Row],[Customers Visited]])</f>
        <v>0.1118421052631579</v>
      </c>
      <c r="AI4994" s="6">
        <f>IF(SalesData[[#This Row],[Contracts Signed]]=0,0,SalesData[[#This Row],[Profit(€)]]/SalesData[[#This Row],[Contracts Signed]])</f>
        <v>16865</v>
      </c>
      <c r="AJ4994" s="5" t="str">
        <f>TRIM(CLEAN(SalesData[[#This Row],[Retailer]]))</f>
        <v>Ruhr Auto Plaza</v>
      </c>
    </row>
    <row r="4995" spans="1:36" ht="14.25" hidden="1" x14ac:dyDescent="0.2">
      <c r="A4995" t="s">
        <v>6277</v>
      </c>
      <c r="B4995" s="1">
        <v>46059</v>
      </c>
      <c r="C4995" t="s">
        <v>24</v>
      </c>
      <c r="D4995" t="s">
        <v>54</v>
      </c>
      <c r="E4995" t="s">
        <v>26</v>
      </c>
      <c r="F4995" t="s">
        <v>109</v>
      </c>
      <c r="G4995" t="s">
        <v>110</v>
      </c>
      <c r="H4995" t="s">
        <v>45</v>
      </c>
      <c r="I4995" t="s">
        <v>56</v>
      </c>
      <c r="J4995" t="s">
        <v>179</v>
      </c>
      <c r="K4995" t="s">
        <v>32</v>
      </c>
      <c r="L4995" t="s">
        <v>67</v>
      </c>
      <c r="M4995" t="s">
        <v>47</v>
      </c>
      <c r="N4995" t="s">
        <v>48</v>
      </c>
      <c r="O4995" t="s">
        <v>70</v>
      </c>
      <c r="P4995" t="s">
        <v>71</v>
      </c>
      <c r="Q4995" t="s">
        <v>169</v>
      </c>
      <c r="R4995">
        <v>261</v>
      </c>
      <c r="S4995">
        <v>162</v>
      </c>
      <c r="T4995">
        <v>105</v>
      </c>
      <c r="U4995">
        <v>36</v>
      </c>
      <c r="V4995" t="s">
        <v>6433</v>
      </c>
      <c r="W4995">
        <v>49767</v>
      </c>
      <c r="X4995" t="s">
        <v>923</v>
      </c>
      <c r="Y4995">
        <v>38901</v>
      </c>
      <c r="Z4995">
        <v>1791612</v>
      </c>
      <c r="AA4995">
        <v>391176</v>
      </c>
      <c r="AB4995" t="str">
        <f>(VLOOKUP(SalesData[[#This Row],[Month Number]],Reference!C$5:E$16,2,FALSE))</f>
        <v>Feb</v>
      </c>
      <c r="AC4995">
        <f>MONTH(SalesData[[#This Row],[Date]])</f>
        <v>2</v>
      </c>
      <c r="AD4995">
        <f>Reference!F$4</f>
        <v>2026</v>
      </c>
      <c r="AE4995" t="str">
        <f>IF(OR(SalesData[[#This Row],[Day]]="Saturday",SalesData[[#This Row],[Day]]="Sunday"),"Weekend","Weekday")</f>
        <v>Weekday</v>
      </c>
      <c r="AF4995" s="5">
        <f>IF(SalesData[[#This Row],[Contracts Offered]]=0,0,SalesData[[#This Row],[Contracts Signed]]/SalesData[[#This Row],[Contracts Offered]])</f>
        <v>0.34285714285714286</v>
      </c>
      <c r="AG4995" s="5">
        <f>IF(SalesData[[#This Row],[Customers Visited]]=0,0,SalesData[[#This Row],[Test Drives]]/SalesData[[#This Row],[Customers Visited]])</f>
        <v>0.62068965517241381</v>
      </c>
      <c r="AH4995" s="5">
        <f>IF(SalesData[[#This Row],[Customers Visited]]=0,0,SalesData[[#This Row],[Contracts Signed]]/SalesData[[#This Row],[Customers Visited]])</f>
        <v>0.13793103448275862</v>
      </c>
      <c r="AI4995" s="6">
        <f>IF(SalesData[[#This Row],[Contracts Signed]]=0,0,SalesData[[#This Row],[Profit(€)]]/SalesData[[#This Row],[Contracts Signed]])</f>
        <v>10866</v>
      </c>
      <c r="AJ4995" s="5" t="str">
        <f>TRIM(CLEAN(SalesData[[#This Row],[Retailer]]))</f>
        <v>Leipzig Mobility</v>
      </c>
    </row>
    <row r="4996" spans="1:36" ht="14.25" hidden="1" x14ac:dyDescent="0.2">
      <c r="A4996" t="s">
        <v>6278</v>
      </c>
      <c r="B4996" s="1">
        <v>46071</v>
      </c>
      <c r="C4996" t="s">
        <v>62</v>
      </c>
      <c r="D4996" t="s">
        <v>82</v>
      </c>
      <c r="E4996" t="s">
        <v>26</v>
      </c>
      <c r="F4996" t="s">
        <v>27</v>
      </c>
      <c r="G4996" t="s">
        <v>28</v>
      </c>
      <c r="H4996" t="s">
        <v>29</v>
      </c>
      <c r="I4996" t="s">
        <v>56</v>
      </c>
      <c r="J4996" t="s">
        <v>7028</v>
      </c>
      <c r="K4996" t="s">
        <v>78</v>
      </c>
      <c r="L4996" t="s">
        <v>46</v>
      </c>
      <c r="M4996" t="s">
        <v>47</v>
      </c>
      <c r="N4996" t="s">
        <v>35</v>
      </c>
      <c r="O4996" t="s">
        <v>70</v>
      </c>
      <c r="P4996" t="s">
        <v>58</v>
      </c>
      <c r="Q4996" t="s">
        <v>240</v>
      </c>
      <c r="R4996">
        <v>173</v>
      </c>
      <c r="S4996">
        <v>80</v>
      </c>
      <c r="T4996">
        <v>54</v>
      </c>
      <c r="U4996">
        <v>18</v>
      </c>
      <c r="V4996" t="s">
        <v>6870</v>
      </c>
      <c r="W4996">
        <v>53140</v>
      </c>
      <c r="X4996" t="s">
        <v>2796</v>
      </c>
      <c r="Y4996">
        <v>40269</v>
      </c>
      <c r="Z4996">
        <v>956520</v>
      </c>
      <c r="AA4996">
        <v>231678</v>
      </c>
      <c r="AB4996" t="str">
        <f>(VLOOKUP(SalesData[[#This Row],[Month Number]],Reference!C$5:E$16,2,FALSE))</f>
        <v>Feb</v>
      </c>
      <c r="AC4996">
        <f>MONTH(SalesData[[#This Row],[Date]])</f>
        <v>2</v>
      </c>
      <c r="AD4996">
        <f>Reference!F$4</f>
        <v>2026</v>
      </c>
      <c r="AE4996" t="str">
        <f>IF(OR(SalesData[[#This Row],[Day]]="Saturday",SalesData[[#This Row],[Day]]="Sunday"),"Weekend","Weekday")</f>
        <v>Weekday</v>
      </c>
      <c r="AF4996" s="5">
        <f>IF(SalesData[[#This Row],[Contracts Offered]]=0,0,SalesData[[#This Row],[Contracts Signed]]/SalesData[[#This Row],[Contracts Offered]])</f>
        <v>0.33333333333333331</v>
      </c>
      <c r="AG4996" s="5">
        <f>IF(SalesData[[#This Row],[Customers Visited]]=0,0,SalesData[[#This Row],[Test Drives]]/SalesData[[#This Row],[Customers Visited]])</f>
        <v>0.46242774566473988</v>
      </c>
      <c r="AH4996" s="5">
        <f>IF(SalesData[[#This Row],[Customers Visited]]=0,0,SalesData[[#This Row],[Contracts Signed]]/SalesData[[#This Row],[Customers Visited]])</f>
        <v>0.10404624277456648</v>
      </c>
      <c r="AI4996" s="6">
        <f>IF(SalesData[[#This Row],[Contracts Signed]]=0,0,SalesData[[#This Row],[Profit(€)]]/SalesData[[#This Row],[Contracts Signed]])</f>
        <v>12871</v>
      </c>
      <c r="AJ4996" s="5" t="str">
        <f>TRIM(CLEAN(SalesData[[#This Row],[Retailer]]))</f>
        <v>Main Auto Hub</v>
      </c>
    </row>
    <row r="4997" spans="1:36" ht="14.25" hidden="1" x14ac:dyDescent="0.2">
      <c r="A4997" t="s">
        <v>6279</v>
      </c>
      <c r="B4997" s="1">
        <v>46076</v>
      </c>
      <c r="C4997" t="s">
        <v>53</v>
      </c>
      <c r="D4997" t="s">
        <v>25</v>
      </c>
      <c r="E4997" t="s">
        <v>26</v>
      </c>
      <c r="F4997" t="s">
        <v>43</v>
      </c>
      <c r="G4997" t="s">
        <v>44</v>
      </c>
      <c r="H4997" t="s">
        <v>45</v>
      </c>
      <c r="I4997" t="s">
        <v>56</v>
      </c>
      <c r="J4997" t="s">
        <v>179</v>
      </c>
      <c r="K4997" t="s">
        <v>66</v>
      </c>
      <c r="L4997" t="s">
        <v>67</v>
      </c>
      <c r="M4997" t="s">
        <v>68</v>
      </c>
      <c r="N4997" t="s">
        <v>69</v>
      </c>
      <c r="O4997" t="s">
        <v>70</v>
      </c>
      <c r="P4997" t="s">
        <v>37</v>
      </c>
      <c r="Q4997" t="s">
        <v>172</v>
      </c>
      <c r="R4997">
        <v>203</v>
      </c>
      <c r="S4997">
        <v>100</v>
      </c>
      <c r="T4997">
        <v>65</v>
      </c>
      <c r="U4997">
        <v>21</v>
      </c>
      <c r="V4997" t="s">
        <v>6790</v>
      </c>
      <c r="W4997">
        <v>53659</v>
      </c>
      <c r="X4997" t="s">
        <v>7225</v>
      </c>
      <c r="Y4997">
        <v>40388</v>
      </c>
      <c r="Z4997">
        <v>1126839</v>
      </c>
      <c r="AA4997">
        <v>278691</v>
      </c>
      <c r="AB4997" t="str">
        <f>(VLOOKUP(SalesData[[#This Row],[Month Number]],Reference!C$5:E$16,2,FALSE))</f>
        <v>Feb</v>
      </c>
      <c r="AC4997">
        <f>MONTH(SalesData[[#This Row],[Date]])</f>
        <v>2</v>
      </c>
      <c r="AD4997">
        <f>Reference!F$4</f>
        <v>2026</v>
      </c>
      <c r="AE4997" t="str">
        <f>IF(OR(SalesData[[#This Row],[Day]]="Saturday",SalesData[[#This Row],[Day]]="Sunday"),"Weekend","Weekday")</f>
        <v>Weekday</v>
      </c>
      <c r="AF4997" s="5">
        <f>IF(SalesData[[#This Row],[Contracts Offered]]=0,0,SalesData[[#This Row],[Contracts Signed]]/SalesData[[#This Row],[Contracts Offered]])</f>
        <v>0.32307692307692309</v>
      </c>
      <c r="AG4997" s="5">
        <f>IF(SalesData[[#This Row],[Customers Visited]]=0,0,SalesData[[#This Row],[Test Drives]]/SalesData[[#This Row],[Customers Visited]])</f>
        <v>0.49261083743842365</v>
      </c>
      <c r="AH4997" s="5">
        <f>IF(SalesData[[#This Row],[Customers Visited]]=0,0,SalesData[[#This Row],[Contracts Signed]]/SalesData[[#This Row],[Customers Visited]])</f>
        <v>0.10344827586206896</v>
      </c>
      <c r="AI4997" s="6">
        <f>IF(SalesData[[#This Row],[Contracts Signed]]=0,0,SalesData[[#This Row],[Profit(€)]]/SalesData[[#This Row],[Contracts Signed]])</f>
        <v>13271</v>
      </c>
      <c r="AJ4997" s="5" t="str">
        <f>TRIM(CLEAN(SalesData[[#This Row],[Retailer]]))</f>
        <v>Saxon Wheels</v>
      </c>
    </row>
    <row r="4998" spans="1:36" ht="14.25" x14ac:dyDescent="0.2">
      <c r="A4998" t="s">
        <v>6280</v>
      </c>
      <c r="B4998" s="1">
        <v>46078</v>
      </c>
      <c r="C4998" t="s">
        <v>53</v>
      </c>
      <c r="D4998" t="s">
        <v>82</v>
      </c>
      <c r="E4998" t="s">
        <v>26</v>
      </c>
      <c r="F4998" t="s">
        <v>83</v>
      </c>
      <c r="G4998" t="s">
        <v>84</v>
      </c>
      <c r="H4998" t="s">
        <v>85</v>
      </c>
      <c r="I4998" t="s">
        <v>30</v>
      </c>
      <c r="J4998" t="s">
        <v>166</v>
      </c>
      <c r="K4998" t="s">
        <v>78</v>
      </c>
      <c r="L4998" t="s">
        <v>46</v>
      </c>
      <c r="M4998" t="s">
        <v>87</v>
      </c>
      <c r="N4998" t="s">
        <v>69</v>
      </c>
      <c r="O4998" t="s">
        <v>36</v>
      </c>
      <c r="P4998" t="s">
        <v>49</v>
      </c>
      <c r="Q4998" t="s">
        <v>129</v>
      </c>
      <c r="R4998">
        <v>229</v>
      </c>
      <c r="S4998">
        <v>121</v>
      </c>
      <c r="T4998">
        <v>83</v>
      </c>
      <c r="U4998">
        <v>29</v>
      </c>
      <c r="V4998" t="s">
        <v>6682</v>
      </c>
      <c r="W4998">
        <v>49702</v>
      </c>
      <c r="X4998" t="s">
        <v>589</v>
      </c>
      <c r="Y4998">
        <v>35015</v>
      </c>
      <c r="Z4998">
        <v>1441358</v>
      </c>
      <c r="AA4998">
        <v>425923</v>
      </c>
      <c r="AB4998" t="str">
        <f>(VLOOKUP(SalesData[[#This Row],[Month Number]],Reference!C$5:E$16,2,FALSE))</f>
        <v>Feb</v>
      </c>
      <c r="AC4998">
        <f>MONTH(SalesData[[#This Row],[Date]])</f>
        <v>2</v>
      </c>
      <c r="AD4998">
        <f>Reference!F$4</f>
        <v>2026</v>
      </c>
      <c r="AE4998" t="str">
        <f>IF(OR(SalesData[[#This Row],[Day]]="Saturday",SalesData[[#This Row],[Day]]="Sunday"),"Weekend","Weekday")</f>
        <v>Weekday</v>
      </c>
      <c r="AF4998" s="5">
        <f>IF(SalesData[[#This Row],[Contracts Offered]]=0,0,SalesData[[#This Row],[Contracts Signed]]/SalesData[[#This Row],[Contracts Offered]])</f>
        <v>0.3493975903614458</v>
      </c>
      <c r="AG4998" s="5">
        <f>IF(SalesData[[#This Row],[Customers Visited]]=0,0,SalesData[[#This Row],[Test Drives]]/SalesData[[#This Row],[Customers Visited]])</f>
        <v>0.52838427947598254</v>
      </c>
      <c r="AH4998" s="5">
        <f>IF(SalesData[[#This Row],[Customers Visited]]=0,0,SalesData[[#This Row],[Contracts Signed]]/SalesData[[#This Row],[Customers Visited]])</f>
        <v>0.12663755458515283</v>
      </c>
      <c r="AI4998" s="6">
        <f>IF(SalesData[[#This Row],[Contracts Signed]]=0,0,SalesData[[#This Row],[Profit(€)]]/SalesData[[#This Row],[Contracts Signed]])</f>
        <v>14687</v>
      </c>
      <c r="AJ4998" s="5" t="str">
        <f>TRIM(CLEAN(SalesData[[#This Row],[Retailer]]))</f>
        <v>Hannover Cars</v>
      </c>
    </row>
    <row r="4999" spans="1:36" ht="14.25" hidden="1" x14ac:dyDescent="0.2">
      <c r="A4999" t="s">
        <v>6281</v>
      </c>
      <c r="B4999" s="1">
        <v>46069</v>
      </c>
      <c r="C4999" t="s">
        <v>62</v>
      </c>
      <c r="D4999" t="s">
        <v>25</v>
      </c>
      <c r="E4999" t="s">
        <v>26</v>
      </c>
      <c r="F4999" t="s">
        <v>7649</v>
      </c>
      <c r="G4999" t="s">
        <v>55</v>
      </c>
      <c r="H4999" t="s">
        <v>55</v>
      </c>
      <c r="I4999" t="s">
        <v>104</v>
      </c>
      <c r="J4999" t="s">
        <v>143</v>
      </c>
      <c r="K4999" t="s">
        <v>66</v>
      </c>
      <c r="L4999" t="s">
        <v>67</v>
      </c>
      <c r="M4999" t="s">
        <v>34</v>
      </c>
      <c r="N4999" t="s">
        <v>69</v>
      </c>
      <c r="O4999" t="s">
        <v>70</v>
      </c>
      <c r="P4999" t="s">
        <v>49</v>
      </c>
      <c r="Q4999" t="s">
        <v>158</v>
      </c>
      <c r="R4999">
        <v>505</v>
      </c>
      <c r="S4999">
        <v>207</v>
      </c>
      <c r="T4999">
        <v>139</v>
      </c>
      <c r="U4999">
        <v>29</v>
      </c>
      <c r="V4999" t="s">
        <v>3790</v>
      </c>
      <c r="W4999">
        <v>28368</v>
      </c>
      <c r="X4999" t="s">
        <v>4025</v>
      </c>
      <c r="Y4999">
        <v>25748</v>
      </c>
      <c r="Z4999">
        <v>822672</v>
      </c>
      <c r="AA4999">
        <v>75980</v>
      </c>
      <c r="AB4999" t="str">
        <f>(VLOOKUP(SalesData[[#This Row],[Month Number]],Reference!C$5:E$16,2,FALSE))</f>
        <v>Feb</v>
      </c>
      <c r="AC4999">
        <f>MONTH(SalesData[[#This Row],[Date]])</f>
        <v>2</v>
      </c>
      <c r="AD4999">
        <f>Reference!F$4</f>
        <v>2026</v>
      </c>
      <c r="AE4999" t="str">
        <f>IF(OR(SalesData[[#This Row],[Day]]="Saturday",SalesData[[#This Row],[Day]]="Sunday"),"Weekend","Weekday")</f>
        <v>Weekday</v>
      </c>
      <c r="AF4999" s="5">
        <f>IF(SalesData[[#This Row],[Contracts Offered]]=0,0,SalesData[[#This Row],[Contracts Signed]]/SalesData[[#This Row],[Contracts Offered]])</f>
        <v>0.20863309352517986</v>
      </c>
      <c r="AG4999" s="5">
        <f>IF(SalesData[[#This Row],[Customers Visited]]=0,0,SalesData[[#This Row],[Test Drives]]/SalesData[[#This Row],[Customers Visited]])</f>
        <v>0.40990099009900988</v>
      </c>
      <c r="AH4999" s="5">
        <f>IF(SalesData[[#This Row],[Customers Visited]]=0,0,SalesData[[#This Row],[Contracts Signed]]/SalesData[[#This Row],[Customers Visited]])</f>
        <v>5.7425742574257428E-2</v>
      </c>
      <c r="AI4999" s="6">
        <f>IF(SalesData[[#This Row],[Contracts Signed]]=0,0,SalesData[[#This Row],[Profit(€)]]/SalesData[[#This Row],[Contracts Signed]])</f>
        <v>2620</v>
      </c>
      <c r="AJ4999" s="5" t="str">
        <f>TRIM(CLEAN(SalesData[[#This Row],[Retailer]]))</f>
        <v>Autohaus Berlin</v>
      </c>
    </row>
    <row r="5000" spans="1:36" ht="14.25" hidden="1" x14ac:dyDescent="0.2">
      <c r="A5000" t="s">
        <v>6282</v>
      </c>
      <c r="B5000" s="1">
        <v>46065</v>
      </c>
      <c r="C5000" t="s">
        <v>121</v>
      </c>
      <c r="D5000" t="s">
        <v>100</v>
      </c>
      <c r="E5000" t="s">
        <v>26</v>
      </c>
      <c r="F5000" t="s">
        <v>27</v>
      </c>
      <c r="G5000" t="s">
        <v>28</v>
      </c>
      <c r="H5000" t="s">
        <v>29</v>
      </c>
      <c r="I5000" t="s">
        <v>104</v>
      </c>
      <c r="J5000" t="s">
        <v>7061</v>
      </c>
      <c r="K5000" t="s">
        <v>66</v>
      </c>
      <c r="L5000" t="s">
        <v>46</v>
      </c>
      <c r="M5000" t="s">
        <v>87</v>
      </c>
      <c r="N5000" t="s">
        <v>48</v>
      </c>
      <c r="O5000" t="s">
        <v>36</v>
      </c>
      <c r="P5000" t="s">
        <v>49</v>
      </c>
      <c r="Q5000" t="s">
        <v>169</v>
      </c>
      <c r="R5000">
        <v>469</v>
      </c>
      <c r="S5000">
        <v>268</v>
      </c>
      <c r="T5000">
        <v>165</v>
      </c>
      <c r="U5000">
        <v>40</v>
      </c>
      <c r="V5000" t="s">
        <v>327</v>
      </c>
      <c r="W5000">
        <v>26566</v>
      </c>
      <c r="X5000" t="s">
        <v>273</v>
      </c>
      <c r="Y5000">
        <v>23170</v>
      </c>
      <c r="Z5000">
        <v>1062640</v>
      </c>
      <c r="AA5000">
        <v>135840</v>
      </c>
      <c r="AB5000" t="str">
        <f>(VLOOKUP(SalesData[[#This Row],[Month Number]],Reference!C$5:E$16,2,FALSE))</f>
        <v>Feb</v>
      </c>
      <c r="AC5000">
        <f>MONTH(SalesData[[#This Row],[Date]])</f>
        <v>2</v>
      </c>
      <c r="AD5000">
        <f>Reference!F$4</f>
        <v>2026</v>
      </c>
      <c r="AE5000" t="str">
        <f>IF(OR(SalesData[[#This Row],[Day]]="Saturday",SalesData[[#This Row],[Day]]="Sunday"),"Weekend","Weekday")</f>
        <v>Weekday</v>
      </c>
      <c r="AF5000" s="5">
        <f>IF(SalesData[[#This Row],[Contracts Offered]]=0,0,SalesData[[#This Row],[Contracts Signed]]/SalesData[[#This Row],[Contracts Offered]])</f>
        <v>0.24242424242424243</v>
      </c>
      <c r="AG5000" s="5">
        <f>IF(SalesData[[#This Row],[Customers Visited]]=0,0,SalesData[[#This Row],[Test Drives]]/SalesData[[#This Row],[Customers Visited]])</f>
        <v>0.5714285714285714</v>
      </c>
      <c r="AH5000" s="5">
        <f>IF(SalesData[[#This Row],[Customers Visited]]=0,0,SalesData[[#This Row],[Contracts Signed]]/SalesData[[#This Row],[Customers Visited]])</f>
        <v>8.5287846481876331E-2</v>
      </c>
      <c r="AI5000" s="6">
        <f>IF(SalesData[[#This Row],[Contracts Signed]]=0,0,SalesData[[#This Row],[Profit(€)]]/SalesData[[#This Row],[Contracts Signed]])</f>
        <v>3396</v>
      </c>
      <c r="AJ5000" s="5" t="str">
        <f>TRIM(CLEAN(SalesData[[#This Row],[Retailer]]))</f>
        <v>Main Auto Hub</v>
      </c>
    </row>
    <row r="5001" spans="1:36" ht="14.25" hidden="1" x14ac:dyDescent="0.2">
      <c r="A5001" t="s">
        <v>6283</v>
      </c>
      <c r="B5001" s="1">
        <v>46064</v>
      </c>
      <c r="C5001" t="s">
        <v>121</v>
      </c>
      <c r="D5001" t="s">
        <v>82</v>
      </c>
      <c r="E5001" t="s">
        <v>26</v>
      </c>
      <c r="F5001" t="s">
        <v>7649</v>
      </c>
      <c r="G5001" t="s">
        <v>55</v>
      </c>
      <c r="H5001" t="s">
        <v>55</v>
      </c>
      <c r="I5001" t="s">
        <v>104</v>
      </c>
      <c r="J5001" t="s">
        <v>7061</v>
      </c>
      <c r="K5001" t="s">
        <v>66</v>
      </c>
      <c r="L5001" t="s">
        <v>46</v>
      </c>
      <c r="M5001" t="s">
        <v>34</v>
      </c>
      <c r="N5001" t="s">
        <v>69</v>
      </c>
      <c r="O5001" t="s">
        <v>36</v>
      </c>
      <c r="P5001" t="s">
        <v>37</v>
      </c>
      <c r="Q5001" t="s">
        <v>144</v>
      </c>
      <c r="R5001">
        <v>343</v>
      </c>
      <c r="S5001">
        <v>190</v>
      </c>
      <c r="T5001">
        <v>116</v>
      </c>
      <c r="U5001">
        <v>28</v>
      </c>
      <c r="V5001" t="s">
        <v>1363</v>
      </c>
      <c r="W5001">
        <v>28919</v>
      </c>
      <c r="X5001" t="s">
        <v>297</v>
      </c>
      <c r="Y5001">
        <v>25408</v>
      </c>
      <c r="Z5001">
        <v>809732</v>
      </c>
      <c r="AA5001">
        <v>98308</v>
      </c>
      <c r="AB5001" t="str">
        <f>(VLOOKUP(SalesData[[#This Row],[Month Number]],Reference!C$5:E$16,2,FALSE))</f>
        <v>Feb</v>
      </c>
      <c r="AC5001">
        <f>MONTH(SalesData[[#This Row],[Date]])</f>
        <v>2</v>
      </c>
      <c r="AD5001">
        <f>Reference!F$4</f>
        <v>2026</v>
      </c>
      <c r="AE5001" t="str">
        <f>IF(OR(SalesData[[#This Row],[Day]]="Saturday",SalesData[[#This Row],[Day]]="Sunday"),"Weekend","Weekday")</f>
        <v>Weekday</v>
      </c>
      <c r="AF5001" s="5">
        <f>IF(SalesData[[#This Row],[Contracts Offered]]=0,0,SalesData[[#This Row],[Contracts Signed]]/SalesData[[#This Row],[Contracts Offered]])</f>
        <v>0.2413793103448276</v>
      </c>
      <c r="AG5001" s="5">
        <f>IF(SalesData[[#This Row],[Customers Visited]]=0,0,SalesData[[#This Row],[Test Drives]]/SalesData[[#This Row],[Customers Visited]])</f>
        <v>0.55393586005830908</v>
      </c>
      <c r="AH5001" s="5">
        <f>IF(SalesData[[#This Row],[Customers Visited]]=0,0,SalesData[[#This Row],[Contracts Signed]]/SalesData[[#This Row],[Customers Visited]])</f>
        <v>8.1632653061224483E-2</v>
      </c>
      <c r="AI5001" s="6">
        <f>IF(SalesData[[#This Row],[Contracts Signed]]=0,0,SalesData[[#This Row],[Profit(€)]]/SalesData[[#This Row],[Contracts Signed]])</f>
        <v>3511</v>
      </c>
      <c r="AJ5001" s="5" t="str">
        <f>TRIM(CLEAN(SalesData[[#This Row],[Retailer]]))</f>
        <v>Autohaus Berlin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3912-1E1B-4BAB-B13E-8778E6B701E0}">
  <dimension ref="C4:F15"/>
  <sheetViews>
    <sheetView workbookViewId="0">
      <selection activeCell="F5" sqref="F5"/>
    </sheetView>
  </sheetViews>
  <sheetFormatPr defaultRowHeight="14.25" x14ac:dyDescent="0.2"/>
  <sheetData>
    <row r="4" spans="3:6" x14ac:dyDescent="0.2">
      <c r="C4" s="3">
        <v>1</v>
      </c>
      <c r="D4" t="s">
        <v>6288</v>
      </c>
      <c r="E4" t="s">
        <v>6300</v>
      </c>
      <c r="F4">
        <v>2026</v>
      </c>
    </row>
    <row r="5" spans="3:6" x14ac:dyDescent="0.2">
      <c r="C5" s="3">
        <v>2</v>
      </c>
      <c r="D5" t="s">
        <v>6289</v>
      </c>
      <c r="E5" t="s">
        <v>6301</v>
      </c>
    </row>
    <row r="6" spans="3:6" x14ac:dyDescent="0.2">
      <c r="C6" s="3">
        <v>3</v>
      </c>
      <c r="D6" t="s">
        <v>6290</v>
      </c>
      <c r="E6" t="s">
        <v>6302</v>
      </c>
    </row>
    <row r="7" spans="3:6" x14ac:dyDescent="0.2">
      <c r="C7" s="3">
        <v>4</v>
      </c>
      <c r="D7" t="s">
        <v>6291</v>
      </c>
      <c r="E7" t="s">
        <v>6303</v>
      </c>
    </row>
    <row r="8" spans="3:6" x14ac:dyDescent="0.2">
      <c r="C8" s="3">
        <v>5</v>
      </c>
      <c r="D8" t="s">
        <v>6292</v>
      </c>
      <c r="E8" t="s">
        <v>6292</v>
      </c>
    </row>
    <row r="9" spans="3:6" x14ac:dyDescent="0.2">
      <c r="C9" s="3">
        <v>6</v>
      </c>
      <c r="D9" t="s">
        <v>6293</v>
      </c>
      <c r="E9" t="s">
        <v>6304</v>
      </c>
    </row>
    <row r="10" spans="3:6" x14ac:dyDescent="0.2">
      <c r="C10" s="3">
        <v>7</v>
      </c>
      <c r="D10" t="s">
        <v>6294</v>
      </c>
      <c r="E10" t="s">
        <v>6305</v>
      </c>
    </row>
    <row r="11" spans="3:6" x14ac:dyDescent="0.2">
      <c r="C11" s="3">
        <v>8</v>
      </c>
      <c r="D11" t="s">
        <v>6295</v>
      </c>
      <c r="E11" t="s">
        <v>6306</v>
      </c>
    </row>
    <row r="12" spans="3:6" x14ac:dyDescent="0.2">
      <c r="C12" s="3">
        <v>9</v>
      </c>
      <c r="D12" t="s">
        <v>6296</v>
      </c>
      <c r="E12" t="s">
        <v>6307</v>
      </c>
    </row>
    <row r="13" spans="3:6" x14ac:dyDescent="0.2">
      <c r="C13" s="3">
        <v>10</v>
      </c>
      <c r="D13" t="s">
        <v>6297</v>
      </c>
      <c r="E13" t="s">
        <v>6308</v>
      </c>
    </row>
    <row r="14" spans="3:6" x14ac:dyDescent="0.2">
      <c r="C14" s="3">
        <v>11</v>
      </c>
      <c r="D14" t="s">
        <v>6298</v>
      </c>
      <c r="E14" t="s">
        <v>6309</v>
      </c>
    </row>
    <row r="15" spans="3:6" x14ac:dyDescent="0.2">
      <c r="C15" s="3">
        <v>12</v>
      </c>
      <c r="D15" t="s">
        <v>6299</v>
      </c>
      <c r="E15" t="s">
        <v>6310</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46D9-BC75-4311-89CA-D803EF7D036F}">
  <dimension ref="A1:L56"/>
  <sheetViews>
    <sheetView workbookViewId="0">
      <selection activeCell="A21" sqref="A21:B25"/>
    </sheetView>
  </sheetViews>
  <sheetFormatPr defaultRowHeight="15" x14ac:dyDescent="0.2"/>
  <cols>
    <col min="1" max="1" width="13.625" bestFit="1" customWidth="1"/>
    <col min="2" max="2" width="23.625" bestFit="1" customWidth="1"/>
    <col min="3" max="3" width="24.625" bestFit="1" customWidth="1"/>
    <col min="4" max="4" width="23.625" bestFit="1" customWidth="1"/>
    <col min="5" max="5" width="15.125" bestFit="1" customWidth="1"/>
    <col min="6" max="6" width="15.25" customWidth="1"/>
    <col min="7" max="7" width="18" customWidth="1"/>
    <col min="8" max="8" width="23.5" customWidth="1"/>
    <col min="9" max="9" width="29.875" customWidth="1"/>
    <col min="10" max="10" width="23.625" customWidth="1"/>
    <col min="11" max="11" width="16.875" customWidth="1"/>
    <col min="12" max="12" width="16.625" customWidth="1"/>
  </cols>
  <sheetData>
    <row r="1" spans="1:12" ht="14.25" x14ac:dyDescent="0.2">
      <c r="A1" t="s">
        <v>6322</v>
      </c>
      <c r="B1" t="s">
        <v>6323</v>
      </c>
      <c r="C1" t="s">
        <v>6324</v>
      </c>
      <c r="D1" t="s">
        <v>6325</v>
      </c>
      <c r="E1" t="s">
        <v>6326</v>
      </c>
      <c r="G1" t="s">
        <v>6327</v>
      </c>
      <c r="J1" t="s">
        <v>6338</v>
      </c>
      <c r="K1" t="s">
        <v>6339</v>
      </c>
    </row>
    <row r="2" spans="1:12" ht="14.25" x14ac:dyDescent="0.2">
      <c r="A2" s="12">
        <v>346287</v>
      </c>
      <c r="B2" s="12">
        <v>174667</v>
      </c>
      <c r="C2" s="12">
        <v>33623</v>
      </c>
      <c r="D2" s="14">
        <v>1495473561</v>
      </c>
      <c r="E2" s="14">
        <v>316495279</v>
      </c>
      <c r="G2" t="s">
        <v>6328</v>
      </c>
      <c r="H2" s="12">
        <f>GETPIVOTDATA("Sum of Customers Visited",$A$1)</f>
        <v>346287</v>
      </c>
      <c r="J2" t="s">
        <v>17</v>
      </c>
      <c r="K2" s="12">
        <f>GETPIVOTDATA("Sum of Customers Visited",$A$4)</f>
        <v>346287</v>
      </c>
    </row>
    <row r="3" spans="1:12" ht="14.25" x14ac:dyDescent="0.2">
      <c r="G3" t="s">
        <v>6329</v>
      </c>
      <c r="H3" s="12">
        <f>GETPIVOTDATA("Sum of Test Drives",$A$1)</f>
        <v>174667</v>
      </c>
      <c r="J3" t="s">
        <v>18</v>
      </c>
      <c r="K3" s="12">
        <f>GETPIVOTDATA("Sum of Test Drives",$A$4)</f>
        <v>174667</v>
      </c>
    </row>
    <row r="4" spans="1:12" ht="14.25" x14ac:dyDescent="0.2">
      <c r="A4" t="s">
        <v>6322</v>
      </c>
      <c r="B4" t="s">
        <v>6323</v>
      </c>
      <c r="C4" t="s">
        <v>6337</v>
      </c>
      <c r="D4" t="s">
        <v>6324</v>
      </c>
      <c r="G4" t="s">
        <v>6330</v>
      </c>
      <c r="H4" s="12">
        <f>GETPIVOTDATA("Sum of Contracts Signed",$A$1)</f>
        <v>33623</v>
      </c>
      <c r="J4" t="s">
        <v>19</v>
      </c>
      <c r="K4" s="12">
        <f>GETPIVOTDATA("Sum of Contracts Offered",$A$4)</f>
        <v>118703</v>
      </c>
    </row>
    <row r="5" spans="1:12" ht="14.25" x14ac:dyDescent="0.2">
      <c r="A5" s="12">
        <v>346287</v>
      </c>
      <c r="B5" s="12">
        <v>174667</v>
      </c>
      <c r="C5" s="12">
        <v>118703</v>
      </c>
      <c r="D5" s="12">
        <v>33623</v>
      </c>
      <c r="G5" t="s">
        <v>6331</v>
      </c>
      <c r="H5" s="11">
        <f>GETPIVOTDATA("Sum of Revenue(€)",$A$1)</f>
        <v>1495473561</v>
      </c>
      <c r="J5" t="s">
        <v>20</v>
      </c>
      <c r="K5" s="12">
        <f>GETPIVOTDATA("Sum of Contracts Signed",$A$4)</f>
        <v>33623</v>
      </c>
    </row>
    <row r="6" spans="1:12" ht="14.25" x14ac:dyDescent="0.2">
      <c r="G6" t="s">
        <v>6332</v>
      </c>
      <c r="H6" s="11">
        <f>GETPIVOTDATA("Sum of Profit(€)",$A$1)</f>
        <v>316495279</v>
      </c>
    </row>
    <row r="7" spans="1:12" ht="14.25" x14ac:dyDescent="0.2">
      <c r="A7" s="8" t="s">
        <v>6340</v>
      </c>
      <c r="B7" t="s">
        <v>6326</v>
      </c>
      <c r="G7" t="s">
        <v>6333</v>
      </c>
      <c r="H7" s="5">
        <f>GETPIVOTDATA("Sum of Contracts Signed",$A$1)/GETPIVOTDATA("Sum of Test Drives",$A$1)</f>
        <v>0.19249772424098427</v>
      </c>
    </row>
    <row r="8" spans="1:12" ht="14.25" x14ac:dyDescent="0.2">
      <c r="A8" s="9" t="s">
        <v>24</v>
      </c>
      <c r="B8" s="14">
        <v>81437076</v>
      </c>
    </row>
    <row r="9" spans="1:12" x14ac:dyDescent="0.25">
      <c r="A9" s="9" t="s">
        <v>121</v>
      </c>
      <c r="B9" s="14">
        <v>81816712</v>
      </c>
      <c r="D9" s="8" t="s">
        <v>6340</v>
      </c>
      <c r="E9" t="s">
        <v>6325</v>
      </c>
      <c r="F9" t="s">
        <v>6326</v>
      </c>
      <c r="G9" t="s">
        <v>6324</v>
      </c>
      <c r="H9" t="s">
        <v>6323</v>
      </c>
      <c r="I9" s="7" t="s">
        <v>6340</v>
      </c>
      <c r="J9" s="7" t="s">
        <v>6325</v>
      </c>
      <c r="K9" s="7" t="s">
        <v>6326</v>
      </c>
      <c r="L9" s="7" t="s">
        <v>21</v>
      </c>
    </row>
    <row r="10" spans="1:12" ht="14.25" x14ac:dyDescent="0.2">
      <c r="A10" s="9" t="s">
        <v>62</v>
      </c>
      <c r="B10" s="14">
        <v>81600568</v>
      </c>
      <c r="D10" s="9" t="s">
        <v>56</v>
      </c>
      <c r="E10" s="4">
        <v>354430918</v>
      </c>
      <c r="F10" s="4">
        <v>77125182</v>
      </c>
      <c r="G10" s="4">
        <v>7473</v>
      </c>
      <c r="H10" s="4">
        <v>34274</v>
      </c>
      <c r="I10" s="9" t="s">
        <v>56</v>
      </c>
      <c r="J10" s="13">
        <f>GETPIVOTDATA("Sum of Revenue(€)",$D$9,"Brand","Audi")</f>
        <v>354430918</v>
      </c>
      <c r="K10" s="13">
        <f>GETPIVOTDATA("Sum of Profit(€)",$D$9,"Brand","Audi")</f>
        <v>77125182</v>
      </c>
      <c r="L10" s="5">
        <f>GETPIVOTDATA("Sum of Contracts Signed",$D$9,"Brand","Audi")/GETPIVOTDATA("Sum of Test Drives",$D$9,"Brand","Audi")</f>
        <v>0.21803699597362433</v>
      </c>
    </row>
    <row r="11" spans="1:12" ht="14.25" x14ac:dyDescent="0.2">
      <c r="A11" s="9" t="s">
        <v>53</v>
      </c>
      <c r="B11" s="14">
        <v>71640923</v>
      </c>
      <c r="D11" s="9" t="s">
        <v>30</v>
      </c>
      <c r="E11" s="4">
        <v>411909738</v>
      </c>
      <c r="F11" s="4">
        <v>107677516</v>
      </c>
      <c r="G11" s="4">
        <v>6872</v>
      </c>
      <c r="H11" s="4">
        <v>25817</v>
      </c>
      <c r="I11" s="9" t="s">
        <v>30</v>
      </c>
      <c r="J11" s="13">
        <f>GETPIVOTDATA("Sum of Revenue(€)",$D$9,"Brand","BMW")</f>
        <v>411909738</v>
      </c>
      <c r="K11" s="13">
        <f>GETPIVOTDATA("Sum of Profit(€)",$D$9,"Brand","BMW")</f>
        <v>107677516</v>
      </c>
      <c r="L11" s="5">
        <f>GETPIVOTDATA("Sum of Contracts Signed",$D$9,"Brand","BMW")/GETPIVOTDATA("Sum of Test Drives",$D$9,"Brand","BMW")</f>
        <v>0.26618119843513965</v>
      </c>
    </row>
    <row r="12" spans="1:12" ht="14.25" x14ac:dyDescent="0.2">
      <c r="A12" s="9" t="s">
        <v>6341</v>
      </c>
      <c r="B12" s="14">
        <v>316495279</v>
      </c>
      <c r="D12" s="9" t="s">
        <v>64</v>
      </c>
      <c r="E12" s="4">
        <v>374773721</v>
      </c>
      <c r="F12" s="4">
        <v>94095197</v>
      </c>
      <c r="G12" s="4">
        <v>6175</v>
      </c>
      <c r="H12" s="4">
        <v>26004</v>
      </c>
      <c r="I12" s="9" t="s">
        <v>64</v>
      </c>
      <c r="J12" s="13">
        <f>GETPIVOTDATA("Sum of Revenue(€)",$D$9,"Brand","Mercedes")</f>
        <v>374773721</v>
      </c>
      <c r="K12" s="13">
        <f>GETPIVOTDATA("Sum of Profit(€)",$D$9,"Brand","Mercedes")</f>
        <v>94095197</v>
      </c>
      <c r="L12" s="5">
        <f>GETPIVOTDATA("Sum of Contracts Signed",$D$9,"Brand","Mercedes")/GETPIVOTDATA("Sum of Test Drives",$D$9,"Brand","Mercedes")</f>
        <v>0.23746346715889863</v>
      </c>
    </row>
    <row r="13" spans="1:12" ht="14.25" x14ac:dyDescent="0.2">
      <c r="D13" s="9" t="s">
        <v>116</v>
      </c>
      <c r="E13" s="4">
        <v>134733187</v>
      </c>
      <c r="F13" s="4">
        <v>12126385</v>
      </c>
      <c r="G13" s="4">
        <v>5776</v>
      </c>
      <c r="H13" s="4">
        <v>38904</v>
      </c>
      <c r="I13" s="9" t="s">
        <v>116</v>
      </c>
      <c r="J13" s="13">
        <f>GETPIVOTDATA("Sum of Revenue(€)",$D$9,"Brand","Opel")</f>
        <v>134733187</v>
      </c>
      <c r="K13" s="13">
        <f>GETPIVOTDATA("Sum of Profit(€)",$D$9,"Brand","Opel")</f>
        <v>12126385</v>
      </c>
      <c r="L13" s="5">
        <f>GETPIVOTDATA("Sum of Contracts Signed",$D$9,"Brand","Opel")/GETPIVOTDATA("Sum of Test Drives",$D$9,"Brand","Opel")</f>
        <v>0.14846802385358832</v>
      </c>
    </row>
    <row r="14" spans="1:12" ht="14.25" x14ac:dyDescent="0.2">
      <c r="A14" s="8" t="s">
        <v>6340</v>
      </c>
      <c r="B14" t="s">
        <v>6324</v>
      </c>
      <c r="D14" s="9" t="s">
        <v>104</v>
      </c>
      <c r="E14" s="4">
        <v>219625997</v>
      </c>
      <c r="F14" s="4">
        <v>25470999</v>
      </c>
      <c r="G14" s="4">
        <v>7327</v>
      </c>
      <c r="H14" s="4">
        <v>49668</v>
      </c>
      <c r="I14" s="9" t="s">
        <v>104</v>
      </c>
      <c r="J14" s="13">
        <f>GETPIVOTDATA("Sum of Revenue(€)",$D$9,"Brand","VW")</f>
        <v>219625997</v>
      </c>
      <c r="K14" s="13">
        <f>GETPIVOTDATA("Sum of Profit(€)",$D$9,"Brand","VW")</f>
        <v>25470999</v>
      </c>
      <c r="L14" s="5">
        <f>GETPIVOTDATA("Sum of Contracts Signed",$D$9,"Brand","VW")/GETPIVOTDATA("Sum of Test Drives",$D$9,"Brand","VW")</f>
        <v>0.14751952967705564</v>
      </c>
    </row>
    <row r="15" spans="1:12" x14ac:dyDescent="0.25">
      <c r="A15" s="9" t="s">
        <v>24</v>
      </c>
      <c r="B15" s="12">
        <v>8373</v>
      </c>
      <c r="D15" s="9" t="s">
        <v>6341</v>
      </c>
      <c r="E15" s="4">
        <v>1495473561</v>
      </c>
      <c r="F15" s="4">
        <v>316495279</v>
      </c>
      <c r="G15" s="4">
        <v>33623</v>
      </c>
      <c r="H15" s="4">
        <v>174667</v>
      </c>
      <c r="I15" s="15" t="s">
        <v>6341</v>
      </c>
      <c r="J15" s="13">
        <f>GETPIVOTDATA("Sum of Revenue(€)",$D$9)</f>
        <v>1495473561</v>
      </c>
      <c r="K15" s="13">
        <f>GETPIVOTDATA("Sum of Profit(€)",$D$9)</f>
        <v>316495279</v>
      </c>
      <c r="L15" s="5">
        <f>GETPIVOTDATA("Sum of Contracts Signed",$D$9)/GETPIVOTDATA("Sum of Test Drives",$D$9)</f>
        <v>0.19249772424098427</v>
      </c>
    </row>
    <row r="16" spans="1:12" ht="14.25" x14ac:dyDescent="0.2">
      <c r="A16" s="9" t="s">
        <v>121</v>
      </c>
      <c r="B16" s="12">
        <v>8709</v>
      </c>
    </row>
    <row r="17" spans="1:12" x14ac:dyDescent="0.25">
      <c r="A17" s="9" t="s">
        <v>62</v>
      </c>
      <c r="B17" s="12">
        <v>8640</v>
      </c>
      <c r="D17" s="8" t="s">
        <v>6340</v>
      </c>
      <c r="E17" t="s">
        <v>6325</v>
      </c>
      <c r="F17" t="s">
        <v>6326</v>
      </c>
      <c r="G17" t="s">
        <v>6324</v>
      </c>
      <c r="H17" t="s">
        <v>6323</v>
      </c>
      <c r="I17" s="7" t="s">
        <v>6340</v>
      </c>
      <c r="J17" s="7" t="s">
        <v>6325</v>
      </c>
      <c r="K17" s="7" t="s">
        <v>6326</v>
      </c>
      <c r="L17" s="7" t="s">
        <v>21</v>
      </c>
    </row>
    <row r="18" spans="1:12" ht="14.25" x14ac:dyDescent="0.2">
      <c r="A18" s="9" t="s">
        <v>53</v>
      </c>
      <c r="B18" s="12">
        <v>7901</v>
      </c>
      <c r="D18" s="9" t="s">
        <v>94</v>
      </c>
      <c r="E18" s="4">
        <v>164867367</v>
      </c>
      <c r="F18" s="4">
        <v>35685196</v>
      </c>
      <c r="G18" s="4">
        <v>3628</v>
      </c>
      <c r="H18" s="4">
        <v>16784</v>
      </c>
      <c r="I18" s="2" t="s">
        <v>7649</v>
      </c>
      <c r="J18" s="14">
        <f>GETPIVOTDATA("Sum of Revenue(€)",$D$17,"Retailer","AutoHaus Berlin")</f>
        <v>167063743</v>
      </c>
      <c r="K18" s="14">
        <f>GETPIVOTDATA("Sum of Profit(€)",$D$17,"Retailer","AutoHaus Berlin")</f>
        <v>35035559</v>
      </c>
      <c r="L18" s="5">
        <f>GETPIVOTDATA("Sum of Contracts Signed",$D$17,"Retailer","AutoHaus Berlin")/GETPIVOTDATA("Sum of Test Drives",$D$17,"Retailer","AutoHaus Berlin")</f>
        <v>0.20419187554019014</v>
      </c>
    </row>
    <row r="19" spans="1:12" ht="14.25" x14ac:dyDescent="0.2">
      <c r="A19" s="9" t="s">
        <v>6341</v>
      </c>
      <c r="B19" s="12">
        <v>33623</v>
      </c>
      <c r="D19" s="9" t="s">
        <v>114</v>
      </c>
      <c r="E19" s="4">
        <v>176133274</v>
      </c>
      <c r="F19" s="4">
        <v>37136696</v>
      </c>
      <c r="G19" s="4">
        <v>3977</v>
      </c>
      <c r="H19" s="4">
        <v>19761</v>
      </c>
      <c r="I19" s="9" t="s">
        <v>94</v>
      </c>
      <c r="J19" s="14">
        <f>GETPIVOTDATA("Sum of Revenue(€)",$D$17,"Retailer","Bavaria Motors")</f>
        <v>164867367</v>
      </c>
      <c r="K19" s="14">
        <f>GETPIVOTDATA("Sum of Profit(€)",$D$17,"Retailer","Bavaria Motors")</f>
        <v>35685196</v>
      </c>
      <c r="L19" s="5">
        <f>GETPIVOTDATA("Sum of Contracts Signed",$D$17,"Retailer","Bavaria Motors")/GETPIVOTDATA("Sum of Test Drives",$D$17,"Retailer","Bavaria Motors")</f>
        <v>0.2161582459485224</v>
      </c>
    </row>
    <row r="20" spans="1:12" ht="14.25" x14ac:dyDescent="0.2">
      <c r="D20" s="9" t="s">
        <v>83</v>
      </c>
      <c r="E20" s="4">
        <v>158668449</v>
      </c>
      <c r="F20" s="4">
        <v>34653671</v>
      </c>
      <c r="G20" s="4">
        <v>3422</v>
      </c>
      <c r="H20" s="4">
        <v>17664</v>
      </c>
      <c r="I20" s="9" t="s">
        <v>114</v>
      </c>
      <c r="J20" s="14">
        <f>GETPIVOTDATA("Sum of Revenue(€)",$D$17,"Retailer","Elbe Drive")</f>
        <v>176133274</v>
      </c>
      <c r="K20" s="14">
        <f>GETPIVOTDATA("Sum of Profit(€)",$D$17,"Retailer","Elbe Drive")</f>
        <v>37136696</v>
      </c>
      <c r="L20" s="5">
        <f>GETPIVOTDATA("Sum of Contracts Signed",$D$17,"Retailer","Elbe Drive")/GETPIVOTDATA("Sum of Test Drives",$D$17,"Retailer","Elbe Drive")</f>
        <v>0.20125499721674003</v>
      </c>
    </row>
    <row r="21" spans="1:12" x14ac:dyDescent="0.25">
      <c r="A21" s="7" t="s">
        <v>6340</v>
      </c>
      <c r="B21" s="7" t="s">
        <v>6326</v>
      </c>
      <c r="D21" s="9" t="s">
        <v>109</v>
      </c>
      <c r="E21" s="4">
        <v>130379673</v>
      </c>
      <c r="F21" s="4">
        <v>27471752</v>
      </c>
      <c r="G21" s="4">
        <v>2999</v>
      </c>
      <c r="H21" s="4">
        <v>16744</v>
      </c>
      <c r="I21" s="9" t="s">
        <v>83</v>
      </c>
      <c r="J21" s="14">
        <f>GETPIVOTDATA("Sum of Revenue(€)",$D$17,"Retailer","Hannover Cars")</f>
        <v>158668449</v>
      </c>
      <c r="K21" s="14">
        <f>GETPIVOTDATA("Sum of Profit(€)",$D$17,"Retailer","Hannover Cars")</f>
        <v>34653671</v>
      </c>
      <c r="L21" s="5">
        <f>GETPIVOTDATA("Sum of Contracts Signed",$D$17,"Retailer","Hannover Cars")/GETPIVOTDATA("Sum of Test Drives",$D$17,"Retailer","Hannover Cars")</f>
        <v>0.19372735507246377</v>
      </c>
    </row>
    <row r="22" spans="1:12" ht="14.25" x14ac:dyDescent="0.2">
      <c r="A22" s="9" t="s">
        <v>24</v>
      </c>
      <c r="B22" s="14">
        <f>GETPIVOTDATA("Profit(€)",$A$7,"Week","Week 1")</f>
        <v>81437076</v>
      </c>
      <c r="D22" s="9" t="s">
        <v>27</v>
      </c>
      <c r="E22" s="4">
        <v>126237997</v>
      </c>
      <c r="F22" s="4">
        <v>26439864</v>
      </c>
      <c r="G22" s="4">
        <v>2893</v>
      </c>
      <c r="H22" s="4">
        <v>15840</v>
      </c>
      <c r="I22" s="9" t="s">
        <v>109</v>
      </c>
      <c r="J22" s="14">
        <f>GETPIVOTDATA("Sum of Revenue(€)",$D$17,"Retailer","Leipzig Mobility")</f>
        <v>130379673</v>
      </c>
      <c r="K22" s="14">
        <f>GETPIVOTDATA("Sum of Profit(€)",$D$17,"Retailer","Leipzig Mobility")</f>
        <v>27471752</v>
      </c>
      <c r="L22" s="5">
        <f>GETPIVOTDATA("Sum of Contracts Signed",$D$17,"Retailer","Leipzig Mobility")/GETPIVOTDATA("Sum of Test Drives",$D$17,"Retailer","Leipzig Mobility")</f>
        <v>0.17910893454371715</v>
      </c>
    </row>
    <row r="23" spans="1:12" ht="14.25" x14ac:dyDescent="0.2">
      <c r="A23" s="9" t="s">
        <v>121</v>
      </c>
      <c r="B23" s="14">
        <f>GETPIVOTDATA("Profit(€)",$A$7,"Week","Week 2")</f>
        <v>81816712</v>
      </c>
      <c r="D23" s="9" t="s">
        <v>127</v>
      </c>
      <c r="E23" s="4">
        <v>167013952</v>
      </c>
      <c r="F23" s="4">
        <v>35686202</v>
      </c>
      <c r="G23" s="4">
        <v>3665</v>
      </c>
      <c r="H23" s="4">
        <v>18554</v>
      </c>
      <c r="I23" s="9" t="s">
        <v>27</v>
      </c>
      <c r="J23" s="14">
        <f>GETPIVOTDATA("Sum of Revenue(€)",$D$17,"Retailer","Main Auto Hub")</f>
        <v>126237997</v>
      </c>
      <c r="K23" s="14">
        <f>GETPIVOTDATA("Sum of Profit(€)",$D$17,"Retailer","Main Auto Hub")</f>
        <v>26439864</v>
      </c>
      <c r="L23" s="5">
        <f>GETPIVOTDATA("Sum of Contracts Signed",$D$17,"Retailer","Main Auto Hub")/GETPIVOTDATA("Sum of Test Drives",$D$17,"Retailer","Main Auto Hub")</f>
        <v>0.18263888888888888</v>
      </c>
    </row>
    <row r="24" spans="1:12" ht="14.25" x14ac:dyDescent="0.2">
      <c r="A24" s="9" t="s">
        <v>62</v>
      </c>
      <c r="B24" s="14">
        <f>GETPIVOTDATA("Profit(€)",$A$7,"Week","Week 3")</f>
        <v>81600568</v>
      </c>
      <c r="D24" s="9" t="s">
        <v>101</v>
      </c>
      <c r="E24" s="4">
        <v>126704559</v>
      </c>
      <c r="F24" s="4">
        <v>26435665</v>
      </c>
      <c r="G24" s="4">
        <v>2906</v>
      </c>
      <c r="H24" s="4">
        <v>17036</v>
      </c>
      <c r="I24" s="9" t="s">
        <v>127</v>
      </c>
      <c r="J24" s="14">
        <f>GETPIVOTDATA("Sum of Revenue(€)",$D$17,"Retailer","Rhein Auto Group")</f>
        <v>167013952</v>
      </c>
      <c r="K24" s="14">
        <f>GETPIVOTDATA("Sum of Profit(€)",$D$17,"Retailer","Rhein Auto Group")</f>
        <v>35686202</v>
      </c>
      <c r="L24" s="5">
        <f>GETPIVOTDATA("Sum of Contracts Signed",$D$17,"Retailer","Rhein Auto Group")/GETPIVOTDATA("Sum of Test Drives",$D$17,"Retailer","Rhein Auto Group")</f>
        <v>0.19753152958930689</v>
      </c>
    </row>
    <row r="25" spans="1:12" ht="14.25" x14ac:dyDescent="0.2">
      <c r="A25" s="9" t="s">
        <v>53</v>
      </c>
      <c r="B25" s="14">
        <f>GETPIVOTDATA("Profit(€)",$A$7,"Week","Week 4")</f>
        <v>71640923</v>
      </c>
      <c r="D25" s="9" t="s">
        <v>43</v>
      </c>
      <c r="E25" s="4">
        <v>133173778</v>
      </c>
      <c r="F25" s="4">
        <v>27859557</v>
      </c>
      <c r="G25" s="4">
        <v>3025</v>
      </c>
      <c r="H25" s="4">
        <v>16829</v>
      </c>
      <c r="I25" s="9" t="s">
        <v>101</v>
      </c>
      <c r="J25" s="14">
        <f>GETPIVOTDATA("Sum of Revenue(€)",$D$17,"Retailer","Ruhr Auto Plaza")</f>
        <v>126704559</v>
      </c>
      <c r="K25" s="14">
        <f>GETPIVOTDATA("Sum of Profit(€)",$D$17,"Retailer","Ruhr Auto Plaza")</f>
        <v>26435665</v>
      </c>
      <c r="L25" s="5">
        <f>GETPIVOTDATA("Sum of Contracts Signed",$D$17,"Retailer","Ruhr Auto Plaza")/GETPIVOTDATA("Sum of Test Drives",$D$17,"Retailer","Ruhr Auto Plaza")</f>
        <v>0.17057994834468185</v>
      </c>
    </row>
    <row r="26" spans="1:12" ht="14.25" x14ac:dyDescent="0.2">
      <c r="D26" s="9" t="s">
        <v>74</v>
      </c>
      <c r="E26" s="4">
        <v>145230769</v>
      </c>
      <c r="F26" s="4">
        <v>30091117</v>
      </c>
      <c r="G26" s="4">
        <v>3328</v>
      </c>
      <c r="H26" s="4">
        <v>16943</v>
      </c>
      <c r="I26" s="9" t="s">
        <v>43</v>
      </c>
      <c r="J26" s="14">
        <f>GETPIVOTDATA("Sum of Revenue(€)",$D$17,"Retailer","Saxon Wheels")</f>
        <v>133173778</v>
      </c>
      <c r="K26" s="14">
        <f>GETPIVOTDATA("Sum of Profit(€)",$D$17,"Retailer","Saxon Wheels")</f>
        <v>27859557</v>
      </c>
      <c r="L26" s="5">
        <f>GETPIVOTDATA("Sum of Contracts Signed",$D$17,"Retailer","Saxon Wheels")/GETPIVOTDATA("Sum of Test Drives",$D$17,"Retailer","Saxon Wheels")</f>
        <v>0.17974924237922635</v>
      </c>
    </row>
    <row r="27" spans="1:12" ht="14.25" x14ac:dyDescent="0.2">
      <c r="D27" s="9" t="s">
        <v>7649</v>
      </c>
      <c r="E27" s="4">
        <v>167063743</v>
      </c>
      <c r="F27" s="4">
        <v>35035559</v>
      </c>
      <c r="G27" s="4">
        <v>3780</v>
      </c>
      <c r="H27" s="4">
        <v>18512</v>
      </c>
      <c r="I27" s="9" t="s">
        <v>74</v>
      </c>
      <c r="J27" s="14">
        <f>GETPIVOTDATA("Sum of Revenue(€)",$D$17,"Retailer","Stuttgart Auto Center")</f>
        <v>145230769</v>
      </c>
      <c r="K27" s="14">
        <f>GETPIVOTDATA("Sum of Profit(€)",$D$17,"Retailer","Stuttgart Auto Center")</f>
        <v>30091117</v>
      </c>
      <c r="L27" s="5">
        <f>GETPIVOTDATA("Sum of Contracts Signed",$D$17,"Retailer","Stuttgart Auto Center")/GETPIVOTDATA("Sum of Test Drives",$D$17,"Retailer","Stuttgart Auto Center")</f>
        <v>0.19642330165850203</v>
      </c>
    </row>
    <row r="28" spans="1:12" x14ac:dyDescent="0.25">
      <c r="D28" s="9" t="s">
        <v>6341</v>
      </c>
      <c r="E28" s="4">
        <v>1495473561</v>
      </c>
      <c r="F28" s="4">
        <v>316495279</v>
      </c>
      <c r="G28" s="4">
        <v>33623</v>
      </c>
      <c r="H28" s="4">
        <v>174667</v>
      </c>
      <c r="I28" s="15" t="s">
        <v>6341</v>
      </c>
      <c r="J28" s="14">
        <f>GETPIVOTDATA("Sum of Revenue(€)",$D$17)</f>
        <v>1495473561</v>
      </c>
      <c r="K28" s="14">
        <f>GETPIVOTDATA("Sum of Profit(€)",$D$17)</f>
        <v>316495279</v>
      </c>
      <c r="L28" s="5">
        <f>GETPIVOTDATA("Sum of Contracts Signed",$D$17)/GETPIVOTDATA("Sum of Test Drives",$D$17)</f>
        <v>0.19249772424098427</v>
      </c>
    </row>
    <row r="31" spans="1:12" x14ac:dyDescent="0.25">
      <c r="A31" s="8" t="s">
        <v>6340</v>
      </c>
      <c r="B31" t="s">
        <v>6322</v>
      </c>
      <c r="C31" t="s">
        <v>6323</v>
      </c>
      <c r="D31" t="s">
        <v>6324</v>
      </c>
      <c r="G31" s="7" t="s">
        <v>6340</v>
      </c>
      <c r="H31" s="7" t="s">
        <v>6322</v>
      </c>
      <c r="I31" s="7" t="s">
        <v>6343</v>
      </c>
    </row>
    <row r="32" spans="1:12" ht="14.25" x14ac:dyDescent="0.2">
      <c r="A32" s="9" t="s">
        <v>37</v>
      </c>
      <c r="B32" s="12">
        <v>346287</v>
      </c>
      <c r="C32" s="12">
        <v>174667</v>
      </c>
      <c r="D32" s="12">
        <v>33623</v>
      </c>
      <c r="G32" s="9" t="s">
        <v>58</v>
      </c>
      <c r="H32" s="12" t="e">
        <f>GETPIVOTDATA("Sum of Customers Visited",$A$31,"Lead Source","Referral")</f>
        <v>#REF!</v>
      </c>
      <c r="I32" s="5" t="e">
        <f>GETPIVOTDATA("Sum of Contracts Signed",$A$31,"Lead Source","Referral")/GETPIVOTDATA("Sum of Test Drives",$A$31,"Lead Source","Referral")</f>
        <v>#REF!</v>
      </c>
    </row>
    <row r="33" spans="1:9" ht="14.25" x14ac:dyDescent="0.2">
      <c r="A33" s="9" t="s">
        <v>6341</v>
      </c>
      <c r="B33" s="12">
        <v>346287</v>
      </c>
      <c r="C33" s="12">
        <v>174667</v>
      </c>
      <c r="D33" s="12">
        <v>33623</v>
      </c>
      <c r="G33" s="9" t="s">
        <v>49</v>
      </c>
      <c r="H33" s="12" t="e">
        <f>GETPIVOTDATA("Sum of Customers Visited",$A$31,"Lead Source","Social Media")</f>
        <v>#REF!</v>
      </c>
      <c r="I33" s="5" t="e">
        <f>GETPIVOTDATA("Sum of Contracts Signed",$A$31,"Lead Source","Social Media")/GETPIVOTDATA("Sum of Test Drives",$A$31,"Lead Source","Social Media")</f>
        <v>#REF!</v>
      </c>
    </row>
    <row r="34" spans="1:9" ht="14.25" x14ac:dyDescent="0.2">
      <c r="G34" s="9" t="s">
        <v>71</v>
      </c>
      <c r="H34" s="12" t="e">
        <f>GETPIVOTDATA("Sum of Customers Visited",$A$31,"Lead Source","Walk-in")</f>
        <v>#REF!</v>
      </c>
      <c r="I34" s="5" t="e">
        <f>GETPIVOTDATA("Sum of Contracts Signed",$A$31,"Lead Source","Walk-in")/GETPIVOTDATA("Sum of Test Drives",$A$31,"Lead Source","Walk-in")</f>
        <v>#REF!</v>
      </c>
    </row>
    <row r="35" spans="1:9" ht="14.25" x14ac:dyDescent="0.2">
      <c r="G35" s="9" t="s">
        <v>37</v>
      </c>
      <c r="H35" s="12">
        <f>GETPIVOTDATA("Sum of Customers Visited",$A$31,"Lead Source","Website")</f>
        <v>346287</v>
      </c>
      <c r="I35" s="5">
        <f>GETPIVOTDATA("Sum of Contracts Signed",$A$31,"Lead Source","Website")/GETPIVOTDATA("Sum of Test Drives",$A$31,"Lead Source","Website")</f>
        <v>0.19249772424098427</v>
      </c>
    </row>
    <row r="36" spans="1:9" x14ac:dyDescent="0.25">
      <c r="G36" s="15" t="s">
        <v>6341</v>
      </c>
      <c r="H36" s="12">
        <f>GETPIVOTDATA("Sum of Customers Visited",$A$31)</f>
        <v>346287</v>
      </c>
      <c r="I36" s="5">
        <f>GETPIVOTDATA("Sum of Contracts Signed",$A$31)/GETPIVOTDATA("Sum of Test Drives",$A$31)</f>
        <v>0.19249772424098427</v>
      </c>
    </row>
    <row r="39" spans="1:9" x14ac:dyDescent="0.25">
      <c r="A39" s="8" t="s">
        <v>6340</v>
      </c>
      <c r="B39" t="s">
        <v>6325</v>
      </c>
      <c r="C39" t="s">
        <v>6326</v>
      </c>
      <c r="D39" t="s">
        <v>6324</v>
      </c>
      <c r="E39" t="s">
        <v>6323</v>
      </c>
      <c r="F39" s="7" t="s">
        <v>6340</v>
      </c>
      <c r="G39" s="7" t="s">
        <v>6325</v>
      </c>
      <c r="H39" s="7" t="s">
        <v>6326</v>
      </c>
      <c r="I39" s="7" t="s">
        <v>21</v>
      </c>
    </row>
    <row r="40" spans="1:9" ht="14.25" x14ac:dyDescent="0.2">
      <c r="A40" s="9" t="s">
        <v>67</v>
      </c>
      <c r="B40" s="14">
        <v>172216346</v>
      </c>
      <c r="C40" s="14">
        <v>24634200</v>
      </c>
      <c r="D40" s="12">
        <v>5591</v>
      </c>
      <c r="E40" s="12">
        <v>34876</v>
      </c>
      <c r="F40" s="9" t="s">
        <v>67</v>
      </c>
      <c r="G40" s="14">
        <f>GETPIVOTDATA("Sum of Revenue(€)",$A$39,"Segment","Hatchback")</f>
        <v>172216346</v>
      </c>
      <c r="H40" s="14">
        <f>GETPIVOTDATA("Sum of Profit(€)",$A$39,"Segment","Hatchback")</f>
        <v>24634200</v>
      </c>
      <c r="I40" s="5">
        <f>GETPIVOTDATA("Sum of Contracts Signed",$A$39,"Segment","Hatchback")/GETPIVOTDATA("Sum of Test Drives",$A$39,"Segment","Hatchback")</f>
        <v>0.16031081546048859</v>
      </c>
    </row>
    <row r="41" spans="1:9" ht="14.25" x14ac:dyDescent="0.2">
      <c r="A41" s="9" t="s">
        <v>33</v>
      </c>
      <c r="B41" s="14">
        <v>549909654</v>
      </c>
      <c r="C41" s="14">
        <v>132176073</v>
      </c>
      <c r="D41" s="12">
        <v>10101</v>
      </c>
      <c r="E41" s="12">
        <v>45025</v>
      </c>
      <c r="F41" s="9" t="s">
        <v>33</v>
      </c>
      <c r="G41" s="14">
        <f>GETPIVOTDATA("Sum of Revenue(€)",$A$39,"Segment","Sedan")</f>
        <v>549909654</v>
      </c>
      <c r="H41" s="14">
        <f>GETPIVOTDATA("Sum of Profit(€)",$A$39,"Segment","Sedan")</f>
        <v>132176073</v>
      </c>
      <c r="I41" s="5">
        <f>GETPIVOTDATA("Sum of Contracts Signed",$A$39,"Segment","Sedan")/GETPIVOTDATA("Sum of Test Drives",$A$39,"Segment","Sedan")</f>
        <v>0.22434203220433094</v>
      </c>
    </row>
    <row r="42" spans="1:9" ht="14.25" x14ac:dyDescent="0.2">
      <c r="A42" s="9" t="s">
        <v>46</v>
      </c>
      <c r="B42" s="14">
        <v>773347561</v>
      </c>
      <c r="C42" s="14">
        <v>159685006</v>
      </c>
      <c r="D42" s="12">
        <v>17931</v>
      </c>
      <c r="E42" s="12">
        <v>94766</v>
      </c>
      <c r="F42" s="9" t="s">
        <v>46</v>
      </c>
      <c r="G42" s="14">
        <f>GETPIVOTDATA("Sum of Revenue(€)",$A$39,"Segment","SUV")</f>
        <v>773347561</v>
      </c>
      <c r="H42" s="14">
        <f>GETPIVOTDATA("Sum of Profit(€)",$A$39,"Segment","SUV")</f>
        <v>159685006</v>
      </c>
      <c r="I42" s="5">
        <f>GETPIVOTDATA("Sum of Contracts Signed",$A$39,"Segment","SUV")/GETPIVOTDATA("Sum of Test Drives",$A$39,"Segment","SUV")</f>
        <v>0.18921343097735474</v>
      </c>
    </row>
    <row r="43" spans="1:9" ht="14.25" x14ac:dyDescent="0.2">
      <c r="A43" s="9" t="s">
        <v>6341</v>
      </c>
      <c r="B43" s="14">
        <v>1495473561</v>
      </c>
      <c r="C43" s="14">
        <v>316495279</v>
      </c>
      <c r="D43" s="12">
        <v>33623</v>
      </c>
      <c r="E43" s="12">
        <v>174667</v>
      </c>
      <c r="F43" s="5"/>
    </row>
    <row r="44" spans="1:9" ht="14.25" x14ac:dyDescent="0.2"/>
    <row r="45" spans="1:9" ht="14.25" x14ac:dyDescent="0.2"/>
    <row r="46" spans="1:9" ht="14.25" x14ac:dyDescent="0.2"/>
    <row r="47" spans="1:9" ht="14.25" x14ac:dyDescent="0.2"/>
    <row r="48" spans="1:9"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sheetData>
  <sortState xmlns:xlrd2="http://schemas.microsoft.com/office/spreadsheetml/2017/richdata2" columnSort="1" ref="D17:G28">
    <sortCondition descending="1" ref="E1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47E6-E2E8-42AF-B27E-F3416928427A}">
  <dimension ref="B1:T31"/>
  <sheetViews>
    <sheetView showGridLines="0" tabSelected="1" zoomScaleNormal="100" workbookViewId="0">
      <selection activeCell="J35" sqref="J35"/>
    </sheetView>
  </sheetViews>
  <sheetFormatPr defaultRowHeight="15" x14ac:dyDescent="0.25"/>
  <cols>
    <col min="1" max="1" width="0.75" style="16" customWidth="1"/>
    <col min="2" max="2" width="25.875" style="16" customWidth="1"/>
    <col min="3" max="3" width="21.75" style="16" customWidth="1"/>
    <col min="4" max="4" width="17" style="16" customWidth="1"/>
    <col min="5" max="5" width="25.875" style="16" customWidth="1"/>
    <col min="6" max="6" width="24" style="16" customWidth="1"/>
    <col min="7" max="7" width="20.375" style="16" customWidth="1"/>
    <col min="8" max="12" width="9" style="16"/>
    <col min="13" max="13" width="1.75" style="16" customWidth="1"/>
    <col min="14" max="19" width="9" style="16"/>
    <col min="20" max="20" width="7.875" style="16" customWidth="1"/>
    <col min="21" max="16384" width="9" style="16"/>
  </cols>
  <sheetData>
    <row r="1" spans="2:20" ht="3" customHeight="1" x14ac:dyDescent="0.25"/>
    <row r="2" spans="2:20" ht="31.5" x14ac:dyDescent="0.5">
      <c r="B2" s="28" t="s">
        <v>6342</v>
      </c>
      <c r="C2" s="28"/>
      <c r="D2" s="23" t="s">
        <v>7650</v>
      </c>
      <c r="E2" s="23"/>
      <c r="F2" s="23"/>
      <c r="G2" s="23"/>
    </row>
    <row r="3" spans="2:20" ht="11.25" customHeight="1" x14ac:dyDescent="0.4">
      <c r="B3" s="17"/>
      <c r="C3" s="17"/>
      <c r="D3" s="17"/>
      <c r="E3" s="17"/>
    </row>
    <row r="4" spans="2:20" ht="23.25" x14ac:dyDescent="0.35">
      <c r="B4" s="24">
        <f>GETPIVOTDATA("Sum of Customers Visited",Pivot_Calcs!$A$1)</f>
        <v>346287</v>
      </c>
      <c r="C4" s="24">
        <f>GETPIVOTDATA("Sum of Test Drives",Pivot_Calcs!$A$1)</f>
        <v>174667</v>
      </c>
      <c r="D4" s="24">
        <f>GETPIVOTDATA("Sum of Contracts Signed",Pivot_Calcs!$A$1)</f>
        <v>33623</v>
      </c>
      <c r="E4" s="25">
        <f>GETPIVOTDATA("Sum of Revenue(€)",Pivot_Calcs!$A$1)</f>
        <v>1495473561</v>
      </c>
      <c r="F4" s="25">
        <f>GETPIVOTDATA("Sum of Profit(€)",Pivot_Calcs!$A$1)</f>
        <v>316495279</v>
      </c>
      <c r="G4" s="26">
        <f>Pivot_Calcs!H7</f>
        <v>0.19249772424098427</v>
      </c>
      <c r="I4" s="18"/>
      <c r="L4" s="20"/>
      <c r="M4" s="21"/>
      <c r="N4" s="22"/>
      <c r="O4" s="21"/>
      <c r="P4" s="21"/>
      <c r="Q4" s="21"/>
      <c r="R4" s="21"/>
      <c r="S4" s="21"/>
      <c r="T4" s="21"/>
    </row>
    <row r="5" spans="2:20" ht="25.5" customHeight="1" x14ac:dyDescent="0.25">
      <c r="B5" s="27" t="s">
        <v>6334</v>
      </c>
      <c r="C5" s="27" t="s">
        <v>18</v>
      </c>
      <c r="D5" s="27" t="s">
        <v>6335</v>
      </c>
      <c r="E5" s="27" t="s">
        <v>6316</v>
      </c>
      <c r="F5" s="27" t="s">
        <v>6317</v>
      </c>
      <c r="G5" s="27" t="s">
        <v>6336</v>
      </c>
      <c r="L5" s="20"/>
      <c r="M5" s="21"/>
      <c r="N5" s="21"/>
      <c r="O5" s="21"/>
      <c r="P5" s="21"/>
      <c r="Q5" s="21"/>
      <c r="R5" s="21"/>
      <c r="S5" s="21"/>
      <c r="T5" s="21"/>
    </row>
    <row r="6" spans="2:20" ht="18.75" x14ac:dyDescent="0.25">
      <c r="B6" s="19"/>
      <c r="C6" s="19"/>
      <c r="D6" s="19"/>
      <c r="E6" s="19"/>
      <c r="F6" s="19"/>
      <c r="G6" s="19"/>
      <c r="M6" s="21"/>
      <c r="N6" s="21"/>
      <c r="O6" s="21"/>
      <c r="P6" s="21"/>
      <c r="Q6" s="21"/>
      <c r="R6" s="21"/>
      <c r="S6" s="21"/>
      <c r="T6" s="21"/>
    </row>
    <row r="7" spans="2:20" x14ac:dyDescent="0.25">
      <c r="M7" s="21"/>
      <c r="N7" s="21"/>
      <c r="O7" s="21"/>
      <c r="P7" s="21"/>
      <c r="Q7" s="21"/>
      <c r="R7" s="21"/>
      <c r="S7" s="21"/>
      <c r="T7" s="21"/>
    </row>
    <row r="8" spans="2:20" x14ac:dyDescent="0.25">
      <c r="M8" s="21"/>
      <c r="N8" s="21"/>
      <c r="O8" s="21"/>
      <c r="P8" s="21"/>
      <c r="Q8" s="21"/>
      <c r="R8" s="21"/>
      <c r="S8" s="21"/>
      <c r="T8" s="21"/>
    </row>
    <row r="9" spans="2:20" x14ac:dyDescent="0.25">
      <c r="M9" s="21"/>
      <c r="N9" s="21"/>
      <c r="O9" s="21"/>
      <c r="P9" s="21"/>
      <c r="Q9" s="21"/>
      <c r="R9" s="21"/>
      <c r="S9" s="21"/>
      <c r="T9" s="21"/>
    </row>
    <row r="10" spans="2:20" x14ac:dyDescent="0.25">
      <c r="M10" s="21"/>
      <c r="N10" s="21"/>
      <c r="O10" s="21"/>
      <c r="P10" s="21"/>
      <c r="Q10" s="21"/>
      <c r="R10" s="21"/>
      <c r="S10" s="21"/>
      <c r="T10" s="21"/>
    </row>
    <row r="11" spans="2:20" x14ac:dyDescent="0.25">
      <c r="M11" s="21"/>
      <c r="N11" s="21"/>
      <c r="O11" s="21"/>
      <c r="P11" s="21"/>
      <c r="Q11" s="21"/>
      <c r="R11" s="21"/>
      <c r="S11" s="21"/>
      <c r="T11" s="21"/>
    </row>
    <row r="12" spans="2:20" x14ac:dyDescent="0.25">
      <c r="M12" s="21"/>
      <c r="N12" s="21"/>
      <c r="O12" s="21"/>
      <c r="P12" s="21"/>
      <c r="Q12" s="21"/>
      <c r="R12" s="21"/>
      <c r="S12" s="21"/>
      <c r="T12" s="21"/>
    </row>
    <row r="13" spans="2:20" x14ac:dyDescent="0.25">
      <c r="M13" s="21"/>
      <c r="N13" s="21"/>
      <c r="O13" s="21"/>
      <c r="P13" s="21"/>
      <c r="Q13" s="21"/>
      <c r="R13" s="21"/>
      <c r="S13" s="21"/>
      <c r="T13" s="21"/>
    </row>
    <row r="14" spans="2:20" x14ac:dyDescent="0.25">
      <c r="M14" s="21"/>
      <c r="N14" s="21"/>
      <c r="O14" s="21"/>
      <c r="P14" s="21"/>
      <c r="Q14" s="21"/>
      <c r="R14" s="21"/>
      <c r="S14" s="21"/>
      <c r="T14" s="21"/>
    </row>
    <row r="15" spans="2:20" x14ac:dyDescent="0.25">
      <c r="M15" s="21"/>
      <c r="N15" s="21"/>
      <c r="O15" s="21"/>
      <c r="P15" s="21"/>
      <c r="Q15" s="21"/>
      <c r="R15" s="21"/>
      <c r="S15" s="21"/>
      <c r="T15" s="21"/>
    </row>
    <row r="16" spans="2:20" x14ac:dyDescent="0.25">
      <c r="M16" s="21"/>
      <c r="N16" s="21"/>
      <c r="O16" s="21"/>
      <c r="P16" s="21"/>
      <c r="Q16" s="21"/>
      <c r="R16" s="21"/>
      <c r="S16" s="21"/>
      <c r="T16" s="21"/>
    </row>
    <row r="17" spans="13:20" x14ac:dyDescent="0.25">
      <c r="M17" s="21"/>
      <c r="N17" s="21"/>
      <c r="O17" s="21"/>
      <c r="P17" s="21"/>
      <c r="Q17" s="21"/>
      <c r="R17" s="21"/>
      <c r="S17" s="21"/>
      <c r="T17" s="21"/>
    </row>
    <row r="18" spans="13:20" x14ac:dyDescent="0.25">
      <c r="M18" s="21"/>
      <c r="N18" s="21"/>
      <c r="O18" s="21"/>
      <c r="P18" s="21"/>
      <c r="Q18" s="21"/>
      <c r="R18" s="21"/>
      <c r="S18" s="21"/>
      <c r="T18" s="21"/>
    </row>
    <row r="19" spans="13:20" x14ac:dyDescent="0.25">
      <c r="M19" s="21"/>
      <c r="N19" s="21"/>
      <c r="O19" s="21"/>
      <c r="P19" s="21"/>
      <c r="Q19" s="21"/>
      <c r="R19" s="21"/>
      <c r="S19" s="21"/>
      <c r="T19" s="21"/>
    </row>
    <row r="20" spans="13:20" x14ac:dyDescent="0.25">
      <c r="M20" s="21"/>
      <c r="N20" s="21"/>
      <c r="O20" s="21"/>
      <c r="P20" s="21"/>
      <c r="Q20" s="21"/>
      <c r="R20" s="21"/>
      <c r="S20" s="21"/>
      <c r="T20" s="21"/>
    </row>
    <row r="21" spans="13:20" x14ac:dyDescent="0.25">
      <c r="M21" s="21"/>
      <c r="N21" s="21"/>
      <c r="O21" s="21"/>
      <c r="P21" s="21"/>
      <c r="Q21" s="21"/>
      <c r="R21" s="21"/>
      <c r="S21" s="21"/>
      <c r="T21" s="21"/>
    </row>
    <row r="22" spans="13:20" x14ac:dyDescent="0.25">
      <c r="M22" s="21"/>
      <c r="N22" s="21"/>
      <c r="O22" s="21"/>
      <c r="P22" s="21"/>
      <c r="Q22" s="21"/>
      <c r="R22" s="21"/>
      <c r="S22" s="21"/>
      <c r="T22" s="21"/>
    </row>
    <row r="23" spans="13:20" x14ac:dyDescent="0.25">
      <c r="M23" s="21"/>
      <c r="N23" s="21"/>
      <c r="O23" s="21"/>
      <c r="P23" s="21"/>
      <c r="Q23" s="21"/>
      <c r="R23" s="21"/>
      <c r="S23" s="21"/>
      <c r="T23" s="21"/>
    </row>
    <row r="24" spans="13:20" x14ac:dyDescent="0.25">
      <c r="M24" s="21"/>
      <c r="N24" s="21"/>
      <c r="O24" s="21"/>
      <c r="P24" s="21"/>
      <c r="Q24" s="21"/>
      <c r="R24" s="21"/>
      <c r="S24" s="21"/>
      <c r="T24" s="21"/>
    </row>
    <row r="25" spans="13:20" x14ac:dyDescent="0.25">
      <c r="M25" s="21"/>
      <c r="N25" s="21"/>
      <c r="O25" s="21"/>
      <c r="P25" s="21"/>
      <c r="Q25" s="21"/>
      <c r="R25" s="21"/>
      <c r="S25" s="21"/>
      <c r="T25" s="21"/>
    </row>
    <row r="26" spans="13:20" x14ac:dyDescent="0.25">
      <c r="M26" s="21"/>
      <c r="N26" s="21"/>
      <c r="O26" s="21"/>
      <c r="P26" s="21"/>
      <c r="Q26" s="21"/>
      <c r="R26" s="21"/>
      <c r="S26" s="21"/>
      <c r="T26" s="21"/>
    </row>
    <row r="27" spans="13:20" x14ac:dyDescent="0.25">
      <c r="M27" s="21"/>
      <c r="N27" s="21"/>
      <c r="O27" s="21"/>
      <c r="P27" s="21"/>
      <c r="Q27" s="21"/>
      <c r="R27" s="21"/>
      <c r="S27" s="21"/>
      <c r="T27" s="21"/>
    </row>
    <row r="28" spans="13:20" x14ac:dyDescent="0.25">
      <c r="M28" s="21"/>
      <c r="N28" s="21"/>
      <c r="O28" s="21"/>
      <c r="P28" s="21"/>
      <c r="Q28" s="21"/>
      <c r="R28" s="21"/>
      <c r="S28" s="21"/>
      <c r="T28" s="21"/>
    </row>
    <row r="29" spans="13:20" x14ac:dyDescent="0.25">
      <c r="M29" s="21"/>
      <c r="N29" s="21"/>
      <c r="O29" s="21"/>
      <c r="P29" s="21"/>
      <c r="Q29" s="21"/>
      <c r="R29" s="21"/>
      <c r="S29" s="21"/>
      <c r="T29" s="21"/>
    </row>
    <row r="30" spans="13:20" x14ac:dyDescent="0.25">
      <c r="M30" s="21"/>
      <c r="N30" s="21"/>
      <c r="O30" s="21"/>
      <c r="P30" s="21"/>
      <c r="Q30" s="21"/>
      <c r="R30" s="21"/>
      <c r="S30" s="21"/>
      <c r="T30" s="21"/>
    </row>
    <row r="31" spans="13:20" x14ac:dyDescent="0.25">
      <c r="M31" s="21"/>
      <c r="N31" s="21"/>
      <c r="O31" s="21"/>
      <c r="P31" s="21"/>
      <c r="Q31" s="21"/>
      <c r="R31" s="21"/>
      <c r="S31" s="21"/>
      <c r="T31" s="21"/>
    </row>
  </sheetData>
  <mergeCells count="2">
    <mergeCell ref="B2:C2"/>
    <mergeCell ref="D2:G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Reference</vt:lpstr>
      <vt:lpstr>Pivot_Calcs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Sushrut Narayan</dc:creator>
  <cp:lastModifiedBy>Sushrut Singh</cp:lastModifiedBy>
  <dcterms:created xsi:type="dcterms:W3CDTF">2026-03-26T14:27:06Z</dcterms:created>
  <dcterms:modified xsi:type="dcterms:W3CDTF">2026-03-27T16:19:48Z</dcterms:modified>
</cp:coreProperties>
</file>